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custom-properties+xml" PartName="/docProps/custom.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__FDSCACHE__" sheetId="1" r:id="rId4"/>
    <sheet state="visible" name="VA-Disclaimer" sheetId="2" r:id="rId5"/>
    <sheet state="visible" name="Disclaimer" sheetId="3" r:id="rId6"/>
    <sheet state="visible" name="IS" sheetId="4" r:id="rId7"/>
    <sheet state="visible" name="BS" sheetId="5" r:id="rId8"/>
    <sheet state="visible" name="CF" sheetId="6" r:id="rId9"/>
    <sheet state="hidden" name="_CIQHiddenCacheSheet" sheetId="7" r:id="rId10"/>
    <sheet state="visible" name="Chart6" sheetId="8" r:id="rId11"/>
    <sheet state="hidden" name="__APW_ACTIVE_FIELD_RESTORE__" sheetId="9" r:id="rId12"/>
  </sheets>
  <externalReferences>
    <externalReference r:id="rId13"/>
    <externalReference r:id="rId14"/>
  </externalReferences>
  <definedNames>
    <definedName name="__APW_RESTORE_DATA1__">#REF!,#REF!,#REF!,#REF!</definedName>
    <definedName name="__APW_RESTORE_DATA3__">#REF!,#REF!,#REF!,#REF!</definedName>
    <definedName name="__APW_RESTORE_DATA4__">#REF!,#REF!</definedName>
    <definedName name="__FDS_HYPERLINK_TOGGLE_STATE__">"ON"</definedName>
    <definedName name="__FDS_UNIQUE_RANGE_ID_GENERATOR_COUNTER">1</definedName>
    <definedName name="__FDS_USED_FOR_REUSING_RANGE_IDS_RECYCLE">{140,139,138,137,140,139,138,137,140,139,138,137}</definedName>
    <definedName name="_bdm.42389e681bad43adaa92dc72edb78440.edm">'[2]Historical valuation Multiples'!$1:$1048576</definedName>
    <definedName name="_bdm.4cc6c3f7212b453aa7db026c9e53fa0e.edm">'[2]Earnings Table'!$1:$1048576</definedName>
    <definedName name="_bdm.6fbf9c4f0dfc456e8dfb33e508fe1b40.edm">'[2]Charts for Note'!$1:$1048576</definedName>
    <definedName name="_bdm.817768c024224af6840c4b9c6ec6e80b.edm">'[2]Price Target Multiples'!$1:$1048576</definedName>
    <definedName name="_bdm.844cbf4eafa1411d893b76b79490fb19.edm">'[2]UBS v Street'!$1:$1048576</definedName>
    <definedName name="_bdm.959033ce93554545be1932573be82348.edm">'[2]Outsourcing Financial Impli'!$1:$1048576</definedName>
    <definedName name="_bdm.db941b998fa14c118b971d482d2cce12.edm">'[2]Preso Summ'!$1:$1048576</definedName>
    <definedName name="_bdm.ec17c843a116485d98ff55d7d231e185.edm">[2]Valuation!$1:$1048576</definedName>
    <definedName name="_Model_Path">"S:\SEMICONDUCTOR\USSemiconductor\Companies\INTC\INTC MASTER_lockedforwire_2.22.2023.xlsx"</definedName>
    <definedName name="AAPLindex">'[2]Business Analysis'!$129:$129</definedName>
    <definedName name="Accounts_Receivable">'[2]CUS Image'!$145:$145</definedName>
    <definedName name="adf">{#N/A,#N/A,FALSE,"earnings"}</definedName>
    <definedName name="Adjusted_EBIT">'[2]CUS Image'!$8:$8</definedName>
    <definedName name="Adjusted_Effective_Tax_Rate">'[2]CUS Image'!$70:$70</definedName>
    <definedName name="AIndex">'[2]Business Analysis'!$127:$127</definedName>
    <definedName name="AJHFkjDGHF">{"Annual_Income",#N/A,FALSE,"Report Page";"Balance_Cash_Flow",#N/A,FALSE,"Report Page";"Quarterly_Income",#N/A,FALSE,"Report Page"}</definedName>
    <definedName name="annual">{#N/A,#N/A,FALSE,"earnings"}</definedName>
    <definedName name="annual1">{#N/A,#N/A,FALSE,"earnings"}</definedName>
    <definedName name="annual2">{#N/A,#N/A,FALSE,"earnings"}</definedName>
    <definedName name="aretn">{#N/A,#N/A,FALSE,"earnings"}</definedName>
    <definedName name="asdf">{#N/A,#N/A,FALSE,"earnings"}</definedName>
    <definedName name="Avg_Curr_Stock_Price_For_Period_EPS">'[2]CUS Image'!$399:$399</definedName>
    <definedName name="Avg_Diluted_Shares_For_Diluted_EPS">'[2]CUS Image'!$120:$120</definedName>
    <definedName name="BAAMDDTUnitShare">'[2]Business Analysis'!$284:$284</definedName>
    <definedName name="BAAMDMPUDTSales">'[2]Business Analysis'!$282:$282</definedName>
    <definedName name="BAAMDMPUDTUnits">'[2]Business Analysis'!$273:$273</definedName>
    <definedName name="BAAMDMPUNBSales">'[2]Business Analysis'!$301:$301</definedName>
    <definedName name="BAAMDMPUNBUnits">'[2]Business Analysis'!$294:$294</definedName>
    <definedName name="BAAMDMPUSales">'[2]Business Analysis'!$230:$230</definedName>
    <definedName name="BAAMDMPUServerSales">'[2]Business Analysis'!$347:$347</definedName>
    <definedName name="BAAMDMPUServerUnits">'[2]Business Analysis'!$339:$339</definedName>
    <definedName name="BAAMDMPUUnits">'[2]Business Analysis'!$968:$968</definedName>
    <definedName name="BAAMDUnitShare">'[2]Business Analysis'!$214:$214</definedName>
    <definedName name="BACapex">'[2]Business Analysis'!$697:$697</definedName>
    <definedName name="BACFO">'[2]Business Analysis'!$696:$696</definedName>
    <definedName name="BACOGS">'[2]Business Analysis'!$759:$759</definedName>
    <definedName name="BADA">'[2]Business Analysis'!$695:$695</definedName>
    <definedName name="BADates">'[2]Business Analysis'!$204:$204</definedName>
    <definedName name="BAEBIT">'[2]Business Analysis'!$460:$460</definedName>
    <definedName name="BAIndex">'[2]Business Analysis'!$1:$1</definedName>
    <definedName name="BAINTCMPUDTSales">'[2]Business Analysis'!$281:$281</definedName>
    <definedName name="BAINTCMPUDTUnits">'[2]Business Analysis'!$270:$270</definedName>
    <definedName name="BAINTCMPUNBSales">'[2]Business Analysis'!$299:$299</definedName>
    <definedName name="BAINTCMPUNBUnits">'[2]Business Analysis'!$291:$291</definedName>
    <definedName name="BAINTCMPUSales">'[2]Business Analysis'!$229:$229</definedName>
    <definedName name="BAINTCMPUServerSales">'[2]Business Analysis'!$345:$345</definedName>
    <definedName name="BAINTCMPUServerUnits">'[2]Business Analysis'!$338:$338</definedName>
    <definedName name="BAINTCMPUUnits">'[2]Business Analysis'!$967:$967</definedName>
    <definedName name="BAInv">'[2]Business Analysis'!$679:$679</definedName>
    <definedName name="BAITNCQAvgSharePrice">'[2]Business Analysis'!$483:$483</definedName>
    <definedName name="BANI">'[2]Business Analysis'!$692:$692</definedName>
    <definedName name="BAOpex">'[2]Business Analysis'!$464:$464</definedName>
    <definedName name="BARev">'[2]Business Analysis'!$446:$446</definedName>
    <definedName name="BASOE">'[2]Business Analysis'!$489:$489</definedName>
    <definedName name="capexoldvsnew">'[2]Earnings Table'!$V$76:$AQ$88</definedName>
    <definedName name="Cash_Equivalents">'[2]CUS Image'!$144:$144</definedName>
    <definedName name="CH_IM_PE">TRUE</definedName>
    <definedName name="CIQWBGuid">"INTC Model TA.xls"</definedName>
    <definedName name="ClientASP">[2]MPU!$134:$134</definedName>
    <definedName name="colArray">"""AH"", ""AM"", ""AR"", ""AW"", ""BB"", ""BG"", ""BL"""</definedName>
    <definedName name="Common_Dividend_Per_Share">'[2]CUS Image'!$129:$129</definedName>
    <definedName name="Core_EBIT">'[2]CUS Image'!$64:$64</definedName>
    <definedName name="Core_EBITDA">'[2]CUS Image'!$65:$65</definedName>
    <definedName name="Cost_Of_Goods_Sold">'[2]CUS Image'!$4:$4</definedName>
    <definedName name="CSCOIndex">'[2]Business Analysis'!$357:$357</definedName>
    <definedName name="cu102.ShareScalingFactor">1000000</definedName>
    <definedName name="cu103.EmployeeScalingFactor">1000</definedName>
    <definedName name="cu107.DPSSymbol">"US$"</definedName>
    <definedName name="cu107.EPSSymbol">"US$"</definedName>
    <definedName name="cu71.ScalingFactor">1000000</definedName>
    <definedName name="CurQ">'[2]Business Analysis'!$B$5</definedName>
    <definedName name="currentQ">'[2]Earnings Table'!$B$2:$I$37</definedName>
    <definedName name="CUSSheetClass">"USIN"</definedName>
    <definedName name="CUSTransactionID">1045919688.897</definedName>
    <definedName name="DataIndex">'[2]DCG analysis'!$1:$1</definedName>
    <definedName name="Days">IF(ISNUMBER(Dates), 90, 365)</definedName>
    <definedName name="DB">"WIRENYPROD"</definedName>
    <definedName name="dd">{#N/A,#N/A,TRUE,"Historicals";#N/A,#N/A,TRUE,"Charts";#N/A,#N/A,TRUE,"Forecasts"}</definedName>
    <definedName name="DepCol">'[2]depr schedule'!$A:$A</definedName>
    <definedName name="Depreciation_Amortisation_Adjustment">'[2]CUS Image'!$308:$308</definedName>
    <definedName name="DeprIndex">'[2]depr schedule'!$1:$1</definedName>
    <definedName name="DesktopAtomSales">[2]MPU!$164:$164</definedName>
    <definedName name="DesktopAtomUnits">[2]MPU!$57:$57</definedName>
    <definedName name="DesktopSalesTotal">[2]MPU!$167:$167</definedName>
    <definedName name="DesktopUnitsexAtom">[2]MPU!$63:$63</definedName>
    <definedName name="dfdf">{#N/A,#N/A,FALSE,"Product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fn">{#N/A,#N/A,FALSE,"earnings"}</definedName>
    <definedName name="dfk">{#N/A,#N/A,FALSE,"Product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ndex">'[2]Business Analysis'!$B:$B</definedName>
    <definedName name="Dividends_Common">'[2]CUS Image'!$340:$340</definedName>
    <definedName name="DPServerSales">[2]MPU!$152:$152</definedName>
    <definedName name="DTMPUU">'[2]Business Analysis'!$323:$323</definedName>
    <definedName name="DTMPUUexAtom">'[2]Business Analysis'!$324:$324</definedName>
    <definedName name="EpqCapex">'[2]depr schedule'!$11:$11</definedName>
    <definedName name="EpqIndex">'[2]depr schedule'!$18:$18</definedName>
    <definedName name="EpqtDepQs">'[2]depr schedule'!$B$12</definedName>
    <definedName name="fg">{#N/A,#N/A,FALSE,"earnings"}</definedName>
    <definedName name="ggg">{#N/A,#N/A,FALSE,"earnings"}</definedName>
    <definedName name="Gross_Profit">'[2]CUS Image'!$5:$5</definedName>
    <definedName name="guidancetable">'[2]Earnings Table'!$N$2:$R$15</definedName>
    <definedName name="hhhh">{#N/A,#N/A,FALSE,"earnings"}</definedName>
    <definedName name="HTML_CodePage">1252</definedName>
    <definedName name="HTML_Control">{"'327012'!$A$2:$L$63"}</definedName>
    <definedName name="HTML_Description">""</definedName>
    <definedName name="HTML_Email">""</definedName>
    <definedName name="HTML_Header">""</definedName>
    <definedName name="HTML_LastUpdate">""</definedName>
    <definedName name="HTML_LineAfter">FALSE</definedName>
    <definedName name="HTML_LineBefore">FALSE</definedName>
    <definedName name="HTML_Name">""</definedName>
    <definedName name="HTML_OBDlg2">TRUE</definedName>
    <definedName name="HTML_OBDlg4">TRUE</definedName>
    <definedName name="HTML_OS">0</definedName>
    <definedName name="HTML_PathFile">"N:\Webbank\W6_uploaded\Client_login\CMM_Member_Files\327013_www_01.htm"</definedName>
    <definedName name="HTML_Title">""</definedName>
    <definedName name="HTML1_1">"[FCFF3]Sheet1!$A$1:$L$34"</definedName>
    <definedName name="HTML1_10">""</definedName>
    <definedName name="HTML1_11">1</definedName>
    <definedName name="HTML1_12">"Aswath:Adobe SiteMill™ 1.0.2:MyHomePage:FCFF3.html"</definedName>
    <definedName name="HTML1_2">1</definedName>
    <definedName name="HTML1_3">"FCFF3"</definedName>
    <definedName name="HTML1_4">"Three-Stage FCFF Model"</definedName>
    <definedName name="HTML1_5">""</definedName>
    <definedName name="HTML1_6">-4146</definedName>
    <definedName name="HTML1_7">-4146</definedName>
    <definedName name="HTML1_8">"10/22/96"</definedName>
    <definedName name="HTML1_9">"Aswath Damodaran"</definedName>
    <definedName name="HTMLCount">1</definedName>
    <definedName name="INTCASP_exAtom">[2]MPU!$144:$144</definedName>
    <definedName name="INTCDPServerSales">'[2]Business Analysis'!$344:$344</definedName>
    <definedName name="iPadS">'[2]Business Analysis'!$148:$148</definedName>
    <definedName name="iPadU">'[2]Business Analysis'!$136:$136</definedName>
    <definedName name="iPhoneS">'[2]Business Analysis'!$150:$150</definedName>
    <definedName name="iPhoneU">'[2]Business Analysis'!$138:$138</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43048.6225462963</definedName>
    <definedName name="IQ_NTM">6000</definedName>
    <definedName name="IQ_QTD">750000</definedName>
    <definedName name="IQ_TODAY">0</definedName>
    <definedName name="IQ_WEEK">50000</definedName>
    <definedName name="IQ_YTD">3000</definedName>
    <definedName name="IQ_YTDMONTH">130000</definedName>
    <definedName name="jason">{#N/A,#N/A,TRUE,"Historicals";#N/A,#N/A,TRUE,"Charts";#N/A,#N/A,TRUE,"Forecasts"}</definedName>
    <definedName name="jjj">{#N/A,#N/A,FALSE,"earnings"}</definedName>
    <definedName name="Lam_Novellus_Summary_Model">{#N/A,#N/A,FALSE,"earnings"}</definedName>
    <definedName name="lll">{#N/A,#N/A,FALSE,"earnings"}</definedName>
    <definedName name="M_PlaceofPath">"G:\Equity Technology\Models\RIM_vdf.xls"</definedName>
    <definedName name="Market_Cap">'[2]CUS Image'!$416:$416</definedName>
    <definedName name="MobileAtomSales">[2]MPU!$176:$176</definedName>
    <definedName name="MobileAtomUnits">[2]MPU!$73:$73</definedName>
    <definedName name="MobileUnitsexAtom">[2]MPU!$79:$79</definedName>
    <definedName name="MPServerSales">[2]MPU!$154:$154</definedName>
    <definedName name="MPUIndex">'[2]Business Analysis'!$BL$958</definedName>
    <definedName name="MPUSalesexAtom">[2]MPU!$185:$185</definedName>
    <definedName name="MPUUnitsexAtom">[2]MPU!$87:$87</definedName>
    <definedName name="NBMPUU">'[2]Business Analysis'!$325:$325</definedName>
    <definedName name="NBMPUUexAtom">'[2]Business Analysis'!$326:$326</definedName>
    <definedName name="nck">{#N/A,#N/A,FALSE,"Product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_Cap_Expenditure_Tang_Fixed_Assets">'[2]CUS Image'!$327:$327</definedName>
    <definedName name="Net_Income_Adj_Earnings_PreAbnormal_Goodwill_Amort">'[2]CUS Image'!$40:$40</definedName>
    <definedName name="newvsold">'[2]Earnings Table'!$V$2:$AH$16</definedName>
    <definedName name="newvsold24">'[2]Earnings Table'!$V$2:$AM$16</definedName>
    <definedName name="NextQ">'[2]Earnings Table'!$N$2:$R$68</definedName>
    <definedName name="NextQnew">'[2]Earnings Table'!$N$2:$R$68</definedName>
    <definedName name="NextQuarter">'[2]Earnings Table'!$N$2:$R$68</definedName>
    <definedName name="NOPAT_Adjusted_EBIT_Net_Of_Related_Tax">'[2]CUS Image'!$73:$73</definedName>
    <definedName name="OCF_Total_Cash_From_Operating_Activities">'[2]CUS Image'!$324:$324</definedName>
    <definedName name="oldvsnew">'[2]Earnings Table'!$V$2:$AQ$38</definedName>
    <definedName name="ooo">{#N/A,#N/A,FALSE,"earnings"}</definedName>
    <definedName name="Operating_Cap_Employed">'[2]CUS Image'!$244:$244</definedName>
    <definedName name="Operating_Margin_Adjusted_EBIT">'[2]CUS Image'!$79:$79</definedName>
    <definedName name="PCASPIndex">'[2]Business Analysis'!$363:$363</definedName>
    <definedName name="PIndex">'[2]Business Analysis'!$BP$958</definedName>
    <definedName name="PlantCapex">'[2]depr schedule'!$121:$121</definedName>
    <definedName name="PlantDepQs">'[2]depr schedule'!$B$122</definedName>
    <definedName name="PredictedMPUSales">'[2]Business Analysis'!$965:$965</definedName>
    <definedName name="PredictedMPUUnits">'[2]Business Analysis'!$973:$973</definedName>
    <definedName name="presosumm">'[2]Preso Summ'!$B$2:$AG$149</definedName>
    <definedName name="PresoSumm_INTC">'[2]Preso Summ'!$B$2:$AG$145</definedName>
    <definedName name="presosumm2">'[2]Preso Summ'!$B$2:$AL$153</definedName>
    <definedName name="PREVIEW">'[2]Earnings Table'!$N$76:$R$111</definedName>
    <definedName name="PriorQ">'[2]Business Analysis'!$B$4</definedName>
    <definedName name="QIndex">'[2]Business Analysis'!$203:$203</definedName>
    <definedName name="QtrIS">{#N/A,#N/A,FALSE,"earnings"}</definedName>
    <definedName name="QtrRevModel">{#N/A,#N/A,FALSE,"earnings"}</definedName>
    <definedName name="Quarters">IF(ISNUMBER(BS!$5:$5), 4, 1)</definedName>
    <definedName name="Report">{#N/A,#N/A,FALSE,"Report Print"}</definedName>
    <definedName name="ReportingQ">'[2]Earnings Table'!$B$2:$J$68</definedName>
    <definedName name="ReportPage1">{"Annual_Income",#N/A,FALSE,"Report Page";"Balance_Cash_Flow",#N/A,FALSE,"Report Page";"Quarterly_Income",#N/A,FALSE,"Report Page"}</definedName>
    <definedName name="resultstableshort">'[2]Earnings Table'!$B$2:$J$15</definedName>
    <definedName name="RevModel">{#N/A,#N/A,FALSE,"earnings"}</definedName>
    <definedName name="Rtn_On_Equity">'[2]CUS Image'!$264:$264</definedName>
    <definedName name="s">{#N/A,#N/A,FALSE,"earnings"}</definedName>
    <definedName name="SGA_Other_Operating_Expenses_Adjusted">'[2]CUS Image'!$6:$6</definedName>
    <definedName name="ShareIndex">'[2]Business Analysis'!$87:$87</definedName>
    <definedName name="SIndex">'[2]Business Analysis'!$109:$109</definedName>
    <definedName name="solver_adj">'[1]Net Interest'!#REF!</definedName>
    <definedName localSheetId="3" name="solver_cvg">0.001</definedName>
    <definedName localSheetId="3" name="solver_drv">1</definedName>
    <definedName localSheetId="3" name="solver_est">1</definedName>
    <definedName localSheetId="3" name="solver_itr">100</definedName>
    <definedName localSheetId="3" name="solver_lin">2</definedName>
    <definedName name="solver_lin">0</definedName>
    <definedName localSheetId="3" name="solver_neg">2</definedName>
    <definedName localSheetId="3" name="solver_num">0</definedName>
    <definedName name="solver_num">0</definedName>
    <definedName localSheetId="3" name="solver_nwt">1</definedName>
    <definedName name="solver_opt">'[1]Net Interest'!#REF!</definedName>
    <definedName localSheetId="3" name="solver_pre">0.000001</definedName>
    <definedName localSheetId="3" name="solver_scl">2</definedName>
    <definedName localSheetId="3" name="solver_sho">2</definedName>
    <definedName localSheetId="3" name="solver_tim">100</definedName>
    <definedName localSheetId="3" name="solver_tol">0.05</definedName>
    <definedName localSheetId="3" name="solver_typ">3</definedName>
    <definedName name="solver_typ">3</definedName>
    <definedName localSheetId="3" name="solver_val">0.135</definedName>
    <definedName name="solver_val">49</definedName>
    <definedName name="SOTP">[2]Valuation!$BG$151:$BN$208</definedName>
    <definedName name="Spaces">"      "</definedName>
    <definedName name="Spot_Curr_Stock_Price_For_PeriodEnd_EPS">'[2]CUS Image'!$401:$401</definedName>
    <definedName name="ss">{#N/A,#N/A,FALSE,"earnings"}</definedName>
    <definedName name="summarytable">'[2]Preso Summ'!$B$2:$AL$145</definedName>
    <definedName name="Surplus_Cash">'[2]CUS Image'!$178:$178</definedName>
    <definedName name="SuspendRefUpd">FALSE</definedName>
    <definedName name="t">{#N/A,#N/A,FALSE,"earnings"}</definedName>
    <definedName name="Template.WIRE">"DBACCESS"</definedName>
    <definedName name="Template.WIRE.DBAccess.CalcMode">"Async"</definedName>
    <definedName name="Ticker">'[2]Business Analysis'!$B$2</definedName>
    <definedName name="tmp">{#N/A,#N/A,FALSE,"earnings"}</definedName>
    <definedName name="Total_EV">'[2]CUS Image'!$421:$421</definedName>
    <definedName name="ubsvstreet">'[2]UBS v Street'!$C$15:$BJ$29</definedName>
    <definedName name="Unrecognised_Stock_Option_Expenses_Post_Tax">'[2]CUS Image'!$41:$41</definedName>
    <definedName name="Up_Down_Picture">[2]Valuation!$AU$13:$BD$32</definedName>
    <definedName name="updo">[2]Valuation!$AU$29:$BD$34</definedName>
    <definedName name="UPDOWN">[2]Valuation!$AI$35:$AR$51</definedName>
    <definedName name="UPServerSales">[2]MPU!$151:$151</definedName>
    <definedName name="uvs">'[2]UBS v Street'!$C$14:$BL$29</definedName>
    <definedName name="val">[2]Valuation!$B$114:$J$137</definedName>
    <definedName name="valuation">[2]Valuation!$B$80:$J$107</definedName>
    <definedName name="Valuation_INTC">[2]Valuation!$B$114:$O$137</definedName>
    <definedName name="valuevx">42.314159</definedName>
    <definedName name="Version.WIRE">1</definedName>
    <definedName name="VIndex">'[2]Business Analysis'!$58:$58</definedName>
    <definedName name="wqer">{#N/A,#N/A,FALSE,"earnings"}</definedName>
    <definedName name="wrn.allpages.">{#N/A,#N/A,TRUE,"Historicals";#N/A,#N/A,TRUE,"Charts";#N/A,#N/A,TRUE,"Forecasts"}</definedName>
    <definedName name="wrn.annual">{#N/A,#N/A,FALSE,"earnings"}</definedName>
    <definedName localSheetId="4" name="wrn.Annual._.Income._.Statement.">{#N/A,#N/A,FALSE,"earnings"}</definedName>
    <definedName localSheetId="5" name="wrn.Annual._.Income._.Statement.">{#N/A,#N/A,FALSE,"earnings"}</definedName>
    <definedName name="wrn.Annual._.Income._.Statement.">{#N/A,#N/A,FALSE,"earnings"}</definedName>
    <definedName localSheetId="4" name="wrn.Annual._.revenue._.model.">{#N/A,#N/A,FALSE,"earnings"}</definedName>
    <definedName localSheetId="5" name="wrn.Annual._.revenue._.model.">{#N/A,#N/A,FALSE,"earnings"}</definedName>
    <definedName name="wrn.Annual._.revenue._.model.">{#N/A,#N/A,FALSE,"earnings"}</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ternal.">{"External_Annual_Income",#N/A,FALSE,"External";"External_Quarterly_Income",#N/A,FALSE,"External"}</definedName>
    <definedName name="wrn.external.2">{"External_Annual_Income",#N/A,FALSE,"External";"External_Quarterly_Income",#N/A,FALSE,"External"}</definedName>
    <definedName name="wrn.Income._.Statement.">{#N/A,#N/A,FALSE,"Report Print"}</definedName>
    <definedName name="wrn.IPIX.">{#N/A,#N/A,FALSE,"Report Print"}</definedName>
    <definedName name="wrn.Master_Income.">{"Annual_Income",#N/A,FALSE,"Master Model";"Quarterly_Income",#N/A,FALSE,"Master Model"}</definedName>
    <definedName localSheetId="4" name="wrn.Quarterly._.Income._.Statement.">{#N/A,#N/A,FALSE,"earnings"}</definedName>
    <definedName localSheetId="5" name="wrn.Quarterly._.Income._.Statement.">{#N/A,#N/A,FALSE,"earnings"}</definedName>
    <definedName name="wrn.Quarterly._.Income._.Statement.">{#N/A,#N/A,FALSE,"earnings"}</definedName>
    <definedName localSheetId="4" name="wrn.Quarterly._.revenue._.model.">{#N/A,#N/A,FALSE,"earnings"}</definedName>
    <definedName localSheetId="5" name="wrn.Quarterly._.revenue._.model.">{#N/A,#N/A,FALSE,"earnings"}</definedName>
    <definedName name="wrn.Quarterly._.revenue._.model.">{#N/A,#N/A,FALSE,"earnings"}</definedName>
    <definedName name="wrn.rep_page.">{"Annual_Income",#N/A,FALSE,"Report Page";"Balance_Cash_Flow",#N/A,FALSE,"Report Page";"Quarterly_Income",#N/A,FALSE,"Report Page"}</definedName>
    <definedName name="wrn.Report_Page.">{"Annual_Income",#N/A,FALSE,"Report Page";"Balance_Cash_Flow",#N/A,FALSE,"Report Page";"Quarterly_Income",#N/A,FALSE,"Report Page"}</definedName>
    <definedName name="Xbox">[2]MPU!$165:$165</definedName>
    <definedName name="XeonDPUnits">[2]MPU!$44:$44</definedName>
    <definedName name="XeonMPUnits">[2]MPU!$46:$46</definedName>
    <definedName name="XeonUPUnits">[2]MPU!$43:$43</definedName>
    <definedName name="xx">{#N/A,#N/A,FALSE,"earnings"}</definedName>
    <definedName name="xxx">{#N/A,#N/A,FALSE,"earnings"}</definedName>
    <definedName name="y">{#N/A,#N/A,FALSE,"earnings"}</definedName>
    <definedName name="IAGSubOP1">IS!$572:$572</definedName>
    <definedName name="INTCTotalU">IS!$1058:$1058</definedName>
    <definedName name="totalAssets">BS!$34:$34</definedName>
    <definedName name="depAmort">CF!$12:$12</definedName>
    <definedName name="salesInAPAC">IS!$1036:$1036</definedName>
    <definedName name="totalCPUsExXbox">IS!$963:$963</definedName>
    <definedName name="cash">BS!$8:$8</definedName>
    <definedName name="SoftQQ">IS!$546:$546</definedName>
    <definedName name="AMDDTUPct">IS!$1090:$1090</definedName>
    <definedName name="AllOtherOpM">IS!$824:$824</definedName>
    <definedName name="mobileUnitsTotalexAtom">IS!$956:$956</definedName>
    <definedName name="MPUASPs">IS!$1078:$1078</definedName>
    <definedName name="DivIndex">IS!$520:$520</definedName>
    <definedName name="opMargins">IS!$107:$107</definedName>
    <definedName name="AMDNBASP">IS!$1130:$1130</definedName>
    <definedName name="PCClientOP">IS!$727:$727</definedName>
    <definedName name="PCClientYY">IS!$554:$554</definedName>
    <definedName name="AMDNBU">IS!$1109:$1109</definedName>
    <definedName name="MGOpM">IS!$821:$821</definedName>
    <definedName name="DEGPctSales">IS!$768:$768</definedName>
    <definedName name="PCClientMPUSales">IS!$273:$273</definedName>
    <definedName name="purchaseStock">CF!$45:$45</definedName>
    <definedName name="AP">BS!$39:$39</definedName>
    <definedName name="MGPctSales">IS!$772:$772</definedName>
    <definedName name="TotalNBU">IS!$1110:$1110</definedName>
    <definedName name="Headcount">IS!$1202:$1202</definedName>
    <definedName name="XtraOrdPostTax">IS!$61:$61</definedName>
    <definedName name="MGRev">IS!$754:$754</definedName>
    <definedName name="AOG">IS!$857:$857</definedName>
    <definedName name="proFormaNetInc">IS!$51:$51</definedName>
    <definedName name="IAGSubYY">IS!$559:$559</definedName>
    <definedName name="TotalCPURevenuesExXbox">IS!$997:$997</definedName>
    <definedName name="GAAPNI">CF!$7:$7</definedName>
    <definedName name="CLAccrued">BS!$41:$41</definedName>
    <definedName name="AllOtherQQ">IS!$548:$548</definedName>
    <definedName name="inventories">BS!$19:$19</definedName>
    <definedName name="IAGSubOM">IS!$739:$739</definedName>
    <definedName name="CFI">CF!$39:$39</definedName>
    <definedName name="goodwillNCharges">IS!$62:$62</definedName>
    <definedName name="OptionsExpense">IS!$57:$57</definedName>
    <definedName name="XtraOrdPreTax">IS!$59:$59</definedName>
    <definedName name="INTCNBRevShare">IS!$1124:$1124</definedName>
    <definedName name="AMDTotalS">IS!$1070:$1070</definedName>
    <definedName name="IAGMPU">IS!$849:$849</definedName>
    <definedName name="LTLOther">BS!$52:$52</definedName>
    <definedName name="IAGYY">IS!$876:$876</definedName>
    <definedName name="INTCMPUPct">IS!$1188:$1188</definedName>
    <definedName name="IAGOtherQQ">IS!$544:$544</definedName>
    <definedName name="IABG">IS!$852:$852</definedName>
    <definedName name="INTCRevShare">IS!$1074:$1074</definedName>
    <definedName name="INTCNBASP">IS!$1129:$1129</definedName>
    <definedName name="NonGAAPEPSSOE">IS!$72:$72</definedName>
    <definedName name="OIAGSales">IS!$677:$677</definedName>
    <definedName name="IQRHistoricalsforPTAW2">#REF!</definedName>
    <definedName name="CFFX">CF!$50:$50</definedName>
    <definedName name="MobileCommPct">IS!$528:$528</definedName>
    <definedName name="GM">IS!$102:$102</definedName>
    <definedName name="AMDNBUPct">IS!$1115:$1115</definedName>
    <definedName name="AMDTotalU">IS!$1059:$1059</definedName>
    <definedName name="DataCenterMPUSales">IS!$506:$506</definedName>
    <definedName name="WIP">BS!$17:$17</definedName>
    <definedName name="totalCPUs">IS!$960:$960</definedName>
    <definedName name="AMDMPU">IS!$1184:$1184</definedName>
    <definedName name="accumulateDepreciation">BS!$25:$25</definedName>
    <definedName name="IAGOtherYY">IS!$558:$558</definedName>
    <definedName name="DesktopSales">IS!$989:$989</definedName>
    <definedName name="ALTR_Sales">IS!$517:$517</definedName>
    <definedName name="IQRHistoricalsforPTG4">#REF!</definedName>
    <definedName name="desktopUnits">IS!$947:$947</definedName>
    <definedName name="DEGTotalMPURev">IS!$748:$748</definedName>
    <definedName name="FCEPSconsensus">IS!$96:$96</definedName>
    <definedName name="FX">CF!$50:$50</definedName>
    <definedName name="APACYY">IS!$1050:$1050</definedName>
    <definedName name="INTCTotalS">IS!$1069:$1069</definedName>
    <definedName name="salesInJapan">IS!$1037:$1037</definedName>
    <definedName name="DSO">BS!$69:$69</definedName>
    <definedName name="NANDRev">IS!$756:$756</definedName>
    <definedName name="MGA">IS!$32:$32</definedName>
    <definedName name="INTCServerS">IS!$1169:$1169</definedName>
    <definedName name="OtherOP1">IS!$574:$574</definedName>
    <definedName name="AMDTotalUPct">IS!$1065:$1065</definedName>
    <definedName name="TotalServerU">IS!$1160:$1160</definedName>
    <definedName name="CFIOtherAssets">CF!$36:$36</definedName>
    <definedName name="MobileSales">IS!$993:$993</definedName>
    <definedName name="CorporateSales">IS!$518:$518</definedName>
    <definedName name="taxPaid">CF!$63:$63</definedName>
    <definedName name="amortization">CF!$11:$11</definedName>
    <definedName name="netPPE">BS!$26:$26</definedName>
    <definedName name="INTCNBS">IS!$1119:$1119</definedName>
    <definedName name="OtherOpSales">IS!$681:$681</definedName>
    <definedName name="estimatedCPURevenues">IS!$1000:$1000</definedName>
    <definedName name="FGS">BS!$18:$18</definedName>
    <definedName name="MPUSales">IS!$1071:$1071</definedName>
    <definedName name="AtomSales">IS!$670:$670</definedName>
    <definedName name="IAGOtherOP">IS!$729:$729</definedName>
    <definedName name="MGNORRev">IS!$753:$753</definedName>
    <definedName name="IQRHistoricalsforPTE4">#REF!</definedName>
    <definedName name="CFOSOE">CF!$13:$13</definedName>
    <definedName name="RD">IS!$31:$31</definedName>
    <definedName name="AllOtherPct">IS!$535:$535</definedName>
    <definedName name="BVPS">BS!$92:$92</definedName>
    <definedName name="CLTaxesPayable">BS!$46:$46</definedName>
    <definedName name="DEGOpM">IS!$820:$820</definedName>
    <definedName name="INTCASP">IS!$1079:$1079</definedName>
    <definedName name="LTLDefTax">BS!$50:$50</definedName>
    <definedName name="invTurns">BS!$70:$70</definedName>
    <definedName name="opExpenses">IS!$36:$36</definedName>
    <definedName name="othersSales">IS!$856:$856</definedName>
    <definedName name="Dates">IS!$7:$7</definedName>
    <definedName name="AmYY">IS!$1048:$1048</definedName>
    <definedName name="INTCDTUPct">IS!$1089:$1089</definedName>
    <definedName name="INTCDTASP">IS!$1104:$1104</definedName>
    <definedName name="AMDDPU">IS!$1194:$1194</definedName>
    <definedName name="IAGOtherPct">IS!$529:$529</definedName>
    <definedName name="grossPPE">BS!$24:$24</definedName>
    <definedName name="eqJv">IS!$50:$50</definedName>
    <definedName name="DEGEmbeddedRev">IS!$746:$746</definedName>
    <definedName name="MGAPercentage">IS!$105:$105</definedName>
    <definedName name="DataCenterOM">IS!$737:$737</definedName>
    <definedName name="SoftOM">IS!$740:$740</definedName>
    <definedName name="NAND2Pct">IS!$533:$533</definedName>
    <definedName name="Am">IS!$1017:$1017</definedName>
    <definedName name="INTCDTU">IS!$1083:$1083</definedName>
    <definedName name="intInc">IS!$45:$45</definedName>
    <definedName name="RM">BS!$16:$16</definedName>
    <definedName name="CFOOther">CF!$15:$15</definedName>
    <definedName name="IQRHistoricalsforPTAW4">#REF!</definedName>
    <definedName name="EqInvGains">IS!$43:$43</definedName>
    <definedName name="IQRHistoricalsforPTH4">#REF!</definedName>
    <definedName name="CFOLTM">CF!$67:$67</definedName>
    <definedName name="issueStock">CF!$44:$44</definedName>
    <definedName name="LTAOther">BS!$32:$32</definedName>
    <definedName name="AMDDTU">IS!$1084:$1084</definedName>
    <definedName name="SalesModel">IS!$519:$519</definedName>
    <definedName name="Sales">IS!$12:$12</definedName>
    <definedName name="FlashRevenues">IS!$853:$853</definedName>
    <definedName name="MFESales">IS!$513:$513</definedName>
    <definedName name="CFIOther">CF!$38:$38</definedName>
    <definedName name="INTCServerUPct">IS!$1164:$1164</definedName>
    <definedName name="GAAPEPS">IS!$68:$68</definedName>
    <definedName name="taxRate">IS!$110:$110</definedName>
    <definedName name="shOut">IS!$77:$77</definedName>
    <definedName name="STDebt">BS!$37:$37</definedName>
    <definedName name="OptionsExpensePreTax">IS!$56:$56</definedName>
    <definedName name="shOutDiluted">IS!$78:$78</definedName>
    <definedName name="IAGOtherOM">IS!$738:$738</definedName>
    <definedName name="Ja">IS!$1020:$1020</definedName>
    <definedName name="PCClientOtherSales">IS!$504:$504</definedName>
    <definedName name="CFO">CF!$27:$27</definedName>
    <definedName name="amortNimpairments">IS!$33:$33</definedName>
    <definedName name="NonGAAPEPSexSOE">IS!$73:$73</definedName>
    <definedName name="AllOtherOP">IS!$732:$732</definedName>
    <definedName name="INTCServerASP">IS!$1179:$1179</definedName>
    <definedName name="PCGOP1">IS!$567:$567</definedName>
    <definedName name="desktopUnitsTotalexAtom">IS!$950:$950</definedName>
    <definedName name="PCGSales">IS!$673:$673</definedName>
    <definedName name="desktopUnitsTotal">IS!$947:$947</definedName>
    <definedName name="AMDDTASP">IS!$1105:$1105</definedName>
    <definedName name="NANDSales2">IS!$516:$516</definedName>
    <definedName name="AMDDTS">IS!$1095:$1095</definedName>
    <definedName name="IQRHistoricalsforPTD4">#REF!</definedName>
    <definedName name="AllOtherOM">IS!$741:$741</definedName>
    <definedName name="IAGCS">IS!$850:$850</definedName>
    <definedName name="serverUnitsTotal">IS!$944:$944</definedName>
    <definedName name="IAGPct">IS!$530:$530</definedName>
    <definedName name="IAGOtherAPSales">IS!$510:$510</definedName>
    <definedName name="IAGOtherOP1">IS!$571:$571</definedName>
    <definedName name="MobileCommSales">IS!$509:$509</definedName>
    <definedName name="DCGSales">IS!$676:$676</definedName>
    <definedName name="currentLiabilities">BS!$47:$47</definedName>
    <definedName name="JaYY">IS!$1051:$1051</definedName>
    <definedName name="salesInEurope">IS!$1035:$1035</definedName>
    <definedName name="INTCServerRevShare">IS!$1174:$1174</definedName>
    <definedName name="INTCTotalUPct">IS!$1064:$1064</definedName>
    <definedName name="MGOtherRev">IS!$752:$752</definedName>
    <definedName name="INTCServerU">IS!$1158:$1158</definedName>
    <definedName name="currentAssets">BS!$22:$22</definedName>
    <definedName name="cashNInvestments">BS!$10:$10</definedName>
    <definedName name="LTDebt">BS!$53:$53</definedName>
    <definedName name="FlashSales">IS!$854:$854</definedName>
    <definedName name="SBCCOGSPct">IS!$53:$53</definedName>
    <definedName name="APACQQ">IS!$1043:$1043</definedName>
    <definedName name="AR">BS!$14:$14</definedName>
    <definedName localSheetId="3" name="solver_adj">IS!$AF$12</definedName>
    <definedName name="EBT">IS!$46:$46</definedName>
    <definedName name="SoftPct">IS!$532:$532</definedName>
    <definedName name="COGS">IS!$20:$20</definedName>
    <definedName name="DataCenterOP">IS!$728:$728</definedName>
    <definedName name="NIIntAddback">IS!$69:$69</definedName>
    <definedName name="INTCDTS">IS!$1094:$1094</definedName>
    <definedName name="ICGSales">IS!$855:$855</definedName>
    <definedName name="proFormaEPS">IS!$71:$71</definedName>
    <definedName name="CLDefInc">BS!$44:$44</definedName>
    <definedName name="IAGOtherSales">IS!$511:$511</definedName>
    <definedName name="AllOtherRev">IS!$762:$762</definedName>
    <definedName name="CAOther">BS!$21:$21</definedName>
    <definedName name="CashEnding">CF!$54:$54</definedName>
    <definedName name="mobileBlendedASP">IS!$975:$975</definedName>
    <definedName name="FlashRev">IS!$757:$757</definedName>
    <definedName name="DataCenterYY">IS!$557:$557</definedName>
    <definedName name="AMDServerASP">IS!$1180:$1180</definedName>
    <definedName name="blendedASP">IS!$977:$977</definedName>
    <definedName name="DEGRev">IS!$750:$750</definedName>
    <definedName name="CFFLTDebt">CF!$43:$43</definedName>
    <definedName name="QoQ">IS!$118:$118</definedName>
    <definedName name="AllOtherPctSales">IS!$780:$780</definedName>
    <definedName name="Equity">BS!$61:$61</definedName>
    <definedName name="DCGOP1">IS!$568:$568</definedName>
    <definedName name="CFONWC">CF!$17:$17</definedName>
    <definedName name="PCClientPct">IS!$524:$524</definedName>
    <definedName name="dividends">CF!$41:$41</definedName>
    <definedName name="AMDServerU">IS!$1159:$1159</definedName>
    <definedName name="revGrowth">IS!$127:$127</definedName>
    <definedName name="CFIAcq">CF!$34:$34</definedName>
    <definedName name="DEGDTServerRev">IS!$747:$747</definedName>
    <definedName name="EMEA">IS!$1018:$1018</definedName>
    <definedName name="LTAInv">BS!$30:$30</definedName>
    <definedName name="WCCGSales">IS!$853:$853</definedName>
    <definedName name="SoftYY">IS!$560:$560</definedName>
    <definedName name="cashCOGS">IS!$19:$19</definedName>
    <definedName name="PCClientOM">IS!$736:$736</definedName>
    <definedName name="CFOInv">CF!$20:$20</definedName>
    <definedName name="EBIT">IS!$40:$40</definedName>
    <definedName name="OtherSales">IS!$515:$515</definedName>
    <definedName name="CorpSales">IS!$682:$682</definedName>
    <definedName name="APAC">IS!$1019:$1019</definedName>
    <definedName name="AMDMPUPct">IS!$1189:$1189</definedName>
    <definedName name="CFF">CF!$48:$48</definedName>
    <definedName name="IAGSubOP">IS!$730:$730</definedName>
    <definedName name="grossProfit">IS!$22:$22</definedName>
    <definedName name="changeInWC">BS!$80:$80</definedName>
    <definedName name="interestPaid">CF!$62:$62</definedName>
    <definedName name="LTAMktEq">BS!$28:$28</definedName>
    <definedName name="CFFOther">CF!$47:$47</definedName>
    <definedName name="DataCenterOtherSales">IS!$507:$507</definedName>
    <definedName name="AllOtherYY">IS!$562:$562</definedName>
    <definedName name="netWC">BS!$79:$79</definedName>
    <definedName name="AllOtherSales">IS!$518:$518</definedName>
    <definedName name="tax">IS!$48:$48</definedName>
    <definedName name="RDPercentage">IS!$104:$104</definedName>
    <definedName name="AMDASP">IS!$1080:$1080</definedName>
    <definedName name="LTAGoodwill">BS!$31:$31</definedName>
    <definedName name="blendedASPExXbox">IS!$978:$978</definedName>
    <definedName name="desktopBlendedASP">IS!$974:$974</definedName>
    <definedName name="INTCNBU">IS!$1108:$1108</definedName>
    <definedName name="NetInt">IS!$44:$44</definedName>
    <definedName name="EMEAYY">IS!$1049:$1049</definedName>
    <definedName name="INTCDPU">IS!$1193:$1193</definedName>
    <definedName name="AmQQ">IS!$1041:$1041</definedName>
    <definedName name="IAGSubSales">IS!$678:$678</definedName>
    <definedName name="capex">CF!$33:$33</definedName>
    <definedName name="EMEAQQ">IS!$1042:$1042</definedName>
    <definedName name="IAGSales">IS!$512:$512</definedName>
    <definedName name="INTCMPU">IS!$1183:$1183</definedName>
    <definedName name="x86unitshare">IS!$1064:$1064</definedName>
    <definedName name="INTCNBUPct">IS!$1114:$1114</definedName>
    <definedName name="IAGMB">IS!$851:$851</definedName>
    <definedName name="MPUUnits">IS!$1060:$1060</definedName>
    <definedName name="totalLiabilities">BS!$54:$54</definedName>
    <definedName name="AMDNBS">IS!$1120:$1120</definedName>
    <definedName name="SoftSales">IS!$515:$515</definedName>
    <definedName name="salesInAmerica">IS!$1034:$1034</definedName>
    <definedName name="SoftOP">IS!$731:$731</definedName>
    <definedName name="mobileUnitsTotal">IS!$953:$953</definedName>
    <definedName name="TradingAssets">BS!$12:$12</definedName>
    <definedName name="INTCDTRevShare">IS!$1099:$1099</definedName>
    <definedName name="DPS">IS!$75:$75</definedName>
    <definedName name="AMDServerS">IS!$1170:$1170</definedName>
    <definedName name="IQRHistoricalsforPTF4">#REF!</definedName>
    <definedName name="FlashPctSales">IS!$775:$775</definedName>
    <definedName name="MGMPURev">IS!$751:$751</definedName>
    <definedName name="DataCenterSales">IS!$508:$508</definedName>
    <definedName name="ServerSales">IS!$985:$985</definedName>
    <definedName name="changeInCash">CF!$52:$52</definedName>
    <definedName name="CFFSTDebt">CF!$42:$42</definedName>
    <definedName name="depreciation">CF!$10:$10</definedName>
    <definedName name="DEGOtherRev">IS!$749:$749</definedName>
    <definedName name="GoodAmort">IS!$58:$58</definedName>
    <definedName name="JaQQ">IS!$1044:$1044</definedName>
    <definedName name="PCClientQQ">IS!$540:$540</definedName>
    <definedName name="IAGSubQQ">IS!$545:$545</definedName>
    <definedName name="serverBlendedASP">IS!$972:$972</definedName>
    <definedName name="AMDServerUPct">IS!$1165:$1165</definedName>
    <definedName name="GAAPNetInc">IS!$63:$63</definedName>
    <definedName name="GAAPTax">IS!$60:$60</definedName>
    <definedName name="CCC">BS!$73:$73</definedName>
    <definedName name="daysPayable">BS!$72:$72</definedName>
    <definedName name="NORRev">IS!$755:$755</definedName>
    <definedName name="OP">IS!$733:$733</definedName>
    <definedName name="SoftOP1">IS!$573:$573</definedName>
    <definedName name="CFIOtherliab">CF!$37:$37</definedName>
    <definedName name="DataCenterPct">IS!$527:$527</definedName>
    <definedName name="DataCenterQQ">IS!$543:$543</definedName>
    <definedName localSheetId="3" name="solver_opt">IS!$AF$71</definedName>
  </definedNames>
  <calcPr/>
  <extLst>
    <ext uri="GoogleSheetsCustomDataVersion2">
      <go:sheetsCustomData xmlns:go="http://customooxmlschemas.google.com/" r:id="rId15" roundtripDataChecksum="fCoUT2gZXmBwAmt+GxCLmPoSpEv3UYvo1Jpl6HDbrZ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8">
      <text>
        <t xml:space="preserve">======
ID#AAAB10qfXx4
Park, Jason S.    (2026-03-18 17:29:04)
/D&gt;&lt;D xsi:type="xsd:long"&gt;42418&lt;/D&gt;&lt;D xsi:type="xsd:long"&gt;42419&lt;/D&gt;&lt;D xsi:type="xsd:long"&gt;42422&lt;/D&gt;&lt;D xsi:type="xsd:long"&gt;42423&lt;/D&gt;&lt;D xsi:type="xsd:long"&gt;42424&lt;/D&gt;&lt;D xsi:type="xsd:long"&gt;42425&lt;/D&gt;&lt;D xsi:type="xsd:long"&gt;42426&lt;/D&gt;&lt;D xsi:type="xsd:long"&gt;42429&lt;/D&gt;&lt;D xsi:type="xsd:long"&gt;42430&lt;/D&gt;&lt;D xsi:type="xsd:long"&gt;42431&lt;/D&gt;&lt;D xsi:type="xsd:long"&gt;42432&lt;/D&gt;&lt;D xsi:type="xsd:long"&gt;42433&lt;/D&gt;&lt;D xsi:type="xsd:long"&gt;42436&lt;/D&gt;&lt;D xsi:type="xsd:long"&gt;42437&lt;/D&gt;&lt;D xsi:type="xsd:long"&gt;42438&lt;/D&gt;&lt;D xsi:type="xsd:long"&gt;42439&lt;/D&gt;&lt;D xsi:type="xsd:long"&gt;42440&lt;/D&gt;&lt;D xsi:type="xsd:long"&gt;42443&lt;/D&gt;&lt;D xsi:type="xsd:long"&gt;42444&lt;/D&gt;&lt;D xsi:type="xsd:long"&gt;42445&lt;/D&gt;&lt;D xsi:type="xsd:long"&gt;42446&lt;/D&gt;&lt;D xsi:type="xsd:long"&gt;42447&lt;/D&gt;&lt;D xsi:type="xsd:long"&gt;42450&lt;/D&gt;&lt;D xsi:type="xsd:long"&gt;42451&lt;/D&gt;&lt;D xsi:type="xsd:long"&gt;42452&lt;/D&gt;&lt;D xsi:type="xsd:long"&gt;42453&lt;/D&gt;&lt;D xsi:type="xsd:long"&gt;42457&lt;/D&gt;&lt;D xsi:type="xsd:long"&gt;42458&lt;/D&gt;&lt;D xsi:type="xsd:long"&gt;42459&lt;/D&gt;&lt;D xsi:type="xsd:long"&gt;42460&lt;/D&gt;&lt;D xsi:type="xsd:long"&gt;42461&lt;/D&gt;&lt;D xsi:type="xsd:long"&gt;42464&lt;/D&gt;&lt;D xsi:type="xsd:long"&gt;42465&lt;/D&gt;&lt;D xsi:type="xsd:long"&gt;42466&lt;/D&gt;&lt;D xsi:type="xsd:long"&gt;42467&lt;/D&gt;&lt;D xsi:type="xsd:long"&gt;42468&lt;/D&gt;&lt;D xsi:type="xsd:long"&gt;42471&lt;/D&gt;&lt;D xsi:type="xsd:long"&gt;42472&lt;/D&gt;&lt;D xsi:type="xsd:long"&gt;42473&lt;/D&gt;&lt;D xsi:type="xsd:long"&gt;42474&lt;/D&gt;&lt;D xsi:type="xsd:long"&gt;42475&lt;/D&gt;&lt;D xsi:type="xsd:long"&gt;42478&lt;/D&gt;&lt;D xsi:type="xsd:long"&gt;42479&lt;/D&gt;&lt;D xsi:type="xsd:long"&gt;42480&lt;/D&gt;&lt;D xsi:type="xsd:long"&gt;42481&lt;/D&gt;&lt;D xsi:type="xsd:long"&gt;42482&lt;/D&gt;&lt;D xsi:type="xsd:long"&gt;42485&lt;/D&gt;&lt;D xsi:type="xsd:long"&gt;42486&lt;/D&gt;&lt;D xsi:type="xsd:long"&gt;42487&lt;/D&gt;&lt;D xsi:type="xsd:long"&gt;42488&lt;/D&gt;&lt;D xsi:type="xsd:long"&gt;42489&lt;/D&gt;&lt;D xsi:type="xsd:long"&gt;42492&lt;/D&gt;&lt;D xsi:type="xsd:long"&gt;42493&lt;/D&gt;&lt;D xsi:type="xsd:long"&gt;42494&lt;/D&gt;&lt;D xsi:type="xsd:long"&gt;42495&lt;/D&gt;&lt;D xsi:type="xsd:long"&gt;42496&lt;/D&gt;&lt;D xsi:type="xsd:long"&gt;42499&lt;/D&gt;&lt;D xsi:type="xsd:long"&gt;42500&lt;/D&gt;&lt;D xsi:type="xsd:long"&gt;42501&lt;/D&gt;&lt;D xsi:type="xsd:long"&gt;42502&lt;/D&gt;&lt;D xsi:type="xsd:long"&gt;42503&lt;/D&gt;&lt;D xsi:type="xsd:long"&gt;42506&lt;/D&gt;&lt;D xsi:type="xsd:long"&gt;42507&lt;/D&gt;&lt;D xsi:type="xsd:long"&gt;42508&lt;/D&gt;&lt;D xsi:type="xsd:long"&gt;42509&lt;/D&gt;&lt;D xsi:type="xsd:long"&gt;42510&lt;/D&gt;&lt;D xsi:type="xsd:long"&gt;42513&lt;/D&gt;&lt;D xsi:type="xsd:long"&gt;42514&lt;/D&gt;&lt;D xsi:type="xsd:long"&gt;42515&lt;/D&gt;&lt;D xsi:type="xsd:long"&gt;42516&lt;/D&gt;&lt;D xsi:type="xsd:long"&gt;42517&lt;/D&gt;&lt;D xsi:type="xsd:long"&gt;42521&lt;/D&gt;&lt;D xsi:type="xsd:long"&gt;42522&lt;/D&gt;&lt;D xsi:type="xsd:long"&gt;42523&lt;/D&gt;&lt;D xsi:type="xsd:long"&gt;42524&lt;/D&gt;&lt;D xsi:type="xsd:long"&gt;42527&lt;/D&gt;&lt;D xsi:type="xsd:long"&gt;42528&lt;/D&gt;&lt;D xsi:type="xsd:long"&gt;42529&lt;/D&gt;&lt;D xsi:type="xsd:long"&gt;42530&lt;/D&gt;&lt;D xsi:type="xsd:long"&gt;42531&lt;/D&gt;&lt;D xsi:type="xsd:long"&gt;42534&lt;/D&gt;&lt;D xsi:type="xsd:long"&gt;42535&lt;/D&gt;&lt;D xsi:type="xsd:long"&gt;42536&lt;/D&gt;&lt;D xsi:type="xsd:long"&gt;42537&lt;/D&gt;&lt;D xsi:type="xsd:long"&gt;42538&lt;/D&gt;&lt;D xsi:type="xsd:long"&gt;42541&lt;/D&gt;&lt;D xsi:type="xsd:long"&gt;42542&lt;/D&gt;&lt;D xsi:type="xsd:long"&gt;42543&lt;/D&gt;&lt;D xsi:type="xsd:long"&gt;42544&lt;/D&gt;&lt;D xsi:type="xsd:long"&gt;42545&lt;/D&gt;&lt;D xsi:type="xsd:long"&gt;42548&lt;/D&gt;&lt;D xsi:type="xsd:long"&gt;42549&lt;/D&gt;&lt;D xsi:type="xsd:long"&gt;42550&lt;/D&gt;&lt;D xsi:type="xsd:long"&gt;42551&lt;/D&gt;&lt;D xsi:type="xsd:long"&gt;42552&lt;/D&gt;&lt;D xsi:type="xsd:long"&gt;42556&lt;/D&gt;&lt;D xsi:type="xsd:long"&gt;42557&lt;/D&gt;&lt;D xsi:type="xsd:long"&gt;42558&lt;/D&gt;&lt;D xsi:type="xsd:long"&gt;42559&lt;/D&gt;&lt;D xsi:type="xsd:long"&gt;42562&lt;/D&gt;&lt;D xsi:type="xsd:long"&gt;42563&lt;/D&gt;&lt;D xsi:type="xsd:long"&gt;42564&lt;/D&gt;&lt;D xsi:type="xsd:long"&gt;42565&lt;/D&gt;&lt;D xsi:type="xsd:long"&gt;42566&lt;/D&gt;&lt;D xsi:type="xsd:long"&gt;42569&lt;/D&gt;&lt;D xsi:type="xsd:long"&gt;42570&lt;/D&gt;&lt;D xsi:type="xsd:long"&gt;42571&lt;/D&gt;&lt;D xsi:type="xsd:long"&gt;42572&lt;/D&gt;&lt;D xsi:type="xsd:long"&gt;42573&lt;/D&gt;&lt;D xsi:type="xsd:long"&gt;42576&lt;/D&gt;&lt;D xsi:type="xsd:long"&gt;42577&lt;/D&gt;&lt;D xsi:type="xsd:long"&gt;42578&lt;/D&gt;&lt;D xsi:type="xsd:long"&gt;42579&lt;/D&gt;&lt;D xsi:type="xsd:long"&gt;42580&lt;/D&gt;&lt;D xsi:type="xsd:long"&gt;42583&lt;/D&gt;&lt;D xsi:type="xsd:long"&gt;42584&lt;/D&gt;&lt;D xsi:type="xsd:long"&gt;42585&lt;/D&gt;&lt;D xsi:type="xsd:long"&gt;42586&lt;/D&gt;&lt;D xsi:type="xsd:long"&gt;42587&lt;/D&gt;&lt;D xsi:type="xsd:long"&gt;42590&lt;/D&gt;&lt;D xsi:type="xsd:long"&gt;42591&lt;/D&gt;&lt;D xsi:type="xsd:long"&gt;42592&lt;/D&gt;&lt;D xsi:type="xsd:long"&gt;42593&lt;/D&gt;&lt;D xsi:type="xsd:long"&gt;42594&lt;/D&gt;&lt;D xsi:type="xsd:long"&gt;42597&lt;/D&gt;&lt;D xsi:type="xsd:long"&gt;42598&lt;/D&gt;&lt;D xsi:type="xsd:long"&gt;42599&lt;/D&gt;&lt;D xsi:type="xsd:long"&gt;42600&lt;</t>
      </text>
    </comment>
    <comment authorId="0" ref="A29">
      <text>
        <t xml:space="preserve">======
ID#AAAB10qfXx0
Park, Jason S.    (2026-03-18 17:29:03)
="xsd:long"&gt;41995&lt;/D&gt;&lt;D xsi:type="xsd:long"&gt;41996&lt;/D&gt;&lt;D xsi:type="xsd:long"&gt;41997&lt;/D&gt;&lt;D xsi:type="xsd:long"&gt;41999&lt;/D&gt;&lt;D xsi:type="xsd:long"&gt;42002&lt;/D&gt;&lt;D xsi:type="xsd:long"&gt;42003&lt;/D&gt;&lt;D xsi:type="xsd:long"&gt;42004&lt;/D&gt;&lt;D xsi:type="xsd:long"&gt;42006&lt;/D&gt;&lt;D xsi:type="xsd:long"&gt;42009&lt;/D&gt;&lt;D xsi:type="xsd:long"&gt;42010&lt;/D&gt;&lt;D xsi:type="xsd:long"&gt;42011&lt;/D&gt;&lt;D xsi:type="xsd:long"&gt;42012&lt;/D&gt;&lt;D xsi:type="xsd:long"&gt;42013&lt;/D&gt;&lt;D xsi:type="xsd:long"&gt;42016&lt;/D&gt;&lt;D xsi:type="xsd:long"&gt;42017&lt;/D&gt;&lt;D xsi:type="xsd:long"&gt;42018&lt;/D&gt;&lt;D xsi:type="xsd:long"&gt;42019&lt;/D&gt;&lt;D xsi:type="xsd:long"&gt;42020&lt;/D&gt;&lt;D xsi:type="xsd:long"&gt;42024&lt;/D&gt;&lt;D xsi:type="xsd:long"&gt;42025&lt;/D&gt;&lt;D xsi:type="xsd:long"&gt;42026&lt;/D&gt;&lt;D xsi:type="xsd:long"&gt;42027&lt;/D&gt;&lt;D xsi:type="xsd:long"&gt;42030&lt;/D&gt;&lt;D xsi:type="xsd:long"&gt;42031&lt;/D&gt;&lt;D xsi:type="xsd:long"&gt;42032&lt;/D&gt;&lt;D xsi:type="xsd:long"&gt;42033&lt;/D&gt;&lt;D xsi:type="xsd:long"&gt;42034&lt;/D&gt;&lt;D xsi:type="xsd:long"&gt;42037&lt;/D&gt;&lt;D xsi:type="xsd:long"&gt;42038&lt;/D&gt;&lt;D xsi:type="xsd:long"&gt;42039&lt;/D&gt;&lt;D xsi:type="xsd:long"&gt;42040&lt;/D&gt;&lt;D xsi:type="xsd:long"&gt;42041&lt;/D&gt;&lt;D xsi:type="xsd:long"&gt;42044&lt;/D&gt;&lt;D xsi:type="xsd:long"&gt;42045&lt;/D&gt;&lt;D xsi:type="xsd:long"&gt;42046&lt;/D&gt;&lt;D xsi:type="xsd:long"&gt;42047&lt;/D&gt;&lt;D xsi:type="xsd:long"&gt;42048&lt;/D&gt;&lt;D xsi:type="xsd:long"&gt;42052&lt;/D&gt;&lt;D xsi:type="xsd:long"&gt;42053&lt;/D&gt;&lt;D xsi:type="xsd:long"&gt;42054&lt;/D&gt;&lt;D xsi:type="xsd:long"&gt;42055&lt;/D&gt;&lt;D xsi:type="xsd:long"&gt;42058&lt;/D&gt;&lt;D xsi:type="xsd:long"&gt;42059&lt;/D&gt;&lt;D xsi:type="xsd:long"&gt;42060&lt;/D&gt;&lt;D xsi:type="xsd:long"&gt;42061&lt;/D&gt;&lt;D xsi:type="xsd:long"&gt;42062&lt;/D&gt;&lt;D xsi:type="xsd:long"&gt;42065&lt;/D&gt;&lt;D xsi:type="xsd:long"&gt;42066&lt;/D&gt;&lt;D xsi:type="xsd:long"&gt;42067&lt;/D&gt;&lt;D xsi:type="xsd:long"&gt;42068&lt;/D&gt;&lt;D xsi:type="xsd:long"&gt;42069&lt;/D&gt;&lt;D xsi:type="xsd:long"&gt;42072&lt;/D&gt;&lt;D xsi:type="xsd:long"&gt;42073&lt;/D&gt;&lt;D xsi:type="xsd:long"&gt;42074&lt;/D&gt;&lt;D xsi:type="xsd:long"&gt;42075&lt;/D&gt;&lt;D xsi:type="xsd:long"&gt;42076&lt;/D&gt;&lt;D xsi:type="xsd:long"&gt;42079&lt;/D&gt;&lt;D xsi:type="xsd:long"&gt;42080&lt;/D&gt;&lt;D xsi:type="xsd:long"&gt;42081&lt;/D&gt;&lt;D xsi:type="xsd:long"&gt;42082&lt;/D&gt;&lt;D xsi:type="xsd:long"&gt;42083&lt;/D&gt;&lt;D xsi:type="xsd:long"&gt;42086&lt;/D&gt;&lt;D xsi:type="xsd:long"&gt;42087&lt;/D&gt;&lt;D xsi:type="xsd:long"&gt;42088&lt;/D&gt;&lt;D xsi:type="xsd:long"&gt;42089&lt;/D&gt;&lt;D xsi:type="xsd:long"&gt;42090&lt;/D&gt;&lt;D xsi:type="xsd:long"&gt;42093&lt;/D&gt;&lt;D xsi:type="xsd:long"&gt;42094&lt;/D&gt;&lt;D xsi:type="xsd:long"&gt;42095&lt;/D&gt;&lt;D xsi:type="xsd:long"&gt;42096&lt;/D&gt;&lt;D xsi:type="xsd:long"&gt;42100&lt;/D&gt;&lt;D xsi:type="xsd:long"&gt;42101&lt;/D&gt;&lt;D xsi:type="xsd:long"&gt;42102&lt;/D&gt;&lt;D xsi:type="xsd:long"&gt;42103&lt;/D&gt;&lt;D xsi:type="xsd:long"&gt;42104&lt;/D&gt;&lt;D xsi:type="xsd:long"&gt;42107&lt;/D&gt;&lt;D xsi:type="xsd:long"&gt;42108&lt;/D&gt;&lt;D xsi:type="xsd:long"&gt;42109&lt;/D&gt;&lt;D xsi:type="xsd:long"&gt;42110&lt;/D&gt;&lt;D xsi:type="xsd:long"&gt;42111&lt;/D&gt;&lt;D xsi:type="xsd:long"&gt;42114&lt;/D&gt;&lt;D xsi:type="xsd:long"&gt;42115&lt;/D&gt;&lt;D xsi:type="xsd:long"&gt;42116&lt;/D&gt;&lt;D xsi:type="xsd:long"&gt;42117&lt;/D&gt;&lt;D xsi:type="xsd:long"&gt;42118&lt;/D&gt;&lt;D xsi:type="xsd:long"&gt;42121&lt;/D&gt;&lt;D xsi:type="xsd:long"&gt;42122&lt;/D&gt;&lt;D xsi:type="xsd:long"&gt;42123&lt;/D&gt;&lt;D xsi:type="xsd:long"&gt;42124&lt;/D&gt;&lt;D xsi:type="xsd:long"&gt;42125&lt;/D&gt;&lt;D xsi:type="xsd:long"&gt;42128&lt;/D&gt;&lt;D xsi:type="xsd:long"&gt;42129&lt;/D&gt;&lt;D xsi:type="xsd:long"&gt;42130&lt;/D&gt;&lt;D xsi:type="xsd:long"&gt;42131&lt;/D&gt;&lt;D xsi:type="xsd:long"&gt;42132&lt;/D&gt;&lt;D xsi:type="xsd:long"&gt;42135&lt;/D&gt;&lt;D xsi:type="xsd:long"&gt;42136&lt;/D&gt;&lt;D xsi:type="xsd:long"&gt;42137&lt;/D&gt;&lt;D xsi:type="xsd:long"&gt;42138&lt;/D&gt;&lt;D xsi:type="xsd:long"&gt;42139&lt;/D&gt;&lt;D xsi:type="xsd:long"&gt;42142&lt;/D&gt;&lt;D xsi:type="xsd:long"&gt;42143&lt;/D&gt;&lt;D xsi:type="xsd:long"&gt;42144&lt;/D&gt;&lt;D xsi:type="xsd:long"&gt;42145&lt;/D&gt;&lt;D xsi:type="xsd:long"&gt;42146&lt;/D&gt;&lt;D xsi:type="xsd:long"&gt;42150&lt;/D&gt;&lt;D xsi:type="xsd:long"&gt;42151&lt;/D&gt;&lt;D xsi:type="xsd:long"&gt;42152&lt;/D&gt;&lt;D xsi:type="xsd:long"&gt;42153&lt;/D&gt;&lt;D xsi:type="xsd:long"&gt;42156&lt;/D&gt;&lt;D xsi:type="xsd:long"&gt;42157&lt;/D&gt;&lt;D xsi:type="xsd:long"&gt;42158&lt;/D&gt;&lt;D xsi:type="xsd:long"&gt;42159&lt;/D&gt;&lt;D xsi:type="xsd:long"&gt;42160&lt;/D&gt;&lt;D xsi:type="xsd:long"&gt;42163&lt;/D&gt;&lt;D xsi:type="xsd:long"&gt;42164&lt;/D&gt;&lt;D xsi:type="xsd:long"&gt;42165&lt;/D&gt;&lt;D xsi:type="xsd:long"&gt;42166&lt;/D&gt;&lt;D xsi:type="xsd:long"&gt;42167&lt;/D&gt;&lt;D xsi:type="xsd:long"&gt;42170&lt;/D&gt;&lt;D xsi:type="xsd:long"&gt;42171&lt;/D&gt;&lt;D xsi:type="xsd:long"&gt;42172&lt;/D&gt;&lt;D xsi:type="xsd:long"&gt;42173&lt;/D&gt;&lt;D xsi:type="xsd:long"&gt;42174&lt;/D&gt;&lt;D xsi:type="xsd:long"&gt;42177&lt;/D&gt;&lt;D xsi:type="xsd:long"&gt;42178&lt;/D&gt;&lt;D xsi:type="xsd:long"&gt;42179&lt;/D&gt;&lt;D xsi:type="xsd:long"&gt;42180&lt;/D&gt;&lt;D xsi:type</t>
      </text>
    </comment>
    <comment authorId="0" ref="A49">
      <text>
        <t xml:space="preserve">======
ID#AAAB10qfXxw
Park, Jason S.    (2026-03-18 17:29:03)
le"&gt;30.91&lt;/D&gt;&lt;D xsi:type="xsd:double"&gt;30.86&lt;/D&gt;&lt;D xsi:type="xsd:double"&gt;30.24&lt;/D&gt;&lt;D xsi:type="xsd:double"&gt;30.26&lt;/D&gt;&lt;D xsi:type="xsd:double"&gt;30.17&lt;/D&gt;&lt;D xsi:type="xsd:double"&gt;30.9&lt;/D&gt;&lt;D xsi:type="xsd:double"&gt;30.57&lt;/D&gt;&lt;D xsi:type="xsd:double"&gt;30.42&lt;/D&gt;&lt;D xsi:type="xsd:double"&gt;31.11&lt;/D&gt;&lt;D xsi:type="xsd:double"&gt;31.08&lt;/D&gt;&lt;D xsi:type="xsd:double"&gt;31.36&lt;/D&gt;&lt;D xsi:type="xsd:double"&gt;32.15&lt;/D&gt;&lt;D xsi:type="xsd:double"&gt;32.04&lt;/D&gt;&lt;D xsi:type="xsd:double"&gt;32.05&lt;/D&gt;&lt;D xsi:type="xsd:double"&gt;32.16&lt;/D&gt;&lt;D xsi:type="xsd:double"&gt;32.91&lt;/D&gt;&lt;D xsi:type="xsd:double"&gt;32.9&lt;/D&gt;&lt;D xsi:type="xsd:double"&gt;33.99&lt;/D&gt;&lt;D xsi:type="xsd:double"&gt;34.24&lt;/D&gt;&lt;D xsi:type="xsd:double"&gt;33.97&lt;/D&gt;&lt;D xsi:type="xsd:double"&gt;34.15&lt;/D&gt;&lt;D xsi:type="xsd:double"&gt;33.59&lt;/D&gt;&lt;D xsi:type="xsd:double"&gt;33.39&lt;/D&gt;&lt;D xsi:type="xsd:double"&gt;33.06&lt;/D&gt;&lt;D xsi:type="xsd:double"&gt;32.89&lt;/D&gt;&lt;D xsi:type="xsd:double"&gt;32.61&lt;/D&gt;&lt;D xsi:type="xsd:double"&gt;32.2&lt;/D&gt;&lt;D xsi:type="xsd:double"&gt;31.63&lt;/D&gt;&lt;D xsi:type="xsd:double"&gt;31.75&lt;/D&gt;&lt;D xsi:type="xsd:double"&gt;32.43&lt;/D&gt;&lt;D xsi:type="xsd:double"&gt;31.63&lt;/D&gt;&lt;D xsi:type="xsd:double"&gt;31.38&lt;/D&gt;&lt;D xsi:type="xsd:double"&gt;30.89&lt;/D&gt;&lt;D xsi:type="xsd:double"&gt;30.52&lt;/D&gt;&lt;D xsi:type="xsd:double"&gt;30.32&lt;/D&gt;&lt;D xsi:type="xsd:double"&gt;31.4&lt;/D&gt;&lt;D xsi:type="xsd:double"&gt;30.02&lt;/D&gt;&lt;D xsi:type="xsd:double"&gt;29.92&lt;/D&gt;&lt;D xsi:type="xsd:double"&gt;30.88&lt;/D&gt;&lt;D xsi:type="xsd:double"&gt;30.57&lt;/D&gt;&lt;D xsi:type="xsd:double"&gt;30.54&lt;/D&gt;&lt;D xsi:type="xsd:double"&gt;30.99&lt;/D&gt;&lt;D xsi:type="xsd:double"&gt;30.74&lt;/D&gt;&lt;D xsi:type="xsd:double"&gt;30.14&lt;/D&gt;&lt;D xsi:type="xsd:double"&gt;30.81&lt;/D&gt;&lt;D xsi:type="xsd:double"&gt;30.6&lt;/D&gt;&lt;D xsi:type="xsd:double"&gt;29.89&lt;/D&gt;&lt;D xsi:type="xsd:double"&gt;30&lt;/D&gt;&lt;D xsi:type="xsd:double"&gt;29&lt;/D&gt;&lt;D xsi:type="xsd:double"&gt;29.2&lt;/D&gt;&lt;D xsi:type="xsd:double"&gt;29.62&lt;/D&gt;&lt;D xsi:type="xsd:double"&gt;29.5&lt;/D&gt;&lt;D xsi:type="xsd:double"&gt;29.2&lt;/D&gt;&lt;D xsi:type="xsd:double"&gt;29.69&lt;/D&gt;&lt;D xsi:type="xsd:double"&gt;29.6&lt;/D&gt;&lt;D xsi:type="xsd:double"&gt;29.04&lt;/D&gt;&lt;D xsi:type="xsd:double"&gt;29.65&lt;/D&gt;&lt;D xsi:type="xsd:double"&gt;28.95&lt;/D&gt;&lt;D xsi:type="xsd:double"&gt;27.7&lt;/D&gt;&lt;D xsi:type="xsd:double"&gt;27.98&lt;/D&gt;&lt;D xsi:type="xsd:double"&gt;27.31&lt;/D&gt;&lt;D xsi:type="xsd:double"&gt;27.08&lt;/D&gt;&lt;D xsi:type="xsd:double"&gt;27.69&lt;/D&gt;&lt;D xsi:type="xsd:double"&gt;27.1&lt;/D&gt;&lt;D xsi:type="xsd:double"&gt;27.16&lt;/D&gt;&lt;D xsi:type="xsd:double"&gt;27.79&lt;/D&gt;&lt;D xsi:type="xsd:double"&gt;27.2&lt;/D&gt;&lt;D xsi:type="xsd:double"&gt;26.49&lt;/D&gt;&lt;D xsi:type="xsd:double"&gt;26.23&lt;/D&gt;&lt;D xsi:type="xsd:double"&gt;26.16&lt;/D&gt;&lt;D xsi:type="xsd:double"&gt;26.53&lt;/D&gt;&lt;D xsi:type="xsd:double"&gt;27.79&lt;/D&gt;&lt;D xsi:type="xsd:double"&gt;27.38&lt;/D&gt;&lt;D xsi:type="xsd:double"&gt;27.69&lt;/D&gt;&lt;D xsi:type="xsd:double"&gt;27.43&lt;/D&gt;&lt;D xsi:type="xsd:double"&gt;27.2&lt;/D&gt;&lt;D xsi:type="xsd:double"&gt;27.38&lt;/D&gt;&lt;D xsi:type="xsd:double"&gt;28.12&lt;/D&gt;&lt;D xsi:type="xsd:double"&gt;28.55&lt;/D&gt;&lt;D xsi:type="xsd:double"&gt;28.27&lt;/D&gt;&lt;D xsi:type="xsd:double"&gt;27.62&lt;/D&gt;&lt;D xsi:type="xsd:double"&gt;27.37&lt;/D&gt;&lt;D xsi:type="xsd:double"&gt;27.6&lt;/D&gt;&lt;D xsi:type="xsd:double"&gt;27.67&lt;/D&gt;&lt;D xsi:type="xsd:double"&gt;27.37&lt;/D&gt;&lt;D xsi:type="xsd:double"&gt;26.66&lt;/D&gt;&lt;D xsi:type="xsd:double"&gt;26.45&lt;/D&gt;&lt;D xsi:type="xsd:double"&gt;26.68&lt;/D&gt;&lt;D xsi:type="xsd:double"&gt;26.07&lt;/D&gt;&lt;D xsi:type="xsd:double"&gt;26.2745&lt;/D&gt;&lt;D xsi:type="xsd:double"&gt;26.52&lt;/D&gt;&lt;D xsi:type="xsd:double"&gt;27.53&lt;/D&gt;&lt;D xsi:type="xsd:double"&gt;27.15&lt;/D&gt;&lt;D xsi:type="xsd:double"&gt;26.88&lt;/D&gt;&lt;D xsi:type="xsd:double"&gt;26.35&lt;/D&gt;&lt;D xsi:type="xsd:double"&gt;26.13&lt;/D&gt;&lt;D xsi:type="xsd:double"&gt;25.73&lt;/D&gt;&lt;D xsi:type="xsd:double"&gt;26.04&lt;/D&gt;&lt;D xsi:type="xsd:double"&gt;26.28&lt;/D&gt;&lt;D xsi:type="xsd:double"&gt;26.2&lt;/D&gt;&lt;D xsi:type="xsd:double"&gt;25.98&lt;/D&gt;&lt;D xsi:type="xsd:double"&gt;26.47&lt;/D&gt;&lt;D xsi:type="xsd:double"&gt;26.55&lt;/D&gt;&lt;D xsi:type="xsd:double"&gt;27.77&lt;/D&gt;&lt;D xsi:type="xsd:double"&gt;27.57&lt;/D&gt;&lt;D xsi:type="xsd:double"&gt;27.44&lt;/D&gt;&lt;D xsi:type="xsd:double"&gt;27.04&lt;/D&gt;&lt;D xsi:type="xsd:double"&gt;26.84&lt;/D&gt;&lt;D xsi:type="xsd:double"&gt;27.15&lt;/D&gt;&lt;D xsi:type="xsd:double"&gt;27.11&lt;/D&gt;&lt;D xsi:type="xsd:double"&gt;27.41&lt;/D&gt;&lt;D xsi:type="xsd:double"&gt;27.55&lt;/D&gt;&lt;D xsi:type="xsd:double"&gt;27.74&lt;/D&gt;&lt;D xsi:type="xsd:double"&gt;28.1&lt;/D&gt;&lt;D xsi:type="xsd:double"&gt;28.37&lt;/D&gt;&lt;D xsi:type="xsd:double"&gt;28.45&lt;/D&gt;&lt;D xsi:type="xsd:double"&gt;28.55&lt;/D&gt;&lt;D xsi:type="xsd:double"&gt;28.33&lt;/D&gt;&lt;D xsi:type="xsd:double"&gt;28.01&lt;/D&gt;&lt;D xsi:type="xsd:double"&gt;27.41&lt;/D&gt;&lt;D xsi:type="xsd:double"&gt;28.14&lt;/D&gt;&lt;D xsi:type="xsd:double</t>
      </text>
    </comment>
    <comment authorId="0" ref="A44">
      <text>
        <t xml:space="preserve">======
ID#AAAB10qfXxs
Park, Jason S.    (2026-03-18 17:29:03)
.48&lt;/D&gt;&lt;D xsi:type="xsd:double"&gt;19.12&lt;/D&gt;&lt;D xsi:type="xsd:double"&gt;19.23&lt;/D&gt;&lt;D xsi:type="xsd:double"&gt;19.14&lt;/D&gt;&lt;D xsi:type="xsd:double"&gt;19.15&lt;/D&gt;&lt;D xsi:type="xsd:double"&gt;19.11&lt;/D&gt;&lt;D xsi:type="xsd:double"&gt;18.99&lt;/D&gt;&lt;D xsi:type="xsd:double"&gt;19.34&lt;/D&gt;&lt;D xsi:type="xsd:double"&gt;19.16&lt;/D&gt;&lt;D xsi:type="xsd:double"&gt;19.27&lt;/D&gt;&lt;D xsi:type="xsd:double"&gt;19.29&lt;/D&gt;&lt;D xsi:type="xsd:double"&gt;19.06&lt;/D&gt;&lt;D xsi:type="xsd:double"&gt;18.86&lt;/D&gt;&lt;D xsi:type="xsd:double"&gt;19.09&lt;/D&gt;&lt;D xsi:type="xsd:double"&gt;19.13&lt;/D&gt;&lt;D xsi:type="xsd:double"&gt;19.13&lt;/D&gt;&lt;D xsi:type="xsd:double"&gt;19.31&lt;/D&gt;&lt;D xsi:type="xsd:double"&gt;19.38&lt;/D&gt;&lt;D xsi:type="xsd:double"&gt;19.58&lt;/D&gt;&lt;D xsi:type="xsd:double"&gt;20.1&lt;/D&gt;&lt;D xsi:type="xsd:double"&gt;20.68&lt;/D&gt;&lt;D xsi:type="xsd:double"&gt;20.47&lt;/D&gt;&lt;D xsi:type="xsd:double"&gt;20.5&lt;/D&gt;&lt;D xsi:type="xsd:double"&gt;20.46&lt;/D&gt;&lt;D xsi:type="xsd:double"&gt;20.69&lt;/D&gt;&lt;D xsi:type="xsd:double"&gt;20.98&lt;/D&gt;&lt;D xsi:type="xsd:double"&gt;21.35&lt;/D&gt;&lt;D xsi:type="xsd:double"&gt;21.81&lt;/D&gt;&lt;D xsi:type="xsd:double"&gt;22.16&lt;/D&gt;&lt;D xsi:type="xsd:double"&gt;21.91&lt;/D&gt;&lt;D xsi:type="xsd:double"&gt;21.94&lt;/D&gt;&lt;D xsi:type="xsd:double"&gt;22.258&lt;/D&gt;&lt;D xsi:type="xsd:double"&gt;22.09&lt;/D&gt;&lt;D xsi:type="xsd:double"&gt;21.87&lt;/D&gt;&lt;D xsi:type="xsd:double"&gt;21.5&lt;/D&gt;&lt;D xsi:type="xsd:double"&gt;21.8&lt;/D&gt;&lt;D xsi:type="xsd:double"&gt;21.93&lt;/D&gt;&lt;D xsi:type="xsd:double"&gt;21.74&lt;/D&gt;&lt;D xsi:type="xsd:double"&gt;21.9&lt;/D&gt;&lt;D xsi:type="xsd:double"&gt;21.96&lt;/D&gt;&lt;D xsi:type="xsd:double"&gt;22.15&lt;/D&gt;&lt;D xsi:type="xsd:double"&gt;22.47&lt;/D&gt;&lt;D xsi:type="xsd:double"&gt;22.21&lt;/D&gt;&lt;D xsi:type="xsd:double"&gt;22.28&lt;/D&gt;&lt;D xsi:type="xsd:double"&gt;22.12&lt;/D&gt;&lt;D xsi:type="xsd:double"&gt;22.01&lt;/D&gt;&lt;D xsi:type="xsd:double"&gt;22.18&lt;/D&gt;&lt;D xsi:type="xsd:double"&gt;22.23&lt;/D&gt;&lt;D xsi:type="xsd:double"&gt;22.7&lt;/D&gt;&lt;D xsi:type="xsd:double"&gt;22.63&lt;/D&gt;&lt;D xsi:type="xsd:double"&gt;22.99&lt;/D&gt;&lt;D xsi:type="xsd:double"&gt;22.67&lt;/D&gt;&lt;D xsi:type="xsd:double"&gt;21.97&lt;/D&gt;&lt;D xsi:type="xsd:double"&gt;22.16&lt;/D&gt;&lt;D xsi:type="xsd:double"&gt;22.3&lt;/D&gt;&lt;D xsi:type="xsd:double"&gt;22.08&lt;/D&gt;&lt;D xsi:type="xsd:double"&gt;22.1799&lt;/D&gt;&lt;D xsi:type="xsd:double"&gt;22.36&lt;/D&gt;&lt;D xsi:type="xsd:double"&gt;22.16&lt;/D&gt;&lt;D xsi:type="xsd:double"&gt;21.96&lt;/D&gt;&lt;D xsi:type="xsd:double"&gt;21.49&lt;/D&gt;&lt;D xsi:type="xsd:double"&gt;21.31&lt;/D&gt;&lt;D xsi:type="xsd:double"&gt;21.83&lt;/D&gt;&lt;D xsi:type="xsd:double"&gt;21.93&lt;/D&gt;&lt;D xsi:type="xsd:double"&gt;22.2&lt;/D&gt;&lt;D xsi:type="xsd:double"&gt;22.672&lt;/D&gt;&lt;D xsi:type="xsd:double"&gt;23.23&lt;/D&gt;&lt;D xsi:type="xsd:double"&gt;24.24&lt;/D&gt;&lt;D xsi:type="xsd:double"&gt;24.17&lt;/D&gt;&lt;D xsi:type="xsd:double"&gt;24.1&lt;/D&gt;&lt;D xsi:type="xsd:double"&gt;23.94&lt;/D&gt;&lt;D xsi:type="xsd:double"&gt;24.29&lt;/D&gt;&lt;D xsi:type="xsd:double"&gt;23.7&lt;/D&gt;&lt;D xsi:type="xsd:double"&gt;23.48&lt;/D&gt;&lt;D xsi:type="xsd:double"&gt;23.38&lt;/D&gt;&lt;D xsi:type="xsd:double"&gt;23.79&lt;/D&gt;&lt;D xsi:type="xsd:double"&gt;23.92&lt;/D&gt;&lt;D xsi:type="xsd:double"&gt;23.7399&lt;/D&gt;&lt;D xsi:type="xsd:double"&gt;24.27&lt;/D&gt;&lt;D xsi:type="xsd:double"&gt;24.59&lt;/D&gt;&lt;D xsi:type="xsd:double"&gt;24.6&lt;/D&gt;&lt;D xsi:type="xsd:double"&gt;24.68&lt;/D&gt;&lt;D xsi:type="xsd:double"&gt;24.9599&lt;/D&gt;&lt;D xsi:type="xsd:double"&gt;24.97&lt;/D&gt;&lt;D xsi:type="xsd:double"&gt;24.57&lt;/D&gt;&lt;D xsi:type="xsd:double"&gt;26&lt;/D&gt;&lt;D xsi:type="xsd:double"&gt;25.97&lt;/D&gt;&lt;D xsi:type="xsd:double"&gt;25.95&lt;/D&gt;&lt;D xsi:type="xsd:double"&gt;26.3299&lt;/D&gt;&lt;D xsi:type="xsd:double"&gt;25.06&lt;/D&gt;&lt;D xsi:type="xsd:double"&gt;25.26&lt;/D&gt;&lt;D xsi:type="xsd:double"&gt;24.55&lt;/D&gt;&lt;D xsi:type="xsd:double"&gt;24.72&lt;/D&gt;&lt;D xsi:type="xsd:double"&gt;24.529&lt;/D&gt;&lt;D xsi:type="xsd:double"&gt;24.5&lt;/D&gt;&lt;D xsi:type="xsd:double"&gt;24&lt;/D&gt;&lt;D xsi:type="xsd:double"&gt;23.54&lt;/D&gt;&lt;D xsi:type="xsd:double"&gt;23.85&lt;/D&gt;&lt;D xsi:type="xsd:double"&gt;23.62&lt;/D&gt;&lt;D xsi:type="xsd:double"&gt;23.8&lt;/D&gt;&lt;D xsi:type="xsd:double"&gt;24.3&lt;/D&gt;&lt;D xsi:type="xsd:double"&gt;23.9101&lt;/D&gt;&lt;D xsi:type="xsd:double"&gt;24.13&lt;/D&gt;&lt;D xsi:type="xsd:double"&gt;24.1299&lt;/D&gt;&lt;D xsi:type="xsd:double"&gt;24.68&lt;/D&gt;&lt;D xsi:type="xsd:double"&gt;23.92&lt;/D&gt;&lt;D xsi:type="xsd:double"&gt;23.98&lt;/D&gt;&lt;D xsi:type="xsd:double"&gt;24.02&lt;/D&gt;&lt;D xsi:type="xsd:double"&gt;23.8&lt;/D&gt;&lt;D xsi:type="xsd:double"&gt;23.22&lt;/D&gt;&lt;D xsi:type="xsd:double"&gt;23.1&lt;/D&gt;&lt;D xsi:type="xsd:double"&gt;23.7&lt;/D&gt;&lt;D xsi:type="xsd:double"&gt;24.11&lt;/D&gt;&lt;D xsi:type="xsd:double"&gt;23.89&lt;/D&gt;&lt;D xsi:type="xsd:double"&gt;24.15&lt;/D&gt;&lt;D xsi:type="xsd:double"&gt;24.23&lt;/D&gt;&lt;D xsi:type="xsd:double"&gt;24.79&lt;/D&gt;&lt;D xsi:type="xsd:double"&gt;24.45&lt;/D&gt;&lt;D xsi:type="xsd:double"&gt;23.96&lt;/D&gt;&lt;D xsi:type="xsd:double"&gt;25.09&lt;/D&gt;&lt;D xsi:type="xsd:double"&gt;25.28&lt;/D&gt;&lt;D xsi:type="xsd:</t>
      </text>
    </comment>
    <comment authorId="0" ref="A55">
      <text>
        <t xml:space="preserve">======
ID#AAAB10qfXxo
Park, Jason S.    (2026-03-18 17:29:03)
xsi:type="xsd:long"&gt;37958&lt;/D&gt;&lt;D xsi:type="xsd:long"&gt;37959&lt;/D&gt;&lt;D xsi:type="xsd:long"&gt;37960&lt;/D&gt;&lt;D xsi:type="xsd:long"&gt;37963&lt;/D&gt;&lt;D xsi:type="xsd:long"&gt;37964&lt;/D&gt;&lt;D xsi:type="xsd:long"&gt;37965&lt;/D&gt;&lt;D xsi:type="xsd:long"&gt;37966&lt;/D&gt;&lt;D xsi:type="xsd:long"&gt;37967&lt;/D&gt;&lt;D xsi:type="xsd:long"&gt;37970&lt;/D&gt;&lt;D xsi:type="xsd:long"&gt;37971&lt;/D&gt;&lt;D xsi:type="xsd:long"&gt;37972&lt;/D&gt;&lt;D xsi:type="xsd:long"&gt;37973&lt;/D&gt;&lt;D xsi:type="xsd:long"&gt;37974&lt;/D&gt;&lt;D xsi:type="xsd:long"&gt;37977&lt;/D&gt;&lt;D xsi:type="xsd:long"&gt;37978&lt;/D&gt;&lt;D xsi:type="xsd:long"&gt;37979&lt;/D&gt;&lt;D xsi:type="xsd:long"&gt;37981&lt;/D&gt;&lt;D xsi:type="xsd:long"&gt;37984&lt;/D&gt;&lt;D xsi:type="xsd:long"&gt;37985&lt;/D&gt;&lt;D xsi:type="xsd:long"&gt;37986&lt;/D&gt;&lt;D xsi:type="xsd:long"&gt;37988&lt;/D&gt;&lt;D xsi:type="xsd:long"&gt;37991&lt;/D&gt;&lt;D xsi:type="xsd:long"&gt;37992&lt;/D&gt;&lt;D xsi:type="xsd:long"&gt;37993&lt;/D&gt;&lt;D xsi:type="xsd:long"&gt;37994&lt;/D&gt;&lt;D xsi:type="xsd:long"&gt;37995&lt;/D&gt;&lt;D xsi:type="xsd:long"&gt;37998&lt;/D&gt;&lt;D xsi:type="xsd:long"&gt;37999&lt;/D&gt;&lt;D xsi:type="xsd:long"&gt;38000&lt;/D&gt;&lt;D xsi:type="xsd:long"&gt;38001&lt;/D&gt;&lt;D xsi:type="xsd:long"&gt;38002&lt;/D&gt;&lt;D xsi:type="xsd:long"&gt;38006&lt;/D&gt;&lt;D xsi:type="xsd:long"&gt;38007&lt;/D&gt;&lt;D xsi:type="xsd:long"&gt;38008&lt;/D&gt;&lt;D xsi:type="xsd:long"&gt;38009&lt;/D&gt;&lt;D xsi:type="xsd:long"&gt;38012&lt;/D&gt;&lt;D xsi:type="xsd:long"&gt;38013&lt;/D&gt;&lt;D xsi:type="xsd:long"&gt;38014&lt;/D&gt;&lt;D xsi:type="xsd:long"&gt;38015&lt;/D&gt;&lt;D xsi:type="xsd:long"&gt;38016&lt;/D&gt;&lt;D xsi:type="xsd:long"&gt;38019&lt;/D&gt;&lt;D xsi:type="xsd:long"&gt;38020&lt;/D&gt;&lt;D xsi:type="xsd:long"&gt;38021&lt;/D&gt;&lt;D xsi:type="xsd:long"&gt;38022&lt;/D&gt;&lt;D xsi:type="xsd:long"&gt;38023&lt;/D&gt;&lt;D xsi:type="xsd:long"&gt;38026&lt;/D&gt;&lt;D xsi:type="xsd:long"&gt;38027&lt;/D&gt;&lt;D xsi:type="xsd:long"&gt;38028&lt;/D&gt;&lt;D xsi:type="xsd:long"&gt;38029&lt;/D&gt;&lt;D xsi:type="xsd:long"&gt;38030&lt;/D&gt;&lt;D xsi:type="xsd:long"&gt;38034&lt;/D&gt;&lt;D xsi:type="xsd:long"&gt;38035&lt;/D&gt;&lt;D xsi:type="xsd:long"&gt;38036&lt;/D&gt;&lt;D xsi:type="xsd:long"&gt;38037&lt;/D&gt;&lt;D xsi:type="xsd:long"&gt;38040&lt;/D&gt;&lt;D xsi:type="xsd:long"&gt;38041&lt;/D&gt;&lt;D xsi:type="xsd:long"&gt;38042&lt;/D&gt;&lt;D xsi:type="xsd:long"&gt;38043&lt;/D&gt;&lt;D xsi:type="xsd:long"&gt;38044&lt;/D&gt;&lt;D xsi:type="xsd:long"&gt;38047&lt;/D&gt;&lt;D xsi:type="xsd:long"&gt;38048&lt;/D&gt;&lt;D xsi:type="xsd:long"&gt;38049&lt;/D&gt;&lt;D xsi:type="xsd:long"&gt;38050&lt;/D&gt;&lt;D xsi:type="xsd:long"&gt;38051&lt;/D&gt;&lt;D xsi:type="xsd:long"&gt;38054&lt;/D&gt;&lt;D xsi:type="xsd:long"&gt;38055&lt;/D&gt;&lt;D xsi:type="xsd:long"&gt;38056&lt;/D&gt;&lt;D xsi:type="xsd:long"&gt;38057&lt;/D&gt;&lt;D xsi:type="xsd:long"&gt;38058&lt;/D&gt;&lt;D xsi:type="xsd:long"&gt;38061&lt;/D&gt;&lt;D xsi:type="xsd:long"&gt;38062&lt;/D&gt;&lt;D xsi:type="xsd:long"&gt;38063&lt;/D&gt;&lt;D xsi:type="xsd:long"&gt;38064&lt;/D&gt;&lt;D xsi:type="xsd:long"&gt;38065&lt;/D&gt;&lt;D xsi:type="xsd:long"&gt;38068&lt;/D&gt;&lt;D xsi:type="xsd:long"&gt;38069&lt;/D&gt;&lt;D xsi:type="xsd:long"&gt;38070&lt;/D&gt;&lt;D xsi:type="xsd:long"&gt;38071&lt;/D&gt;&lt;D xsi:type="xsd:long"&gt;38072&lt;/D&gt;&lt;D xsi:type="xsd:long"&gt;38075&lt;/D&gt;&lt;D xsi:type="xsd:long"&gt;38076&lt;/D&gt;&lt;D xsi:type="xsd:long"&gt;38077&lt;/D&gt;&lt;D xsi:type="xsd:long"&gt;38078&lt;/D&gt;&lt;D xsi:type="xsd:long"&gt;38079&lt;/D&gt;&lt;D xsi:type="xsd:long"&gt;38082&lt;/D&gt;&lt;D xsi:type="xsd:long"&gt;38083&lt;/D&gt;&lt;D xsi:type="xsd:long"&gt;38084&lt;/D&gt;&lt;D xsi:type="xsd:long"&gt;38085&lt;/D&gt;&lt;D xsi:type="xsd:long"&gt;38089&lt;/D&gt;&lt;D xsi:type="xsd:long"&gt;38090&lt;/D&gt;&lt;D xsi:type="xsd:long"&gt;38091&lt;/D&gt;&lt;D xsi:type="xsd:long"&gt;38092&lt;/D&gt;&lt;D xsi:type="xsd:long"&gt;38093&lt;/D&gt;&lt;D xsi:type="xsd:long"&gt;38096&lt;/D&gt;&lt;D xsi:type="xsd:long"&gt;38097&lt;/D&gt;&lt;D xsi:type="xsd:long"&gt;38098&lt;/D&gt;&lt;D xsi:type="xsd:long"&gt;38099&lt;/D&gt;&lt;D xsi:type="xsd:long"&gt;38100&lt;/D&gt;&lt;D xsi:type="xsd:long"&gt;38103&lt;/D&gt;&lt;D xsi:type="xsd:long"&gt;38104&lt;/D&gt;&lt;D xsi:type="xsd:long"&gt;38105&lt;/D&gt;&lt;D xsi:type="xsd:long"&gt;38106&lt;/D&gt;&lt;D xsi:type="xsd:long"&gt;38107&lt;/D&gt;&lt;D xsi:type="xsd:long"&gt;38110&lt;/D&gt;&lt;D xsi:type="xsd:long"&gt;38111&lt;/D&gt;&lt;D xsi:type="xsd:long"&gt;38112&lt;/D&gt;&lt;D xsi:type="xsd:long"&gt;38113&lt;/D&gt;&lt;D xsi:type="xsd:long"&gt;38114&lt;/D&gt;&lt;D xsi:type="xsd:long"&gt;38117&lt;/D&gt;&lt;D xsi:type="xsd:long"&gt;38118&lt;/D&gt;&lt;D xsi:type="xsd:long"&gt;38119&lt;/D&gt;&lt;D xsi:type="xsd:long"&gt;38120&lt;/D&gt;&lt;D xsi:type="xsd:long"&gt;38121&lt;/D&gt;&lt;D xsi:type="xsd:long"&gt;38124&lt;/D&gt;&lt;D xsi:type="xsd:long"&gt;38125&lt;/D&gt;&lt;D xsi:type="xsd:long"&gt;38126&lt;/D&gt;&lt;D xsi:type="xsd:long"&gt;38127&lt;/D&gt;&lt;D xsi:type="xsd:long"&gt;38128&lt;/D&gt;&lt;D xsi:type="xsd:long"&gt;38131&lt;/D&gt;&lt;D xsi:type="xsd:long"&gt;38132&lt;/D&gt;&lt;D xsi:type="xsd:long"&gt;38133&lt;/D&gt;&lt;D xsi:type="xsd:long"&gt;38134&lt;/D&gt;&lt;D xsi:type="xsd:long"&gt;38135&lt;/D&gt;&lt;D xsi:type="xsd:long"&gt;38139&lt;/D&gt;&lt;D xsi:type="xsd:long"&gt;38140&lt;/D&gt;&lt;D xsi:type="xsd:long"&gt;38141&lt;/D&gt;&lt;D xsi:type="xsd:long"&gt;38142&lt;/D&gt;&lt;D xsi:type="xsd:long"&gt;38145&lt;/D&gt;&lt;D</t>
      </text>
    </comment>
    <comment authorId="0" ref="A22">
      <text>
        <t xml:space="preserve">======
ID#AAAB10qfXxk
Park, Jason S.    (2026-03-18 17:29:03)
/D&gt;&lt;D xsi:type="xsd:int"&gt;40249&lt;/D&gt;&lt;D xsi:type="xsd:int"&gt;40248&lt;/D&gt;&lt;D xsi:type="xsd:int"&gt;40247&lt;/D&gt;&lt;D xsi:type="xsd:int"&gt;40246&lt;/D&gt;&lt;D xsi:type="xsd:int"&gt;40245&lt;/D&gt;&lt;D xsi:type="xsd:int"&gt;40242&lt;/D&gt;&lt;D xsi:type="xsd:int"&gt;40241&lt;/D&gt;&lt;D xsi:type="xsd:int"&gt;40240&lt;/D&gt;&lt;D xsi:type="xsd:int"&gt;40239&lt;/D&gt;&lt;D xsi:type="xsd:int"&gt;40238&lt;/D&gt;&lt;D xsi:type="xsd:int"&gt;40235&lt;/D&gt;&lt;D xsi:type="xsd:int"&gt;40234&lt;/D&gt;&lt;D xsi:type="xsd:int"&gt;40233&lt;/D&gt;&lt;D xsi:type="xsd:int"&gt;40232&lt;/D&gt;&lt;D xsi:type="xsd:int"&gt;40231&lt;/D&gt;&lt;D xsi:type="xsd:int"&gt;40228&lt;/D&gt;&lt;D xsi:type="xsd:int"&gt;40227&lt;/D&gt;&lt;D xsi:type="xsd:int"&gt;40226&lt;/D&gt;&lt;D xsi:type="xsd:int"&gt;40225&lt;/D&gt;&lt;D xsi:type="xsd:int"&gt;40221&lt;/D&gt;&lt;D xsi:type="xsd:int"&gt;40220&lt;/D&gt;&lt;D xsi:type="xsd:int"&gt;40219&lt;/D&gt;&lt;D xsi:type="xsd:int"&gt;40218&lt;/D&gt;&lt;D xsi:type="xsd:int"&gt;40217&lt;/D&gt;&lt;D xsi:type="xsd:int"&gt;40214&lt;/D&gt;&lt;D xsi:type="xsd:int"&gt;40213&lt;/D&gt;&lt;D xsi:type="xsd:int"&gt;40212&lt;/D&gt;&lt;D xsi:type="xsd:int"&gt;40211&lt;/D&gt;&lt;D xsi:type="xsd:int"&gt;40210&lt;/D&gt;&lt;D xsi:type="xsd:int"&gt;40207&lt;/D&gt;&lt;D xsi:type="xsd:int"&gt;40206&lt;/D&gt;&lt;D xsi:type="xsd:int"&gt;40205&lt;/D&gt;&lt;D xsi:type="xsd:int"&gt;40204&lt;/D&gt;&lt;D xsi:type="xsd:int"&gt;40203&lt;/D&gt;&lt;D xsi:type="xsd:int"&gt;40200&lt;/D&gt;&lt;D xsi:type="xsd:int"&gt;40199&lt;/D&gt;&lt;D xsi:type="xsd:int"&gt;40198&lt;/D&gt;&lt;D xsi:type="xsd:int"&gt;40197&lt;/D&gt;&lt;D xsi:type="xsd:int"&gt;40193&lt;/D&gt;&lt;D xsi:type="xsd:int"&gt;40192&lt;/D&gt;&lt;D xsi:type="xsd:int"&gt;40191&lt;/D&gt;&lt;D xsi:type="xsd:int"&gt;40190&lt;/D&gt;&lt;D xsi:type="xsd:int"&gt;40189&lt;/D&gt;&lt;D xsi:type="xsd:int"&gt;40186&lt;/D&gt;&lt;D xsi:type="xsd:int"&gt;40185&lt;/D&gt;&lt;D xsi:type="xsd:int"&gt;40184&lt;/D&gt;&lt;D xsi:type="xsd:int"&gt;40183&lt;/D&gt;&lt;D xsi:type="xsd:int"&gt;40182&lt;/D&gt;&lt;D xsi:type="xsd:int"&gt;40178&lt;/D&gt;&lt;D xsi:type="xsd:int"&gt;40177&lt;/D&gt;&lt;D xsi:type="xsd:int"&gt;40176&lt;/D&gt;&lt;D xsi:type="xsd:int"&gt;40175&lt;/D&gt;&lt;D xsi:type="xsd:int"&gt;40171&lt;/D&gt;&lt;D xsi:type="xsd:int"&gt;40170&lt;/D&gt;&lt;D xsi:type="xsd:int"&gt;40169&lt;/D&gt;&lt;D xsi:type="xsd:int"&gt;40168&lt;/D&gt;&lt;D xsi:type="xsd:int"&gt;40165&lt;/D&gt;&lt;D xsi:type="xsd:int"&gt;40164&lt;/D&gt;&lt;D xsi:type="xsd:int"&gt;40163&lt;/D&gt;&lt;D xsi:type="xsd:int"&gt;40162&lt;/D&gt;&lt;D xsi:type="xsd:int"&gt;40161&lt;/D&gt;&lt;D xsi:type="xsd:int"&gt;40158&lt;/D&gt;&lt;D xsi:type="xsd:int"&gt;40157&lt;/D&gt;&lt;D xsi:type="xsd:int"&gt;40156&lt;/D&gt;&lt;D xsi:type="xsd:int"&gt;40155&lt;/D&gt;&lt;D xsi:type="xsd:int"&gt;40154&lt;/D&gt;&lt;D xsi:type="xsd:int"&gt;40151&lt;/D&gt;&lt;D xsi:type="xsd:int"&gt;40150&lt;/D&gt;&lt;D xsi:type="xsd:int"&gt;40149&lt;/D&gt;&lt;D xsi:type="xsd:int"&gt;40148&lt;/D&gt;&lt;D xsi:type="xsd:int"&gt;40147&lt;/D&gt;&lt;D xsi:type="xsd:int"&gt;40144&lt;/D&gt;&lt;D xsi:type="xsd:int"&gt;40142&lt;/D&gt;&lt;D xsi:type="xsd:int"&gt;40141&lt;/D&gt;&lt;D xsi:type="xsd:int"&gt;40140&lt;/D&gt;&lt;D xsi:type="xsd:int"&gt;40137&lt;/D&gt;&lt;D xsi:type="xsd:int"&gt;40136&lt;/D&gt;&lt;D xsi:type="xsd:int"&gt;40135&lt;/D&gt;&lt;D xsi:type="xsd:int"&gt;40134&lt;/D&gt;&lt;D xsi:type="xsd:int"&gt;40133&lt;/D&gt;&lt;D xsi:type="xsd:int"&gt;40130&lt;/D&gt;&lt;D xsi:type="xsd:int"&gt;40129&lt;/D&gt;&lt;D xsi:type="xsd:int"&gt;40128&lt;/D&gt;&lt;D xsi:type="xsd:int"&gt;40127&lt;/D&gt;&lt;D xsi:type="xsd:int"&gt;40126&lt;/D&gt;&lt;D xsi:type="xsd:int"&gt;40123&lt;/D&gt;&lt;D xsi:type="xsd:int"&gt;40122&lt;/D&gt;&lt;D xsi:type="xsd:int"&gt;40121&lt;/D&gt;&lt;D xsi:type="xsd:int"&gt;40120&lt;/D&gt;&lt;D xsi:type="xsd:int"&gt;40119&lt;/D&gt;&lt;D xsi:type="xsd:int"&gt;40116&lt;/D&gt;&lt;D xsi:type="xsd:int"&gt;40115&lt;/D&gt;&lt;D xsi:type="xsd:int"&gt;40114&lt;/D&gt;&lt;D xsi:type="xsd:int"&gt;40113&lt;/D&gt;&lt;D xsi:type="xsd:int"&gt;40112&lt;/D&gt;&lt;D xsi:type="xsd:int"&gt;40109&lt;/D&gt;&lt;D xsi:type="xsd:int"&gt;40108&lt;/D&gt;&lt;D xsi:type="xsd:int"&gt;40107&lt;/D&gt;&lt;D xsi:type="xsd:int"&gt;40106&lt;/D&gt;&lt;D xsi:type="xsd:int"&gt;40105&lt;/D&gt;&lt;D xsi:type="xsd:int"&gt;40102&lt;/D&gt;&lt;D xsi:type="xsd:int"&gt;40101&lt;/D&gt;&lt;D xsi:type="xsd:int"&gt;40100&lt;/D&gt;&lt;D xsi:type="xsd:int"&gt;40099&lt;/D&gt;&lt;D xsi:type="xsd:int"&gt;40098&lt;/D&gt;&lt;D xsi:type="xsd:int"&gt;40095&lt;/D&gt;&lt;D xsi:type="xsd:int"&gt;40094&lt;/D&gt;&lt;D xsi:type="xsd:int"&gt;40093&lt;/D&gt;&lt;D xsi:type="xsd:int"&gt;40092&lt;/D&gt;&lt;D xsi:type="xsd:int"&gt;40091&lt;/D&gt;&lt;D xsi:type="xsd:int"&gt;40088&lt;/D&gt;&lt;D xsi:type="xsd:int"&gt;40087&lt;/D&gt;&lt;D xsi:type="xsd:int"&gt;40086&lt;/D&gt;&lt;D xsi:type="xsd:int"&gt;40085&lt;/D&gt;&lt;D xsi:type="xsd:int"&gt;40084&lt;/D&gt;&lt;D xsi:type="xsd:int"&gt;40081&lt;/D&gt;&lt;D xsi:type="xsd:int"&gt;40080&lt;/D&gt;&lt;D xsi:type="xsd:int"&gt;40079&lt;/D&gt;&lt;D xsi:type="xsd:int"&gt;40078&lt;/D&gt;&lt;D xsi:type="xsd:int"&gt;40077&lt;/D&gt;&lt;D xsi:type="xsd:int"&gt;40074&lt;/D&gt;&lt;D xsi:type="xsd:int"&gt;40073&lt;/D&gt;&lt;D xsi:type="xsd:int"&gt;40072&lt;/D&gt;&lt;D xsi:type="xsd:int"&gt;40071&lt;/D&gt;&lt;D xsi:type="xsd:int"&gt;40070&lt;/D&gt;&lt;D xsi:type="xsd:int"&gt;40067&lt;/D&gt;&lt;D xsi:type="xsd:int"&gt;40066&lt;/D&gt;&lt;D xsi:type="xsd:int"&gt;40065&lt;/D&gt;&lt;D xsi:type="xsd:int"&gt;40064&lt;/D&gt;&lt;D xsi:type="xsd:int"&gt;40060&lt;/D&gt;&lt;D xsi:type="xsd:int"&gt;40059&lt;/D&gt;&lt;D xsi:type="xsd:int"&gt;40058&lt;/D&gt;&lt;</t>
      </text>
    </comment>
    <comment authorId="0" ref="A50">
      <text>
        <t xml:space="preserve">======
ID#AAAB10qfXxg
Park, Jason S.    (2026-03-18 17:29:03)
double"&gt;25.48&lt;/D&gt;&lt;D xsi:type="xsd:double"&gt;26.72&lt;/D&gt;&lt;D xsi:type="xsd:double"&gt;26.97&lt;/D&gt;&lt;D xsi:type="xsd:double"&gt;26.3&lt;/D&gt;&lt;D xsi:type="xsd:double"&gt;26.64&lt;/D&gt;&lt;D xsi:type="xsd:double"&gt;26.8&lt;/D&gt;&lt;D xsi:type="xsd:double"&gt;26.01&lt;/D&gt;&lt;D xsi:type="xsd:double"&gt;25.89&lt;/D&gt;&lt;D xsi:type="xsd:double"&gt;25.94&lt;/D&gt;&lt;D xsi:type="xsd:double"&gt;26.26&lt;/D&gt;&lt;D xsi:type="xsd:double"&gt;26.27&lt;/D&gt;&lt;D xsi:type="xsd:double"&gt;26.9&lt;/D&gt;&lt;D xsi:type="xsd:double"&gt;26.5&lt;/D&gt;&lt;D xsi:type="xsd:double"&gt;26.8&lt;/D&gt;&lt;D xsi:type="xsd:double"&gt;26.84&lt;/D&gt;&lt;D xsi:type="xsd:double"&gt;27.49&lt;/D&gt;&lt;D xsi:type="xsd:double"&gt;26.9&lt;/D&gt;&lt;D xsi:type="xsd:double"&gt;25.933&lt;/D&gt;&lt;D xsi:type="xsd:double"&gt;25.15&lt;/D&gt;&lt;D xsi:type="xsd:double"&gt;25.29&lt;/D&gt;&lt;D xsi:type="xsd:double"&gt;26.14&lt;/D&gt;&lt;D xsi:type="xsd:double"&gt;25.85&lt;/D&gt;&lt;D xsi:type="xsd:double"&gt;25.53&lt;/D&gt;&lt;D xsi:type="xsd:double"&gt;25.51&lt;/D&gt;&lt;D xsi:type="xsd:double"&gt;25.17&lt;/D&gt;&lt;D xsi:type="xsd:double"&gt;25.52&lt;/D&gt;&lt;D xsi:type="xsd:double"&gt;24.63&lt;/D&gt;&lt;D xsi:type="xsd:double"&gt;25.07&lt;/D&gt;&lt;D xsi:type="xsd:double"&gt;24.3701&lt;/D&gt;&lt;D xsi:type="xsd:double"&gt;25.11&lt;/D&gt;&lt;D xsi:type="xsd:double"&gt;26.19&lt;/D&gt;&lt;D xsi:type="xsd:double"&gt;26.34&lt;/D&gt;&lt;D xsi:type="xsd:double"&gt;26.08&lt;/D&gt;&lt;D xsi:type="xsd:double"&gt;26.25&lt;/D&gt;&lt;D xsi:type="xsd:double"&gt;26.31&lt;/D&gt;&lt;D xsi:type="xsd:double"&gt;27.22&lt;/D&gt;&lt;D xsi:type="xsd:double"&gt;27.98&lt;/D&gt;&lt;D xsi:type="xsd:double"&gt;27.73&lt;/D&gt;&lt;D xsi:type="xsd:double"&gt;27.78&lt;/D&gt;&lt;D xsi:type="xsd:double"&gt;26.93&lt;/D&gt;&lt;D xsi:type="xsd:double"&gt;27.28&lt;/D&gt;&lt;D xsi:type="xsd:double"&gt;27.16&lt;/D&gt;&lt;D xsi:type="xsd:double"&gt;26.29&lt;/D&gt;&lt;D xsi:type="xsd:double"&gt;25.72&lt;/D&gt;&lt;D xsi:type="xsd:double"&gt;25.91&lt;/D&gt;&lt;D xsi:type="xsd:double"&gt;26.19&lt;/D&gt;&lt;D xsi:type="xsd:double"&gt;26.41&lt;/D&gt;&lt;D xsi:type="xsd:double"&gt;26.96&lt;/D&gt;&lt;D xsi:type="xsd:double"&gt;27.31&lt;/D&gt;&lt;D xsi:type="xsd:double"&gt;27.45&lt;/D&gt;&lt;D xsi:type="xsd:double"&gt;26.83&lt;/D&gt;&lt;D xsi:type="xsd:double"&gt;26.76&lt;/D&gt;&lt;D xsi:type="xsd:double"&gt;26.66&lt;/D&gt;&lt;D xsi:type="xsd:double"&gt;25.35&lt;/D&gt;&lt;D xsi:type="xsd:double"&gt;24.67&lt;/D&gt;&lt;D xsi:type="xsd:double"&gt;22.67&lt;/D&gt;&lt;D xsi:type="xsd:double"&gt;22.88&lt;/D&gt;&lt;D xsi:type="xsd:double"&gt;22.26&lt;/D&gt;&lt;D xsi:type="xsd:double"&gt;22.75&lt;/D&gt;&lt;D xsi:type="xsd:double"&gt;22.54&lt;/D&gt;&lt;D xsi:type="xsd:double"&gt;21.99&lt;/D&gt;&lt;D xsi:type="xsd:double"&gt;23.08&lt;/D&gt;&lt;D xsi:type="xsd:double"&gt;22.69&lt;/D&gt;&lt;D xsi:type="xsd:double"&gt;19.88&lt;/D&gt;&lt;D xsi:type="xsd:double"&gt;19.33&lt;/D&gt;&lt;D xsi:type="xsd:double"&gt;19&lt;/D&gt;&lt;D xsi:type="xsd:double"&gt;18.63&lt;/D&gt;&lt;D xsi:type="xsd:double"&gt;19.98&lt;/D&gt;&lt;D xsi:type="xsd:double"&gt;20.69&lt;/D&gt;&lt;D xsi:type="xsd:double"&gt;20&lt;/D&gt;&lt;D xsi:type="xsd:double"&gt;20.29&lt;/D&gt;&lt;D xsi:type="xsd:double"&gt;20.5&lt;/D&gt;&lt;D xsi:type="xsd:double"&gt;20.69&lt;/D&gt;&lt;D xsi:type="xsd:double"&gt;21.1&lt;/D&gt;&lt;D xsi:type="xsd:double"&gt;21.7699&lt;/D&gt;&lt;D xsi:type="xsd:double"&gt;21.2&lt;/D&gt;&lt;D xsi:type="xsd:double"&gt;20.1215&lt;/D&gt;&lt;D xsi:type="xsd:double"&gt;19.9199&lt;/D&gt;&lt;D xsi:type="xsd:double"&gt;20.05&lt;/D&gt;&lt;D xsi:type="xsd:double"&gt;20.27&lt;/D&gt;&lt;D xsi:type="xsd:double"&gt;20.68&lt;/D&gt;&lt;D xsi:type="xsd:double"&gt;20.9&lt;/D&gt;&lt;D xsi:type="xsd:double"&gt;21.21&lt;/D&gt;&lt;D xsi:type="xsd:double"&gt;20.46&lt;/D&gt;&lt;D xsi:type="xsd:double"&gt;20.11&lt;/D&gt;&lt;D xsi:type="xsd:double"&gt;20.16&lt;/D&gt;&lt;D xsi:type="xsd:double"&gt;20.38&lt;/D&gt;&lt;D xsi:type="xsd:double"&gt;20.3&lt;/D&gt;&lt;D xsi:type="xsd:double"&gt;19.82&lt;/D&gt;&lt;D xsi:type="xsd:double"&gt;19.94&lt;/D&gt;&lt;D xsi:type="xsd:double"&gt;20.69&lt;/D&gt;&lt;D xsi:type="xsd:double"&gt;20.77&lt;/D&gt;&lt;D xsi:type="xsd:double"&gt;20.49&lt;/D&gt;&lt;D xsi:type="xsd:double"&gt;19.9699&lt;/D&gt;&lt;D xsi:type="xsd:double"&gt;20.01&lt;/D&gt;&lt;D xsi:type="xsd:double"&gt;20&lt;/D&gt;&lt;D xsi:type="xsd:double"&gt;20.1999&lt;/D&gt;&lt;D xsi:type="xsd:double"&gt;19.87&lt;/D&gt;&lt;D xsi:type="xsd:double"&gt;20.07&lt;/D&gt;&lt;D xsi:type="xsd:double"&gt;20.12&lt;/D&gt;&lt;D xsi:type="xsd:double"&gt;21.2001&lt;/D&gt;&lt;D xsi:type="xsd:double"&gt;21.12&lt;/D&gt;&lt;D xsi:type="xsd:double"&gt;21.28&lt;/D&gt;&lt;D xsi:type="xsd:double"&gt;20.66&lt;/D&gt;&lt;D xsi:type="xsd:double"&gt;20.85&lt;/D&gt;&lt;D xsi:type="xsd:double"&gt;21.75&lt;/D&gt;&lt;D xsi:type="xsd:double"&gt;21.0899&lt;/D&gt;&lt;D xsi:type="xsd:double"&gt;21.75&lt;/D&gt;&lt;D xsi:type="xsd:double"&gt;22.13&lt;/D&gt;&lt;D xsi:type="xsd:double"&gt;22.27&lt;/D&gt;&lt;D xsi:type="xsd:double"&gt;21.86&lt;/D&gt;&lt;D xsi:type="xsd:double"&gt;21.09&lt;/D&gt;&lt;D xsi:type="xsd:double"&gt;20.79&lt;/D&gt;&lt;D xsi:type="xsd:double"&gt;21.18&lt;/D&gt;&lt;D xsi:type="xsd:double"&gt;21.97&lt;/D&gt;&lt;D xsi:type="xsd:double"&gt;21.85&lt;/D&gt;&lt;D xsi:type="xsd:double"&gt;21.93&lt;/D&gt;&lt;D xsi:type="xsd:double"&gt;21.87&lt;/D&gt;&lt;D xsi:type="xsd:double"&gt;21.75&lt;/D&gt;&lt;D xsi:type="xsd:double"&gt;21.08&lt;/D&gt;&lt;D xsi:type="xsd:double"&gt;21.42&lt;/D&gt;&lt;D</t>
      </text>
    </comment>
    <comment authorId="0" ref="A6">
      <text>
        <t xml:space="preserve">======
ID#AAAB10qfXxc
Park, Jason S.    (2026-03-18 17:29:03)
TRPR_VAL_SALES(ANN_R,2018)@FE_VALUATION(EV_SALES,MEDIAN,ANNUAL,2018,0,,,'')&lt;/Q&gt;&lt;R&gt;1&lt;/R&gt;&lt;C&gt;1&lt;/C&gt;&lt;D xsi:type="xsd:double"&gt;5.952272&lt;/D&gt;&lt;/FQL&gt;&lt;FQL&gt;&lt;Q&gt;TER^P_PRICE(43136,,,USD)&lt;/Q&gt;&lt;R&gt;1&lt;/R&gt;&lt;C&gt;1&lt;/C&gt;&lt;D xsi:type="xsd:double"&gt;42.97&lt;/D&gt;&lt;/FQL&gt;&lt;FQL&gt;&lt;Q&gt;QRVO^FF_CO_NAME&lt;/Q&gt;&lt;R&gt;1&lt;/R&gt;&lt;C&gt;1&lt;/C&gt;&lt;D xsi:type="xsd:string"&gt;Qorvo, Inc.&lt;/D&gt;&lt;/FQL&gt;&lt;FQL&gt;&lt;Q&gt;TER^FF_ENTRPR_VAL_EBITDA_OPER(ANN_R,2017)@FE_VALUATION(EV_EBITDA,MEDIAN,ANNUAL,2017,0,,,'')&lt;/Q&gt;&lt;R&gt;1&lt;/R&gt;&lt;C&gt;1&lt;/C&gt;&lt;D xsi:type="xsd:double"&gt;10.85907913169051&lt;/D&gt;&lt;/FQL&gt;&lt;FQL&gt;&lt;Q&gt;NVDA^FF_ENTRPR_VAL_EBITDA_OPER(ANN_R,2019)@FE_VALUATION(EV_EBITDA,MEDIAN,ANNUAL,2019,0,,,'')&lt;/Q&gt;&lt;R&gt;1&lt;/R&gt;&lt;C&gt;1&lt;/C&gt;&lt;D xsi:type="xsd:double"&gt;21.791262&lt;/D&gt;&lt;/FQL&gt;&lt;FQL&gt;&lt;Q&gt;NVDA^FF_ENTRPR_VAL_EBITDA_OPER(ANN_R,2018)@FE_VALUATION(EV_EBITDA,MEDIAN,ANNUAL,2018,0,,,'')&lt;/Q&gt;&lt;R&gt;1&lt;/R&gt;&lt;C&gt;1&lt;/C&gt;&lt;D xsi:type="xsd:double"&gt;26.389345&lt;/D&gt;&lt;/FQL&gt;&lt;FQL&gt;&lt;Q&gt;TXN^FF_SGA(ANN_R,2017)@FE_ESTIMATE(SGA,MEDIAN,ANNUAL,2017,0,,,'')&lt;/Q&gt;&lt;R&gt;1&lt;/R&gt;&lt;C&gt;1&lt;/C&gt;&lt;D xsi:type="xsd:double"&gt;3263&lt;/D&gt;&lt;/FQL&gt;&lt;FQL&gt;&lt;Q&gt;IBM^FF_SALES(ANN_R,2017)@FE_ESTIMATE(SALES,MEDIAN,ANNUAL,2017,0,,,'')&lt;/Q&gt;&lt;R&gt;1&lt;/R&gt;&lt;C&gt;1&lt;/C&gt;&lt;D xsi:type="xsd:double"&gt;79139&lt;/D&gt;&lt;/FQL&gt;&lt;FQL&gt;&lt;Q&gt;V^FF_SALES(ANN_R,2017)@FE_ESTIMATE(SALES,MEDIAN,ANNUAL,2017,0,,,'')&lt;/Q&gt;&lt;R&gt;1&lt;/R&gt;&lt;C&gt;1&lt;/C&gt;&lt;D xsi:type="xsd:double"&gt;18358&lt;/D&gt;&lt;/FQL&gt;&lt;FQL&gt;&lt;Q&gt;DIOD^FG_FCFE_MARGIN(0)&lt;/Q&gt;&lt;R&gt;1&lt;/R&gt;&lt;C&gt;1&lt;/C&gt;&lt;D xsi:type="xsd:double"&gt;6.1673571683307813&lt;/D&gt;&lt;/FQL&gt;&lt;FQL&gt;&lt;Q&gt;DIOD^P_DIV_YLD&lt;/Q&gt;&lt;R&gt;1&lt;/R&gt;&lt;C&gt;1&lt;/C&gt;&lt;D xsi:type="xsd:double"&gt;0&lt;/D&gt;&lt;/FQL&gt;&lt;FQL&gt;&lt;Q&gt;DIOD^FE_ESTIMATE(SALES,MEDIAN,ANNUAL,2020,0,,,'')&lt;/Q&gt;&lt;R&gt;0&lt;/R&gt;&lt;C&gt;0&lt;/C&gt;&lt;/FQL&gt;&lt;FQL&gt;&lt;Q&gt;2330-TW^FF_STK_SALE_CF(LTM_R,0)&lt;/Q&gt;&lt;R&gt;1&lt;/R&gt;&lt;C&gt;1&lt;/C&gt;&lt;D xsi:type="xsd:double"&gt;20.837&lt;/D&gt;&lt;/FQL&gt;&lt;FQL&gt;&lt;Q&gt;005930-KR^FF_ENTRPR_VAL_EBITDA_OPER(ANN_R,2018)@FE_VALUATION(EV_EBITDA,MEDIAN,ANNUAL,2018,0,,,'')&lt;/Q&gt;&lt;R&gt;1&lt;/R&gt;&lt;C&gt;1&lt;/C&gt;&lt;D xsi:type="xsd:double"&gt;2.9601161&lt;/D&gt;&lt;/FQL&gt;&lt;FQL&gt;&lt;Q&gt;005930-KR^FF_STK_SALE_CF(LTM_R,0)&lt;/Q&gt;&lt;R&gt;1&lt;/R&gt;&lt;C&gt;1&lt;/C&gt;&lt;D xsi:type="xsd:double"&gt;0&lt;/D&gt;&lt;/FQL&gt;&lt;FQL&gt;&lt;Q&gt;000660-KR^FF_ENTRPR_VAL_SALES(ANN_R,2019)@FE_VALUATION(EV_SALES,MEDIAN,ANNUAL,2019,0,,,'')&lt;/Q&gt;&lt;R&gt;1&lt;/R&gt;&lt;C&gt;1&lt;/C&gt;&lt;D xsi:type="xsd:double"&gt;1.1237488&lt;/D&gt;&lt;/FQL&gt;&lt;FQL&gt;&lt;Q&gt;ACN^FF_PSALES(ANN_R,2017)@FE_VALUATION(PS,MEDIAN,ANNUAL,2017,0,,,'')&lt;/Q&gt;&lt;R&gt;1&lt;/R&gt;&lt;C&gt;1&lt;/C&gt;&lt;D xsi:type="xsd:double"&gt;2.349001733705733&lt;/D&gt;&lt;/FQL&gt;&lt;FQL&gt;&lt;Q&gt;ADI^FF_ENTRPR_VAL_EBITDA_OPER(ANN_R,2017)@FE_VALUATION(EV_EBITDA,MEDIAN,ANNUAL,2017,0,,,'')&lt;/Q&gt;&lt;R&gt;1&lt;/R&gt;&lt;C&gt;1&lt;/C&gt;&lt;D xsi:type="xsd:double"&gt;22.09108453505803&lt;/D&gt;&lt;/FQL&gt;&lt;FQL&gt;&lt;Q&gt;SMTC^FG_FCFE_MARGIN(0)&lt;/Q&gt;&lt;R&gt;1&lt;/R&gt;&lt;C&gt;1&lt;/C&gt;&lt;D xsi:type="xsd:double"&gt;10.18008936355711&lt;/D&gt;&lt;/FQL&gt;&lt;FQL&gt;&lt;Q&gt;SMTC^P_DIV_YLD&lt;/Q&gt;&lt;R&gt;1&lt;/R&gt;&lt;C&gt;1&lt;/C&gt;&lt;D xsi:type="xsd:double"&gt;0&lt;/D&gt;&lt;/FQL&gt;&lt;FQL&gt;&lt;Q&gt;SMTC^FE_ESTIMATE(SALES,MEDIAN,ANNUAL,2020,0,,,'')&lt;/Q&gt;&lt;R&gt;0&lt;/R&gt;&lt;C&gt;0&lt;/C&gt;&lt;/FQL&gt;&lt;FQL&gt;&lt;Q&gt;DSPG^FG_FCFE_MARGIN(0)&lt;/Q&gt;&lt;R&gt;0&lt;/R&gt;&lt;C&gt;0&lt;/C&gt;&lt;/FQL&gt;&lt;FQL&gt;&lt;Q&gt;DSPG^P_DIV_YLD&lt;/Q&gt;&lt;R&gt;1&lt;/R&gt;&lt;C&gt;1&lt;/C&gt;&lt;D xsi:type="xsd:double"&gt;0&lt;/D&gt;&lt;/FQL&gt;&lt;FQL&gt;&lt;Q&gt;DSPG^FE_ESTIMATE(SALES,MEDIAN,ANNUAL,2020,0,,,'')&lt;/Q&gt;&lt;R&gt;0&lt;/R&gt;&lt;C&gt;0&lt;/C&gt;&lt;/FQL&gt;&lt;FQL&gt;&lt;Q&gt;48537^FF_ENTRPR_VAL_DAILY(43188,,,,USD,"BAS")&lt;/Q&gt;&lt;R&gt;0&lt;/R&gt;&lt;C&gt;0&lt;/C&gt;&lt;/FQL&gt;&lt;FQL&gt;&lt;Q&gt;005930-KR^P_PRICE(43188,,,USD)&lt;/Q&gt;&lt;R&gt;1&lt;/R&gt;&lt;C&gt;1&lt;/C&gt;&lt;D xsi:type="xsd:double"&gt;2300.4033&lt;/D&gt;&lt;/FQL&gt;&lt;FQL&gt;&lt;Q&gt;ADI^FF_STK_SALE_CF(LTM_R,0)&lt;/Q&gt;&lt;R&gt;1&lt;/R&gt;&lt;C&gt;1&lt;/C&gt;&lt;D xsi:type="xsd:double"&gt;136.682&lt;/D&gt;&lt;/FQL&gt;&lt;FQL&gt;&lt;Q&gt;AMBA^FG_FCFE_MARGIN(0)&lt;/Q&gt;&lt;R&gt;1&lt;/R&gt;&lt;C&gt;1&lt;/C&gt;&lt;D xsi:type="xsd:double"&gt;28.663454303872442&lt;/D&gt;&lt;/FQL&gt;&lt;FQL&gt;&lt;Q&gt;AMBA^P_DIV_YLD&lt;/Q&gt;&lt;R&gt;1&lt;/R&gt;&lt;C&gt;1&lt;/C&gt;&lt;D xsi:type="xsd:double"&gt;0&lt;/D&gt;&lt;/FQL&gt;&lt;FQL&gt;&lt;Q&gt;AMBA^FE_ESTIMATE(SALES,MEDIAN,ANNUAL,2020,0,,,'')&lt;/Q&gt;&lt;R&gt;0&lt;/R&gt;&lt;C&gt;0&lt;/C&gt;&lt;/FQL&gt;&lt;FQL&gt;&lt;Q&gt;ISIL^FG_FCFE_MARGIN(0)&lt;/Q&gt;&lt;R&gt;1&lt;/R&gt;&lt;C&gt;1&lt;/C&gt;&lt;D xsi:type="xsd:double"&gt;17.55693650521361&lt;/D&gt;&lt;/FQL&gt;&lt;FQL&gt;&lt;Q&gt;ISIL^P_DIV_YLD&lt;/Q&gt;&lt;R&gt;0&lt;/R&gt;&lt;C&gt;0&lt;/C&gt;&lt;/FQL&gt;&lt;FQL&gt;&lt;Q&gt;ISIL^FE_ESTIMATE(SALES,MEDIAN,ANNUAL,2020,0,,,'')&lt;/Q&gt;&lt;R&gt;0&lt;/R&gt;&lt;C&gt;0&lt;/C&gt;&lt;/FQL&gt;&lt;FQL&gt;&lt;Q&gt;PI^FG_FCFE_MARGIN(0)&lt;/Q&gt;&lt;R&gt;1&lt;/R&gt;&lt;C&gt;1&lt;/C&gt;&lt;D xsi:type="xsd:double"&gt;-30.593071495624269&lt;/D&gt;&lt;/FQL&gt;&lt;FQL&gt;&lt;Q&gt;PI^P_DIV_YLD&lt;/Q&gt;&lt;R&gt;1&lt;/R&gt;&lt;C&gt;1&lt;/C&gt;&lt;D xsi:type="xsd:double"&gt;0&lt;/D&gt;&lt;/FQL&gt;&lt;FQL&gt;&lt;Q&gt;PI^FE_ESTIMATE(SALES,MEDIAN,ANNUAL,2020,0,,,'')&lt;/Q&gt;&lt;R&gt;1&lt;/R&gt;&lt;C&gt;1&lt;/C&gt;&lt;D xsi:type="xsd:double"&gt;142.3305&lt;/D&gt;&lt;/FQL&gt;&lt;FQL&gt;&lt;Q&gt;QTNA^FG_FCFE_MARGIN(0)&lt;/Q&gt;&lt;R&gt;1&lt;/R&gt;&lt;C&gt;1&lt;/C&gt;&lt;D xsi:type="xsd:double"&gt;3.903787316892267&lt;/D&gt;&lt;/FQL&gt;&lt;FQL&gt;&lt;Q&gt;QTNA^P_DIV_YLD&lt;/Q&gt;&lt;R&gt;1&lt;/R&gt;&lt;C&gt;1&lt;/C&gt;&lt;D xsi:type="xsd:double"&gt;0&lt;/D&gt;&lt;/FQL&gt;&lt;FQL&gt;&lt;Q&gt;QTNA^FE_ESTIMATE(SALES,M</t>
      </text>
    </comment>
    <comment authorId="0" ref="A2">
      <text>
        <t xml:space="preserve">======
ID#AAAB10qfXxY
Park, Jason S.    (2026-03-18 17:29:03)
/FQL&gt;&lt;FQL&gt;&lt;Q&gt;MXIM^FF_ENTRPR_VAL_FCF(ANN_R,2017)@FE_VALUATION(EV_FCF,MEDIAN,ANNUAL,2017,0,,,'')&lt;/Q&gt;&lt;R&gt;1&lt;/R&gt;&lt;C&gt;1&lt;/C&gt;&lt;D xsi:type="xsd:double"&gt;34.3606307840294&lt;/D&gt;&lt;/FQL&gt;&lt;FQL&gt;&lt;Q&gt;TXN^FF_ENTRPR_VAL_EBITDA_OPER(ANN_R,2020)@FE_VALUATION(EV_EBITDA,MEDIAN,ANNUAL,2020,0,,,'')&lt;/Q&gt;&lt;R&gt;1&lt;/R&gt;&lt;C&gt;1&lt;/C&gt;&lt;D xsi:type="xsd:double"&gt;12.420686&lt;/D&gt;&lt;/FQL&gt;&lt;FQL&gt;&lt;Q&gt;MXIM^FF_ENTRPR_VAL_DAILY(43188,,,,USD,"BAS")&lt;/Q&gt;&lt;R&gt;1&lt;/R&gt;&lt;C&gt;1&lt;/C&gt;&lt;D xsi:type="xsd:double"&gt;15600.55408&lt;/D&gt;&lt;/FQL&gt;&lt;FQL&gt;&lt;Q&gt;XLNX^FF_PE_DIL(ANN_R,2019)@FE_VALUATION(PE,MEDIAN,ANNUAL,2019,0,,,'')&lt;/Q&gt;&lt;R&gt;1&lt;/R&gt;&lt;C&gt;1&lt;/C&gt;&lt;D xsi:type="xsd:double"&gt;22.969793&lt;/D&gt;&lt;/FQL&gt;&lt;FQL&gt;&lt;Q&gt;MCHP^FF_ENTRPR_VAL_EBITDA_OPER(ANN_R,2019)@FE_VALUATION(EV_EBITDA,MEDIAN,ANNUAL,2019,0,,,'')&lt;/Q&gt;&lt;R&gt;1&lt;/R&gt;&lt;C&gt;1&lt;/C&gt;&lt;D xsi:type="xsd:double"&gt;10.919421&lt;/D&gt;&lt;/FQL&gt;&lt;FQL&gt;&lt;Q&gt;AMD^FF_ENTRPR_VAL_DAILY(43136,,,,USD,"BAS")&lt;/Q&gt;&lt;R&gt;1&lt;/R&gt;&lt;C&gt;1&lt;/C&gt;&lt;D xsi:type="xsd:double"&gt;11396.19&lt;/D&gt;&lt;/FQL&gt;&lt;FQL&gt;&lt;Q&gt;QCOM^FF_ENTRPR_VAL_EBITDA_OPER(ANN_R,2020)@FE_VALUATION(EV_EBITDA,MEDIAN,ANNUAL,2020,0,,,'')&lt;/Q&gt;&lt;R&gt;1&lt;/R&gt;&lt;C&gt;1&lt;/C&gt;&lt;D xsi:type="xsd:double"&gt;9.121178&lt;/D&gt;&lt;/FQL&gt;&lt;FQL&gt;&lt;Q&gt;INTC^FREF_MARKET_VALUE_COMPANY(43136,,,USD,,0)&lt;/Q&gt;&lt;R&gt;1&lt;/R&gt;&lt;C&gt;1&lt;/C&gt;&lt;D xsi:type="xsd:double"&gt;208353.602142334&lt;/D&gt;&lt;/FQL&gt;&lt;FQL&gt;&lt;Q&gt;MSFT^FF_PSALES(ANN_R,2018)@FE_VALUATION(PS,MEDIAN,ANNUAL,2018,0,,,'')&lt;/Q&gt;&lt;R&gt;1&lt;/R&gt;&lt;C&gt;1&lt;/C&gt;&lt;D xsi:type="xsd:string"&gt;#NUM&lt;/D&gt;&lt;/FQL&gt;&lt;FQL&gt;&lt;Q&gt;CSCO^FF_PE_DIL(ANN_R,2017)@FE_VALUATION(PE,MEDIAN,ANNUAL,2017,0,,,'')&lt;/Q&gt;&lt;R&gt;1&lt;/R&gt;&lt;C&gt;1&lt;/C&gt;&lt;D xsi:type="xsd:double"&gt;16.589473684210532&lt;/D&gt;&lt;/FQL&gt;&lt;FQL&gt;&lt;Q&gt;IBM^FF_ENTRPR_VAL_SALES(ANN_R,2017)@FE_VALUATION(EV_SALES,MEDIAN,ANNUAL,2017,0,,,'')&lt;/Q&gt;&lt;R&gt;1&lt;/R&gt;&lt;C&gt;1&lt;/C&gt;&lt;D xsi:type="xsd:double"&gt;2.2515915362526688&lt;/D&gt;&lt;/FQL&gt;&lt;FQL&gt;&lt;Q&gt;AVGO^FF_ENTRPR_VAL_EBITDA_OPER(ANN_R,2020)@FE_VALUATION(EV_EBITDA,MEDIAN,ANNUAL,2020,0,,,'')&lt;/Q&gt;&lt;R&gt;1&lt;/R&gt;&lt;C&gt;1&lt;/C&gt;&lt;D xsi:type="xsd:double"&gt;7.5241203&lt;/D&gt;&lt;/FQL&gt;&lt;FQL&gt;&lt;Q&gt;24221^FF_ENTRPR_VAL_DAILY(43188,,,,USD,"BAS")&lt;/Q&gt;&lt;R&gt;0&lt;/R&gt;&lt;C&gt;0&lt;/C&gt;&lt;/FQL&gt;&lt;FQL&gt;&lt;Q&gt;INTC^FF_PSALES(ANN_R,2017)@FE_VALUATION(PS,MEDIAN,ANNUAL,2017,0,,,'')&lt;/Q&gt;&lt;R&gt;1&lt;/R&gt;&lt;C&gt;1&lt;/C&gt;&lt;D xsi:type="xsd:double"&gt;3.5560873791048579&lt;/D&gt;&lt;/FQL&gt;&lt;FQL&gt;&lt;Q&gt;TXN^FF_PSALES(ANN_R,2017)@FE_VALUATION(PS,MEDIAN,ANNUAL,2017,0,,,'')&lt;/Q&gt;&lt;R&gt;1&lt;/R&gt;&lt;C&gt;1&lt;/C&gt;&lt;D xsi:type="xsd:double"&gt;7.0645865918053614&lt;/D&gt;&lt;/FQL&gt;&lt;FQL&gt;&lt;Q&gt;677172^FF_ENTRPR_VAL_SALES(ANN_R,2019)@FE_VALUATION(EV_SALES,MEDIAN,ANNUAL,2019,0,,,'')&lt;/Q&gt;&lt;R&gt;1&lt;/R&gt;&lt;C&gt;1&lt;/C&gt;&lt;D xsi:type="xsd:double"&gt;0.90015054&lt;/D&gt;&lt;/FQL&gt;&lt;FQL&gt;&lt;Q&gt;MU^FF_ENTRPR_VAL_EBITDA_OPER(ANN_R,2020)@FE_VALUATION(EV_EBITDA,MEDIAN,ANNUAL,2020,0,,,'')&lt;/Q&gt;&lt;R&gt;1&lt;/R&gt;&lt;C&gt;1&lt;/C&gt;&lt;D xsi:type="xsd:double"&gt;1.896989&lt;/D&gt;&lt;/FQL&gt;&lt;FQL&gt;&lt;Q&gt;688910^FF_ENTRPR_VAL_FCF(ANN_R,)@FE_VALUATION(EV_FCF,MEDIAN,ANNUAL,,0,,,'')&lt;/Q&gt;&lt;R&gt;1&lt;/R&gt;&lt;C&gt;1&lt;/C&gt;&lt;D xsi:type="xsd:double"&gt;65.941679722904212&lt;/D&gt;&lt;/FQL&gt;&lt;FQL&gt;&lt;Q&gt;TXN^FF_GROSS_MGN(LTM_R,0)&lt;/Q&gt;&lt;R&gt;1&lt;/R&gt;&lt;C&gt;1&lt;/C&gt;&lt;D xsi:type="xsd:double"&gt;62.13488403181605&lt;/D&gt;&lt;/FQL&gt;&lt;FQL&gt;&lt;Q&gt;MA^FF_PSALES(ANN_R,2017)@FE_VALUATION(PS,MEDIAN,ANNUAL,2017,0,,,'')&lt;/Q&gt;&lt;R&gt;1&lt;/R&gt;&lt;C&gt;1&lt;/C&gt;&lt;D xsi:type="xsd:double"&gt;12.983749699927991&lt;/D&gt;&lt;/FQL&gt;&lt;FQL&gt;&lt;Q&gt;PYPL^FF_ENTRPR_VAL_FCF(ANN_R,)@FE_VALUATION(EV_FCF,MEDIAN,ANNUAL,,0,,,'')&lt;/Q&gt;&lt;R&gt;1&lt;/R&gt;&lt;C&gt;1&lt;/C&gt;&lt;D xsi:type="xsd:double"&gt;45.705482832618031&lt;/D&gt;&lt;/FQL&gt;&lt;FQL&gt;&lt;Q&gt;AMAT^FF_ENTRPR_VAL_EBITDA_OPER(ANN_R,2020)@FE_VALUATION(EV_EBITDA,MEDIAN,ANNUAL,2020,0,,,'')&lt;/Q&gt;&lt;R&gt;1&lt;/R&gt;&lt;C&gt;1&lt;/C&gt;&lt;D xsi:type="xsd:double"&gt;7.1947&lt;/D&gt;&lt;/FQL&gt;&lt;FQL&gt;&lt;Q&gt;MSFT^FF_PSALES(ANN_R,2017)@FE_VALUATION(PS,MEDIAN,ANNUAL,2017,0,,,'')&lt;/Q&gt;&lt;R&gt;1&lt;/R&gt;&lt;C&gt;1&lt;/C&gt;&lt;D xsi:type="xsd:double"&gt;6.0390375300632044&lt;/D&gt;&lt;/FQL&gt;&lt;FQL&gt;&lt;Q&gt;55298^FF_ENTRPR_VAL_DAILY(43188,,,,USD,"BAS")&lt;/Q&gt;&lt;R&gt;0&lt;/R&gt;&lt;C&gt;0&lt;/C&gt;&lt;/FQL&gt;&lt;FQL&gt;&lt;Q&gt;BMMV2K^FF_PSALES(ANN_R,2017)@FE_VALUATION(PS,MEDIAN,ANNUAL,2017,0,,,'')&lt;/Q&gt;&lt;R&gt;1&lt;/R&gt;&lt;C&gt;1&lt;/C&gt;&lt;D xsi:type="xsd:double"&gt;14.121845090691449&lt;/D&gt;&lt;/FQL&gt;&lt;FQL&gt;&lt;Q&gt;ON^FF_CAPEX(LTM_R,0)&lt;/Q&gt;&lt;R&gt;1&lt;/R&gt;&lt;C&gt;1&lt;/C&gt;&lt;D xsi:type="xsd:double"&gt;395.7&lt;/D&gt;&lt;/FQL&gt;&lt;FQL&gt;&lt;Q&gt;LRCX^FF_ENTRPR_VAL_EBITDA_OPER(ANN_R,2020)@FE_VALUATION(EV_EBITDA,MEDIAN,ANNUAL,2020,0,,,'')&lt;/Q&gt;&lt;R&gt;1&lt;/R&gt;&lt;C&gt;1&lt;/C&gt;&lt;D xsi:type="xsd:double"&gt;5.045459&lt;/D&gt;&lt;/FQL&gt;&lt;FQL&gt;&lt;Q&gt;MXIM^FF_CAPEX(LTM_R,0)&lt;/Q&gt;&lt;R&gt;1&lt;/R&gt;&lt;C&gt;1&lt;/C&gt;&lt;D xsi:type="xsd:double"&gt;58.07&lt;/D&gt;&lt;/FQL&gt;&lt;FQL&gt;&lt;Q&gt;MXIM^FF_ENTRPR_VAL_EBITDA_OPER(ANN_R,2019)@FE_VALUATION(EV_EBITDA,MEDIAN,ANNUAL,2019,0,,,'')&lt;/Q&gt;&lt;R&gt;1&lt;/R&gt;&lt;C&gt;1&lt;/C&gt;&lt;D xsi:type="xsd:double"&gt;14.690956&lt;/D&gt;&lt;/FQL&gt;&lt;FQL&gt;&lt;Q&gt;XLNX^FF_OPE</t>
      </text>
    </comment>
    <comment authorId="0" ref="A48">
      <text>
        <t xml:space="preserve">======
ID#AAAB10qfXxU
Park, Jason S.    (2026-03-18 17:29:03)
e="xsd:double"&gt;57.125&lt;/D&gt;&lt;D xsi:type="xsd:double"&gt;56.625&lt;/D&gt;&lt;D xsi:type="xsd:double"&gt;56.1875&lt;/D&gt;&lt;D xsi:type="xsd:double"&gt;56.5&lt;/D&gt;&lt;D xsi:type="xsd:double"&gt;57.9375&lt;/D&gt;&lt;D xsi:type="xsd:double"&gt;57.875&lt;/D&gt;&lt;D xsi:type="xsd:double"&gt;59.625&lt;/D&gt;&lt;D xsi:type="xsd:double"&gt;58.6875&lt;/D&gt;&lt;D xsi:type="xsd:double"&gt;57.875&lt;/D&gt;&lt;D xsi:type="xsd:double"&gt;57.46875&lt;/D&gt;&lt;D xsi:type="xsd:double"&gt;59.1875&lt;/D&gt;&lt;D xsi:type="xsd:double"&gt;60.09375&lt;/D&gt;&lt;D xsi:type="xsd:double"&gt;61.0625&lt;/D&gt;&lt;D xsi:type="xsd:double"&gt;58.9375&lt;/D&gt;&lt;D xsi:type="xsd:double"&gt;60.09375&lt;/D&gt;&lt;D xsi:type="xsd:double"&gt;62.53125&lt;/D&gt;&lt;D xsi:type="xsd:double"&gt;64.9375&lt;/D&gt;&lt;D xsi:type="xsd:double"&gt;67.5&lt;/D&gt;&lt;D xsi:type="xsd:double"&gt;69.21875&lt;/D&gt;&lt;D xsi:type="xsd:double"&gt;72.03125&lt;/D&gt;&lt;D xsi:type="xsd:double"&gt;71.3125&lt;/D&gt;&lt;D xsi:type="xsd:double"&gt;69.53125&lt;/D&gt;&lt;D xsi:type="xsd:double"&gt;71.34375&lt;/D&gt;&lt;D xsi:type="xsd:double"&gt;67.84375&lt;/D&gt;&lt;D xsi:type="xsd:double"&gt;65.9375&lt;/D&gt;&lt;D xsi:type="xsd:double"&gt;63.5&lt;/D&gt;&lt;D xsi:type="xsd:double"&gt;65.96875&lt;/D&gt;&lt;D xsi:type="xsd:double"&gt;65.3125&lt;/D&gt;&lt;D xsi:type="xsd:double"&gt;66.375&lt;/D&gt;&lt;D xsi:type="xsd:double"&gt;64.9375&lt;/D&gt;&lt;D xsi:type="xsd:double"&gt;64.90625&lt;/D&gt;&lt;D xsi:type="xsd:double"&gt;68.40625&lt;/D&gt;&lt;D xsi:type="xsd:double"&gt;65.5625&lt;/D&gt;&lt;D xsi:type="xsd:double"&gt;65.375&lt;/D&gt;&lt;D xsi:type="xsd:double"&gt;60.9375&lt;/D&gt;&lt;D xsi:type="xsd:double"&gt;60.5625&lt;/D&gt;&lt;D xsi:type="xsd:double"&gt;55.25&lt;/D&gt;&lt;D xsi:type="xsd:double"&gt;61.5&lt;/D&gt;&lt;D xsi:type="xsd:double"&gt;64.5&lt;/D&gt;&lt;D xsi:type="xsd:double"&gt;59.53125&lt;/D&gt;&lt;D xsi:type="xsd:double"&gt;57.6875&lt;/D&gt;&lt;D xsi:type="xsd:double"&gt;58.0625&lt;/D&gt;&lt;D xsi:type="xsd:double"&gt;62.5&lt;/D&gt;&lt;D xsi:type="xsd:double"&gt;60.40625&lt;/D&gt;&lt;D xsi:type="xsd:double"&gt;62.65625&lt;/D&gt;&lt;D xsi:type="xsd:double"&gt;63.40625&lt;/D&gt;&lt;D xsi:type="xsd:double"&gt;63.5625&lt;/D&gt;&lt;D xsi:type="xsd:double"&gt;60.59375&lt;/D&gt;&lt;D xsi:type="xsd:double"&gt;59.53125&lt;/D&gt;&lt;D xsi:type="xsd:double"&gt;59.78125&lt;/D&gt;&lt;D xsi:type="xsd:double"&gt;61.6875&lt;/D&gt;&lt;D xsi:type="xsd:double"&gt;58.8125&lt;/D&gt;&lt;D xsi:type="xsd:double"&gt;58.46875&lt;/D&gt;&lt;D xsi:type="xsd:double"&gt;53.03125&lt;/D&gt;&lt;D xsi:type="xsd:double"&gt;57.78125&lt;/D&gt;&lt;D xsi:type="xsd:double"&gt;57.5&lt;/D&gt;&lt;D xsi:type="xsd:double"&gt;59.0625&lt;/D&gt;&lt;D xsi:type="xsd:double"&gt;60.9375&lt;/D&gt;&lt;D xsi:type="xsd:double"&gt;61.59375&lt;/D&gt;&lt;D xsi:type="xsd:double"&gt;61.96875&lt;/D&gt;&lt;D xsi:type="xsd:double"&gt;58.9375&lt;/D&gt;&lt;D xsi:type="xsd:double"&gt;59.1875&lt;/D&gt;&lt;D xsi:type="xsd:double"&gt;54.9375&lt;/D&gt;&lt;D xsi:type="xsd:double"&gt;58.6875&lt;/D&gt;&lt;D xsi:type="xsd:double"&gt;57.59375&lt;/D&gt;&lt;D xsi:type="xsd:double"&gt;58.78125&lt;/D&gt;&lt;D xsi:type="xsd:double"&gt;62.875&lt;/D&gt;&lt;D xsi:type="xsd:double"&gt;62.34375&lt;/D&gt;&lt;D xsi:type="xsd:double"&gt;64.84375&lt;/D&gt;&lt;D xsi:type="xsd:double"&gt;67.09375&lt;/D&gt;&lt;D xsi:type="xsd:double"&gt;66.28125&lt;/D&gt;&lt;D xsi:type="xsd:double"&gt;64.78125&lt;/D&gt;&lt;D xsi:type="xsd:double"&gt;64.46875&lt;/D&gt;&lt;D xsi:type="xsd:double"&gt;63.09375&lt;/D&gt;&lt;D xsi:type="xsd:double"&gt;63.53125&lt;/D&gt;&lt;D xsi:type="xsd:double"&gt;62.53125&lt;/D&gt;&lt;D xsi:type="xsd:double"&gt;65.75&lt;/D&gt;&lt;D xsi:type="xsd:double"&gt;63.21875&lt;/D&gt;&lt;D xsi:type="xsd:double"&gt;64.125&lt;/D&gt;&lt;D xsi:type="xsd:double"&gt;63.03125&lt;/D&gt;&lt;D xsi:type="xsd:double"&gt;68.25&lt;/D&gt;&lt;D xsi:type="xsd:double"&gt;69.15625&lt;/D&gt;&lt;D xsi:type="xsd:double"&gt;69.5&lt;/D&gt;&lt;D xsi:type="xsd:double"&gt;67.03125&lt;/D&gt;&lt;D xsi:type="xsd:double"&gt;67.1875&lt;/D&gt;&lt;D xsi:type="xsd:double"&gt;67.09375&lt;/D&gt;&lt;D xsi:type="xsd:double"&gt;65.6875&lt;/D&gt;&lt;D xsi:type="xsd:double"&gt;66.1875&lt;/D&gt;&lt;D xsi:type="xsd:double"&gt;65.875&lt;/D&gt;&lt;D xsi:type="xsd:double"&gt;66.84375&lt;/D&gt;&lt;D xsi:type="xsd:double"&gt;68.4375&lt;/D&gt;&lt;D xsi:type="xsd:double"&gt;65.8125&lt;/D&gt;&lt;D xsi:type="xsd:double"&gt;68.3125&lt;/D&gt;&lt;D xsi:type="xsd:double"&gt;69.65625&lt;/D&gt;&lt;D xsi:type="xsd:double"&gt;68.90625&lt;/D&gt;&lt;D xsi:type="xsd:double"&gt;69.40625&lt;/D&gt;&lt;D xsi:type="xsd:double"&gt;70.59375&lt;/D&gt;&lt;D xsi:type="xsd:double"&gt;71.59375&lt;/D&gt;&lt;D xsi:type="xsd:double"&gt;73.34375&lt;/D&gt;&lt;D xsi:type="xsd:double"&gt;73.15625&lt;/D&gt;&lt;D xsi:type="xsd:double"&gt;71.5&lt;/D&gt;&lt;D xsi:type="xsd:double"&gt;69.0625&lt;/D&gt;&lt;D xsi:type="xsd:double"&gt;71.34375&lt;/D&gt;&lt;D xsi:type="xsd:double"&gt;69.09375&lt;/D&gt;&lt;D xsi:type="xsd:double"&gt;69&lt;/D&gt;&lt;D xsi:type="xsd:double"&gt;70.4375&lt;/D&gt;&lt;D xsi:type="xsd:double"&gt;69.5&lt;/D&gt;&lt;D xsi:type="xsd:double"&gt;68.5&lt;/D&gt;&lt;D xsi:type="xsd:double"&gt;64.5625&lt;/D&gt;&lt;D xsi:type="xsd:double"&gt;66.75&lt;/D&gt;&lt;D xsi:type="xsd:double"&gt;64.625&lt;/D&gt;&lt;D xsi:type="xsd:double"&gt;63.3125&lt;/D&gt;&lt;D xsi:type="xsd:double"&gt;65.0625&lt;/D&gt;&lt;D xsi:type="xsd:double"&gt;62.5625&lt;/D&gt;&lt;D xsi:ty</t>
      </text>
    </comment>
    <comment authorId="0" ref="A52">
      <text>
        <t xml:space="preserve">======
ID#AAAB10qfXxQ
Park, Jason S.    (2026-03-18 17:29:03)
"&gt;31.32&lt;/D&gt;&lt;D xsi:type="xsd:double"&gt;31.39&lt;/D&gt;&lt;D xsi:type="xsd:double"&gt;31.635&lt;/D&gt;&lt;D xsi:type="xsd:double"&gt;31.95&lt;/D&gt;&lt;D xsi:type="xsd:double"&gt;32.38&lt;/D&gt;&lt;D xsi:type="xsd:double"&gt;32.07&lt;/D&gt;&lt;D xsi:type="xsd:double"&gt;32.26&lt;/D&gt;&lt;D xsi:type="xsd:double"&gt;32.085&lt;/D&gt;&lt;D xsi:type="xsd:double"&gt;31.91&lt;/D&gt;&lt;D xsi:type="xsd:double"&gt;31.99&lt;/D&gt;&lt;D xsi:type="xsd:double"&gt;31.02&lt;/D&gt;&lt;D xsi:type="xsd:double"&gt;30.39&lt;/D&gt;&lt;D xsi:type="xsd:double"&gt;30.415&lt;/D&gt;&lt;D xsi:type="xsd:double"&gt;30.18&lt;/D&gt;&lt;D xsi:type="xsd:double"&gt;30.555&lt;/D&gt;&lt;D xsi:type="xsd:double"&gt;30.04&lt;/D&gt;&lt;D xsi:type="xsd:double"&gt;29.9&lt;/D&gt;&lt;D xsi:type="xsd:double"&gt;29.5&lt;/D&gt;&lt;D xsi:type="xsd:double"&gt;28.93&lt;/D&gt;&lt;D xsi:type="xsd:double"&gt;29.17&lt;/D&gt;&lt;D xsi:type="xsd:double"&gt;29.73&lt;/D&gt;&lt;D xsi:type="xsd:double"&gt;29.65&lt;/D&gt;&lt;D xsi:type="xsd:double"&gt;29.69&lt;/D&gt;&lt;D xsi:type="xsd:double"&gt;29.9&lt;/D&gt;&lt;D xsi:type="xsd:double"&gt;29.47&lt;/D&gt;&lt;D xsi:type="xsd:double"&gt;29.1&lt;/D&gt;&lt;D xsi:type="xsd:double"&gt;28.72&lt;/D&gt;&lt;D xsi:type="xsd:double"&gt;28.605&lt;/D&gt;&lt;D xsi:type="xsd:double"&gt;28.595&lt;/D&gt;&lt;D xsi:type="xsd:double"&gt;28.06&lt;/D&gt;&lt;D xsi:type="xsd:double"&gt;28.35&lt;/D&gt;&lt;D xsi:type="xsd:double"&gt;28.96&lt;/D&gt;&lt;D xsi:type="xsd:double"&gt;29.01&lt;/D&gt;&lt;D xsi:type="xsd:double"&gt;28.91&lt;/D&gt;&lt;D xsi:type="xsd:double"&gt;28.95&lt;/D&gt;&lt;D xsi:type="xsd:double"&gt;29.05&lt;/D&gt;&lt;D xsi:type="xsd:double"&gt;29.13&lt;/D&gt;&lt;D xsi:type="xsd:double"&gt;29.12&lt;/D&gt;&lt;D xsi:type="xsd:double"&gt;29.01&lt;/D&gt;&lt;D xsi:type="xsd:double"&gt;28.88&lt;/D&gt;&lt;D xsi:type="xsd:double"&gt;29.64&lt;/D&gt;&lt;D xsi:type="xsd:double"&gt;28.97&lt;/D&gt;&lt;D xsi:type="xsd:double"&gt;29.46&lt;/D&gt;&lt;D xsi:type="xsd:double"&gt;28.87&lt;/D&gt;&lt;D xsi:type="xsd:double"&gt;29.02&lt;/D&gt;&lt;D xsi:type="xsd:double"&gt;29.08&lt;/D&gt;&lt;D xsi:type="xsd:double"&gt;28.91&lt;/D&gt;&lt;D xsi:type="xsd:double"&gt;28.36&lt;/D&gt;&lt;D xsi:type="xsd:double"&gt;27.53&lt;/D&gt;&lt;D xsi:type="xsd:double"&gt;26.56&lt;/D&gt;&lt;D xsi:type="xsd:double"&gt;26.25&lt;/D&gt;&lt;D xsi:type="xsd:double"&gt;25.87&lt;/D&gt;&lt;D xsi:type="xsd:double"&gt;27.3&lt;/D&gt;&lt;D xsi:type="xsd:double"&gt;27.72&lt;/D&gt;&lt;D xsi:type="xsd:double"&gt;28.42&lt;/D&gt;&lt;D xsi:type="xsd:double"&gt;28.54&lt;/D&gt;&lt;D xsi:type="xsd:double"&gt;27.82&lt;/D&gt;&lt;D xsi:type="xsd:double"&gt;28.6&lt;/D&gt;&lt;D xsi:type="xsd:double"&gt;29.08&lt;/D&gt;&lt;D xsi:type="xsd:double"&gt;28.52&lt;/D&gt;&lt;D xsi:type="xsd:double"&gt;29.5&lt;/D&gt;&lt;D xsi:type="xsd:double"&gt;29.24&lt;/D&gt;&lt;D xsi:type="xsd:double"&gt;29.27&lt;/D&gt;&lt;D xsi:type="xsd:double"&gt;29.47&lt;/D&gt;&lt;D xsi:type="xsd:double"&gt;29.39&lt;/D&gt;&lt;D xsi:type="xsd:double"&gt;29.73&lt;/D&gt;&lt;D xsi:type="xsd:double"&gt;29.77&lt;/D&gt;&lt;D xsi:type="xsd:double"&gt;29.71&lt;/D&gt;&lt;D xsi:type="xsd:double"&gt;29.02&lt;/D&gt;&lt;D xsi:type="xsd:double"&gt;29.16&lt;/D&gt;&lt;D xsi:type="xsd:double"&gt;28.67&lt;/D&gt;&lt;D xsi:type="xsd:double"&gt;28.74&lt;/D&gt;&lt;D xsi:type="xsd:double"&gt;28.48&lt;/D&gt;&lt;D xsi:type="xsd:double"&gt;28.81&lt;/D&gt;&lt;D xsi:type="xsd:double"&gt;28.76&lt;/D&gt;&lt;D xsi:type="xsd:double"&gt;29.24&lt;/D&gt;&lt;D xsi:type="xsd:double"&gt;30.14&lt;/D&gt;&lt;D xsi:type="xsd:double"&gt;30&lt;/D&gt;&lt;D xsi:type="xsd:double"&gt;30.51&lt;/D&gt;&lt;D xsi:type="xsd:double"&gt;31.21&lt;/D&gt;&lt;D xsi:type="xsd:double"&gt;31.74&lt;/D&gt;&lt;D xsi:type="xsd:double"&gt;32.315&lt;/D&gt;&lt;D xsi:type="xsd:double"&gt;32.52&lt;/D&gt;&lt;D xsi:type="xsd:double"&gt;32.14&lt;/D&gt;&lt;D xsi:type="xsd:double"&gt;32.21&lt;/D&gt;&lt;D xsi:type="xsd:double"&gt;32.04&lt;/D&gt;&lt;D xsi:type="xsd:double"&gt;32.8&lt;/D&gt;&lt;D xsi:type="xsd:double"&gt;32.75&lt;/D&gt;&lt;D xsi:type="xsd:double"&gt;33.04&lt;/D&gt;&lt;D xsi:type="xsd:double"&gt;33.59&lt;/D&gt;&lt;D xsi:type="xsd:double"&gt;33.44&lt;/D&gt;&lt;D xsi:type="xsd:double"&gt;33.37&lt;/D&gt;&lt;D xsi:type="xsd:double"&gt;34.4&lt;/D&gt;&lt;D xsi:type="xsd:double"&gt;34.9&lt;/D&gt;&lt;D xsi:type="xsd:double"&gt;34.59&lt;/D&gt;&lt;D xsi:type="xsd:double"&gt;34.47&lt;/D&gt;&lt;D xsi:type="xsd:double"&gt;34.71&lt;/D&gt;&lt;D xsi:type="xsd:double"&gt;34.03&lt;/D&gt;&lt;D xsi:type="xsd:double"&gt;33.86&lt;/D&gt;&lt;D xsi:type="xsd:double"&gt;34.11&lt;/D&gt;&lt;D xsi:type="xsd:double"&gt;34.31&lt;/D&gt;&lt;D xsi:type="xsd:double"&gt;34.15&lt;/D&gt;&lt;D xsi:type="xsd:double"&gt;34&lt;/D&gt;&lt;D xsi:type="xsd:double"&gt;33.84&lt;/D&gt;&lt;D xsi:type="xsd:double"&gt;33.35&lt;/D&gt;&lt;D xsi:type="xsd:double"&gt;33.21&lt;/D&gt;&lt;D xsi:type="xsd:double"&gt;32.86&lt;/D&gt;&lt;D xsi:type="xsd:double"&gt;32.4&lt;/D&gt;&lt;D xsi:type="xsd:double"&gt;32.11&lt;/D&gt;&lt;D xsi:type="xsd:double"&gt;32.1&lt;/D&gt;&lt;D xsi:type="xsd:double"&gt;32.64&lt;/D&gt;&lt;D xsi:type="xsd:double"&gt;33.16&lt;/D&gt;&lt;D xsi:type="xsd:double"&gt;34.3&lt;/D&gt;&lt;D xsi:type="xsd:double"&gt;34.66&lt;/D&gt;&lt;D xsi:type="xsd:double"&gt;34.48&lt;/D&gt;&lt;D xsi:type="xsd:double"&gt;34.36&lt;/D&gt;&lt;D xsi:type="xsd:double"&gt;34.45&lt;/D&gt;&lt;D xsi:type="xsd:double"&gt;34.46&lt;/D&gt;&lt;D xsi:type="xsd:double"&gt;34.77&lt;/D&gt;&lt;D xsi:type="xsd:double"&gt;35.09&lt;/D&gt;&lt;D xsi:type="xsd:double"&gt;34.83&lt;/D&gt;&lt;D xsi:type="xsd:</t>
      </text>
    </comment>
    <comment authorId="0" ref="A5">
      <text>
        <t xml:space="preserve">======
ID#AAAB10qfXxM
Park, Jason S.    (2026-03-18 17:29:03)
NVDA^FF_OPER_INC(ANN_R,0)&lt;/Q&gt;&lt;R&gt;1&lt;/R&gt;&lt;C&gt;1&lt;/C&gt;&lt;D xsi:type="xsd:double"&gt;3223&lt;/D&gt;&lt;/FQL&gt;&lt;FQL&gt;&lt;Q&gt;KLAC^FF_SALES(ANN_R,2017)&lt;/Q&gt;&lt;R&gt;1&lt;/R&gt;&lt;C&gt;1&lt;/C&gt;&lt;D xsi:type="xsd:double"&gt;3477.168&lt;/D&gt;&lt;/FQL&gt;&lt;FQL&gt;&lt;Q&gt;KLAC^FE_ESTIMATE(SALES,MEAN,ANNUAL,2021,0,,,'')&lt;/Q&gt;&lt;R&gt;0&lt;/R&gt;&lt;C&gt;0&lt;/C&gt;&lt;/FQL&gt;&lt;FQL&gt;&lt;Q&gt;ORCL^FF_SALES(ANN_R,2016)&lt;/Q&gt;&lt;R&gt;1&lt;/R&gt;&lt;C&gt;1&lt;/C&gt;&lt;D xsi:type="xsd:double"&gt;37728&lt;/D&gt;&lt;/FQL&gt;&lt;FQL&gt;&lt;Q&gt;TER^FF_SALES(ANN_R,2017)&lt;/Q&gt;&lt;R&gt;1&lt;/R&gt;&lt;C&gt;1&lt;/C&gt;&lt;D xsi:type="xsd:double"&gt;2136.606&lt;/D&gt;&lt;/FQL&gt;&lt;FQL&gt;&lt;Q&gt;TER^FE_ESTIMATE(SALES,MEAN,ANNUAL,2021,0,,,'')&lt;/Q&gt;&lt;R&gt;1&lt;/R&gt;&lt;C&gt;1&lt;/C&gt;&lt;D xsi:type="xsd:double"&gt;2833&lt;/D&gt;&lt;/FQL&gt;&lt;FQL&gt;&lt;Q&gt;INTC^FF_ENTRPR_VAL_EBITDA_OPER(ANN_R,)@FE_VALUATION(EV_EBITDA,MEDIAN,ANNUAL,,0,,,'')&lt;/Q&gt;&lt;R&gt;1&lt;/R&gt;&lt;C&gt;1&lt;/C&gt;&lt;D xsi:type="xsd:double"&gt;8.950971203990628&lt;/D&gt;&lt;/FQL&gt;&lt;FQL&gt;&lt;Q&gt;FB^FF_CO_NAME&lt;/Q&gt;&lt;R&gt;1&lt;/R&gt;&lt;C&gt;1&lt;/C&gt;&lt;D xsi:type="xsd:string"&gt;Facebook, Inc.&lt;/D&gt;&lt;/FQL&gt;&lt;FQL&gt;&lt;Q&gt;IPHI^FF_ROE(QTR_R,0)&lt;/Q&gt;&lt;R&gt;1&lt;/R&gt;&lt;C&gt;1&lt;/C&gt;&lt;D xsi:type="xsd:double"&gt;-13.23886131877442&lt;/D&gt;&lt;/FQL&gt;&lt;FQL&gt;&lt;Q&gt;IPHI^FG_PBK_TANG(NOW)&lt;/Q&gt;&lt;R&gt;1&lt;/R&gt;&lt;C&gt;1&lt;/C&gt;&lt;D xsi:type="xsd:double"&gt;20.70307947448925&lt;/D&gt;&lt;/FQL&gt;&lt;FQL&gt;&lt;Q&gt;IPHI^FE_ESTIMATE(SALES,MEDIAN,ANNUAL,2019,0,,,'')&lt;/Q&gt;&lt;R&gt;1&lt;/R&gt;&lt;C&gt;1&lt;/C&gt;&lt;D xsi:type="xsd:double"&gt;430&lt;/D&gt;&lt;/FQL&gt;&lt;FQL&gt;&lt;Q&gt;MTSI^FF_ROE(QTR_R,0)&lt;/Q&gt;&lt;R&gt;1&lt;/R&gt;&lt;C&gt;1&lt;/C&gt;&lt;D xsi:type="xsd:double"&gt;-24.25755427937408&lt;/D&gt;&lt;/FQL&gt;&lt;FQL&gt;&lt;Q&gt;MTSI^FG_PBK_TANG(NOW)&lt;/Q&gt;&lt;R&gt;0&lt;/R&gt;&lt;C&gt;0&lt;/C&gt;&lt;/FQL&gt;&lt;FQL&gt;&lt;Q&gt;MTSI^FE_ESTIMATE(SALES,MEDIAN,ANNUAL,2019,0,,,'')&lt;/Q&gt;&lt;R&gt;1&lt;/R&gt;&lt;C&gt;1&lt;/C&gt;&lt;D xsi:type="xsd:double"&gt;799.757&lt;/D&gt;&lt;/FQL&gt;&lt;FQL&gt;&lt;Q&gt;MX^FF_ROE(QTR_R,0)&lt;/Q&gt;&lt;R&gt;0&lt;/R&gt;&lt;C&gt;0&lt;/C&gt;&lt;/FQL&gt;&lt;FQL&gt;&lt;Q&gt;MX^FG_PBK_TANG(NOW)&lt;/Q&gt;&lt;R&gt;0&lt;/R&gt;&lt;C&gt;0&lt;/C&gt;&lt;/FQL&gt;&lt;FQL&gt;&lt;Q&gt;MX^FE_ESTIMATE(SALES,MEDIAN,ANNUAL,2019,0,,,'')&lt;/Q&gt;&lt;R&gt;0&lt;/R&gt;&lt;C&gt;0&lt;/C&gt;&lt;/FQL&gt;&lt;FQL&gt;&lt;Q&gt;SIMO^FF_ROE(QTR_R,0)&lt;/Q&gt;&lt;R&gt;1&lt;/R&gt;&lt;C&gt;1&lt;/C&gt;&lt;D xsi:type="xsd:double"&gt;19.792769054551879&lt;/D&gt;&lt;/FQL&gt;&lt;FQL&gt;&lt;Q&gt;SIMO^FG_PBK_TANG(NOW)&lt;/Q&gt;&lt;R&gt;1&lt;/R&gt;&lt;C&gt;1&lt;/C&gt;&lt;D xsi:type="xsd:double"&gt;3.9241629155411131&lt;/D&gt;&lt;/FQL&gt;&lt;FQL&gt;&lt;Q&gt;SIMO^FE_ESTIMATE(SALES,MEDIAN,ANNUAL,2019,0,,,'')&lt;/Q&gt;&lt;R&gt;1&lt;/R&gt;&lt;C&gt;1&lt;/C&gt;&lt;D xsi:type="xsd:double"&gt;645.55005&lt;/D&gt;&lt;/FQL&gt;&lt;FQL&gt;&lt;Q&gt;MRVL^P_PRICE(43136,,,USD)&lt;/Q&gt;&lt;R&gt;1&lt;/R&gt;&lt;C&gt;1&lt;/C&gt;&lt;D xsi:type="xsd:double"&gt;21.35&lt;/D&gt;&lt;/FQL&gt;&lt;FQL&gt;&lt;Q&gt;FB^FF_ENTRPR_VAL_FCF(ANN_R,TTM)@FE_VALUATION(EV_FCF,MEDIAN,ANNUAL,TTM,0,,,'')&lt;/Q&gt;&lt;R&gt;1&lt;/R&gt;&lt;C&gt;1&lt;/C&gt;&lt;D xsi:type="xsd:string"&gt;#NUM&lt;/D&gt;&lt;/FQL&gt;&lt;FQL&gt;&lt;Q&gt;ON^FF_STK_SALE_CF(LTM_R,0)&lt;/Q&gt;&lt;R&gt;1&lt;/R&gt;&lt;C&gt;1&lt;/C&gt;&lt;D xsi:type="xsd:double"&gt;126.8&lt;/D&gt;&lt;/FQL&gt;&lt;FQL&gt;&lt;Q&gt;CY^FF_ROE(QTR_R,0)&lt;/Q&gt;&lt;R&gt;1&lt;/R&gt;&lt;C&gt;1&lt;/C&gt;&lt;D xsi:type="xsd:double"&gt;-5.0508000430378566&lt;/D&gt;&lt;/FQL&gt;&lt;FQL&gt;&lt;Q&gt;CY^FG_PBK_TANG(NOW)&lt;/Q&gt;&lt;R&gt;0&lt;/R&gt;&lt;C&gt;0&lt;/C&gt;&lt;/FQL&gt;&lt;FQL&gt;&lt;Q&gt;CY^FE_ESTIMATE(SALES,MEDIAN,ANNUAL,2019,0,,,'')&lt;/Q&gt;&lt;R&gt;1&lt;/R&gt;&lt;C&gt;1&lt;/C&gt;&lt;D xsi:type="xsd:double"&gt;2634&lt;/D&gt;&lt;/FQL&gt;&lt;FQL&gt;&lt;Q&gt;MCHP^FF_ENTRPR_VAL_FCF(ANN_R,2018)@FE_VALUATION(EV_FCF,MEDIAN,ANNUAL,2018,0,,,'')&lt;/Q&gt;&lt;R&gt;1&lt;/R&gt;&lt;C&gt;1&lt;/C&gt;&lt;D xsi:type="xsd:double"&gt;16.330688&lt;/D&gt;&lt;/FQL&gt;&lt;FQL&gt;&lt;Q&gt;STM^FF_DIV_COM_CF(LTM_R,0)&lt;/Q&gt;&lt;R&gt;1&lt;/R&gt;&lt;C&gt;1&lt;/C&gt;&lt;D xsi:type="xsd:double"&gt;215.7708594802&lt;/D&gt;&lt;/FQL&gt;&lt;FQL&gt;&lt;Q&gt;BABA^FF_GROSS_INC(ANN_R,0)&lt;/Q&gt;&lt;R&gt;1&lt;/R&gt;&lt;C&gt;1&lt;/C&gt;&lt;D xsi:type="xsd:double"&gt;14047.890375618759&lt;/D&gt;&lt;/FQL&gt;&lt;FQL&gt;&lt;Q&gt;ADI^FF_PE_DIL(ANN_R,2018)@FE_VALUATION(PE,MEDIAN,ANNUAL,2018,0,,,'')&lt;/Q&gt;&lt;R&gt;1&lt;/R&gt;&lt;C&gt;1&lt;/C&gt;&lt;D xsi:type="xsd:double"&gt;16.044012&lt;/D&gt;&lt;/FQL&gt;&lt;FQL&gt;&lt;Q&gt;NXPI^FF_ENTRPR_VAL_EBITDA_OPER(ANN_R,2017)@FE_VALUATION(EV_EBITDA,MEDIAN,ANNUAL,2017,0,,,'')&lt;/Q&gt;&lt;R&gt;1&lt;/R&gt;&lt;C&gt;1&lt;/C&gt;&lt;D xsi:type="xsd:double"&gt;16.1840577924973&lt;/D&gt;&lt;/FQL&gt;&lt;FQL&gt;&lt;Q&gt;QRVO^FE_ESTIMATE(SALES,MEDIAN,ANNUAL,2019,0,,,'')&lt;/Q&gt;&lt;R&gt;1&lt;/R&gt;&lt;C&gt;1&lt;/C&gt;&lt;D xsi:type="xsd:double"&gt;3600&lt;/D&gt;&lt;/FQL&gt;&lt;FQL&gt;&lt;Q&gt;MLNX^FF_ROE(QTR_R,0)&lt;/Q&gt;&lt;R&gt;1&lt;/R&gt;&lt;C&gt;1&lt;/C&gt;&lt;D xsi:type="xsd:double"&gt;-1.9108017104257471&lt;/D&gt;&lt;/FQL&gt;&lt;FQL&gt;&lt;Q&gt;MLNX^FG_PBK_TANG(NOW)&lt;/Q&gt;&lt;R&gt;1&lt;/R&gt;&lt;C&gt;1&lt;/C&gt;&lt;D xsi:type="xsd:double"&gt;8.6417335645787965&lt;/D&gt;&lt;/FQL&gt;&lt;FQL&gt;&lt;Q&gt;MLNX^FE_ESTIMATE(SALES,MEDIAN,ANNUAL,2019,0,,,'')&lt;/Q&gt;&lt;R&gt;1&lt;/R&gt;&lt;C&gt;1&lt;/C&gt;&lt;D xsi:type="xsd:double"&gt;1079.25&lt;/D&gt;&lt;/FQL&gt;&lt;FQL&gt;&lt;Q&gt;CRUS^FF_ROE(QTR_R,0)&lt;/Q&gt;&lt;R&gt;1&lt;/R&gt;&lt;C&gt;1&lt;/C&gt;&lt;D xsi:type="xsd:double"&gt;25.200823949869619&lt;/D&gt;&lt;/FQL&gt;&lt;FQL&gt;&lt;Q&gt;CRUS^FG_PBK_TANG(NOW)&lt;/Q&gt;&lt;R&gt;1&lt;/R&gt;&lt;C&gt;1&lt;/C&gt;&lt;D xsi:type="xsd:double"&gt;3.5106623504088641&lt;/D&gt;&lt;/FQL&gt;&lt;FQL&gt;&lt;Q&gt;CRUS^FE_ESTIMATE(SALES,MEDIAN,ANNUAL,2019,0,,,'')&lt;/Q&gt;&lt;R&gt;1&lt;/R&gt;&lt;C&gt;1&lt;/C&gt;&lt;D xsi:type="xsd:double"&gt;1802&lt;/D&gt;&lt;/FQL&gt;&lt;FQL&gt;&lt;Q&gt;CAVM^FF_ROE(QTR_R,0)&lt;/Q&gt;&lt;R&gt;1&lt;/R&gt;&lt;C&gt;1&lt;/C&gt;&lt;D xsi:type="xsd:double"&gt;-9.0592623290509717&lt;/D&gt;&lt;/FQL&gt;&lt;FQL&gt;&lt;Q&gt;CAVM^FG_PBK_TANG(NOW)&lt;/Q&gt;&lt;R&gt;0&lt;/R&gt;&lt;C&gt;0&lt;</t>
      </text>
    </comment>
    <comment authorId="0" ref="A39">
      <text>
        <t xml:space="preserve">======
ID#AAAB10qfXxI
Park, Jason S.    (2026-03-18 17:29:03)
xsd:long"&gt;40091&lt;/D&gt;&lt;D xsi:type="xsd:long"&gt;40092&lt;/D&gt;&lt;D xsi:type="xsd:long"&gt;40093&lt;/D&gt;&lt;D xsi:type="xsd:long"&gt;40094&lt;/D&gt;&lt;D xsi:type="xsd:long"&gt;40095&lt;/D&gt;&lt;D xsi:type="xsd:long"&gt;40098&lt;/D&gt;&lt;D xsi:type="xsd:long"&gt;40099&lt;/D&gt;&lt;D xsi:type="xsd:long"&gt;40100&lt;/D&gt;&lt;D xsi:type="xsd:long"&gt;40101&lt;/D&gt;&lt;D xsi:type="xsd:long"&gt;40102&lt;/D&gt;&lt;D xsi:type="xsd:long"&gt;40105&lt;/D&gt;&lt;D xsi:type="xsd:long"&gt;40106&lt;/D&gt;&lt;D xsi:type="xsd:long"&gt;40107&lt;/D&gt;&lt;D xsi:type="xsd:long"&gt;40108&lt;/D&gt;&lt;D xsi:type="xsd:long"&gt;40109&lt;/D&gt;&lt;D xsi:type="xsd:long"&gt;40112&lt;/D&gt;&lt;D xsi:type="xsd:long"&gt;40113&lt;/D&gt;&lt;D xsi:type="xsd:long"&gt;40114&lt;/D&gt;&lt;D xsi:type="xsd:long"&gt;40115&lt;/D&gt;&lt;D xsi:type="xsd:long"&gt;40116&lt;/D&gt;&lt;D xsi:type="xsd:long"&gt;40119&lt;/D&gt;&lt;D xsi:type="xsd:long"&gt;40120&lt;/D&gt;&lt;D xsi:type="xsd:long"&gt;40121&lt;/D&gt;&lt;D xsi:type="xsd:long"&gt;40122&lt;/D&gt;&lt;D xsi:type="xsd:long"&gt;40123&lt;/D&gt;&lt;D xsi:type="xsd:long"&gt;40126&lt;/D&gt;&lt;D xsi:type="xsd:long"&gt;40127&lt;/D&gt;&lt;D xsi:type="xsd:long"&gt;40128&lt;/D&gt;&lt;D xsi:type="xsd:long"&gt;40129&lt;/D&gt;&lt;D xsi:type="xsd:long"&gt;40130&lt;/D&gt;&lt;D xsi:type="xsd:long"&gt;40133&lt;/D&gt;&lt;D xsi:type="xsd:long"&gt;40134&lt;/D&gt;&lt;D xsi:type="xsd:long"&gt;40135&lt;/D&gt;&lt;D xsi:type="xsd:long"&gt;40136&lt;/D&gt;&lt;D xsi:type="xsd:long"&gt;40137&lt;/D&gt;&lt;D xsi:type="xsd:long"&gt;40140&lt;/D&gt;&lt;D xsi:type="xsd:long"&gt;40141&lt;/D&gt;&lt;D xsi:type="xsd:long"&gt;40142&lt;/D&gt;&lt;D xsi:type="xsd:long"&gt;40144&lt;/D&gt;&lt;D xsi:type="xsd:long"&gt;40147&lt;/D&gt;&lt;D xsi:type="xsd:long"&gt;40148&lt;/D&gt;&lt;D xsi:type="xsd:long"&gt;40149&lt;/D&gt;&lt;D xsi:type="xsd:long"&gt;40150&lt;/D&gt;&lt;D xsi:type="xsd:long"&gt;40151&lt;/D&gt;&lt;D xsi:type="xsd:long"&gt;40154&lt;/D&gt;&lt;D xsi:type="xsd:long"&gt;40155&lt;/D&gt;&lt;D xsi:type="xsd:long"&gt;40156&lt;/D&gt;&lt;D xsi:type="xsd:long"&gt;40157&lt;/D&gt;&lt;D xsi:type="xsd:long"&gt;40158&lt;/D&gt;&lt;D xsi:type="xsd:long"&gt;40161&lt;/D&gt;&lt;D xsi:type="xsd:long"&gt;40162&lt;/D&gt;&lt;D xsi:type="xsd:long"&gt;40163&lt;/D&gt;&lt;D xsi:type="xsd:long"&gt;40164&lt;/D&gt;&lt;D xsi:type="xsd:long"&gt;40165&lt;/D&gt;&lt;D xsi:type="xsd:long"&gt;40168&lt;/D&gt;&lt;D xsi:type="xsd:long"&gt;40169&lt;/D&gt;&lt;D xsi:type="xsd:long"&gt;40170&lt;/D&gt;&lt;D xsi:type="xsd:long"&gt;40171&lt;/D&gt;&lt;D xsi:type="xsd:long"&gt;40175&lt;/D&gt;&lt;D xsi:type="xsd:long"&gt;40176&lt;/D&gt;&lt;D xsi:type="xsd:long"&gt;40177&lt;/D&gt;&lt;D xsi:type="xsd:long"&gt;40178&lt;/D&gt;&lt;D xsi:type="xsd:long"&gt;40182&lt;/D&gt;&lt;D xsi:type="xsd:long"&gt;40183&lt;/D&gt;&lt;D xsi:type="xsd:long"&gt;40184&lt;/D&gt;&lt;D xsi:type="xsd:long"&gt;40185&lt;/D&gt;&lt;D xsi:type="xsd:long"&gt;40186&lt;/D&gt;&lt;D xsi:type="xsd:long"&gt;40189&lt;/D&gt;&lt;D xsi:type="xsd:long"&gt;40190&lt;/D&gt;&lt;D xsi:type="xsd:long"&gt;40191&lt;/D&gt;&lt;D xsi:type="xsd:long"&gt;40192&lt;/D&gt;&lt;D xsi:type="xsd:long"&gt;40193&lt;/D&gt;&lt;D xsi:type="xsd:long"&gt;40197&lt;/D&gt;&lt;D xsi:type="xsd:long"&gt;40198&lt;/D&gt;&lt;D xsi:type="xsd:long"&gt;40199&lt;/D&gt;&lt;D xsi:type="xsd:long"&gt;40200&lt;/D&gt;&lt;D xsi:type="xsd:long"&gt;40203&lt;/D&gt;&lt;D xsi:type="xsd:long"&gt;40204&lt;/D&gt;&lt;D xsi:type="xsd:long"&gt;40205&lt;/D&gt;&lt;D xsi:type="xsd:long"&gt;40206&lt;/D&gt;&lt;D xsi:type="xsd:long"&gt;40207&lt;/D&gt;&lt;D xsi:type="xsd:long"&gt;40210&lt;/D&gt;&lt;D xsi:type="xsd:long"&gt;40211&lt;/D&gt;&lt;D xsi:type="xsd:long"&gt;40212&lt;/D&gt;&lt;D xsi:type="xsd:long"&gt;40213&lt;/D&gt;&lt;D xsi:type="xsd:long"&gt;40214&lt;/D&gt;&lt;D xsi:type="xsd:long"&gt;40217&lt;/D&gt;&lt;D xsi:type="xsd:long"&gt;40218&lt;/D&gt;&lt;D xsi:type="xsd:long"&gt;40219&lt;/D&gt;&lt;D xsi:type="xsd:long"&gt;40220&lt;/D&gt;&lt;D xsi:type="xsd:long"&gt;40221&lt;/D&gt;&lt;D xsi:type="xsd:long"&gt;40225&lt;/D&gt;&lt;D xsi:type="xsd:long"&gt;40226&lt;/D&gt;&lt;D xsi:type="xsd:long"&gt;40227&lt;/D&gt;&lt;D xsi:type="xsd:long"&gt;40228&lt;/D&gt;&lt;D xsi:type="xsd:long"&gt;40231&lt;/D&gt;&lt;D xsi:type="xsd:long"&gt;40232&lt;/D&gt;&lt;D xsi:type="xsd:long"&gt;40233&lt;/D&gt;&lt;D xsi:type="xsd:long"&gt;40234&lt;/D&gt;&lt;D xsi:type="xsd:long"&gt;40235&lt;/D&gt;&lt;D xsi:type="xsd:long"&gt;40238&lt;/D&gt;&lt;D xsi:type="xsd:long"&gt;40239&lt;/D&gt;&lt;D xsi:type="xsd:long"&gt;40240&lt;/D&gt;&lt;D xsi:type="xsd:long"&gt;40241&lt;/D&gt;&lt;D xsi:type="xsd:long"&gt;40242&lt;/D&gt;&lt;D xsi:type="xsd:long"&gt;40245&lt;/D&gt;&lt;D xsi:type="xsd:long"&gt;40246&lt;/D&gt;&lt;D xsi:type="xsd:long"&gt;40247&lt;/D&gt;&lt;D xsi:type="xsd:long"&gt;40248&lt;/D&gt;&lt;D xsi:type="xsd:long"&gt;40249&lt;/D&gt;&lt;D xsi:type="xsd:long"&gt;40252&lt;/D&gt;&lt;D xsi:type="xsd:long"&gt;40253&lt;/D&gt;&lt;D xsi:type="xsd:long"&gt;40254&lt;/D&gt;&lt;D xsi:type="xsd:long"&gt;40255&lt;/D&gt;&lt;D xsi:type="xsd:long"&gt;40256&lt;/D&gt;&lt;D xsi:type="xsd:long"&gt;40259&lt;/D&gt;&lt;D xsi:type="xsd:long"&gt;40260&lt;/D&gt;&lt;D xsi:type="xsd:long"&gt;40261&lt;/D&gt;&lt;D xsi:type="xsd:long"&gt;40262&lt;/D&gt;&lt;D xsi:type="xsd:long"&gt;40263&lt;/D&gt;&lt;D xsi:type="xsd:long"&gt;40266&lt;/D&gt;&lt;D xsi:type="xsd:long"&gt;40267&lt;/D&gt;&lt;D xsi:type="xsd:long"&gt;40268&lt;/D&gt;&lt;D xsi:type="xsd:long"&gt;40269&lt;/D&gt;&lt;D xsi:type="xsd:long"&gt;40273&lt;/D&gt;&lt;D xsi:type="xsd:long"&gt;40274&lt;/D&gt;&lt;D xsi:type="xsd:long"&gt;40275&lt;/D&gt;&lt;D xsi:type="xsd:long"&gt;40276&lt;/D&gt;&lt;D xsi:type="</t>
      </text>
    </comment>
    <comment authorId="0" ref="A23">
      <text>
        <t xml:space="preserve">======
ID#AAAB10qfXxE
Park, Jason S.    (2026-03-18 17:29:03)
837&lt;/D&gt;&lt;D xsi:type="xsd:double"&gt;17.7444&lt;/D&gt;&lt;D xsi:type="xsd:double"&gt;17.883463&lt;/D&gt;&lt;D xsi:type="xsd:double"&gt;18.010038&lt;/D&gt;&lt;D xsi:type="xsd:double"&gt;17.523283&lt;/D&gt;&lt;D xsi:type="xsd:double"&gt;17.341066&lt;/D&gt;&lt;D xsi:type="xsd:double"&gt;17.714766&lt;/D&gt;&lt;D xsi:type="xsd:double"&gt;17.490654&lt;/D&gt;&lt;D xsi:type="xsd:double"&gt;17.946823&lt;/D&gt;&lt;D xsi:type="xsd:double"&gt;18.049513&lt;/D&gt;&lt;D xsi:type="xsd:double"&gt;18.83366&lt;/D&gt;&lt;D xsi:type="xsd:double"&gt;18.520187&lt;/D&gt;&lt;D xsi:type="xsd:double"&gt;18.596317&lt;/D&gt;&lt;D xsi:type="xsd:double"&gt;18.617363&lt;/D&gt;&lt;D xsi:type="xsd:double"&gt;18.957335&lt;/D&gt;&lt;D xsi:type="xsd:double"&gt;18.437325&lt;/D&gt;&lt;D xsi:type="xsd:double"&gt;18.78007&lt;/D&gt;&lt;D xsi:type="xsd:double"&gt;18.479322&lt;/D&gt;&lt;D xsi:type="xsd:double"&gt;18.551235&lt;/D&gt;&lt;D xsi:type="xsd:double"&gt;18.497528&lt;/D&gt;&lt;D xsi:type="xsd:double"&gt;18.78716&lt;/D&gt;&lt;D xsi:type="xsd:double"&gt;19.168886&lt;/D&gt;&lt;D xsi:type="xsd:double"&gt;18.956089&lt;/D&gt;&lt;D xsi:type="xsd:double"&gt;18.780533&lt;/D&gt;&lt;D xsi:type="xsd:double"&gt;19.011951&lt;/D&gt;&lt;D xsi:type="xsd:double"&gt;17.849606&lt;/D&gt;&lt;D xsi:type="xsd:double"&gt;17.74652&lt;/D&gt;&lt;D xsi:type="xsd:double"&gt;17.96132&lt;/D&gt;&lt;D xsi:type="xsd:double"&gt;18.045015&lt;/D&gt;&lt;D xsi:type="xsd:double"&gt;18.070158&lt;/D&gt;&lt;D xsi:type="xsd:double"&gt;17.955921&lt;/D&gt;&lt;D xsi:type="xsd:double"&gt;17.827745&lt;/D&gt;&lt;D xsi:type="xsd:double"&gt;17.958925&lt;/D&gt;&lt;D xsi:type="xsd:double"&gt;17.911589&lt;/D&gt;&lt;D xsi:type="xsd:double"&gt;17.680271&lt;/D&gt;&lt;D xsi:type="xsd:double"&gt;17.51864&lt;/D&gt;&lt;D xsi:type="xsd:double"&gt;17.237143&lt;/D&gt;&lt;D xsi:type="xsd:double"&gt;17.451948&lt;/D&gt;&lt;D xsi:type="xsd:double"&gt;17.244745&lt;/D&gt;&lt;D xsi:type="xsd:double"&gt;17.073595&lt;/D&gt;&lt;D xsi:type="xsd:double"&gt;17.161606&lt;/D&gt;&lt;D xsi:type="xsd:double"&gt;17.272852&lt;/D&gt;&lt;D xsi:type="xsd:double"&gt;16.931944&lt;/D&gt;&lt;D xsi:type="xsd:double"&gt;17.01441&lt;/D&gt;&lt;D xsi:type="xsd:double"&gt;16.912731&lt;/D&gt;&lt;D xsi:type="xsd:double"&gt;17.218431&lt;/D&gt;&lt;D xsi:type="xsd:double"&gt;16.954721&lt;/D&gt;&lt;D xsi:type="xsd:double"&gt;17.064528&lt;/D&gt;&lt;D xsi:type="xsd:double"&gt;17.077778&lt;/D&gt;&lt;D xsi:type="xsd:double"&gt;17.107578&lt;/D&gt;&lt;D xsi:type="xsd:double"&gt;17.334908&lt;/D&gt;&lt;D xsi:type="xsd:double"&gt;17.650923&lt;/D&gt;&lt;D xsi:type="xsd:double"&gt;17.526537&lt;/D&gt;&lt;D xsi:type="xsd:double"&gt;17.622683&lt;/D&gt;&lt;D xsi:type="xsd:double"&gt;17.443172&lt;/D&gt;&lt;D xsi:type="xsd:double"&gt;14.3596525&lt;/D&gt;&lt;D xsi:type="xsd:double"&gt;14.097251&lt;/D&gt;&lt;D xsi:type="xsd:double"&gt;14.012369&lt;/D&gt;&lt;D xsi:type="xsd:double"&gt;13.70155&lt;/D&gt;&lt;D xsi:type="xsd:double"&gt;13.683762&lt;/D&gt;&lt;D xsi:type="xsd:double"&gt;13.617532&lt;/D&gt;&lt;D xsi:type="xsd:double"&gt;13.782162&lt;/D&gt;&lt;D xsi:type="xsd:double"&gt;14.009487&lt;/D&gt;&lt;D xsi:type="xsd:double"&gt;13.956727&lt;/D&gt;&lt;D xsi:type="xsd:double"&gt;13.866208&lt;/D&gt;&lt;D xsi:type="xsd:double"&gt;13.72442&lt;/D&gt;&lt;D xsi:type="xsd:double"&gt;14.056726&lt;/D&gt;&lt;D xsi:type="xsd:double"&gt;13.782598&lt;/D&gt;&lt;D xsi:type="xsd:double"&gt;14.056312&lt;/D&gt;&lt;D xsi:type="xsd:double"&gt;13.89004&lt;/D&gt;&lt;D xsi:type="xsd:double"&gt;13.982969&lt;/D&gt;&lt;D xsi:type="xsd:double"&gt;14.005262&lt;/D&gt;&lt;D xsi:type="xsd:double"&gt;13.933387&lt;/D&gt;&lt;D xsi:type="xsd:double"&gt;13.850654&lt;/D&gt;&lt;D xsi:type="xsd:double"&gt;14.127479&lt;/D&gt;&lt;D xsi:type="xsd:double"&gt;14.161327&lt;/D&gt;&lt;D xsi:type="xsd:double"&gt;14.135271&lt;/D&gt;&lt;D xsi:type="xsd:double"&gt;14.218085&lt;/D&gt;&lt;D xsi:type="xsd:double"&gt;14.254726&lt;/D&gt;&lt;D xsi:type="xsd:double"&gt;14.217959&lt;/D&gt;&lt;D xsi:type="xsd:double"&gt;14.50217&lt;/D&gt;&lt;D xsi:type="xsd:double"&gt;14.656049&lt;/D&gt;&lt;D xsi:type="xsd:double"&gt;14.616621&lt;/D&gt;&lt;D xsi:type="xsd:double"&gt;15.018488&lt;/D&gt;&lt;D xsi:type="xsd:double"&gt;14.5159&lt;/D&gt;&lt;D xsi:type="xsd:double"&gt;14.4355135&lt;/D&gt;&lt;D xsi:type="xsd:double"&gt;14.132609&lt;/D&gt;&lt;D xsi:type="xsd:double"&gt;14.330416&lt;/D&gt;&lt;D xsi:type="xsd:double"&gt;14.154255&lt;/D&gt;&lt;D xsi:type="xsd:double"&gt;14.245666&lt;/D&gt;&lt;D xsi:type="xsd:double"&gt;14.293334&lt;/D&gt;&lt;D xsi:type="xsd:double"&gt;14.458712&lt;/D&gt;&lt;D xsi:type="xsd:double"&gt;14.564014&lt;/D&gt;&lt;D xsi:type="xsd:double"&gt;14.554474&lt;/D&gt;&lt;D xsi:type="xsd:double"&gt;14.440939&lt;/D&gt;&lt;D xsi:type="xsd:double"&gt;14.406702&lt;/D&gt;&lt;D xsi:type="xsd:double"&gt;14.473815&lt;/D&gt;&lt;D xsi:type="xsd:double"&gt;14.168264&lt;/D&gt;&lt;D xsi:type="xsd:double"&gt;14.2655&lt;/D&gt;&lt;D xsi:type="xsd:double"&gt;14.483439&lt;/D&gt;&lt;D xsi:type="xsd:double"&gt;14.904734&lt;/D&gt;&lt;D xsi:type="xsd:double"&gt;14.8431&lt;/D&gt;&lt;D xsi:type="xsd:double"&gt;15.009342&lt;/D&gt;&lt;D xsi:type="xsd:double"&gt;15.139973&lt;/D&gt;&lt;D xsi:type="xsd:double"&gt;14.806353&lt;/D&gt;&lt;D xsi:type="xsd:double"&gt;15.006028&lt;/D&gt;&lt;D xsi:type="xsd:double"&gt;14.922296&lt;/D&gt;&lt;D xsi:type="xsd:double"&gt;15.284244&lt;/D&gt;&lt;D xsi:type="xsd:double"&gt;15.481267&lt;/D&gt;&lt;D</t>
      </text>
    </comment>
    <comment authorId="0" ref="A41">
      <text>
        <t xml:space="preserve">======
ID#AAAB10qfXxA
Park, Jason S.    (2026-03-18 17:29:03)
pe="xsd:long"&gt;43060&lt;/D&gt;&lt;D xsi:type="xsd:long"&gt;43061&lt;/D&gt;&lt;D xsi:type="xsd:long"&gt;43063&lt;/D&gt;&lt;D xsi:type="xsd:long"&gt;43066&lt;/D&gt;&lt;D xsi:type="xsd:long"&gt;43067&lt;/D&gt;&lt;D xsi:type="xsd:long"&gt;43068&lt;/D&gt;&lt;D xsi:type="xsd:long"&gt;43069&lt;/D&gt;&lt;D xsi:type="xsd:long"&gt;43070&lt;/D&gt;&lt;D xsi:type="xsd:long"&gt;43073&lt;/D&gt;&lt;D xsi:type="xsd:long"&gt;43074&lt;/D&gt;&lt;D xsi:type="xsd:long"&gt;43075&lt;/D&gt;&lt;D xsi:type="xsd:long"&gt;43076&lt;/D&gt;&lt;D xsi:type="xsd:long"&gt;43077&lt;/D&gt;&lt;D xsi:type="xsd:long"&gt;43080&lt;/D&gt;&lt;D xsi:type="xsd:long"&gt;43081&lt;/D&gt;&lt;D xsi:type="xsd:long"&gt;43082&lt;/D&gt;&lt;D xsi:type="xsd:long"&gt;43083&lt;/D&gt;&lt;D xsi:type="xsd:long"&gt;43084&lt;/D&gt;&lt;D xsi:type="xsd:long"&gt;43087&lt;/D&gt;&lt;D xsi:type="xsd:long"&gt;43088&lt;/D&gt;&lt;D xsi:type="xsd:long"&gt;43089&lt;/D&gt;&lt;D xsi:type="xsd:long"&gt;43090&lt;/D&gt;&lt;D xsi:type="xsd:long"&gt;43091&lt;/D&gt;&lt;D xsi:type="xsd:long"&gt;43095&lt;/D&gt;&lt;D xsi:type="xsd:long"&gt;43096&lt;/D&gt;&lt;D xsi:type="xsd:long"&gt;43097&lt;/D&gt;&lt;D xsi:type="xsd:long"&gt;43098&lt;/D&gt;&lt;D xsi:type="xsd:long"&gt;43102&lt;/D&gt;&lt;D xsi:type="xsd:long"&gt;43103&lt;/D&gt;&lt;D xsi:type="xsd:long"&gt;43104&lt;/D&gt;&lt;D xsi:type="xsd:long"&gt;43105&lt;/D&gt;&lt;D xsi:type="xsd:long"&gt;43108&lt;/D&gt;&lt;D xsi:type="xsd:long"&gt;43109&lt;/D&gt;&lt;D xsi:type="xsd:long"&gt;43110&lt;/D&gt;&lt;D xsi:type="xsd:long"&gt;43111&lt;/D&gt;&lt;D xsi:type="xsd:long"&gt;43112&lt;/D&gt;&lt;D xsi:type="xsd:long"&gt;43116&lt;/D&gt;&lt;D xsi:type="xsd:long"&gt;43117&lt;/D&gt;&lt;D xsi:type="xsd:long"&gt;43118&lt;/D&gt;&lt;D xsi:type="xsd:long"&gt;43119&lt;/D&gt;&lt;D xsi:type="xsd:long"&gt;43122&lt;/D&gt;&lt;D xsi:type="xsd:long"&gt;43123&lt;/D&gt;&lt;D xsi:type="xsd:long"&gt;43124&lt;/D&gt;&lt;D xsi:type="xsd:long"&gt;43125&lt;/D&gt;&lt;D xsi:type="xsd:long"&gt;43126&lt;/D&gt;&lt;D xsi:type="xsd:long"&gt;43129&lt;/D&gt;&lt;D xsi:type="xsd:long"&gt;43130&lt;/D&gt;&lt;D xsi:type="xsd:long"&gt;43131&lt;/D&gt;&lt;D xsi:type="xsd:long"&gt;43132&lt;/D&gt;&lt;D xsi:type="xsd:long"&gt;43133&lt;/D&gt;&lt;D xsi:type="xsd:long"&gt;43136&lt;/D&gt;&lt;D xsi:type="xsd:long"&gt;43137&lt;/D&gt;&lt;D xsi:type="xsd:long"&gt;43138&lt;/D&gt;&lt;D xsi:type="xsd:long"&gt;43139&lt;/D&gt;&lt;D xsi:type="xsd:long"&gt;43140&lt;/D&gt;&lt;D xsi:type="xsd:long"&gt;43143&lt;/D&gt;&lt;D xsi:type="xsd:long"&gt;43144&lt;/D&gt;&lt;D xsi:type="xsd:long"&gt;43145&lt;/D&gt;&lt;D xsi:type="xsd:long"&gt;43146&lt;/D&gt;&lt;D xsi:type="xsd:long"&gt;43147&lt;/D&gt;&lt;D xsi:type="xsd:long"&gt;43151&lt;/D&gt;&lt;D xsi:type="xsd:long"&gt;43152&lt;/D&gt;&lt;D xsi:type="xsd:long"&gt;43153&lt;/D&gt;&lt;D xsi:type="xsd:long"&gt;43154&lt;/D&gt;&lt;D xsi:type="xsd:long"&gt;43157&lt;/D&gt;&lt;D xsi:type="xsd:long"&gt;43158&lt;/D&gt;&lt;D xsi:type="xsd:long"&gt;43159&lt;/D&gt;&lt;D xsi:type="xsd:long"&gt;43160&lt;/D&gt;&lt;D xsi:type="xsd:long"&gt;43161&lt;/D&gt;&lt;D xsi:type="xsd:long"&gt;43164&lt;/D&gt;&lt;D xsi:type="xsd:long"&gt;43165&lt;/D&gt;&lt;D xsi:type="xsd:long"&gt;43166&lt;/D&gt;&lt;D xsi:type="xsd:long"&gt;43167&lt;/D&gt;&lt;D xsi:type="xsd:long"&gt;43168&lt;/D&gt;&lt;D xsi:type="xsd:long"&gt;43171&lt;/D&gt;&lt;D xsi:type="xsd:long"&gt;43172&lt;/D&gt;&lt;D xsi:type="xsd:long"&gt;43173&lt;/D&gt;&lt;D xsi:type="xsd:long"&gt;43174&lt;/D&gt;&lt;D xsi:type="xsd:long"&gt;43175&lt;/D&gt;&lt;D xsi:type="xsd:long"&gt;43178&lt;/D&gt;&lt;D xsi:type="xsd:long"&gt;43179&lt;/D&gt;&lt;D xsi:type="xsd:long"&gt;43180&lt;/D&gt;&lt;D xsi:type="xsd:long"&gt;43181&lt;/D&gt;&lt;D xsi:type="xsd:long"&gt;43182&lt;/D&gt;&lt;D xsi:type="xsd:long"&gt;43185&lt;/D&gt;&lt;D xsi:type="xsd:long"&gt;43186&lt;/D&gt;&lt;D xsi:type="xsd:long"&gt;43187&lt;/D&gt;&lt;D xsi:type="xsd:long"&gt;43188&lt;/D&gt;&lt;D xsi:type="xsd:long"&gt;43192&lt;/D&gt;&lt;D xsi:type="xsd:long"&gt;43193&lt;/D&gt;&lt;D xsi:type="xsd:long"&gt;43194&lt;/D&gt;&lt;D xsi:type="xsd:long"&gt;43195&lt;/D&gt;&lt;D xsi:type="xsd:long"&gt;43196&lt;/D&gt;&lt;D xsi:type="xsd:long"&gt;43199&lt;/D&gt;&lt;D xsi:type="xsd:long"&gt;43200&lt;/D&gt;&lt;D xsi:type="xsd:long"&gt;43201&lt;/D&gt;&lt;D xsi:type="xsd:long"&gt;43202&lt;/D&gt;&lt;D xsi:type="xsd:long"&gt;43203&lt;/D&gt;&lt;D xsi:type="xsd:long"&gt;43206&lt;/D&gt;&lt;D xsi:type="xsd:long"&gt;43207&lt;/D&gt;&lt;D xsi:type="xsd:long"&gt;43208&lt;/D&gt;&lt;D xsi:type="xsd:long"&gt;43209&lt;/D&gt;&lt;D xsi:type="xsd:long"&gt;43210&lt;/D&gt;&lt;D xsi:type="xsd:long"&gt;43213&lt;/D&gt;&lt;D xsi:type="xsd:long"&gt;43214&lt;/D&gt;&lt;D xsi:type="xsd:long"&gt;43215&lt;/D&gt;&lt;D xsi:type="xsd:long"&gt;43216&lt;/D&gt;&lt;D xsi:type="xsd:long"&gt;43217&lt;/D&gt;&lt;D xsi:type="xsd:long"&gt;43220&lt;/D&gt;&lt;D xsi:type="xsd:long"&gt;43221&lt;/D&gt;&lt;D xsi:type="xsd:long"&gt;43222&lt;/D&gt;&lt;D xsi:type="xsd:long"&gt;43223&lt;/D&gt;&lt;D xsi:type="xsd:long"&gt;43224&lt;/D&gt;&lt;D xsi:type="xsd:long"&gt;43227&lt;/D&gt;&lt;D xsi:type="xsd:long"&gt;43228&lt;/D&gt;&lt;D xsi:type="xsd:long"&gt;43229&lt;/D&gt;&lt;D xsi:type="xsd:long"&gt;43230&lt;/D&gt;&lt;D xsi:type="xsd:long"&gt;43231&lt;/D&gt;&lt;D xsi:type="xsd:long"&gt;43234&lt;/D&gt;&lt;D xsi:type="xsd:long"&gt;43235&lt;/D&gt;&lt;D xsi:type="xsd:long"&gt;43236&lt;/D&gt;&lt;D xsi:type="xsd:long"&gt;43237&lt;/D&gt;&lt;D xsi:type="xsd:long"&gt;43238&lt;/D&gt;&lt;D xsi:type="xsd:long"&gt;43241&lt;/D&gt;&lt;D xsi:type="xsd:long"&gt;43242&lt;/D&gt;&lt;D xsi:type="xsd:long"&gt;43243&lt;/D&gt;&lt;D xsi:type="xsd:long"&gt;43244&lt;/D&gt;&lt;D xsi:type="xsd:long"&gt;43245&lt;/D&gt;&lt;D xsi:ty</t>
      </text>
    </comment>
    <comment authorId="0" ref="A28">
      <text>
        <t xml:space="preserve">======
ID#AAAB10qfXw8
Park, Jason S.    (2026-03-18 17:29:03)
xsd:long"&gt;40508&lt;/D&gt;&lt;D xsi:type="xsd:long"&gt;40511&lt;/D&gt;&lt;D xsi:type="xsd:long"&gt;40512&lt;/D&gt;&lt;D xsi:type="xsd:long"&gt;40513&lt;/D&gt;&lt;D xsi:type="xsd:long"&gt;40514&lt;/D&gt;&lt;D xsi:type="xsd:long"&gt;40515&lt;/D&gt;&lt;D xsi:type="xsd:long"&gt;40518&lt;/D&gt;&lt;D xsi:type="xsd:long"&gt;40519&lt;/D&gt;&lt;D xsi:type="xsd:long"&gt;40520&lt;/D&gt;&lt;D xsi:type="xsd:long"&gt;40521&lt;/D&gt;&lt;D xsi:type="xsd:long"&gt;40522&lt;/D&gt;&lt;D xsi:type="xsd:long"&gt;40525&lt;/D&gt;&lt;D xsi:type="xsd:long"&gt;40526&lt;/D&gt;&lt;D xsi:type="xsd:long"&gt;40527&lt;/D&gt;&lt;D xsi:type="xsd:long"&gt;40528&lt;/D&gt;&lt;D xsi:type="xsd:long"&gt;40529&lt;/D&gt;&lt;D xsi:type="xsd:long"&gt;40532&lt;/D&gt;&lt;D xsi:type="xsd:long"&gt;40533&lt;/D&gt;&lt;D xsi:type="xsd:long"&gt;40534&lt;/D&gt;&lt;D xsi:type="xsd:long"&gt;40535&lt;/D&gt;&lt;D xsi:type="xsd:long"&gt;40539&lt;/D&gt;&lt;D xsi:type="xsd:long"&gt;40540&lt;/D&gt;&lt;D xsi:type="xsd:long"&gt;40541&lt;/D&gt;&lt;D xsi:type="xsd:long"&gt;40542&lt;/D&gt;&lt;D xsi:type="xsd:long"&gt;40543&lt;/D&gt;&lt;D xsi:type="xsd:long"&gt;40546&lt;/D&gt;&lt;D xsi:type="xsd:long"&gt;40547&lt;/D&gt;&lt;D xsi:type="xsd:long"&gt;40548&lt;/D&gt;&lt;D xsi:type="xsd:long"&gt;40549&lt;/D&gt;&lt;D xsi:type="xsd:long"&gt;40550&lt;/D&gt;&lt;D xsi:type="xsd:long"&gt;40553&lt;/D&gt;&lt;D xsi:type="xsd:long"&gt;40554&lt;/D&gt;&lt;D xsi:type="xsd:long"&gt;40555&lt;/D&gt;&lt;D xsi:type="xsd:long"&gt;40556&lt;/D&gt;&lt;D xsi:type="xsd:long"&gt;40557&lt;/D&gt;&lt;D xsi:type="xsd:long"&gt;40561&lt;/D&gt;&lt;D xsi:type="xsd:long"&gt;40562&lt;/D&gt;&lt;D xsi:type="xsd:long"&gt;40563&lt;/D&gt;&lt;D xsi:type="xsd:long"&gt;40564&lt;/D&gt;&lt;D xsi:type="xsd:long"&gt;40567&lt;/D&gt;&lt;D xsi:type="xsd:long"&gt;40568&lt;/D&gt;&lt;D xsi:type="xsd:long"&gt;40569&lt;/D&gt;&lt;D xsi:type="xsd:long"&gt;40570&lt;/D&gt;&lt;D xsi:type="xsd:long"&gt;40571&lt;/D&gt;&lt;D xsi:type="xsd:long"&gt;40574&lt;/D&gt;&lt;D xsi:type="xsd:long"&gt;40575&lt;/D&gt;&lt;D xsi:type="xsd:long"&gt;40576&lt;/D&gt;&lt;D xsi:type="xsd:long"&gt;40577&lt;/D&gt;&lt;D xsi:type="xsd:long"&gt;40578&lt;/D&gt;&lt;D xsi:type="xsd:long"&gt;40581&lt;/D&gt;&lt;D xsi:type="xsd:long"&gt;40582&lt;/D&gt;&lt;D xsi:type="xsd:long"&gt;40583&lt;/D&gt;&lt;D xsi:type="xsd:long"&gt;40584&lt;/D&gt;&lt;D xsi:type="xsd:long"&gt;40585&lt;/D&gt;&lt;D xsi:type="xsd:long"&gt;40588&lt;/D&gt;&lt;D xsi:type="xsd:long"&gt;40589&lt;/D&gt;&lt;D xsi:type="xsd:long"&gt;40590&lt;/D&gt;&lt;D xsi:type="xsd:long"&gt;40591&lt;/D&gt;&lt;D xsi:type="xsd:long"&gt;40592&lt;/D&gt;&lt;D xsi:type="xsd:long"&gt;40596&lt;/D&gt;&lt;D xsi:type="xsd:long"&gt;40597&lt;/D&gt;&lt;D xsi:type="xsd:long"&gt;40598&lt;/D&gt;&lt;D xsi:type="xsd:long"&gt;40599&lt;/D&gt;&lt;D xsi:type="xsd:long"&gt;40602&lt;/D&gt;&lt;D xsi:type="xsd:long"&gt;40603&lt;/D&gt;&lt;D xsi:type="xsd:long"&gt;40604&lt;/D&gt;&lt;D xsi:type="xsd:long"&gt;40605&lt;/D&gt;&lt;D xsi:type="xsd:long"&gt;40606&lt;/D&gt;&lt;D xsi:type="xsd:long"&gt;40609&lt;/D&gt;&lt;D xsi:type="xsd:long"&gt;40610&lt;/D&gt;&lt;D xsi:type="xsd:long"&gt;40611&lt;/D&gt;&lt;D xsi:type="xsd:long"&gt;40612&lt;/D&gt;&lt;D xsi:type="xsd:long"&gt;40613&lt;/D&gt;&lt;D xsi:type="xsd:long"&gt;40616&lt;/D&gt;&lt;D xsi:type="xsd:long"&gt;40617&lt;/D&gt;&lt;D xsi:type="xsd:long"&gt;40618&lt;/D&gt;&lt;D xsi:type="xsd:long"&gt;40619&lt;/D&gt;&lt;D xsi:type="xsd:long"&gt;40620&lt;/D&gt;&lt;D xsi:type="xsd:long"&gt;40623&lt;/D&gt;&lt;D xsi:type="xsd:long"&gt;40624&lt;/D&gt;&lt;D xsi:type="xsd:long"&gt;40625&lt;/D&gt;&lt;D xsi:type="xsd:long"&gt;40626&lt;/D&gt;&lt;D xsi:type="xsd:long"&gt;40627&lt;/D&gt;&lt;D xsi:type="xsd:long"&gt;40630&lt;/D&gt;&lt;D xsi:type="xsd:long"&gt;40631&lt;/D&gt;&lt;D xsi:type="xsd:long"&gt;40632&lt;/D&gt;&lt;D xsi:type="xsd:long"&gt;40633&lt;/D&gt;&lt;D xsi:type="xsd:long"&gt;40634&lt;/D&gt;&lt;D xsi:type="xsd:long"&gt;40637&lt;/D&gt;&lt;D xsi:type="xsd:long"&gt;40638&lt;/D&gt;&lt;D xsi:type="xsd:long"&gt;40639&lt;/D&gt;&lt;D xsi:type="xsd:long"&gt;40640&lt;/D&gt;&lt;D xsi:type="xsd:long"&gt;40641&lt;/D&gt;&lt;D xsi:type="xsd:long"&gt;40644&lt;/D&gt;&lt;D xsi:type="xsd:long"&gt;40645&lt;/D&gt;&lt;D xsi:type="xsd:long"&gt;40646&lt;/D&gt;&lt;D xsi:type="xsd:long"&gt;40647&lt;/D&gt;&lt;D xsi:type="xsd:long"&gt;40648&lt;/D&gt;&lt;D xsi:type="xsd:long"&gt;40651&lt;/D&gt;&lt;D xsi:type="xsd:long"&gt;40652&lt;/D&gt;&lt;D xsi:type="xsd:long"&gt;40653&lt;/D&gt;&lt;D xsi:type="xsd:long"&gt;40654&lt;/D&gt;&lt;D xsi:type="xsd:long"&gt;40658&lt;/D&gt;&lt;D xsi:type="xsd:long"&gt;40659&lt;/D&gt;&lt;D xsi:type="xsd:long"&gt;40660&lt;/D&gt;&lt;D xsi:type="xsd:long"&gt;40661&lt;/D&gt;&lt;D xsi:type="xsd:long"&gt;40662&lt;/D&gt;&lt;D xsi:type="xsd:long"&gt;40665&lt;/D&gt;&lt;D xsi:type="xsd:long"&gt;40666&lt;/D&gt;&lt;D xsi:type="xsd:long"&gt;40667&lt;/D&gt;&lt;D xsi:type="xsd:long"&gt;40668&lt;/D&gt;&lt;D xsi:type="xsd:long"&gt;40669&lt;/D&gt;&lt;D xsi:type="xsd:long"&gt;40672&lt;/D&gt;&lt;D xsi:type="xsd:long"&gt;40673&lt;/D&gt;&lt;D xsi:type="xsd:long"&gt;40674&lt;/D&gt;&lt;D xsi:type="xsd:long"&gt;40675&lt;/D&gt;&lt;D xsi:type="xsd:long"&gt;40676&lt;/D&gt;&lt;D xsi:type="xsd:long"&gt;40679&lt;/D&gt;&lt;D xsi:type="xsd:long"&gt;40680&lt;/D&gt;&lt;D xsi:type="xsd:long"&gt;40681&lt;/D&gt;&lt;D xsi:type="xsd:long"&gt;40682&lt;/D&gt;&lt;D xsi:type="xsd:long"&gt;40683&lt;/D&gt;&lt;D xsi:type="xsd:long"&gt;40686&lt;/D&gt;&lt;D xsi:type="xsd:long"&gt;40687&lt;/D&gt;&lt;D xsi:type="xsd:long"&gt;40688&lt;/D&gt;&lt;D xsi:type="xsd:long"&gt;40689&lt;/D&gt;&lt;D xsi:type="xsd:long"&gt;40690&lt;/D&gt;&lt;D xsi:type="xsd:long"&gt;40694&lt;/D&gt;&lt;D xsi:type="</t>
      </text>
    </comment>
    <comment authorId="0" ref="A9">
      <text>
        <t xml:space="preserve">======
ID#AAAB10qfXw4
Park, Jason S.    (2026-03-18 17:29:03)
IAN,ANNUAL,2016,0,,,'')&lt;/Q&gt;&lt;R&gt;1&lt;/R&gt;&lt;C&gt;1&lt;/C&gt;&lt;D xsi:type="xsd:string"&gt;#NUM&lt;/D&gt;&lt;/FQL&gt;&lt;FQL&gt;&lt;Q&gt;ORCL^FF_OPER_EXP_OTH(ANN_R,2016)@FE_ESTIMATE(OPER_EXP_OTH,MEDIAN,ANNUAL,2016,0,,,'')&lt;/Q&gt;&lt;R&gt;1&lt;/R&gt;&lt;C&gt;1&lt;/C&gt;&lt;D xsi:type="xsd:string"&gt;#NUM&lt;/D&gt;&lt;/FQL&gt;&lt;FQL&gt;&lt;Q&gt;CSCO^FF_OPER_EXP_OTH(ANN_R,2016)@FE_ESTIMATE(OPER_EXP_OTH,MEDIAN,ANNUAL,2016,0,,,'')&lt;/Q&gt;&lt;R&gt;1&lt;/R&gt;&lt;C&gt;1&lt;/C&gt;&lt;D xsi:type="xsd:string"&gt;#NUM&lt;/D&gt;&lt;/FQL&gt;&lt;FQL&gt;&lt;Q&gt;MA^FF_OPER_EXP_OTH(ANN_R,2016)@FE_ESTIMATE(OPER_EXP_OTH,MEDIAN,ANNUAL,2016,0,,,'')&lt;/Q&gt;&lt;R&gt;1&lt;/R&gt;&lt;C&gt;1&lt;/C&gt;&lt;D xsi:type="xsd:string"&gt;#NUM&lt;/D&gt;&lt;/FQL&gt;&lt;FQL&gt;&lt;Q&gt;IBM^FF_OPER_EXP_OTH(ANN_R,2016)@FE_ESTIMATE(OPER_EXP_OTH,MEDIAN,ANNUAL,2016,0,,,'')&lt;/Q&gt;&lt;R&gt;1&lt;/R&gt;&lt;C&gt;1&lt;/C&gt;&lt;D xsi:type="xsd:string"&gt;#NUM&lt;/D&gt;&lt;/FQL&gt;&lt;FQL&gt;&lt;Q&gt;NVDA^FF_OPER_EXP_OTH(ANN_R,2016)@FE_ESTIMATE(OPER_EXP_OTH,MEDIAN,ANNUAL,2016,0,,,'')&lt;/Q&gt;&lt;R&gt;1&lt;/R&gt;&lt;C&gt;1&lt;/C&gt;&lt;D xsi:type="xsd:string"&gt;#NUM&lt;/D&gt;&lt;/FQL&gt;&lt;FQL&gt;&lt;Q&gt;484628^FF_OPER_EXP_OTH(ANN_R,2016)@FE_ESTIMATE(OPER_EXP_OTH,MEDIAN,ANNUAL,2016,0,,,'')&lt;/Q&gt;&lt;R&gt;1&lt;/R&gt;&lt;C&gt;1&lt;/C&gt;&lt;D xsi:type="xsd:string"&gt;#NUM&lt;/D&gt;&lt;/FQL&gt;&lt;FQL&gt;&lt;Q&gt;TXN^FF_OPER_EXP_OTH(ANN_R,2016)@FE_ESTIMATE(OPER_EXP_OTH,MEDIAN,ANNUAL,2016,0,,,'')&lt;/Q&gt;&lt;R&gt;1&lt;/R&gt;&lt;C&gt;1&lt;/C&gt;&lt;D xsi:type="xsd:string"&gt;#NUM&lt;/D&gt;&lt;/FQL&gt;&lt;FQL&gt;&lt;Q&gt;ACN^FF_OPER_EXP_OTH(ANN_R,2016)@FE_ESTIMATE(OPER_EXP_OTH,MEDIAN,ANNUAL,2016,0,,,'')&lt;/Q&gt;&lt;R&gt;1&lt;/R&gt;&lt;C&gt;1&lt;/C&gt;&lt;D xsi:type="xsd:string"&gt;#NUM&lt;/D&gt;&lt;/FQL&gt;&lt;FQL&gt;&lt;Q&gt;PYPL^FF_OPER_EXP_OTH(ANN_R,2016)@FE_ESTIMATE(OPER_EXP_OTH,MEDIAN,ANNUAL,2016,0,,,'')&lt;/Q&gt;&lt;R&gt;1&lt;/R&gt;&lt;C&gt;1&lt;/C&gt;&lt;D xsi:type="xsd:string"&gt;#NUM&lt;/D&gt;&lt;/FQL&gt;&lt;FQL&gt;&lt;Q&gt;AVGO^FF_OPER_EXP_OTH(ANN_R,2016)@FE_ESTIMATE(OPER_EXP_OTH,MEDIAN,ANNUAL,2016,0,,,'')&lt;/Q&gt;&lt;R&gt;1&lt;/R&gt;&lt;C&gt;1&lt;/C&gt;&lt;D xsi:type="xsd:string"&gt;#NUM&lt;/D&gt;&lt;/FQL&gt;&lt;FQL&gt;&lt;Q&gt;QCOM^FF_OPER_EXP_OTH(ANN_R,2016)@FE_ESTIMATE(OPER_EXP_OTH,MEDIAN,ANNUAL,2016,0,,,'')&lt;/Q&gt;&lt;R&gt;1&lt;/R&gt;&lt;C&gt;1&lt;/C&gt;&lt;D xsi:type="xsd:string"&gt;#NUM&lt;/D&gt;&lt;/FQL&gt;&lt;FQL&gt;&lt;Q&gt;AAPL^FF_OPER_EXP(ANN_R,2016)@FE_ESTIMATE(OPER_EXP,MEDIAN,ANNUAL,2016,0,,,'')&lt;/Q&gt;&lt;R&gt;1&lt;/R&gt;&lt;C&gt;1&lt;/C&gt;&lt;D xsi:type="xsd:double"&gt;155745&lt;/D&gt;&lt;/FQL&gt;&lt;FQL&gt;&lt;Q&gt;GOOGL^FF_OPER_EXP(ANN_R,2016)@FE_ESTIMATE(OPER_EXP,MEDIAN,ANNUAL,2016,0,,,'')&lt;/Q&gt;&lt;R&gt;1&lt;/R&gt;&lt;C&gt;1&lt;/C&gt;&lt;D xsi:type="xsd:double"&gt;66556&lt;/D&gt;&lt;/FQL&gt;&lt;FQL&gt;&lt;Q&gt;MSFT^FF_OPER_EXP(ANN_R,2016)@FE_ESTIMATE(OPER_EXP,MEDIAN,ANNUAL,2016,0,,,'')&lt;/Q&gt;&lt;R&gt;1&lt;/R&gt;&lt;C&gt;1&lt;/C&gt;&lt;D xsi:type="xsd:double"&gt;64028&lt;/D&gt;&lt;/FQL&gt;&lt;FQL&gt;&lt;Q&gt;BMMV2K^FF_OPER_EXP(ANN_R,2016)@FE_ESTIMATE(OPER_EXP,MEDIAN,ANNUAL,2016,0,,,'')&lt;/Q&gt;&lt;R&gt;1&lt;/R&gt;&lt;C&gt;1&lt;/C&gt;&lt;D xsi:type="xsd:double"&gt;119218.414672871&lt;/D&gt;&lt;/FQL&gt;&lt;FQL&gt;&lt;Q&gt;BABA^FF_OPER_EXP(ANN_R,2016)@FE_ESTIMATE(OPER_EXP,MEDIAN,ANNUAL,2016,0,,,'')&lt;/Q&gt;&lt;R&gt;1&lt;/R&gt;&lt;C&gt;1&lt;/C&gt;&lt;D xsi:type="xsd:double"&gt;16260.330936548&lt;/D&gt;&lt;/FQL&gt;&lt;FQL&gt;&lt;Q&gt;FB^FF_OPER_EXP(ANN_R,2016)@FE_ESTIMATE(OPER_EXP,MEDIAN,ANNUAL,2016,0,,,'')&lt;/Q&gt;&lt;R&gt;1&lt;/R&gt;&lt;C&gt;1&lt;/C&gt;&lt;D xsi:type="xsd:double"&gt;15145&lt;/D&gt;&lt;/FQL&gt;&lt;FQL&gt;&lt;Q&gt;677172^FF_OPER_EXP(ANN_R,2016)@FE_ESTIMATE(OPER_EXP,MEDIAN,ANNUAL,2016,0,,,'')&lt;/Q&gt;&lt;R&gt;1&lt;/R&gt;&lt;C&gt;1&lt;/C&gt;&lt;D xsi:type="xsd:double"&gt;172626073&lt;/D&gt;&lt;/FQL&gt;&lt;FQL&gt;&lt;Q&gt;V^FF_OPER_EXP(ANN_R,2016)@FE_ESTIMATE(OPER_EXP,MEDIAN,ANNUAL,2016,0,,,'')&lt;/Q&gt;&lt;R&gt;1&lt;/R&gt;&lt;C&gt;1&lt;/C&gt;&lt;D xsi:type="xsd:double"&gt;5058&lt;/D&gt;&lt;/FQL&gt;&lt;FQL&gt;&lt;Q&gt;688910^FF_OPER_EXP(ANN_R,2016)@FE_ESTIMATE(OPER_EXP,MEDIAN,ANNUAL,2016,0,,,'')&lt;/Q&gt;&lt;R&gt;1&lt;/R&gt;&lt;C&gt;1&lt;/C&gt;&lt;D xsi:type="xsd:double"&gt;570006.389&lt;/D&gt;&lt;/FQL&gt;&lt;FQL&gt;&lt;Q&gt;INTC^FF_OPER_EXP(ANN_R,2016)@FE_ESTIMATE(OPER_EXP,MEDIAN,ANNUAL,2016,0,,,'')&lt;/Q&gt;&lt;R&gt;1&lt;/R&gt;&lt;C&gt;1&lt;/C&gt;&lt;D xsi:type="xsd:double"&gt;44574&lt;/D&gt;&lt;/FQL&gt;&lt;FQL&gt;&lt;Q&gt;ORCL^FF_OPER_EXP(ANN_R,2016)@FE_ESTIMATE(OPER_EXP,MEDIAN,ANNUAL,2016,0,,,'')&lt;/Q&gt;&lt;R&gt;1&lt;/R&gt;&lt;C&gt;1&lt;/C&gt;&lt;D xsi:type="xsd:double"&gt;24452&lt;/D&gt;&lt;/FQL&gt;&lt;FQL&gt;&lt;Q&gt;CSCO^FF_OPER_EXP(ANN_R,2016)@FE_ESTIMATE(OPER_EXP,MEDIAN,ANNUAL,2016,0,,,'')&lt;/Q&gt;&lt;R&gt;1&lt;/R&gt;&lt;C&gt;1&lt;/C&gt;&lt;D xsi:type="xsd:double"&gt;36200&lt;/D&gt;&lt;/FQL&gt;&lt;FQL&gt;&lt;Q&gt;MA^FF_OPER_EXP(ANN_R,2016)@FE_ESTIMATE(OPER_EXP,MEDIAN,ANNUAL,2016,0,,,'')&lt;/Q&gt;&lt;R&gt;1&lt;/R&gt;&lt;C&gt;1&lt;/C&gt;&lt;D xsi:type="xsd:double"&gt;4892&lt;/D&gt;&lt;/FQL&gt;&lt;FQL&gt;&lt;Q&gt;IBM^FF_OPER_EXP(ANN_R,2016)@FE_ESTIMATE(OPER_EXP,MEDIAN,ANNUAL,2016,0,,,'')&lt;/Q&gt;&lt;R&gt;1&lt;/R&gt;&lt;C&gt;1&lt;/C&gt;&lt;D xsi:type="xsd:double"&gt;67596.000000000015&lt;/D&gt;&lt;/FQL&gt;&lt;FQL&gt;&lt;Q&gt;NVDA^FF_OPER_EXP(ANN_R,2016)@FE_ESTIMATE(OPER_EXP,MEDIAN,ANNUAL,2016,0,,,'')&lt;/Q&gt;&lt;R&gt;1&lt;/R&gt;&lt;C&gt;1&lt;/C&gt;&lt;D xsi:type="xsd:double"&gt;4941&lt;/D&gt;&lt;/FQL&gt;&lt;FQL&gt;&lt;Q&gt;484628^FF_OPER_EXP(ANN_R,2016)@FE_ESTIMATE(OPER_EXP,MEDIAN,ANNUAL,2016,0,,,'')&lt;/Q&gt;&lt;R&gt;1&lt;/R&gt;&lt;C&gt;1&lt;/C&gt;&lt;D xsi:type="xsd:double"&gt;16897&lt;/D&gt;&lt;/FQL&gt;&lt;FQL&gt;&lt;Q&gt;TX</t>
      </text>
    </comment>
    <comment authorId="0" ref="A21">
      <text>
        <t xml:space="preserve">======
ID#AAAB10qfXw0
Park, Jason S.    (2026-03-18 17:29:03)
D&gt;&lt;D xsi:type="xsd:int"&gt;41782&lt;/D&gt;&lt;D xsi:type="xsd:int"&gt;41781&lt;/D&gt;&lt;D xsi:type="xsd:int"&gt;41780&lt;/D&gt;&lt;D xsi:type="xsd:int"&gt;41779&lt;/D&gt;&lt;D xsi:type="xsd:int"&gt;41778&lt;/D&gt;&lt;D xsi:type="xsd:int"&gt;41775&lt;/D&gt;&lt;D xsi:type="xsd:int"&gt;41774&lt;/D&gt;&lt;D xsi:type="xsd:int"&gt;41773&lt;/D&gt;&lt;D xsi:type="xsd:int"&gt;41772&lt;/D&gt;&lt;D xsi:type="xsd:int"&gt;41771&lt;/D&gt;&lt;D xsi:type="xsd:int"&gt;41768&lt;/D&gt;&lt;D xsi:type="xsd:int"&gt;41767&lt;/D&gt;&lt;D xsi:type="xsd:int"&gt;41766&lt;/D&gt;&lt;D xsi:type="xsd:int"&gt;41765&lt;/D&gt;&lt;D xsi:type="xsd:int"&gt;41764&lt;/D&gt;&lt;D xsi:type="xsd:int"&gt;41761&lt;/D&gt;&lt;D xsi:type="xsd:int"&gt;41760&lt;/D&gt;&lt;D xsi:type="xsd:int"&gt;41759&lt;/D&gt;&lt;D xsi:type="xsd:int"&gt;41758&lt;/D&gt;&lt;D xsi:type="xsd:int"&gt;41757&lt;/D&gt;&lt;D xsi:type="xsd:int"&gt;41754&lt;/D&gt;&lt;D xsi:type="xsd:int"&gt;41753&lt;/D&gt;&lt;D xsi:type="xsd:int"&gt;41752&lt;/D&gt;&lt;D xsi:type="xsd:int"&gt;41751&lt;/D&gt;&lt;D xsi:type="xsd:int"&gt;41750&lt;/D&gt;&lt;D xsi:type="xsd:int"&gt;41746&lt;/D&gt;&lt;D xsi:type="xsd:int"&gt;41745&lt;/D&gt;&lt;D xsi:type="xsd:int"&gt;41744&lt;/D&gt;&lt;D xsi:type="xsd:int"&gt;41743&lt;/D&gt;&lt;D xsi:type="xsd:int"&gt;41740&lt;/D&gt;&lt;D xsi:type="xsd:int"&gt;41739&lt;/D&gt;&lt;D xsi:type="xsd:int"&gt;41738&lt;/D&gt;&lt;D xsi:type="xsd:int"&gt;41737&lt;/D&gt;&lt;D xsi:type="xsd:int"&gt;41736&lt;/D&gt;&lt;D xsi:type="xsd:int"&gt;41733&lt;/D&gt;&lt;D xsi:type="xsd:int"&gt;41732&lt;/D&gt;&lt;D xsi:type="xsd:int"&gt;41731&lt;/D&gt;&lt;D xsi:type="xsd:int"&gt;41730&lt;/D&gt;&lt;D xsi:type="xsd:int"&gt;41729&lt;/D&gt;&lt;D xsi:type="xsd:int"&gt;41726&lt;/D&gt;&lt;D xsi:type="xsd:int"&gt;41725&lt;/D&gt;&lt;D xsi:type="xsd:int"&gt;41724&lt;/D&gt;&lt;D xsi:type="xsd:int"&gt;41723&lt;/D&gt;&lt;D xsi:type="xsd:int"&gt;41722&lt;/D&gt;&lt;D xsi:type="xsd:int"&gt;41719&lt;/D&gt;&lt;D xsi:type="xsd:int"&gt;41718&lt;/D&gt;&lt;D xsi:type="xsd:int"&gt;41717&lt;/D&gt;&lt;D xsi:type="xsd:int"&gt;41716&lt;/D&gt;&lt;D xsi:type="xsd:int"&gt;41715&lt;/D&gt;&lt;D xsi:type="xsd:int"&gt;41712&lt;/D&gt;&lt;D xsi:type="xsd:int"&gt;41711&lt;/D&gt;&lt;D xsi:type="xsd:int"&gt;41710&lt;/D&gt;&lt;D xsi:type="xsd:int"&gt;41709&lt;/D&gt;&lt;D xsi:type="xsd:int"&gt;41708&lt;/D&gt;&lt;D xsi:type="xsd:int"&gt;41705&lt;/D&gt;&lt;D xsi:type="xsd:int"&gt;41704&lt;/D&gt;&lt;D xsi:type="xsd:int"&gt;41703&lt;/D&gt;&lt;D xsi:type="xsd:int"&gt;41702&lt;/D&gt;&lt;D xsi:type="xsd:int"&gt;41701&lt;/D&gt;&lt;D xsi:type="xsd:int"&gt;41698&lt;/D&gt;&lt;D xsi:type="xsd:int"&gt;41697&lt;/D&gt;&lt;D xsi:type="xsd:int"&gt;41696&lt;/D&gt;&lt;D xsi:type="xsd:int"&gt;41695&lt;/D&gt;&lt;D xsi:type="xsd:int"&gt;41694&lt;/D&gt;&lt;D xsi:type="xsd:int"&gt;41691&lt;/D&gt;&lt;D xsi:type="xsd:int"&gt;41690&lt;/D&gt;&lt;D xsi:type="xsd:int"&gt;41689&lt;/D&gt;&lt;D xsi:type="xsd:int"&gt;41688&lt;/D&gt;&lt;D xsi:type="xsd:int"&gt;41684&lt;/D&gt;&lt;D xsi:type="xsd:int"&gt;41683&lt;/D&gt;&lt;D xsi:type="xsd:int"&gt;41682&lt;/D&gt;&lt;D xsi:type="xsd:int"&gt;41681&lt;/D&gt;&lt;D xsi:type="xsd:int"&gt;41680&lt;/D&gt;&lt;D xsi:type="xsd:int"&gt;41677&lt;/D&gt;&lt;D xsi:type="xsd:int"&gt;41676&lt;/D&gt;&lt;D xsi:type="xsd:int"&gt;41675&lt;/D&gt;&lt;D xsi:type="xsd:int"&gt;41674&lt;/D&gt;&lt;D xsi:type="xsd:int"&gt;41673&lt;/D&gt;&lt;D xsi:type="xsd:int"&gt;41670&lt;/D&gt;&lt;D xsi:type="xsd:int"&gt;41669&lt;/D&gt;&lt;D xsi:type="xsd:int"&gt;41668&lt;/D&gt;&lt;D xsi:type="xsd:int"&gt;41667&lt;/D&gt;&lt;D xsi:type="xsd:int"&gt;41666&lt;/D&gt;&lt;D xsi:type="xsd:int"&gt;41663&lt;/D&gt;&lt;D xsi:type="xsd:int"&gt;41662&lt;/D&gt;&lt;D xsi:type="xsd:int"&gt;41661&lt;/D&gt;&lt;D xsi:type="xsd:int"&gt;41660&lt;/D&gt;&lt;D xsi:type="xsd:int"&gt;41656&lt;/D&gt;&lt;D xsi:type="xsd:int"&gt;41655&lt;/D&gt;&lt;D xsi:type="xsd:int"&gt;41654&lt;/D&gt;&lt;D xsi:type="xsd:int"&gt;41653&lt;/D&gt;&lt;D xsi:type="xsd:int"&gt;41652&lt;/D&gt;&lt;D xsi:type="xsd:int"&gt;41649&lt;/D&gt;&lt;D xsi:type="xsd:int"&gt;41648&lt;/D&gt;&lt;D xsi:type="xsd:int"&gt;41647&lt;/D&gt;&lt;D xsi:type="xsd:int"&gt;41646&lt;/D&gt;&lt;D xsi:type="xsd:int"&gt;41645&lt;/D&gt;&lt;D xsi:type="xsd:int"&gt;41642&lt;/D&gt;&lt;D xsi:type="xsd:int"&gt;41641&lt;/D&gt;&lt;D xsi:type="xsd:int"&gt;41639&lt;/D&gt;&lt;D xsi:type="xsd:int"&gt;41638&lt;/D&gt;&lt;D xsi:type="xsd:int"&gt;41635&lt;/D&gt;&lt;D xsi:type="xsd:int"&gt;41634&lt;/D&gt;&lt;D xsi:type="xsd:int"&gt;41632&lt;/D&gt;&lt;D xsi:type="xsd:int"&gt;41631&lt;/D&gt;&lt;D xsi:type="xsd:int"&gt;41628&lt;/D&gt;&lt;D xsi:type="xsd:int"&gt;41627&lt;/D&gt;&lt;D xsi:type="xsd:int"&gt;41626&lt;/D&gt;&lt;D xsi:type="xsd:int"&gt;41625&lt;/D&gt;&lt;D xsi:type="xsd:int"&gt;41624&lt;/D&gt;&lt;D xsi:type="xsd:int"&gt;41621&lt;/D&gt;&lt;D xsi:type="xsd:int"&gt;41620&lt;/D&gt;&lt;D xsi:type="xsd:int"&gt;41619&lt;/D&gt;&lt;D xsi:type="xsd:int"&gt;41618&lt;/D&gt;&lt;D xsi:type="xsd:int"&gt;41617&lt;/D&gt;&lt;D xsi:type="xsd:int"&gt;41614&lt;/D&gt;&lt;D xsi:type="xsd:int"&gt;41613&lt;/D&gt;&lt;D xsi:type="xsd:int"&gt;41612&lt;/D&gt;&lt;D xsi:type="xsd:int"&gt;41611&lt;/D&gt;&lt;D xsi:type="xsd:int"&gt;41610&lt;/D&gt;&lt;D xsi:type="xsd:int"&gt;41607&lt;/D&gt;&lt;D xsi:type="xsd:int"&gt;41605&lt;/D&gt;&lt;D xsi:type="xsd:int"&gt;41604&lt;/D&gt;&lt;D xsi:type="xsd:int"&gt;41603&lt;/D&gt;&lt;D xsi:type="xsd:int"&gt;41600&lt;/D&gt;&lt;D xsi:type="xsd:int"&gt;41599&lt;/D&gt;&lt;D xsi:type="xsd:int"&gt;41598&lt;/D&gt;&lt;D xsi:type="xsd:int"&gt;41597&lt;/D&gt;&lt;D xsi:type="xsd:int"&gt;41596&lt;/D&gt;&lt;D xsi:type="xsd:int"&gt;41593&lt;/D&gt;&lt;D xsi:type="xsd:int"&gt;41592&lt;/D&gt;&lt;D xsi:type="xsd:int"&gt;41591&lt;/D&gt;&lt;D</t>
      </text>
    </comment>
    <comment authorId="0" ref="A16">
      <text>
        <t xml:space="preserve">======
ID#AAAB10qfXww
Park, Jason S.    (2026-03-18 17:29:03)
"&gt;33.92&lt;/D&gt;&lt;D xsi:type="xsd:double"&gt;33.74&lt;/D&gt;&lt;D xsi:type="xsd:double"&gt;33.2&lt;/D&gt;&lt;D xsi:type="xsd:double"&gt;33.18&lt;/D&gt;&lt;D xsi:type="xsd:double"&gt;32.69&lt;/D&gt;&lt;D xsi:type="xsd:double"&gt;32.27&lt;/D&gt;&lt;D xsi:type="xsd:double"&gt;32.61&lt;/D&gt;&lt;D xsi:type="xsd:double"&gt;31.58&lt;/D&gt;&lt;D xsi:type="xsd:double"&gt;31.38&lt;/D&gt;&lt;D xsi:type="xsd:double"&gt;30.85&lt;/D&gt;&lt;D xsi:type="xsd:double"&gt;31.275&lt;/D&gt;&lt;D xsi:type="xsd:double"&gt;32.14&lt;/D&gt;&lt;D xsi:type="xsd:double"&gt;31.47&lt;/D&gt;&lt;D xsi:type="xsd:double"&gt;31.91&lt;/D&gt;&lt;D xsi:type="xsd:double"&gt;33.62&lt;/D&gt;&lt;D xsi:type="xsd:double"&gt;34.27&lt;/D&gt;&lt;D xsi:type="xsd:double"&gt;33.47&lt;/D&gt;&lt;D xsi:type="xsd:double"&gt;34.11&lt;/D&gt;&lt;D xsi:type="xsd:double"&gt;34.03&lt;/D&gt;&lt;D xsi:type="xsd:double"&gt;33.52&lt;/D&gt;&lt;D xsi:type="xsd:double"&gt;33.99&lt;/D&gt;&lt;D xsi:type="xsd:double"&gt;34.82&lt;/D&gt;&lt;D xsi:type="xsd:double"&gt;34.9&lt;/D&gt;&lt;D xsi:type="xsd:double"&gt;34.26&lt;/D&gt;&lt;D xsi:type="xsd:double"&gt;34.14&lt;/D&gt;&lt;D xsi:type="xsd:double"&gt;34.75&lt;/D&gt;&lt;D xsi:type="xsd:double"&gt;34.42&lt;/D&gt;&lt;D xsi:type="xsd:double"&gt;34.71&lt;/D&gt;&lt;D xsi:type="xsd:double"&gt;34.82&lt;/D&gt;&lt;D xsi:type="xsd:double"&gt;35.17&lt;/D&gt;&lt;D xsi:type="xsd:double"&gt;34.98&lt;/D&gt;&lt;D xsi:type="xsd:double"&gt;34.93&lt;/D&gt;&lt;D xsi:type="xsd:double"&gt;34.54&lt;/D&gt;&lt;D xsi:type="xsd:double"&gt;34.62&lt;/D&gt;&lt;D xsi:type="xsd:double"&gt;35.02&lt;/D&gt;&lt;D xsi:type="xsd:double"&gt;35.02&lt;/D&gt;&lt;D xsi:type="xsd:double"&gt;34.91&lt;/D&gt;&lt;D xsi:type="xsd:double"&gt;35.33&lt;/D&gt;&lt;D xsi:type="xsd:double"&gt;35&lt;/D&gt;&lt;D xsi:type="xsd:double"&gt;34.905&lt;/D&gt;&lt;D xsi:type="xsd:double"&gt;34.57&lt;/D&gt;&lt;D xsi:type="xsd:double"&gt;34.57&lt;/D&gt;&lt;D xsi:type="xsd:double"&gt;34.92&lt;/D&gt;&lt;D xsi:type="xsd:double"&gt;34.65&lt;/D&gt;&lt;D xsi:type="xsd:double"&gt;34.79&lt;/D&gt;&lt;D xsi:type="xsd:double"&gt;34.8&lt;/D&gt;&lt;D xsi:type="xsd:double"&gt;34.81&lt;/D&gt;&lt;D xsi:type="xsd:double"&gt;34.94&lt;/D&gt;&lt;D xsi:type="xsd:double"&gt;35.15&lt;/D&gt;&lt;D xsi:type="xsd:double"&gt;34.5&lt;/D&gt;&lt;D xsi:type="xsd:double"&gt;34.34&lt;/D&gt;&lt;D xsi:type="xsd:double"&gt;34.41&lt;/D&gt;&lt;D xsi:type="xsd:double"&gt;34.17&lt;/D&gt;&lt;D xsi:type="xsd:double"&gt;33.94&lt;/D&gt;&lt;D xsi:type="xsd:double"&gt;34.1&lt;/D&gt;&lt;D xsi:type="xsd:double"&gt;33.13&lt;/D&gt;&lt;D xsi:type="xsd:double"&gt;33.02&lt;/D&gt;&lt;D xsi:type="xsd:double"&gt;32.6&lt;/D&gt;&lt;D xsi:type="xsd:double"&gt;32.68&lt;/D&gt;&lt;D xsi:type="xsd:double"&gt;32.845&lt;/D&gt;&lt;D xsi:type="xsd:double"&gt;32.82&lt;/D&gt;&lt;D xsi:type="xsd:double"&gt;34.05&lt;/D&gt;&lt;D xsi:type="xsd:double"&gt;33.745&lt;/D&gt;&lt;D xsi:type="xsd:double"&gt;33.89&lt;/D&gt;&lt;D xsi:type="xsd:double"&gt;34.35&lt;/D&gt;&lt;D xsi:type="xsd:double"&gt;34.19&lt;/D&gt;&lt;D xsi:type="xsd:double"&gt;34.23&lt;/D&gt;&lt;D xsi:type="xsd:double"&gt;34.25&lt;/D&gt;&lt;D xsi:type="xsd:double"&gt;34.25&lt;/D&gt;&lt;D xsi:type="xsd:double"&gt;34.5&lt;/D&gt;&lt;D xsi:type="xsd:double"&gt;34.7901&lt;/D&gt;&lt;D xsi:type="xsd:double"&gt;34.06&lt;/D&gt;&lt;D xsi:type="xsd:double"&gt;33.7&lt;/D&gt;&lt;D xsi:type="xsd:double"&gt;33.7&lt;/D&gt;&lt;D xsi:type="xsd:double"&gt;34.65&lt;/D&gt;&lt;D xsi:type="xsd:double"&gt;31.71&lt;/D&gt;&lt;D xsi:type="xsd:double"&gt;31.49&lt;/D&gt;&lt;D xsi:type="xsd:double"&gt;31.25&lt;/D&gt;&lt;D xsi:type="xsd:double"&gt;31.26&lt;/D&gt;&lt;D xsi:type="xsd:double"&gt;30.89&lt;/D&gt;&lt;D xsi:type="xsd:double"&gt;30.79&lt;/D&gt;&lt;D xsi:type="xsd:double"&gt;31.03&lt;/D&gt;&lt;D xsi:type="xsd:double"&gt;31.14&lt;/D&gt;&lt;D xsi:type="xsd:double"&gt;30.98&lt;/D&gt;&lt;D xsi:type="xsd:double"&gt;30.98&lt;/D&gt;&lt;D xsi:type="xsd:double"&gt;30.9&lt;/D&gt;&lt;D xsi:type="xsd:double"&gt;30.93&lt;/D&gt;&lt;D xsi:type="xsd:double"&gt;30.78&lt;/D&gt;&lt;D xsi:type="xsd:double"&gt;30.88&lt;/D&gt;&lt;D xsi:type="xsd:double"&gt;30.5&lt;/D&gt;&lt;D xsi:type="xsd:double"&gt;30.23&lt;/D&gt;&lt;D xsi:type="xsd:double"&gt;30.2&lt;/D&gt;&lt;D xsi:type="xsd:double"&gt;30.09&lt;/D&gt;&lt;D xsi:type="xsd:double"&gt;29.93&lt;/D&gt;&lt;D xsi:type="xsd:double"&gt;29.95&lt;/D&gt;&lt;D xsi:type="xsd:double"&gt;30.01&lt;/D&gt;&lt;D xsi:type="xsd:double"&gt;29.87&lt;/D&gt;&lt;D xsi:type="xsd:double"&gt;27.96&lt;/D&gt;&lt;D xsi:type="xsd:double"&gt;27.93&lt;/D&gt;&lt;D xsi:type="xsd:double"&gt;28.24&lt;/D&gt;&lt;D xsi:type="xsd:double"&gt;27.91&lt;/D&gt;&lt;D xsi:type="xsd:double"&gt;28.17&lt;/D&gt;&lt;D xsi:type="xsd:double"&gt;27.66&lt;/D&gt;&lt;D xsi:type="xsd:double"&gt;27.6&lt;/D&gt;&lt;D xsi:type="xsd:double"&gt;27.66&lt;/D&gt;&lt;D xsi:type="xsd:double"&gt;27.26&lt;/D&gt;&lt;D xsi:type="xsd:double"&gt;27.32&lt;/D&gt;&lt;D xsi:type="xsd:double"&gt;26.96&lt;/D&gt;&lt;D xsi:type="xsd:double"&gt;26.88&lt;/D&gt;&lt;D xsi:type="xsd:double"&gt;26.71&lt;/D&gt;&lt;D xsi:type="xsd:double"&gt;26.289&lt;/D&gt;&lt;D xsi:type="xsd:double"&gt;26.15&lt;/D&gt;&lt;D xsi:type="xsd:double"&gt;26.2&lt;/D&gt;&lt;D xsi:type="xsd:double"&gt;26.04&lt;/D&gt;&lt;D xsi:type="xsd:double"&gt;26.04&lt;/D&gt;&lt;D xsi:type="xsd:double"&gt;25.82&lt;/D&gt;&lt;D xsi:type="xsd:double"&gt;26.01&lt;/D&gt;&lt;D xsi:type="xsd:double"&gt;26.33&lt;/D&gt;&lt;D xsi:type="xsd:double"&gt;26.45&lt;/D&gt;&lt;D xsi:type="xsd:double"&gt;26.37&lt;/D&gt;&lt;D xsi:type="xsd:double"&gt;26.3&lt;/D&gt;&lt;D xsi:type="xsd</t>
      </text>
    </comment>
    <comment authorId="0" ref="A47">
      <text>
        <t xml:space="preserve">======
ID#AAAB10qfXws
Park, Jason S.    (2026-03-18 17:29:03)
"&gt;47.26&lt;/D&gt;&lt;D xsi:type="xsd:double"&gt;46.45&lt;/D&gt;&lt;D xsi:type="xsd:double"&gt;46.3&lt;/D&gt;&lt;D xsi:type="xsd:double"&gt;44.93&lt;/D&gt;&lt;D xsi:type="xsd:double"&gt;44.93&lt;/D&gt;&lt;D xsi:type="xsd:double"&gt;45.57&lt;/D&gt;&lt;D xsi:type="xsd:double"&gt;45.54&lt;/D&gt;&lt;D xsi:type="xsd:double"&gt;45.42&lt;/D&gt;&lt;D xsi:type="xsd:double"&gt;46.1&lt;/D&gt;&lt;D xsi:type="xsd:double"&gt;46.15&lt;/D&gt;&lt;D xsi:type="xsd:double"&gt;47.2&lt;/D&gt;&lt;D xsi:type="xsd:double"&gt;46.66&lt;/D&gt;&lt;D xsi:type="xsd:double"&gt;46.91&lt;/D&gt;&lt;D xsi:type="xsd:double"&gt;45.91&lt;/D&gt;&lt;D xsi:type="xsd:double"&gt;45.7&lt;/D&gt;&lt;D xsi:type="xsd:double"&gt;45.88&lt;/D&gt;&lt;D xsi:type="xsd:double"&gt;47.29&lt;/D&gt;&lt;D xsi:type="xsd:double"&gt;46.45&lt;/D&gt;&lt;D xsi:type="xsd:double"&gt;48.1&lt;/D&gt;&lt;D xsi:type="xsd:double"&gt;48.76&lt;/D&gt;&lt;D xsi:type="xsd:double"&gt;48.13&lt;/D&gt;&lt;D xsi:type="xsd:double"&gt;47.03&lt;/D&gt;&lt;D xsi:type="xsd:double"&gt;47.03&lt;/D&gt;&lt;D xsi:type="xsd:double"&gt;46.55&lt;/D&gt;&lt;D xsi:type="xsd:double"&gt;44.8&lt;/D&gt;&lt;D xsi:type="xsd:double"&gt;44.23&lt;/D&gt;&lt;D xsi:type="xsd:double"&gt;44.88&lt;/D&gt;&lt;D xsi:type="xsd:double"&gt;44.53&lt;/D&gt;&lt;D xsi:type="xsd:double"&gt;45.94&lt;/D&gt;&lt;D xsi:type="xsd:double"&gt;45.89&lt;/D&gt;&lt;D xsi:type="xsd:double"&gt;44.97&lt;/D&gt;&lt;D xsi:type="xsd:double"&gt;44&lt;/D&gt;&lt;D xsi:type="xsd:double"&gt;45.01&lt;/D&gt;&lt;D xsi:type="xsd:double"&gt;44.5&lt;/D&gt;&lt;D xsi:type="xsd:double"&gt;42.42&lt;/D&gt;&lt;D xsi:type="xsd:double"&gt;44.31&lt;/D&gt;&lt;D xsi:type="xsd:double"&gt;45.69&lt;/D&gt;&lt;D xsi:type="xsd:double"&gt;45.4&lt;/D&gt;&lt;D xsi:type="xsd:double"&gt;47.76&lt;/D&gt;&lt;D xsi:type="xsd:double"&gt;46.88&lt;/D&gt;&lt;D xsi:type="xsd:double"&gt;48.22&lt;/D&gt;&lt;D xsi:type="xsd:double"&gt;47.11&lt;/D&gt;&lt;D xsi:type="xsd:double"&gt;47.97&lt;/D&gt;&lt;D xsi:type="xsd:double"&gt;47.25&lt;/D&gt;&lt;D xsi:type="xsd:double"&gt;48.72&lt;/D&gt;&lt;D xsi:type="xsd:double"&gt;48.99&lt;/D&gt;&lt;D xsi:type="xsd:double"&gt;48.11&lt;/D&gt;&lt;D xsi:type="xsd:double"&gt;46.65&lt;/D&gt;&lt;D xsi:type="xsd:double"&gt;47.39&lt;/D&gt;&lt;D xsi:type="xsd:double"&gt;47.09&lt;/D&gt;&lt;D xsi:type="xsd:double"&gt;48.11&lt;/D&gt;&lt;D xsi:type="xsd:double"&gt;48.83&lt;/D&gt;&lt;D xsi:type="xsd:double"&gt;48&lt;/D&gt;&lt;D xsi:type="xsd:double"&gt;47.39&lt;/D&gt;&lt;D xsi:type="xsd:double"&gt;47.03&lt;/D&gt;&lt;D xsi:type="xsd:double"&gt;46.54&lt;/D&gt;&lt;D xsi:type="xsd:double"&gt;47.45&lt;/D&gt;&lt;D xsi:type="xsd:double"&gt;48.07&lt;/D&gt;&lt;D xsi:type="xsd:double"&gt;48.86&lt;/D&gt;&lt;D xsi:type="xsd:double"&gt;47.7&lt;/D&gt;&lt;D xsi:type="xsd:double"&gt;49.31&lt;/D&gt;&lt;D xsi:type="xsd:double"&gt;50.13&lt;/D&gt;&lt;D xsi:type="xsd:double"&gt;47.75&lt;/D&gt;&lt;D xsi:type="xsd:double"&gt;48.37&lt;/D&gt;&lt;D xsi:type="xsd:double"&gt;46.24&lt;/D&gt;&lt;D xsi:type="xsd:double"&gt;47.21&lt;/D&gt;&lt;D xsi:type="xsd:double"&gt;47.38&lt;/D&gt;&lt;D xsi:type="xsd:double"&gt;47.83&lt;/D&gt;&lt;D xsi:type="xsd:double"&gt;48.29&lt;/D&gt;&lt;D xsi:type="xsd:double"&gt;47.86&lt;/D&gt;&lt;D xsi:type="xsd:double"&gt;47.08&lt;/D&gt;&lt;D xsi:type="xsd:double"&gt;47.74&lt;/D&gt;&lt;D xsi:type="xsd:double"&gt;45.57&lt;/D&gt;&lt;D xsi:type="xsd:double"&gt;45.54&lt;/D&gt;&lt;D xsi:type="xsd:double"&gt;44.84&lt;/D&gt;&lt;D xsi:type="xsd:double"&gt;43.59&lt;/D&gt;&lt;D xsi:type="xsd:double"&gt;46.19&lt;/D&gt;&lt;D xsi:type="xsd:double"&gt;46.36&lt;/D&gt;&lt;D xsi:type="xsd:double"&gt;46.75&lt;/D&gt;&lt;D xsi:type="xsd:double"&gt;46.93&lt;/D&gt;&lt;D xsi:type="xsd:double"&gt;47.08&lt;/D&gt;&lt;D xsi:type="xsd:double"&gt;44.49&lt;/D&gt;&lt;D xsi:type="xsd:double"&gt;47.22&lt;/D&gt;&lt;D xsi:type="xsd:double"&gt;47.44&lt;/D&gt;&lt;D xsi:type="xsd:double"&gt;47.74&lt;/D&gt;&lt;D xsi:type="xsd:double"&gt;48.01&lt;/D&gt;&lt;D xsi:type="xsd:double"&gt;48.56&lt;/D&gt;&lt;D xsi:type="xsd:double"&gt;48.93&lt;/D&gt;&lt;D xsi:type="xsd:double"&gt;48.35&lt;/D&gt;&lt;D xsi:type="xsd:double"&gt;48.6&lt;/D&gt;&lt;D xsi:type="xsd:double"&gt;48.13&lt;/D&gt;&lt;D xsi:type="xsd:double"&gt;48.47&lt;/D&gt;&lt;D xsi:type="xsd:double"&gt;49.19&lt;/D&gt;&lt;D xsi:type="xsd:double"&gt;48.27&lt;/D&gt;&lt;D xsi:type="xsd:double"&gt;47.94&lt;/D&gt;&lt;D xsi:type="xsd:double"&gt;49.76&lt;/D&gt;&lt;D xsi:type="xsd:double"&gt;47.04&lt;/D&gt;&lt;D xsi:type="xsd:double"&gt;46.71&lt;/D&gt;&lt;D xsi:type="xsd:double"&gt;46.54&lt;/D&gt;&lt;D xsi:type="xsd:double"&gt;47.54&lt;/D&gt;&lt;D xsi:type="xsd:double"&gt;47.12&lt;/D&gt;&lt;D xsi:type="xsd:double"&gt;48.73&lt;/D&gt;&lt;D xsi:type="xsd:double"&gt;49.22&lt;/D&gt;&lt;D xsi:type="xsd:double"&gt;50.01&lt;/D&gt;&lt;D xsi:type="xsd:double"&gt;49.9&lt;/D&gt;&lt;D xsi:type="xsd:double"&gt;49.23&lt;/D&gt;&lt;D xsi:type="xsd:double"&gt;48.84&lt;/D&gt;&lt;D xsi:type="xsd:double"&gt;48.77&lt;/D&gt;&lt;D xsi:type="xsd:double"&gt;50.01&lt;/D&gt;&lt;D xsi:type="xsd:double"&gt;50.47&lt;/D&gt;&lt;D xsi:type="xsd:double"&gt;50.81&lt;/D&gt;&lt;D xsi:type="xsd:double"&gt;51.66&lt;/D&gt;&lt;D xsi:type="xsd:double"&gt;51.4&lt;/D&gt;&lt;D xsi:type="xsd:double"&gt;51.39&lt;/D&gt;&lt;D xsi:type="xsd:double"&gt;51.41&lt;/D&gt;&lt;D xsi:type="xsd:double"&gt;52.49&lt;/D&gt;&lt;D xsi:type="xsd:double"&gt;53.1&lt;/D&gt;&lt;D xsi:type="xsd:double"&gt;53.23&lt;/D&gt;&lt;D xsi:type="xsd:double"&gt;53.24&lt;/D&gt;&lt;D xsi:type="xsd:double"&gt;52.96&lt;/D&gt;&lt;D xsi:type="xsd:double"&gt;53.3&lt;/D&gt;&lt;D xsi:type="xsd:double"&gt;</t>
      </text>
    </comment>
    <comment authorId="0" ref="A33">
      <text>
        <t xml:space="preserve">======
ID#AAAB10qfXwo
Park, Jason S.    (2026-03-18 17:29:03)
e="xsd:double"&gt;22.68&lt;/D&gt;&lt;D xsi:type="xsd:double"&gt;21.81&lt;/D&gt;&lt;D xsi:type="xsd:double"&gt;22.05&lt;/D&gt;&lt;D xsi:type="xsd:double"&gt;22.66&lt;/D&gt;&lt;D xsi:type="xsd:double"&gt;22.86&lt;/D&gt;&lt;D xsi:type="xsd:double"&gt;22.58&lt;/D&gt;&lt;D xsi:type="xsd:double"&gt;22.28&lt;/D&gt;&lt;D xsi:type="xsd:double"&gt;22.85&lt;/D&gt;&lt;D xsi:type="xsd:double"&gt;22.37&lt;/D&gt;&lt;D xsi:type="xsd:double"&gt;22.36&lt;/D&gt;&lt;D xsi:type="xsd:double"&gt;22.41&lt;/D&gt;&lt;D xsi:type="xsd:double"&gt;22.65&lt;/D&gt;&lt;D xsi:type="xsd:double"&gt;21.59&lt;/D&gt;&lt;D xsi:type="xsd:double"&gt;21.49&lt;/D&gt;&lt;D xsi:type="xsd:double"&gt;21.48&lt;/D&gt;&lt;D xsi:type="xsd:double"&gt;21.57&lt;/D&gt;&lt;D xsi:type="xsd:double"&gt;20.93&lt;/D&gt;&lt;D xsi:type="xsd:double"&gt;20.66&lt;/D&gt;&lt;D xsi:type="xsd:double"&gt;20.71&lt;/D&gt;&lt;D xsi:type="xsd:double"&gt;20.92&lt;/D&gt;&lt;D xsi:type="xsd:double"&gt;19.81&lt;/D&gt;&lt;D xsi:type="xsd:double"&gt;20.62&lt;/D&gt;&lt;D xsi:type="xsd:double"&gt;20.64&lt;/D&gt;&lt;D xsi:type="xsd:double"&gt;20.47&lt;/D&gt;&lt;D xsi:type="xsd:double"&gt;20.71&lt;/D&gt;&lt;D xsi:type="xsd:double"&gt;20.91&lt;/D&gt;&lt;D xsi:type="xsd:double"&gt;21.99&lt;/D&gt;&lt;D xsi:type="xsd:double"&gt;22.09&lt;/D&gt;&lt;D xsi:type="xsd:double"&gt;22.09&lt;/D&gt;&lt;D xsi:type="xsd:double"&gt;22.09&lt;/D&gt;&lt;D xsi:type="xsd:double"&gt;22.3&lt;/D&gt;&lt;D xsi:type="xsd:double"&gt;21.67&lt;/D&gt;&lt;D xsi:type="xsd:double"&gt;22.01&lt;/D&gt;&lt;D xsi:type="xsd:double"&gt;21.67&lt;/D&gt;&lt;D xsi:type="xsd:double"&gt;22.23&lt;/D&gt;&lt;D xsi:type="xsd:double"&gt;22.23&lt;/D&gt;&lt;D xsi:type="xsd:double"&gt;22.19&lt;/D&gt;&lt;D xsi:type="xsd:double"&gt;22.35&lt;/D&gt;&lt;D xsi:type="xsd:double"&gt;22.52&lt;/D&gt;&lt;D xsi:type="xsd:double"&gt;23.02&lt;/D&gt;&lt;D xsi:type="xsd:double"&gt;22.8&lt;/D&gt;&lt;D xsi:type="xsd:double"&gt;23.67&lt;/D&gt;&lt;D xsi:type="xsd:double"&gt;24.23&lt;/D&gt;&lt;D xsi:type="xsd:double"&gt;24.38&lt;/D&gt;&lt;D xsi:type="xsd:double"&gt;24.52&lt;/D&gt;&lt;D xsi:type="xsd:double"&gt;24.12&lt;/D&gt;&lt;D xsi:type="xsd:double"&gt;24.36&lt;/D&gt;&lt;D xsi:type="xsd:double"&gt;24.26&lt;/D&gt;&lt;D xsi:type="xsd:double"&gt;24.01&lt;/D&gt;&lt;D xsi:type="xsd:double"&gt;23.59&lt;/D&gt;&lt;D xsi:type="xsd:double"&gt;23.39&lt;/D&gt;&lt;D xsi:type="xsd:double"&gt;23.05&lt;/D&gt;&lt;D xsi:type="xsd:double"&gt;23.49&lt;/D&gt;&lt;D xsi:type="xsd:double"&gt;22.97&lt;/D&gt;&lt;D xsi:type="xsd:double"&gt;23.15&lt;/D&gt;&lt;D xsi:type="xsd:double"&gt;23.41&lt;/D&gt;&lt;D xsi:type="xsd:double"&gt;23.59&lt;/D&gt;&lt;D xsi:type="xsd:double"&gt;22.87&lt;/D&gt;&lt;D xsi:type="xsd:double"&gt;22.58&lt;/D&gt;&lt;D xsi:type="xsd:double"&gt;21.54&lt;/D&gt;&lt;D xsi:type="xsd:double"&gt;20.52&lt;/D&gt;&lt;D xsi:type="xsd:double"&gt;20.61&lt;/D&gt;&lt;D xsi:type="xsd:double"&gt;20.97&lt;/D&gt;&lt;D xsi:type="xsd:double"&gt;20.33&lt;/D&gt;&lt;D xsi:type="xsd:double"&gt;20.16&lt;/D&gt;&lt;D xsi:type="xsd:double"&gt;20.19&lt;/D&gt;&lt;D xsi:type="xsd:double"&gt;20.16&lt;/D&gt;&lt;D xsi:type="xsd:double"&gt;19.36&lt;/D&gt;&lt;D xsi:type="xsd:double"&gt;19.48&lt;/D&gt;&lt;D xsi:type="xsd:double"&gt;18.55&lt;/D&gt;&lt;D xsi:type="xsd:double"&gt;19.26&lt;/D&gt;&lt;D xsi:type="xsd:double"&gt;19.23&lt;/D&gt;&lt;D xsi:type="xsd:double"&gt;18.5&lt;/D&gt;&lt;D xsi:type="xsd:double"&gt;18.63&lt;/D&gt;&lt;D xsi:type="xsd:double"&gt;18.7&lt;/D&gt;&lt;D xsi:type="xsd:double"&gt;18.57&lt;/D&gt;&lt;D xsi:type="xsd:double"&gt;19.2&lt;/D&gt;&lt;D xsi:type="xsd:double"&gt;17.27&lt;/D&gt;&lt;D xsi:type="xsd:double"&gt;18.73&lt;/D&gt;&lt;D xsi:type="xsd:double"&gt;18.52&lt;/D&gt;&lt;D xsi:type="xsd:double"&gt;17.2&lt;/D&gt;&lt;D xsi:type="xsd:double"&gt;17.31&lt;/D&gt;&lt;D xsi:type="xsd:double"&gt;16.93&lt;/D&gt;&lt;D xsi:type="xsd:double"&gt;16.02&lt;/D&gt;&lt;D xsi:type="xsd:double"&gt;16.25&lt;/D&gt;&lt;D xsi:type="xsd:double"&gt;15.6&lt;/D&gt;&lt;D xsi:type="xsd:double"&gt;15.19&lt;/D&gt;&lt;D xsi:type="xsd:double"&gt;16.99&lt;/D&gt;&lt;D xsi:type="xsd:double"&gt;15.93&lt;/D&gt;&lt;D xsi:type="xsd:double"&gt;14.99&lt;/D&gt;&lt;D xsi:type="xsd:double"&gt;15.88&lt;/D&gt;&lt;D xsi:type="xsd:double"&gt;15.5&lt;/D&gt;&lt;D xsi:type="xsd:double"&gt;16.04&lt;/D&gt;&lt;D xsi:type="xsd:double"&gt;15.25&lt;/D&gt;&lt;D xsi:type="xsd:double"&gt;14.58&lt;/D&gt;&lt;D xsi:type="xsd:double"&gt;14.51&lt;/D&gt;&lt;D xsi:type="xsd:double"&gt;14.28&lt;/D&gt;&lt;D xsi:type="xsd:double"&gt;14.25&lt;/D&gt;&lt;D xsi:type="xsd:double"&gt;15.86&lt;/D&gt;&lt;D xsi:type="xsd:double"&gt;14.94&lt;/D&gt;&lt;D xsi:type="xsd:double"&gt;16.17&lt;/D&gt;&lt;D xsi:type="xsd:double"&gt;16.031&lt;/D&gt;&lt;D xsi:type="xsd:double"&gt;15.64&lt;/D&gt;&lt;D xsi:type="xsd:double"&gt;16.26&lt;/D&gt;&lt;D xsi:type="xsd:double"&gt;15.06&lt;/D&gt;&lt;D xsi:type="xsd:double"&gt;13.87&lt;/D&gt;&lt;D xsi:type="xsd:double"&gt;14.63&lt;/D&gt;&lt;D xsi:type="xsd:double"&gt;14.35&lt;/D&gt;&lt;D xsi:type="xsd:double"&gt;13.93&lt;/D&gt;&lt;D xsi:type="xsd:double"&gt;13.52&lt;/D&gt;&lt;D xsi:type="xsd:double"&gt;14.43&lt;/D&gt;&lt;D xsi:type="xsd:double"&gt;13.32&lt;/D&gt;&lt;D xsi:type="xsd:double"&gt;13&lt;/D&gt;&lt;D xsi:type="xsd:double"&gt;13.11&lt;/D&gt;&lt;D xsi:type="xsd:double"&gt;12.49&lt;/D&gt;&lt;D xsi:type="xsd:double"&gt;12.23&lt;/D&gt;&lt;D xsi:type="xsd:double"&gt;13.11&lt;/D&gt;&lt;D xsi:type="xsd:double"&gt;13.56&lt;/D&gt;&lt;D xsi:type="xsd:double"&gt;13.13&lt;/D&gt;&lt;D xsi:type="xsd:double"&gt;13.97&lt;/D&gt;&lt;D xsi:type="xsd:double"&gt;13.8&lt;/D&gt;&lt;D</t>
      </text>
    </comment>
    <comment authorId="0" ref="A30">
      <text>
        <t xml:space="preserve">======
ID#AAAB10qfXwk
Park, Jason S.    (2026-03-18 17:29:03)
pe="xsd:long"&gt;43482&lt;/D&gt;&lt;D xsi:type="xsd:long"&gt;43483&lt;/D&gt;&lt;D xsi:type="xsd:long"&gt;43487&lt;/D&gt;&lt;D xsi:type="xsd:long"&gt;43488&lt;/D&gt;&lt;D xsi:type="xsd:long"&gt;43489&lt;/D&gt;&lt;D xsi:type="xsd:long"&gt;43490&lt;/D&gt;&lt;D xsi:type="xsd:long"&gt;43493&lt;/D&gt;&lt;D xsi:type="xsd:long"&gt;43494&lt;/D&gt;&lt;D xsi:type="xsd:long"&gt;43495&lt;/D&gt;&lt;D xsi:type="xsd:long"&gt;43496&lt;/D&gt;&lt;D xsi:type="xsd:long"&gt;43497&lt;/D&gt;&lt;D xsi:type="xsd:long"&gt;43500&lt;/D&gt;&lt;D xsi:type="xsd:long"&gt;43501&lt;/D&gt;&lt;D xsi:type="xsd:long"&gt;43502&lt;/D&gt;&lt;D xsi:type="xsd:long"&gt;43503&lt;/D&gt;&lt;D xsi:type="xsd:long"&gt;43504&lt;/D&gt;&lt;D xsi:type="xsd:long"&gt;43507&lt;/D&gt;&lt;D xsi:type="xsd:long"&gt;43508&lt;/D&gt;&lt;D xsi:type="xsd:long"&gt;43509&lt;/D&gt;&lt;D xsi:type="xsd:long"&gt;43510&lt;/D&gt;&lt;D xsi:type="xsd:long"&gt;43511&lt;/D&gt;&lt;D xsi:type="xsd:long"&gt;43515&lt;/D&gt;&lt;D xsi:type="xsd:long"&gt;43516&lt;/D&gt;&lt;D xsi:type="xsd:long"&gt;43517&lt;/D&gt;&lt;D xsi:type="xsd:long"&gt;43518&lt;/D&gt;&lt;D xsi:type="xsd:long"&gt;43521&lt;/D&gt;&lt;D xsi:type="xsd:long"&gt;43522&lt;/D&gt;&lt;D xsi:type="xsd:long"&gt;43523&lt;/D&gt;&lt;D xsi:type="xsd:long"&gt;43524&lt;/D&gt;&lt;D xsi:type="xsd:long"&gt;43525&lt;/D&gt;&lt;D xsi:type="xsd:long"&gt;43528&lt;/D&gt;&lt;D xsi:type="xsd:long"&gt;43529&lt;/D&gt;&lt;D xsi:type="xsd:long"&gt;43530&lt;/D&gt;&lt;D xsi:type="xsd:long"&gt;43531&lt;/D&gt;&lt;D xsi:type="xsd:long"&gt;43532&lt;/D&gt;&lt;D xsi:type="xsd:long"&gt;43535&lt;/D&gt;&lt;D xsi:type="xsd:long"&gt;43536&lt;/D&gt;&lt;D xsi:type="xsd:long"&gt;43537&lt;/D&gt;&lt;D xsi:type="xsd:long"&gt;43538&lt;/D&gt;&lt;D xsi:type="xsd:long"&gt;43539&lt;/D&gt;&lt;D xsi:type="xsd:long"&gt;43542&lt;/D&gt;&lt;D xsi:type="xsd:long"&gt;43543&lt;/D&gt;&lt;D xsi:type="xsd:long"&gt;43544&lt;/D&gt;&lt;D xsi:type="xsd:long"&gt;43545&lt;/D&gt;&lt;D xsi:type="xsd:long"&gt;43546&lt;/D&gt;&lt;D xsi:type="xsd:long"&gt;43549&lt;/D&gt;&lt;D xsi:type="xsd:long"&gt;43550&lt;/D&gt;&lt;D xsi:type="xsd:long"&gt;43551&lt;/D&gt;&lt;D xsi:type="xsd:long"&gt;43552&lt;/D&gt;&lt;D xsi:type="xsd:long"&gt;43553&lt;/D&gt;&lt;D xsi:type="xsd:long"&gt;43556&lt;/D&gt;&lt;D xsi:type="xsd:long"&gt;43557&lt;/D&gt;&lt;D xsi:type="xsd:long"&gt;43558&lt;/D&gt;&lt;D xsi:type="xsd:long"&gt;43559&lt;/D&gt;&lt;D xsi:type="xsd:long"&gt;43560&lt;/D&gt;&lt;D xsi:type="xsd:long"&gt;43563&lt;/D&gt;&lt;D xsi:type="xsd:long"&gt;43564&lt;/D&gt;&lt;D xsi:type="xsd:long"&gt;43565&lt;/D&gt;&lt;D xsi:type="xsd:long"&gt;43566&lt;/D&gt;&lt;D xsi:type="xsd:long"&gt;43567&lt;/D&gt;&lt;D xsi:type="xsd:long"&gt;43570&lt;/D&gt;&lt;D xsi:type="xsd:long"&gt;43571&lt;/D&gt;&lt;D xsi:type="xsd:long"&gt;43572&lt;/D&gt;&lt;D xsi:type="xsd:long"&gt;43573&lt;/D&gt;&lt;D xsi:type="xsd:long"&gt;43577&lt;/D&gt;&lt;D xsi:type="xsd:long"&gt;43578&lt;/D&gt;&lt;D xsi:type="xsd:long"&gt;43579&lt;/D&gt;&lt;D xsi:type="xsd:long"&gt;43580&lt;/D&gt;&lt;D xsi:type="xsd:long"&gt;43581&lt;/D&gt;&lt;D xsi:type="xsd:long"&gt;43584&lt;/D&gt;&lt;D xsi:type="xsd:long"&gt;43585&lt;/D&gt;&lt;D xsi:type="xsd:long"&gt;43586&lt;/D&gt;&lt;D xsi:type="xsd:long"&gt;43587&lt;/D&gt;&lt;D xsi:type="xsd:long"&gt;43588&lt;/D&gt;&lt;D xsi:type="xsd:long"&gt;43591&lt;/D&gt;&lt;D xsi:type="xsd:long"&gt;43592&lt;/D&gt;&lt;D xsi:type="xsd:long"&gt;43593&lt;/D&gt;&lt;D xsi:type="xsd:long"&gt;43594&lt;/D&gt;&lt;D xsi:type="xsd:long"&gt;43595&lt;/D&gt;&lt;D xsi:type="xsd:long"&gt;43598&lt;/D&gt;&lt;D xsi:type="xsd:long"&gt;43599&lt;/D&gt;&lt;D xsi:type="xsd:long"&gt;43600&lt;/D&gt;&lt;D xsi:type="xsd:long"&gt;43601&lt;/D&gt;&lt;D xsi:type="xsd:long"&gt;43602&lt;/D&gt;&lt;D xsi:type="xsd:long"&gt;43605&lt;/D&gt;&lt;D xsi:type="xsd:long"&gt;43606&lt;/D&gt;&lt;D xsi:type="xsd:long"&gt;43607&lt;/D&gt;&lt;D xsi:type="xsd:long"&gt;43608&lt;/D&gt;&lt;D xsi:type="xsd:long"&gt;43609&lt;/D&gt;&lt;D xsi:type="xsd:long"&gt;43613&lt;/D&gt;&lt;D xsi:type="xsd:long"&gt;43614&lt;/D&gt;&lt;D xsi:type="xsd:long"&gt;43615&lt;/D&gt;&lt;D xsi:type="xsd:long"&gt;43616&lt;/D&gt;&lt;D xsi:type="xsd:long"&gt;43619&lt;/D&gt;&lt;D xsi:type="xsd:long"&gt;43620&lt;/D&gt;&lt;D xsi:type="xsd:long"&gt;43621&lt;/D&gt;&lt;D xsi:type="xsd:long"&gt;43622&lt;/D&gt;&lt;D xsi:type="xsd:long"&gt;43623&lt;/D&gt;&lt;D xsi:type="xsd:long"&gt;43626&lt;/D&gt;&lt;D xsi:type="xsd:long"&gt;43627&lt;/D&gt;&lt;D xsi:type="xsd:long"&gt;43628&lt;/D&gt;&lt;D xsi:type="xsd:long"&gt;43629&lt;/D&gt;&lt;D xsi:type="xsd:long"&gt;43630&lt;/D&gt;&lt;D xsi:type="xsd:long"&gt;43633&lt;/D&gt;&lt;D xsi:type="xsd:long"&gt;43634&lt;/D&gt;&lt;D xsi:type="xsd:long"&gt;43635&lt;/D&gt;&lt;D xsi:type="xsd:long"&gt;43636&lt;/D&gt;&lt;D xsi:type="xsd:long"&gt;43637&lt;/D&gt;&lt;D xsi:type="xsd:long"&gt;43640&lt;/D&gt;&lt;D xsi:type="xsd:long"&gt;43641&lt;/D&gt;&lt;D xsi:type="xsd:long"&gt;43642&lt;/D&gt;&lt;D xsi:type="xsd:long"&gt;43643&lt;/D&gt;&lt;D xsi:type="xsd:long"&gt;43644&lt;/D&gt;&lt;D xsi:type="xsd:long"&gt;43647&lt;/D&gt;&lt;D xsi:type="xsd:long"&gt;43648&lt;/D&gt;&lt;D xsi:type="xsd:long"&gt;43649&lt;/D&gt;&lt;D xsi:type="xsd:long"&gt;43651&lt;/D&gt;&lt;D xsi:type="xsd:long"&gt;43654&lt;/D&gt;&lt;D xsi:type="xsd:long"&gt;43655&lt;/D&gt;&lt;D xsi:type="xsd:long"&gt;43656&lt;/D&gt;&lt;D xsi:type="xsd:long"&gt;43657&lt;/D&gt;&lt;D xsi:type="xsd:long"&gt;43658&lt;/D&gt;&lt;D xsi:type="xsd:long"&gt;43661&lt;/D&gt;&lt;D xsi:type="xsd:long"&gt;43662&lt;/D&gt;&lt;D xsi:type="xsd:long"&gt;43663&lt;/D&gt;&lt;D xsi:type="xsd:long"&gt;43664&lt;/D&gt;&lt;D xsi:type="xsd:long"&gt;43665&lt;/D&gt;&lt;D xsi:type="xsd:long"&gt;43668&lt;/D&gt;&lt;D xsi:ty</t>
      </text>
    </comment>
    <comment authorId="0" ref="A38">
      <text>
        <t xml:space="preserve">======
ID#AAAB10qfXwg
Park, Jason S.    (2026-03-18 17:29:03)
d:long"&gt;38604&lt;/D&gt;&lt;D xsi:type="xsd:long"&gt;38607&lt;/D&gt;&lt;D xsi:type="xsd:long"&gt;38608&lt;/D&gt;&lt;D xsi:type="xsd:long"&gt;38609&lt;/D&gt;&lt;D xsi:type="xsd:long"&gt;38610&lt;/D&gt;&lt;D xsi:type="xsd:long"&gt;38611&lt;/D&gt;&lt;D xsi:type="xsd:long"&gt;38614&lt;/D&gt;&lt;D xsi:type="xsd:long"&gt;38615&lt;/D&gt;&lt;D xsi:type="xsd:long"&gt;38616&lt;/D&gt;&lt;D xsi:type="xsd:long"&gt;38617&lt;/D&gt;&lt;D xsi:type="xsd:long"&gt;38618&lt;/D&gt;&lt;D xsi:type="xsd:long"&gt;38621&lt;/D&gt;&lt;D xsi:type="xsd:long"&gt;38622&lt;/D&gt;&lt;D xsi:type="xsd:long"&gt;38623&lt;/D&gt;&lt;D xsi:type="xsd:long"&gt;38624&lt;/D&gt;&lt;D xsi:type="xsd:long"&gt;38625&lt;/D&gt;&lt;D xsi:type="xsd:long"&gt;38628&lt;/D&gt;&lt;D xsi:type="xsd:long"&gt;38629&lt;/D&gt;&lt;D xsi:type="xsd:long"&gt;38630&lt;/D&gt;&lt;D xsi:type="xsd:long"&gt;38631&lt;/D&gt;&lt;D xsi:type="xsd:long"&gt;38632&lt;/D&gt;&lt;D xsi:type="xsd:long"&gt;38635&lt;/D&gt;&lt;D xsi:type="xsd:long"&gt;38636&lt;/D&gt;&lt;D xsi:type="xsd:long"&gt;38637&lt;/D&gt;&lt;D xsi:type="xsd:long"&gt;38638&lt;/D&gt;&lt;D xsi:type="xsd:long"&gt;38639&lt;/D&gt;&lt;D xsi:type="xsd:long"&gt;38642&lt;/D&gt;&lt;D xsi:type="xsd:long"&gt;38643&lt;/D&gt;&lt;D xsi:type="xsd:long"&gt;38644&lt;/D&gt;&lt;D xsi:type="xsd:long"&gt;38645&lt;/D&gt;&lt;D xsi:type="xsd:long"&gt;38646&lt;/D&gt;&lt;D xsi:type="xsd:long"&gt;38649&lt;/D&gt;&lt;D xsi:type="xsd:long"&gt;38650&lt;/D&gt;&lt;D xsi:type="xsd:long"&gt;38651&lt;/D&gt;&lt;D xsi:type="xsd:long"&gt;38652&lt;/D&gt;&lt;D xsi:type="xsd:long"&gt;38653&lt;/D&gt;&lt;D xsi:type="xsd:long"&gt;38656&lt;/D&gt;&lt;D xsi:type="xsd:long"&gt;38657&lt;/D&gt;&lt;D xsi:type="xsd:long"&gt;38658&lt;/D&gt;&lt;D xsi:type="xsd:long"&gt;38659&lt;/D&gt;&lt;D xsi:type="xsd:long"&gt;38660&lt;/D&gt;&lt;D xsi:type="xsd:long"&gt;38663&lt;/D&gt;&lt;D xsi:type="xsd:long"&gt;38664&lt;/D&gt;&lt;D xsi:type="xsd:long"&gt;38665&lt;/D&gt;&lt;D xsi:type="xsd:long"&gt;38666&lt;/D&gt;&lt;D xsi:type="xsd:long"&gt;38667&lt;/D&gt;&lt;D xsi:type="xsd:long"&gt;38670&lt;/D&gt;&lt;D xsi:type="xsd:long"&gt;38671&lt;/D&gt;&lt;D xsi:type="xsd:long"&gt;38672&lt;/D&gt;&lt;D xsi:type="xsd:long"&gt;38673&lt;/D&gt;&lt;D xsi:type="xsd:long"&gt;38674&lt;/D&gt;&lt;D xsi:type="xsd:long"&gt;38677&lt;/D&gt;&lt;D xsi:type="xsd:long"&gt;38678&lt;/D&gt;&lt;D xsi:type="xsd:long"&gt;38679&lt;/D&gt;&lt;D xsi:type="xsd:long"&gt;38681&lt;/D&gt;&lt;D xsi:type="xsd:long"&gt;38684&lt;/D&gt;&lt;D xsi:type="xsd:long"&gt;38685&lt;/D&gt;&lt;D xsi:type="xsd:long"&gt;38686&lt;/D&gt;&lt;D xsi:type="xsd:long"&gt;38687&lt;/D&gt;&lt;D xsi:type="xsd:long"&gt;38688&lt;/D&gt;&lt;D xsi:type="xsd:long"&gt;38691&lt;/D&gt;&lt;D xsi:type="xsd:long"&gt;38692&lt;/D&gt;&lt;D xsi:type="xsd:long"&gt;38693&lt;/D&gt;&lt;D xsi:type="xsd:long"&gt;38694&lt;/D&gt;&lt;D xsi:type="xsd:long"&gt;38695&lt;/D&gt;&lt;D xsi:type="xsd:long"&gt;38698&lt;/D&gt;&lt;D xsi:type="xsd:long"&gt;38699&lt;/D&gt;&lt;D xsi:type="xsd:long"&gt;38700&lt;/D&gt;&lt;D xsi:type="xsd:long"&gt;38701&lt;/D&gt;&lt;D xsi:type="xsd:long"&gt;38702&lt;/D&gt;&lt;D xsi:type="xsd:long"&gt;38705&lt;/D&gt;&lt;D xsi:type="xsd:long"&gt;38706&lt;/D&gt;&lt;D xsi:type="xsd:long"&gt;38707&lt;/D&gt;&lt;D xsi:type="xsd:long"&gt;38708&lt;/D&gt;&lt;D xsi:type="xsd:long"&gt;38709&lt;/D&gt;&lt;D xsi:type="xsd:long"&gt;38713&lt;/D&gt;&lt;D xsi:type="xsd:long"&gt;38714&lt;/D&gt;&lt;D xsi:type="xsd:long"&gt;38715&lt;/D&gt;&lt;D xsi:type="xsd:long"&gt;38716&lt;/D&gt;&lt;D xsi:type="xsd:long"&gt;38720&lt;/D&gt;&lt;D xsi:type="xsd:long"&gt;38721&lt;/D&gt;&lt;D xsi:type="xsd:long"&gt;38722&lt;/D&gt;&lt;D xsi:type="xsd:long"&gt;38723&lt;/D&gt;&lt;D xsi:type="xsd:long"&gt;38726&lt;/D&gt;&lt;D xsi:type="xsd:long"&gt;38727&lt;/D&gt;&lt;D xsi:type="xsd:long"&gt;38728&lt;/D&gt;&lt;D xsi:type="xsd:long"&gt;38729&lt;/D&gt;&lt;D xsi:type="xsd:long"&gt;38730&lt;/D&gt;&lt;D xsi:type="xsd:long"&gt;38734&lt;/D&gt;&lt;D xsi:type="xsd:long"&gt;38735&lt;/D&gt;&lt;D xsi:type="xsd:long"&gt;38736&lt;/D&gt;&lt;D xsi:type="xsd:long"&gt;38737&lt;/D&gt;&lt;D xsi:type="xsd:long"&gt;38740&lt;/D&gt;&lt;D xsi:type="xsd:long"&gt;38741&lt;/D&gt;&lt;D xsi:type="xsd:long"&gt;38742&lt;/D&gt;&lt;D xsi:type="xsd:long"&gt;38743&lt;/D&gt;&lt;D xsi:type="xsd:long"&gt;38744&lt;/D&gt;&lt;D xsi:type="xsd:long"&gt;38747&lt;/D&gt;&lt;D xsi:type="xsd:long"&gt;38748&lt;/D&gt;&lt;D xsi:type="xsd:long"&gt;38749&lt;/D&gt;&lt;D xsi:type="xsd:long"&gt;38750&lt;/D&gt;&lt;D xsi:type="xsd:long"&gt;38751&lt;/D&gt;&lt;D xsi:type="xsd:long"&gt;38754&lt;/D&gt;&lt;D xsi:type="xsd:long"&gt;38755&lt;/D&gt;&lt;D xsi:type="xsd:long"&gt;38756&lt;/D&gt;&lt;D xsi:type="xsd:long"&gt;38757&lt;/D&gt;&lt;D xsi:type="xsd:long"&gt;38758&lt;/D&gt;&lt;D xsi:type="xsd:long"&gt;38761&lt;/D&gt;&lt;D xsi:type="xsd:long"&gt;38762&lt;/D&gt;&lt;D xsi:type="xsd:long"&gt;38763&lt;/D&gt;&lt;D xsi:type="xsd:long"&gt;38764&lt;/D&gt;&lt;D xsi:type="xsd:long"&gt;38765&lt;/D&gt;&lt;D xsi:type="xsd:long"&gt;38769&lt;/D&gt;&lt;D xsi:type="xsd:long"&gt;38770&lt;/D&gt;&lt;D xsi:type="xsd:long"&gt;38771&lt;/D&gt;&lt;D xsi:type="xsd:long"&gt;38772&lt;/D&gt;&lt;D xsi:type="xsd:long"&gt;38775&lt;/D&gt;&lt;D xsi:type="xsd:long"&gt;38776&lt;/D&gt;&lt;D xsi:type="xsd:long"&gt;38777&lt;/D&gt;&lt;D xsi:type="xsd:long"&gt;38778&lt;/D&gt;&lt;D xsi:type="xsd:long"&gt;38779&lt;/D&gt;&lt;D xsi:type="xsd:long"&gt;38782&lt;/D&gt;&lt;D xsi:type="xsd:long"&gt;38783&lt;/D&gt;&lt;D xsi:type="xsd:long"&gt;38784&lt;/D&gt;&lt;D xsi:type="xsd:long"&gt;38785&lt;/D&gt;&lt;D xsi:type="xsd:long"&gt;38786&lt;/D&gt;&lt;D xsi:type="xsd:long"&gt;38789&lt;/D&gt;&lt;D xsi:type="xsd:long"&gt;38790&lt;/D&gt;&lt;D xsi:type="xs</t>
      </text>
    </comment>
    <comment authorId="0" ref="A43">
      <text>
        <t xml:space="preserve">======
ID#AAAB10qfXwc
Park, Jason S.    (2026-03-18 17:29:03)
&gt;&lt;D xsi:type="xsd:double"&gt;18.87&lt;/D&gt;&lt;D xsi:type="xsd:double"&gt;19.58&lt;/D&gt;&lt;D xsi:type="xsd:double"&gt;19.99&lt;/D&gt;&lt;D xsi:type="xsd:double"&gt;19.82&lt;/D&gt;&lt;D xsi:type="xsd:double"&gt;19.66&lt;/D&gt;&lt;D xsi:type="xsd:double"&gt;20&lt;/D&gt;&lt;D xsi:type="xsd:double"&gt;19.5&lt;/D&gt;&lt;D xsi:type="xsd:double"&gt;18.67&lt;/D&gt;&lt;D xsi:type="xsd:double"&gt;18.66&lt;/D&gt;&lt;D xsi:type="xsd:double"&gt;18.84&lt;/D&gt;&lt;D xsi:type="xsd:double"&gt;18.77&lt;/D&gt;&lt;D xsi:type="xsd:double"&gt;18.81&lt;/D&gt;&lt;D xsi:type="xsd:double"&gt;19.78&lt;/D&gt;&lt;D xsi:type="xsd:double"&gt;19.74&lt;/D&gt;&lt;D xsi:type="xsd:double"&gt;20.83&lt;/D&gt;&lt;D xsi:type="xsd:double"&gt;20.82&lt;/D&gt;&lt;D xsi:type="xsd:double"&gt;20.38&lt;/D&gt;&lt;D xsi:type="xsd:double"&gt;21.1&lt;/D&gt;&lt;D xsi:type="xsd:double"&gt;21.381&lt;/D&gt;&lt;D xsi:type="xsd:double"&gt;21.84&lt;/D&gt;&lt;D xsi:type="xsd:double"&gt;21.76&lt;/D&gt;&lt;D xsi:type="xsd:double"&gt;21.67&lt;/D&gt;&lt;D xsi:type="xsd:double"&gt;21.96875&lt;/D&gt;&lt;D xsi:type="xsd:double"&gt;21.89&lt;/D&gt;&lt;D xsi:type="xsd:double"&gt;22.14&lt;/D&gt;&lt;D xsi:type="xsd:double"&gt;21.359375&lt;/D&gt;&lt;D xsi:type="xsd:double"&gt;21.87&lt;/D&gt;&lt;D xsi:type="xsd:double"&gt;21.45&lt;/D&gt;&lt;D xsi:type="xsd:double"&gt;21.751&lt;/D&gt;&lt;D xsi:type="xsd:double"&gt;21.12&lt;/D&gt;&lt;D xsi:type="xsd:double"&gt;20.67&lt;/D&gt;&lt;D xsi:type="xsd:double"&gt;20.36&lt;/D&gt;&lt;D xsi:type="xsd:double"&gt;20.45&lt;/D&gt;&lt;D xsi:type="xsd:double"&gt;20.04&lt;/D&gt;&lt;D xsi:type="xsd:double"&gt;20.63&lt;/D&gt;&lt;D xsi:type="xsd:double"&gt;20.57&lt;/D&gt;&lt;D xsi:type="xsd:double"&gt;20.81&lt;/D&gt;&lt;D xsi:type="xsd:double"&gt;21.41&lt;/D&gt;&lt;D xsi:type="xsd:double"&gt;22.21&lt;/D&gt;&lt;D xsi:type="xsd:double"&gt;21.72&lt;/D&gt;&lt;D xsi:type="xsd:double"&gt;22.909&lt;/D&gt;&lt;D xsi:type="xsd:double"&gt;23.15&lt;/D&gt;&lt;D xsi:type="xsd:double"&gt;23.48&lt;/D&gt;&lt;D xsi:type="xsd:double"&gt;22.91&lt;/D&gt;&lt;D xsi:type="xsd:double"&gt;23.337&lt;/D&gt;&lt;D xsi:type="xsd:double"&gt;24.02&lt;/D&gt;&lt;D xsi:type="xsd:double"&gt;24.1&lt;/D&gt;&lt;D xsi:type="xsd:double"&gt;25.31&lt;/D&gt;&lt;D xsi:type="xsd:double"&gt;24.93&lt;/D&gt;&lt;D xsi:type="xsd:double"&gt;24.66&lt;/D&gt;&lt;D xsi:type="xsd:double"&gt;24.06&lt;/D&gt;&lt;D xsi:type="xsd:double"&gt;24.42&lt;/D&gt;&lt;D xsi:type="xsd:double"&gt;24.81&lt;/D&gt;&lt;D xsi:type="xsd:double"&gt;23.97&lt;/D&gt;&lt;D xsi:type="xsd:double"&gt;24.91&lt;/D&gt;&lt;D xsi:type="xsd:double"&gt;24.76&lt;/D&gt;&lt;D xsi:type="xsd:double"&gt;24.9&lt;/D&gt;&lt;D xsi:type="xsd:double"&gt;24.49&lt;/D&gt;&lt;D xsi:type="xsd:double"&gt;24.89&lt;/D&gt;&lt;D xsi:type="xsd:double"&gt;25.02&lt;/D&gt;&lt;D xsi:type="xsd:double"&gt;25.13&lt;/D&gt;&lt;D xsi:type="xsd:double"&gt;24.27&lt;/D&gt;&lt;D xsi:type="xsd:double"&gt;24.14&lt;/D&gt;&lt;D xsi:type="xsd:double"&gt;23.99&lt;/D&gt;&lt;D xsi:type="xsd:double"&gt;23.58&lt;/D&gt;&lt;D xsi:type="xsd:double"&gt;23.9&lt;/D&gt;&lt;D xsi:type="xsd:double"&gt;24.37&lt;/D&gt;&lt;D xsi:type="xsd:double"&gt;24.71&lt;/D&gt;&lt;D xsi:type="xsd:double"&gt;25.14&lt;/D&gt;&lt;D xsi:type="xsd:double"&gt;25.05&lt;/D&gt;&lt;D xsi:type="xsd:double"&gt;26.19&lt;/D&gt;&lt;D xsi:type="xsd:double"&gt;26.47&lt;/D&gt;&lt;D xsi:type="xsd:double"&gt;26.36&lt;/D&gt;&lt;D xsi:type="xsd:double"&gt;26.39&lt;/D&gt;&lt;D xsi:type="xsd:double"&gt;27.39&lt;/D&gt;&lt;D xsi:type="xsd:double"&gt;27.24&lt;/D&gt;&lt;D xsi:type="xsd:double"&gt;27.71&lt;/D&gt;&lt;D xsi:type="xsd:double"&gt;28.02&lt;/D&gt;&lt;D xsi:type="xsd:double"&gt;28.3&lt;/D&gt;&lt;D xsi:type="xsd:double"&gt;28.59&lt;/D&gt;&lt;D xsi:type="xsd:double"&gt;28.74&lt;/D&gt;&lt;D xsi:type="xsd:double"&gt;28.22&lt;/D&gt;&lt;D xsi:type="xsd:double"&gt;28.6&lt;/D&gt;&lt;D xsi:type="xsd:double"&gt;28.71&lt;/D&gt;&lt;D xsi:type="xsd:double"&gt;29.18&lt;/D&gt;&lt;D xsi:type="xsd:double"&gt;28.79&lt;/D&gt;&lt;D xsi:type="xsd:double"&gt;27.66&lt;/D&gt;&lt;D xsi:type="xsd:double"&gt;28.03&lt;/D&gt;&lt;D xsi:type="xsd:double"&gt;28.34&lt;/D&gt;&lt;D xsi:type="xsd:double"&gt;27.99&lt;/D&gt;&lt;D xsi:type="xsd:double"&gt;28.91&lt;/D&gt;&lt;D xsi:type="xsd:double"&gt;28.88&lt;/D&gt;&lt;D xsi:type="xsd:double"&gt;29.16&lt;/D&gt;&lt;D xsi:type="xsd:double"&gt;29.17&lt;/D&gt;&lt;D xsi:type="xsd:double"&gt;28.52&lt;/D&gt;&lt;D xsi:type="xsd:double"&gt;28.939&lt;/D&gt;&lt;D xsi:type="xsd:double"&gt;27.78&lt;/D&gt;&lt;D xsi:type="xsd:double"&gt;27.45&lt;/D&gt;&lt;D xsi:type="xsd:double"&gt;27.27&lt;/D&gt;&lt;D xsi:type="xsd:double"&gt;28.37&lt;/D&gt;&lt;D xsi:type="xsd:double"&gt;27.52&lt;/D&gt;&lt;D xsi:type="xsd:double"&gt;28.63&lt;/D&gt;&lt;D xsi:type="xsd:double"&gt;28.62&lt;/D&gt;&lt;D xsi:type="xsd:double"&gt;29.61&lt;/D&gt;&lt;D xsi:type="xsd:double"&gt;29.56&lt;/D&gt;&lt;D xsi:type="xsd:double"&gt;29.95&lt;/D&gt;&lt;D xsi:type="xsd:double"&gt;29.67&lt;/D&gt;&lt;D xsi:type="xsd:double"&gt;29.77&lt;/D&gt;&lt;D xsi:type="xsd:double"&gt;30.43&lt;/D&gt;&lt;D xsi:type="xsd:double"&gt;30.8&lt;/D&gt;&lt;D xsi:type="xsd:double"&gt;31.08&lt;/D&gt;&lt;D xsi:type="xsd:double"&gt;31.76&lt;/D&gt;&lt;D xsi:type="xsd:double"&gt;32.23&lt;/D&gt;&lt;D xsi:type="xsd:double"&gt;31.66&lt;/D&gt;&lt;D xsi:type="xsd:double"&gt;32.16&lt;/D&gt;&lt;D xsi:type="xsd:double"&gt;32.122&lt;/D&gt;&lt;D xsi:type="xsd:double"&gt;31.52&lt;/D&gt;&lt;D xsi:type="xsd:double"&gt;31.22&lt;/D&gt;&lt;D xsi:type="xsd:double"&gt;31.08&lt;/D&gt;&lt;D xsi:type="xsd:double"&gt;31.42&lt;/D&gt;&lt;D xsi:type="</t>
      </text>
    </comment>
    <comment authorId="0" ref="A25">
      <text>
        <t xml:space="preserve">======
ID#AAAB10qfXwY
Park, Jason S.    (2026-03-18 17:29:03)
,'')&lt;/Q&gt;&lt;R&gt;1&lt;/R&gt;&lt;C&gt;1&lt;/C&gt;&lt;D xsi:type="xsd:double"&gt;478.625&lt;/D&gt;&lt;/FQL&gt;&lt;FQL&gt;&lt;Q&gt;INTC^FE_ESTIMATE(PRODLINE_SALES_5,MEAN,ANNUAL,2022,,,,'')&lt;/Q&gt;&lt;R&gt;1&lt;/R&gt;&lt;C&gt;1&lt;/C&gt;&lt;D xsi:type="xsd:double"&gt;36879.07&lt;/D&gt;&lt;/FQL&gt;&lt;FQL&gt;&lt;Q&gt;NVDA^FE_ESTIMATE(GROSSINCOME,MEAN,ANNUAL,2023,,,,'')&lt;/Q&gt;&lt;R&gt;1&lt;/R&gt;&lt;C&gt;1&lt;/C&gt;&lt;D xsi:type="xsd:double"&gt;19051.34&lt;/D&gt;&lt;/FQL&gt;&lt;FQL&gt;&lt;Q&gt;INTC^FE_ESTIMATE(PRODLINE_SALES_1,MEAN,ANNUAL,2022,,,,'')&lt;/Q&gt;&lt;R&gt;1&lt;/R&gt;&lt;C&gt;1&lt;/C&gt;&lt;D xsi:type="xsd:double"&gt;27494.057&lt;/D&gt;&lt;/FQL&gt;&lt;FQL&gt;&lt;Q&gt;INTC^FE_ESTIMATE(PRODLINE_SALES_10,MEAN,QUARTERLY,2021/3F,,,,'')&lt;/Q&gt;&lt;R&gt;1&lt;/R&gt;&lt;C&gt;1&lt;/C&gt;&lt;D xsi:type="xsd:double"&gt;633.3333&lt;/D&gt;&lt;/FQL&gt;&lt;FQL&gt;&lt;Q&gt;INTC^FE_ESTIMATE(PRODLINE_SALES_7,MEAN,QUARTERLY,2021/2F,,,,'')&lt;/Q&gt;&lt;R&gt;1&lt;/R&gt;&lt;C&gt;1&lt;/C&gt;&lt;D xsi:type="xsd:double"&gt;928.6445&lt;/D&gt;&lt;/FQL&gt;&lt;FQL&gt;&lt;Q&gt;INTC^FE_ESTIMATE(SGA,MEAN,QUARTERLY,2021/3F,,,,'')&lt;/Q&gt;&lt;R&gt;1&lt;/R&gt;&lt;C&gt;1&lt;/C&gt;&lt;D xsi:type="xsd:double"&gt;1529.1913&lt;/D&gt;&lt;/FQL&gt;&lt;FQL&gt;&lt;Q&gt;INTC^FE_ESTIMATE(PRODLINE_SALES_9,MEAN,ANNUAL,2021,,,,'')&lt;/Q&gt;&lt;R&gt;1&lt;/R&gt;&lt;C&gt;1&lt;/C&gt;&lt;D xsi:type="xsd:double"&gt;1867.7307&lt;/D&gt;&lt;/FQL&gt;&lt;FQL&gt;&lt;Q&gt;NVDA^FE_ESTIMATE(PRODLINE_SALES_6,MEAN,ANNUAL,2023,,,,'')&lt;/Q&gt;&lt;R&gt;1&lt;/R&gt;&lt;C&gt;1&lt;/C&gt;&lt;D xsi:type="xsd:double"&gt;10978.55&lt;/D&gt;&lt;/FQL&gt;&lt;FQL&gt;&lt;Q&gt;INTC^FE_ESTIMATE(SALES,MEAN,QUARTERLY,2021/1F,,,,'')&lt;/Q&gt;&lt;R&gt;1&lt;/R&gt;&lt;C&gt;1&lt;/C&gt;&lt;D xsi:type="xsd:double"&gt;17774.31&lt;/D&gt;&lt;/FQL&gt;&lt;FQL&gt;&lt;Q&gt;INTC^FE_ESTIMATE(PRODLINE_SALES_1,MEAN,QUARTERLY,2021/3F,,,,'')&lt;/Q&gt;&lt;R&gt;1&lt;/R&gt;&lt;C&gt;1&lt;/C&gt;&lt;D xsi:type="xsd:double"&gt;6696.31&lt;/D&gt;&lt;/FQL&gt;&lt;FQL&gt;&lt;Q&gt;INTC^FE_ESTIMATE(RD_EXP,MEAN,QUARTERLY,2021/4F,,,,'')&lt;/Q&gt;&lt;R&gt;1&lt;/R&gt;&lt;C&gt;1&lt;/C&gt;&lt;D xsi:type="xsd:double"&gt;3455.4087&lt;/D&gt;&lt;/FQL&gt;&lt;FQL&gt;&lt;Q&gt;INTC^FE_ESTIMATE(PRODLINE_SALES_10,MEAN,ANNUAL,2022,,,,'')&lt;/Q&gt;&lt;R&gt;1&lt;/R&gt;&lt;C&gt;1&lt;/C&gt;&lt;D xsi:type="xsd:double"&gt;2477.5557&lt;/D&gt;&lt;/FQL&gt;&lt;FQL&gt;&lt;Q&gt;XLNX-US^FF_ENTRPR_VAL_FCF(ANN_R,2021)@FE_VALUATION(EV_FCF,MEDIAN,CALA,2021,0,,,'')&lt;/Q&gt;&lt;R&gt;1&lt;/R&gt;&lt;C&gt;1&lt;/C&gt;&lt;D xsi:type="xsd:double"&gt;35.43561&lt;/D&gt;&lt;/FQL&gt;&lt;FQL&gt;&lt;Q&gt;INTC-US^FG_PRICE(NOW)&lt;/Q&gt;&lt;R&gt;1&lt;/R&gt;&lt;C&gt;1&lt;/C&gt;&lt;D xsi:type="xsd:double"&gt;29.7&lt;/D&gt;&lt;/FQL&gt;&lt;FQL&gt;&lt;Q&gt;INTC^FE_ESTIMATE(SALES,MEAN,QUARTERLY,2021/4F,,,,'')&lt;/Q&gt;&lt;R&gt;1&lt;/R&gt;&lt;C&gt;1&lt;/C&gt;&lt;D xsi:type="xsd:double"&gt;18543.557&lt;/D&gt;&lt;/FQL&gt;&lt;FQL&gt;&lt;Q&gt;INTC^FE_ESTIMATE(PRODLINE_SALES_1,MEAN,QUARTERLY,2021/2F,,,,'')&lt;/Q&gt;&lt;R&gt;1&lt;/R&gt;&lt;C&gt;1&lt;/C&gt;&lt;D xsi:type="xsd:double"&gt;6178.57&lt;/D&gt;&lt;/FQL&gt;&lt;FQL&gt;&lt;Q&gt;NVDA^FE_ESTIMATE(SALES,MEAN,ANNUAL,2023,,,,'')&lt;/Q&gt;&lt;R&gt;1&lt;/R&gt;&lt;C&gt;1&lt;/C&gt;&lt;D xsi:type="xsd:double"&gt;27178.732&lt;/D&gt;&lt;/FQL&gt;&lt;FQL&gt;&lt;Q&gt;INTC^FE_ESTIMATE(EPS,MEAN,CAL4,2021,NOW,,,'')&lt;/Q&gt;&lt;R&gt;1&lt;/R&gt;&lt;C&gt;1&lt;/C&gt;&lt;D xsi:type="xsd:double"&gt;4.6083965&lt;/D&gt;&lt;/FQL&gt;&lt;FQL&gt;&lt;Q&gt;INTC^FE_ESTIMATE(PRODLINE_SALES_10,MEAN,QUARTERLY,2021/4F,,,,'')&lt;/Q&gt;&lt;R&gt;1&lt;/R&gt;&lt;C&gt;1&lt;/C&gt;&lt;D xsi:type="xsd:double"&gt;678&lt;/D&gt;&lt;/FQL&gt;&lt;FQL&gt;&lt;Q&gt;INTC^FE_ESTIMATE(RD_EXP,MEAN,QUARTERLY,2021/2F,,,,'')&lt;/Q&gt;&lt;R&gt;1&lt;/R&gt;&lt;C&gt;1&lt;/C&gt;&lt;D xsi:type="xsd:double"&gt;3384.6477&lt;/D&gt;&lt;/FQL&gt;&lt;FQL&gt;&lt;Q&gt;INTC^FE_ESTIMATE(PRODLINE_SALES_1,MEAN,QUARTERLY,2021/1F,,,,'')&lt;/Q&gt;&lt;R&gt;1&lt;/R&gt;&lt;C&gt;1&lt;/C&gt;&lt;D xsi:type="xsd:double"&gt;5898.02&lt;/D&gt;&lt;/FQL&gt;&lt;FQL&gt;&lt;Q&gt;INTC^FE_ESTIMATE(PRODLINE_SALES_7,MEAN,QUARTERLY,2021/3F,,,,'')&lt;/Q&gt;&lt;R&gt;1&lt;/R&gt;&lt;C&gt;1&lt;/C&gt;&lt;D xsi:type="xsd:double"&gt;1006.94446&lt;/D&gt;&lt;/FQL&gt;&lt;FQL&gt;&lt;Q&gt;INTC^FE_ESTIMATE(EPS,MEAN,QUARTERLY,2021/2F,,,,'')&lt;/Q&gt;&lt;R&gt;1&lt;/R&gt;&lt;C&gt;1&lt;/C&gt;&lt;D xsi:type="xsd:double"&gt;1.0918312&lt;/D&gt;&lt;/FQL&gt;&lt;FQL&gt;&lt;Q&gt;NVDA^FE_ESTIMATE(PRODLINE_SALES_10,MEAN,ANNUAL,2023,,,,'')&lt;/Q&gt;&lt;R&gt;1&lt;/R&gt;&lt;C&gt;1&lt;/C&gt;&lt;D xsi:type="xsd:double"&gt;534.05&lt;/D&gt;&lt;/FQL&gt;&lt;FQL&gt;&lt;Q&gt;INTC^FE_ESTIMATE(SGA,MEAN,ANNUAL,2021,,,,'')&lt;/Q&gt;&lt;R&gt;1&lt;/R&gt;&lt;C&gt;1&lt;/C&gt;&lt;D xsi:type="xsd:double"&gt;6129.446&lt;/D&gt;&lt;/FQL&gt;&lt;FQL&gt;&lt;Q&gt;INTC^FE_ESTIMATE(PRODLINE_SALES_7,MEAN,QUARTERLY,2021/4F,,,,'')&lt;/Q&gt;&lt;R&gt;1&lt;/R&gt;&lt;C&gt;1&lt;/C&gt;&lt;D xsi:type="xsd:double"&gt;1100.6222&lt;/D&gt;&lt;/FQL&gt;&lt;FQL&gt;&lt;Q&gt;INTC^FE_ESTIMATE(GROSSINCOME,MEAN,QUARTERLY,2021/2F,,,,'')&lt;/Q&gt;&lt;R&gt;1&lt;/R&gt;&lt;C&gt;1&lt;/C&gt;&lt;D xsi:type="xsd:double"&gt;9977.892&lt;/D&gt;&lt;/FQL&gt;&lt;FQL&gt;&lt;Q&gt;INTC^FE_ESTIMATE(PRODLINE_SALES_5,MEAN,QUARTERLY,2021/1F,,,,'')&lt;/Q&gt;&lt;R&gt;1&lt;/R&gt;&lt;C&gt;1&lt;/C&gt;&lt;D xsi:type="xsd:double"&gt;10110.47&lt;/D&gt;&lt;/FQL&gt;&lt;FQL&gt;&lt;Q&gt;INTC^JULIAN(FG_PRICE(36220,NOW).DATES)&lt;/Q&gt;&lt;R&gt;5572&lt;/R&gt;&lt;C&gt;1&lt;/C&gt;&lt;D xsi:type="xsd:long"&gt;36220&lt;/D&gt;&lt;D xsi:type="xsd:long"&gt;36221&lt;/D&gt;&lt;D xsi:type="xsd:long"&gt;36222&lt;/D&gt;&lt;D xsi:type="xsd:long"&gt;36223&lt;/D&gt;&lt;D xsi:type="xsd:long"&gt;36224&lt;/D&gt;&lt;D xsi:type="xsd:long"&gt;36227&lt;/D&gt;&lt;D xsi:type="xsd:long"&gt;36228&lt;/D&gt;&lt;D xsi:type="xsd:long"&gt;36229&lt;/D&gt;&lt;D xsi:type="xsd:long"&gt;36230&lt;/D&gt;&lt;D xsi:type="xsd:long"&gt;36231&lt;/D&gt;&lt;D xsi:type="xsd:long"&gt;36234&lt;/D&gt;&lt;D xsi:type="xsd:long"&gt;36235&lt;/D&gt;&lt;D xsi:type="xsd:lo</t>
      </text>
    </comment>
    <comment authorId="0" ref="A31">
      <text>
        <t xml:space="preserve">======
ID#AAAB10qfXwU
Park, Jason S.    (2026-03-18 17:29:03)
ble"&gt;40.3125&lt;/D&gt;&lt;D xsi:type="xsd:double"&gt;42&lt;/D&gt;&lt;D xsi:type="xsd:double"&gt;41&lt;/D&gt;&lt;D xsi:type="xsd:double"&gt;39.9375&lt;/D&gt;&lt;D xsi:type="xsd:double"&gt;39.0625&lt;/D&gt;&lt;D xsi:type="xsd:double"&gt;37.5625&lt;/D&gt;&lt;D xsi:type="xsd:double"&gt;35.375&lt;/D&gt;&lt;D xsi:type="xsd:double"&gt;37.125&lt;/D&gt;&lt;D xsi:type="xsd:double"&gt;40.375&lt;/D&gt;&lt;D xsi:type="xsd:double"&gt;35.6875&lt;/D&gt;&lt;D xsi:type="xsd:double"&gt;36.1875&lt;/D&gt;&lt;D xsi:type="xsd:double"&gt;38.1875&lt;/D&gt;&lt;D xsi:type="xsd:double"&gt;41.9375&lt;/D&gt;&lt;D xsi:type="xsd:double"&gt;43.0625&lt;/D&gt;&lt;D xsi:type="xsd:double"&gt;43.3125&lt;/D&gt;&lt;D xsi:type="xsd:double"&gt;42&lt;/D&gt;&lt;D xsi:type="xsd:double"&gt;41.3125&lt;/D&gt;&lt;D xsi:type="xsd:double"&gt;44.6875&lt;/D&gt;&lt;D xsi:type="xsd:double"&gt;46.375&lt;/D&gt;&lt;D xsi:type="xsd:double"&gt;45&lt;/D&gt;&lt;D xsi:type="xsd:double"&gt;45&lt;/D&gt;&lt;D xsi:type="xsd:double"&gt;44.875&lt;/D&gt;&lt;D xsi:type="xsd:double"&gt;46.6875&lt;/D&gt;&lt;D xsi:type="xsd:double"&gt;45.9375&lt;/D&gt;&lt;D xsi:type="xsd:double"&gt;46.5625&lt;/D&gt;&lt;D xsi:type="xsd:double"&gt;46.1875&lt;/D&gt;&lt;D xsi:type="xsd:double"&gt;42.6875&lt;/D&gt;&lt;D xsi:type="xsd:double"&gt;41.375&lt;/D&gt;&lt;D xsi:type="xsd:double"&gt;37&lt;/D&gt;&lt;D xsi:type="xsd:double"&gt;38.1875&lt;/D&gt;&lt;D xsi:type="xsd:double"&gt;40.9375&lt;/D&gt;&lt;D xsi:type="xsd:double"&gt;41.5&lt;/D&gt;&lt;D xsi:type="xsd:double"&gt;40&lt;/D&gt;&lt;D xsi:type="xsd:double"&gt;41.5&lt;/D&gt;&lt;D xsi:type="xsd:double"&gt;41.125&lt;/D&gt;&lt;D xsi:type="xsd:double"&gt;42.625&lt;/D&gt;&lt;D xsi:type="xsd:double"&gt;41.1875&lt;/D&gt;&lt;D xsi:type="xsd:double"&gt;43.9375&lt;/D&gt;&lt;D xsi:type="xsd:double"&gt;43.9375&lt;/D&gt;&lt;D xsi:type="xsd:double"&gt;42.03125&lt;/D&gt;&lt;D xsi:type="xsd:double"&gt;42.75&lt;/D&gt;&lt;D xsi:type="xsd:double"&gt;38.0625&lt;/D&gt;&lt;D xsi:type="xsd:double"&gt;34.125&lt;/D&gt;&lt;D xsi:type="xsd:double"&gt;32.9375&lt;/D&gt;&lt;D xsi:type="xsd:double"&gt;36&lt;/D&gt;&lt;D xsi:type="xsd:double"&gt;31.75&lt;/D&gt;&lt;D xsi:type="xsd:double"&gt;32.3125&lt;/D&gt;&lt;D xsi:type="xsd:double"&gt;34&lt;/D&gt;&lt;D xsi:type="xsd:double"&gt;37.4375&lt;/D&gt;&lt;D xsi:type="xsd:double"&gt;36.5&lt;/D&gt;&lt;D xsi:type="xsd:double"&gt;35.5&lt;/D&gt;&lt;D xsi:type="xsd:double"&gt;35.125&lt;/D&gt;&lt;D xsi:type="xsd:double"&gt;32.4375&lt;/D&gt;&lt;D xsi:type="xsd:double"&gt;33.25&lt;/D&gt;&lt;D xsi:type="xsd:double"&gt;33.4375&lt;/D&gt;&lt;D xsi:type="xsd:double"&gt;31.9375&lt;/D&gt;&lt;D xsi:type="xsd:double"&gt;33.125&lt;/D&gt;&lt;D xsi:type="xsd:double"&gt;32.9375&lt;/D&gt;&lt;D xsi:type="xsd:double"&gt;32.875&lt;/D&gt;&lt;D xsi:type="xsd:double"&gt;32.5625&lt;/D&gt;&lt;D xsi:type="xsd:double"&gt;30.9375&lt;/D&gt;&lt;D xsi:type="xsd:double"&gt;30.0625&lt;/D&gt;&lt;D xsi:type="xsd:double"&gt;31.0625&lt;/D&gt;&lt;D xsi:type="xsd:double"&gt;34.234375&lt;/D&gt;&lt;D xsi:type="xsd:double"&gt;33.796875&lt;/D&gt;&lt;D xsi:type="xsd:double"&gt;32.0625&lt;/D&gt;&lt;D xsi:type="xsd:double"&gt;31.9375&lt;/D&gt;&lt;D xsi:type="xsd:double"&gt;32.25&lt;/D&gt;&lt;D xsi:type="xsd:double"&gt;33&lt;/D&gt;&lt;D xsi:type="xsd:double"&gt;33.375&lt;/D&gt;&lt;D xsi:type="xsd:double"&gt;32.125&lt;/D&gt;&lt;D xsi:type="xsd:double"&gt;31.375&lt;/D&gt;&lt;D xsi:type="xsd:double"&gt;30.5&lt;/D&gt;&lt;D xsi:type="xsd:double"&gt;32.1875&lt;/D&gt;&lt;D xsi:type="xsd:double"&gt;33.5625&lt;/D&gt;&lt;D xsi:type="xsd:double"&gt;33.375&lt;/D&gt;&lt;D xsi:type="xsd:double"&gt;35.375&lt;/D&gt;&lt;D xsi:type="xsd:double"&gt;36.25&lt;/D&gt;&lt;D xsi:type="xsd:double"&gt;34.5&lt;/D&gt;&lt;D xsi:type="xsd:double"&gt;35.875&lt;/D&gt;&lt;D xsi:type="xsd:double"&gt;37.0625&lt;/D&gt;&lt;D xsi:type="xsd:double"&gt;37&lt;/D&gt;&lt;D xsi:type="xsd:double"&gt;37&lt;/D&gt;&lt;D xsi:type="xsd:double"&gt;37.8125&lt;/D&gt;&lt;D xsi:type="xsd:double"&gt;35.6875&lt;/D&gt;&lt;D xsi:type="xsd:double"&gt;34.6875&lt;/D&gt;&lt;D xsi:type="xsd:double"&gt;35.4375&lt;/D&gt;&lt;D xsi:type="xsd:double"&gt;34.9375&lt;/D&gt;&lt;D xsi:type="xsd:double"&gt;34.625&lt;/D&gt;&lt;D xsi:type="xsd:double"&gt;33.5&lt;/D&gt;&lt;D xsi:type="xsd:double"&gt;34.5625&lt;/D&gt;&lt;D xsi:type="xsd:double"&gt;32.4375&lt;/D&gt;&lt;D xsi:type="xsd:double"&gt;34.125&lt;/D&gt;&lt;D xsi:type="xsd:double"&gt;35.8125&lt;/D&gt;&lt;D xsi:type="xsd:double"&gt;34.375&lt;/D&gt;&lt;D xsi:type="xsd:double"&gt;31.4375&lt;/D&gt;&lt;D xsi:type="xsd:double"&gt;30.75&lt;/D&gt;&lt;D xsi:type="xsd:double"&gt;30&lt;/D&gt;&lt;D xsi:type="xsd:double"&gt;29.9375&lt;/D&gt;&lt;D xsi:type="xsd:double"&gt;29.5&lt;/D&gt;&lt;D xsi:type="xsd:double"&gt;29&lt;/D&gt;&lt;D xsi:type="xsd:double"&gt;28.5625&lt;/D&gt;&lt;D xsi:type="xsd:double"&gt;29.125&lt;/D&gt;&lt;D xsi:type="xsd:double"&gt;29.3125&lt;/D&gt;&lt;D xsi:type="xsd:double"&gt;30.375&lt;/D&gt;&lt;D xsi:type="xsd:double"&gt;31.5&lt;/D&gt;&lt;D xsi:type="xsd:double"&gt;32.9375&lt;/D&gt;&lt;D xsi:type="xsd:double"&gt;33.25&lt;/D&gt;&lt;D xsi:type="xsd:double"&gt;29.4375&lt;/D&gt;&lt;D xsi:type="xsd:double"&gt;27.75&lt;/D&gt;&lt;D xsi:type="xsd:double"&gt;29.375&lt;/D&gt;&lt;D xsi:type="xsd:double"&gt;29.0625&lt;/D&gt;&lt;D xsi:type="xsd:double"&gt;28.5&lt;/D&gt;&lt;D xsi:type="xsd:double"&gt;27.875&lt;/D&gt;&lt;D xsi:type="xsd:double"&gt;27.0625&lt;/D&gt;&lt;D xsi:type="xsd:double"&gt;24.625&lt;/D&gt;&lt;D xsi:type="xsd:double"&gt;25.5625&lt;/D&gt;&lt;D xsi:type="xsd:double"&gt;28.6875&lt;/D&gt;&lt;D xs</t>
      </text>
    </comment>
    <comment authorId="0" ref="A53">
      <text>
        <t xml:space="preserve">======
ID#AAAB10qfXwQ
Park, Jason S.    (2026-03-18 17:29:03)
&lt;D xsi:type="xsd:double"&gt;58.56&lt;/D&gt;&lt;D xsi:type="xsd:double"&gt;58.49&lt;/D&gt;&lt;D xsi:type="xsd:double"&gt;58.82&lt;/D&gt;&lt;D xsi:type="xsd:double"&gt;58.78&lt;/D&gt;&lt;D xsi:type="xsd:double"&gt;58.72&lt;/D&gt;&lt;D xsi:type="xsd:double"&gt;57.61&lt;/D&gt;&lt;D xsi:type="xsd:double"&gt;52.43&lt;/D&gt;&lt;D xsi:type="xsd:double"&gt;51.11&lt;/D&gt;&lt;D xsi:type="xsd:double"&gt;51.04&lt;/D&gt;&lt;D xsi:type="xsd:double"&gt;50.76&lt;/D&gt;&lt;D xsi:type="xsd:double"&gt;50.55&lt;/D&gt;&lt;D xsi:type="xsd:double"&gt;51.75&lt;/D&gt;&lt;D xsi:type="xsd:double"&gt;51.22&lt;/D&gt;&lt;D xsi:type="xsd:double"&gt;50.48&lt;/D&gt;&lt;D xsi:type="xsd:double"&gt;49.24&lt;/D&gt;&lt;D xsi:type="xsd:double"&gt;46.62&lt;/D&gt;&lt;D xsi:type="xsd:double"&gt;46.2&lt;/D&gt;&lt;D xsi:type="xsd:double"&gt;44.76&lt;/D&gt;&lt;D xsi:type="xsd:double"&gt;45.17&lt;/D&gt;&lt;D xsi:type="xsd:double"&gt;45.62&lt;/D&gt;&lt;D xsi:type="xsd:double"&gt;45.53&lt;/D&gt;&lt;D xsi:type="xsd:double"&gt;44.89&lt;/D&gt;&lt;D xsi:type="xsd:double"&gt;43.56&lt;/D&gt;&lt;D xsi:type="xsd:double"&gt;44.46&lt;/D&gt;&lt;D xsi:type="xsd:double"&gt;44&lt;/D&gt;&lt;D xsi:type="xsd:double"&gt;44.53&lt;/D&gt;&lt;D xsi:type="xsd:double"&gt;44.57&lt;/D&gt;&lt;D xsi:type="xsd:double"&gt;43.57&lt;/D&gt;&lt;D xsi:type="xsd:double"&gt;44.23&lt;/D&gt;&lt;D xsi:type="xsd:double"&gt;44.73&lt;/D&gt;&lt;D xsi:type="xsd:double"&gt;44.04&lt;/D&gt;&lt;D xsi:type="xsd:double"&gt;43.46&lt;/D&gt;&lt;D xsi:type="xsd:double"&gt;44.79&lt;/D&gt;&lt;D xsi:type="xsd:double"&gt;44.55&lt;/D&gt;&lt;D xsi:type="xsd:double"&gt;45.1&lt;/D&gt;&lt;D xsi:type="xsd:double"&gt;46.03&lt;/D&gt;&lt;D xsi:type="xsd:double"&gt;46.8&lt;/D&gt;&lt;D xsi:type="xsd:double"&gt;46.85&lt;/D&gt;&lt;D xsi:type="xsd:double"&gt;46.32&lt;/D&gt;&lt;D xsi:type="xsd:double"&gt;46.7&lt;/D&gt;&lt;D xsi:type="xsd:double"&gt;46.19&lt;/D&gt;&lt;D xsi:type="xsd:double"&gt;46.13&lt;/D&gt;&lt;D xsi:type="xsd:double"&gt;47.37&lt;/D&gt;&lt;D xsi:type="xsd:double"&gt;47.07&lt;/D&gt;&lt;D xsi:type="xsd:double"&gt;47.19&lt;/D&gt;&lt;D xsi:type="xsd:double"&gt;47.46&lt;/D&gt;&lt;D xsi:type="xsd:double"&gt;47.63&lt;/D&gt;&lt;D xsi:type="xsd:double"&gt;46.85&lt;/D&gt;&lt;D xsi:type="xsd:double"&gt;48.19&lt;/D&gt;&lt;D xsi:type="xsd:double"&gt;47.46&lt;/D&gt;&lt;D xsi:type="xsd:double"&gt;47.87&lt;/D&gt;&lt;D xsi:type="xsd:double"&gt;48.05&lt;/D&gt;&lt;D xsi:type="xsd:double"&gt;48.12&lt;/D&gt;&lt;D xsi:type="xsd:double"&gt;48.52&lt;/D&gt;&lt;D xsi:type="xsd:double"&gt;48.08&lt;/D&gt;&lt;D xsi:type="xsd:double"&gt;47.82&lt;/D&gt;&lt;D xsi:type="xsd:double"&gt;47.75&lt;/D&gt;&lt;D xsi:type="xsd:double"&gt;48.21&lt;/D&gt;&lt;D xsi:type="xsd:double"&gt;48.6&lt;/D&gt;&lt;D xsi:type="xsd:double"&gt;49.92&lt;/D&gt;&lt;D xsi:type="xsd:double"&gt;50.12&lt;/D&gt;&lt;D xsi:type="xsd:double"&gt;49.17&lt;/D&gt;&lt;D xsi:type="xsd:double"&gt;49.39&lt;/D&gt;&lt;D xsi:type="xsd:double"&gt;49.94&lt;/D&gt;&lt;D xsi:type="xsd:double"&gt;50.27&lt;/D&gt;&lt;D xsi:type="xsd:double"&gt;51.35&lt;/D&gt;&lt;D xsi:type="xsd:double"&gt;51.75&lt;/D&gt;&lt;D xsi:type="xsd:double"&gt;52.92&lt;/D&gt;&lt;D xsi:type="xsd:double"&gt;52.16&lt;/D&gt;&lt;D xsi:type="xsd:double"&gt;51.59&lt;/D&gt;&lt;D xsi:type="xsd:double"&gt;52.51&lt;/D&gt;&lt;D xsi:type="xsd:double"&gt;51.7&lt;/D&gt;&lt;D xsi:type="xsd:double"&gt;50.55&lt;/D&gt;&lt;D xsi:type="xsd:double"&gt;49.5&lt;/D&gt;&lt;D xsi:type="xsd:double"&gt;48.68&lt;/D&gt;&lt;D xsi:type="xsd:double"&gt;46.97&lt;/D&gt;&lt;D xsi:type="xsd:double"&gt;46.96&lt;/D&gt;&lt;D xsi:type="xsd:double"&gt;46.73&lt;/D&gt;&lt;D xsi:type="xsd:double"&gt;47.17&lt;/D&gt;&lt;D xsi:type="xsd:double"&gt;45.98&lt;/D&gt;&lt;D xsi:type="xsd:double"&gt;45.6&lt;/D&gt;&lt;D xsi:type="xsd:double"&gt;46.84&lt;/D&gt;&lt;D xsi:type="xsd:double"&gt;45.87&lt;/D&gt;&lt;D xsi:type="xsd:double"&gt;45.7&lt;/D&gt;&lt;D xsi:type="xsd:double"&gt;46.5&lt;/D&gt;&lt;D xsi:type="xsd:double"&gt;47.23&lt;/D&gt;&lt;D xsi:type="xsd:double"&gt;46.6&lt;/D&gt;&lt;D xsi:type="xsd:double"&gt;47.15&lt;/D&gt;&lt;D xsi:type="xsd:double"&gt;46.78&lt;/D&gt;&lt;D xsi:type="xsd:double"&gt;44.96&lt;/D&gt;&lt;D xsi:type="xsd:double"&gt;45.56&lt;/D&gt;&lt;D xsi:type="xsd:double"&gt;45.79&lt;/D&gt;&lt;D xsi:type="xsd:double"&gt;45.79&lt;/D&gt;&lt;D xsi:type="xsd:double"&gt;46.87&lt;/D&gt;&lt;D xsi:type="xsd:double"&gt;47.41&lt;/D&gt;&lt;D xsi:type="xsd:double"&gt;46.98&lt;/D&gt;&lt;D xsi:type="xsd:double"&gt;48.92&lt;/D&gt;&lt;D xsi:type="xsd:double"&gt;50.1&lt;/D&gt;&lt;D xsi:type="xsd:double"&gt;50.92&lt;/D&gt;&lt;D xsi:type="xsd:double"&gt;51.59&lt;/D&gt;&lt;D xsi:type="xsd:double"&gt;51.82&lt;/D&gt;&lt;D xsi:type="xsd:double"&gt;52.79&lt;/D&gt;&lt;D xsi:type="xsd:double"&gt;53.01&lt;/D&gt;&lt;D xsi:type="xsd:double"&gt;52.54&lt;/D&gt;&lt;D xsi:type="xsd:double"&gt;52.2&lt;/D&gt;&lt;D xsi:type="xsd:double"&gt;51.95&lt;/D&gt;&lt;D xsi:type="xsd:double"&gt;51.74&lt;/D&gt;&lt;D xsi:type="xsd:double"&gt;51.57&lt;/D&gt;&lt;D xsi:type="xsd:double"&gt;50.72&lt;/D&gt;&lt;D xsi:type="xsd:double"&gt;50.9&lt;/D&gt;&lt;D xsi:type="xsd:double"&gt;49.82&lt;/D&gt;&lt;D xsi:type="xsd:double"&gt;51.02&lt;/D&gt;&lt;D xsi:type="xsd:double"&gt;50.92&lt;/D&gt;&lt;D xsi:type="xsd:double"&gt;50.78&lt;/D&gt;&lt;D xsi:type="xsd:double"&gt;51.53&lt;/D&gt;&lt;D xsi:type="xsd:double"&gt;50.76&lt;/D&gt;&lt;D xsi:type="xsd:double"&gt;49.39&lt;/D&gt;&lt;D xsi:type="xsd:double"&gt;50.03&lt;/D&gt;&lt;D xsi:type="xsd:double"&gt;50.92&lt;/D&gt;&lt;D xsi:type="xsd:double"&gt;50.62&lt;/D&gt;&lt;D xsi:type="xsd:double"&gt;49.725&lt;/</t>
      </text>
    </comment>
    <comment authorId="0" ref="A20">
      <text>
        <t xml:space="preserve">======
ID#AAAB10qfXwM
Park, Jason S.    (2026-03-18 17:29:03)
e="xsd:double"&gt;22.62&lt;/D&gt;&lt;D xsi:type="xsd:double"&gt;22.71&lt;/D&gt;&lt;D xsi:type="xsd:double"&gt;22.56&lt;/D&gt;&lt;/FQL&gt;&lt;FQL&gt;&lt;Q&gt;DUMMY^JULIAN(FE_VALUATION(PE,MEAN,NTMA,,0,-9AY,,'').DATES)&lt;/Q&gt;&lt;R&gt;2268&lt;/R&gt;&lt;C&gt;1&lt;/C&gt;&lt;D xsi:type="xsd:int"&gt;43307&lt;/D&gt;&lt;D xsi:type="xsd:int"&gt;43306&lt;/D&gt;&lt;D xsi:type="xsd:int"&gt;43305&lt;/D&gt;&lt;D xsi:type="xsd:int"&gt;43304&lt;/D&gt;&lt;D xsi:type="xsd:int"&gt;43301&lt;/D&gt;&lt;D xsi:type="xsd:int"&gt;43300&lt;/D&gt;&lt;D xsi:type="xsd:int"&gt;43299&lt;/D&gt;&lt;D xsi:type="xsd:int"&gt;43298&lt;/D&gt;&lt;D xsi:type="xsd:int"&gt;43297&lt;/D&gt;&lt;D xsi:type="xsd:int"&gt;43294&lt;/D&gt;&lt;D xsi:type="xsd:int"&gt;43293&lt;/D&gt;&lt;D xsi:type="xsd:int"&gt;43292&lt;/D&gt;&lt;D xsi:type="xsd:int"&gt;43291&lt;/D&gt;&lt;D xsi:type="xsd:int"&gt;43290&lt;/D&gt;&lt;D xsi:type="xsd:int"&gt;43287&lt;/D&gt;&lt;D xsi:type="xsd:int"&gt;43286&lt;/D&gt;&lt;D xsi:type="xsd:int"&gt;43284&lt;/D&gt;&lt;D xsi:type="xsd:int"&gt;43283&lt;/D&gt;&lt;D xsi:type="xsd:int"&gt;43280&lt;/D&gt;&lt;D xsi:type="xsd:int"&gt;43279&lt;/D&gt;&lt;D xsi:type="xsd:int"&gt;43278&lt;/D&gt;&lt;D xsi:type="xsd:int"&gt;43277&lt;/D&gt;&lt;D xsi:type="xsd:int"&gt;43276&lt;/D&gt;&lt;D xsi:type="xsd:int"&gt;43273&lt;/D&gt;&lt;D xsi:type="xsd:int"&gt;43272&lt;/D&gt;&lt;D xsi:type="xsd:int"&gt;43271&lt;/D&gt;&lt;D xsi:type="xsd:int"&gt;43270&lt;/D&gt;&lt;D xsi:type="xsd:int"&gt;43269&lt;/D&gt;&lt;D xsi:type="xsd:int"&gt;43266&lt;/D&gt;&lt;D xsi:type="xsd:int"&gt;43265&lt;/D&gt;&lt;D xsi:type="xsd:int"&gt;43264&lt;/D&gt;&lt;D xsi:type="xsd:int"&gt;43263&lt;/D&gt;&lt;D xsi:type="xsd:int"&gt;43262&lt;/D&gt;&lt;D xsi:type="xsd:int"&gt;43259&lt;/D&gt;&lt;D xsi:type="xsd:int"&gt;43258&lt;/D&gt;&lt;D xsi:type="xsd:int"&gt;43257&lt;/D&gt;&lt;D xsi:type="xsd:int"&gt;43256&lt;/D&gt;&lt;D xsi:type="xsd:int"&gt;43255&lt;/D&gt;&lt;D xsi:type="xsd:int"&gt;43252&lt;/D&gt;&lt;D xsi:type="xsd:int"&gt;43251&lt;/D&gt;&lt;D xsi:type="xsd:int"&gt;43250&lt;/D&gt;&lt;D xsi:type="xsd:int"&gt;43249&lt;/D&gt;&lt;D xsi:type="xsd:int"&gt;43245&lt;/D&gt;&lt;D xsi:type="xsd:int"&gt;43244&lt;/D&gt;&lt;D xsi:type="xsd:int"&gt;43243&lt;/D&gt;&lt;D xsi:type="xsd:int"&gt;43242&lt;/D&gt;&lt;D xsi:type="xsd:int"&gt;43241&lt;/D&gt;&lt;D xsi:type="xsd:int"&gt;43238&lt;/D&gt;&lt;D xsi:type="xsd:int"&gt;43237&lt;/D&gt;&lt;D xsi:type="xsd:int"&gt;43236&lt;/D&gt;&lt;D xsi:type="xsd:int"&gt;43235&lt;/D&gt;&lt;D xsi:type="xsd:int"&gt;43234&lt;/D&gt;&lt;D xsi:type="xsd:int"&gt;43231&lt;/D&gt;&lt;D xsi:type="xsd:int"&gt;43230&lt;/D&gt;&lt;D xsi:type="xsd:int"&gt;43229&lt;/D&gt;&lt;D xsi:type="xsd:int"&gt;43228&lt;/D&gt;&lt;D xsi:type="xsd:int"&gt;43227&lt;/D&gt;&lt;D xsi:type="xsd:int"&gt;43224&lt;/D&gt;&lt;D xsi:type="xsd:int"&gt;43223&lt;/D&gt;&lt;D xsi:type="xsd:int"&gt;43222&lt;/D&gt;&lt;D xsi:type="xsd:int"&gt;43221&lt;/D&gt;&lt;D xsi:type="xsd:int"&gt;43220&lt;/D&gt;&lt;D xsi:type="xsd:int"&gt;43217&lt;/D&gt;&lt;D xsi:type="xsd:int"&gt;43216&lt;/D&gt;&lt;D xsi:type="xsd:int"&gt;43215&lt;/D&gt;&lt;D xsi:type="xsd:int"&gt;43214&lt;/D&gt;&lt;D xsi:type="xsd:int"&gt;43213&lt;/D&gt;&lt;D xsi:type="xsd:int"&gt;43210&lt;/D&gt;&lt;D xsi:type="xsd:int"&gt;43209&lt;/D&gt;&lt;D xsi:type="xsd:int"&gt;43208&lt;/D&gt;&lt;D xsi:type="xsd:int"&gt;43207&lt;/D&gt;&lt;D xsi:type="xsd:int"&gt;43206&lt;/D&gt;&lt;D xsi:type="xsd:int"&gt;43203&lt;/D&gt;&lt;D xsi:type="xsd:int"&gt;43202&lt;/D&gt;&lt;D xsi:type="xsd:int"&gt;43201&lt;/D&gt;&lt;D xsi:type="xsd:int"&gt;43200&lt;/D&gt;&lt;D xsi:type="xsd:int"&gt;43199&lt;/D&gt;&lt;D xsi:type="xsd:int"&gt;43196&lt;/D&gt;&lt;D xsi:type="xsd:int"&gt;43195&lt;/D&gt;&lt;D xsi:type="xsd:int"&gt;43194&lt;/D&gt;&lt;D xsi:type="xsd:int"&gt;43193&lt;/D&gt;&lt;D xsi:type="xsd:int"&gt;43192&lt;/D&gt;&lt;D xsi:type="xsd:int"&gt;43188&lt;/D&gt;&lt;D xsi:type="xsd:int"&gt;43187&lt;/D&gt;&lt;D xsi:type="xsd:int"&gt;43186&lt;/D&gt;&lt;D xsi:type="xsd:int"&gt;43185&lt;/D&gt;&lt;D xsi:type="xsd:int"&gt;43182&lt;/D&gt;&lt;D xsi:type="xsd:int"&gt;43181&lt;/D&gt;&lt;D xsi:type="xsd:int"&gt;43180&lt;/D&gt;&lt;D xsi:type="xsd:int"&gt;43179&lt;/D&gt;&lt;D xsi:type="xsd:int"&gt;43178&lt;/D&gt;&lt;D xsi:type="xsd:int"&gt;43175&lt;/D&gt;&lt;D xsi:type="xsd:int"&gt;43174&lt;/D&gt;&lt;D xsi:type="xsd:int"&gt;43173&lt;/D&gt;&lt;D xsi:type="xsd:int"&gt;43172&lt;/D&gt;&lt;D xsi:type="xsd:int"&gt;43171&lt;/D&gt;&lt;D xsi:type="xsd:int"&gt;43168&lt;/D&gt;&lt;D xsi:type="xsd:int"&gt;43167&lt;/D&gt;&lt;D xsi:type="xsd:int"&gt;43166&lt;/D&gt;&lt;D xsi:type="xsd:int"&gt;43165&lt;/D&gt;&lt;D xsi:type="xsd:int"&gt;43164&lt;/D&gt;&lt;D xsi:type="xsd:int"&gt;43161&lt;/D&gt;&lt;D xsi:type="xsd:int"&gt;43160&lt;/D&gt;&lt;D xsi:type="xsd:int"&gt;43159&lt;/D&gt;&lt;D xsi:type="xsd:int"&gt;43158&lt;/D&gt;&lt;D xsi:type="xsd:int"&gt;43157&lt;/D&gt;&lt;D xsi:type="xsd:int"&gt;43154&lt;/D&gt;&lt;D xsi:type="xsd:int"&gt;43153&lt;/D&gt;&lt;D xsi:type="xsd:int"&gt;43152&lt;/D&gt;&lt;D xsi:type="xsd:int"&gt;43151&lt;/D&gt;&lt;D xsi:type="xsd:int"&gt;43147&lt;/D&gt;&lt;D xsi:type="xsd:int"&gt;43146&lt;/D&gt;&lt;D xsi:type="xsd:int"&gt;43145&lt;/D&gt;&lt;D xsi:type="xsd:int"&gt;43144&lt;/D&gt;&lt;D xsi:type="xsd:int"&gt;43143&lt;/D&gt;&lt;D xsi:type="xsd:int"&gt;43140&lt;/D&gt;&lt;D xsi:type="xsd:int"&gt;43139&lt;/D&gt;&lt;D xsi:type="xsd:int"&gt;43138&lt;/D&gt;&lt;D xsi:type="xsd:int"&gt;43137&lt;/D&gt;&lt;D xsi:type="xsd:int"&gt;43136&lt;/D&gt;&lt;D xsi:type="xsd:int"&gt;43133&lt;/D&gt;&lt;D xsi:type="xsd:int"&gt;43132&lt;/D&gt;&lt;D xsi:type="xsd:int"&gt;43131&lt;/D&gt;&lt;D xsi:type="xsd:int"&gt;43130&lt;/D&gt;&lt;D xsi:type="xsd:int"&gt;43129&lt;/D&gt;&lt;D xsi:type="xsd:int"&gt;43126&lt;/D&gt;&lt;D</t>
      </text>
    </comment>
    <comment authorId="0" ref="A32">
      <text>
        <t xml:space="preserve">======
ID#AAAB10qfXwI
Park, Jason S.    (2026-03-18 17:29:03)
7&lt;/D&gt;&lt;D xsi:type="xsd:double"&gt;22.57&lt;/D&gt;&lt;D xsi:type="xsd:double"&gt;22.54&lt;/D&gt;&lt;D xsi:type="xsd:double"&gt;22.16&lt;/D&gt;&lt;D xsi:type="xsd:double"&gt;21.24&lt;/D&gt;&lt;D xsi:type="xsd:double"&gt;21.56&lt;/D&gt;&lt;D xsi:type="xsd:double"&gt;21.42&lt;/D&gt;&lt;D xsi:type="xsd:double"&gt;21.509&lt;/D&gt;&lt;D xsi:type="xsd:double"&gt;22.22&lt;/D&gt;&lt;D xsi:type="xsd:double"&gt;22.01&lt;/D&gt;&lt;D xsi:type="xsd:double"&gt;21.62&lt;/D&gt;&lt;D xsi:type="xsd:double"&gt;21.89&lt;/D&gt;&lt;D xsi:type="xsd:double"&gt;21.67&lt;/D&gt;&lt;D xsi:type="xsd:double"&gt;21.95&lt;/D&gt;&lt;D xsi:type="xsd:double"&gt;21.77&lt;/D&gt;&lt;D xsi:type="xsd:double"&gt;22.02&lt;/D&gt;&lt;D xsi:type="xsd:double"&gt;21.6&lt;/D&gt;&lt;D xsi:type="xsd:double"&gt;21.29&lt;/D&gt;&lt;D xsi:type="xsd:double"&gt;21.43&lt;/D&gt;&lt;D xsi:type="xsd:double"&gt;21.63&lt;/D&gt;&lt;D xsi:type="xsd:double"&gt;20.05&lt;/D&gt;&lt;D xsi:type="xsd:double"&gt;19.89&lt;/D&gt;&lt;D xsi:type="xsd:double"&gt;19.72&lt;/D&gt;&lt;D xsi:type="xsd:double"&gt;20.17&lt;/D&gt;&lt;D xsi:type="xsd:double"&gt;20.57&lt;/D&gt;&lt;D xsi:type="xsd:double"&gt;20.8&lt;/D&gt;&lt;D xsi:type="xsd:double"&gt;20.77&lt;/D&gt;&lt;D xsi:type="xsd:double"&gt;20.42&lt;/D&gt;&lt;D xsi:type="xsd:double"&gt;20.11&lt;/D&gt;&lt;D xsi:type="xsd:double"&gt;20.59&lt;/D&gt;&lt;D xsi:type="xsd:double"&gt;20.92&lt;/D&gt;&lt;D xsi:type="xsd:double"&gt;21.08&lt;/D&gt;&lt;D xsi:type="xsd:double"&gt;20.42&lt;/D&gt;&lt;D xsi:type="xsd:double"&gt;20.38&lt;/D&gt;&lt;D xsi:type="xsd:double"&gt;20.13&lt;/D&gt;&lt;D xsi:type="xsd:double"&gt;19.92&lt;/D&gt;&lt;D xsi:type="xsd:double"&gt;19.68&lt;/D&gt;&lt;D xsi:type="xsd:double"&gt;20.07&lt;/D&gt;&lt;D xsi:type="xsd:double"&gt;20.06&lt;/D&gt;&lt;D xsi:type="xsd:double"&gt;20.85&lt;/D&gt;&lt;D xsi:type="xsd:double"&gt;21.13&lt;/D&gt;&lt;D xsi:type="xsd:double"&gt;21.32&lt;/D&gt;&lt;D xsi:type="xsd:double"&gt;21.13&lt;/D&gt;&lt;D xsi:type="xsd:double"&gt;21.24&lt;/D&gt;&lt;D xsi:type="xsd:double"&gt;20.55&lt;/D&gt;&lt;D xsi:type="xsd:double"&gt;20.61&lt;/D&gt;&lt;D xsi:type="xsd:double"&gt;20.28&lt;/D&gt;&lt;D xsi:type="xsd:double"&gt;20.99&lt;/D&gt;&lt;D xsi:type="xsd:double"&gt;20.51&lt;/D&gt;&lt;D xsi:type="xsd:double"&gt;20.61&lt;/D&gt;&lt;D xsi:type="xsd:double"&gt;20.79&lt;/D&gt;&lt;D xsi:type="xsd:double"&gt;20.8&lt;/D&gt;&lt;D xsi:type="xsd:double"&gt;21.45&lt;/D&gt;&lt;D xsi:type="xsd:double"&gt;21.69&lt;/D&gt;&lt;D xsi:type="xsd:double"&gt;21.3&lt;/D&gt;&lt;D xsi:type="xsd:double"&gt;21.31&lt;/D&gt;&lt;D xsi:type="xsd:double"&gt;21.4&lt;/D&gt;&lt;D xsi:type="xsd:double"&gt;22&lt;/D&gt;&lt;D xsi:type="xsd:double"&gt;22.27&lt;/D&gt;&lt;D xsi:type="xsd:double"&gt;22.26&lt;/D&gt;&lt;D xsi:type="xsd:double"&gt;22.44&lt;/D&gt;&lt;D xsi:type="xsd:double"&gt;22.61&lt;/D&gt;&lt;D xsi:type="xsd:double"&gt;22.67&lt;/D&gt;&lt;D xsi:type="xsd:double"&gt;22.88&lt;/D&gt;&lt;D xsi:type="xsd:double"&gt;23.36&lt;/D&gt;&lt;D xsi:type="xsd:double"&gt;23.23&lt;/D&gt;&lt;D xsi:type="xsd:double"&gt;23.08&lt;/D&gt;&lt;D xsi:type="xsd:double"&gt;22.86&lt;/D&gt;&lt;D xsi:type="xsd:double"&gt;23.17&lt;/D&gt;&lt;D xsi:type="xsd:double"&gt;23.69&lt;/D&gt;&lt;D xsi:type="xsd:double"&gt;23.77&lt;/D&gt;&lt;D xsi:type="xsd:double"&gt;23.84&lt;/D&gt;&lt;D xsi:type="xsd:double"&gt;24.32&lt;/D&gt;&lt;D xsi:type="xsd:double"&gt;24.8&lt;/D&gt;&lt;D xsi:type="xsd:double"&gt;24.16&lt;/D&gt;&lt;D xsi:type="xsd:double"&gt;24.1&lt;/D&gt;&lt;D xsi:type="xsd:double"&gt;23.37&lt;/D&gt;&lt;D xsi:type="xsd:double"&gt;23.61&lt;/D&gt;&lt;D xsi:type="xsd:double"&gt;23.21&lt;/D&gt;&lt;D xsi:type="xsd:double"&gt;23.06&lt;/D&gt;&lt;D xsi:type="xsd:double"&gt;22.38&lt;/D&gt;&lt;D xsi:type="xsd:double"&gt;23.1&lt;/D&gt;&lt;D xsi:type="xsd:double"&gt;22.71&lt;/D&gt;&lt;D xsi:type="xsd:double"&gt;23.91&lt;/D&gt;&lt;D xsi:type="xsd:double"&gt;24.01&lt;/D&gt;&lt;D xsi:type="xsd:double"&gt;23.48&lt;/D&gt;&lt;D xsi:type="xsd:double"&gt;23.01&lt;/D&gt;&lt;D xsi:type="xsd:double"&gt;22.76&lt;/D&gt;&lt;D xsi:type="xsd:double"&gt;22.56&lt;/D&gt;&lt;D xsi:type="xsd:double"&gt;22.63&lt;/D&gt;&lt;D xsi:type="xsd:double"&gt;23.24&lt;/D&gt;&lt;D xsi:type="xsd:double"&gt;23.14&lt;/D&gt;&lt;D xsi:type="xsd:double"&gt;22.87&lt;/D&gt;&lt;D xsi:type="xsd:double"&gt;22.77&lt;/D&gt;&lt;D xsi:type="xsd:double"&gt;22.7&lt;/D&gt;&lt;D xsi:type="xsd:double"&gt;23.49&lt;/D&gt;&lt;D xsi:type="xsd:double"&gt;23.45&lt;/D&gt;&lt;D xsi:type="xsd:double"&gt;23.54&lt;/D&gt;&lt;D xsi:type="xsd:double"&gt;23.37&lt;/D&gt;&lt;D xsi:type="xsd:double"&gt;23.28&lt;/D&gt;&lt;D xsi:type="xsd:double"&gt;23.25&lt;/D&gt;&lt;D xsi:type="xsd:double"&gt;23.25&lt;/D&gt;&lt;D xsi:type="xsd:double"&gt;23.39&lt;/D&gt;&lt;D xsi:type="xsd:double"&gt;23.07&lt;/D&gt;&lt;D xsi:type="xsd:double"&gt;22.61&lt;/D&gt;&lt;D xsi:type="xsd:double"&gt;22.39&lt;/D&gt;&lt;D xsi:type="xsd:double"&gt;22.46&lt;/D&gt;&lt;D xsi:type="xsd:double"&gt;22.8&lt;/D&gt;&lt;D xsi:type="xsd:double"&gt;22.88&lt;/D&gt;&lt;D xsi:type="xsd:double"&gt;22.54&lt;/D&gt;&lt;D xsi:type="xsd:double"&gt;23.16&lt;/D&gt;&lt;D xsi:type="xsd:double"&gt;22.82&lt;/D&gt;&lt;D xsi:type="xsd:double"&gt;23.02&lt;/D&gt;&lt;D xsi:type="xsd:double"&gt;22.94&lt;/D&gt;&lt;D xsi:type="xsd:double"&gt;22.6&lt;/D&gt;&lt;D xsi:type="xsd:double"&gt;22.58&lt;/D&gt;&lt;D xsi:type="xsd:double"&gt;22.42&lt;/D&gt;&lt;D xsi:type="xsd:double"&gt;21.99&lt;/D&gt;&lt;D xsi:type="xsd:double"&gt;22.26&lt;/D&gt;&lt;D xsi:type="xsd:double"&gt;22.42&lt;/D&gt;&lt;D xsi:type="xsd:double"&gt;22.31&lt;/D&gt;&lt;D xsi:type="xsd:double"</t>
      </text>
    </comment>
    <comment authorId="0" ref="A45">
      <text>
        <t xml:space="preserve">======
ID#AAAB10qfXwE
Park, Jason S.    (2026-03-18 17:29:03)
.77&lt;/D&gt;&lt;D xsi:type="xsd:double"&gt;20.66&lt;/D&gt;&lt;D xsi:type="xsd:double"&gt;20.69&lt;/D&gt;&lt;D xsi:type="xsd:double"&gt;21.05&lt;/D&gt;&lt;D xsi:type="xsd:double"&gt;21.3025&lt;/D&gt;&lt;D xsi:type="xsd:double"&gt;21.29&lt;/D&gt;&lt;D xsi:type="xsd:double"&gt;21.08&lt;/D&gt;&lt;D xsi:type="xsd:double"&gt;21.0825&lt;/D&gt;&lt;D xsi:type="xsd:double"&gt;21.01&lt;/D&gt;&lt;D xsi:type="xsd:double"&gt;20.95&lt;/D&gt;&lt;D xsi:type="xsd:double"&gt;20.82&lt;/D&gt;&lt;D xsi:type="xsd:double"&gt;21.24&lt;/D&gt;&lt;D xsi:type="xsd:double"&gt;21.55&lt;/D&gt;&lt;D xsi:type="xsd:double"&gt;21.75&lt;/D&gt;&lt;D xsi:type="xsd:double"&gt;21.75&lt;/D&gt;&lt;D xsi:type="xsd:double"&gt;21.46&lt;/D&gt;&lt;D xsi:type="xsd:double"&gt;21.46&lt;/D&gt;&lt;D xsi:type="xsd:double"&gt;21.48&lt;/D&gt;&lt;D xsi:type="xsd:double"&gt;21.56&lt;/D&gt;&lt;D xsi:type="xsd:double"&gt;21.57&lt;/D&gt;&lt;D xsi:type="xsd:double"&gt;21.68&lt;/D&gt;&lt;D xsi:type="xsd:double"&gt;21.69&lt;/D&gt;&lt;D xsi:type="xsd:double"&gt;21.635&lt;/D&gt;&lt;D xsi:type="xsd:double"&gt;21.46&lt;/D&gt;&lt;D xsi:type="xsd:double"&gt;21.8&lt;/D&gt;&lt;D xsi:type="xsd:double"&gt;21.76&lt;/D&gt;&lt;D xsi:type="xsd:double"&gt;21.57&lt;/D&gt;&lt;D xsi:type="xsd:double"&gt;21.45&lt;/D&gt;&lt;D xsi:type="xsd:double"&gt;21.75&lt;/D&gt;&lt;D xsi:type="xsd:double"&gt;21.97&lt;/D&gt;&lt;D xsi:type="xsd:double"&gt;22.14&lt;/D&gt;&lt;D xsi:type="xsd:double"&gt;21.81&lt;/D&gt;&lt;D xsi:type="xsd:double"&gt;21.15&lt;/D&gt;&lt;D xsi:type="xsd:double"&gt;21.285&lt;/D&gt;&lt;D xsi:type="xsd:double"&gt;21.86&lt;/D&gt;&lt;D xsi:type="xsd:double"&gt;21.47&lt;/D&gt;&lt;D xsi:type="xsd:double"&gt;21.39&lt;/D&gt;&lt;D xsi:type="xsd:double"&gt;21.49&lt;/D&gt;&lt;D xsi:type="xsd:double"&gt;21.79&lt;/D&gt;&lt;D xsi:type="xsd:double"&gt;21.56&lt;/D&gt;&lt;D xsi:type="xsd:double"&gt;21.21&lt;/D&gt;&lt;D xsi:type="xsd:double"&gt;21.13&lt;/D&gt;&lt;D xsi:type="xsd:double"&gt;21.2&lt;/D&gt;&lt;D xsi:type="xsd:double"&gt;20.79&lt;/D&gt;&lt;D xsi:type="xsd:double"&gt;20.87&lt;/D&gt;&lt;D xsi:type="xsd:double"&gt;20.84&lt;/D&gt;&lt;D xsi:type="xsd:double"&gt;20.18&lt;/D&gt;&lt;D xsi:type="xsd:double"&gt;19.8075&lt;/D&gt;&lt;D xsi:type="xsd:double"&gt;19.9&lt;/D&gt;&lt;D xsi:type="xsd:double"&gt;19.93&lt;/D&gt;&lt;D xsi:type="xsd:double"&gt;20.19&lt;/D&gt;&lt;D xsi:type="xsd:double"&gt;20.145&lt;/D&gt;&lt;D xsi:type="xsd:double"&gt;20.29&lt;/D&gt;&lt;D xsi:type="xsd:double"&gt;20.38&lt;/D&gt;&lt;D xsi:type="xsd:double"&gt;20.37&lt;/D&gt;&lt;D xsi:type="xsd:double"&gt;20.34&lt;/D&gt;&lt;D xsi:type="xsd:double"&gt;20.28&lt;/D&gt;&lt;D xsi:type="xsd:double"&gt;20.46&lt;/D&gt;&lt;D xsi:type="xsd:double"&gt;20.18&lt;/D&gt;&lt;D xsi:type="xsd:double"&gt;19.72&lt;/D&gt;&lt;D xsi:type="xsd:double"&gt;19.49&lt;/D&gt;&lt;D xsi:type="xsd:double"&gt;19.71&lt;/D&gt;&lt;D xsi:type="xsd:double"&gt;19.95&lt;/D&gt;&lt;D xsi:type="xsd:double"&gt;20.03&lt;/D&gt;&lt;D xsi:type="xsd:double"&gt;20.02&lt;/D&gt;&lt;D xsi:type="xsd:double"&gt;20.12&lt;/D&gt;&lt;D xsi:type="xsd:double"&gt;19.76&lt;/D&gt;&lt;D xsi:type="xsd:double"&gt;19.78&lt;/D&gt;&lt;D xsi:type="xsd:double"&gt;19.58&lt;/D&gt;&lt;D xsi:type="xsd:double"&gt;19.75&lt;/D&gt;&lt;D xsi:type="xsd:double"&gt;19.62&lt;/D&gt;&lt;D xsi:type="xsd:double"&gt;19.86&lt;/D&gt;&lt;D xsi:type="xsd:double"&gt;21.41&lt;/D&gt;&lt;D xsi:type="xsd:double"&gt;21.46&lt;/D&gt;&lt;D xsi:type="xsd:double"&gt;21.94&lt;/D&gt;&lt;D xsi:type="xsd:double"&gt;22.48&lt;/D&gt;&lt;D xsi:type="xsd:double"&gt;22.63&lt;/D&gt;&lt;D xsi:type="xsd:double"&gt;22.8&lt;/D&gt;&lt;D xsi:type="xsd:double"&gt;23.15&lt;/D&gt;&lt;D xsi:type="xsd:double"&gt;22.91&lt;/D&gt;&lt;D xsi:type="xsd:double"&gt;23.23&lt;/D&gt;&lt;D xsi:type="xsd:double"&gt;23.5&lt;/D&gt;&lt;D xsi:type="xsd:double"&gt;23.61&lt;/D&gt;&lt;D xsi:type="xsd:double"&gt;23.25&lt;/D&gt;&lt;D xsi:type="xsd:double"&gt;22.76&lt;/D&gt;&lt;D xsi:type="xsd:double"&gt;23.03&lt;/D&gt;&lt;D xsi:type="xsd:double"&gt;23.41&lt;/D&gt;&lt;D xsi:type="xsd:double"&gt;23.705&lt;/D&gt;&lt;D xsi:type="xsd:double"&gt;23.41&lt;/D&gt;&lt;D xsi:type="xsd:double"&gt;23.64&lt;/D&gt;&lt;D xsi:type="xsd:double"&gt;23.55&lt;/D&gt;&lt;D xsi:type="xsd:double"&gt;23.88&lt;/D&gt;&lt;D xsi:type="xsd:double"&gt;23.54&lt;/D&gt;&lt;D xsi:type="xsd:double"&gt;23.22&lt;/D&gt;&lt;D xsi:type="xsd:double"&gt;22.86&lt;/D&gt;&lt;D xsi:type="xsd:double"&gt;22.61&lt;/D&gt;&lt;D xsi:type="xsd:double"&gt;22.68&lt;/D&gt;&lt;D xsi:type="xsd:double"&gt;22.5&lt;/D&gt;&lt;D xsi:type="xsd:double"&gt;22.21&lt;/D&gt;&lt;D xsi:type="xsd:double"&gt;22.51&lt;/D&gt;&lt;D xsi:type="xsd:double"&gt;22&lt;/D&gt;&lt;D xsi:type="xsd:double"&gt;22.085&lt;/D&gt;&lt;D xsi:type="xsd:double"&gt;21.73&lt;/D&gt;&lt;D xsi:type="xsd:double"&gt;21.829&lt;/D&gt;&lt;D xsi:type="xsd:double"&gt;22.06&lt;/D&gt;&lt;D xsi:type="xsd:double"&gt;21.82&lt;/D&gt;&lt;D xsi:type="xsd:double"&gt;21.76&lt;/D&gt;&lt;D xsi:type="xsd:double"&gt;21.38&lt;/D&gt;&lt;D xsi:type="xsd:double"&gt;21.385&lt;/D&gt;&lt;D xsi:type="xsd:double"&gt;21.82&lt;/D&gt;&lt;D xsi:type="xsd:double"&gt;21.42&lt;/D&gt;&lt;D xsi:type="xsd:double"&gt;21.42&lt;/D&gt;&lt;D xsi:type="xsd:double"&gt;21.19&lt;/D&gt;&lt;D xsi:type="xsd:double"&gt;21.325&lt;/D&gt;&lt;D xsi:type="xsd:double"&gt;21.65&lt;/D&gt;&lt;D xsi:type="xsd:double"&gt;21.395&lt;/D&gt;&lt;D xsi:type="xsd:double"&gt;21.71&lt;/D&gt;&lt;D xsi:type="xsd:double"&gt;21.2&lt;/D&gt;&lt;D xsi:type="xsd:double"&gt;21.34&lt;/D&gt;&lt;D xsi:type="xsd:double"&gt;21.49&lt;/D&gt;&lt;D xsi:type="xsd:double"&gt;21.39&lt;/D&gt;&lt;D x</t>
      </text>
    </comment>
    <comment authorId="0" ref="A8">
      <text>
        <t xml:space="preserve">======
ID#AAAB10qfXwA
Park, Jason S.    (2026-03-18 17:29:03)
NNUAL,2017,0,,,'')&lt;/Q&gt;&lt;R&gt;1&lt;/R&gt;&lt;C&gt;1&lt;/C&gt;&lt;D xsi:type="xsd:double"&gt;39807&lt;/D&gt;&lt;/FQL&gt;&lt;FQL&gt;&lt;Q&gt;IBM^FF_SALES(ANN_R,2015)&lt;/Q&gt;&lt;R&gt;1&lt;/R&gt;&lt;C&gt;1&lt;/C&gt;&lt;D xsi:type="xsd:double"&gt;81741&lt;/D&gt;&lt;/FQL&gt;&lt;FQL&gt;&lt;Q&gt;688910^FF_RD_EXP(ANN_R,2017)@FE_ESTIMATE(RD_EXP,MEDIAN,ANNUAL,2017,0,,,'')&lt;/Q&gt;&lt;R&gt;1&lt;/R&gt;&lt;C&gt;1&lt;/C&gt;&lt;D xsi:type="xsd:double"&gt;80732.463&lt;/D&gt;&lt;/FQL&gt;&lt;FQL&gt;&lt;Q&gt;BABA^FF_SALES(ANN_R,2017)@FE_ESTIMATE(SALES,MEDIAN,ANNUAL,2017,0,,,'')&lt;/Q&gt;&lt;R&gt;1&lt;/R&gt;&lt;C&gt;1&lt;/C&gt;&lt;D xsi:type="xsd:double"&gt;39240.43&lt;/D&gt;&lt;/FQL&gt;&lt;FQL&gt;&lt;Q&gt;677172^FF_SALES(ANN_R,2017)&lt;/Q&gt;&lt;R&gt;1&lt;/R&gt;&lt;C&gt;1&lt;/C&gt;&lt;D xsi:type="xsd:double"&gt;239580000&lt;/D&gt;&lt;/FQL&gt;&lt;FQL&gt;&lt;Q&gt;677172^FF_SALES(ANN_R,2018)&lt;/Q&gt;&lt;R&gt;1&lt;/R&gt;&lt;C&gt;1&lt;/C&gt;&lt;D xsi:type="xsd:double"&gt;239580000&lt;/D&gt;&lt;/FQL&gt;&lt;FQL&gt;&lt;Q&gt;MSFT^FF_GROSS_INC(ANN_R,0)&lt;/Q&gt;&lt;R&gt;1&lt;/R&gt;&lt;C&gt;1&lt;/C&gt;&lt;D xsi:type="xsd:double"&gt;55186&lt;/D&gt;&lt;/FQL&gt;&lt;FQL&gt;&lt;Q&gt;677172^FF_GROSS_INC(ANN_R,0)&lt;/Q&gt;&lt;R&gt;1&lt;/R&gt;&lt;C&gt;1&lt;/C&gt;&lt;D xsi:type="xsd:double"&gt;107502602&lt;/D&gt;&lt;/FQL&gt;&lt;FQL&gt;&lt;Q&gt;TXN^FF_GROSS_INC(ANN_R,0)&lt;/Q&gt;&lt;R&gt;1&lt;/R&gt;&lt;C&gt;1&lt;/C&gt;&lt;D xsi:type="xsd:double"&gt;9296&lt;/D&gt;&lt;/FQL&gt;&lt;FQL&gt;&lt;Q&gt;677172^FF_PE_DIL(ANN_R,2018)@FE_VALUATION(PE,MEDIAN,ANNUAL,2018,0,,,'')&lt;/Q&gt;&lt;R&gt;1&lt;/R&gt;&lt;C&gt;1&lt;/C&gt;&lt;D xsi:type="xsd:double"&gt;7.0109024&lt;/D&gt;&lt;/FQL&gt;&lt;FQL&gt;&lt;Q&gt;V^FF_SALES(ANN_R,2017)&lt;/Q&gt;&lt;R&gt;1&lt;/R&gt;&lt;C&gt;1&lt;/C&gt;&lt;D xsi:type="xsd:double"&gt;18358&lt;/D&gt;&lt;/FQL&gt;&lt;FQL&gt;&lt;Q&gt;V^FF_SALES(ANN_R,2018)&lt;/Q&gt;&lt;R&gt;1&lt;/R&gt;&lt;C&gt;1&lt;/C&gt;&lt;D xsi:type="xsd:double"&gt;18358&lt;/D&gt;&lt;/FQL&gt;&lt;FQL&gt;&lt;Q&gt;V^FF_SALES(ANN_R,2014)&lt;/Q&gt;&lt;R&gt;1&lt;/R&gt;&lt;C&gt;1&lt;/C&gt;&lt;D xsi:type="xsd:double"&gt;12702&lt;/D&gt;&lt;/FQL&gt;&lt;FQL&gt;&lt;Q&gt;ACN^FE_ESTIMATE(SALES,MEDIAN,ANNUAL,2018,0,,,'')&lt;/Q&gt;&lt;R&gt;1&lt;/R&gt;&lt;C&gt;1&lt;/C&gt;&lt;D xsi:type="xsd:double"&gt;39134.7&lt;/D&gt;&lt;/FQL&gt;&lt;FQL&gt;&lt;Q&gt;MSFT^FF_OPER_INC(ANN_R,0)&lt;/Q&gt;&lt;R&gt;1&lt;/R&gt;&lt;C&gt;1&lt;/C&gt;&lt;D xsi:type="xsd:double"&gt;24468&lt;/D&gt;&lt;/FQL&gt;&lt;FQL&gt;&lt;Q&gt;STM^FF_CO_NAME&lt;/Q&gt;&lt;R&gt;1&lt;/R&gt;&lt;C&gt;1&lt;/C&gt;&lt;D xsi:type="xsd:string"&gt;STMicroelectronics NV&lt;/D&gt;&lt;/FQL&gt;&lt;FQL&gt;&lt;Q&gt;688910^FF_SALES(ANN_R,2017)&lt;/Q&gt;&lt;R&gt;1&lt;/R&gt;&lt;C&gt;1&lt;/C&gt;&lt;D xsi:type="xsd:double"&gt;977409.805&lt;/D&gt;&lt;/FQL&gt;&lt;FQL&gt;&lt;Q&gt;688910^FF_SALES(ANN_R,2018)&lt;/Q&gt;&lt;R&gt;1&lt;/R&gt;&lt;C&gt;1&lt;/C&gt;&lt;D xsi:type="xsd:double"&gt;977409.805&lt;/D&gt;&lt;/FQL&gt;&lt;FQL&gt;&lt;Q&gt;484628^FF_SALES(ANN_R,2016)&lt;/Q&gt;&lt;R&gt;1&lt;/R&gt;&lt;C&gt;1&lt;/C&gt;&lt;D xsi:type="xsd:double"&gt;22062&lt;/D&gt;&lt;/FQL&gt;&lt;FQL&gt;&lt;Q&gt;484628^FF_RD_EXP(ANN_R,2017)@FE_ESTIMATE(RD_EXP,MEDIAN,ANNUAL,2017,0,,,'')&lt;/Q&gt;&lt;R&gt;1&lt;/R&gt;&lt;C&gt;1&lt;/C&gt;&lt;D xsi:type="xsd:double"&gt;3352&lt;/D&gt;&lt;/FQL&gt;&lt;FQL&gt;&lt;Q&gt;INTC^FF_CO_NAME&lt;/Q&gt;&lt;R&gt;1&lt;/R&gt;&lt;C&gt;1&lt;/C&gt;&lt;D xsi:type="xsd:string"&gt;Intel Corp.&lt;/D&gt;&lt;/FQL&gt;&lt;FQL&gt;&lt;Q&gt;005930-KR^FF_CO_NAME&lt;/Q&gt;&lt;R&gt;1&lt;/R&gt;&lt;C&gt;1&lt;/C&gt;&lt;D xsi:type="xsd:string"&gt;Samsung Electronics Co., Ltd.&lt;/D&gt;&lt;/FQL&gt;&lt;FQL&gt;&lt;Q&gt;INTC^FF_SALES(ANN_R,2017)&lt;/Q&gt;&lt;R&gt;1&lt;/R&gt;&lt;C&gt;1&lt;/C&gt;&lt;D xsi:type="xsd:double"&gt;62761&lt;/D&gt;&lt;/FQL&gt;&lt;FQL&gt;&lt;Q&gt;INTC^FF_SALES(ANN_R,2018)&lt;/Q&gt;&lt;R&gt;1&lt;/R&gt;&lt;C&gt;1&lt;/C&gt;&lt;D xsi:type="xsd:double"&gt;62761&lt;/D&gt;&lt;/FQL&gt;&lt;FQL&gt;&lt;Q&gt;BMMV2K^FF_SALES(ANN_R,2016)&lt;/Q&gt;&lt;R&gt;1&lt;/R&gt;&lt;C&gt;1&lt;/C&gt;&lt;D xsi:type="xsd:double"&gt;177527.172203057&lt;/D&gt;&lt;/FQL&gt;&lt;FQL&gt;&lt;Q&gt;677172^FF_SALES(ANN_R,2014)&lt;/Q&gt;&lt;R&gt;1&lt;/R&gt;&lt;C&gt;1&lt;/C&gt;&lt;D xsi:type="xsd:double"&gt;206205987&lt;/D&gt;&lt;/FQL&gt;&lt;FQL&gt;&lt;Q&gt;688910^FE_ESTIMATE(SALES,MEDIAN,ANNUAL,2018,0,,,'')&lt;/Q&gt;&lt;R&gt;1&lt;/R&gt;&lt;C&gt;1&lt;/C&gt;&lt;D xsi:type="xsd:double"&gt;1092077.5&lt;/D&gt;&lt;/FQL&gt;&lt;FQL&gt;&lt;Q&gt;CSCO^FF_SALES(ANN_R,2016)&lt;/Q&gt;&lt;R&gt;1&lt;/R&gt;&lt;C&gt;1&lt;/C&gt;&lt;D xsi:type="xsd:double"&gt;49247&lt;/D&gt;&lt;/FQL&gt;&lt;FQL&gt;&lt;Q&gt;ORCL^FF_SALES(ANN_R,2017)&lt;/Q&gt;&lt;R&gt;0&lt;/R&gt;&lt;C&gt;0&lt;/C&gt;&lt;/FQL&gt;&lt;FQL&gt;&lt;Q&gt;ORCL^FF_SALES(ANN_R,2018)&lt;/Q&gt;&lt;R&gt;0&lt;/R&gt;&lt;C&gt;0&lt;/C&gt;&lt;/FQL&gt;&lt;FQL&gt;&lt;Q&gt;AVGO^FF_SALES(ANN_R,2016)&lt;/Q&gt;&lt;R&gt;1&lt;/R&gt;&lt;C&gt;1&lt;/C&gt;&lt;D xsi:type="xsd:double"&gt;13240&lt;/D&gt;&lt;/FQL&gt;&lt;FQL&gt;&lt;Q&gt;484628^FF_SGA(ANN_R,2017)@FE_ESTIMATE(SGA,MEDIAN,ANNUAL,2017,0,,,'')&lt;/Q&gt;&lt;R&gt;1&lt;/R&gt;&lt;C&gt;1&lt;/C&gt;&lt;D xsi:type="xsd:double"&gt;11351&lt;/D&gt;&lt;/FQL&gt;&lt;FQL&gt;&lt;Q&gt;CSCO^FF_RD_EXP(ANN_R,2017)@FE_ESTIMATE(RD_EXP,MEDIAN,ANNUAL,2017,0,,,'')&lt;/Q&gt;&lt;R&gt;1&lt;/R&gt;&lt;C&gt;1&lt;/C&gt;&lt;D xsi:type="xsd:double"&gt;6059&lt;/D&gt;&lt;/FQL&gt;&lt;FQL&gt;&lt;Q&gt;BMMV2K^FF_OPER_INC(ANN_R,0)&lt;/Q&gt;&lt;R&gt;1&lt;/R&gt;&lt;C&gt;1&lt;/C&gt;&lt;D xsi:type="xsd:double"&gt;76359.7204216291&lt;/D&gt;&lt;/FQL&gt;&lt;FQL&gt;&lt;Q&gt;CSCO^FF_SALES(ANN_R,2017)&lt;/Q&gt;&lt;R&gt;1&lt;/R&gt;&lt;C&gt;1&lt;/C&gt;&lt;D xsi:type="xsd:double"&gt;48005&lt;/D&gt;&lt;/FQL&gt;&lt;FQL&gt;&lt;Q&gt;CSCO^FF_SALES(ANN_R,2018)&lt;/Q&gt;&lt;R&gt;1&lt;/R&gt;&lt;C&gt;1&lt;/C&gt;&lt;D xsi:type="xsd:double"&gt;48005&lt;/D&gt;&lt;/FQL&gt;&lt;FQL&gt;&lt;Q&gt;ACN^FF_PE_DIL(ANN_R,2018)@FE_VALUATION(PE,MEDIAN,ANNUAL,2018,0,,,'')&lt;/Q&gt;&lt;R&gt;1&lt;/R&gt;&lt;C&gt;1&lt;/C&gt;&lt;D xsi:type="xsd:double"&gt;22.947008&lt;/D&gt;&lt;/FQL&gt;&lt;FQL&gt;&lt;Q&gt;2330-TW^FF_CO_NAME&lt;/Q&gt;&lt;R&gt;1&lt;/R&gt;&lt;C&gt;1&lt;/C&gt;&lt;D xsi:type="xsd:string"&gt;Taiwan Semiconductor Manufacturing Co., Ltd.&lt;/D&gt;&lt;/FQL&gt;&lt;FQL&gt;&lt;Q&gt;GOOGL^FF_CO_NAME&lt;/Q&gt;&lt;R&gt;1&lt;/R&gt;&lt;C&gt;1&lt;/C&gt;&lt;D xsi:type="xsd:string"&gt;Alphabet, Inc.&lt;/D&gt;&lt;/FQL&gt;&lt;FQL&gt;&lt;Q&gt;BMMV2K^FF_SALES(ANN_R,2017)@FE_ESTIMATE(SALES</t>
      </text>
    </comment>
    <comment authorId="0" ref="A37">
      <text>
        <t xml:space="preserve">======
ID#AAAB10qfXv8
Park, Jason S.    (2026-03-18 17:29:03)
long"&gt;37113&lt;/D&gt;&lt;D xsi:type="xsd:long"&gt;37116&lt;/D&gt;&lt;D xsi:type="xsd:long"&gt;37117&lt;/D&gt;&lt;D xsi:type="xsd:long"&gt;37118&lt;/D&gt;&lt;D xsi:type="xsd:long"&gt;37119&lt;/D&gt;&lt;D xsi:type="xsd:long"&gt;37120&lt;/D&gt;&lt;D xsi:type="xsd:long"&gt;37123&lt;/D&gt;&lt;D xsi:type="xsd:long"&gt;37124&lt;/D&gt;&lt;D xsi:type="xsd:long"&gt;37125&lt;/D&gt;&lt;D xsi:type="xsd:long"&gt;37126&lt;/D&gt;&lt;D xsi:type="xsd:long"&gt;37127&lt;/D&gt;&lt;D xsi:type="xsd:long"&gt;37130&lt;/D&gt;&lt;D xsi:type="xsd:long"&gt;37131&lt;/D&gt;&lt;D xsi:type="xsd:long"&gt;37132&lt;/D&gt;&lt;D xsi:type="xsd:long"&gt;37133&lt;/D&gt;&lt;D xsi:type="xsd:long"&gt;37134&lt;/D&gt;&lt;D xsi:type="xsd:long"&gt;37138&lt;/D&gt;&lt;D xsi:type="xsd:long"&gt;37139&lt;/D&gt;&lt;D xsi:type="xsd:long"&gt;37140&lt;/D&gt;&lt;D xsi:type="xsd:long"&gt;37141&lt;/D&gt;&lt;D xsi:type="xsd:long"&gt;37144&lt;/D&gt;&lt;D xsi:type="xsd:long"&gt;37151&lt;/D&gt;&lt;D xsi:type="xsd:long"&gt;37152&lt;/D&gt;&lt;D xsi:type="xsd:long"&gt;37153&lt;/D&gt;&lt;D xsi:type="xsd:long"&gt;37154&lt;/D&gt;&lt;D xsi:type="xsd:long"&gt;37155&lt;/D&gt;&lt;D xsi:type="xsd:long"&gt;37158&lt;/D&gt;&lt;D xsi:type="xsd:long"&gt;37159&lt;/D&gt;&lt;D xsi:type="xsd:long"&gt;37160&lt;/D&gt;&lt;D xsi:type="xsd:long"&gt;37161&lt;/D&gt;&lt;D xsi:type="xsd:long"&gt;37162&lt;/D&gt;&lt;D xsi:type="xsd:long"&gt;37165&lt;/D&gt;&lt;D xsi:type="xsd:long"&gt;37166&lt;/D&gt;&lt;D xsi:type="xsd:long"&gt;37167&lt;/D&gt;&lt;D xsi:type="xsd:long"&gt;37168&lt;/D&gt;&lt;D xsi:type="xsd:long"&gt;37169&lt;/D&gt;&lt;D xsi:type="xsd:long"&gt;37172&lt;/D&gt;&lt;D xsi:type="xsd:long"&gt;37173&lt;/D&gt;&lt;D xsi:type="xsd:long"&gt;37174&lt;/D&gt;&lt;D xsi:type="xsd:long"&gt;37175&lt;/D&gt;&lt;D xsi:type="xsd:long"&gt;37176&lt;/D&gt;&lt;D xsi:type="xsd:long"&gt;37179&lt;/D&gt;&lt;D xsi:type="xsd:long"&gt;37180&lt;/D&gt;&lt;D xsi:type="xsd:long"&gt;37181&lt;/D&gt;&lt;D xsi:type="xsd:long"&gt;37182&lt;/D&gt;&lt;D xsi:type="xsd:long"&gt;37183&lt;/D&gt;&lt;D xsi:type="xsd:long"&gt;37186&lt;/D&gt;&lt;D xsi:type="xsd:long"&gt;37187&lt;/D&gt;&lt;D xsi:type="xsd:long"&gt;37188&lt;/D&gt;&lt;D xsi:type="xsd:long"&gt;37189&lt;/D&gt;&lt;D xsi:type="xsd:long"&gt;37190&lt;/D&gt;&lt;D xsi:type="xsd:long"&gt;37193&lt;/D&gt;&lt;D xsi:type="xsd:long"&gt;37194&lt;/D&gt;&lt;D xsi:type="xsd:long"&gt;37195&lt;/D&gt;&lt;D xsi:type="xsd:long"&gt;37196&lt;/D&gt;&lt;D xsi:type="xsd:long"&gt;37197&lt;/D&gt;&lt;D xsi:type="xsd:long"&gt;37200&lt;/D&gt;&lt;D xsi:type="xsd:long"&gt;37201&lt;/D&gt;&lt;D xsi:type="xsd:long"&gt;37202&lt;/D&gt;&lt;D xsi:type="xsd:long"&gt;37203&lt;/D&gt;&lt;D xsi:type="xsd:long"&gt;37204&lt;/D&gt;&lt;D xsi:type="xsd:long"&gt;37207&lt;/D&gt;&lt;D xsi:type="xsd:long"&gt;37208&lt;/D&gt;&lt;D xsi:type="xsd:long"&gt;37209&lt;/D&gt;&lt;D xsi:type="xsd:long"&gt;37210&lt;/D&gt;&lt;D xsi:type="xsd:long"&gt;37211&lt;/D&gt;&lt;D xsi:type="xsd:long"&gt;37214&lt;/D&gt;&lt;D xsi:type="xsd:long"&gt;37215&lt;/D&gt;&lt;D xsi:type="xsd:long"&gt;37216&lt;/D&gt;&lt;D xsi:type="xsd:long"&gt;37218&lt;/D&gt;&lt;D xsi:type="xsd:long"&gt;37221&lt;/D&gt;&lt;D xsi:type="xsd:long"&gt;37222&lt;/D&gt;&lt;D xsi:type="xsd:long"&gt;37223&lt;/D&gt;&lt;D xsi:type="xsd:long"&gt;37224&lt;/D&gt;&lt;D xsi:type="xsd:long"&gt;37225&lt;/D&gt;&lt;D xsi:type="xsd:long"&gt;37228&lt;/D&gt;&lt;D xsi:type="xsd:long"&gt;37229&lt;/D&gt;&lt;D xsi:type="xsd:long"&gt;37230&lt;/D&gt;&lt;D xsi:type="xsd:long"&gt;37231&lt;/D&gt;&lt;D xsi:type="xsd:long"&gt;37232&lt;/D&gt;&lt;D xsi:type="xsd:long"&gt;37235&lt;/D&gt;&lt;D xsi:type="xsd:long"&gt;37236&lt;/D&gt;&lt;D xsi:type="xsd:long"&gt;37237&lt;/D&gt;&lt;D xsi:type="xsd:long"&gt;37238&lt;/D&gt;&lt;D xsi:type="xsd:long"&gt;37239&lt;/D&gt;&lt;D xsi:type="xsd:long"&gt;37242&lt;/D&gt;&lt;D xsi:type="xsd:long"&gt;37243&lt;/D&gt;&lt;D xsi:type="xsd:long"&gt;37244&lt;/D&gt;&lt;D xsi:type="xsd:long"&gt;37245&lt;/D&gt;&lt;D xsi:type="xsd:long"&gt;37246&lt;/D&gt;&lt;D xsi:type="xsd:long"&gt;37249&lt;/D&gt;&lt;D xsi:type="xsd:long"&gt;37251&lt;/D&gt;&lt;D xsi:type="xsd:long"&gt;37252&lt;/D&gt;&lt;D xsi:type="xsd:long"&gt;37253&lt;/D&gt;&lt;D xsi:type="xsd:long"&gt;37256&lt;/D&gt;&lt;D xsi:type="xsd:long"&gt;37258&lt;/D&gt;&lt;D xsi:type="xsd:long"&gt;37259&lt;/D&gt;&lt;D xsi:type="xsd:long"&gt;37260&lt;/D&gt;&lt;D xsi:type="xsd:long"&gt;37263&lt;/D&gt;&lt;D xsi:type="xsd:long"&gt;37264&lt;/D&gt;&lt;D xsi:type="xsd:long"&gt;37265&lt;/D&gt;&lt;D xsi:type="xsd:long"&gt;37266&lt;/D&gt;&lt;D xsi:type="xsd:long"&gt;37267&lt;/D&gt;&lt;D xsi:type="xsd:long"&gt;37270&lt;/D&gt;&lt;D xsi:type="xsd:long"&gt;37271&lt;/D&gt;&lt;D xsi:type="xsd:long"&gt;37272&lt;/D&gt;&lt;D xsi:type="xsd:long"&gt;37273&lt;/D&gt;&lt;D xsi:type="xsd:long"&gt;37274&lt;/D&gt;&lt;D xsi:type="xsd:long"&gt;37278&lt;/D&gt;&lt;D xsi:type="xsd:long"&gt;37279&lt;/D&gt;&lt;D xsi:type="xsd:long"&gt;37280&lt;/D&gt;&lt;D xsi:type="xsd:long"&gt;37281&lt;/D&gt;&lt;D xsi:type="xsd:long"&gt;37284&lt;/D&gt;&lt;D xsi:type="xsd:long"&gt;37285&lt;/D&gt;&lt;D xsi:type="xsd:long"&gt;37286&lt;/D&gt;&lt;D xsi:type="xsd:long"&gt;37287&lt;/D&gt;&lt;D xsi:type="xsd:long"&gt;37288&lt;/D&gt;&lt;D xsi:type="xsd:long"&gt;37291&lt;/D&gt;&lt;D xsi:type="xsd:long"&gt;37292&lt;/D&gt;&lt;D xsi:type="xsd:long"&gt;37293&lt;/D&gt;&lt;D xsi:type="xsd:long"&gt;37294&lt;/D&gt;&lt;D xsi:type="xsd:long"&gt;37295&lt;/D&gt;&lt;D xsi:type="xsd:long"&gt;37298&lt;/D&gt;&lt;D xsi:type="xsd:long"&gt;37299&lt;/D&gt;&lt;D xsi:type="xsd:long"&gt;37300&lt;/D&gt;&lt;D xsi:type="xsd:long"&gt;37301&lt;/D&gt;&lt;D xsi:type="xsd:long"&gt;37302&lt;/D&gt;&lt;D xsi:type="xsd:long"&gt;37306&lt;/D&gt;&lt;D xsi:type="xsd:</t>
      </text>
    </comment>
    <comment authorId="0" ref="A7">
      <text>
        <t xml:space="preserve">======
ID#AAAB10qfXv4
Park, Jason S.    (2026-03-18 17:29:03)
LES(ANN_R,2017)&lt;/Q&gt;&lt;R&gt;1&lt;/R&gt;&lt;C&gt;1&lt;/C&gt;&lt;D xsi:type="xsd:double"&gt;1811.8&lt;/D&gt;&lt;/FQL&gt;&lt;FQL&gt;&lt;Q&gt;ON^FE_ESTIMATE(SALES,MEDIAN,ANNUAL,2021,0,,,'')&lt;/Q&gt;&lt;R&gt;0&lt;/R&gt;&lt;C&gt;0&lt;/C&gt;&lt;/FQL&gt;&lt;FQL&gt;&lt;Q&gt;PXLW^FF_GROSS_MGN(LTM_R,0)&lt;/Q&gt;&lt;R&gt;1&lt;/R&gt;&lt;C&gt;1&lt;/C&gt;&lt;D xsi:type="xsd:double"&gt;52.507163323782223&lt;/D&gt;&lt;/FQL&gt;&lt;FQL&gt;&lt;Q&gt;SLAB^FE_ESTIMATE(SALES,MEDIAN,ANNUAL,2021,0,,,'')&lt;/Q&gt;&lt;R&gt;0&lt;/R&gt;&lt;C&gt;0&lt;/C&gt;&lt;/FQL&gt;&lt;FQL&gt;&lt;Q&gt;POWI^FF_GROSS_MGN(LTM_R,0)&lt;/Q&gt;&lt;R&gt;1&lt;/R&gt;&lt;C&gt;1&lt;/C&gt;&lt;D xsi:type="xsd:double"&gt;48.990052228694523&lt;/D&gt;&lt;/FQL&gt;&lt;FQL&gt;&lt;Q&gt;LSCC^FE_ESTIMATE(SALES,MEDIAN,ANNUAL,2021,0,,,'')&lt;/Q&gt;&lt;R&gt;0&lt;/R&gt;&lt;C&gt;0&lt;/C&gt;&lt;/FQL&gt;&lt;FQL&gt;&lt;Q&gt;ADI^FF_SALES(ANN_R,2017)&lt;/Q&gt;&lt;R&gt;1&lt;/R&gt;&lt;C&gt;1&lt;/C&gt;&lt;D xsi:type="xsd:double"&gt;5107.503&lt;/D&gt;&lt;/FQL&gt;&lt;FQL&gt;&lt;Q&gt;MXIM^FE_ESTIMATE(SALES,MEDIAN,ANNUAL,2021,0,,,'')&lt;/Q&gt;&lt;R&gt;0&lt;/R&gt;&lt;C&gt;0&lt;/C&gt;&lt;/FQL&gt;&lt;FQL&gt;&lt;Q&gt;MXIM^FREF_MARKET_VALUE_COMPANY(43136,,,USD,,0)&lt;/Q&gt;&lt;R&gt;1&lt;/R&gt;&lt;C&gt;1&lt;/C&gt;&lt;D xsi:type="xsd:double"&gt;16456.642780096739&lt;/D&gt;&lt;/FQL&gt;&lt;FQL&gt;&lt;Q&gt;SMTC^FE_ESTIMATE(SALES,MEDIAN,ANNUAL,2021,0,,,'')&lt;/Q&gt;&lt;R&gt;0&lt;/R&gt;&lt;C&gt;0&lt;/C&gt;&lt;/FQL&gt;&lt;FQL&gt;&lt;Q&gt;AMBA^FF_SALES(ANN_R,2017)&lt;/Q&gt;&lt;R&gt;0&lt;/R&gt;&lt;C&gt;0&lt;/C&gt;&lt;/FQL&gt;&lt;FQL&gt;&lt;Q&gt;ISIL^FE_ESTIMATE(SALES,MEDIAN,ANNUAL,2021,0,,,'')&lt;/Q&gt;&lt;R&gt;0&lt;/R&gt;&lt;C&gt;0&lt;/C&gt;&lt;/FQL&gt;&lt;FQL&gt;&lt;Q&gt;PI^FF_GROSS_MGN(LTM_R,0)&lt;/Q&gt;&lt;R&gt;1&lt;/R&gt;&lt;C&gt;1&lt;/C&gt;&lt;D xsi:type="xsd:double"&gt;53.2356236562396&lt;/D&gt;&lt;/FQL&gt;&lt;FQL&gt;&lt;Q&gt;QTNA^FF_SALES(ANN_R,2017)&lt;/Q&gt;&lt;R&gt;0&lt;/R&gt;&lt;C&gt;0&lt;/C&gt;&lt;/FQL&gt;&lt;FQL&gt;&lt;Q&gt;005930-KR^P_PRICE(43136,,,USD)&lt;/Q&gt;&lt;R&gt;1&lt;/R&gt;&lt;C&gt;1&lt;/C&gt;&lt;D xsi:type="xsd:double"&gt;2201.1943&lt;/D&gt;&lt;/FQL&gt;&lt;FQL&gt;&lt;Q&gt;005930-KR^FF_SALES(ANN_R,2017)&lt;/Q&gt;&lt;R&gt;1&lt;/R&gt;&lt;C&gt;1&lt;/C&gt;&lt;D xsi:type="xsd:double"&gt;239580000&lt;/D&gt;&lt;/FQL&gt;&lt;FQL&gt;&lt;Q&gt;000660-KR^FE_ESTIMATE(SALES,MEDIAN,ANNUAL,2021,0,,,'')&lt;/Q&gt;&lt;R&gt;1&lt;/R&gt;&lt;C&gt;1&lt;/C&gt;&lt;D xsi:type="xsd:double"&gt;41837500&lt;/D&gt;&lt;/FQL&gt;&lt;FQL&gt;&lt;Q&gt;IDTI^FF_ENTRPR_VAL_EBITDA_OPER(ANN_R,2020)@FE_VALUATION(EV_EBITDA,MEDIAN,ANNUAL,2020,0,,,'')&lt;/Q&gt;&lt;R&gt;0&lt;/R&gt;&lt;C&gt;0&lt;/C&gt;&lt;/FQL&gt;&lt;FQL&gt;&lt;Q&gt;POWI^FF_ENTRPR_VAL_FCF(ANN_R,2018)@FE_VALUATION(EV_FCF,MEDIAN,ANNUAL,2018,0,,,'')&lt;/Q&gt;&lt;R&gt;1&lt;/R&gt;&lt;C&gt;1&lt;/C&gt;&lt;D xsi:type="xsd:double"&gt;25.078434&lt;/D&gt;&lt;/FQL&gt;&lt;FQL&gt;&lt;Q&gt;SMTC^FF_PE_DIL(ANN_R,2019)@FE_VALUATION(PE,MEDIAN,ANNUAL,2019,0,,,'')&lt;/Q&gt;&lt;R&gt;1&lt;/R&gt;&lt;C&gt;1&lt;/C&gt;&lt;D xsi:type="xsd:double"&gt;13.878788&lt;/D&gt;&lt;/FQL&gt;&lt;FQL&gt;&lt;Q&gt;PI^FF_ENTRPR_VAL_FCF(ANN_R,2018)@FE_VALUATION(EV_FCF,MEDIAN,ANNUAL,2018,0,,,'')&lt;/Q&gt;&lt;R&gt;0&lt;/R&gt;&lt;C&gt;0&lt;/C&gt;&lt;/FQL&gt;&lt;FQL&gt;&lt;Q&gt;STM^FF_ENTRPR_VAL_FCF(ANN_R,2020)@FE_VALUATION(EV_FCF,MEDIAN,ANNUAL,2020,0,,,'')&lt;/Q&gt;&lt;R&gt;1&lt;/R&gt;&lt;C&gt;1&lt;/C&gt;&lt;D xsi:type="xsd:double"&gt;16.733416&lt;/D&gt;&lt;/FQL&gt;&lt;FQL&gt;&lt;Q&gt;ACN^FF_PE_DIL(ANN_R,2019)@FE_VALUATION(PE,MEDIAN,ANNUAL,2019,0,,,'')&lt;/Q&gt;&lt;R&gt;1&lt;/R&gt;&lt;C&gt;1&lt;/C&gt;&lt;D xsi:type="xsd:double"&gt;21.099655&lt;/D&gt;&lt;/FQL&gt;&lt;FQL&gt;&lt;Q&gt;ACN^FF_GROSS_INC(ANN_R,0)&lt;/Q&gt;&lt;R&gt;1&lt;/R&gt;&lt;C&gt;1&lt;/C&gt;&lt;D xsi:type="xsd:double"&gt;11149.332&lt;/D&gt;&lt;/FQL&gt;&lt;FQL&gt;&lt;Q&gt;484628^FE_ESTIMATE(SALES,MEDIAN,ANNUAL,2018,0,,,'')&lt;/Q&gt;&lt;R&gt;1&lt;/R&gt;&lt;C&gt;1&lt;/C&gt;&lt;D xsi:type="xsd:double"&gt;24192&lt;/D&gt;&lt;/FQL&gt;&lt;FQL&gt;&lt;Q&gt;IPHI^FF_SALES(ANN_R,2017)&lt;/Q&gt;&lt;R&gt;0&lt;/R&gt;&lt;C&gt;0&lt;/C&gt;&lt;/FQL&gt;&lt;FQL&gt;&lt;Q&gt;SIMO^FF_GROSS_MGN(LTM_R,0)&lt;/Q&gt;&lt;R&gt;1&lt;/R&gt;&lt;C&gt;1&lt;/C&gt;&lt;D xsi:type="xsd:double"&gt;48.528720381353921&lt;/D&gt;&lt;/FQL&gt;&lt;FQL&gt;&lt;Q&gt;CY^FE_ESTIMATE(SALES,MEDIAN,ANNUAL,2021,0,,,'')&lt;/Q&gt;&lt;R&gt;0&lt;/R&gt;&lt;C&gt;0&lt;/C&gt;&lt;/FQL&gt;&lt;FQL&gt;&lt;Q&gt;MTSI^FF_ENTRPR_VAL_FCF(ANN_R,2018)@FE_VALUATION(EV_FCF,MEDIAN,ANNUAL,2018,0,,,'')&lt;/Q&gt;&lt;R&gt;1&lt;/R&gt;&lt;C&gt;1&lt;/C&gt;&lt;D xsi:type="xsd:double"&gt;23.838678&lt;/D&gt;&lt;/FQL&gt;&lt;FQL&gt;&lt;Q&gt;DIOD^FF_STK_PURCH_CF(LTM_R,0)&lt;/Q&gt;&lt;R&gt;1&lt;/R&gt;&lt;C&gt;1&lt;/C&gt;&lt;D xsi:type="xsd:double"&gt;18.014&lt;/D&gt;&lt;/FQL&gt;&lt;FQL&gt;&lt;Q&gt;DSPG^P_PRICE(43136,,,USD)&lt;/Q&gt;&lt;R&gt;1&lt;/R&gt;&lt;C&gt;1&lt;/C&gt;&lt;D xsi:type="xsd:double"&gt;12.25&lt;/D&gt;&lt;/FQL&gt;&lt;FQL&gt;&lt;Q&gt;ISIL^FF_PE_DIL(ANN_R,2019)@FE_VALUATION(PE,MEDIAN,ANNUAL,2019,0,,,'')&lt;/Q&gt;&lt;R&gt;0&lt;/R&gt;&lt;C&gt;0&lt;/C&gt;&lt;/FQL&gt;&lt;FQL&gt;&lt;Q&gt;QTNA^FF_ENTRPR_VAL_SALES(ANN_R,2020)@FE_VALUATION(EV_SALES,MEDIAN,ANNUAL,2020,0,,,'')&lt;/Q&gt;&lt;R&gt;0&lt;/R&gt;&lt;C&gt;0&lt;/C&gt;&lt;/FQL&gt;&lt;FQL&gt;&lt;Q&gt;CSCO^FF_ENTRPR_VAL_SALES(ANN_R,2019)@FE_VALUATION(EV_SALES,MEDIAN,ANNUAL,2019,0,,,'')&lt;/Q&gt;&lt;R&gt;1&lt;/R&gt;&lt;C&gt;1&lt;/C&gt;&lt;D xsi:type="xsd:double"&gt;3.501691&lt;/D&gt;&lt;/FQL&gt;&lt;FQL&gt;&lt;Q&gt;ON^FREF_MARKET_VALUE_COMPANY(43188,,,USD,,0)&lt;/Q&gt;&lt;R&gt;1&lt;/R&gt;&lt;C&gt;1&lt;/C&gt;&lt;D xsi:type="xsd:double"&gt;10406.28670339263&lt;/D&gt;&lt;/FQL&gt;&lt;FQL&gt;&lt;Q&gt;2330-TW^FF_ENTRPR_VAL_FCF(ANN_R,2020)@FE_VALUATION(EV_FCF,MEDIAN,ANNUAL,2020,0,,,'')&lt;/Q&gt;&lt;R&gt;1&lt;/R&gt;&lt;C&gt;1&lt;/C&gt;&lt;D xsi:type="xsd:double"&gt;11.969205&lt;/D&gt;&lt;/FQL&gt;&lt;FQL&gt;&lt;Q&gt;QRVO^FREF_MARKET_VALUE_COMPANY(43136,,,USD,,0)&lt;/Q&gt;&lt;R&gt;1&lt;/R&gt;&lt;C&gt;1&lt;/C&gt;&lt;D xsi:type="xsd:double"&gt;9560.4170007214416&lt;/D&gt;&lt;/FQL&gt;&lt;FQL&gt;&lt;Q&gt;BABA^FF_ENTRPR_VAL_FCF(ANN_R,)@FE_VALUATION(EV_FCF,MEDIAN,ANNUAL,,0,,,'')&lt;/Q&gt;&lt;R&gt;1&lt;/R&gt;&lt;C&gt;1&lt;/C&gt;&lt;D xsi:type="xsd:dou</t>
      </text>
    </comment>
    <comment authorId="0" ref="A59">
      <text>
        <t xml:space="preserve">======
ID#AAAB10qfXv0
Park, Jason S.    (2026-03-18 17:29:03)
2&lt;/D&gt;&lt;D xsi:type="xsd:long"&gt;43903&lt;/D&gt;&lt;D xsi:type="xsd:long"&gt;43906&lt;/D&gt;&lt;D xsi:type="xsd:long"&gt;43907&lt;/D&gt;&lt;D xsi:type="xsd:long"&gt;43908&lt;/D&gt;&lt;D xsi:type="xsd:long"&gt;43909&lt;/D&gt;&lt;D xsi:type="xsd:long"&gt;43910&lt;/D&gt;&lt;D xsi:type="xsd:long"&gt;43913&lt;/D&gt;&lt;D xsi:type="xsd:long"&gt;43914&lt;/D&gt;&lt;D xsi:type="xsd:long"&gt;43915&lt;/D&gt;&lt;D xsi:type="xsd:long"&gt;43916&lt;/D&gt;&lt;D xsi:type="xsd:long"&gt;43917&lt;/D&gt;&lt;D xsi:type="xsd:long"&gt;43920&lt;/D&gt;&lt;D xsi:type="xsd:long"&gt;43921&lt;/D&gt;&lt;D xsi:type="xsd:long"&gt;43922&lt;/D&gt;&lt;D xsi:type="xsd:long"&gt;43923&lt;/D&gt;&lt;D xsi:type="xsd:long"&gt;43924&lt;/D&gt;&lt;D xsi:type="xsd:long"&gt;43927&lt;/D&gt;&lt;D xsi:type="xsd:long"&gt;43928&lt;/D&gt;&lt;D xsi:type="xsd:long"&gt;43929&lt;/D&gt;&lt;D xsi:type="xsd:long"&gt;43930&lt;/D&gt;&lt;D xsi:type="xsd:long"&gt;43934&lt;/D&gt;&lt;D xsi:type="xsd:long"&gt;43935&lt;/D&gt;&lt;D xsi:type="xsd:long"&gt;43936&lt;/D&gt;&lt;D xsi:type="xsd:long"&gt;43937&lt;/D&gt;&lt;D xsi:type="xsd:long"&gt;43938&lt;/D&gt;&lt;D xsi:type="xsd:long"&gt;43941&lt;/D&gt;&lt;D xsi:type="xsd:long"&gt;43942&lt;/D&gt;&lt;D xsi:type="xsd:long"&gt;43943&lt;/D&gt;&lt;D xsi:type="xsd:long"&gt;43944&lt;/D&gt;&lt;D xsi:type="xsd:long"&gt;43945&lt;/D&gt;&lt;D xsi:type="xsd:long"&gt;43948&lt;/D&gt;&lt;D xsi:type="xsd:long"&gt;43949&lt;/D&gt;&lt;D xsi:type="xsd:long"&gt;43950&lt;/D&gt;&lt;D xsi:type="xsd:long"&gt;43951&lt;/D&gt;&lt;D xsi:type="xsd:long"&gt;43952&lt;/D&gt;&lt;D xsi:type="xsd:long"&gt;43955&lt;/D&gt;&lt;D xsi:type="xsd:long"&gt;43956&lt;/D&gt;&lt;D xsi:type="xsd:long"&gt;43957&lt;/D&gt;&lt;D xsi:type="xsd:long"&gt;43958&lt;/D&gt;&lt;D xsi:type="xsd:long"&gt;43959&lt;/D&gt;&lt;D xsi:type="xsd:long"&gt;43962&lt;/D&gt;&lt;D xsi:type="xsd:long"&gt;43963&lt;/D&gt;&lt;D xsi:type="xsd:long"&gt;43964&lt;/D&gt;&lt;D xsi:type="xsd:long"&gt;43965&lt;/D&gt;&lt;D xsi:type="xsd:long"&gt;43966&lt;/D&gt;&lt;D xsi:type="xsd:long"&gt;43969&lt;/D&gt;&lt;D xsi:type="xsd:long"&gt;43970&lt;/D&gt;&lt;D xsi:type="xsd:long"&gt;43971&lt;/D&gt;&lt;D xsi:type="xsd:long"&gt;43972&lt;/D&gt;&lt;D xsi:type="xsd:long"&gt;43973&lt;/D&gt;&lt;D xsi:type="xsd:long"&gt;43977&lt;/D&gt;&lt;D xsi:type="xsd:long"&gt;43978&lt;/D&gt;&lt;D xsi:type="xsd:long"&gt;43979&lt;/D&gt;&lt;D xsi:type="xsd:long"&gt;43980&lt;/D&gt;&lt;D xsi:type="xsd:long"&gt;43983&lt;/D&gt;&lt;D xsi:type="xsd:long"&gt;43984&lt;/D&gt;&lt;D xsi:type="xsd:long"&gt;43985&lt;/D&gt;&lt;D xsi:type="xsd:long"&gt;43986&lt;/D&gt;&lt;D xsi:type="xsd:long"&gt;43987&lt;/D&gt;&lt;D xsi:type="xsd:long"&gt;43990&lt;/D&gt;&lt;D xsi:type="xsd:long"&gt;43991&lt;/D&gt;&lt;D xsi:type="xsd:long"&gt;43992&lt;/D&gt;&lt;D xsi:type="xsd:long"&gt;43993&lt;/D&gt;&lt;D xsi:type="xsd:long"&gt;43994&lt;/D&gt;&lt;D xsi:type="xsd:long"&gt;43997&lt;/D&gt;&lt;D xsi:type="xsd:long"&gt;43998&lt;/D&gt;&lt;D xsi:type="xsd:long"&gt;43999&lt;/D&gt;&lt;D xsi:type="xsd:long"&gt;44000&lt;/D&gt;&lt;D xsi:type="xsd:long"&gt;44001&lt;/D&gt;&lt;D xsi:type="xsd:long"&gt;44004&lt;/D&gt;&lt;D xsi:type="xsd:long"&gt;44005&lt;/D&gt;&lt;D xsi:type="xsd:long"&gt;44006&lt;/D&gt;&lt;D xsi:type="xsd:long"&gt;44007&lt;/D&gt;&lt;D xsi:type="xsd:long"&gt;44008&lt;/D&gt;&lt;D xsi:type="xsd:long"&gt;44011&lt;/D&gt;&lt;D xsi:type="xsd:long"&gt;44012&lt;/D&gt;&lt;D xsi:type="xsd:long"&gt;44013&lt;/D&gt;&lt;D xsi:type="xsd:long"&gt;44014&lt;/D&gt;&lt;D xsi:type="xsd:long"&gt;44018&lt;/D&gt;&lt;D xsi:type="xsd:long"&gt;44019&lt;/D&gt;&lt;D xsi:type="xsd:long"&gt;44020&lt;/D&gt;&lt;D xsi:type="xsd:long"&gt;44021&lt;/D&gt;&lt;D xsi:type="xsd:long"&gt;44022&lt;/D&gt;&lt;D xsi:type="xsd:long"&gt;44025&lt;/D&gt;&lt;D xsi:type="xsd:long"&gt;44026&lt;/D&gt;&lt;D xsi:type="xsd:long"&gt;44027&lt;/D&gt;&lt;D xsi:type="xsd:long"&gt;44028&lt;/D&gt;&lt;D xsi:type="xsd:long"&gt;44029&lt;/D&gt;&lt;D xsi:type="xsd:long"&gt;44032&lt;/D&gt;&lt;D xsi:type="xsd:long"&gt;44033&lt;/D&gt;&lt;D xsi:type="xsd:long"&gt;44034&lt;/D&gt;&lt;D xsi:type="xsd:long"&gt;44035&lt;/D&gt;&lt;D xsi:type="xsd:long"&gt;44036&lt;/D&gt;&lt;D xsi:type="xsd:long"&gt;44039&lt;/D&gt;&lt;D xsi:type="xsd:long"&gt;44040&lt;/D&gt;&lt;D xsi:type="xsd:long"&gt;44041&lt;/D&gt;&lt;D xsi:type="xsd:long"&gt;44042&lt;/D&gt;&lt;D xsi:type="xsd:long"&gt;44043&lt;/D&gt;&lt;D xsi:type="xsd:long"&gt;44046&lt;/D&gt;&lt;D xsi:type="xsd:long"&gt;44047&lt;/D&gt;&lt;D xsi:type="xsd:long"&gt;44048&lt;/D&gt;&lt;D xsi:type="xsd:long"&gt;44049&lt;/D&gt;&lt;D xsi:type="xsd:long"&gt;44050&lt;/D&gt;&lt;D xsi:type="xsd:long"&gt;44053&lt;/D&gt;&lt;D xsi:type="xsd:long"&gt;44054&lt;/D&gt;&lt;D xsi:type="xsd:long"&gt;44055&lt;/D&gt;&lt;D xsi:type="xsd:long"&gt;44056&lt;/D&gt;&lt;D xsi:type="xsd:long"&gt;44057&lt;/D&gt;&lt;D xsi:type="xsd:long"&gt;44060&lt;/D&gt;&lt;D xsi:type="xsd:long"&gt;44061&lt;/D&gt;&lt;D xsi:type="xsd:long"&gt;44062&lt;/D&gt;&lt;D xsi:type="xsd:long"&gt;44063&lt;/D&gt;&lt;D xsi:type="xsd:long"&gt;44064&lt;/D&gt;&lt;D xsi:type="xsd:long"&gt;44067&lt;/D&gt;&lt;D xsi:type="xsd:long"&gt;44068&lt;/D&gt;&lt;D xsi:type="xsd:long"&gt;44069&lt;/D&gt;&lt;D xsi:type="xsd:long"&gt;44070&lt;/D&gt;&lt;D xsi:type="xsd:long"&gt;44071&lt;/D&gt;&lt;D xsi:type="xsd:long"&gt;44074&lt;/D&gt;&lt;D xsi:type="xsd:long"&gt;44075&lt;/D&gt;&lt;D xsi:type="xsd:long"&gt;44076&lt;/D&gt;&lt;D xsi:type="xsd:long"&gt;44077&lt;/D&gt;&lt;D xsi:type="xsd:long"&gt;44078&lt;/D&gt;&lt;D xsi:type="xsd:long"&gt;44082&lt;/D&gt;&lt;D xsi:type="xsd:long"&gt;44083&lt;/D&gt;&lt;D xsi:type="xsd:long"&gt;44084&lt;/D&gt;&lt;D xsi:type="xsd:long"&gt;44085&lt;/D&gt;&lt;D xsi:type="xsd:long"&gt;4408</t>
      </text>
    </comment>
    <comment authorId="0" ref="A11">
      <text>
        <t xml:space="preserve">======
ID#AAAB10qfXvw
Park, Jason S.    (2026-03-18 17:29:03)
PSALES,MEDIAN,ANNUAL,,0,,,'')&lt;/Q&gt;&lt;R&gt;1&lt;/R&gt;&lt;C&gt;1&lt;/C&gt;&lt;D xsi:type="xsd:string"&gt;#NUM&lt;/D&gt;&lt;/FQL&gt;&lt;FQL&gt;&lt;Q&gt;BABA^FF_PSALES(ANN_R,2018)@FE_VALUATION(PSALES,MEDIAN,ANNUAL,,0,,,'')&lt;/Q&gt;&lt;R&gt;1&lt;/R&gt;&lt;C&gt;1&lt;/C&gt;&lt;D xsi:type="xsd:string"&gt;#NUM&lt;/D&gt;&lt;/FQL&gt;&lt;FQL&gt;&lt;Q&gt;BABA^FF_PSALES(ANN_R,2019)@FE_VALUATION(PSALES,MEDIAN,ANNUAL,,0,,,'')&lt;/Q&gt;&lt;R&gt;1&lt;/R&gt;&lt;C&gt;1&lt;/C&gt;&lt;D xsi:type="xsd:string"&gt;#NUM&lt;/D&gt;&lt;/FQL&gt;&lt;FQL&gt;&lt;Q&gt;FB^FF_PSALES(ANN_R,2017)@FE_VALUATION(PSALES,MEDIAN,ANNUAL,,0,,,'')&lt;/Q&gt;&lt;R&gt;1&lt;/R&gt;&lt;C&gt;1&lt;/C&gt;&lt;D xsi:type="xsd:double"&gt;12.83092980985413&lt;/D&gt;&lt;/FQL&gt;&lt;FQL&gt;&lt;Q&gt;FB^FF_PSALES(ANN_R,2018)@FE_VALUATION(PSALES,MEDIAN,ANNUAL,,0,,,'')&lt;/Q&gt;&lt;R&gt;1&lt;/R&gt;&lt;C&gt;1&lt;/C&gt;&lt;D xsi:type="xsd:string"&gt;#NUM&lt;/D&gt;&lt;/FQL&gt;&lt;FQL&gt;&lt;Q&gt;FB^FF_PSALES(ANN_R,2019)@FE_VALUATION(PSALES,MEDIAN,ANNUAL,,0,,,'')&lt;/Q&gt;&lt;R&gt;1&lt;/R&gt;&lt;C&gt;1&lt;/C&gt;&lt;D xsi:type="xsd:string"&gt;#NUM&lt;/D&gt;&lt;/FQL&gt;&lt;FQL&gt;&lt;Q&gt;MSFT^FF_PSALES(ANN_R,2017)@FE_VALUATION(PSALES,MEDIAN,ANNUAL,,0,,,'')&lt;/Q&gt;&lt;R&gt;1&lt;/R&gt;&lt;C&gt;1&lt;/C&gt;&lt;D xsi:type="xsd:double"&gt;6.0390375300632044&lt;/D&gt;&lt;/FQL&gt;&lt;FQL&gt;&lt;Q&gt;MSFT^FF_PSALES(ANN_R,2018)@FE_VALUATION(PSALES,MEDIAN,ANNUAL,,0,,,'')&lt;/Q&gt;&lt;R&gt;1&lt;/R&gt;&lt;C&gt;1&lt;/C&gt;&lt;D xsi:type="xsd:string"&gt;#NUM&lt;/D&gt;&lt;/FQL&gt;&lt;FQL&gt;&lt;Q&gt;MSFT^FF_PSALES(ANN_R,2019)@FE_VALUATION(PSALES,MEDIAN,ANNUAL,,0,,,'')&lt;/Q&gt;&lt;R&gt;1&lt;/R&gt;&lt;C&gt;1&lt;/C&gt;&lt;D xsi:type="xsd:string"&gt;#NUM&lt;/D&gt;&lt;/FQL&gt;&lt;FQL&gt;&lt;Q&gt;AVGO^FF_PSALES(ANN_R,2017)@FE_VALUATION(PSALES,MEDIAN,ANNUAL,,0,,,'')&lt;/Q&gt;&lt;R&gt;1&lt;/R&gt;&lt;C&gt;1&lt;/C&gt;&lt;D xsi:type="xsd:double"&gt;6.059290272829144&lt;/D&gt;&lt;/FQL&gt;&lt;FQL&gt;&lt;Q&gt;AVGO^FF_PSALES(ANN_R,2018)@FE_VALUATION(PSALES,MEDIAN,ANNUAL,,0,,,'')&lt;/Q&gt;&lt;R&gt;1&lt;/R&gt;&lt;C&gt;1&lt;/C&gt;&lt;D xsi:type="xsd:string"&gt;#NUM&lt;/D&gt;&lt;/FQL&gt;&lt;FQL&gt;&lt;Q&gt;AVGO^FF_PSALES(ANN_R,2019)@FE_VALUATION(PSALES,MEDIAN,ANNUAL,,0,,,'')&lt;/Q&gt;&lt;R&gt;1&lt;/R&gt;&lt;C&gt;1&lt;/C&gt;&lt;D xsi:type="xsd:string"&gt;#NUM&lt;/D&gt;&lt;/FQL&gt;&lt;FQL&gt;&lt;Q&gt;PYPL^FF_PSALES(ANN_R,2017)@FE_VALUATION(PSALES,MEDIAN,ANNUAL,,0,,,'')&lt;/Q&gt;&lt;R&gt;1&lt;/R&gt;&lt;C&gt;1&lt;/C&gt;&lt;D xsi:type="xsd:double"&gt;6.8739022711631117&lt;/D&gt;&lt;/FQL&gt;&lt;FQL&gt;&lt;Q&gt;PYPL^FF_PSALES(ANN_R,2018)@FE_VALUATION(PSALES,MEDIAN,ANNUAL,,0,,,'')&lt;/Q&gt;&lt;R&gt;1&lt;/R&gt;&lt;C&gt;1&lt;/C&gt;&lt;D xsi:type="xsd:string"&gt;#NUM&lt;/D&gt;&lt;/FQL&gt;&lt;FQL&gt;&lt;Q&gt;PYPL^FF_PSALES(ANN_R,2019)@FE_VALUATION(PSALES,MEDIAN,ANNUAL,,0,,,'')&lt;/Q&gt;&lt;R&gt;1&lt;/R&gt;&lt;C&gt;1&lt;/C&gt;&lt;D xsi:type="xsd:string"&gt;#NUM&lt;/D&gt;&lt;/FQL&gt;&lt;FQL&gt;&lt;Q&gt;MA^FF_PSALES(ANN_R,2017)@FE_VALUATION(PSALES,MEDIAN,ANNUAL,,0,,,'')&lt;/Q&gt;&lt;R&gt;1&lt;/R&gt;&lt;C&gt;1&lt;/C&gt;&lt;D xsi:type="xsd:double"&gt;12.983749699927991&lt;/D&gt;&lt;/FQL&gt;&lt;FQL&gt;&lt;Q&gt;MA^FF_PSALES(ANN_R,2018)@FE_VALUATION(PSALES,MEDIAN,ANNUAL,,0,,,'')&lt;/Q&gt;&lt;R&gt;1&lt;/R&gt;&lt;C&gt;1&lt;/C&gt;&lt;D xsi:type="xsd:string"&gt;#NUM&lt;/D&gt;&lt;/FQL&gt;&lt;FQL&gt;&lt;Q&gt;MA^FF_PSALES(ANN_R,2019)@FE_VALUATION(PSALES,MEDIAN,ANNUAL,,0,,,'')&lt;/Q&gt;&lt;R&gt;1&lt;/R&gt;&lt;C&gt;1&lt;/C&gt;&lt;D xsi:type="xsd:string"&gt;#NUM&lt;/D&gt;&lt;/FQL&gt;&lt;FQL&gt;&lt;Q&gt;AAPL^FF_PSALES(ANN_R,2017)@FE_VALUATION(PSALES,MEDIAN,ANNUAL,,0,,,'')&lt;/Q&gt;&lt;R&gt;1&lt;/R&gt;&lt;C&gt;1&lt;/C&gt;&lt;D xsi:type="xsd:double"&gt;3.5410757706105742&lt;/D&gt;&lt;/FQL&gt;&lt;FQL&gt;&lt;Q&gt;AAPL^FF_PSALES(ANN_R,2018)@FE_VALUATION(PSALES,MEDIAN,ANNUAL,,0,,,'')&lt;/Q&gt;&lt;R&gt;1&lt;/R&gt;&lt;C&gt;1&lt;/C&gt;&lt;D xsi:type="xsd:string"&gt;#NUM&lt;/D&gt;&lt;/FQL&gt;&lt;FQL&gt;&lt;Q&gt;AAPL^FF_PSALES(ANN_R,2019)@FE_VALUATION(PSALES,MEDIAN,ANNUAL,,0,,,'')&lt;/Q&gt;&lt;R&gt;1&lt;/R&gt;&lt;C&gt;1&lt;/C&gt;&lt;D xsi:type="xsd:string"&gt;#NUM&lt;/D&gt;&lt;/FQL&gt;&lt;FQL&gt;&lt;Q&gt;NVDA^FF_PSALES(ANN_R,2017)@FE_VALUATION(PSALES,MEDIAN,ANNUAL,,0,,,'')&lt;/Q&gt;&lt;R&gt;1&lt;/R&gt;&lt;C&gt;1&lt;/C&gt;&lt;D xsi:type="xsd:double"&gt;15.83122915379864&lt;/D&gt;&lt;/FQL&gt;&lt;FQL&gt;&lt;Q&gt;NVDA^FF_PSALES(ANN_R,2018)@FE_VALUATION(PSALES,MEDIAN,ANNUAL,,0,,,'')&lt;/Q&gt;&lt;R&gt;1&lt;/R&gt;&lt;C&gt;1&lt;/C&gt;&lt;D xsi:type="xsd:string"&gt;#NUM&lt;/D&gt;&lt;/FQL&gt;&lt;FQL&gt;&lt;Q&gt;NVDA^FF_PSALES(ANN_R,2019)@FE_VALUATION(PSALES,MEDIAN,ANNUAL,,0,,,'')&lt;/Q&gt;&lt;R&gt;1&lt;/R&gt;&lt;C&gt;1&lt;/C&gt;&lt;D xsi:type="xsd:string"&gt;#NUM&lt;/D&gt;&lt;/FQL&gt;&lt;FQL&gt;&lt;Q&gt;688910^FF_PSALES(ANN_R,2017)@FE_VALUATION(PSALES,MEDIAN,ANNUAL,,0,,,'')&lt;/Q&gt;&lt;R&gt;1&lt;/R&gt;&lt;C&gt;1&lt;/C&gt;&lt;D xsi:type="xsd:double"&gt;6.0883592286896313&lt;/D&gt;&lt;/FQL&gt;&lt;FQL&gt;&lt;Q&gt;688910^FF_PSALES(ANN_R,2018)@FE_VALUATION(PSALES,MEDIAN,ANNUAL,,0,,,'')&lt;/Q&gt;&lt;R&gt;1&lt;/R&gt;&lt;C&gt;1&lt;/C&gt;&lt;D xsi:type="xsd:string"&gt;#NUM&lt;/D&gt;&lt;/FQL&gt;&lt;FQL&gt;&lt;Q&gt;688910^FF_PSALES(ANN_R,2019)@FE_VALUATION(PSALES,MEDIAN,ANNUAL,,0,,,'')&lt;/Q&gt;&lt;R&gt;1&lt;/R&gt;&lt;C&gt;1&lt;/C&gt;&lt;D xsi:type="xsd:string"&gt;#NUM&lt;/D&gt;&lt;/FQL&gt;&lt;FQL&gt;&lt;Q&gt;V^FF_PSALES(ANN_R,2017)@FE_VALUATION(PSALES,MEDIAN,ANNUAL,,0,,,'')&lt;/Q&gt;&lt;R&gt;1&lt;/R&gt;&lt;C&gt;1&lt;/C&gt;&lt;D xsi:type="xsd:double"&gt;13.72969822420743&lt;/D&gt;&lt;/FQL&gt;&lt;FQL&gt;&lt;Q&gt;V^FF_PSALES(ANN_R,2018)@FE_VALUATION(PSALES,MEDIAN,ANNUAL,,0,,,'')&lt;/Q&gt;&lt;R&gt;1&lt;/R&gt;&lt;C&gt;1&lt;/C&gt;&lt;D xsi:type="xsd:string"&gt;#NUM&lt;/D&gt;&lt;/FQL&gt;&lt;FQL&gt;&lt;Q&gt;V^FF_PSALES(ANN_R,2019)@FE_VALUATION(PSALES,MEDIAN,ANNUAL,,0,,,'')&lt;/Q&gt;&lt;R&gt;1&lt;/R&gt;&lt;C&gt;1</t>
      </text>
    </comment>
    <comment authorId="0" ref="A13">
      <text>
        <t xml:space="preserve">======
ID#AAAB10qfXvs
Park, Jason S.    (2026-03-18 17:29:03)
3076.09&lt;/D&gt;&lt;D xsi:type="xsd:double"&gt;44015&lt;/D&gt;&lt;D xsi:type="xsd:double"&gt;43766.5&lt;/D&gt;&lt;D xsi:type="xsd:double"&gt;43831.75&lt;/D&gt;&lt;/FQL&gt;&lt;FQL&gt;&lt;Q&gt;INTC^FE_TIMESERIES_GUIDANCE(NET_SALES,LOW,-1,0,Y,'CURRENCY=USD')&lt;/Q&gt;&lt;R&gt;2&lt;/R&gt;&lt;C&gt;1&lt;/C&gt;&lt;D xsi:type="xsd:double"&gt;75300&lt;/D&gt;&lt;D xsi:type="xsd:double"&gt;73500&lt;/D&gt;&lt;/FQL&gt;&lt;FQL&gt;&lt;Q&gt;INTC^FE_TIMESERIES_SHARP(EPS,MEAN,+2,+3,Y,'CURRENCY=USD')&lt;/Q&gt;&lt;R&gt;2&lt;/R&gt;&lt;C&gt;1&lt;/C&gt;&lt;D xsi:type="xsd:string"&gt;@NA&lt;/D&gt;&lt;D xsi:type="xsd:string"&gt;@NA&lt;/D&gt;&lt;/FQL&gt;&lt;FQL&gt;&lt;Q&gt;INTC^FE_TIMESERIES_GUIDANCE(INT_EXP,MIDPOINT,-1,0,Y,'CURRENCY=USD')&lt;/Q&gt;&lt;R&gt;2&lt;/R&gt;&lt;C&gt;1&lt;/C&gt;&lt;D xsi:type="xsd:string"&gt;@NA&lt;/D&gt;&lt;D xsi:type="xsd:string"&gt;@NA&lt;/D&gt;&lt;/FQL&gt;&lt;FQL&gt;&lt;Q&gt;INTC^FE_TIMESERIES(EBIT_REP,MEAN,+1,,Y,'CURRENCY=USD')&lt;/Q&gt;&lt;R&gt;1&lt;/R&gt;&lt;C&gt;1&lt;/C&gt;&lt;D xsi:type="xsd:double"&gt;3987.4182&lt;/D&gt;&lt;/FQL&gt;&lt;FQL&gt;&lt;Q&gt;INTC^FE_TIMESERIES_GUIDANCE(INT_EXP,MIDPOINT,+1,,Y,'CURRENCY=USD')&lt;/Q&gt;&lt;R&gt;0&lt;/R&gt;&lt;C&gt;0&lt;/C&gt;&lt;/FQL&gt;&lt;FQL&gt;&lt;Q&gt;INTC^FE_TIMESERIES_GUIDANCE(GROSS_INC,LOW,+1,,Y,'CURRENCY=USD')&lt;/Q&gt;&lt;R&gt;1&lt;/R&gt;&lt;C&gt;1&lt;/C&gt;&lt;D xsi:type="xsd:double"&gt;29925&lt;/D&gt;&lt;/FQL&gt;&lt;FQL&gt;&lt;Q&gt;INTC^FE_TIMESERIES_GUIDANCE(INT_EXP,MIDPOINT,+1,+4,Q,'CURRENCY=USD')&lt;/Q&gt;&lt;R&gt;4&lt;/R&gt;&lt;C&gt;1&lt;/C&gt;&lt;D xsi:type="xsd:string"&gt;@NA&lt;/D&gt;&lt;D xsi:type="xsd:string"&gt;@NA&lt;/D&gt;&lt;D xsi:type="xsd:string"&gt;@NA&lt;/D&gt;&lt;D xsi:type="xsd:string"&gt;@NA&lt;/D&gt;&lt;/FQL&gt;&lt;FQL&gt;&lt;Q&gt;INTC^FE_TIMESERIES(EPS,MEAN,+1,+4,Q,'CURRENCY=USD')&lt;/Q&gt;&lt;R&gt;4&lt;/R&gt;&lt;C&gt;1&lt;/C&gt;&lt;D xsi:type="xsd:double"&gt;0.20602226&lt;/D&gt;&lt;D xsi:type="xsd:double"&gt;0.25390482&lt;/D&gt;&lt;D xsi:type="xsd:double"&gt;0.34842157&lt;/D&gt;&lt;D xsi:type="xsd:double"&gt;0.48568636&lt;/D&gt;&lt;/FQL&gt;&lt;FQL&gt;&lt;Q&gt;INTC^FE_SEGMENT_DATA(EBIT,MEAN,BUS,-1,0,Y,'CURRENCY=USD')&lt;/Q&gt;&lt;R&gt;7&lt;/R&gt;&lt;C&gt;2&lt;/C&gt;&lt;D xsi:type="xsd:double"&gt;15129&lt;/D&gt;&lt;D xsi:type="xsd:double"&gt;14672&lt;/D&gt;&lt;D xsi:type="xsd:double"&gt;10571&lt;/D&gt;&lt;D xsi:type="xsd:double"&gt;6997&lt;/D&gt;&lt;D xsi:type="xsd:double"&gt;497&lt;/D&gt;&lt;D xsi:type="xsd:double"&gt;1045&lt;/D&gt;&lt;D xsi:type="xsd:double"&gt;241&lt;/D&gt;&lt;D xsi:type="xsd:double"&gt;460&lt;/D&gt;&lt;D xsi:type="xsd:double"&gt;361&lt;/D&gt;&lt;D xsi:type="xsd:double"&gt;1369&lt;/D&gt;&lt;D xsi:type="xsd:double"&gt;-3381&lt;/D&gt;&lt;D xsi:type="xsd:double"&gt;-5384&lt;/D&gt;&lt;D xsi:type="xsd:double"&gt;260&lt;/D&gt;&lt;D xsi:type="xsd:double"&gt;297&lt;/D&gt;&lt;/FQL&gt;&lt;FQL&gt;&lt;Q&gt;INTC^FE_TIMESERIES(INVEN,MEAN,-1,0,Y,'CURRENCY=USD')&lt;/Q&gt;&lt;R&gt;2&lt;/R&gt;&lt;C&gt;1&lt;/C&gt;&lt;D xsi:type="xsd:double"&gt;8427&lt;/D&gt;&lt;D xsi:type="xsd:double"&gt;10776&lt;/D&gt;&lt;/FQL&gt;&lt;FQL&gt;&lt;Q&gt;INTC^FE_TIMESERIES(EBG,MEAN,+5,+8,Q,'CURRENCY=USD')&lt;/Q&gt;&lt;R&gt;4&lt;/R&gt;&lt;C&gt;1&lt;/C&gt;&lt;D xsi:type="xsd:double"&gt;0.74&lt;/D&gt;&lt;D xsi:type="xsd:double"&gt;0.7&lt;/D&gt;&lt;D xsi:type="xsd:double"&gt;0.725&lt;/D&gt;&lt;D xsi:type="xsd:double"&gt;0.855&lt;/D&gt;&lt;/FQL&gt;&lt;FQL&gt;&lt;Q&gt;INTC^FE_TIMESERIES(EPS_GAAP,MEAN,+5,+8,Q,'CURRENCY=USD')&lt;/Q&gt;&lt;R&gt;4&lt;/R&gt;&lt;C&gt;1&lt;/C&gt;&lt;D xsi:type="xsd:double"&gt;0.40985212&lt;/D&gt;&lt;D xsi:type="xsd:double"&gt;0.3259239&lt;/D&gt;&lt;D xsi:type="xsd:double"&gt;0.37280044&lt;/D&gt;&lt;D xsi:type="xsd:double"&gt;0.48102924&lt;/D&gt;&lt;/FQL&gt;&lt;FQL&gt;&lt;Q&gt;INTC^FE_TIMESERIES_VALUATION(PFCF,MEAN,+5,+8,Q,'')&lt;/Q&gt;&lt;R&gt;4&lt;/R&gt;&lt;C&gt;1&lt;/C&gt;&lt;D xsi:type="xsd:double"&gt;330&lt;/D&gt;&lt;D xsi:type="xsd:string"&gt;@NA&lt;/D&gt;&lt;D xsi:type="xsd:string"&gt;@NA&lt;/D&gt;&lt;D xsi:type="xsd:string"&gt;@NA&lt;/D&gt;&lt;/FQL&gt;&lt;FQL&gt;&lt;Q&gt;INTC^FE_TIMESERIES_GUIDANCE(GROSS_INC,LOW,+1,+4,Q,'CURRENCY=USD')&lt;/Q&gt;&lt;R&gt;4&lt;/R&gt;&lt;C&gt;1&lt;/C&gt;&lt;D xsi:type="xsd:double"&gt;6300&lt;/D&gt;&lt;D xsi:type="xsd:string"&gt;@NA&lt;/D&gt;&lt;D xsi:type="xsd:string"&gt;@NA&lt;/D&gt;&lt;D xsi:type="xsd:string"&gt;@NA&lt;/D&gt;&lt;/FQL&gt;&lt;FQL&gt;&lt;Q&gt;INTC^FE_TIMESERIES(PAY_ACCT,MEAN,+5,+8,Q,'CURRENCY=USD')&lt;/Q&gt;&lt;R&gt;4&lt;/R&gt;&lt;C&gt;1&lt;/C&gt;&lt;D xsi:type="xsd:double"&gt;6542.8887&lt;/D&gt;&lt;D xsi:type="xsd:double"&gt;5935.25&lt;/D&gt;&lt;D xsi:type="xsd:double"&gt;5969.75&lt;/D&gt;&lt;D xsi:type="xsd:double"&gt;6163.5&lt;/D&gt;&lt;/FQL&gt;&lt;FQL&gt;&lt;Q&gt;INTC^FE_TIMESERIES_VALUATION(DIV_YLD,MEAN,+1,+4,Q,'')&lt;/Q&gt;&lt;R&gt;4&lt;/R&gt;&lt;C&gt;1&lt;/C&gt;&lt;D xsi:type="xsd:double"&gt;1.381295&lt;/D&gt;&lt;D xsi:type="xsd:double"&gt;1.2481961&lt;/D&gt;&lt;D xsi:type="xsd:double"&gt;1.2481961&lt;/D&gt;&lt;D xsi:type="xsd:double"&gt;1.2481961&lt;/D&gt;&lt;/FQL&gt;&lt;FQL&gt;&lt;Q&gt;INTC^FE_TIMESERIES_VALUATION(EV_FCF,MEAN,+2,+3,Y,'')&lt;/Q&gt;&lt;R&gt;2&lt;/R&gt;&lt;C&gt;1&lt;/C&gt;&lt;D xsi:type="xsd:string"&gt;@NA&lt;/D&gt;&lt;D xsi:type="xsd:double"&gt;111.261505&lt;/D&gt;&lt;/FQL&gt;&lt;FQL&gt;&lt;Q&gt;INTC^FE_TIMESERIES(DEBT,MEAN,-1,0,Y,'CURRENCY=USD')&lt;/Q&gt;&lt;R&gt;2&lt;/R&gt;&lt;C&gt;1&lt;/C&gt;&lt;D xsi:type="xsd:double"&gt;35149&lt;/D&gt;&lt;D xsi:type="xsd:double"&gt;36570.668&lt;/D&gt;&lt;/FQL&gt;&lt;FQL&gt;&lt;Q&gt;INTC^FE_TIMESERIES_VALUATION(ROA,MEAN,-1,0,Y,'')&lt;/Q&gt;&lt;R&gt;2&lt;/R&gt;&lt;C&gt;1&lt;/C&gt;&lt;D xsi:type="xsd:double"&gt;14.65207&lt;/D&gt;&lt;D xsi:type="xsd:double"&gt;13.275062&lt;/D&gt;&lt;/FQL&gt;&lt;FQL&gt;&lt;Q&gt;INTC^FE_TIMESERIES_VALUATION(PFCF,MEAN,+1,,Y,'')&lt;/Q&gt;&lt;R&gt;0&lt;/R&gt;&lt;C&gt;0&lt;/C&gt;&lt;/FQL&gt;&lt;FQL&gt;&lt;Q&gt;INTC^FE_TIMESERI</t>
      </text>
    </comment>
    <comment authorId="0" ref="A14">
      <text>
        <t xml:space="preserve">======
ID#AAAB10qfXvo
Park, Jason S.    (2026-03-18 17:29:03)
uble"&gt;1.9295509&lt;/D&gt;&lt;/FQL&gt;&lt;FQL&gt;&lt;Q&gt;INTC^FE_TIMESERIES(BFNG,MEAN,+1,+4,Q,'CURRENCY=USD')&lt;/Q&gt;&lt;R&gt;4&lt;/R&gt;&lt;C&gt;1&lt;/C&gt;&lt;D xsi:type="xsd:double"&gt;-277.53333&lt;/D&gt;&lt;D xsi:type="xsd:double"&gt;150.84087&lt;/D&gt;&lt;D xsi:type="xsd:double"&gt;603.17944&lt;/D&gt;&lt;D xsi:type="xsd:double"&gt;1204.7155&lt;/D&gt;&lt;/FQL&gt;&lt;FQL&gt;&lt;Q&gt;INTC^FE_TIMESERIES(RECEIV_NET,MEAN,+1,,Y,'CURRENCY=USD')&lt;/Q&gt;&lt;R&gt;1&lt;/R&gt;&lt;C&gt;1&lt;/C&gt;&lt;D xsi:type="xsd:double"&gt;6520.273&lt;/D&gt;&lt;/FQL&gt;&lt;FQL&gt;&lt;Q&gt;INTC^FE_TIMESERIES(EBITDA,MEAN,+1,+4,Q,'')&lt;/Q&gt;&lt;R&gt;4&lt;/R&gt;&lt;C&gt;1&lt;/C&gt;&lt;D xsi:type="xsd:double"&gt;3832.3516&lt;/D&gt;&lt;D xsi:type="xsd:double"&gt;4013.8904&lt;/D&gt;&lt;D xsi:type="xsd:double"&gt;4677.785&lt;/D&gt;&lt;D xsi:type="xsd:double"&gt;5403.189&lt;/D&gt;&lt;/FQL&gt;&lt;FQL&gt;&lt;Q&gt;INTC^FE_TIMESERIES(SHS_REPURCH,MEAN,+1,+4,Q,'CURRENCY=USD')&lt;/Q&gt;&lt;R&gt;4&lt;/R&gt;&lt;C&gt;1&lt;/C&gt;&lt;D xsi:type="xsd:double"&gt;0&lt;/D&gt;&lt;D xsi:type="xsd:double"&gt;0&lt;/D&gt;&lt;D xsi:type="xsd:double"&gt;0&lt;/D&gt;&lt;D xsi:type="xsd:double"&gt;0&lt;/D&gt;&lt;/FQL&gt;&lt;FQL&gt;&lt;Q&gt;INTC^FE_TIMESERIES(EPS_NONGAAP,MEAN,+1,+4,Q,'CURRENCY=USD')&lt;/Q&gt;&lt;R&gt;4&lt;/R&gt;&lt;C&gt;1&lt;/C&gt;&lt;D xsi:type="xsd:double"&gt;0.20602226&lt;/D&gt;&lt;D xsi:type="xsd:double"&gt;0.25390482&lt;/D&gt;&lt;D xsi:type="xsd:double"&gt;0.34842157&lt;/D&gt;&lt;D xsi:type="xsd:double"&gt;0.48568636&lt;/D&gt;&lt;/FQL&gt;&lt;FQL&gt;&lt;Q&gt;INTC^FE_TIMESERIES_VALUATION(PBPS,MEAN,+5,+8,Q,'')&lt;/Q&gt;&lt;R&gt;4&lt;/R&gt;&lt;C&gt;1&lt;/C&gt;&lt;D xsi:type="xsd:double"&gt;1.2384287&lt;/D&gt;&lt;D xsi:type="xsd:double"&gt;1.2454876&lt;/D&gt;&lt;D xsi:type="xsd:double"&gt;1.2429963&lt;/D&gt;&lt;D xsi:type="xsd:double"&gt;1.2357907&lt;/D&gt;&lt;/FQL&gt;&lt;FQL&gt;&lt;Q&gt;INTC^FE_TIMESERIES_VALUATION(P_SALESPS,MEAN,+5,+8,Q,'')&lt;/Q&gt;&lt;R&gt;4&lt;/R&gt;&lt;C&gt;1&lt;/C&gt;&lt;D xsi:type="xsd:double"&gt;7.598497&lt;/D&gt;&lt;D xsi:type="xsd:double"&gt;8.071334&lt;/D&gt;&lt;D xsi:type="xsd:double"&gt;7.8565516&lt;/D&gt;&lt;D xsi:type="xsd:double"&gt;7.5457034&lt;/D&gt;&lt;/FQL&gt;&lt;FQL&gt;&lt;Q&gt;INTC^FE_TIMESERIES_GUIDANCE(DEP_AMORT_EXP,MIDPOINT,-1,0,Y,'CURRENCY=USD')&lt;/Q&gt;&lt;R&gt;2&lt;/R&gt;&lt;C&gt;1&lt;/C&gt;&lt;D xsi:type="xsd:string"&gt;@NA&lt;/D&gt;&lt;D xsi:type="xsd:string"&gt;@NA&lt;/D&gt;&lt;/FQL&gt;&lt;FQL&gt;&lt;Q&gt;INTC^FE_TIMESERIES_SHARP(SALES,MEAN,+2,+3,Y,'CURRENCY=USD')&lt;/Q&gt;&lt;R&gt;2&lt;/R&gt;&lt;C&gt;1&lt;/C&gt;&lt;D xsi:type="xsd:string"&gt;@NA&lt;/D&gt;&lt;D xsi:type="xsd:string"&gt;@NA&lt;/D&gt;&lt;/FQL&gt;&lt;FQL&gt;&lt;Q&gt;INTC^FE_TIMESERIES_GUIDANCE(OPEREXPEN,MIDPOINT,+5,+8,Q,'CURRENCY=USD')&lt;/Q&gt;&lt;R&gt;4&lt;/R&gt;&lt;C&gt;1&lt;/C&gt;&lt;D xsi:type="xsd:string"&gt;@NA&lt;/D&gt;&lt;D xsi:type="xsd:string"&gt;@NA&lt;/D&gt;&lt;D xsi:type="xsd:string"&gt;@NA&lt;/D&gt;&lt;D xsi:type="xsd:string"&gt;@NA&lt;/D&gt;&lt;/FQL&gt;&lt;FQL&gt;&lt;Q&gt;INTC^FE_TIMESERIES(EBITDA_ADJ,MEAN,-1,0,Y,'')&lt;/Q&gt;&lt;R&gt;2&lt;/R&gt;&lt;C&gt;1&lt;/C&gt;&lt;D xsi:type="xsd:double"&gt;35860.137&lt;/D&gt;&lt;D xsi:type="xsd:double"&gt;33106.6&lt;/D&gt;&lt;/FQL&gt;&lt;FQL&gt;&lt;Q&gt;INTC^FE_TIMESERIES_VALUATION(SPS,MEAN,+2,+3,Y,'')&lt;/Q&gt;&lt;R&gt;2&lt;/R&gt;&lt;C&gt;1&lt;/C&gt;&lt;D xsi:type="xsd:double"&gt;14.51589&lt;/D&gt;&lt;D xsi:type="xsd:double"&gt;15.392183&lt;/D&gt;&lt;/FQL&gt;&lt;FQL&gt;&lt;Q&gt;INTC^FE_TIMESERIES(PTX_INC_ADJ,MEAN,+5,+8,Q,'CURRENCY=USD')&lt;/Q&gt;&lt;R&gt;4&lt;/R&gt;&lt;C&gt;1&lt;/C&gt;&lt;D xsi:type="xsd:double"&gt;3140.4155&lt;/D&gt;&lt;D xsi:type="xsd:double"&gt;2496.9731&lt;/D&gt;&lt;D xsi:type="xsd:double"&gt;2750.3975&lt;/D&gt;&lt;D xsi:type="xsd:double"&gt;3060.2417&lt;/D&gt;&lt;/FQL&gt;&lt;FQL&gt;&lt;Q&gt;INTC^FE_TIMESERIES_GUIDANCE(DEP_AMORT_EXP,MIDPOINT,+5,+8,Q,'CURRENCY=USD')&lt;/Q&gt;&lt;R&gt;4&lt;/R&gt;&lt;C&gt;1&lt;/C&gt;&lt;D xsi:type="xsd:string"&gt;@NA&lt;/D&gt;&lt;D xsi:type="xsd:string"&gt;@NA&lt;/D&gt;&lt;D xsi:type="xsd:string"&gt;@NA&lt;/D&gt;&lt;D xsi:type="xsd:string"&gt;@NA&lt;/D&gt;&lt;/FQL&gt;&lt;FQL&gt;&lt;Q&gt;INTC^FE_TIMESERIES(INVEN,MEAN,+1,,Y,'CURRENCY=USD')&lt;/Q&gt;&lt;R&gt;1&lt;/R&gt;&lt;C&gt;1&lt;/C&gt;&lt;D xsi:type="xsd:double"&gt;11329.745&lt;/D&gt;&lt;/FQL&gt;&lt;FQL&gt;&lt;Q&gt;INTC^FE_TIMESERIES(CF_INV,MEAN,+2,+3,Y,'CURRENCY=USD')&lt;/Q&gt;&lt;R&gt;2&lt;/R&gt;&lt;C&gt;1&lt;/C&gt;&lt;D xsi:type="xsd:double"&gt;-20767.229&lt;/D&gt;&lt;D xsi:type="xsd:double"&gt;-23340.234&lt;/D&gt;&lt;/FQL&gt;&lt;FQL&gt;&lt;Q&gt;INTC^FE_TIMESERIES(NET_SALES,MEAN,-1,0,Y,'CURRENCY=USD')&lt;/Q&gt;&lt;R&gt;2&lt;/R&gt;&lt;C&gt;1&lt;/C&gt;&lt;D xsi:type="xsd:double"&gt;77867&lt;/D&gt;&lt;D xsi:type="xsd:double"&gt;74718&lt;/D&gt;&lt;/FQL&gt;&lt;FQL&gt;&lt;Q&gt;INTC^FE_TIMESERIES(SHS_REPURCH,MEAN,-1,0,Y,'CURRENCY=USD')&lt;/Q&gt;&lt;R&gt;2&lt;/R&gt;&lt;C&gt;1&lt;/C&gt;&lt;D xsi:type="xsd:double"&gt;14229&lt;/D&gt;&lt;D xsi:type="xsd:double"&gt;2415&lt;/D&gt;&lt;/FQL&gt;&lt;FQL&gt;&lt;Q&gt;INTC^FE_TIMESERIES(COS,MEAN,+1,,Y,'')&lt;/Q&gt;&lt;R&gt;1&lt;/R&gt;&lt;C&gt;1&lt;/C&gt;&lt;D xsi:type="xsd:double"&gt;33230.168&lt;/D&gt;&lt;/FQL&gt;&lt;FQL&gt;&lt;Q&gt;INTC^FE_TIMESERIES(LIABS_CURR,MEAN,-1,0,Y,'CURRENCY=USD')&lt;/Q&gt;&lt;R&gt;2&lt;/R&gt;&lt;C&gt;1&lt;/C&gt;&lt;D xsi:type="xsd:double"&gt;24754&lt;/D&gt;&lt;D xsi:type="xsd:double"&gt;27462&lt;/D&gt;&lt;/FQL&gt;&lt;FQL&gt;&lt;Q&gt;INTC^FE_TIMESERIES_VALUATION(PCF,MEAN,+2,+3,Y,'')&lt;/Q&gt;&lt;R&gt;2&lt;/R&gt;&lt;C&gt;1&lt;/C&gt;&lt;D xsi:type="xsd:double"&gt;5.9222107&lt;/D&gt;&lt;D xsi:type="xsd:double"&gt;4.7670484&lt;/D&gt;&lt;/FQL&gt;&lt;FQL&gt;&lt;Q&gt;INTC^FE_TIMESERIES_VALUATION(EV_SALES,MEAN,+1,+4,Q,'')&lt;/Q&gt;&lt;R&gt;4&lt;/R&gt;&lt;C&gt;1&lt;/C&gt;&lt;D xsi:type="xsd:double"&gt;8.267895&lt;/D&gt;&lt;D xsi:type="xsd:double"&gt;9.487162&lt;/D&gt;&lt;</t>
      </text>
    </comment>
    <comment authorId="0" ref="A46">
      <text>
        <t xml:space="preserve">======
ID#AAAB10qfXvk
Park, Jason S.    (2026-03-18 17:29:03)
&gt;&lt;D xsi:type="xsd:double"&gt;34.54&lt;/D&gt;&lt;D xsi:type="xsd:double"&gt;33.76&lt;/D&gt;&lt;D xsi:type="xsd:double"&gt;33.82&lt;/D&gt;&lt;D xsi:type="xsd:double"&gt;33.58&lt;/D&gt;&lt;D xsi:type="xsd:double"&gt;33.26&lt;/D&gt;&lt;D xsi:type="xsd:double"&gt;33.31&lt;/D&gt;&lt;D xsi:type="xsd:double"&gt;33.38&lt;/D&gt;&lt;D xsi:type="xsd:double"&gt;33.68&lt;/D&gt;&lt;D xsi:type="xsd:double"&gt;33.95&lt;/D&gt;&lt;D xsi:type="xsd:double"&gt;34.24&lt;/D&gt;&lt;D xsi:type="xsd:double"&gt;34.71&lt;/D&gt;&lt;D xsi:type="xsd:double"&gt;34.35&lt;/D&gt;&lt;D xsi:type="xsd:double"&gt;35.95&lt;/D&gt;&lt;D xsi:type="xsd:double"&gt;35.59&lt;/D&gt;&lt;D xsi:type="xsd:double"&gt;36.25&lt;/D&gt;&lt;D xsi:type="xsd:double"&gt;36.32&lt;/D&gt;&lt;D xsi:type="xsd:double"&gt;36.9&lt;/D&gt;&lt;D xsi:type="xsd:double"&gt;37.25&lt;/D&gt;&lt;D xsi:type="xsd:double"&gt;37.17&lt;/D&gt;&lt;D xsi:type="xsd:double"&gt;37.6&lt;/D&gt;&lt;D xsi:type="xsd:double"&gt;37.43&lt;/D&gt;&lt;D xsi:type="xsd:double"&gt;37.46&lt;/D&gt;&lt;D xsi:type="xsd:double"&gt;37.67&lt;/D&gt;&lt;D xsi:type="xsd:double"&gt;37.2&lt;/D&gt;&lt;D xsi:type="xsd:double"&gt;36.89&lt;/D&gt;&lt;D xsi:type="xsd:double"&gt;36.42&lt;/D&gt;&lt;D xsi:type="xsd:double"&gt;36.7&lt;/D&gt;&lt;D xsi:type="xsd:double"&gt;36.225&lt;/D&gt;&lt;D xsi:type="xsd:double"&gt;35.92&lt;/D&gt;&lt;D xsi:type="xsd:double"&gt;35.56&lt;/D&gt;&lt;D xsi:type="xsd:double"&gt;36.24&lt;/D&gt;&lt;D xsi:type="xsd:double"&gt;37.02&lt;/D&gt;&lt;D xsi:type="xsd:double"&gt;36.37&lt;/D&gt;&lt;D xsi:type="xsd:double"&gt;37.21&lt;/D&gt;&lt;D xsi:type="xsd:double"&gt;37.43&lt;/D&gt;&lt;D xsi:type="xsd:double"&gt;37.44&lt;/D&gt;&lt;D xsi:type="xsd:double"&gt;37.55&lt;/D&gt;&lt;D xsi:type="xsd:double"&gt;37.18&lt;/D&gt;&lt;D xsi:type="xsd:double"&gt;36.76&lt;/D&gt;&lt;D xsi:type="xsd:double"&gt;36.29&lt;/D&gt;&lt;D xsi:type="xsd:double"&gt;36.36&lt;/D&gt;&lt;D xsi:type="xsd:double"&gt;35.95&lt;/D&gt;&lt;D xsi:type="xsd:double"&gt;35.28&lt;/D&gt;&lt;D xsi:type="xsd:double"&gt;36.02&lt;/D&gt;&lt;D xsi:type="xsd:double"&gt;36.69&lt;/D&gt;&lt;D xsi:type="xsd:double"&gt;36.76&lt;/D&gt;&lt;D xsi:type="xsd:double"&gt;36.6&lt;/D&gt;&lt;D xsi:type="xsd:double"&gt;36.5&lt;/D&gt;&lt;D xsi:type="xsd:double"&gt;36.35&lt;/D&gt;&lt;D xsi:type="xsd:double"&gt;36.19&lt;/D&gt;&lt;D xsi:type="xsd:double"&gt;36.45&lt;/D&gt;&lt;D xsi:type="xsd:double"&gt;36.09&lt;/D&gt;&lt;D xsi:type="xsd:double"&gt;36.48&lt;/D&gt;&lt;D xsi:type="xsd:double"&gt;36.91&lt;/D&gt;&lt;D xsi:type="xsd:double"&gt;36.445&lt;/D&gt;&lt;D xsi:type="xsd:double"&gt;35.805&lt;/D&gt;&lt;D xsi:type="xsd:double"&gt;34.185&lt;/D&gt;&lt;D xsi:type="xsd:double"&gt;33.775&lt;/D&gt;&lt;D xsi:type="xsd:double"&gt;34.21&lt;/D&gt;&lt;D xsi:type="xsd:double"&gt;33.04&lt;/D&gt;&lt;D xsi:type="xsd:double"&gt;33.65&lt;/D&gt;&lt;D xsi:type="xsd:double"&gt;33.7&lt;/D&gt;&lt;D xsi:type="xsd:double"&gt;33.6&lt;/D&gt;&lt;D xsi:type="xsd:double"&gt;33.94&lt;/D&gt;&lt;D xsi:type="xsd:double"&gt;33.295&lt;/D&gt;&lt;D xsi:type="xsd:double"&gt;32.93&lt;/D&gt;&lt;D xsi:type="xsd:double"&gt;33.7&lt;/D&gt;&lt;D xsi:type="xsd:double"&gt;33.55&lt;/D&gt;&lt;D xsi:type="xsd:double"&gt;34.125&lt;/D&gt;&lt;D xsi:type="xsd:double"&gt;34.36&lt;/D&gt;&lt;D xsi:type="xsd:double"&gt;34.735&lt;/D&gt;&lt;D xsi:type="xsd:double"&gt;34.265&lt;/D&gt;&lt;D xsi:type="xsd:double"&gt;34.21&lt;/D&gt;&lt;D xsi:type="xsd:double"&gt;34.41&lt;/D&gt;&lt;D xsi:type="xsd:double"&gt;33.76&lt;/D&gt;&lt;D xsi:type="xsd:double"&gt;34.41&lt;/D&gt;&lt;D xsi:type="xsd:double"&gt;33.945&lt;/D&gt;&lt;D xsi:type="xsd:double"&gt;33.65&lt;/D&gt;&lt;D xsi:type="xsd:double"&gt;33.25&lt;/D&gt;&lt;D xsi:type="xsd:double"&gt;34.06&lt;/D&gt;&lt;D xsi:type="xsd:double"&gt;34.095&lt;/D&gt;&lt;D xsi:type="xsd:double"&gt;34.12&lt;/D&gt;&lt;D xsi:type="xsd:double"&gt;33.73&lt;/D&gt;&lt;D xsi:type="xsd:double"&gt;33.19&lt;/D&gt;&lt;D xsi:type="xsd:double"&gt;32.72&lt;/D&gt;&lt;D xsi:type="xsd:double"&gt;31.7&lt;/D&gt;&lt;D xsi:type="xsd:double"&gt;32.33&lt;/D&gt;&lt;D xsi:type="xsd:double"&gt;30.8&lt;/D&gt;&lt;D xsi:type="xsd:double"&gt;30.93&lt;/D&gt;&lt;D xsi:type="xsd:double"&gt;30.83&lt;/D&gt;&lt;D xsi:type="xsd:double"&gt;30.59&lt;/D&gt;&lt;D xsi:type="xsd:double"&gt;30.89&lt;/D&gt;&lt;D xsi:type="xsd:double"&gt;30.74&lt;/D&gt;&lt;D xsi:type="xsd:double"&gt;31.31&lt;/D&gt;&lt;D xsi:type="xsd:double"&gt;31.2&lt;/D&gt;&lt;D xsi:type="xsd:double"&gt;30.79&lt;/D&gt;&lt;D xsi:type="xsd:double"&gt;29.89&lt;/D&gt;&lt;D xsi:type="xsd:double"&gt;30.08&lt;/D&gt;&lt;D xsi:type="xsd:double"&gt;32&lt;/D&gt;&lt;D xsi:type="xsd:double"&gt;31.46&lt;/D&gt;&lt;D xsi:type="xsd:double"&gt;31.27&lt;/D&gt;&lt;D xsi:type="xsd:double"&gt;30.81&lt;/D&gt;&lt;D xsi:type="xsd:double"&gt;30.81&lt;/D&gt;&lt;D xsi:type="xsd:double"&gt;31.04&lt;/D&gt;&lt;D xsi:type="xsd:double"&gt;31.26&lt;/D&gt;&lt;D xsi:type="xsd:double"&gt;31.31&lt;/D&gt;&lt;D xsi:type="xsd:double"&gt;31.24&lt;/D&gt;&lt;D xsi:type="xsd:double"&gt;31.93&lt;/D&gt;&lt;D xsi:type="xsd:double"&gt;31.73&lt;/D&gt;&lt;D xsi:type="xsd:double"&gt;31.49&lt;/D&gt;&lt;D xsi:type="xsd:double"&gt;32.83&lt;/D&gt;&lt;D xsi:type="xsd:double"&gt;32.87&lt;/D&gt;&lt;D xsi:type="xsd:double"&gt;32.47&lt;/D&gt;&lt;D xsi:type="xsd:double"&gt;32.73&lt;/D&gt;&lt;D xsi:type="xsd:double"&gt;32.43&lt;/D&gt;&lt;D xsi:type="xsd:double"&gt;32.7&lt;/D&gt;&lt;D xsi:type="xsd:double"&gt;32.35&lt;/D&gt;&lt;D xsi:type="xsd:double"&gt;32.08&lt;/D&gt;&lt;D xsi:type="xsd:double"&gt;32.5&lt;/D&gt;&lt;D xsi:type="xsd:double"&gt;33.02&lt;/D&gt;&lt;D xsi:type="xsd:doub</t>
      </text>
    </comment>
    <comment authorId="0" ref="A3">
      <text>
        <t xml:space="preserve">======
ID#AAAB10qfXvg
Park, Jason S.    (2026-03-18 17:29:03)
FF_OPER_CF(LTM_R,0)&lt;/Q&gt;&lt;R&gt;1&lt;/R&gt;&lt;C&gt;1&lt;/C&gt;&lt;D xsi:type="xsd:double"&gt;111.447&lt;/D&gt;&lt;/FQL&gt;&lt;FQL&gt;&lt;Q&gt;POWI^FREF_MARKET_VALUE_COMPANY(43136,,,USD,,0)&lt;/Q&gt;&lt;R&gt;1&lt;/R&gt;&lt;C&gt;1&lt;/C&gt;&lt;D xsi:type="xsd:double"&gt;1933.8336227470429&lt;/D&gt;&lt;/FQL&gt;&lt;FQL&gt;&lt;Q&gt;MTSI^FF_CO_NAME&lt;/Q&gt;&lt;R&gt;1&lt;/R&gt;&lt;C&gt;1&lt;/C&gt;&lt;D xsi:type="xsd:string"&gt;MACOM Technology Solutions Holdings, Inc.&lt;/D&gt;&lt;/FQL&gt;&lt;FQL&gt;&lt;Q&gt;AMBA^FF_CO_NAME&lt;/Q&gt;&lt;R&gt;1&lt;/R&gt;&lt;C&gt;1&lt;/C&gt;&lt;D xsi:type="xsd:string"&gt;Ambarella, Inc.&lt;/D&gt;&lt;/FQL&gt;&lt;FQL&gt;&lt;Q&gt;BABA^FF_SALES(ANN_R,2016)&lt;/Q&gt;&lt;R&gt;1&lt;/R&gt;&lt;C&gt;1&lt;/C&gt;&lt;D xsi:type="xsd:double"&gt;23521.8381742429&lt;/D&gt;&lt;/FQL&gt;&lt;FQL&gt;&lt;Q&gt;KLAC^FF_GROSS_MGN(LTM_R,0)&lt;/Q&gt;&lt;R&gt;1&lt;/R&gt;&lt;C&gt;1&lt;/C&gt;&lt;D xsi:type="xsd:double"&gt;64.663039584334683&lt;/D&gt;&lt;/FQL&gt;&lt;FQL&gt;&lt;Q&gt;MU^FF_GROSS_MGN(LTM_R,0)&lt;/Q&gt;&lt;R&gt;1&lt;/R&gt;&lt;C&gt;1&lt;/C&gt;&lt;D xsi:type="xsd:double"&gt;53.128625570423083&lt;/D&gt;&lt;/FQL&gt;&lt;FQL&gt;&lt;Q&gt;CSCO^FF_ENTRPR_VAL_SALES(ANN_R,2017)@FE_VALUATION(EV_SALES,MEDIAN,ANNUAL,2017,0,,,'')&lt;/Q&gt;&lt;R&gt;1&lt;/R&gt;&lt;C&gt;1&lt;/C&gt;&lt;D xsi:type="xsd:double"&gt;2.5490986355587961&lt;/D&gt;&lt;/FQL&gt;&lt;FQL&gt;&lt;Q&gt;MRVL^FF_ENTRPR_VAL_SALES(ANN_R,2020)@FE_VALUATION(EV_SALES,MEDIAN,ANNUAL,2020,0,,,'')&lt;/Q&gt;&lt;R&gt;0&lt;/R&gt;&lt;C&gt;0&lt;/C&gt;&lt;/FQL&gt;&lt;FQL&gt;&lt;Q&gt;TER^FF_PE_DIL(ANN_R,2018)@FE_VALUATION(PE,MEDIAN,ANNUAL,2018,0,,,'')&lt;/Q&gt;&lt;R&gt;1&lt;/R&gt;&lt;C&gt;1&lt;/C&gt;&lt;D xsi:type="xsd:double"&gt;17.92549&lt;/D&gt;&lt;/FQL&gt;&lt;FQL&gt;&lt;Q&gt;QRVO^FF_ENTRPR_VAL_DAILY(43136,,,,USD,"BAS")&lt;/Q&gt;&lt;R&gt;1&lt;/R&gt;&lt;C&gt;1&lt;/C&gt;&lt;D xsi:type="xsd:double"&gt;9807.8205200000011&lt;/D&gt;&lt;/FQL&gt;&lt;FQL&gt;&lt;Q&gt;BABA^FF_ENTRPR_VAL_SALES(ANN_R,2019)@FE_VALUATION(EV_SALES,MEDIAN,ANNUAL,2019,0,,,'')&lt;/Q&gt;&lt;R&gt;1&lt;/R&gt;&lt;C&gt;1&lt;/C&gt;&lt;D xsi:type="xsd:double"&gt;5.9767036&lt;/D&gt;&lt;/FQL&gt;&lt;FQL&gt;&lt;Q&gt;MXIM^FF_STK_PURCH_CF(LTM_R,0)&lt;/Q&gt;&lt;R&gt;1&lt;/R&gt;&lt;C&gt;1&lt;/C&gt;&lt;D xsi:type="xsd:double"&gt;285.099&lt;/D&gt;&lt;/FQL&gt;&lt;FQL&gt;&lt;Q&gt;MCHP^FF_ENTRPR_VAL_EBITDA_OPER(ANN_R,2018)@FE_VALUATION(EV_EBITDA,MEDIAN,ANNUAL,2018,0,,,'')&lt;/Q&gt;&lt;R&gt;1&lt;/R&gt;&lt;C&gt;1&lt;/C&gt;&lt;D xsi:type="xsd:double"&gt;12.168198&lt;/D&gt;&lt;/FQL&gt;&lt;FQL&gt;&lt;Q&gt;BMMV2K^FF_PSALES(ANN_R,2019)@FE_VALUATION(PS,MEDIAN,ANNUAL,2019,0,,,'')&lt;/Q&gt;&lt;R&gt;1&lt;/R&gt;&lt;C&gt;1&lt;/C&gt;&lt;D xsi:type="xsd:string"&gt;#NUM&lt;/D&gt;&lt;/FQL&gt;&lt;FQL&gt;&lt;Q&gt;TXN^FE_ESTIMATE(SALES,MEAN,ANNUAL,2020,0,,,'')&lt;/Q&gt;&lt;R&gt;1&lt;/R&gt;&lt;C&gt;1&lt;/C&gt;&lt;D xsi:type="xsd:double"&gt;17084.31&lt;/D&gt;&lt;/FQL&gt;&lt;FQL&gt;&lt;Q&gt;AVGO^FF_ENTRPR_VAL_SALES(ANN_R,2020)@FE_VALUATION(EV_SALES,MEDIAN,ANNUAL,2020,0,,,'')&lt;/Q&gt;&lt;R&gt;1&lt;/R&gt;&lt;C&gt;1&lt;/C&gt;&lt;D xsi:type="xsd:double"&gt;3.7782063&lt;/D&gt;&lt;/FQL&gt;&lt;FQL&gt;&lt;Q&gt;ORCL^FF_PE_DIL(ANN_R,2019)@FE_VALUATION(PE,MEDIAN,ANNUAL,2019,0,,,'')&lt;/Q&gt;&lt;R&gt;1&lt;/R&gt;&lt;C&gt;1&lt;/C&gt;&lt;D xsi:type="xsd:double"&gt;12.816976&lt;/D&gt;&lt;/FQL&gt;&lt;FQL&gt;&lt;Q&gt;15628^FF_ENTRPR_VAL_DAILY(43188,,,,USD,"BAS")&lt;/Q&gt;&lt;R&gt;0&lt;/R&gt;&lt;C&gt;0&lt;/C&gt;&lt;/FQL&gt;&lt;FQL&gt;&lt;Q&gt;KLAC^FF_ENTRPR_VAL_FCF(ANN_R,2017)@FE_VALUATION(EV_FCF,MEDIAN,ANNUAL,2017,0,,,'')&lt;/Q&gt;&lt;R&gt;1&lt;/R&gt;&lt;C&gt;1&lt;/C&gt;&lt;D xsi:type="xsd:double"&gt;20.549785404215889&lt;/D&gt;&lt;/FQL&gt;&lt;FQL&gt;&lt;Q&gt;AAPL^FF_ENTRPR_VAL_FCF(ANN_R,)@FE_VALUATION(EV_FCF,MEDIAN,ANNUAL,,0,,,'')&lt;/Q&gt;&lt;R&gt;1&lt;/R&gt;&lt;C&gt;1&lt;/C&gt;&lt;D xsi:type="xsd:double"&gt;22.171290089113551&lt;/D&gt;&lt;/FQL&gt;&lt;FQL&gt;&lt;Q&gt;AMAT^FF_ENTRPR_VAL_SALES(ANN_R,2020)@FE_VALUATION(EV_SALES,MEDIAN,ANNUAL,2020,0,,,'')&lt;/Q&gt;&lt;R&gt;1&lt;/R&gt;&lt;C&gt;1&lt;/C&gt;&lt;D xsi:type="xsd:double"&gt;2.175754&lt;/D&gt;&lt;/FQL&gt;&lt;FQL&gt;&lt;Q&gt;FB^FF_PSALES(ANN_R,2017)@FE_VALUATION(PS,MEDIAN,ANNUAL,2017,0,,,'')&lt;/Q&gt;&lt;R&gt;1&lt;/R&gt;&lt;C&gt;1&lt;/C&gt;&lt;D xsi:type="xsd:double"&gt;12.83092980985413&lt;/D&gt;&lt;/FQL&gt;&lt;FQL&gt;&lt;Q&gt;BMMV2K^FF_ENTRPR_VAL_SALES(ANN_R,2019)@FE_VALUATION(EV_SALES,MEDIAN,ANNUAL,2019,0,,,'')&lt;/Q&gt;&lt;R&gt;1&lt;/R&gt;&lt;C&gt;1&lt;/C&gt;&lt;D xsi:type="xsd:double"&gt;6.6355486&lt;/D&gt;&lt;/FQL&gt;&lt;FQL&gt;&lt;Q&gt;ON^FF_PE_DIL(ANN_R,2018)@FE_VALUATION(PE,MEDIAN,ANNUAL,2018,0,,,'')&lt;/Q&gt;&lt;R&gt;1&lt;/R&gt;&lt;C&gt;1&lt;/C&gt;&lt;D xsi:type="xsd:double"&gt;14.097982&lt;/D&gt;&lt;/FQL&gt;&lt;FQL&gt;&lt;Q&gt;MXIM^FREF_MARKET_VALUE_COMPANY(43188,,,USD,,0)&lt;/Q&gt;&lt;R&gt;1&lt;/R&gt;&lt;C&gt;1&lt;/C&gt;&lt;D xsi:type="xsd:double"&gt;16934.706776384261&lt;/D&gt;&lt;/FQL&gt;&lt;FQL&gt;&lt;Q&gt;KLAC^FF_ENTRPR_VAL_SALES(ANN_R,2020)@FE_VALUATION(EV_SALES,MEDIAN,ANNUAL,2020,0,,,'')&lt;/Q&gt;&lt;R&gt;1&lt;/R&gt;&lt;C&gt;1&lt;/C&gt;&lt;D xsi:type="xsd:double"&gt;3.2057734&lt;/D&gt;&lt;/FQL&gt;&lt;FQL&gt;&lt;Q&gt;QRVO^FE_ESTIMATE(SALES,MEAN,ANNUAL,2020,0,,,'')&lt;/Q&gt;&lt;R&gt;1&lt;/R&gt;&lt;C&gt;1&lt;/C&gt;&lt;D xsi:type="xsd:double"&gt;3943&lt;/D&gt;&lt;/FQL&gt;&lt;FQL&gt;&lt;Q&gt;NVDA^FREF_MARKET_VALUE_COMPANY(43136,,,USD,,0)&lt;/Q&gt;&lt;R&gt;1&lt;/R&gt;&lt;C&gt;1&lt;/C&gt;&lt;D xsi:type="xsd:double"&gt;129502.19815063479&lt;/D&gt;&lt;/FQL&gt;&lt;FQL&gt;&lt;Q&gt;AMD^FREF_MARKET_VALUE_COMPANY(43136,,,USD,,0)&lt;/Q&gt;&lt;R&gt;1&lt;/R&gt;&lt;C&gt;1&lt;/C&gt;&lt;D xsi:type="xsd:double"&gt;11162.72426550323&lt;/D&gt;&lt;/FQL&gt;&lt;FQL&gt;&lt;Q&gt;MA^FF_ENTRPR_VAL_EBITDA_OPER(ANN_R,)@FE_VALUATION(EV_EBITDA,MEDIAN,ANNUAL,,0,,,'')&lt;/Q&gt;&lt;R&gt;1&lt;/R&gt;&lt;C&gt;1&lt;/C&gt;&lt;D xsi:type="xsd:double"&gt;21.798211893369789&lt;/D&gt;&lt;/FQL&gt;&lt;FQL&gt;&lt;Q&gt;IBM^FF_PSALES(ANN_R,2</t>
      </text>
    </comment>
    <comment authorId="0" ref="A56">
      <text>
        <t xml:space="preserve">======
ID#AAAB10qfXvc
Park, Jason S.    (2026-03-18 17:29:03)
D xsi:type="xsd:long"&gt;39444&lt;/D&gt;&lt;D xsi:type="xsd:long"&gt;39447&lt;/D&gt;&lt;D xsi:type="xsd:long"&gt;39449&lt;/D&gt;&lt;D xsi:type="xsd:long"&gt;39450&lt;/D&gt;&lt;D xsi:type="xsd:long"&gt;39451&lt;/D&gt;&lt;D xsi:type="xsd:long"&gt;39454&lt;/D&gt;&lt;D xsi:type="xsd:long"&gt;39455&lt;/D&gt;&lt;D xsi:type="xsd:long"&gt;39456&lt;/D&gt;&lt;D xsi:type="xsd:long"&gt;39457&lt;/D&gt;&lt;D xsi:type="xsd:long"&gt;39458&lt;/D&gt;&lt;D xsi:type="xsd:long"&gt;39461&lt;/D&gt;&lt;D xsi:type="xsd:long"&gt;39462&lt;/D&gt;&lt;D xsi:type="xsd:long"&gt;39463&lt;/D&gt;&lt;D xsi:type="xsd:long"&gt;39464&lt;/D&gt;&lt;D xsi:type="xsd:long"&gt;39465&lt;/D&gt;&lt;D xsi:type="xsd:long"&gt;39469&lt;/D&gt;&lt;D xsi:type="xsd:long"&gt;39470&lt;/D&gt;&lt;D xsi:type="xsd:long"&gt;39471&lt;/D&gt;&lt;D xsi:type="xsd:long"&gt;39472&lt;/D&gt;&lt;D xsi:type="xsd:long"&gt;39475&lt;/D&gt;&lt;D xsi:type="xsd:long"&gt;39476&lt;/D&gt;&lt;D xsi:type="xsd:long"&gt;39477&lt;/D&gt;&lt;D xsi:type="xsd:long"&gt;39478&lt;/D&gt;&lt;D xsi:type="xsd:long"&gt;39479&lt;/D&gt;&lt;D xsi:type="xsd:long"&gt;39482&lt;/D&gt;&lt;D xsi:type="xsd:long"&gt;39483&lt;/D&gt;&lt;D xsi:type="xsd:long"&gt;39484&lt;/D&gt;&lt;D xsi:type="xsd:long"&gt;39485&lt;/D&gt;&lt;D xsi:type="xsd:long"&gt;39486&lt;/D&gt;&lt;D xsi:type="xsd:long"&gt;39489&lt;/D&gt;&lt;D xsi:type="xsd:long"&gt;39490&lt;/D&gt;&lt;D xsi:type="xsd:long"&gt;39491&lt;/D&gt;&lt;D xsi:type="xsd:long"&gt;39492&lt;/D&gt;&lt;D xsi:type="xsd:long"&gt;39493&lt;/D&gt;&lt;D xsi:type="xsd:long"&gt;39497&lt;/D&gt;&lt;D xsi:type="xsd:long"&gt;39498&lt;/D&gt;&lt;D xsi:type="xsd:long"&gt;39499&lt;/D&gt;&lt;D xsi:type="xsd:long"&gt;39500&lt;/D&gt;&lt;D xsi:type="xsd:long"&gt;39503&lt;/D&gt;&lt;D xsi:type="xsd:long"&gt;39504&lt;/D&gt;&lt;D xsi:type="xsd:long"&gt;39505&lt;/D&gt;&lt;D xsi:type="xsd:long"&gt;39506&lt;/D&gt;&lt;D xsi:type="xsd:long"&gt;39507&lt;/D&gt;&lt;D xsi:type="xsd:long"&gt;39510&lt;/D&gt;&lt;D xsi:type="xsd:long"&gt;39511&lt;/D&gt;&lt;D xsi:type="xsd:long"&gt;39512&lt;/D&gt;&lt;D xsi:type="xsd:long"&gt;39513&lt;/D&gt;&lt;D xsi:type="xsd:long"&gt;39514&lt;/D&gt;&lt;D xsi:type="xsd:long"&gt;39517&lt;/D&gt;&lt;D xsi:type="xsd:long"&gt;39518&lt;/D&gt;&lt;D xsi:type="xsd:long"&gt;39519&lt;/D&gt;&lt;D xsi:type="xsd:long"&gt;39520&lt;/D&gt;&lt;D xsi:type="xsd:long"&gt;39521&lt;/D&gt;&lt;D xsi:type="xsd:long"&gt;39524&lt;/D&gt;&lt;D xsi:type="xsd:long"&gt;39525&lt;/D&gt;&lt;D xsi:type="xsd:long"&gt;39526&lt;/D&gt;&lt;D xsi:type="xsd:long"&gt;39527&lt;/D&gt;&lt;D xsi:type="xsd:long"&gt;39531&lt;/D&gt;&lt;D xsi:type="xsd:long"&gt;39532&lt;/D&gt;&lt;D xsi:type="xsd:long"&gt;39533&lt;/D&gt;&lt;D xsi:type="xsd:long"&gt;39534&lt;/D&gt;&lt;D xsi:type="xsd:long"&gt;39535&lt;/D&gt;&lt;D xsi:type="xsd:long"&gt;39538&lt;/D&gt;&lt;D xsi:type="xsd:long"&gt;39539&lt;/D&gt;&lt;D xsi:type="xsd:long"&gt;39540&lt;/D&gt;&lt;D xsi:type="xsd:long"&gt;39541&lt;/D&gt;&lt;D xsi:type="xsd:long"&gt;39542&lt;/D&gt;&lt;D xsi:type="xsd:long"&gt;39545&lt;/D&gt;&lt;D xsi:type="xsd:long"&gt;39546&lt;/D&gt;&lt;D xsi:type="xsd:long"&gt;39547&lt;/D&gt;&lt;D xsi:type="xsd:long"&gt;39548&lt;/D&gt;&lt;D xsi:type="xsd:long"&gt;39549&lt;/D&gt;&lt;D xsi:type="xsd:long"&gt;39552&lt;/D&gt;&lt;D xsi:type="xsd:long"&gt;39553&lt;/D&gt;&lt;D xsi:type="xsd:long"&gt;39554&lt;/D&gt;&lt;D xsi:type="xsd:long"&gt;39555&lt;/D&gt;&lt;D xsi:type="xsd:long"&gt;39556&lt;/D&gt;&lt;D xsi:type="xsd:long"&gt;39559&lt;/D&gt;&lt;D xsi:type="xsd:long"&gt;39560&lt;/D&gt;&lt;D xsi:type="xsd:long"&gt;39561&lt;/D&gt;&lt;D xsi:type="xsd:long"&gt;39562&lt;/D&gt;&lt;D xsi:type="xsd:long"&gt;39563&lt;/D&gt;&lt;D xsi:type="xsd:long"&gt;39566&lt;/D&gt;&lt;D xsi:type="xsd:long"&gt;39567&lt;/D&gt;&lt;D xsi:type="xsd:long"&gt;39568&lt;/D&gt;&lt;D xsi:type="xsd:long"&gt;39569&lt;/D&gt;&lt;D xsi:type="xsd:long"&gt;39570&lt;/D&gt;&lt;D xsi:type="xsd:long"&gt;39573&lt;/D&gt;&lt;D xsi:type="xsd:long"&gt;39574&lt;/D&gt;&lt;D xsi:type="xsd:long"&gt;39575&lt;/D&gt;&lt;D xsi:type="xsd:long"&gt;39576&lt;/D&gt;&lt;D xsi:type="xsd:long"&gt;39577&lt;/D&gt;&lt;D xsi:type="xsd:long"&gt;39580&lt;/D&gt;&lt;D xsi:type="xsd:long"&gt;39581&lt;/D&gt;&lt;D xsi:type="xsd:long"&gt;39582&lt;/D&gt;&lt;D xsi:type="xsd:long"&gt;39583&lt;/D&gt;&lt;D xsi:type="xsd:long"&gt;39584&lt;/D&gt;&lt;D xsi:type="xsd:long"&gt;39587&lt;/D&gt;&lt;D xsi:type="xsd:long"&gt;39588&lt;/D&gt;&lt;D xsi:type="xsd:long"&gt;39589&lt;/D&gt;&lt;D xsi:type="xsd:long"&gt;39590&lt;/D&gt;&lt;D xsi:type="xsd:long"&gt;39591&lt;/D&gt;&lt;D xsi:type="xsd:long"&gt;39595&lt;/D&gt;&lt;D xsi:type="xsd:long"&gt;39596&lt;/D&gt;&lt;D xsi:type="xsd:long"&gt;39597&lt;/D&gt;&lt;D xsi:type="xsd:long"&gt;39598&lt;/D&gt;&lt;D xsi:type="xsd:long"&gt;39601&lt;/D&gt;&lt;D xsi:type="xsd:long"&gt;39602&lt;/D&gt;&lt;D xsi:type="xsd:long"&gt;39603&lt;/D&gt;&lt;D xsi:type="xsd:long"&gt;39604&lt;/D&gt;&lt;D xsi:type="xsd:long"&gt;39605&lt;/D&gt;&lt;D xsi:type="xsd:long"&gt;39608&lt;/D&gt;&lt;D xsi:type="xsd:long"&gt;39609&lt;/D&gt;&lt;D xsi:type="xsd:long"&gt;39610&lt;/D&gt;&lt;D xsi:type="xsd:long"&gt;39611&lt;/D&gt;&lt;D xsi:type="xsd:long"&gt;39612&lt;/D&gt;&lt;D xsi:type="xsd:long"&gt;39615&lt;/D&gt;&lt;D xsi:type="xsd:long"&gt;39616&lt;/D&gt;&lt;D xsi:type="xsd:long"&gt;39617&lt;/D&gt;&lt;D xsi:type="xsd:long"&gt;39618&lt;/D&gt;&lt;D xsi:type="xsd:long"&gt;39619&lt;/D&gt;&lt;D xsi:type="xsd:long"&gt;39622&lt;/D&gt;&lt;D xsi:type="xsd:long"&gt;39623&lt;/D&gt;&lt;D xsi:type="xsd:long"&gt;39624&lt;/D&gt;&lt;D xsi:type="xsd:long"&gt;39625&lt;/D&gt;&lt;D xsi:type="xsd:long"&gt;39626&lt;/D&gt;&lt;D xsi:type="xsd:long"&gt;39629&lt;/D&gt;&lt;D xsi:type="xsd:long"&gt;39630&lt;/D&gt;&lt;</t>
      </text>
    </comment>
    <comment authorId="0" ref="A10">
      <text>
        <t xml:space="preserve">======
ID#AAAB10qfXvY
Park, Jason S.    (2026-03-18 17:29:03)
e"&gt;26778&lt;/D&gt;&lt;/FQL&gt;&lt;FQL&gt;&lt;Q&gt;INTC-US^FG_COMPANY_NAME&lt;/Q&gt;&lt;R&gt;1&lt;/R&gt;&lt;C&gt;1&lt;/C&gt;&lt;D xsi:type="xsd:string"&gt;Intel Corporation&lt;/D&gt;&lt;/FQL&gt;&lt;FQL&gt;&lt;Q&gt;INTC-US^FE_ESTIMATE(SALES,MEAN,QUARTERLY,2025/4F,NOW,,,'')&lt;/Q&gt;&lt;R&gt;1&lt;/R&gt;&lt;C&gt;1&lt;/C&gt;&lt;D xsi:type="xsd:double"&gt;18272.8&lt;/D&gt;&lt;/FQL&gt;&lt;FQL&gt;&lt;Q&gt;INTC-US^FE_ESTIMATE(SALES,MEAN,QUARTERLY,2019/1C,NOW,,,'')&lt;/Q&gt;&lt;R&gt;1&lt;/R&gt;&lt;C&gt;1&lt;/C&gt;&lt;D xsi:type="xsd:double"&gt;15869.543&lt;/D&gt;&lt;/FQL&gt;&lt;FQL&gt;&lt;Q&gt;INTC-US^FE_ESTIMATE(EPS,MEAN,QUARTERLY,2019/3C,NOW,,,'')&lt;/Q&gt;&lt;R&gt;1&lt;/R&gt;&lt;C&gt;1&lt;/C&gt;&lt;D xsi:type="xsd:double"&gt;1.0080647&lt;/D&gt;&lt;/FQL&gt;&lt;FQL&gt;&lt;Q&gt;INTC-US^FE_ESTIMATE(SALES,MEAN,QUARTERLY,2024/1F,NOW,,,'')&lt;/Q&gt;&lt;R&gt;1&lt;/R&gt;&lt;C&gt;1&lt;/C&gt;&lt;D xsi:type="xsd:double"&gt;13817.964&lt;/D&gt;&lt;/FQL&gt;&lt;FQL&gt;&lt;Q&gt;INTC-US^FE_TIMESERIES_PERIOD(EPS,2017-2Q,,Q)&lt;/Q&gt;&lt;R&gt;1&lt;/R&gt;&lt;C&gt;1&lt;/C&gt;&lt;D xsi:type="xsd:string"&gt;2017/2F&lt;/D&gt;&lt;/FQL&gt;&lt;FQL&gt;&lt;Q&gt;INTC-US^FE_ESTIMATE(SALES,MEAN,QUARTERLY,2021/4F,NOW,,,'')&lt;/Q&gt;&lt;R&gt;1&lt;/R&gt;&lt;C&gt;1&lt;/C&gt;&lt;D xsi:type="xsd:double"&gt;19532&lt;/D&gt;&lt;/FQL&gt;&lt;FQL&gt;&lt;Q&gt;INTC-US^FE_ESTIMATE(SALES,MEAN,QUARTERLY,2020/4C,NOW,,,'')&lt;/Q&gt;&lt;R&gt;1&lt;/R&gt;&lt;C&gt;1&lt;/C&gt;&lt;D xsi:type="xsd:double"&gt;19045.1&lt;/D&gt;&lt;/FQL&gt;&lt;FQL&gt;&lt;Q&gt;INTC-US^FE_TIMESERIES_PERIOD(EPS,2017-1Q,,Q)&lt;/Q&gt;&lt;R&gt;1&lt;/R&gt;&lt;C&gt;1&lt;/C&gt;&lt;D xsi:type="xsd:string"&gt;2017/3F&lt;/D&gt;&lt;/FQL&gt;&lt;FQL&gt;&lt;Q&gt;INTC-US^FE_ESTIMATE(SALES,MEAN,QUARTERLY,2016/1F,NOW,,,'')&lt;/Q&gt;&lt;R&gt;1&lt;/R&gt;&lt;C&gt;1&lt;/C&gt;&lt;D xsi:type="xsd:double"&gt;13702&lt;/D&gt;&lt;/FQL&gt;&lt;FQL&gt;&lt;Q&gt;INTC-US^FE_ESTIMATE(SALES,MEAN,QUARTERLY,2017/4C,NOW,,,'')&lt;/Q&gt;&lt;R&gt;1&lt;/R&gt;&lt;C&gt;1&lt;/C&gt;&lt;D xsi:type="xsd:double"&gt;17053&lt;/D&gt;&lt;/FQL&gt;&lt;FQL&gt;&lt;Q&gt;INTC-US^FE_ESTIMATE(EPS,MEAN,QUARTERLY,2018/1C,NOW,,,'')&lt;/Q&gt;&lt;R&gt;1&lt;/R&gt;&lt;C&gt;1&lt;/C&gt;&lt;D xsi:type="xsd:double"&gt;0.70819104&lt;/D&gt;&lt;/FQL&gt;&lt;FQL&gt;&lt;Q&gt;INTC-US^FE_ESTIMATE(SALES,MEAN,CAL4,2021,NOW,,,'')&lt;/Q&gt;&lt;R&gt;1&lt;/R&gt;&lt;C&gt;1&lt;/C&gt;&lt;D xsi:type="xsd:double"&gt;74718&lt;/D&gt;&lt;/FQL&gt;&lt;FQL&gt;&lt;Q&gt;INTC-US^FE_TIMESERIES_PERIOD(EPS,2023-3Q,,Q)&lt;/Q&gt;&lt;R&gt;1&lt;/R&gt;&lt;C&gt;1&lt;/C&gt;&lt;D xsi:type="xsd:string"&gt;2023/1F&lt;/D&gt;&lt;/FQL&gt;&lt;FQL&gt;&lt;Q&gt;INTC-US^FE_ESTIMATE(EPS,MEAN,QUARTERLY,2016/4F,NOW,,,'')&lt;/Q&gt;&lt;R&gt;1&lt;/R&gt;&lt;C&gt;1&lt;/C&gt;&lt;D xsi:type="xsd:double"&gt;0.79&lt;/D&gt;&lt;/FQL&gt;&lt;FQL&gt;&lt;Q&gt;INTC-US^FE_ESTIMATE(SALES,MEAN,QUARTERLY,2018/3F,NOW,,,'')&lt;/Q&gt;&lt;R&gt;1&lt;/R&gt;&lt;C&gt;1&lt;/C&gt;&lt;D xsi:type="xsd:double"&gt;19163&lt;/D&gt;&lt;/FQL&gt;&lt;FQL&gt;&lt;Q&gt;INTC-US^FE_ESTIMATE(EPS,MEAN,QUARTERLY,2019/1F,NOW,,,'')&lt;/Q&gt;&lt;R&gt;1&lt;/R&gt;&lt;C&gt;1&lt;/C&gt;&lt;D xsi:type="xsd:double"&gt;0.89&lt;/D&gt;&lt;/FQL&gt;&lt;FQL&gt;&lt;Q&gt;INTC-US^FE_ESTIMATE(EPS,MEAN,QUARTERLY,2021/1C,NOW,,,'')&lt;/Q&gt;&lt;R&gt;1&lt;/R&gt;&lt;C&gt;1&lt;/C&gt;&lt;D xsi:type="xsd:double"&gt;0&lt;/D&gt;&lt;/FQL&gt;&lt;FQL&gt;&lt;Q&gt;INTC-US^FE_ESTIMATE(EPS,MEAN,QUARTERLY,2023/3F,NOW,,,'')&lt;/Q&gt;&lt;R&gt;1&lt;/R&gt;&lt;C&gt;1&lt;/C&gt;&lt;D xsi:type="xsd:double"&gt;0.21822916&lt;/D&gt;&lt;/FQL&gt;&lt;FQL&gt;&lt;Q&gt;INTC-US^FE_ESTIMATE(SALES,MEAN,QUARTERLY,2019/2C,NOW,,,'')&lt;/Q&gt;&lt;R&gt;1&lt;/R&gt;&lt;C&gt;1&lt;/C&gt;&lt;D xsi:type="xsd:double"&gt;16266.01&lt;/D&gt;&lt;/FQL&gt;&lt;FQL&gt;&lt;Q&gt;INTC-US^FE_ESTIMATE(SALES,MEAN,CAL4,2025,NOW,,,'')&lt;/Q&gt;&lt;R&gt;1&lt;/R&gt;&lt;C&gt;1&lt;/C&gt;&lt;D xsi:type="xsd:double"&gt;67780.23&lt;/D&gt;&lt;/FQL&gt;&lt;FQL&gt;&lt;Q&gt;INTC-US^FE_ESTIMATE(SALES,MEAN,QUARTERLY,2025/1F,NOW,,,'')&lt;/Q&gt;&lt;R&gt;1&lt;/R&gt;&lt;C&gt;1&lt;/C&gt;&lt;D xsi:type="xsd:double"&gt;15665.143&lt;/D&gt;&lt;/FQL&gt;&lt;FQL&gt;&lt;Q&gt;INTC-US^FE_ESTIMATE(SALES,MEAN,ANNUAL,2016,NOW,,,'')&lt;/Q&gt;&lt;R&gt;1&lt;/R&gt;&lt;C&gt;1&lt;/C&gt;&lt;D xsi:type="xsd:double"&gt;59387&lt;/D&gt;&lt;/FQL&gt;&lt;FQL&gt;&lt;Q&gt;INTC-US^FE_ESTIMATE(EPS,MEAN,QUARTERLY,2020/1F,NOW,,,'')&lt;/Q&gt;&lt;R&gt;1&lt;/R&gt;&lt;C&gt;1&lt;/C&gt;&lt;D xsi:type="xsd:double"&gt;1.45&lt;/D&gt;&lt;/FQL&gt;&lt;FQL&gt;&lt;Q&gt;INTC-US^FE_ESTIMATE(EPS,MEAN,ANNUAL,2016,NOW,,,'')&lt;/Q&gt;&lt;R&gt;1&lt;/R&gt;&lt;C&gt;1&lt;/C&gt;&lt;D xsi:type="xsd:double"&gt;2.72&lt;/D&gt;&lt;/FQL&gt;&lt;FQL&gt;&lt;Q&gt;INTC-US^FE_ESTIMATE(EPS,MEAN,ANNUAL,2020,NOW,,,'')&lt;/Q&gt;&lt;R&gt;1&lt;/R&gt;&lt;C&gt;1&lt;/C&gt;&lt;D xsi:type="xsd:double"&gt;4.110407&lt;/D&gt;&lt;/FQL&gt;&lt;FQL&gt;&lt;Q&gt;INTC-US^FE_ESTIMATE(SALES,MEAN,QUARTERLY,2019/4C,NOW,,,'')&lt;/Q&gt;&lt;R&gt;1&lt;/R&gt;&lt;C&gt;1&lt;/C&gt;&lt;D xsi:type="xsd:double"&gt;17876.225&lt;/D&gt;&lt;/FQL&gt;&lt;FQL&gt;&lt;Q&gt;INTC-US^FE_ESTIMATE(EPS,MEAN,CAL4,2025,NOW,,,'')&lt;/Q&gt;&lt;R&gt;1&lt;/R&gt;&lt;C&gt;1&lt;/C&gt;&lt;D xsi:type="xsd:double"&gt;3.1829145&lt;/D&gt;&lt;/FQL&gt;&lt;FQL&gt;&lt;Q&gt;INTC-US^FE_TIMESERIES_PERIOD(EPS,2018,,Q)&lt;/Q&gt;&lt;R&gt;1&lt;/R&gt;&lt;C&gt;1&lt;/C&gt;&lt;D xsi:type="xsd:string"&gt;2018/4F&lt;/D&gt;&lt;/FQL&gt;&lt;FQL&gt;&lt;Q&gt;INTC-US^FE_ESTIMATE(SALES,MEAN,QUARTERLY,2025/3F,NOW,,,'')&lt;/Q&gt;&lt;R&gt;1&lt;/R&gt;&lt;C&gt;1&lt;/C&gt;&lt;D xsi:type="xsd:double"&gt;17449.773&lt;/D&gt;&lt;/FQL&gt;&lt;FQL&gt;&lt;Q&gt;INTC-US^FE_TIMESERIES_PERIOD(EPS,2024Q,,Q)&lt;/Q&gt;&lt;R&gt;1&lt;/R&gt;&lt;C&gt;1&lt;/C&gt;&lt;D xsi:type="xsd:string"&gt;2024/4F&lt;/D&gt;&lt;/FQL&gt;&lt;FQL&gt;&lt;Q&gt;INTC-US^FE_ESTIMATE(EPS,MEAN,QUARTERLY,2018/1F,NOW,,,'')&lt;/Q&gt;&lt;R&gt;1&lt;/R&gt;&lt;C&gt;1&lt;/C&gt;&lt;D xsi:type="xsd:double"&gt;0.87&lt;/D&gt;&lt;/FQL&gt;&lt;FQL&gt;&lt;Q&gt;INTC-US^FE_ESTIMATE(EPS,MEAN,QUARTERLY,2018/2F,NOW,,,'')&lt;/Q&gt;&lt;R&gt;1&lt;/R&gt;&lt;C&gt;1&lt;/C&gt;&lt;D xsi:type="xsd:double"&gt;1.04&lt;/D&gt;&lt;/FQL&gt;&lt;FQL&gt;&lt;Q&gt;INTC-US^FE_ESTIMATE(EPS,M</t>
      </text>
    </comment>
    <comment authorId="0" ref="A4">
      <text>
        <t xml:space="preserve">======
ID#AAAB10qfXvU
Park, Jason S.    (2026-03-18 17:29:03)
si:type="xsd:double"&gt;45.984&lt;/D&gt;&lt;/FQL&gt;&lt;FQL&gt;&lt;Q&gt;DSPG^FF_ENTRPR_VAL_DAILY(43136,,,,USD,"BAS")&lt;/Q&gt;&lt;R&gt;1&lt;/R&gt;&lt;C&gt;1&lt;/C&gt;&lt;D xsi:type="xsd:double"&gt;225.76025&lt;/D&gt;&lt;/FQL&gt;&lt;FQL&gt;&lt;Q&gt;DSPG^FF_ENTRPR_VAL_SALES(ANN_R,2018)@FE_VALUATION(EV_SALES,MEDIAN,ANNUAL,2018,0,,,'')&lt;/Q&gt;&lt;R&gt;0&lt;/R&gt;&lt;C&gt;0&lt;/C&gt;&lt;/FQL&gt;&lt;FQL&gt;&lt;Q&gt;DSPG^FF_ENTRPR_VAL_EBITDA_OPER(ANN_R,2019)@FE_VALUATION(EV_EBITDA,MEDIAN,ANNUAL,2019,0,,,'')&lt;/Q&gt;&lt;R&gt;0&lt;/R&gt;&lt;C&gt;0&lt;/C&gt;&lt;/FQL&gt;&lt;FQL&gt;&lt;Q&gt;DSPG^FF_ENTRPR_VAL_FCF(ANN_R,2020)@FE_VALUATION(EV_FCF,MEDIAN,ANNUAL,2020,0,,,'')&lt;/Q&gt;&lt;R&gt;0&lt;/R&gt;&lt;C&gt;0&lt;/C&gt;&lt;/FQL&gt;&lt;FQL&gt;&lt;Q&gt;DSPG^FF_CAPEX(LTM_R,0)&lt;/Q&gt;&lt;R&gt;0&lt;/R&gt;&lt;C&gt;0&lt;/C&gt;&lt;/FQL&gt;&lt;FQL&gt;&lt;Q&gt;22051.3^FF_ENTRPR_VAL_DAILY(43188,,,,USD,"BAS")&lt;/Q&gt;&lt;R&gt;0&lt;/R&gt;&lt;C&gt;0&lt;/C&gt;&lt;/FQL&gt;&lt;FQL&gt;&lt;Q&gt;484628^FF_PE_DIL(ANN_R,2019)@FE_VALUATION(PE,MEDIAN,ANNUAL,2019,0,,,'')&lt;/Q&gt;&lt;R&gt;1&lt;/R&gt;&lt;C&gt;1&lt;/C&gt;&lt;D xsi:type="xsd:double"&gt;17.665281&lt;/D&gt;&lt;/FQL&gt;&lt;FQL&gt;&lt;Q&gt;INTC^FF_ENTRPR_VAL_FCF(ANN_R,)@FE_VALUATION(EV_FCF,MEDIAN,ANNUAL,,0,,,'')&lt;/Q&gt;&lt;R&gt;1&lt;/R&gt;&lt;C&gt;1&lt;/C&gt;&lt;D xsi:type="xsd:double"&gt;45.030532319391632&lt;/D&gt;&lt;/FQL&gt;&lt;FQL&gt;&lt;Q&gt;AMBA^FF_ENTRPR_VAL_DAILY(43136,,,,USD,"BAS")&lt;/Q&gt;&lt;R&gt;1&lt;/R&gt;&lt;C&gt;1&lt;/C&gt;&lt;D xsi:type="xsd:double"&gt;1164.39173&lt;/D&gt;&lt;/FQL&gt;&lt;FQL&gt;&lt;Q&gt;AMBA^FF_ENTRPR_VAL_SALES(ANN_R,2018)@FE_VALUATION(EV_SALES,MEDIAN,ANNUAL,2018,0,,,'')&lt;/Q&gt;&lt;R&gt;1&lt;/R&gt;&lt;C&gt;1&lt;/C&gt;&lt;D xsi:type="xsd:double"&gt;4.1117196&lt;/D&gt;&lt;/FQL&gt;&lt;FQL&gt;&lt;Q&gt;AMBA^FF_ENTRPR_VAL_EBITDA_OPER(ANN_R,2019)@FE_VALUATION(EV_EBITDA,MEDIAN,ANNUAL,2019,0,,,'')&lt;/Q&gt;&lt;R&gt;1&lt;/R&gt;&lt;C&gt;1&lt;/C&gt;&lt;D xsi:type="xsd:double"&gt;20.938046&lt;/D&gt;&lt;/FQL&gt;&lt;FQL&gt;&lt;Q&gt;AMBA^FF_ENTRPR_VAL_FCF(ANN_R,2020)@FE_VALUATION(EV_FCF,MEDIAN,ANNUAL,2020,0,,,'')&lt;/Q&gt;&lt;R&gt;0&lt;/R&gt;&lt;C&gt;0&lt;/C&gt;&lt;/FQL&gt;&lt;FQL&gt;&lt;Q&gt;AMBA^FF_CAPEX(LTM_R,0)&lt;/Q&gt;&lt;R&gt;1&lt;/R&gt;&lt;C&gt;1&lt;/C&gt;&lt;D xsi:type="xsd:double"&gt;3.033&lt;/D&gt;&lt;/FQL&gt;&lt;FQL&gt;&lt;Q&gt;ISIL^FF_ENTRPR_VAL_DAILY(43136,,,,USD,"BAS")&lt;/Q&gt;&lt;R&gt;0&lt;/R&gt;&lt;C&gt;0&lt;/C&gt;&lt;/FQL&gt;&lt;FQL&gt;&lt;Q&gt;ISIL^FF_ENTRPR_VAL_SALES(ANN_R,2018)@FE_VALUATION(EV_SALES,MEDIAN,ANNUAL,2018,0,,,'')&lt;/Q&gt;&lt;R&gt;0&lt;/R&gt;&lt;C&gt;0&lt;/C&gt;&lt;/FQL&gt;&lt;FQL&gt;&lt;Q&gt;ISIL^FF_ENTRPR_VAL_EBITDA_OPER(ANN_R,2019)@FE_VALUATION(EV_EBITDA,MEDIAN,ANNUAL,2019,0,,,'')&lt;/Q&gt;&lt;R&gt;0&lt;/R&gt;&lt;C&gt;0&lt;/C&gt;&lt;/FQL&gt;&lt;FQL&gt;&lt;Q&gt;ISIL^FF_ENTRPR_VAL_FCF(ANN_R,2020)@FE_VALUATION(EV_FCF,MEDIAN,ANNUAL,2020,0,,,'')&lt;/Q&gt;&lt;R&gt;0&lt;/R&gt;&lt;C&gt;0&lt;/C&gt;&lt;/FQL&gt;&lt;FQL&gt;&lt;Q&gt;ISIL^FF_CAPEX(LTM_R,0)&lt;/Q&gt;&lt;R&gt;1&lt;/R&gt;&lt;C&gt;1&lt;/C&gt;&lt;D xsi:type="xsd:double"&gt;9.49&lt;/D&gt;&lt;/FQL&gt;&lt;FQL&gt;&lt;Q&gt;MX^FF_ENTRPR_VAL_FCF(ANN_R,2020)@FE_VALUATION(EV_FCF,MEDIAN,ANNUAL,2020,0,,,'')&lt;/Q&gt;&lt;R&gt;0&lt;/R&gt;&lt;C&gt;0&lt;/C&gt;&lt;/FQL&gt;&lt;FQL&gt;&lt;Q&gt;PI^FF_ENTRPR_VAL_DAILY(43136,,,,USD,"BAS")&lt;/Q&gt;&lt;R&gt;1&lt;/R&gt;&lt;C&gt;1&lt;/C&gt;&lt;D xsi:type="xsd:double"&gt;199.17046&lt;/D&gt;&lt;/FQL&gt;&lt;FQL&gt;&lt;Q&gt;PI^FF_ENTRPR_VAL_SALES(ANN_R,2018)@FE_VALUATION(EV_SALES,MEDIAN,ANNUAL,2018,0,,,'')&lt;/Q&gt;&lt;R&gt;1&lt;/R&gt;&lt;C&gt;1&lt;/C&gt;&lt;D xsi:type="xsd:double"&gt;2.0712306&lt;/D&gt;&lt;/FQL&gt;&lt;FQL&gt;&lt;Q&gt;PI^FF_ENTRPR_VAL_EBITDA_OPER(ANN_R,2019)@FE_VALUATION(EV_EBITDA,MEDIAN,ANNUAL,2019,0,,,'')&lt;/Q&gt;&lt;R&gt;0&lt;/R&gt;&lt;C&gt;0&lt;/C&gt;&lt;/FQL&gt;&lt;FQL&gt;&lt;Q&gt;PI^FF_ENTRPR_VAL_FCF(ANN_R,2020)@FE_VALUATION(EV_FCF,MEDIAN,ANNUAL,2020,0,,,'')&lt;/Q&gt;&lt;R&gt;0&lt;/R&gt;&lt;C&gt;0&lt;/C&gt;&lt;/FQL&gt;&lt;FQL&gt;&lt;Q&gt;PI^FF_CAPEX(LTM_R,0)&lt;/Q&gt;&lt;R&gt;1&lt;/R&gt;&lt;C&gt;1&lt;/C&gt;&lt;D xsi:type="xsd:double"&gt;7.359&lt;/D&gt;&lt;/FQL&gt;&lt;FQL&gt;&lt;Q&gt;QTNA^FF_ENTRPR_VAL_DAILY(43136,,,,USD,"BAS")&lt;/Q&gt;&lt;R&gt;1&lt;/R&gt;&lt;C&gt;1&lt;/C&gt;&lt;D xsi:type="xsd:double"&gt;328.70201&lt;/D&gt;&lt;/FQL&gt;&lt;FQL&gt;&lt;Q&gt;QTNA^FF_ENTRPR_VAL_SALES(ANN_R,2018)@FE_VALUATION(EV_SALES,MEDIAN,ANNUAL,2018,0,,,'')&lt;/Q&gt;&lt;R&gt;1&lt;/R&gt;&lt;C&gt;1&lt;/C&gt;&lt;D xsi:type="xsd:double"&gt;1.9345818&lt;/D&gt;&lt;/FQL&gt;&lt;FQL&gt;&lt;Q&gt;QTNA^FF_ENTRPR_VAL_EBITDA_OPER(ANN_R,2019)@FE_VALUATION(EV_EBITDA,MEDIAN,ANNUAL,2019,0,,,'')&lt;/Q&gt;&lt;R&gt;1&lt;/R&gt;&lt;C&gt;1&lt;/C&gt;&lt;D xsi:type="xsd:double"&gt;10.633181&lt;/D&gt;&lt;/FQL&gt;&lt;FQL&gt;&lt;Q&gt;QTNA^FF_ENTRPR_VAL_FCF(ANN_R,2020)@FE_VALUATION(EV_FCF,MEDIAN,ANNUAL,2020,0,,,'')&lt;/Q&gt;&lt;R&gt;0&lt;/R&gt;&lt;C&gt;0&lt;/C&gt;&lt;/FQL&gt;&lt;FQL&gt;&lt;Q&gt;QTNA^FF_CAPEX(LTM_R,0)&lt;/Q&gt;&lt;R&gt;1&lt;/R&gt;&lt;C&gt;1&lt;/C&gt;&lt;D xsi:type="xsd:double"&gt;8.064&lt;/D&gt;&lt;/FQL&gt;&lt;FQL&gt;&lt;Q&gt;QTNA^FF_CO_NAME&lt;/Q&gt;&lt;R&gt;1&lt;/R&gt;&lt;C&gt;1&lt;/C&gt;&lt;D xsi:type="xsd:string"&gt;Quantenna Communications, Inc.&lt;/D&gt;&lt;/FQL&gt;&lt;FQL&gt;&lt;Q&gt;415092.56^FF_ENTRPR_VAL_DAILY(43188,,,,USD,"BAS")&lt;/Q&gt;&lt;R&gt;0&lt;/R&gt;&lt;C&gt;0&lt;/C&gt;&lt;/FQL&gt;&lt;FQL&gt;&lt;Q&gt;ON^FF_OPER_CF(LTM_R,0)&lt;/Q&gt;&lt;R&gt;1&lt;/R&gt;&lt;C&gt;1&lt;/C&gt;&lt;D xsi:type="xsd:double"&gt;1094.2&lt;/D&gt;&lt;/FQL&gt;&lt;FQL&gt;&lt;Q&gt;677172^FF_PSALES(ANN_R,2018)@FE_VALUATION(PS,MEDIAN,ANNUAL,2018,0,,,'')&lt;/Q&gt;&lt;R&gt;1&lt;/R&gt;&lt;C&gt;1&lt;/C&gt;&lt;D xsi:type="xsd:string"&gt;#NUM&lt;/D&gt;&lt;/FQL&gt;&lt;FQL&gt;&lt;Q&gt;IPHI^FF_ENTRPR_VAL_SALES(ANN_R,2018)@FE_VALUATION(EV_SALES,MEDIAN,ANNUAL,2018,0,,,'')&lt;/Q&gt;&lt;R&gt;1&lt;/R&gt;&lt;C&gt;1&lt;/C&gt;&lt;D xsi:type="xsd:double"&gt;3.9495273&lt;/D&gt;&lt;/FQL&gt;&lt;FQL&gt;&lt;Q&gt;MTSI^FF_ENTRPR_VAL_SALES(ANN_R,2019)@FE_VALUA</t>
      </text>
    </comment>
    <comment authorId="0" ref="A34">
      <text>
        <t xml:space="preserve">======
ID#AAAB10qfXvQ
Park, Jason S.    (2026-03-18 17:29:02)
07&lt;/D&gt;&lt;D xsi:type="xsd:double"&gt;27.76&lt;/D&gt;&lt;D xsi:type="xsd:double"&gt;27.45&lt;/D&gt;&lt;D xsi:type="xsd:double"&gt;27.85&lt;/D&gt;&lt;D xsi:type="xsd:double"&gt;28.48&lt;/D&gt;&lt;D xsi:type="xsd:double"&gt;28.09&lt;/D&gt;&lt;D xsi:type="xsd:double"&gt;28.405&lt;/D&gt;&lt;D xsi:type="xsd:double"&gt;28.47&lt;/D&gt;&lt;D xsi:type="xsd:double"&gt;27.95&lt;/D&gt;&lt;D xsi:type="xsd:double"&gt;27.69&lt;/D&gt;&lt;D xsi:type="xsd:double"&gt;27.6&lt;/D&gt;&lt;D xsi:type="xsd:double"&gt;27.45&lt;/D&gt;&lt;D xsi:type="xsd:double"&gt;27.31&lt;/D&gt;&lt;D xsi:type="xsd:double"&gt;27.86&lt;/D&gt;&lt;D xsi:type="xsd:double"&gt;28.22&lt;/D&gt;&lt;D xsi:type="xsd:double"&gt;28.38&lt;/D&gt;&lt;D xsi:type="xsd:double"&gt;28.395&lt;/D&gt;&lt;D xsi:type="xsd:double"&gt;28.95&lt;/D&gt;&lt;D xsi:type="xsd:double"&gt;29.18&lt;/D&gt;&lt;D xsi:type="xsd:double"&gt;28.56&lt;/D&gt;&lt;D xsi:type="xsd:double"&gt;27.9&lt;/D&gt;&lt;D xsi:type="xsd:double"&gt;27.76&lt;/D&gt;&lt;D xsi:type="xsd:double"&gt;27.37&lt;/D&gt;&lt;D xsi:type="xsd:double"&gt;27.19&lt;/D&gt;&lt;D xsi:type="xsd:double"&gt;27.24&lt;/D&gt;&lt;D xsi:type="xsd:double"&gt;27.63&lt;/D&gt;&lt;D xsi:type="xsd:double"&gt;27.015&lt;/D&gt;&lt;D xsi:type="xsd:double"&gt;26.88&lt;/D&gt;&lt;D xsi:type="xsd:double"&gt;26.495&lt;/D&gt;&lt;D xsi:type="xsd:double"&gt;26.19&lt;/D&gt;&lt;D xsi:type="xsd:double"&gt;26.07&lt;/D&gt;&lt;D xsi:type="xsd:double"&gt;26.15&lt;/D&gt;&lt;D xsi:type="xsd:double"&gt;26.03&lt;/D&gt;&lt;D xsi:type="xsd:double"&gt;25.44&lt;/D&gt;&lt;D xsi:type="xsd:double"&gt;25.65&lt;/D&gt;&lt;D xsi:type="xsd:double"&gt;25.74&lt;/D&gt;&lt;D xsi:type="xsd:double"&gt;26.09&lt;/D&gt;&lt;D xsi:type="xsd:double"&gt;26.13&lt;/D&gt;&lt;D xsi:type="xsd:double"&gt;25.84&lt;/D&gt;&lt;D xsi:type="xsd:double"&gt;25.14&lt;/D&gt;&lt;D xsi:type="xsd:double"&gt;25.04&lt;/D&gt;&lt;D xsi:type="xsd:double"&gt;25.43&lt;/D&gt;&lt;D xsi:type="xsd:double"&gt;26.07&lt;/D&gt;&lt;D xsi:type="xsd:double"&gt;25.94&lt;/D&gt;&lt;D xsi:type="xsd:double"&gt;26.41&lt;/D&gt;&lt;D xsi:type="xsd:double"&gt;25.985&lt;/D&gt;&lt;D xsi:type="xsd:double"&gt;26.52&lt;/D&gt;&lt;D xsi:type="xsd:double"&gt;26.54&lt;/D&gt;&lt;D xsi:type="xsd:double"&gt;26.98&lt;/D&gt;&lt;D xsi:type="xsd:double"&gt;27.34&lt;/D&gt;&lt;D xsi:type="xsd:double"&gt;27.42&lt;/D&gt;&lt;D xsi:type="xsd:double"&gt;27.51&lt;/D&gt;&lt;D xsi:type="xsd:double"&gt;27.64&lt;/D&gt;&lt;D xsi:type="xsd:double"&gt;26.71&lt;/D&gt;&lt;D xsi:type="xsd:double"&gt;26.935&lt;/D&gt;&lt;D xsi:type="xsd:double"&gt;26.05&lt;/D&gt;&lt;D xsi:type="xsd:double"&gt;26.005&lt;/D&gt;&lt;D xsi:type="xsd:double"&gt;26.22&lt;/D&gt;&lt;D xsi:type="xsd:double"&gt;25.83&lt;/D&gt;&lt;D xsi:type="xsd:double"&gt;26.65&lt;/D&gt;&lt;D xsi:type="xsd:double"&gt;26.665&lt;/D&gt;&lt;D xsi:type="xsd:double"&gt;26.86&lt;/D&gt;&lt;D xsi:type="xsd:double"&gt;26.55&lt;/D&gt;&lt;D xsi:type="xsd:double"&gt;26.155&lt;/D&gt;&lt;D xsi:type="xsd:double"&gt;26.17&lt;/D&gt;&lt;D xsi:type="xsd:double"&gt;25.56&lt;/D&gt;&lt;D xsi:type="xsd:double"&gt;25.39&lt;/D&gt;&lt;D xsi:type="xsd:double"&gt;24.74&lt;/D&gt;&lt;D xsi:type="xsd:double"&gt;25.25&lt;/D&gt;&lt;D xsi:type="xsd:double"&gt;25.13&lt;/D&gt;&lt;D xsi:type="xsd:double"&gt;25.38&lt;/D&gt;&lt;D xsi:type="xsd:double"&gt;26.21&lt;/D&gt;&lt;D xsi:type="xsd:double"&gt;26.06&lt;/D&gt;&lt;D xsi:type="xsd:double"&gt;25.52&lt;/D&gt;&lt;D xsi:type="xsd:double"&gt;25.26&lt;/D&gt;&lt;D xsi:type="xsd:double"&gt;25.005&lt;/D&gt;&lt;D xsi:type="xsd:double"&gt;25.13&lt;/D&gt;&lt;D xsi:type="xsd:double"&gt;25.5&lt;/D&gt;&lt;D xsi:type="xsd:double"&gt;26.02&lt;/D&gt;&lt;D xsi:type="xsd:double"&gt;25.76&lt;/D&gt;&lt;D xsi:type="xsd:double"&gt;25.7&lt;/D&gt;&lt;D xsi:type="xsd:double"&gt;25.93&lt;/D&gt;&lt;D xsi:type="xsd:double"&gt;25.91&lt;/D&gt;&lt;D xsi:type="xsd:double"&gt;26.23&lt;/D&gt;&lt;D xsi:type="xsd:double"&gt;26.31&lt;/D&gt;&lt;D xsi:type="xsd:double"&gt;26.5&lt;/D&gt;&lt;D xsi:type="xsd:double"&gt;26.6&lt;/D&gt;&lt;D xsi:type="xsd:double"&gt;26.7&lt;/D&gt;&lt;D xsi:type="xsd:double"&gt;26.88&lt;/D&gt;&lt;D xsi:type="xsd:double"&gt;26.69&lt;/D&gt;&lt;D xsi:type="xsd:double"&gt;26.48&lt;/D&gt;&lt;D xsi:type="xsd:double"&gt;26.27&lt;/D&gt;&lt;D xsi:type="xsd:double"&gt;26.59&lt;/D&gt;&lt;D xsi:type="xsd:double"&gt;26.33&lt;/D&gt;&lt;D xsi:type="xsd:double"&gt;26.23&lt;/D&gt;&lt;D xsi:type="xsd:double"&gt;26.11&lt;/D&gt;&lt;D xsi:type="xsd:double"&gt;25.73&lt;/D&gt;&lt;D xsi:type="xsd:double"&gt;25.04&lt;/D&gt;&lt;D xsi:type="xsd:double"&gt;24.91&lt;/D&gt;&lt;D xsi:type="xsd:double"&gt;24.84&lt;/D&gt;&lt;D xsi:type="xsd:double"&gt;25&lt;/D&gt;&lt;D xsi:type="xsd:double"&gt;24.668&lt;/D&gt;&lt;D xsi:type="xsd:double"&gt;24.27&lt;/D&gt;&lt;D xsi:type="xsd:double"&gt;24.83&lt;/D&gt;&lt;D xsi:type="xsd:double"&gt;24.415&lt;/D&gt;&lt;D xsi:type="xsd:double"&gt;24.39&lt;/D&gt;&lt;D xsi:type="xsd:double"&gt;25.095&lt;/D&gt;&lt;D xsi:type="xsd:double"&gt;24.19&lt;/D&gt;&lt;D xsi:type="xsd:double"&gt;23.26&lt;/D&gt;&lt;D xsi:type="xsd:double"&gt;23.34&lt;/D&gt;&lt;D xsi:type="xsd:double"&gt;23.19&lt;/D&gt;&lt;D xsi:type="xsd:double"&gt;23.355&lt;/D&gt;&lt;D xsi:type="xsd:double"&gt;23.37&lt;/D&gt;&lt;D xsi:type="xsd:double"&gt;23.31&lt;/D&gt;&lt;D xsi:type="xsd:double"&gt;23.37&lt;/D&gt;&lt;D xsi:type="xsd:double"&gt;23.15&lt;/D&gt;&lt;D xsi:type="xsd:double"&gt;23.1788&lt;/D&gt;&lt;D xsi:type="xsd:double"&gt;23.125&lt;/D&gt;&lt;D xsi:type="xsd:double"&gt;22.795&lt;/D&gt;&lt;D xsi:type="xsd:double"&gt;22.535&lt;/D&gt;&lt;D xsi:type="xsd:double"&gt;22.645&lt;/D&gt;</t>
      </text>
    </comment>
    <comment authorId="0" ref="A57">
      <text>
        <t xml:space="preserve">======
ID#AAAB10qfXvM
Park, Jason S.    (2026-03-18 17:29:02)
&gt;&lt;D xsi:type="xsd:long"&gt;40931&lt;/D&gt;&lt;D xsi:type="xsd:long"&gt;40932&lt;/D&gt;&lt;D xsi:type="xsd:long"&gt;40933&lt;/D&gt;&lt;D xsi:type="xsd:long"&gt;40934&lt;/D&gt;&lt;D xsi:type="xsd:long"&gt;40935&lt;/D&gt;&lt;D xsi:type="xsd:long"&gt;40938&lt;/D&gt;&lt;D xsi:type="xsd:long"&gt;40939&lt;/D&gt;&lt;D xsi:type="xsd:long"&gt;40940&lt;/D&gt;&lt;D xsi:type="xsd:long"&gt;40941&lt;/D&gt;&lt;D xsi:type="xsd:long"&gt;40942&lt;/D&gt;&lt;D xsi:type="xsd:long"&gt;40945&lt;/D&gt;&lt;D xsi:type="xsd:long"&gt;40946&lt;/D&gt;&lt;D xsi:type="xsd:long"&gt;40947&lt;/D&gt;&lt;D xsi:type="xsd:long"&gt;40948&lt;/D&gt;&lt;D xsi:type="xsd:long"&gt;40949&lt;/D&gt;&lt;D xsi:type="xsd:long"&gt;40952&lt;/D&gt;&lt;D xsi:type="xsd:long"&gt;40953&lt;/D&gt;&lt;D xsi:type="xsd:long"&gt;40954&lt;/D&gt;&lt;D xsi:type="xsd:long"&gt;40955&lt;/D&gt;&lt;D xsi:type="xsd:long"&gt;40956&lt;/D&gt;&lt;D xsi:type="xsd:long"&gt;40960&lt;/D&gt;&lt;D xsi:type="xsd:long"&gt;40961&lt;/D&gt;&lt;D xsi:type="xsd:long"&gt;40962&lt;/D&gt;&lt;D xsi:type="xsd:long"&gt;40963&lt;/D&gt;&lt;D xsi:type="xsd:long"&gt;40966&lt;/D&gt;&lt;D xsi:type="xsd:long"&gt;40967&lt;/D&gt;&lt;D xsi:type="xsd:long"&gt;40968&lt;/D&gt;&lt;D xsi:type="xsd:long"&gt;40969&lt;/D&gt;&lt;D xsi:type="xsd:long"&gt;40970&lt;/D&gt;&lt;D xsi:type="xsd:long"&gt;40973&lt;/D&gt;&lt;D xsi:type="xsd:long"&gt;40974&lt;/D&gt;&lt;D xsi:type="xsd:long"&gt;40975&lt;/D&gt;&lt;D xsi:type="xsd:long"&gt;40976&lt;/D&gt;&lt;D xsi:type="xsd:long"&gt;40977&lt;/D&gt;&lt;D xsi:type="xsd:long"&gt;40980&lt;/D&gt;&lt;D xsi:type="xsd:long"&gt;40981&lt;/D&gt;&lt;D xsi:type="xsd:long"&gt;40982&lt;/D&gt;&lt;D xsi:type="xsd:long"&gt;40983&lt;/D&gt;&lt;D xsi:type="xsd:long"&gt;40984&lt;/D&gt;&lt;D xsi:type="xsd:long"&gt;40987&lt;/D&gt;&lt;D xsi:type="xsd:long"&gt;40988&lt;/D&gt;&lt;D xsi:type="xsd:long"&gt;40989&lt;/D&gt;&lt;D xsi:type="xsd:long"&gt;40990&lt;/D&gt;&lt;D xsi:type="xsd:long"&gt;40991&lt;/D&gt;&lt;D xsi:type="xsd:long"&gt;40994&lt;/D&gt;&lt;D xsi:type="xsd:long"&gt;40995&lt;/D&gt;&lt;D xsi:type="xsd:long"&gt;40996&lt;/D&gt;&lt;D xsi:type="xsd:long"&gt;40997&lt;/D&gt;&lt;D xsi:type="xsd:long"&gt;40998&lt;/D&gt;&lt;D xsi:type="xsd:long"&gt;41001&lt;/D&gt;&lt;D xsi:type="xsd:long"&gt;41002&lt;/D&gt;&lt;D xsi:type="xsd:long"&gt;41003&lt;/D&gt;&lt;D xsi:type="xsd:long"&gt;41004&lt;/D&gt;&lt;D xsi:type="xsd:long"&gt;41008&lt;/D&gt;&lt;D xsi:type="xsd:long"&gt;41009&lt;/D&gt;&lt;D xsi:type="xsd:long"&gt;41010&lt;/D&gt;&lt;D xsi:type="xsd:long"&gt;41011&lt;/D&gt;&lt;D xsi:type="xsd:long"&gt;41012&lt;/D&gt;&lt;D xsi:type="xsd:long"&gt;41015&lt;/D&gt;&lt;D xsi:type="xsd:long"&gt;41016&lt;/D&gt;&lt;D xsi:type="xsd:long"&gt;41017&lt;/D&gt;&lt;D xsi:type="xsd:long"&gt;41018&lt;/D&gt;&lt;D xsi:type="xsd:long"&gt;41019&lt;/D&gt;&lt;D xsi:type="xsd:long"&gt;41022&lt;/D&gt;&lt;D xsi:type="xsd:long"&gt;41023&lt;/D&gt;&lt;D xsi:type="xsd:long"&gt;41024&lt;/D&gt;&lt;D xsi:type="xsd:long"&gt;41025&lt;/D&gt;&lt;D xsi:type="xsd:long"&gt;41026&lt;/D&gt;&lt;D xsi:type="xsd:long"&gt;41029&lt;/D&gt;&lt;D xsi:type="xsd:long"&gt;41030&lt;/D&gt;&lt;D xsi:type="xsd:long"&gt;41031&lt;/D&gt;&lt;D xsi:type="xsd:long"&gt;41032&lt;/D&gt;&lt;D xsi:type="xsd:long"&gt;41033&lt;/D&gt;&lt;D xsi:type="xsd:long"&gt;41036&lt;/D&gt;&lt;D xsi:type="xsd:long"&gt;41037&lt;/D&gt;&lt;D xsi:type="xsd:long"&gt;41038&lt;/D&gt;&lt;D xsi:type="xsd:long"&gt;41039&lt;/D&gt;&lt;D xsi:type="xsd:long"&gt;41040&lt;/D&gt;&lt;D xsi:type="xsd:long"&gt;41043&lt;/D&gt;&lt;D xsi:type="xsd:long"&gt;41044&lt;/D&gt;&lt;D xsi:type="xsd:long"&gt;41045&lt;/D&gt;&lt;D xsi:type="xsd:long"&gt;41046&lt;/D&gt;&lt;D xsi:type="xsd:long"&gt;41047&lt;/D&gt;&lt;D xsi:type="xsd:long"&gt;41050&lt;/D&gt;&lt;D xsi:type="xsd:long"&gt;41051&lt;/D&gt;&lt;D xsi:type="xsd:long"&gt;41052&lt;/D&gt;&lt;D xsi:type="xsd:long"&gt;41053&lt;/D&gt;&lt;D xsi:type="xsd:long"&gt;41054&lt;/D&gt;&lt;D xsi:type="xsd:long"&gt;41058&lt;/D&gt;&lt;D xsi:type="xsd:long"&gt;41059&lt;/D&gt;&lt;D xsi:type="xsd:long"&gt;41060&lt;/D&gt;&lt;D xsi:type="xsd:long"&gt;41061&lt;/D&gt;&lt;D xsi:type="xsd:long"&gt;41064&lt;/D&gt;&lt;D xsi:type="xsd:long"&gt;41065&lt;/D&gt;&lt;D xsi:type="xsd:long"&gt;41066&lt;/D&gt;&lt;D xsi:type="xsd:long"&gt;41067&lt;/D&gt;&lt;D xsi:type="xsd:long"&gt;41068&lt;/D&gt;&lt;D xsi:type="xsd:long"&gt;41071&lt;/D&gt;&lt;D xsi:type="xsd:long"&gt;41072&lt;/D&gt;&lt;D xsi:type="xsd:long"&gt;41073&lt;/D&gt;&lt;D xsi:type="xsd:long"&gt;41074&lt;/D&gt;&lt;D xsi:type="xsd:long"&gt;41075&lt;/D&gt;&lt;D xsi:type="xsd:long"&gt;41078&lt;/D&gt;&lt;D xsi:type="xsd:long"&gt;41079&lt;/D&gt;&lt;D xsi:type="xsd:long"&gt;41080&lt;/D&gt;&lt;D xsi:type="xsd:long"&gt;41081&lt;/D&gt;&lt;D xsi:type="xsd:long"&gt;41082&lt;/D&gt;&lt;D xsi:type="xsd:long"&gt;41085&lt;/D&gt;&lt;D xsi:type="xsd:long"&gt;41086&lt;/D&gt;&lt;D xsi:type="xsd:long"&gt;41087&lt;/D&gt;&lt;D xsi:type="xsd:long"&gt;41088&lt;/D&gt;&lt;D xsi:type="xsd:long"&gt;41089&lt;/D&gt;&lt;D xsi:type="xsd:long"&gt;41092&lt;/D&gt;&lt;D xsi:type="xsd:long"&gt;41093&lt;/D&gt;&lt;D xsi:type="xsd:long"&gt;41095&lt;/D&gt;&lt;D xsi:type="xsd:long"&gt;41096&lt;/D&gt;&lt;D xsi:type="xsd:long"&gt;41099&lt;/D&gt;&lt;D xsi:type="xsd:long"&gt;41100&lt;/D&gt;&lt;D xsi:type="xsd:long"&gt;41101&lt;/D&gt;&lt;D xsi:type="xsd:long"&gt;41102&lt;/D&gt;&lt;D xsi:type="xsd:long"&gt;41103&lt;/D&gt;&lt;D xsi:type="xsd:long"&gt;41106&lt;/D&gt;&lt;D xsi:type="xsd:long"&gt;41107&lt;/D&gt;&lt;D xsi:type="xsd:long"&gt;41108&lt;/D&gt;&lt;D xsi:type="xsd:long"&gt;41109&lt;/D&gt;&lt;D xsi:type="xsd:long"&gt;41110&lt;/D&gt;&lt;D xsi:type="xsd:long"&gt;41113&lt;/D&gt;&lt;D xsi:type="xsd:long"&gt;41114&lt;/D</t>
      </text>
    </comment>
    <comment authorId="0" ref="A18">
      <text>
        <t xml:space="preserve">======
ID#AAAB10qfXvI
Park, Jason S.    (2026-03-18 17:29:02)
/D&gt;&lt;D xsi:type="xsd:double"&gt;34.73&lt;/D&gt;&lt;D xsi:type="xsd:double"&gt;34.24&lt;/D&gt;&lt;D xsi:type="xsd:double"&gt;33.865&lt;/D&gt;&lt;D xsi:type="xsd:double"&gt;34.91&lt;/D&gt;&lt;D xsi:type="xsd:double"&gt;35.3&lt;/D&gt;&lt;D xsi:type="xsd:double"&gt;35.18&lt;/D&gt;&lt;D xsi:type="xsd:double"&gt;34.47&lt;/D&gt;&lt;D xsi:type="xsd:double"&gt;34.27&lt;/D&gt;&lt;D xsi:type="xsd:double"&gt;34.77&lt;/D&gt;&lt;D xsi:type="xsd:double"&gt;34.81&lt;/D&gt;&lt;D xsi:type="xsd:double"&gt;34.75&lt;/D&gt;&lt;D xsi:type="xsd:double"&gt;34.985&lt;/D&gt;&lt;D xsi:type="xsd:double"&gt;34.935&lt;/D&gt;&lt;D xsi:type="xsd:double"&gt;34.04&lt;/D&gt;&lt;D xsi:type="xsd:double"&gt;34.83&lt;/D&gt;&lt;D xsi:type="xsd:double"&gt;35.09&lt;/D&gt;&lt;D xsi:type="xsd:double"&gt;34.77&lt;/D&gt;&lt;D xsi:type="xsd:double"&gt;34.46&lt;/D&gt;&lt;D xsi:type="xsd:double"&gt;34.45&lt;/D&gt;&lt;D xsi:type="xsd:double"&gt;34.36&lt;/D&gt;&lt;D xsi:type="xsd:double"&gt;34.48&lt;/D&gt;&lt;D xsi:type="xsd:double"&gt;34.66&lt;/D&gt;&lt;D xsi:type="xsd:double"&gt;34.3&lt;/D&gt;&lt;D xsi:type="xsd:double"&gt;33.16&lt;/D&gt;&lt;D xsi:type="xsd:double"&gt;32.64&lt;/D&gt;&lt;D xsi:type="xsd:double"&gt;32.1&lt;/D&gt;&lt;D xsi:type="xsd:double"&gt;32.11&lt;/D&gt;&lt;D xsi:type="xsd:double"&gt;32.4&lt;/D&gt;&lt;D xsi:type="xsd:double"&gt;32.86&lt;/D&gt;&lt;D xsi:type="xsd:double"&gt;33.21&lt;/D&gt;&lt;D xsi:type="xsd:double"&gt;33.35&lt;/D&gt;&lt;D xsi:type="xsd:double"&gt;33.84&lt;/D&gt;&lt;D xsi:type="xsd:double"&gt;34&lt;/D&gt;&lt;D xsi:type="xsd:double"&gt;34.15&lt;/D&gt;&lt;D xsi:type="xsd:double"&gt;34.31&lt;/D&gt;&lt;D xsi:type="xsd:double"&gt;34.11&lt;/D&gt;&lt;D xsi:type="xsd:double"&gt;33.86&lt;/D&gt;&lt;D xsi:type="xsd:double"&gt;34.03&lt;/D&gt;&lt;D xsi:type="xsd:double"&gt;34.71&lt;/D&gt;&lt;D xsi:type="xsd:double"&gt;34.47&lt;/D&gt;&lt;D xsi:type="xsd:double"&gt;34.59&lt;/D&gt;&lt;D xsi:type="xsd:double"&gt;34.9&lt;/D&gt;&lt;D xsi:type="xsd:double"&gt;34.4&lt;/D&gt;&lt;D xsi:type="xsd:double"&gt;33.37&lt;/D&gt;&lt;D xsi:type="xsd:double"&gt;33.44&lt;/D&gt;&lt;D xsi:type="xsd:double"&gt;33.59&lt;/D&gt;&lt;D xsi:type="xsd:double"&gt;33.04&lt;/D&gt;&lt;D xsi:type="xsd:double"&gt;32.75&lt;/D&gt;&lt;D xsi:type="xsd:double"&gt;32.8&lt;/D&gt;&lt;D xsi:type="xsd:double"&gt;32.04&lt;/D&gt;&lt;D xsi:type="xsd:double"&gt;32.21&lt;/D&gt;&lt;D xsi:type="xsd:double"&gt;32.14&lt;/D&gt;&lt;D xsi:type="xsd:double"&gt;32.52&lt;/D&gt;&lt;D xsi:type="xsd:double"&gt;32.315&lt;/D&gt;&lt;D xsi:type="xsd:double"&gt;31.74&lt;/D&gt;&lt;D xsi:type="xsd:double"&gt;31.21&lt;/D&gt;&lt;D xsi:type="xsd:double"&gt;30.51&lt;/D&gt;&lt;D xsi:type="xsd:double"&gt;30&lt;/D&gt;&lt;D xsi:type="xsd:double"&gt;30.14&lt;/D&gt;&lt;D xsi:type="xsd:double"&gt;29.24&lt;/D&gt;&lt;D xsi:type="xsd:double"&gt;28.76&lt;/D&gt;&lt;D xsi:type="xsd:double"&gt;28.81&lt;/D&gt;&lt;D xsi:type="xsd:double"&gt;28.48&lt;/D&gt;&lt;D xsi:type="xsd:double"&gt;28.74&lt;/D&gt;&lt;D xsi:type="xsd:double"&gt;28.67&lt;/D&gt;&lt;D xsi:type="xsd:double"&gt;29.16&lt;/D&gt;&lt;D xsi:type="xsd:double"&gt;29.02&lt;/D&gt;&lt;D xsi:type="xsd:double"&gt;29.71&lt;/D&gt;&lt;D xsi:type="xsd:double"&gt;29.77&lt;/D&gt;&lt;D xsi:type="xsd:double"&gt;29.73&lt;/D&gt;&lt;D xsi:type="xsd:double"&gt;29.39&lt;/D&gt;&lt;D xsi:type="xsd:double"&gt;29.47&lt;/D&gt;&lt;D xsi:type="xsd:double"&gt;29.27&lt;/D&gt;&lt;D xsi:type="xsd:double"&gt;29.24&lt;/D&gt;&lt;D xsi:type="xsd:double"&gt;29.5&lt;/D&gt;&lt;D xsi:type="xsd:double"&gt;28.52&lt;/D&gt;&lt;D xsi:type="xsd:double"&gt;29.08&lt;/D&gt;&lt;D xsi:type="xsd:double"&gt;28.6&lt;/D&gt;&lt;D xsi:type="xsd:double"&gt;27.82&lt;/D&gt;&lt;D xsi:type="xsd:double"&gt;28.54&lt;/D&gt;&lt;D xsi:type="xsd:double"&gt;28.42&lt;/D&gt;&lt;D xsi:type="xsd:double"&gt;27.72&lt;/D&gt;&lt;D xsi:type="xsd:double"&gt;27.3&lt;/D&gt;&lt;D xsi:type="xsd:double"&gt;25.87&lt;/D&gt;&lt;D xsi:type="xsd:double"&gt;26.25&lt;/D&gt;&lt;D xsi:type="xsd:double"&gt;26.56&lt;/D&gt;&lt;D xsi:type="xsd:double"&gt;27.53&lt;/D&gt;&lt;D xsi:type="xsd:double"&gt;28.36&lt;/D&gt;&lt;D xsi:type="xsd:double"&gt;28.91&lt;/D&gt;&lt;D xsi:type="xsd:double"&gt;29.08&lt;/D&gt;&lt;D xsi:type="xsd:double"&gt;29.02&lt;/D&gt;&lt;D xsi:type="xsd:double"&gt;28.87&lt;/D&gt;&lt;D xsi:type="xsd:double"&gt;29.46&lt;/D&gt;&lt;D xsi:type="xsd:double"&gt;28.97&lt;/D&gt;&lt;D xsi:type="xsd:double"&gt;29.64&lt;/D&gt;&lt;D xsi:type="xsd:double"&gt;28.88&lt;/D&gt;&lt;D xsi:type="xsd:double"&gt;29.01&lt;/D&gt;&lt;D xsi:type="xsd:double"&gt;29.12&lt;/D&gt;&lt;D xsi:type="xsd:double"&gt;29.13&lt;/D&gt;&lt;D xsi:type="xsd:double"&gt;29.05&lt;/D&gt;&lt;D xsi:type="xsd:double"&gt;28.95&lt;/D&gt;&lt;D xsi:type="xsd:double"&gt;28.91&lt;/D&gt;&lt;D xsi:type="xsd:double"&gt;29.01&lt;/D&gt;&lt;D xsi:type="xsd:double"&gt;28.96&lt;/D&gt;&lt;D xsi:type="xsd:double"&gt;28.35&lt;/D&gt;&lt;D xsi:type="xsd:double"&gt;28.06&lt;/D&gt;&lt;D xsi:type="xsd:double"&gt;28.595&lt;/D&gt;&lt;D xsi:type="xsd:double"&gt;28.605&lt;/D&gt;&lt;D xsi:type="xsd:double"&gt;28.72&lt;/D&gt;&lt;D xsi:type="xsd:double"&gt;29.1&lt;/D&gt;&lt;D xsi:type="xsd:double"&gt;29.47&lt;/D&gt;&lt;D xsi:type="xsd:double"&gt;29.9&lt;/D&gt;&lt;D xsi:type="xsd:double"&gt;29.69&lt;/D&gt;&lt;D xsi:type="xsd:double"&gt;29.65&lt;/D&gt;&lt;D xsi:type="xsd:double"&gt;29.73&lt;/D&gt;&lt;D xsi:type="xsd:double"&gt;29.17&lt;/D&gt;&lt;D xsi:type="xsd:double"&gt;28.93&lt;/D&gt;&lt;D xsi:type="xsd:double"&gt;29.5&lt;/D&gt;&lt;D xsi:type="xsd:double"&gt;29.9&lt;/D&gt;&lt;D xsi:type="xsd:double"&gt;30.04&lt;/D&gt;&lt;D xsi:type="xsd:double"&gt;30</t>
      </text>
    </comment>
    <comment authorId="0" ref="A35">
      <text>
        <t xml:space="preserve">======
ID#AAAB10qfXvE
Park, Jason S.    (2026-03-18 17:29:02)
"&gt;29.77&lt;/D&gt;&lt;D xsi:type="xsd:double"&gt;29.04&lt;/D&gt;&lt;D xsi:type="xsd:double"&gt;28.82&lt;/D&gt;&lt;D xsi:type="xsd:double"&gt;28.81&lt;/D&gt;&lt;D xsi:type="xsd:double"&gt;28.23&lt;/D&gt;&lt;D xsi:type="xsd:double"&gt;28.22&lt;/D&gt;&lt;D xsi:type="xsd:double"&gt;28.64&lt;/D&gt;&lt;D xsi:type="xsd:double"&gt;28.78&lt;/D&gt;&lt;D xsi:type="xsd:double"&gt;29.47&lt;/D&gt;&lt;D xsi:type="xsd:double"&gt;29.42&lt;/D&gt;&lt;D xsi:type="xsd:double"&gt;28.71&lt;/D&gt;&lt;D xsi:type="xsd:double"&gt;29.35&lt;/D&gt;&lt;D xsi:type="xsd:double"&gt;28.8&lt;/D&gt;&lt;D xsi:type="xsd:double"&gt;29.19&lt;/D&gt;&lt;D xsi:type="xsd:double"&gt;29.62&lt;/D&gt;&lt;D xsi:type="xsd:double"&gt;29.8&lt;/D&gt;&lt;D xsi:type="xsd:double"&gt;29.59&lt;/D&gt;&lt;D xsi:type="xsd:double"&gt;30.37&lt;/D&gt;&lt;D xsi:type="xsd:double"&gt;30.54&lt;/D&gt;&lt;D xsi:type="xsd:double"&gt;30.58&lt;/D&gt;&lt;D xsi:type="xsd:double"&gt;30.63&lt;/D&gt;&lt;D xsi:type="xsd:double"&gt;30.94&lt;/D&gt;&lt;D xsi:type="xsd:double"&gt;30.56&lt;/D&gt;&lt;D xsi:type="xsd:double"&gt;30.865&lt;/D&gt;&lt;D xsi:type="xsd:double"&gt;31.25&lt;/D&gt;&lt;D xsi:type="xsd:double"&gt;31.76&lt;/D&gt;&lt;D xsi:type="xsd:double"&gt;31.43&lt;/D&gt;&lt;D xsi:type="xsd:double"&gt;31.65&lt;/D&gt;&lt;D xsi:type="xsd:double"&gt;31.69&lt;/D&gt;&lt;D xsi:type="xsd:double"&gt;31.98&lt;/D&gt;&lt;D xsi:type="xsd:double"&gt;32.68&lt;/D&gt;&lt;D xsi:type="xsd:double"&gt;32.34&lt;/D&gt;&lt;D xsi:type="xsd:double"&gt;32.32&lt;/D&gt;&lt;D xsi:type="xsd:double"&gt;32&lt;/D&gt;&lt;D xsi:type="xsd:double"&gt;31.88&lt;/D&gt;&lt;D xsi:type="xsd:double"&gt;31.9&lt;/D&gt;&lt;D xsi:type="xsd:double"&gt;32.38&lt;/D&gt;&lt;D xsi:type="xsd:double"&gt;32.71&lt;/D&gt;&lt;D xsi:type="xsd:double"&gt;32.35&lt;/D&gt;&lt;D xsi:type="xsd:double"&gt;32.45&lt;/D&gt;&lt;D xsi:type="xsd:double"&gt;32&lt;/D&gt;&lt;D xsi:type="xsd:double"&gt;31.9&lt;/D&gt;&lt;D xsi:type="xsd:double"&gt;32.08&lt;/D&gt;&lt;D xsi:type="xsd:double"&gt;31.55&lt;/D&gt;&lt;D xsi:type="xsd:double"&gt;31.63&lt;/D&gt;&lt;D xsi:type="xsd:double"&gt;31.67&lt;/D&gt;&lt;D xsi:type="xsd:double"&gt;31.86&lt;/D&gt;&lt;D xsi:type="xsd:double"&gt;32.13&lt;/D&gt;&lt;D xsi:type="xsd:double"&gt;31.8&lt;/D&gt;&lt;D xsi:type="xsd:double"&gt;31.46&lt;/D&gt;&lt;D xsi:type="xsd:double"&gt;31.65&lt;/D&gt;&lt;D xsi:type="xsd:double"&gt;31.6&lt;/D&gt;&lt;D xsi:type="xsd:double"&gt;32&lt;/D&gt;&lt;D xsi:type="xsd:double"&gt;31.97&lt;/D&gt;&lt;D xsi:type="xsd:double"&gt;31.64&lt;/D&gt;&lt;D xsi:type="xsd:double"&gt;31.39&lt;/D&gt;&lt;D xsi:type="xsd:double"&gt;31.4&lt;/D&gt;&lt;D xsi:type="xsd:double"&gt;31.75&lt;/D&gt;&lt;D xsi:type="xsd:double"&gt;31.11&lt;/D&gt;&lt;D xsi:type="xsd:double"&gt;30.28&lt;/D&gt;&lt;D xsi:type="xsd:double"&gt;30.61&lt;/D&gt;&lt;D xsi:type="xsd:double"&gt;30.36&lt;/D&gt;&lt;D xsi:type="xsd:double"&gt;29.85&lt;/D&gt;&lt;D xsi:type="xsd:double"&gt;29.9&lt;/D&gt;&lt;D xsi:type="xsd:double"&gt;30.04&lt;/D&gt;&lt;D xsi:type="xsd:double"&gt;29.8&lt;/D&gt;&lt;D xsi:type="xsd:double"&gt;30.14&lt;/D&gt;&lt;D xsi:type="xsd:double"&gt;30.06&lt;/D&gt;&lt;D xsi:type="xsd:double"&gt;29.76&lt;/D&gt;&lt;D xsi:type="xsd:double"&gt;29.91&lt;/D&gt;&lt;D xsi:type="xsd:double"&gt;30.39&lt;/D&gt;&lt;D xsi:type="xsd:double"&gt;29.98&lt;/D&gt;&lt;D xsi:type="xsd:double"&gt;29.99&lt;/D&gt;&lt;D xsi:type="xsd:double"&gt;29.63&lt;/D&gt;&lt;D xsi:type="xsd:double"&gt;30.15&lt;/D&gt;&lt;D xsi:type="xsd:double"&gt;30.23&lt;/D&gt;&lt;D xsi:type="xsd:double"&gt;31.06&lt;/D&gt;&lt;D xsi:type="xsd:double"&gt;31.39&lt;/D&gt;&lt;D xsi:type="xsd:double"&gt;31.49&lt;/D&gt;&lt;D xsi:type="xsd:double"&gt;31.57&lt;/D&gt;&lt;D xsi:type="xsd:double"&gt;31.59&lt;/D&gt;&lt;D xsi:type="xsd:double"&gt;31.66&lt;/D&gt;&lt;D xsi:type="xsd:double"&gt;31.76&lt;/D&gt;&lt;D xsi:type="xsd:double"&gt;31.62&lt;/D&gt;&lt;D xsi:type="xsd:double"&gt;31.68&lt;/D&gt;&lt;D xsi:type="xsd:double"&gt;31.88&lt;/D&gt;&lt;D xsi:type="xsd:double"&gt;31.89&lt;/D&gt;&lt;D xsi:type="xsd:double"&gt;31.94&lt;/D&gt;&lt;D xsi:type="xsd:double"&gt;32.04&lt;/D&gt;&lt;D xsi:type="xsd:double"&gt;32.17&lt;/D&gt;&lt;D xsi:type="xsd:double"&gt;32.14&lt;/D&gt;&lt;D xsi:type="xsd:double"&gt;31.61&lt;/D&gt;&lt;D xsi:type="xsd:double"&gt;31.69&lt;/D&gt;&lt;D xsi:type="xsd:double"&gt;31.76&lt;/D&gt;&lt;D xsi:type="xsd:double"&gt;32.17&lt;/D&gt;&lt;D xsi:type="xsd:double"&gt;32.32&lt;/D&gt;&lt;D xsi:type="xsd:double"&gt;32.29&lt;/D&gt;&lt;D xsi:type="xsd:double"&gt;32.99&lt;/D&gt;&lt;D xsi:type="xsd:double"&gt;31.55&lt;/D&gt;&lt;D xsi:type="xsd:double"&gt;30.72&lt;/D&gt;&lt;D xsi:type="xsd:double"&gt;31.19&lt;/D&gt;&lt;D xsi:type="xsd:double"&gt;31.93&lt;/D&gt;&lt;D xsi:type="xsd:double"&gt;32.8&lt;/D&gt;&lt;D xsi:type="xsd:double"&gt;32.75&lt;/D&gt;&lt;D xsi:type="xsd:double"&gt;32.68&lt;/D&gt;&lt;D xsi:type="xsd:double"&gt;32.97&lt;/D&gt;&lt;D xsi:type="xsd:double"&gt;33.2&lt;/D&gt;&lt;D xsi:type="xsd:double"&gt;34&lt;/D&gt;&lt;D xsi:type="xsd:double"&gt;34.38&lt;/D&gt;&lt;D xsi:type="xsd:double"&gt;34.94&lt;/D&gt;&lt;D xsi:type="xsd:double"&gt;35.01&lt;/D&gt;&lt;D xsi:type="xsd:double"&gt;35.2&lt;/D&gt;&lt;D xsi:type="xsd:double"&gt;35.07&lt;/D&gt;&lt;D xsi:type="xsd:double"&gt;35.05&lt;/D&gt;&lt;D xsi:type="xsd:double"&gt;35.15&lt;/D&gt;&lt;D xsi:type="xsd:double"&gt;35.69&lt;/D&gt;&lt;D xsi:type="xsd:double"&gt;34.27&lt;/D&gt;&lt;D xsi:type="xsd:double"&gt;34.66&lt;/D&gt;&lt;D xsi:type="xsd:double"&gt;34.69&lt;/D&gt;&lt;D xsi:type="xsd:double"&gt;35.09&lt;/D&gt;&lt;D xsi:type="xsd:double"&gt;34.83&lt;/D&gt;&lt;D xsi:type="xsd:double"&gt;34.</t>
      </text>
    </comment>
    <comment authorId="0" ref="A36">
      <text>
        <t xml:space="preserve">======
ID#AAAB10qfXvA
Park, Jason S.    (2026-03-18 17:29:02)
i:type="xsd:double"&gt;56.53&lt;/D&gt;&lt;D xsi:type="xsd:double"&gt;56.59&lt;/D&gt;&lt;D xsi:type="xsd:double"&gt;57.07&lt;/D&gt;&lt;D xsi:type="xsd:double"&gt;57.55&lt;/D&gt;&lt;D xsi:type="xsd:double"&gt;57.79&lt;/D&gt;&lt;D xsi:type="xsd:double"&gt;57.7&lt;/D&gt;&lt;D xsi:type="xsd:double"&gt;57.3&lt;/D&gt;&lt;D xsi:type="xsd:double"&gt;57.17&lt;/D&gt;&lt;D xsi:type="xsd:double"&gt;57.96&lt;/D&gt;&lt;D xsi:type="xsd:double"&gt;58.95&lt;/D&gt;&lt;D xsi:type="xsd:double"&gt;59.23&lt;/D&gt;&lt;D xsi:type="xsd:double"&gt;59.41&lt;/D&gt;&lt;D xsi:type="xsd:double"&gt;59.82&lt;/D&gt;&lt;D xsi:type="xsd:double"&gt;60.08&lt;/D&gt;&lt;D xsi:type="xsd:double"&gt;59.62&lt;/D&gt;&lt;D xsi:type="xsd:double"&gt;59.85&lt;/D&gt;&lt;D xsi:type="xsd:double"&gt;60.84&lt;/D&gt;&lt;D xsi:type="xsd:double"&gt;60.1&lt;/D&gt;&lt;D xsi:type="xsd:double"&gt;59.93&lt;/D&gt;&lt;D xsi:type="xsd:double"&gt;58.93&lt;/D&gt;&lt;D xsi:type="xsd:double"&gt;58.97&lt;/D&gt;&lt;D xsi:type="xsd:double"&gt;59.3&lt;/D&gt;&lt;D xsi:type="xsd:double"&gt;58.94&lt;/D&gt;&lt;D xsi:type="xsd:double"&gt;59.59&lt;/D&gt;&lt;D xsi:type="xsd:double"&gt;59.43&lt;/D&gt;&lt;D xsi:type="xsd:double"&gt;58.94&lt;/D&gt;&lt;D xsi:type="xsd:double"&gt;59.66&lt;/D&gt;&lt;D xsi:type="xsd:double"&gt;59.6&lt;/D&gt;&lt;D xsi:type="xsd:double"&gt;60.55&lt;/D&gt;&lt;D xsi:type="xsd:double"&gt;62.73&lt;/D&gt;&lt;D xsi:type="xsd:double"&gt;63.32&lt;/D&gt;&lt;D xsi:type="xsd:double"&gt;68.47&lt;/D&gt;&lt;D xsi:type="xsd:double"&gt;65.69&lt;/D&gt;&lt;D xsi:type="xsd:double"&gt;67.31&lt;/D&gt;&lt;D xsi:type="xsd:double"&gt;66.33&lt;/D&gt;&lt;D xsi:type="xsd:double"&gt;66.47&lt;/D&gt;&lt;D xsi:type="xsd:double"&gt;63.93&lt;/D&gt;&lt;D xsi:type="xsd:double"&gt;64.42&lt;/D&gt;&lt;D xsi:type="xsd:double"&gt;65.46&lt;/D&gt;&lt;D xsi:type="xsd:double"&gt;67.34&lt;/D&gt;&lt;D xsi:type="xsd:double"&gt;67.09&lt;/D&gt;&lt;D xsi:type="xsd:double"&gt;66.02&lt;/D&gt;&lt;D xsi:type="xsd:double"&gt;66.39&lt;/D&gt;&lt;D xsi:type="xsd:double"&gt;67.41&lt;/D&gt;&lt;D xsi:type="xsd:double"&gt;67.46&lt;/D&gt;&lt;D xsi:type="xsd:double"&gt;67.44&lt;/D&gt;&lt;D xsi:type="xsd:double"&gt;67.27&lt;/D&gt;&lt;D xsi:type="xsd:double"&gt;66.14&lt;/D&gt;&lt;D xsi:type="xsd:double"&gt;67.11&lt;/D&gt;&lt;D xsi:type="xsd:double"&gt;65.45&lt;/D&gt;&lt;D xsi:type="xsd:double"&gt;64.34&lt;/D&gt;&lt;D xsi:type="xsd:double"&gt;61.76&lt;/D&gt;&lt;D xsi:type="xsd:double"&gt;59.73&lt;/D&gt;&lt;D xsi:type="xsd:double"&gt;59.65&lt;/D&gt;&lt;D xsi:type="xsd:double"&gt;55.83&lt;/D&gt;&lt;D xsi:type="xsd:double"&gt;55.52&lt;/D&gt;&lt;D xsi:type="xsd:double"&gt;58.18&lt;/D&gt;&lt;D xsi:type="xsd:double"&gt;55.97&lt;/D&gt;&lt;D xsi:type="xsd:double"&gt;58.68&lt;/D&gt;&lt;D xsi:type="xsd:double"&gt;56.96&lt;/D&gt;&lt;D xsi:type="xsd:double"&gt;55.77&lt;/D&gt;&lt;D xsi:type="xsd:double"&gt;50.85&lt;/D&gt;&lt;D xsi:type="xsd:double"&gt;53.98&lt;/D&gt;&lt;D xsi:type="xsd:double"&gt;51.66&lt;/D&gt;&lt;D xsi:type="xsd:double"&gt;45.54&lt;/D&gt;&lt;D xsi:type="xsd:double"&gt;54.43&lt;/D&gt;&lt;D xsi:type="xsd:double"&gt;44.61&lt;/D&gt;&lt;D xsi:type="xsd:double"&gt;50.08&lt;/D&gt;&lt;D xsi:type="xsd:double"&gt;47.61&lt;/D&gt;&lt;D xsi:type="xsd:double"&gt;45.94&lt;/D&gt;&lt;D xsi:type="xsd:double"&gt;45.83&lt;/D&gt;&lt;D xsi:type="xsd:double"&gt;49.58&lt;/D&gt;&lt;D xsi:type="xsd:double"&gt;52.4&lt;/D&gt;&lt;D xsi:type="xsd:double"&gt;51.26&lt;/D&gt;&lt;D xsi:type="xsd:double"&gt;55.54&lt;/D&gt;&lt;D xsi:type="xsd:double"&gt;52.37&lt;/D&gt;&lt;D xsi:type="xsd:double"&gt;55.49&lt;/D&gt;&lt;D xsi:type="xsd:double"&gt;54.12&lt;/D&gt;&lt;D xsi:type="xsd:double"&gt;51.88&lt;/D&gt;&lt;D xsi:type="xsd:double"&gt;54.35&lt;/D&gt;&lt;D xsi:type="xsd:double"&gt;54.13&lt;/D&gt;&lt;D xsi:type="xsd:double"&gt;58.43&lt;/D&gt;&lt;D xsi:type="xsd:double"&gt;58.4&lt;/D&gt;&lt;D xsi:type="xsd:double"&gt;58.98&lt;/D&gt;&lt;D xsi:type="xsd:double"&gt;57.14&lt;/D&gt;&lt;D xsi:type="xsd:double"&gt;58.7&lt;/D&gt;&lt;D xsi:type="xsd:double"&gt;60.66&lt;/D&gt;&lt;D xsi:type="xsd:double"&gt;58.87&lt;/D&gt;&lt;D xsi:type="xsd:double"&gt;60.79&lt;/D&gt;&lt;D xsi:type="xsd:double"&gt;60.36&lt;/D&gt;&lt;D xsi:type="xsd:double"&gt;59.18&lt;/D&gt;&lt;D xsi:type="xsd:double"&gt;56.36&lt;/D&gt;&lt;D xsi:type="xsd:double"&gt;60.1&lt;/D&gt;&lt;D xsi:type="xsd:double"&gt;59.04&lt;/D&gt;&lt;D xsi:type="xsd:double"&gt;59.26&lt;/D&gt;&lt;D xsi:type="xsd:double"&gt;59.47&lt;/D&gt;&lt;D xsi:type="xsd:double"&gt;58.75&lt;/D&gt;&lt;D xsi:type="xsd:double"&gt;61.8&lt;/D&gt;&lt;D xsi:type="xsd:double"&gt;59.98&lt;/D&gt;&lt;D xsi:type="xsd:double"&gt;57.47&lt;/D&gt;&lt;D xsi:type="xsd:double"&gt;57.99&lt;/D&gt;&lt;D xsi:type="xsd:double"&gt;58.75&lt;/D&gt;&lt;D xsi:type="xsd:double"&gt;59.18&lt;/D&gt;&lt;D xsi:type="xsd:double"&gt;59.17&lt;/D&gt;&lt;D xsi:type="xsd:double"&gt;59.67&lt;/D&gt;&lt;D xsi:type="xsd:double"&gt;60.13&lt;/D&gt;&lt;D xsi:type="xsd:double"&gt;58.39&lt;/D&gt;&lt;D xsi:type="xsd:double"&gt;57.74&lt;/D&gt;&lt;D xsi:type="xsd:double"&gt;59.08&lt;/D&gt;&lt;D xsi:type="xsd:double"&gt;58.28&lt;/D&gt;&lt;D xsi:type="xsd:double"&gt;59.92&lt;/D&gt;&lt;D xsi:type="xsd:double"&gt;60.29&lt;/D&gt;&lt;D xsi:type="xsd:double"&gt;63.1&lt;/D&gt;&lt;D xsi:type="xsd:double"&gt;61.98&lt;/D&gt;&lt;D xsi:type="xsd:double"&gt;62.255&lt;/D&gt;&lt;D xsi:type="xsd:double"&gt;62.34&lt;/D&gt;&lt;D xsi:type="xsd:double"&gt;63.56&lt;/D&gt;&lt;D xsi:type="xsd:double"&gt;61.7&lt;/D&gt;&lt;D xsi:type="xsd:double"&gt;62.93&lt;/D&gt;&lt;D xsi:type="xsd:double"&gt;61.86&lt;/D&gt;&lt;D xsi:type="xsd:double"&gt;62.12&lt;/</t>
      </text>
    </comment>
    <comment authorId="0" ref="A15">
      <text>
        <t xml:space="preserve">======
ID#AAAB10qfXu8
Park, Jason S.    (2026-03-18 17:29:02)
ATA(EBIT,MEAN,BUS,+5,+8,Q,'CURRENCY=USD')&lt;/Q&gt;&lt;R&gt;3&lt;/R&gt;&lt;C&gt;4&lt;/C&gt;&lt;D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xsi:type="xsd:string"&gt;@NA&lt;/D&gt;&lt;/FQL&gt;&lt;FQL&gt;&lt;Q&gt;INTC^FE_TIMESERIES_SHARP(SALES,MEAN,-1,0,Y,'CURRENCY=USD')&lt;/Q&gt;&lt;R&gt;2&lt;/R&gt;&lt;C&gt;1&lt;/C&gt;&lt;D xsi:type="xsd:string"&gt;@NA&lt;/D&gt;&lt;D xsi:type="xsd:string"&gt;@NA&lt;/D&gt;&lt;/FQL&gt;&lt;FQL&gt;&lt;Q&gt;INTC^JULIAN(FMA_EPS(NTMA,0,-9AY,D,USD,"PORTAGG","MEANR").DATES)&lt;/Q&gt;&lt;R&gt;0&lt;/R&gt;&lt;C&gt;0&lt;/C&gt;&lt;/FQL&gt;&lt;FQL&gt;&lt;Q&gt;INTC^FMA_EPS(NTMA,0,-9AY,D,USD,"PORTAGG","MEDIANR")&lt;/Q&gt;&lt;R&gt;0&lt;/R&gt;&lt;C&gt;0&lt;/C&gt;&lt;/FQL&gt;&lt;FQL&gt;&lt;Q&gt;INTC^P_PRICE(0,-9AY,D,USD)&lt;/Q&gt;&lt;R&gt;2268&lt;/R&gt;&lt;C&gt;1&lt;/C&gt;&lt;D xsi:type="xsd:double"&gt;52.16&lt;/D&gt;&lt;D xsi:type="xsd:double"&gt;52.43&lt;/D&gt;&lt;D xsi:type="xsd:double"&gt;52.18&lt;/D&gt;&lt;D xsi:type="xsd:double"&gt;52.31&lt;/D&gt;&lt;D xsi:type="xsd:double"&gt;51.91&lt;/D&gt;&lt;D xsi:type="xsd:double"&gt;51.98&lt;/D&gt;&lt;D xsi:type="xsd:double"&gt;51.72&lt;/D&gt;&lt;D xsi:type="xsd:double"&gt;51.75&lt;/D&gt;&lt;D xsi:type="xsd:double"&gt;52.01&lt;/D&gt;&lt;D xsi:type="xsd:double"&gt;52.22&lt;/D&gt;&lt;D xsi:type="xsd:double"&gt;52.35&lt;/D&gt;&lt;D xsi:type="xsd:double"&gt;51.2&lt;/D&gt;&lt;D xsi:type="xsd:double"&gt;52.16&lt;/D&gt;&lt;D xsi:type="xsd:double"&gt;51.86&lt;/D&gt;&lt;D xsi:type="xsd:double"&gt;51.37&lt;/D&gt;&lt;D xsi:type="xsd:double"&gt;50.75&lt;/D&gt;&lt;D xsi:type="xsd:double"&gt;49.47&lt;/D&gt;&lt;D xsi:type="xsd:double"&gt;50.2&lt;/D&gt;&lt;D xsi:type="xsd:double"&gt;49.71&lt;/D&gt;&lt;D xsi:type="xsd:double"&gt;49.25&lt;/D&gt;&lt;D xsi:type="xsd:double"&gt;48.76&lt;/D&gt;&lt;D xsi:type="xsd:double"&gt;49.67&lt;/D&gt;&lt;D xsi:type="xsd:double"&gt;50.71&lt;/D&gt;&lt;D xsi:type="xsd:double"&gt;52.5&lt;/D&gt;&lt;D xsi:type="xsd:double"&gt;52.19&lt;/D&gt;&lt;D xsi:type="xsd:double"&gt;53.46&lt;/D&gt;&lt;D xsi:type="xsd:double"&gt;52.93&lt;/D&gt;&lt;D xsi:type="xsd:double"&gt;53.22&lt;/D&gt;&lt;D xsi:type="xsd:double"&gt;55.11&lt;/D&gt;&lt;D xsi:type="xsd:double"&gt;55.54&lt;/D&gt;&lt;D xsi:type="xsd:double"&gt;55.03&lt;/D&gt;&lt;D xsi:type="xsd:double"&gt;54.82&lt;/D&gt;&lt;D xsi:type="xsd:double"&gt;54.52&lt;/D&gt;&lt;D xsi:type="xsd:double"&gt;55.05&lt;/D&gt;&lt;D xsi:type="xsd:double"&gt;55.88&lt;/D&gt;&lt;D xsi:type="xsd:double"&gt;57.03&lt;/D&gt;&lt;D xsi:type="xsd:double"&gt;56.53&lt;/D&gt;&lt;D xsi:type="xsd:double"&gt;56.83&lt;/D&gt;&lt;D xsi:type="xsd:double"&gt;57.08&lt;/D&gt;&lt;D xsi:type="xsd:double"&gt;55.2&lt;/D&gt;&lt;D xsi:type="xsd:double"&gt;55.68&lt;/D&gt;&lt;D xsi:type="xsd:double"&gt;55.32&lt;/D&gt;&lt;D xsi:type="xsd:double"&gt;55.44&lt;/D&gt;&lt;D xsi:type="xsd:double"&gt;54.75&lt;/D&gt;&lt;D xsi:type="xsd:double"&gt;55.21&lt;/D&gt;&lt;D xsi:type="xsd:double"&gt;54.45&lt;/D&gt;&lt;D xsi:type="xsd:double"&gt;54.32&lt;/D&gt;&lt;D xsi:type="xsd:double"&gt;53.5&lt;/D&gt;&lt;D xsi:type="xsd:double"&gt;54.81&lt;/D&gt;&lt;D xsi:type="xsd:double"&gt;54.64&lt;/D&gt;&lt;D xsi:type="xsd:double"&gt;53.92&lt;/D&gt;&lt;D xsi:type="xsd:double"&gt;54.9&lt;/D&gt;&lt;D xsi:type="xsd:double"&gt;54.67&lt;/D&gt;&lt;D xsi:type="xsd:double"&gt;54.98&lt;/D&gt;&lt;D xsi:type="xsd:double"&gt;54.34&lt;/D&gt;&lt;D xsi:type="xsd:double"&gt;53.63&lt;/D&gt;&lt;D xsi:type="xsd:double"&gt;53.33&lt;/D&gt;&lt;D xsi:type="xsd:double"&gt;52.78&lt;/D&gt;&lt;D xsi:type="xsd:double"&gt;52.28&lt;/D&gt;&lt;D xsi:type="xsd:double"&gt;52.31&lt;/D&gt;&lt;D xsi:type="xsd:double"&gt;53.33&lt;/D&gt;&lt;D xsi:type="xsd:double"&gt;51.62&lt;/D&gt;&lt;D xsi:type="xsd:double"&gt;52.73&lt;/D&gt;&lt;D xsi:type="xsd:double"&gt;53.05&lt;/D&gt;&lt;D xsi:type="xsd:double"&gt;51.38&lt;/D&gt;&lt;D xsi:type="xsd:double"&gt;51.45&lt;/D&gt;&lt;D xsi:type="xsd:double"&gt;51.1&lt;/D&gt;&lt;D xsi:type="xsd:double"&gt;51.53&lt;/D&gt;&lt;D xsi:type="xsd:double"&gt;52.22&lt;/D&gt;&lt;D xsi:type="xsd:double"&gt;53.61&lt;/D&gt;&lt;D xsi:type="xsd:double"&gt;53.54&lt;/D&gt;&lt;D xsi:type="xsd:double"&gt;52.4&lt;/D&gt;&lt;D xsi:type="xsd:double"&gt;51.86&lt;/D&gt;&lt;D xsi:type="xsd:double"&gt;52.72&lt;/D&gt;&lt;D xsi:type="xsd:double"&gt;51.1&lt;/D&gt;&lt;D xsi:type="xsd:double"&gt;51.27&lt;/D&gt;&lt;D xsi:type="xsd:double"&gt;49.55&lt;/D&gt;&lt;D xsi:type="xsd:double"&gt;48.79&lt;/D&gt;&lt;D xsi:type="xsd:double"&gt;50.38&lt;/D&gt;&lt;D xsi:type="xsd:double"&gt;49.99&lt;/D&gt;&lt;D xsi:type="xsd:double"&gt;49.75&lt;/D&gt;&lt;D xsi:type="xsd:double"&gt;48.92&lt;/D&gt;&lt;D xsi:type="xsd:double"&gt;52.08&lt;/D&gt;&lt;D xsi:type="xsd:double"&gt;49.6&lt;/D&gt;&lt;D xsi:type="xsd:double"&gt;51.19&lt;/D&gt;&lt;D xsi:type="xsd:double"&gt;52.48&lt;/D&gt;&lt;D xsi:type="xsd:double"&gt;49.36&lt;/D&gt;&lt;D xsi:type="xsd:double"&gt;50.83&lt;/D&gt;&lt;D xsi:type="xsd:double"&gt;51.56&lt;/D&gt;&lt;D xsi:type="xsd:double"&gt;51.55&lt;/D&gt;&lt;D xsi:type="xsd:double"&gt;50.83&lt;/D&gt;&lt;D xsi:type="xsd:double"&gt;51.17&lt;/D&gt;&lt;D xsi:type="xsd:double"&gt;50.88&lt;/D&gt;&lt;D xsi:type="xsd:double"&gt;51.86&lt;/D&gt;&lt;D xsi:type="xsd:double"&gt;51.78&lt;/D&gt;&lt;D xsi:type="xsd:double"&gt;51.52</t>
      </text>
    </comment>
    <comment authorId="0" ref="A12">
      <text>
        <t xml:space="preserve">======
ID#AAAB10qfXu4
Park, Jason S.    (2026-03-18 17:29:02)
double"&gt;18.258789595133209&lt;/D&gt;&lt;/FQL&gt;&lt;FQL&gt;&lt;Q&gt;MRVL^FF_ENTRPR_VAL_SALES(ANN_R,2019)@FE_VALUATION(EV_SALES,MEDIAN,ANNUAL,2019,0,,,'')&lt;/Q&gt;&lt;R&gt;1&lt;/R&gt;&lt;C&gt;1&lt;/C&gt;&lt;D xsi:type="xsd:double"&gt;3.0524864&lt;/D&gt;&lt;/FQL&gt;&lt;FQL&gt;&lt;Q&gt;QCOM^FF_ENTRPR_VAL_EBITDA_OPER(ANN_R,2019)@FE_VALUATION(EV_EBITDA,MEDIAN,ANNUAL,2019,0,,,'')&lt;/Q&gt;&lt;R&gt;1&lt;/R&gt;&lt;C&gt;1&lt;/C&gt;&lt;D xsi:type="xsd:double"&gt;8.753891&lt;/D&gt;&lt;/FQL&gt;&lt;FQL&gt;&lt;Q&gt;ORCL^FF_PSALES(ANN_R,2018)@FE_VALUATION(PS,MEDIAN,ANNUAL,2018,0,,,'')&lt;/Q&gt;&lt;R&gt;1&lt;/R&gt;&lt;C&gt;1&lt;/C&gt;&lt;D xsi:type="xsd:string"&gt;#NUM&lt;/D&gt;&lt;/FQL&gt;&lt;FQL&gt;&lt;Q&gt;MRVL^FF_DIV_COM_CF(LTM_R,0)&lt;/Q&gt;&lt;R&gt;1&lt;/R&gt;&lt;C&gt;1&lt;/C&gt;&lt;D xsi:type="xsd:double"&gt;119.251&lt;/D&gt;&lt;/FQL&gt;&lt;FQL&gt;&lt;Q&gt;TXN^FF_PE_DIL(ANN_R,2019)@FE_VALUATION(PE,MEDIAN,ANNUAL,2019,0,,,'')&lt;/Q&gt;&lt;R&gt;1&lt;/R&gt;&lt;C&gt;1&lt;/C&gt;&lt;D xsi:type="xsd:double"&gt;18.513668&lt;/D&gt;&lt;/FQL&gt;&lt;FQL&gt;&lt;Q&gt;484628^FF_PSALES(ANN_R,2018)@FE_VALUATION(PS,MEDIAN,ANNUAL,2018,0,,,'')&lt;/Q&gt;&lt;R&gt;1&lt;/R&gt;&lt;C&gt;1&lt;/C&gt;&lt;D xsi:type="xsd:string"&gt;#NUM&lt;/D&gt;&lt;/FQL&gt;&lt;FQL&gt;&lt;Q&gt;MRVL^FF_ENTRPR_VAL_EBITDA_OPER(ANN_R,2019)@FE_VALUATION(EV_EBITDA,MEDIAN,ANNUAL,2019,0,,,'')&lt;/Q&gt;&lt;R&gt;1&lt;/R&gt;&lt;C&gt;1&lt;/C&gt;&lt;D xsi:type="xsd:double"&gt;9.935966&lt;/D&gt;&lt;/FQL&gt;&lt;FQL&gt;&lt;Q&gt;TXN^FF_CAPEX(LTM_R,0)&lt;/Q&gt;&lt;R&gt;1&lt;/R&gt;&lt;C&gt;1&lt;/C&gt;&lt;D xsi:type="xsd:double"&gt;695&lt;/D&gt;&lt;/FQL&gt;&lt;FQL&gt;&lt;Q&gt;IBM^FF_PSALES(ANN_R,2018)@FE_VALUATION(PS,MEDIAN,ANNUAL,2018,0,,,'')&lt;/Q&gt;&lt;R&gt;1&lt;/R&gt;&lt;C&gt;1&lt;/C&gt;&lt;D xsi:type="xsd:string"&gt;#NUM&lt;/D&gt;&lt;/FQL&gt;&lt;FQL&gt;&lt;Q&gt;MRVL^FF_ENTRPR_VAL_SALES(ANN_R,2018)@FE_VALUATION(EV_SALES,MEDIAN,ANNUAL,2018,0,,,'')&lt;/Q&gt;&lt;R&gt;1&lt;/R&gt;&lt;C&gt;1&lt;/C&gt;&lt;D xsi:type="xsd:double"&gt;3.2257342&lt;/D&gt;&lt;/FQL&gt;&lt;FQL&gt;&lt;Q&gt;QRVO^FF_CAPEX(LTM_R,0)&lt;/Q&gt;&lt;R&gt;1&lt;/R&gt;&lt;C&gt;1&lt;/C&gt;&lt;D xsi:type="xsd:double"&gt;403.405&lt;/D&gt;&lt;/FQL&gt;&lt;FQL&gt;&lt;Q&gt;CSCO^FF_PSALES(ANN_R,2018)@FE_VALUATION(PS,MEDIAN,ANNUAL,2018,0,,,'')&lt;/Q&gt;&lt;R&gt;1&lt;/R&gt;&lt;C&gt;1&lt;/C&gt;&lt;D xsi:type="xsd:string"&gt;#NUM&lt;/D&gt;&lt;/FQL&gt;&lt;FQL&gt;&lt;Q&gt;MRVL^FF_PE_DIL(ANN_R,2017)@FE_VALUATION(PE,MEDIAN,ANNUAL,2017,0,,,'')&lt;/Q&gt;&lt;R&gt;1&lt;/R&gt;&lt;C&gt;1&lt;/C&gt;&lt;D xsi:type="xsd:double"&gt;26.43800094295144&lt;/D&gt;&lt;/FQL&gt;&lt;FQL&gt;&lt;Q&gt;QRVO^FF_ENTRPR_VAL_SALES(ANN_R,2019)@FE_VALUATION(EV_SALES,MEDIAN,ANNUAL,2019,0,,,'')&lt;/Q&gt;&lt;R&gt;1&lt;/R&gt;&lt;C&gt;1&lt;/C&gt;&lt;D xsi:type="xsd:double"&gt;2.2634294&lt;/D&gt;&lt;/FQL&gt;&lt;FQL&gt;&lt;Q&gt;QCOM^FF_PSALES(ANN_R,2018)@FE_VALUATION(PS,MEDIAN,ANNUAL,2018,0,,,'')&lt;/Q&gt;&lt;R&gt;1&lt;/R&gt;&lt;C&gt;1&lt;/C&gt;&lt;D xsi:type="xsd:string"&gt;#NUM&lt;/D&gt;&lt;/FQL&gt;&lt;FQL&gt;&lt;Q&gt;MRVL^FF_CAPEX(LTM_R,0)&lt;/Q&gt;&lt;R&gt;1&lt;/R&gt;&lt;C&gt;1&lt;/C&gt;&lt;D xsi:type="xsd:double"&gt;45.138000000000012&lt;/D&gt;&lt;/FQL&gt;&lt;FQL&gt;&lt;Q&gt;QRVO^FF_ENTRPR_VAL_SALES(ANN_R,2018)@FE_VALUATION(EV_SALES,MEDIAN,ANNUAL,2018,0,,,'')&lt;/Q&gt;&lt;R&gt;1&lt;/R&gt;&lt;C&gt;1&lt;/C&gt;&lt;D xsi:type="xsd:double"&gt;2.6180878&lt;/D&gt;&lt;/FQL&gt;&lt;FQL&gt;&lt;Q&gt;GOOGL^FF_PSALES(ANN_R,2018)@FE_VALUATION(PS,MEDIAN,ANNUAL,2018,0,,,'')&lt;/Q&gt;&lt;R&gt;1&lt;/R&gt;&lt;C&gt;1&lt;/C&gt;&lt;D xsi:type="xsd:string"&gt;#NUM&lt;/D&gt;&lt;/FQL&gt;&lt;FQL&gt;&lt;Q&gt;MRVL^FF_ENTRPR_VAL_FCF(ANN_R,2019)@FE_VALUATION(EV_FCF,MEDIAN,ANNUAL,2019,0,,,'')&lt;/Q&gt;&lt;R&gt;1&lt;/R&gt;&lt;C&gt;1&lt;/C&gt;&lt;D xsi:type="xsd:double"&gt;10.392021&lt;/D&gt;&lt;/FQL&gt;&lt;FQL&gt;&lt;Q&gt;BMMV2K^FREF_MARKET_VALUE_COMPANY(MICRON TECHNOLOGY, INC.,,,USD,,0)&lt;/Q&gt;&lt;R&gt;1&lt;/R&gt;&lt;C&gt;1&lt;/C&gt;&lt;D xsi:type="xsd:string"&gt;#NUM&lt;/D&gt;&lt;/FQL&gt;&lt;FQL&gt;&lt;Q&gt;MRVL^FF_ENTRPR_VAL_EBITDA_OPER(ANN_R,2018)@FE_VALUATION(EV_EBITDA,MEDIAN,ANNUAL,2018,0,,,'')&lt;/Q&gt;&lt;R&gt;1&lt;/R&gt;&lt;C&gt;1&lt;/C&gt;&lt;D xsi:type="xsd:double"&gt;10.370925&lt;/D&gt;&lt;/FQL&gt;&lt;FQL&gt;&lt;Q&gt;MRVL^FF_ENTRPR_VAL_SALES(ANN_R,2017)@FE_VALUATION(EV_SALES,MEDIAN,ANNUAL,2017,0,,,'')&lt;/Q&gt;&lt;R&gt;1&lt;/R&gt;&lt;C&gt;1&lt;/C&gt;&lt;D xsi:type="xsd:double"&gt;4.006818451997991&lt;/D&gt;&lt;/FQL&gt;&lt;FQL&gt;&lt;Q&gt;MRVL^FF_PE_DIL(ANN_R,2018)@FE_VALUATION(PE,MEDIAN,ANNUAL,2018,0,,,'')&lt;/Q&gt;&lt;R&gt;1&lt;/R&gt;&lt;C&gt;1&lt;/C&gt;&lt;D xsi:type="xsd:double"&gt;15.555555&lt;/D&gt;&lt;/FQL&gt;&lt;FQL&gt;&lt;Q&gt;MRVL^FF_ENTRPR_VAL_FCF(ANN_R,2018)@FE_VALUATION(EV_FCF,MEDIAN,ANNUAL,2018,0,,,'')&lt;/Q&gt;&lt;R&gt;1&lt;/R&gt;&lt;C&gt;1&lt;/C&gt;&lt;D xsi:type="xsd:double"&gt;12.260122&lt;/D&gt;&lt;/FQL&gt;&lt;FQL&gt;&lt;Q&gt;MRVL^FF_STK_SALE_CF(LTM_R,0)&lt;/Q&gt;&lt;R&gt;1&lt;/R&gt;&lt;C&gt;1&lt;/C&gt;&lt;D xsi:type="xsd:double"&gt;180.302&lt;/D&gt;&lt;/FQL&gt;&lt;FQL&gt;&lt;Q&gt;MRVL^FF_ENTRPR_VAL_DAILY(43188,,,,USD,"BAS")&lt;/Q&gt;&lt;R&gt;1&lt;/R&gt;&lt;C&gt;1&lt;/C&gt;&lt;D xsi:type="xsd:double"&gt;8635.386&lt;/D&gt;&lt;/FQL&gt;&lt;FQL&gt;&lt;Q&gt;MRVL^FREF_MARKET_VALUE_COMPANY(43188,,,USD,,0)&lt;/Q&gt;&lt;R&gt;1&lt;/R&gt;&lt;C&gt;1&lt;/C&gt;&lt;D xsi:type="xsd:double"&gt;10414.1100769043&lt;/D&gt;&lt;/FQL&gt;&lt;FQL&gt;&lt;Q&gt;MRVL^P_PRICE(43188,,,USD)&lt;/Q&gt;&lt;R&gt;1&lt;/R&gt;&lt;C&gt;1&lt;/C&gt;&lt;D xsi:type="xsd:double"&gt;21&lt;/D&gt;&lt;/FQL&gt;&lt;FQL&gt;&lt;Q&gt;AMD^FF_STK_SALE_CF(LTM_R,0)&lt;/Q&gt;&lt;R&gt;1&lt;/R&gt;&lt;C&gt;1&lt;/C&gt;&lt;D xsi:type="xsd:double"&gt;20&lt;/D&gt;&lt;/FQL&gt;&lt;FQL&gt;&lt;Q&gt;AMD^FF_ENTRPR_VAL_FCF(ANN_R,2019)@FE_VALUATION(EV_FCF,MEDIAN,ANNUAL,2019,0,,,'')&lt;/Q&gt;&lt;R&gt;1&lt;/R&gt;&lt;C&gt;1&lt;/C&gt;&lt;D xsi:type="xsd:double"&gt;18.41453&lt;/D&gt;&lt;/FQL&gt;&lt;FQL&gt;&lt;Q&gt;AMD^FF_ENTRPR_VAL_EBITDA_OPER(AN</t>
      </text>
    </comment>
    <comment authorId="0" ref="A40">
      <text>
        <t xml:space="preserve">======
ID#AAAB10qfXu0
Park, Jason S.    (2026-03-18 17:29:02)
="xsd:long"&gt;41576&lt;/D&gt;&lt;D xsi:type="xsd:long"&gt;41577&lt;/D&gt;&lt;D xsi:type="xsd:long"&gt;41578&lt;/D&gt;&lt;D xsi:type="xsd:long"&gt;41579&lt;/D&gt;&lt;D xsi:type="xsd:long"&gt;41582&lt;/D&gt;&lt;D xsi:type="xsd:long"&gt;41583&lt;/D&gt;&lt;D xsi:type="xsd:long"&gt;41584&lt;/D&gt;&lt;D xsi:type="xsd:long"&gt;41585&lt;/D&gt;&lt;D xsi:type="xsd:long"&gt;41586&lt;/D&gt;&lt;D xsi:type="xsd:long"&gt;41589&lt;/D&gt;&lt;D xsi:type="xsd:long"&gt;41590&lt;/D&gt;&lt;D xsi:type="xsd:long"&gt;41591&lt;/D&gt;&lt;D xsi:type="xsd:long"&gt;41592&lt;/D&gt;&lt;D xsi:type="xsd:long"&gt;41593&lt;/D&gt;&lt;D xsi:type="xsd:long"&gt;41596&lt;/D&gt;&lt;D xsi:type="xsd:long"&gt;41597&lt;/D&gt;&lt;D xsi:type="xsd:long"&gt;41598&lt;/D&gt;&lt;D xsi:type="xsd:long"&gt;41599&lt;/D&gt;&lt;D xsi:type="xsd:long"&gt;41600&lt;/D&gt;&lt;D xsi:type="xsd:long"&gt;41603&lt;/D&gt;&lt;D xsi:type="xsd:long"&gt;41604&lt;/D&gt;&lt;D xsi:type="xsd:long"&gt;41605&lt;/D&gt;&lt;D xsi:type="xsd:long"&gt;41607&lt;/D&gt;&lt;D xsi:type="xsd:long"&gt;41610&lt;/D&gt;&lt;D xsi:type="xsd:long"&gt;41611&lt;/D&gt;&lt;D xsi:type="xsd:long"&gt;41612&lt;/D&gt;&lt;D xsi:type="xsd:long"&gt;41613&lt;/D&gt;&lt;D xsi:type="xsd:long"&gt;41614&lt;/D&gt;&lt;D xsi:type="xsd:long"&gt;41617&lt;/D&gt;&lt;D xsi:type="xsd:long"&gt;41618&lt;/D&gt;&lt;D xsi:type="xsd:long"&gt;41619&lt;/D&gt;&lt;D xsi:type="xsd:long"&gt;41620&lt;/D&gt;&lt;D xsi:type="xsd:long"&gt;41621&lt;/D&gt;&lt;D xsi:type="xsd:long"&gt;41624&lt;/D&gt;&lt;D xsi:type="xsd:long"&gt;41625&lt;/D&gt;&lt;D xsi:type="xsd:long"&gt;41626&lt;/D&gt;&lt;D xsi:type="xsd:long"&gt;41627&lt;/D&gt;&lt;D xsi:type="xsd:long"&gt;41628&lt;/D&gt;&lt;D xsi:type="xsd:long"&gt;41631&lt;/D&gt;&lt;D xsi:type="xsd:long"&gt;41632&lt;/D&gt;&lt;D xsi:type="xsd:long"&gt;41634&lt;/D&gt;&lt;D xsi:type="xsd:long"&gt;41635&lt;/D&gt;&lt;D xsi:type="xsd:long"&gt;41638&lt;/D&gt;&lt;D xsi:type="xsd:long"&gt;41639&lt;/D&gt;&lt;D xsi:type="xsd:long"&gt;41641&lt;/D&gt;&lt;D xsi:type="xsd:long"&gt;41642&lt;/D&gt;&lt;D xsi:type="xsd:long"&gt;41645&lt;/D&gt;&lt;D xsi:type="xsd:long"&gt;41646&lt;/D&gt;&lt;D xsi:type="xsd:long"&gt;41647&lt;/D&gt;&lt;D xsi:type="xsd:long"&gt;41648&lt;/D&gt;&lt;D xsi:type="xsd:long"&gt;41649&lt;/D&gt;&lt;D xsi:type="xsd:long"&gt;41652&lt;/D&gt;&lt;D xsi:type="xsd:long"&gt;41653&lt;/D&gt;&lt;D xsi:type="xsd:long"&gt;41654&lt;/D&gt;&lt;D xsi:type="xsd:long"&gt;41655&lt;/D&gt;&lt;D xsi:type="xsd:long"&gt;41656&lt;/D&gt;&lt;D xsi:type="xsd:long"&gt;41660&lt;/D&gt;&lt;D xsi:type="xsd:long"&gt;41661&lt;/D&gt;&lt;D xsi:type="xsd:long"&gt;41662&lt;/D&gt;&lt;D xsi:type="xsd:long"&gt;41663&lt;/D&gt;&lt;D xsi:type="xsd:long"&gt;41666&lt;/D&gt;&lt;D xsi:type="xsd:long"&gt;41667&lt;/D&gt;&lt;D xsi:type="xsd:long"&gt;41668&lt;/D&gt;&lt;D xsi:type="xsd:long"&gt;41669&lt;/D&gt;&lt;D xsi:type="xsd:long"&gt;41670&lt;/D&gt;&lt;D xsi:type="xsd:long"&gt;41673&lt;/D&gt;&lt;D xsi:type="xsd:long"&gt;41674&lt;/D&gt;&lt;D xsi:type="xsd:long"&gt;41675&lt;/D&gt;&lt;D xsi:type="xsd:long"&gt;41676&lt;/D&gt;&lt;D xsi:type="xsd:long"&gt;41677&lt;/D&gt;&lt;D xsi:type="xsd:long"&gt;41680&lt;/D&gt;&lt;D xsi:type="xsd:long"&gt;41681&lt;/D&gt;&lt;D xsi:type="xsd:long"&gt;41682&lt;/D&gt;&lt;D xsi:type="xsd:long"&gt;41683&lt;/D&gt;&lt;D xsi:type="xsd:long"&gt;41684&lt;/D&gt;&lt;D xsi:type="xsd:long"&gt;41688&lt;/D&gt;&lt;D xsi:type="xsd:long"&gt;41689&lt;/D&gt;&lt;D xsi:type="xsd:long"&gt;41690&lt;/D&gt;&lt;D xsi:type="xsd:long"&gt;41691&lt;/D&gt;&lt;D xsi:type="xsd:long"&gt;41694&lt;/D&gt;&lt;D xsi:type="xsd:long"&gt;41695&lt;/D&gt;&lt;D xsi:type="xsd:long"&gt;41696&lt;/D&gt;&lt;D xsi:type="xsd:long"&gt;41697&lt;/D&gt;&lt;D xsi:type="xsd:long"&gt;41698&lt;/D&gt;&lt;D xsi:type="xsd:long"&gt;41701&lt;/D&gt;&lt;D xsi:type="xsd:long"&gt;41702&lt;/D&gt;&lt;D xsi:type="xsd:long"&gt;41703&lt;/D&gt;&lt;D xsi:type="xsd:long"&gt;41704&lt;/D&gt;&lt;D xsi:type="xsd:long"&gt;41705&lt;/D&gt;&lt;D xsi:type="xsd:long"&gt;41708&lt;/D&gt;&lt;D xsi:type="xsd:long"&gt;41709&lt;/D&gt;&lt;D xsi:type="xsd:long"&gt;41710&lt;/D&gt;&lt;D xsi:type="xsd:long"&gt;41711&lt;/D&gt;&lt;D xsi:type="xsd:long"&gt;41712&lt;/D&gt;&lt;D xsi:type="xsd:long"&gt;41715&lt;/D&gt;&lt;D xsi:type="xsd:long"&gt;41716&lt;/D&gt;&lt;D xsi:type="xsd:long"&gt;41717&lt;/D&gt;&lt;D xsi:type="xsd:long"&gt;41718&lt;/D&gt;&lt;D xsi:type="xsd:long"&gt;41719&lt;/D&gt;&lt;D xsi:type="xsd:long"&gt;41722&lt;/D&gt;&lt;D xsi:type="xsd:long"&gt;41723&lt;/D&gt;&lt;D xsi:type="xsd:long"&gt;41724&lt;/D&gt;&lt;D xsi:type="xsd:long"&gt;41725&lt;/D&gt;&lt;D xsi:type="xsd:long"&gt;41726&lt;/D&gt;&lt;D xsi:type="xsd:long"&gt;41729&lt;/D&gt;&lt;D xsi:type="xsd:long"&gt;41730&lt;/D&gt;&lt;D xsi:type="xsd:long"&gt;41731&lt;/D&gt;&lt;D xsi:type="xsd:long"&gt;41732&lt;/D&gt;&lt;D xsi:type="xsd:long"&gt;41733&lt;/D&gt;&lt;D xsi:type="xsd:long"&gt;41736&lt;/D&gt;&lt;D xsi:type="xsd:long"&gt;41737&lt;/D&gt;&lt;D xsi:type="xsd:long"&gt;41738&lt;/D&gt;&lt;D xsi:type="xsd:long"&gt;41739&lt;/D&gt;&lt;D xsi:type="xsd:long"&gt;41740&lt;/D&gt;&lt;D xsi:type="xsd:long"&gt;41743&lt;/D&gt;&lt;D xsi:type="xsd:long"&gt;41744&lt;/D&gt;&lt;D xsi:type="xsd:long"&gt;41745&lt;/D&gt;&lt;D xsi:type="xsd:long"&gt;41746&lt;/D&gt;&lt;D xsi:type="xsd:long"&gt;41750&lt;/D&gt;&lt;D xsi:type="xsd:long"&gt;41751&lt;/D&gt;&lt;D xsi:type="xsd:long"&gt;41752&lt;/D&gt;&lt;D xsi:type="xsd:long"&gt;41753&lt;/D&gt;&lt;D xsi:type="xsd:long"&gt;41754&lt;/D&gt;&lt;D xsi:type="xsd:long"&gt;41757&lt;/D&gt;&lt;D xsi:type="xsd:long"&gt;41758&lt;/D&gt;&lt;D xsi:type="xsd:long"&gt;41759&lt;/D&gt;&lt;D xsi:type="xsd:long"&gt;41760&lt;/D&gt;&lt;D xsi:type="xsd:long"&gt;41761&lt;/D&gt;&lt;D xsi:type</t>
      </text>
    </comment>
    <comment authorId="0" ref="A24">
      <text>
        <t xml:space="preserve">======
ID#AAAB10qfXuw
Park, Jason S.    (2026-03-18 17:29:02)
pe="xsd:double"&gt;15.019343&lt;/D&gt;&lt;D xsi:type="xsd:double"&gt;14.872901&lt;/D&gt;&lt;D xsi:type="xsd:double"&gt;14.3471&lt;/D&gt;&lt;D xsi:type="xsd:double"&gt;14.17397&lt;/D&gt;&lt;D xsi:type="xsd:double"&gt;14.383673&lt;/D&gt;&lt;D xsi:type="xsd:double"&gt;14.2701645&lt;/D&gt;&lt;D xsi:type="xsd:double"&gt;14.688483&lt;/D&gt;&lt;D xsi:type="xsd:double"&gt;14.670513&lt;/D&gt;&lt;D xsi:type="xsd:double"&gt;14.392728&lt;/D&gt;&lt;D xsi:type="xsd:double"&gt;14.100128&lt;/D&gt;&lt;D xsi:type="xsd:double"&gt;14.393162&lt;/D&gt;&lt;D xsi:type="xsd:double"&gt;14.238031&lt;/D&gt;&lt;D xsi:type="xsd:double"&gt;13.6146555&lt;/D&gt;&lt;D xsi:type="xsd:double"&gt;14.1754875&lt;/D&gt;&lt;D xsi:type="xsd:double"&gt;14.798225&lt;/D&gt;&lt;D xsi:type="xsd:double"&gt;14.701036&lt;/D&gt;&lt;D xsi:type="xsd:double"&gt;15.411275&lt;/D&gt;&lt;D xsi:type="xsd:double"&gt;15.142023&lt;/D&gt;&lt;D xsi:type="xsd:double"&gt;15.543668&lt;/D&gt;&lt;D xsi:type="xsd:double"&gt;15.205024&lt;/D&gt;&lt;D xsi:type="xsd:double"&gt;15.481286&lt;/D&gt;&lt;D xsi:type="xsd:double"&gt;15.260761&lt;/D&gt;&lt;D xsi:type="xsd:double"&gt;15.7023535&lt;/D&gt;&lt;D xsi:type="xsd:double"&gt;15.781091&lt;/D&gt;&lt;D xsi:type="xsd:double"&gt;15.512283&lt;/D&gt;&lt;D xsi:type="xsd:double"&gt;15.062833&lt;/D&gt;&lt;D xsi:type="xsd:double"&gt;15.28354&lt;/D&gt;&lt;D xsi:type="xsd:double"&gt;15.190178&lt;/D&gt;&lt;D xsi:type="xsd:double"&gt;15.495301&lt;/D&gt;&lt;D xsi:type="xsd:double"&gt;15.722423&lt;/D&gt;&lt;D xsi:type="xsd:double"&gt;15.462425&lt;/D&gt;&lt;D xsi:type="xsd:double"&gt;15.275228&lt;/D&gt;&lt;D xsi:type="xsd:double"&gt;15.163542&lt;/D&gt;&lt;D xsi:type="xsd:double"&gt;15.009676&lt;/D&gt;&lt;D xsi:type="xsd:double"&gt;15.27498&lt;/D&gt;&lt;D xsi:type="xsd:double"&gt;15.45878&lt;/D&gt;&lt;D xsi:type="xsd:double"&gt;15.693734&lt;/D&gt;&lt;D xsi:type="xsd:double"&gt;15.341133&lt;/D&gt;&lt;D xsi:type="xsd:double"&gt;15.868151&lt;/D&gt;&lt;D xsi:type="xsd:double"&gt;16.10885&lt;/D&gt;&lt;D xsi:type="xsd:double"&gt;15.388034&lt;/D&gt;&lt;D xsi:type="xsd:double"&gt;15.570702&lt;/D&gt;&lt;D xsi:type="xsd:double"&gt;14.925713&lt;/D&gt;&lt;D xsi:type="xsd:double"&gt;15.211821&lt;/D&gt;&lt;D xsi:type="xsd:double"&gt;15.260892&lt;/D&gt;&lt;D xsi:type="xsd:double"&gt;15.394381&lt;/D&gt;&lt;D xsi:type="xsd:double"&gt;15.530846&lt;/D&gt;&lt;D xsi:type="xsd:double"&gt;15.39898&lt;/D&gt;&lt;D xsi:type="xsd:double"&gt;15.146825&lt;/D&gt;&lt;D xsi:type="xsd:double"&gt;15.343426&lt;/D&gt;&lt;D xsi:type="xsd:double"&gt;14.688062&lt;/D&gt;&lt;D xsi:type="xsd:double"&gt;14.6769905&lt;/D&gt;&lt;D xsi:type="xsd:double"&gt;14.46429&lt;/D&gt;&lt;D xsi:type="xsd:double"&gt;14.082237&lt;/D&gt;&lt;D xsi:type="xsd:double"&gt;14.860238&lt;/D&gt;&lt;D xsi:type="xsd:double"&gt;14.909292&lt;/D&gt;&lt;D xsi:type="xsd:double"&gt;15.024476&lt;/D&gt;&lt;D xsi:type="xsd:double"&gt;15.019698&lt;/D&gt;&lt;D xsi:type="xsd:double"&gt;15.056651&lt;/D&gt;&lt;D xsi:type="xsd:double"&gt;14.27756&lt;/D&gt;&lt;D xsi:type="xsd:double"&gt;15.090574&lt;/D&gt;&lt;D xsi:type="xsd:double"&gt;15.144381&lt;/D&gt;&lt;D xsi:type="xsd:double"&gt;15.230042&lt;/D&gt;&lt;D xsi:type="xsd:double"&gt;15.306695&lt;/D&gt;&lt;D xsi:type="xsd:double"&gt;15.466948&lt;/D&gt;&lt;D xsi:type="xsd:double"&gt;15.57336&lt;/D&gt;&lt;D xsi:type="xsd:double"&gt;15.387964&lt;/D&gt;&lt;D xsi:type="xsd:double"&gt;15.4584875&lt;/D&gt;&lt;D xsi:type="xsd:double"&gt;15.270902&lt;/D&gt;&lt;D xsi:type="xsd:double"&gt;15.367657&lt;/D&gt;&lt;D xsi:type="xsd:double"&gt;15.521896&lt;/D&gt;&lt;D xsi:type="xsd:double"&gt;15.229407&lt;/D&gt;&lt;D xsi:type="xsd:double"&gt;15.12748&lt;/D&gt;&lt;D xsi:type="xsd:double"&gt;15.661186&lt;/D&gt;&lt;D xsi:type="xsd:double"&gt;14.631906&lt;/D&gt;&lt;D xsi:type="xsd:double"&gt;14.5271015&lt;/D&gt;&lt;D xsi:type="xsd:double"&gt;14.474743&lt;/D&gt;&lt;D xsi:type="xsd:double"&gt;14.762691&lt;/D&gt;&lt;D xsi:type="xsd:double"&gt;14.637608&lt;/D&gt;&lt;D xsi:type="xsd:double"&gt;15.102753&lt;/D&gt;&lt;D xsi:type="xsd:double"&gt;15.347076&lt;/D&gt;&lt;D xsi:type="xsd:double"&gt;15.575048&lt;/D&gt;&lt;D xsi:type="xsd:double"&gt;15.539631&lt;/D&gt;&lt;D xsi:type="xsd:double"&gt;15.340434&lt;/D&gt;&lt;D xsi:type="xsd:double"&gt;15.223201&lt;/D&gt;&lt;D xsi:type="xsd:double"&gt;15.193261&lt;/D&gt;&lt;D xsi:type="xsd:double"&gt;15.552417&lt;/D&gt;&lt;D xsi:type="xsd:double"&gt;15.683565&lt;/D&gt;&lt;D xsi:type="xsd:double"&gt;15.779613&lt;/D&gt;&lt;D xsi:type="xsd:double"&gt;16.024542&lt;/D&gt;&lt;D xsi:type="xsd:double"&gt;15.935398&lt;/D&gt;&lt;D xsi:type="xsd:double"&gt;15.929178&lt;/D&gt;&lt;D xsi:type="xsd:double"&gt;15.93171&lt;/D&gt;&lt;D xsi:type="xsd:double"&gt;16.243315&lt;/D&gt;&lt;D xsi:type="xsd:double"&gt;16.41098&lt;/D&gt;&lt;D xsi:type="xsd:double"&gt;16.445457&lt;/D&gt;&lt;D xsi:type="xsd:double"&gt;16.444967&lt;/D&gt;&lt;D xsi:type="xsd:double"&gt;16.35664&lt;/D&gt;&lt;D xsi:type="xsd:double"&gt;16.45223&lt;/D&gt;&lt;D xsi:type="xsd:double"&gt;16.628216&lt;/D&gt;&lt;D xsi:type="xsd:double"&gt;16.549156&lt;/D&gt;&lt;D xsi:type="xsd:double"&gt;16.333456&lt;/D&gt;&lt;D xsi:type="xsd:double"&gt;16.228325&lt;/D&gt;&lt;D xsi:type="xsd:double"&gt;16.190092&lt;/D&gt;&lt;D xsi:type="xsd:double"&gt;16.4328&lt;/D&gt;&lt;D xsi:type="xsd:double"&gt;16.493305&lt;/D&gt;&lt;D xsi:type="xsd:double"&gt;16.722204&lt;/D&gt;&lt;D xsi:type="xsd:double"&gt;16.44876&lt;/D&gt;&lt;D xsi:type="</t>
      </text>
    </comment>
    <comment authorId="0" ref="A19">
      <text>
        <t xml:space="preserve">======
ID#AAAB10qfXus
Park, Jason S.    (2026-03-18 17:29:02)
d:double"&gt;26.89&lt;/D&gt;&lt;D xsi:type="xsd:double"&gt;26.7&lt;/D&gt;&lt;D xsi:type="xsd:double"&gt;26.66&lt;/D&gt;&lt;D xsi:type="xsd:double"&gt;26.73&lt;/D&gt;&lt;D xsi:type="xsd:double"&gt;27.16&lt;/D&gt;&lt;D xsi:type="xsd:double"&gt;27.37&lt;/D&gt;&lt;D xsi:type="xsd:double"&gt;26.825&lt;/D&gt;&lt;D xsi:type="xsd:double"&gt;26.58&lt;/D&gt;&lt;D xsi:type="xsd:double"&gt;26.78&lt;/D&gt;&lt;D xsi:type="xsd:double"&gt;26.7&lt;/D&gt;&lt;D xsi:type="xsd:double"&gt;26.695&lt;/D&gt;&lt;D xsi:type="xsd:double"&gt;26.86&lt;/D&gt;&lt;D xsi:type="xsd:double"&gt;26.85&lt;/D&gt;&lt;D xsi:type="xsd:double"&gt;26.64&lt;/D&gt;&lt;D xsi:type="xsd:double"&gt;26.72&lt;/D&gt;&lt;D xsi:type="xsd:double"&gt;26.74&lt;/D&gt;&lt;D xsi:type="xsd:double"&gt;26.49&lt;/D&gt;&lt;D xsi:type="xsd:double"&gt;26.55&lt;/D&gt;&lt;D xsi:type="xsd:double"&gt;26.42&lt;/D&gt;&lt;D xsi:type="xsd:double"&gt;26.74&lt;/D&gt;&lt;D xsi:type="xsd:double"&gt;26.73&lt;/D&gt;&lt;D xsi:type="xsd:double"&gt;26.75&lt;/D&gt;&lt;D xsi:type="xsd:double"&gt;26.9&lt;/D&gt;&lt;D xsi:type="xsd:double"&gt;26.895&lt;/D&gt;&lt;D xsi:type="xsd:double"&gt;26.71&lt;/D&gt;&lt;D xsi:type="xsd:double"&gt;26.38&lt;/D&gt;&lt;D xsi:type="xsd:double"&gt;25.63&lt;/D&gt;&lt;D xsi:type="xsd:double"&gt;25.39&lt;/D&gt;&lt;D xsi:type="xsd:double"&gt;25.04&lt;/D&gt;&lt;D xsi:type="xsd:double"&gt;25.14&lt;/D&gt;&lt;D xsi:type="xsd:double"&gt;25.75&lt;/D&gt;&lt;D xsi:type="xsd:double"&gt;25.8&lt;/D&gt;&lt;D xsi:type="xsd:double"&gt;25.59&lt;/D&gt;&lt;D xsi:type="xsd:double"&gt;25.465&lt;/D&gt;&lt;D xsi:type="xsd:double"&gt;25.25&lt;/D&gt;&lt;D xsi:type="xsd:double"&gt;25.4&lt;/D&gt;&lt;D xsi:type="xsd:double"&gt;25.11&lt;/D&gt;&lt;D xsi:type="xsd:double"&gt;24.54&lt;/D&gt;&lt;D xsi:type="xsd:double"&gt;24.25&lt;/D&gt;&lt;D xsi:type="xsd:double"&gt;24.55&lt;/D&gt;&lt;D xsi:type="xsd:double"&gt;24.225&lt;/D&gt;&lt;D xsi:type="xsd:double"&gt;24.56&lt;/D&gt;&lt;D xsi:type="xsd:double"&gt;24.4&lt;/D&gt;&lt;D xsi:type="xsd:double"&gt;24.02&lt;/D&gt;&lt;D xsi:type="xsd:double"&gt;23.68&lt;/D&gt;&lt;D xsi:type="xsd:double"&gt;23.84&lt;/D&gt;&lt;D xsi:type="xsd:double"&gt;23.095&lt;/D&gt;&lt;D xsi:type="xsd:double"&gt;23.23&lt;/D&gt;&lt;D xsi:type="xsd:double"&gt;23.31&lt;/D&gt;&lt;D xsi:type="xsd:double"&gt;23.31&lt;/D&gt;&lt;D xsi:type="xsd:double"&gt;23.56&lt;/D&gt;&lt;D xsi:type="xsd:double"&gt;24&lt;/D&gt;&lt;D xsi:type="xsd:double"&gt;25.01&lt;/D&gt;&lt;D xsi:type="xsd:double"&gt;24.71&lt;/D&gt;&lt;D xsi:type="xsd:double"&gt;25.66&lt;/D&gt;&lt;D xsi:type="xsd:double"&gt;25.35&lt;/D&gt;&lt;D xsi:type="xsd:double"&gt;25.01&lt;/D&gt;&lt;D xsi:type="xsd:double"&gt;24.64&lt;/D&gt;&lt;D xsi:type="xsd:double"&gt;24.92&lt;/D&gt;&lt;D xsi:type="xsd:double"&gt;24.91&lt;/D&gt;&lt;D xsi:type="xsd:double"&gt;23.58&lt;/D&gt;&lt;D xsi:type="xsd:double"&gt;23.46&lt;/D&gt;&lt;D xsi:type="xsd:double"&gt;22.73&lt;/D&gt;&lt;D xsi:type="xsd:double"&gt;22.7&lt;/D&gt;&lt;D xsi:type="xsd:double"&gt;23.24&lt;/D&gt;&lt;D xsi:type="xsd:double"&gt;23.57&lt;/D&gt;&lt;D xsi:type="xsd:double"&gt;24.29&lt;/D&gt;&lt;D xsi:type="xsd:double"&gt;24.34&lt;/D&gt;&lt;D xsi:type="xsd:double"&gt;24.94&lt;/D&gt;&lt;D xsi:type="xsd:double"&gt;25.34&lt;/D&gt;&lt;D xsi:type="xsd:double"&gt;24.63&lt;/D&gt;&lt;D xsi:type="xsd:double"&gt;24.85&lt;/D&gt;&lt;D xsi:type="xsd:double"&gt;24.06&lt;/D&gt;&lt;D xsi:type="xsd:double"&gt;23.84&lt;/D&gt;&lt;D xsi:type="xsd:double"&gt;24.75&lt;/D&gt;&lt;D xsi:type="xsd:double"&gt;24.28&lt;/D&gt;&lt;D xsi:type="xsd:double"&gt;23.74&lt;/D&gt;&lt;D xsi:type="xsd:double"&gt;24.2&lt;/D&gt;&lt;D xsi:type="xsd:double"&gt;23.85&lt;/D&gt;&lt;D xsi:type="xsd:double"&gt;23.9&lt;/D&gt;&lt;D xsi:type="xsd:double"&gt;24.54&lt;/D&gt;&lt;D xsi:type="xsd:double"&gt;24.98&lt;/D&gt;&lt;D xsi:type="xsd:double"&gt;25.13&lt;/D&gt;&lt;D xsi:type="xsd:double"&gt;24.7&lt;/D&gt;&lt;D xsi:type="xsd:double"&gt;24.63&lt;/D&gt;&lt;D xsi:type="xsd:double"&gt;24.59&lt;/D&gt;&lt;D xsi:type="xsd:double"&gt;24.03&lt;/D&gt;&lt;D xsi:type="xsd:double"&gt;23.61&lt;/D&gt;&lt;D xsi:type="xsd:double"&gt;24.24&lt;/D&gt;&lt;D xsi:type="xsd:double"&gt;23.4&lt;/D&gt;&lt;D xsi:type="xsd:double"&gt;23.28&lt;/D&gt;&lt;D xsi:type="xsd:double"&gt;23.5&lt;/D&gt;&lt;D xsi:type="xsd:double"&gt;23.39&lt;/D&gt;&lt;D xsi:type="xsd:double"&gt;23.12&lt;/D&gt;&lt;D xsi:type="xsd:double"&gt;22.99&lt;/D&gt;&lt;D xsi:type="xsd:double"&gt;22.88&lt;/D&gt;&lt;D xsi:type="xsd:double"&gt;22.29&lt;/D&gt;&lt;D xsi:type="xsd:double"&gt;22.03&lt;/D&gt;&lt;D xsi:type="xsd:double"&gt;21.85&lt;/D&gt;&lt;D xsi:type="xsd:double"&gt;21.22&lt;/D&gt;&lt;D xsi:type="xsd:double"&gt;20.62&lt;/D&gt;&lt;D xsi:type="xsd:double"&gt;21.335&lt;/D&gt;&lt;D xsi:type="xsd:double"&gt;22.21&lt;/D&gt;&lt;D xsi:type="xsd:double"&gt;22.31&lt;/D&gt;&lt;D xsi:type="xsd:double"&gt;22.54&lt;/D&gt;&lt;D xsi:type="xsd:double"&gt;22.24&lt;/D&gt;&lt;D xsi:type="xsd:double"&gt;22.16&lt;/D&gt;&lt;D xsi:type="xsd:double"&gt;21.615&lt;/D&gt;&lt;D xsi:type="xsd:double"&gt;21.94&lt;/D&gt;&lt;D xsi:type="xsd:double"&gt;22.2&lt;/D&gt;&lt;D xsi:type="xsd:double"&gt;21.93&lt;/D&gt;&lt;D xsi:type="xsd:double"&gt;21.97&lt;/D&gt;&lt;D xsi:type="xsd:double"&gt;21.54&lt;/D&gt;&lt;D xsi:type="xsd:double"&gt;21.115&lt;/D&gt;&lt;D xsi:type="xsd:double"&gt;20.76&lt;/D&gt;&lt;D xsi:type="xsd:double"&gt;20.28&lt;/D&gt;&lt;D xsi:type="xsd:double"&gt;19.7&lt;/D&gt;&lt;D xsi:type="xsd:double"&gt;19.895&lt;/D&gt;&lt;D xsi:type="xsd:double"&gt;20.08&lt;/D&gt;&lt;D xsi:type="xsd:double"&gt;19.54&lt;/D&gt;&lt;D xsi:type="xsd:double"&gt;19.64&lt;/D&gt;&lt;D x</t>
      </text>
    </comment>
    <comment authorId="0" ref="A17">
      <text>
        <t xml:space="preserve">======
ID#AAAB10qfXuo
Park, Jason S.    (2026-03-18 17:29:02)
5&lt;/D&gt;&lt;D xsi:type="xsd:double"&gt;21.03&lt;/D&gt;&lt;D xsi:type="xsd:double"&gt;21.02&lt;/D&gt;&lt;D xsi:type="xsd:double"&gt;20.94&lt;/D&gt;&lt;D xsi:type="xsd:double"&gt;20.88&lt;/D&gt;&lt;D xsi:type="xsd:double"&gt;20.84&lt;/D&gt;&lt;D xsi:type="xsd:double"&gt;20.84&lt;/D&gt;&lt;D xsi:type="xsd:double"&gt;20.89&lt;/D&gt;&lt;D xsi:type="xsd:double"&gt;21.1&lt;/D&gt;&lt;D xsi:type="xsd:double"&gt;21.23&lt;/D&gt;&lt;D xsi:type="xsd:double"&gt;21.46&lt;/D&gt;&lt;D xsi:type="xsd:double"&gt;21.3&lt;/D&gt;&lt;D xsi:type="xsd:double"&gt;21.28&lt;/D&gt;&lt;D xsi:type="xsd:double"&gt;21.47&lt;/D&gt;&lt;D xsi:type="xsd:double"&gt;21.5&lt;/D&gt;&lt;D xsi:type="xsd:double"&gt;21.91&lt;/D&gt;&lt;D xsi:type="xsd:double"&gt;21.81&lt;/D&gt;&lt;D xsi:type="xsd:double"&gt;21.82&lt;/D&gt;&lt;D xsi:type="xsd:double"&gt;21.58&lt;/D&gt;&lt;D xsi:type="xsd:double"&gt;21.7&lt;/D&gt;&lt;D xsi:type="xsd:double"&gt;21.69&lt;/D&gt;&lt;D xsi:type="xsd:double"&gt;21.7&lt;/D&gt;&lt;D xsi:type="xsd:double"&gt;21.48&lt;/D&gt;&lt;D xsi:type="xsd:double"&gt;21.1575&lt;/D&gt;&lt;D xsi:type="xsd:double"&gt;21.33&lt;/D&gt;&lt;D xsi:type="xsd:double"&gt;21.33&lt;/D&gt;&lt;D xsi:type="xsd:double"&gt;21.3875&lt;/D&gt;&lt;D xsi:type="xsd:double"&gt;21.0875&lt;/D&gt;&lt;D xsi:type="xsd:double"&gt;21.25&lt;/D&gt;&lt;D xsi:type="xsd:double"&gt;21.135&lt;/D&gt;&lt;D xsi:type="xsd:double"&gt;21.015&lt;/D&gt;&lt;D xsi:type="xsd:double"&gt;21.08&lt;/D&gt;&lt;D xsi:type="xsd:double"&gt;21.07&lt;/D&gt;&lt;D xsi:type="xsd:double"&gt;21.295&lt;/D&gt;&lt;D xsi:type="xsd:double"&gt;21.53&lt;/D&gt;&lt;D xsi:type="xsd:double"&gt;21.21&lt;/D&gt;&lt;D xsi:type="xsd:double"&gt;21.04&lt;/D&gt;&lt;D xsi:type="xsd:double"&gt;21.16&lt;/D&gt;&lt;D xsi:type="xsd:double"&gt;21.23&lt;/D&gt;&lt;D xsi:type="xsd:double"&gt;21.24&lt;/D&gt;&lt;D xsi:type="xsd:double"&gt;20.97&lt;/D&gt;&lt;D xsi:type="xsd:double"&gt;20.48&lt;/D&gt;&lt;D xsi:type="xsd:double"&gt;20.34&lt;/D&gt;&lt;D xsi:type="xsd:double"&gt;20.57&lt;/D&gt;&lt;D xsi:type="xsd:double"&gt;20.05&lt;/D&gt;&lt;D xsi:type="xsd:double"&gt;20.47&lt;/D&gt;&lt;D xsi:type="xsd:double"&gt;20.19&lt;/D&gt;&lt;D xsi:type="xsd:double"&gt;20.04&lt;/D&gt;&lt;D xsi:type="xsd:double"&gt;19.87&lt;/D&gt;&lt;D xsi:type="xsd:double"&gt;19.835&lt;/D&gt;&lt;D xsi:type="xsd:double"&gt;19.76&lt;/D&gt;&lt;D xsi:type="xsd:double"&gt;19.64&lt;/D&gt;&lt;D xsi:type="xsd:double"&gt;19.21&lt;/D&gt;&lt;D xsi:type="xsd:double"&gt;19.19&lt;/D&gt;&lt;D xsi:type="xsd:double"&gt;19.32&lt;/D&gt;&lt;D xsi:type="xsd:double"&gt;19.32&lt;/D&gt;&lt;D xsi:type="xsd:double"&gt;19.24&lt;/D&gt;&lt;D xsi:type="xsd:double"&gt;19.77&lt;/D&gt;&lt;D xsi:type="xsd:double"&gt;19.56&lt;/D&gt;&lt;D xsi:type="xsd:double"&gt;19.52&lt;/D&gt;&lt;D xsi:type="xsd:double"&gt;19.4&lt;/D&gt;&lt;D xsi:type="xsd:double"&gt;19.31&lt;/D&gt;&lt;D xsi:type="xsd:double"&gt;19.15&lt;/D&gt;&lt;D xsi:type="xsd:double"&gt;18.87&lt;/D&gt;&lt;D xsi:type="xsd:double"&gt;19.32&lt;/D&gt;&lt;D xsi:type="xsd:double"&gt;19.2&lt;/D&gt;&lt;D xsi:type="xsd:double"&gt;19.24&lt;/D&gt;&lt;D xsi:type="xsd:double"&gt;19.505&lt;/D&gt;&lt;D xsi:type="xsd:double"&gt;19.235&lt;/D&gt;&lt;D xsi:type="xsd:double"&gt;19.4225&lt;/D&gt;&lt;D xsi:type="xsd:double"&gt;18.98&lt;/D&gt;&lt;D xsi:type="xsd:double"&gt;19.01&lt;/D&gt;&lt;D xsi:type="xsd:double"&gt;19.14&lt;/D&gt;&lt;D xsi:type="xsd:double"&gt;18.9301&lt;/D&gt;&lt;D xsi:type="xsd:double"&gt;18.81&lt;/D&gt;&lt;D xsi:type="xsd:double"&gt;18.97&lt;/D&gt;&lt;D xsi:type="xsd:double"&gt;18.72&lt;/D&gt;&lt;D xsi:type="xsd:double"&gt;18.74&lt;/D&gt;&lt;D xsi:type="xsd:double"&gt;18.5575&lt;/D&gt;&lt;D xsi:type="xsd:double"&gt;17.97&lt;/D&gt;&lt;D xsi:type="xsd:double"&gt;18&lt;/D&gt;&lt;D xsi:type="xsd:double"&gt;17.9&lt;/D&gt;&lt;D xsi:type="xsd:double"&gt;18.12&lt;/D&gt;&lt;D xsi:type="xsd:double"&gt;18.43&lt;/D&gt;&lt;D xsi:type="xsd:double"&gt;18.28&lt;/D&gt;&lt;D xsi:type="xsd:double"&gt;18.14&lt;/D&gt;&lt;D xsi:type="xsd:double"&gt;17.665&lt;/D&gt;&lt;D xsi:type="xsd:double"&gt;17.96&lt;/D&gt;&lt;D xsi:type="xsd:double"&gt;18.37&lt;/D&gt;&lt;D xsi:type="xsd:double"&gt;18.18&lt;/D&gt;&lt;D xsi:type="xsd:double"&gt;18.48&lt;/D&gt;&lt;D xsi:type="xsd:double"&gt;18.405&lt;/D&gt;&lt;D xsi:type="xsd:double"&gt;18.7&lt;/D&gt;&lt;D xsi:type="xsd:double"&gt;18.91&lt;/D&gt;&lt;D xsi:type="xsd:double"&gt;18.9&lt;/D&gt;&lt;D xsi:type="xsd:double"&gt;19.59&lt;/D&gt;&lt;D xsi:type="xsd:double"&gt;19.53&lt;/D&gt;&lt;D xsi:type="xsd:double"&gt;19.47&lt;/D&gt;&lt;D xsi:type="xsd:double"&gt;19.15&lt;/D&gt;&lt;D xsi:type="xsd:double"&gt;19.45&lt;/D&gt;&lt;D xsi:type="xsd:double"&gt;19.425&lt;/D&gt;&lt;D xsi:type="xsd:double"&gt;19.82&lt;/D&gt;&lt;D xsi:type="xsd:double"&gt;20.65&lt;/D&gt;&lt;D xsi:type="xsd:double"&gt;20.65&lt;/D&gt;&lt;D xsi:type="xsd:double"&gt;20.67&lt;/D&gt;&lt;D xsi:type="xsd:double"&gt;20.73&lt;/D&gt;&lt;D xsi:type="xsd:double"&gt;20.87&lt;/D&gt;&lt;D xsi:type="xsd:double"&gt;21.15&lt;/D&gt;&lt;D xsi:type="xsd:double"&gt;20.6&lt;/D&gt;&lt;D xsi:type="xsd:double"&gt;21.03&lt;/D&gt;&lt;D xsi:type="xsd:double"&gt;21.33&lt;/D&gt;&lt;D xsi:type="xsd:double"&gt;21.58&lt;/D&gt;&lt;D xsi:type="xsd:double"&gt;21.71&lt;/D&gt;&lt;D xsi:type="xsd:double"&gt;21.69&lt;/D&gt;&lt;D xsi:type="xsd:double"&gt;21.78&lt;/D&gt;&lt;D xsi:type="xsd:double"&gt;21.26&lt;/D&gt;&lt;D xsi:type="xsd:double"&gt;21.65&lt;/D&gt;&lt;D xsi:type="xsd:double"&gt;21.59&lt;/D&gt;&lt;D xsi:type="xsd:double"&gt;21.02&lt;/D&gt;&lt;D xsi:type="xsd:double"&gt;21.51&lt;/D&gt;&lt;D xsi:type="xsd:double"&gt;21.36&lt;/D&gt;&lt;D x</t>
      </text>
    </comment>
    <comment authorId="0" ref="A27">
      <text>
        <t xml:space="preserve">======
ID#AAAB10qfXuk
Park, Jason S.    (2026-03-18 17:29:02)
d:long"&gt;39022&lt;/D&gt;&lt;D xsi:type="xsd:long"&gt;39023&lt;/D&gt;&lt;D xsi:type="xsd:long"&gt;39024&lt;/D&gt;&lt;D xsi:type="xsd:long"&gt;39027&lt;/D&gt;&lt;D xsi:type="xsd:long"&gt;39028&lt;/D&gt;&lt;D xsi:type="xsd:long"&gt;39029&lt;/D&gt;&lt;D xsi:type="xsd:long"&gt;39030&lt;/D&gt;&lt;D xsi:type="xsd:long"&gt;39031&lt;/D&gt;&lt;D xsi:type="xsd:long"&gt;39034&lt;/D&gt;&lt;D xsi:type="xsd:long"&gt;39035&lt;/D&gt;&lt;D xsi:type="xsd:long"&gt;39036&lt;/D&gt;&lt;D xsi:type="xsd:long"&gt;39037&lt;/D&gt;&lt;D xsi:type="xsd:long"&gt;39038&lt;/D&gt;&lt;D xsi:type="xsd:long"&gt;39041&lt;/D&gt;&lt;D xsi:type="xsd:long"&gt;39042&lt;/D&gt;&lt;D xsi:type="xsd:long"&gt;39043&lt;/D&gt;&lt;D xsi:type="xsd:long"&gt;39045&lt;/D&gt;&lt;D xsi:type="xsd:long"&gt;39048&lt;/D&gt;&lt;D xsi:type="xsd:long"&gt;39049&lt;/D&gt;&lt;D xsi:type="xsd:long"&gt;39050&lt;/D&gt;&lt;D xsi:type="xsd:long"&gt;39051&lt;/D&gt;&lt;D xsi:type="xsd:long"&gt;39052&lt;/D&gt;&lt;D xsi:type="xsd:long"&gt;39055&lt;/D&gt;&lt;D xsi:type="xsd:long"&gt;39056&lt;/D&gt;&lt;D xsi:type="xsd:long"&gt;39057&lt;/D&gt;&lt;D xsi:type="xsd:long"&gt;39058&lt;/D&gt;&lt;D xsi:type="xsd:long"&gt;39059&lt;/D&gt;&lt;D xsi:type="xsd:long"&gt;39062&lt;/D&gt;&lt;D xsi:type="xsd:long"&gt;39063&lt;/D&gt;&lt;D xsi:type="xsd:long"&gt;39064&lt;/D&gt;&lt;D xsi:type="xsd:long"&gt;39065&lt;/D&gt;&lt;D xsi:type="xsd:long"&gt;39066&lt;/D&gt;&lt;D xsi:type="xsd:long"&gt;39069&lt;/D&gt;&lt;D xsi:type="xsd:long"&gt;39070&lt;/D&gt;&lt;D xsi:type="xsd:long"&gt;39071&lt;/D&gt;&lt;D xsi:type="xsd:long"&gt;39072&lt;/D&gt;&lt;D xsi:type="xsd:long"&gt;39073&lt;/D&gt;&lt;D xsi:type="xsd:long"&gt;39077&lt;/D&gt;&lt;D xsi:type="xsd:long"&gt;39078&lt;/D&gt;&lt;D xsi:type="xsd:long"&gt;39079&lt;/D&gt;&lt;D xsi:type="xsd:long"&gt;39080&lt;/D&gt;&lt;D xsi:type="xsd:long"&gt;39085&lt;/D&gt;&lt;D xsi:type="xsd:long"&gt;39086&lt;/D&gt;&lt;D xsi:type="xsd:long"&gt;39087&lt;/D&gt;&lt;D xsi:type="xsd:long"&gt;39090&lt;/D&gt;&lt;D xsi:type="xsd:long"&gt;39091&lt;/D&gt;&lt;D xsi:type="xsd:long"&gt;39092&lt;/D&gt;&lt;D xsi:type="xsd:long"&gt;39093&lt;/D&gt;&lt;D xsi:type="xsd:long"&gt;39094&lt;/D&gt;&lt;D xsi:type="xsd:long"&gt;39098&lt;/D&gt;&lt;D xsi:type="xsd:long"&gt;39099&lt;/D&gt;&lt;D xsi:type="xsd:long"&gt;39100&lt;/D&gt;&lt;D xsi:type="xsd:long"&gt;39101&lt;/D&gt;&lt;D xsi:type="xsd:long"&gt;39104&lt;/D&gt;&lt;D xsi:type="xsd:long"&gt;39105&lt;/D&gt;&lt;D xsi:type="xsd:long"&gt;39106&lt;/D&gt;&lt;D xsi:type="xsd:long"&gt;39107&lt;/D&gt;&lt;D xsi:type="xsd:long"&gt;39108&lt;/D&gt;&lt;D xsi:type="xsd:long"&gt;39111&lt;/D&gt;&lt;D xsi:type="xsd:long"&gt;39112&lt;/D&gt;&lt;D xsi:type="xsd:long"&gt;39113&lt;/D&gt;&lt;D xsi:type="xsd:long"&gt;39114&lt;/D&gt;&lt;D xsi:type="xsd:long"&gt;39115&lt;/D&gt;&lt;D xsi:type="xsd:long"&gt;39118&lt;/D&gt;&lt;D xsi:type="xsd:long"&gt;39119&lt;/D&gt;&lt;D xsi:type="xsd:long"&gt;39120&lt;/D&gt;&lt;D xsi:type="xsd:long"&gt;39121&lt;/D&gt;&lt;D xsi:type="xsd:long"&gt;39122&lt;/D&gt;&lt;D xsi:type="xsd:long"&gt;39125&lt;/D&gt;&lt;D xsi:type="xsd:long"&gt;39126&lt;/D&gt;&lt;D xsi:type="xsd:long"&gt;39127&lt;/D&gt;&lt;D xsi:type="xsd:long"&gt;39128&lt;/D&gt;&lt;D xsi:type="xsd:long"&gt;39129&lt;/D&gt;&lt;D xsi:type="xsd:long"&gt;39133&lt;/D&gt;&lt;D xsi:type="xsd:long"&gt;39134&lt;/D&gt;&lt;D xsi:type="xsd:long"&gt;39135&lt;/D&gt;&lt;D xsi:type="xsd:long"&gt;39136&lt;/D&gt;&lt;D xsi:type="xsd:long"&gt;39139&lt;/D&gt;&lt;D xsi:type="xsd:long"&gt;39140&lt;/D&gt;&lt;D xsi:type="xsd:long"&gt;39141&lt;/D&gt;&lt;D xsi:type="xsd:long"&gt;39142&lt;/D&gt;&lt;D xsi:type="xsd:long"&gt;39143&lt;/D&gt;&lt;D xsi:type="xsd:long"&gt;39146&lt;/D&gt;&lt;D xsi:type="xsd:long"&gt;39147&lt;/D&gt;&lt;D xsi:type="xsd:long"&gt;39148&lt;/D&gt;&lt;D xsi:type="xsd:long"&gt;39149&lt;/D&gt;&lt;D xsi:type="xsd:long"&gt;39150&lt;/D&gt;&lt;D xsi:type="xsd:long"&gt;39153&lt;/D&gt;&lt;D xsi:type="xsd:long"&gt;39154&lt;/D&gt;&lt;D xsi:type="xsd:long"&gt;39155&lt;/D&gt;&lt;D xsi:type="xsd:long"&gt;39156&lt;/D&gt;&lt;D xsi:type="xsd:long"&gt;39157&lt;/D&gt;&lt;D xsi:type="xsd:long"&gt;39160&lt;/D&gt;&lt;D xsi:type="xsd:long"&gt;39161&lt;/D&gt;&lt;D xsi:type="xsd:long"&gt;39162&lt;/D&gt;&lt;D xsi:type="xsd:long"&gt;39163&lt;/D&gt;&lt;D xsi:type="xsd:long"&gt;39164&lt;/D&gt;&lt;D xsi:type="xsd:long"&gt;39167&lt;/D&gt;&lt;D xsi:type="xsd:long"&gt;39168&lt;/D&gt;&lt;D xsi:type="xsd:long"&gt;39169&lt;/D&gt;&lt;D xsi:type="xsd:long"&gt;39170&lt;/D&gt;&lt;D xsi:type="xsd:long"&gt;39171&lt;/D&gt;&lt;D xsi:type="xsd:long"&gt;39174&lt;/D&gt;&lt;D xsi:type="xsd:long"&gt;39175&lt;/D&gt;&lt;D xsi:type="xsd:long"&gt;39176&lt;/D&gt;&lt;D xsi:type="xsd:long"&gt;39177&lt;/D&gt;&lt;D xsi:type="xsd:long"&gt;39181&lt;/D&gt;&lt;D xsi:type="xsd:long"&gt;39182&lt;/D&gt;&lt;D xsi:type="xsd:long"&gt;39183&lt;/D&gt;&lt;D xsi:type="xsd:long"&gt;39184&lt;/D&gt;&lt;D xsi:type="xsd:long"&gt;39185&lt;/D&gt;&lt;D xsi:type="xsd:long"&gt;39188&lt;/D&gt;&lt;D xsi:type="xsd:long"&gt;39189&lt;/D&gt;&lt;D xsi:type="xsd:long"&gt;39190&lt;/D&gt;&lt;D xsi:type="xsd:long"&gt;39191&lt;/D&gt;&lt;D xsi:type="xsd:long"&gt;39192&lt;/D&gt;&lt;D xsi:type="xsd:long"&gt;39195&lt;/D&gt;&lt;D xsi:type="xsd:long"&gt;39196&lt;/D&gt;&lt;D xsi:type="xsd:long"&gt;39197&lt;/D&gt;&lt;D xsi:type="xsd:long"&gt;39198&lt;/D&gt;&lt;D xsi:type="xsd:long"&gt;39199&lt;/D&gt;&lt;D xsi:type="xsd:long"&gt;39202&lt;/D&gt;&lt;D xsi:type="xsd:long"&gt;39203&lt;/D&gt;&lt;D xsi:type="xsd:long"&gt;39204&lt;/D&gt;&lt;D xsi:type="xsd:long"&gt;39205&lt;/D&gt;&lt;D xsi:type="xsd:long"&gt;39206&lt;/D&gt;&lt;D xsi:type="xsd:long"&gt;39209&lt;/D&gt;&lt;D xsi:type="xsd:long"&gt;39210&lt;/D&gt;&lt;D xsi:type="xs</t>
      </text>
    </comment>
    <comment authorId="0" ref="A26">
      <text>
        <t xml:space="preserve">======
ID#AAAB10qfXug
Park, Jason S.    (2026-03-18 17:29:02)
long"&gt;37538&lt;/D&gt;&lt;D xsi:type="xsd:long"&gt;37539&lt;/D&gt;&lt;D xsi:type="xsd:long"&gt;37540&lt;/D&gt;&lt;D xsi:type="xsd:long"&gt;37543&lt;/D&gt;&lt;D xsi:type="xsd:long"&gt;37544&lt;/D&gt;&lt;D xsi:type="xsd:long"&gt;37545&lt;/D&gt;&lt;D xsi:type="xsd:long"&gt;37546&lt;/D&gt;&lt;D xsi:type="xsd:long"&gt;37547&lt;/D&gt;&lt;D xsi:type="xsd:long"&gt;37550&lt;/D&gt;&lt;D xsi:type="xsd:long"&gt;37551&lt;/D&gt;&lt;D xsi:type="xsd:long"&gt;37552&lt;/D&gt;&lt;D xsi:type="xsd:long"&gt;37553&lt;/D&gt;&lt;D xsi:type="xsd:long"&gt;37554&lt;/D&gt;&lt;D xsi:type="xsd:long"&gt;37557&lt;/D&gt;&lt;D xsi:type="xsd:long"&gt;37558&lt;/D&gt;&lt;D xsi:type="xsd:long"&gt;37559&lt;/D&gt;&lt;D xsi:type="xsd:long"&gt;37560&lt;/D&gt;&lt;D xsi:type="xsd:long"&gt;37561&lt;/D&gt;&lt;D xsi:type="xsd:long"&gt;37564&lt;/D&gt;&lt;D xsi:type="xsd:long"&gt;37565&lt;/D&gt;&lt;D xsi:type="xsd:long"&gt;37566&lt;/D&gt;&lt;D xsi:type="xsd:long"&gt;37567&lt;/D&gt;&lt;D xsi:type="xsd:long"&gt;37568&lt;/D&gt;&lt;D xsi:type="xsd:long"&gt;37571&lt;/D&gt;&lt;D xsi:type="xsd:long"&gt;37572&lt;/D&gt;&lt;D xsi:type="xsd:long"&gt;37573&lt;/D&gt;&lt;D xsi:type="xsd:long"&gt;37574&lt;/D&gt;&lt;D xsi:type="xsd:long"&gt;37575&lt;/D&gt;&lt;D xsi:type="xsd:long"&gt;37578&lt;/D&gt;&lt;D xsi:type="xsd:long"&gt;37579&lt;/D&gt;&lt;D xsi:type="xsd:long"&gt;37580&lt;/D&gt;&lt;D xsi:type="xsd:long"&gt;37581&lt;/D&gt;&lt;D xsi:type="xsd:long"&gt;37582&lt;/D&gt;&lt;D xsi:type="xsd:long"&gt;37585&lt;/D&gt;&lt;D xsi:type="xsd:long"&gt;37586&lt;/D&gt;&lt;D xsi:type="xsd:long"&gt;37587&lt;/D&gt;&lt;D xsi:type="xsd:long"&gt;37589&lt;/D&gt;&lt;D xsi:type="xsd:long"&gt;37592&lt;/D&gt;&lt;D xsi:type="xsd:long"&gt;37593&lt;/D&gt;&lt;D xsi:type="xsd:long"&gt;37594&lt;/D&gt;&lt;D xsi:type="xsd:long"&gt;37595&lt;/D&gt;&lt;D xsi:type="xsd:long"&gt;37596&lt;/D&gt;&lt;D xsi:type="xsd:long"&gt;37599&lt;/D&gt;&lt;D xsi:type="xsd:long"&gt;37600&lt;/D&gt;&lt;D xsi:type="xsd:long"&gt;37601&lt;/D&gt;&lt;D xsi:type="xsd:long"&gt;37602&lt;/D&gt;&lt;D xsi:type="xsd:long"&gt;37603&lt;/D&gt;&lt;D xsi:type="xsd:long"&gt;37606&lt;/D&gt;&lt;D xsi:type="xsd:long"&gt;37607&lt;/D&gt;&lt;D xsi:type="xsd:long"&gt;37608&lt;/D&gt;&lt;D xsi:type="xsd:long"&gt;37609&lt;/D&gt;&lt;D xsi:type="xsd:long"&gt;37610&lt;/D&gt;&lt;D xsi:type="xsd:long"&gt;37613&lt;/D&gt;&lt;D xsi:type="xsd:long"&gt;37614&lt;/D&gt;&lt;D xsi:type="xsd:long"&gt;37616&lt;/D&gt;&lt;D xsi:type="xsd:long"&gt;37617&lt;/D&gt;&lt;D xsi:type="xsd:long"&gt;37620&lt;/D&gt;&lt;D xsi:type="xsd:long"&gt;37621&lt;/D&gt;&lt;D xsi:type="xsd:long"&gt;37623&lt;/D&gt;&lt;D xsi:type="xsd:long"&gt;37624&lt;/D&gt;&lt;D xsi:type="xsd:long"&gt;37627&lt;/D&gt;&lt;D xsi:type="xsd:long"&gt;37628&lt;/D&gt;&lt;D xsi:type="xsd:long"&gt;37629&lt;/D&gt;&lt;D xsi:type="xsd:long"&gt;37630&lt;/D&gt;&lt;D xsi:type="xsd:long"&gt;37631&lt;/D&gt;&lt;D xsi:type="xsd:long"&gt;37634&lt;/D&gt;&lt;D xsi:type="xsd:long"&gt;37635&lt;/D&gt;&lt;D xsi:type="xsd:long"&gt;37636&lt;/D&gt;&lt;D xsi:type="xsd:long"&gt;37637&lt;/D&gt;&lt;D xsi:type="xsd:long"&gt;37638&lt;/D&gt;&lt;D xsi:type="xsd:long"&gt;37642&lt;/D&gt;&lt;D xsi:type="xsd:long"&gt;37643&lt;/D&gt;&lt;D xsi:type="xsd:long"&gt;37644&lt;/D&gt;&lt;D xsi:type="xsd:long"&gt;37645&lt;/D&gt;&lt;D xsi:type="xsd:long"&gt;37648&lt;/D&gt;&lt;D xsi:type="xsd:long"&gt;37649&lt;/D&gt;&lt;D xsi:type="xsd:long"&gt;37650&lt;/D&gt;&lt;D xsi:type="xsd:long"&gt;37651&lt;/D&gt;&lt;D xsi:type="xsd:long"&gt;37652&lt;/D&gt;&lt;D xsi:type="xsd:long"&gt;37655&lt;/D&gt;&lt;D xsi:type="xsd:long"&gt;37656&lt;/D&gt;&lt;D xsi:type="xsd:long"&gt;37657&lt;/D&gt;&lt;D xsi:type="xsd:long"&gt;37658&lt;/D&gt;&lt;D xsi:type="xsd:long"&gt;37659&lt;/D&gt;&lt;D xsi:type="xsd:long"&gt;37662&lt;/D&gt;&lt;D xsi:type="xsd:long"&gt;37663&lt;/D&gt;&lt;D xsi:type="xsd:long"&gt;37664&lt;/D&gt;&lt;D xsi:type="xsd:long"&gt;37665&lt;/D&gt;&lt;D xsi:type="xsd:long"&gt;37666&lt;/D&gt;&lt;D xsi:type="xsd:long"&gt;37670&lt;/D&gt;&lt;D xsi:type="xsd:long"&gt;37671&lt;/D&gt;&lt;D xsi:type="xsd:long"&gt;37672&lt;/D&gt;&lt;D xsi:type="xsd:long"&gt;37673&lt;/D&gt;&lt;D xsi:type="xsd:long"&gt;37676&lt;/D&gt;&lt;D xsi:type="xsd:long"&gt;37677&lt;/D&gt;&lt;D xsi:type="xsd:long"&gt;37678&lt;/D&gt;&lt;D xsi:type="xsd:long"&gt;37679&lt;/D&gt;&lt;D xsi:type="xsd:long"&gt;37680&lt;/D&gt;&lt;D xsi:type="xsd:long"&gt;37683&lt;/D&gt;&lt;D xsi:type="xsd:long"&gt;37684&lt;/D&gt;&lt;D xsi:type="xsd:long"&gt;37685&lt;/D&gt;&lt;D xsi:type="xsd:long"&gt;37686&lt;/D&gt;&lt;D xsi:type="xsd:long"&gt;37687&lt;/D&gt;&lt;D xsi:type="xsd:long"&gt;37690&lt;/D&gt;&lt;D xsi:type="xsd:long"&gt;37691&lt;/D&gt;&lt;D xsi:type="xsd:long"&gt;37692&lt;/D&gt;&lt;D xsi:type="xsd:long"&gt;37693&lt;/D&gt;&lt;D xsi:type="xsd:long"&gt;37694&lt;/D&gt;&lt;D xsi:type="xsd:long"&gt;37697&lt;/D&gt;&lt;D xsi:type="xsd:long"&gt;37698&lt;/D&gt;&lt;D xsi:type="xsd:long"&gt;37699&lt;/D&gt;&lt;D xsi:type="xsd:long"&gt;37700&lt;/D&gt;&lt;D xsi:type="xsd:long"&gt;37701&lt;/D&gt;&lt;D xsi:type="xsd:long"&gt;37704&lt;/D&gt;&lt;D xsi:type="xsd:long"&gt;37705&lt;/D&gt;&lt;D xsi:type="xsd:long"&gt;37706&lt;/D&gt;&lt;D xsi:type="xsd:long"&gt;37707&lt;/D&gt;&lt;D xsi:type="xsd:long"&gt;37708&lt;/D&gt;&lt;D xsi:type="xsd:long"&gt;37711&lt;/D&gt;&lt;D xsi:type="xsd:long"&gt;37712&lt;/D&gt;&lt;D xsi:type="xsd:long"&gt;37713&lt;/D&gt;&lt;D xsi:type="xsd:long"&gt;37714&lt;/D&gt;&lt;D xsi:type="xsd:long"&gt;37715&lt;/D&gt;&lt;D xsi:type="xsd:long"&gt;37718&lt;/D&gt;&lt;D xsi:type="xsd:long"&gt;37719&lt;/D&gt;&lt;D xsi:type="xsd:long"&gt;37720&lt;/D&gt;&lt;D xsi:type="xsd:long"&gt;37721&lt;/D&gt;&lt;D xsi:type="xsd:long"&gt;37722&lt;/D&gt;&lt;D xsi:type="xsd:</t>
      </text>
    </comment>
    <comment authorId="0" ref="A51">
      <text>
        <t xml:space="preserve">======
ID#AAAB10qfXuc
Park, Jason S.    (2026-03-18 17:29:02)
ype="xsd:double"&gt;20.89&lt;/D&gt;&lt;D xsi:type="xsd:double"&gt;20.79&lt;/D&gt;&lt;D xsi:type="xsd:double"&gt;20.67&lt;/D&gt;&lt;D xsi:type="xsd:double"&gt;19.77&lt;/D&gt;&lt;D xsi:type="xsd:double"&gt;19.19&lt;/D&gt;&lt;D xsi:type="xsd:double"&gt;19.38&lt;/D&gt;&lt;D xsi:type="xsd:double"&gt;19.71&lt;/D&gt;&lt;D xsi:type="xsd:double"&gt;19.8&lt;/D&gt;&lt;D xsi:type="xsd:double"&gt;19.42&lt;/D&gt;&lt;D xsi:type="xsd:double"&gt;19.77&lt;/D&gt;&lt;D xsi:type="xsd:double"&gt;20.295&lt;/D&gt;&lt;D xsi:type="xsd:double"&gt;20.24&lt;/D&gt;&lt;D xsi:type="xsd:double"&gt;20.13&lt;/D&gt;&lt;D xsi:type="xsd:double"&gt;19.99&lt;/D&gt;&lt;D xsi:type="xsd:double"&gt;19.64&lt;/D&gt;&lt;D xsi:type="xsd:double"&gt;19.54&lt;/D&gt;&lt;D xsi:type="xsd:double"&gt;20.08&lt;/D&gt;&lt;D xsi:type="xsd:double"&gt;19.895&lt;/D&gt;&lt;D xsi:type="xsd:double"&gt;19.7&lt;/D&gt;&lt;D xsi:type="xsd:double"&gt;20.28&lt;/D&gt;&lt;D xsi:type="xsd:double"&gt;20.76&lt;/D&gt;&lt;D xsi:type="xsd:double"&gt;21.115&lt;/D&gt;&lt;D xsi:type="xsd:double"&gt;21.54&lt;/D&gt;&lt;D xsi:type="xsd:double"&gt;21.97&lt;/D&gt;&lt;D xsi:type="xsd:double"&gt;21.93&lt;/D&gt;&lt;D xsi:type="xsd:double"&gt;22.2&lt;/D&gt;&lt;D xsi:type="xsd:double"&gt;21.94&lt;/D&gt;&lt;D xsi:type="xsd:double"&gt;21.615&lt;/D&gt;&lt;D xsi:type="xsd:double"&gt;22.16&lt;/D&gt;&lt;D xsi:type="xsd:double"&gt;22.24&lt;/D&gt;&lt;D xsi:type="xsd:double"&gt;22.54&lt;/D&gt;&lt;D xsi:type="xsd:double"&gt;22.31&lt;/D&gt;&lt;D xsi:type="xsd:double"&gt;22.21&lt;/D&gt;&lt;D xsi:type="xsd:double"&gt;21.335&lt;/D&gt;&lt;D xsi:type="xsd:double"&gt;20.62&lt;/D&gt;&lt;D xsi:type="xsd:double"&gt;21.22&lt;/D&gt;&lt;D xsi:type="xsd:double"&gt;21.85&lt;/D&gt;&lt;D xsi:type="xsd:double"&gt;22.03&lt;/D&gt;&lt;D xsi:type="xsd:double"&gt;22.29&lt;/D&gt;&lt;D xsi:type="xsd:double"&gt;22.88&lt;/D&gt;&lt;D xsi:type="xsd:double"&gt;22.99&lt;/D&gt;&lt;D xsi:type="xsd:double"&gt;23.12&lt;/D&gt;&lt;D xsi:type="xsd:double"&gt;23.39&lt;/D&gt;&lt;D xsi:type="xsd:double"&gt;23.5&lt;/D&gt;&lt;D xsi:type="xsd:double"&gt;23.28&lt;/D&gt;&lt;D xsi:type="xsd:double"&gt;23.4&lt;/D&gt;&lt;D xsi:type="xsd:double"&gt;24.24&lt;/D&gt;&lt;D xsi:type="xsd:double"&gt;23.61&lt;/D&gt;&lt;D xsi:type="xsd:double"&gt;24.03&lt;/D&gt;&lt;D xsi:type="xsd:double"&gt;24.59&lt;/D&gt;&lt;D xsi:type="xsd:double"&gt;24.63&lt;/D&gt;&lt;D xsi:type="xsd:double"&gt;24.7&lt;/D&gt;&lt;D xsi:type="xsd:double"&gt;25.13&lt;/D&gt;&lt;D xsi:type="xsd:double"&gt;24.98&lt;/D&gt;&lt;D xsi:type="xsd:double"&gt;24.54&lt;/D&gt;&lt;D xsi:type="xsd:double"&gt;23.9&lt;/D&gt;&lt;D xsi:type="xsd:double"&gt;23.85&lt;/D&gt;&lt;D xsi:type="xsd:double"&gt;24.2&lt;/D&gt;&lt;D xsi:type="xsd:double"&gt;23.74&lt;/D&gt;&lt;D xsi:type="xsd:double"&gt;24.28&lt;/D&gt;&lt;D xsi:type="xsd:double"&gt;24.75&lt;/D&gt;&lt;D xsi:type="xsd:double"&gt;23.84&lt;/D&gt;&lt;D xsi:type="xsd:double"&gt;24.06&lt;/D&gt;&lt;D xsi:type="xsd:double"&gt;24.85&lt;/D&gt;&lt;D xsi:type="xsd:double"&gt;24.63&lt;/D&gt;&lt;D xsi:type="xsd:double"&gt;25.34&lt;/D&gt;&lt;D xsi:type="xsd:double"&gt;24.94&lt;/D&gt;&lt;D xsi:type="xsd:double"&gt;24.34&lt;/D&gt;&lt;D xsi:type="xsd:double"&gt;24.29&lt;/D&gt;&lt;D xsi:type="xsd:double"&gt;23.57&lt;/D&gt;&lt;D xsi:type="xsd:double"&gt;23.24&lt;/D&gt;&lt;D xsi:type="xsd:double"&gt;22.7&lt;/D&gt;&lt;D xsi:type="xsd:double"&gt;22.73&lt;/D&gt;&lt;D xsi:type="xsd:double"&gt;23.46&lt;/D&gt;&lt;D xsi:type="xsd:double"&gt;23.58&lt;/D&gt;&lt;D xsi:type="xsd:double"&gt;24.91&lt;/D&gt;&lt;D xsi:type="xsd:double"&gt;24.92&lt;/D&gt;&lt;D xsi:type="xsd:double"&gt;24.64&lt;/D&gt;&lt;D xsi:type="xsd:double"&gt;25.01&lt;/D&gt;&lt;D xsi:type="xsd:double"&gt;25.35&lt;/D&gt;&lt;D xsi:type="xsd:double"&gt;25.66&lt;/D&gt;&lt;D xsi:type="xsd:double"&gt;24.71&lt;/D&gt;&lt;D xsi:type="xsd:double"&gt;25.01&lt;/D&gt;&lt;D xsi:type="xsd:double"&gt;24&lt;/D&gt;&lt;D xsi:type="xsd:double"&gt;23.56&lt;/D&gt;&lt;D xsi:type="xsd:double"&gt;23.31&lt;/D&gt;&lt;D xsi:type="xsd:double"&gt;23.31&lt;/D&gt;&lt;D xsi:type="xsd:double"&gt;23.23&lt;/D&gt;&lt;D xsi:type="xsd:double"&gt;23.095&lt;/D&gt;&lt;D xsi:type="xsd:double"&gt;23.84&lt;/D&gt;&lt;D xsi:type="xsd:double"&gt;23.68&lt;/D&gt;&lt;D xsi:type="xsd:double"&gt;24.02&lt;/D&gt;&lt;D xsi:type="xsd:double"&gt;24.4&lt;/D&gt;&lt;D xsi:type="xsd:double"&gt;24.56&lt;/D&gt;&lt;D xsi:type="xsd:double"&gt;24.225&lt;/D&gt;&lt;D xsi:type="xsd:double"&gt;24.55&lt;/D&gt;&lt;D xsi:type="xsd:double"&gt;24.25&lt;/D&gt;&lt;D xsi:type="xsd:double"&gt;24.54&lt;/D&gt;&lt;D xsi:type="xsd:double"&gt;25.11&lt;/D&gt;&lt;D xsi:type="xsd:double"&gt;25.4&lt;/D&gt;&lt;D xsi:type="xsd:double"&gt;25.25&lt;/D&gt;&lt;D xsi:type="xsd:double"&gt;25.465&lt;/D&gt;&lt;D xsi:type="xsd:double"&gt;25.59&lt;/D&gt;&lt;D xsi:type="xsd:double"&gt;25.8&lt;/D&gt;&lt;D xsi:type="xsd:double"&gt;25.75&lt;/D&gt;&lt;D xsi:type="xsd:double"&gt;25.14&lt;/D&gt;&lt;D xsi:type="xsd:double"&gt;25.04&lt;/D&gt;&lt;D xsi:type="xsd:double"&gt;25.39&lt;/D&gt;&lt;D xsi:type="xsd:double"&gt;25.63&lt;/D&gt;&lt;D xsi:type="xsd:double"&gt;26.38&lt;/D&gt;&lt;D xsi:type="xsd:double"&gt;26.71&lt;/D&gt;&lt;D xsi:type="xsd:double"&gt;26.895&lt;/D&gt;&lt;D xsi:type="xsd:double"&gt;26.9&lt;/D&gt;&lt;D xsi:type="xsd:double"&gt;26.75&lt;/D&gt;&lt;D xsi:type="xsd:double"&gt;26.73&lt;/D&gt;&lt;D xsi:type="xsd:double"&gt;26.74&lt;/D&gt;&lt;D xsi:type="xsd:double"&gt;26.42&lt;/D&gt;&lt;D xsi:type="xsd:double"&gt;26.55&lt;/D&gt;&lt;D xsi:type="xsd:double"&gt;26.49&lt;/D&gt;&lt;D xsi:type="xsd:double"&gt;26.74&lt;/D&gt;&lt;D xsi:type="xsd:double"&gt;26.72&lt;</t>
      </text>
    </comment>
    <comment authorId="0" ref="A54">
      <text>
        <t xml:space="preserve">======
ID#AAAB10qfXuY
Park, Jason S.    (2026-03-18 17:29:02)
i:type="xsd:long"&gt;36468&lt;/D&gt;&lt;D xsi:type="xsd:long"&gt;36469&lt;/D&gt;&lt;D xsi:type="xsd:long"&gt;36472&lt;/D&gt;&lt;D xsi:type="xsd:long"&gt;36473&lt;/D&gt;&lt;D xsi:type="xsd:long"&gt;36474&lt;/D&gt;&lt;D xsi:type="xsd:long"&gt;36475&lt;/D&gt;&lt;D xsi:type="xsd:long"&gt;36476&lt;/D&gt;&lt;D xsi:type="xsd:long"&gt;36479&lt;/D&gt;&lt;D xsi:type="xsd:long"&gt;36480&lt;/D&gt;&lt;D xsi:type="xsd:long"&gt;36481&lt;/D&gt;&lt;D xsi:type="xsd:long"&gt;36482&lt;/D&gt;&lt;D xsi:type="xsd:long"&gt;36483&lt;/D&gt;&lt;D xsi:type="xsd:long"&gt;36486&lt;/D&gt;&lt;D xsi:type="xsd:long"&gt;36487&lt;/D&gt;&lt;D xsi:type="xsd:long"&gt;36488&lt;/D&gt;&lt;D xsi:type="xsd:long"&gt;36490&lt;/D&gt;&lt;D xsi:type="xsd:long"&gt;36493&lt;/D&gt;&lt;D xsi:type="xsd:long"&gt;36494&lt;/D&gt;&lt;D xsi:type="xsd:long"&gt;36495&lt;/D&gt;&lt;D xsi:type="xsd:long"&gt;36496&lt;/D&gt;&lt;D xsi:type="xsd:long"&gt;36497&lt;/D&gt;&lt;D xsi:type="xsd:long"&gt;36500&lt;/D&gt;&lt;D xsi:type="xsd:long"&gt;36501&lt;/D&gt;&lt;D xsi:type="xsd:long"&gt;36502&lt;/D&gt;&lt;D xsi:type="xsd:long"&gt;36503&lt;/D&gt;&lt;D xsi:type="xsd:long"&gt;36504&lt;/D&gt;&lt;D xsi:type="xsd:long"&gt;36507&lt;/D&gt;&lt;D xsi:type="xsd:long"&gt;36508&lt;/D&gt;&lt;D xsi:type="xsd:long"&gt;36509&lt;/D&gt;&lt;D xsi:type="xsd:long"&gt;36510&lt;/D&gt;&lt;D xsi:type="xsd:long"&gt;36511&lt;/D&gt;&lt;D xsi:type="xsd:long"&gt;36514&lt;/D&gt;&lt;D xsi:type="xsd:long"&gt;36515&lt;/D&gt;&lt;D xsi:type="xsd:long"&gt;36516&lt;/D&gt;&lt;D xsi:type="xsd:long"&gt;36517&lt;/D&gt;&lt;D xsi:type="xsd:long"&gt;36521&lt;/D&gt;&lt;D xsi:type="xsd:long"&gt;36522&lt;/D&gt;&lt;D xsi:type="xsd:long"&gt;36523&lt;/D&gt;&lt;D xsi:type="xsd:long"&gt;36524&lt;/D&gt;&lt;D xsi:type="xsd:long"&gt;36525&lt;/D&gt;&lt;D xsi:type="xsd:long"&gt;36528&lt;/D&gt;&lt;D xsi:type="xsd:long"&gt;36529&lt;/D&gt;&lt;D xsi:type="xsd:long"&gt;36530&lt;/D&gt;&lt;D xsi:type="xsd:long"&gt;36531&lt;/D&gt;&lt;D xsi:type="xsd:long"&gt;36532&lt;/D&gt;&lt;D xsi:type="xsd:long"&gt;36535&lt;/D&gt;&lt;D xsi:type="xsd:long"&gt;36536&lt;/D&gt;&lt;D xsi:type="xsd:long"&gt;36537&lt;/D&gt;&lt;D xsi:type="xsd:long"&gt;36538&lt;/D&gt;&lt;D xsi:type="xsd:long"&gt;36539&lt;/D&gt;&lt;D xsi:type="xsd:long"&gt;36543&lt;/D&gt;&lt;D xsi:type="xsd:long"&gt;36544&lt;/D&gt;&lt;D xsi:type="xsd:long"&gt;36545&lt;/D&gt;&lt;D xsi:type="xsd:long"&gt;36546&lt;/D&gt;&lt;D xsi:type="xsd:long"&gt;36549&lt;/D&gt;&lt;D xsi:type="xsd:long"&gt;36550&lt;/D&gt;&lt;D xsi:type="xsd:long"&gt;36551&lt;/D&gt;&lt;D xsi:type="xsd:long"&gt;36552&lt;/D&gt;&lt;D xsi:type="xsd:long"&gt;36553&lt;/D&gt;&lt;D xsi:type="xsd:long"&gt;36556&lt;/D&gt;&lt;D xsi:type="xsd:long"&gt;36557&lt;/D&gt;&lt;D xsi:type="xsd:long"&gt;36558&lt;/D&gt;&lt;D xsi:type="xsd:long"&gt;36559&lt;/D&gt;&lt;D xsi:type="xsd:long"&gt;36560&lt;/D&gt;&lt;D xsi:type="xsd:long"&gt;36563&lt;/D&gt;&lt;D xsi:type="xsd:long"&gt;36564&lt;/D&gt;&lt;D xsi:type="xsd:long"&gt;36565&lt;/D&gt;&lt;D xsi:type="xsd:long"&gt;36566&lt;/D&gt;&lt;D xsi:type="xsd:long"&gt;36567&lt;/D&gt;&lt;D xsi:type="xsd:long"&gt;36570&lt;/D&gt;&lt;D xsi:type="xsd:long"&gt;36571&lt;/D&gt;&lt;D xsi:type="xsd:long"&gt;36572&lt;/D&gt;&lt;D xsi:type="xsd:long"&gt;36573&lt;/D&gt;&lt;D xsi:type="xsd:long"&gt;36574&lt;/D&gt;&lt;D xsi:type="xsd:long"&gt;36578&lt;/D&gt;&lt;D xsi:type="xsd:long"&gt;36579&lt;/D&gt;&lt;D xsi:type="xsd:long"&gt;36580&lt;/D&gt;&lt;D xsi:type="xsd:long"&gt;36581&lt;/D&gt;&lt;D xsi:type="xsd:long"&gt;36584&lt;/D&gt;&lt;D xsi:type="xsd:long"&gt;36585&lt;/D&gt;&lt;D xsi:type="xsd:long"&gt;36586&lt;/D&gt;&lt;D xsi:type="xsd:long"&gt;36587&lt;/D&gt;&lt;D xsi:type="xsd:long"&gt;36588&lt;/D&gt;&lt;D xsi:type="xsd:long"&gt;36591&lt;/D&gt;&lt;D xsi:type="xsd:long"&gt;36592&lt;/D&gt;&lt;D xsi:type="xsd:long"&gt;36593&lt;/D&gt;&lt;D xsi:type="xsd:long"&gt;36594&lt;/D&gt;&lt;D xsi:type="xsd:long"&gt;36595&lt;/D&gt;&lt;D xsi:type="xsd:long"&gt;36598&lt;/D&gt;&lt;D xsi:type="xsd:long"&gt;36599&lt;/D&gt;&lt;D xsi:type="xsd:long"&gt;36600&lt;/D&gt;&lt;D xsi:type="xsd:long"&gt;36601&lt;/D&gt;&lt;D xsi:type="xsd:long"&gt;36602&lt;/D&gt;&lt;D xsi:type="xsd:long"&gt;36605&lt;/D&gt;&lt;D xsi:type="xsd:long"&gt;36606&lt;/D&gt;&lt;D xsi:type="xsd:long"&gt;36607&lt;/D&gt;&lt;D xsi:type="xsd:long"&gt;36608&lt;/D&gt;&lt;D xsi:type="xsd:long"&gt;36609&lt;/D&gt;&lt;D xsi:type="xsd:long"&gt;36612&lt;/D&gt;&lt;D xsi:type="xsd:long"&gt;36613&lt;/D&gt;&lt;D xsi:type="xsd:long"&gt;36614&lt;/D&gt;&lt;D xsi:type="xsd:long"&gt;36615&lt;/D&gt;&lt;D xsi:type="xsd:long"&gt;36616&lt;/D&gt;&lt;D xsi:type="xsd:long"&gt;36619&lt;/D&gt;&lt;D xsi:type="xsd:long"&gt;36620&lt;/D&gt;&lt;D xsi:type="xsd:long"&gt;36621&lt;/D&gt;&lt;D xsi:type="xsd:long"&gt;36622&lt;/D&gt;&lt;D xsi:type="xsd:long"&gt;36623&lt;/D&gt;&lt;D xsi:type="xsd:long"&gt;36626&lt;/D&gt;&lt;D xsi:type="xsd:long"&gt;36627&lt;/D&gt;&lt;D xsi:type="xsd:long"&gt;36628&lt;/D&gt;&lt;D xsi:type="xsd:long"&gt;36629&lt;/D&gt;&lt;D xsi:type="xsd:long"&gt;36630&lt;/D&gt;&lt;D xsi:type="xsd:long"&gt;36633&lt;/D&gt;&lt;D xsi:type="xsd:long"&gt;36634&lt;/D&gt;&lt;D xsi:type="xsd:long"&gt;36635&lt;/D&gt;&lt;D xsi:type="xsd:long"&gt;36636&lt;/D&gt;&lt;D xsi:type="xsd:long"&gt;36640&lt;/D&gt;&lt;D xsi:type="xsd:long"&gt;36641&lt;/D&gt;&lt;D xsi:type="xsd:long"&gt;36642&lt;/D&gt;&lt;D xsi:type="xsd:long"&gt;36643&lt;/D&gt;&lt;D xsi:type="xsd:long"&gt;36644&lt;/D&gt;&lt;D xsi:type="xsd:long"&gt;36647&lt;/D&gt;&lt;D xsi:type="xsd:long"&gt;36648&lt;/D&gt;&lt;D xsi:type="xsd:long"&gt;36649&lt;/D&gt;&lt;D xsi:type="xsd:long"&gt;36650&lt;/D&gt;&lt;D xsi:type="xsd:long"&gt;36651&lt;/D&gt;&lt;D xsi:type="xsd:long"&gt;36654&lt;/D&gt;&lt;D xs</t>
      </text>
    </comment>
    <comment authorId="0" ref="A1">
      <text>
        <t xml:space="preserve">======
ID#AAAB10qfXuU
Park, Jason S.    (2026-03-18 17:29:02)
&lt;?xml version="1.0" encoding="utf-8"?&gt;&lt;Schema xmlns:xsd="http://www.w3.org/2001/XMLSchema" xmlns:xsi="http://www.w3.org/2001/XMLSchema-instance" Version="2" Timestamp="1677089694"&gt;&lt;FQL&gt;&lt;Q&gt;SAP^CQ_SALES(35976)&lt;/Q&gt;&lt;R&gt;1&lt;/R&gt;&lt;C&gt;1&lt;/C&gt;&lt;D xsi:type="xsd:double"&gt;1228.072&lt;/D&gt;&lt;/FQL&gt;&lt;FQL&gt;&lt;Q&gt;SAP^CQ_SALES(36341.25)&lt;/Q&gt;&lt;R&gt;1&lt;/R&gt;&lt;C&gt;1&lt;/C&gt;&lt;D xsi:type="xsd:double"&gt;1225.254&lt;/D&gt;&lt;/FQL&gt;&lt;FQL&gt;&lt;Q&gt;SAP^CQ_SALES(36706.5)&lt;/Q&gt;&lt;R&gt;1&lt;/R&gt;&lt;C&gt;1&lt;/C&gt;&lt;D xsi:type="xsd:double"&gt;1119.201&lt;/D&gt;&lt;/FQL&gt;&lt;FQL&gt;&lt;Q&gt;SAP^CQ_SALES(37071.75)&lt;/Q&gt;&lt;R&gt;1&lt;/R&gt;&lt;C&gt;1&lt;/C&gt;&lt;D xsi:type="xsd:double"&gt;1521.464&lt;/D&gt;&lt;/FQL&gt;&lt;FQL&gt;&lt;Q&gt;SAP^CQ_SALES(37437)&lt;/Q&gt;&lt;R&gt;1&lt;/R&gt;&lt;C&gt;1&lt;/C&gt;&lt;D xsi:type="xsd:double"&gt;1941.243&lt;/D&gt;&lt;/FQL&gt;&lt;FQL&gt;&lt;Q&gt;SAP^CQ_SALES(37802.25)&lt;/Q&gt;&lt;R&gt;1&lt;/R&gt;&lt;C&gt;1&lt;/C&gt;&lt;D xsi:type="xsd:double"&gt;1975.532&lt;/D&gt;&lt;/FQL&gt;&lt;FQL&gt;&lt;Q&gt;SAP^CQ_SALES(38167.5)&lt;/Q&gt;&lt;R&gt;1&lt;/R&gt;&lt;C&gt;1&lt;/C&gt;&lt;D xsi:type="xsd:double"&gt;1912.635&lt;/D&gt;&lt;/FQL&gt;&lt;FQL&gt;&lt;Q&gt;SAP^CQ_SALES(38532.75)&lt;/Q&gt;&lt;R&gt;1&lt;/R&gt;&lt;C&gt;1&lt;/C&gt;&lt;D xsi:type="xsd:double"&gt;2242.34&lt;/D&gt;&lt;/FQL&gt;&lt;FQL&gt;&lt;Q&gt;SAP^CQ_SALES(38898)&lt;/Q&gt;&lt;R&gt;1&lt;/R&gt;&lt;C&gt;1&lt;/C&gt;&lt;D xsi:type="xsd:double"&gt;2935.614&lt;/D&gt;&lt;/FQL&gt;&lt;FQL&gt;&lt;Q&gt;SAP^CQ_SALES(39263.25)&lt;/Q&gt;&lt;R&gt;1&lt;/R&gt;&lt;C&gt;1&lt;/C&gt;&lt;D xsi:type="xsd:double"&gt;3304.757&lt;/D&gt;&lt;/FQL&gt;&lt;FQL&gt;&lt;Q&gt;SAP^CQ_SALES(39628.5)&lt;/Q&gt;&lt;R&gt;1&lt;/R&gt;&lt;C&gt;1&lt;/C&gt;&lt;D xsi:type="xsd:double"&gt;3888.03&lt;/D&gt;&lt;/FQL&gt;&lt;FQL&gt;&lt;Q&gt;SAP^CQ_SALES(39993.75)&lt;/Q&gt;&lt;R&gt;1&lt;/R&gt;&lt;C&gt;1&lt;/C&gt;&lt;D xsi:type="xsd:double"&gt;3178.66&lt;/D&gt;&lt;/FQL&gt;&lt;FQL&gt;&lt;Q&gt;SAP^CQ_SALES(40359)&lt;/Q&gt;&lt;R&gt;1&lt;/R&gt;&lt;C&gt;1&lt;/C&gt;&lt;D xsi:type="xsd:double"&gt;3247.154&lt;/D&gt;&lt;/FQL&gt;&lt;FQL&gt;&lt;Q&gt;SAP^FCCQ_MEAN_SALES()&lt;/Q&gt;&lt;R&gt;0&lt;/R&gt;&lt;C&gt;0&lt;/C&gt;&lt;/FQL&gt;&lt;FQL&gt;&lt;Q&gt;SAP^FCCQ_MEAN_SALES(4)&lt;/Q&gt;&lt;R&gt;0&lt;/R&gt;&lt;C&gt;0&lt;/C&gt;&lt;/FQL&gt;&lt;FQL&gt;&lt;Q&gt;SAP^FCCQ_MEAN_SALES(8)&lt;/Q&gt;&lt;R&gt;0&lt;/R&gt;&lt;C&gt;0&lt;/C&gt;&lt;/FQL&gt;&lt;FQL&gt;&lt;Q&gt;SAP^FCCQ_MEAN_SALES(12)&lt;/Q&gt;&lt;R&gt;0&lt;/R&gt;&lt;C&gt;0&lt;/C&gt;&lt;/FQL&gt;&lt;FQL&gt;&lt;Q&gt;SAP^FCCQ_MEAN_SALES(16)&lt;/Q&gt;&lt;R&gt;0&lt;/R&gt;&lt;C&gt;0&lt;/C&gt;&lt;/FQL&gt;&lt;FQL&gt;&lt;Q&gt;BBY^CQ_SALES(36068)&lt;/Q&gt;&lt;R&gt;1&lt;/R&gt;&lt;C&gt;1&lt;/C&gt;&lt;D xsi:type="xsd:double"&gt;2172.485&lt;/D&gt;&lt;/FQL&gt;&lt;FQL&gt;&lt;Q&gt;BBY^CQ_SALES(36433.25)&lt;/Q&gt;&lt;R&gt;1&lt;/R&gt;&lt;C&gt;1&lt;/C&gt;&lt;D xsi:type="xsd:double"&gt;2686.64&lt;/D&gt;&lt;/FQL&gt;&lt;FQL&gt;&lt;Q&gt;BBY^CQ_SALES(36798.5)&lt;/Q&gt;&lt;R&gt;1&lt;/R&gt;&lt;C&gt;1&lt;/C&gt;&lt;D xsi:type="xsd:double"&gt;3169.171&lt;/D&gt;&lt;/FQL&gt;&lt;FQL&gt;&lt;Q&gt;BBY^CQ_SALES(37163.75)&lt;/Q&gt;&lt;R&gt;1&lt;/R&gt;&lt;C&gt;1&lt;/C&gt;&lt;D xsi:type="xsd:double"&gt;4164&lt;/D&gt;&lt;/FQL&gt;&lt;FQL&gt;&lt;Q&gt;BBY^CQ_SALES(37529)&lt;/Q&gt;&lt;R&gt;1&lt;/R&gt;&lt;C&gt;1&lt;/C&gt;&lt;D xsi:type="xsd:double"&gt;4624&lt;/D&gt;&lt;/FQL&gt;&lt;FQL&gt;&lt;Q&gt;BBY^CQ_SALES(37894.25)&lt;/Q&gt;&lt;R&gt;1&lt;/R&gt;&lt;C&gt;1&lt;/C&gt;&lt;D xsi:type="xsd:double"&gt;5399&lt;/D&gt;&lt;/FQL&gt;&lt;FQL&gt;&lt;Q&gt;BBY^CQ_SALES(38259.5)&lt;/Q&gt;&lt;R&gt;1&lt;/R&gt;&lt;C&gt;1&lt;/C&gt;&lt;D xsi:type="xsd:double"&gt;6081&lt;/D&gt;&lt;/FQL&gt;&lt;FQL&gt;&lt;Q&gt;BBY^CQ_SALES(38624.75)&lt;/Q&gt;&lt;R&gt;1&lt;/R&gt;&lt;C&gt;1&lt;/C&gt;&lt;D xsi:type="xsd:double"&gt;6702&lt;/D&gt;&lt;/FQL&gt;&lt;FQL&gt;&lt;Q&gt;BBY^CQ_SALES(38990)&lt;/Q&gt;&lt;R&gt;1&lt;/R&gt;&lt;C&gt;1&lt;/C&gt;&lt;D xsi:type="xsd:double"&gt;7603&lt;/D&gt;&lt;/FQL&gt;&lt;FQL&gt;&lt;Q&gt;BBY^CQ_SALES(39355.25)&lt;/Q&gt;&lt;R&gt;1&lt;/R&gt;&lt;C&gt;1&lt;/C&gt;&lt;D xsi:type="xsd:double"&gt;8750&lt;/D&gt;&lt;/FQL&gt;&lt;FQL&gt;&lt;Q&gt;BBY^CQ_SALES(39720.5)&lt;/Q&gt;&lt;R&gt;1&lt;/R&gt;&lt;C&gt;1&lt;/C&gt;&lt;D xsi:type="xsd:double"&gt;9801&lt;/D&gt;&lt;/FQL&gt;&lt;FQL&gt;&lt;Q&gt;BBY^CQ_SALES(40085.75)&lt;/Q&gt;&lt;R&gt;1&lt;/R&gt;&lt;C&gt;1&lt;/C&gt;&lt;D xsi:type="xsd:double"&gt;11022&lt;/D&gt;&lt;/FQL&gt;&lt;FQL&gt;&lt;Q&gt;BBY^CQ_SALES(40451)&lt;/Q&gt;&lt;R&gt;1&lt;/R&gt;&lt;C&gt;1&lt;/C&gt;&lt;D xsi:type="xsd:double"&gt;11339&lt;/D&gt;&lt;/FQL&gt;&lt;FQL&gt;&lt;Q&gt;BBY^FCCQ_MEAN_SALES(1)&lt;/Q&gt;&lt;R&gt;1&lt;/R&gt;&lt;C&gt;1&lt;/C&gt;&lt;D xsi:type="xsd:double"&gt;14444.97&lt;/D&gt;&lt;/FQL&gt;&lt;FQL&gt;&lt;Q&gt;BBY^FCCQ_MEAN_SALES(5)&lt;/Q&gt;&lt;R&gt;1&lt;/R&gt;&lt;C&gt;1&lt;/C&gt;&lt;D xsi:type="xsd:double"&gt;13795.19&lt;/D&gt;&lt;/FQL&gt;&lt;FQL&gt;&lt;Q&gt;BBY^FCCQ_MEAN_SALES(9)&lt;/Q&gt;&lt;R&gt;1&lt;/R&gt;&lt;C&gt;1&lt;/C&gt;&lt;D xsi:type="xsd:double"&gt;13769.8&lt;/D&gt;&lt;/FQL&gt;&lt;FQL&gt;&lt;Q&gt;BBY^FCCQ_MEAN_SALES(13)&lt;/Q&gt;&lt;R&gt;0&lt;/R&gt;&lt;C&gt;0&lt;/C&gt;&lt;/FQL&gt;&lt;FQL&gt;&lt;Q&gt;BBY^FCCQ_MEAN_SALES(17)&lt;/Q&gt;&lt;R&gt;0&lt;/R&gt;&lt;C&gt;0&lt;/C&gt;&lt;/FQL&gt;&lt;FQL&gt;&lt;Q&gt;VMW^CQ_SALES(36160)&lt;/Q&gt;&lt;R&gt;0&lt;/R&gt;&lt;C&gt;0&lt;/C&gt;&lt;/FQL&gt;&lt;FQL&gt;&lt;Q&gt;VMW^CQ_SALES(36525.25)&lt;/Q&gt;&lt;R&gt;0&lt;/R&gt;&lt;C&gt;0&lt;/C&gt;&lt;/FQL&gt;&lt;FQL&gt;&lt;Q&gt;VMW^CQ_SALES(36890.5)&lt;/Q&gt;&lt;R&gt;0&lt;/R&gt;&lt;C&gt;0&lt;/C&gt;&lt;/FQL&gt;&lt;FQL&gt;&lt;Q&gt;VMW^CQ_SALES(37255.75)&lt;/Q&gt;&lt;R&gt;0&lt;/R&gt;&lt;C&gt;0&lt;/C&gt;&lt;/FQL&gt;&lt;FQL&gt;&lt;Q&gt;VMW^CQ_SALES(37986.25)&lt;/Q&gt;&lt;R&gt;0&lt;/R&gt;&lt;C&gt;0&lt;/C&gt;&lt;/FQL&gt;&lt;FQL&gt;&lt;Q&gt;VMW^CQ_SALES(38716.75)&lt;/Q&gt;&lt;R&gt;1&lt;/R&gt;&lt;C&gt;1&lt;/C&gt;&lt;D xsi:type="xsd:double"&gt;115.174&lt;/D&gt;&lt;/FQL&gt;&lt;FQL&gt;&lt;Q&gt;VMW^CQ_SALES(39447.25)&lt;/Q&gt;&lt;R&gt;1&lt;/R&gt;&lt;C&gt;1&lt;/C&gt;&lt;D xsi:type="xsd:double"&gt;412.475&lt;/D&gt;&lt;/FQL&gt;&lt;FQL&gt;&lt;Q&gt;VMW^CQ_SALES(40543)&lt;/Q&gt;&lt;R&gt;1&lt;/R&gt;&lt;C&gt;1&lt;/C&gt;&lt;D xsi:type="xsd:double"&gt;835.661&lt;/D&gt;&lt;/FQL&gt;&lt;FQL&gt;&lt;Q&gt;VMW^FCCQ_MEAN_SALES(6)&lt;/Q&gt;&lt;R&gt;1&lt;/R&gt;&lt;C&gt;1&lt;/C&gt;&lt;D xsi:type="xsd:double"&gt;2073.24&lt;/D&gt;&lt;/FQL&gt;&lt;FQL&gt;&lt;Q&gt;VMW^FCCQ_MEAN_SALES(14)&lt;/Q&gt;&lt;R&gt;0&lt;/R&gt;&lt;C&gt;0&lt;/C&gt;&lt;/FQL&gt;&lt;FQL&gt;&lt;Q&gt;VMW^CQ_SALES(39902.75)&lt;/Q&gt;&lt;R&gt;1&lt;/R&gt;&lt;C&gt;1&lt;/C&gt;&lt;D xsi:type="xsd:double"&gt;514.603&lt;/D&gt;&lt;/FQL&gt;&lt;FQL&gt;&lt;Q&gt;VMW^FCCQ_MEAN_SALES(3)&lt;/Q&gt;&lt;R&gt;1&lt;/R&gt;&lt;C&gt;1&lt;/C&gt;&lt;D xsi:type="xsd:double"&gt;2080.7&lt;/D&gt;&lt;/FQL&gt;&lt;FQL&gt;&lt;Q&gt;VMW^FCCQ</t>
      </text>
    </comment>
    <comment authorId="0" ref="A42">
      <text>
        <t xml:space="preserve">======
ID#AAAB10qfXuQ
Park, Jason S.    (2026-03-18 17:29:02)
uble"&gt;34.5&lt;/D&gt;&lt;D xsi:type="xsd:double"&gt;35.65625&lt;/D&gt;&lt;D xsi:type="xsd:double"&gt;36.46875&lt;/D&gt;&lt;D xsi:type="xsd:double"&gt;36.40625&lt;/D&gt;&lt;D xsi:type="xsd:double"&gt;35.71875&lt;/D&gt;&lt;D xsi:type="xsd:double"&gt;35.78125&lt;/D&gt;&lt;D xsi:type="xsd:double"&gt;36.71875&lt;/D&gt;&lt;D xsi:type="xsd:double"&gt;35.875&lt;/D&gt;&lt;D xsi:type="xsd:double"&gt;38&lt;/D&gt;&lt;D xsi:type="xsd:double"&gt;37.96875&lt;/D&gt;&lt;D xsi:type="xsd:double"&gt;39.875&lt;/D&gt;&lt;D xsi:type="xsd:double"&gt;39.28125&lt;/D&gt;&lt;D xsi:type="xsd:double"&gt;39.5&lt;/D&gt;&lt;D xsi:type="xsd:double"&gt;39.25&lt;/D&gt;&lt;D xsi:type="xsd:double"&gt;38.65625&lt;/D&gt;&lt;D xsi:type="xsd:double"&gt;39.96875&lt;/D&gt;&lt;D xsi:type="xsd:double"&gt;41.46875&lt;/D&gt;&lt;D xsi:type="xsd:double"&gt;41.5625&lt;/D&gt;&lt;D xsi:type="xsd:double"&gt;41.84375&lt;/D&gt;&lt;D xsi:type="xsd:double"&gt;40.53125&lt;/D&gt;&lt;D xsi:type="xsd:double"&gt;41.5&lt;/D&gt;&lt;D xsi:type="xsd:double"&gt;41.125&lt;/D&gt;&lt;D xsi:type="xsd:double"&gt;41.09375&lt;/D&gt;&lt;D xsi:type="xsd:double"&gt;41.71875&lt;/D&gt;&lt;D xsi:type="xsd:double"&gt;42.65625&lt;/D&gt;&lt;D xsi:type="xsd:double"&gt;44.65625&lt;/D&gt;&lt;D xsi:type="xsd:double"&gt;43.8125&lt;/D&gt;&lt;D xsi:type="xsd:double"&gt;42.96875&lt;/D&gt;&lt;D xsi:type="xsd:double"&gt;43.875&lt;/D&gt;&lt;D xsi:type="xsd:double"&gt;43.6875&lt;/D&gt;&lt;D xsi:type="xsd:double"&gt;42.1875&lt;/D&gt;&lt;D xsi:type="xsd:double"&gt;42.90625&lt;/D&gt;&lt;D xsi:type="xsd:double"&gt;41.5&lt;/D&gt;&lt;D xsi:type="xsd:double"&gt;41.3125&lt;/D&gt;&lt;D xsi:type="xsd:double"&gt;42.3125&lt;/D&gt;&lt;D xsi:type="xsd:double"&gt;42.03125&lt;/D&gt;&lt;D xsi:type="xsd:double"&gt;41&lt;/D&gt;&lt;D xsi:type="xsd:double"&gt;41.40625&lt;/D&gt;&lt;D xsi:type="xsd:double"&gt;38.75&lt;/D&gt;&lt;D xsi:type="xsd:double"&gt;37.835938&lt;/D&gt;&lt;D xsi:type="xsd:double"&gt;39.09375&lt;/D&gt;&lt;D xsi:type="xsd:double"&gt;38.75&lt;/D&gt;&lt;D xsi:type="xsd:double"&gt;37.59375&lt;/D&gt;&lt;D xsi:type="xsd:double"&gt;37.15625&lt;/D&gt;&lt;D xsi:type="xsd:double"&gt;37.46875&lt;/D&gt;&lt;D xsi:type="xsd:double"&gt;38.5&lt;/D&gt;&lt;D xsi:type="xsd:double"&gt;38.09375&lt;/D&gt;&lt;D xsi:type="xsd:double"&gt;38.46875&lt;/D&gt;&lt;D xsi:type="xsd:double"&gt;37.8125&lt;/D&gt;&lt;D xsi:type="xsd:double"&gt;37.84375&lt;/D&gt;&lt;D xsi:type="xsd:double"&gt;38.25&lt;/D&gt;&lt;D xsi:type="xsd:double"&gt;38.34375&lt;/D&gt;&lt;D xsi:type="xsd:double"&gt;36.0625&lt;/D&gt;&lt;D xsi:type="xsd:double"&gt;36.671875&lt;/D&gt;&lt;D xsi:type="xsd:double"&gt;35.4375&lt;/D&gt;&lt;D xsi:type="xsd:double"&gt;34.6875&lt;/D&gt;&lt;D xsi:type="xsd:double"&gt;32.5625&lt;/D&gt;&lt;D xsi:type="xsd:double"&gt;34.96875&lt;/D&gt;&lt;D xsi:type="xsd:double"&gt;35.84375&lt;/D&gt;&lt;D xsi:type="xsd:double"&gt;36.71875&lt;/D&gt;&lt;D xsi:type="xsd:double"&gt;35.625&lt;/D&gt;&lt;D xsi:type="xsd:double"&gt;35.71875&lt;/D&gt;&lt;D xsi:type="xsd:double"&gt;34.71875&lt;/D&gt;&lt;D xsi:type="xsd:double"&gt;36.09375&lt;/D&gt;&lt;D xsi:type="xsd:double"&gt;38.71875&lt;/D&gt;&lt;D xsi:type="xsd:double"&gt;38&lt;/D&gt;&lt;D xsi:type="xsd:double"&gt;38.75&lt;/D&gt;&lt;D xsi:type="xsd:double"&gt;39.875&lt;/D&gt;&lt;D xsi:type="xsd:double"&gt;40.78125&lt;/D&gt;&lt;D xsi:type="xsd:double"&gt;41.1875&lt;/D&gt;&lt;D xsi:type="xsd:double"&gt;41.0625&lt;/D&gt;&lt;D xsi:type="xsd:double"&gt;40.03125&lt;/D&gt;&lt;D xsi:type="xsd:double"&gt;39.5&lt;/D&gt;&lt;D xsi:type="xsd:double"&gt;39.71875&lt;/D&gt;&lt;D xsi:type="xsd:double"&gt;38.09375&lt;/D&gt;&lt;D xsi:type="xsd:double"&gt;37.03125&lt;/D&gt;&lt;D xsi:type="xsd:double"&gt;38.28125&lt;/D&gt;&lt;D xsi:type="xsd:double"&gt;37.375&lt;/D&gt;&lt;D xsi:type="xsd:double"&gt;39.25&lt;/D&gt;&lt;D xsi:type="xsd:double"&gt;39.9375&lt;/D&gt;&lt;D xsi:type="xsd:double"&gt;40.25&lt;/D&gt;&lt;D xsi:type="xsd:double"&gt;39.5&lt;/D&gt;&lt;D xsi:type="xsd:double"&gt;41.09375&lt;/D&gt;&lt;D xsi:type="xsd:double"&gt;40.125&lt;/D&gt;&lt;D xsi:type="xsd:double"&gt;39.46875&lt;/D&gt;&lt;D xsi:type="xsd:double"&gt;38.34375&lt;/D&gt;&lt;D xsi:type="xsd:double"&gt;38.15625&lt;/D&gt;&lt;D xsi:type="xsd:double"&gt;38.78125&lt;/D&gt;&lt;D xsi:type="xsd:double"&gt;39.34375&lt;/D&gt;&lt;D xsi:type="xsd:double"&gt;38.9375&lt;/D&gt;&lt;D xsi:type="xsd:double"&gt;38.59375&lt;/D&gt;&lt;D xsi:type="xsd:double"&gt;37.25&lt;/D&gt;&lt;D xsi:type="xsd:double"&gt;36.625&lt;/D&gt;&lt;D xsi:type="xsd:double"&gt;36.125&lt;/D&gt;&lt;D xsi:type="xsd:double"&gt;37.03125&lt;/D&gt;&lt;D xsi:type="xsd:double"&gt;36.21875&lt;/D&gt;&lt;D xsi:type="xsd:double"&gt;39.46875&lt;/D&gt;&lt;D xsi:type="xsd:double"&gt;40.125&lt;/D&gt;&lt;D xsi:type="xsd:double"&gt;41.03125&lt;/D&gt;&lt;D xsi:type="xsd:double"&gt;40.53125&lt;/D&gt;&lt;D xsi:type="xsd:double"&gt;41.4375&lt;/D&gt;&lt;D xsi:type="xsd:double"&gt;41.25&lt;/D&gt;&lt;D xsi:type="xsd:double"&gt;41.5625&lt;/D&gt;&lt;D xsi:type="xsd:double"&gt;42.53125&lt;/D&gt;&lt;D xsi:type="xsd:double"&gt;41.5&lt;/D&gt;&lt;D xsi:type="xsd:double"&gt;41.9375&lt;/D&gt;&lt;D xsi:type="xsd:double"&gt;41.84375&lt;/D&gt;&lt;D xsi:type="xsd:double"&gt;41.15625&lt;/D&gt;&lt;D xsi:type="xsd:double"&gt;43.5&lt;/D&gt;&lt;D xsi:type="xsd:double"&gt;41.46875&lt;/D&gt;&lt;D xsi:type="xsd:double"&gt;41.8125&lt;/D&gt;&lt;D xsi:type="xsd:double"&gt;39.375&lt;/D&gt;&lt;D xsi:type="xsd:double"&gt;41&lt;/D&gt;&lt;D xsi:type="xsd:double"&gt;42.875&lt;/D&gt;&lt;D xsi:type="xsd:double"&gt;44</t>
      </text>
    </comment>
  </commentList>
  <extLst>
    <ext uri="GoogleSheetsCustomDataVersion2">
      <go:sheetsCustomData xmlns:go="http://customooxmlschemas.google.com/" r:id="rId1" roundtripDataSignature="AMtx7mh0QCWdHmi5+PrcoqFaCKyyEJeb9g=="/>
    </ext>
  </extLst>
</comments>
</file>

<file path=xl/sharedStrings.xml><?xml version="1.0" encoding="utf-8"?>
<sst xmlns="http://schemas.openxmlformats.org/spreadsheetml/2006/main" count="2899" uniqueCount="2498">
  <si>
    <t>This sheet contains FactSet XML data for use with this workbook's =FDS codes.  Modifying the worksheet's contents may damage the workbook's =FDS functionality.</t>
  </si>
  <si>
    <t>12-month Target</t>
  </si>
  <si>
    <t>FCF Yield</t>
  </si>
  <si>
    <t>Current Price</t>
  </si>
  <si>
    <t xml:space="preserve">Dividend Yield = </t>
  </si>
  <si>
    <t>Intel Corporation</t>
  </si>
  <si>
    <t>3yr</t>
  </si>
  <si>
    <t>Income Statement</t>
  </si>
  <si>
    <t>5yr</t>
  </si>
  <si>
    <t>FY ends December 31</t>
  </si>
  <si>
    <t>($ in millions, except EPS)</t>
  </si>
  <si>
    <t>Q4A</t>
  </si>
  <si>
    <t>IAG</t>
  </si>
  <si>
    <t>All others</t>
  </si>
  <si>
    <t>Revenue (GAAP)</t>
  </si>
  <si>
    <t>Total Revenues</t>
  </si>
  <si>
    <t xml:space="preserve">   Q/Q</t>
  </si>
  <si>
    <t xml:space="preserve">   Y/Y</t>
  </si>
  <si>
    <t>3 Yr Seasonal</t>
  </si>
  <si>
    <t>5 Yr Seasonal</t>
  </si>
  <si>
    <t>Guidance</t>
  </si>
  <si>
    <t>$12.8B+/-$500MM</t>
  </si>
  <si>
    <t>$13.2B+/-$500MM</t>
  </si>
  <si>
    <t>$14.3B+/-$500MM</t>
  </si>
  <si>
    <t>$14.8B+/-$500MM</t>
  </si>
  <si>
    <t>$14.0B+/-$500MM</t>
  </si>
  <si>
    <t>$13.5B+/-$500MM</t>
  </si>
  <si>
    <t>$14.9B+/-$500MM</t>
  </si>
  <si>
    <t>$15.7B+/-$500MM</t>
  </si>
  <si>
    <t>$14.4B+/-$500MM</t>
  </si>
  <si>
    <t>$16.3B+/-$500MM</t>
  </si>
  <si>
    <t>$15B +/- $500MM</t>
  </si>
  <si>
    <t>$16.3B +/- $500M</t>
  </si>
  <si>
    <t>$18.1B +/- $500M</t>
  </si>
  <si>
    <t>$19B</t>
  </si>
  <si>
    <t>$16B</t>
  </si>
  <si>
    <t>$15.6B</t>
  </si>
  <si>
    <t>$18B</t>
  </si>
  <si>
    <t>$19.2B</t>
  </si>
  <si>
    <t>$71B</t>
  </si>
  <si>
    <t>.</t>
  </si>
  <si>
    <t>D&amp;A</t>
  </si>
  <si>
    <t>COGS ex D&amp;A (variable costs)</t>
  </si>
  <si>
    <t xml:space="preserve">   Cost of Revenues</t>
  </si>
  <si>
    <t>COGS (Non-GAAP)</t>
  </si>
  <si>
    <t>Gross profits</t>
  </si>
  <si>
    <t>Gross Margin (GAAP)</t>
  </si>
  <si>
    <t>Deferred Revenue Write down</t>
  </si>
  <si>
    <t>Inventory valuation</t>
  </si>
  <si>
    <t>SBC COGS + Amort. Of Acq. Related Intangibles</t>
  </si>
  <si>
    <t>Gross Profit (Non -GAAP)</t>
  </si>
  <si>
    <t>GM% (Non -GAAP)</t>
  </si>
  <si>
    <t>Y/Y GM Drop Through</t>
  </si>
  <si>
    <t>GM% (Non -GAAP) - Guidance</t>
  </si>
  <si>
    <t xml:space="preserve">   R&amp;D expenses</t>
  </si>
  <si>
    <t xml:space="preserve">   MG&amp;A expenses</t>
  </si>
  <si>
    <t xml:space="preserve">   Amortization/ other GAAP adj</t>
  </si>
  <si>
    <t xml:space="preserve">   Restructuring &amp; other</t>
  </si>
  <si>
    <t>Other acq. Related Charges</t>
  </si>
  <si>
    <t>Total operating expenses</t>
  </si>
  <si>
    <t>Total Operating expenses (Non-GAAP)</t>
  </si>
  <si>
    <t>Opex SBC</t>
  </si>
  <si>
    <t>$4.8B</t>
  </si>
  <si>
    <t>$4.9B</t>
  </si>
  <si>
    <t>$5B</t>
  </si>
  <si>
    <t>$5.5B</t>
  </si>
  <si>
    <t>$5.1B</t>
  </si>
  <si>
    <t>$5.2B</t>
  </si>
  <si>
    <t>~$5.1B</t>
  </si>
  <si>
    <t>Opex% (Non -GAAP)</t>
  </si>
  <si>
    <t xml:space="preserve">Operating income </t>
  </si>
  <si>
    <t>Operating Income (Non -GAAP)</t>
  </si>
  <si>
    <t>OPM% (Non -GAAP)</t>
  </si>
  <si>
    <t xml:space="preserve">   Gains on equity investments</t>
  </si>
  <si>
    <t xml:space="preserve">   Interest and other</t>
  </si>
  <si>
    <t>Other income, net</t>
  </si>
  <si>
    <t>Pretax income</t>
  </si>
  <si>
    <t>Pretax Income (Non-GAAP)</t>
  </si>
  <si>
    <t xml:space="preserve">   Income taxes</t>
  </si>
  <si>
    <t xml:space="preserve"> Income Taxes (Non-GAAP)</t>
  </si>
  <si>
    <t>Minority interest</t>
  </si>
  <si>
    <t>Net Income</t>
  </si>
  <si>
    <t>% Options Expense COGS</t>
  </si>
  <si>
    <t>% Options Expense R&amp;D</t>
  </si>
  <si>
    <t>% Options Expense MG&amp;A</t>
  </si>
  <si>
    <t>Stock option expense</t>
  </si>
  <si>
    <t>Stock based compensation (net of tax)</t>
  </si>
  <si>
    <t>Goodwill</t>
  </si>
  <si>
    <t>Pre tax charges</t>
  </si>
  <si>
    <t>GAAP tax</t>
  </si>
  <si>
    <t>Post-tax charges</t>
  </si>
  <si>
    <t>Extraordinary items (net of tax)</t>
  </si>
  <si>
    <t>GAAP net income</t>
  </si>
  <si>
    <t xml:space="preserve">Non-GAAP net income </t>
  </si>
  <si>
    <t>Basic EPS reported (GAAP)</t>
  </si>
  <si>
    <t>Diluted EPS reported (GAAP)</t>
  </si>
  <si>
    <t>Convertible net addback for diluted EPS</t>
  </si>
  <si>
    <t>Non-GAAP Income Adjustments (1Q16+)</t>
  </si>
  <si>
    <t>UBS adjusted diluted EPS</t>
  </si>
  <si>
    <t>Non-GAAP diluted EPS (As reported)</t>
  </si>
  <si>
    <t>Non -GAAP diluted EPS (Including SBC)</t>
  </si>
  <si>
    <t>Non -GAAP diluted EPS (excluding SBC)</t>
  </si>
  <si>
    <t>should be 3.58</t>
  </si>
  <si>
    <t>Dividend Per Share</t>
  </si>
  <si>
    <t>Basic shares outstanding</t>
  </si>
  <si>
    <t>Diluted shares outstanding</t>
  </si>
  <si>
    <t>Diluted shares from convertible debt</t>
  </si>
  <si>
    <t>EBIT</t>
  </si>
  <si>
    <t xml:space="preserve">Add: Depreciation </t>
  </si>
  <si>
    <t>Add: Amortization</t>
  </si>
  <si>
    <t>Add: Non Cash Stock Comp. Expense</t>
  </si>
  <si>
    <t>Adjusted EBITDA</t>
  </si>
  <si>
    <t xml:space="preserve">Stock Based Compensation </t>
  </si>
  <si>
    <t>% of Revenues</t>
  </si>
  <si>
    <t>Consensus Revenues</t>
  </si>
  <si>
    <t>Consensus EPS</t>
  </si>
  <si>
    <t>Percentage of Revenues</t>
  </si>
  <si>
    <t>Gross profits ex dep</t>
  </si>
  <si>
    <t>Inc. gross profits ex dep</t>
  </si>
  <si>
    <t>Cash COGS y/y change</t>
  </si>
  <si>
    <t>Incremental gross margin</t>
  </si>
  <si>
    <t>nm</t>
  </si>
  <si>
    <t>Gross Margin Non-GAAP</t>
  </si>
  <si>
    <t>Opex Non-GAAP</t>
  </si>
  <si>
    <t>Option Expense % of NI</t>
  </si>
  <si>
    <t>H2/H1 % of Revs</t>
  </si>
  <si>
    <t>5 Year Average Q/Q Growth</t>
  </si>
  <si>
    <t>5 Year Average % of Full Year</t>
  </si>
  <si>
    <t>H/H Growth</t>
  </si>
  <si>
    <t>Q-Q Growth</t>
  </si>
  <si>
    <t>Q1</t>
  </si>
  <si>
    <t>Q2</t>
  </si>
  <si>
    <t>Q3</t>
  </si>
  <si>
    <t>Q4</t>
  </si>
  <si>
    <t>CY</t>
  </si>
  <si>
    <t>--</t>
  </si>
  <si>
    <t xml:space="preserve">   3yr seasonal</t>
  </si>
  <si>
    <t xml:space="preserve">   5yr seasonal</t>
  </si>
  <si>
    <t>R&amp;D + MG&amp;A</t>
  </si>
  <si>
    <t>Op Inc Drop Through</t>
  </si>
  <si>
    <t>Y-Y Growth</t>
  </si>
  <si>
    <t>Gross profit</t>
  </si>
  <si>
    <t>Revenue Model ($M)</t>
  </si>
  <si>
    <t>CCG</t>
  </si>
  <si>
    <t xml:space="preserve">Revenue </t>
  </si>
  <si>
    <t xml:space="preserve">Q/Q </t>
  </si>
  <si>
    <t>Y/Y</t>
  </si>
  <si>
    <t>3 Yr Seasonal (prior to restatement)</t>
  </si>
  <si>
    <t>Desktop Revenue</t>
  </si>
  <si>
    <t>Desktop Units ('000s)</t>
  </si>
  <si>
    <t>Q/Q</t>
  </si>
  <si>
    <t>3 Year Q/Q Seasonality</t>
  </si>
  <si>
    <t>Mercury Units</t>
  </si>
  <si>
    <t>DT TAM</t>
  </si>
  <si>
    <t>INTC DT Share</t>
  </si>
  <si>
    <t>Desktop ASP</t>
  </si>
  <si>
    <t>Notebook Revenue</t>
  </si>
  <si>
    <t>Notebook Units ('000s)</t>
  </si>
  <si>
    <t>NB TAM</t>
  </si>
  <si>
    <t>INTC NB Share</t>
  </si>
  <si>
    <t>Notebook ASP</t>
  </si>
  <si>
    <t>3 Yr Q/Q Seasonal</t>
  </si>
  <si>
    <t>Other Revenue</t>
  </si>
  <si>
    <t xml:space="preserve">Operating Income </t>
  </si>
  <si>
    <t>Operating Margin</t>
  </si>
  <si>
    <t>DCAI</t>
  </si>
  <si>
    <t>Server Units ('000s)</t>
  </si>
  <si>
    <t>Server TAM</t>
  </si>
  <si>
    <t>Server TAM Q/Q</t>
  </si>
  <si>
    <t>Server TAM Y/Y</t>
  </si>
  <si>
    <t>INTC Share</t>
  </si>
  <si>
    <t>Server ASP</t>
  </si>
  <si>
    <t>NEX</t>
  </si>
  <si>
    <t>AXG</t>
  </si>
  <si>
    <t>Mobileye</t>
  </si>
  <si>
    <t>IFS</t>
  </si>
  <si>
    <t>All Other</t>
  </si>
  <si>
    <t>Total Operating Segment Revenue</t>
  </si>
  <si>
    <t>Less: Intersegment Revenue</t>
  </si>
  <si>
    <t>GAAP Revenue</t>
  </si>
  <si>
    <t>Less: NAND Revenue</t>
  </si>
  <si>
    <t>Non-GAAP Revenue</t>
  </si>
  <si>
    <t>CCG+DCAI+NEX</t>
  </si>
  <si>
    <t>2021-2026 CAGR</t>
  </si>
  <si>
    <t xml:space="preserve">GAAP Operating Income </t>
  </si>
  <si>
    <t>Acquisition Related Adjustments</t>
  </si>
  <si>
    <t>Restrux and Other</t>
  </si>
  <si>
    <t>SBC</t>
  </si>
  <si>
    <t xml:space="preserve">NAND </t>
  </si>
  <si>
    <t xml:space="preserve">Non GAAP Operating Income </t>
  </si>
  <si>
    <t>Non GAAP Operating Margin</t>
  </si>
  <si>
    <t>Check</t>
  </si>
  <si>
    <t>Old Revenue Model ($M)</t>
  </si>
  <si>
    <t>Segment Revenue</t>
  </si>
  <si>
    <t>Client Computing Goup (CCG)</t>
  </si>
  <si>
    <t>PC Client</t>
  </si>
  <si>
    <t>MCG (Mobile and Communications Group)</t>
  </si>
  <si>
    <t>Microprocessor Revenue</t>
  </si>
  <si>
    <t>Units</t>
  </si>
  <si>
    <t>ASP</t>
  </si>
  <si>
    <t>Revenue Y/Y</t>
  </si>
  <si>
    <t>Mobile Revenue</t>
  </si>
  <si>
    <t>Total Client PC</t>
  </si>
  <si>
    <t>`</t>
  </si>
  <si>
    <t>Blended ASP</t>
  </si>
  <si>
    <t>Revenue</t>
  </si>
  <si>
    <t>Other/Chipset</t>
  </si>
  <si>
    <t>Mobility/Other Revenue</t>
  </si>
  <si>
    <t>Mobile Communications Group (MCG)</t>
  </si>
  <si>
    <t>check</t>
  </si>
  <si>
    <t>Data Center Group (DCG)</t>
  </si>
  <si>
    <t>Cloud</t>
  </si>
  <si>
    <t xml:space="preserve">     Y/Y</t>
  </si>
  <si>
    <t xml:space="preserve">     Q/Q</t>
  </si>
  <si>
    <t>HPC</t>
  </si>
  <si>
    <t>Comms SP</t>
  </si>
  <si>
    <t>Enterprise/Gov't</t>
  </si>
  <si>
    <t>Platform</t>
  </si>
  <si>
    <t>Miciroprocessor Revenue</t>
  </si>
  <si>
    <t>Server Revenue</t>
  </si>
  <si>
    <t>INTC Server Share</t>
  </si>
  <si>
    <t>Chipset/Other</t>
  </si>
  <si>
    <t>Internet of Things Group (IOTG)</t>
  </si>
  <si>
    <t>Other</t>
  </si>
  <si>
    <t>Non-Volatile Memory Solutions Group (NSG)</t>
  </si>
  <si>
    <t>NAND Revenue</t>
  </si>
  <si>
    <t>% NSG</t>
  </si>
  <si>
    <t>GM(%)</t>
  </si>
  <si>
    <t>GP</t>
  </si>
  <si>
    <t>GP ex NAND</t>
  </si>
  <si>
    <t>GM ex NAND</t>
  </si>
  <si>
    <t>Delta From Corp GM</t>
  </si>
  <si>
    <t>Opex % of Revs (NAND)</t>
  </si>
  <si>
    <t>Opex</t>
  </si>
  <si>
    <t>NAND Op Profit</t>
  </si>
  <si>
    <t>Op ex NAND</t>
  </si>
  <si>
    <t>Op. Margin ex NAND</t>
  </si>
  <si>
    <t>Delta from Corp Op Margin</t>
  </si>
  <si>
    <t>Optane Revenue</t>
  </si>
  <si>
    <t>%NSG</t>
  </si>
  <si>
    <t>optane COGS</t>
  </si>
  <si>
    <t>Optane Opex</t>
  </si>
  <si>
    <t>Optane COGS+Opex</t>
  </si>
  <si>
    <t>Optane Op. Profit</t>
  </si>
  <si>
    <t>Programmable Solutions Group (PSG)</t>
  </si>
  <si>
    <t>Intel Security Group (ISecG)</t>
  </si>
  <si>
    <t>New Technology Group (NTG)</t>
  </si>
  <si>
    <t>Total Revenues (GAAP)</t>
  </si>
  <si>
    <t>TOTAL DATA CENTRIC</t>
  </si>
  <si>
    <t>% total INTC</t>
  </si>
  <si>
    <t>Y/Y growth</t>
  </si>
  <si>
    <t>Data Centric ex NAND</t>
  </si>
  <si>
    <t>Operating Income ($M)</t>
  </si>
  <si>
    <t>Segment Income</t>
  </si>
  <si>
    <t>Platform &amp; Other</t>
  </si>
  <si>
    <t>Total Operating Income</t>
  </si>
  <si>
    <t>Operating Margin (%)</t>
  </si>
  <si>
    <t>% of Operating Income (ex-Other)</t>
  </si>
  <si>
    <t>Operating drop-through Q/Q</t>
  </si>
  <si>
    <t>CCG+DCG</t>
  </si>
  <si>
    <t>Operating drop-through Y/Y</t>
  </si>
  <si>
    <t xml:space="preserve">Implied DCG GM </t>
  </si>
  <si>
    <t>DCG Opex % of Revs</t>
  </si>
  <si>
    <t xml:space="preserve">DCG Opm </t>
  </si>
  <si>
    <t>Implied DCG GM</t>
  </si>
  <si>
    <t>EPS Impact</t>
  </si>
  <si>
    <t>Client Computing Group (CCG)</t>
  </si>
  <si>
    <t>EPS</t>
  </si>
  <si>
    <t>Deferred revenue write-down, net of cost of sales</t>
  </si>
  <si>
    <t>Amortization of acquisition-related intangibles</t>
  </si>
  <si>
    <t>Restructuring and other charges</t>
  </si>
  <si>
    <t>Other acquisition-related charges</t>
  </si>
  <si>
    <t>Income tax effect</t>
  </si>
  <si>
    <t>Non-GAAP diluted EPS (incl SBC)</t>
  </si>
  <si>
    <t>Operating Group Revenues ($m)</t>
  </si>
  <si>
    <t>Client Computing Group</t>
  </si>
  <si>
    <t>Chipsets, MBs and other</t>
  </si>
  <si>
    <t>Processors</t>
  </si>
  <si>
    <t>Data Center Group</t>
  </si>
  <si>
    <t>Mobile Communications Group</t>
  </si>
  <si>
    <t>Apps Processors, Other</t>
  </si>
  <si>
    <t>Other IAG</t>
  </si>
  <si>
    <t>IAG Subtotal</t>
  </si>
  <si>
    <t>McAfee</t>
  </si>
  <si>
    <t>Wind River</t>
  </si>
  <si>
    <t>Software and Services Group</t>
  </si>
  <si>
    <t>NAND Flash</t>
  </si>
  <si>
    <t>Programmable Solutions Group (ALTR)</t>
  </si>
  <si>
    <t>Percentage of Total Sales</t>
  </si>
  <si>
    <t>Altera</t>
  </si>
  <si>
    <t>Revenue Q-Q Growth</t>
  </si>
  <si>
    <t>Total</t>
  </si>
  <si>
    <t>Revenue Y-Y Growth</t>
  </si>
  <si>
    <t xml:space="preserve">Total  </t>
  </si>
  <si>
    <t>Operating Income</t>
  </si>
  <si>
    <t>contra-rev</t>
  </si>
  <si>
    <t>$3.5bn opex</t>
  </si>
  <si>
    <t>Mobile Communication Group</t>
  </si>
  <si>
    <t>Internet of Things (Wind River)</t>
  </si>
  <si>
    <t>Total GAAP Operating Income</t>
  </si>
  <si>
    <t>Total Operating Margin</t>
  </si>
  <si>
    <t>Revenue Model - old</t>
  </si>
  <si>
    <t>Atom</t>
  </si>
  <si>
    <t>PC Client Group</t>
  </si>
  <si>
    <t>Old Revenue Model</t>
  </si>
  <si>
    <t>Other Operating Groups</t>
  </si>
  <si>
    <t>Corporate</t>
  </si>
  <si>
    <t>Old Revenue Segment Model</t>
  </si>
  <si>
    <t>Segment Revenues ($M)</t>
  </si>
  <si>
    <t>Estimated embedded</t>
  </si>
  <si>
    <t>DT+server MPUs</t>
  </si>
  <si>
    <t>Digital Enterprise Group</t>
  </si>
  <si>
    <t>Mobile Processors</t>
  </si>
  <si>
    <t>Mobile Chipsets and other</t>
  </si>
  <si>
    <t>NOR Flash (through 3Q05)</t>
  </si>
  <si>
    <t>Mobility Group</t>
  </si>
  <si>
    <t>NOR Flash (from 4Q05)</t>
  </si>
  <si>
    <t>Flash Products Group</t>
  </si>
  <si>
    <t>Digital Home (estimated)</t>
  </si>
  <si>
    <t>Digital Health</t>
  </si>
  <si>
    <t>Channel Products</t>
  </si>
  <si>
    <t>Total company revenues</t>
  </si>
  <si>
    <t>NOR Flash</t>
  </si>
  <si>
    <t>Mobility Group less Flash</t>
  </si>
  <si>
    <t>Total company operating margin</t>
  </si>
  <si>
    <t>Operating M Q-Q Growth</t>
  </si>
  <si>
    <t>Operating M Y/Y Growth</t>
  </si>
  <si>
    <t xml:space="preserve">   Microprocessor</t>
  </si>
  <si>
    <t xml:space="preserve">   Chipset</t>
  </si>
  <si>
    <t xml:space="preserve">   Motherboard</t>
  </si>
  <si>
    <t>Architecture group - IAG</t>
  </si>
  <si>
    <t>WCCG</t>
  </si>
  <si>
    <t>Flash</t>
  </si>
  <si>
    <t>Comm/Embedded (former ICG)</t>
  </si>
  <si>
    <t>All other</t>
  </si>
  <si>
    <t>ICG/All other</t>
  </si>
  <si>
    <t xml:space="preserve">Total </t>
  </si>
  <si>
    <t xml:space="preserve">Operating Margin </t>
  </si>
  <si>
    <t>Total operating margin</t>
  </si>
  <si>
    <t>Q/Q change</t>
  </si>
  <si>
    <t>Y/Y change</t>
  </si>
  <si>
    <t>MPU Units (Ks)</t>
  </si>
  <si>
    <t xml:space="preserve">    Server Itanium</t>
  </si>
  <si>
    <t xml:space="preserve">    Server Xeon</t>
  </si>
  <si>
    <t>Server total</t>
  </si>
  <si>
    <t>QoQ</t>
  </si>
  <si>
    <t>YoY</t>
  </si>
  <si>
    <t>Total MPU units</t>
  </si>
  <si>
    <t>Total MPU units ex Atom</t>
  </si>
  <si>
    <t>MPU ASPs ($)</t>
  </si>
  <si>
    <t>MPU Revenue ($MM)</t>
  </si>
  <si>
    <t>Mobile total</t>
  </si>
  <si>
    <t>Total revenues ex Xbox</t>
  </si>
  <si>
    <t>Total revenues</t>
  </si>
  <si>
    <t>MPU Revenue % (ex-Xbox)</t>
  </si>
  <si>
    <t>MPU Revenue % of Total</t>
  </si>
  <si>
    <t>Server Revenue as % of MPUs</t>
  </si>
  <si>
    <t>Server Revenue as % of Total</t>
  </si>
  <si>
    <t>DT Revenue as % of MPUs</t>
  </si>
  <si>
    <t>DT Revenue as % of Total</t>
  </si>
  <si>
    <t>NB Revenue as % of MPUs</t>
  </si>
  <si>
    <t>NB Revenue as % of Total</t>
  </si>
  <si>
    <t>Revenue by Geography</t>
  </si>
  <si>
    <t>Americas</t>
  </si>
  <si>
    <t>Europe</t>
  </si>
  <si>
    <t>Asia-Pacific</t>
  </si>
  <si>
    <t>Japan</t>
  </si>
  <si>
    <t>Revenue by Geography (as per 10-K)</t>
  </si>
  <si>
    <t>United States</t>
  </si>
  <si>
    <t>Singapore</t>
  </si>
  <si>
    <t>Taiwan</t>
  </si>
  <si>
    <t>China (including HongKong)</t>
  </si>
  <si>
    <t>Europe and ROW</t>
  </si>
  <si>
    <t>% of sales</t>
  </si>
  <si>
    <t>INTC + AMD Processor Comparisons</t>
  </si>
  <si>
    <t>Total Processor Units</t>
  </si>
  <si>
    <t>Intel MPU Units</t>
  </si>
  <si>
    <t>AMD MPU Units</t>
  </si>
  <si>
    <t>% of Total Processors</t>
  </si>
  <si>
    <t>Intel MPU Unit Market Share</t>
  </si>
  <si>
    <t>AMD MPU Unit Market Share</t>
  </si>
  <si>
    <t>Total Processor Sales</t>
  </si>
  <si>
    <t>Intel MPU Revenues</t>
  </si>
  <si>
    <t>AMD MPU Revenues</t>
  </si>
  <si>
    <t>% of Total Processor Sales</t>
  </si>
  <si>
    <t>Intel MPU Revenue Market Share</t>
  </si>
  <si>
    <t>AMD MPU Revenue Market Share</t>
  </si>
  <si>
    <t>Total Processor ASPs</t>
  </si>
  <si>
    <t>Intel Blended MPU ASP</t>
  </si>
  <si>
    <t>AMD Blended MPU ASP</t>
  </si>
  <si>
    <t>Desktop Processor Units</t>
  </si>
  <si>
    <t>Intel Desktop MPU Units</t>
  </si>
  <si>
    <t>AMD Desktop MPU Units</t>
  </si>
  <si>
    <t>% of Desktop Processors</t>
  </si>
  <si>
    <t>Intel Desktop MPU Unit Market Share</t>
  </si>
  <si>
    <t>AMD Desktop MPU Unit Market Share</t>
  </si>
  <si>
    <t>Desktop Processor Sales</t>
  </si>
  <si>
    <t>Intel Desktop MPU Revenues (excl Xbox)</t>
  </si>
  <si>
    <t>AMD Desktop MPU Revenues</t>
  </si>
  <si>
    <t>Intel Desktop MPU Revenue Market Share</t>
  </si>
  <si>
    <t>AMD Desktop MPU Revenue Market Share</t>
  </si>
  <si>
    <t>Total Desktop ASPs</t>
  </si>
  <si>
    <t>INTC Blended Desktop ASP</t>
  </si>
  <si>
    <t>AMD Blended Desktop ASP</t>
  </si>
  <si>
    <t>Mobile Processor Units</t>
  </si>
  <si>
    <t>Intel Mobile MPU Units</t>
  </si>
  <si>
    <t>AMD Mobile MPU Units</t>
  </si>
  <si>
    <t>% of Mobile Processors</t>
  </si>
  <si>
    <t>Intel Mobile MPU Unit Market Share</t>
  </si>
  <si>
    <t>AMD Mobile MPU Unit Market Share</t>
  </si>
  <si>
    <t>Mobile Processor Sales</t>
  </si>
  <si>
    <t>Intel Mobile MPU Revenues</t>
  </si>
  <si>
    <t>AMD Mobile MPU Revenues</t>
  </si>
  <si>
    <t>Intel Mobile MPU Revenue Market Share</t>
  </si>
  <si>
    <t>AMD Mobile MPU Revenue Market Share</t>
  </si>
  <si>
    <t>Total Mobile ASPs</t>
  </si>
  <si>
    <t>INTC Blended Mobile ASP</t>
  </si>
  <si>
    <t>AMD Blended Mobile ASP</t>
  </si>
  <si>
    <t>Client Processor Units</t>
  </si>
  <si>
    <t>Intel Client MPU Units</t>
  </si>
  <si>
    <t>AMD Client MPU Units</t>
  </si>
  <si>
    <t>% of Client Processors</t>
  </si>
  <si>
    <t>Intel Client MPU Unit Market Share</t>
  </si>
  <si>
    <t>AMD Client MPU Unit Market Share</t>
  </si>
  <si>
    <t>Client Processor Sales</t>
  </si>
  <si>
    <t>Intel Client MPU Revenues</t>
  </si>
  <si>
    <t>AMD Client MPU Revenues</t>
  </si>
  <si>
    <t>Intel Client MPU Revenue Market Share</t>
  </si>
  <si>
    <t>AMD Client MPU Revenue Market Share</t>
  </si>
  <si>
    <t>Total Client ASPs</t>
  </si>
  <si>
    <t>INTC Blended Client ASP</t>
  </si>
  <si>
    <t>AMD Blended Client ASP</t>
  </si>
  <si>
    <t>Server Processor Units</t>
  </si>
  <si>
    <t>Intel Server MPU Units</t>
  </si>
  <si>
    <t>AMD Server MPU Units</t>
  </si>
  <si>
    <t>% of Server Processors</t>
  </si>
  <si>
    <t>Intel Server MPU Unit Market Share</t>
  </si>
  <si>
    <t>AMD Server MPU Unit Market Share</t>
  </si>
  <si>
    <t>Server Processor Sales</t>
  </si>
  <si>
    <t>Intel Server MPU Revenues</t>
  </si>
  <si>
    <t>AMD Server MPU Revenues</t>
  </si>
  <si>
    <t>Intel Server MPU Revenue Market Share</t>
  </si>
  <si>
    <t>AMD Server MPU Revenue Market Share</t>
  </si>
  <si>
    <t>Total Server ASPs</t>
  </si>
  <si>
    <t>INTC Blended Server ASP</t>
  </si>
  <si>
    <t>AMD Blended Server ASP</t>
  </si>
  <si>
    <t>MP Server Processor Units</t>
  </si>
  <si>
    <t>Intel MP x86 Server MPU Units</t>
  </si>
  <si>
    <t>AMD MP Server MPU Units</t>
  </si>
  <si>
    <t>% of MP Server Processors</t>
  </si>
  <si>
    <t>Intel MP Server MPU Unit Market Share</t>
  </si>
  <si>
    <t>AMD MP Server MPU Unit Market Share</t>
  </si>
  <si>
    <t>DP/UP Server Processor Units</t>
  </si>
  <si>
    <t>Intel DP/UP x86 Server MPU Units</t>
  </si>
  <si>
    <t>AMD DP/UP Server MPU Units</t>
  </si>
  <si>
    <t>% of DP Server Processors</t>
  </si>
  <si>
    <t>Intel DP/UP Server MPU Unit Market Share</t>
  </si>
  <si>
    <t>AMD DP/UP Server MPU Unit Market Share</t>
  </si>
  <si>
    <t>Headcount</t>
  </si>
  <si>
    <t>Revenues</t>
  </si>
  <si>
    <t>Gross margins</t>
  </si>
  <si>
    <t>Actual</t>
  </si>
  <si>
    <t xml:space="preserve">   from IS</t>
  </si>
  <si>
    <t>Prescott gross margins</t>
  </si>
  <si>
    <t>Northwood gross margins</t>
  </si>
  <si>
    <t>Total Pentium 4 gross margins</t>
  </si>
  <si>
    <t>Prescott % of units</t>
  </si>
  <si>
    <t>Northwood % of units</t>
  </si>
  <si>
    <t>Gross margin</t>
  </si>
  <si>
    <t>Cost of Sales</t>
  </si>
  <si>
    <t>Depreciation</t>
  </si>
  <si>
    <t>Materials</t>
  </si>
  <si>
    <t>Labor overhead</t>
  </si>
  <si>
    <t>% of COGS</t>
  </si>
  <si>
    <t>Materials per unit</t>
  </si>
  <si>
    <t>% of COGS (from INTC MPU slide)</t>
  </si>
  <si>
    <t>Depr</t>
  </si>
  <si>
    <t>Labor</t>
  </si>
  <si>
    <t>Gross Margin Model</t>
  </si>
  <si>
    <t>Gross Margin Dollars ($M)</t>
  </si>
  <si>
    <t>Gross Margin %</t>
  </si>
  <si>
    <t>Cost of sales 'variable'</t>
  </si>
  <si>
    <t>Incremental costs</t>
  </si>
  <si>
    <t>Change in cash COGS</t>
  </si>
  <si>
    <t>Change in revenue</t>
  </si>
  <si>
    <t>Actual gross margin</t>
  </si>
  <si>
    <t>CPU revenues</t>
  </si>
  <si>
    <t>COGS for CPUs</t>
  </si>
  <si>
    <t>Total CPU units</t>
  </si>
  <si>
    <t>Cost per CPU</t>
  </si>
  <si>
    <t>Depreciation per unit</t>
  </si>
  <si>
    <t>Labor/OH</t>
  </si>
  <si>
    <t>Total Cost per CPU estimated</t>
  </si>
  <si>
    <t>Total COGS estimated</t>
  </si>
  <si>
    <t>Implied CPU gross margins</t>
  </si>
  <si>
    <t>Consenus Estimates</t>
  </si>
  <si>
    <t>Q/Q %</t>
  </si>
  <si>
    <t>GM $</t>
  </si>
  <si>
    <t>GM%</t>
  </si>
  <si>
    <t>OpEx</t>
  </si>
  <si>
    <t>EBIT $</t>
  </si>
  <si>
    <t>EBIT %</t>
  </si>
  <si>
    <t>Int Inc, Other</t>
  </si>
  <si>
    <t>EPS (non-GAAP w/ SOE)</t>
  </si>
  <si>
    <t>EPS (GAAP)</t>
  </si>
  <si>
    <t>Balance Sheet</t>
  </si>
  <si>
    <t>Q1A</t>
  </si>
  <si>
    <t>Q2A</t>
  </si>
  <si>
    <t>Q3A</t>
  </si>
  <si>
    <t>Q4E</t>
  </si>
  <si>
    <t>Assets</t>
  </si>
  <si>
    <t>Cash &amp; cash equivalents</t>
  </si>
  <si>
    <t>Short term investments</t>
  </si>
  <si>
    <t>Cash &amp; short term investments</t>
  </si>
  <si>
    <t>Trading assets</t>
  </si>
  <si>
    <t>Accounts receivable, net</t>
  </si>
  <si>
    <t>Raw materials</t>
  </si>
  <si>
    <t>Work in progress</t>
  </si>
  <si>
    <t>Finished goods</t>
  </si>
  <si>
    <t>Inventories</t>
  </si>
  <si>
    <t>Prepaid expenses and other</t>
  </si>
  <si>
    <t>Total current assets</t>
  </si>
  <si>
    <t>PPE @ cost</t>
  </si>
  <si>
    <t>Accumulated depreciation</t>
  </si>
  <si>
    <t>Property and equipment, net</t>
  </si>
  <si>
    <t>Marketable equities</t>
  </si>
  <si>
    <t>Other long-term investments</t>
  </si>
  <si>
    <t>Other assets</t>
  </si>
  <si>
    <t>Total assets</t>
  </si>
  <si>
    <t>Liabilities</t>
  </si>
  <si>
    <t>Short-term debt</t>
  </si>
  <si>
    <t xml:space="preserve">Accounts payable </t>
  </si>
  <si>
    <t>Accrued liabilities</t>
  </si>
  <si>
    <t>Payable &amp; accrued</t>
  </si>
  <si>
    <t>Deferred income</t>
  </si>
  <si>
    <t>Income taxes payable</t>
  </si>
  <si>
    <t>Total current liabilities</t>
  </si>
  <si>
    <t>Deferred tax liabilities</t>
  </si>
  <si>
    <t>Other liabilities</t>
  </si>
  <si>
    <t>Long-term debt</t>
  </si>
  <si>
    <t>Total liabilities</t>
  </si>
  <si>
    <t>Preferred stock</t>
  </si>
  <si>
    <t>Common stock &amp; APIC</t>
  </si>
  <si>
    <t>Acq-related unearned stock comp.</t>
  </si>
  <si>
    <t>Accumulated other comprehensive income</t>
  </si>
  <si>
    <t>Retained earnings</t>
  </si>
  <si>
    <t>Shareholders' equity</t>
  </si>
  <si>
    <t>Non-controlling interests</t>
  </si>
  <si>
    <t>Total liabs and equity</t>
  </si>
  <si>
    <t>CHECK</t>
  </si>
  <si>
    <t>Operating Activity</t>
  </si>
  <si>
    <t>Day sales outstanding</t>
  </si>
  <si>
    <t>Inventory turns</t>
  </si>
  <si>
    <t>Days inventory outstanding</t>
  </si>
  <si>
    <t>Payable period</t>
  </si>
  <si>
    <t>Cash conversion cycle</t>
  </si>
  <si>
    <t>Number of employees (K)</t>
  </si>
  <si>
    <t>Liquidity/Working Capital Management</t>
  </si>
  <si>
    <t>Net Cash % of Total Net Assets</t>
  </si>
  <si>
    <t>Working capital</t>
  </si>
  <si>
    <t>Net working capital (excludes cash+eqv)</t>
  </si>
  <si>
    <t>Annual changes in net working capital</t>
  </si>
  <si>
    <t>Performance</t>
  </si>
  <si>
    <t>Return on equity (Pro forma)</t>
  </si>
  <si>
    <t>Return on equity (GAAP)</t>
  </si>
  <si>
    <t>Return on assets</t>
  </si>
  <si>
    <t>Return on capex</t>
  </si>
  <si>
    <t>Return on invested capital</t>
  </si>
  <si>
    <t>Leverage</t>
  </si>
  <si>
    <t>Debt/total capital</t>
  </si>
  <si>
    <t>Debt to equity</t>
  </si>
  <si>
    <t>Book value per share</t>
  </si>
  <si>
    <t>Cash value per share</t>
  </si>
  <si>
    <t>Net cash per share</t>
  </si>
  <si>
    <t>Net cash per share (incl LT)</t>
  </si>
  <si>
    <t>Statement of Cash Flows</t>
  </si>
  <si>
    <t xml:space="preserve">   % of total PPE</t>
  </si>
  <si>
    <t xml:space="preserve">   % of sales</t>
  </si>
  <si>
    <t>Amortization</t>
  </si>
  <si>
    <t>Depreciation &amp; Amortization</t>
  </si>
  <si>
    <t>Share-based Compensation</t>
  </si>
  <si>
    <t>Changes in assets and liabilities</t>
  </si>
  <si>
    <t>Accounts payable</t>
  </si>
  <si>
    <t>Other Assets and Liabilities</t>
  </si>
  <si>
    <t>Cash Flow from Operations</t>
  </si>
  <si>
    <t xml:space="preserve">   capex % of COGS</t>
  </si>
  <si>
    <t xml:space="preserve">   capex % of sales (gross)</t>
  </si>
  <si>
    <t xml:space="preserve">   capex % of sales (net))</t>
  </si>
  <si>
    <t>Capital expenditures</t>
  </si>
  <si>
    <t>Acquisitions/Divestitures</t>
  </si>
  <si>
    <t>Cash Flow from Investments</t>
  </si>
  <si>
    <t>Dividends</t>
  </si>
  <si>
    <t>Short term debt</t>
  </si>
  <si>
    <t>Long term debt</t>
  </si>
  <si>
    <t>Issuance of common stock</t>
  </si>
  <si>
    <t>Repurchase of common stock</t>
  </si>
  <si>
    <t>Partner contributions</t>
  </si>
  <si>
    <t>Cash Flow from Financing</t>
  </si>
  <si>
    <t>Effect of Exchange Rate Fluctuations</t>
  </si>
  <si>
    <t>Change in Cash</t>
  </si>
  <si>
    <t>Beginning Cash</t>
  </si>
  <si>
    <t>Ending Cash</t>
  </si>
  <si>
    <t>Total cash &amp; ST investments</t>
  </si>
  <si>
    <t>Free cash flow</t>
  </si>
  <si>
    <t xml:space="preserve">  % of sales</t>
  </si>
  <si>
    <t>Interest paid</t>
  </si>
  <si>
    <t>Tax paid</t>
  </si>
  <si>
    <t>CAPEX/COGS</t>
  </si>
  <si>
    <t>CFO</t>
  </si>
  <si>
    <t>CFO LTM</t>
  </si>
  <si>
    <t>Diluted share count</t>
  </si>
  <si>
    <t>CFO/share</t>
  </si>
  <si>
    <t>CFO LTM/share</t>
  </si>
  <si>
    <t>FCF/share</t>
  </si>
  <si>
    <t>FCF/EPS</t>
  </si>
  <si>
    <t>repo price</t>
  </si>
  <si>
    <t>shares repurchased</t>
  </si>
  <si>
    <t>Dividends/share</t>
  </si>
  <si>
    <t>dividend, % of FCF</t>
  </si>
  <si>
    <t>Capex</t>
  </si>
  <si>
    <t>repo+divs, % FCF TTM</t>
  </si>
  <si>
    <t>Amort.</t>
  </si>
  <si>
    <t>Adjusted FCF Calculation</t>
  </si>
  <si>
    <t xml:space="preserve">CFO </t>
  </si>
  <si>
    <t>Adjust for NSG Revs/Net Income</t>
  </si>
  <si>
    <t>Adjust for NSG Depreciation</t>
  </si>
  <si>
    <t>Adjusted CFO</t>
  </si>
  <si>
    <t>Adjust for NSG Capex</t>
  </si>
  <si>
    <t>Adjusted Capex</t>
  </si>
  <si>
    <t>Adjusted FCF</t>
  </si>
  <si>
    <t>Delta to FCF</t>
  </si>
  <si>
    <t>Capital Structure</t>
  </si>
  <si>
    <t>$700 3 mo. LIBOR + 0.08%, due May 2020</t>
  </si>
  <si>
    <t>$800 3 mo. LIBOR + 0.35%, due May 2022</t>
  </si>
  <si>
    <t>$500 , 1.75%, due May 2017</t>
  </si>
  <si>
    <t>$3000, 1.35%, due Dec 2017</t>
  </si>
  <si>
    <t>$600,2.59%, due Dec 2019</t>
  </si>
  <si>
    <t>A$250, 3.25%,  due Dec 2019</t>
  </si>
  <si>
    <t>$1000, 1.85%, due May 2020</t>
  </si>
  <si>
    <t>$1750,2.45% due July 2020</t>
  </si>
  <si>
    <t>$500, 1.70%, due May 2021</t>
  </si>
  <si>
    <t>$2000, 3.30%, due Oct 2021</t>
  </si>
  <si>
    <t>$750, 2.35% due May 2022</t>
  </si>
  <si>
    <t>$1000, 3.10%, due July 2022</t>
  </si>
  <si>
    <t>$550 4.00%, due Dec 2022</t>
  </si>
  <si>
    <t>$1500 2.70% due Dec 2022</t>
  </si>
  <si>
    <t>$400, 4.10%, due Nov 2023</t>
  </si>
  <si>
    <t>$1250, 2.88%, due May 2024</t>
  </si>
  <si>
    <t>$600, 2.70%, due June 2024</t>
  </si>
  <si>
    <t>$1500, 3.40%, due March 2025</t>
  </si>
  <si>
    <t>$2250, 3.70% due July 2025</t>
  </si>
  <si>
    <t>$1000, 2.60% due May 2026</t>
  </si>
  <si>
    <t>$1000, 3.75% due March 2027</t>
  </si>
  <si>
    <t>$1000, 3.15% due May 2027</t>
  </si>
  <si>
    <t>$1000, 1.60%, due August 2028</t>
  </si>
  <si>
    <t>$1250, 2.45% due Nov 2029</t>
  </si>
  <si>
    <t>$1500, 3.90% due March 2030</t>
  </si>
  <si>
    <t>$1250, 2.00%, due August 2031</t>
  </si>
  <si>
    <t>$750 , 4.00%, due 2032</t>
  </si>
  <si>
    <t>$750 , 4.60%, due March 2040</t>
  </si>
  <si>
    <t>$750, 2.80%, due August 2041</t>
  </si>
  <si>
    <t>$1500, 4.80%, due Oct 2041</t>
  </si>
  <si>
    <t>$925, 4.25%, due Dec 2042</t>
  </si>
  <si>
    <t>$2000, 4.90%, due July 2045</t>
  </si>
  <si>
    <t>$1007, 4.90%, due Dec 2045</t>
  </si>
  <si>
    <t>$915, 4.70% due Dec 2045</t>
  </si>
  <si>
    <t>$1250, 4.10% due May 2046</t>
  </si>
  <si>
    <t>$1000, 4.10%  due May 2047</t>
  </si>
  <si>
    <t>$640, 4.10% due Aug 2047</t>
  </si>
  <si>
    <t>$1967, 3.73% due Dec 2047</t>
  </si>
  <si>
    <t>$1500, 3.25% due Nov 2049</t>
  </si>
  <si>
    <t>$2250, 4.75%, due March 2050</t>
  </si>
  <si>
    <t>$1250, 3.05%, due August 2051</t>
  </si>
  <si>
    <t>$1000, 3.10%, due February 2060</t>
  </si>
  <si>
    <t>$1000, 4.95%, due March 2060</t>
  </si>
  <si>
    <t>$750, 3.22%, due August 2061</t>
  </si>
  <si>
    <t>$1250, 3.75%, due August 2027</t>
  </si>
  <si>
    <t>$850, 4%, due August 2029</t>
  </si>
  <si>
    <t>$1250, 4.15%, due Aug 2032, Green Bonds</t>
  </si>
  <si>
    <t>$1750, 4.90%, due Aug 2052</t>
  </si>
  <si>
    <t>$900, 5.05%, due Aug 2062</t>
  </si>
  <si>
    <t>Oregon and Arizona bonds</t>
  </si>
  <si>
    <t>2.40%-2.70%, due December 2035 - 2040</t>
  </si>
  <si>
    <t>5.00%, due March 2049</t>
  </si>
  <si>
    <t>5.00%, due June 2049</t>
  </si>
  <si>
    <t>$1600, 2.95% due Dec 2035</t>
  </si>
  <si>
    <t>$2000, 3.25% due Aug 2039</t>
  </si>
  <si>
    <t>Total LT debt. From BS</t>
  </si>
  <si>
    <t>Total LT debt. CV From Cap Structure</t>
  </si>
  <si>
    <t>unamortized cost</t>
  </si>
  <si>
    <t>hedging</t>
  </si>
  <si>
    <t>Total Debt</t>
  </si>
  <si>
    <t>Interest Expense</t>
  </si>
  <si>
    <t>Interest Income</t>
  </si>
  <si>
    <t>AwABTAVMT0NBTAFI/////wFQARUAADBDSVEuTkFTREFRR1M6SU5UQy5JUV9QRV9FWENMX0ZXRC42MDAwLjEwLzI0LzIwMDgBAAAAh1IAAAIAAAAQMTEuMjExNDMxMjYzMjQ4OAENAAAABQAAAAE5AQAAAAcyNjIxMjk1AgAAAAcxNzU3MTU4AwAAAAYxMDAzMDkEAAAAATIGAAAAATAHAAAAAzE2MAgAAAABMAkAAAABMQoAAAABMAsAAAAKODg2NDQ4Mjg4MwwAAAACMTINAAAACjEwLzI1LzIwMDg7FLO9k3PVCJuCVUmXc9UINUNJUS5OYXNkYXFHUzpJTlRDLklRX1RFVl9FQklUREFfRldEX0NJUS42MDAwLjkvMy8yMDA0AQAAAIdSAAACAAAAEDcuMTY2NzQ3ODM4MjU0MzQBDQAAAAUAAAABOQEAAAAHMjYyMTI5NQIAAAAHMTc1NzE0NQMAAAAGMTAwMzA4BAAAAAEyBgAAAAEwBwAAAAMxNjAIAAAAATAJAAAAATEKAAAAATALAAAACjExNjkxMjkxNDIMAAAAAjEyDQAAAAg5LzQvMjAwNMv7VruTc9UIa5SQrpdz1QgkQ0lRLl5TUFguSVFfVEVWX0VCSVREQV9GV0RfQ0lRLjYwMDAuAQAAAJu4KAACAAAACTEwLjY1ODM0OQCrn9XCk3PVCNsuUmuWc9UILUNJUS5eU1BYLklRX1RFVl9FQklUREFfRldEX0NJUS42MDAwLjYvMTEvMjAxNAEAAACbuCgAAgAAAAg5LjAwNzMwMQDbuK+9k3PVCKsPOUuXc9UINUNJUS5OYXNkYXFHUzpJTlRDLklRX1RFVl9FQklUREFfRldEX0NJUS42MDAwLjEvNC8yMDAyAQAAAIdSAAACAAAA</t>
  </si>
  <si>
    <t>EDI0LjE3MDY2NDEyMDMxMDMBDQAAAAUAAAABOQEAAAAHMjYyMTI5NQIAAAAHMzQyMTE2MgMAAAAGMTAwMzA4BAAAAAEyBgAAAAEwBwAAAAMxNjAIAAAAATAJAAAAATEKAAAAATALAAAACjg0MDE0MjgzMzMMAAAAAjEyDQAAAAgxLzUvMjAwMpv+s72Tc9UIS9WNrpdz1QgrQ0lRLl5TUFguSVFfVEVWX1RPVEFMX1JFVl9GV0QuNjAwMC42LzMvMjAxNQEAAACbuCgAAgAAAAgyLjA2NTUwNQDr/rm3k3PVCHtHMUuXc9UINUNJUS5OYXNkYXFHUzpJTlRDLklRX1RFVl9UT1RBTF9SRVZfRldELjYwMDAuMy8xNS8yMDEzAQAAAIdSAAACAAAAEDEuODc0NjE4Mzc4ODA4MjMBDQAAAAUAAAABOQEAAAAHMjYyMTI5NQIAAAAHMzY1MjY2MAMAAAAGMTAwMzA3BAAAAAEyBgAAAAEwBwAAAAMxNjAIAAAAATAJAAAAATEKAAAAATALAAAACjU3NDg4OTYzMTAMAAAAAjEyDQAAAAkzLzE2LzIwMTPrSVe7k3PVCIsITkmXc9UILENJUS5eU1BYLklRX1RFVl9UT1RBTF9SRVZfRldELjYwMDAuMi8xMS8yMDE1AQAAAJu4KAACAAAACDIuMDA0MDY3ANu4r72Tc9UImwY0S5dz1QgvQ0lRLk5BU0RBUUdTOklOVEMuSVFfUEVfRVhDTF9GV0QuNjAwMC4zLzI2LzIwMDQBAAAAh1IAAAIAAAAPMjIuMjI0MDI1OTc0MDI2AQ0AAAAFAAAAATkBAAAABzI2MjEyOTUCAAAABDE4NzkDAAAABjEwMDMwOQQAAAABMgYAAAABMAcAAAADMTYwCAAAAAEw</t>
  </si>
  <si>
    <t>CQAAAAExCgAAAAEwCwAAAAcxNTA0MDg3DAAAAAIxMg0AAAAJMy8yNy8yMDA0m/6zvZNz1QhrDVVJl3PVCClDSVEuTkFTREFRR1M6SU5UQy5JUV9FUFNfTk9STV9FU1QuRlE0MjAxNwEAAACHUgAAAgAAAAcwLjg2NjI5AQ4AAAAFAAAAATMBAAAABzI2MjEyOTUCAAAACjEwMDA5NDQzODYDAAAABjEwMDE3MwQAAAABMgYAAAABMAcAAAADMTYwCAAAAAEwCQAAAAExCgAAAAEwCwAAAAsxMDY5MTI5ODc4OQwAAAABMg0AAAAJMi8xNS8yMDE4EAAAAAoxMi8zMS8yMDE3a2awu5Nz1Qh7lD9Kl3PVCDZDSVEuTkFTREFRR1M6SU5UQy5JUV9URVZfRUJJVERBX0ZXRF9DSVEuNjAwMC4zLzI1LzIwMTEBAAAAh1IAAAIAAAAQNC40MzYzMTU2MzU2Njg2MgENAAAABQAAAAE5AQAAAAcyNjIxMjk1AgAAAAQxODg2AwAAAAYxMDAzMDgEAAAAATIGAAAAATAHAAAAAzE2MAgAAAABMAkAAAABMQoAAAABMAsAAAAKNTc0ODgxNTIwNwwAAAACMTINAAAACTMvMjYvMjAxMbtjVLuTc9UI6+qMrpdz1QgvQ0lRLk5BU0RBUUdTOklOVEMuSVFfUEVfRVhDTF9GV0QuNjAwMC45LzMwLzIwMTEBAAAAh1IAAAIAAAAPOC45NzU5NzcxMTMwNDY0AQ0AAAAFAAAAATkBAAAABzI2MjEyOTUCAAAABzE3NTcxNjYDAAAABjEwMDMwOQQAAAABMgYAAAABMAcAAAADMTYwCAAAAAEwCQAAAAExCgAAAAEwCwAAAAo4ODYzMzU5Mjc1DAAAAAIxMg0AAAAJ</t>
  </si>
  <si>
    <t>MTAvMS8yMDExqyW0vZNz1QgbSlRJl3PVCDBDSVEuTkFTREFRR1M6SU5UQy5JUV9QRV9FWENMX0ZXRC42MDAwLjExLzE1LzIwMTMBAAAAh1IAAAIAAAAQMTIuOTk1NTQ4MDE3ODA3OQENAAAABQAAAAE5AQAAAAcyNjIxMjk1AgAAAAczODI5NzUzAwAAAAYxMDAzMDkEAAAAATIGAAAAATAHAAAAAzE2MAgAAAABMAkAAAABMQoAAAABMAsAAAAKODE3MTU4MjA2MQwAAAACMTINAAAACjExLzE2LzIwMTP7d7K9k3PVCDuYVEmXc9UILUNJUS5eU1BYLklRX1RFVl9UT1RBTF9SRVZfRldELjYwMDAuMTEvMzAvMjAxNgEAAACbuCgAAgAAAAgyLjA3Njc3MwDr/rm3k3PVCPv3HkuXc9UINUNJUS5OYXNkYXFHUzpJTlRDLklRX1RFVl9UT1RBTF9SRVZfRldELjYwMDAuOC8xMC8yMDAxAQAAAIdSAAACAAAAEDcuMDM0NzQxNDY2MzgxNTIBDQAAAAUAAAABOQEAAAAHMjYyMTI5NQIAAAAHMzQyMTE2MQMAAAAGMTAwMzA3BAAAAAEyBgAAAAEwBwAAAAMxNjAIAAAAATAJAAAAATEKAAAAATALAAAACjExNjkxNTI0NTAMAAAAAjEyDQAAAAk4LzExLzIwMDGL17O9k3PVCOtFVkmXc9UIJ0NJUS5OQVNEQVFHUzpJTlRDLklRX1BUQlYuMjAwMC42LzYvMjAxNAEAAACHUgAAAgAAAAgzLjI5ODgxOAEHAAAABQAAAAExAQAAAAoxNjczMzc5MzI3AwAAAAEwAgAAAAYxMDAwMjkEAAAAATAHAAAACDYvNi8yMDE0CAAAAAg2LzYvMjAxNNvX</t>
  </si>
  <si>
    <t>ubeTc9UIa0lLSZdz1Qg1Q0lRLk5BU0RBUUdTOklOVEMuSVFfVEVWX1RPVEFMX1JFVl9GV0QuNjAwMC41LzEzLzIwMTYBAAAAh1IAAAIAAAAQMi42MzUwMTc5NTkzNzcxMQENAAAABQAAAAE5AQAAAAcyNjIxMjk1AgAAAAgyNzAwMzY1MQMAAAAGMTAwMzA3BAAAAAEyBgAAAAEwBwAAAAMxNjAIAAAAATAJAAAAATEKAAAAATALAAAACjk0NTIyMTAzMzIMAAAAAjEyDQAAAAk1LzE0LzIwMTYLTbq3k3PVCKs4U0mXc9UILUNJUS5eU1BYLklRX1RFVl9UT1RBTF9SRVZfRldELjYwMDAuMTIvMTYvMjAxNQEAAACbuCgAAgAAAAgyLjAzODY1NwDbuK+9k3PVCOt2LUuXc9UIL0NJUS5OQVNEQVFHUzpJTlRDLklRX1BFX0VYQ0xfRldELjYwMDAuOS8xNi8yMDA1AQAAAIdSAAACAAAAEDE2Ljc0MDg5MDY4ODI1OTEBDQAAAAUAAAABOQEAAAAHMjYyMTI5NQIAAAAHMTc1NzE0OAMAAAAGMTAwMzA5BAAAAAEyBgAAAAEwBwAAAAMxNjAIAAAAATAJAAAAATEKAAAAATALAAAACjExNjkxNTk4MzUMAAAAAjEyDQAAAAk5LzE3LzIwMDVribO9k3PVCItbVUmXc9UIL0NJUS5OQVNEQVFHUzpJTlRDLklRX1BSSUNFX1NBTEVTLjIwMDAuOC8xNy8yMDE2AQAAAIdSAAACAAAABzIuOTI1NTUBBwAAAAUAAAABMQEAAAAKMTgwMTI5NDUwMQMAAAABMAIAAAAFMzg5NTgEAAAAATAHAAAACTgvMTcvMjAxNggAAAAJOC8xNy8yMDE2e51muZNz</t>
  </si>
  <si>
    <t>1QirhyVLl3PVCDZDSVEuTkFTREFRR1M6SU5UQy5JUV9URVZfRUJJVERBX0ZXRF9DSVEuNjAwMC41LzI1LzIwMDcBAAAAh1IAAAIAAAAQOC45NDE4OTQ3MjEzNzUzMQENAAAABQAAAAE5AQAAAAcyNjIxMjk1AgAAAAcxNzU3MTUzAwAAAAYxMDAzMDgEAAAAATIGAAAAATAHAAAAAzE2MAgAAAABMAkAAAABMQoAAAABMAsAAAAKMTE2OTEzNjgzMQwAAAACMTINAAAACTUvMjYvMjAwN/v/VLuTc9UI+xGNrpdz1Qg1Q0lRLk5hc2RhcUdTOklOVEMuSVFfVEVWX1RPVEFMX1JFVl9GV0QuNjAwMC41LzI4LzIwMTABAAAAh1IAAAIAAAAQMi40MTM4NDg2NjY3NDk4MwENAAAABQAAAAE5AQAAAAcyNjIxMjk1AgAAAAcxNzU3MTYyAwAAAAYxMDAzMDcEAAAAATIGAAAAATAHAAAAAzE2MAgAAAABMAkAAAABMQoAAAABMAsAAAAKODg2Mzg0NDE3NgwAAAACMTINAAAACTUvMjkvMjAxMKsltL2Tc9UI2zxRSZdz1QgpQ0lRLk5BU0RBUUdTOklOVEMuSVFfRVBTX05PUk1fRVNULkZRMzIwMTgBAAAAh1IAAAIAAAAHMC45Nzg0MQEOAAAABQAAAAEzAQAAAAcyNjIxMjk1AgAAAAoxMDAxNTI4NTI1AwAAAAYxMDAxNzMEAAAAATIGAAAAATAHAAAAAzE2MAgAAAABMAkAAAABMQoAAAABMAsAAAALMTA3MDQ2MzM2NDIMAAAAATINAAAACTIvMTUvMjAxOBAAAAAJMi8xNC8yMDE427ivvZNz1Qh7lD9Kl3PVCCJDSVEuXlNQWC5JUV9MQVNU</t>
  </si>
  <si>
    <t>U0FMRVBSSUNFLjYvMS8yMDE2AQAAAJu4KAACAAAAEDIwOTkuMzI5OTk1MDI5MTEA6/65t5Nz1QgrMSlLl3PVCDZDSVEuTmFzZGFxR1M6SU5UQy5JUV9URVZfVE9UQUxfUkVWX0ZXRC42MDAwLjEyLzI4LzIwMDcBAAAAh1IAAAIAAAAQMy41MjU1ODkxMDYzODM1OAENAAAABQAAAAE5AQAAAAcyNjIxMjk1AgAAAAcxNzU3MTU1AwAAAAYxMDAzMDcEAAAAATIGAAAAATAHAAAAAzE2MAgAAAABMAkAAAABMQoAAAABMAsAAAAKODg2NDMzMDEyNgwAAAACMTINAAAACjEyLzI5LzIwMDfbSLy3k3PVCKs4U0mXc9UILUNJUS5eU1BYLklRX1RFVl9FQklUREFfRldEX0NJUS42MDAwLjEvMjcvMjAxNgEAAACbuCgAAgAAAAg5LjIwNDI3OQDbuK+9k3PVCDvJK0uXc9UIN0NJUS5OQVNEQVFHUzpJTlRDLklRX1RFVl9FQklUREFfRldEX0NJUS42MDAwLjExLzE1LzIwMDIBAAAAh1IAAAIAAAAQMTEuNzAyOTc2MTE4MDcxNgENAAAABQAAAAE5AQAAAAcyNjIxMjk1AgAAAAcxNzU3MTQwAwAAAAYxMDAzMDgEAAAAATIGAAAAATAHAAAAAzE2MAgAAAABMAkAAAABMQoAAAABMAsAAAAKMTE2OTEyNjU2MAwAAAACMTINAAAACjExLzE2LzIwMDJLw1W7k3PVCLvmjq6Xc9UINUNJUS5OYXNkYXFHUzpJTlRDLklRX1RFVl9UT1RBTF9SRVZfRldELjYwMDAuNS8xNS8yMDE1AQAAAIdSAAACAAAAEDIuNzQzMDQ4MzQ1MjkwMDQBDQAAAAUA</t>
  </si>
  <si>
    <t>AAABOQEAAAAHMjYyMTI5NQIAAAAHODA2ODI2MAMAAAAGMTAwMzA3BAAAAAEyBgAAAAEwBwAAAAMxNjAIAAAAATAJAAAAATEKAAAAATALAAAACjkxMDk1OTY4MDMMAAAAAjEyDQAAAAk1LzE2LzIwMTW7OWe5k3PVCGvvWUmXc9UILUNJUS5eU1BYLklRX1RFVl9UT1RBTF9SRVZfRldELjYwMDAuMTIvMTEvMjAxMwEAAACbuCgAAgAAAAgxLjc0MDg1NQBrX1W5k3PVCBuSPEuXc9UINUNJUS5OYXNkYXFHUzpJTlRDLklRX1RFVl9UT1RBTF9SRVZfRldELjYwMDAuMi8yMy8yMDA3AQAAAIdSAAACAAAAEDIuOTI5Mzg2MjAzODc0NzgBDQAAAAUAAAABOQEAAAAHMjYyMTI5NQIAAAAEMTg4MgMAAAAGMTAwMzA3BAAAAAEyBgAAAAEwBwAAAAMxNjAIAAAAATAJAAAAATEKAAAAATALAAAACzEwMzc4NTEzNDY5DAAAAAIxMg0AAAAJMi8yNC8yMDA3u/q7t5Nz1QgrU1lJl3PVCDBDSVEuTkFTREFRR1M6SU5UQy5JUV9QUklDRV9TQUxFUy4yMDAwLjEyLzMwLzIwMTYBAAAAh1IAAAIAAAAHMi45NTkyNgEHAAAABQAAAAExAQAAAAoxODE1NTQ0NDUwAwAAAAEwAgAAAAUzODk1OAQAAAABMAcAAAAKMTIvMzAvMjAxNggAAAAKMTIvMzAvMjAxNksYsLuTc9UIG9lRSZdz1QgwQ0lRLk5BU0RBUUdTOklOVEMuSVFfUEVfRVhDTF9GV0QuNjAwMC4xMC8yMy8yMDE1AQAAAIdSAAACAAAAEDE1LjE0NDk0MDExNDU2MzQBDQAAAAUAAAAB</t>
  </si>
  <si>
    <t>OQEAAAAHMjYyMTI5NQIAAAAHODA2ODI2MgMAAAAGMTAwMzA5BAAAAAEyBgAAAAEwBwAAAAMxNjAIAAAAATAJAAAAATEKAAAAATALAAAACjkwNzcwMzA0OTMMAAAAAjEyDQAAAAoxMC8yNC8yMDE161CyvZNz1QjrtlhJl3PVCDVDSVEuTmFzZGFxR1M6SU5UQy5JUV9URVZfVE9UQUxfUkVWX0ZXRC42MDAwLjEvMjgvMjAwNQEAAACHUgAAAgAAABAzLjMzMTIwNjU2MzMwMjY4AQ0AAAAFAAAAATkBAAAABzI2MjEyOTUCAAAABDE4ODADAAAABjEwMDMwNwQAAAABMgYAAAABMAcAAAADMTYwCAAAAAEwCQAAAAExCgAAAAEwCwAAAAkzNjA2NjQ0NjEMAAAAAjEyDQAAAAkxLzI5LzIwMDWbhla7k3PVCHulV0mXc9UINUNJUS5OYXNkYXFHUzpJTlRDLklRX1RFVl9UT1RBTF9SRVZfRldELjYwMDAuOS8xNC8yMDA3AQAAAIdSAAACAAAAEDMuNDc1NjcyMjAxMTQ4ODMBDQAAAAUAAAABOQEAAAAHMjYyMTI5NQIAAAAHMTc1NzE1NAMAAAAGMTAwMzA3BAAAAAEyBgAAAAEwBwAAAAMxNjAIAAAAATAJAAAAATEKAAAAATALAAAACjg4NTY3MTM0ODcMAAAAAjEyDQAAAAk5LzE1LzIwMDfLIby3k3PVCAuyUUmXc9UILENJUS5OQVNEQVFHUzpJTlRDLklRX0xBU1RTQUxFUFJJQ0UuMi8xNy8yMDE2AQAAAIdSAAACAAAABTI5LjQ3AFtPZrmTc9UIC1QrS5dz1Qg0Q0lRLk5hc2RhcUdTOklOVEMuSVFfVEVWX1RPVEFMX1JFVl9GV0Qu</t>
  </si>
  <si>
    <t>NjAwMC4yLzcvMjAwMwEAAACHUgAAAgAAABAzLjExMTg3Mjg3OTY1MDM0AQ0AAAAFAAAAATkBAAAABzI2MjEyOTUCAAAABDE4NzgDAAAABjEwMDMwNwQAAAABMgYAAAABMAcAAAADMTYwCAAAAAEwCQAAAAExCgAAAAEwCwAAAAkzNjA2NTY0MjAMAAAAAjEyDQAAAAgyLzgvMjAwM8tJVrmTc9UIW1dXSZdz1Qg1Q0lRLk5hc2RhcUdTOklOVEMuSVFfVEVWX1RPVEFMX1JFVl9GV0QuNjAwMC45LzExLzIwMDkBAAAAh1IAAAIAAAAQMi43NDk3NTU3NzQwODQ5NwENAAAABQAAAAE5AQAAAAcyNjIxMjk1AgAAAAcxNzU3MTYwAwAAAAYxMDAzMDcEAAAAATIGAAAAATAHAAAAAzE2MAgAAAABMAkAAAABMQoAAAABMAsAAAAKODg2NDIxMDc3MgwAAAACMTINAAAACTkvMTIvMjAwOdtwVrmTc9UIS91PSZdz1Qg1Q0lRLk5hc2RhcUdTOklOVEMuSVFfVEVWX0VCSVREQV9GV0RfQ0lRLjYwMDAuNC81LzIwMDcBAAAAh1IAAAIAAAAQNy45MDY1MjA5ODkzNTAwNAENAAAABQAAAAE5AQAAAAcyNjIxMjk1AgAAAAQxODgyAwAAAAYxMDAzMDgEAAAAATIGAAAAATAHAAAAAzE2MAgAAAABMAkAAAABMQoAAAABMAsAAAAJMzYwNjg4MzM4DAAAAAIxMg0AAAAINC82LzIwMDfbIle7k3PVCCv4j66Xc9UII0NJUS5eU1BYLklRX0xBU1RTQUxFUFJJQ0UuMy8yMC8yMDEzAQAAAJu4KAACAAAAEDE1NTguNzExNTIyMDAzMzcAW09muZNz1Qir</t>
  </si>
  <si>
    <t>8T1Ll3PVCDdDSVEuTkFTREFRR1M6SU5UQy5JUV9URVZfRUJJVERBX0ZXRF9DSVEuNjAwMC4xMi8xMi8yMDAzAQAAAIdSAAACAAAADzExLjA3MTE4NDA1NzU3NwENAAAABQAAAAE5AQAAAAcyNjIxMjk1AgAAAAcxNzU3MTQzAwAAAAYxMDAzMDgEAAAAATIGAAAAATAHAAAAAzE2MAgAAAABMAkAAAABMQoAAAABMAsAAAAKNjg4MzcwMDUyNAwAAAACMTINAAAACjEyLzEzLzIwMDM7nFW7k3PVCLvmjq6Xc9UIKENJUS5OQVNEQVFHUzpJTlRDLklRX1BUQlYuMjAwMC41LzEzLzIwMTYBAAAAh1IAAAIAAAAINC4yNjI1MjcBBwAAAAUAAAABMQEAAAAKMTc4OTE5MzM0MwMAAAABMAIAAAAGMTAwMDI5BAAAAAEwBwAAAAk1LzEzLzIwMTYIAAAACTUvMTMvMjAxNsuwubeTc9UIa7pNSZdz1QgwQ0lRLk5BU0RBUUdTOklOVEMuSVFfUFJJQ0VfU0FMRVMuMjAwMC4xMi8xMS8yMDE1AQAAAIdSAAACAAAACDIuOTUzNDc0AQcAAAAFAAAAATEBAAAACjE3NjE3MDY4MjcDAAAAATACAAAABTM4OTU4BAAAAAEwBwAAAAoxMi8xMS8yMDE1CAAAAAoxMi8xMS8yMDE1Sxiwu5Nz1Qirx1BJl3PVCC1DSVEuXlNQWC5JUV9URVZfRUJJVERBX0ZXRF9DSVEuNjAwMC44LzE0LzIwMTMBAAAAm7goAAIAAAAIOC4yNzUwODkA6/65t5Nz1QhrVT1Ll3PVCC5DSVEuTkFTREFRR1M6SU5UQy5JUV9QRV9FWENMX0ZXRC42MDAwLjEvOC8yMDE2AQAA</t>
  </si>
  <si>
    <t>AIdSAAACAAAAEDEzLjU2OTAyOTM2ODcwMjEBDQAAAAUAAAABOQEAAAAHMjYyMTI5NQIAAAAHODA2ODI2MgMAAAAGMTAwMzA5BAAAAAEyBgAAAAEwBwAAAAMxNjAIAAAAATAJAAAAATEKAAAAATALAAAACjkyMTQ5OTM4ODEMAAAAAjEyDQAAAAgxLzkvMjAxNutQsr2Tc9UIW5NNSZdz1QggQ0lRLl5TUFguSVFfUFRCVi4yMDAwLjEwLzIyLzIwMTQBAAAAm7goAAIAAAAINS4xMDMzOTgAy5GvvZNz1QibdzZLl3PVCDVDSVEuTmFzZGFxR1M6SU5UQy5JUV9URVZfVE9UQUxfUkVWX0ZXRC42MDAwLjEvMTcvMjAwMwEAAACHUgAAAgAAABAzLjQxNTIwNTM0MzE3MDA4AQ0AAAAFAAAAATkBAAAABzI2MjEyOTUCAAAABDE4NzgDAAAABjEwMDMwNwQAAAABMgYAAAABMAcAAAADMTYwCAAAAAEwCQAAAAExCgAAAAEwCwAAAAkzNjA2NTY0MTkMAAAAAjEyDQAAAAkxLzE4LzIwMDObhla7k3PVCAsFWUmXc9UIL0NJUS5OQVNEQVFHUzpJTlRDLklRX1BSSUNFX1NBTEVTLjIwMDAuOC8xOS8yMDE1AQAAAIdSAAACAAAACDIuNDU3Mzk0AQcAAAAFAAAAATEBAAAACjE3NDczNTk1MTIDAAAAATACAAAABTM4OTU4BAAAAAEwBwAAAAk4LzE5LzIwMTUIAAAACTgvMTkvMjAxNVtPZrmTc9UI6+cvS5dz1QgvQ0lRLk5BU0RBUUdTOklOVEMuSVFfUFJJQ0VfU0FMRVMuMjAwMC40LzI2LzIwMTcBAAAAh1IAAAIAAAAIMi45NDEzNjUBBwAA</t>
  </si>
  <si>
    <t>AAUAAAABMQEAAAAKMTgyODE3NDEyMgMAAAABMAIAAAAFMzg5NTgEAAAAATAHAAAACTQvMjYvMjAxNwgAAAAJNC8yNi8yMDE3Sxiwu5Nz1QiLIhRLl3PVCDVDSVEuTmFzZGFxR1M6SU5UQy5JUV9URVZfVE9UQUxfUkVWX0ZXRC42MDAwLjgvMzAvMjAxMwEAAACHUgAAAgAAABAxLjk1MDg4MDgzNzM0ODgyAQ0AAAAFAAAAATkBAAAABzI2MjEyOTUCAAAABzM4Mjk3NTIDAAAABjEwMDMwNwQAAAABMgYAAAABMAcAAAADMTYwCAAAAAEwCQAAAAExCgAAAAEwCwAAAAo4ODYyNTQwNTUyDAAAAAIxMg0AAAAJOC8zMS8yMDEz23exu5Nz1Qgrj09Jl3PVCDZDSVEuTmFzZGFxR1M6SU5UQy5JUV9URVZfVE9UQUxfUkVWX0ZXRC42MDAwLjExLzI4LzIwMDgBAAAAh1IAAAIAAAAQMS45NzA0NTMwNDA4MDg3OAENAAAABQAAAAE5AQAAAAcyNjIxMjk1AgAAAAcxNzU3MTU4AwAAAAYxMDAzMDcEAAAAATIGAAAAATAHAAAAAzE2MAgAAAABMAkAAAABMQoAAAABMAsAAAAKODg2MjAyOTQwNgwAAAACMTINAAAACjExLzI5LzIwMDibhla7k3PVCPtsVkmXc9UINkNJUS5OYXNkYXFHUzpJTlRDLklRX1RFVl9FQklUREFfRldEX0NJUS42MDAwLjExLzUvMjAxMAEAAACHUgAAAgAAABA1LjA1MDk4ODEyMjUxNzIyAQ0AAAAFAAAAATkBAAAABzI2MjEyOTUCAAAABzE3NTcxNjQDAAAABjEwMDMwOAQAAAABMgYAAAABMAcAAAADMTYwCAAA</t>
  </si>
  <si>
    <t>AAEwCQAAAAExCgAAAAEwCwAAAAo1NzUyMzM2Mjk4DAAAAAIxMg0AAAAJMTEvNi8yMDEw60lXu5Nz1Qirv46ul3PVCC9DSVEuTkFTREFRR1M6SU5UQy5JUV9QUklDRV9TQUxFUy4yMDAwLjkvMjkvMjAxNwEAAACHUgAAAgAAAAgyLjkxNjI3MgEHAAAABQAAAAExAQAAAAoxODUwNjE4NjY0AwAAAAEwAgAAAAUzODk1OAQAAAABMAcAAAAJOS8yOS8yMDE3CAAAAAk5LzI5LzIwMTerQ6+9k3PVCGvvWUmXc9UINUNJUS5OYXNkYXFHUzpJTlRDLklRX1RFVl9UT1RBTF9SRVZfRldELjYwMDAuOC8xNy8yMDA3AQAAAIdSAAACAAAADzMuMzU2NjE5NzMxODkyMwENAAAABQAAAAE5AQAAAAcyNjIxMjk1AgAAAAcxNzU3MTU0AwAAAAYxMDAzMDcEAAAAATIGAAAAATAHAAAAAzE2MAgAAAABMAkAAAABMQoAAAABMAsAAAAKODg2NDMyOTI4OQwAAAACMTINAAAACTgvMTgvMjAwN+uesbuTc9UIqxpYSZdz1QguQ0lRLk5BU0RBUUdTOklOVEMuSVFfUFJJQ0VfU0FMRVMuMjAwMC44LzUvMjAxNQEAAACHUgAAAgAAAAgyLjUyMzI0OAEHAAAABQAAAAExAQAAAAoxNzQ3MzU5NTEyAwAAAAEwAgAAAAUzODk1OAQAAAABMAcAAAAIOC81LzIwMTUIAAAACDgvNS8yMDE1O/Gvu5Nz1QgLNjBLl3PVCDBDSVEuTkFTREFRR1M6SU5UQy5JUV9QRV9FWENMX0ZXRC42MDAwLjExLzEwLzIwMDYBAAAAh1IAAAIAAAAQMjAuNDYzMzU4ODU0NTI5</t>
  </si>
  <si>
    <t>MgENAAAABQAAAAE5AQAAAAcyNjIxMjk1AgAAAAcxNzU3MTUyAwAAAAYxMDAzMDkEAAAAATIGAAAAATAHAAAAAzE2MAgAAAABMAkAAAABMQoAAAABMAsAAAAKOTA0MzEzMjkwMAwAAAACMTINAAAACjExLzExLzIwMDZbYrO9k3PVCBtKVEmXc9UIL0NJUS5OQVNEQVFHUzpJTlRDLklRX1BSSUNFX1NBTEVTLjIwMDAuOS8xOS8yMDE0AQAAAIdSAAACAAAACDMuMjE0NDgxAQcAAAAFAAAAATEBAAAACjE2ODgwODA5OTIDAAAAATACAAAABTM4OTU4BAAAAAEwBwAAAAk5LzE5LzIwMTQIAAAACTkvMTkvMjAxNDvqVLmTc9UIS91PSZdz1QgsQ0lRLk5BU0RBUUdTOklOVEMuSVFfTEFTVFNBTEVQUklDRS41LzMxLzIwMTcBAAAAh1IAAAIAAAAFMzYuMTEAG91Su5Nz1QjrKhBLl3PVCC9DSVEuTkFTREFRR1M6SU5UQy5JUV9QUklDRV9TQUxFUy4yMDAwLjgvMjMvMjAxMwEAAACHUgAAAgAAAAgyLjEzMjQ5NwEHAAAABQAAAAExAQAAAAoxNjI4NDM2ODQ5AwAAAAEwAgAAAAUzODk1OAQAAAABMAcAAAAJOC8yMy8yMDEzCAAAAAk4LzIzLzIwMTPb17m3k3PVCGtJS0mXc9UIH0NJUS5eU1BYLklRX1BUQlYuMjAwMC43LzIwLzIwMTYBAAAAm7goAAIAAAAINy4xMzc3MTUA29e5t5Nz1QhbNSdLl3PVCCRDSVEuXlNQWC5JUV9MQVNUU0FMRVBSSUNFLjEyLzEwLzIwMTQBAAAAm7goAAIAAAAQMjAyNi4xNDM0NTU1NjM1NQAb3VK7</t>
  </si>
  <si>
    <t>k3PVCAsYNUuXc9UIL0NJUS5OQVNEQVFHUzpJTlRDLklRX1BFX0VYQ0xfRldELjYwMDAuMy8yMS8yMDAzAQAAAIdSAAACAAAAEDMxLjcwMDIzOTg0ODM3NTYBDQAAAAUAAAABOQEAAAAHMjYyMTI5NQIAAAAEMTg3OAMAAAAGMTAwMzA5BAAAAAEyBgAAAAEwBwAAAAMxNjAIAAAAATAJAAAAATEKAAAAATALAAAABzE1MDAzNzQMAAAAAjEyDQAAAAkzLzIyLzIwMDN7sLO9k3PVCHsWWkmXc9UIL0NJUS5OQVNEQVFHUzpJTlRDLklRX1BSSUNFX1NBTEVTLjIwMDAuNy8xOS8yMDE3AQAAAIdSAAACAAAACDIuNzAyOTU1AQcAAAAFAAAAATEBAAAACjE4MzgzNjAxMzIDAAAAATACAAAABTM4OTU4BAAAAAEwBwAAAAk3LzE5LzIwMTcIAAAACTcvMTkvMjAxN7tqr72Tc9UIW3gHS5dz1QgfQ0lRLl5TUFguSVFfUFRCVi4yMDAwLjIvMjUvMjAxNQEAAACbuCgAAgAAAAg1LjkyMTY1NQBbP7C7k3PVCEtDM0uXc9UINkNJUS5OYXNkYXFHUzpJTlRDLklRX1RFVl9FQklUREFfRldEX0NJUS42MDAwLjIvMTgvMjAwNQEAAACHUgAAAgAAABA4Ljc1NDg4MzA4NTQ4ODk3AQ0AAAAFAAAAATkBAAAABzI2MjEyOTUCAAAABDE4ODADAAAABjEwMDMwOAQAAAABMgYAAAABMAcAAAADMTYwCAAAAAEwCQAAAAExCgAAAAEwCwAAAAkzNjA2NjgxNzAMAAAAAjEyDQAAAAkyLzE5LzIwMDWb/rO9k3PVCPuCj66Xc9UINUNJUS5OYXNkYXFHUzpJ</t>
  </si>
  <si>
    <t>TlRDLklRX1RFVl9UT1RBTF9SRVZfRldELjYwMDAuNC8yNy8yMDEyAQAAAIdSAAACAAAAEDIuMjk1Mjc3Nzg1MDM5NDQBDQAAAAUAAAABOQEAAAAHMjYyMTI5NQIAAAAHMTc1NzE2OAMAAAAGMTAwMzA3BAAAAAEyBgAAAAEwBwAAAAMxNjAIAAAAATAJAAAAATEKAAAAATALAAAACjgxNzA3MDc4MTkMAAAAAjEyDQAAAAk0LzI4LzIwMTLrrme5k3PVCPsZT0mXc9UIK0NJUS5OQVNEQVFHUzpJTlRDLklRX0xBU1RTQUxFUFJJQ0UuMy8xLzIwMTcBAAAAh1IAAAIAAAAFMzUuOTMAK8NUuZNz1QiLBBlLl3PVCC9DSVEuTkFTREFRR1M6SU5UQy5JUV9QUklDRV9TQUxFUy4yMDAwLjcvMTIvMjAxMwEAAACHUgAAAgAAAAgyLjI0NjUyNwEHAAAABQAAAAExAQAAAAoxNjE0MDc0OTQyAwAAAAEwAgAAAAUzODk1OAQAAAABMAcAAAAJNy8xMi8yMDEzCAAAAAk3LzEyLzIwMTO7aq+9k3PVCMtoWEmXc9UIIENJUS5eU1BYLklRX1BUQlYuMjAwMC4xMS8yMy8yMDE2AQAAAJu4KAACAAAACDcuNjI0OTE4AFs4VbmTc9UIS7sfS5dz1QgvQ0lRLk5BU0RBUUdTOklOVEMuSVFfUFJJQ0VfU0FMRVMuMjAwMC45LzIyLzIwMTcBAAAAh1IAAAIAAAAIMi44NDczNDcBBwAAAAUAAAABMQEAAAAKMTg1MDYxODY2NAMAAAABMAIAAAAFMzg5NTgEAAAAATAHAAAACTkvMjIvMjAxNwgAAAAJOS8yMi8yMDE3Sxiwu5Nz1QjLFVFJl3PVCDVDSVEu</t>
  </si>
  <si>
    <t>TkFTREFRR1M6SU5UQy5JUV9URVZfVE9UQUxfUkVWX0ZXRC42MDAwLjEyLzkvMjAxNgEAAACHUgAAAgAAABAyLjk1OTY0NjIxODUwNjQ4AQ0AAAAFAAAAATkBAAAABzI2MjEyOTUCAAAACDI3MDAzNjUzAwAAAAYxMDAzMDcEAAAAATIGAAAAATAHAAAAAzE2MAgAAAABMAkAAAABMQoAAAABMAsAAAAKOTg2MjgwMjA4MgwAAAACMTINAAAACjEyLzEwLzIwMTYLTbq3k3PVCKs4U0mXc9UIJkNJUS5eU1BYLklRX1BFX0VYQ0xfRldELjYwMDAuMi8xOC8yMDE1AQAAAJu4KAACAAAACTE3LjY1MTAzOQDbuK+9k3PVCBvOMkuXc9UINUNJUS5OYXNkYXFHUzpJTlRDLklRX1RFVl9UT1RBTF9SRVZfRldELjYwMDAuNi8xMi8yMDE1AQAAAIdSAAACAAAAEDIuNjA2Mzk5MDU1OTcwOTkBDQAAAAUAAAABOQEAAAAHMjYyMTI5NQIAAAAHODA2ODI2MAMAAAAGMTAwMzA3BAAAAAEyBgAAAAEwBwAAAAMxNjAIAAAAATAJAAAAATEKAAAAATALAAAACjg4ODYxMTg2MTUMAAAAAjEyDQAAAAk2LzEzLzIwMTXLYGe5k3PVCIvqUkmXc9UINUNJUS5OYXNkYXFHUzpJTlRDLklRX1RFVl9UT1RBTF9SRVZfRldELjYwMDAuNC8xNy8yMDAzAQAAAIdSAAACAAAAEDMuODI3OTI2NDQyNDEzMzQBDQAAAAUAAAABOQEAAAAHMjYyMTI5NQIAAAAHMTc1NzE0MQMAAAAGMTAwMzA3BAAAAAEyBgAAAAEwBwAAAAMxNjAIAAAAATAJAAAAATEKAAAAATAL</t>
  </si>
  <si>
    <t>AAAACjExNjkxMjY2MDcMAAAAAjEyDQAAAAk0LzE4LzIwMDOLX1a7k3PVCKs4U0mXc9UIKUNJUS5OQVNEQVFHUzpJTlRDLklRX1BUQlYuMjAwMC4xMi8yMy8yMDEwAQAAAIdSAAACAAAACDIuNzM3Njg2AQcAAAAFAAAAATEBAAAACjE0MDg1MTY1NDYDAAAAATACAAAABjEwMDAyOQQAAAABMAcAAAAKMTIvMjMvMjAxMAgAAAAKMTIvMjMvMjAxMGt2ZrmTc9UIO5hUSZdz1Qg1Q0lRLk5hc2RhcUdTOklOVEMuSVFfVEVWX0VCSVREQV9GV0RfQ0lRLjYwMDAuNC8yLzIwMDQBAAAAh1IAAAIAAAAQOS45NDU2MzM5NzE1ODY1NgENAAAABQAAAAE5AQAAAAcyNjIxMjk1AgAAAAQxODc5AwAAAAYxMDAzMDgEAAAAATIGAAAAATAHAAAAAzE2MAgAAAABMAkAAAABMQoAAAABMAsAAAAJMzYwNjYzMjk5DAAAAAIxMg0AAAAINC8zLzIwMDS7TLS9k3PVCLvmjq6Xc9UIH0NJUS5eU1BYLklRX1BUQlYuMjAwMC41LzI4LzIwMTQBAAAAm7goAAIAAAAINS4zMjc4OTIA29e5t5Nz1Qi7NjlLl3PVCCBDSVEuXlNQWC5JUV9QVEJWLjIwMDAuMTEvMjUvMjAxNQEAAACbuCgAAgAAAAg2LjcyNzA2OACLxGa5k3PVCAvFLUuXc9UIJkNJUS5eU1BYLklRX1BFX0VYQ0xfRldELjYwMDAuOC8yMS8yMDEzAQAAAJu4KAACAAAACTE0LjMwNTcxOABrZrC7k3PVCFsuPUuXc9UINkNJUS5OYXNkYXFHUzpJTlRDLklRX1RFVl9FQklUREFfRldEX0NJ</t>
  </si>
  <si>
    <t>US42MDAwLjcvMjEvMjAxNwEAAACHUgAAAgAAABA2Ljk3MjI4NjUzNjAxNDQ1AQ0AAAAFAAAAATkBAAAABzI2MjEyOTUCAAAACDI3NTAwMTcyAwAAAAYxMDAzMDgEAAAAATIGAAAAATAHAAAAAzE2MAgAAAABMAkAAAABMQoAAAABMAsAAAALMTAzOTkxMzg3MzkMAAAAAjEyDQAAAAk3LzIyLzIwMTerrVa7k3PVCGuUkK6Xc9UIKENJUS5OQVNEQVFHUzpJTlRDLklRX1BUQlYuMjAwMC43LzIwLzIwMTIBAAAAh1IAAAIAAAAIMy44NDE0MjQBBwAAAAUAAAABMQEAAAAKMTU1NTM0NzkxNQMAAAABMAIAAAAGMTAwMDI5BAAAAAEwBwAAAAk3LzIwLzIwMTIIAAAACTcvMjAvMjAxMsuwubeTc9UI+6hMSZdz1QgwQ0lRLk5BU0RBUUdTOklOVEMuSVFfUEVfRVhDTF9GV0QuNjAwMC4xMi8xNC8yMDEyAQAAAIdSAAACAAAADzEwLjUxNjI2NjIwMjE2MgENAAAABQAAAAE5AQAAAAcyNjIxMjk1AgAAAAcxNzU3MTcwAwAAAAYxMDAzMDkEAAAAATIGAAAAATAHAAAAAzE2MAgAAAABMAkAAAABMQoAAAABMAsAAAAKODg2MzQzNDYyOQwAAAACMTINAAAACjEyLzE1LzIwMTILn7K9k3PVCFtXV0mXc9UIN0NJUS5OQVNEQVFHUzpJTlRDLklRX1RFVl9FQklUREFfRldEX0NJUS42MDAwLjEyLzIzLzIwMDQBAAAAh1IAAAIAAAAQOC44Nzc3MDQzMTgyNDkyNQENAAAABQAAAAE5AQAAAAcyNjIxMjk1AgAAAAcxNzU3MTQ2AwAAAAYxMDAz</t>
  </si>
  <si>
    <t>MDgEAAAAATIGAAAAATAHAAAAAzE2MAgAAAABMAkAAAABMQoAAAABMAsAAAAKMTE2OTEyOTY5MgwAAAACMTINAAAACjEyLzI0LzIwMDQrdVW7k3PVCGuUkK6Xc9UINUNJUS5OYXNkYXFHUzpJTlRDLklRX1RFVl9UT1RBTF9SRVZfRldELjYwMDAuOC8xMy8yMDEwAQAAAIdSAAACAAAAEDEuOTY4OTk5MTg0MTk5MzUBDQAAAAUAAAABOQEAAAAHMjYyMTI5NQIAAAAHMTc1NzE2MwMAAAAGMTAwMzA3BAAAAAEyBgAAAAEwBwAAAAMxNjAIAAAAATAJAAAAATEKAAAAATALAAAACjg4NjM1MTIwMDgMAAAAAjEyDQAAAAk4LzE0LzIwMTDLYGe5k3PVCLvuUEmXc9UILkNJUS5OQVNEQVFHUzpJTlRDLklRX1BFX0VYQ0xfRldELjYwMDAuMS81LzIwMDEBAAAAh1IAAAIAAAAQMjIuMjUwMTczNDkwNjMxNQENAAAABQAAAAE5AQAAAAcyNjIxMjk1AgAAAAczNDIxMTU5AwAAAAYxMDAzMDkEAAAAATIGAAAAATAHAAAAAzE2MAgAAAABMAkAAAABMQoAAAABMAsAAAAKMTE2OTE3Mjk3MgwAAAACMTINAAAACDEvNi8yMDAxi9ezvZNz1Qiri1pJl3PVCC9DSVEuTkFTREFRR1M6SU5UQy5JUV9QRV9FWENMX0ZXRC42MDAwLjEvMTMvMjAxMgEAAACHUgAAAgAAABAxMC40OTUxMTU2MzgzMDY4AQ0AAAAFAAAAATkBAAAABzI2MjEyOTUCAAAABzE3NTcxNjcDAAAABjEwMDMwOQQAAAABMgYAAAABMAcAAAADMTYwCAAAAAEwCQAAAAExCgAA</t>
  </si>
  <si>
    <t>AAEwCwAAAAo4ODY0NDMyNjExDAAAAAIxMg0AAAAJMS8xNC8yMDEyG8ayvZNz1Qg7ellJl3PVCDZDSVEuTkFTREFRR1M6SU5UQy5JUV9URVZfRUJJVERBX0ZXRF9DSVEuNjAwMC44LzE3LzIwMTIBAAAAh1IAAAIAAAAQNC45NjUyODQwNjE3MzA2NgENAAAABQAAAAE5AQAAAAcyNjIxMjk1AgAAAAcxNzU3MTY5AwAAAAYxMDAzMDgEAAAAATIGAAAAATAHAAAAAzE2MAgAAAABMAkAAAABMQoAAAABMAsAAAAKNjk1NTQwMjYwNQwAAAACMTINAAAACTgvMTgvMjAxMpsVVLuTc9UIS0aQrpdz1Qg1Q0lRLk5hc2RhcUdTOklOVEMuSVFfVEVWX1RPVEFMX1JFVl9GV0QuNjAwMC4xLzI1LzIwMDIBAAAAh1IAAAIAAAAPNy40ODUyNzEyMzMyNDk3AQ0AAAAFAAAAATkBAAAABzI2MjEyOTUCAAAABDE4NzcDAAAABjEwMDMwNwQAAAABMgYAAAABMAcAAAADMTYwCAAAAAEwCQAAAAExCgAAAAEwCwAAAAkzNjA2NTQ2MzMMAAAAAjEyDQAAAAkxLzI2LzIwMDLbd7G7k3PVCFsiS0mXc9UINENJUS5OYXNkYXFHUzpJTlRDLklRX1RFVl9UT1RBTF9SRVZfRldELjYwMDAuNy84LzIwMDUBAAAAh1IAAAIAAAAQMy44Nzc1MzA4MTkyODM5MgENAAAABQAAAAE5AQAAAAcyNjIxMjk1AgAAAAcxNzU3MTQ3AwAAAAYxMDAzMDcEAAAAATIGAAAAATAHAAAAAzE2MAgAAAABMAkAAAABMQoAAAABMAsAAAAKMTE2OTEyOTkyNAwAAAACMTINAAAA</t>
  </si>
  <si>
    <t>CDcvOS8yMDA1i7Swu5Nz1QiLCE5Jl3PVCDZDSVEuTmFzZGFxR1M6SU5UQy5JUV9URVZfVE9UQUxfUkVWX0ZXRC42MDAwLjExLzI1LzIwMTEBAAAAh1IAAAIAAAAQMS44OTM3MzI3NzkzNjYzOQENAAAABQAAAAE5AQAAAAcyNjIxMjk1AgAAAAcxNzU3MTY3AwAAAAYxMDAzMDcEAAAAATIGAAAAATAHAAAAAzE2MAgAAAABMAkAAAABMQoAAAABMAsAAAAKODg2NDQyNDU4NAwAAAACMTINAAAACjExLzI2LzIwMTG71Fa7k3PVCHsWWkmXc9UILkNJUS5OQVNEQVFHUzpJTlRDLklRX1BSSUNFX1NBTEVTLjIwMDAuNS82LzIwMTYBAAAAh1IAAAIAAAAIMi41Mjg3MzMBBwAAAAUAAAABMQEAAAAKMTc4OTE5MzM0MwMAAAABMAIAAAAFMzg5NTgEAAAAATAHAAAACDUvNi8yMDE2CAAAAAg1LzYvMjAxNqtDr72Tc9UIiz1aSZdz1QgtQ0lRLl5TUFguSVFfVEVWX0VCSVREQV9GV0RfQ0lRLjYwMDAuMTIvNi8yMDE3AQAAAJu4KAACAAAACDEwLjY0NzkzAPslureTc9UI66nmSpdz1Qg2Q0lRLk5hc2RhcUdTOklOVEMuSVFfVEVWX1RPVEFMX1JFVl9GV0QuNjAwMC4xMS8xNC8yMDAzAQAAAIdSAAACAAAAEDYuMDIzODczMzY5NDAzMDUBDQAAAAUAAAABOQEAAAAHMjYyMTI5NQIAAAAHMTc1NzE0MwMAAAAGMTAwMzA3BAAAAAEyBgAAAAEwBwAAAAMxNjAIAAAAATAJAAAAATEKAAAAATALAAAACjExNjkxMjc3ODkMAAAAAjEyDQAA</t>
  </si>
  <si>
    <t>AAoxMS8xNS8yMDAzm/6zvZNz1QiLPVpJl3PVCCBDSVEuXlNQWC5JUV9QVEJWLjIwMDAuMTIvMjUvMjAxMwEAAACbuCgAAgAAAAg1LjM4NjY5NgDb17m3k3PVCBuSPEuXc9UIN0NJUS5OQVNEQVFHUzpJTlRDLklRX1RFVl9FQklUREFfRldEX0NJUS42MDAwLjExLzE4LzIwMDUBAAAAh1IAAAIAAAAQNy43NzM3NTI4MDQ5MDAwNwENAAAABQAAAAE5AQAAAAcyNjIxMjk1AgAAAAcxNzU3MTQ5AwAAAAYxMDAzMDgEAAAAATIGAAAAATAHAAAAAzE2MAgAAAABMAkAAAABMQoAAAABMAsAAAAKNjg4MzcwMDUyNwwAAAACMTINAAAACjExLzE5LzIwMDUbTlW7k3PVCHu7kK6Xc9UINUNJUS5OYXNkYXFHUzpJTlRDLklRX1RFVl9FQklUREFfRldEX0NJUS42MDAwLjYvOC8yMDAxAQAAAIdSAAACAAAAEDI0LjYwMzQxMzEwNTM5MzQBDQAAAAUAAAABOQEAAAAHMjYyMTI5NQIAAAAHMzQyMTE2MAMAAAAGMTAwMzA4BAAAAAEyBgAAAAEwBwAAAAMxNjAIAAAAATAJAAAAATEKAAAAATALAAAACjExNjkxNTI0MzIMAAAAAjEyDQAAAAg2LzkvMjAwMasCsbuTc9UIK/iPrpdz1Qg2Q0lRLk5BU0RBUUdTOklOVEMuSVFfVEVWX0VCSVREQV9GV0RfQ0lRLjYwMDAuNC8yMS8yMDExAQAAAIdSAAACAAAAEDQuNTcxNjYxNTU3NjMwOTkBDQAAAAUAAAABOQEAAAAHMjYyMTI5NQIAAAAHMTc1NzE2NQMAAAAGMTAwMzA4BAAAAAEyBgAAAAEw</t>
  </si>
  <si>
    <t>BwAAAAMxNjAIAAAAATAJAAAAATEKAAAAATALAAAACjgxNzA3MDUzMTQMAAAAAjEyDQAAAAk0LzIyLzIwMTG7Y1S7k3PVCJuYjq6Xc9UILkNJUS5eU1BYLklRX1RFVl9FQklUREFfRldEX0NJUS42MDAwLjEwLzExLzIwMTcBAAAAm7goAAIAAAAJMTAuNzA3MzM1AJvrZrmTc9UI+3b1Spdz1Qg3Q0lRLk5hc2RhcUdTOklOVEMuSVFfVEVWX0VCSVREQV9GV0RfQ0lRLjYwMDAuMTEvMjYvMjAxMAEAAACHUgAAAgAAABA1LjAzMTExNTI0MTAyMTk1AQ0AAAAFAAAAATkBAAAABzI2MjEyOTUCAAAABzE3NTcxNjQDAAAABjEwMDMwOAQAAAABMgYAAAABMAcAAAADMTYwCAAAAAEwCQAAAAExCgAAAAEwCwAAAAo3MDczNzIyMDczDAAAAAIxMg0AAAAKMTEvMjcvMjAxMOtJV7uTc9UIK4eNrpdz1Qg1Q0lRLk5hc2RhcUdTOklOVEMuSVFfVEVWX0VCSVREQV9GV0RfQ0lRLjYwMDAuOC8yLzIwMDIBAAAAh1IAAAIAAAAQOS41ODc5OTY3ODQ2ODYxMwENAAAABQAAAAE5AQAAAAcyNjIxMjk1AgAAAAcxNzU3MTM5AwAAAAYxMDAzMDgEAAAAATIGAAAAATAHAAAAAzE2MAgAAAABMAkAAAABMQoAAAABMAsAAAAKMTE2OTEyNjA0NwwAAAACMTINAAAACDgvMy8yMDAyu9RWu5Nz1QjrW4+ul3PVCC9DSVEuTkFTREFRR1M6SU5UQy5JUV9QRV9FWENMX0ZXRC42MDAwLjcvMTUvMjAwNQEAAACHUgAAAgAAABAxOS4wMTQ5ODM1MzgyNjUx</t>
  </si>
  <si>
    <t>AQ0AAAAFAAAAATkBAAAABzI2MjEyOTUCAAAABzE3NTcxNDcDAAAABjEwMDMwOQQAAAABMgYAAAABMAcAAAADMTYwCAAAAAEwCQAAAAExCgAAAAEwCwAAAAo4ODYzMzU3OTM3DAAAAAIxMg0AAAAJNy8xNi8yMDA1u0y0vZNz1Qj73VhJl3PVCChDSVEuTkFTREFRR1M6SU5UQy5JUV9QVEJWLjIwMDAuOC8xMy8yMDEwAQAAAIdSAAACAAAACDIuNjI3MjM3AQcAAAAFAAAAATEBAAAACjEzODk3MTA3NDQDAAAAATACAAAABjEwMDAyOQQAAAABMAcAAAAJOC8xMy8yMDEwCAAAAAk4LzEzLzIwMTDLsLm3k3PVCDtFTUmXc9UIKENJUS5OQVNEQVFHUzpJTlRDLklRX1BUQlYuMjAwMC4xMi8zLzIwMTABAAAAh1IAAAIAAAAIMi44NDkzNDgBBwAAAAUAAAABMQEAAAAKMTQwODUxNjU0NgMAAAABMAIAAAAGMTAwMDI5BAAAAAEwBwAAAAkxMi8zLzIwMTAIAAAACTEyLzMvMjAxMMuwubeTc9UIS2xNSZdz1QgnQ0lRLk5BU0RBUUdTOklOVEMuSVFfUFRCVi4yMDAwLjUvMi8yMDE0AQAAAIdSAAACAAAACDMuMDkyNzE1AQcAAAAFAAAAATEBAAAACjE2NzMzNzkzMjcDAAAAATACAAAABjEwMDAyOQQAAAABMAcAAAAINS8yLzIwMTQIAAAACDUvMi8yMDE0e51muZNz1Qjr1FNJl3PVCC1DSVEuXlNQWC5JUV9URVZfVE9UQUxfUkVWX0ZXRC42MDAwLjEyLzEwLzIwMTQBAAAAm7goAAIAAAAIMS45NDMyMTEA6/65t5Nz1QhLtDVLl3PV</t>
  </si>
  <si>
    <t>CDBDSVEuTkFTREFRR1M6SU5UQy5JUV9QUklDRV9TQUxFUy4yMDAwLjExLzIzLzIwMTYBAAAAh1IAAAIAAAAIMi44NzE5NTkBBwAAAAUAAAABMQEAAAAKMTgxNTU0NDQ1MAMAAAABMAIAAAAFMzg5NTgEAAAAATAHAAAACjExLzIzLzIwMTYIAAAACjExLzIzLzIwMTY76lS5k3PVCEu7H0uXc9UILkNJUS5OQVNEQVFHUzpJTlRDLklRX1BFX0VYQ0xfRldELjYwMDAuNy82LzIwMTIBAAAAh1IAAAIAAAAQOS44NTE1OTUxNjM2NTk2NQENAAAABQAAAAE5AQAAAAcyNjIxMjk1AgAAAAcxNzU3MTY4AwAAAAYxMDAzMDkEAAAAATIGAAAAATAHAAAAAzE2MAgAAAABMAkAAAABMQoAAAABMAsAAAAKODg2MzQzNDkxMAwAAAACMTINAAAACDcvNy8yMDEyqyW0vZNz1Qi77lBJl3PVCDRDSVEuTmFzZGFxR1M6SU5UQy5JUV9URVZfVE9UQUxfUkVWX0ZXRC42MDAwLjgvNC8yMDA2AQAAAIdSAAACAAAAEDIuNjYwMTIyNDcxODczNDkBDQAAAAUAAAABOQEAAAAHMjYyMTI5NQIAAAAHMTc1NzE1MQMAAAAGMTAwMzA3BAAAAAEyBgAAAAEwBwAAAAMxNjAIAAAAATAJAAAAATEKAAAAATALAAAACjg4NTkyMjYyMDMMAAAAAjEyDQAAAAg4LzUvMjAwNpv+s72Tc9UIy4ZTSZdz1Qg3Q0lRLk5hc2RhcUdTOklOVEMuSVFfVEVWX0VCSVREQV9GV0RfQ0lRLjYwMDAuMTAvMTEvMjAwMgEAAACHUgAAAgAAABA4LjYyNjk3Njg1NzIxNzYzAQ0A</t>
  </si>
  <si>
    <t>AAAFAAAAATkBAAAABzI2MjEyOTUCAAAABzE3NTcxMzkDAAAABjEwMDMwOAQAAAABMgYAAAABMAcAAAADMTYwCAAAAAEwCQAAAAExCgAAAAEwCwAAAAoxMTY5MTI2MDQ3DAAAAAIxMg0AAAAKMTAvMTIvMjAwMqutVruTc9UIS9WNrpdz1Qg2Q0lRLk5BU0RBUUdTOklOVEMuSVFfVEVWX0VCSVREQV9GV0RfQ0lRLjYwMDAuNS8yNy8yMDExAQAAAIdSAAACAAAAEDQuNjY4Nzg5Njk2MDU4OTgBDQAAAAUAAAABOQEAAAAHMjYyMTI5NQIAAAAHMTc1NzE2NQMAAAAGMTAwMzA4BAAAAAEyBgAAAAEwBwAAAAMxNjAIAAAAATAJAAAAATEKAAAAATALAAAACjgxNzA3MDUzMTgMAAAAAjEyDQAAAAk1LzI4LzIwMTGrPFS7k3PVCHu7kK6Xc9UINkNJUS5OYXNkYXFHUzpJTlRDLklRX1RFVl9UT1RBTF9SRVZfRldELjYwMDAuMTIvMzAvMjAxNgEAAACHUgAAAgAAABAyLjk5NzgxMDE3NzkwNjg4AQ0AAAAFAAAAATkBAAAABzI2MjEyOTUCAAAACDI3MDAzNjUzAwAAAAYxMDAzMDcEAAAAATIGAAAAATAHAAAAAzE2MAgAAAABMAkAAAABMQoAAAABMAsAAAAKOTkwMjc5NDkwNAwAAAACMTINAAAACjEyLzMxLzIwMTa7Ila5k3PVCBuGSkmXc9UINUNJUS5OYXNkYXFHUzpJTlRDLklRX1RFVl9UT1RBTF9SRVZfRldELjYwMDAuMS8xNi8yMDA5AQAAAIdSAAACAAAAEDIuMjU2ODI0MzQwMzE4MzUBDQAAAAUAAAABOQEAAAAHMjYyMTI5</t>
  </si>
  <si>
    <t>NQIAAAAEMTg4NAMAAAAGMTAwMzA3BAAAAAEyBgAAAAEwBwAAAAMxNjAIAAAAATAJAAAAATEKAAAAATALAAAACTM2MDcxNTk2MQwAAAACMTINAAAACTEvMTcvMjAwOfuWvLeTc9UIW5NNSZdz1Qg1Q0lRLk5BU0RBUUdTOklOVEMuSVFfVEVWX1RPVEFMX1JFVl9GV0QuNjAwMC42LzI3LzIwMDMBAAAAh1IAAAIAAAAQNC4yMzUzNTQzNDM4MTEwNwENAAAABQAAAAE5AQAAAAcyNjIxMjk1AgAAAAcxNzU3MTQxAwAAAAYxMDAzMDcEAAAAATIGAAAAATAHAAAAAzE2MAgAAAABMAkAAAABMQoAAAABMAsAAAAKMTE2OTEyNjY2MQwAAAACMTINAAAACTYvMjgvMjAwM5usu7eTc9UIe+FNSZdz1Qg2Q0lRLk5BU0RBUUdTOklOVEMuSVFfVEVWX0VCSVREQV9GV0RfQ0lRLjYwMDAuNy8zMC8yMDEwAQAAAIdSAAACAAAAEDQuNDk0MzMzOTI5ODg4MzYBDQAAAAUAAAABOQEAAAAHMjYyMTI5NQIAAAAHMTc1NzE2MwMAAAAGMTAwMzA4BAAAAAEyBgAAAAEwBwAAAAMxNjAIAAAAATAJAAAAATEKAAAAATALAAAACjcwNzM3MTg3MDAMAAAAAjEyDQAAAAk3LzMxLzIwMTC7Y1S7k3PVCGsjjq6Xc9UIJkNJUS5eU1BYLklRX1BFX0VYQ0xfRldELjYwMDAuMS8yMC8yMDE2AQAAAJu4KAACAAAACTE1LjUyODQ4OABrZrC7k3PVCBt7K0uXc9UIJkNJUS5eU1BYLklRX1BFX0VYQ0xfRldELjYwMDAuNS8zMS8yMDE3AQAAAJu4KAACAAAACTE4</t>
  </si>
  <si>
    <t>LjEzMjk2NgDr/rm3k3PVCGuBDEuXc9UINkNJUS5OYXNkYXFHUzpJTlRDLklRX1RFVl9FQklUREFfRldEX0NJUS42MDAwLjEyLzcvMjAwMQEAAACHUgAAAgAAABAyMi4zODE5NTI1MDE5MTU1AQ0AAAAFAAAAATkBAAAABzI2MjEyOTUCAAAABzM0MjExNjIDAAAABjEwMDMwOAQAAAABMgYAAAABMAcAAAADMTYwCAAAAAEwCQAAAAExCgAAAAEwCwAAAAo4NDAxNDI4MzMzDAAAAAIxMg0AAAAJMTIvOC8yMDAxm9uwu5Nz1QhbbZCul3PVCDRDSVEuTmFzZGFxR1M6SU5UQy5JUV9URVZfVE9UQUxfUkVWX0ZXRC42MDAwLjIvNC8yMDA1AQAAAIdSAAACAAAAEDMuNDU0NjU5NzA3Njg3MTMBDQAAAAUAAAABOQEAAAAHMjYyMTI5NQIAAAAEMTg4MAMAAAAGMTAwMzA3BAAAAAEyBgAAAAEwBwAAAAMxNjAIAAAAATAJAAAAATEKAAAAATALAAAACTM2MDY2NDQ2MwwAAAACMTINAAAACDIvNS8yMDA1qwKxu5Nz1QgLlFZJl3PVCDZDSVEuTmFzZGFxR1M6SU5UQy5JUV9URVZfRUJJVERBX0ZXRF9DSVEuNjAwMC43LzEyLzIwMTMBAAAAh1IAAAIAAAAQNS4xODEzMTI3MTQ5ODkzMgENAAAABQAAAAE5AQAAAAcyNjIxMjk1AgAAAAczODI5NzUxAwAAAAYxMDAzMDgEAAAAATIGAAAAATAHAAAAAzE2MAgAAAABMAkAAAABMQoAAAABMAsAAAAKNjk1NTQxOTE3MgwAAAACMTINAAAACTcvMTMvMjAxM6sCsbuTc9UI6+qMrpdz1QguQ0lR</t>
  </si>
  <si>
    <t>Lk5BU0RBUUdTOklOVEMuSVFfUFJJQ0VfU0FMRVMuMjAwMC4zLzgvMjAxMwEAAACHUgAAAgAAAAgyLjAyMTIxNgEHAAAABQAAAAExAQAAAAoxNTg4MTU3NDYzAwAAAAEwAgAAAAUzODk1OAQAAAABMAcAAAAIMy84LzIwMTMIAAAACDMvOC8yMDEzO/Gvu5Nz1QiL6lJJl3PVCCxDSVEuXlNQWC5JUV9URVZfVE9UQUxfUkVWX0ZXRC42MDAwLjIvMTAvMjAxNgEAAACbuCgAAgAAAAgxLjg0NTY0NwB7jbC7k3PVCAtUK0uXc9UIL0NJUS5OQVNEQVFHUzpJTlRDLklRX1BFX0VYQ0xfRldELjYwMDAuNi8yMi8yMDEyAQAAAIdSAAACAAAAEDEwLjA2OTE1ODg3ODUwNDcBDQAAAAUAAAABOQEAAAAHMjYyMTI5NQIAAAAHMTc1NzE2OAMAAAAGMTAwMzA5BAAAAAEyBgAAAAEwBwAAAAMxNjAIAAAAATAJAAAAATEKAAAAATALAAAACjg4NjIwMzM1ODAMAAAAAjEyDQAAAAk2LzIzLzIwMTKrJbS9k3PVCBvZUUmXc9UIMENJUS5OQVNEQVFHUzpJTlRDLklRX1BSSUNFX1NBTEVTLjIwMDAuMTEvMTkvMjAxNAEAAACHUgAAAgAAAAgzLjA5MzcwNQEHAAAABQAAAAExAQAAAAoxNzAzNjgxODk0AwAAAAEwAgAAAAUzODk1OAQAAAABMAcAAAAKMTEvMTkvMjAxNAgAAAAKMTEvMTkvMjAxNLtqr72Tc9UIeyk2S5dz1Qg1Q0lRLk5hc2RhcUdTOklOVEMuSVFfVEVWX1RPVEFMX1JFVl9GV0QuNjAwMC4xLzExLzIwMDgBAAAAh1IAAAIAAAAQ</t>
  </si>
  <si>
    <t>Mi44NDU5ODI1MTY5ODA0NAENAAAABQAAAAE5AQAAAAcyNjIxMjk1AgAAAAcxNzU3MTU1AwAAAAYxMDAzMDcEAAAAATIGAAAAATAHAAAAAzE2MAgAAAABMAkAAAABMQoAAAABMAsAAAAKODg2NDMzMDEzMAwAAAACMTINAAAACTEvMTIvMjAwOMv7VruTc9UIW+ZUSZdz1QgvQ0lRLk5BU0RBUUdTOklOVEMuSVFfUEVfRVhDTF9GV0QuNjAwMC4zLzE3LzIwMTcBAAAAh1IAAAIAAAAQMTIuNTg5MzI0NTk1NDA2OQENAAAABQAAAAE5AQAAAAcyNjIxMjk1AgAAAAoxMDAwOTQ0Mzg3AwAAAAYxMDAzMDkEAAAAATIGAAAAATAHAAAAAzE2MAgAAAABMAkAAAABMQoAAAABMAsAAAALMTAwNjA1ODQ4MzIMAAAAAjEyDQAAAAkzLzE4LzIwMTfbKbK9k3PVCJsRU0mXc9UII0NJUS5eU1BYLklRX0xBU1RTQUxFUFJJQ0UuMS8xMC8yMDE4AQAAAJu4KAACAAAAEDI3NDguMjI1NDg5OTYyNjUASyhmuZNz1Qg7nk1Kl3PVCDVDSVEuTmFzZGFxR1M6SU5UQy5JUV9URVZfVE9UQUxfUkVWX0ZXRC42MDAwLjEvMjQvMjAxNAEAAACHUgAAAgAAABAyLjE5NTU1MzM2MDkxNzAyAQ0AAAAFAAAAATkBAAAABzI2MjEyOTUCAAAABzQ0NTY0MjEDAAAABjEwMDMwNwQAAAABMgYAAAABMAcAAAADMTYwCAAAAAEwCQAAAAExCgAAAAEwCwAAAAo2NDk3ODIyNDMxDAAAAAIxMg0AAAAJMS8yNS8yMDE0q61Wu5Nz1Qj73VhJl3PVCDRDSVEuTmFzZGFx</t>
  </si>
  <si>
    <t>R1M6SU5UQy5JUV9URVZfVE9UQUxfUkVWX0ZXRC42MDAwLjQvMi8yMDA0AQAAAIdSAAACAAAADzQuODMxOTIzODIyNTExMwENAAAABQAAAAE5AQAAAAcyNjIxMjk1AgAAAAQxODc5AwAAAAYxMDAzMDcEAAAAATIGAAAAATAHAAAAAzE2MAgAAAABMAkAAAABMQoAAAABMAsAAAAJMzYwNjU5ODEwDAAAAAIxMg0AAAAINC8zLzIwMDSrArG7k3PVCLtfU0mXc9UINkNJUS5OYXNkYXFHUzpJTlRDLklRX1RFVl9FQklUREFfRldEX0NJUS42MDAwLjgvMjAvMjAwNAEAAACHUgAAAgAAABA3LjQ0NDA2MzYwNDk3MjY1AQ0AAAAFAAAAATkBAAAABzI2MjEyOTUCAAAABzE3NTcxNDUDAAAABjEwMDMwOAQAAAABMgYAAAABMAcAAAADMTYwCAAAAAEwCQAAAAExCgAAAAEwCwAAAAoxMTY5MTI5MTM5DAAAAAIxMg0AAAAJOC8yMS8yMDA0+3BXu5Nz1Qj7EY2ul3PVCDVDSVEuTmFzZGFxR1M6SU5UQy5JUV9URVZfVE9UQUxfUkVWX0ZXRC42MDAwLjIvMjQvMjAwNgEAAACHUgAAAgAAABAyLjczNDE0NDgyNDQxNDgyAQ0AAAAFAAAAATkBAAAABzI2MjEyOTUCAAAABDE4ODEDAAAABjEwMDMwNwQAAAABMgYAAAABMAcAAAADMTYwCAAAAAEwCQAAAAExCgAAAAEwCwAAAAkzNjA2NzIzMTEMAAAAAjEyDQAAAAkyLzI1LzIwMDbLIby3k3PVCItbVUmXc9UINENJUS5OYXNkYXFHUzpJTlRDLklRX1RFVl9UT1RBTF9SRVZfRldELjYwMDAu</t>
  </si>
  <si>
    <t>Ny84LzIwMTYBAAAAh1IAAAIAAAAQMi45NzIxODU5NjQ4OTEzNQENAAAABQAAAAE5AQAAAAcyNjIxMjk1AgAAAAgyNzAwMzY1MQMAAAAGMTAwMzA3BAAAAAEyBgAAAAEwBwAAAAMxNjAIAAAAATAJAAAAATEKAAAAATALAAAACjk1ODM5MTE1ODUMAAAAAjEyDQAAAAg3LzkvMjAxNnuNsLuTc9UIS6FZSZdz1QguQ0lRLk5hc2RhcUdTOklOVEMuSVFfUEVfRVhDTF9GV0QuNjAwMC4zLzkvMjAwNwEAAACHUgAAAgAAABAxNy42MDgzOTMwMjY3MDc2AQ0AAAAFAAAAATkBAAAABzI2MjEyOTUCAAAABDE4ODIDAAAABjEwMDMwOQQAAAABMgYAAAABMAcAAAADMTYwCAAAAAEwCQAAAAExCgAAAAEwCwAAAAcxNTI1NjAxDAAAAAIxMg0AAAAJMy8xMC8yMDA3u0y0vZNz1QjL91VJl3PVCClDSVEuTkFTREFRR1M6SU5UQy5JUV9QVEJWLjIwMDAuMTIvMTQvMjAxMgEAAACHUgAAAgAAAAgzLjA1OTUwNwEHAAAABQAAAAExAQAAAAoxNTczODg3Nzk1AwAAAAEwAgAAAAYxMDAwMjkEAAAAATAHAAAACjEyLzE0LzIwMTIIAAAACjEyLzE0LzIwMTK7aq+9k3PVCNuPWEmXc9UINkNJUS5OQVNEQVFHUzpJTlRDLklRX1RFVl9FQklUREFfRldEX0NJUS42MDAwLjgvMTAvMjAwNwEAAACHUgAAAgAAABA5LjIzNDQwOTQ2Mjk3Mzk0AQ0AAAAFAAAAATkBAAAABzI2MjEyOTUCAAAABzE3NTcxNTQDAAAABjEwMDMwOAQAAAABMgYAAAABMAcA</t>
  </si>
  <si>
    <t>AAADMTYwCAAAAAEwCQAAAAExCgAAAAEwCwAAAAo2NzMwODYzNjI1DAAAAAIxMg0AAAAJOC8xMS8yMDA3+/9Uu5Nz1QjbNI+ul3PVCDVDSVEuTmFzZGFxR1M6SU5UQy5JUV9URVZfVE9UQUxfUkVWX0ZXRC42MDAwLjEvMjAvMjAxNwEAAACHUgAAAgAAABAzLjA0ODA1NDAzMTA0Nzc5AQ0AAAAFAAAAATkBAAAABzI2MjEyOTUCAAAACDI3MDAzNjUzAwAAAAYxMDAzMDcEAAAAATIGAAAAATAHAAAAAzE2MAgAAAABMAkAAAABMQoAAAABMAsAAAAKOTk0MTIwMzgwNwwAAAACMTINAAAACTEvMjEvMjAxN3uGVbmTc9UIC0FPSZdz1QgtQ0lRLl5TUFguSVFfVEVWX0VCSVREQV9GV0RfQ0lRLjYwMDAuOC8yMy8yMDE3AQAAAJu4KAACAAAACTEwLjM5OTgxMgDbuK+9k3PVCOsT/0qXc9UINkNJUS5OYXNkYXFHUzpJTlRDLklRX1RFVl9UT1RBTF9SRVZfRldELjYwMDAuMTEvMTYvMjAwMQEAAACHUgAAAgAAABA3LjQyNzY2MzY2MjM0NTUxAQ0AAAAFAAAAATkBAAAABzI2MjEyOTUCAAAABzM0MjExNjIDAAAABjEwMDMwNwQAAAABMgYAAAABMAcAAAADMTYwCAAAAAEwCQAAAAExCgAAAAEwCwAAAAoxMTY5MTUyNTUxDAAAAAIxMg0AAAAKMTEvMTcvMjAwMetJV7uTc9UIKx5NSZdz1QgfQ0lRLl5TUFguSVFfUFRCVi4yMDAwLjEwLzEvMjAxNAEAAACbuCgAAgAAAAg1LjI2MjUyNQDLka+9k3PVCMvsNkuXc9UIK0NJUS5eU1BY</t>
  </si>
  <si>
    <t>LklRX1RFVl9UT1RBTF9SRVZfRldELjYwMDAuMS80LzIwMTcBAAAAm7goAAIAAAAIMi4xMzgyNTQAe42wu5Nz1QjLERxLl3PVCCVDSVEuXlNQWC5JUV9QRV9FWENMX0ZXRC42MDAwLjMvNi8yMDEzAQAAAJu4KAACAAAACTEzLjgxNjUyNgDr0Yi2k3PVCLsYPkuXc9UINkNJUS5OQVNEQVFHUzpJTlRDLklRX1RFVl9FQklUREFfRldEX0NJUS42MDAwLjQvMjcvMjAxMgEAAACHUgAAAgAAABA1LjE2OTEyNTM0MTIzNjg5AQ0AAAAFAAAAATkBAAAABzI2MjEyOTUCAAAABzE3NTcxNjgDAAAABjEwMDMwOAQAAAABMgYAAAABMAcAAAADMTYwCAAAAAEwCQAAAAExCgAAAAEwCwAAAAo2OTU1Mzk3NjE5DAAAAAIxMg0AAAAJNC8yOC8yMDEymxVUu5Nz1Qgb0Y+ul3PVCBZDSVEuXlNQWC5JUV9QVEJWLjIwMDAuAQAAAJu4KAACAAAACDkuMTQyNjIzAAsZ1MKTc9UI2y5Sa5Zz1Qg2Q0lRLk5hc2RhcUdTOklOVEMuSVFfVEVWX0VCSVREQV9GV0RfQ0lRLjYwMDAuMy8zMS8yMDA2AQAAAIdSAAACAAAADzguMTY4MzU2NzMzODMwNwENAAAABQAAAAE5AQAAAAcyNjIxMjk1AgAAAAQxODgxAwAAAAYxMDAzMDgEAAAAATIGAAAAATAHAAAAAzE2MAgAAAABMAkAAAABMQoAAAABMAsAAAAJMzYwNjc1NjA2DAAAAAIxMg0AAAAINC8xLzIwMDarJbS9k3PVCKu/jq6Xc9UIL0NJUS5OQVNEQVFHUzpJTlRDLklRX1BFX0VYQ0xfRldELjYw</t>
  </si>
  <si>
    <t>MDAuNS8xOS8yMDE3AQAAAIdSAAACAAAAEDEyLjM4NTg1MDc0MDAwMjEBDQAAAAUAAAABOQEAAAAHMjYyMTI5NQIAAAAIMjc1MDAxNzIDAAAABjEwMDMwOQQAAAABMgYAAAABMAcAAAADMTYwCAAAAAEwCQAAAAExCgAAAAEwCwAAAAsxMDE1NzUwOTUxMQwAAAACMTINAAAACTUvMjAvMjAxN9spsr2Tc9UIG0pUSZdz1Qg0Q0lRLk5hc2RhcUdTOklOVEMuSVFfVEVWX1RPVEFMX1JFVl9GV0QuNjAwMC45LzIvMjAxNgEAAACHUgAAAgAAABAzLjA3ODIyMzQ3Njk0MzU4AQ0AAAAFAAAAATkBAAAABzI2MjEyOTUCAAAACDI3MDAzNjUyAwAAAAYxMDAzMDcEAAAAATIGAAAAATAHAAAAAzE2MAgAAAABMAkAAAABMQoAAAABMAsAAAAKOTcwNTEzNzk2NwwAAAACMTINAAAACDkvMy8yMDE2+8Wxu5Nz1QhrK1BJl3PVCDdDSVEuTmFzZGFxR1M6SU5UQy5JUV9URVZfRUJJVERBX0ZXRF9DSVEuNjAwMC4xMi8yOS8yMDE3AQAAAIdSAAACAAAAEDguNTIzOTk1ODAzMjQxNzUBDQAAAAUAAAABOQEAAAAHMjYyMTI5NQIAAAAIMjc1MDAxNzQDAAAABjEwMDMwOAQAAAABMgYAAAABMAcAAAADMTYwCAAAAAEwCQAAAAExCgAAAAEwCwAAAAsxMDY1OTMyNjc1MgwAAAACMTINAAAACjEyLzMwLzIwMTe7KbG7k3PVCOtbj66Xc9UIL0NJUS5OQVNEQVFHUzpJTlRDLklRX1BSSUNFX1NBTEVTLjIwMDAuMi8xNS8yMDEzAQAAAIdSAAACAAAA</t>
  </si>
  <si>
    <t>CDEuOTc3NjYzAQcAAAAFAAAAATEBAAAACjE1ODQ0ODYyNjADAAAAATACAAAABTM4OTU4BAAAAAEwBwAAAAkyLzE1LzIwMTMIAAAACTIvMTUvMjAxM4vEZrmTc9UIqzhTSZdz1QgsQ0lRLk5BU0RBUUdTOklOVEMuSVFfTEFTVFNBTEVQUklDRS43LzIyLzIwMTUBAAAAh1IAAAIAAAAGMjguNjA1ADvqVLmTc9UIK4QwS5dz1QgvQ0lRLk5BU0RBUUdTOklOVEMuSVFfUEVfRVhDTF9GV0QuNjAwMC42LzExLzIwMTABAAAAh1IAAAIAAAAQMTAuODk5Mjk3NjcxMjI1NgENAAAABQAAAAE5AQAAAAcyNjIxMjk1AgAAAAcxNzU3MTYyAwAAAAYxMDAzMDkEAAAAATIGAAAAATAHAAAAAzE2MAgAAAABMAkAAAABMQoAAAABMAsAAAAKODg2Mzg0NDIwOQwAAAACMTINAAAACTYvMTIvMjAxMCvtsr2Tc9UIe8NSSZdz1QgeQ0lRLl5TUFguSVFfUFRCVi4yMDAwLjcvMi8yMDE0AQAAAJu4KAACAAAACDUuNTEyOTkyAGtmsLuTc9UIa3M4S5dz1Qg1Q0lRLk5hc2RhcUdTOklOVEMuSVFfVEVWX1RPVEFMX1JFVl9GV0QuNjAwMC43LzI2LzIwMTMBAAAAh1IAAAIAAAAQMi4wNjMwNDEwNzYzMDE1OAENAAAABQAAAAE5AQAAAAcyNjIxMjk1AgAAAAczODI5NzUyAwAAAAYxMDAzMDcEAAAAATIGAAAAATAHAAAAAzE2MAgAAAABMAkAAAABMQoAAAABMAsAAAAKODg2MjU0MzMwMgwAAAACMTINAAAACTcvMjcvMjAxM7vUVruTc9UIO3pZSZdz</t>
  </si>
  <si>
    <t>1Qg1Q0lRLk5hc2RhcUdTOklOVEMuSVFfVEVWX1RPVEFMX1JFVl9GV0QuNjAwMC42LzI0LzIwMTYBAAAAh1IAAAIAAAAQMi43NzIyMzI3ODAwNzIwNAENAAAABQAAAAE5AQAAAAcyNjIxMjk1AgAAAAgyNzAwMzY1MQMAAAAGMTAwMzA3BAAAAAEyBgAAAAEwBwAAAAMxNjAIAAAAATAJAAAAATEKAAAAATALAAAACjk1NTQ0Nzg4ODQMAAAAAjEyDQAAAAk2LzI1LzIwMTY7cmi5k3PVCBvZUUmXc9UIL0NJUS5OQVNEQVFHUzpJTlRDLklRX1BFX0VYQ0xfRldELjYwMDAuMi8xNy8yMDA2AQAAAIdSAAACAAAAEDE0LjUyNDMxMjg5NjQwNTkBDQAAAAUAAAABOQEAAAAHMjYyMTI5NQIAAAAEMTg4MQMAAAAGMTAwMzA5BAAAAAEyBgAAAAEwBwAAAAMxNjAIAAAAATAJAAAAATEKAAAAATALAAAABzE1MTY3NzMMAAAAAjEyDQAAAAkyLzE4LzIwMDZbYrO9k3PVCHvDUkmXc9UIJUNJUS5eU1BYLklRX1BFX0VYQ0xfRldELjYwMDAuNy85LzIwMTQBAAAAm7goAAIAAAAJMTYuMjQzMjg0AKsSZ7mTc9UIO/43S5dz1Qg1Q0lRLk5hc2RhcUdTOklOVEMuSVFfVEVWX0VCSVREQV9GV0RfQ0lRLjYwMDAuNi8zLzIwMTYBAAAAh1IAAAIAAAAQNy43NjQ0MTI1NTk0NTgyNQENAAAABQAAAAE5AQAAAAcyNjIxMjk1AgAAAAgyNzAwMzY1MQMAAAAGMTAwMzA4BAAAAAEyBgAAAAEwBwAAAAMxNjAIAAAAATAJAAAAATEKAAAAATALAAAACjk0</t>
  </si>
  <si>
    <t>NzM0ODg0OTEMAAAAAjEyDQAAAAg2LzQvMjAxNovXs72Tc9UIG2CNrpdz1Qg1Q0lRLk5BU0RBUUdTOklOVEMuSVFfVEVWX0VCSVREQV9GV0RfQ0lRLjYwMDAuMy8xLzIwMDIBAAAAh1IAAAIAAAAQMTguNTM2NDUxNjYxNjU0OQENAAAABQAAAAE5AQAAAAcyNjIxMjk1AgAAAAQxODc3AwAAAAYxMDAzMDgEAAAAATIGAAAAATAHAAAAAzE2MAgAAAABMAkAAAABMQoAAAABMAsAAAAJMzYwNjU2MDUxDAAAAAIxMg0AAAAIMy8yLzIwMDJb6lW7k3PVCEvVja6Xc9UIL0NJUS5OQVNEQVFHUzpJTlRDLklRX1BFX0VYQ0xfRldELjYwMDAuMy8xOS8yMDEwAQAAAIdSAAACAAAAEDEzLjQ4OTkzMTIzOTIyNzQBDQAAAAUAAAABOQEAAAAHMjYyMTI5NQIAAAAEMTg4NQMAAAAGMTAwMzA5BAAAAAEyBgAAAAEwBwAAAAMxNjAIAAAAATAJAAAAATEKAAAAATALAAAABzE1NTE5MzEMAAAAAjEyDQAAAAkzLzIwLzIwMTCrJbS9k3PVCLvQVUmXc9UIKENJUS5OQVNEQVFHUzpJTlRDLklRX1BUQlYuMjAwMC4yLzE3LzIwMTcBAAAAh1IAAAIAAAAINC4wNDczNDMBBwAAAAUAAAABMQEAAAAKMTgyODE3NDEyMgMAAAABMAIAAAAGMTAwMDI5BAAAAAEwBwAAAAkyLzE3LzIwMTcIAAAACTIvMTcvMjAxN3udZrmTc9UIu19TSZdz1QgkQ0lRLl5TUFguSVFfTEFTVFNBTEVQUklDRS4xMi8xNi8yMDE1AQAAAJu4KAACAAAAEDIwNzMuMDY2MTQ3</t>
  </si>
  <si>
    <t>NDQ0MjkAy5GvvZNz1Qir2ixLl3PVCC9DSVEuTkFTREFRR1M6SU5UQy5JUV9QRV9FWENMX0ZXRC42MDAwLjQvMjgvMjAwNgEAAACHUgAAAgAAABAyMS4wOTgyMDQ4NTc0NDQ2AQ0AAAAFAAAAATkBAAAABzI2MjEyOTUCAAAABzE3NTcxNTADAAAABjEwMDMwOQQAAAABMgYAAAABMAcAAAADMTYwCAAAAAEwCQAAAAExCgAAAAEwCwAAAAo4ODYwOTU3NzQzDAAAAAIxMg0AAAAJNC8yOS8yMDA2W2KzvZNz1QhLv1RJl3PVCC9DSVEuTkFTREFRR1M6SU5UQy5JUV9QRV9FWENMX0ZXRC42MDAwLjEvMjcvMjAxNwEAAACHUgAAAgAAABAxMy41NzgxNTQ4Mjk1NzU5AQ0AAAAFAAAAATkBAAAABzI2MjEyOTUCAAAACjEwMDA5NDQzODcDAAAABjEwMDMwOQQAAAABMgYAAAABMAcAAAADMTYwCAAAAAEwCQAAAAExCgAAAAEwCwAAAAo5OTU5NTg0NjM2DAAAAAIxMg0AAAAJMS8yOC8yMDE3i9ezvZNz1Qhr71lJl3PVCCNDSVEuXlNQWC5JUV9MQVNUU0FMRVBSSUNFLjExLzIvMjAxNgEAAACbuCgAAgAAABAyMDk3Ljk0Mzc3MTA4Mzc0ABvdUruTc9UIS7sfS5dz1QgvQ0lRLk5BU0RBUUdTOklOVEMuSVFfUFJJQ0VfU0FMRVMuMjAwMC41LzI5LzIwMTUBAAAAh1IAAAIAAAAIMi45ODYwNDYBBwAAAAUAAAABMQEAAAAKMTczMDc2Mjc1NQMAAAABMAIAAAAFMzg5NTgEAAAAATAHAAAACTUvMjkvMjAxNQgAAAAJNS8yOS8yMDE1SxFV</t>
  </si>
  <si>
    <t>uZNz1Qjby05Jl3PVCDBDSVEuTkFTREFRR1M6SU5UQy5JUV9QUklDRV9TQUxFUy4yMDAwLjEwLzE2LzIwMTMBAAAAh1IAAAIAAAAIMi4yNDg3MTkBBwAAAAUAAAABMQEAAAAKMTY0MDk4MDM0MAMAAAABMAIAAAAFMzg5NTgEAAAAATAHAAAACjEwLzE2LzIwMTMIAAAACjEwLzE2LzIwMTNbOFW5k3PVCDvgPEuXc9UINENJUS5OYXNkYXFHUzpJTlRDLklRX1RFVl9UT1RBTF9SRVZfRldELjYwMDAuMS81LzIwMTgBAAAAh1IAAAIAAAAQMy41MjMyNzUwMjc3NjIwOQENAAAABQAAAAE5AQAAAAcyNjIxMjk1AgAAAAgyNzUwMDE3NAMAAAAGMTAwMzA3BAAAAAEyBgAAAAEwBwAAAAMxNjAIAAAAATAJAAAAATEKAAAAATALAAAACzEwNjU4ODI2MzE3DAAAAAIxMg0AAAAIMS82LzIwMThbwGi5k3PVCBtoT0mXc9UII0NJUS5eU1BYLklRX0xBU1RTQUxFUFJJQ0UuMS8yOS8yMDE0AQAAAJu4KAACAAAAEDE3NzQuMjAyNzQ5OTk0MDIAG91Su5Nz1QjLzjtLl3PVCDZDSVEuTkFTREFRR1M6SU5UQy5JUV9URVZfRUJJVERBX0ZXRF9DSVEuNjAwMC41LzE3LzIwMTMBAAAAh1IAAAIAAAAQNS4zNjM2NjYzNjkyNjI3OAENAAAABQAAAAE5AQAAAAcyNjIxMjk1AgAAAAczODI5NzUxAwAAAAYxMDAzMDgEAAAAATIGAAAAATAHAAAAAzE2MAgAAAABMAkAAAABMQoAAAABMAsAAAAKNjk1NTQwNDU2OAwAAAACMTINAAAACTUvMTgvMjAx</t>
  </si>
  <si>
    <t>M4vuU7uTc9UI6+qMrpdz1Qg1Q0lRLk5hc2RhcUdTOklOVEMuSVFfVEVWX1RPVEFMX1JFVl9GV0QuNjAwMC4xLzIzLzIwMDkBAAAAh1IAAAIAAAAQMi4xMzc4NzExNjk2MjA1NgENAAAABQAAAAE5AQAAAAcyNjIxMjk1AgAAAAQxODg0AwAAAAYxMDAzMDcEAAAAATIGAAAAATAHAAAAAzE2MAgAAAABMAkAAAABMQoAAAABMAsAAAAJMzYwNzE1OTYzDAAAAAIxMg0AAAAJMS8yNC8yMDA5K0touZNz1QhbdVJJl3PVCChDSVEuTkFTREFRR1M6SU5UQy5JUV9QVEJWLjIwMDAuMS8yNS8yMDEzAQAAAIdSAAACAAAACDIuOTUzMzUyAQcAAAAFAAAAATEBAAAACjE1ODQ0ODYyNjADAAAAATACAAAABjEwMDAyOQQAAAABMAcAAAAJMS8yNS8yMDEzCAAAAAkxLzI1LzIwMTNLGLC7k3PVCOtjUUmXc9UINENJUS5OQVNEQVFHUzpJTlRDLklRX1RFVl9UT1RBTF9SRVZfRldELjYwMDAuOC8zLzIwMDEBAAAAh1IAAAIAAAAQNy40MTY4OTk4NDY5MzM1NQENAAAABQAAAAE5AQAAAAcyNjIxMjk1AgAAAAczNDIxMTYxAwAAAAYxMDAzMDcEAAAAATIGAAAAATAHAAAAAzE2MAgAAAABMAkAAAABMQoAAAABMAsAAAAKMTE2OTE1MjQ0OQwAAAACMTINAAAACDgvNC8yMDAxq9O7t5Nz1QiLeVBJl3PVCCNDSVEuXlNQWC5JUV9MQVNUU0FMRVBSSUNFLjExLzQvMjAxNQEAAACbuCgAAgAAABAyMTAyLjMxMzY4MTUwNTUxAAu2UruTc9UIC8Ut</t>
  </si>
  <si>
    <t>S5dz1QgfQ0lRLl5TUFguSVFfUFRCVi4yMDAwLjQvMTcvMjAxMwEAAACbuCgAAgAAAAg0LjgyMDY0MwBrX1W5k3PVCKvxPUuXc9UIL0NJUS5OQVNEQVFHUzpJTlRDLklRX1BFX0VYQ0xfRldELjYwMDAuOS8xMC8yMDA0AQAAAIdSAAACAAAAEDE4LjYxNTM4NDYxNTM4NDYBDQAAAAUAAAABOQEAAAAHMjYyMTI5NQIAAAAHMTc1NzE0NQMAAAAGMTAwMzA5BAAAAAEyBgAAAAEwBwAAAAMxNjAIAAAAATAJAAAAATEKAAAAATALAAAACjExNjkxNTY3MTcMAAAAAjEyDQAAAAk5LzExLzIwMDRribO9k3PVCIsITkmXc9UIL0NJUS5OQVNEQVFHUzpJTlRDLklRX1BSSUNFX1NBTEVTLjIwMDAuOC8xOC8yMDE3AQAAAIdSAAACAAAACDIuNjgxMTYzAQcAAAAFAAAAATEBAAAACjE4NTA2MTg2NjQDAAAAATACAAAABTM4OTU4BAAAAAEwBwAAAAk4LzE4LzIwMTcIAAAACTgvMTgvMjAxN+vRiLaTc9UIS/tKSZdz1Qg2Q0lRLk5BU0RBUUdTOklOVEMuSVFfVEVWX0VCSVREQV9GV0RfQ0lRLjYwMDAuMTEvMS8yMDEzAQAAAIdSAAACAAAAEDUuNTExMzk1NDc0Mzg4NTYBDQAAAAUAAAABOQEAAAAHMjYyMTI5NQIAAAAHMzgyOTc1MwMAAAAGMTAwMzA4BAAAAAEyBgAAAAEwBwAAAAMxNjAIAAAAATAJAAAAATEKAAAAATALAAAACjc2MTc1NzcyMTkMAAAAAjEyDQAAAAkxMS8yLzIwMTOL7lO7k3PVCOvqjK6Xc9UINUNJUS5OYXNkYXFH</t>
  </si>
  <si>
    <t>UzpJTlRDLklRX1RFVl9FQklUREFfRldEX0NJUS42MDAwLjEvOS8yMDA0AQAAAIdSAAACAAAAEDEyLjI3MTUwNDA5NTMzNTgBDQAAAAUAAAABOQEAAAAHMjYyMTI5NQIAAAAHMTc1NzE0MwMAAAAGMTAwMzA4BAAAAAEyBgAAAAEwBwAAAAMxNjAIAAAAATAJAAAAATEKAAAAATALAAAACjY4ODM3MDA1MjQMAAAAAjEyDQAAAAkxLzEwLzIwMDSrArG7k3PVCAs5ja6Xc9UINUNJUS5OYXNkYXFHUzpJTlRDLklRX1RFVl9FQklUREFfRldEX0NJUS42MDAwLjUvNC8yMDAxAQAAAIdSAAACAAAAEDIxLjI4NjM4MTM4Njg0MTQBDQAAAAUAAAABOQEAAAAHMjYyMTI5NQIAAAAHMzQyMTE2MAMAAAAGMTAwMzA4BAAAAAEyBgAAAAEwBwAAAAMxNjAIAAAAATAJAAAAATEKAAAAATALAAAACjExNjkxNTI0MzEMAAAAAjEyDQAAAAg1LzUvMjAwMasCsbuTc9UIu+aOrpdz1Qg1Q0lRLk5hc2RhcUdTOklOVEMuSVFfVEVWX1RPVEFMX1JFVl9GV0QuNjAwMC42LzI2LzIwMDkBAAAAh1IAAAIAAAAQMi42MzA0MjA4Njk2NTk3NQENAAAABQAAAAE5AQAAAAcyNjIxMjk1AgAAAAcxNzU3MTU5AwAAAAYxMDAzMDcEAAAAATIGAAAAATAHAAAAAzE2MAgAAAABMAkAAAABMQoAAAABMAsAAAAKNDg5MzkwNDg2OQwAAAACMTINAAAACTYvMjcvMjAwOZvbsLuTc9UI6/JOSZdz1QgwQ0lRLk5BU0RBUUdTOklOVEMuSVFfUEVfRVhDTF9GV0QuNjAw</t>
  </si>
  <si>
    <t>MC4xMS8xMC8yMDE3AQAAAIdSAAACAAAAEDE0LjA3MTgxMDA3MDY5ODcBDQAAAAUAAAABOQEAAAAHMjYyMTI5NQIAAAAIMjc1MDAxNzQDAAAABjEwMDMwOQQAAAABMgYAAAABMAcAAAADMTYwCAAAAAEwCQAAAAExCgAAAAEwCwAAAAsxMDY5ODM2MTEzNQwAAAACMTINAAAACjExLzExLzIwMTfLArK9k3PVCKvlS0mXc9UIJ0NJUS5eU1BYLklRX1BFX0VYQ0xfRldELjYwMDAuMTEvMTIvMjAxNAEAAACbuCgAAgAAAAkxNi4zMjgzMzMAa19VuZNz1QhrAjZLl3PVCDVDSVEuTmFzZGFxR1M6SU5UQy5JUV9URVZfRUJJVERBX0ZXRF9DSVEuNjAwMC45LzkvMjAxMQEAAACHUgAAAgAAABAzLjk4MzUyMTkyNDEwODIxAQ0AAAAFAAAAATkBAAAABzI2MjEyOTUCAAAABzE3NTcxNjYDAAAABjEwMDMwOAQAAAABMgYAAAABMAcAAAADMTYwCAAAAAEwCQAAAAExCgAAAAEwCwAAAAoxMzYwMjUyOTE1DAAAAAIxMg0AAAAJOS8xMC8yMDExqwKxu5Nz1Qjr6oyul3PVCC5DSVEuTkFTREFRR1M6SU5UQy5JUV9QUklDRV9TQUxFUy4yMDAwLjcvMS8yMDE2AQAAAIdSAAACAAAACDIuNzU2ODU4AQcAAAAFAAAAATEBAAAACjE3ODkxOTMzNDMDAAAAATACAAAABTM4OTU4BAAAAAEwBwAAAAg3LzEvMjAxNggAAAAINy8xLzIwMTb7jlK7k3PVCAuUVkmXc9UIL0NJUS5OQVNEQVFHUzpJTlRDLklRX1BSSUNFX1NBTEVTLjIwMDAuMTEvNy8y</t>
  </si>
  <si>
    <t>MDE0AQAAAIdSAAACAAAACDMuMDI0MzU2AQcAAAAFAAAAATEBAAAACjE3MDM2ODE4OTQDAAAAATACAAAABTM4OTU4BAAAAAEwBwAAAAkxMS83LzIwMTQIAAAACTExLzcvMjAxNOtnUruTc9UIm/NXSZdz1QgsQ0lRLl5TUFguSVFfVEVWX1RPVEFMX1JFVl9GV0QuNjAwMC43LzIzLzIwMTQBAAAAm7goAAIAAAAIMS44NjEzNzEAG91Su5Nz1Qg7/jdLl3PVCDZDSVEuTkFTREFRR1M6SU5UQy5JUV9URVZfRUJJVERBX0ZXRF9DSVEuNjAwMC40LzEzLzIwMTcBAAAAh1IAAAIAAAAQNy4xMjA5NzQ3MjgwMDk0NAENAAAABQAAAAE5AQAAAAcyNjIxMjk1AgAAAAoxMDAwOTQ0Mzg3AwAAAAYxMDAzMDgEAAAAATIGAAAAATAHAAAAAzE2MAgAAAABMAkAAAABMQoAAAABMAsAAAALMTAxMjQ0MTM0ODQMAAAAAjEyDQAAAAk0LzE0LzIwMTdLUlO7k3PVCItxjq6Xc9UIK0NJUS5OQVNEQVFHUzpJTlRDLklRX0xBU1RTQUxFUFJJQ0UuOS83LzIwMTYBAAAAh1IAAAIAAAAFMzYuNDYAy5GvvZNz1Qg7diRLl3PVCDVDSVEuTmFzZGFxR1M6SU5UQy5JUV9URVZfVE9UQUxfUkVWX0ZXRC42MDAwLjMvMTQvMjAwOAEAAACHUgAAAgAAABAyLjY0NDc0NTY3ODc5MTY0AQ0AAAAFAAAAATkBAAAABzI2MjEyOTUCAAAABDE4ODMDAAAABjEwMDMwNwQAAAABMgYAAAABMAcAAAADMTYwCAAAAAEwCQAAAAExCgAAAAEwCwAAAAkzNjA3MDAyNTMM</t>
  </si>
  <si>
    <t>AAAAAjEyDQAAAAkzLzE1LzIwMDjrrme5k3PVCEv7SkmXc9UIH0NJUS5eU1BYLklRX1BUQlYuMjAwMC43LzIzLzIwMTQBAAAAm7goAAIAAAAINS40MDE3NjUA62dSu5Nz1Qg7/jdLl3PVCC9DSVEuTkFTREFRR1M6SU5UQy5JUV9QRV9FWENMX0ZXRC42MDAwLjgvMTcvMjAwMQEAAACHUgAAAgAAABA1NC4xMjY1MTM2OTA3MDU4AQ0AAAAFAAAAATkBAAAABzI2MjEyOTUCAAAABzM0MjExNjEDAAAABjEwMDMwOQQAAAABMgYAAAABMAcAAAADMTYwCAAAAAEwCQAAAAExCgAAAAEwCwAAAAoxMTY5MTczMzU5DAAAAAIxMg0AAAAJOC8xOC8yMDAxi9ezvZNz1Qg7tk9Jl3PVCCJDSVEuXlNQWC5JUV9MQVNUU0FMRVBSSUNFLjIvMy8yMDE2AQAAAJu4KAACAAAAEDE5MTIuNTMzNjA3Njk2ODcAW09muZNz1Qj7LCtLl3PVCCdDSVEuXlNQWC5JUV9QRV9FWENMX0ZXRC42MDAwLjEyLzIxLzIwMTYBAAAAm7goAAIAAAAJMTcuODg0MTc5AOv+ubeTc9UIq8MbS5dz1QgwQ0lRLk5BU0RBUUdTOklOVEMuSVFfUEVfRVhDTF9GV0QuNjAwMC4xMS8xNC8yMDA4AQAAAIdSAAACAAAAEDE2LjcxMDU3NTgzNzQxMDYBDQAAAAUAAAABOQEAAAAHMjYyMTI5NQIAAAAHMTc1NzE1OAMAAAAGMTAwMzA5BAAAAAEyBgAAAAEwBwAAAAMxNjAIAAAAATAJAAAAATEKAAAAATALAAAACjg4NjQ0ODI5MjkMAAAAAjEyDQAAAAoxMS8xNS8yMDA4OxSz</t>
  </si>
  <si>
    <t>vZNz1Qib81dJl3PVCDRDSVEuTmFzZGFxR1M6SU5UQy5JUV9URVZfVE9UQUxfUkVWX0ZXRC42MDAwLjQvOC8yMDA1AQAAAIdSAAACAAAAEDMuMzgxMjU5NDE2NTgyOTQBDQAAAAUAAAABOQEAAAAHMjYyMTI5NQIAAAAEMTg4MAMAAAAGMTAwMzA3BAAAAAEyBgAAAAEwBwAAAAMxNjAIAAAAATAJAAAAATEKAAAAATALAAAACTM2MDY2NDUwOQwAAAACMTINAAAACDQvOS8yMDA1GyRouZNz1Qh7FlpJl3PVCCxDSVEuTkFTREFRR1M6SU5UQy5JUV9MQVNUU0FMRVBSSUNFLjUvMTgvMjAxNgEAAACHUgAAAgAAAAUyOS45OQDLka+9k3PVCFumKUuXc9UINUNJUS5OYXNkYXFHUzpJTlRDLklRX1RFVl9UT1RBTF9SRVZfRldELjYwMDAuMTEvNy8yMDE0AQAAAIdSAAACAAAAEDIuNzg1MzA0NzA4MDk1NTcBDQAAAAUAAAABOQEAAAAHMjYyMTI5NQIAAAAHNDQ1NjQyOQMAAAAGMTAwMzA3BAAAAAEyBgAAAAEwBwAAAAMxNjAIAAAAATAJAAAAATEKAAAAATALAAAACjg4NjQ0NDE3MzgMAAAAAjEyDQAAAAkxMS84LzIwMTTLYGe5k3PVCJsRU0mXc9UIJ0NJUS5OQVNEQVFHUzpJTlRDLklRX1BUQlYuMjAwMC4xLzYvMjAxMgEAAACHUgAAAgAAAAg0LjIzMjMxNQEHAAAABQAAAAExAQAAAAoxNDgwMjE1MzgxAwAAAAEwAgAAAAYxMDAwMjkEAAAAATAHAAAACDEvNi8yMDEyCAAAAAgxLzYvMjAxMtuqiLaTc9UIWyJLSZdz1Qg2Q0lR</t>
  </si>
  <si>
    <t>Lk5hc2RhcUdTOklOVEMuSVFfVEVWX0VCSVREQV9GV0RfQ0lRLjYwMDAuMS8yMy8yMDE1AQAAAIdSAAACAAAAEDcuMDE3NTA1NjY1MDQ2NzYBDQAAAAUAAAABOQEAAAAHMjYyMTI5NQIAAAAKMTAwMDA5NDA3MQMAAAAGMTAwMzA4BAAAAAEyBgAAAAEwBwAAAAMxNjAIAAAAATAJAAAAATEKAAAAATALAAAACjg1MTk0NjQ1ODkMAAAAAjEyDQAAAAkxLzI0LzIwMTWbhla7k3PVCNvDjK6Xc9UIMENJUS5OQVNEQVFHUzpJTlRDLklRX1BSSUNFX1NBTEVTLjIwMDAuMTIvMTcvMjAxNAEAAACHUgAAAgAAAAgzLjI2MzkyNgEHAAAABQAAAAExAQAAAAoxNzAzNjgxODk0AwAAAAEwAgAAAAUzODk1OAQAAAABMAcAAAAKMTIvMTcvMjAxNAgAAAAKMTIvMTcvMjAxNNvXubeTc9UIK2Y1S5dz1QguQ0lRLk5BU0RBUUdTOklOVEMuSVFfUEVfRVhDTF9GV0QuNjAwMC43LzYvMjAwNwEAAACHUgAAAgAAABAyMi4yNDQyNTQxNjg1NDQ0AQ0AAAAFAAAAATkBAAAABzI2MjEyOTUCAAAABzE3NTcxNTMDAAAABjEwMDMwOQQAAAABMgYAAAABMAcAAAADMTYwCAAAAAEwCQAAAAExCgAAAAEwCwAAAAsxMDM3ODU4NzQ0MAwAAAACMTINAAAACDcvNy8yMDA3i9ezvZNz1QirVk5Jl3PVCC9DSVEuTkFTREFRR1M6SU5UQy5JUV9QUklDRV9TQUxFUy4yMDAwLjcvMzEvMjAxMwEAAACHUgAAAgAAAAgyLjIxNzU0OQEHAAAABQAAAAExAQAAAAox</t>
  </si>
  <si>
    <t>NjI4NDM2ODQ5AwAAAAEwAgAAAAUzODk1OAQAAAABMAcAAAAJNy8zMS8yMDEzCAAAAAk3LzMxLzIwMTNLGLC7k3PVCGtVPUuXc9UIL0NJUS5OQVNEQVFHUzpJTlRDLklRX1BFX0VYQ0xfRldELjYwMDAuNy8zMS8yMDE1AQAAAIdSAAACAAAAEDEyLjk2MzQ2MDUwNTEwNDgBDQAAAAUAAAABOQEAAAAHMjYyMTI5NQIAAAAHODA2ODI2MQMAAAAGMTAwMzA5BAAAAAEyBgAAAAEwBwAAAAMxNjAIAAAAATAJAAAAATEKAAAAATALAAAACjg5NDc1MzE0MjkMAAAAAjEyDQAAAAg4LzEvMjAxNZv+s72Tc9UIexZaSZdz1QgoQ0lRLk5BU0RBUUdTOklOVEMuSVFfUFRCVi4yMDAwLjMvMTUvMjAxMwEAAACHUgAAAgAAAAgyLjk5NzI3NwEHAAAABQAAAAExAQAAAAoxNTg4MTU3NDYzAwAAAAEwAgAAAAYxMDAwMjkEAAAAATAHAAAACTMvMTUvMjAxMwgAAAAJMy8xNS8yMDEzu2qvvZNz1Qg7ellJl3PVCC9DSVEuTkFTREFRR1M6SU5UQy5JUV9QUklDRV9TQUxFUy4yMDAwLjMvMjUvMjAxNQEAAACHUgAAAgAAAAgyLjYyMTk5NQEHAAAABQAAAAExAQAAAAoxNzE4ODU5MjkxAwAAAAEwAgAAAAUzODk1OAQAAAABMAcAAAAJMy8yNS8yMDE1CAAAAAkzLzI1LzIwMTVLGLC7k3PVCOtYMkuXc9UIL0NJUS5OQVNEQVFHUzpJTlRDLklRX1BFX0VYQ0xfRldELjYwMDAuMS8xNS8yMDE2AQAAAIdSAAACAAAAEDEyLjY5MDIzNjI3ODg5NTIB</t>
  </si>
  <si>
    <t>DQAAAAUAAAABOQEAAAAHMjYyMTI5NQIAAAAKMTAwMDkxNTQwMgMAAAAGMTAwMzA5BAAAAAEyBgAAAAEwBwAAAAMxNjAIAAAAATAJAAAAATEKAAAAATALAAAACjkyMzMxNjM5MjcMAAAAAjEyDQAAAAkxLzE2LzIwMTbrULK9k3PVCIs9WkmXc9UIL0NJUS5OQVNEQVFHUzpJTlRDLklRX1BSSUNFX1NBTEVTLjIwMDAuOS8xNi8yMDE2AQAAAIdSAAACAAAACDMuMTQ2OTI5AQcAAAAFAAAAATEBAAAACjE4MDEyOTQ1MDEDAAAAATACAAAABTM4OTU4BAAAAAEwBwAAAAk5LzE2LzIwMTYIAAAACTkvMTYvMjAxNrtqr72Tc9UIGyxZSZdz1Qg2Q0lRLk5hc2RhcUdTOklOVEMuSVFfVEVWX1RPVEFMX1JFVl9GV0QuNjAwMC4xMi8xNy8yMDEwAQAAAIdSAAACAAAADzIuMjk0Nzc1MDE2NTgzMwENAAAABQAAAAE5AQAAAAcyNjIxMjk1AgAAAAcxNzU3MTY0AwAAAAYxMDAzMDcEAAAAATIGAAAAATAHAAAAAzE2MAgAAAABMAkAAAABMQoAAAABMAsAAAAKODg2NDQyMTExMgwAAAACMTINAAAACjEyLzE4LzIwMTDbcFa5k3PVCJugUEmXc9UINkNJUS5OQVNEQVFHUzpJTlRDLklRX1RFVl9FQklUREFfRldEX0NJUS42MDAwLjExLzIvMjAwNwEAAACHUgAAAgAAABA4LjkyMTYyNjY3MzA5NjY5AQ0AAAAFAAAAATkBAAAABzI2MjEyOTUCAAAABzE3NTcxNTUDAAAABjEwMDMwOAQAAAABMgYAAAABMAcAAAADMTYwCAAAAAEwCQAAAAEx</t>
  </si>
  <si>
    <t>CgAAAAEwCwAAAAoxMTY5MTM5NTMzDAAAAAIxMg0AAAAJMTEvMy8yMDA3+/9Uu5Nz1Qg7ro2ul3PVCChDSVEuTkFTREFRR1M6SU5UQy5JUV9QVEJWLjIwMDAuMTIvNC8yMDE1AQAAAIdSAAACAAAACDMuOTI5NzYxAQcAAAAFAAAAATEBAAAACjE3NjE3MDY4MjcDAAAAATACAAAABjEwMDAyOQQAAAABMAcAAAAJMTIvNC8yMDE1CAAAAAkxMi80LzIwMTVLGLC7k3PVCJugUEmXc9UIL0NJUS5OQVNEQVFHUzpJTlRDLklRX1BSSUNFX1NBTEVTLjIwMDAuMy8yMy8yMDE2AQAAAIdSAAACAAAACDIuNzQxMjg4AQcAAAAFAAAAATEBAAAACjE3NzU5MzMxNDADAAAAATACAAAABTM4OTU4BAAAAAEwBwAAAAkzLzIzLzIwMTYIAAAACTMvMjMvMjAxNksRVbmTc9UI294qS5dz1Qg1Q0lRLk5hc2RhcUdTOklOVEMuSVFfVEVWX1RPVEFMX1JFVl9GV0QuNjAwMC40LzE2LzIwMTABAAAAh1IAAAIAAAAQMi43MTM0OTM1MTg4NjgwOQENAAAABQAAAAE5AQAAAAcyNjIxMjk1AgAAAAcxNzU3MTYyAwAAAAYxMDAzMDcEAAAAATIGAAAAATAHAAAAAzE2MAgAAAABMAkAAAABMQoAAAABMAsAAAAKODg2Mzg0NDE2OAwAAAACMTINAAAACTQvMTcvMjAxMMshvLeTc9UI249YSZdz1QgoQ0lRLk5BU0RBUUdTOklOVEMuSVFfUFRCVi4yMDAwLjYvMTIvMjAxNQEAAACHUgAAAgAAAAgzLjcxNzkxMgEHAAAABQAAAAExAQAAAAoxNzMwNzYyNzU1</t>
  </si>
  <si>
    <t>AwAAAAEwAgAAAAYxMDAwMjkEAAAAATAHAAAACTYvMTIvMjAxNQgAAAAJNi8xMi8yMDE1u2qvvZNz1QjrtlhJl3PVCDZDSVEuTkFTREFRR1M6SU5UQy5JUV9URVZfRUJJVERBX0ZXRF9DSVEuNjAwMC43LzI3LzIwMDEBAAAAh1IAAAIAAAAQMjAuMzU5NzMwMzcyNzU0MQENAAAABQAAAAE5AQAAAAcyNjIxMjk1AgAAAAczNDIxMTYxAwAAAAYxMDAzMDgEAAAAATIGAAAAATAHAAAAAzE2MAgAAAABMAkAAAABMQoAAAABMAsAAAAKMTE2OTE1MjUyNwwAAAACMTINAAAACTcvMjgvMjAwMWsRVruTc9UICzmNrpdz1QgsQ0lRLl5TUFguSVFfVEVWX1RPVEFMX1JFVl9GV0QuNjAwMC42LzE0LzIwMTcBAAAAm7goAAIAAAAIMi4yMjk4MDcAm+tmuZNz1Qjbkg1Ll3PVCC9DSVEuTkFTREFRR1M6SU5UQy5JUV9QUklDRV9TQUxFUy4yMDAwLjcvMzAvMjAxNAEAAACHUgAAAgAAAAgzLjE3MTA5MgEHAAAABQAAAAExAQAAAAoxNjg4MDgwOTkyAwAAAAEwAgAAAAUzODk1OAQAAAABMAcAAAAJNy8zMC8yMDE0CAAAAAk3LzMwLzIwMTQLtlK7k3PVCDv+N0uXc9UIIkNJUS5eU1BYLklRX0xBU1RTQUxFUFJJQ0UuNS83LzIwMTQBAAAAm7goAAIAAAAPMTg3OC4yMDc3MTgwMzU5AEsoZrmTc9UIuzY5S5dz1QgrQ0lRLk5BU0RBUUdTOklOVEMuSVFfTEFTVFNBTEVQUklDRS41LzYvMjAxNQEAAACHUgAAAgAAAAUzMi4yMgBLKGa5k3PV</t>
  </si>
  <si>
    <t>CLvjMUuXc9UILkNJUS5eU1BYLklRX1RFVl9FQklUREFfRldEX0NJUS42MDAwLjEyLzIwLzIwMTcBAAAAm7goAAIAAAAJMTAuNzk1MzAzABvdUruTc9UIS2bFSpdz1QgeQ0lRLl5TUFguSVFfUFRCVi4yMDAwLjQvNi8yMDE2AQAAAJu4KAACAAAACDYuOTcxMTkxAOtnUruTc9UIq2kqS5dz1QgfQ0lRLl5TUFguSVFfUFRCVi4yMDAwLjMvMjYvMjAxNAEAAACbuCgAAgAAAAg1LjI0ODUxNgDLka+9k3PVCIsyO0uXc9UIIkNJUS5eU1BYLklRX0xBU1RTQUxFUFJJQ0UuNy85LzIwMTQBAAAAm7goAAIAAAAQMTk3Mi44MzMwOTIzNTk0NwBbP7C7k3PVCDv+N0uXc9UIL0NJUS5OQVNEQVFHUzpJTlRDLklRX1BSSUNFX1NBTEVTLjIwMDAuMS8zMS8yMDE0AQAAAIdSAAACAAAACDIuMzEzOTUyAQcAAAAFAAAAATEBAAAACjE2NTM4MTkzMzQDAAAAATACAAAABTM4OTU4BAAAAAEwBwAAAAkxLzMxLzIwMTQIAAAACTEvMzEvMjAxNNvXubeTc9UIi5dLSZdz1Qg1Q0lRLk5hc2RhcUdTOklOVEMuSVFfVEVWX1RPVEFMX1JFVl9GV0QuNjAwMC4zLzExLzIwMTYBAAAAh1IAAAIAAAAQMi40OTQ3MTI0MjczMzM5OQENAAAABQAAAAE5AQAAAAcyNjIxMjk1AgAAAAoxMDAwOTE1NDAyAwAAAAYxMDAzMDcEAAAAATIGAAAAATAHAAAAAzE2MAgAAAABMAkAAAABMQoAAAABMAsAAAAKOTM0NTIyOTE4MwwAAAACMTINAAAACTMvMTIvMjAx</t>
  </si>
  <si>
    <t>NvtwV7uTc9UIu9BVSZdz1QgtQ0lRLl5TUFguSVFfVEVWX0VCSVREQV9GV0RfQ0lRLjYwMDAuNi8xOS8yMDEzAQAAAJu4KAACAAAACDguMTQzNTc4AGtfVbmTc9UIi6M9S5dz1QgnQ0lRLl5TUFguSVFfUEVfRVhDTF9GV0QuNjAwMC4xMi8xMy8yMDE3AQAAAJu4KAACAAAACTE4Ljk0NzEwNwDbuK+9k3PVCDsRo0qXc9UINkNJUS5OYXNkYXFHUzpJTlRDLklRX1RFVl9FQklUREFfRldEX0NJUS42MDAwLjYvMjYvMjAxNQEAAACHUgAAAgAAABA2LjExNjI4Mjk0ODY5MTY5AQ0AAAAFAAAAATkBAAAABzI2MjEyOTUCAAAABzgwNjgyNjADAAAABjEwMDMwOAQAAAABMgYAAAABMAcAAAADMTYwCAAAAAEwCQAAAAExCgAAAAEwCwAAAAo5MDkwMTY4NzkxDAAAAAIxMg0AAAAJNi8yNy8yMDE123exu5Nz1Qhb/I2ul3PVCDVDSVEuTkFTREFRR1M6SU5UQy5JUV9URVZfVE9UQUxfUkVWX0ZXRC42MDAwLjEvMjQvMjAxOAEAAACHUgAAAgAAABAzLjU4MDM4NjY2Nzk3NjAxAQ0AAAAFAAAAATkBAAAABzI2MjEyOTUCAAAACDI3NTAwMTc0AwAAAAYxMDAzMDcEAAAAATIGAAAAATAHAAAAAzE2MAgAAAABMAkAAAABMQoAAAABMAsAAAALMTA2OTg4NjI1NTYMAAAAAjEyDQAAAAkxLzI1LzIwMTgrS2i5k3PVCCtLaLmTc9UIMENJUS5OQVNEQVFHUzpJTlRDLklRX1BFX0VYQ0xfRldELjYwMDAuMTIvMTAvMjAxMAEAAACHUgAAAgAA</t>
  </si>
  <si>
    <t>ABAxMS41NjI2MTU0NDE0NDgxAQ0AAAAFAAAAATkBAAAABzI2MjEyOTUCAAAABzE3NTcxNjQDAAAABjEwMDMwOQQAAAABMgYAAAABMAcAAAADMTYwCAAAAAEwCQAAAAExCgAAAAEwCwAAAAo4ODYzODQ1MzI2DAAAAAIxMg0AAAAKMTIvMTEvMjAxMCvtsr2Tc9UIexZaSZdz1QgvQ0lRLk5BU0RBUUdTOklOVEMuSVFfUEVfRVhDTF9GV0QuNjAwMC44LzE1LzIwMDMBAAAAh1IAAAIAAAAQMzEuMDc5NDA0NDY2NTAxMgENAAAABQAAAAE5AQAAAAcyNjIxMjk1AgAAAAcxNzU3MTQyAwAAAAYxMDAzMDkEAAAAATIGAAAAATAHAAAAAzE2MAgAAAABMAkAAAABMQoAAAABMAsAAAAKNjgzMTQ0MTk0NwwAAAACMTINAAAACTgvMTYvMjAwM3uws72Tc9UIu19TSZdz1QgmQ0lRLl5TUFguSVFfUEVfRVhDTF9GV0QuNjAwMC4yLzIwLzIwMTMBAAAAm7goAAIAAAAJMTMuNjEyMjMzAGtfVbmTc9UIuxg+S5dz1Qg2Q0lRLk5BU0RBUUdTOklOVEMuSVFfVEVWX0VCSVREQV9GV0RfQ0lRLjYwMDAuNy8xNC8yMDE3AQAAAIdSAAACAAAAEDYuOTYyNzU1MDkzMzU1ODIBDQAAAAUAAAABOQEAAAAHMjYyMTI5NQIAAAAIMjc1MDAxNzIDAAAABjEwMDMwOAQAAAABMgYAAAABMAcAAAADMTYwCAAAAAEwCQAAAAExCgAAAAEwCwAAAAsxMDM5OTEzODczOQwAAAACMTINAAAACTcvMTUvMjAxNzsrU7uTc9UI61uPrpdz1QgfQ0lRLl5TUFguSVFf</t>
  </si>
  <si>
    <t>UFRCVi4yMDAwLjgvMTIvMjAxNQEAAACbuCgAAgAAAAg2LjMzODMzNgDrZ1K7k3PVCPsOMEuXc9UII0NJUS5eU1BYLklRX0xBU1RTQUxFUFJJQ0UuOS8xOC8yMDEzAQAAAJu4KAACAAAAEDE3MjUuNTIzODQ5NzYzNjQAy5GvvZNz1QhLBz1Ll3PVCC5DSVEuTmFzZGFxR1M6SU5UQy5JUV9QRV9FWENMX0ZXRC42MDAwLjUvOC8yMDA5AQAAAIdSAAACAAAAEDI1Ljg5NzY5NjQ3Njk2NDgBDQAAAAUAAAABOQEAAAAHMjYyMTI5NQIAAAAHMTc1NzE1OQMAAAAGMTAwMzA5BAAAAAEyBgAAAAEwBwAAAAMxNjAIAAAAATAJAAAAATEKAAAAATALAAAACjg4NjM2MTMwMzYMAAAAAjEyDQAAAAg1LzkvMjAwObtMtL2Tc9UIe1JQSZdz1QgvQ0lRLk5BU0RBUUdTOklOVEMuSVFfUEVfRVhDTF9GV0QuNjAwMC4xLzI4LzIwMTEBAAAAh1IAAAIAAAAQMTAuMjE1MzAyMDA4MzExMgENAAAABQAAAAE5AQAAAAcyNjIxMjk1AgAAAAQxODg2AwAAAAYxMDAzMDkEAAAAATIGAAAAATAHAAAAAzE2MAgAAAABMAkAAAABMQoAAAABMAsAAAAKNTc0Nzg5MjQ0MwwAAAACMTINAAAACTEvMjkvMjAxMSvtsr2Tc9UIG0pUSZdz1QgvQ0lRLk5BU0RBUUdTOklOVEMuSVFfUEVfRVhDTF9GV0QuNjAwMC42LzIxLzIwMDIBAAAAh1IAAAIAAAAQMjkuMTc0NDU0ODI4NjYwNAENAAAABQAAAAE5AQAAAAcyNjIxMjk1AgAAAAcxNzU3MTM4AwAAAAYxMDAz</t>
  </si>
  <si>
    <t>MDkEAAAAATIGAAAAATAHAAAAAzE2MAgAAAABMAkAAAABMQoAAAABMAsAAAAKODg2MDUwMjAyMAwAAAACMTINAAAACTYvMjIvMjAwMnuws72Tc9UI+4pRSZdz1QgwQ0lRLk5BU0RBUUdTOklOVEMuSVFfUFJJQ0VfU0FMRVMuMjAwMC4xMi8yMC8yMDEzAQAAAIdSAAACAAAACDIuMzc3Nzg2AQcAAAAFAAAAATEBAAAACjE2NDI0ODM3OTIDAAAAATACAAAABTM4OTU4BAAAAAEwBwAAAAoxMi8yMC8yMDEzCAAAAAoxMi8yMC8yMDEz+45Su5Nz1Qib81dJl3PVCCdDSVEuTkFTREFRR1M6SU5UQy5JUV9QVEJWLjIwMDAuNC84LzIwMTEBAAAAh1IAAAIAAAAIMi41MDUyODQBBwAAAAUAAAABMQEAAAAKMTQzMDYyNDUwOQMAAAABMAIAAAAGMTAwMDI5BAAAAAEwBwAAAAg0LzgvMjAxMQgAAAAINC84LzIwMTFLGLC7k3PVCKvHUEmXc9UINUNJUS5OYXNkYXFHUzpJTlRDLklRX1RFVl9UT1RBTF9SRVZfRldELjYwMDAuNy8yOS8yMDE2AQAAAIdSAAACAAAAEDIuOTc5Mjc4NjEwNzcxMDgBDQAAAAUAAAABOQEAAAAHMjYyMTI5NQIAAAAIMjcwMDM2NTIDAAAABjEwMDMwNwQAAAABMgYAAAABMAcAAAADMTYwCAAAAAEwCQAAAAExCgAAAAEwCwAAAAo5NjM5OTM0OTkyDAAAAAIxMg0AAAAJNy8zMC8yMDE223exu5Nz1QiL6lJJl3PVCC9DSVEuTkFTREFRR1M6SU5UQy5JUV9QUklDRV9TQUxFUy4yMDAwLjcvMTAvMjAxNQEAAACH</t>
  </si>
  <si>
    <t>UgAAAgAAAAgyLjUyNzY1NAEHAAAABQAAAAExAQAAAAoxNzMwNzYyNzU1AwAAAAEwAgAAAAUzODk1OAQAAAABMAcAAAAJNy8xMC8yMDE1CAAAAAk3LzEwLzIwMTX7jlK7k3PVCGt+V0mXc9UINkNJUS5OYXNkYXFHUzpJTlRDLklRX1RFVl9FQklUREFfRldEX0NJUS42MDAwLjEvMTMvMjAxNwEAAACHUgAAAgAAABA3LjgxOTU0NDk0NDkxMDczAQ0AAAAFAAAAATkBAAAABzI2MjEyOTUCAAAACDI3MDAzNjUzAwAAAAYxMDAzMDgEAAAAATIGAAAAATAHAAAAAzE2MAgAAAABMAkAAAABMQoAAAABMAsAAAAKOTkyNTQ2ODU2OAwAAAACMTINAAAACTEvMTQvMjAxN5uGVruTc9UIG2CNrpdz1Qg2Q0lRLk5BU0RBUUdTOklOVEMuSVFfVEVWX0VCSVREQV9GV0RfQ0lRLjYwMDAuMy8zMC8yMDA3AQAAAIdSAAACAAAAEDcuNzExMDM4ODUzODIzMjQBDQAAAAUAAAABOQEAAAAHMjYyMTI5NQIAAAAEMTg4MgMAAAAGMTAwMzA4BAAAAAEyBgAAAAEwBwAAAAMxNjAIAAAAATAJAAAAATEKAAAAATALAAAACTM2MDY4ODMzOAwAAAACMTINAAAACTMvMzEvMjAwN/v/VLuTc9UI+xGNrpdz1QgnQ0lRLl5TUFguSVFfUEVfRVhDTF9GV0QuNjAwMC4xMS8yNy8yMDEzAQAAAJu4KAACAAAACTE1LjQ4NTc1OQBrX1W5k3PVCBuSPEuXc9UILENJUS5OQVNEQVFHUzpJTlRDLklRX0xBU1RTQUxFUFJJQ0UuNC8yMy8yMDE0AQAAAIdSAAACAAAA</t>
  </si>
  <si>
    <t>BTI2Ljc1AOv+ubeTc9UIC/o5S5dz1QgrQ0lRLl5TUFguSVFfVEVWX1RPVEFMX1JFVl9GV0QuNjAwMC40LzYvMjAxNgEAAACbuCgAAgAAAAgyLjA1ODYwMwCb62a5k3PVCKtpKkuXc9UII0NJUS5eU1BYLklRX0xBU1RTQUxFUFJJQ0UuMy8zMC8yMDE2AQAAAJu4KAACAAAAEDIwNjMuOTQ1NTczMTgxMDIAy5GvvZNz1QibQipLl3PVCCxDSVEuXlNQWC5JUV9URVZfRUJJVERBX0ZXRF9DSVEuNjAwMC4yLzMvMjAxNgEAAACbuCgAAgAAAAg5LjM1NDE5NwD7Jbq3k3PVCDvJK0uXc9UINUNJUS5OYXNkYXFHUzpJTlRDLklRX1RFVl9UT1RBTF9SRVZfRldELjYwMDAuOC8yMC8yMDA0AQAAAIdSAAACAAAAEDMuMzM1MTY5NDI2OTQ3OTIBDQAAAAUAAAABOQEAAAAHMjYyMTI5NQIAAAAHMTc1NzE0NQMAAAAGMTAwMzA3BAAAAAEyBgAAAAEwBwAAAAMxNjAIAAAAATAJAAAAATEKAAAAATALAAAACjExNjkxMjg3NzEMAAAAAjEyDQAAAAk4LzIxLzIwMDSrJbS9k3PVCNvLTkmXc9UINkNJUS5OYXNkYXFHUzpJTlRDLklRX1RFVl9FQklUREFfRldEX0NJUS42MDAwLjExLzkvMjAxMgEAAACHUgAAAgAAABA0LjY3Mzk4NzkwMDgzNTY5AQ0AAAAFAAAAATkBAAAABzI2MjEyOTUCAAAABzE3NTcxNzADAAAABjEwMDMwOAQAAAABMgYAAAABMAcAAAADMTYwCAAAAAEwCQAAAAExCgAAAAEwCwAAAAo4MTcxNTc0MjM1DAAAAAIxMg0A</t>
  </si>
  <si>
    <t>AAAKMTEvMTAvMjAxMsv7VruTc9UIS9WNrpdz1QgrQ0lRLk5BU0RBUUdTOklOVEMuSVFfTEFTVFNBTEVQUklDRS4yLzgvMjAxNwEAAACHUgAAAgAAAAUzNi4zOABLKGa5k3PVCAs9GkuXc9UIJkNJUS5eU1BYLklRX1BFX0VYQ0xfRldELjYwMDAuMTIvMy8yMDE0AQAAAJu4KAACAAAACTE2Ljc0NTgyMwDr36+9k3PVCCtmNUuXc9UINkNJUS5OYXNkYXFHUzpJTlRDLklRX1RFVl9FQklUREFfRldEX0NJUS42MDAwLjEvMTQvMjAxMQEAAACHUgAAAgAAABA0LjY1NTA5MTI1Nzg1MTY4AQ0AAAAFAAAAATkBAAAABzI2MjEyOTUCAAAABDE4ODYDAAAABjEwMDMwOAQAAAABMgYAAAABMAcAAAADMTYwCAAAAAEwCQAAAAExCgAAAAEwCwAAAAo1NzQ4ODE1MTgwDAAAAAIxMg0AAAAJMS8xNS8yMDEx+8Wxu5Nz1QhrI46ul3PVCDVDSVEuTmFzZGFxR1M6SU5UQy5JUV9URVZfVE9UQUxfUkVWX0ZXRC42MDAwLjEyLzEvMjAxNwEAAACHUgAAAgAAABAzLjUxOTUyMjM3MjczMzMyAQ0AAAAFAAAAATkBAAAABzI2MjEyOTUCAAAACDI3NTAwMTc0AwAAAAYxMDAzMDcEAAAAATIGAAAAATAHAAAAAzE2MAgAAAABMAkAAAABMQoAAAABMAsAAAALMTA2MTU5MDMzODkMAAAAAjEyDQAAAAkxMi8yLzIwMTf7xbG7k3PVCHtSUEmXc9UIKENJUS5OQVNEQVFHUzpJTlRDLklRX1BUQlYuMjAwMC4xMi85LzIwMTEBAAAAh1IAAAIAAAAINC4x</t>
  </si>
  <si>
    <t>OTIwODcBBwAAAAUAAAABMQEAAAAKMTQ4MDIxNTM4MQMAAAABMAIAAAAGMTAwMDI5BAAAAAEwBwAAAAkxMi85LzIwMTEIAAAACTEyLzkvMjAxMXudZrmTc9UI69RTSZdz1QgsQ0lRLk5BU0RBUUdTOklOVEMuSVFfTEFTVFNBTEVQUklDRS4xLzEzLzIwMTYBAAAAh1IAAAIAAAAFMzEuOTEASyhmuZNz1QhrPixLl3PVCCxDSVEuTkFTREFRR1M6SU5UQy5JUV9MQVNUU0FMRVBSSUNFLjcvMTUvMjAxNQEAAACHUgAAAgAAAAUyOS42OQBbP7C7k3PVCDurMEuXc9UIL0NJUS5OQVNEQVFHUzpJTlRDLklRX1BFX0VYQ0xfRldELjYwMDAuNS8xOS8yMDA2AQAAAIdSAAACAAAAEDE5LjMzNDQ1NjYxMzMxMDkBDQAAAAUAAAABOQEAAAAHMjYyMTI5NQIAAAAHMTc1NzE1MAMAAAAGMTAwMzA5BAAAAAEyBgAAAAEwBwAAAAMxNjAIAAAAATAJAAAAATEKAAAAATALAAAACjQ4OTg2MDY4MTQMAAAAAjEyDQAAAAk1LzIwLzIwMDZbYrO9k3PVCJsvTkmXc9UIKENJUS5OQVNEQVFHUzpJTlRDLklRX1BUQlYuMjAwMC40LzE5LzIwMTMBAAAAh1IAAAIAAAAIMy4xMTYxOTQBBwAAAAUAAAABMQEAAAAKMTYwMzg5NzYzNQMAAAABMAIAAAAGMTAwMDI5BAAAAAEwBwAAAAk0LzE5LzIwMTMIAAAACTQvMTkvMjAxM2t2ZrmTc9UIG0pUSZdz1QgvQ0lRLk5BU0RBUUdTOklOVEMuSVFfUFJJQ0VfU0FMRVMuMjAwMC45LzIxLzIwMTIBAAAAh1IA</t>
  </si>
  <si>
    <t>AAIAAAAIMi4xNTE0NjgBBwAAAAUAAAABMQEAAAAKMTU1NzIxNjI0NgMAAAABMAIAAAAFMzg5NTgEAAAAATAHAAAACTkvMjEvMjAxMggAAAAJOS8yMS8yMDEyWzhVuZNz1Qh74U1Jl3PVCChDSVEuTkFTREFRR1M6SU5UQy5JUV9QVEJWLjIwMDAuOC8xNi8yMDEzAQAAAIdSAAACAAAACDIuODU2NDMzAQcAAAAFAAAAATEBAAAACjE2Mjg0MzY4NDkDAAAAATACAAAABjEwMDAyOQQAAAABMAcAAAAJOC8xNi8yMDEzCAAAAAk4LzE2LzIwMTP7jlK7k3PVCIvMV0mXc9UIJkNJUS5eU1BYLklRX1BFX0VYQ0xfRldELjYwMDAuMTAvOS8yMDEzAQAAAJu4KAACAAAACTE0LjQ5NjM0MwBrX1W5k3PVCDvgPEuXc9UINUNJUS5OYXNkYXFHUzpJTlRDLklRX1RFVl9UT1RBTF9SRVZfRldELjYwMDAuNi8yMi8yMDEyAQAAAIdSAAACAAAAEDIuMTg5NzU4MjIzMzcxNTIBDQAAAAUAAAABOQEAAAAHMjYyMTI5NQIAAAAHMTc1NzE2OAMAAAAGMTAwMzA3BAAAAAEyBgAAAAEwBwAAAAMxNjAIAAAAATAJAAAAATEKAAAAATALAAAACjE0MTY0NzgxNTIMAAAAAjEyDQAAAAk2LzIzLzIwMTJ7hlW5k3PVCPuKUUmXc9UIL0NJUS5OQVNEQVFHUzpJTlRDLklRX1BSSUNFX1NBTEVTLjIwMDAuNC8yMS8yMDE3AQAAAIdSAAACAAAACDIuODkyNzgxAQcAAAAFAAAAATEBAAAACjE4MjgxNzQxMjIDAAAAATACAAAABTM4OTU4BAAAAAEwBwAAAAk0</t>
  </si>
  <si>
    <t>LzIxLzIwMTcIAAAACTQvMjEvMjAxNzvqVLmTc9UIS91PSZdz1QgvQ0lRLk5BU0RBUUdTOklOVEMuSVFfUEVfRVhDTF9GV0QuNjAwMC43LzE5LzIwMDIBAAAAh1IAAAIAAAAQMjcuODM1ODIwODk1NTIyNAENAAAABQAAAAE5AQAAAAcyNjIxMjk1AgAAAAcxNzU3MTM5AwAAAAYxMDAzMDkEAAAAATIGAAAAATAHAAAAAzE2MAgAAAABMAkAAAABMQoAAAABMAsAAAAKOTA5MDY4ODEwMAwAAAACMTINAAAACTcvMjAvMjAwMnuws72Tc9UIi8xXSZdz1QgsQ0lRLl5TUFguSVFfVEVWX1RPVEFMX1JFVl9GV0QuNjAwMC42LzE5LzIwMTMBAAAAm7goAAIAAAAIMS42MzA5MzEAqxJnuZNz1QiLoz1Ll3PVCDdDSVEuTkFTREFRR1M6SU5UQy5JUV9URVZfRUJJVERBX0ZXRF9DSVEuNjAwMC4xMC8zMC8yMDA5AQAAAIdSAAACAAAAEDUuOTQ4MzEyOTc2Njg0MTgBDQAAAAUAAAABOQEAAAAHMjYyMTI5NQIAAAAHMTc1NzE2MQMAAAAGMTAwMzA4BAAAAAEyBgAAAAEwBwAAAAMxNjAIAAAAATAJAAAAATEKAAAAATALAAAACjgxNzI0MDQwMDQMAAAAAjEyDQAAAAoxMC8zMS8yMDA5y4pUu5Nz1Qgrh42ul3PVCDRDSVEuTmFzZGFxR1M6SU5UQy5JUV9URVZfVE9UQUxfUkVWX0ZXRC42MDAwLjQvNS8yMDA3AQAAAIdSAAACAAAAEDIuNzY2NjI2Mjk2MzcxMjUBDQAAAAUAAAABOQEAAAAHMjYyMTI5NQIAAAAEMTg4MgMAAAAGMTAwMzA3</t>
  </si>
  <si>
    <t>BAAAAAEyBgAAAAEwBwAAAAMxNjAIAAAAATAJAAAAATEKAAAAATALAAAACTM2MDY4NTQ2NwwAAAACMTINAAAACDQvNi8yMDA3GyRouZNz1QhbyFlJl3PVCC1DSVEuXlNQWC5JUV9URVZfRUJJVERBX0ZXRF9DSVEuNjAwMC4zLzE2LzIwMTYBAAAAm7goAAIAAAAJMTAuMDAzOTEzANu4r72Tc9UI6wUrS5dz1Qg1Q0lRLk5hc2RhcUdTOklOVEMuSVFfVEVWX0VCSVREQV9GV0RfQ0lRLjYwMDAuNy8zLzIwMDMBAAAAh1IAAAIAAAAQMTEuNDkxMTg0NzQyNzY4OQENAAAABQAAAAE5AQAAAAcyNjIxMjk1AgAAAAcxNzU3MTQxAwAAAAYxMDAzMDgEAAAAATIGAAAAATAHAAAAAzE2MAgAAAABMAkAAAABMQoAAAABMAsAAAAKMTE2OTEyNjk5MAwAAAACMTINAAAACDcvNC8yMDAz23exu5Nz1QjrW4+ul3PVCCtDSVEuXlNQWC5JUV9URVZfVE9UQUxfUkVWX0ZXRC42MDAwLjEvNi8yMDE2AQAAAJu4KAACAAAACDEuOTY5MjA2AJvrZrmTc9UIq9osS5dz1QgvQ0lRLk5BU0RBUUdTOklOVEMuSVFfUEVfRVhDTF9GV0QuNjAwMC44LzEzLzIwMTABAAAAh1IAAAIAAAAQOS4zMDQ2OTg1MDgzMzI5MwENAAAABQAAAAE5AQAAAAcyNjIxMjk1AgAAAAcxNzU3MTYzAwAAAAYxMDAzMDkEAAAAATIGAAAAATAHAAAAAzE2MAgAAAABMAkAAAABMQoAAAABMAsAAAAKODg2Mzg0NjgzNwwAAAACMTINAAAACTgvMTQvMjAxMCvtsr2Tc9UIGyxZ</t>
  </si>
  <si>
    <t>SZdz1QgwQ0lRLk5BU0RBUUdTOklOVEMuSVFfUEVfRVhDTF9GV0QuNjAwMC4xMi8yNC8yMDA5AQAAAIdSAAACAAAAEDEzLjgxODY1MTQ0MTAwMDUBDQAAAAUAAAABOQEAAAAHMjYyMTI5NQIAAAAHMTc1NzE2MQMAAAAGMTAwMzA5BAAAAAEyBgAAAAEwBwAAAAMxNjAIAAAAATAJAAAAATEKAAAAATALAAAACjkwOTAzNzk4MDAMAAAAAjEyDQAAAAoxMi8yNS8yMDA5m/6zvZNz1QjrRVZJl3PVCCtDSVEuTkFTREFRR1M6SU5UQy5JUV9MQVNUU0FMRVBSSUNFLjgvNi8yMDE0AQAAAIdSAAACAAAABjMyLjg0NQArw1S5k3PVCCvXN0uXc9UINENJUS5OYXNkYXFHUzpJTlRDLklRX1RFVl9UT1RBTF9SRVZfRldELjYwMDAuOC83LzIwMDkBAAAAh1IAAAIAAAAQMi43MjI3NzAxNzUxOTE5NgENAAAABQAAAAE5AQAAAAcyNjIxMjk1AgAAAAcxNzU3MTYwAwAAAAYxMDAzMDcEAAAAATIGAAAAATAHAAAAAzE2MAgAAAABMAkAAAABMQoAAAABMAsAAAAKODg2NDIxMTMzOAwAAAACMTINAAAACDgvOC8yMDA5y0lWuZNz1QibvktJl3PVCDVDSVEuTmFzZGFxR1M6SU5UQy5JUV9URVZfVE9UQUxfUkVWX0ZXRC42MDAwLjMvMjYvMjAxMAEAAACHUgAAAgAAABAyLjc0MTc2MjIzOTkxOTA4AQ0AAAAFAAAAATkBAAAABzI2MjEyOTUCAAAABDE4ODUDAAAABjEwMDMwNwQAAAABMgYAAAABMAcAAAADMTYwCAAAAAEwCQAAAAExCgAAAAEw</t>
  </si>
  <si>
    <t>CwAAAAkzNjA3MzYxNzAMAAAAAjEyDQAAAAkzLzI3LzIwMTC7TLS9k3PVCIvqUkmXc9UINUNJUS5OYXNkYXFHUzpJTlRDLklRX1RFVl9UT1RBTF9SRVZfRldELjYwMDAuNy8yOS8yMDA1AQAAAIdSAAACAAAAEDMuNzc3MjA5NDczMjQ4MTYBDQAAAAUAAAABOQEAAAAHMjYyMTI5NQIAAAAHMTc1NzE0OAMAAAAGMTAwMzA3BAAAAAEyBgAAAAEwBwAAAAMxNjAIAAAAATAJAAAAATEKAAAAATALAAAACjExNjkxMzA3NTEMAAAAAjEyDQAAAAk3LzMwLzIwMDW7TLS9k3PVCGucUkmXc9UII0NJUS5eU1BYLklRX0xBU1RTQUxFUFJJQ0UuNy8xMy8yMDE2AQAAAJu4KAACAAAAEDIxNTIuNDI1NjU3MjE3MTIAWz+wu5Nz1Qj7SiZLl3PVCC9DSVEuTkFTREFRR1M6SU5UQy5JUV9QRV9FWENMX0ZXRC42MDAwLjEwLzMvMjAxNAEAAACHUgAAAgAAABAxNC42ODY0NjE1MjUxODIzAQ0AAAAFAAAAATkBAAAABzI2MjEyOTUCAAAABzQ0NTY0MjgDAAAABjEwMDMwOQQAAAABMgYAAAABMAcAAAADMTYwCAAAAAEwCQAAAAExCgAAAAEwCwAAAAo4Mjc3MjQ4NDE2DAAAAAIxMg0AAAAJMTAvNC8yMDE0+3eyvZNz1Qhr71lJl3PVCDBDSVEuTkFTREFRR1M6SU5UQy5JUV9QRV9FWENMX0ZXRC42MDAwLjExLzI2LzIwMTABAAAAh1IAAAIAAAAQMTEuMzE1NTUyMjU2MjE3MgENAAAABQAAAAE5AQAAAAcyNjIxMjk1AgAAAAcxNzU3MTY0AwAA</t>
  </si>
  <si>
    <t>AAYxMDAzMDkEAAAAATIGAAAAATAHAAAAAzE2MAgAAAABMAkAAAABMQoAAAABMAsAAAAKODg2Mzg0NTMyNQwAAAACMTINAAAACjExLzI3LzIwMTCrJbS9k3PVCBtKVEmXc9UINkNJUS5OYXNkYXFHUzpJTlRDLklRX1RFVl9FQklUREFfRldEX0NJUS42MDAwLjYvMjMvMjAxNwEAAACHUgAAAgAAAA82Ljg1ODE3MDEwODA4MDQBDQAAAAUAAAABOQEAAAAHMjYyMTI5NQIAAAAIMjc1MDAxNzIDAAAABjEwMDMwOAQAAAABMgYAAAABMAcAAAADMTYwCAAAAAEwCQAAAAExCgAAAAEwCwAAAAsxMDI1NTY5Mjk5OQwAAAACMTINAAAACTYvMjQvMjAxN9t3sbuTc9UIW/yNrpdz1Qg2Q0lRLk5BU0RBUUdTOklOVEMuSVFfVEVWX0VCSVREQV9GV0RfQ0lRLjYwMDAuMS8xOS8yMDA3AQAAAIdSAAACAAAAEDguNDcwNTQ5ODA2NTEzOTkBDQAAAAUAAAABOQEAAAAHMjYyMTI5NQIAAAAEMTg4MgMAAAAGMTAwMzA4BAAAAAEyBgAAAAEwBwAAAAMxNjAIAAAAATAJAAAAATEKAAAAATALAAAACzEwMzM0MTc2MDY2DAAAAAIxMg0AAAAJMS8yMC8yMDA3CydVu5Nz1Qh7So6ul3PVCDdDSVEuTkFTREFRR1M6SU5UQy5JUV9URVZfRUJJVERBX0ZXRF9DSVEuNjAwMC4xMS8yOS8yMDAyAQAAAIdSAAACAAAAEDEzLjEwOTA4MjQzMTE3MjIBDQAAAAUAAAABOQEAAAAHMjYyMTI5NQIAAAAHMTc1NzE0MAMAAAAGMTAwMzA4BAAAAAEyBgAAAAEw</t>
  </si>
  <si>
    <t>BwAAAAMxNjAIAAAAATAJAAAAATEKAAAAATALAAAACjExNjkxMjY1NjAMAAAAAjEyDQAAAAoxMS8zMC8yMDAyS8NVu5Nz1Qh7So6ul3PVCC9DSVEuTkFTREFRR1M6SU5UQy5JUV9QUklDRV9TQUxFUy4yMDAwLjcvMjcvMjAxMgEAAACHUgAAAgAAAAgyLjQyMDgwOQEHAAAABQAAAAExAQAAAAoxNTU1MzQ3OTE1AwAAAAEwAgAAAAUzODk1OAQAAAABMAcAAAAJNy8yNy8yMDEyCAAAAAk3LzI3LzIwMTJLEVW5k3PVCDu2T0mXc9UIMENJUS5OQVNEQVFHUzpJTlRDLklRX1BSSUNFX1NBTEVTLjIwMDAuMTAvMjIvMjAxMAEAAACHUgAAAgAAAAgyLjU3NTA0NgEHAAAABQAAAAExAQAAAAoxNDAxNDAxOTQxAwAAAAEwAgAAAAUzODk1OAQAAAABMAcAAAAKMTAvMjIvMjAxMAgAAAAKMTAvMjIvMjAxMDvqVLmTc9UIaytQSZdz1Qg1Q0lRLk5hc2RhcUdTOklOVEMuSVFfVEVWX1RPVEFMX1JFVl9GV0QuNjAwMC4xMC84LzIwMDQBAAAAh1IAAAIAAAAQMy4zNTY0MTMwNDkwMTgxNAENAAAABQAAAAE5AQAAAAcyNjIxMjk1AgAAAAcxNzU3MTQ1AwAAAAYxMDAzMDcEAAAAATIGAAAAATAHAAAAAzE2MAgAAAABMAkAAAABMQoAAAABMAsAAAAKMTE2OTEyODgzMgwAAAACMTINAAAACTEwLzkvMjAwNNt3sbuTc9UIS2xNSZdz1QguQ0lRLk5BU0RBUUdTOklOVEMuSVFfUEVfRVhDTF9GV0QuNjAwMC43LzgvMjAxMQEAAACHUgAAAgAA</t>
  </si>
  <si>
    <t>ABAxMC4xMjY3NDg4MjY4MDU4AQ0AAAAFAAAAATkBAAAABzI2MjEyOTUCAAAABzE3NTcxNjUDAAAABjEwMDMwOQQAAAABMgYAAAABMAcAAAADMTYwCAAAAAEwCQAAAAExCgAAAAEwCwAAAAo4ODYzMzYyNTExDAAAAAIxMg0AAAAINy85LzIwMTEbxrK9k3PVCCtTWUmXc9UIKENJUS5OQVNEQVFHUzpJTlRDLklRX1BUQlYuMjAwMC41LzI2LzIwMTcBAAAAh1IAAAIAAAAIMy45MTczMjQBBwAAAAUAAAABMQEAAAAKMTgzODM2MDEzMgMAAAABMAIAAAAGMTAwMDI5BAAAAAEwBwAAAAk1LzI2LzIwMTcIAAAACTUvMjYvMjAxN/uOUruTc9UIi8xXSZdz1QguQ0lRLk5BU0RBUUdTOklOVEMuSVFfUEVfRVhDTF9GV0QuNjAwMC4xLzYvMjAxMgEAAACHUgAAAgAAABAxMC41NDEwMzY5ODc1NTk1AQ0AAAAFAAAAATkBAAAABzI2MjEyOTUCAAAABzE3NTcxNjcDAAAABjEwMDMwOQQAAAABMgYAAAABMAcAAAADMTYwCAAAAAEwCQAAAAExCgAAAAEwCwAAAAo4ODY0NDMyNjExDAAAAAIxMg0AAAAIMS83LzIwMTIbxrK9k3PVCJsvTkmXc9UIIENJUS5eU1BYLklRX1BUQlYuMjAwMC4xMi8yMC8yMDE3AQAAAJu4KAACAAAACDkuNTQ0NTI3ANvXubeTc9UIS2bFSpdz1Qg2Q0lRLk5hc2RhcUdTOklOVEMuSVFfVEVWX0VCSVREQV9GV0RfQ0lRLjYwMDAuMy8xMy8yMDE1AQAAAIdSAAACAAAAEDYuMTUwNjk2NTYwNjc1NzEBDQAAAAUA</t>
  </si>
  <si>
    <t>AAABOQEAAAAHMjYyMTI5NQIAAAAKMTAwMDA5NDA3MQMAAAAGMTAwMzA4BAAAAAEyBgAAAAEwBwAAAAMxNjAIAAAAATAJAAAAATEKAAAAATALAAAACjg2Njc2ODAyNzIMAAAAAjEyDQAAAAkzLzE0LzIwMTW7TLS9k3PVCBtgja6Xc9UIL0NJUS5OQVNEQVFHUzpJTlRDLklRX1BSSUNFX1NBTEVTLjIwMDAuNC8yOS8yMDE2AQAAAIdSAAACAAAACDIuNTQ4OTM2AQcAAAAFAAAAATEBAAAACjE3ODYzNjk5NzQDAAAAATACAAAABTM4OTU4BAAAAAEwBwAAAAk0LzI5LzIwMTYIAAAACTQvMjkvMjAxNmt2ZrmTc9UIezRVSZdz1QgvQ0lRLk5BU0RBUUdTOklOVEMuSVFfUEVfRVhDTF9GV0QuNjAwMC44LzE5LzIwMTYBAAAAh1IAAAIAAAAQMTMuNDYzMjI4MjcxMjUxMgENAAAABQAAAAE5AQAAAAcyNjIxMjk1AgAAAAgyNzAwMzY1MgMAAAAGMTAwMzA5BAAAAAEyBgAAAAEwBwAAAAMxNjAIAAAAATAJAAAAATEKAAAAATALAAAACjk2ODc2NDEyODIMAAAAAjEyDQAAAAk4LzIwLzIwMTbbKbK9k3PVCEtOUkmXc9UIJkNJUS5eU1BYLklRX1BFX0VYQ0xfRldELjYwMDAuOS8yMS8yMDE2AQAAAJu4KAACAAAACTE3LjUxMDg0MgArBFO7k3PVCDsFIkuXc9UILUNJUS5OQVNEQVFHUzpJTlRDLklRX0xBU1RTQUxFUFJJQ0UuMTAvMjEvMjAxNQEAAACHUgAAAgAAAAUzMy4zNwDLka+9k3PVCHvWLkuXc9UILUNJUS5eU1BYLklRX1RF</t>
  </si>
  <si>
    <t>Vl9FQklUREFfRldEX0NJUS42MDAwLjQvMzAvMjAxNAEAAACbuCgAAgAAAAg4LjczODg3OABrZrC7k3PVCPvSOUuXc9UINENJUS5OQVNEQVFHUzpJTlRDLklRX1RFVl9UT1RBTF9SRVZfRldELjYwMDAuMS80LzIwMDIBAAAAh1IAAAIAAAAPOC40NTE3NzE1MTA4Njc1AQ0AAAAFAAAAATkBAAAABzI2MjEyOTUCAAAABzM0MjExNjIDAAAABjEwMDMwNwQAAAABMgYAAAABMAcAAAADMTYwCAAAAAEwCQAAAAExCgAAAAEwCwAAAAoxMTY5MTUyNTYxDAAAAAIxMg0AAAAIMS81LzIwMDKr07u3k3PVCCsAUkmXc9UIJkNJUS5eU1BYLklRX1BFX0VYQ0xfRldELjYwMDAuOS8xNy8yMDE0AQAAAJu4KAACAAAACTE2LjExMDMxNADbuK+9k3PVCLvFNkuXc9UIMENJUS5OQVNEQVFHUzpJTlRDLklRX1BSSUNFX1NBTEVTLjIwMDAuMTEvMTEvMjAxNQEAAACHUgAAAgAAAAgyLjgzMTk1NwEHAAAABQAAAAExAQAAAAoxNzYxNzA2ODI3AwAAAAEwAgAAAAUzODk1OAQAAAABMAcAAAAKMTEvMTEvMjAxNQgAAAAKMTEvMTEvMjAxNVs4VbmTc9UIOzouS5dz1QgvQ0lRLk5BU0RBUUdTOklOVEMuSVFfUEVfRVhDTF9GV0QuNjAwMC4xMi8yLzIwMTEBAAAAh1IAAAIAAAAQOS40NzI5MTUzMDUwNjMyNAENAAAABQAAAAE5AQAAAAcyNjIxMjk1AgAAAAcxNzU3MTY3AwAAAAYxMDAzMDkEAAAAATIGAAAAATAHAAAAAzE2MAgAAAABMAkAAAAB</t>
  </si>
  <si>
    <t>MQoAAAABMAsAAAAKODg2NDQzMTEyNAwAAAACMTINAAAACTEyLzMvMjAxMRvGsr2Tc9UIy4ZTSZdz1Qg0Q0lRLk5hc2RhcUdTOklOVEMuSVFfVEVWX1RPVEFMX1JFVl9GV0QuNjAwMC40LzQvMjAwMwEAAACHUgAAAgAAABAzLjU1MTg1MzMwNzc0MTU2AQ0AAAAFAAAAATkBAAAABzI2MjEyOTUCAAAABDE4NzgDAAAABjEwMDMwNwQAAAABMgYAAAABMAcAAAADMTYwCAAAAAEwCQAAAAExCgAAAAEwCwAAAAkzNjA2NTY0NDQMAAAAAjEyDQAAAAg0LzUvMjAwM8shvLeTc9UIG/dMSZdz1QguQ0lRLk5BU0RBUUdTOklOVEMuSVFfUEVfRVhDTF9GV0QuNjAwMC44LzcvMjAxNQEAAACHUgAAAgAAABAxMi45NzU2OTMwNDAzOTE4AQ0AAAAFAAAAATkBAAAABzI2MjEyOTUCAAAABzgwNjgyNjEDAAAABjEwMDMwOQQAAAABMgYAAAABMAcAAAADMTYwCAAAAAEwCQAAAAExCgAAAAEwCwAAAAo4OTQ2MTEzNjI1DAAAAAIxMg0AAAAIOC84LzIwMTWL17O9k3PVCDtFTUmXc9UII0NJUS5eU1BYLklRX0xBU1RTQUxFUFJJQ0UuNi8xMC8yMDE1AQAAAJu4KAACAAAAEDIxMDUuMjAyMjY3MzEyNjMAG91Su5Nz1Qg7qzBLl3PVCC9DSVEuTkFTREFRR1M6SU5UQy5JUV9QRV9FWENMX0ZXRC42MDAwLjgvMzAvMjAxMwEAAACHUgAAAgAAABAxMS4yMzYwNjk5MzE0OTk4AQ0AAAAFAAAAATkBAAAABzI2MjEyOTUCAAAABzM4Mjk3NTIDAAAA</t>
  </si>
  <si>
    <t>BjEwMDMwOQQAAAABMgYAAAABMAcAAAADMTYwCAAAAAEwCQAAAAExCgAAAAEwCwAAAAo3MDYwODcxNTg1DAAAAAIxMg0AAAAJOC8zMS8yMDEzu0y0vZNz1QhrfldJl3PVCC9DSVEuTkFTREFRR1M6SU5UQy5JUV9QUklDRV9TQUxFUy4yMDAwLjMvMTQvMjAxNAEAAACHUgAAAgAAAAcyLjMxMDE4AQcAAAAFAAAAATEBAAAACjE2NTgzNDI3ODADAAAAATACAAAABTM4OTU4BAAAAAEwBwAAAAkzLzE0LzIwMTQIAAAACTMvMTQvMjAxNEsRVbmTc9UI+xlPSZdz1QgvQ0lRLk5BU0RBUUdTOklOVEMuSVFfUEVfRVhDTF9GV0QuNjAwMC43LzIzLzIwMTABAAAAh1IAAAIAAAAQMTAuMzI0NjM4MjMzMDU0MQENAAAABQAAAAE5AQAAAAcyNjIxMjk1AgAAAAcxNzU3MTYzAwAAAAYxMDAzMDkEAAAAATIGAAAAATAHAAAAAzE2MAgAAAABMAkAAAABMQoAAAABMAsAAAAKODg2Mzg0NTA0OAwAAAACMTINAAAACTcvMjQvMjAxMKsltL2Tc9UI+4pRSZdz1Qg1Q0lRLk5BU0RBUUdTOklOVEMuSVFfVEVWX1RPVEFMX1JFVl9GV0QuNjAwMC45LzI0LzIwMTABAAAAh1IAAAIAAAAQMi4xMTc0OTI3NDA0NTI3NAENAAAABQAAAAE5AQAAAAcyNjIxMjk1AgAAAAcxNzU3MTYzAwAAAAYxMDAzMDcEAAAAATIGAAAAATAHAAAAAzE2MAgAAAABMAkAAAABMQoAAAABMAsAAAAKOTExMTA1MjE3NwwAAAACMTINAAAACTkvMjUvMjAxMEvpureTc9UI</t>
  </si>
  <si>
    <t>S79USZdz1QguQ0lRLk5BU0RBUUdTOklOVEMuSVFfUFJJQ0VfU0FMRVMuMjAwMC45LzQvMjAxNQEAAACHUgAAAgAAAAgyLjQ3MTI1OAEHAAAABQAAAAExAQAAAAoxNzQ3MzU5NTEyAwAAAAEwAgAAAAUzODk1OAQAAAABMAcAAAAIOS80LzIwMTUIAAAACDkvNC8yMDE1u2qvvZNz1QjrtlhJl3PVCDVDSVEuTmFzZGFxR1M6SU5UQy5JUV9URVZfRUJJVERBX0ZXRF9DSVEuNjAwMC44LzkvMjAxMwEAAACHUgAAAgAAABA1LjAwNTgxOTgxNzc1NDUyAQ0AAAAFAAAAATkBAAAABzI2MjEyOTUCAAAABzM4Mjk3NTIDAAAABjEwMDMwOAQAAAABMgYAAAABMAcAAAADMTYwCAAAAAEwCQAAAAExCgAAAAEwCwAAAAo3NjE2NjM3MjMzDAAAAAIxMg0AAAAJOC8xMC8yMDEzezhWu5Nz1QibmI6ul3PVCB5DSVEuXlNQWC5JUV9QVEJWLjIwMDAuNS83LzIwMTQBAAAAm7goAAIAAAAINS4yMTE2MzUAy5GvvZNz1QjbhDlLl3PVCDZDSVEuTmFzZGFxR1M6SU5UQy5JUV9URVZfVE9UQUxfUkVWX0ZXRC42MDAwLjEwLzEwLzIwMTQBAAAAh1IAAAIAAAAQMi43MjI3Nzc0MzY2NjYxOAENAAAABQAAAAE5AQAAAAcyNjIxMjk1AgAAAAc0NDU2NDI4AwAAAAYxMDAzMDcEAAAAATIGAAAAATAHAAAAAzE2MAgAAAABMAkAAAABMQoAAAABMAsAAAAKOTA3MTk5MzMyOAwAAAACMTINAAAACjEwLzExLzIwMTSLrVW5k3PVCDsJV0mXc9UIJENJUS5e</t>
  </si>
  <si>
    <t>U1BYLklRX0xBU1RTQUxFUFJJQ0UuMTAvMzAvMjAxMwEAAACbuCgAAgAAABAxNzYzLjMwNzQ4MDIwOTAxAAu2UruTc9UIK7k8S5dz1QgtQ0lRLl5TUFguSVFfVEVWX1RPVEFMX1JFVl9GV0QuNjAwMC4xMi8yNy8yMDE3AQAAAJu4KAACAAAACDIuMzQzODk5AKsSZ7mTc9UIqzm1Spdz1Qg0Q0lRLk5hc2RhcUdTOklOVEMuSVFfVEVWX1RPVEFMX1JFVl9GV0QuNjAwMC4zLzYvMjAwOQEAAACHUgAAAgAAABAyLjAxNTQ3NjQzNTYwNjc0AQ0AAAAFAAAAATkBAAAABzI2MjEyOTUCAAAABDE4ODQDAAAABjEwMDMwNwQAAAABMgYAAAABMAcAAAADMTYwCAAAAAEwCQAAAAExCgAAAAEwCwAAAAkzNjA3MTU5NjkMAAAAAjEyDQAAAAgzLzcvMjAwOXs4VruTc9UImy9OSZdz1Qg2Q0lRLk5hc2RhcUdTOklOVEMuSVFfVEVWX0VCSVREQV9GV0RfQ0lRLjYwMDAuMi8xMC8yMDEyAQAAAIdSAAACAAAAEDUuMjQ2ODU0MzE1MzA1MTgBDQAAAAUAAAABOQEAAAAHMjYyMTI5NQIAAAAEMTg4NwMAAAAGMTAwMzA4BAAAAAEyBgAAAAEwBwAAAAMxNjAIAAAAATAJAAAAATEKAAAAATALAAAACjU3NDg4MzEzODAMAAAAAjEyDQAAAAkyLzExLzIwMTLrnrG7k3PVCGsjjq6Xc9UINkNJUS5OQVNEQVFHUzpJTlRDLklRX1RFVl9FQklUREFfRldEX0NJUS42MDAwLjUvMTYvMjAxNAEAAACHUgAAAgAAABA1LjU3NzQ1MjAyMTAxMDk3AQ0AAAAF</t>
  </si>
  <si>
    <t>AAAAATkBAAAABzI2MjEyOTUCAAAABzQ0NTY0MjcDAAAABjEwMDMwOAQAAAABMgYAAAABMAcAAAADMTYwCAAAAAEwCQAAAAExCgAAAAEwCwAAAAo4MTcwNzE1ODAxDAAAAAIxMg0AAAAJNS8xNy8yMDE0e8dTu5Nz1QibmI6ul3PVCC9DSVEuTkFTREFRR1M6SU5UQy5JUV9QUklDRV9TQUxFUy4yMDAwLjMvMjQvMjAxNwEAAACHUgAAAgAAAAcyLjgwMDM5AQcAAAAFAAAAATEBAAAACjE4MjgxNzQxMjIDAAAAATACAAAABTM4OTU4BAAAAAEwBwAAAAkzLzI0LzIwMTcIAAAACTMvMjQvMjAxN/uOUruTc9UIW1dXSZdz1Qg2Q0lRLk5hc2RhcUdTOklOVEMuSVFfVEVWX1RPVEFMX1JFVl9GV0QuNjAwMC4xMi8yMC8yMDEzAQAAAIdSAAACAAAAEDIuMjQ3ODMzNTM4MTY2OTUBDQAAAAUAAAABOQEAAAAHMjYyMTI5NQIAAAAHMzgyOTc1MwMAAAAGMTAwMzA3BAAAAAEyBgAAAAEwBwAAAAMxNjAIAAAAATAJAAAAATEKAAAAATALAAAACjg4NjI1NDU3NDcMAAAAAjEyDQAAAAoxMi8yMS8yMDEz656xu5Nz1Qi70FVJl3PVCDBDSVEuTkFTREFRR1M6SU5UQy5JUV9QRV9FWENMX0ZXRC42MDAwLjEyLzMwLzIwMTEBAAAAh1IAAAIAAAAQMTAuMTc4Mzg0MDUwMzY3MwENAAAABQAAAAE5AQAAAAcyNjIxMjk1AgAAAAcxNzU3MTY3AwAAAAYxMDAzMDkEAAAAATIGAAAAATAHAAAAAzE2MAgAAAABMAkAAAABMQoAAAABMAsAAAAKODg2</t>
  </si>
  <si>
    <t>NDM5OTQxNQwAAAACMTINAAAACjEyLzMxLzIwMTGL17O9k3PVCDuYVEmXc9UILkNJUS5OQVNEQVFHUzpJTlRDLklRX1BSSUNFX1NBTEVTLjIwMDAuOC83LzIwMTMBAAAAh1IAAAIAAAAIMi4xNTcyMDUBBwAAAAUAAAABMQEAAAAKMTYyODQzNjg0OQMAAAABMAIAAAAFMzg5NTgEAAAAATAHAAAACDgvNy8yMDEzCAAAAAg4LzcvMjAxMzvxr7uTc9UIa1U9S5dz1QgvQ0lRLk5BU0RBUUdTOklOVEMuSVFfUFJJQ0VfU0FMRVMuMjAwMC44LzIxLzIwMTUBAAAAh1IAAAIAAAAIMi4zMDE0MjQBBwAAAAUAAAABMQEAAAAKMTc0NzM1OTUxMgMAAAABMAIAAAAFMzg5NTgEAAAAATAHAAAACTgvMjEvMjAxNQgAAAAJOC8yMS8yMDE1WzhVuZNz1Qh74U1Jl3PVCCxDSVEuXlNQWC5JUV9URVZfVE9UQUxfUkVWX0ZXRC42MDAwLjYvMTIvMjAxMwEAAACbuCgAAgAAAAgxLjYxNjUwOQBrZrC7k3PVCIujPUuXc9UINkNJUS5OYXNkYXFHUzpJTlRDLklRX1RFVl9FQklUREFfRldEX0NJUS42MDAwLjgvMjkvMjAwOAEAAACHUgAAAgAAABA3LjMxMjkwNTI5Mjk5NDAyAQ0AAAAFAAAAATkBAAAABzI2MjEyOTUCAAAABzE3NTcxNTcDAAAABjEwMDMwOAQAAAABMgYAAAABMAcAAAADMTYwCAAAAAEwCQAAAAExCgAAAAEwCwAAAAo2NzMxMzY0MzQxDAAAAAIxMg0AAAAJOC8zMC8yMDA4uymxu5Nz1QhbbZCul3PVCCtDSVEuTkFTREFRR1M6</t>
  </si>
  <si>
    <t>SU5UQy5JUV9MQVNUU0FMRVBSSUNFLjkvMi8yMDE1AQAAAIdSAAACAAAABDI4LjYAO+pUuZNz1Qi7ci9Ll3PVCCdDSVEuTkFTREFRR1M6SU5UQy5JUV9QVEJWLjIwMDAuOC85LzIwMTMBAAAAh1IAAAIAAAAIMi45MzM5ODYBBwAAAAUAAAABMQEAAAAKMTYyODQzNjg0OQMAAAABMAIAAAAGMTAwMDI5BAAAAAEwBwAAAAg4LzkvMjAxMwgAAAAIOC85LzIwMTPLsLm3k3PVCFuTTUmXc9UINkNJUS5OYXNkYXFHUzpJTlRDLklRX1RFVl9FQklUREFfRldEX0NJUS42MDAwLjYvMjQvMjAxMQEAAACHUgAAAgAAABA0LjQ0MTcyNTYwNDE1MzgzAQ0AAAAFAAAAATkBAAAABzI2MjEyOTUCAAAABzE3NTcxNjUDAAAABjEwMDMwOAQAAAABMgYAAAABMAcAAAADMTYwCAAAAAEwCQAAAAExCgAAAAEwCwAAAAoxMzI2MTU4MjczDAAAAAIxMg0AAAAJNi8yNS8yMDExu0y0vZNz1Qg7H5Cul3PVCDVDSVEuTkFTREFRR1M6SU5UQy5JUV9URVZfRUJJVERBX0ZXRF9DSVEuNjAwMC41LzQvMjAwNwEAAACHUgAAAgAAABA4LjgzMDkxNTAzNTA4MDYzAQ0AAAAFAAAAATkBAAAABzI2MjEyOTUCAAAABzE3NTcxNTMDAAAABjEwMDMwOAQAAAABMgYAAAABMAcAAAADMTYwCAAAAAEwCQAAAAExCgAAAAEwCwAAAAoxMTY5MTM2ODMxDAAAAAIxMg0AAAAINS81LzIwMDf7/1S7k3PVCOtbj66Xc9UILENJUS5OQVNEQVFHUzpJTlRDLklRX0xBU1RT</t>
  </si>
  <si>
    <t>QUxFUFJJQ0UuMi8yNi8yMDE0AQAAAIdSAAACAAAABDI0LjgAO+pUuZNz1Qi7pztLl3PVCDRDSVEuTmFzZGFxR1M6SU5UQy5JUV9URVZfVE9UQUxfUkVWX0ZXRC42MDAwLjUvNy8yMDA0AQAAAIdSAAACAAAAEDQuNDU0NjMwOTc2MjgzNjgBDQAAAAUAAAABOQEAAAAHMjYyMTI5NQIAAAAHMTc1NzE0NAMAAAAGMTAwMzA3BAAAAAEyBgAAAAEwBwAAAAMxNjAIAAAAATAJAAAAATEKAAAAATALAAAACjExNjkxMjgzMzgMAAAAAjEyDQAAAAg1LzgvMjAwNLspsbuTc9UIe6VXSZdz1QgnQ0lRLl5TUFguSVFfUEVfRVhDTF9GV0QuNjAwMC4xMi8xNC8yMDE2AQAAAJu4KAACAAAACTE3Ljc3MzM4NQCrEme5k3PVCMsRHEuXc9UINkNJUS5OYXNkYXFHUzpJTlRDLklRX1RFVl9FQklUREFfRldEX0NJUS42MDAwLjkvMTQvMjAxMgEAAACHUgAAAgAAABA1LjA4MTE4MDA5MTExMDI3AQ0AAAAFAAAAATkBAAAABzI2MjEyOTUCAAAABzE3NTcxNjkDAAAABjEwMDMwOAQAAAABMgYAAAABMAcAAAADMTYwCAAAAAEwCQAAAAExCgAAAAEwCwAAAAo4Mzk5NTUwNjIxDAAAAAIxMg0AAAAJOS8xNS8yMDEyqyW0vZNz1QiLcY6ul3PVCCVDSVEuXlNQWC5JUV9QRV9FWENMX0ZXRC42MDAwLjkvMy8yMDE0AQAAAJu4KAACAAAACTE2LjA5ODAyNAArBFO7k3PVCMvsNkuXc9UILkNJUS5OQVNEQVFHUzpJTlRDLklRX1BFX0VYQ0xfRldELjYw</t>
  </si>
  <si>
    <t>MDAuNS83LzIwMDQBAAAAh1IAAAIAAAAQMjAuODkxODcwNTYwMzc4OAENAAAABQAAAAE5AQAAAAcyNjIxMjk1AgAAAAcxNzU3MTQ0AwAAAAYxMDAzMDkEAAAAATIGAAAAATAHAAAAAzE2MAgAAAABMAkAAAABMQoAAAABMAsAAAAKODg2NDEwMDY0NAwAAAACMTINAAAACDUvOC8yMDA0a4mzvZNz1Qi70FVJl3PVCC9DSVEuTkFTREFRR1M6SU5UQy5JUV9QRV9FWENMX0ZXRC42MDAwLjMvMTAvMjAxNwEAAACHUgAAAgAAABAxMi44NTU3MTU5Nzg1MzQ0AQ0AAAAFAAAAATkBAAAABzI2MjEyOTUCAAAACjEwMDA5NDQzODcDAAAABjEwMDMwOQQAAAABMgYAAAABMAcAAAADMTYwCAAAAAEwCQAAAAExCgAAAAEwCwAAAAsxMDAyOTgwOTAwMQwAAAACMTINAAAACTMvMTEvMjAxN4vXs72Tc9UIe6VXSZdz1QgtQ0lRLl5TUFguSVFfVEVWX1RPVEFMX1JFVl9GV0QuNjAwMC4xMi8zMS8yMDE0AQAAAJu4KAACAAAACDEuOTc4ODA4AGtmsLuTc9UICxg1S5dz1QglQ0lRLl5TUFguSVFfUEVfRVhDTF9GV0QuNjAwMC43LzMvMjAxMwEAAACbuCgAAgAAAAkxNC4zMzY3OTkAa19VuZNz1QhrVT1Ll3PVCCtDSVEuXlNQWC5JUV9URVZfVE9UQUxfUkVWX0ZXRC42MDAwLjYvNy8yMDE3AQAAAJu4KAACAAAACDIuMjI0MTkyAPv4iLaTc9UIa/IOS5dz1Qg0Q0lRLk5hc2RhcUdTOklOVEMuSVFfVEVWX1RPVEFMX1JFVl9GV0QuNjAwMC40</t>
  </si>
  <si>
    <t>LzYvMjAwMQEAAACHUgAAAgAAABA1LjI4OTI4MDU5ODk4MzM2AQ0AAAAFAAAAATkBAAAABzI2MjEyOTUCAAAABzMxNTEzMDEDAAAABjEwMDMwNwQAAAABMgYAAAABMAcAAAADMTYwCAAAAAEwCQAAAAExCgAAAAEwCwAAAAkzNjEyMTI2OTIMAAAAAjEyDQAAAAg0LzcvMjAwMZv+s72Tc9UIK49PSZdz1Qg2Q0lRLk5hc2RhcUdTOklOVEMuSVFfVEVWX0VCSVREQV9GV0RfQ0lRLjYwMDAuOC8xNS8yMDE0AQAAAIdSAAACAAAAEDYuNzE4MzE5NDU5MjE0MDMBDQAAAAUAAAABOQEAAAAHMjYyMTI5NQIAAAAHNDQ1NjQyOAMAAAAGMTAwMzA4BAAAAAEyBgAAAAEwBwAAAAMxNjAIAAAAATAJAAAAATEKAAAAATALAAAACjg2NDgxMDE2NzQMAAAAAjEyDQAAAAk4LzE2LzIwMTR7OFa7k3PVCFttkK6Xc9UILENJUS5eU1BYLklRX1RFVl9FQklUREFfRldEX0NJUS42MDAwLjMvOC8yMDE3AQAAAJu4KAACAAAACTEwLjM5NjMyNgDr/rm3k3PVCFuPGEuXc9UIL0NJUS5OQVNEQVFHUzpJTlRDLklRX1BFX0VYQ0xfRldELjYwMDAuNS8yOC8yMDA0AQAAAIdSAAACAAAAEDIyLjU2OTE2OTk2MDQ3NDMBDQAAAAUAAAABOQEAAAAHMjYyMTI5NQIAAAAHMTc1NzE0NAMAAAAGMTAwMzA5BAAAAAEyBgAAAAEwBwAAAAMxNjAIAAAAATAJAAAAATEKAAAAATALAAAACjg4NjQxMDA0MjAMAAAAAjEyDQAAAAk1LzI5LzIwMDRribO9k3PVCKup</t>
  </si>
  <si>
    <t>VUmXc9UIL0NJUS5OQVNEQVFHUzpJTlRDLklRX1BSSUNFX1NBTEVTLjIwMDAuNS8yMC8yMDE1AQAAAIdSAAACAAAACDIuODkxNTk1AQcAAAAFAAAAATEBAAAACjE3MzA3NjI3NTUDAAAAATACAAAABTM4OTU4BAAAAAEwBwAAAAk1LzIwLzIwMTUIAAAACTUvMjAvMjAxNWt2ZrmTc9UIm5UxS5dz1QgvQ0lRLk5BU0RBUUdTOklOVEMuSVFfUEVfRVhDTF9GV0QuNjAwMC44LzEwLzIwMDEBAAAAh1IAAAIAAAAQNTcuNzUxNjM5MDI4MTUyNwENAAAABQAAAAE5AQAAAAcyNjIxMjk1AgAAAAczNDIxMTYxAwAAAAYxMDAzMDkEAAAAATIGAAAAATAHAAAAAzE2MAgAAAABMAkAAAABMQoAAAABMAsAAAAKMTE2OTE3MzM1OQwAAAACMTINAAAACTgvMTEvMjAwMYvXs72Tc9UI+6hMSZdz1Qg1Q0lRLk5hc2RhcUdTOklOVEMuSVFfVEVWX1RPVEFMX1JFVl9GV0QuNjAwMC4yLzI3LzIwMTUBAAAAh1IAAAIAAAAQMi42OTQzODc3ODkyODk2OAENAAAABQAAAAE5AQAAAAcyNjIxMjk1AgAAAAoxMDAwMDk0MDcxAwAAAAYxMDAzMDcEAAAAATIGAAAAATAHAAAAAzE2MAgAAAABMAkAAAABMQoAAAABMAsAAAAKODYyNDgwMTk2NwwAAAACMTINAAAACTIvMjgvMjAxNbv6u7eTc9UIuwxMSZdz1Qg2Q0lRLk5BU0RBUUdTOklOVEMuSVFfVEVWX0VCSVREQV9GV0RfQ0lRLjYwMDAuNC8xMy8yMDA3AQAAAIdSAAACAAAAEDguMjg4Nzk3MTY1</t>
  </si>
  <si>
    <t>NDkxMzQBDQAAAAUAAAABOQEAAAAHMjYyMTI5NQIAAAAEMTg4MgMAAAAGMTAwMzA4BAAAAAEyBgAAAAEwBwAAAAMxNjAIAAAAATAJAAAAATEKAAAAATALAAAACTM2MDY4ODMzOAwAAAACMTINAAAACTQvMTQvMjAwN/v/VLuTc9UI+4KPrpdz1QgvQ0lRLk5BU0RBUUdTOklOVEMuSVFfUFJJQ0VfU0FMRVMuMjAwMC4yLzI2LzIwMTABAAAAh1IAAAIAAAAIMy4yNDc3OTIBBwAAAAUAAAABMQEAAAAKMTMyODg4ODcwNAMAAAABMAIAAAAFMzg5NTgEAAAAATAHAAAACTIvMjYvMjAxMAgAAAAJMi8yNi8yMDEwSxiwu5Nz1QjbPFFJl3PVCCtDSVEuXlNQWC5JUV9URVZfVE9UQUxfUkVWX0ZXRC42MDAwLjIvOC8yMDE3AQAAAJu4KAACAAAACDIuMTI0NzkzAOvRiLaTc9UICz0aS5dz1Qg1Q0lRLk5hc2RhcUdTOklOVEMuSVFfVEVWX1RPVEFMX1JFVl9GV0QuNjAwMC45LzMwLzIwMTEBAAAAh1IAAAIAAAAQMS44NjI0MzIxODYyNjE4NAENAAAABQAAAAE5AQAAAAcyNjIxMjk1AgAAAAcxNzU3MTY2AwAAAAYxMDAzMDcEAAAAATIGAAAAATAHAAAAAzE2MAgAAAABMAkAAAABMQoAAAABMAsAAAAKODg2NDQzMDIzMQwAAAACMTINAAAACTEwLzEvMjAxMasSZ7mTc9UIu31OSZdz1QgvQ0lRLk5BU0RBUUdTOklOVEMuSVFfUFJJQ0VfU0FMRVMuMjAwMC4zLzE4LzIwMTUBAAAAh1IAAAIAAAAIMi43MDk3MTcBBwAAAAUAAAABMQEA</t>
  </si>
  <si>
    <t>AAAKMTcxODg1OTI5MQMAAAABMAIAAAAFMzg5NTgEAAAAATAHAAAACTMvMTgvMjAxNQgAAAAJMy8xOC8yMDE1e51muZNz1QgLpzJLl3PVCCtDSVEuTkFTREFRR1M6SU5UQy5JUV9MQVNUU0FMRVBSSUNFLjcvOS8yMDE0AQAAAIdSAAACAAAABTMwLjg5AEsoZrmTc9UIW0w4S5dz1Qg2Q0lRLk5BU0RBUUdTOklOVEMuSVFfVEVWX0VCSVREQV9GV0RfQ0lRLjYwMDAuMS8xOC8yMDA4AQAAAIdSAAACAAAAEDYuMjM5NDQ0MjUyNTQ5OTQBDQAAAAUAAAABOQEAAAAHMjYyMTI5NQIAAAAEMTg4MwMAAAAGMTAwMzA4BAAAAAEyBgAAAAEwBwAAAAMxNjAIAAAAATAJAAAAATEKAAAAATALAAAACTM2MDcwMzMwOAwAAAACMTINAAAACTEvMTkvMjAwOOvYVLuTc9UIa5SQrpdz1QgvQ0lRLk5BU0RBUUdTOklOVEMuSVFfUFJJQ0VfU0FMRVMuMjAwMC44LzEzLzIwMTQBAAAAh1IAAAIAAAAIMy4xNDgwMTMBBwAAAAUAAAABMQEAAAAKMTY4ODA4MDk5MgMAAAABMAIAAAAFMzg5NTgEAAAAATAHAAAACTgvMTMvMjAxNAgAAAAJOC8xMy8yMDE0W09muZNz1Qgr1zdLl3PVCDdDSVEuTkFTREFRR1M6SU5UQy5JUV9URVZfRUJJVERBX0ZXRF9DSVEuNjAwMC4xMC8xNC8yMDExAQAAAIdSAAACAAAAEDQuNzYyNTM4Mzc4ODAwMzYBDQAAAAUAAAABOQEAAAAHMjYyMTI5NQIAAAAHMTc1NzE2NgMAAAAGMTAwMzA4BAAAAAEyBgAAAAEwBwAA</t>
  </si>
  <si>
    <t>AAMxNjAIAAAAATAJAAAAATEKAAAAATALAAAACjgxNzA3MTE2OTIMAAAAAjEyDQAAAAoxMC8xNS8yMDExqzxUu5Nz1QgbYI2ul3PVCC1DSVEuTkFTREFRR1M6SU5UQy5JUV9MQVNUU0FMRVBSSUNFLjEwLzE5LzIwMTYBAAAAh1IAAAIAAAAFMzUuNTEAy5GvvZNz1QgLkCFLl3PVCDVDSVEuTmFzZGFxR1M6SU5UQy5JUV9URVZfVE9UQUxfUkVWX0ZXRC42MDAwLjYvMjMvMjAwNgEAAACHUgAAAgAAABAyLjY0MzIzNjEwODY5MjI2AQ0AAAAFAAAAATkBAAAABzI2MjEyOTUCAAAABzE3NTcxNTADAAAABjEwMDMwNwQAAAABMgYAAAABMAcAAAADMTYwCAAAAAEwCQAAAAExCgAAAAEwCwAAAAo4ODU5Mjc2MTg0DAAAAAIxMg0AAAAJNi8yNC8yMDA2ezhWu5Nz1QhrfldJl3PVCDZDSVEuTkFTREFRR1M6SU5UQy5JUV9URVZfRUJJVERBX0ZXRF9DSVEuNjAwMC4xMi8zLzIwMDQBAAAAh1IAAAIAAAAQOC45OTY3NTY3NzQ2MTk5NgENAAAABQAAAAE5AQAAAAcyNjIxMjk1AgAAAAcxNzU3MTQ2AwAAAAYxMDAzMDgEAAAAATIGAAAAATAHAAAAAzE2MAgAAAABMAkAAAABMQoAAAABMAsAAAAKMTE2OTEyOTY4OQwAAAACMTINAAAACTEyLzQvMjAwNCt1VbuTc9UIO66Nrpdz1Qg1Q0lRLk5hc2RhcUdTOklOVEMuSVFfVEVWX1RPVEFMX1JFVl9GV0QuNjAwMC41LzI4LzIwMDQBAAAAh1IAAAIAAAAQNC44NDIxMDkxMDMxMDQ0NQEN</t>
  </si>
  <si>
    <t>AAAABQAAAAE5AQAAAAcyNjIxMjk1AgAAAAcxNzU3MTQ0AwAAAAYxMDAzMDcEAAAAATIGAAAAATAHAAAAAzE2MAgAAAABMAkAAAABMQoAAAABMAsAAAAKMTE2OTEyODM1MgwAAAACMTINAAAACTUvMjkvMjAwNIutVbmTc9UI+4pRSZdz1Qg1Q0lRLk5hc2RhcUdTOklOVEMuSVFfVEVWX1RPVEFMX1JFVl9GV0QuNjAwMC4yLzEyLzIwMTYBAAAAh1IAAAIAAAAPMi4yNDA0NzI1NDUwNjM4AQ0AAAAFAAAAATkBAAAABzI2MjEyOTUCAAAACjEwMDA5MTU0MDIDAAAABjEwMDMwNwQAAAABMgYAAAABMAcAAAADMTYwCAAAAAEwCQAAAAExCgAAAAEwCwAAAAo5Mjg0MzkyOTQyDAAAAAIxMg0AAAAJMi8xMy8yMDE2C768t5Nz1QirGlhJl3PVCCBDSVEuXlNQWC5JUV9QVEJWLjIwMDAuMTEvMTIvMjAxNAEAAACbuCgAAgAAAAg1LjQ4ODkxNQDbqoi2k3PVCItQNkuXc9UINkNJUS5OYXNkYXFHUzpJTlRDLklRX1RFVl9UT1RBTF9SRVZfRldELjYwMDAuMTAvMjgvMjAwNQEAAACHUgAAAgAAABAzLjEwNzI2MDEyNDU0NjQ0AQ0AAAAFAAAAATkBAAAABzI2MjEyOTUCAAAABzE3NTcxNDkDAAAABjEwMDMwNwQAAAABMgYAAAABMAcAAAADMTYwCAAAAAEwCQAAAAExCgAAAAEwCwAAAAoxMTY5MTMxNDUyDAAAAAIxMg0AAAAKMTAvMjkvMjAwNYtfVruTc9UIW3VSSZdz1Qg1Q0lRLk5hc2RhcUdTOklOVEMuSVFfVEVWX0VCSVREQV9G</t>
  </si>
  <si>
    <t>V0RfQ0lRLjYwMDAuNS82LzIwMDUBAAAAh1IAAAIAAAAPOC4zODkyNDg4MjM3MDA3AQ0AAAAFAAAAATkBAAAABzI2MjEyOTUCAAAABzE3NTcxNDcDAAAABjEwMDMwOAQAAAABMgYAAAABMAcAAAADMTYwCAAAAAEwCQAAAAExCgAAAAEwCwAAAAoxMTY5MTMwMjc2DAAAAAIxMg0AAAAINS83LzIwMDXLULG7k3PVCOtbj66Xc9UIJ0NJUS5OQVNEQVFHUzpJTlRDLklRX1BUQlYuMjAwMC43LzYvMjAxMgEAAACHUgAAAgAAAAg0LjE4MjA1OQEHAAAABQAAAAExAQAAAAoxNTQ1MTU2NDM4AwAAAAEwAgAAAAYxMDAwMjkEAAAAATAHAAAACDcvNi8yMDEyCAAAAAg3LzYvMjAxMksRVbmTc9UIC0FPSZdz1QgvQ0lRLk5BU0RBUUdTOklOVEMuSVFfUEVfRVhDTF9GV0QuNjAwMC4xLzIwLzIwMTcBAAAAh1IAAAIAAAAQMTMuMzQxMDM3OTU3MzExNgENAAAABQAAAAE5AQAAAAcyNjIxMjk1AgAAAAgyNzAwMzY1MwMAAAAGMTAwMzA5BAAAAAEyBgAAAAEwBwAAAAMxNjAIAAAAATAJAAAAATEKAAAAATALAAAACjk5NDEyMDM3OTUMAAAAAjEyDQAAAAkxLzIxLzIwMTfbKbK9k3PVCAuyUUmXc9UILENJUS5eU1BYLklRX1RFVl9FQklUREFfRldEX0NJUS42MDAwLjYvMy8yMDE1AQAAAJu4KAACAAAACTEwLjA2NTQ2OAArBFO7k3PVCHtHMUuXc9UILkNJUS5OQVNEQVFHUzpJTlRDLklRX1BFX0VYQ0xfRldELjYwMDAuNS8yLzIwMTQB</t>
  </si>
  <si>
    <t>AAAAh1IAAAIAAAAQMTMuNTk3MjgxNTczMzkyNAENAAAABQAAAAE5AQAAAAcyNjIxMjk1AgAAAAc0NDU2NDI3AwAAAAYxMDAzMDkEAAAAATIGAAAAATAHAAAAAzE2MAgAAAABMAkAAAABMQoAAAABMAsAAAAKOTA1MjcwMjE4MwwAAAACMTINAAAACDUvMy8yMDE0+3eyvZNz1Qj73VhJl3PVCCxDSVEuXlNQWC5JUV9URVZfVE9UQUxfUkVWX0ZXRC42MDAwLjcvMTcvMjAxMwEAAACbuCgAAgAAAAgxLjY3NDY0MQDr/rm3k3PVCHt8PUuXc9UINUNJUS5OYXNkYXFHUzpJTlRDLklRX1RFVl9UT1RBTF9SRVZfRldELjYwMDAuMS8xMS8yMDAyAQAAAIdSAAACAAAAEDguMTI1MDk1NDg2MjYxNjkBDQAAAAUAAAABOQEAAAAHMjYyMTI5NQIAAAAHMzQyMTE2MgMAAAAGMTAwMzA3BAAAAAEyBgAAAAEwBwAAAAMxNjAIAAAAATAJAAAAATEKAAAAATALAAAACjExNjkxNTI1NjMMAAAAAjEyDQAAAAkxLzEyLzIwMDJbwGi5k3PVCEswV0mXc9UINkNJUS5OYXNkYXFHUzpJTlRDLklRX1RFVl9FQklUREFfRldEX0NJUS42MDAwLjcvMjEvMjAwNgEAAACHUgAAAgAAABA4LjI2OTEwODg2NzQyNzU3AQ0AAAAFAAAAATkBAAAABzI2MjEyOTUCAAAABzE3NTcxNTEDAAAABjEwMDMwOAQAAAABMgYAAAABMAcAAAADMTYwCAAAAAEwCQAAAAExCgAAAAEwCwAAAAoxMTY5MTM0NTU1DAAAAAIxMg0AAAAJNy8yMi8yMDA2y/tWu5Nz1Qirv46u</t>
  </si>
  <si>
    <t>l3PVCDZDSVEuTkFTREFRR1M6SU5UQy5JUV9URVZfRUJJVERBX0ZXRF9DSVEuNjAwMC42LzExLzIwMTABAAAAh1IAAAIAAAAQNS4wODk5NDY5MzUxMTU0MgENAAAABQAAAAE5AQAAAAcyNjIxMjk1AgAAAAcxNzU3MTYyAwAAAAYxMDAzMDgEAAAAATIGAAAAATAHAAAAAzE2MAgAAAABMAkAAAABMQoAAAABMAsAAAAKODE3MTU3MjU1NAwAAAACMTINAAAACTYvMTIvMjAxMMuKVLuTc9UIK4eNrpdz1QgvQ0lRLk5BU0RBUUdTOklOVEMuSVFfUFJJQ0VfU0FMRVMuMjAwMC4xLzEwLzIwMTgBAAAAh1IAAAIAAAAIMy4yMjcyNzQBBwAAAAUAAAABMQEAAAAKMTg2Mjc1ODA0MwMAAAABMAIAAAAFMzg5NTgEAAAAATAHAAAACTEvMTAvMjAxOAgAAAAJMS8xMC8yMDE4y7C5t5Nz1QjbYphKl3PVCDBDSVEuTkFTREFRR1M6SU5UQy5JUV9QRV9FWENMX0ZXRC42MDAwLjEyLzIzLzIwMDQBAAAAh1IAAAIAAAAQMjAuNDY5NTY1MjE3MzkxMwENAAAABQAAAAE5AQAAAAcyNjIxMjk1AgAAAAcxNzU3MTQ2AwAAAAYxMDAzMDkEAAAAATIGAAAAATAHAAAAAzE2MAgAAAABMAkAAAABMQoAAAABMAsAAAAKMTE2OTE1NzQyNgwAAAACMTINAAAACjEyLzI0LzIwMDRribO9k3PVCDsJV0mXc9UILkNJUS5OQVNEQVFHUzpJTlRDLklRX1BSSUNFX1NBTEVTLjIwMDAuNi82LzIwMTQBAAAAh1IAAAIAAAAIMi42NTA0NTcBBwAAAAUAAAABMQEA</t>
  </si>
  <si>
    <t>AAAKMTY3MzM3OTMyNwMAAAABMAIAAAAFMzg5NTgEAAAAATAHAAAACDYvNi8yMDE0CAAAAAg2LzYvMjAxNIvEZrmTc9UImxFTSZdz1QgkQ0lRLl5TUFguSVFfTEFTVFNBTEVQUklDRS4xMS8yNi8yMDE0AQAAAJu4KAACAAAADzIwNzIuODI5NDkyNjYzOQBbP7C7k3PVCCtmNUuXc9UILUNJUS5eU1BYLklRX1RFVl9FQklUREFfRldEX0NJUS42MDAwLjkvMTEvMjAxMwEAAACbuCgAAgAAAAg4LjI3Nzg5NwDr/rm3k3PVCFsuPUuXc9UINkNJUS5OQVNEQVFHUzpJTlRDLklRX1RFVl9FQklUREFfRldEX0NJUS42MDAwLjUvMjMvMjAwOAEAAACHUgAAAgAAABA3Ljc3Mjc4OTQzMTE1Mjk5AQ0AAAAFAAAAATkBAAAABzI2MjEyOTUCAAAABzE3NTcxNTYDAAAABjEwMDMwOAQAAAABMgYAAAABMAcAAAADMTYwCAAAAAEwCQAAAAExCgAAAAEwCwAAAAo2NzI3NDg5Njc3DAAAAAIxMg0AAAAJNS8yNC8yMDA469hUu5Nz1Qirv46ul3PVCC1DSVEuXlNQWC5JUV9URVZfRUJJVERBX0ZXRF9DSVEuNjAwMC4zLzIyLzIwMTcBAAAAm7goAAIAAAAJMTAuNDI1MjQ2AGtfVbmTc9UI630XS5dz1QguQ0lRLk5BU0RBUUdTOklOVEMuSVFfUFJJQ0VfU0FMRVMuMjAwMC43LzUvMjAxMwEAAACHUgAAAgAAAAgyLjI2MTU2NwEHAAAABQAAAAExAQAAAAoxNjE0MDc0OTQyAwAAAAEwAgAAAAUzODk1OAQAAAABMAcAAAAINy81LzIwMTMIAAAA</t>
  </si>
  <si>
    <t>CDcvNS8yMDEz29e5t5Nz1Qh7cEtJl3PVCDZDSVEuTkFTREFRR1M6SU5UQy5JUV9URVZfRUJJVERBX0ZXRF9DSVEuNjAwMC41LzI5LzIwMDkBAAAAh1IAAAIAAAAPOC43MTUwMTkxNTU4NDc1AQ0AAAAFAAAAATkBAAAABzI2MjEyOTUCAAAABzE3NTcxNTkDAAAABjEwMDMwOAQAAAABMgYAAAABMAcAAAADMTYwCAAAAAEwCQAAAAExCgAAAAEwCwAAAAo4MTcyNDAzMzMwDAAAAAIxMg0AAAAJNS8zMC8yMDA527FUu5Nz1Qgb0Y+ul3PVCDVDSVEuTmFzZGFxR1M6SU5UQy5JUV9URVZfVE9UQUxfUkVWX0ZXRC42MDAwLjcvMjIvMjAxNgEAAACHUgAAAgAAABAyLjk2NDEwNDg3Nzk5MjQ3AQ0AAAAFAAAAATkBAAAABzI2MjEyOTUCAAAACDI3MDAzNjUyAwAAAAYxMDAzMDcEAAAAATIGAAAAATAHAAAAAzE2MAgAAAABMAkAAAABMQoAAAABMAsAAAAKOTYxNDk2NzEzNQwAAAACMTINAAAACTcvMjMvMjAxNlvAaLmTc9UIGyxZSZdz1Qg1Q0lRLk5hc2RhcUdTOklOVEMuSVFfVEVWX1RPVEFMX1JFVl9GV0QuNjAwMC4yLzE5LzIwMTYBAAAAh1IAAAIAAAAQMi4yNDk1MTU1ODk3ODU0NAENAAAABQAAAAE5AQAAAAcyNjIxMjk1AgAAAAoxMDAwOTE1NDAyAwAAAAYxMDAzMDcEAAAAATIGAAAAATAHAAAAAzE2MAgAAAABMAkAAAABMQoAAAABMAsAAAAKOTI5OTU3NTk2NgwAAAACMTINAAAACTIvMjAvMjAxNutJV7uTc9UI249Y</t>
  </si>
  <si>
    <t>SZdz1QgvQ0lRLk5BU0RBUUdTOklOVEMuSVFfUEVfRVhDTF9GV0QuNjAwMC44LzEzLzIwMDQBAAAAh1IAAAIAAAAQMTYuODMwNjAxMDkyODk2MgENAAAABQAAAAE5AQAAAAcyNjIxMjk1AgAAAAcxNzU3MTQ1AwAAAAYxMDAzMDkEAAAAATIGAAAAATAHAAAAAzE2MAgAAAABMAkAAAABMQoAAAABMAsAAAAKMTE2OTE1NjY1MAwAAAACMTINAAAACTgvMTQvMjAwNGuJs72Tc9UI28tOSZdz1Qg2Q0lRLk5hc2RhcUdTOklOVEMuSVFfVEVWX0VCSVREQV9GV0RfQ0lRLjYwMDAuMy8xOS8yMDA0AQAAAIdSAAACAAAAEDkuMzI4Mzk0NTk4MDAyMzUBDQAAAAUAAAABOQEAAAAHMjYyMTI5NQIAAAAEMTg3OQMAAAAGMTAwMzA4BAAAAAEyBgAAAAEwBwAAAAMxNjAIAAAAATAJAAAAATEKAAAAATALAAAACTM2MDY2MzI5OQwAAAACMTINAAAACTMvMjAvMjAwNMtQsbuTc9UI+4KPrpdz1Qg1Q0lRLk5hc2RhcUdTOklOVEMuSVFfVEVWX1RPVEFMX1JFVl9GV0QuNjAwMC41LzE2LzIwMTQBAAAAh1IAAAIAAAAQMi4zMDIxMTQ2MjMzMjQ2NAENAAAABQAAAAE5AQAAAAcyNjIxMjk1AgAAAAc0NDU2NDI3AwAAAAYxMDAzMDcEAAAAATIGAAAAATAHAAAAAzE2MAgAAAABMAkAAAABMQoAAAABMAsAAAAKOTA3MTk5NDA2OQwAAAACMTINAAAACTUvMTcvMjAxNNuHZ7mTc9UIC7JRSZdz1Qg1Q0lRLk5hc2RhcUdTOklOVEMuSVFfVEVWX1RP</t>
  </si>
  <si>
    <t>VEFMX1JFVl9GV0QuNjAwMC40LzExLzIwMDMBAAAAh1IAAAIAAAAQMy40OTE4OTI4NDE5NjgzNwENAAAABQAAAAE5AQAAAAcyNjIxMjk1AgAAAAQxODc4AwAAAAYxMDAzMDcEAAAAATIGAAAAATAHAAAAAzE2MAgAAAABMAkAAAABMQoAAAABMAsAAAAJMzYwNjU2NDUxDAAAAAIxMg0AAAAJNC8xMi8yMDAzyyG8t5Nz1QiLl0tJl3PVCCtDSVEuXlNQWC5JUV9URVZfVE9UQUxfUkVWX0ZXRC42MDAwLjkvNi8yMDE3AQAAAJu4KAACAAAACDIuMjAzMDE1AOv+ubeTc9UIqwb8Spdz1Qg1Q0lRLk5hc2RhcUdTOklOVEMuSVFfVEVWX1RPVEFMX1JFVl9GV0QuNjAwMC43LzI0LzIwMTUBAAAAh1IAAAIAAAAQMi4zMzE3NzAwNzg2NjgxNAENAAAABQAAAAE5AQAAAAcyNjIxMjk1AgAAAAc4MDY4MjYxAwAAAAYxMDAzMDcEAAAAATIGAAAAATAHAAAAAzE2MAgAAAABMAkAAAABMQoAAAABMAsAAAAKODg5OTg0MjM0MgwAAAACMTINAAAACTcvMjUvMjAxNbsiVrmTc9UIS6FZSZdz1QgmQ0lRLl5TUFguSVFfUEVfRVhDTF9GV0QuNjAwMC4zLzE5LzIwMTQBAAAAm7goAAIAAAAJMTUuNzY2MzU2AGtfVbmTc9UIS5Y6S5dz1QgkQ0lRLl5TUFguSVFfTEFTVFNBTEVQUklDRS4xMC8yMS8yMDE1AQAAAJu4KAACAAAAEDIwMTguOTQxMDMzMDA3MDIAK8NUuZNz1QhLYS5Ll3PVCC1DSVEuXlNQWC5JUV9URVZfRUJJVERBX0ZXRF9DSVEu</t>
  </si>
  <si>
    <t>NjAwMC40LzI3LzIwMTYBAAAAm7goAAIAAAAHMTAuMTI3NgDr36+9k3PVCHv0KUuXc9UINUNJUS5OYXNkYXFHUzpJTlRDLklRX1RFVl9FQklUREFfRldEX0NJUS42MDAwLjQvMi8yMDE1AQAAAIdSAAACAAAAEDYuMTI2NzMzNDgzNjc3MTIBDQAAAAUAAAABOQEAAAAHMjYyMTI5NQIAAAAKMTAwMDA5NDA3MQMAAAAGMTAwMzA4BAAAAAEyBgAAAAEwBwAAAAMxNjAIAAAAATAJAAAAATEKAAAAATALAAAACjg2OTY2Mjc3NDYMAAAAAjEyDQAAAAg0LzMvMjAxNZuGVruTc9UIyw2Prpdz1QguQ0lRLk5BU0RBUUdTOklOVEMuSVFfUEVfRVhDTF9GV0QuNjAwMC40LzUvMjAwNwEAAACHUgAAAgAAABAxOC4wNDM1ODg0NDM5OTM5AQ0AAAAFAAAAATkBAAAABzI2MjEyOTUCAAAABDE4ODIDAAAABjEwMDMwOQQAAAABMgYAAAABMAcAAAADMTYwCAAAAAEwCQAAAAExCgAAAAEwCwAAAAsxMDM3ODUyMjgzOAwAAAACMTINAAAACDQvNi8yMDA3W2KzvZNz1QgrAFJJl3PVCDRDSVEuTmFzZGFxR1M6SU5UQy5JUV9URVZfVE9UQUxfUkVWX0ZXRC42MDAwLjEvNC8yMDEzAQAAAIdSAAACAAAAEDEuOTAxMDgzMTEwNDI1MzIBDQAAAAUAAAABOQEAAAAHMjYyMTI5NQIAAAAHMTc1NzE3MAMAAAAGMTAwMzA3BAAAAAEyBgAAAAEwBwAAAAMxNjAIAAAAATAJAAAAATEKAAAAATALAAAACjg4NjQ0MzQzNTQMAAAAAjEyDQAAAAgxLzUvMjAx</t>
  </si>
  <si>
    <t>M+tvvLeTc9UIu31OSZdz1Qg1Q0lRLk5hc2RhcUdTOklOVEMuSVFfVEVWX1RPVEFMX1JFVl9GV0QuNjAwMC4xMS81LzIwMTABAAAAh1IAAAIAAAAQMi4yNzI4MTMxMDU2NDg5OAENAAAABQAAAAE5AQAAAAcyNjIxMjk1AgAAAAcxNzU3MTY0AwAAAAYxMDAzMDcEAAAAATIGAAAAATAHAAAAAzE2MAgAAAABMAkAAAABMQoAAAABMAsAAAAKODg2NDQyMTEwNQwAAAACMTINAAAACTExLzYvMjAxMDtyaLmTc9UIa+9ZSZdz1QgvQ0lRLk5BU0RBUUdTOklOVEMuSVFfUEVfRVhDTF9GV0QuNjAwMC4xLzMwLzIwMDkBAAAAh1IAAAIAAAAQMzEuMDI2MDIzMzc3NzQ3OAENAAAABQAAAAE5AQAAAAcyNjIxMjk1AgAAAAQxODg0AwAAAAYxMDAzMDkEAAAAATIGAAAAATAHAAAAAzE2MAgAAAABMAkAAAABMQoAAAABMAsAAAAHMTU0MTQwMAwAAAACMTINAAAACTEvMzEvMjAwOZv+s72Tc9UIu19TSZdz1QgoQ0lRLk5BU0RBUUdTOklOVEMuSVFfUFRCVi4yMDAwLjkvMzAvMjAxNgEAAACHUgAAAgAAAAg1LjMxOTI0NwEHAAAABQAAAAExAQAAAAoxODAxMjk0NTAxAwAAAAEwAgAAAAYxMDAwMjkEAAAAATAHAAAACTkvMzAvMjAxNggAAAAJOS8zMC8yMDE2u2qvvZNz1Qg7ellJl3PVCCNDSVEuXlNQWC5JUV9MQVNUU0FMRVBSSUNFLjEvMTUvMjAxNAEAAACbuCgAAgAAABAxODQ4LjM3ODQ5NjAxMTg2AOv+ubeTc9UI6xw8S5dz1Qg1</t>
  </si>
  <si>
    <t>Q0lRLk5hc2RhcUdTOklOVEMuSVFfVEVWX0VCSVREQV9GV0RfQ0lRLjYwMDAuOC84LzIwMDMBAAAAh1IAAAIAAAAQMTEuNDE1NDIwNjkzMDAxMwENAAAABQAAAAE5AQAAAAcyNjIxMjk1AgAAAAcxNzU3MTQyAwAAAAYxMDAzMDgEAAAAATIGAAAAATAHAAAAAzE2MAgAAAABMAkAAAABMQoAAAABMAsAAAAKMTE2OTEyNzY3NQwAAAACMTINAAAACDgvOS8yMDAzy1Cxu5Nz1Qj7go+ul3PVCC9DSVEuTkFTREFRR1M6SU5UQy5JUV9QUklDRV9TQUxFUy4yMDAwLjQvMjkvMjAxMQEAAACHUgAAAgAAAAgyLjc3NTYwOAEHAAAABQAAAAExAQAAAAoxNDQzNzY3MDAxAwAAAAEwAgAAAAUzODk1OAQAAAABMAcAAAAJNC8yOS8yMDExCAAAAAk0LzI5LzIwMTFrdma5k3PVCGsNVUmXc9UINkNJUS5OYXNkYXFHUzpJTlRDLklRX1RFVl9FQklUREFfRldEX0NJUS42MDAwLjcvMTIvMjAwMgEAAACHUgAAAgAAABAxMS4yNDQ0MDAwNjA4MzAzAQ0AAAAFAAAAATkBAAAABzI2MjEyOTUCAAAABzE3NTcxMzgDAAAABjEwMDMwOAQAAAABMgYAAAABMAcAAAADMTYwCAAAAAEwCQAAAAExCgAAAAEwCwAAAAo4NDYzMTIyMzg4DAAAAAIxMg0AAAAJNy8xMy8yMDAyq61Wu5Nz1QhrlJCul3PVCC9DSVEuTkFTREFRR1M6SU5UQy5JUV9QRV9FWENMX0ZXRC42MDAwLjQvMjQvMjAwOQEAAACHUgAAAgAAABAyNi43Mzc0MTg2OTIyMjg3AQ0AAAAF</t>
  </si>
  <si>
    <t>AAAAATkBAAAABzI2MjEyOTUCAAAABzE3NTcxNTkDAAAABjEwMDMwOQQAAAABMgYAAAABMAcAAAADMTYwCAAAAAEwCQAAAAExCgAAAAEwCwAAAAo5MDkwMzc5NzQ1DAAAAAIxMg0AAAAJNC8yNS8yMDA5OxSzvZNz1Qi7fU5Jl3PVCDZDSVEuTmFzZGFxR1M6SU5UQy5JUV9URVZfRUJJVERBX0ZXRF9DSVEuNjAwMC43LzEzLzIwMDcBAAAAh1IAAAIAAAAQMTAuMzYxMTI2MjkzMjAxNAENAAAABQAAAAE5AQAAAAcyNjIxMjk1AgAAAAcxNzU3MTUzAwAAAAYxMDAzMDgEAAAAATIGAAAAATAHAAAAAzE2MAgAAAABMAkAAAABMQoAAAABMAsAAAAKNjczMDg1ODQyNAwAAAACMTINAAAACTcvMTQvMjAwN/vFsbuTc9UIO66Nrpdz1QgvQ0lRLk5BU0RBUUdTOklOVEMuSVFfUFJJQ0VfU0FMRVMuMjAwMC43LzI5LzIwMTEBAAAAh1IAAAIAAAAIMi41MjE2NzkBBwAAAAUAAAABMQEAAAAKMTQ2MjM1NDE3MgMAAAABMAIAAAAFMzg5NTgEAAAAATAHAAAACTcvMjkvMjAxMQgAAAAJNy8yOS8yMDExO+pUuZNz1QhbBFBJl3PVCCNDSVEuXlNQWC5JUV9MQVNUU0FMRVBSSUNFLjQvMTUvMjAxNQEAAACbuCgAAgAAABAyMTA2LjYyNjI2MzY0OTYyAMuRr72Tc9UIu+MxS5dz1QgmQ0lRLl5TUFguSVFfUEVfRVhDTF9GV0QuNjAwMC40LzEwLzIwMTMBAAAAm7goAAIAAAAJMTQuMjMyNDk3ANu4r72Tc9UIm8o9S5dz1Qg2Q0lRLk5hc2Rh</t>
  </si>
  <si>
    <t>cUdTOklOVEMuSVFfVEVWX0VCSVREQV9GV0RfQ0lRLjYwMDAuNy8yMy8yMDA0AQAAAIdSAAACAAAADzcuOTM3MTI0Nzg2MTEyMwENAAAABQAAAAE5AQAAAAcyNjIxMjk1AgAAAAcxNzU3MTQ1AwAAAAYxMDAzMDgEAAAAATIGAAAAATAHAAAAAzE2MAgAAAABMAkAAAABMQoAAAABMAsAAAAKMTE2OTEyOTEzNAwAAAACMTINAAAACTcvMjQvMjAwNKutVruTc9UIu+aOrpdz1Qg2Q0lRLk5hc2RhcUdTOklOVEMuSVFfVEVWX0VCSVREQV9GV0RfQ0lRLjYwMDAuMS8yNS8yMDEzAQAAAIdSAAACAAAAEDQuNzIwNTI3NDE0MDM1OTkBDQAAAAUAAAABOQEAAAAHMjYyMTI5NQIAAAAHMzY1MjY2MAMAAAAGMTAwMzA4BAAAAAEyBgAAAAEwBwAAAAMxNjAIAAAAATAJAAAAATEKAAAAATALAAAACjU0MzgyMDAwNjgMAAAAAjEyDQAAAAkxLzI2LzIwMTOrJbS9k3PVCOvqjK6Xc9UIL0NJUS5OQVNEQVFHUzpJTlRDLklRX1BSSUNFX1NBTEVTLjIwMDAuMTIvNy8yMDEyAQAAAIdSAAACAAAACDEuODgzMzc5AQcAAAAFAAAAATEBAAAACjE1NzM4ODc3OTUDAAAAATACAAAABTM4OTU4BAAAAAEwBwAAAAkxMi83LzIwMTIIAAAACTEyLzcvMjAxMksRVbmTc9UI+xlPSZdz1QgvQ0lRLk5BU0RBUUdTOklOVEMuSVFfUEVfRVhDTF9GV0QuNjAwMC43LzI2LzIwMDIBAAAAh1IAAAIAAAAQMjYuNTgyMDg5NTUyMjM4OAENAAAABQAAAAE5AQAA</t>
  </si>
  <si>
    <t>AAcyNjIxMjk1AgAAAAcxNzU3MTM5AwAAAAYxMDAzMDkEAAAAATIGAAAAATAHAAAAAzE2MAgAAAABMAkAAAABMQoAAAABMAsAAAAKOTA5MDY4ODEwMAwAAAACMTINAAAACTcvMjcvMjAwMnuws72Tc9UICwVZSZdz1QgvQ0lRLk5BU0RBUUdTOklOVEMuSVFfUFJJQ0VfU0FMRVMuMjAwMC4xLzIxLzIwMTEBAAAAh1IAAAIAAAAIMi42NTEyNDEBBwAAAAUAAAABMQEAAAAKMTQxODkyMDk3OQMAAAABMAIAAAAFMzg5NTgEAAAAATAHAAAACTEvMjEvMjAxMQgAAAAJMS8yMS8yMDExO/Gvu5Nz1Qh7w1JJl3PVCCJDSVEuXlNQWC5JUV9MQVNUU0FMRVBSSUNFLjYvNC8yMDE0AQAAAJu4KAACAAAAEDE5MjcuODc1MDQ1NzkxOTMAK8NUuZNz1Qh7mjhLl3PVCDBDSVEuTkFTREFRR1M6SU5UQy5JUV9QUklDRV9TQUxFUy4yMDAwLjEwLzMwLzIwMTMBAAAAh1IAAAIAAAAIMi4zMjQ2NDEBBwAAAAUAAAABMQEAAAAKMTY0MjQ4Mzc5MgMAAAABMAIAAAAFMzg5NTgEAAAAATAHAAAACjEwLzMwLzIwMTMIAAAACjEwLzMwLzIwMTOLxGa5k3PVCDvgPEuXc9UINkNJUS5OYXNkYXFHUzpJTlRDLklRX1RFVl9UT1RBTF9SRVZfRldELjYwMDAuMTIvMjAvMjAwMgEAAACHUgAAAgAAABAzLjc3NTUyMjc4NzM3MTYxAQ0AAAAFAAAAATkBAAAABzI2MjEyOTUCAAAABzE3NTcxNDADAAAABjEwMDMwNwQAAAABMgYAAAABMAcAAAADMTYwCAAA</t>
  </si>
  <si>
    <t>AAEwCQAAAAExCgAAAAEwCwAAAAoxMTY5MTI2MTc4DAAAAAIxMg0AAAAKMTIvMjEvMjAwMpv+s72Tc9UIi5dLSZdz1Qg1Q0lRLk5hc2RhcUdTOklOVEMuSVFfVEVWX1RPVEFMX1JFVl9GV0QuNjAwMC41LzExLzIwMTIBAAAAh1IAAAIAAAAQMi4yNDU5MzkwMDQ2MTAwNQENAAAABQAAAAE5AQAAAAcyNjIxMjk1AgAAAAcxNzU3MTY4AwAAAAYxMDAzMDcEAAAAATIGAAAAATAHAAAAAzE2MAgAAAABMAkAAAABMQoAAAABMAsAAAAKODE3MDcwNzgyMQwAAAACMTINAAAACTUvMTIvMjAxMsshvLeTc9UIK49PSZdz1Qg1Q0lRLk5hc2RhcUdTOklOVEMuSVFfVEVWX1RPVEFMX1JFVl9GV0QuNjAwMC4yLzI3LzIwMDQBAAAAh1IAAAIAAAAQNC45OTU1ODIzNzk1MDMxOAENAAAABQAAAAE5AQAAAAcyNjIxMjk1AgAAAAQxODc5AwAAAAYxMDAzMDcEAAAAATIGAAAAATAHAAAAAzE2MAgAAAABMAkAAAABMQoAAAABMAsAAAAKNTc0ODgwMjk0NQwAAAACMTINAAAACTIvMjgvMjAwNOuXVrmTc9UI28tOSZdz1QgtQ0lRLl5TUFguSVFfVEVWX0VCSVREQV9GV0RfQ0lRLjYwMDAuNC8xMi8yMDE3AQAAAJu4KAACAAAACTEwLjQwNzI4NwDbuK+9k3PVCBuCFUuXc9UINkNJUS5OYXNkYXFHUzpJTlRDLklRX1RFVl9UT1RBTF9SRVZfRldELjYwMDAuMTAvMTMvMjAwNgEAAACHUgAAAgAAAA8zLjMyNTkzNjA3NTM3MTkBDQAAAAUAAAAB</t>
  </si>
  <si>
    <t>OQEAAAAHMjYyMTI5NQIAAAAHMTc1NzE1MQMAAAAGMTAwMzA3BAAAAAEyBgAAAAEwBwAAAAMxNjAIAAAAATAJAAAAATEKAAAAATALAAAACjg4NjA1MDYxNzIMAAAAAjEyDQAAAAoxMC8xNC8yMDA2+9VnuZNz1QhLv1RJl3PVCDZDSVEuTkFTREFRR1M6SU5UQy5JUV9URVZfRUJJVERBX0ZXRF9DSVEuNjAwMC4xMi82LzIwMTMBAAAAh1IAAAIAAAAQNS43MDA0NTY3ODA1MDYxOAENAAAABQAAAAE5AQAAAAcyNjIxMjk1AgAAAAczODI5NzUzAwAAAAYxMDAzMDgEAAAAATIGAAAAATAHAAAAAzE2MAgAAAABMAkAAAABMQoAAAABMAsAAAAKNzYyMDI4NDE4OAwAAAACMTINAAAACTEyLzcvMjAxM4vuU7uTc9UICzmNrpdz1QgmQ0lRLl5TUFguSVFfUEVfRVhDTF9GV0QuNjAwMC4xLzI5LzIwMTQBAAAAm7goAAIAAAAJMTUuMTc1NDU0ANu4r72Tc9UIy847S5dz1QgfQ0lRLl5TUFguSVFfUFRCVi4yMDAwLjEvMjkvMjAxNAEAAACbuCgAAgAAAAc0Ljk4NjQyAGtmsLuTc9UI+0M8S5dz1QguQ0lRLk5BU0RBUUdTOklOVEMuSVFfUFJJQ0VfU0FMRVMuMjAwMC4xLzYvMjAxNwEAAACHUgAAAgAAAAgyLjk3NjM5NAEHAAAABQAAAAExAQAAAAoxODE1NTQ0NDUwAwAAAAEwAgAAAAUzODk1OAQAAAABMAcAAAAIMS82LzIwMTcIAAAACDEvNi8yMDE3q0OvvZNz1Qg7ellJl3PVCC9DSVEuTkFTREFRR1M6SU5UQy5JUV9QRV9FWENM</t>
  </si>
  <si>
    <t>X0ZXRC42MDAwLjUvMjYvMjAxNwEAAACHUgAAAgAAABAxMi42ODY3NDk5Mzg3NzA1AQ0AAAAFAAAAATkBAAAABzI2MjEyOTUCAAAACDI3NTAwMTcyAwAAAAYxMDAzMDkEAAAAATIGAAAAATAHAAAAAzE2MAgAAAABMAkAAAABMQoAAAABMAsAAAALMTAxNTc1MDk1MTEMAAAAAjEyDQAAAAk1LzI3LzIwMTeL17O9k3PVCFt1UkmXc9UINUNJUS5OYXNkYXFHUzpJTlRDLklRX1RFVl9UT1RBTF9SRVZfRldELjYwMDAuOC8yNy8yMDA0AQAAAIdSAAACAAAAEDMuNDE1MTQxODUzMDUxNTQBDQAAAAUAAAABOQEAAAAHMjYyMTI5NQIAAAAHMTc1NzE0NQMAAAAGMTAwMzA3BAAAAAEyBgAAAAEwBwAAAAMxNjAIAAAAATAJAAAAATEKAAAAATALAAAACjExNjkxMjg3NzMMAAAAAjEyDQAAAAk4LzI4LzIwMDT71We5k3PVCBtKVEmXc9UILUNJUS5eU1BYLklRX1RFVl9UT1RBTF9SRVZfRldELjYwMDAuMTAvMTEvMjAxNwEAAACbuCgAAgAAAAgyLjI5MzQ4MQD7Jbq3k3PVCPt29UqXc9UIKENJUS5OQVNEQVFHUzpJTlRDLklRX1BUQlYuMjAwMC4zLzExLzIwMTYBAAAAh1IAAAIAAAAHMy4yNzUxMgEHAAAABQAAAAExAQAAAAoxNzc1OTMzMTQwAwAAAAEwAgAAAAYxMDAwMjkEAAAAATAHAAAACTMvMTEvMjAxNggAAAAJMy8xMS8yMDE2q0OvvZNz1Qh7FlpJl3PVCC9DSVEuTkFTREFRR1M6SU5UQy5JUV9QRV9FWENMX0ZXRC42MDAw</t>
  </si>
  <si>
    <t>LjExLzcvMjAwMwEAAACHUgAAAgAAABAzMC44NDEzNzY3OTgzOTc0AQ0AAAAFAAAAATkBAAAABzI2MjEyOTUCAAAABzE3NTcxNDMDAAAABjEwMDMwOQQAAAABMgYAAAABMAcAAAADMTYwCAAAAAEwCQAAAAExCgAAAAEwCwAAAAoxMTY5MTU1NDIzDAAAAAIxMg0AAAAJMTEvOC8yMDAze7CzvZNz1QibZFpJl3PVCDdDSVEuTkFTREFRR1M6SU5UQy5JUV9URVZfRUJJVERBX0ZXRF9DSVEuNjAwMC4xMi8yOS8yMDA2AQAAAIdSAAACAAAAEDguNzAzNDUxOTE2NjY5NDIBDQAAAAUAAAABOQEAAAAHMjYyMTI5NQIAAAAHMTc1NzE1MgMAAAAGMTAwMzA4BAAAAAEyBgAAAAEwBwAAAAMxNjAIAAAAATAJAAAAATEKAAAAATALAAAACjY4MzE0NDA2MTcMAAAAAjEyDQAAAAoxMi8zMC8yMDA2CydVu5Nz1QjbNI+ul3PVCChDSVEuTkFTREFRR1M6SU5UQy5JUV9QVEJWLjIwMDAuMS8yMC8yMDEyAQAAAIdSAAACAAAACDQuNDAwMTM5AQcAAAAFAAAAATEBAAAACjE0OTA0NjQ0MDUDAAAAATACAAAABjEwMDAyOQQAAAABMAcAAAAJMS8yMC8yMDEyCAAAAAkxLzIwLzIwMTJrdma5k3PVCEu/VEmXc9UII0NJUS5eU1BYLklRX0xBU1RTQUxFUFJJQ0UuOC8zMC8yMDE3AQAAAJu4KAACAAAAEDI0NTcuNTg1ODExNTIwNTIAK8NUuZNz1Qg7hPhKl3PVCDZDSVEuTkFTREFRR1M6SU5UQy5JUV9URVZfRUJJVERBX0ZXRF9DSVEuNjAwMC4x</t>
  </si>
  <si>
    <t>MC80LzIwMTMBAAAAh1IAAAIAAAAQNS4wNjAzODgxOTI3MTA1NQENAAAABQAAAAE5AQAAAAcyNjIxMjk1AgAAAAczODI5NzUyAwAAAAYxMDAzMDgEAAAAATIGAAAAATAHAAAAAzE2MAgAAAABMAkAAAABMQoAAAABMAsAAAAKNzYxNjYzNzIzNwwAAAACMTINAAAACTEwLzUvMjAxM4vuU7uTc9UIm5iOrpdz1QgvQ0lRLk5BU0RBUUdTOklOVEMuSVFfUEVfRVhDTF9GV0QuNjAwMC4xLzE2LzIwMTUBAAAAh1IAAAIAAAAQMTUuMzUwNTM1NDc4ODk4OAENAAAABQAAAAE5AQAAAAcyNjIxMjk1AgAAAAoxMDAwMDk0MDcxAwAAAAYxMDAzMDkEAAAAATIGAAAAATAHAAAAAzE2MAgAAAABMAkAAAABMQoAAAABMAsAAAAKODUxOTQ2NDY5MQwAAAACMTINAAAACTEvMTcvMjAxNetQsr2Tc9UIy2hYSZdz1QgvQ0lRLk5BU0RBUUdTOklOVEMuSVFfUFJJQ0VfU0FMRVMuMjAwMC4zLzI3LzIwMTMBAAAAh1IAAAIAAAAIMi4wNDQ2MzEBBwAAAAUAAAABMQEAAAAKMTU4ODE1NzQ2MwMAAAABMAIAAAAFMzg5NTgEAAAAATAHAAAACTMvMjcvMjAxMwgAAAAJMy8yNy8yMDEz+45Su5Nz1Qi7GD5Ll3PVCDVDSVEuTmFzZGFxR1M6SU5UQy5JUV9URVZfVE9UQUxfUkVWX0ZXRC42MDAwLjUvMzAvMjAwMwEAAACHUgAAAgAAABA0LjMxNzkxMDkwMTg5NDA2AQ0AAAAFAAAAATkBAAAABzI2MjEyOTUCAAAABzE3NTcxNDEDAAAABjEwMDMwNwQA</t>
  </si>
  <si>
    <t>AAABMgYAAAABMAcAAAADMTYwCAAAAAEwCQAAAAExCgAAAAEwCwAAAAoxMTY5MTI2NjMyDAAAAAIxMg0AAAAJNS8zMS8yMDAzy1Cxu5Nz1Qi7X1NJl3PVCDZDSVEuTmFzZGFxR1M6SU5UQy5JUV9URVZfVE9UQUxfUkVWX0ZXRC42MDAwLjExLzIwLzIwMDkBAAAAh1IAAAIAAAAQMi40OTY1NjIzNzEwOTUxMQENAAAABQAAAAE5AQAAAAcyNjIxMjk1AgAAAAcxNzU3MTYxAwAAAAYxMDAzMDcEAAAAATIGAAAAATAHAAAAAzE2MAgAAAABMAkAAAABMQoAAAABMAsAAAAKODg2NDIxMDgwNQwAAAACMTINAAAACjExLzIxLzIwMDmL17O9k3PVCPtsVkmXc9UILENJUS5OQVNEQVFHUzpJTlRDLklRX0xBU1RTQUxFUFJJQ0UuNy8xMi8yMDE3AQAAAIdSAAACAAAABTM0LjI1AOv+ubeTc9UI+/4IS5dz1QgnQ0lRLk5BU0RBUUdTOklOVEMuSVFfUFRCVi4yMDAwLjUvOC8yMDE1AQAAAIdSAAACAAAACDMuODkzNTk5AQcAAAAFAAAAATEBAAAACjE3MzA3NjI3NTUDAAAAATACAAAABjEwMDAyOQQAAAABMAcAAAAINS84LzIwMTUIAAAACDUvOC8yMDE1O/Gvu5Nz1Qh7w1JJl3PVCC9DSVEuTkFTREFRR1M6SU5UQy5JUV9QRV9FWENMX0ZXRC42MDAwLjMvMTAvMjAwNgEAAACHUgAAAgAAABAxOS4yNzE4NDQ2NjAxOTQyAQ0AAAAFAAAAATkBAAAABzI2MjEyOTUCAAAABDE4ODEDAAAABjEwMDMwOQQAAAABMgYAAAABMAcAAAADMTYw</t>
  </si>
  <si>
    <t>CAAAAAEwCQAAAAExCgAAAAEwCwAAAAcxNTE2ODkxDAAAAAIxMg0AAAAJMy8xMS8yMDA2u0y0vZNz1QibglVJl3PVCC1DSVEuXlNQWC5JUV9URVZfRUJJVERBX0ZXRF9DSVEuNjAwMC44LzE2LzIwMTcBAAAAm7goAAIAAAAJMTAuNDk4MDE2ANu4r72Tc9UIuw8BS5dz1QggQ0lRLl5TUFguSVFfUFRCVi4yMDAwLjExLzI2LzIwMTQBAAAAm7goAAIAAAAINS42MTE3ODEAi8RmuZNz1Qh7KTZLl3PVCDZDSVEuTkFTREFRR1M6SU5UQy5JUV9URVZfRUJJVERBX0ZXRF9DSVEuNjAwMC4zLzE2LzIwMDcBAAAAh1IAAAIAAAAQNy42MTUxNjMwODE3MTM5NAENAAAABQAAAAE5AQAAAAcyNjIxMjk1AgAAAAQxODgyAwAAAAYxMDAzMDgEAAAAATIGAAAAATAHAAAAAzE2MAgAAAABMAkAAAABMQoAAAABMAsAAAALMTAzMzQxNzYwODQMAAAAAjEyDQAAAAkzLzE3LzIwMDf7/1S7k3PVCHtKjq6Xc9UIL0NJUS5OQVNEQVFHUzpJTlRDLklRX1BSSUNFX1NBTEVTLjIwMDAuNS8xOS8yMDE3AQAAAIdSAAACAAAACDIuNzY4NjUyAQcAAAAFAAAAATEBAAAACjE4MzgzNjAxMzIDAAAAATACAAAABTM4OTU4BAAAAAEwBwAAAAk1LzE5LzIwMTcIAAAACTUvMTkvMjAxN/uOUruTc9UIi8xXSZdz1QgpQ0lRLk5BU0RBUUdTOklOVEMuSVFfUFRCVi4yMDAwLjEwLzI2LzIwMTIBAAAAh1IAAAIAAAAIMy4yODA4NDMBBwAAAAUAAAABMQEAAAAK</t>
  </si>
  <si>
    <t>MTU3MTM0OTEyMgMAAAABMAIAAAAGMTAwMDI5BAAAAAEwBwAAAAoxMC8yNi8yMDEyCAAAAAoxMC8yNi8yMDEy+45Su5Nz1QgLlFZJl3PVCB9DSVEuXlNQWC5JUV9QVEJWLjIwMDAuOC8xNC8yMDEzAQAAAJu4KAACAAAACDUuMDYwMjUzAFs/sLuTc9UIa1U9S5dz1QgvQ0lRLk5BU0RBUUdTOklOVEMuSVFfUFJJQ0VfU0FMRVMuMjAwMC41LzE4LzIwMTIBAAAAh1IAAAIAAAAIMi40ODAxNDEBBwAAAAUAAAABMQEAAAAKMTU0NTE1NjQzOAMAAAABMAIAAAAFMzg5NTgEAAAAATAHAAAACTUvMTgvMjAxMggAAAAJNS8xOC8yMDEyq0OvvZNz1QhLoVlJl3PVCC9DSVEuTkFTREFRR1M6SU5UQy5JUV9QUklDRV9TQUxFUy4yMDAwLjgvMjcvMjAxNAEAAACHUgAAAgAAAAgzLjIxMTcxMgEHAAAABQAAAAExAQAAAAoxNjg4MDgwOTkyAwAAAAEwAgAAAAUzODk1OAQAAAABMAcAAAAJOC8yNy8yMDE0CAAAAAk4LzI3LzIwMTTLsLm3k3PVCBuwN0uXc9UIMENJUS5OQVNEQVFHUzpJTlRDLklRX1BFX0VYQ0xfRldELjYwMDAuMTAvMTUvMjAwNAEAAACHUgAAAgAAABAxOS41MzU1NDUwMjM2OTY3AQ0AAAAFAAAAATkBAAAABzI2MjEyOTUCAAAABzE3NTcxNDYDAAAABjEwMDMwOQQAAAABMgYAAAABMAcAAAADMTYwCAAAAAEwCQAAAAExCgAAAAEwCwAAAAoxMTY5MTU3MzU1DAAAAAIxMg0AAAAKMTAvMTYvMjAwNIvXs72Tc9UIK49P</t>
  </si>
  <si>
    <t>SZdz1Qg2Q0lRLk5hc2RhcUdTOklOVEMuSVFfVEVWX0VCSVREQV9GV0RfQ0lRLjYwMDAuMi8yOC8yMDE0AQAAAIdSAAACAAAAEDUuNTU0MDU1MjcxNDM2NDkBDQAAAAUAAAABOQEAAAAHMjYyMTI5NQIAAAAHNDQ1NjQyMQMAAAAGMTAwMzA4BAAAAAEyBgAAAAEwBwAAAAMxNjAIAAAAATAJAAAAATEKAAAAATALAAAACjY0OTc5MzMxODUMAAAAAjEyDQAAAAgzLzEvMjAxNKsltL2Tc9UIa5SQrpdz1QgwQ0lRLk5BU0RBUUdTOklOVEMuSVFfUEVfRVhDTF9GV0QuNjAwMC4xMC8yNi8yMDAxAQAAAIdSAAACAAAAEDUzLjk0MjQyODAzNTA0MzgBDQAAAAUAAAABOQEAAAAHMjYyMTI5NQIAAAAHMzQyMTE2MgMAAAAGMTAwMzA5BAAAAAEyBgAAAAEwBwAAAAMxNjAIAAAAATAJAAAAATEKAAAAATALAAAACjg4NjAxMDc3OTQMAAAAAjEyDQAAAAoxMC8yNy8yMDAxi9ezvZNz1QjLhlNJl3PVCC5DSVEuTkFTREFRR1M6SU5UQy5JUV9QUklDRV9TQUxFUy4yMDAwLjgvNy8yMDE1AQAAAIdSAAACAAAACDIuNTAyNDUyAQcAAAAFAAAAATEBAAAACjE3NDczNTk1MTIDAAAAATACAAAABTM4OTU4BAAAAAEwBwAAAAg4LzcvMjAxNQgAAAAIOC83LzIwMTXbqoi2k3PVCFsiS0mXc9UIL0NJUS5OQVNEQVFHUzpJTlRDLklRX1BSSUNFX1NBTEVTLjIwMDAuMi8yNi8yMDE0AQAAAIdSAAACAAAACDIuMzM4NDY4AQcAAAAFAAAAATEBAAAA</t>
  </si>
  <si>
    <t>CjE2NTgzNDI3ODADAAAAATACAAAABTM4OTU4BAAAAAEwBwAAAAkyLzI2LzIwMTQIAAAACTIvMjYvMjAxNEsRVbmTc9UIq4A7S5dz1QgoQ0lRLk5BU0RBUUdTOklOVEMuSVFfUFRCVi4yMDAwLjIvMjYvMjAxNgEAAACHUgAAAgAAAAgzLjA3MzAwMwEHAAAABQAAAAExAQAAAAoxNzc1OTMzMTQwAwAAAAEwAgAAAAYxMDAwMjkEAAAAATAHAAAACTIvMjYvMjAxNggAAAAJMi8yNi8yMDE2C7ZSu5Nz1QjL91VJl3PVCCxDSVEuXlNQWC5JUV9URVZfVE9UQUxfUkVWX0ZXRC42MDAwLjEvMjQvMjAxOAEAAACbuCgAAgAAAAgyLjQ2MTA2NQDr0Yi2k3PVCDuXY0qXc9UIL0NJUS5OQVNEQVFHUzpJTlRDLklRX1BFX0VYQ0xfRldELjYwMDAuOC8yMS8yMDA5AQAAAIdSAAACAAAAEDE5LjA1Mzk2NDA5MTE4NDIBDQAAAAUAAAABOQEAAAAHMjYyMTI5NQIAAAAHMTc1NzE2MAMAAAAGMTAwMzA5BAAAAAEyBgAAAAEwBwAAAAMxNjAIAAAAATAJAAAAATEKAAAAATALAAAACjg4NjQ0MDY1MzkMAAAAAjEyDQAAAAk4LzIyLzIwMDmb/rO9k3PVCAsFWUmXc9UIMENJUS5OQVNEQVFHUzpJTlRDLklRX1BSSUNFX1NBTEVTLjIwMDAuMTIvMTkvMjAxNAEAAACHUgAAAgAAAAgzLjI3NTYzNQEHAAAABQAAAAExAQAAAAoxNzAzNjgxODk0AwAAAAEwAgAAAAUzODk1OAQAAAABMAcAAAAKMTIvMTkvMjAxNAgAAAAKMTIvMTkvMjAxNMuwubeT</t>
  </si>
  <si>
    <t>c9UIO0VNSZdz1QgvQ0lRLk5BU0RBUUdTOklOVEMuSVFfUFJJQ0VfU0FMRVMuMjAwMC4zLzE5LzIwMTABAAAAh1IAAAIAAAAIMy40NzkxNTYBBwAAAAUAAAABMQEAAAAKMTMyODg4ODcwNAMAAAABMAIAAAAFMzg5NTgEAAAAATAHAAAACTMvMTkvMjAxMAgAAAAJMy8xOS8yMDEwa3ZmuZNz1Qg7mFRJl3PVCDRDSVEuTmFzZGFxR1M6SU5UQy5JUV9URVZfVE9UQUxfUkVWX0ZXRC42MDAwLjYvMS8yMDA3AQAAAIdSAAACAAAAEDMuMjY4NDA4OTc2MTU2MjIBDQAAAAUAAAABOQEAAAAHMjYyMTI5NQIAAAAHMTc1NzE1MwMAAAAGMTAwMzA3BAAAAAEyBgAAAAEwBwAAAAMxNjAIAAAAATAJAAAAATEKAAAAATALAAAACzEwMzc4NTgzODk5DAAAAAIxMg0AAAAINi8yLzIwMDe7TLS9k3PVCAuUVkmXc9UIL0NJUS5OQVNEQVFHUzpJTlRDLklRX1BFX0VYQ0xfRldELjYwMDAuMS8yOC8yMDA1AQAAAIdSAAACAAAAEDE3Ljk5MzUyNzUwODA5MDYBDQAAAAUAAAABOQEAAAAHMjYyMTI5NQIAAAAEMTg4MAMAAAAGMTAwMzA5BAAAAAEyBgAAAAEwBwAAAAMxNjAIAAAAATAJAAAAATEKAAAAATALAAAABzE1MDkwNjQMAAAAAjEyDQAAAAkxLzI5LzIwMDVribO9k3PVCIt5UEmXc9UIL0NJUS5OQVNEQVFHUzpJTlRDLklRX1BFX0VYQ0xfRldELjYwMDAuMi8yMi8yMDAyAQAAAIdSAAACAAAADzQzLjE3MjUxNDYxOTg4MwENAAAABQAA</t>
  </si>
  <si>
    <t>AAE5AQAAAAcyNjIxMjk1AgAAAAQxODc3AwAAAAYxMDAzMDkEAAAAATIGAAAAATAHAAAAAzE2MAgAAAABMAkAAAABMQoAAAABMAsAAAAHMTQ5Nzc4OQwAAAACMTINAAAACTIvMjMvMjAwMnuws72Tc9UIaytQSZdz1QgvQ0lRLk5BU0RBUUdTOklOVEMuSVFfUEVfRVhDTF9GV0QuNjAwMC4yLzIzLzIwMDcBAAAAh1IAAAIAAAAQMTkuMTMzNjQwNTUyOTk1NAENAAAABQAAAAE5AQAAAAcyNjIxMjk1AgAAAAQxODgyAwAAAAYxMDAzMDkEAAAAATIGAAAAATAHAAAAAzE2MAgAAAABMAkAAAABMQoAAAABMAsAAAALMTAzNzg1MjI4MzYMAAAAAjEyDQAAAAkyLzI0LzIwMDdbYrO9k3PVCDuYVEmXc9UIL0NJUS5OQVNEQVFHUzpJTlRDLklRX1BFX0VYQ0xfRldELjYwMDAuMTIvNS8yMDA4AQAAAIdSAAACAAAAEDE3LjIwMzg4MzQ5NTE0NTYBDQAAAAUAAAABOQEAAAAHMjYyMTI5NQIAAAAHMTc1NzE1OAMAAAAGMTAwMzA5BAAAAAEyBgAAAAEwBwAAAAMxNjAIAAAAATAJAAAAATEKAAAAATALAAAACjg4NjQ0ODM2MjUMAAAAAjEyDQAAAAkxMi82LzIwMDg7FLO9k3PVCKvHUEmXc9UILkNJUS5OQVNEQVFHUzpJTlRDLklRX1BFX0VYQ0xfRldELjYwMDAuOC82LzIwMDQBAAAAh1IAAAIAAAAQMTcuNzYxMzEwNDUyNDE4MQENAAAABQAAAAE5AQAAAAcyNjIxMjk1AgAAAAcxNzU3MTQ1AwAAAAYxMDAzMDkEAAAAATIGAAAAATAH</t>
  </si>
  <si>
    <t>AAAAAzE2MAgAAAABMAkAAAABMQoAAAABMAsAAAAKMTE2OTE1NjY0OQwAAAACMTINAAAACDgvNy8yMDA0a4mzvZNz1QgbaE9Jl3PVCCVDSVEuXlNQWC5JUV9QRV9FWENMX0ZXRC42MDAwLjIvNy8yMDE4AQAAAJu4KAACAAAACTE3LjQxMzU2MwBrX1W5k3PVCHtkykmXc9UILENJUS5eU1BYLklRX1RFVl9UT1RBTF9SRVZfRldELjYwMDAuMTAvOC8yMDE0AQAAAJu4KAACAAAACDEuODU0Njc4AGtmsLuTc9UIu8U2S5dz1Qg2Q0lRLk5hc2RhcUdTOklOVEMuSVFfVEVWX1RPVEFMX1JFVl9GV0QuNjAwMC4xMC8yMi8yMDEwAQAAAIdSAAACAAAAEDIuMDg5ODEwNTg5ODM1MTIBDQAAAAUAAAABOQEAAAAHMjYyMTI5NQIAAAAHMTc1NzE2NAMAAAAGMTAwMzA3BAAAAAEyBgAAAAEwBwAAAAMxNjAIAAAAATAJAAAAATEKAAAAATALAAAACjg4NjQ0MjExMDMMAAAAAjEyDQAAAAoxMC8yMy8yMDEwuzlnuZNz1Qir5UtJl3PVCDBDSVEuTkFTREFRR1M6SU5UQy5JUV9QUklDRV9TQUxFUy4yMDAwLjEyLzI3LzIwMTMBAAAAh1IAAAIAAAAIMi40Mjk1MDgBBwAAAAUAAAABMQEAAAAKMTY0MjQ4Mzc5MgMAAAABMAIAAAAFMzg5NTgEAAAAATAHAAAACjEyLzI3LzIwMTMIAAAACjEyLzI3LzIwMTNLGLC7k3PVCMsVUUmXc9UINkNJUS5OYXNkYXFHUzpJTlRDLklRX1RFVl9FQklUREFfRldEX0NJUS42MDAwLjkvMTYvMjAwNQEAAACH</t>
  </si>
  <si>
    <t>UgAAAgAAABA3Ljc4NzU4NDEwMTcxMjM5AQ0AAAAFAAAAATkBAAAABzI2MjEyOTUCAAAABzE3NTcxNDgDAAAABjEwMDMwOAQAAAABMgYAAAABMAcAAAADMTYwCAAAAAEwCQAAAAExCgAAAAEwCwAAAAoxMTY5MTMwOTY3DAAAAAIxMg0AAAAJOS8xNy8yMDA1q61Wu5Nz1Qj7EY2ul3PVCDVDSVEuTmFzZGFxR1M6SU5UQy5JUV9URVZfVE9UQUxfUkVWX0ZXRC42MDAwLjgvMjUvMjAwNgEAAACHUgAAAgAAABAyLjg5MjM2MTY5NzUyNTcxAQ0AAAAFAAAAATkBAAAABzI2MjEyOTUCAAAABzE3NTcxNTEDAAAABjEwMDMwNwQAAAABMgYAAAABMAcAAAADMTYwCAAAAAEwCQAAAAExCgAAAAEwCwAAAAo4ODYwNTM1MTI2DAAAAAIxMg0AAAAJOC8yNi8yMDA220i8t5Nz1Qg7ellJl3PVCChDSVEuTkFTREFRR1M6SU5UQy5JUV9QVEJWLjIwMDAuOS8yMi8yMDE3AQAAAIdSAAACAAAACDMuODI2NjM0AQcAAAAFAAAAATEBAAAACjE4NTA2MTg2NjQDAAAAATACAAAABjEwMDAyOQQAAAABMAcAAAAJOS8yMi8yMDE3CAAAAAk5LzIyLzIwMTdLEVW5k3PVCAtBT0mXc9UILENJUS5eU1BYLklRX1RFVl9UT1RBTF9SRVZfRldELjYwMDAuNC8xNS8yMDE1AQAAAJu4KAACAAAACDIuMDQ3MTExAHuNsLuTc9UI2zEyS5dz1Qg1Q0lRLk5hc2RhcUdTOklOVEMuSVFfVEVWX1RPVEFMX1JFVl9GV0QuNjAwMC44LzIxLzIwMDkBAAAAh1IAAAIA</t>
  </si>
  <si>
    <t>AAAQMi43ODY1NjQ5NzQ4NjM5NAENAAAABQAAAAE5AQAAAAcyNjIxMjk1AgAAAAcxNzU3MTYwAwAAAAYxMDAzMDcEAAAAATIGAAAAATAHAAAAAzE2MAgAAAABMAkAAAABMQoAAAABMAsAAAAKODg2NDIxMTM0MAwAAAACMTINAAAACTgvMjIvMjAwOZvUVbmTc9UIi5dLSZdz1Qg1Q0lRLk5hc2RhcUdTOklOVEMuSVFfVEVWX1RPVEFMX1JFVl9GV0QuNjAwMC44LzIyLzIwMDgBAAAAh1IAAAIAAAAQMi45MzUzNzc1NTg4MDM4OQENAAAABQAAAAE5AQAAAAcyNjIxMjk1AgAAAAcxNzU3MTU3AwAAAAYxMDAzMDcEAAAAATIGAAAAATAHAAAAAzE2MAgAAAABMAkAAAABMQoAAAABMAsAAAAKODg2MjAyOTM2MwwAAAACMTINAAAACTgvMjMvMjAwOPu+VrmTc9UIS05SSZdz1QglQ0lRLl5TUFguSVFfUEVfRVhDTF9GV0QuNjAwMC4zLzEvMjAxNwEAAACbuCgAAgAAAAgxOC40NTQ5OQDbuK+9k3PVCOt9F0uXc9UINkNJUS5OQVNEQVFHUzpJTlRDLklRX1RFVl9FQklUREFfRldEX0NJUS42MDAwLjQvMTYvMjAwNAEAAACHUgAAAgAAABA5LjA3MzcxOTEzMTg0MDg4AQ0AAAAFAAAAATkBAAAABzI2MjEyOTUCAAAABzE3NTcxNDQDAAAABjEwMDMwOAQAAAABMgYAAAABMAcAAAADMTYwCAAAAAEwCQAAAAExCgAAAAEwCwAAAAoxMTY5MTI4Njg2DAAAAAIxMg0AAAAJNC8xNy8yMDA0O5xVu5Nz1Qh7So6ul3PVCCxDSVEuXlNQWC5J</t>
  </si>
  <si>
    <t>UV9URVZfVE9UQUxfUkVWX0ZXRC42MDAwLjEvMTUvMjAxNAEAAACbuCgAAgAAAAgxLjc5MDk2MQDbuK+9k3PVCAtrPEuXc9UIJkNJUS5eU1BYLklRX1BFX0VYQ0xfRldELjYwMDAuOC8yMy8yMDE3AQAAAJu4KAACAAAACTE3Ljg5MDQyMgDr/rm3k3PVCPtY+kqXc9UINkNJUS5OYXNkYXFHUzpJTlRDLklRX1RFVl9UT1RBTF9SRVZfRldELjYwMDAuMTEvMjQvMjAwNgEAAACHUgAAAgAAABAzLjIyMDE1MTAyODI0MzMxAQ0AAAAFAAAAATkBAAAABzI2MjEyOTUCAAAABzE3NTcxNTIDAAAABjEwMDMwNwQAAAABMgYAAAABMAcAAAADMTYwCAAAAAEwCQAAAAExCgAAAAEwCwAAAAo4ODYwNDk5NzMwDAAAAAIxMg0AAAAKMTEvMjUvMjAwNqsCsbuTc9UIW1dXSZdz1Qg2Q0lRLk5BU0RBUUdTOklOVEMuSVFfVEVWX0VCSVREQV9GV0RfQ0lRLjYwMDAuNS8yNC8yMDAyAQAAAIdSAAACAAAAEDE1LjAzNTUzNTYxNzAxODEBDQAAAAUAAAABOQEAAAAHMjYyMTI5NQIAAAAHMTc1NzEzOAMAAAAGMTAwMzA4BAAAAAEyBgAAAAEwBwAAAAMxNjAIAAAAATAJAAAAATEKAAAAATALAAAACjExNjkxMjU2MzgMAAAAAjEyDQAAAAk1LzI1LzIwMDJb6lW7k3PVCNs0j66Xc9UINkNJUS5OQVNEQVFHUzpJTlRDLklRX1RFVl9FQklUREFfRldEX0NJUS42MDAwLjMvMjgvMjAxNAEAAACHUgAAAgAAABA1Ljc3MDU1NzMxNDcwMDgxAQ0AAAAF</t>
  </si>
  <si>
    <t>AAAAATkBAAAABzI2MjEyOTUCAAAABzQ0NTY0MjEDAAAABjEwMDMwOAQAAAABMgYAAAABMAcAAAADMTYwCAAAAAEwCQAAAAExCgAAAAEwCwAAAAo2NDk3OTMzMTg2DAAAAAIxMg0AAAAJMy8yOS8yMDE0e8dTu5Nz1QhL1Y2ul3PVCDZDSVEuTkFTREFRR1M6SU5UQy5JUV9URVZfRUJJVERBX0ZXRF9DSVEuNjAwMC44LzI2LzIwMDUBAAAAh1IAAAIAAAAQNy45OTUyNTQ3ODM0MzI2OAENAAAABQAAAAE5AQAAAAcyNjIxMjk1AgAAAAcxNzU3MTQ4AwAAAAYxMDAzMDgEAAAAATIGAAAAATAHAAAAAzE2MAgAAAABMAkAAAABMQoAAAABMAsAAAAKMTE2OTEzMDk2NwwAAAACMTINAAAACTgvMjcvMjAwNRtOVbuTc9UIC6qPrpdz1QgrQ0lRLl5TUFguSVFfVEVWX1RPVEFMX1JFVl9GV0QuNjAwMC43LzUvMjAxNwEAAACbuCgAAgAAAAgyLjIyMzk3NwB7jbC7k3PVCEvCCUuXc9UINUNJUS5OQVNEQVFHUzpJTlRDLklRX1RFVl9FQklUREFfRldEX0NJUS42MDAwLjYvNi8yMDAzAQAAAIdSAAACAAAAEDExLjQ0Mjg0OTAyOTczMjcBDQAAAAUAAAABOQEAAAAHMjYyMTI5NQIAAAAHMTc1NzE0MQMAAAAGMTAwMzA4BAAAAAEyBgAAAAEwBwAAAAMxNjAIAAAAATAJAAAAATEKAAAAATALAAAACjExNjkxMjY5ODMMAAAAAjEyDQAAAAg2LzcvMjAwM0vDVbuTc9UIC6qPrpdz1Qg1Q0lRLk5hc2RhcUdTOklOVEMuSVFfVEVWX1RPVEFM</t>
  </si>
  <si>
    <t>X1JFVl9GV0QuNjAwMC4zLzI4LzIwMDgBAAAAh1IAAAIAAAAQMi42NjU5NjE3OTQ2MTM2NwENAAAABQAAAAE5AQAAAAcyNjIxMjk1AgAAAAQxODgzAwAAAAYxMDAzMDcEAAAAATIGAAAAATAHAAAAAzE2MAgAAAABMAkAAAABMQoAAAABMAsAAAAJMzYwNzAwMjU1DAAAAAIxMg0AAAAJMy8yOS8yMDA4S5louZNz1QhbV1dJl3PVCCBDSVEuXlNQWC5JUV9QVEJWLjIwMDAuMTIvMjcvMjAxNwEAAACbuCgAAgAAAAg5LjU2NzIzOABbP7C7k3PVCKs5tUqXc9UIKENJUS5OQVNEQVFHUzpJTlRDLklRX1BUQlYuMjAwMC44LzEyLzIwMTYBAAAAh1IAAAIAAAAINC44NzExNjIBBwAAAAUAAAABMQEAAAAKMTgwMTI5NDUwMQMAAAABMAIAAAAGMTAwMDI5BAAAAAEwBwAAAAk4LzEyLzIwMTYIAAAACTgvMTIvMjAxNvuOUruTc9UIi8xXSZdz1QguQ0lRLk5BU0RBUUdTOklOVEMuSVFfUEVfRVhDTF9GV0QuNjAwMC43LzIvMjAxNQEAAACHUgAAAgAAAA8xMy42NDY3MTcyODQ1MDIBDQAAAAUAAAABOQEAAAAHMjYyMTI5NQIAAAAHODA2ODI2MAMAAAAGMTAwMzA5BAAAAAEyBgAAAAEwBwAAAAMxNjAIAAAAATAJAAAAATEKAAAAATALAAAACjg4ODI5NDEyMTIMAAAAAjEyDQAAAAg3LzMvMjAxNetQsr2Tc9UIm2RaSZdz1QgjQ0lRLl5TUFguSVFfTEFTVFNBTEVQUklDRS4xLzE3LzIwMTgBAAAAm7goAAIAAAAQMjgwMi41NTU1NzQx</t>
  </si>
  <si>
    <t>OTI5MgBLKGa5k3PVCGvARkqXc9UIIkNJUS5eU1BYLklRX0xBU1RTQUxFUFJJQ0UuMi8xLzIwMTcBAAAAm7goAAIAAAAQMjI3OS41NTQyOTA1MTUyMwBbP7C7k3PVCLt5GUuXc9UILkNJUS5OQVNEQVFHUzpJTlRDLklRX1BFX0VYQ0xfRldELjYwMDAuMi85LzIwMDEBAAAAh1IAAAIAAAAQMzEuNzgzNjgxMjE0NDIxMwENAAAABQAAAAE5AQAAAAcyNjIxMjk1AgAAAAczMTUxMzAxAwAAAAYxMDAzMDkEAAAAATIGAAAAATAHAAAAAzE2MAgAAAABMAkAAAABMQoAAAABMAsAAAAJMzExNTUwODczDAAAAAIxMg0AAAAJMi8xMC8yMDAxi9ezvZNz1QibEVNJl3PVCDBDSVEuTkFTREFRR1M6SU5UQy5JUV9QRV9FWENMX0ZXRC42MDAwLjExLzI4LzIwMDgBAAAAh1IAAAIAAAAQMTcuMzM4ODYxNjY2MDM4NAENAAAABQAAAAE5AQAAAAcyNjIxMjk1AgAAAAcxNzU3MTU4AwAAAAYxMDAzMDkEAAAAATIGAAAAATAHAAAAAzE2MAgAAAABMAkAAAABMQoAAAABMAsAAAAKODg2NDQ4NjYyNQwAAAACMTINAAAACjExLzI5LzIwMDg7FLO9k3PVCBu7VkmXc9UINkNJUS5OYXNkYXFHUzpJTlRDLklRX1RFVl9UT1RBTF9SRVZfRldELjYwMDAuMTEvMjgvMjAxNAEAAACHUgAAAgAAABAzLjA4MTE2OTQ1NjcyMTYzAQ0AAAAFAAAAATkBAAAABzI2MjEyOTUCAAAABzQ0NTY0MjkDAAAABjEwMDMwNwQAAAABMgYAAAABMAcAAAADMTYwCAAA</t>
  </si>
  <si>
    <t>AAEwCQAAAAExCgAAAAEwCwAAAAo4ODY0NDM3NzkwDAAAAAIxMg0AAAAKMTEvMjkvMjAxNPu+VrmTc9UIi1tVSZdz1Qg1Q0lRLk5hc2RhcUdTOklOVEMuSVFfVEVWX1RPVEFMX1JFVl9GV0QuNjAwMC43LzMxLzIwMTUBAAAAh1IAAAIAAAAQMi40MDYzMDIxOTc2ODg1MQENAAAABQAAAAE5AQAAAAcyNjIxMjk1AgAAAAc4MDY4MjYxAwAAAAYxMDAzMDcEAAAAATIGAAAAATAHAAAAAzE2MAgAAAABMAkAAAABMQoAAAABMAsAAAAKOTEwOTYwNDY4NAwAAAACMTINAAAACDgvMS8yMDE1+75WuZNz1Qgr4lZJl3PVCCdDSVEuXlNQWC5JUV9QRV9FWENMX0ZXRC42MDAwLjExLzE4LzIwMTUBAAAAm7goAAIAAAAJMTcuMDIwMTA5APslureTc9UI63YtS5dz1Qg2Q0lRLk5hc2RhcUdTOklOVEMuSVFfVEVWX0VCSVREQV9GV0RfQ0lRLjYwMDAuNi8xNS8yMDAxAQAAAIdSAAACAAAAEDIyLjA3NzIwOTc0NTIxNjUBDQAAAAUAAAABOQEAAAAHMjYyMTI5NQIAAAAHMzQyMTE2MAMAAAAGMTAwMzA4BAAAAAEyBgAAAAEwBwAAAAMxNjAIAAAAATAJAAAAATEKAAAAATALAAAACjExNjkxNTI0MzIMAAAAAjEyDQAAAAk2LzE2LzIwMDHbIle7k3PVCAuqj66Xc9UIN0NJUS5OQVNEQVFHUzpJTlRDLklRX1RFVl9FQklUREFfRldEX0NJUS42MDAwLjEyLzE5LzIwMDMBAAAAh1IAAAIAAAAQMTAuOTU5MjU3MTA4NzE4NQENAAAABQAAAAE5</t>
  </si>
  <si>
    <t>AQAAAAcyNjIxMjk1AgAAAAcxNzU3MTQzAwAAAAYxMDAzMDgEAAAAATIGAAAAATAHAAAAAzE2MAgAAAABMAkAAAABMQoAAAABMAsAAAAKNjg4MzcwMDUyNAwAAAACMTINAAAACjEyLzIwLzIwMDM7nFW7k3PVCBvRj66Xc9UIL0NJUS5OQVNEQVFHUzpJTlRDLklRX1BSSUNFX1NBTEVTLjIwMDAuNC8xNy8yMDEzAQAAAIdSAAACAAAACDIuMDYxMzUzAQcAAAAFAAAAATEBAAAACjE2MDM4OTc2MzUDAAAAATACAAAABTM4OTU4BAAAAAEwBwAAAAk0LzE3LzIwMTMIAAAACTQvMTcvMjAxM8uwubeTc9UIq/E9S5dz1QgjQ0lRLl5TUFguSVFfTEFTVFNBTEVQUklDRS4xLzI0LzIwMTgBAAAAm7goAAIAAAAQMjgzNy41NDQwMDc2MTMyMgBbP7C7k3PVCHtkykmXc9UINkNJUS5OYXNkYXFHUzpJTlRDLklRX1RFVl9UT1RBTF9SRVZfRldELjYwMDAuMTAvMjAvMjAwNgEAAACHUgAAAgAAABAzLjE2NzYyNDE3ODAyMzcyAQ0AAAAFAAAAATkBAAAABzI2MjEyOTUCAAAABzE3NTcxNTIDAAAABjEwMDMwNwQAAAABMgYAAAABMAcAAAADMTYwCAAAAAEwCQAAAAExCgAAAAEwCwAAAAo4ODYwNTA2MTc4DAAAAAIxMg0AAAAKMTAvMjEvMjAwNrvUVruTc9UIq1ZOSZdz1QgrQ0lRLl5TUFguSVFfVEVWX1RPVEFMX1JFVl9GV0QuNjAwMC41LzMvMjAxNwEAAACbuCgAAgAAAAgyLjE3MzY1NwBrZrC7k3PVCEuGE0uXc9UIKENJUS5OQVNE</t>
  </si>
  <si>
    <t>QVFHUzpJTlRDLklRX1BUQlYuMjAwMC44LzE0LzIwMTUBAAAAh1IAAAIAAAAIMy4yNTA2NjEBBwAAAAUAAAABMQEAAAAKMTc0NzM1OTUxMgMAAAABMAIAAAAGMTAwMDI5BAAAAAEwBwAAAAk4LzE0LzIwMTUIAAAACTgvMTQvMjAxNcuwubeTc9UIe+FNSZdz1QguQ0lRLk5BU0RBUUdTOklOVEMuSVFfUEVfRVhDTF9GV0QuNjAwMC43LzUvMjAxMwEAAACHUgAAAgAAABAxMi41NDIzNTUyMTAzNDI1AQ0AAAAFAAAAATkBAAAABzI2MjEyOTUCAAAABzM4Mjk3NTEDAAAABjEwMDMwOQQAAAABMgYAAAABMAcAAAADMTYwCAAAAAEwCQAAAAExCgAAAAEwCwAAAAo2NDczODEyMTc3DAAAAAIxMg0AAAAINy82LzIwMTMLn7K9k3PVCMszTEmXc9UINENJUS5OYXNkYXFHUzpJTlRDLklRX1RFVl9UT1RBTF9SRVZfRldELjYwMDAuOC84LzIwMDgBAAAAh1IAAAIAAAAQMy4wMzU1ODkyMzczNzEwMQENAAAABQAAAAE5AQAAAAcyNjIxMjk1AgAAAAcxNzU3MTU3AwAAAAYxMDAzMDcEAAAAATIGAAAAATAHAAAAAzE2MAgAAAABMAkAAAABMQoAAAABMAsAAAAKODg2MjAyODg3NAwAAAACMTINAAAACDgvOS8yMDA42yJXu5Nz1Qjr8k5Jl3PVCDVDSVEuTmFzZGFxR1M6SU5UQy5JUV9URVZfVE9UQUxfUkVWX0ZXRC42MDAwLjEvMTQvMjAwNQEAAACHUgAAAgAAABAzLjQ2ODM5MDEwOTU2MzQ3AQ0AAAAFAAAAATkBAAAABzI2MjEyOTUC</t>
  </si>
  <si>
    <t>AAAABDE4ODADAAAABjEwMDMwNwQAAAABMgYAAAABMAcAAAADMTYwCAAAAAEwCQAAAAExCgAAAAEwCwAAAAkzNjA2NjQ0NjAMAAAAAjEyDQAAAAkxLzE1LzIwMDXL+1a7k3PVCHulV0mXc9UINkNJUS5OYXNkYXFHUzpJTlRDLklRX1RFVl9FQklUREFfRldEX0NJUS42MDAwLjMvMjAvMjAxNQEAAACHUgAAAgAAABA2LjIyNjYxMTA4ODYxMTI5AQ0AAAAFAAAAATkBAAAABzI2MjEyOTUCAAAACjEwMDAwOTQwNzEDAAAABjEwMDMwOAQAAAABMgYAAAABMAcAAAADMTYwCAAAAAEwCQAAAAExCgAAAAEwCwAAAAo4NjY3NjgwMjcyDAAAAAIxMg0AAAAJMy8yMS8yMDE1i19Wu5Nz1Qjbw4yul3PVCC9DSVEuTkFTREFRR1M6SU5UQy5JUV9QUklDRV9TQUxFUy4yMDAwLjYvMjEvMjAxNwEAAACHUgAAAgAAAAgyLjcwNDUxOQEHAAAABQAAAAExAQAAAAoxODM4MzYwMTMyAwAAAAEwAgAAAAUzODk1OAQAAAABMAcAAAAJNi8yMS8yMDE3CAAAAAk2LzIxLzIwMTerQ6+9k3PVCGuBDEuXc9UILkNJUS5OQVNEQVFHUzpJTlRDLklRX1BFX0VYQ0xfRldELjYwMDAuOC80LzIwMDYBAAAAh1IAAAIAAAAPMjAuOTQxMDkxOTU0MDIzAQ0AAAAFAAAAATkBAAAABzI2MjEyOTUCAAAABzE3NTcxNTEDAAAABjEwMDMwOQQAAAABMgYAAAABMAcAAAADMTYwCAAAAAEwCQAAAAExCgAAAAEwCwAAAAo4ODY0MjIwNzMyDAAAAAIxMg0AAAAIOC81</t>
  </si>
  <si>
    <t>LzIwMDab/rO9k3PVCMtoWEmXc9UIH0NJUS5eU1BYLklRX1BUQlYuMjAwMC4xMi8zLzIwMTQBAAAAm7goAAIAAAAINS42NTM1MzEA62dSu5Nz1QhrAjZLl3PVCCNDSVEuXlNQWC5JUV9MQVNUU0FMRVBSSUNFLjEyLzcvMjAxNgEAAACbuCgAAgAAABAyMjQxLjM1NDY0MzU3ODc3AFs/sLuTc9UIC64cS5dz1Qg2Q0lRLk5hc2RhcUdTOklOVEMuSVFfVEVWX0VCSVREQV9GV0RfQ0lRLjYwMDAuMy8xNS8yMDEzAQAAAIdSAAACAAAAEDQuODI2NDg2ODkyMTAxODcBDQAAAAUAAAABOQEAAAAHMjYyMTI5NQIAAAAHMzY1MjY2MAMAAAAGMTAwMzA4BAAAAAEyBgAAAAEwBwAAAAMxNjAIAAAAATAJAAAAATEKAAAAATALAAAACjU0MzgyMDAwNzMMAAAAAjEyDQAAAAkzLzE2LzIwMTO7KbG7k3PVCCuHja6Xc9UII0NJUS5eU1BYLklRX0xBU1RTQUxFUFJJQ0UuNy8xNy8yMDEzAQAAAJu4KAACAAAAEDE2ODAuOTA5Mzk1NDUzNjUAWz+wu5Nz1QhrVT1Ll3PVCDVDSVEuTmFzZGFxR1M6SU5UQy5JUV9URVZfVE9UQUxfUkVWX0ZXRC42MDAwLjcvMzAvMjAxMAEAAACHUgAAAgAAABAyLjEyNzc5MzM3MjMwNTc1AQ0AAAAFAAAAATkBAAAABzI2MjEyOTUCAAAABzE3NTcxNjMDAAAABjEwMDMwNwQAAAABMgYAAAABMAcAAAADMTYwCAAAAAEwCQAAAAExCgAAAAEwCwAAAAo4ODYzNTExMzkzDAAAAAIxMg0AAAAJNy8zMS8yMDEwm9uw</t>
  </si>
  <si>
    <t>u5Nz1QiLeVBJl3PVCC9DSVEuTkFTREFRR1M6SU5UQy5JUV9QRV9FWENMX0ZXRC42MDAwLjMvMjcvMjAwOQEAAACHUgAAAgAAABAzOC42MDUwMTIxNDIzMDI4AQ0AAAAFAAAAATkBAAAABzI2MjEyOTUCAAAABDE4ODQDAAAABjEwMDMwOQQAAAABMgYAAAABMAcAAAADMTYwCAAAAAEwCQAAAAExCgAAAAEwCwAAAAcxNTQxNDI1DAAAAAIxMg0AAAAJMy8yOC8yMDA5OxSzvZNz1Qg7J1JJl3PVCChDSVEuTkFTREFRR1M6SU5UQy5JUV9QVEJWLjIwMDAuOS8zMC8yMDExAQAAAIdSAAACAAAACDMuNDI5MDk0AQcAAAAFAAAAATEBAAAACjE0NjU2MzEwNzEDAAAAATACAAAABjEwMDAyOQQAAAABMAcAAAAJOS8zMC8yMDExCAAAAAk5LzMwLzIwMTHLsLm3k3PVCDtFTUmXc9UINkNJUS5OQVNEQVFHUzpJTlRDLklRX1RFVl9FQklUREFfRldEX0NJUS42MDAwLjQvMzAvMjAwNAEAAACHUgAAAgAAAA84LjgwMzkwMzQ5MDI0ODMBDQAAAAUAAAABOQEAAAAHMjYyMTI5NQIAAAAHMTc1NzE0NAMAAAAGMTAwMzA4BAAAAAEyBgAAAAEwBwAAAAMxNjAIAAAAATAJAAAAATEKAAAAATALAAAACjExNjkxMjg2ODYMAAAAAjEyDQAAAAg1LzEvMjAwNDucVbuTc9UI+xGNrpdz1QgvQ0lRLk5BU0RBUUdTOklOVEMuSVFfUFJJQ0VfU0FMRVMuMjAwMC43LzIwLzIwMTIBAAAAh1IAAAIAAAAHMi4zNzQyOQEHAAAABQAAAAExAQAAAAoxNTU1</t>
  </si>
  <si>
    <t>MzQ3OTE1AwAAAAEwAgAAAAUzODk1OAQAAAABMAcAAAAJNy8yMC8yMDEyCAAAAAk3LzIwLzIwMTI76lS5k3PVCHtSUEmXc9UIL0NJUS5OQVNEQVFHUzpJTlRDLklRX1BSSUNFX1NBTEVTLjIwMDAuOS8xMi8yMDE0AQAAAIdSAAACAAAACDMuMTk2MDE4AQcAAAAFAAAAATEBAAAACjE2ODgwODA5OTIDAAAAATACAAAABTM4OTU4BAAAAAEwBwAAAAk5LzEyLzIwMTQIAAAACTkvMTIvMjAxNAu2UruTc9UI60VWSZdz1QgoQ0lRLk5BU0RBUUdTOklOVEMuSVFfUFRCVi4yMDAwLjEvMTUvMjAxNgEAAACHUgAAAgAAAAgzLjA2NjkyOQEHAAAABQAAAAExAQAAAAoxNzcyOTQyODA2AwAAAAEwAgAAAAYxMDAwMjkEAAAAATAHAAAACTEvMTUvMjAxNggAAAAJMS8xNS8yMDE2O+pUuZNz1QhbBFBJl3PVCDVDSVEuTmFzZGFxR1M6SU5UQy5JUV9URVZfRUJJVERBX0ZXRF9DSVEuNjAwMC4yLzgvMjAxMwEAAACHUgAAAgAAABA0LjcyNTQ5NzA5MDIwMTQxAQ0AAAAFAAAAATkBAAAABzI2MjEyOTUCAAAABzM2NTI2NjADAAAABjEwMDMwOAQAAAABMgYAAAABMAcAAAADMTYwCAAAAAEwCQAAAAExCgAAAAEwCwAAAAo1NDM4MjAwMDY5DAAAAAIxMg0AAAAIMi85LzIwMTPbIle7k3PVCBvRj66Xc9UIL0NJUS5OQVNEQVFHUzpJTlRDLklRX1BFX0VYQ0xfRldELjYwMDAuMy8xNS8yMDEzAQAAAIdSAAACAAAAEDExLjA3OTgzNzAyOTIw</t>
  </si>
  <si>
    <t>NDEBDQAAAAUAAAABOQEAAAAHMjYyMTI5NQIAAAAHMzY1MjY2MAMAAAAGMTAwMzA5BAAAAAEyBgAAAAEwBwAAAAMxNjAIAAAAATAJAAAAATEKAAAAATALAAAACjU3NDgzMDI5OTcMAAAAAjEyDQAAAAkzLzE2LzIwMTMLn7K9k3PVCHulV0mXc9UIKENJUS5OQVNEQVFHUzpJTlRDLklRX1BUQlYuMjAwMC43LzMxLzIwMTUBAAAAh1IAAAIAAAAHMy4yNDI4MgEHAAAABQAAAAExAQAAAAoxNzQ3MzU5NTEyAwAAAAEwAgAAAAYxMDAwMjkEAAAAATAHAAAACTcvMzEvMjAxNQgAAAAJNy8zMS8yMDE1+45Su5Nz1QhrfldJl3PVCDRDSVEuTmFzZGFxR1M6SU5UQy5JUV9URVZfVE9UQUxfUkVWX0ZXRC42MDAwLjMvNS8yMDEwAQAAAIdSAAACAAAAEDIuNTQ5NzYwOTE0MjQwNDMBDQAAAAUAAAABOQEAAAAHMjYyMTI5NQIAAAAEMTg4NQMAAAAGMTAwMzA3BAAAAAEyBgAAAAEwBwAAAAMxNjAIAAAAATAJAAAAATEKAAAAATALAAAACTM2MDczNjE2MQwAAAACMTINAAAACDMvNi8yMDEwe42wu5Nz1QjbWkxJl3PVCDVDSVEuTmFzZGFxR1M6SU5UQy5JUV9URVZfVE9UQUxfUkVWX0ZXRC42MDAwLjYvMjkvMjAwMQEAAACHUgAAAgAAABA2LjgwNzcwNzI3MDg2MzMxAQ0AAAAFAAAAATkBAAAABzI2MjEyOTUCAAAABzM0MjExNjADAAAABjEwMDMwNwQAAAABMgYAAAABMAcAAAADMTYwCAAAAAEwCQAAAAExCgAAAAEwCwAAAAoxMTY5</t>
  </si>
  <si>
    <t>MTUyMzYyDAAAAAIxMg0AAAAJNi8zMC8yMDAxqyW0vZNz1QjbWkxJl3PVCCZDSVEuXlNQWC5JUV9QRV9FWENMX0ZXRC42MDAwLjIvMTUvMjAxNwEAAACbuCgAAgAAAAkxOC4xMTI1ODQA+/iItpNz1QhLaBhLl3PVCC5DSVEuTkFTREFRR1M6SU5UQy5JUV9QUklDRV9TQUxFUy4yMDAwLjMvNi8yMDEzAQAAAIdSAAACAAAACDIuMDM3MTM4AQcAAAAFAAAAATEBAAAACjE1ODgxNTc0NjMDAAAAATACAAAABTM4OTU4BAAAAAEwBwAAAAgzLzYvMjAxMwgAAAAIMy82LzIwMTO7aq+9k3PVCMs/PkuXc9UIKUNJUS5OQVNEQVFHUzpJTlRDLklRX1BUQlYuMjAwMC4xMi8xNi8yMDE2AQAAAIdSAAACAAAACDQuMzMxODI1AQcAAAAFAAAAATEBAAAACjE4MTU1NDQ0NTADAAAAATACAAAABjEwMDAyOQQAAAABMAcAAAAKMTIvMTYvMjAxNggAAAAKMTIvMTYvMjAxNgu2UruTc9UIy/dVSZdz1QgvQ0lRLk5BU0RBUUdTOklOVEMuSVFfUEVfRVhDTF9GV0QuNjAwMC4xLzE5LzIwMDEBAAAAh1IAAAIAAAAQMzIuMzk2MjM1NTIxMjM1NQENAAAABQAAAAE5AQAAAAcyNjIxMjk1AgAAAAczMTUxMzAxAwAAAAYxMDAzMDkEAAAAATIGAAAAATAHAAAAAzE2MAgAAAABMAkAAAABMQoAAAABMAsAAAAJMzExNTUwODcwDAAAAAIxMg0AAAAJMS8yMC8yMDAxi9ezvZNz1Qiri1pJl3PVCB5DSVEuXlNQWC5JUV9QVEJWLjIwMDAuNC8yLzIwMTQB</t>
  </si>
  <si>
    <t>AAAAm7goAAIAAAAINS4zNjI5ODUAi8RmuZNz1Qh7CztLl3PVCDZDSVEuTmFzZGFxR1M6SU5UQy5JUV9URVZfVE9UQUxfUkVWX0ZXRC42MDAwLjEwLzIxLzIwMDUBAAAAh1IAAAIAAAAQMy4wODY2OTkxNTc0OTUzMgENAAAABQAAAAE5AQAAAAcyNjIxMjk1AgAAAAcxNzU3MTQ5AwAAAAYxMDAzMDcEAAAAATIGAAAAATAHAAAAAzE2MAgAAAABMAkAAAABMQoAAAABMAsAAAAKMTE2OTEzMTQ0OAwAAAACMTINAAAACjEwLzIyLzIwMDXbh2e5k3PVCJuCVUmXc9UIL0NJUS5OQVNEQVFHUzpJTlRDLklRX1BSSUNFX1NBTEVTLjIwMDAuNy8yOC8yMDE3AQAAAIdSAAACAAAACDIuNzA0MTM4AQcAAAAFAAAAATEBAAAACjE4NTA2MTg2NjQDAAAAATACAAAABTM4OTU4BAAAAAEwBwAAAAk3LzI4LzIwMTcIAAAACTcvMjgvMjAxN6tDr72Tc9UIm2RaSZdz1QgtQ0lRLk5BU0RBUUdTOklOVEMuSVFfTEFTVFNBTEVQUklDRS4xMC8yMy8yMDEzAQAAAIdSAAACAAAABjIzLjczNQBbP7C7k3PVCDvgPEuXc9UIL0NJUS5OQVNEQVFHUzpJTlRDLklRX1BSSUNFX1NBTEVTLjIwMDAuNi8yOS8yMDE2AQAAAIdSAAACAAAACDIuNjg3ODMxAQcAAAAFAAAAATEBAAAACjE3ODkxOTMzNDMDAAAAATACAAAABTM4OTU4BAAAAAEwBwAAAAk2LzI5LzIwMTYIAAAACTYvMjkvMjAxNjvqVLmTc9UIC+MoS5dz1QgvQ0lRLk5BU0RBUUdTOklOVEMu</t>
  </si>
  <si>
    <t>SVFfUFJJQ0VfU0FMRVMuMjAwMC4xMS80LzIwMTUBAAAAh1IAAAIAAAAIMi45NDMxMzMBBwAAAAUAAAABMQEAAAAKMTc2MTcwNjgyNwMAAAABMAIAAAAFMzg5NTgEAAAAATAHAAAACTExLzQvMjAxNQgAAAAJMTEvNC8yMDE1y7C5t5Nz1QhbiC5Ll3PVCC9DSVEuTkFTREFRR1M6SU5UQy5JUV9QUklDRV9TQUxFUy4yMDAwLjYvMjgvMjAxMwEAAACHUgAAAgAAAAgyLjI3NzU0NgEHAAAABQAAAAExAQAAAAoxNjE0MDc0OTQyAwAAAAEwAgAAAAUzODk1OAQAAAABMAcAAAAJNi8yOC8yMDEzCAAAAAk2LzI4LzIwMTNLGLC7k3PVCKvHUEmXc9UIK0NJUS5OQVNEQVFHUzpJTlRDLklRX0xBU1RTQUxFUFJJQ0UuOS80LzIwMTMBAAAAh1IAAAIAAAAGMjIuNjM1ACvDVLmTc9UIWy49S5dz1QgkQ0lRLl5TUFguSVFfTEFTVFNBTEVQUklDRS4xMi8zMC8yMDE1AQAAAJu4KAACAAAAEDIwNjMuMzU1MjE1MzA3NDcAy5GvvZNz1QhL8CtLl3PVCDdDSVEuTmFzZGFxR1M6SU5UQy5JUV9URVZfRUJJVERBX0ZXRF9DSVEuNjAwMC4xMS8xMy8yMDA5AQAAAIdSAAACAAAAEDYuMjU3MTUwNzI3MTA0NDEBDQAAAAUAAAABOQEAAAAHMjYyMTI5NQIAAAAHMTc1NzE2MQMAAAAGMTAwMzA4BAAAAAEyBgAAAAEwBwAAAAMxNjAIAAAAATAJAAAAATEKAAAAATALAAAACjgxNzI0MDQwMDcMAAAAAjEyDQAAAAoxMS8xNC8yMDA5ezhWu5Nz1Qh7</t>
  </si>
  <si>
    <t>u5Cul3PVCDZDSVEuTmFzZGFxR1M6SU5UQy5JUV9URVZfRUJJVERBX0ZXRF9DSVEuNjAwMC40LzE5LzIwMTMBAAAAh1IAAAIAAAAQNC45MTg4MjI0MjcyMTIxMgENAAAABQAAAAE5AQAAAAcyNjIxMjk1AgAAAAczODI5NzUxAwAAAAYxMDAzMDgEAAAAATIGAAAAATAHAAAAAzE2MAgAAAABMAkAAAABMQoAAAABMAsAAAAKNjk1NTQwNDU2NwwAAAACMTINAAAACTQvMjAvMjAxM6sltL2Tc9UIm5iOrpdz1Qg2Q0lRLk5BU0RBUUdTOklOVEMuSVFfVEVWX0VCSVREQV9GV0RfQ0lRLjYwMDAuMS8yNy8yMDEyAQAAAIdSAAACAAAAEDUuMjU2MDYzODE3NzAyNTkBDQAAAAUAAAABOQEAAAAHMjYyMTI5NQIAAAAEMTg4NwMAAAAGMTAwMzA4BAAAAAEyBgAAAAEwBwAAAAMxNjAIAAAAATAJAAAAATEKAAAAATALAAAACjU3NDg4MzEzNzQMAAAAAjEyDQAAAAkxLzI4LzIwMTKrPFS7k3PVCJuYjq6Xc9UII0NJUS5eU1BYLklRX1RFVl9UT1RBTF9SRVZfRldELjYwMDAuAQAAAJu4KAACAAAACDIuMjkxNjgxAKuf1cKTc9UI2y5Sa5Zz1QgvQ0lRLk5BU0RBUUdTOklOVEMuSVFfUEVfRVhDTF9GV0QuNjAwMC42LzI3LzIwMDMBAAAAh1IAAAIAAAAQMzEuMjA0NDkwMjkxMjYyMQENAAAABQAAAAE5AQAAAAcyNjIxMjk1AgAAAAcxNzU3MTQxAwAAAAYxMDAzMDkEAAAAATIGAAAAATAHAAAAAzE2MAgAAAABMAkAAAABMQoAAAABMAsA</t>
  </si>
  <si>
    <t>AAAKMTE2OTE1NDE2NAwAAAACMTINAAAACTYvMjgvMjAwM3uws72Tc9UIm/NXSZdz1QgvQ0lRLk5BU0RBUUdTOklOVEMuSVFfUEVfRVhDTF9GV0QuNjAwMC44LzI4LzIwMTUBAAAAh1IAAAIAAAAQMTIuODE5MTI0OTQzNjE3NQENAAAABQAAAAE5AQAAAAcyNjIxMjk1AgAAAAc4MDY4MjYxAwAAAAYxMDAzMDkEAAAAATIGAAAAATAHAAAAAzE2MAgAAAABMAkAAAABMQoAAAABMAsAAAAKOTE1ODQ0MDU2OAwAAAACMTINAAAACTgvMjkvMjAxNetQsr2Tc9UIm2RaSZdz1QgvQ0lRLk5BU0RBUUdTOklOVEMuSVFfUFJJQ0VfU0FMRVMuMjAwMC4xLzExLzIwMTcBAAAAh1IAAAIAAAAIMy4wMTQ3NDEBBwAAAAUAAAABMQEAAAAKMTgxNTU0NDQ1MAMAAAABMAIAAAAFMzg5NTgEAAAAATAHAAAACTEvMTEvMjAxNwgAAAAJMS8xMS8yMDE3+45Su5Nz1QibnBtLl3PVCFxDSVFSQU5HRS5OQVNEQVFHUzpJTlRDLklRX1RFVl9UT1RBTF9SRVZfRldELjYwMDAuMjAwMS8wMS8wMS4yLzIxLzIwMTguLkRFU0MuVy4uLkZPUldBUkQgRVYvUwMAAACHUgAAfgMAAAAAAAAEAAAAAAAAAA8iTmFzZGFxR1M6SU5UQyINTmFzZGFxR1M6SU5UQwEAAAAWIklRX1RFVl9UT1RBTF9SRVZfRldEIhRJUV9URVZfVE9UQUxfUkVWX0ZXRAIAAAAGSVFfTlRNBDYwMDADAAAACyIyLzEzLzIwMTgiCTIvMTMvMjAxOAAAAAAEAAAAAAAAAA8iTmFzZGFx</t>
  </si>
  <si>
    <t>R1M6SU5UQyINTmFzZGFxR1M6SU5UQwEAAAAWIklRX1RFVl9UT1RBTF9SRVZfRldEIhRJUV9URVZfVE9UQUxfUkVWX0ZXRAIAAAAGSVFfTlRNBDYwMDADAAAACiIyLzkvMjAxOCIIMi85LzIwMTgAAAAABAAAAAAAAAAPIk5hc2RhcUdTOklOVEMiDU5hc2RhcUdTOklOVEMBAAAAFiJJUV9URVZfVE9UQUxfUkVWX0ZXRCIUSVFfVEVWX1RPVEFMX1JFVl9GV0QCAAAABklRX05UTQQ2MDAwAwAAAAoiMi8yLzIwMTgiCDIvMi8yMDE4AAAAAAQAAAAAAAAADyJOYXNkYXFHUzpJTlRDIg1OYXNkYXFHUzpJTlRDAQAAABYiSVFfVEVWX1RPVEFMX1JFVl9GV0QiFElRX1RFVl9UT1RBTF9SRVZfRldEAgAAAAZJUV9OVE0ENjAwMAMAAAALIjEvMjYvMjAxOCIJMS8yNi8yMDE4AAAAAAQAAAAAAAAADyJOYXNkYXFHUzpJTlRDIg1OYXNkYXFHUzpJTlRDAQAAABYiSVFfVEVWX1RPVEFMX1JFVl9GV0QiFElRX1RFVl9UT1RBTF9SRVZfRldEAgAAAAZJUV9OVE0ENjAwMAMAAAALIjEvMTkvMjAxOCIJMS8xOS8yMDE4AAAAAAQAAAAAAAAADyJOYXNkYXFHUzpJTlRDIg1OYXNkYXFHUzpJTlRDAQAAABYiSVFfVEVWX1RPVEFMX1JFVl9GV0QiFElRX1RFVl9UT1RBTF9SRVZfRldEAgAAAAZJUV9OVE0ENjAwMAMAAAALIjEvMTIvMjAxOCIJMS8xMi8yMDE4AAAAAAQAAAAAAAAADyJOYXNkYXFHUzpJTlRDIg1OYXNkYXFHUzpJTlRDAQAA</t>
  </si>
  <si>
    <t>ABYiSVFfVEVWX1RPVEFMX1JFVl9GV0QiFElRX1RFVl9UT1RBTF9SRVZfRldEAgAAAAZJUV9OVE0ENjAwMAMAAAAKIjEvNS8yMDE4IggxLzUvMjAxOAAAAAAEAAAAAAAAAA8iTmFzZGFxR1M6SU5UQyINTmFzZGFxR1M6SU5UQwEAAAAWIklRX1RFVl9UT1RBTF9SRVZfRldEIhRJUV9URVZfVE9UQUxfUkVWX0ZXRAIAAAAGSVFfTlRNBDYwMDADAAAADCIxMi8yOS8yMDE3IgoxMi8yOS8yMDE3AAAAAAQAAAAAAAAADyJOYXNkYXFHUzpJTlRDIg1OYXNkYXFHUzpJTlRDAQAAABYiSVFfVEVWX1RPVEFMX1JFVl9GV0QiFElRX1RFVl9UT1RBTF9SRVZfRldEAgAAAAZJUV9OVE0ENjAwMAMAAAAMIjEyLzIyLzIwMTciCjEyLzIyLzIwMTcAAAAABAAAAAAAAAAPIk5hc2RhcUdTOklOVEMiDU5hc2RhcUdTOklOVEMBAAAAFiJJUV9URVZfVE9UQUxfUkVWX0ZXRCIUSVFfVEVWX1RPVEFMX1JFVl9GV0QCAAAABklRX05UTQQ2MDAwAwAAAAwiMTIvMTUvMjAxNyIKMTIvMTUvMjAxNwAAAAAEAAAAAAAAAA8iTmFzZGFxR1M6SU5UQyINTmFzZGFxR1M6SU5UQwEAAAAWIklRX1RFVl9UT1RBTF9SRVZfRldEIhRJUV9URVZfVE9UQUxfUkVWX0ZXRAIAAAAGSVFfTlRNBDYwMDADAAAACyIxMi84LzIwMTciCTEyLzgvMjAxNwAAAAAEAAAAAAAAAA8iTmFzZGFxR1M6SU5UQyINTmFzZGFxR1M6SU5UQwEAAAAWIklRX1RFVl9UT1RBTF9S</t>
  </si>
  <si>
    <t>RVZfRldEIhRJUV9URVZfVE9UQUxfUkVWX0ZXRAIAAAAGSVFfTlRNBDYwMDADAAAACyIxMi8xLzIwMTciCTEyLzEvMjAxNwAAAAAEAAAAAAAAAA8iTmFzZGFxR1M6SU5UQyINTmFzZGFxR1M6SU5UQwEAAAAWIklRX1RFVl9UT1RBTF9SRVZfRldEIhRJUV9URVZfVE9UQUxfUkVWX0ZXRAIAAAAGSVFfTlRNBDYwMDADAAAADCIxMS8yNC8yMDE3IgoxMS8yNC8yMDE3AAAAAAQAAAAAAAAADyJOYXNkYXFHUzpJTlRDIg1OYXNkYXFHUzpJTlRDAQAAABYiSVFfVEVWX1RPVEFMX1JFVl9GV0QiFElRX1RFVl9UT1RBTF9SRVZfRldEAgAAAAZJUV9OVE0ENjAwMAMAAAAMIjExLzE3LzIwMTciCjExLzE3LzIwMTcAAAAABAAAAAAAAAAPIk5hc2RhcUdTOklOVEMiDU5hc2RhcUdTOklOVEMBAAAAFiJJUV9URVZfVE9UQUxfUkVWX0ZXRCIUSVFfVEVWX1RPVEFMX1JFVl9GV0QCAAAABklRX05UTQQ2MDAwAwAAAAwiMTEvMTAvMjAxNyIKMTEvMTAvMjAxNwAAAAAEAAAAAAAAAA8iTmFzZGFxR1M6SU5UQyINTmFzZGFxR1M6SU5UQwEAAAAWIklRX1RFVl9UT1RBTF9SRVZfRldEIhRJUV9URVZfVE9UQUxfUkVWX0ZXRAIAAAAGSVFfTlRNBDYwMDADAAAACyIxMS8zLzIwMTciCTExLzMvMjAxNwAAAAAEAAAAAAAAAA8iTmFzZGFxR1M6SU5UQyINTmFzZGFxR1M6SU5UQwEAAAAWIklRX1RFVl9UT1RBTF9SRVZfRldEIhRJUV9URVZf</t>
  </si>
  <si>
    <t>VE9UQUxfUkVWX0ZXRAIAAAAGSVFfTlRNBDYwMDADAAAADCIxMC8yNy8yMDE3IgoxMC8yNy8yMDE3AAAAAAQAAAAAAAAADyJOYXNkYXFHUzpJTlRDIg1OYXNkYXFHUzpJTlRDAQAAABYiSVFfVEVWX1RPVEFMX1JFVl9GV0QiFElRX1RFVl9UT1RBTF9SRVZfRldEAgAAAAZJUV9OVE0ENjAwMAMAAAAMIjEwLzIwLzIwMTciCjEwLzIwLzIwMTcAAAAABAAAAAAAAAAPIk5hc2RhcUdTOklOVEMiDU5hc2RhcUdTOklOVEMBAAAAFiJJUV9URVZfVE9UQUxfUkVWX0ZXRCIUSVFfVEVWX1RPVEFMX1JFVl9GV0QCAAAABklRX05UTQQ2MDAwAwAAAAwiMTAvMTMvMjAxNyIKMTAvMTMvMjAxNwAAAAAEAAAAAAAAAA8iTmFzZGFxR1M6SU5UQyINTmFzZGFxR1M6SU5UQwEAAAAWIklRX1RFVl9UT1RBTF9SRVZfRldEIhRJUV9URVZfVE9UQUxfUkVWX0ZXRAIAAAAGSVFfTlRNBDYwMDADAAAACyIxMC82LzIwMTciCTEwLzYvMjAxNwAAAAAEAAAAAAAAAA8iTmFzZGFxR1M6SU5UQyINTmFzZGFxR1M6SU5UQwEAAAAWIklRX1RFVl9UT1RBTF9SRVZfRldEIhRJUV9URVZfVE9UQUxfUkVWX0ZXRAIAAAAGSVFfTlRNBDYwMDADAAAACyI5LzI5LzIwMTciCTkvMjkvMjAxNwAAAAAEAAAAAAAAAA8iTmFzZGFxR1M6SU5UQyINTmFzZGFxR1M6SU5UQwEAAAAWIklRX1RFVl9UT1RBTF9SRVZfRldEIhRJUV9URVZfVE9UQUxfUkVWX0ZXRAIA</t>
  </si>
  <si>
    <t>AAAGSVFfTlRNBDYwMDADAAAACyI5LzIyLzIwMTciCTkvMjIvMjAxNwAAAAAEAAAAAAAAAA8iTmFzZGFxR1M6SU5UQyINTmFzZGFxR1M6SU5UQwEAAAAWIklRX1RFVl9UT1RBTF9SRVZfRldEIhRJUV9URVZfVE9UQUxfUkVWX0ZXRAIAAAAGSVFfTlRNBDYwMDADAAAACyI5LzE1LzIwMTciCTkvMTUvMjAxNwAAAAAEAAAAAAAAAA8iTmFzZGFxR1M6SU5UQyINTmFzZGFxR1M6SU5UQwEAAAAWIklRX1RFVl9UT1RBTF9SRVZfRldEIhRJUV9URVZfVE9UQUxfUkVWX0ZXRAIAAAAGSVFfTlRNBDYwMDADAAAACiI5LzgvMjAxNyIIOS84LzIwMTcAAAAABAAAAAAAAAAPIk5hc2RhcUdTOklOVEMiDU5hc2RhcUdTOklOVEMBAAAAFiJJUV9URVZfVE9UQUxfUkVWX0ZXRCIUSVFfVEVWX1RPVEFMX1JFVl9GV0QCAAAABklRX05UTQQ2MDAwAwAAAAoiOS8xLzIwMTciCDkvMS8yMDE3AAAAAAQAAAAAAAAADyJOYXNkYXFHUzpJTlRDIg1OYXNkYXFHUzpJTlRDAQAAABYiSVFfVEVWX1RPVEFMX1JFVl9GV0QiFElRX1RFVl9UT1RBTF9SRVZfRldEAgAAAAZJUV9OVE0ENjAwMAMAAAALIjgvMjUvMjAxNyIJOC8yNS8yMDE3AAAAAAQAAAAAAAAADyJOYXNkYXFHUzpJTlRDIg1OYXNkYXFHUzpJTlRDAQAAABYiSVFfVEVWX1RPVEFMX1JFVl9GV0QiFElRX1RFVl9UT1RBTF9SRVZfRldEAgAAAAZJUV9OVE0ENjAwMAMAAAALIjgvMTgv</t>
  </si>
  <si>
    <t>MjAxNyIJOC8xOC8yMDE3AAAAAAQAAAAAAAAADyJOYXNkYXFHUzpJTlRDIg1OYXNkYXFHUzpJTlRDAQAAABYiSVFfVEVWX1RPVEFMX1JFVl9GV0QiFElRX1RFVl9UT1RBTF9SRVZfRldEAgAAAAZJUV9OVE0ENjAwMAMAAAALIjgvMTEvMjAxNyIJOC8xMS8yMDE3AAAAAAQAAAAAAAAADyJOYXNkYXFHUzpJTlRDIg1OYXNkYXFHUzpJTlRDAQAAABYiSVFfVEVWX1RPVEFMX1JFVl9GV0QiFElRX1RFVl9UT1RBTF9SRVZfRldEAgAAAAZJUV9OVE0ENjAwMAMAAAAKIjgvNC8yMDE3Igg4LzQvMjAxNwAAAAAEAAAAAAAAAA8iTmFzZGFxR1M6SU5UQyINTmFzZGFxR1M6SU5UQwEAAAAWIklRX1RFVl9UT1RBTF9SRVZfRldEIhRJUV9URVZfVE9UQUxfUkVWX0ZXRAIAAAAGSVFfTlRNBDYwMDADAAAACyI3LzI4LzIwMTciCTcvMjgvMjAxNwAAAAAEAAAAAAAAAA8iTmFzZGFxR1M6SU5UQyINTmFzZGFxR1M6SU5UQwEAAAAWIklRX1RFVl9UT1RBTF9SRVZfRldEIhRJUV9URVZfVE9UQUxfUkVWX0ZXRAIAAAAGSVFfTlRNBDYwMDADAAAACyI3LzIxLzIwMTciCTcvMjEvMjAxNwAAAAAEAAAAAAAAAA8iTmFzZGFxR1M6SU5UQyINTmFzZGFxR1M6SU5UQwEAAAAWIklRX1RFVl9UT1RBTF9SRVZfRldEIhRJUV9URVZfVE9UQUxfUkVWX0ZXRAIAAAAGSVFfTlRNBDYwMDADAAAACyI3LzE0LzIwMTciCTcvMTQvMjAxNwAAAAAEAAAA</t>
  </si>
  <si>
    <t>AAAAAA8iTmFzZGFxR1M6SU5UQyINTmFzZGFxR1M6SU5UQwEAAAAWIklRX1RFVl9UT1RBTF9SRVZfRldEIhRJUV9URVZfVE9UQUxfUkVWX0ZXRAIAAAAGSVFfTlRNBDYwMDADAAAACiI3LzcvMjAxNyIINy83LzIwMTcAAAAABAAAAAAAAAAPIk5hc2RhcUdTOklOVEMiDU5hc2RhcUdTOklOVEMBAAAAFiJJUV9URVZfVE9UQUxfUkVWX0ZXRCIUSVFfVEVWX1RPVEFMX1JFVl9GV0QCAAAABklRX05UTQQ2MDAwAwAAAAsiNi8zMC8yMDE3Igk2LzMwLzIwMTcAAAAABAAAAAAAAAAPIk5hc2RhcUdTOklOVEMiDU5hc2RhcUdTOklOVEMBAAAAFiJJUV9URVZfVE9UQUxfUkVWX0ZXRCIUSVFfVEVWX1RPVEFMX1JFVl9GV0QCAAAABklRX05UTQQ2MDAwAwAAAAsiNi8yMy8yMDE3Igk2LzIzLzIwMTcAAAAABAAAAAAAAAAPIk5hc2RhcUdTOklOVEMiDU5hc2RhcUdTOklOVEMBAAAAFiJJUV9URVZfVE9UQUxfUkVWX0ZXRCIUSVFfVEVWX1RPVEFMX1JFVl9GV0QCAAAABklRX05UTQQ2MDAwAwAAAAsiNi8xNi8yMDE3Igk2LzE2LzIwMTcAAAAABAAAAAAAAAAPIk5hc2RhcUdTOklOVEMiDU5hc2RhcUdTOklOVEMBAAAAFiJJUV9URVZfVE9UQUxfUkVWX0ZXRCIUSVFfVEVWX1RPVEFMX1JFVl9GV0QCAAAABklRX05UTQQ2MDAwAwAAAAoiNi85LzIwMTciCDYvOS8yMDE3AAAAAAQAAAAAAAAADyJOYXNkYXFHUzpJTlRDIg1OYXNk</t>
  </si>
  <si>
    <t>YXFHUzpJTlRDAQAAABYiSVFfVEVWX1RPVEFMX1JFVl9GV0QiFElRX1RFVl9UT1RBTF9SRVZfRldEAgAAAAZJUV9OVE0ENjAwMAMAAAAKIjYvMi8yMDE3Igg2LzIvMjAxNwAAAAAEAAAAAAAAAA8iTmFzZGFxR1M6SU5UQyINTmFzZGFxR1M6SU5UQwEAAAAWIklRX1RFVl9UT1RBTF9SRVZfRldEIhRJUV9URVZfVE9UQUxfUkVWX0ZXRAIAAAAGSVFfTlRNBDYwMDADAAAACyI1LzI2LzIwMTciCTUvMjYvMjAxNwAAAAAEAAAAAAAAAA8iTmFzZGFxR1M6SU5UQyINTmFzZGFxR1M6SU5UQwEAAAAWIklRX1RFVl9UT1RBTF9SRVZfRldEIhRJUV9URVZfVE9UQUxfUkVWX0ZXRAIAAAAGSVFfTlRNBDYwMDADAAAACyI1LzE5LzIwMTciCTUvMTkvMjAxNwAAAAAEAAAAAAAAAA8iTmFzZGFxR1M6SU5UQyINTmFzZGFxR1M6SU5UQwEAAAAWIklRX1RFVl9UT1RBTF9SRVZfRldEIhRJUV9URVZfVE9UQUxfUkVWX0ZXRAIAAAAGSVFfTlRNBDYwMDADAAAACyI1LzEyLzIwMTciCTUvMTIvMjAxNwAAAAAEAAAAAAAAAA8iTmFzZGFxR1M6SU5UQyINTmFzZGFxR1M6SU5UQwEAAAAWIklRX1RFVl9UT1RBTF9SRVZfRldEIhRJUV9URVZfVE9UQUxfUkVWX0ZXRAIAAAAGSVFfTlRNBDYwMDADAAAACiI1LzUvMjAxNyIINS81LzIwMTcAAAAABAAAAAAAAAAPIk5hc2RhcUdTOklOVEMiDU5hc2RhcUdTOklOVEMBAAAAFiJJUV9URVZfVE9U</t>
  </si>
  <si>
    <t>QUxfUkVWX0ZXRCIUSVFfVEVWX1RPVEFMX1JFVl9GV0QCAAAABklRX05UTQQ2MDAwAwAAAAsiNC8yOC8yMDE3Igk0LzI4LzIwMTcAAAAABAAAAAAAAAAPIk5hc2RhcUdTOklOVEMiDU5hc2RhcUdTOklOVEMBAAAAFiJJUV9URVZfVE9UQUxfUkVWX0ZXRCIUSVFfVEVWX1RPVEFMX1JFVl9GV0QCAAAABklRX05UTQQ2MDAwAwAAAAsiNC8yMS8yMDE3Igk0LzIxLzIwMTcAAAAABAAAAAAAAAAPIk5hc2RhcUdTOklOVEMiDU5hc2RhcUdTOklOVEMBAAAAFiJJUV9URVZfVE9UQUxfUkVWX0ZXRCIUSVFfVEVWX1RPVEFMX1JFVl9GV0QCAAAABklRX05UTQQ2MDAwAwAAAAsiNC8xMy8yMDE3Igk0LzEzLzIwMTcAAAAABAAAAAAAAAAPIk5hc2RhcUdTOklOVEMiDU5hc2RhcUdTOklOVEMBAAAAFiJJUV9URVZfVE9UQUxfUkVWX0ZXRCIUSVFfVEVWX1RPVEFMX1JFVl9GV0QCAAAABklRX05UTQQ2MDAwAwAAAAoiNC83LzIwMTciCDQvNy8yMDE3AAAAAAQAAAAAAAAADyJOYXNkYXFHUzpJTlRDIg1OYXNkYXFHUzpJTlRDAQAAABYiSVFfVEVWX1RPVEFMX1JFVl9GV0QiFElRX1RFVl9UT1RBTF9SRVZfRldEAgAAAAZJUV9OVE0ENjAwMAMAAAALIjMvMzEvMjAxNyIJMy8zMS8yMDE3AAAAAAQAAAAAAAAADyJOYXNkYXFHUzpJTlRDIg1OYXNkYXFHUzpJTlRDAQAAABYiSVFfVEVWX1RPVEFMX1JFVl9GV0QiFElRX1RFVl9UT1RB</t>
  </si>
  <si>
    <t>TF9SRVZfRldEAgAAAAZJUV9OVE0ENjAwMAMAAAALIjMvMjQvMjAxNyIJMy8yNC8yMDE3AAAAAAQAAAAAAAAADyJOYXNkYXFHUzpJTlRDIg1OYXNkYXFHUzpJTlRDAQAAABYiSVFfVEVWX1RPVEFMX1JFVl9GV0QiFElRX1RFVl9UT1RBTF9SRVZfRldEAgAAAAZJUV9OVE0ENjAwMAMAAAALIjMvMTcvMjAxNyIJMy8xNy8yMDE3AAAAAAQAAAAAAAAADyJOYXNkYXFHUzpJTlRDIg1OYXNkYXFHUzpJTlRDAQAAABYiSVFfVEVWX1RPVEFMX1JFVl9GV0QiFElRX1RFVl9UT1RBTF9SRVZfRldEAgAAAAZJUV9OVE0ENjAwMAMAAAALIjMvMTAvMjAxNyIJMy8xMC8yMDE3AAAAAAQAAAAAAAAADyJOYXNkYXFHUzpJTlRDIg1OYXNkYXFHUzpJTlRDAQAAABYiSVFfVEVWX1RPVEFMX1JFVl9GV0QiFElRX1RFVl9UT1RBTF9SRVZfRldEAgAAAAZJUV9OVE0ENjAwMAMAAAAKIjMvMy8yMDE3IggzLzMvMjAxNwAAAAAEAAAAAAAAAA8iTmFzZGFxR1M6SU5UQyINTmFzZGFxR1M6SU5UQwEAAAAWIklRX1RFVl9UT1RBTF9SRVZfRldEIhRJUV9URVZfVE9UQUxfUkVWX0ZXRAIAAAAGSVFfTlRNBDYwMDADAAAACyIyLzI0LzIwMTciCTIvMjQvMjAxNwAAAAAEAAAAAAAAAA8iTmFzZGFxR1M6SU5UQyINTmFzZGFxR1M6SU5UQwEAAAAWIklRX1RFVl9UT1RBTF9SRVZfRldEIhRJUV9URVZfVE9UQUxfUkVWX0ZXRAIAAAAGSVFfTlRNBDYw</t>
  </si>
  <si>
    <t>MDADAAAACyIyLzE3LzIwMTciCTIvMTcvMjAxNwAAAAAEAAAAAAAAAA8iTmFzZGFxR1M6SU5UQyINTmFzZGFxR1M6SU5UQwEAAAAWIklRX1RFVl9UT1RBTF9SRVZfRldEIhRJUV9URVZfVE9UQUxfUkVWX0ZXRAIAAAAGSVFfTlRNBDYwMDADAAAACyIyLzEwLzIwMTciCTIvMTAvMjAxNwAAAAAEAAAAAAAAAA8iTmFzZGFxR1M6SU5UQyINTmFzZGFxR1M6SU5UQwEAAAAWIklRX1RFVl9UT1RBTF9SRVZfRldEIhRJUV9URVZfVE9UQUxfUkVWX0ZXRAIAAAAGSVFfTlRNBDYwMDADAAAACiIyLzMvMjAxNyIIMi8zLzIwMTcAAAAABAAAAAAAAAAPIk5hc2RhcUdTOklOVEMiDU5hc2RhcUdTOklOVEMBAAAAFiJJUV9URVZfVE9UQUxfUkVWX0ZXRCIUSVFfVEVWX1RPVEFMX1JFVl9GV0QCAAAABklRX05UTQQ2MDAwAwAAAAsiMS8yNy8yMDE3IgkxLzI3LzIwMTcAAAAABAAAAAAAAAAPIk5hc2RhcUdTOklOVEMiDU5hc2RhcUdTOklOVEMBAAAAFiJJUV9URVZfVE9UQUxfUkVWX0ZXRCIUSVFfVEVWX1RPVEFMX1JFVl9GV0QCAAAABklRX05UTQQ2MDAwAwAAAAsiMS8yMC8yMDE3IgkxLzIwLzIwMTcAAAAABAAAAAAAAAAPIk5hc2RhcUdTOklOVEMiDU5hc2RhcUdTOklOVEMBAAAAFiJJUV9URVZfVE9UQUxfUkVWX0ZXRCIUSVFfVEVWX1RPVEFMX1JFVl9GV0QCAAAABklRX05UTQQ2MDAwAwAAAAsiMS8xMy8yMDE3IgkxLzEz</t>
  </si>
  <si>
    <t>LzIwMTcAAAAABAAAAAAAAAAPIk5hc2RhcUdTOklOVEMiDU5hc2RhcUdTOklOVEMBAAAAFiJJUV9URVZfVE9UQUxfUkVWX0ZXRCIUSVFfVEVWX1RPVEFMX1JFVl9GV0QCAAAABklRX05UTQQ2MDAwAwAAAAoiMS82LzIwMTciCDEvNi8yMDE3AAAAAAQAAAAAAAAADyJOYXNkYXFHUzpJTlRDIg1OYXNkYXFHUzpJTlRDAQAAABYiSVFfVEVWX1RPVEFMX1JFVl9GV0QiFElRX1RFVl9UT1RBTF9SRVZfRldEAgAAAAZJUV9OVE0ENjAwMAMAAAAMIjEyLzMwLzIwMTYiCjEyLzMwLzIwMTYAAAAABAAAAAAAAAAPIk5hc2RhcUdTOklOVEMiDU5hc2RhcUdTOklOVEMBAAAAFiJJUV9URVZfVE9UQUxfUkVWX0ZXRCIUSVFfVEVWX1RPVEFMX1JFVl9GV0QCAAAABklRX05UTQQ2MDAwAwAAAAwiMTIvMjMvMjAxNiIKMTIvMjMvMjAxNgAAAAAEAAAAAAAAAA8iTmFzZGFxR1M6SU5UQyINTmFzZGFxR1M6SU5UQwEAAAAWIklRX1RFVl9UT1RBTF9SRVZfRldEIhRJUV9URVZfVE9UQUxfUkVWX0ZXRAIAAAAGSVFfTlRNBDYwMDADAAAADCIxMi8xNi8yMDE2IgoxMi8xNi8yMDE2AAAAAAQAAAAAAAAADyJOYXNkYXFHUzpJTlRDIg1OYXNkYXFHUzpJTlRDAQAAABYiSVFfVEVWX1RPVEFMX1JFVl9GV0QiFElRX1RFVl9UT1RBTF9SRVZfRldEAgAAAAZJUV9OVE0ENjAwMAMAAAALIjEyLzkvMjAxNiIJMTIvOS8yMDE2AAAAAAQAAAAAAAAA</t>
  </si>
  <si>
    <t>DyJOYXNkYXFHUzpJTlRDIg1OYXNkYXFHUzpJTlRDAQAAABYiSVFfVEVWX1RPVEFMX1JFVl9GV0QiFElRX1RFVl9UT1RBTF9SRVZfRldEAgAAAAZJUV9OVE0ENjAwMAMAAAALIjEyLzIvMjAxNiIJMTIvMi8yMDE2AAAAAAQAAAAAAAAADyJOYXNkYXFHUzpJTlRDIg1OYXNkYXFHUzpJTlRDAQAAABYiSVFfVEVWX1RPVEFMX1JFVl9GV0QiFElRX1RFVl9UT1RBTF9SRVZfRldEAgAAAAZJUV9OVE0ENjAwMAMAAAAMIjExLzI1LzIwMTYiCjExLzI1LzIwMTYAAAAABAAAAAAAAAAPIk5hc2RhcUdTOklOVEMiDU5hc2RhcUdTOklOVEMBAAAAFiJJUV9URVZfVE9UQUxfUkVWX0ZXRCIUSVFfVEVWX1RPVEFMX1JFVl9GV0QCAAAABklRX05UTQQ2MDAwAwAAAAwiMTEvMTgvMjAxNiIKMTEvMTgvMjAxNgAAAAAEAAAAAAAAAA8iTmFzZGFxR1M6SU5UQyINTmFzZGFxR1M6SU5UQwEAAAAWIklRX1RFVl9UT1RBTF9SRVZfRldEIhRJUV9URVZfVE9UQUxfUkVWX0ZXRAIAAAAGSVFfTlRNBDYwMDADAAAADCIxMS8xMS8yMDE2IgoxMS8xMS8yMDE2AAAAAAQAAAAAAAAADyJOYXNkYXFHUzpJTlRDIg1OYXNkYXFHUzpJTlRDAQAAABYiSVFfVEVWX1RPVEFMX1JFVl9GV0QiFElRX1RFVl9UT1RBTF9SRVZfRldEAgAAAAZJUV9OVE0ENjAwMAMAAAALIjExLzQvMjAxNiIJMTEvNC8yMDE2AAAAAAQAAAAAAAAADyJOYXNkYXFHUzpJTlRD</t>
  </si>
  <si>
    <t>Ig1OYXNkYXFHUzpJTlRDAQAAABYiSVFfVEVWX1RPVEFMX1JFVl9GV0QiFElRX1RFVl9UT1RBTF9SRVZfRldEAgAAAAZJUV9OVE0ENjAwMAMAAAAMIjEwLzI4LzIwMTYiCjEwLzI4LzIwMTYAAAAABAAAAAAAAAAPIk5hc2RhcUdTOklOVEMiDU5hc2RhcUdTOklOVEMBAAAAFiJJUV9URVZfVE9UQUxfUkVWX0ZXRCIUSVFfVEVWX1RPVEFMX1JFVl9GV0QCAAAABklRX05UTQQ2MDAwAwAAAAwiMTAvMjEvMjAxNiIKMTAvMjEvMjAxNgAAAAAEAAAAAAAAAA8iTmFzZGFxR1M6SU5UQyINTmFzZGFxR1M6SU5UQwEAAAAWIklRX1RFVl9UT1RBTF9SRVZfRldEIhRJUV9URVZfVE9UQUxfUkVWX0ZXRAIAAAAGSVFfTlRNBDYwMDADAAAADCIxMC8xNC8yMDE2IgoxMC8xNC8yMDE2AAAAAAQAAAAAAAAADyJOYXNkYXFHUzpJTlRDIg1OYXNkYXFHUzpJTlRDAQAAABYiSVFfVEVWX1RPVEFMX1JFVl9GV0QiFElRX1RFVl9UT1RBTF9SRVZfRldEAgAAAAZJUV9OVE0ENjAwMAMAAAALIjEwLzcvMjAxNiIJMTAvNy8yMDE2AAAAAAQAAAAAAAAADyJOYXNkYXFHUzpJTlRDIg1OYXNkYXFHUzpJTlRDAQAAABYiSVFfVEVWX1RPVEFMX1JFVl9GV0QiFElRX1RFVl9UT1RBTF9SRVZfRldEAgAAAAZJUV9OVE0ENjAwMAMAAAALIjkvMzAvMjAxNiIJOS8zMC8yMDE2AAAAAAQAAAAAAAAADyJOYXNkYXFHUzpJTlRDIg1OYXNkYXFHUzpJTlRD</t>
  </si>
  <si>
    <t>AQAAABYiSVFfVEVWX1RPVEFMX1JFVl9GV0QiFElRX1RFVl9UT1RBTF9SRVZfRldEAgAAAAZJUV9OVE0ENjAwMAMAAAALIjkvMjMvMjAxNiIJOS8yMy8yMDE2AAAAAAQAAAAAAAAADyJOYXNkYXFHUzpJTlRDIg1OYXNkYXFHUzpJTlRDAQAAABYiSVFfVEVWX1RPVEFMX1JFVl9GV0QiFElRX1RFVl9UT1RBTF9SRVZfRldEAgAAAAZJUV9OVE0ENjAwMAMAAAALIjkvMTYvMjAxNiIJOS8xNi8yMDE2AAAAAAQAAAAAAAAADyJOYXNkYXFHUzpJTlRDIg1OYXNkYXFHUzpJTlRDAQAAABYiSVFfVEVWX1RPVEFMX1JFVl9GV0QiFElRX1RFVl9UT1RBTF9SRVZfRldEAgAAAAZJUV9OVE0ENjAwMAMAAAAKIjkvOS8yMDE2Igg5LzkvMjAxNgAAAAAEAAAAAAAAAA8iTmFzZGFxR1M6SU5UQyINTmFzZGFxR1M6SU5UQwEAAAAWIklRX1RFVl9UT1RBTF9SRVZfRldEIhRJUV9URVZfVE9UQUxfUkVWX0ZXRAIAAAAGSVFfTlRNBDYwMDADAAAACiI5LzIvMjAxNiIIOS8yLzIwMTYAAAAABAAAAAAAAAAPIk5hc2RhcUdTOklOVEMiDU5hc2RhcUdTOklOVEMBAAAAFiJJUV9URVZfVE9UQUxfUkVWX0ZXRCIUSVFfVEVWX1RPVEFMX1JFVl9GV0QCAAAABklRX05UTQQ2MDAwAwAAAAsiOC8yNi8yMDE2Igk4LzI2LzIwMTYAAAAABAAAAAAAAAAPIk5hc2RhcUdTOklOVEMiDU5hc2RhcUdTOklOVEMBAAAAFiJJUV9URVZfVE9UQUxfUkVWX0ZX</t>
  </si>
  <si>
    <t>RCIUSVFfVEVWX1RPVEFMX1JFVl9GV0QCAAAABklRX05UTQQ2MDAwAwAAAAsiOC8xOS8yMDE2Igk4LzE5LzIwMTYAAAAABAAAAAAAAAAPIk5hc2RhcUdTOklOVEMiDU5hc2RhcUdTOklOVEMBAAAAFiJJUV9URVZfVE9UQUxfUkVWX0ZXRCIUSVFfVEVWX1RPVEFMX1JFVl9GV0QCAAAABklRX05UTQQ2MDAwAwAAAAsiOC8xMi8yMDE2Igk4LzEyLzIwMTYAAAAABAAAAAAAAAAPIk5hc2RhcUdTOklOVEMiDU5hc2RhcUdTOklOVEMBAAAAFiJJUV9URVZfVE9UQUxfUkVWX0ZXRCIUSVFfVEVWX1RPVEFMX1JFVl9GV0QCAAAABklRX05UTQQ2MDAwAwAAAAoiOC81LzIwMTYiCDgvNS8yMDE2AAAAAAQAAAAAAAAADyJOYXNkYXFHUzpJTlRDIg1OYXNkYXFHUzpJTlRDAQAAABYiSVFfVEVWX1RPVEFMX1JFVl9GV0QiFElRX1RFVl9UT1RBTF9SRVZfRldEAgAAAAZJUV9OVE0ENjAwMAMAAAALIjcvMjkvMjAxNiIJNy8yOS8yMDE2AAAAAAQAAAAAAAAADyJOYXNkYXFHUzpJTlRDIg1OYXNkYXFHUzpJTlRDAQAAABYiSVFfVEVWX1RPVEFMX1JFVl9GV0QiFElRX1RFVl9UT1RBTF9SRVZfRldEAgAAAAZJUV9OVE0ENjAwMAMAAAALIjcvMjIvMjAxNiIJNy8yMi8yMDE2AAAAAAQAAAAAAAAADyJOYXNkYXFHUzpJTlRDIg1OYXNkYXFHUzpJTlRDAQAAABYiSVFfVEVWX1RPVEFMX1JFVl9GV0QiFElRX1RFVl9UT1RBTF9SRVZfRldE</t>
  </si>
  <si>
    <t>AgAAAAZJUV9OVE0ENjAwMAMAAAALIjcvMTUvMjAxNiIJNy8xNS8yMDE2AAAAAAQAAAAAAAAADyJOYXNkYXFHUzpJTlRDIg1OYXNkYXFHUzpJTlRDAQAAABYiSVFfVEVWX1RPVEFMX1JFVl9GV0QiFElRX1RFVl9UT1RBTF9SRVZfRldEAgAAAAZJUV9OVE0ENjAwMAMAAAAKIjcvOC8yMDE2Igg3LzgvMjAxNgAAAAAEAAAAAAAAAA8iTmFzZGFxR1M6SU5UQyINTmFzZGFxR1M6SU5UQwEAAAAWIklRX1RFVl9UT1RBTF9SRVZfRldEIhRJUV9URVZfVE9UQUxfUkVWX0ZXRAIAAAAGSVFfTlRNBDYwMDADAAAACiI3LzEvMjAxNiIINy8xLzIwMTYAAAAABAAAAAAAAAAPIk5hc2RhcUdTOklOVEMiDU5hc2RhcUdTOklOVEMBAAAAFiJJUV9URVZfVE9UQUxfUkVWX0ZXRCIUSVFfVEVWX1RPVEFMX1JFVl9GV0QCAAAABklRX05UTQQ2MDAwAwAAAAsiNi8yNC8yMDE2Igk2LzI0LzIwMTYAAAAABAAAAAAAAAAPIk5hc2RhcUdTOklOVEMiDU5hc2RhcUdTOklOVEMBAAAAFiJJUV9URVZfVE9UQUxfUkVWX0ZXRCIUSVFfVEVWX1RPVEFMX1JFVl9GV0QCAAAABklRX05UTQQ2MDAwAwAAAAsiNi8xNy8yMDE2Igk2LzE3LzIwMTYAAAAABAAAAAAAAAAPIk5hc2RhcUdTOklOVEMiDU5hc2RhcUdTOklOVEMBAAAAFiJJUV9URVZfVE9UQUxfUkVWX0ZXRCIUSVFfVEVWX1RPVEFMX1JFVl9GV0QCAAAABklRX05UTQQ2MDAwAwAAAAsiNi8x</t>
  </si>
  <si>
    <t>MC8yMDE2Igk2LzEwLzIwMTYAAAAABAAAAAAAAAAPIk5hc2RhcUdTOklOVEMiDU5hc2RhcUdTOklOVEMBAAAAFiJJUV9URVZfVE9UQUxfUkVWX0ZXRCIUSVFfVEVWX1RPVEFMX1JFVl9GV0QCAAAABklRX05UTQQ2MDAwAwAAAAoiNi8zLzIwMTYiCDYvMy8yMDE2AAAAAAQAAAAAAAAADyJOYXNkYXFHUzpJTlRDIg1OYXNkYXFHUzpJTlRDAQAAABYiSVFfVEVWX1RPVEFMX1JFVl9GV0QiFElRX1RFVl9UT1RBTF9SRVZfRldEAgAAAAZJUV9OVE0ENjAwMAMAAAALIjUvMjcvMjAxNiIJNS8yNy8yMDE2AAAAAAQAAAAAAAAADyJOYXNkYXFHUzpJTlRDIg1OYXNkYXFHUzpJTlRDAQAAABYiSVFfVEVWX1RPVEFMX1JFVl9GV0QiFElRX1RFVl9UT1RBTF9SRVZfRldEAgAAAAZJUV9OVE0ENjAwMAMAAAALIjUvMjAvMjAxNiIJNS8yMC8yMDE2AAAAAAQAAAAAAAAADyJOYXNkYXFHUzpJTlRDIg1OYXNkYXFHUzpJTlRDAQAAABYiSVFfVEVWX1RPVEFMX1JFVl9GV0QiFElRX1RFVl9UT1RBTF9SRVZfRldEAgAAAAZJUV9OVE0ENjAwMAMAAAALIjUvMTMvMjAxNiIJNS8xMy8yMDE2AAAAAAQAAAAAAAAADyJOYXNkYXFHUzpJTlRDIg1OYXNkYXFHUzpJTlRDAQAAABYiSVFfVEVWX1RPVEFMX1JFVl9GV0QiFElRX1RFVl9UT1RBTF9SRVZfRldEAgAAAAZJUV9OVE0ENjAwMAMAAAAKIjUvNi8yMDE2Igg1LzYvMjAxNgAAAAAEAAAA</t>
  </si>
  <si>
    <t>AAAAAA8iTmFzZGFxR1M6SU5UQyINTmFzZGFxR1M6SU5UQwEAAAAWIklRX1RFVl9UT1RBTF9SRVZfRldEIhRJUV9URVZfVE9UQUxfUkVWX0ZXRAIAAAAGSVFfTlRNBDYwMDADAAAACyI0LzI5LzIwMTYiCTQvMjkvMjAxNgAAAAAEAAAAAAAAAA8iTmFzZGFxR1M6SU5UQyINTmFzZGFxR1M6SU5UQwEAAAAWIklRX1RFVl9UT1RBTF9SRVZfRldEIhRJUV9URVZfVE9UQUxfUkVWX0ZXRAIAAAAGSVFfTlRNBDYwMDADAAAACyI0LzIyLzIwMTYiCTQvMjIvMjAxNgAAAAAEAAAAAAAAAA8iTmFzZGFxR1M6SU5UQyINTmFzZGFxR1M6SU5UQwEAAAAWIklRX1RFVl9UT1RBTF9SRVZfRldEIhRJUV9URVZfVE9UQUxfUkVWX0ZXRAIAAAAGSVFfTlRNBDYwMDADAAAACyI0LzE1LzIwMTYiCTQvMTUvMjAxNgAAAAAEAAAAAAAAAA8iTmFzZGFxR1M6SU5UQyINTmFzZGFxR1M6SU5UQwEAAAAWIklRX1RFVl9UT1RBTF9SRVZfRldEIhRJUV9URVZfVE9UQUxfUkVWX0ZXRAIAAAAGSVFfTlRNBDYwMDADAAAACiI0LzgvMjAxNiIINC84LzIwMTYAAAAABAAAAAAAAAAPIk5hc2RhcUdTOklOVEMiDU5hc2RhcUdTOklOVEMBAAAAFiJJUV9URVZfVE9UQUxfUkVWX0ZXRCIUSVFfVEVWX1RPVEFMX1JFVl9GV0QCAAAABklRX05UTQQ2MDAwAwAAAAoiNC8xLzIwMTYiCDQvMS8yMDE2AAAAAAQAAAAAAAAADyJOYXNkYXFHUzpJTlRDIg1OYXNk</t>
  </si>
  <si>
    <t>YXFHUzpJTlRDAQAAABYiSVFfVEVWX1RPVEFMX1JFVl9GV0QiFElRX1RFVl9UT1RBTF9SRVZfRldEAgAAAAZJUV9OVE0ENjAwMAMAAAALIjMvMjQvMjAxNiIJMy8yNC8yMDE2AAAAAAQAAAAAAAAADyJOYXNkYXFHUzpJTlRDIg1OYXNkYXFHUzpJTlRDAQAAABYiSVFfVEVWX1RPVEFMX1JFVl9GV0QiFElRX1RFVl9UT1RBTF9SRVZfRldEAgAAAAZJUV9OVE0ENjAwMAMAAAALIjMvMTgvMjAxNiIJMy8xOC8yMDE2AAAAAAQAAAAAAAAADyJOYXNkYXFHUzpJTlRDIg1OYXNkYXFHUzpJTlRDAQAAABYiSVFfVEVWX1RPVEFMX1JFVl9GV0QiFElRX1RFVl9UT1RBTF9SRVZfRldEAgAAAAZJUV9OVE0ENjAwMAMAAAALIjMvMTEvMjAxNiIJMy8xMS8yMDE2AAAAAAQAAAAAAAAADyJOYXNkYXFHUzpJTlRDIg1OYXNkYXFHUzpJTlRDAQAAABYiSVFfVEVWX1RPVEFMX1JFVl9GV0QiFElRX1RFVl9UT1RBTF9SRVZfRldEAgAAAAZJUV9OVE0ENjAwMAMAAAAKIjMvNC8yMDE2IggzLzQvMjAxNgAAAAAEAAAAAAAAAA8iTmFzZGFxR1M6SU5UQyINTmFzZGFxR1M6SU5UQwEAAAAWIklRX1RFVl9UT1RBTF9SRVZfRldEIhRJUV9URVZfVE9UQUxfUkVWX0ZXRAIAAAAGSVFfTlRNBDYwMDADAAAACyIyLzI2LzIwMTYiCTIvMjYvMjAxNgAAAAAEAAAAAAAAAA8iTmFzZGFxR1M6SU5UQyINTmFzZGFxR1M6SU5UQwEAAAAWIklRX1RFVl9U</t>
  </si>
  <si>
    <t>T1RBTF9SRVZfRldEIhRJUV9URVZfVE9UQUxfUkVWX0ZXRAIAAAAGSVFfTlRNBDYwMDADAAAACyIyLzE5LzIwMTYiCTIvMTkvMjAxNgAAAAAEAAAAAAAAAA8iTmFzZGFxR1M6SU5UQyINTmFzZGFxR1M6SU5UQwEAAAAWIklRX1RFVl9UT1RBTF9SRVZfRldEIhRJUV9URVZfVE9UQUxfUkVWX0ZXRAIAAAAGSVFfTlRNBDYwMDADAAAACyIyLzEyLzIwMTYiCTIvMTIvMjAxNgAAAAAEAAAAAAAAAA8iTmFzZGFxR1M6SU5UQyINTmFzZGFxR1M6SU5UQwEAAAAWIklRX1RFVl9UT1RBTF9SRVZfRldEIhRJUV9URVZfVE9UQUxfUkVWX0ZXRAIAAAAGSVFfTlRNBDYwMDADAAAACiIyLzUvMjAxNiIIMi81LzIwMTYAAAAABAAAAAAAAAAPIk5hc2RhcUdTOklOVEMiDU5hc2RhcUdTOklOVEMBAAAAFiJJUV9URVZfVE9UQUxfUkVWX0ZXRCIUSVFfVEVWX1RPVEFMX1JFVl9GV0QCAAAABklRX05UTQQ2MDAwAwAAAAsiMS8yOS8yMDE2IgkxLzI5LzIwMTYAAAAABAAAAAAAAAAPIk5hc2RhcUdTOklOVEMiDU5hc2RhcUdTOklOVEMBAAAAFiJJUV9URVZfVE9UQUxfUkVWX0ZXRCIUSVFfVEVWX1RPVEFMX1JFVl9GV0QCAAAABklRX05UTQQ2MDAwAwAAAAsiMS8yMi8yMDE2IgkxLzIyLzIwMTYAAAAABAAAAAAAAAAPIk5hc2RhcUdTOklOVEMiDU5hc2RhcUdTOklOVEMBAAAAFiJJUV9URVZfVE9UQUxfUkVWX0ZXRCIUSVFfVEVWX1RP</t>
  </si>
  <si>
    <t>VEFMX1JFVl9GV0QCAAAABklRX05UTQQ2MDAwAwAAAAsiMS8xNS8yMDE2IgkxLzE1LzIwMTYAAAAABAAAAAAAAAAPIk5hc2RhcUdTOklOVEMiDU5hc2RhcUdTOklOVEMBAAAAFiJJUV9URVZfVE9UQUxfUkVWX0ZXRCIUSVFfVEVWX1RPVEFMX1JFVl9GV0QCAAAABklRX05UTQQ2MDAwAwAAAAoiMS84LzIwMTYiCDEvOC8yMDE2AAAAAAQAAAAAAAAADyJOYXNkYXFHUzpJTlRDIg1OYXNkYXFHUzpJTlRDAQAAABYiSVFfVEVWX1RPVEFMX1JFVl9GV0QiFElRX1RFVl9UT1RBTF9SRVZfRldEAgAAAAZJUV9OVE0ENjAwMAMAAAAMIjEyLzMxLzIwMTUiCjEyLzMxLzIwMTUAAAAABAAAAAAAAAAPIk5hc2RhcUdTOklOVEMiDU5hc2RhcUdTOklOVEMBAAAAFiJJUV9URVZfVE9UQUxfUkVWX0ZXRCIUSVFfVEVWX1RPVEFMX1JFVl9GV0QCAAAABklRX05UTQQ2MDAwAwAAAAwiMTIvMjQvMjAxNSIKMTIvMjQvMjAxNQAAAAAEAAAAAAAAAA8iTmFzZGFxR1M6SU5UQyINTmFzZGFxR1M6SU5UQwEAAAAWIklRX1RFVl9UT1RBTF9SRVZfRldEIhRJUV9URVZfVE9UQUxfUkVWX0ZXRAIAAAAGSVFfTlRNBDYwMDADAAAADCIxMi8xOC8yMDE1IgoxMi8xOC8yMDE1AAAAAAQAAAAAAAAADyJOYXNkYXFHUzpJTlRDIg1OYXNkYXFHUzpJTlRDAQAAABYiSVFfVEVWX1RPVEFMX1JFVl9GV0QiFElRX1RFVl9UT1RBTF9SRVZfRldEAgAAAAZJ</t>
  </si>
  <si>
    <t>UV9OVE0ENjAwMAMAAAAMIjEyLzExLzIwMTUiCjEyLzExLzIwMTUAAAAABAAAAAAAAAAPIk5hc2RhcUdTOklOVEMiDU5hc2RhcUdTOklOVEMBAAAAFiJJUV9URVZfVE9UQUxfUkVWX0ZXRCIUSVFfVEVWX1RPVEFMX1JFVl9GV0QCAAAABklRX05UTQQ2MDAwAwAAAAsiMTIvNC8yMDE1IgkxMi80LzIwMTUAAAAABAAAAAAAAAAPIk5hc2RhcUdTOklOVEMiDU5hc2RhcUdTOklOVEMBAAAAFiJJUV9URVZfVE9UQUxfUkVWX0ZXRCIUSVFfVEVWX1RPVEFMX1JFVl9GV0QCAAAABklRX05UTQQ2MDAwAwAAAAwiMTEvMjcvMjAxNSIKMTEvMjcvMjAxNQAAAAAEAAAAAAAAAA8iTmFzZGFxR1M6SU5UQyINTmFzZGFxR1M6SU5UQwEAAAAWIklRX1RFVl9UT1RBTF9SRVZfRldEIhRJUV9URVZfVE9UQUxfUkVWX0ZXRAIAAAAGSVFfTlRNBDYwMDADAAAADCIxMS8yMC8yMDE1IgoxMS8yMC8yMDE1AAAAAAQAAAAAAAAADyJOYXNkYXFHUzpJTlRDIg1OYXNkYXFHUzpJTlRDAQAAABYiSVFfVEVWX1RPVEFMX1JFVl9GV0QiFElRX1RFVl9UT1RBTF9SRVZfRldEAgAAAAZJUV9OVE0ENjAwMAMAAAAMIjExLzEzLzIwMTUiCjExLzEzLzIwMTUAAAAABAAAAAAAAAAPIk5hc2RhcUdTOklOVEMiDU5hc2RhcUdTOklOVEMBAAAAFiJJUV9URVZfVE9UQUxfUkVWX0ZXRCIUSVFfVEVWX1RPVEFMX1JFVl9GV0QCAAAABklRX05UTQQ2MDAwAwAA</t>
  </si>
  <si>
    <t>AAsiMTEvNi8yMDE1IgkxMS82LzIwMTUAAAAABAAAAAAAAAAPIk5hc2RhcUdTOklOVEMiDU5hc2RhcUdTOklOVEMBAAAAFiJJUV9URVZfVE9UQUxfUkVWX0ZXRCIUSVFfVEVWX1RPVEFMX1JFVl9GV0QCAAAABklRX05UTQQ2MDAwAwAAAAwiMTAvMzAvMjAxNSIKMTAvMzAvMjAxNQAAAAAEAAAAAAAAAA8iTmFzZGFxR1M6SU5UQyINTmFzZGFxR1M6SU5UQwEAAAAWIklRX1RFVl9UT1RBTF9SRVZfRldEIhRJUV9URVZfVE9UQUxfUkVWX0ZXRAIAAAAGSVFfTlRNBDYwMDADAAAADCIxMC8yMy8yMDE1IgoxMC8yMy8yMDE1AAAAAAQAAAAAAAAADyJOYXNkYXFHUzpJTlRDIg1OYXNkYXFHUzpJTlRDAQAAABYiSVFfVEVWX1RPVEFMX1JFVl9GV0QiFElRX1RFVl9UT1RBTF9SRVZfRldEAgAAAAZJUV9OVE0ENjAwMAMAAAAMIjEwLzE2LzIwMTUiCjEwLzE2LzIwMTUAAAAABAAAAAAAAAAPIk5hc2RhcUdTOklOVEMiDU5hc2RhcUdTOklOVEMBAAAAFiJJUV9URVZfVE9UQUxfUkVWX0ZXRCIUSVFfVEVWX1RPVEFMX1JFVl9GV0QCAAAABklRX05UTQQ2MDAwAwAAAAsiMTAvOS8yMDE1IgkxMC85LzIwMTUAAAAABAAAAAAAAAAPIk5hc2RhcUdTOklOVEMiDU5hc2RhcUdTOklOVEMBAAAAFiJJUV9URVZfVE9UQUxfUkVWX0ZXRCIUSVFfVEVWX1RPVEFMX1JFVl9GV0QCAAAABklRX05UTQQ2MDAwAwAAAAsiMTAvMi8yMDE1Igkx</t>
  </si>
  <si>
    <t>MC8yLzIwMTUAAAAABAAAAAAAAAAPIk5hc2RhcUdTOklOVEMiDU5hc2RhcUdTOklOVEMBAAAAFiJJUV9URVZfVE9UQUxfUkVWX0ZXRCIUSVFfVEVWX1RPVEFMX1JFVl9GV0QCAAAABklRX05UTQQ2MDAwAwAAAAsiOS8yNS8yMDE1Igk5LzI1LzIwMTUAAAAABAAAAAAAAAAPIk5hc2RhcUdTOklOVEMiDU5hc2RhcUdTOklOVEMBAAAAFiJJUV9URVZfVE9UQUxfUkVWX0ZXRCIUSVFfVEVWX1RPVEFMX1JFVl9GV0QCAAAABklRX05UTQQ2MDAwAwAAAAsiOS8xOC8yMDE1Igk5LzE4LzIwMTUAAAAABAAAAAAAAAAPIk5hc2RhcUdTOklOVEMiDU5hc2RhcUdTOklOVEMBAAAAFiJJUV9URVZfVE9UQUxfUkVWX0ZXRCIUSVFfVEVWX1RPVEFMX1JFVl9GV0QCAAAABklRX05UTQQ2MDAwAwAAAAsiOS8xMS8yMDE1Igk5LzExLzIwMTUAAAAABAAAAAAAAAAPIk5hc2RhcUdTOklOVEMiDU5hc2RhcUdTOklOVEMBAAAAFiJJUV9URVZfVE9UQUxfUkVWX0ZXRCIUSVFfVEVWX1RPVEFMX1JFVl9GV0QCAAAABklRX05UTQQ2MDAwAwAAAAoiOS80LzIwMTUiCDkvNC8yMDE1AAAAAAQAAAAAAAAADyJOYXNkYXFHUzpJTlRDIg1OYXNkYXFHUzpJTlRDAQAAABYiSVFfVEVWX1RPVEFMX1JFVl9GV0QiFElRX1RFVl9UT1RBTF9SRVZfRldEAgAAAAZJUV9OVE0ENjAwMAMAAAALIjgvMjgvMjAxNSIJOC8yOC8yMDE1AAAAAAQAAAAAAAAADyJO</t>
  </si>
  <si>
    <t>YXNkYXFHUzpJTlRDIg1OYXNkYXFHUzpJTlRDAQAAABYiSVFfVEVWX1RPVEFMX1JFVl9GV0QiFElRX1RFVl9UT1RBTF9SRVZfRldEAgAAAAZJUV9OVE0ENjAwMAMAAAALIjgvMjEvMjAxNSIJOC8yMS8yMDE1AAAAAAQAAAAAAAAADyJOYXNkYXFHUzpJTlRDIg1OYXNkYXFHUzpJTlRDAQAAABYiSVFfVEVWX1RPVEFMX1JFVl9GV0QiFElRX1RFVl9UT1RBTF9SRVZfRldEAgAAAAZJUV9OVE0ENjAwMAMAAAALIjgvMTQvMjAxNSIJOC8xNC8yMDE1AAAAAAQAAAAAAAAADyJOYXNkYXFHUzpJTlRDIg1OYXNkYXFHUzpJTlRDAQAAABYiSVFfVEVWX1RPVEFMX1JFVl9GV0QiFElRX1RFVl9UT1RBTF9SRVZfRldEAgAAAAZJUV9OVE0ENjAwMAMAAAAKIjgvNy8yMDE1Igg4LzcvMjAxNQAAAAAEAAAAAAAAAA8iTmFzZGFxR1M6SU5UQyINTmFzZGFxR1M6SU5UQwEAAAAWIklRX1RFVl9UT1RBTF9SRVZfRldEIhRJUV9URVZfVE9UQUxfUkVWX0ZXRAIAAAAGSVFfTlRNBDYwMDADAAAACyI3LzMxLzIwMTUiCTcvMzEvMjAxNQAAAAAEAAAAAAAAAA8iTmFzZGFxR1M6SU5UQyINTmFzZGFxR1M6SU5UQwEAAAAWIklRX1RFVl9UT1RBTF9SRVZfRldEIhRJUV9URVZfVE9UQUxfUkVWX0ZXRAIAAAAGSVFfTlRNBDYwMDADAAAACyI3LzI0LzIwMTUiCTcvMjQvMjAxNQAAAAAEAAAAAAAAAA8iTmFzZGFxR1M6SU5UQyINTmFzZGFxR1M6</t>
  </si>
  <si>
    <t>SU5UQwEAAAAWIklRX1RFVl9UT1RBTF9SRVZfRldEIhRJUV9URVZfVE9UQUxfUkVWX0ZXRAIAAAAGSVFfTlRNBDYwMDADAAAACyI3LzE3LzIwMTUiCTcvMTcvMjAxNQAAAAAEAAAAAAAAAA8iTmFzZGFxR1M6SU5UQyINTmFzZGFxR1M6SU5UQwEAAAAWIklRX1RFVl9UT1RBTF9SRVZfRldEIhRJUV9URVZfVE9UQUxfUkVWX0ZXRAIAAAAGSVFfTlRNBDYwMDADAAAACyI3LzEwLzIwMTUiCTcvMTAvMjAxNQAAAAAEAAAAAAAAAA8iTmFzZGFxR1M6SU5UQyINTmFzZGFxR1M6SU5UQwEAAAAWIklRX1RFVl9UT1RBTF9SRVZfRldEIhRJUV9URVZfVE9UQUxfUkVWX0ZXRAIAAAAGSVFfTlRNBDYwMDADAAAACiI3LzIvMjAxNSIINy8yLzIwMTUAAAAABAAAAAAAAAAPIk5hc2RhcUdTOklOVEMiDU5hc2RhcUdTOklOVEMBAAAAFiJJUV9URVZfVE9UQUxfUkVWX0ZXRCIUSVFfVEVWX1RPVEFMX1JFVl9GV0QCAAAABklRX05UTQQ2MDAwAwAAAAsiNi8yNi8yMDE1Igk2LzI2LzIwMTUAAAAABAAAAAAAAAAPIk5hc2RhcUdTOklOVEMiDU5hc2RhcUdTOklOVEMBAAAAFiJJUV9URVZfVE9UQUxfUkVWX0ZXRCIUSVFfVEVWX1RPVEFMX1JFVl9GV0QCAAAABklRX05UTQQ2MDAwAwAAAAsiNi8xOS8yMDE1Igk2LzE5LzIwMTUAAAAABAAAAAAAAAAPIk5hc2RhcUdTOklOVEMiDU5hc2RhcUdTOklOVEMBAAAAFiJJUV9URVZfVE9UQUxf</t>
  </si>
  <si>
    <t>UkVWX0ZXRCIUSVFfVEVWX1RPVEFMX1JFVl9GV0QCAAAABklRX05UTQQ2MDAwAwAAAAsiNi8xMi8yMDE1Igk2LzEyLzIwMTUAAAAABAAAAAAAAAAPIk5hc2RhcUdTOklOVEMiDU5hc2RhcUdTOklOVEMBAAAAFiJJUV9URVZfVE9UQUxfUkVWX0ZXRCIUSVFfVEVWX1RPVEFMX1JFVl9GV0QCAAAABklRX05UTQQ2MDAwAwAAAAoiNi81LzIwMTUiCDYvNS8yMDE1AAAAAAQAAAAAAAAADyJOYXNkYXFHUzpJTlRDIg1OYXNkYXFHUzpJTlRDAQAAABYiSVFfVEVWX1RPVEFMX1JFVl9GV0QiFElRX1RFVl9UT1RBTF9SRVZfRldEAgAAAAZJUV9OVE0ENjAwMAMAAAALIjUvMjkvMjAxNSIJNS8yOS8yMDE1AAAAAAQAAAAAAAAADyJOYXNkYXFHUzpJTlRDIg1OYXNkYXFHUzpJTlRDAQAAABYiSVFfVEVWX1RPVEFMX1JFVl9GV0QiFElRX1RFVl9UT1RBTF9SRVZfRldEAgAAAAZJUV9OVE0ENjAwMAMAAAALIjUvMjIvMjAxNSIJNS8yMi8yMDE1AAAAAAQAAAAAAAAADyJOYXNkYXFHUzpJTlRDIg1OYXNkYXFHUzpJTlRDAQAAABYiSVFfVEVWX1RPVEFMX1JFVl9GV0QiFElRX1RFVl9UT1RBTF9SRVZfRldEAgAAAAZJUV9OVE0ENjAwMAMAAAALIjUvMTUvMjAxNSIJNS8xNS8yMDE1AAAAAAQAAAAAAAAADyJOYXNkYXFHUzpJTlRDIg1OYXNkYXFHUzpJTlRDAQAAABYiSVFfVEVWX1RPVEFMX1JFVl9GV0QiFElRX1RFVl9UT1RBTF9S</t>
  </si>
  <si>
    <t>RVZfRldEAgAAAAZJUV9OVE0ENjAwMAMAAAAKIjUvOC8yMDE1Igg1LzgvMjAxNQAAAAAEAAAAAAAAAA8iTmFzZGFxR1M6SU5UQyINTmFzZGFxR1M6SU5UQwEAAAAWIklRX1RFVl9UT1RBTF9SRVZfRldEIhRJUV9URVZfVE9UQUxfUkVWX0ZXRAIAAAAGSVFfTlRNBDYwMDADAAAACiI1LzEvMjAxNSIINS8xLzIwMTUAAAAABAAAAAAAAAAPIk5hc2RhcUdTOklOVEMiDU5hc2RhcUdTOklOVEMBAAAAFiJJUV9URVZfVE9UQUxfUkVWX0ZXRCIUSVFfVEVWX1RPVEFMX1JFVl9GV0QCAAAABklRX05UTQQ2MDAwAwAAAAsiNC8yNC8yMDE1Igk0LzI0LzIwMTUAAAAABAAAAAAAAAAPIk5hc2RhcUdTOklOVEMiDU5hc2RhcUdTOklOVEMBAAAAFiJJUV9URVZfVE9UQUxfUkVWX0ZXRCIUSVFfVEVWX1RPVEFMX1JFVl9GV0QCAAAABklRX05UTQQ2MDAwAwAAAAsiNC8xNy8yMDE1Igk0LzE3LzIwMTUAAAAABAAAAAAAAAAPIk5hc2RhcUdTOklOVEMiDU5hc2RhcUdTOklOVEMBAAAAFiJJUV9URVZfVE9UQUxfUkVWX0ZXRCIUSVFfVEVWX1RPVEFMX1JFVl9GV0QCAAAABklRX05UTQQ2MDAwAwAAAAsiNC8xMC8yMDE1Igk0LzEwLzIwMTUAAAAABAAAAAAAAAAPIk5hc2RhcUdTOklOVEMiDU5hc2RhcUdTOklOVEMBAAAAFiJJUV9URVZfVE9UQUxfUkVWX0ZXRCIUSVFfVEVWX1RPVEFMX1JFVl9GV0QCAAAABklRX05UTQQ2MDAwAwAA</t>
  </si>
  <si>
    <t>AAoiNC8yLzIwMTUiCDQvMi8yMDE1AAAAAAQAAAAAAAAADyJOYXNkYXFHUzpJTlRDIg1OYXNkYXFHUzpJTlRDAQAAABYiSVFfVEVWX1RPVEFMX1JFVl9GV0QiFElRX1RFVl9UT1RBTF9SRVZfRldEAgAAAAZJUV9OVE0ENjAwMAMAAAALIjMvMjcvMjAxNSIJMy8yNy8yMDE1AAAAAAQAAAAAAAAADyJOYXNkYXFHUzpJTlRDIg1OYXNkYXFHUzpJTlRDAQAAABYiSVFfVEVWX1RPVEFMX1JFVl9GV0QiFElRX1RFVl9UT1RBTF9SRVZfRldEAgAAAAZJUV9OVE0ENjAwMAMAAAALIjMvMjAvMjAxNSIJMy8yMC8yMDE1AAAAAAQAAAAAAAAADyJOYXNkYXFHUzpJTlRDIg1OYXNkYXFHUzpJTlRDAQAAABYiSVFfVEVWX1RPVEFMX1JFVl9GV0QiFElRX1RFVl9UT1RBTF9SRVZfRldEAgAAAAZJUV9OVE0ENjAwMAMAAAALIjMvMTMvMjAxNSIJMy8xMy8yMDE1AAAAAAQAAAAAAAAADyJOYXNkYXFHUzpJTlRDIg1OYXNkYXFHUzpJTlRDAQAAABYiSVFfVEVWX1RPVEFMX1JFVl9GV0QiFElRX1RFVl9UT1RBTF9SRVZfRldEAgAAAAZJUV9OVE0ENjAwMAMAAAAKIjMvNi8yMDE1IggzLzYvMjAxNQAAAAAEAAAAAAAAAA8iTmFzZGFxR1M6SU5UQyINTmFzZGFxR1M6SU5UQwEAAAAWIklRX1RFVl9UT1RBTF9SRVZfRldEIhRJUV9URVZfVE9UQUxfUkVWX0ZXRAIAAAAGSVFfTlRNBDYwMDADAAAACyIyLzI3LzIwMTUiCTIvMjcvMjAxNQAA</t>
  </si>
  <si>
    <t>AAAEAAAAAAAAAA8iTmFzZGFxR1M6SU5UQyINTmFzZGFxR1M6SU5UQwEAAAAWIklRX1RFVl9UT1RBTF9SRVZfRldEIhRJUV9URVZfVE9UQUxfUkVWX0ZXRAIAAAAGSVFfTlRNBDYwMDADAAAACyIyLzIwLzIwMTUiCTIvMjAvMjAxNQAAAAAEAAAAAAAAAA8iTmFzZGFxR1M6SU5UQyINTmFzZGFxR1M6SU5UQwEAAAAWIklRX1RFVl9UT1RBTF9SRVZfRldEIhRJUV9URVZfVE9UQUxfUkVWX0ZXRAIAAAAGSVFfTlRNBDYwMDADAAAACyIyLzEzLzIwMTUiCTIvMTMvMjAxNQAAAAAEAAAAAAAAAA8iTmFzZGFxR1M6SU5UQyINTmFzZGFxR1M6SU5UQwEAAAAWIklRX1RFVl9UT1RBTF9SRVZfRldEIhRJUV9URVZfVE9UQUxfUkVWX0ZXRAIAAAAGSVFfTlRNBDYwMDADAAAACiIyLzYvMjAxNSIIMi82LzIwMTUAAAAABAAAAAAAAAAPIk5hc2RhcUdTOklOVEMiDU5hc2RhcUdTOklOVEMBAAAAFiJJUV9URVZfVE9UQUxfUkVWX0ZXRCIUSVFfVEVWX1RPVEFMX1JFVl9GV0QCAAAABklRX05UTQQ2MDAwAwAAAAsiMS8zMC8yMDE1IgkxLzMwLzIwMTUAAAAABAAAAAAAAAAPIk5hc2RhcUdTOklOVEMiDU5hc2RhcUdTOklOVEMBAAAAFiJJUV9URVZfVE9UQUxfUkVWX0ZXRCIUSVFfVEVWX1RPVEFMX1JFVl9GV0QCAAAABklRX05UTQQ2MDAwAwAAAAsiMS8yMy8yMDE1IgkxLzIzLzIwMTUAAAAABAAAAAAAAAAPIk5hc2RhcUdTOklO</t>
  </si>
  <si>
    <t>VEMiDU5hc2RhcUdTOklOVEMBAAAAFiJJUV9URVZfVE9UQUxfUkVWX0ZXRCIUSVFfVEVWX1RPVEFMX1JFVl9GV0QCAAAABklRX05UTQQ2MDAwAwAAAAsiMS8xNi8yMDE1IgkxLzE2LzIwMTUAAAAABAAAAAAAAAAPIk5hc2RhcUdTOklOVEMiDU5hc2RhcUdTOklOVEMBAAAAFiJJUV9URVZfVE9UQUxfUkVWX0ZXRCIUSVFfVEVWX1RPVEFMX1JFVl9GV0QCAAAABklRX05UTQQ2MDAwAwAAAAoiMS85LzIwMTUiCDEvOS8yMDE1AAAAAAQAAAAAAAAADyJOYXNkYXFHUzpJTlRDIg1OYXNkYXFHUzpJTlRDAQAAABYiSVFfVEVWX1RPVEFMX1JFVl9GV0QiFElRX1RFVl9UT1RBTF9SRVZfRldEAgAAAAZJUV9OVE0ENjAwMAMAAAAKIjEvMi8yMDE1IggxLzIvMjAxNQAAAAAEAAAAAAAAAA8iTmFzZGFxR1M6SU5UQyINTmFzZGFxR1M6SU5UQwEAAAAWIklRX1RFVl9UT1RBTF9SRVZfRldEIhRJUV9URVZfVE9UQUxfUkVWX0ZXRAIAAAAGSVFfTlRNBDYwMDADAAAADCIxMi8yNi8yMDE0IgoxMi8yNi8yMDE0AAAAAAQAAAAAAAAADyJOYXNkYXFHUzpJTlRDIg1OYXNkYXFHUzpJTlRDAQAAABYiSVFfVEVWX1RPVEFMX1JFVl9GV0QiFElRX1RFVl9UT1RBTF9SRVZfRldEAgAAAAZJUV9OVE0ENjAwMAMAAAAMIjEyLzE5LzIwMTQiCjEyLzE5LzIwMTQAAAAABAAAAAAAAAAPIk5hc2RhcUdTOklOVEMiDU5hc2RhcUdTOklOVEMBAAAA</t>
  </si>
  <si>
    <t>FiJJUV9URVZfVE9UQUxfUkVWX0ZXRCIUSVFfVEVWX1RPVEFMX1JFVl9GV0QCAAAABklRX05UTQQ2MDAwAwAAAAwiMTIvMTIvMjAxNCIKMTIvMTIvMjAxNAAAAAAEAAAAAAAAAA8iTmFzZGFxR1M6SU5UQyINTmFzZGFxR1M6SU5UQwEAAAAWIklRX1RFVl9UT1RBTF9SRVZfRldEIhRJUV9URVZfVE9UQUxfUkVWX0ZXRAIAAAAGSVFfTlRNBDYwMDADAAAACyIxMi81LzIwMTQiCTEyLzUvMjAxNAAAAAAEAAAAAAAAAA8iTmFzZGFxR1M6SU5UQyINTmFzZGFxR1M6SU5UQwEAAAAWIklRX1RFVl9UT1RBTF9SRVZfRldEIhRJUV9URVZfVE9UQUxfUkVWX0ZXRAIAAAAGSVFfTlRNBDYwMDADAAAADCIxMS8yOC8yMDE0IgoxMS8yOC8yMDE0AAAAAAQAAAAAAAAADyJOYXNkYXFHUzpJTlRDIg1OYXNkYXFHUzpJTlRDAQAAABYiSVFfVEVWX1RPVEFMX1JFVl9GV0QiFElRX1RFVl9UT1RBTF9SRVZfRldEAgAAAAZJUV9OVE0ENjAwMAMAAAAMIjExLzIxLzIwMTQiCjExLzIxLzIwMTQAAAAABAAAAAAAAAAPIk5hc2RhcUdTOklOVEMiDU5hc2RhcUdTOklOVEMBAAAAFiJJUV9URVZfVE9UQUxfUkVWX0ZXRCIUSVFfVEVWX1RPVEFMX1JFVl9GV0QCAAAABklRX05UTQQ2MDAwAwAAAAwiMTEvMTQvMjAxNCIKMTEvMTQvMjAxNAAAAAAEAAAAAAAAAA8iTmFzZGFxR1M6SU5UQyINTmFzZGFxR1M6SU5UQwEAAAAWIklRX1RFVl9UT1RB</t>
  </si>
  <si>
    <t>TF9SRVZfRldEIhRJUV9URVZfVE9UQUxfUkVWX0ZXRAIAAAAGSVFfTlRNBDYwMDADAAAACyIxMS83LzIwMTQiCTExLzcvMjAxNAAAAAAEAAAAAAAAAA8iTmFzZGFxR1M6SU5UQyINTmFzZGFxR1M6SU5UQwEAAAAWIklRX1RFVl9UT1RBTF9SRVZfRldEIhRJUV9URVZfVE9UQUxfUkVWX0ZXRAIAAAAGSVFfTlRNBDYwMDADAAAADCIxMC8zMS8yMDE0IgoxMC8zMS8yMDE0AAAAAAQAAAAAAAAADyJOYXNkYXFHUzpJTlRDIg1OYXNkYXFHUzpJTlRDAQAAABYiSVFfVEVWX1RPVEFMX1JFVl9GV0QiFElRX1RFVl9UT1RBTF9SRVZfRldEAgAAAAZJUV9OVE0ENjAwMAMAAAAMIjEwLzI0LzIwMTQiCjEwLzI0LzIwMTQAAAAABAAAAAAAAAAPIk5hc2RhcUdTOklOVEMiDU5hc2RhcUdTOklOVEMBAAAAFiJJUV9URVZfVE9UQUxfUkVWX0ZXRCIUSVFfVEVWX1RPVEFMX1JFVl9GV0QCAAAABklRX05UTQQ2MDAwAwAAAAwiMTAvMTcvMjAxNCIKMTAvMTcvMjAxNAAAAAAEAAAAAAAAAA8iTmFzZGFxR1M6SU5UQyINTmFzZGFxR1M6SU5UQwEAAAAWIklRX1RFVl9UT1RBTF9SRVZfRldEIhRJUV9URVZfVE9UQUxfUkVWX0ZXRAIAAAAGSVFfTlRNBDYwMDADAAAADCIxMC8xMC8yMDE0IgoxMC8xMC8yMDE0AAAAAAQAAAAAAAAADyJOYXNkYXFHUzpJTlRDIg1OYXNkYXFHUzpJTlRDAQAAABYiSVFfVEVWX1RPVEFMX1JFVl9GV0QiFElR</t>
  </si>
  <si>
    <t>X1RFVl9UT1RBTF9SRVZfRldEAgAAAAZJUV9OVE0ENjAwMAMAAAALIjEwLzMvMjAxNCIJMTAvMy8yMDE0AAAAAAQAAAAAAAAADyJOYXNkYXFHUzpJTlRDIg1OYXNkYXFHUzpJTlRDAQAAABYiSVFfVEVWX1RPVEFMX1JFVl9GV0QiFElRX1RFVl9UT1RBTF9SRVZfRldEAgAAAAZJUV9OVE0ENjAwMAMAAAALIjkvMjYvMjAxNCIJOS8yNi8yMDE0AAAAAAQAAAAAAAAADyJOYXNkYXFHUzpJTlRDIg1OYXNkYXFHUzpJTlRDAQAAABYiSVFfVEVWX1RPVEFMX1JFVl9GV0QiFElRX1RFVl9UT1RBTF9SRVZfRldEAgAAAAZJUV9OVE0ENjAwMAMAAAALIjkvMTkvMjAxNCIJOS8xOS8yMDE0AAAAAAQAAAAAAAAADyJOYXNkYXFHUzpJTlRDIg1OYXNkYXFHUzpJTlRDAQAAABYiSVFfVEVWX1RPVEFMX1JFVl9GV0QiFElRX1RFVl9UT1RBTF9SRVZfRldEAgAAAAZJUV9OVE0ENjAwMAMAAAALIjkvMTIvMjAxNCIJOS8xMi8yMDE0AAAAAAQAAAAAAAAADyJOYXNkYXFHUzpJTlRDIg1OYXNkYXFHUzpJTlRDAQAAABYiSVFfVEVWX1RPVEFMX1JFVl9GV0QiFElRX1RFVl9UT1RBTF9SRVZfRldEAgAAAAZJUV9OVE0ENjAwMAMAAAAKIjkvNS8yMDE0Igg5LzUvMjAxNAAAAAAEAAAAAAAAAA8iTmFzZGFxR1M6SU5UQyINTmFzZGFxR1M6SU5UQwEAAAAWIklRX1RFVl9UT1RBTF9SRVZfRldEIhRJUV9URVZfVE9UQUxfUkVWX0ZXRAIAAAAG</t>
  </si>
  <si>
    <t>SVFfTlRNBDYwMDADAAAACyI4LzI5LzIwMTQiCTgvMjkvMjAxNAAAAAAEAAAAAAAAAA8iTmFzZGFxR1M6SU5UQyINTmFzZGFxR1M6SU5UQwEAAAAWIklRX1RFVl9UT1RBTF9SRVZfRldEIhRJUV9URVZfVE9UQUxfUkVWX0ZXRAIAAAAGSVFfTlRNBDYwMDADAAAACyI4LzIyLzIwMTQiCTgvMjIvMjAxNAAAAAAEAAAAAAAAAA8iTmFzZGFxR1M6SU5UQyINTmFzZGFxR1M6SU5UQwEAAAAWIklRX1RFVl9UT1RBTF9SRVZfRldEIhRJUV9URVZfVE9UQUxfUkVWX0ZXRAIAAAAGSVFfTlRNBDYwMDADAAAACyI4LzE1LzIwMTQiCTgvMTUvMjAxNAAAAAAEAAAAAAAAAA8iTmFzZGFxR1M6SU5UQyINTmFzZGFxR1M6SU5UQwEAAAAWIklRX1RFVl9UT1RBTF9SRVZfRldEIhRJUV9URVZfVE9UQUxfUkVWX0ZXRAIAAAAGSVFfTlRNBDYwMDADAAAACiI4LzgvMjAxNCIIOC84LzIwMTQAAAAABAAAAAAAAAAPIk5hc2RhcUdTOklOVEMiDU5hc2RhcUdTOklOVEMBAAAAFiJJUV9URVZfVE9UQUxfUkVWX0ZXRCIUSVFfVEVWX1RPVEFMX1JFVl9GV0QCAAAABklRX05UTQQ2MDAwAwAAAAoiOC8xLzIwMTQiCDgvMS8yMDE0AAAAAAQAAAAAAAAADyJOYXNkYXFHUzpJTlRDIg1OYXNkYXFHUzpJTlRDAQAAABYiSVFfVEVWX1RPVEFMX1JFVl9GV0QiFElRX1RFVl9UT1RBTF9SRVZfRldEAgAAAAZJUV9OVE0ENjAwMAMAAAALIjcvMjUvMjAx</t>
  </si>
  <si>
    <t>NCIJNy8yNS8yMDE0AAAAAAQAAAAAAAAADyJOYXNkYXFHUzpJTlRDIg1OYXNkYXFHUzpJTlRDAQAAABYiSVFfVEVWX1RPVEFMX1JFVl9GV0QiFElRX1RFVl9UT1RBTF9SRVZfRldEAgAAAAZJUV9OVE0ENjAwMAMAAAALIjcvMTgvMjAxNCIJNy8xOC8yMDE0AAAAAAQAAAAAAAAADyJOYXNkYXFHUzpJTlRDIg1OYXNkYXFHUzpJTlRDAQAAABYiSVFfVEVWX1RPVEFMX1JFVl9GV0QiFElRX1RFVl9UT1RBTF9SRVZfRldEAgAAAAZJUV9OVE0ENjAwMAMAAAALIjcvMTEvMjAxNCIJNy8xMS8yMDE0AAAAAAQAAAAAAAAADyJOYXNkYXFHUzpJTlRDIg1OYXNkYXFHUzpJTlRDAQAAABYiSVFfVEVWX1RPVEFMX1JFVl9GV0QiFElRX1RFVl9UT1RBTF9SRVZfRldEAgAAAAZJUV9OVE0ENjAwMAMAAAAKIjcvMy8yMDE0Igg3LzMvMjAxNAAAAAAEAAAAAAAAAA8iTmFzZGFxR1M6SU5UQyINTmFzZGFxR1M6SU5UQwEAAAAWIklRX1RFVl9UT1RBTF9SRVZfRldEIhRJUV9URVZfVE9UQUxfUkVWX0ZXRAIAAAAGSVFfTlRNBDYwMDADAAAACyI2LzI3LzIwMTQiCTYvMjcvMjAxNAAAAAAEAAAAAAAAAA8iTmFzZGFxR1M6SU5UQyINTmFzZGFxR1M6SU5UQwEAAAAWIklRX1RFVl9UT1RBTF9SRVZfRldEIhRJUV9URVZfVE9UQUxfUkVWX0ZXRAIAAAAGSVFfTlRNBDYwMDADAAAACyI2LzIwLzIwMTQiCTYvMjAvMjAxNAAAAAAEAAAAAAAA</t>
  </si>
  <si>
    <t>AA8iTmFzZGFxR1M6SU5UQyINTmFzZGFxR1M6SU5UQwEAAAAWIklRX1RFVl9UT1RBTF9SRVZfRldEIhRJUV9URVZfVE9UQUxfUkVWX0ZXRAIAAAAGSVFfTlRNBDYwMDADAAAACyI2LzEzLzIwMTQiCTYvMTMvMjAxNAAAAAAEAAAAAAAAAA8iTmFzZGFxR1M6SU5UQyINTmFzZGFxR1M6SU5UQwEAAAAWIklRX1RFVl9UT1RBTF9SRVZfRldEIhRJUV9URVZfVE9UQUxfUkVWX0ZXRAIAAAAGSVFfTlRNBDYwMDADAAAACiI2LzYvMjAxNCIINi82LzIwMTQAAAAABAAAAAAAAAAPIk5hc2RhcUdTOklOVEMiDU5hc2RhcUdTOklOVEMBAAAAFiJJUV9URVZfVE9UQUxfUkVWX0ZXRCIUSVFfVEVWX1RPVEFMX1JFVl9GV0QCAAAABklRX05UTQQ2MDAwAwAAAAsiNS8zMC8yMDE0Igk1LzMwLzIwMTQAAAAABAAAAAAAAAAPIk5hc2RhcUdTOklOVEMiDU5hc2RhcUdTOklOVEMBAAAAFiJJUV9URVZfVE9UQUxfUkVWX0ZXRCIUSVFfVEVWX1RPVEFMX1JFVl9GV0QCAAAABklRX05UTQQ2MDAwAwAAAAsiNS8yMy8yMDE0Igk1LzIzLzIwMTQAAAAABAAAAAAAAAAPIk5hc2RhcUdTOklOVEMiDU5hc2RhcUdTOklOVEMBAAAAFiJJUV9URVZfVE9UQUxfUkVWX0ZXRCIUSVFfVEVWX1RPVEFMX1JFVl9GV0QCAAAABklRX05UTQQ2MDAwAwAAAAsiNS8xNi8yMDE0Igk1LzE2LzIwMTQAAAAABAAAAAAAAAAPIk5hc2RhcUdTOklOVEMiDU5hc2Rh</t>
  </si>
  <si>
    <t>cUdTOklOVEMBAAAAFiJJUV9URVZfVE9UQUxfUkVWX0ZXRCIUSVFfVEVWX1RPVEFMX1JFVl9GV0QCAAAABklRX05UTQQ2MDAwAwAAAAoiNS85LzIwMTQiCDUvOS8yMDE0AAAAAAQAAAAAAAAADyJOYXNkYXFHUzpJTlRDIg1OYXNkYXFHUzpJTlRDAQAAABYiSVFfVEVWX1RPVEFMX1JFVl9GV0QiFElRX1RFVl9UT1RBTF9SRVZfRldEAgAAAAZJUV9OVE0ENjAwMAMAAAAKIjUvMi8yMDE0Igg1LzIvMjAxNAAAAAAEAAAAAAAAAA8iTmFzZGFxR1M6SU5UQyINTmFzZGFxR1M6SU5UQwEAAAAWIklRX1RFVl9UT1RBTF9SRVZfRldEIhRJUV9URVZfVE9UQUxfUkVWX0ZXRAIAAAAGSVFfTlRNBDYwMDADAAAACyI0LzI1LzIwMTQiCTQvMjUvMjAxNAAAAAAEAAAAAAAAAA8iTmFzZGFxR1M6SU5UQyINTmFzZGFxR1M6SU5UQwEAAAAWIklRX1RFVl9UT1RBTF9SRVZfRldEIhRJUV9URVZfVE9UQUxfUkVWX0ZXRAIAAAAGSVFfTlRNBDYwMDADAAAACyI0LzE3LzIwMTQiCTQvMTcvMjAxNAAAAAAEAAAAAAAAAA8iTmFzZGFxR1M6SU5UQyINTmFzZGFxR1M6SU5UQwEAAAAWIklRX1RFVl9UT1RBTF9SRVZfRldEIhRJUV9URVZfVE9UQUxfUkVWX0ZXRAIAAAAGSVFfTlRNBDYwMDADAAAACyI0LzExLzIwMTQiCTQvMTEvMjAxNAAAAAAEAAAAAAAAAA8iTmFzZGFxR1M6SU5UQyINTmFzZGFxR1M6SU5UQwEAAAAWIklRX1RFVl9UT1RB</t>
  </si>
  <si>
    <t>TF9SRVZfRldEIhRJUV9URVZfVE9UQUxfUkVWX0ZXRAIAAAAGSVFfTlRNBDYwMDADAAAACiI0LzQvMjAxNCIINC80LzIwMTQAAAAABAAAAAAAAAAPIk5hc2RhcUdTOklOVEMiDU5hc2RhcUdTOklOVEMBAAAAFiJJUV9URVZfVE9UQUxfUkVWX0ZXRCIUSVFfVEVWX1RPVEFMX1JFVl9GV0QCAAAABklRX05UTQQ2MDAwAwAAAAsiMy8yOC8yMDE0IgkzLzI4LzIwMTQAAAAABAAAAAAAAAAPIk5hc2RhcUdTOklOVEMiDU5hc2RhcUdTOklOVEMBAAAAFiJJUV9URVZfVE9UQUxfUkVWX0ZXRCIUSVFfVEVWX1RPVEFMX1JFVl9GV0QCAAAABklRX05UTQQ2MDAwAwAAAAsiMy8yMS8yMDE0IgkzLzIxLzIwMTQAAAAABAAAAAAAAAAPIk5hc2RhcUdTOklOVEMiDU5hc2RhcUdTOklOVEMBAAAAFiJJUV9URVZfVE9UQUxfUkVWX0ZXRCIUSVFfVEVWX1RPVEFMX1JFVl9GV0QCAAAABklRX05UTQQ2MDAwAwAAAAsiMy8xNC8yMDE0IgkzLzE0LzIwMTQAAAAABAAAAAAAAAAPIk5hc2RhcUdTOklOVEMiDU5hc2RhcUdTOklOVEMBAAAAFiJJUV9URVZfVE9UQUxfUkVWX0ZXRCIUSVFfVEVWX1RPVEFMX1JFVl9GV0QCAAAABklRX05UTQQ2MDAwAwAAAAoiMy83LzIwMTQiCDMvNy8yMDE0AAAAAAQAAAAAAAAADyJOYXNkYXFHUzpJTlRDIg1OYXNkYXFHUzpJTlRDAQAAABYiSVFfVEVWX1RPVEFMX1JFVl9GV0QiFElRX1RFVl9UT1RBTF9S</t>
  </si>
  <si>
    <t>RVZfRldEAgAAAAZJUV9OVE0ENjAwMAMAAAALIjIvMjgvMjAxNCIJMi8yOC8yMDE0AAAAAAQAAAAAAAAADyJOYXNkYXFHUzpJTlRDIg1OYXNkYXFHUzpJTlRDAQAAABYiSVFfVEVWX1RPVEFMX1JFVl9GV0QiFElRX1RFVl9UT1RBTF9SRVZfRldEAgAAAAZJUV9OVE0ENjAwMAMAAAALIjIvMjEvMjAxNCIJMi8yMS8yMDE0AAAAAAQAAAAAAAAADyJOYXNkYXFHUzpJTlRDIg1OYXNkYXFHUzpJTlRDAQAAABYiSVFfVEVWX1RPVEFMX1JFVl9GV0QiFElRX1RFVl9UT1RBTF9SRVZfRldEAgAAAAZJUV9OVE0ENjAwMAMAAAALIjIvMTQvMjAxNCIJMi8xNC8yMDE0AAAAAAQAAAAAAAAADyJOYXNkYXFHUzpJTlRDIg1OYXNkYXFHUzpJTlRDAQAAABYiSVFfVEVWX1RPVEFMX1JFVl9GV0QiFElRX1RFVl9UT1RBTF9SRVZfRldEAgAAAAZJUV9OVE0ENjAwMAMAAAAKIjIvNy8yMDE0IggyLzcvMjAxNAAAAAAEAAAAAAAAAA8iTmFzZGFxR1M6SU5UQyINTmFzZGFxR1M6SU5UQwEAAAAWIklRX1RFVl9UT1RBTF9SRVZfRldEIhRJUV9URVZfVE9UQUxfUkVWX0ZXRAIAAAAGSVFfTlRNBDYwMDADAAAACyIxLzMxLzIwMTQiCTEvMzEvMjAxNAAAAAAEAAAAAAAAAA8iTmFzZGFxR1M6SU5UQyINTmFzZGFxR1M6SU5UQwEAAAAWIklRX1RFVl9UT1RBTF9SRVZfRldEIhRJUV9URVZfVE9UQUxfUkVWX0ZXRAIAAAAGSVFfTlRNBDYwMDAD</t>
  </si>
  <si>
    <t>AAAACyIxLzI0LzIwMTQiCTEvMjQvMjAxNAAAAAAEAAAAAAAAAA8iTmFzZGFxR1M6SU5UQyINTmFzZGFxR1M6SU5UQwEAAAAWIklRX1RFVl9UT1RBTF9SRVZfRldEIhRJUV9URVZfVE9UQUxfUkVWX0ZXRAIAAAAGSVFfTlRNBDYwMDADAAAACyIxLzE3LzIwMTQiCTEvMTcvMjAxNAAAAAAEAAAAAAAAAA8iTmFzZGFxR1M6SU5UQyINTmFzZGFxR1M6SU5UQwEAAAAWIklRX1RFVl9UT1RBTF9SRVZfRldEIhRJUV9URVZfVE9UQUxfUkVWX0ZXRAIAAAAGSVFfTlRNBDYwMDADAAAACyIxLzEwLzIwMTQiCTEvMTAvMjAxNAAAAAAEAAAAAAAAAA8iTmFzZGFxR1M6SU5UQyINTmFzZGFxR1M6SU5UQwEAAAAWIklRX1RFVl9UT1RBTF9SRVZfRldEIhRJUV9URVZfVE9UQUxfUkVWX0ZXRAIAAAAGSVFfTlRNBDYwMDADAAAACiIxLzMvMjAxNCIIMS8zLzIwMTQAAAAABAAAAAAAAAAPIk5hc2RhcUdTOklOVEMiDU5hc2RhcUdTOklOVEMBAAAAFiJJUV9URVZfVE9UQUxfUkVWX0ZXRCIUSVFfVEVWX1RPVEFMX1JFVl9GV0QCAAAABklRX05UTQQ2MDAwAwAAAAwiMTIvMjcvMjAxMyIKMTIvMjcvMjAxMwAAAAAEAAAAAAAAAA8iTmFzZGFxR1M6SU5UQyINTmFzZGFxR1M6SU5UQwEAAAAWIklRX1RFVl9UT1RBTF9SRVZfRldEIhRJUV9URVZfVE9UQUxfUkVWX0ZXRAIAAAAGSVFfTlRNBDYwMDADAAAADCIxMi8yMC8yMDEzIgoxMi8y</t>
  </si>
  <si>
    <t>MC8yMDEzAAAAAAQAAAAAAAAADyJOYXNkYXFHUzpJTlRDIg1OYXNkYXFHUzpJTlRDAQAAABYiSVFfVEVWX1RPVEFMX1JFVl9GV0QiFElRX1RFVl9UT1RBTF9SRVZfRldEAgAAAAZJUV9OVE0ENjAwMAMAAAAMIjEyLzEzLzIwMTMiCjEyLzEzLzIwMTMAAAAABAAAAAAAAAAPIk5hc2RhcUdTOklOVEMiDU5hc2RhcUdTOklOVEMBAAAAFiJJUV9URVZfVE9UQUxfUkVWX0ZXRCIUSVFfVEVWX1RPVEFMX1JFVl9GV0QCAAAABklRX05UTQQ2MDAwAwAAAAsiMTIvNi8yMDEzIgkxMi82LzIwMTMAAAAABAAAAAAAAAAPIk5hc2RhcUdTOklOVEMiDU5hc2RhcUdTOklOVEMBAAAAFiJJUV9URVZfVE9UQUxfUkVWX0ZXRCIUSVFfVEVWX1RPVEFMX1JFVl9GV0QCAAAABklRX05UTQQ2MDAwAwAAAAwiMTEvMjkvMjAxMyIKMTEvMjkvMjAxMwAAAAAEAAAAAAAAAA8iTmFzZGFxR1M6SU5UQyINTmFzZGFxR1M6SU5UQwEAAAAWIklRX1RFVl9UT1RBTF9SRVZfRldEIhRJUV9URVZfVE9UQUxfUkVWX0ZXRAIAAAAGSVFfTlRNBDYwMDADAAAADCIxMS8yMi8yMDEzIgoxMS8yMi8yMDEzAAAAAAQAAAAAAAAADyJOYXNkYXFHUzpJTlRDIg1OYXNkYXFHUzpJTlRDAQAAABYiSVFfVEVWX1RPVEFMX1JFVl9GV0QiFElRX1RFVl9UT1RBTF9SRVZfRldEAgAAAAZJUV9OVE0ENjAwMAMAAAAMIjExLzE1LzIwMTMiCjExLzE1LzIwMTMAAAAABAAA</t>
  </si>
  <si>
    <t>AAAAAAAPIk5hc2RhcUdTOklOVEMiDU5hc2RhcUdTOklOVEMBAAAAFiJJUV9URVZfVE9UQUxfUkVWX0ZXRCIUSVFfVEVWX1RPVEFMX1JFVl9GV0QCAAAABklRX05UTQQ2MDAwAwAAAAsiMTEvOC8yMDEzIgkxMS84LzIwMTMAAAAABAAAAAAAAAAPIk5hc2RhcUdTOklOVEMiDU5hc2RhcUdTOklOVEMBAAAAFiJJUV9URVZfVE9UQUxfUkVWX0ZXRCIUSVFfVEVWX1RPVEFMX1JFVl9GV0QCAAAABklRX05UTQQ2MDAwAwAAAAsiMTEvMS8yMDEzIgkxMS8xLzIwMTMAAAAABAAAAAAAAAAPIk5hc2RhcUdTOklOVEMiDU5hc2RhcUdTOklOVEMBAAAAFiJJUV9URVZfVE9UQUxfUkVWX0ZXRCIUSVFfVEVWX1RPVEFMX1JFVl9GV0QCAAAABklRX05UTQQ2MDAwAwAAAAwiMTAvMjUvMjAxMyIKMTAvMjUvMjAxMwAAAAAEAAAAAAAAAA8iTmFzZGFxR1M6SU5UQyINTmFzZGFxR1M6SU5UQwEAAAAWIklRX1RFVl9UT1RBTF9SRVZfRldEIhRJUV9URVZfVE9UQUxfUkVWX0ZXRAIAAAAGSVFfTlRNBDYwMDADAAAADCIxMC8xOC8yMDEzIgoxMC8xOC8yMDEzAAAAAAQAAAAAAAAADyJOYXNkYXFHUzpJTlRDIg1OYXNkYXFHUzpJTlRDAQAAABYiSVFfVEVWX1RPVEFMX1JFVl9GV0QiFElRX1RFVl9UT1RBTF9SRVZfRldEAgAAAAZJUV9OVE0ENjAwMAMAAAAMIjEwLzExLzIwMTMiCjEwLzExLzIwMTMAAAAABAAAAAAAAAAPIk5hc2RhcUdT</t>
  </si>
  <si>
    <t>OklOVEMiDU5hc2RhcUdTOklOVEMBAAAAFiJJUV9URVZfVE9UQUxfUkVWX0ZXRCIUSVFfVEVWX1RPVEFMX1JFVl9GV0QCAAAABklRX05UTQQ2MDAwAwAAAAsiMTAvNC8yMDEzIgkxMC80LzIwMTMAAAAABAAAAAAAAAAPIk5hc2RhcUdTOklOVEMiDU5hc2RhcUdTOklOVEMBAAAAFiJJUV9URVZfVE9UQUxfUkVWX0ZXRCIUSVFfVEVWX1RPVEFMX1JFVl9GV0QCAAAABklRX05UTQQ2MDAwAwAAAAsiOS8yNy8yMDEzIgk5LzI3LzIwMTMAAAAABAAAAAAAAAAPIk5hc2RhcUdTOklOVEMiDU5hc2RhcUdTOklOVEMBAAAAFiJJUV9URVZfVE9UQUxfUkVWX0ZXRCIUSVFfVEVWX1RPVEFMX1JFVl9GV0QCAAAABklRX05UTQQ2MDAwAwAAAAsiOS8yMC8yMDEzIgk5LzIwLzIwMTMAAAAABAAAAAAAAAAPIk5hc2RhcUdTOklOVEMiDU5hc2RhcUdTOklOVEMBAAAAFiJJUV9URVZfVE9UQUxfUkVWX0ZXRCIUSVFfVEVWX1RPVEFMX1JFVl9GV0QCAAAABklRX05UTQQ2MDAwAwAAAAsiOS8xMy8yMDEzIgk5LzEzLzIwMTMAAAAABAAAAAAAAAAPIk5hc2RhcUdTOklOVEMiDU5hc2RhcUdTOklOVEMBAAAAFiJJUV9URVZfVE9UQUxfUkVWX0ZXRCIUSVFfVEVWX1RPVEFMX1JFVl9GV0QCAAAABklRX05UTQQ2MDAwAwAAAAoiOS82LzIwMTMiCDkvNi8yMDEzAAAAAAQAAAAAAAAADyJOYXNkYXFHUzpJTlRDIg1OYXNkYXFHUzpJTlRDAQAA</t>
  </si>
  <si>
    <t>ABYiSVFfVEVWX1RPVEFMX1JFVl9GV0QiFElRX1RFVl9UT1RBTF9SRVZfRldEAgAAAAZJUV9OVE0ENjAwMAMAAAALIjgvMzAvMjAxMyIJOC8zMC8yMDEzAAAAAAQAAAAAAAAADyJOYXNkYXFHUzpJTlRDIg1OYXNkYXFHUzpJTlRDAQAAABYiSVFfVEVWX1RPVEFMX1JFVl9GV0QiFElRX1RFVl9UT1RBTF9SRVZfRldEAgAAAAZJUV9OVE0ENjAwMAMAAAALIjgvMjMvMjAxMyIJOC8yMy8yMDEzAAAAAAQAAAAAAAAADyJOYXNkYXFHUzpJTlRDIg1OYXNkYXFHUzpJTlRDAQAAABYiSVFfVEVWX1RPVEFMX1JFVl9GV0QiFElRX1RFVl9UT1RBTF9SRVZfRldEAgAAAAZJUV9OVE0ENjAwMAMAAAALIjgvMTYvMjAxMyIJOC8xNi8yMDEzAAAAAAQAAAAAAAAADyJOYXNkYXFHUzpJTlRDIg1OYXNkYXFHUzpJTlRDAQAAABYiSVFfVEVWX1RPVEFMX1JFVl9GV0QiFElRX1RFVl9UT1RBTF9SRVZfRldEAgAAAAZJUV9OVE0ENjAwMAMAAAAKIjgvOS8yMDEzIgg4LzkvMjAxMwAAAAAEAAAAAAAAAA8iTmFzZGFxR1M6SU5UQyINTmFzZGFxR1M6SU5UQwEAAAAWIklRX1RFVl9UT1RBTF9SRVZfRldEIhRJUV9URVZfVE9UQUxfUkVWX0ZXRAIAAAAGSVFfTlRNBDYwMDADAAAACiI4LzIvMjAxMyIIOC8yLzIwMTMAAAAABAAAAAAAAAAPIk5hc2RhcUdTOklOVEMiDU5hc2RhcUdTOklOVEMBAAAAFiJJUV9URVZfVE9UQUxfUkVWX0ZXRCIU</t>
  </si>
  <si>
    <t>SVFfVEVWX1RPVEFMX1JFVl9GV0QCAAAABklRX05UTQQ2MDAwAwAAAAsiNy8yNi8yMDEzIgk3LzI2LzIwMTMAAAAABAAAAAAAAAAPIk5hc2RhcUdTOklOVEMiDU5hc2RhcUdTOklOVEMBAAAAFiJJUV9URVZfVE9UQUxfUkVWX0ZXRCIUSVFfVEVWX1RPVEFMX1JFVl9GV0QCAAAABklRX05UTQQ2MDAwAwAAAAsiNy8xOS8yMDEzIgk3LzE5LzIwMTMAAAAABAAAAAAAAAAPIk5hc2RhcUdTOklOVEMiDU5hc2RhcUdTOklOVEMBAAAAFiJJUV9URVZfVE9UQUxfUkVWX0ZXRCIUSVFfVEVWX1RPVEFMX1JFVl9GV0QCAAAABklRX05UTQQ2MDAwAwAAAAsiNy8xMi8yMDEzIgk3LzEyLzIwMTMAAAAABAAAAAAAAAAPIk5hc2RhcUdTOklOVEMiDU5hc2RhcUdTOklOVEMBAAAAFiJJUV9URVZfVE9UQUxfUkVWX0ZXRCIUSVFfVEVWX1RPVEFMX1JFVl9GV0QCAAAABklRX05UTQQ2MDAwAwAAAAoiNy81LzIwMTMiCDcvNS8yMDEzAAAAAAQAAAAAAAAADyJOYXNkYXFHUzpJTlRDIg1OYXNkYXFHUzpJTlRDAQAAABYiSVFfVEVWX1RPVEFMX1JFVl9GV0QiFElRX1RFVl9UT1RBTF9SRVZfRldEAgAAAAZJUV9OVE0ENjAwMAMAAAALIjYvMjgvMjAxMyIJNi8yOC8yMDEzAAAAAAQAAAAAAAAADyJOYXNkYXFHUzpJTlRDIg1OYXNkYXFHUzpJTlRDAQAAABYiSVFfVEVWX1RPVEFMX1JFVl9GV0QiFElRX1RFVl9UT1RBTF9SRVZfRldEAgAA</t>
  </si>
  <si>
    <t>AAZJUV9OVE0ENjAwMAMAAAALIjYvMjEvMjAxMyIJNi8yMS8yMDEzAAAAAAQAAAAAAAAADyJOYXNkYXFHUzpJTlRDIg1OYXNkYXFHUzpJTlRDAQAAABYiSVFfVEVWX1RPVEFMX1JFVl9GV0QiFElRX1RFVl9UT1RBTF9SRVZfRldEAgAAAAZJUV9OVE0ENjAwMAMAAAALIjYvMTQvMjAxMyIJNi8xNC8yMDEzAAAAAAQAAAAAAAAADyJOYXNkYXFHUzpJTlRDIg1OYXNkYXFHUzpJTlRDAQAAABYiSVFfVEVWX1RPVEFMX1JFVl9GV0QiFElRX1RFVl9UT1RBTF9SRVZfRldEAgAAAAZJUV9OVE0ENjAwMAMAAAAKIjYvNy8yMDEzIgg2LzcvMjAxMwAAAAAEAAAAAAAAAA8iTmFzZGFxR1M6SU5UQyINTmFzZGFxR1M6SU5UQwEAAAAWIklRX1RFVl9UT1RBTF9SRVZfRldEIhRJUV9URVZfVE9UQUxfUkVWX0ZXRAIAAAAGSVFfTlRNBDYwMDADAAAACyI1LzMxLzIwMTMiCTUvMzEvMjAxMwAAAAAEAAAAAAAAAA8iTmFzZGFxR1M6SU5UQyINTmFzZGFxR1M6SU5UQwEAAAAWIklRX1RFVl9UT1RBTF9SRVZfRldEIhRJUV9URVZfVE9UQUxfUkVWX0ZXRAIAAAAGSVFfTlRNBDYwMDADAAAACyI1LzI0LzIwMTMiCTUvMjQvMjAxMwAAAAAEAAAAAAAAAA8iTmFzZGFxR1M6SU5UQyINTmFzZGFxR1M6SU5UQwEAAAAWIklRX1RFVl9UT1RBTF9SRVZfRldEIhRJUV9URVZfVE9UQUxfUkVWX0ZXRAIAAAAGSVFfTlRNBDYwMDADAAAACyI1LzE3</t>
  </si>
  <si>
    <t>LzIwMTMiCTUvMTcvMjAxMwAAAAAEAAAAAAAAAA8iTmFzZGFxR1M6SU5UQyINTmFzZGFxR1M6SU5UQwEAAAAWIklRX1RFVl9UT1RBTF9SRVZfRldEIhRJUV9URVZfVE9UQUxfUkVWX0ZXRAIAAAAGSVFfTlRNBDYwMDADAAAACyI1LzEwLzIwMTMiCTUvMTAvMjAxMwAAAAAEAAAAAAAAAA8iTmFzZGFxR1M6SU5UQyINTmFzZGFxR1M6SU5UQwEAAAAWIklRX1RFVl9UT1RBTF9SRVZfRldEIhRJUV9URVZfVE9UQUxfUkVWX0ZXRAIAAAAGSVFfTlRNBDYwMDADAAAACiI1LzMvMjAxMyIINS8zLzIwMTMAAAAABAAAAAAAAAAPIk5hc2RhcUdTOklOVEMiDU5hc2RhcUdTOklOVEMBAAAAFiJJUV9URVZfVE9UQUxfUkVWX0ZXRCIUSVFfVEVWX1RPVEFMX1JFVl9GV0QCAAAABklRX05UTQQ2MDAwAwAAAAsiNC8yNi8yMDEzIgk0LzI2LzIwMTMAAAAABAAAAAAAAAAPIk5hc2RhcUdTOklOVEMiDU5hc2RhcUdTOklOVEMBAAAAFiJJUV9URVZfVE9UQUxfUkVWX0ZXRCIUSVFfVEVWX1RPVEFMX1JFVl9GV0QCAAAABklRX05UTQQ2MDAwAwAAAAsiNC8xOS8yMDEzIgk0LzE5LzIwMTMAAAAABAAAAAAAAAAPIk5hc2RhcUdTOklOVEMiDU5hc2RhcUdTOklOVEMBAAAAFiJJUV9URVZfVE9UQUxfUkVWX0ZXRCIUSVFfVEVWX1RPVEFMX1JFVl9GV0QCAAAABklRX05UTQQ2MDAwAwAAAAsiNC8xMi8yMDEzIgk0LzEyLzIwMTMAAAAABAAA</t>
  </si>
  <si>
    <t>AAAAAAAPIk5hc2RhcUdTOklOVEMiDU5hc2RhcUdTOklOVEMBAAAAFiJJUV9URVZfVE9UQUxfUkVWX0ZXRCIUSVFfVEVWX1RPVEFMX1JFVl9GV0QCAAAABklRX05UTQQ2MDAwAwAAAAoiNC81LzIwMTMiCDQvNS8yMDEzAAAAAAQAAAAAAAAADyJOYXNkYXFHUzpJTlRDIg1OYXNkYXFHUzpJTlRDAQAAABYiSVFfVEVWX1RPVEFMX1JFVl9GV0QiFElRX1RFVl9UT1RBTF9SRVZfRldEAgAAAAZJUV9OVE0ENjAwMAMAAAALIjMvMjgvMjAxMyIJMy8yOC8yMDEzAAAAAAQAAAAAAAAADyJOYXNkYXFHUzpJTlRDIg1OYXNkYXFHUzpJTlRDAQAAABYiSVFfVEVWX1RPVEFMX1JFVl9GV0QiFElRX1RFVl9UT1RBTF9SRVZfRldEAgAAAAZJUV9OVE0ENjAwMAMAAAALIjMvMjIvMjAxMyIJMy8yMi8yMDEzAAAAAAQAAAAAAAAADyJOYXNkYXFHUzpJTlRDIg1OYXNkYXFHUzpJTlRDAQAAABYiSVFfVEVWX1RPVEFMX1JFVl9GV0QiFElRX1RFVl9UT1RBTF9SRVZfRldEAgAAAAZJUV9OVE0ENjAwMAMAAAALIjMvMTUvMjAxMyIJMy8xNS8yMDEzAAAAAAQAAAAAAAAADyJOYXNkYXFHUzpJTlRDIg1OYXNkYXFHUzpJTlRDAQAAABYiSVFfVEVWX1RPVEFMX1JFVl9GV0QiFElRX1RFVl9UT1RBTF9SRVZfRldEAgAAAAZJUV9OVE0ENjAwMAMAAAAKIjMvOC8yMDEzIggzLzgvMjAxMwAAAAAEAAAAAAAAAA8iTmFzZGFxR1M6SU5UQyINTmFz</t>
  </si>
  <si>
    <t>ZGFxR1M6SU5UQwEAAAAWIklRX1RFVl9UT1RBTF9SRVZfRldEIhRJUV9URVZfVE9UQUxfUkVWX0ZXRAIAAAAGSVFfTlRNBDYwMDADAAAACiIzLzEvMjAxMyIIMy8xLzIwMTMAAAAABAAAAAAAAAAPIk5hc2RhcUdTOklOVEMiDU5hc2RhcUdTOklOVEMBAAAAFiJJUV9URVZfVE9UQUxfUkVWX0ZXRCIUSVFfVEVWX1RPVEFMX1JFVl9GV0QCAAAABklRX05UTQQ2MDAwAwAAAAsiMi8yMi8yMDEzIgkyLzIyLzIwMTMAAAAABAAAAAAAAAAPIk5hc2RhcUdTOklOVEMiDU5hc2RhcUdTOklOVEMBAAAAFiJJUV9URVZfVE9UQUxfUkVWX0ZXRCIUSVFfVEVWX1RPVEFMX1JFVl9GV0QCAAAABklRX05UTQQ2MDAwAwAAAAsiMi8xNS8yMDEzIgkyLzE1LzIwMTMAAAAABAAAAAAAAAAPIk5hc2RhcUdTOklOVEMiDU5hc2RhcUdTOklOVEMBAAAAFiJJUV9URVZfVE9UQUxfUkVWX0ZXRCIUSVFfVEVWX1RPVEFMX1JFVl9GV0QCAAAABklRX05UTQQ2MDAwAwAAAAoiMi84LzIwMTMiCDIvOC8yMDEzAAAAAAQAAAAAAAAADyJOYXNkYXFHUzpJTlRDIg1OYXNkYXFHUzpJTlRDAQAAABYiSVFfVEVWX1RPVEFMX1JFVl9GV0QiFElRX1RFVl9UT1RBTF9SRVZfRldEAgAAAAZJUV9OVE0ENjAwMAMAAAAKIjIvMS8yMDEzIggyLzEvMjAxMwAAAAAEAAAAAAAAAA8iTmFzZGFxR1M6SU5UQyINTmFzZGFxR1M6SU5UQwEAAAAWIklRX1RFVl9UT1RB</t>
  </si>
  <si>
    <t>TF9SRVZfRldEIhRJUV9URVZfVE9UQUxfUkVWX0ZXRAIAAAAGSVFfTlRNBDYwMDADAAAACyIxLzI1LzIwMTMiCTEvMjUvMjAxMwAAAAAEAAAAAAAAAA8iTmFzZGFxR1M6SU5UQyINTmFzZGFxR1M6SU5UQwEAAAAWIklRX1RFVl9UT1RBTF9SRVZfRldEIhRJUV9URVZfVE9UQUxfUkVWX0ZXRAIAAAAGSVFfTlRNBDYwMDADAAAACyIxLzE4LzIwMTMiCTEvMTgvMjAxMwAAAAAEAAAAAAAAAA8iTmFzZGFxR1M6SU5UQyINTmFzZGFxR1M6SU5UQwEAAAAWIklRX1RFVl9UT1RBTF9SRVZfRldEIhRJUV9URVZfVE9UQUxfUkVWX0ZXRAIAAAAGSVFfTlRNBDYwMDADAAAACyIxLzExLzIwMTMiCTEvMTEvMjAxMwAAAAAEAAAAAAAAAA8iTmFzZGFxR1M6SU5UQyINTmFzZGFxR1M6SU5UQwEAAAAWIklRX1RFVl9UT1RBTF9SRVZfRldEIhRJUV9URVZfVE9UQUxfUkVWX0ZXRAIAAAAGSVFfTlRNBDYwMDADAAAACiIxLzQvMjAxMyIIMS80LzIwMTMAAAAABAAAAAAAAAAPIk5hc2RhcUdTOklOVEMiDU5hc2RhcUdTOklOVEMBAAAAFiJJUV9URVZfVE9UQUxfUkVWX0ZXRCIUSVFfVEVWX1RPVEFMX1JFVl9GV0QCAAAABklRX05UTQQ2MDAwAwAAAAwiMTIvMjgvMjAxMiIKMTIvMjgvMjAxMgAAAAAEAAAAAAAAAA8iTmFzZGFxR1M6SU5UQyINTmFzZGFxR1M6SU5UQwEAAAAWIklRX1RFVl9UT1RBTF9SRVZfRldEIhRJUV9URVZfVE9U</t>
  </si>
  <si>
    <t>QUxfUkVWX0ZXRAIAAAAGSVFfTlRNBDYwMDADAAAADCIxMi8yMS8yMDEyIgoxMi8yMS8yMDEyAAAAAAQAAAAAAAAADyJOYXNkYXFHUzpJTlRDIg1OYXNkYXFHUzpJTlRDAQAAABYiSVFfVEVWX1RPVEFMX1JFVl9GV0QiFElRX1RFVl9UT1RBTF9SRVZfRldEAgAAAAZJUV9OVE0ENjAwMAMAAAAMIjEyLzE0LzIwMTIiCjEyLzE0LzIwMTIAAAAABAAAAAAAAAAPIk5hc2RhcUdTOklOVEMiDU5hc2RhcUdTOklOVEMBAAAAFiJJUV9URVZfVE9UQUxfUkVWX0ZXRCIUSVFfVEVWX1RPVEFMX1JFVl9GV0QCAAAABklRX05UTQQ2MDAwAwAAAAsiMTIvNy8yMDEyIgkxMi83LzIwMTIAAAAABAAAAAAAAAAPIk5hc2RhcUdTOklOVEMiDU5hc2RhcUdTOklOVEMBAAAAFiJJUV9URVZfVE9UQUxfUkVWX0ZXRCIUSVFfVEVWX1RPVEFMX1JFVl9GV0QCAAAABklRX05UTQQ2MDAwAwAAAAwiMTEvMzAvMjAxMiIKMTEvMzAvMjAxMgAAAAAEAAAAAAAAAA8iTmFzZGFxR1M6SU5UQyINTmFzZGFxR1M6SU5UQwEAAAAWIklRX1RFVl9UT1RBTF9SRVZfRldEIhRJUV9URVZfVE9UQUxfUkVWX0ZXRAIAAAAGSVFfTlRNBDYwMDADAAAADCIxMS8yMy8yMDEyIgoxMS8yMy8yMDEyAAAAAAQAAAAAAAAADyJOYXNkYXFHUzpJTlRDIg1OYXNkYXFHUzpJTlRDAQAAABYiSVFfVEVWX1RPVEFMX1JFVl9GV0QiFElRX1RFVl9UT1RBTF9SRVZfRldEAgAA</t>
  </si>
  <si>
    <t>AAZJUV9OVE0ENjAwMAMAAAAMIjExLzE2LzIwMTIiCjExLzE2LzIwMTIAAAAABAAAAAAAAAAPIk5hc2RhcUdTOklOVEMiDU5hc2RhcUdTOklOVEMBAAAAFiJJUV9URVZfVE9UQUxfUkVWX0ZXRCIUSVFfVEVWX1RPVEFMX1JFVl9GV0QCAAAABklRX05UTQQ2MDAwAwAAAAsiMTEvOS8yMDEyIgkxMS85LzIwMTIAAAAABAAAAAAAAAAPIk5hc2RhcUdTOklOVEMiDU5hc2RhcUdTOklOVEMBAAAAFiJJUV9URVZfVE9UQUxfUkVWX0ZXRCIUSVFfVEVWX1RPVEFMX1JFVl9GV0QCAAAABklRX05UTQQ2MDAwAwAAAAsiMTEvMi8yMDEyIgkxMS8yLzIwMTIAAAAABAAAAAAAAAAPIk5hc2RhcUdTOklOVEMiDU5hc2RhcUdTOklOVEMBAAAAFiJJUV9URVZfVE9UQUxfUkVWX0ZXRCIUSVFfVEVWX1RPVEFMX1JFVl9GV0QCAAAABklRX05UTQQ2MDAwAwAAAAwiMTAvMjYvMjAxMiIKMTAvMjYvMjAxMgAAAAAEAAAAAAAAAA8iTmFzZGFxR1M6SU5UQyINTmFzZGFxR1M6SU5UQwEAAAAWIklRX1RFVl9UT1RBTF9SRVZfRldEIhRJUV9URVZfVE9UQUxfUkVWX0ZXRAIAAAAGSVFfTlRNBDYwMDADAAAADCIxMC8xOS8yMDEyIgoxMC8xOS8yMDEyAAAAAAQAAAAAAAAADyJOYXNkYXFHUzpJTlRDIg1OYXNkYXFHUzpJTlRDAQAAABYiSVFfVEVWX1RPVEFMX1JFVl9GV0QiFElRX1RFVl9UT1RBTF9SRVZfRldEAgAAAAZJUV9OVE0ENjAwMAMA</t>
  </si>
  <si>
    <t>AAAMIjEwLzEyLzIwMTIiCjEwLzEyLzIwMTIAAAAABAAAAAAAAAAPIk5hc2RhcUdTOklOVEMiDU5hc2RhcUdTOklOVEMBAAAAFiJJUV9URVZfVE9UQUxfUkVWX0ZXRCIUSVFfVEVWX1RPVEFMX1JFVl9GV0QCAAAABklRX05UTQQ2MDAwAwAAAAsiMTAvNS8yMDEyIgkxMC81LzIwMTIAAAAABAAAAAAAAAAPIk5hc2RhcUdTOklOVEMiDU5hc2RhcUdTOklOVEMBAAAAFiJJUV9URVZfVE9UQUxfUkVWX0ZXRCIUSVFfVEVWX1RPVEFMX1JFVl9GV0QCAAAABklRX05UTQQ2MDAwAwAAAAsiOS8yOC8yMDEyIgk5LzI4LzIwMTIAAAAABAAAAAAAAAAPIk5hc2RhcUdTOklOVEMiDU5hc2RhcUdTOklOVEMBAAAAFiJJUV9URVZfVE9UQUxfUkVWX0ZXRCIUSVFfVEVWX1RPVEFMX1JFVl9GV0QCAAAABklRX05UTQQ2MDAwAwAAAAsiOS8yMS8yMDEyIgk5LzIxLzIwMTIAAAAABAAAAAAAAAAPIk5hc2RhcUdTOklOVEMiDU5hc2RhcUdTOklOVEMBAAAAFiJJUV9URVZfVE9UQUxfUkVWX0ZXRCIUSVFfVEVWX1RPVEFMX1JFVl9GV0QCAAAABklRX05UTQQ2MDAwAwAAAAsiOS8xNC8yMDEyIgk5LzE0LzIwMTIAAAAABAAAAAAAAAAPIk5hc2RhcUdTOklOVEMiDU5hc2RhcUdTOklOVEMBAAAAFiJJUV9URVZfVE9UQUxfUkVWX0ZXRCIUSVFfVEVWX1RPVEFMX1JFVl9GV0QCAAAABklRX05UTQQ2MDAwAwAAAAoiOS83LzIwMTIiCDkvNy8y</t>
  </si>
  <si>
    <t>MDEyAAAAAAQAAAAAAAAADyJOYXNkYXFHUzpJTlRDIg1OYXNkYXFHUzpJTlRDAQAAABYiSVFfVEVWX1RPVEFMX1JFVl9GV0QiFElRX1RFVl9UT1RBTF9SRVZfRldEAgAAAAZJUV9OVE0ENjAwMAMAAAALIjgvMzEvMjAxMiIJOC8zMS8yMDEyAAAAAAQAAAAAAAAADyJOYXNkYXFHUzpJTlRDIg1OYXNkYXFHUzpJTlRDAQAAABYiSVFfVEVWX1RPVEFMX1JFVl9GV0QiFElRX1RFVl9UT1RBTF9SRVZfRldEAgAAAAZJUV9OVE0ENjAwMAMAAAALIjgvMjQvMjAxMiIJOC8yNC8yMDEyAAAAAAQAAAAAAAAADyJOYXNkYXFHUzpJTlRDIg1OYXNkYXFHUzpJTlRDAQAAABYiSVFfVEVWX1RPVEFMX1JFVl9GV0QiFElRX1RFVl9UT1RBTF9SRVZfRldEAgAAAAZJUV9OVE0ENjAwMAMAAAALIjgvMTcvMjAxMiIJOC8xNy8yMDEyAAAAAAQAAAAAAAAADyJOYXNkYXFHUzpJTlRDIg1OYXNkYXFHUzpJTlRDAQAAABYiSVFfVEVWX1RPVEFMX1JFVl9GV0QiFElRX1RFVl9UT1RBTF9SRVZfRldEAgAAAAZJUV9OVE0ENjAwMAMAAAALIjgvMTAvMjAxMiIJOC8xMC8yMDEyAAAAAAQAAAAAAAAADyJOYXNkYXFHUzpJTlRDIg1OYXNkYXFHUzpJTlRDAQAAABYiSVFfVEVWX1RPVEFMX1JFVl9GV0QiFElRX1RFVl9UT1RBTF9SRVZfRldEAgAAAAZJUV9OVE0ENjAwMAMAAAAKIjgvMy8yMDEyIgg4LzMvMjAxMgAAAAAEAAAAAAAAAA8iTmFzZGFx</t>
  </si>
  <si>
    <t>R1M6SU5UQyINTmFzZGFxR1M6SU5UQwEAAAAWIklRX1RFVl9UT1RBTF9SRVZfRldEIhRJUV9URVZfVE9UQUxfUkVWX0ZXRAIAAAAGSVFfTlRNBDYwMDADAAAACyI3LzI3LzIwMTIiCTcvMjcvMjAxMgAAAAAEAAAAAAAAAA8iTmFzZGFxR1M6SU5UQyINTmFzZGFxR1M6SU5UQwEAAAAWIklRX1RFVl9UT1RBTF9SRVZfRldEIhRJUV9URVZfVE9UQUxfUkVWX0ZXRAIAAAAGSVFfTlRNBDYwMDADAAAACyI3LzIwLzIwMTIiCTcvMjAvMjAxMgAAAAAEAAAAAAAAAA8iTmFzZGFxR1M6SU5UQyINTmFzZGFxR1M6SU5UQwEAAAAWIklRX1RFVl9UT1RBTF9SRVZfRldEIhRJUV9URVZfVE9UQUxfUkVWX0ZXRAIAAAAGSVFfTlRNBDYwMDADAAAACyI3LzEzLzIwMTIiCTcvMTMvMjAxMgAAAAAEAAAAAAAAAA8iTmFzZGFxR1M6SU5UQyINTmFzZGFxR1M6SU5UQwEAAAAWIklRX1RFVl9UT1RBTF9SRVZfRldEIhRJUV9URVZfVE9UQUxfUkVWX0ZXRAIAAAAGSVFfTlRNBDYwMDADAAAACiI3LzYvMjAxMiIINy82LzIwMTIAAAAABAAAAAAAAAAPIk5hc2RhcUdTOklOVEMiDU5hc2RhcUdTOklOVEMBAAAAFiJJUV9URVZfVE9UQUxfUkVWX0ZXRCIUSVFfVEVWX1RPVEFMX1JFVl9GV0QCAAAABklRX05UTQQ2MDAwAwAAAAsiNi8yOS8yMDEyIgk2LzI5LzIwMTIAAAAABAAAAAAAAAAPIk5hc2RhcUdTOklOVEMiDU5hc2RhcUdTOklOVEMB</t>
  </si>
  <si>
    <t>AAAAFiJJUV9URVZfVE9UQUxfUkVWX0ZXRCIUSVFfVEVWX1RPVEFMX1JFVl9GV0QCAAAABklRX05UTQQ2MDAwAwAAAAsiNi8yMi8yMDEyIgk2LzIyLzIwMTIAAAAABAAAAAAAAAAPIk5hc2RhcUdTOklOVEMiDU5hc2RhcUdTOklOVEMBAAAAFiJJUV9URVZfVE9UQUxfUkVWX0ZXRCIUSVFfVEVWX1RPVEFMX1JFVl9GV0QCAAAABklRX05UTQQ2MDAwAwAAAAsiNi8xNS8yMDEyIgk2LzE1LzIwMTIAAAAABAAAAAAAAAAPIk5hc2RhcUdTOklOVEMiDU5hc2RhcUdTOklOVEMBAAAAFiJJUV9URVZfVE9UQUxfUkVWX0ZXRCIUSVFfVEVWX1RPVEFMX1JFVl9GV0QCAAAABklRX05UTQQ2MDAwAwAAAAoiNi84LzIwMTIiCDYvOC8yMDEyAAAAAAQAAAAAAAAADyJOYXNkYXFHUzpJTlRDIg1OYXNkYXFHUzpJTlRDAQAAABYiSVFfVEVWX1RPVEFMX1JFVl9GV0QiFElRX1RFVl9UT1RBTF9SRVZfRldEAgAAAAZJUV9OVE0ENjAwMAMAAAAKIjYvMS8yMDEyIgg2LzEvMjAxMgAAAAAEAAAAAAAAAA8iTmFzZGFxR1M6SU5UQyINTmFzZGFxR1M6SU5UQwEAAAAWIklRX1RFVl9UT1RBTF9SRVZfRldEIhRJUV9URVZfVE9UQUxfUkVWX0ZXRAIAAAAGSVFfTlRNBDYwMDADAAAACyI1LzI1LzIwMTIiCTUvMjUvMjAxMgAAAAAEAAAAAAAAAA8iTmFzZGFxR1M6SU5UQyINTmFzZGFxR1M6SU5UQwEAAAAWIklRX1RFVl9UT1RBTF9SRVZfRldE</t>
  </si>
  <si>
    <t>IhRJUV9URVZfVE9UQUxfUkVWX0ZXRAIAAAAGSVFfTlRNBDYwMDADAAAACyI1LzE4LzIwMTIiCTUvMTgvMjAxMgAAAAAEAAAAAAAAAA8iTmFzZGFxR1M6SU5UQyINTmFzZGFxR1M6SU5UQwEAAAAWIklRX1RFVl9UT1RBTF9SRVZfRldEIhRJUV9URVZfVE9UQUxfUkVWX0ZXRAIAAAAGSVFfTlRNBDYwMDADAAAACyI1LzExLzIwMTIiCTUvMTEvMjAxMgAAAAAEAAAAAAAAAA8iTmFzZGFxR1M6SU5UQyINTmFzZGFxR1M6SU5UQwEAAAAWIklRX1RFVl9UT1RBTF9SRVZfRldEIhRJUV9URVZfVE9UQUxfUkVWX0ZXRAIAAAAGSVFfTlRNBDYwMDADAAAACiI1LzQvMjAxMiIINS80LzIwMTIAAAAABAAAAAAAAAAPIk5hc2RhcUdTOklOVEMiDU5hc2RhcUdTOklOVEMBAAAAFiJJUV9URVZfVE9UQUxfUkVWX0ZXRCIUSVFfVEVWX1RPVEFMX1JFVl9GV0QCAAAABklRX05UTQQ2MDAwAwAAAAsiNC8yNy8yMDEyIgk0LzI3LzIwMTIAAAAABAAAAAAAAAAPIk5hc2RhcUdTOklOVEMiDU5hc2RhcUdTOklOVEMBAAAAFiJJUV9URVZfVE9UQUxfUkVWX0ZXRCIUSVFfVEVWX1RPVEFMX1JFVl9GV0QCAAAABklRX05UTQQ2MDAwAwAAAAsiNC8yMC8yMDEyIgk0LzIwLzIwMTIAAAAABAAAAAAAAAAPIk5hc2RhcUdTOklOVEMiDU5hc2RhcUdTOklOVEMBAAAAFiJJUV9URVZfVE9UQUxfUkVWX0ZXRCIUSVFfVEVWX1RPVEFMX1JFVl9GV0QC</t>
  </si>
  <si>
    <t>AAAABklRX05UTQQ2MDAwAwAAAAsiNC8xMy8yMDEyIgk0LzEzLzIwMTIAAAAABAAAAAAAAAAPIk5hc2RhcUdTOklOVEMiDU5hc2RhcUdTOklOVEMBAAAAFiJJUV9URVZfVE9UQUxfUkVWX0ZXRCIUSVFfVEVWX1RPVEFMX1JFVl9GV0QCAAAABklRX05UTQQ2MDAwAwAAAAoiNC81LzIwMTIiCDQvNS8yMDEyAAAAAAQAAAAAAAAADyJOYXNkYXFHUzpJTlRDIg1OYXNkYXFHUzpJTlRDAQAAABYiSVFfVEVWX1RPVEFMX1JFVl9GV0QiFElRX1RFVl9UT1RBTF9SRVZfRldEAgAAAAZJUV9OVE0ENjAwMAMAAAALIjMvMzAvMjAxMiIJMy8zMC8yMDEyAAAAAAQAAAAAAAAADyJOYXNkYXFHUzpJTlRDIg1OYXNkYXFHUzpJTlRDAQAAABYiSVFfVEVWX1RPVEFMX1JFVl9GV0QiFElRX1RFVl9UT1RBTF9SRVZfRldEAgAAAAZJUV9OVE0ENjAwMAMAAAALIjMvMjMvMjAxMiIJMy8yMy8yMDEyAAAAAAQAAAAAAAAADyJOYXNkYXFHUzpJTlRDIg1OYXNkYXFHUzpJTlRDAQAAABYiSVFfVEVWX1RPVEFMX1JFVl9GV0QiFElRX1RFVl9UT1RBTF9SRVZfRldEAgAAAAZJUV9OVE0ENjAwMAMAAAALIjMvMTYvMjAxMiIJMy8xNi8yMDEyAAAAAAQAAAAAAAAADyJOYXNkYXFHUzpJTlRDIg1OYXNkYXFHUzpJTlRDAQAAABYiSVFfVEVWX1RPVEFMX1JFVl9GV0QiFElRX1RFVl9UT1RBTF9SRVZfRldEAgAAAAZJUV9OVE0ENjAwMAMAAAAKIjMv</t>
  </si>
  <si>
    <t>OS8yMDEyIggzLzkvMjAxMgAAAAAEAAAAAAAAAA8iTmFzZGFxR1M6SU5UQyINTmFzZGFxR1M6SU5UQwEAAAAWIklRX1RFVl9UT1RBTF9SRVZfRldEIhRJUV9URVZfVE9UQUxfUkVWX0ZXRAIAAAAGSVFfTlRNBDYwMDADAAAACiIzLzIvMjAxMiIIMy8yLzIwMTIAAAAABAAAAAAAAAAPIk5hc2RhcUdTOklOVEMiDU5hc2RhcUdTOklOVEMBAAAAFiJJUV9URVZfVE9UQUxfUkVWX0ZXRCIUSVFfVEVWX1RPVEFMX1JFVl9GV0QCAAAABklRX05UTQQ2MDAwAwAAAAsiMi8yNC8yMDEyIgkyLzI0LzIwMTIAAAAABAAAAAAAAAAPIk5hc2RhcUdTOklOVEMiDU5hc2RhcUdTOklOVEMBAAAAFiJJUV9URVZfVE9UQUxfUkVWX0ZXRCIUSVFfVEVWX1RPVEFMX1JFVl9GV0QCAAAABklRX05UTQQ2MDAwAwAAAAsiMi8xNy8yMDEyIgkyLzE3LzIwMTIAAAAABAAAAAAAAAAPIk5hc2RhcUdTOklOVEMiDU5hc2RhcUdTOklOVEMBAAAAFiJJUV9URVZfVE9UQUxfUkVWX0ZXRCIUSVFfVEVWX1RPVEFMX1JFVl9GV0QCAAAABklRX05UTQQ2MDAwAwAAAAsiMi8xMC8yMDEyIgkyLzEwLzIwMTIAAAAABAAAAAAAAAAPIk5hc2RhcUdTOklOVEMiDU5hc2RhcUdTOklOVEMBAAAAFiJJUV9URVZfVE9UQUxfUkVWX0ZXRCIUSVFfVEVWX1RPVEFMX1JFVl9GV0QCAAAABklRX05UTQQ2MDAwAwAAAAoiMi8zLzIwMTIiCDIvMy8yMDEyAAAAAAQAAAAA</t>
  </si>
  <si>
    <t>AAAADyJOYXNkYXFHUzpJTlRDIg1OYXNkYXFHUzpJTlRDAQAAABYiSVFfVEVWX1RPVEFMX1JFVl9GV0QiFElRX1RFVl9UT1RBTF9SRVZfRldEAgAAAAZJUV9OVE0ENjAwMAMAAAALIjEvMjcvMjAxMiIJMS8yNy8yMDEyAAAAAAQAAAAAAAAADyJOYXNkYXFHUzpJTlRDIg1OYXNkYXFHUzpJTlRDAQAAABYiSVFfVEVWX1RPVEFMX1JFVl9GV0QiFElRX1RFVl9UT1RBTF9SRVZfRldEAgAAAAZJUV9OVE0ENjAwMAMAAAALIjEvMjAvMjAxMiIJMS8yMC8yMDEyAAAAAAQAAAAAAAAADyJOYXNkYXFHUzpJTlRDIg1OYXNkYXFHUzpJTlRDAQAAABYiSVFfVEVWX1RPVEFMX1JFVl9GV0QiFElRX1RFVl9UT1RBTF9SRVZfRldEAgAAAAZJUV9OVE0ENjAwMAMAAAALIjEvMTMvMjAxMiIJMS8xMy8yMDEyAAAAAAQAAAAAAAAADyJOYXNkYXFHUzpJTlRDIg1OYXNkYXFHUzpJTlRDAQAAABYiSVFfVEVWX1RPVEFMX1JFVl9GV0QiFElRX1RFVl9UT1RBTF9SRVZfRldEAgAAAAZJUV9OVE0ENjAwMAMAAAAKIjEvNi8yMDEyIggxLzYvMjAxMgAAAAAEAAAAAAAAAA8iTmFzZGFxR1M6SU5UQyINTmFzZGFxR1M6SU5UQwEAAAAWIklRX1RFVl9UT1RBTF9SRVZfRldEIhRJUV9URVZfVE9UQUxfUkVWX0ZXRAIAAAAGSVFfTlRNBDYwMDADAAAADCIxMi8zMC8yMDExIgoxMi8zMC8yMDExAAAAAAQAAAAAAAAADyJOYXNkYXFHUzpJTlRDIg1O</t>
  </si>
  <si>
    <t>YXNkYXFHUzpJTlRDAQAAABYiSVFfVEVWX1RPVEFMX1JFVl9GV0QiFElRX1RFVl9UT1RBTF9SRVZfRldEAgAAAAZJUV9OVE0ENjAwMAMAAAAMIjEyLzIzLzIwMTEiCjEyLzIzLzIwMTEAAAAABAAAAAAAAAAPIk5hc2RhcUdTOklOVEMiDU5hc2RhcUdTOklOVEMBAAAAFiJJUV9URVZfVE9UQUxfUkVWX0ZXRCIUSVFfVEVWX1RPVEFMX1JFVl9GV0QCAAAABklRX05UTQQ2MDAwAwAAAAwiMTIvMTYvMjAxMSIKMTIvMTYvMjAxMQAAAAAEAAAAAAAAAA8iTmFzZGFxR1M6SU5UQyINTmFzZGFxR1M6SU5UQwEAAAAWIklRX1RFVl9UT1RBTF9SRVZfRldEIhRJUV9URVZfVE9UQUxfUkVWX0ZXRAIAAAAGSVFfTlRNBDYwMDADAAAACyIxMi85LzIwMTEiCTEyLzkvMjAxMQAAAAAEAAAAAAAAAA8iTmFzZGFxR1M6SU5UQyINTmFzZGFxR1M6SU5UQwEAAAAWIklRX1RFVl9UT1RBTF9SRVZfRldEIhRJUV9URVZfVE9UQUxfUkVWX0ZXRAIAAAAGSVFfTlRNBDYwMDADAAAACyIxMi8yLzIwMTEiCTEyLzIvMjAxMQAAAAAEAAAAAAAAAA8iTmFzZGFxR1M6SU5UQyINTmFzZGFxR1M6SU5UQwEAAAAWIklRX1RFVl9UT1RBTF9SRVZfRldEIhRJUV9URVZfVE9UQUxfUkVWX0ZXRAIAAAAGSVFfTlRNBDYwMDADAAAADCIxMS8yNS8yMDExIgoxMS8yNS8yMDExAAAAAAQAAAAAAAAADyJOYXNkYXFHUzpJTlRDIg1OYXNkYXFHUzpJTlRDAQAA</t>
  </si>
  <si>
    <t>ABYiSVFfVEVWX1RPVEFMX1JFVl9GV0QiFElRX1RFVl9UT1RBTF9SRVZfRldEAgAAAAZJUV9OVE0ENjAwMAMAAAAMIjExLzE4LzIwMTEiCjExLzE4LzIwMTEAAAAABAAAAAAAAAAPIk5hc2RhcUdTOklOVEMiDU5hc2RhcUdTOklOVEMBAAAAFiJJUV9URVZfVE9UQUxfUkVWX0ZXRCIUSVFfVEVWX1RPVEFMX1JFVl9GV0QCAAAABklRX05UTQQ2MDAwAwAAAAwiMTEvMTEvMjAxMSIKMTEvMTEvMjAxMQAAAAAEAAAAAAAAAA8iTmFzZGFxR1M6SU5UQyINTmFzZGFxR1M6SU5UQwEAAAAWIklRX1RFVl9UT1RBTF9SRVZfRldEIhRJUV9URVZfVE9UQUxfUkVWX0ZXRAIAAAAGSVFfTlRNBDYwMDADAAAACyIxMS80LzIwMTEiCTExLzQvMjAxMQAAAAAEAAAAAAAAAA8iTmFzZGFxR1M6SU5UQyINTmFzZGFxR1M6SU5UQwEAAAAWIklRX1RFVl9UT1RBTF9SRVZfRldEIhRJUV9URVZfVE9UQUxfUkVWX0ZXRAIAAAAGSVFfTlRNBDYwMDADAAAADCIxMC8yOC8yMDExIgoxMC8yOC8yMDExAAAAAAQAAAAAAAAADyJOYXNkYXFHUzpJTlRDIg1OYXNkYXFHUzpJTlRDAQAAABYiSVFfVEVWX1RPVEFMX1JFVl9GV0QiFElRX1RFVl9UT1RBTF9SRVZfRldEAgAAAAZJUV9OVE0ENjAwMAMAAAAMIjEwLzIxLzIwMTEiCjEwLzIxLzIwMTEAAAAABAAAAAAAAAAPIk5hc2RhcUdTOklOVEMiDU5hc2RhcUdTOklOVEMBAAAAFiJJUV9URVZfVE9U</t>
  </si>
  <si>
    <t>QUxfUkVWX0ZXRCIUSVFfVEVWX1RPVEFMX1JFVl9GV0QCAAAABklRX05UTQQ2MDAwAwAAAAwiMTAvMTQvMjAxMSIKMTAvMTQvMjAxMQAAAAAEAAAAAAAAAA8iTmFzZGFxR1M6SU5UQyINTmFzZGFxR1M6SU5UQwEAAAAWIklRX1RFVl9UT1RBTF9SRVZfRldEIhRJUV9URVZfVE9UQUxfUkVWX0ZXRAIAAAAGSVFfTlRNBDYwMDADAAAACyIxMC83LzIwMTEiCTEwLzcvMjAxMQAAAAAEAAAAAAAAAA8iTmFzZGFxR1M6SU5UQyINTmFzZGFxR1M6SU5UQwEAAAAWIklRX1RFVl9UT1RBTF9SRVZfRldEIhRJUV9URVZfVE9UQUxfUkVWX0ZXRAIAAAAGSVFfTlRNBDYwMDADAAAACyI5LzMwLzIwMTEiCTkvMzAvMjAxMQAAAAAEAAAAAAAAAA8iTmFzZGFxR1M6SU5UQyINTmFzZGFxR1M6SU5UQwEAAAAWIklRX1RFVl9UT1RBTF9SRVZfRldEIhRJUV9URVZfVE9UQUxfUkVWX0ZXRAIAAAAGSVFfTlRNBDYwMDADAAAACyI5LzIzLzIwMTEiCTkvMjMvMjAxMQAAAAAEAAAAAAAAAA8iTmFzZGFxR1M6SU5UQyINTmFzZGFxR1M6SU5UQwEAAAAWIklRX1RFVl9UT1RBTF9SRVZfRldEIhRJUV9URVZfVE9UQUxfUkVWX0ZXRAIAAAAGSVFfTlRNBDYwMDADAAAACyI5LzE2LzIwMTEiCTkvMTYvMjAxMQAAAAAEAAAAAAAAAA8iTmFzZGFxR1M6SU5UQyINTmFzZGFxR1M6SU5UQwEAAAAWIklRX1RFVl9UT1RBTF9SRVZfRldEIhRJUV9URVZf</t>
  </si>
  <si>
    <t>VE9UQUxfUkVWX0ZXRAIAAAAGSVFfTlRNBDYwMDADAAAACiI5LzkvMjAxMSIIOS85LzIwMTEAAAAABAAAAAAAAAAPIk5hc2RhcUdTOklOVEMiDU5hc2RhcUdTOklOVEMBAAAAFiJJUV9URVZfVE9UQUxfUkVWX0ZXRCIUSVFfVEVWX1RPVEFMX1JFVl9GV0QCAAAABklRX05UTQQ2MDAwAwAAAAoiOS8yLzIwMTEiCDkvMi8yMDExAAAAAAQAAAAAAAAADyJOYXNkYXFHUzpJTlRDIg1OYXNkYXFHUzpJTlRDAQAAABYiSVFfVEVWX1RPVEFMX1JFVl9GV0QiFElRX1RFVl9UT1RBTF9SRVZfRldEAgAAAAZJUV9OVE0ENjAwMAMAAAALIjgvMjYvMjAxMSIJOC8yNi8yMDExAAAAAAQAAAAAAAAADyJOYXNkYXFHUzpJTlRDIg1OYXNkYXFHUzpJTlRDAQAAABYiSVFfVEVWX1RPVEFMX1JFVl9GV0QiFElRX1RFVl9UT1RBTF9SRVZfRldEAgAAAAZJUV9OVE0ENjAwMAMAAAALIjgvMTkvMjAxMSIJOC8xOS8yMDExAAAAAAQAAAAAAAAADyJOYXNkYXFHUzpJTlRDIg1OYXNkYXFHUzpJTlRDAQAAABYiSVFfVEVWX1RPVEFMX1JFVl9GV0QiFElRX1RFVl9UT1RBTF9SRVZfRldEAgAAAAZJUV9OVE0ENjAwMAMAAAALIjgvMTIvMjAxMSIJOC8xMi8yMDExAAAAAAQAAAAAAAAADyJOYXNkYXFHUzpJTlRDIg1OYXNkYXFHUzpJTlRDAQAAABYiSVFfVEVWX1RPVEFMX1JFVl9GV0QiFElRX1RFVl9UT1RBTF9SRVZfRldEAgAAAAZJUV9OVE0E</t>
  </si>
  <si>
    <t>NjAwMAMAAAAKIjgvNS8yMDExIgg4LzUvMjAxMQAAAAAEAAAAAAAAAA8iTmFzZGFxR1M6SU5UQyINTmFzZGFxR1M6SU5UQwEAAAAWIklRX1RFVl9UT1RBTF9SRVZfRldEIhRJUV9URVZfVE9UQUxfUkVWX0ZXRAIAAAAGSVFfTlRNBDYwMDADAAAACyI3LzI5LzIwMTEiCTcvMjkvMjAxMQAAAAAEAAAAAAAAAA8iTmFzZGFxR1M6SU5UQyINTmFzZGFxR1M6SU5UQwEAAAAWIklRX1RFVl9UT1RBTF9SRVZfRldEIhRJUV9URVZfVE9UQUxfUkVWX0ZXRAIAAAAGSVFfTlRNBDYwMDADAAAACyI3LzIyLzIwMTEiCTcvMjIvMjAxMQAAAAAEAAAAAAAAAA8iTmFzZGFxR1M6SU5UQyINTmFzZGFxR1M6SU5UQwEAAAAWIklRX1RFVl9UT1RBTF9SRVZfRldEIhRJUV9URVZfVE9UQUxfUkVWX0ZXRAIAAAAGSVFfTlRNBDYwMDADAAAACyI3LzE1LzIwMTEiCTcvMTUvMjAxMQAAAAAEAAAAAAAAAA8iTmFzZGFxR1M6SU5UQyINTmFzZGFxR1M6SU5UQwEAAAAWIklRX1RFVl9UT1RBTF9SRVZfRldEIhRJUV9URVZfVE9UQUxfUkVWX0ZXRAIAAAAGSVFfTlRNBDYwMDADAAAACiI3LzgvMjAxMSIINy84LzIwMTEAAAAABAAAAAAAAAAPIk5hc2RhcUdTOklOVEMiDU5hc2RhcUdTOklOVEMBAAAAFiJJUV9URVZfVE9UQUxfUkVWX0ZXRCIUSVFfVEVWX1RPVEFMX1JFVl9GV0QCAAAABklRX05UTQQ2MDAwAwAAAAoiNy8xLzIwMTEiCDcvMS8y</t>
  </si>
  <si>
    <t>MDExAAAAAAQAAAAAAAAADyJOYXNkYXFHUzpJTlRDIg1OYXNkYXFHUzpJTlRDAQAAABYiSVFfVEVWX1RPVEFMX1JFVl9GV0QiFElRX1RFVl9UT1RBTF9SRVZfRldEAgAAAAZJUV9OVE0ENjAwMAMAAAALIjYvMjQvMjAxMSIJNi8yNC8yMDExAAAAAAQAAAAAAAAADyJOYXNkYXFHUzpJTlRDIg1OYXNkYXFHUzpJTlRDAQAAABYiSVFfVEVWX1RPVEFMX1JFVl9GV0QiFElRX1RFVl9UT1RBTF9SRVZfRldEAgAAAAZJUV9OVE0ENjAwMAMAAAALIjYvMTcvMjAxMSIJNi8xNy8yMDExAAAAAAQAAAAAAAAADyJOYXNkYXFHUzpJTlRDIg1OYXNkYXFHUzpJTlRDAQAAABYiSVFfVEVWX1RPVEFMX1JFVl9GV0QiFElRX1RFVl9UT1RBTF9SRVZfRldEAgAAAAZJUV9OVE0ENjAwMAMAAAALIjYvMTAvMjAxMSIJNi8xMC8yMDExAAAAAAQAAAAAAAAADyJOYXNkYXFHUzpJTlRDIg1OYXNkYXFHUzpJTlRDAQAAABYiSVFfVEVWX1RPVEFMX1JFVl9GV0QiFElRX1RFVl9UT1RBTF9SRVZfRldEAgAAAAZJUV9OVE0ENjAwMAMAAAAKIjYvMy8yMDExIgg2LzMvMjAxMQAAAAAEAAAAAAAAAA8iTmFzZGFxR1M6SU5UQyINTmFzZGFxR1M6SU5UQwEAAAAWIklRX1RFVl9UT1RBTF9SRVZfRldEIhRJUV9URVZfVE9UQUxfUkVWX0ZXRAIAAAAGSVFfTlRNBDYwMDADAAAACyI1LzI3LzIwMTEiCTUvMjcvMjAxMQAAAAAEAAAAAAAAAA8iTmFzZGFx</t>
  </si>
  <si>
    <t>R1M6SU5UQyINTmFzZGFxR1M6SU5UQwEAAAAWIklRX1RFVl9UT1RBTF9SRVZfRldEIhRJUV9URVZfVE9UQUxfUkVWX0ZXRAIAAAAGSVFfTlRNBDYwMDADAAAACyI1LzIwLzIwMTEiCTUvMjAvMjAxMQAAAAAEAAAAAAAAAA8iTmFzZGFxR1M6SU5UQyINTmFzZGFxR1M6SU5UQwEAAAAWIklRX1RFVl9UT1RBTF9SRVZfRldEIhRJUV9URVZfVE9UQUxfUkVWX0ZXRAIAAAAGSVFfTlRNBDYwMDADAAAACyI1LzEzLzIwMTEiCTUvMTMvMjAxMQAAAAAEAAAAAAAAAA8iTmFzZGFxR1M6SU5UQyINTmFzZGFxR1M6SU5UQwEAAAAWIklRX1RFVl9UT1RBTF9SRVZfRldEIhRJUV9URVZfVE9UQUxfUkVWX0ZXRAIAAAAGSVFfTlRNBDYwMDADAAAACiI1LzYvMjAxMSIINS82LzIwMTEAAAAABAAAAAAAAAAPIk5hc2RhcUdTOklOVEMiDU5hc2RhcUdTOklOVEMBAAAAFiJJUV9URVZfVE9UQUxfUkVWX0ZXRCIUSVFfVEVWX1RPVEFMX1JFVl9GV0QCAAAABklRX05UTQQ2MDAwAwAAAAsiNC8yOS8yMDExIgk0LzI5LzIwMTEAAAAABAAAAAAAAAAPIk5hc2RhcUdTOklOVEMiDU5hc2RhcUdTOklOVEMBAAAAFiJJUV9URVZfVE9UQUxfUkVWX0ZXRCIUSVFfVEVWX1RPVEFMX1JFVl9GV0QCAAAABklRX05UTQQ2MDAwAwAAAAsiNC8yMS8yMDExIgk0LzIxLzIwMTEAAAAABAAAAAAAAAAPIk5hc2RhcUdTOklOVEMiDU5hc2RhcUdTOklOVEMB</t>
  </si>
  <si>
    <t>AAAAFiJJUV9URVZfVE9UQUxfUkVWX0ZXRCIUSVFfVEVWX1RPVEFMX1JFVl9GV0QCAAAABklRX05UTQQ2MDAwAwAAAAsiNC8xNS8yMDExIgk0LzE1LzIwMTEAAAAABAAAAAAAAAAPIk5hc2RhcUdTOklOVEMiDU5hc2RhcUdTOklOVEMBAAAAFiJJUV9URVZfVE9UQUxfUkVWX0ZXRCIUSVFfVEVWX1RPVEFMX1JFVl9GV0QCAAAABklRX05UTQQ2MDAwAwAAAAoiNC84LzIwMTEiCDQvOC8yMDExAAAAAAQAAAAAAAAADyJOYXNkYXFHUzpJTlRDIg1OYXNkYXFHUzpJTlRDAQAAABYiSVFfVEVWX1RPVEFMX1JFVl9GV0QiFElRX1RFVl9UT1RBTF9SRVZfRldEAgAAAAZJUV9OVE0ENjAwMAMAAAAKIjQvMS8yMDExIgg0LzEvMjAxMQAAAAAEAAAAAAAAAA8iTmFzZGFxR1M6SU5UQyINTmFzZGFxR1M6SU5UQwEAAAAWIklRX1RFVl9UT1RBTF9SRVZfRldEIhRJUV9URVZfVE9UQUxfUkVWX0ZXRAIAAAAGSVFfTlRNBDYwMDADAAAACyIzLzI1LzIwMTEiCTMvMjUvMjAxMQAAAAAEAAAAAAAAAA8iTmFzZGFxR1M6SU5UQyINTmFzZGFxR1M6SU5UQwEAAAAWIklRX1RFVl9UT1RBTF9SRVZfRldEIhRJUV9URVZfVE9UQUxfUkVWX0ZXRAIAAAAGSVFfTlRNBDYwMDADAAAACyIzLzE4LzIwMTEiCTMvMTgvMjAxMQAAAAAEAAAAAAAAAA8iTmFzZGFxR1M6SU5UQyINTmFzZGFxR1M6SU5UQwEAAAAWIklRX1RFVl9UT1RBTF9SRVZfRldE</t>
  </si>
  <si>
    <t>IhRJUV9URVZfVE9UQUxfUkVWX0ZXRAIAAAAGSVFfTlRNBDYwMDADAAAACyIzLzExLzIwMTEiCTMvMTEvMjAxMQAAAAAEAAAAAAAAAA8iTmFzZGFxR1M6SU5UQyINTmFzZGFxR1M6SU5UQwEAAAAWIklRX1RFVl9UT1RBTF9SRVZfRldEIhRJUV9URVZfVE9UQUxfUkVWX0ZXRAIAAAAGSVFfTlRNBDYwMDADAAAACiIzLzQvMjAxMSIIMy80LzIwMTEAAAAABAAAAAAAAAAPIk5hc2RhcUdTOklOVEMiDU5hc2RhcUdTOklOVEMBAAAAFiJJUV9URVZfVE9UQUxfUkVWX0ZXRCIUSVFfVEVWX1RPVEFMX1JFVl9GV0QCAAAABklRX05UTQQ2MDAwAwAAAAsiMi8yNS8yMDExIgkyLzI1LzIwMTEAAAAABAAAAAAAAAAPIk5hc2RhcUdTOklOVEMiDU5hc2RhcUdTOklOVEMBAAAAFiJJUV9URVZfVE9UQUxfUkVWX0ZXRCIUSVFfVEVWX1RPVEFMX1JFVl9GV0QCAAAABklRX05UTQQ2MDAwAwAAAAsiMi8xOC8yMDExIgkyLzE4LzIwMTEAAAAABAAAAAAAAAAPIk5hc2RhcUdTOklOVEMiDU5hc2RhcUdTOklOVEMBAAAAFiJJUV9URVZfVE9UQUxfUkVWX0ZXRCIUSVFfVEVWX1RPVEFMX1JFVl9GV0QCAAAABklRX05UTQQ2MDAwAwAAAAsiMi8xMS8yMDExIgkyLzExLzIwMTEAAAAABAAAAAAAAAAPIk5hc2RhcUdTOklOVEMiDU5hc2RhcUdTOklOVEMBAAAAFiJJUV9URVZfVE9UQUxfUkVWX0ZXRCIUSVFfVEVWX1RPVEFMX1JFVl9GV0QC</t>
  </si>
  <si>
    <t>AAAABklRX05UTQQ2MDAwAwAAAAoiMi80LzIwMTEiCDIvNC8yMDExAAAAAAQAAAAAAAAADyJOYXNkYXFHUzpJTlRDIg1OYXNkYXFHUzpJTlRDAQAAABYiSVFfVEVWX1RPVEFMX1JFVl9GV0QiFElRX1RFVl9UT1RBTF9SRVZfRldEAgAAAAZJUV9OVE0ENjAwMAMAAAALIjEvMjgvMjAxMSIJMS8yOC8yMDExAAAAAAQAAAAAAAAADyJOYXNkYXFHUzpJTlRDIg1OYXNkYXFHUzpJTlRDAQAAABYiSVFfVEVWX1RPVEFMX1JFVl9GV0QiFElRX1RFVl9UT1RBTF9SRVZfRldEAgAAAAZJUV9OVE0ENjAwMAMAAAALIjEvMjEvMjAxMSIJMS8yMS8yMDExAAAAAAQAAAAAAAAADyJOYXNkYXFHUzpJTlRDIg1OYXNkYXFHUzpJTlRDAQAAABYiSVFfVEVWX1RPVEFMX1JFVl9GV0QiFElRX1RFVl9UT1RBTF9SRVZfRldEAgAAAAZJUV9OVE0ENjAwMAMAAAALIjEvMTQvMjAxMSIJMS8xNC8yMDExAAAAAAQAAAAAAAAADyJOYXNkYXFHUzpJTlRDIg1OYXNkYXFHUzpJTlRDAQAAABYiSVFfVEVWX1RPVEFMX1JFVl9GV0QiFElRX1RFVl9UT1RBTF9SRVZfRldEAgAAAAZJUV9OVE0ENjAwMAMAAAAKIjEvNy8yMDExIggxLzcvMjAxMQAAAAAEAAAAAAAAAA8iTmFzZGFxR1M6SU5UQyINTmFzZGFxR1M6SU5UQwEAAAAWIklRX1RFVl9UT1RBTF9SRVZfRldEIhRJUV9URVZfVE9UQUxfUkVWX0ZXRAIAAAAGSVFfTlRNBDYwMDADAAAADCIxMi8z</t>
  </si>
  <si>
    <t>MS8yMDEwIgoxMi8zMS8yMDEwAAAAAAQAAAAAAAAADyJOYXNkYXFHUzpJTlRDIg1OYXNkYXFHUzpJTlRDAQAAABYiSVFfVEVWX1RPVEFMX1JFVl9GV0QiFElRX1RFVl9UT1RBTF9SRVZfRldEAgAAAAZJUV9OVE0ENjAwMAMAAAAMIjEyLzIzLzIwMTAiCjEyLzIzLzIwMTAAAAAABAAAAAAAAAAPIk5hc2RhcUdTOklOVEMiDU5hc2RhcUdTOklOVEMBAAAAFiJJUV9URVZfVE9UQUxfUkVWX0ZXRCIUSVFfVEVWX1RPVEFMX1JFVl9GV0QCAAAABklRX05UTQQ2MDAwAwAAAAwiMTIvMTcvMjAxMCIKMTIvMTcvMjAxMAAAAAAEAAAAAAAAAA8iTmFzZGFxR1M6SU5UQyINTmFzZGFxR1M6SU5UQwEAAAAWIklRX1RFVl9UT1RBTF9SRVZfRldEIhRJUV9URVZfVE9UQUxfUkVWX0ZXRAIAAAAGSVFfTlRNBDYwMDADAAAADCIxMi8xMC8yMDEwIgoxMi8xMC8yMDEwAAAAAAQAAAAAAAAADyJOYXNkYXFHUzpJTlRDIg1OYXNkYXFHUzpJTlRDAQAAABYiSVFfVEVWX1RPVEFMX1JFVl9GV0QiFElRX1RFVl9UT1RBTF9SRVZfRldEAgAAAAZJUV9OVE0ENjAwMAMAAAALIjEyLzMvMjAxMCIJMTIvMy8yMDEwAAAAAAQAAAAAAAAADyJOYXNkYXFHUzpJTlRDIg1OYXNkYXFHUzpJTlRDAQAAABYiSVFfVEVWX1RPVEFMX1JFVl9GV0QiFElRX1RFVl9UT1RBTF9SRVZfRldEAgAAAAZJUV9OVE0ENjAwMAMAAAAMIjExLzI2LzIwMTAiCjExLzI2</t>
  </si>
  <si>
    <t>LzIwMTAAAAAABAAAAAAAAAAPIk5hc2RhcUdTOklOVEMiDU5hc2RhcUdTOklOVEMBAAAAFiJJUV9URVZfVE9UQUxfUkVWX0ZXRCIUSVFfVEVWX1RPVEFMX1JFVl9GV0QCAAAABklRX05UTQQ2MDAwAwAAAAwiMTEvMTkvMjAxMCIKMTEvMTkvMjAxMAAAAAAEAAAAAAAAAA8iTmFzZGFxR1M6SU5UQyINTmFzZGFxR1M6SU5UQwEAAAAWIklRX1RFVl9UT1RBTF9SRVZfRldEIhRJUV9URVZfVE9UQUxfUkVWX0ZXRAIAAAAGSVFfTlRNBDYwMDADAAAADCIxMS8xMi8yMDEwIgoxMS8xMi8yMDEwAAAAAAQAAAAAAAAADyJOYXNkYXFHUzpJTlRDIg1OYXNkYXFHUzpJTlRDAQAAABYiSVFfVEVWX1RPVEFMX1JFVl9GV0QiFElRX1RFVl9UT1RBTF9SRVZfRldEAgAAAAZJUV9OVE0ENjAwMAMAAAALIjExLzUvMjAxMCIJMTEvNS8yMDEwAAAAAAQAAAAAAAAADyJOYXNkYXFHUzpJTlRDIg1OYXNkYXFHUzpJTlRDAQAAABYiSVFfVEVWX1RPVEFMX1JFVl9GV0QiFElRX1RFVl9UT1RBTF9SRVZfRldEAgAAAAZJUV9OVE0ENjAwMAMAAAAMIjEwLzI5LzIwMTAiCjEwLzI5LzIwMTAAAAAABAAAAAAAAAAPIk5hc2RhcUdTOklOVEMiDU5hc2RhcUdTOklOVEMBAAAAFiJJUV9URVZfVE9UQUxfUkVWX0ZXRCIUSVFfVEVWX1RPVEFMX1JFVl9GV0QCAAAABklRX05UTQQ2MDAwAwAAAAwiMTAvMjIvMjAxMCIKMTAvMjIvMjAxMAAAAAAEAAAA</t>
  </si>
  <si>
    <t>AAAAAA8iTmFzZGFxR1M6SU5UQyINTmFzZGFxR1M6SU5UQwEAAAAWIklRX1RFVl9UT1RBTF9SRVZfRldEIhRJUV9URVZfVE9UQUxfUkVWX0ZXRAIAAAAGSVFfTlRNBDYwMDADAAAADCIxMC8xNS8yMDEwIgoxMC8xNS8yMDEwAAAAAAQAAAAAAAAADyJOYXNkYXFHUzpJTlRDIg1OYXNkYXFHUzpJTlRDAQAAABYiSVFfVEVWX1RPVEFMX1JFVl9GV0QiFElRX1RFVl9UT1RBTF9SRVZfRldEAgAAAAZJUV9OVE0ENjAwMAMAAAALIjEwLzgvMjAxMCIJMTAvOC8yMDEwAAAAAAQAAAAAAAAADyJOYXNkYXFHUzpJTlRDIg1OYXNkYXFHUzpJTlRDAQAAABYiSVFfVEVWX1RPVEFMX1JFVl9GV0QiFElRX1RFVl9UT1RBTF9SRVZfRldEAgAAAAZJUV9OVE0ENjAwMAMAAAALIjEwLzEvMjAxMCIJMTAvMS8yMDEwAAAAAAQAAAAAAAAADyJOYXNkYXFHUzpJTlRDIg1OYXNkYXFHUzpJTlRDAQAAABYiSVFfVEVWX1RPVEFMX1JFVl9GV0QiFElRX1RFVl9UT1RBTF9SRVZfRldEAgAAAAZJUV9OVE0ENjAwMAMAAAALIjkvMjQvMjAxMCIJOS8yNC8yMDEwAAAAAAQAAAAAAAAADyJOYXNkYXFHUzpJTlRDIg1OYXNkYXFHUzpJTlRDAQAAABYiSVFfVEVWX1RPVEFMX1JFVl9GV0QiFElRX1RFVl9UT1RBTF9SRVZfRldEAgAAAAZJUV9OVE0ENjAwMAMAAAALIjkvMTcvMjAxMCIJOS8xNy8yMDEwAAAAAAQAAAAAAAAADyJOYXNkYXFHUzpJTlRD</t>
  </si>
  <si>
    <t>Ig1OYXNkYXFHUzpJTlRDAQAAABYiSVFfVEVWX1RPVEFMX1JFVl9GV0QiFElRX1RFVl9UT1RBTF9SRVZfRldEAgAAAAZJUV9OVE0ENjAwMAMAAAALIjkvMTAvMjAxMCIJOS8xMC8yMDEwAAAAAAQAAAAAAAAADyJOYXNkYXFHUzpJTlRDIg1OYXNkYXFHUzpJTlRDAQAAABYiSVFfVEVWX1RPVEFMX1JFVl9GV0QiFElRX1RFVl9UT1RBTF9SRVZfRldEAgAAAAZJUV9OVE0ENjAwMAMAAAAKIjkvMy8yMDEwIgg5LzMvMjAxMAAAAAAEAAAAAAAAAA8iTmFzZGFxR1M6SU5UQyINTmFzZGFxR1M6SU5UQwEAAAAWIklRX1RFVl9UT1RBTF9SRVZfRldEIhRJUV9URVZfVE9UQUxfUkVWX0ZXRAIAAAAGSVFfTlRNBDYwMDADAAAACyI4LzI3LzIwMTAiCTgvMjcvMjAxMAAAAAAEAAAAAAAAAA8iTmFzZGFxR1M6SU5UQyINTmFzZGFxR1M6SU5UQwEAAAAWIklRX1RFVl9UT1RBTF9SRVZfRldEIhRJUV9URVZfVE9UQUxfUkVWX0ZXRAIAAAAGSVFfTlRNBDYwMDADAAAACyI4LzIwLzIwMTAiCTgvMjAvMjAxMAAAAAAEAAAAAAAAAA8iTmFzZGFxR1M6SU5UQyINTmFzZGFxR1M6SU5UQwEAAAAWIklRX1RFVl9UT1RBTF9SRVZfRldEIhRJUV9URVZfVE9UQUxfUkVWX0ZXRAIAAAAGSVFfTlRNBDYwMDADAAAACyI4LzEzLzIwMTAiCTgvMTMvMjAxMAAAAAAEAAAAAAAAAA8iTmFzZGFxR1M6SU5UQyINTmFzZGFxR1M6SU5UQwEAAAAWIklR</t>
  </si>
  <si>
    <t>X1RFVl9UT1RBTF9SRVZfRldEIhRJUV9URVZfVE9UQUxfUkVWX0ZXRAIAAAAGSVFfTlRNBDYwMDADAAAACiI4LzYvMjAxMCIIOC82LzIwMTAAAAAABAAAAAAAAAAPIk5hc2RhcUdTOklOVEMiDU5hc2RhcUdTOklOVEMBAAAAFiJJUV9URVZfVE9UQUxfUkVWX0ZXRCIUSVFfVEVWX1RPVEFMX1JFVl9GV0QCAAAABklRX05UTQQ2MDAwAwAAAAsiNy8zMC8yMDEwIgk3LzMwLzIwMTAAAAAABAAAAAAAAAAPIk5hc2RhcUdTOklOVEMiDU5hc2RhcUdTOklOVEMBAAAAFiJJUV9URVZfVE9UQUxfUkVWX0ZXRCIUSVFfVEVWX1RPVEFMX1JFVl9GV0QCAAAABklRX05UTQQ2MDAwAwAAAAsiNy8yMy8yMDEwIgk3LzIzLzIwMTAAAAAABAAAAAAAAAAPIk5hc2RhcUdTOklOVEMiDU5hc2RhcUdTOklOVEMBAAAAFiJJUV9URVZfVE9UQUxfUkVWX0ZXRCIUSVFfVEVWX1RPVEFMX1JFVl9GV0QCAAAABklRX05UTQQ2MDAwAwAAAAsiNy8xNi8yMDEwIgk3LzE2LzIwMTAAAAAABAAAAAAAAAAPIk5hc2RhcUdTOklOVEMiDU5hc2RhcUdTOklOVEMBAAAAFiJJUV9URVZfVE9UQUxfUkVWX0ZXRCIUSVFfVEVWX1RPVEFMX1JFVl9GV0QCAAAABklRX05UTQQ2MDAwAwAAAAoiNy85LzIwMTAiCDcvOS8yMDEwAAAAAAQAAAAAAAAADyJOYXNkYXFHUzpJTlRDIg1OYXNkYXFHUzpJTlRDAQAAABYiSVFfVEVWX1RPVEFMX1JFVl9GV0QiFElRX1RF</t>
  </si>
  <si>
    <t>Vl9UT1RBTF9SRVZfRldEAgAAAAZJUV9OVE0ENjAwMAMAAAAKIjcvMi8yMDEwIgg3LzIvMjAxMAAAAAAEAAAAAAAAAA8iTmFzZGFxR1M6SU5UQyINTmFzZGFxR1M6SU5UQwEAAAAWIklRX1RFVl9UT1RBTF9SRVZfRldEIhRJUV9URVZfVE9UQUxfUkVWX0ZXRAIAAAAGSVFfTlRNBDYwMDADAAAACyI2LzI1LzIwMTAiCTYvMjUvMjAxMAAAAAAEAAAAAAAAAA8iTmFzZGFxR1M6SU5UQyINTmFzZGFxR1M6SU5UQwEAAAAWIklRX1RFVl9UT1RBTF9SRVZfRldEIhRJUV9URVZfVE9UQUxfUkVWX0ZXRAIAAAAGSVFfTlRNBDYwMDADAAAACyI2LzE4LzIwMTAiCTYvMTgvMjAxMAAAAAAEAAAAAAAAAA8iTmFzZGFxR1M6SU5UQyINTmFzZGFxR1M6SU5UQwEAAAAWIklRX1RFVl9UT1RBTF9SRVZfRldEIhRJUV9URVZfVE9UQUxfUkVWX0ZXRAIAAAAGSVFfTlRNBDYwMDADAAAACyI2LzExLzIwMTAiCTYvMTEvMjAxMAAAAAAEAAAAAAAAAA8iTmFzZGFxR1M6SU5UQyINTmFzZGFxR1M6SU5UQwEAAAAWIklRX1RFVl9UT1RBTF9SRVZfRldEIhRJUV9URVZfVE9UQUxfUkVWX0ZXRAIAAAAGSVFfTlRNBDYwMDADAAAACiI2LzQvMjAxMCIINi80LzIwMTAAAAAABAAAAAAAAAAPIk5hc2RhcUdTOklOVEMiDU5hc2RhcUdTOklOVEMBAAAAFiJJUV9URVZfVE9UQUxfUkVWX0ZXRCIUSVFfVEVWX1RPVEFMX1JFVl9GV0QCAAAABklRX05U</t>
  </si>
  <si>
    <t>TQQ2MDAwAwAAAAsiNS8yOC8yMDEwIgk1LzI4LzIwMTAAAAAABAAAAAAAAAAPIk5hc2RhcUdTOklOVEMiDU5hc2RhcUdTOklOVEMBAAAAFiJJUV9URVZfVE9UQUxfUkVWX0ZXRCIUSVFfVEVWX1RPVEFMX1JFVl9GV0QCAAAABklRX05UTQQ2MDAwAwAAAAsiNS8yMS8yMDEwIgk1LzIxLzIwMTAAAAAABAAAAAAAAAAPIk5hc2RhcUdTOklOVEMiDU5hc2RhcUdTOklOVEMBAAAAFiJJUV9URVZfVE9UQUxfUkVWX0ZXRCIUSVFfVEVWX1RPVEFMX1JFVl9GV0QCAAAABklRX05UTQQ2MDAwAwAAAAsiNS8xNC8yMDEwIgk1LzE0LzIwMTAAAAAABAAAAAAAAAAPIk5hc2RhcUdTOklOVEMiDU5hc2RhcUdTOklOVEMBAAAAFiJJUV9URVZfVE9UQUxfUkVWX0ZXRCIUSVFfVEVWX1RPVEFMX1JFVl9GV0QCAAAABklRX05UTQQ2MDAwAwAAAAoiNS83LzIwMTAiCDUvNy8yMDEwAAAAAAQAAAAAAAAADyJOYXNkYXFHUzpJTlRDIg1OYXNkYXFHUzpJTlRDAQAAABYiSVFfVEVWX1RPVEFMX1JFVl9GV0QiFElRX1RFVl9UT1RBTF9SRVZfRldEAgAAAAZJUV9OVE0ENjAwMAMAAAALIjQvMzAvMjAxMCIJNC8zMC8yMDEwAAAAAAQAAAAAAAAADyJOYXNkYXFHUzpJTlRDIg1OYXNkYXFHUzpJTlRDAQAAABYiSVFfVEVWX1RPVEFMX1JFVl9GV0QiFElRX1RFVl9UT1RBTF9SRVZfRldEAgAAAAZJUV9OVE0ENjAwMAMAAAALIjQvMjMvMjAxMCIJ</t>
  </si>
  <si>
    <t>NC8yMy8yMDEwAAAAAAQAAAAAAAAADyJOYXNkYXFHUzpJTlRDIg1OYXNkYXFHUzpJTlRDAQAAABYiSVFfVEVWX1RPVEFMX1JFVl9GV0QiFElRX1RFVl9UT1RBTF9SRVZfRldEAgAAAAZJUV9OVE0ENjAwMAMAAAALIjQvMTYvMjAxMCIJNC8xNi8yMDEwAAAAAAQAAAAAAAAADyJOYXNkYXFHUzpJTlRDIg1OYXNkYXFHUzpJTlRDAQAAABYiSVFfVEVWX1RPVEFMX1JFVl9GV0QiFElRX1RFVl9UT1RBTF9SRVZfRldEAgAAAAZJUV9OVE0ENjAwMAMAAAAKIjQvOS8yMDEwIgg0LzkvMjAxMAAAAAAEAAAAAAAAAA8iTmFzZGFxR1M6SU5UQyINTmFzZGFxR1M6SU5UQwEAAAAWIklRX1RFVl9UT1RBTF9SRVZfRldEIhRJUV9URVZfVE9UQUxfUkVWX0ZXRAIAAAAGSVFfTlRNBDYwMDADAAAACiI0LzEvMjAxMCIINC8xLzIwMTAAAAAABAAAAAAAAAAPIk5hc2RhcUdTOklOVEMiDU5hc2RhcUdTOklOVEMBAAAAFiJJUV9URVZfVE9UQUxfUkVWX0ZXRCIUSVFfVEVWX1RPVEFMX1JFVl9GV0QCAAAABklRX05UTQQ2MDAwAwAAAAsiMy8yNi8yMDEwIgkzLzI2LzIwMTAAAAAABAAAAAAAAAAPIk5hc2RhcUdTOklOVEMiDU5hc2RhcUdTOklOVEMBAAAAFiJJUV9URVZfVE9UQUxfUkVWX0ZXRCIUSVFfVEVWX1RPVEFMX1JFVl9GV0QCAAAABklRX05UTQQ2MDAwAwAAAAsiMy8xOS8yMDEwIgkzLzE5LzIwMTAAAAAABAAAAAAAAAAPIk5h</t>
  </si>
  <si>
    <t>c2RhcUdTOklOVEMiDU5hc2RhcUdTOklOVEMBAAAAFiJJUV9URVZfVE9UQUxfUkVWX0ZXRCIUSVFfVEVWX1RPVEFMX1JFVl9GV0QCAAAABklRX05UTQQ2MDAwAwAAAAsiMy8xMi8yMDEwIgkzLzEyLzIwMTAAAAAABAAAAAAAAAAPIk5hc2RhcUdTOklOVEMiDU5hc2RhcUdTOklOVEMBAAAAFiJJUV9URVZfVE9UQUxfUkVWX0ZXRCIUSVFfVEVWX1RPVEFMX1JFVl9GV0QCAAAABklRX05UTQQ2MDAwAwAAAAoiMy81LzIwMTAiCDMvNS8yMDEwAAAAAAQAAAAAAAAADyJOYXNkYXFHUzpJTlRDIg1OYXNkYXFHUzpJTlRDAQAAABYiSVFfVEVWX1RPVEFMX1JFVl9GV0QiFElRX1RFVl9UT1RBTF9SRVZfRldEAgAAAAZJUV9OVE0ENjAwMAMAAAALIjIvMjYvMjAxMCIJMi8yNi8yMDEwAAAAAAQAAAAAAAAADyJOYXNkYXFHUzpJTlRDIg1OYXNkYXFHUzpJTlRDAQAAABYiSVFfVEVWX1RPVEFMX1JFVl9GV0QiFElRX1RFVl9UT1RBTF9SRVZfRldEAgAAAAZJUV9OVE0ENjAwMAMAAAALIjIvMTkvMjAxMCIJMi8xOS8yMDEwAAAAAAQAAAAAAAAADyJOYXNkYXFHUzpJTlRDIg1OYXNkYXFHUzpJTlRDAQAAABYiSVFfVEVWX1RPVEFMX1JFVl9GV0QiFElRX1RFVl9UT1RBTF9SRVZfRldEAgAAAAZJUV9OVE0ENjAwMAMAAAALIjIvMTIvMjAxMCIJMi8xMi8yMDEwAAAAAAQAAAAAAAAADyJOYXNkYXFHUzpJTlRDIg1OYXNkYXFHUzpJ</t>
  </si>
  <si>
    <t>TlRDAQAAABYiSVFfVEVWX1RPVEFMX1JFVl9GV0QiFElRX1RFVl9UT1RBTF9SRVZfRldEAgAAAAZJUV9OVE0ENjAwMAMAAAAKIjIvNS8yMDEwIggyLzUvMjAxMAAAAAAEAAAAAAAAAA8iTmFzZGFxR1M6SU5UQyINTmFzZGFxR1M6SU5UQwEAAAAWIklRX1RFVl9UT1RBTF9SRVZfRldEIhRJUV9URVZfVE9UQUxfUkVWX0ZXRAIAAAAGSVFfTlRNBDYwMDADAAAACyIxLzI5LzIwMTAiCTEvMjkvMjAxMAAAAAAEAAAAAAAAAA8iTmFzZGFxR1M6SU5UQyINTmFzZGFxR1M6SU5UQwEAAAAWIklRX1RFVl9UT1RBTF9SRVZfRldEIhRJUV9URVZfVE9UQUxfUkVWX0ZXRAIAAAAGSVFfTlRNBDYwMDADAAAACyIxLzIyLzIwMTAiCTEvMjIvMjAxMAAAAAAEAAAAAAAAAA8iTmFzZGFxR1M6SU5UQyINTmFzZGFxR1M6SU5UQwEAAAAWIklRX1RFVl9UT1RBTF9SRVZfRldEIhRJUV9URVZfVE9UQUxfUkVWX0ZXRAIAAAAGSVFfTlRNBDYwMDADAAAACyIxLzE1LzIwMTAiCTEvMTUvMjAxMAAAAAAEAAAAAAAAAA8iTmFzZGFxR1M6SU5UQyINTmFzZGFxR1M6SU5UQwEAAAAWIklRX1RFVl9UT1RBTF9SRVZfRldEIhRJUV9URVZfVE9UQUxfUkVWX0ZXRAIAAAAGSVFfTlRNBDYwMDADAAAACiIxLzgvMjAxMCIIMS84LzIwMTAAAAAABAAAAAAAAAAPIk5hc2RhcUdTOklOVEMiDU5hc2RhcUdTOklOVEMBAAAAFiJJUV9URVZfVE9UQUxfUkVW</t>
  </si>
  <si>
    <t>X0ZXRCIUSVFfVEVWX1RPVEFMX1JFVl9GV0QCAAAABklRX05UTQQ2MDAwAwAAAAwiMTIvMzEvMjAwOSIKMTIvMzEvMjAwOQAAAAAEAAAAAAAAAA8iTmFzZGFxR1M6SU5UQyINTmFzZGFxR1M6SU5UQwEAAAAWIklRX1RFVl9UT1RBTF9SRVZfRldEIhRJUV9URVZfVE9UQUxfUkVWX0ZXRAIAAAAGSVFfTlRNBDYwMDADAAAADCIxMi8yNC8yMDA5IgoxMi8yNC8yMDA5AAAAAAQAAAAAAAAADyJOYXNkYXFHUzpJTlRDIg1OYXNkYXFHUzpJTlRDAQAAABYiSVFfVEVWX1RPVEFMX1JFVl9GV0QiFElRX1RFVl9UT1RBTF9SRVZfRldEAgAAAAZJUV9OVE0ENjAwMAMAAAAMIjEyLzE4LzIwMDkiCjEyLzE4LzIwMDkAAAAABAAAAAAAAAAPIk5hc2RhcUdTOklOVEMiDU5hc2RhcUdTOklOVEMBAAAAFiJJUV9URVZfVE9UQUxfUkVWX0ZXRCIUSVFfVEVWX1RPVEFMX1JFVl9GV0QCAAAABklRX05UTQQ2MDAwAwAAAAwiMTIvMTEvMjAwOSIKMTIvMTEvMjAwOQAAAAAEAAAAAAAAAA8iTmFzZGFxR1M6SU5UQyINTmFzZGFxR1M6SU5UQwEAAAAWIklRX1RFVl9UT1RBTF9SRVZfRldEIhRJUV9URVZfVE9UQUxfUkVWX0ZXRAIAAAAGSVFfTlRNBDYwMDADAAAACyIxMi80LzIwMDkiCTEyLzQvMjAwOQAAAAAEAAAAAAAAAA8iTmFzZGFxR1M6SU5UQyINTmFzZGFxR1M6SU5UQwEAAAAWIklRX1RFVl9UT1RBTF9SRVZfRldEIhRJUV9URVZf</t>
  </si>
  <si>
    <t>VE9UQUxfUkVWX0ZXRAIAAAAGSVFfTlRNBDYwMDADAAAADCIxMS8yNy8yMDA5IgoxMS8yNy8yMDA5AAAAAAQAAAAAAAAADyJOYXNkYXFHUzpJTlRDIg1OYXNkYXFHUzpJTlRDAQAAABYiSVFfVEVWX1RPVEFMX1JFVl9GV0QiFElRX1RFVl9UT1RBTF9SRVZfRldEAgAAAAZJUV9OVE0ENjAwMAMAAAAMIjExLzIwLzIwMDkiCjExLzIwLzIwMDkAAAAABAAAAAAAAAAPIk5hc2RhcUdTOklOVEMiDU5hc2RhcUdTOklOVEMBAAAAFiJJUV9URVZfVE9UQUxfUkVWX0ZXRCIUSVFfVEVWX1RPVEFMX1JFVl9GV0QCAAAABklRX05UTQQ2MDAwAwAAAAwiMTEvMTMvMjAwOSIKMTEvMTMvMjAwOQAAAAAEAAAAAAAAAA8iTmFzZGFxR1M6SU5UQyINTmFzZGFxR1M6SU5UQwEAAAAWIklRX1RFVl9UT1RBTF9SRVZfRldEIhRJUV9URVZfVE9UQUxfUkVWX0ZXRAIAAAAGSVFfTlRNBDYwMDADAAAACyIxMS82LzIwMDkiCTExLzYvMjAwOQAAAAAEAAAAAAAAAA8iTmFzZGFxR1M6SU5UQyINTmFzZGFxR1M6SU5UQwEAAAAWIklRX1RFVl9UT1RBTF9SRVZfRldEIhRJUV9URVZfVE9UQUxfUkVWX0ZXRAIAAAAGSVFfTlRNBDYwMDADAAAADCIxMC8zMC8yMDA5IgoxMC8zMC8yMDA5AAAAAAQAAAAAAAAADyJOYXNkYXFHUzpJTlRDIg1OYXNkYXFHUzpJTlRDAQAAABYiSVFfVEVWX1RPVEFMX1JFVl9GV0QiFElRX1RFVl9UT1RBTF9SRVZfRldE</t>
  </si>
  <si>
    <t>AgAAAAZJUV9OVE0ENjAwMAMAAAAMIjEwLzIzLzIwMDkiCjEwLzIzLzIwMDkAAAAABAAAAAAAAAAPIk5hc2RhcUdTOklOVEMiDU5hc2RhcUdTOklOVEMBAAAAFiJJUV9URVZfVE9UQUxfUkVWX0ZXRCIUSVFfVEVWX1RPVEFMX1JFVl9GV0QCAAAABklRX05UTQQ2MDAwAwAAAAwiMTAvMTYvMjAwOSIKMTAvMTYvMjAwOQAAAAAEAAAAAAAAAA8iTmFzZGFxR1M6SU5UQyINTmFzZGFxR1M6SU5UQwEAAAAWIklRX1RFVl9UT1RBTF9SRVZfRldEIhRJUV9URVZfVE9UQUxfUkVWX0ZXRAIAAAAGSVFfTlRNBDYwMDADAAAACyIxMC85LzIwMDkiCTEwLzkvMjAwOQAAAAAEAAAAAAAAAA8iTmFzZGFxR1M6SU5UQyINTmFzZGFxR1M6SU5UQwEAAAAWIklRX1RFVl9UT1RBTF9SRVZfRldEIhRJUV9URVZfVE9UQUxfUkVWX0ZXRAIAAAAGSVFfTlRNBDYwMDADAAAACyIxMC8yLzIwMDkiCTEwLzIvMjAwOQAAAAAEAAAAAAAAAA8iTmFzZGFxR1M6SU5UQyINTmFzZGFxR1M6SU5UQwEAAAAWIklRX1RFVl9UT1RBTF9SRVZfRldEIhRJUV9URVZfVE9UQUxfUkVWX0ZXRAIAAAAGSVFfTlRNBDYwMDADAAAACyI5LzI1LzIwMDkiCTkvMjUvMjAwOQAAAAAEAAAAAAAAAA8iTmFzZGFxR1M6SU5UQyINTmFzZGFxR1M6SU5UQwEAAAAWIklRX1RFVl9UT1RBTF9SRVZfRldEIhRJUV9URVZfVE9UQUxfUkVWX0ZXRAIAAAAGSVFfTlRNBDYwMDAD</t>
  </si>
  <si>
    <t>AAAACyI5LzE4LzIwMDkiCTkvMTgvMjAwOQAAAAAEAAAAAAAAAA8iTmFzZGFxR1M6SU5UQyINTmFzZGFxR1M6SU5UQwEAAAAWIklRX1RFVl9UT1RBTF9SRVZfRldEIhRJUV9URVZfVE9UQUxfUkVWX0ZXRAIAAAAGSVFfTlRNBDYwMDADAAAACyI5LzExLzIwMDkiCTkvMTEvMjAwOQAAAAAEAAAAAAAAAA8iTmFzZGFxR1M6SU5UQyINTmFzZGFxR1M6SU5UQwEAAAAWIklRX1RFVl9UT1RBTF9SRVZfRldEIhRJUV9URVZfVE9UQUxfUkVWX0ZXRAIAAAAGSVFfTlRNBDYwMDADAAAACiI5LzQvMjAwOSIIOS80LzIwMDkAAAAABAAAAAAAAAAPIk5hc2RhcUdTOklOVEMiDU5hc2RhcUdTOklOVEMBAAAAFiJJUV9URVZfVE9UQUxfUkVWX0ZXRCIUSVFfVEVWX1RPVEFMX1JFVl9GV0QCAAAABklRX05UTQQ2MDAwAwAAAAsiOC8yOC8yMDA5Igk4LzI4LzIwMDkAAAAABAAAAAAAAAAPIk5hc2RhcUdTOklOVEMiDU5hc2RhcUdTOklOVEMBAAAAFiJJUV9URVZfVE9UQUxfUkVWX0ZXRCIUSVFfVEVWX1RPVEFMX1JFVl9GV0QCAAAABklRX05UTQQ2MDAwAwAAAAsiOC8yMS8yMDA5Igk4LzIxLzIwMDkAAAAABAAAAAAAAAAPIk5hc2RhcUdTOklOVEMiDU5hc2RhcUdTOklOVEMBAAAAFiJJUV9URVZfVE9UQUxfUkVWX0ZXRCIUSVFfVEVWX1RPVEFMX1JFVl9GV0QCAAAABklRX05UTQQ2MDAwAwAAAAsiOC8xNC8yMDA5Igk4LzE0LzIw</t>
  </si>
  <si>
    <t>MDkAAAAABAAAAAAAAAAPIk5hc2RhcUdTOklOVEMiDU5hc2RhcUdTOklOVEMBAAAAFiJJUV9URVZfVE9UQUxfUkVWX0ZXRCIUSVFfVEVWX1RPVEFMX1JFVl9GV0QCAAAABklRX05UTQQ2MDAwAwAAAAoiOC83LzIwMDkiCDgvNy8yMDA5AAAAAAQAAAAAAAAADyJOYXNkYXFHUzpJTlRDIg1OYXNkYXFHUzpJTlRDAQAAABYiSVFfVEVWX1RPVEFMX1JFVl9GV0QiFElRX1RFVl9UT1RBTF9SRVZfRldEAgAAAAZJUV9OVE0ENjAwMAMAAAALIjcvMzEvMjAwOSIJNy8zMS8yMDA5AAAAAAQAAAAAAAAADyJOYXNkYXFHUzpJTlRDIg1OYXNkYXFHUzpJTlRDAQAAABYiSVFfVEVWX1RPVEFMX1JFVl9GV0QiFElRX1RFVl9UT1RBTF9SRVZfRldEAgAAAAZJUV9OVE0ENjAwMAMAAAALIjcvMjQvMjAwOSIJNy8yNC8yMDA5AAAAAAQAAAAAAAAADyJOYXNkYXFHUzpJTlRDIg1OYXNkYXFHUzpJTlRDAQAAABYiSVFfVEVWX1RPVEFMX1JFVl9GV0QiFElRX1RFVl9UT1RBTF9SRVZfRldEAgAAAAZJUV9OVE0ENjAwMAMAAAALIjcvMTcvMjAwOSIJNy8xNy8yMDA5AAAAAAQAAAAAAAAADyJOYXNkYXFHUzpJTlRDIg1OYXNkYXFHUzpJTlRDAQAAABYiSVFfVEVWX1RPVEFMX1JFVl9GV0QiFElRX1RFVl9UT1RBTF9SRVZfRldEAgAAAAZJUV9OVE0ENjAwMAMAAAALIjcvMTAvMjAwOSIJNy8xMC8yMDA5AAAAAAQAAAAAAAAADyJOYXNkYXFH</t>
  </si>
  <si>
    <t>UzpJTlRDIg1OYXNkYXFHUzpJTlRDAQAAABYiSVFfVEVWX1RPVEFMX1JFVl9GV0QiFElRX1RFVl9UT1RBTF9SRVZfRldEAgAAAAZJUV9OVE0ENjAwMAMAAAAKIjcvMi8yMDA5Igg3LzIvMjAwOQAAAAAEAAAAAAAAAA8iTmFzZGFxR1M6SU5UQyINTmFzZGFxR1M6SU5UQwEAAAAWIklRX1RFVl9UT1RBTF9SRVZfRldEIhRJUV9URVZfVE9UQUxfUkVWX0ZXRAIAAAAGSVFfTlRNBDYwMDADAAAACyI2LzI2LzIwMDkiCTYvMjYvMjAwOQAAAAAEAAAAAAAAAA8iTmFzZGFxR1M6SU5UQyINTmFzZGFxR1M6SU5UQwEAAAAWIklRX1RFVl9UT1RBTF9SRVZfRldEIhRJUV9URVZfVE9UQUxfUkVWX0ZXRAIAAAAGSVFfTlRNBDYwMDADAAAACyI2LzE5LzIwMDkiCTYvMTkvMjAwOQAAAAAEAAAAAAAAAA8iTmFzZGFxR1M6SU5UQyINTmFzZGFxR1M6SU5UQwEAAAAWIklRX1RFVl9UT1RBTF9SRVZfRldEIhRJUV9URVZfVE9UQUxfUkVWX0ZXRAIAAAAGSVFfTlRNBDYwMDADAAAACyI2LzEyLzIwMDkiCTYvMTIvMjAwOQAAAAAEAAAAAAAAAA8iTmFzZGFxR1M6SU5UQyINTmFzZGFxR1M6SU5UQwEAAAAWIklRX1RFVl9UT1RBTF9SRVZfRldEIhRJUV9URVZfVE9UQUxfUkVWX0ZXRAIAAAAGSVFfTlRNBDYwMDADAAAACiI2LzUvMjAwOSIINi81LzIwMDkAAAAABAAAAAAAAAAPIk5hc2RhcUdTOklOVEMiDU5hc2RhcUdTOklOVEMBAAAA</t>
  </si>
  <si>
    <t>FiJJUV9URVZfVE9UQUxfUkVWX0ZXRCIUSVFfVEVWX1RPVEFMX1JFVl9GV0QCAAAABklRX05UTQQ2MDAwAwAAAAsiNS8yOS8yMDA5Igk1LzI5LzIwMDkAAAAABAAAAAAAAAAPIk5hc2RhcUdTOklOVEMiDU5hc2RhcUdTOklOVEMBAAAAFiJJUV9URVZfVE9UQUxfUkVWX0ZXRCIUSVFfVEVWX1RPVEFMX1JFVl9GV0QCAAAABklRX05UTQQ2MDAwAwAAAAsiNS8yMi8yMDA5Igk1LzIyLzIwMDkAAAAABAAAAAAAAAAPIk5hc2RhcUdTOklOVEMiDU5hc2RhcUdTOklOVEMBAAAAFiJJUV9URVZfVE9UQUxfUkVWX0ZXRCIUSVFfVEVWX1RPVEFMX1JFVl9GV0QCAAAABklRX05UTQQ2MDAwAwAAAAsiNS8xNS8yMDA5Igk1LzE1LzIwMDkAAAAABAAAAAAAAAAPIk5hc2RhcUdTOklOVEMiDU5hc2RhcUdTOklOVEMBAAAAFiJJUV9URVZfVE9UQUxfUkVWX0ZXRCIUSVFfVEVWX1RPVEFMX1JFVl9GV0QCAAAABklRX05UTQQ2MDAwAwAAAAoiNS84LzIwMDkiCDUvOC8yMDA5AAAAAAQAAAAAAAAADyJOYXNkYXFHUzpJTlRDIg1OYXNkYXFHUzpJTlRDAQAAABYiSVFfVEVWX1RPVEFMX1JFVl9GV0QiFElRX1RFVl9UT1RBTF9SRVZfRldEAgAAAAZJUV9OVE0ENjAwMAMAAAAKIjUvMS8yMDA5Igg1LzEvMjAwOQAAAAAEAAAAAAAAAA8iTmFzZGFxR1M6SU5UQyINTmFzZGFxR1M6SU5UQwEAAAAWIklRX1RFVl9UT1RBTF9SRVZfRldEIhRJ</t>
  </si>
  <si>
    <t>UV9URVZfVE9UQUxfUkVWX0ZXRAIAAAAGSVFfTlRNBDYwMDADAAAACyI0LzI0LzIwMDkiCTQvMjQvMjAwOQAAAAAEAAAAAAAAAA8iTmFzZGFxR1M6SU5UQyINTmFzZGFxR1M6SU5UQwEAAAAWIklRX1RFVl9UT1RBTF9SRVZfRldEIhRJUV9URVZfVE9UQUxfUkVWX0ZXRAIAAAAGSVFfTlRNBDYwMDADAAAACyI0LzE3LzIwMDkiCTQvMTcvMjAwOQAAAAAEAAAAAAAAAA8iTmFzZGFxR1M6SU5UQyINTmFzZGFxR1M6SU5UQwEAAAAWIklRX1RFVl9UT1RBTF9SRVZfRldEIhRJUV9URVZfVE9UQUxfUkVWX0ZXRAIAAAAGSVFfTlRNBDYwMDADAAAACiI0LzkvMjAwOSIINC85LzIwMDkAAAAABAAAAAAAAAAPIk5hc2RhcUdTOklOVEMiDU5hc2RhcUdTOklOVEMBAAAAFiJJUV9URVZfVE9UQUxfUkVWX0ZXRCIUSVFfVEVWX1RPVEFMX1JFVl9GV0QCAAAABklRX05UTQQ2MDAwAwAAAAoiNC8zLzIwMDkiCDQvMy8yMDA5AAAAAAQAAAAAAAAADyJOYXNkYXFHUzpJTlRDIg1OYXNkYXFHUzpJTlRDAQAAABYiSVFfVEVWX1RPVEFMX1JFVl9GV0QiFElRX1RFVl9UT1RBTF9SRVZfRldEAgAAAAZJUV9OVE0ENjAwMAMAAAALIjMvMjcvMjAwOSIJMy8yNy8yMDA5AAAAAAQAAAAAAAAADyJOYXNkYXFHUzpJTlRDIg1OYXNkYXFHUzpJTlRDAQAAABYiSVFfVEVWX1RPVEFMX1JFVl9GV0QiFElRX1RFVl9UT1RBTF9SRVZfRldEAgAAAAZJ</t>
  </si>
  <si>
    <t>UV9OVE0ENjAwMAMAAAALIjMvMjAvMjAwOSIJMy8yMC8yMDA5AAAAAAQAAAAAAAAADyJOYXNkYXFHUzpJTlRDIg1OYXNkYXFHUzpJTlRDAQAAABYiSVFfVEVWX1RPVEFMX1JFVl9GV0QiFElRX1RFVl9UT1RBTF9SRVZfRldEAgAAAAZJUV9OVE0ENjAwMAMAAAALIjMvMTMvMjAwOSIJMy8xMy8yMDA5AAAAAAQAAAAAAAAADyJOYXNkYXFHUzpJTlRDIg1OYXNkYXFHUzpJTlRDAQAAABYiSVFfVEVWX1RPVEFMX1JFVl9GV0QiFElRX1RFVl9UT1RBTF9SRVZfRldEAgAAAAZJUV9OVE0ENjAwMAMAAAAKIjMvNi8yMDA5IggzLzYvMjAwOQAAAAAEAAAAAAAAAA8iTmFzZGFxR1M6SU5UQyINTmFzZGFxR1M6SU5UQwEAAAAWIklRX1RFVl9UT1RBTF9SRVZfRldEIhRJUV9URVZfVE9UQUxfUkVWX0ZXRAIAAAAGSVFfTlRNBDYwMDADAAAACyIyLzI3LzIwMDkiCTIvMjcvMjAwOQAAAAAEAAAAAAAAAA8iTmFzZGFxR1M6SU5UQyINTmFzZGFxR1M6SU5UQwEAAAAWIklRX1RFVl9UT1RBTF9SRVZfRldEIhRJUV9URVZfVE9UQUxfUkVWX0ZXRAIAAAAGSVFfTlRNBDYwMDADAAAACyIyLzIwLzIwMDkiCTIvMjAvMjAwOQAAAAAEAAAAAAAAAA8iTmFzZGFxR1M6SU5UQyINTmFzZGFxR1M6SU5UQwEAAAAWIklRX1RFVl9UT1RBTF9SRVZfRldEIhRJUV9URVZfVE9UQUxfUkVWX0ZXRAIAAAAGSVFfTlRNBDYwMDADAAAACyIyLzEzLzIw</t>
  </si>
  <si>
    <t>MDkiCTIvMTMvMjAwOQAAAAAEAAAAAAAAAA8iTmFzZGFxR1M6SU5UQyINTmFzZGFxR1M6SU5UQwEAAAAWIklRX1RFVl9UT1RBTF9SRVZfRldEIhRJUV9URVZfVE9UQUxfUkVWX0ZXRAIAAAAGSVFfTlRNBDYwMDADAAAACiIyLzYvMjAwOSIIMi82LzIwMDkAAAAABAAAAAAAAAAPIk5hc2RhcUdTOklOVEMiDU5hc2RhcUdTOklOVEMBAAAAFiJJUV9URVZfVE9UQUxfUkVWX0ZXRCIUSVFfVEVWX1RPVEFMX1JFVl9GV0QCAAAABklRX05UTQQ2MDAwAwAAAAsiMS8zMC8yMDA5IgkxLzMwLzIwMDkAAAAABAAAAAAAAAAPIk5hc2RhcUdTOklOVEMiDU5hc2RhcUdTOklOVEMBAAAAFiJJUV9URVZfVE9UQUxfUkVWX0ZXRCIUSVFfVEVWX1RPVEFMX1JFVl9GV0QCAAAABklRX05UTQQ2MDAwAwAAAAsiMS8yMy8yMDA5IgkxLzIzLzIwMDkAAAAABAAAAAAAAAAPIk5hc2RhcUdTOklOVEMiDU5hc2RhcUdTOklOVEMBAAAAFiJJUV9URVZfVE9UQUxfUkVWX0ZXRCIUSVFfVEVWX1RPVEFMX1JFVl9GV0QCAAAABklRX05UTQQ2MDAwAwAAAAsiMS8xNi8yMDA5IgkxLzE2LzIwMDkAAAAABAAAAAAAAAAPIk5hc2RhcUdTOklOVEMiDU5hc2RhcUdTOklOVEMBAAAAFiJJUV9URVZfVE9UQUxfUkVWX0ZXRCIUSVFfVEVWX1RPVEFMX1JFVl9GV0QCAAAABklRX05UTQQ2MDAwAwAAAAoiMS85LzIwMDkiCDEvOS8yMDA5AAAAAAQAAAAAAAAA</t>
  </si>
  <si>
    <t>DyJOYXNkYXFHUzpJTlRDIg1OYXNkYXFHUzpJTlRDAQAAABYiSVFfVEVWX1RPVEFMX1JFVl9GV0QiFElRX1RFVl9UT1RBTF9SRVZfRldEAgAAAAZJUV9OVE0ENjAwMAMAAAAKIjEvMi8yMDA5IggxLzIvMjAwOQAAAAAEAAAAAAAAAA8iTmFzZGFxR1M6SU5UQyINTmFzZGFxR1M6SU5UQwEAAAAWIklRX1RFVl9UT1RBTF9SRVZfRldEIhRJUV9URVZfVE9UQUxfUkVWX0ZXRAIAAAAGSVFfTlRNBDYwMDADAAAADCIxMi8yNi8yMDA4IgoxMi8yNi8yMDA4AAAAAAQAAAAAAAAADyJOYXNkYXFHUzpJTlRDIg1OYXNkYXFHUzpJTlRDAQAAABYiSVFfVEVWX1RPVEFMX1JFVl9GV0QiFElRX1RFVl9UT1RBTF9SRVZfRldEAgAAAAZJUV9OVE0ENjAwMAMAAAAMIjEyLzE5LzIwMDgiCjEyLzE5LzIwMDgAAAAABAAAAAAAAAAPIk5hc2RhcUdTOklOVEMiDU5hc2RhcUdTOklOVEMBAAAAFiJJUV9URVZfVE9UQUxfUkVWX0ZXRCIUSVFfVEVWX1RPVEFMX1JFVl9GV0QCAAAABklRX05UTQQ2MDAwAwAAAAwiMTIvMTIvMjAwOCIKMTIvMTIvMjAwOAAAAAAEAAAAAAAAAA8iTmFzZGFxR1M6SU5UQyINTmFzZGFxR1M6SU5UQwEAAAAWIklRX1RFVl9UT1RBTF9SRVZfRldEIhRJUV9URVZfVE9UQUxfUkVWX0ZXRAIAAAAGSVFfTlRNBDYwMDADAAAACyIxMi81LzIwMDgiCTEyLzUvMjAwOAAAAAAEAAAAAAAAAA8iTmFzZGFxR1M6SU5UQyIN</t>
  </si>
  <si>
    <t>TmFzZGFxR1M6SU5UQwEAAAAWIklRX1RFVl9UT1RBTF9SRVZfRldEIhRJUV9URVZfVE9UQUxfUkVWX0ZXRAIAAAAGSVFfTlRNBDYwMDADAAAADCIxMS8yOC8yMDA4IgoxMS8yOC8yMDA4AAAAAAQAAAAAAAAADyJOYXNkYXFHUzpJTlRDIg1OYXNkYXFHUzpJTlRDAQAAABYiSVFfVEVWX1RPVEFMX1JFVl9GV0QiFElRX1RFVl9UT1RBTF9SRVZfRldEAgAAAAZJUV9OVE0ENjAwMAMAAAAMIjExLzIxLzIwMDgiCjExLzIxLzIwMDgAAAAABAAAAAAAAAAPIk5hc2RhcUdTOklOVEMiDU5hc2RhcUdTOklOVEMBAAAAFiJJUV9URVZfVE9UQUxfUkVWX0ZXRCIUSVFfVEVWX1RPVEFMX1JFVl9GV0QCAAAABklRX05UTQQ2MDAwAwAAAAwiMTEvMTQvMjAwOCIKMTEvMTQvMjAwOAAAAAAEAAAAAAAAAA8iTmFzZGFxR1M6SU5UQyINTmFzZGFxR1M6SU5UQwEAAAAWIklRX1RFVl9UT1RBTF9SRVZfRldEIhRJUV9URVZfVE9UQUxfUkVWX0ZXRAIAAAAGSVFfTlRNBDYwMDADAAAACyIxMS83LzIwMDgiCTExLzcvMjAwOAAAAAAEAAAAAAAAAA8iTmFzZGFxR1M6SU5UQyINTmFzZGFxR1M6SU5UQwEAAAAWIklRX1RFVl9UT1RBTF9SRVZfRldEIhRJUV9URVZfVE9UQUxfUkVWX0ZXRAIAAAAGSVFfTlRNBDYwMDADAAAADCIxMC8zMS8yMDA4IgoxMC8zMS8yMDA4AAAAAAQAAAAAAAAADyJOYXNkYXFHUzpJTlRDIg1OYXNkYXFHUzpJTlRD</t>
  </si>
  <si>
    <t>AQAAABYiSVFfVEVWX1RPVEFMX1JFVl9GV0QiFElRX1RFVl9UT1RBTF9SRVZfRldEAgAAAAZJUV9OVE0ENjAwMAMAAAAMIjEwLzI0LzIwMDgiCjEwLzI0LzIwMDgAAAAABAAAAAAAAAAPIk5hc2RhcUdTOklOVEMiDU5hc2RhcUdTOklOVEMBAAAAFiJJUV9URVZfVE9UQUxfUkVWX0ZXRCIUSVFfVEVWX1RPVEFMX1JFVl9GV0QCAAAABklRX05UTQQ2MDAwAwAAAAwiMTAvMTcvMjAwOCIKMTAvMTcvMjAwOAAAAAAEAAAAAAAAAA8iTmFzZGFxR1M6SU5UQyINTmFzZGFxR1M6SU5UQwEAAAAWIklRX1RFVl9UT1RBTF9SRVZfRldEIhRJUV9URVZfVE9UQUxfUkVWX0ZXRAIAAAAGSVFfTlRNBDYwMDADAAAADCIxMC8xMC8yMDA4IgoxMC8xMC8yMDA4AAAAAAQAAAAAAAAADyJOYXNkYXFHUzpJTlRDIg1OYXNkYXFHUzpJTlRDAQAAABYiSVFfVEVWX1RPVEFMX1JFVl9GV0QiFElRX1RFVl9UT1RBTF9SRVZfRldEAgAAAAZJUV9OVE0ENjAwMAMAAAALIjEwLzMvMjAwOCIJMTAvMy8yMDA4AAAAAAQAAAAAAAAADyJOYXNkYXFHUzpJTlRDIg1OYXNkYXFHUzpJTlRDAQAAABYiSVFfVEVWX1RPVEFMX1JFVl9GV0QiFElRX1RFVl9UT1RBTF9SRVZfRldEAgAAAAZJUV9OVE0ENjAwMAMAAAALIjkvMjYvMjAwOCIJOS8yNi8yMDA4AAAAAAQAAAAAAAAADyJOYXNkYXFHUzpJTlRDIg1OYXNkYXFHUzpJTlRDAQAAABYiSVFfVEVWX1RP</t>
  </si>
  <si>
    <t>VEFMX1JFVl9GV0QiFElRX1RFVl9UT1RBTF9SRVZfRldEAgAAAAZJUV9OVE0ENjAwMAMAAAALIjkvMTkvMjAwOCIJOS8xOS8yMDA4AAAAAAQAAAAAAAAADyJOYXNkYXFHUzpJTlRDIg1OYXNkYXFHUzpJTlRDAQAAABYiSVFfVEVWX1RPVEFMX1JFVl9GV0QiFElRX1RFVl9UT1RBTF9SRVZfRldEAgAAAAZJUV9OVE0ENjAwMAMAAAALIjkvMTIvMjAwOCIJOS8xMi8yMDA4AAAAAAQAAAAAAAAADyJOYXNkYXFHUzpJTlRDIg1OYXNkYXFHUzpJTlRDAQAAABYiSVFfVEVWX1RPVEFMX1JFVl9GV0QiFElRX1RFVl9UT1RBTF9SRVZfRldEAgAAAAZJUV9OVE0ENjAwMAMAAAAKIjkvNS8yMDA4Igg5LzUvMjAwOAAAAAAEAAAAAAAAAA8iTmFzZGFxR1M6SU5UQyINTmFzZGFxR1M6SU5UQwEAAAAWIklRX1RFVl9UT1RBTF9SRVZfRldEIhRJUV9URVZfVE9UQUxfUkVWX0ZXRAIAAAAGSVFfTlRNBDYwMDADAAAACyI4LzI5LzIwMDgiCTgvMjkvMjAwOAAAAAAEAAAAAAAAAA8iTmFzZGFxR1M6SU5UQyINTmFzZGFxR1M6SU5UQwEAAAAWIklRX1RFVl9UT1RBTF9SRVZfRldEIhRJUV9URVZfVE9UQUxfUkVWX0ZXRAIAAAAGSVFfTlRNBDYwMDADAAAACyI4LzIyLzIwMDgiCTgvMjIvMjAwOAAAAAAEAAAAAAAAAA8iTmFzZGFxR1M6SU5UQyINTmFzZGFxR1M6SU5UQwEAAAAWIklRX1RFVl9UT1RBTF9SRVZfRldEIhRJUV9URVZfVE9U</t>
  </si>
  <si>
    <t>QUxfUkVWX0ZXRAIAAAAGSVFfTlRNBDYwMDADAAAACyI4LzE1LzIwMDgiCTgvMTUvMjAwOAAAAAAEAAAAAAAAAA8iTmFzZGFxR1M6SU5UQyINTmFzZGFxR1M6SU5UQwEAAAAWIklRX1RFVl9UT1RBTF9SRVZfRldEIhRJUV9URVZfVE9UQUxfUkVWX0ZXRAIAAAAGSVFfTlRNBDYwMDADAAAACiI4LzgvMjAwOCIIOC84LzIwMDgAAAAABAAAAAAAAAAPIk5hc2RhcUdTOklOVEMiDU5hc2RhcUdTOklOVEMBAAAAFiJJUV9URVZfVE9UQUxfUkVWX0ZXRCIUSVFfVEVWX1RPVEFMX1JFVl9GV0QCAAAABklRX05UTQQ2MDAwAwAAAAoiOC8xLzIwMDgiCDgvMS8yMDA4AAAAAAQAAAAAAAAADyJOYXNkYXFHUzpJTlRDIg1OYXNkYXFHUzpJTlRDAQAAABYiSVFfVEVWX1RPVEFMX1JFVl9GV0QiFElRX1RFVl9UT1RBTF9SRVZfRldEAgAAAAZJUV9OVE0ENjAwMAMAAAALIjcvMjUvMjAwOCIJNy8yNS8yMDA4AAAAAAQAAAAAAAAADyJOYXNkYXFHUzpJTlRDIg1OYXNkYXFHUzpJTlRDAQAAABYiSVFfVEVWX1RPVEFMX1JFVl9GV0QiFElRX1RFVl9UT1RBTF9SRVZfRldEAgAAAAZJUV9OVE0ENjAwMAMAAAALIjcvMTgvMjAwOCIJNy8xOC8yMDA4AAAAAAQAAAAAAAAADyJOYXNkYXFHUzpJTlRDIg1OYXNkYXFHUzpJTlRDAQAAABYiSVFfVEVWX1RPVEFMX1JFVl9GV0QiFElRX1RFVl9UT1RBTF9SRVZfRldEAgAAAAZJUV9OVE0ENjAw</t>
  </si>
  <si>
    <t>MAMAAAALIjcvMTEvMjAwOCIJNy8xMS8yMDA4AAAAAAQAAAAAAAAADyJOYXNkYXFHUzpJTlRDIg1OYXNkYXFHUzpJTlRDAQAAABYiSVFfVEVWX1RPVEFMX1JFVl9GV0QiFElRX1RFVl9UT1RBTF9SRVZfRldEAgAAAAZJUV9OVE0ENjAwMAMAAAAKIjcvMy8yMDA4Igg3LzMvMjAwOAAAAAAEAAAAAAAAAA8iTmFzZGFxR1M6SU5UQyINTmFzZGFxR1M6SU5UQwEAAAAWIklRX1RFVl9UT1RBTF9SRVZfRldEIhRJUV9URVZfVE9UQUxfUkVWX0ZXRAIAAAAGSVFfTlRNBDYwMDADAAAACyI2LzI3LzIwMDgiCTYvMjcvMjAwOAAAAAAEAAAAAAAAAA8iTmFzZGFxR1M6SU5UQyINTmFzZGFxR1M6SU5UQwEAAAAWIklRX1RFVl9UT1RBTF9SRVZfRldEIhRJUV9URVZfVE9UQUxfUkVWX0ZXRAIAAAAGSVFfTlRNBDYwMDADAAAACyI2LzIwLzIwMDgiCTYvMjAvMjAwOAAAAAAEAAAAAAAAAA8iTmFzZGFxR1M6SU5UQyINTmFzZGFxR1M6SU5UQwEAAAAWIklRX1RFVl9UT1RBTF9SRVZfRldEIhRJUV9URVZfVE9UQUxfUkVWX0ZXRAIAAAAGSVFfTlRNBDYwMDADAAAACyI2LzEzLzIwMDgiCTYvMTMvMjAwOAAAAAAEAAAAAAAAAA8iTmFzZGFxR1M6SU5UQyINTmFzZGFxR1M6SU5UQwEAAAAWIklRX1RFVl9UT1RBTF9SRVZfRldEIhRJUV9URVZfVE9UQUxfUkVWX0ZXRAIAAAAGSVFfTlRNBDYwMDADAAAACiI2LzYvMjAwOCIINi82LzIw</t>
  </si>
  <si>
    <t>MDgAAAAABAAAAAAAAAAPIk5hc2RhcUdTOklOVEMiDU5hc2RhcUdTOklOVEMBAAAAFiJJUV9URVZfVE9UQUxfUkVWX0ZXRCIUSVFfVEVWX1RPVEFMX1JFVl9GV0QCAAAABklRX05UTQQ2MDAwAwAAAAsiNS8zMC8yMDA4Igk1LzMwLzIwMDgAAAAABAAAAAAAAAAPIk5hc2RhcUdTOklOVEMiDU5hc2RhcUdTOklOVEMBAAAAFiJJUV9URVZfVE9UQUxfUkVWX0ZXRCIUSVFfVEVWX1RPVEFMX1JFVl9GV0QCAAAABklRX05UTQQ2MDAwAwAAAAsiNS8yMy8yMDA4Igk1LzIzLzIwMDgAAAAABAAAAAAAAAAPIk5hc2RhcUdTOklOVEMiDU5hc2RhcUdTOklOVEMBAAAAFiJJUV9URVZfVE9UQUxfUkVWX0ZXRCIUSVFfVEVWX1RPVEFMX1JFVl9GV0QCAAAABklRX05UTQQ2MDAwAwAAAAsiNS8xNi8yMDA4Igk1LzE2LzIwMDgAAAAABAAAAAAAAAAPIk5hc2RhcUdTOklOVEMiDU5hc2RhcUdTOklOVEMBAAAAFiJJUV9URVZfVE9UQUxfUkVWX0ZXRCIUSVFfVEVWX1RPVEFMX1JFVl9GV0QCAAAABklRX05UTQQ2MDAwAwAAAAoiNS85LzIwMDgiCDUvOS8yMDA4AAAAAAQAAAAAAAAADyJOYXNkYXFHUzpJTlRDIg1OYXNkYXFHUzpJTlRDAQAAABYiSVFfVEVWX1RPVEFMX1JFVl9GV0QiFElRX1RFVl9UT1RBTF9SRVZfRldEAgAAAAZJUV9OVE0ENjAwMAMAAAAKIjUvMi8yMDA4Igg1LzIvMjAwOAAAAAAEAAAAAAAAAA8iTmFzZGFxR1M6</t>
  </si>
  <si>
    <t>SU5UQyINTmFzZGFxR1M6SU5UQwEAAAAWIklRX1RFVl9UT1RBTF9SRVZfRldEIhRJUV9URVZfVE9UQUxfUkVWX0ZXRAIAAAAGSVFfTlRNBDYwMDADAAAACyI0LzI1LzIwMDgiCTQvMjUvMjAwOAAAAAAEAAAAAAAAAA8iTmFzZGFxR1M6SU5UQyINTmFzZGFxR1M6SU5UQwEAAAAWIklRX1RFVl9UT1RBTF9SRVZfRldEIhRJUV9URVZfVE9UQUxfUkVWX0ZXRAIAAAAGSVFfTlRNBDYwMDADAAAACyI0LzE4LzIwMDgiCTQvMTgvMjAwOAAAAAAEAAAAAAAAAA8iTmFzZGFxR1M6SU5UQyINTmFzZGFxR1M6SU5UQwEAAAAWIklRX1RFVl9UT1RBTF9SRVZfRldEIhRJUV9URVZfVE9UQUxfUkVWX0ZXRAIAAAAGSVFfTlRNBDYwMDADAAAACyI0LzExLzIwMDgiCTQvMTEvMjAwOAAAAAAEAAAAAAAAAA8iTmFzZGFxR1M6SU5UQyINTmFzZGFxR1M6SU5UQwEAAAAWIklRX1RFVl9UT1RBTF9SRVZfRldEIhRJUV9URVZfVE9UQUxfUkVWX0ZXRAIAAAAGSVFfTlRNBDYwMDADAAAACiI0LzQvMjAwOCIINC80LzIwMDgAAAAABAAAAAAAAAAPIk5hc2RhcUdTOklOVEMiDU5hc2RhcUdTOklOVEMBAAAAFiJJUV9URVZfVE9UQUxfUkVWX0ZXRCIUSVFfVEVWX1RPVEFMX1JFVl9GV0QCAAAABklRX05UTQQ2MDAwAwAAAAsiMy8yOC8yMDA4IgkzLzI4LzIwMDgAAAAABAAAAAAAAAAPIk5hc2RhcUdTOklOVEMiDU5hc2RhcUdTOklOVEMBAAAA</t>
  </si>
  <si>
    <t>FiJJUV9URVZfVE9UQUxfUkVWX0ZXRCIUSVFfVEVWX1RPVEFMX1JFVl9GV0QCAAAABklRX05UTQQ2MDAwAwAAAAsiMy8yMC8yMDA4IgkzLzIwLzIwMDgAAAAABAAAAAAAAAAPIk5hc2RhcUdTOklOVEMiDU5hc2RhcUdTOklOVEMBAAAAFiJJUV9URVZfVE9UQUxfUkVWX0ZXRCIUSVFfVEVWX1RPVEFMX1JFVl9GV0QCAAAABklRX05UTQQ2MDAwAwAAAAsiMy8xNC8yMDA4IgkzLzE0LzIwMDgAAAAABAAAAAAAAAAPIk5hc2RhcUdTOklOVEMiDU5hc2RhcUdTOklOVEMBAAAAFiJJUV9URVZfVE9UQUxfUkVWX0ZXRCIUSVFfVEVWX1RPVEFMX1JFVl9GV0QCAAAABklRX05UTQQ2MDAwAwAAAAoiMy83LzIwMDgiCDMvNy8yMDA4AAAAAAQAAAAAAAAADyJOYXNkYXFHUzpJTlRDIg1OYXNkYXFHUzpJTlRDAQAAABYiSVFfVEVWX1RPVEFMX1JFVl9GV0QiFElRX1RFVl9UT1RBTF9SRVZfRldEAgAAAAZJUV9OVE0ENjAwMAMAAAALIjIvMjkvMjAwOCIJMi8yOS8yMDA4AAAAAAQAAAAAAAAADyJOYXNkYXFHUzpJTlRDIg1OYXNkYXFHUzpJTlRDAQAAABYiSVFfVEVWX1RPVEFMX1JFVl9GV0QiFElRX1RFVl9UT1RBTF9SRVZfRldEAgAAAAZJUV9OVE0ENjAwMAMAAAALIjIvMjIvMjAwOCIJMi8yMi8yMDA4AAAAAAQAAAAAAAAADyJOYXNkYXFHUzpJTlRDIg1OYXNkYXFHUzpJTlRDAQAAABYiSVFfVEVWX1RPVEFMX1JFVl9GV0Qi</t>
  </si>
  <si>
    <t>FElRX1RFVl9UT1RBTF9SRVZfRldEAgAAAAZJUV9OVE0ENjAwMAMAAAALIjIvMTUvMjAwOCIJMi8xNS8yMDA4AAAAAAQAAAAAAAAADyJOYXNkYXFHUzpJTlRDIg1OYXNkYXFHUzpJTlRDAQAAABYiSVFfVEVWX1RPVEFMX1JFVl9GV0QiFElRX1RFVl9UT1RBTF9SRVZfRldEAgAAAAZJUV9OVE0ENjAwMAMAAAAKIjIvOC8yMDA4IggyLzgvMjAwOAAAAAAEAAAAAAAAAA8iTmFzZGFxR1M6SU5UQyINTmFzZGFxR1M6SU5UQwEAAAAWIklRX1RFVl9UT1RBTF9SRVZfRldEIhRJUV9URVZfVE9UQUxfUkVWX0ZXRAIAAAAGSVFfTlRNBDYwMDADAAAACiIyLzEvMjAwOCIIMi8xLzIwMDgAAAAABAAAAAAAAAAPIk5hc2RhcUdTOklOVEMiDU5hc2RhcUdTOklOVEMBAAAAFiJJUV9URVZfVE9UQUxfUkVWX0ZXRCIUSVFfVEVWX1RPVEFMX1JFVl9GV0QCAAAABklRX05UTQQ2MDAwAwAAAAsiMS8yNS8yMDA4IgkxLzI1LzIwMDgAAAAABAAAAAAAAAAPIk5hc2RhcUdTOklOVEMiDU5hc2RhcUdTOklOVEMBAAAAFiJJUV9URVZfVE9UQUxfUkVWX0ZXRCIUSVFfVEVWX1RPVEFMX1JFVl9GV0QCAAAABklRX05UTQQ2MDAwAwAAAAsiMS8xOC8yMDA4IgkxLzE4LzIwMDgAAAAABAAAAAAAAAAPIk5hc2RhcUdTOklOVEMiDU5hc2RhcUdTOklOVEMBAAAAFiJJUV9URVZfVE9UQUxfUkVWX0ZXRCIUSVFfVEVWX1RPVEFMX1JFVl9GV0QCAAAA</t>
  </si>
  <si>
    <t>BklRX05UTQQ2MDAwAwAAAAsiMS8xMS8yMDA4IgkxLzExLzIwMDgAAAAABAAAAAAAAAAPIk5hc2RhcUdTOklOVEMiDU5hc2RhcUdTOklOVEMBAAAAFiJJUV9URVZfVE9UQUxfUkVWX0ZXRCIUSVFfVEVWX1RPVEFMX1JFVl9GV0QCAAAABklRX05UTQQ2MDAwAwAAAAoiMS80LzIwMDgiCDEvNC8yMDA4AAAAAAQAAAAAAAAADyJOYXNkYXFHUzpJTlRDIg1OYXNkYXFHUzpJTlRDAQAAABYiSVFfVEVWX1RPVEFMX1JFVl9GV0QiFElRX1RFVl9UT1RBTF9SRVZfRldEAgAAAAZJUV9OVE0ENjAwMAMAAAAMIjEyLzI4LzIwMDciCjEyLzI4LzIwMDcAAAAABAAAAAAAAAAPIk5hc2RhcUdTOklOVEMiDU5hc2RhcUdTOklOVEMBAAAAFiJJUV9URVZfVE9UQUxfUkVWX0ZXRCIUSVFfVEVWX1RPVEFMX1JFVl9GV0QCAAAABklRX05UTQQ2MDAwAwAAAAwiMTIvMjEvMjAwNyIKMTIvMjEvMjAwNwAAAAAEAAAAAAAAAA8iTmFzZGFxR1M6SU5UQyINTmFzZGFxR1M6SU5UQwEAAAAWIklRX1RFVl9UT1RBTF9SRVZfRldEIhRJUV9URVZfVE9UQUxfUkVWX0ZXRAIAAAAGSVFfTlRNBDYwMDADAAAADCIxMi8xNC8yMDA3IgoxMi8xNC8yMDA3AAAAAAQAAAAAAAAADyJOYXNkYXFHUzpJTlRDIg1OYXNkYXFHUzpJTlRDAQAAABYiSVFfVEVWX1RPVEFMX1JFVl9GV0QiFElRX1RFVl9UT1RBTF9SRVZfRldEAgAAAAZJUV9OVE0ENjAwMAMAAAAL</t>
  </si>
  <si>
    <t>IjEyLzcvMjAwNyIJMTIvNy8yMDA3AAAAAAQAAAAAAAAADyJOYXNkYXFHUzpJTlRDIg1OYXNkYXFHUzpJTlRDAQAAABYiSVFfVEVWX1RPVEFMX1JFVl9GV0QiFElRX1RFVl9UT1RBTF9SRVZfRldEAgAAAAZJUV9OVE0ENjAwMAMAAAAMIjExLzMwLzIwMDciCjExLzMwLzIwMDcAAAAABAAAAAAAAAAPIk5hc2RhcUdTOklOVEMiDU5hc2RhcUdTOklOVEMBAAAAFiJJUV9URVZfVE9UQUxfUkVWX0ZXRCIUSVFfVEVWX1RPVEFMX1JFVl9GV0QCAAAABklRX05UTQQ2MDAwAwAAAAwiMTEvMjMvMjAwNyIKMTEvMjMvMjAwNwAAAAAEAAAAAAAAAA8iTmFzZGFxR1M6SU5UQyINTmFzZGFxR1M6SU5UQwEAAAAWIklRX1RFVl9UT1RBTF9SRVZfRldEIhRJUV9URVZfVE9UQUxfUkVWX0ZXRAIAAAAGSVFfTlRNBDYwMDADAAAADCIxMS8xNi8yMDA3IgoxMS8xNi8yMDA3AAAAAAQAAAAAAAAADyJOYXNkYXFHUzpJTlRDIg1OYXNkYXFHUzpJTlRDAQAAABYiSVFfVEVWX1RPVEFMX1JFVl9GV0QiFElRX1RFVl9UT1RBTF9SRVZfRldEAgAAAAZJUV9OVE0ENjAwMAMAAAALIjExLzkvMjAwNyIJMTEvOS8yMDA3AAAAAAQAAAAAAAAADyJOYXNkYXFHUzpJTlRDIg1OYXNkYXFHUzpJTlRDAQAAABYiSVFfVEVWX1RPVEFMX1JFVl9GV0QiFElRX1RFVl9UT1RBTF9SRVZfRldEAgAAAAZJUV9OVE0ENjAwMAMAAAALIjExLzIvMjAwNyIJMTEv</t>
  </si>
  <si>
    <t>Mi8yMDA3AAAAAAQAAAAAAAAADyJOYXNkYXFHUzpJTlRDIg1OYXNkYXFHUzpJTlRDAQAAABYiSVFfVEVWX1RPVEFMX1JFVl9GV0QiFElRX1RFVl9UT1RBTF9SRVZfRldEAgAAAAZJUV9OVE0ENjAwMAMAAAAMIjEwLzI2LzIwMDciCjEwLzI2LzIwMDcAAAAABAAAAAAAAAAPIk5hc2RhcUdTOklOVEMiDU5hc2RhcUdTOklOVEMBAAAAFiJJUV9URVZfVE9UQUxfUkVWX0ZXRCIUSVFfVEVWX1RPVEFMX1JFVl9GV0QCAAAABklRX05UTQQ2MDAwAwAAAAwiMTAvMTkvMjAwNyIKMTAvMTkvMjAwNwAAAAAEAAAAAAAAAA8iTmFzZGFxR1M6SU5UQyINTmFzZGFxR1M6SU5UQwEAAAAWIklRX1RFVl9UT1RBTF9SRVZfRldEIhRJUV9URVZfVE9UQUxfUkVWX0ZXRAIAAAAGSVFfTlRNBDYwMDADAAAADCIxMC8xMi8yMDA3IgoxMC8xMi8yMDA3AAAAAAQAAAAAAAAADyJOYXNkYXFHUzpJTlRDIg1OYXNkYXFHUzpJTlRDAQAAABYiSVFfVEVWX1RPVEFMX1JFVl9GV0QiFElRX1RFVl9UT1RBTF9SRVZfRldEAgAAAAZJUV9OVE0ENjAwMAMAAAALIjEwLzUvMjAwNyIJMTAvNS8yMDA3AAAAAAQAAAAAAAAADyJOYXNkYXFHUzpJTlRDIg1OYXNkYXFHUzpJTlRDAQAAABYiSVFfVEVWX1RPVEFMX1JFVl9GV0QiFElRX1RFVl9UT1RBTF9SRVZfRldEAgAAAAZJUV9OVE0ENjAwMAMAAAALIjkvMjgvMjAwNyIJOS8yOC8yMDA3AAAAAAQAAAAA</t>
  </si>
  <si>
    <t>AAAADyJOYXNkYXFHUzpJTlRDIg1OYXNkYXFHUzpJTlRDAQAAABYiSVFfVEVWX1RPVEFMX1JFVl9GV0QiFElRX1RFVl9UT1RBTF9SRVZfRldEAgAAAAZJUV9OVE0ENjAwMAMAAAALIjkvMjEvMjAwNyIJOS8yMS8yMDA3AAAAAAQAAAAAAAAADyJOYXNkYXFHUzpJTlRDIg1OYXNkYXFHUzpJTlRDAQAAABYiSVFfVEVWX1RPVEFMX1JFVl9GV0QiFElRX1RFVl9UT1RBTF9SRVZfRldEAgAAAAZJUV9OVE0ENjAwMAMAAAALIjkvMTQvMjAwNyIJOS8xNC8yMDA3AAAAAAQAAAAAAAAADyJOYXNkYXFHUzpJTlRDIg1OYXNkYXFHUzpJTlRDAQAAABYiSVFfVEVWX1RPVEFMX1JFVl9GV0QiFElRX1RFVl9UT1RBTF9SRVZfRldEAgAAAAZJUV9OVE0ENjAwMAMAAAAKIjkvNy8yMDA3Igg5LzcvMjAwNwAAAAAEAAAAAAAAAA8iTmFzZGFxR1M6SU5UQyINTmFzZGFxR1M6SU5UQwEAAAAWIklRX1RFVl9UT1RBTF9SRVZfRldEIhRJUV9URVZfVE9UQUxfUkVWX0ZXRAIAAAAGSVFfTlRNBDYwMDADAAAACyI4LzMxLzIwMDciCTgvMzEvMjAwNwAAAAAEAAAAAAAAAA8iTmFzZGFxR1M6SU5UQyINTmFzZGFxR1M6SU5UQwEAAAAWIklRX1RFVl9UT1RBTF9SRVZfRldEIhRJUV9URVZfVE9UQUxfUkVWX0ZXRAIAAAAGSVFfTlRNBDYwMDADAAAACyI4LzI0LzIwMDciCTgvMjQvMjAwNwAAAAAEAAAAAAAAAA8iTmFzZGFxR1M6SU5UQyINTmFz</t>
  </si>
  <si>
    <t>ZGFxR1M6SU5UQwEAAAAWIklRX1RFVl9UT1RBTF9SRVZfRldEIhRJUV9URVZfVE9UQUxfUkVWX0ZXRAIAAAAGSVFfTlRNBDYwMDADAAAACyI4LzE3LzIwMDciCTgvMTcvMjAwNwAAAAAEAAAAAAAAAA8iTmFzZGFxR1M6SU5UQyINTmFzZGFxR1M6SU5UQwEAAAAWIklRX1RFVl9UT1RBTF9SRVZfRldEIhRJUV9URVZfVE9UQUxfUkVWX0ZXRAIAAAAGSVFfTlRNBDYwMDADAAAACyI4LzEwLzIwMDciCTgvMTAvMjAwNwAAAAAEAAAAAAAAAA8iTmFzZGFxR1M6SU5UQyINTmFzZGFxR1M6SU5UQwEAAAAWIklRX1RFVl9UT1RBTF9SRVZfRldEIhRJUV9URVZfVE9UQUxfUkVWX0ZXRAIAAAAGSVFfTlRNBDYwMDADAAAACiI4LzMvMjAwNyIIOC8zLzIwMDcAAAAABAAAAAAAAAAPIk5hc2RhcUdTOklOVEMiDU5hc2RhcUdTOklOVEMBAAAAFiJJUV9URVZfVE9UQUxfUkVWX0ZXRCIUSVFfVEVWX1RPVEFMX1JFVl9GV0QCAAAABklRX05UTQQ2MDAwAwAAAAsiNy8yNy8yMDA3Igk3LzI3LzIwMDcAAAAABAAAAAAAAAAPIk5hc2RhcUdTOklOVEMiDU5hc2RhcUdTOklOVEMBAAAAFiJJUV9URVZfVE9UQUxfUkVWX0ZXRCIUSVFfVEVWX1RPVEFMX1JFVl9GV0QCAAAABklRX05UTQQ2MDAwAwAAAAsiNy8yMC8yMDA3Igk3LzIwLzIwMDcAAAAABAAAAAAAAAAPIk5hc2RhcUdTOklOVEMiDU5hc2RhcUdTOklOVEMBAAAAFiJJUV9URVZf</t>
  </si>
  <si>
    <t>VE9UQUxfUkVWX0ZXRCIUSVFfVEVWX1RPVEFMX1JFVl9GV0QCAAAABklRX05UTQQ2MDAwAwAAAAsiNy8xMy8yMDA3Igk3LzEzLzIwMDcAAAAABAAAAAAAAAAPIk5hc2RhcUdTOklOVEMiDU5hc2RhcUdTOklOVEMBAAAAFiJJUV9URVZfVE9UQUxfUkVWX0ZXRCIUSVFfVEVWX1RPVEFMX1JFVl9GV0QCAAAABklRX05UTQQ2MDAwAwAAAAoiNy82LzIwMDciCDcvNi8yMDA3AAAAAAQAAAAAAAAADyJOYXNkYXFHUzpJTlRDIg1OYXNkYXFHUzpJTlRDAQAAABYiSVFfVEVWX1RPVEFMX1JFVl9GV0QiFElRX1RFVl9UT1RBTF9SRVZfRldEAgAAAAZJUV9OVE0ENjAwMAMAAAALIjYvMjkvMjAwNyIJNi8yOS8yMDA3AAAAAAQAAAAAAAAADyJOYXNkYXFHUzpJTlRDIg1OYXNkYXFHUzpJTlRDAQAAABYiSVFfVEVWX1RPVEFMX1JFVl9GV0QiFElRX1RFVl9UT1RBTF9SRVZfRldEAgAAAAZJUV9OVE0ENjAwMAMAAAALIjYvMjIvMjAwNyIJNi8yMi8yMDA3AAAAAAQAAAAAAAAADyJOYXNkYXFHUzpJTlRDIg1OYXNkYXFHUzpJTlRDAQAAABYiSVFfVEVWX1RPVEFMX1JFVl9GV0QiFElRX1RFVl9UT1RBTF9SRVZfRldEAgAAAAZJUV9OVE0ENjAwMAMAAAALIjYvMTUvMjAwNyIJNi8xNS8yMDA3AAAAAAQAAAAAAAAADyJOYXNkYXFHUzpJTlRDIg1OYXNkYXFHUzpJTlRDAQAAABYiSVFfVEVWX1RPVEFMX1JFVl9GV0QiFElRX1RFVl9U</t>
  </si>
  <si>
    <t>T1RBTF9SRVZfRldEAgAAAAZJUV9OVE0ENjAwMAMAAAAKIjYvOC8yMDA3Igg2LzgvMjAwNwAAAAAEAAAAAAAAAA8iTmFzZGFxR1M6SU5UQyINTmFzZGFxR1M6SU5UQwEAAAAWIklRX1RFVl9UT1RBTF9SRVZfRldEIhRJUV9URVZfVE9UQUxfUkVWX0ZXRAIAAAAGSVFfTlRNBDYwMDADAAAACiI2LzEvMjAwNyIINi8xLzIwMDcAAAAABAAAAAAAAAAPIk5hc2RhcUdTOklOVEMiDU5hc2RhcUdTOklOVEMBAAAAFiJJUV9URVZfVE9UQUxfUkVWX0ZXRCIUSVFfVEVWX1RPVEFMX1JFVl9GV0QCAAAABklRX05UTQQ2MDAwAwAAAAsiNS8yNS8yMDA3Igk1LzI1LzIwMDcAAAAABAAAAAAAAAAPIk5hc2RhcUdTOklOVEMiDU5hc2RhcUdTOklOVEMBAAAAFiJJUV9URVZfVE9UQUxfUkVWX0ZXRCIUSVFfVEVWX1RPVEFMX1JFVl9GV0QCAAAABklRX05UTQQ2MDAwAwAAAAsiNS8xOC8yMDA3Igk1LzE4LzIwMDcAAAAABAAAAAAAAAAPIk5hc2RhcUdTOklOVEMiDU5hc2RhcUdTOklOVEMBAAAAFiJJUV9URVZfVE9UQUxfUkVWX0ZXRCIUSVFfVEVWX1RPVEFMX1JFVl9GV0QCAAAABklRX05UTQQ2MDAwAwAAAAsiNS8xMS8yMDA3Igk1LzExLzIwMDcAAAAABAAAAAAAAAAPIk5hc2RhcUdTOklOVEMiDU5hc2RhcUdTOklOVEMBAAAAFiJJUV9URVZfVE9UQUxfUkVWX0ZXRCIUSVFfVEVWX1RPVEFMX1JFVl9GV0QCAAAABklRX05UTQQ2</t>
  </si>
  <si>
    <t>MDAwAwAAAAoiNS80LzIwMDciCDUvNC8yMDA3AAAAAAQAAAAAAAAADyJOYXNkYXFHUzpJTlRDIg1OYXNkYXFHUzpJTlRDAQAAABYiSVFfVEVWX1RPVEFMX1JFVl9GV0QiFElRX1RFVl9UT1RBTF9SRVZfRldEAgAAAAZJUV9OVE0ENjAwMAMAAAALIjQvMjcvMjAwNyIJNC8yNy8yMDA3AAAAAAQAAAAAAAAADyJOYXNkYXFHUzpJTlRDIg1OYXNkYXFHUzpJTlRDAQAAABYiSVFfVEVWX1RPVEFMX1JFVl9GV0QiFElRX1RFVl9UT1RBTF9SRVZfRldEAgAAAAZJUV9OVE0ENjAwMAMAAAALIjQvMjAvMjAwNyIJNC8yMC8yMDA3AAAAAAQAAAAAAAAADyJOYXNkYXFHUzpJTlRDIg1OYXNkYXFHUzpJTlRDAQAAABYiSVFfVEVWX1RPVEFMX1JFVl9GV0QiFElRX1RFVl9UT1RBTF9SRVZfRldEAgAAAAZJUV9OVE0ENjAwMAMAAAALIjQvMTMvMjAwNyIJNC8xMy8yMDA3AAAAAAQAAAAAAAAADyJOYXNkYXFHUzpJTlRDIg1OYXNkYXFHUzpJTlRDAQAAABYiSVFfVEVWX1RPVEFMX1JFVl9GV0QiFElRX1RFVl9UT1RBTF9SRVZfRldEAgAAAAZJUV9OVE0ENjAwMAMAAAAKIjQvNS8yMDA3Igg0LzUvMjAwNwAAAAAEAAAAAAAAAA8iTmFzZGFxR1M6SU5UQyINTmFzZGFxR1M6SU5UQwEAAAAWIklRX1RFVl9UT1RBTF9SRVZfRldEIhRJUV9URVZfVE9UQUxfUkVWX0ZXRAIAAAAGSVFfTlRNBDYwMDADAAAACyIzLzMwLzIwMDciCTMvMzAv</t>
  </si>
  <si>
    <t>MjAwNwAAAAAEAAAAAAAAAA8iTmFzZGFxR1M6SU5UQyINTmFzZGFxR1M6SU5UQwEAAAAWIklRX1RFVl9UT1RBTF9SRVZfRldEIhRJUV9URVZfVE9UQUxfUkVWX0ZXRAIAAAAGSVFfTlRNBDYwMDADAAAACyIzLzIzLzIwMDciCTMvMjMvMjAwNwAAAAAEAAAAAAAAAA8iTmFzZGFxR1M6SU5UQyINTmFzZGFxR1M6SU5UQwEAAAAWIklRX1RFVl9UT1RBTF9SRVZfRldEIhRJUV9URVZfVE9UQUxfUkVWX0ZXRAIAAAAGSVFfTlRNBDYwMDADAAAACyIzLzE2LzIwMDciCTMvMTYvMjAwNwAAAAAEAAAAAAAAAA8iTmFzZGFxR1M6SU5UQyINTmFzZGFxR1M6SU5UQwEAAAAWIklRX1RFVl9UT1RBTF9SRVZfRldEIhRJUV9URVZfVE9UQUxfUkVWX0ZXRAIAAAAGSVFfTlRNBDYwMDADAAAACiIzLzkvMjAwNyIIMy85LzIwMDcAAAAABAAAAAAAAAAPIk5hc2RhcUdTOklOVEMiDU5hc2RhcUdTOklOVEMBAAAAFiJJUV9URVZfVE9UQUxfUkVWX0ZXRCIUSVFfVEVWX1RPVEFMX1JFVl9GV0QCAAAABklRX05UTQQ2MDAwAwAAAAoiMy8yLzIwMDciCDMvMi8yMDA3AAAAAAQAAAAAAAAADyJOYXNkYXFHUzpJTlRDIg1OYXNkYXFHUzpJTlRDAQAAABYiSVFfVEVWX1RPVEFMX1JFVl9GV0QiFElRX1RFVl9UT1RBTF9SRVZfRldEAgAAAAZJUV9OVE0ENjAwMAMAAAALIjIvMjMvMjAwNyIJMi8yMy8yMDA3AAAAAAQAAAAAAAAADyJOYXNkYXFH</t>
  </si>
  <si>
    <t>UzpJTlRDIg1OYXNkYXFHUzpJTlRDAQAAABYiSVFfVEVWX1RPVEFMX1JFVl9GV0QiFElRX1RFVl9UT1RBTF9SRVZfRldEAgAAAAZJUV9OVE0ENjAwMAMAAAALIjIvMTYvMjAwNyIJMi8xNi8yMDA3AAAAAAQAAAAAAAAADyJOYXNkYXFHUzpJTlRDIg1OYXNkYXFHUzpJTlRDAQAAABYiSVFfVEVWX1RPVEFMX1JFVl9GV0QiFElRX1RFVl9UT1RBTF9SRVZfRldEAgAAAAZJUV9OVE0ENjAwMAMAAAAKIjIvOS8yMDA3IggyLzkvMjAwNwAAAAAEAAAAAAAAAA8iTmFzZGFxR1M6SU5UQyINTmFzZGFxR1M6SU5UQwEAAAAWIklRX1RFVl9UT1RBTF9SRVZfRldEIhRJUV9URVZfVE9UQUxfUkVWX0ZXRAIAAAAGSVFfTlRNBDYwMDADAAAACiIyLzIvMjAwNyIIMi8yLzIwMDcAAAAABAAAAAAAAAAPIk5hc2RhcUdTOklOVEMiDU5hc2RhcUdTOklOVEMBAAAAFiJJUV9URVZfVE9UQUxfUkVWX0ZXRCIUSVFfVEVWX1RPVEFMX1JFVl9GV0QCAAAABklRX05UTQQ2MDAwAwAAAAsiMS8yNi8yMDA3IgkxLzI2LzIwMDcAAAAABAAAAAAAAAAPIk5hc2RhcUdTOklOVEMiDU5hc2RhcUdTOklOVEMBAAAAFiJJUV9URVZfVE9UQUxfUkVWX0ZXRCIUSVFfVEVWX1RPVEFMX1JFVl9GV0QCAAAABklRX05UTQQ2MDAwAwAAAAsiMS8xOS8yMDA3IgkxLzE5LzIwMDcAAAAABAAAAAAAAAAPIk5hc2RhcUdTOklOVEMiDU5hc2RhcUdTOklOVEMBAAAA</t>
  </si>
  <si>
    <t>FiJJUV9URVZfVE9UQUxfUkVWX0ZXRCIUSVFfVEVWX1RPVEFMX1JFVl9GV0QCAAAABklRX05UTQQ2MDAwAwAAAAsiMS8xMi8yMDA3IgkxLzEyLzIwMDcAAAAABAAAAAAAAAAPIk5hc2RhcUdTOklOVEMiDU5hc2RhcUdTOklOVEMBAAAAFiJJUV9URVZfVE9UQUxfUkVWX0ZXRCIUSVFfVEVWX1RPVEFMX1JFVl9GV0QCAAAABklRX05UTQQ2MDAwAwAAAAoiMS81LzIwMDciCDEvNS8yMDA3AAAAAAQAAAAAAAAADyJOYXNkYXFHUzpJTlRDIg1OYXNkYXFHUzpJTlRDAQAAABYiSVFfVEVWX1RPVEFMX1JFVl9GV0QiFElRX1RFVl9UT1RBTF9SRVZfRldEAgAAAAZJUV9OVE0ENjAwMAMAAAAMIjEyLzI5LzIwMDYiCjEyLzI5LzIwMDYAAAAABAAAAAAAAAAPIk5hc2RhcUdTOklOVEMiDU5hc2RhcUdTOklOVEMBAAAAFiJJUV9URVZfVE9UQUxfUkVWX0ZXRCIUSVFfVEVWX1RPVEFMX1JFVl9GV0QCAAAABklRX05UTQQ2MDAwAwAAAAwiMTIvMjIvMjAwNiIKMTIvMjIvMjAwNgAAAAAEAAAAAAAAAA8iTmFzZGFxR1M6SU5UQyINTmFzZGFxR1M6SU5UQwEAAAAWIklRX1RFVl9UT1RBTF9SRVZfRldEIhRJUV9URVZfVE9UQUxfUkVWX0ZXRAIAAAAGSVFfTlRNBDYwMDADAAAADCIxMi8xNS8yMDA2IgoxMi8xNS8yMDA2AAAAAAQAAAAAAAAADyJOYXNkYXFHUzpJTlRDIg1OYXNkYXFHUzpJTlRDAQAAABYiSVFfVEVWX1RPVEFMX1JF</t>
  </si>
  <si>
    <t>Vl9GV0QiFElRX1RFVl9UT1RBTF9SRVZfRldEAgAAAAZJUV9OVE0ENjAwMAMAAAALIjEyLzgvMjAwNiIJMTIvOC8yMDA2AAAAAAQAAAAAAAAADyJOYXNkYXFHUzpJTlRDIg1OYXNkYXFHUzpJTlRDAQAAABYiSVFfVEVWX1RPVEFMX1JFVl9GV0QiFElRX1RFVl9UT1RBTF9SRVZfRldEAgAAAAZJUV9OVE0ENjAwMAMAAAALIjEyLzEvMjAwNiIJMTIvMS8yMDA2AAAAAAQAAAAAAAAADyJOYXNkYXFHUzpJTlRDIg1OYXNkYXFHUzpJTlRDAQAAABYiSVFfVEVWX1RPVEFMX1JFVl9GV0QiFElRX1RFVl9UT1RBTF9SRVZfRldEAgAAAAZJUV9OVE0ENjAwMAMAAAAMIjExLzI0LzIwMDYiCjExLzI0LzIwMDYAAAAABAAAAAAAAAAPIk5hc2RhcUdTOklOVEMiDU5hc2RhcUdTOklOVEMBAAAAFiJJUV9URVZfVE9UQUxfUkVWX0ZXRCIUSVFfVEVWX1RPVEFMX1JFVl9GV0QCAAAABklRX05UTQQ2MDAwAwAAAAwiMTEvMTcvMjAwNiIKMTEvMTcvMjAwNgAAAAAEAAAAAAAAAA8iTmFzZGFxR1M6SU5UQyINTmFzZGFxR1M6SU5UQwEAAAAWIklRX1RFVl9UT1RBTF9SRVZfRldEIhRJUV9URVZfVE9UQUxfUkVWX0ZXRAIAAAAGSVFfTlRNBDYwMDADAAAADCIxMS8xMC8yMDA2IgoxMS8xMC8yMDA2AAAAAAQAAAAAAAAADyJOYXNkYXFHUzpJTlRDIg1OYXNkYXFHUzpJTlRDAQAAABYiSVFfVEVWX1RPVEFMX1JFVl9GV0QiFElRX1RFVl9U</t>
  </si>
  <si>
    <t>T1RBTF9SRVZfRldEAgAAAAZJUV9OVE0ENjAwMAMAAAALIjExLzMvMjAwNiIJMTEvMy8yMDA2AAAAAAQAAAAAAAAADyJOYXNkYXFHUzpJTlRDIg1OYXNkYXFHUzpJTlRDAQAAABYiSVFfVEVWX1RPVEFMX1JFVl9GV0QiFElRX1RFVl9UT1RBTF9SRVZfRldEAgAAAAZJUV9OVE0ENjAwMAMAAAAMIjEwLzI3LzIwMDYiCjEwLzI3LzIwMDYAAAAABAAAAAAAAAAPIk5hc2RhcUdTOklOVEMiDU5hc2RhcUdTOklOVEMBAAAAFiJJUV9URVZfVE9UQUxfUkVWX0ZXRCIUSVFfVEVWX1RPVEFMX1JFVl9GV0QCAAAABklRX05UTQQ2MDAwAwAAAAwiMTAvMjAvMjAwNiIKMTAvMjAvMjAwNgAAAAAEAAAAAAAAAA8iTmFzZGFxR1M6SU5UQyINTmFzZGFxR1M6SU5UQwEAAAAWIklRX1RFVl9UT1RBTF9SRVZfRldEIhRJUV9URVZfVE9UQUxfUkVWX0ZXRAIAAAAGSVFfTlRNBDYwMDADAAAADCIxMC8xMy8yMDA2IgoxMC8xMy8yMDA2AAAAAAQAAAAAAAAADyJOYXNkYXFHUzpJTlRDIg1OYXNkYXFHUzpJTlRDAQAAABYiSVFfVEVWX1RPVEFMX1JFVl9GV0QiFElRX1RFVl9UT1RBTF9SRVZfRldEAgAAAAZJUV9OVE0ENjAwMAMAAAALIjEwLzYvMjAwNiIJMTAvNi8yMDA2AAAAAAQAAAAAAAAADyJOYXNkYXFHUzpJTlRDIg1OYXNkYXFHUzpJTlRDAQAAABYiSVFfVEVWX1RPVEFMX1JFVl9GV0QiFElRX1RFVl9UT1RBTF9SRVZfRldEAgAA</t>
  </si>
  <si>
    <t>AAZJUV9OVE0ENjAwMAMAAAALIjkvMjkvMjAwNiIJOS8yOS8yMDA2AAAAAAQAAAAAAAAADyJOYXNkYXFHUzpJTlRDIg1OYXNkYXFHUzpJTlRDAQAAABYiSVFfVEVWX1RPVEFMX1JFVl9GV0QiFElRX1RFVl9UT1RBTF9SRVZfRldEAgAAAAZJUV9OVE0ENjAwMAMAAAALIjkvMjIvMjAwNiIJOS8yMi8yMDA2AAAAAAQAAAAAAAAADyJOYXNkYXFHUzpJTlRDIg1OYXNkYXFHUzpJTlRDAQAAABYiSVFfVEVWX1RPVEFMX1JFVl9GV0QiFElRX1RFVl9UT1RBTF9SRVZfRldEAgAAAAZJUV9OVE0ENjAwMAMAAAALIjkvMTUvMjAwNiIJOS8xNS8yMDA2AAAAAAQAAAAAAAAADyJOYXNkYXFHUzpJTlRDIg1OYXNkYXFHUzpJTlRDAQAAABYiSVFfVEVWX1RPVEFMX1JFVl9GV0QiFElRX1RFVl9UT1RBTF9SRVZfRldEAgAAAAZJUV9OVE0ENjAwMAMAAAAKIjkvOC8yMDA2Igg5LzgvMjAwNgAAAAAEAAAAAAAAAA8iTmFzZGFxR1M6SU5UQyINTmFzZGFxR1M6SU5UQwEAAAAWIklRX1RFVl9UT1RBTF9SRVZfRldEIhRJUV9URVZfVE9UQUxfUkVWX0ZXRAIAAAAGSVFfTlRNBDYwMDADAAAACiI5LzEvMjAwNiIIOS8xLzIwMDYAAAAABAAAAAAAAAAPIk5hc2RhcUdTOklOVEMiDU5hc2RhcUdTOklOVEMBAAAAFiJJUV9URVZfVE9UQUxfUkVWX0ZXRCIUSVFfVEVWX1RPVEFMX1JFVl9GV0QCAAAABklRX05UTQQ2MDAwAwAAAAsiOC8yNS8y</t>
  </si>
  <si>
    <t>MDA2Igk4LzI1LzIwMDYAAAAABAAAAAAAAAAPIk5hc2RhcUdTOklOVEMiDU5hc2RhcUdTOklOVEMBAAAAFiJJUV9URVZfVE9UQUxfUkVWX0ZXRCIUSVFfVEVWX1RPVEFMX1JFVl9GV0QCAAAABklRX05UTQQ2MDAwAwAAAAsiOC8xOC8yMDA2Igk4LzE4LzIwMDYAAAAABAAAAAAAAAAPIk5hc2RhcUdTOklOVEMiDU5hc2RhcUdTOklOVEMBAAAAFiJJUV9URVZfVE9UQUxfUkVWX0ZXRCIUSVFfVEVWX1RPVEFMX1JFVl9GV0QCAAAABklRX05UTQQ2MDAwAwAAAAsiOC8xMS8yMDA2Igk4LzExLzIwMDYAAAAABAAAAAAAAAAPIk5hc2RhcUdTOklOVEMiDU5hc2RhcUdTOklOVEMBAAAAFiJJUV9URVZfVE9UQUxfUkVWX0ZXRCIUSVFfVEVWX1RPVEFMX1JFVl9GV0QCAAAABklRX05UTQQ2MDAwAwAAAAoiOC80LzIwMDYiCDgvNC8yMDA2AAAAAAQAAAAAAAAADyJOYXNkYXFHUzpJTlRDIg1OYXNkYXFHUzpJTlRDAQAAABYiSVFfVEVWX1RPVEFMX1JFVl9GV0QiFElRX1RFVl9UT1RBTF9SRVZfRldEAgAAAAZJUV9OVE0ENjAwMAMAAAALIjcvMjgvMjAwNiIJNy8yOC8yMDA2AAAAAAQAAAAAAAAADyJOYXNkYXFHUzpJTlRDIg1OYXNkYXFHUzpJTlRDAQAAABYiSVFfVEVWX1RPVEFMX1JFVl9GV0QiFElRX1RFVl9UT1RBTF9SRVZfRldEAgAAAAZJUV9OVE0ENjAwMAMAAAALIjcvMjEvMjAwNiIJNy8yMS8yMDA2AAAAAAQAAAAA</t>
  </si>
  <si>
    <t>AAAADyJOYXNkYXFHUzpJTlRDIg1OYXNkYXFHUzpJTlRDAQAAABYiSVFfVEVWX1RPVEFMX1JFVl9GV0QiFElRX1RFVl9UT1RBTF9SRVZfRldEAgAAAAZJUV9OVE0ENjAwMAMAAAALIjcvMTQvMjAwNiIJNy8xNC8yMDA2AAAAAAQAAAAAAAAADyJOYXNkYXFHUzpJTlRDIg1OYXNkYXFHUzpJTlRDAQAAABYiSVFfVEVWX1RPVEFMX1JFVl9GV0QiFElRX1RFVl9UT1RBTF9SRVZfRldEAgAAAAZJUV9OVE0ENjAwMAMAAAAKIjcvNy8yMDA2Igg3LzcvMjAwNgAAAAAEAAAAAAAAAA8iTmFzZGFxR1M6SU5UQyINTmFzZGFxR1M6SU5UQwEAAAAWIklRX1RFVl9UT1RBTF9SRVZfRldEIhRJUV9URVZfVE9UQUxfUkVWX0ZXRAIAAAAGSVFfTlRNBDYwMDADAAAACyI2LzMwLzIwMDYiCTYvMzAvMjAwNgAAAAAEAAAAAAAAAA8iTmFzZGFxR1M6SU5UQyINTmFzZGFxR1M6SU5UQwEAAAAWIklRX1RFVl9UT1RBTF9SRVZfRldEIhRJUV9URVZfVE9UQUxfUkVWX0ZXRAIAAAAGSVFfTlRNBDYwMDADAAAACyI2LzIzLzIwMDYiCTYvMjMvMjAwNgAAAAAEAAAAAAAAAA8iTmFzZGFxR1M6SU5UQyINTmFzZGFxR1M6SU5UQwEAAAAWIklRX1RFVl9UT1RBTF9SRVZfRldEIhRJUV9URVZfVE9UQUxfUkVWX0ZXRAIAAAAGSVFfTlRNBDYwMDADAAAACyI2LzE2LzIwMDYiCTYvMTYvMjAwNgAAAAAEAAAAAAAAAA8iTmFzZGFxR1M6SU5UQyINTmFz</t>
  </si>
  <si>
    <t>ZGFxR1M6SU5UQwEAAAAWIklRX1RFVl9UT1RBTF9SRVZfRldEIhRJUV9URVZfVE9UQUxfUkVWX0ZXRAIAAAAGSVFfTlRNBDYwMDADAAAACiI2LzkvMjAwNiIINi85LzIwMDYAAAAABAAAAAAAAAAPIk5hc2RhcUdTOklOVEMiDU5hc2RhcUdTOklOVEMBAAAAFiJJUV9URVZfVE9UQUxfUkVWX0ZXRCIUSVFfVEVWX1RPVEFMX1JFVl9GV0QCAAAABklRX05UTQQ2MDAwAwAAAAoiNi8yLzIwMDYiCDYvMi8yMDA2AAAAAAQAAAAAAAAADyJOYXNkYXFHUzpJTlRDIg1OYXNkYXFHUzpJTlRDAQAAABYiSVFfVEVWX1RPVEFMX1JFVl9GV0QiFElRX1RFVl9UT1RBTF9SRVZfRldEAgAAAAZJUV9OVE0ENjAwMAMAAAALIjUvMjYvMjAwNiIJNS8yNi8yMDA2AAAAAAQAAAAAAAAADyJOYXNkYXFHUzpJTlRDIg1OYXNkYXFHUzpJTlRDAQAAABYiSVFfVEVWX1RPVEFMX1JFVl9GV0QiFElRX1RFVl9UT1RBTF9SRVZfRldEAgAAAAZJUV9OVE0ENjAwMAMAAAALIjUvMTkvMjAwNiIJNS8xOS8yMDA2AAAAAAQAAAAAAAAADyJOYXNkYXFHUzpJTlRDIg1OYXNkYXFHUzpJTlRDAQAAABYiSVFfVEVWX1RPVEFMX1JFVl9GV0QiFElRX1RFVl9UT1RBTF9SRVZfRldEAgAAAAZJUV9OVE0ENjAwMAMAAAALIjUvMTIvMjAwNiIJNS8xMi8yMDA2AAAAAAQAAAAAAAAADyJOYXNkYXFHUzpJTlRDIg1OYXNkYXFHUzpJTlRDAQAAABYiSVFfVEVWX1RP</t>
  </si>
  <si>
    <t>VEFMX1JFVl9GV0QiFElRX1RFVl9UT1RBTF9SRVZfRldEAgAAAAZJUV9OVE0ENjAwMAMAAAAKIjUvNS8yMDA2Igg1LzUvMjAwNgAAAAAEAAAAAAAAAA8iTmFzZGFxR1M6SU5UQyINTmFzZGFxR1M6SU5UQwEAAAAWIklRX1RFVl9UT1RBTF9SRVZfRldEIhRJUV9URVZfVE9UQUxfUkVWX0ZXRAIAAAAGSVFfTlRNBDYwMDADAAAACyI0LzI4LzIwMDYiCTQvMjgvMjAwNgAAAAAEAAAAAAAAAA8iTmFzZGFxR1M6SU5UQyINTmFzZGFxR1M6SU5UQwEAAAAWIklRX1RFVl9UT1RBTF9SRVZfRldEIhRJUV9URVZfVE9UQUxfUkVWX0ZXRAIAAAAGSVFfTlRNBDYwMDADAAAACyI0LzIxLzIwMDYiCTQvMjEvMjAwNgAAAAAEAAAAAAAAAA8iTmFzZGFxR1M6SU5UQyINTmFzZGFxR1M6SU5UQwEAAAAWIklRX1RFVl9UT1RBTF9SRVZfRldEIhRJUV9URVZfVE9UQUxfUkVWX0ZXRAIAAAAGSVFfTlRNBDYwMDADAAAACyI0LzEzLzIwMDYiCTQvMTMvMjAwNgAAAAAEAAAAAAAAAA8iTmFzZGFxR1M6SU5UQyINTmFzZGFxR1M6SU5UQwEAAAAWIklRX1RFVl9UT1RBTF9SRVZfRldEIhRJUV9URVZfVE9UQUxfUkVWX0ZXRAIAAAAGSVFfTlRNBDYwMDADAAAACiI0LzcvMjAwNiIINC83LzIwMDYAAAAABAAAAAAAAAAPIk5hc2RhcUdTOklOVEMiDU5hc2RhcUdTOklOVEMBAAAAFiJJUV9URVZfVE9UQUxfUkVWX0ZXRCIUSVFfVEVWX1RPVEFM</t>
  </si>
  <si>
    <t>X1JFVl9GV0QCAAAABklRX05UTQQ2MDAwAwAAAAsiMy8zMS8yMDA2IgkzLzMxLzIwMDYAAAAABAAAAAAAAAAPIk5hc2RhcUdTOklOVEMiDU5hc2RhcUdTOklOVEMBAAAAFiJJUV9URVZfVE9UQUxfUkVWX0ZXRCIUSVFfVEVWX1RPVEFMX1JFVl9GV0QCAAAABklRX05UTQQ2MDAwAwAAAAsiMy8yNC8yMDA2IgkzLzI0LzIwMDYAAAAABAAAAAAAAAAPIk5hc2RhcUdTOklOVEMiDU5hc2RhcUdTOklOVEMBAAAAFiJJUV9URVZfVE9UQUxfUkVWX0ZXRCIUSVFfVEVWX1RPVEFMX1JFVl9GV0QCAAAABklRX05UTQQ2MDAwAwAAAAsiMy8xNy8yMDA2IgkzLzE3LzIwMDYAAAAABAAAAAAAAAAPIk5hc2RhcUdTOklOVEMiDU5hc2RhcUdTOklOVEMBAAAAFiJJUV9URVZfVE9UQUxfUkVWX0ZXRCIUSVFfVEVWX1RPVEFMX1JFVl9GV0QCAAAABklRX05UTQQ2MDAwAwAAAAsiMy8xMC8yMDA2IgkzLzEwLzIwMDYAAAAABAAAAAAAAAAPIk5hc2RhcUdTOklOVEMiDU5hc2RhcUdTOklOVEMBAAAAFiJJUV9URVZfVE9UQUxfUkVWX0ZXRCIUSVFfVEVWX1RPVEFMX1JFVl9GV0QCAAAABklRX05UTQQ2MDAwAwAAAAoiMy8zLzIwMDYiCDMvMy8yMDA2AAAAAAQAAAAAAAAADyJOYXNkYXFHUzpJTlRDIg1OYXNkYXFHUzpJTlRDAQAAABYiSVFfVEVWX1RPVEFMX1JFVl9GV0QiFElRX1RFVl9UT1RBTF9SRVZfRldEAgAAAAZJUV9OVE0ENjAw</t>
  </si>
  <si>
    <t>MAMAAAALIjIvMjQvMjAwNiIJMi8yNC8yMDA2AAAAAAQAAAAAAAAADyJOYXNkYXFHUzpJTlRDIg1OYXNkYXFHUzpJTlRDAQAAABYiSVFfVEVWX1RPVEFMX1JFVl9GV0QiFElRX1RFVl9UT1RBTF9SRVZfRldEAgAAAAZJUV9OVE0ENjAwMAMAAAALIjIvMTcvMjAwNiIJMi8xNy8yMDA2AAAAAAQAAAAAAAAADyJOYXNkYXFHUzpJTlRDIg1OYXNkYXFHUzpJTlRDAQAAABYiSVFfVEVWX1RPVEFMX1JFVl9GV0QiFElRX1RFVl9UT1RBTF9SRVZfRldEAgAAAAZJUV9OVE0ENjAwMAMAAAALIjIvMTAvMjAwNiIJMi8xMC8yMDA2AAAAAAQAAAAAAAAADyJOYXNkYXFHUzpJTlRDIg1OYXNkYXFHUzpJTlRDAQAAABYiSVFfVEVWX1RPVEFMX1JFVl9GV0QiFElRX1RFVl9UT1RBTF9SRVZfRldEAgAAAAZJUV9OVE0ENjAwMAMAAAAKIjIvMy8yMDA2IggyLzMvMjAwNgAAAAAEAAAAAAAAAA8iTmFzZGFxR1M6SU5UQyINTmFzZGFxR1M6SU5UQwEAAAAWIklRX1RFVl9UT1RBTF9SRVZfRldEIhRJUV9URVZfVE9UQUxfUkVWX0ZXRAIAAAAGSVFfTlRNBDYwMDADAAAACyIxLzI3LzIwMDYiCTEvMjcvMjAwNgAAAAAEAAAAAAAAAA8iTmFzZGFxR1M6SU5UQyINTmFzZGFxR1M6SU5UQwEAAAAWIklRX1RFVl9UT1RBTF9SRVZfRldEIhRJUV9URVZfVE9UQUxfUkVWX0ZXRAIAAAAGSVFfTlRNBDYwMDADAAAACyIxLzIwLzIwMDYiCTEvMjAv</t>
  </si>
  <si>
    <t>MjAwNgAAAAAEAAAAAAAAAA8iTmFzZGFxR1M6SU5UQyINTmFzZGFxR1M6SU5UQwEAAAAWIklRX1RFVl9UT1RBTF9SRVZfRldEIhRJUV9URVZfVE9UQUxfUkVWX0ZXRAIAAAAGSVFfTlRNBDYwMDADAAAACyIxLzEzLzIwMDYiCTEvMTMvMjAwNgAAAAAEAAAAAAAAAA8iTmFzZGFxR1M6SU5UQyINTmFzZGFxR1M6SU5UQwEAAAAWIklRX1RFVl9UT1RBTF9SRVZfRldEIhRJUV9URVZfVE9UQUxfUkVWX0ZXRAIAAAAGSVFfTlRNBDYwMDADAAAACiIxLzYvMjAwNiIIMS82LzIwMDYAAAAABAAAAAAAAAAPIk5hc2RhcUdTOklOVEMiDU5hc2RhcUdTOklOVEMBAAAAFiJJUV9URVZfVE9UQUxfUkVWX0ZXRCIUSVFfVEVWX1RPVEFMX1JFVl9GV0QCAAAABklRX05UTQQ2MDAwAwAAAAwiMTIvMzAvMjAwNSIKMTIvMzAvMjAwNQAAAAAEAAAAAAAAAA8iTmFzZGFxR1M6SU5UQyINTmFzZGFxR1M6SU5UQwEAAAAWIklRX1RFVl9UT1RBTF9SRVZfRldEIhRJUV9URVZfVE9UQUxfUkVWX0ZXRAIAAAAGSVFfTlRNBDYwMDADAAAADCIxMi8yMy8yMDA1IgoxMi8yMy8yMDA1AAAAAAQAAAAAAAAADyJOYXNkYXFHUzpJTlRDIg1OYXNkYXFHUzpJTlRDAQAAABYiSVFfVEVWX1RPVEFMX1JFVl9GV0QiFElRX1RFVl9UT1RBTF9SRVZfRldEAgAAAAZJUV9OVE0ENjAwMAMAAAAMIjEyLzE2LzIwMDUiCjEyLzE2LzIwMDUAAAAABAAAAAAAAAAP</t>
  </si>
  <si>
    <t>Ik5hc2RhcUdTOklOVEMiDU5hc2RhcUdTOklOVEMBAAAAFiJJUV9URVZfVE9UQUxfUkVWX0ZXRCIUSVFfVEVWX1RPVEFMX1JFVl9GV0QCAAAABklRX05UTQQ2MDAwAwAAAAsiMTIvOS8yMDA1IgkxMi85LzIwMDUAAAAABAAAAAAAAAAPIk5hc2RhcUdTOklOVEMiDU5hc2RhcUdTOklOVEMBAAAAFiJJUV9URVZfVE9UQUxfUkVWX0ZXRCIUSVFfVEVWX1RPVEFMX1JFVl9GV0QCAAAABklRX05UTQQ2MDAwAwAAAAsiMTIvMi8yMDA1IgkxMi8yLzIwMDUAAAAABAAAAAAAAAAPIk5hc2RhcUdTOklOVEMiDU5hc2RhcUdTOklOVEMBAAAAFiJJUV9URVZfVE9UQUxfUkVWX0ZXRCIUSVFfVEVWX1RPVEFMX1JFVl9GV0QCAAAABklRX05UTQQ2MDAwAwAAAAwiMTEvMjUvMjAwNSIKMTEvMjUvMjAwNQAAAAAEAAAAAAAAAA8iTmFzZGFxR1M6SU5UQyINTmFzZGFxR1M6SU5UQwEAAAAWIklRX1RFVl9UT1RBTF9SRVZfRldEIhRJUV9URVZfVE9UQUxfUkVWX0ZXRAIAAAAGSVFfTlRNBDYwMDADAAAADCIxMS8xOC8yMDA1IgoxMS8xOC8yMDA1AAAAAAQAAAAAAAAADyJOYXNkYXFHUzpJTlRDIg1OYXNkYXFHUzpJTlRDAQAAABYiSVFfVEVWX1RPVEFMX1JFVl9GV0QiFElRX1RFVl9UT1RBTF9SRVZfRldEAgAAAAZJUV9OVE0ENjAwMAMAAAAMIjExLzExLzIwMDUiCjExLzExLzIwMDUAAAAABAAAAAAAAAAPIk5hc2RhcUdTOklOVEMi</t>
  </si>
  <si>
    <t>DU5hc2RhcUdTOklOVEMBAAAAFiJJUV9URVZfVE9UQUxfUkVWX0ZXRCIUSVFfVEVWX1RPVEFMX1JFVl9GV0QCAAAABklRX05UTQQ2MDAwAwAAAAsiMTEvNC8yMDA1IgkxMS80LzIwMDUAAAAABAAAAAAAAAAPIk5hc2RhcUdTOklOVEMiDU5hc2RhcUdTOklOVEMBAAAAFiJJUV9URVZfVE9UQUxfUkVWX0ZXRCIUSVFfVEVWX1RPVEFMX1JFVl9GV0QCAAAABklRX05UTQQ2MDAwAwAAAAwiMTAvMjgvMjAwNSIKMTAvMjgvMjAwNQAAAAAEAAAAAAAAAA8iTmFzZGFxR1M6SU5UQyINTmFzZGFxR1M6SU5UQwEAAAAWIklRX1RFVl9UT1RBTF9SRVZfRldEIhRJUV9URVZfVE9UQUxfUkVWX0ZXRAIAAAAGSVFfTlRNBDYwMDADAAAADCIxMC8yMS8yMDA1IgoxMC8yMS8yMDA1AAAAAAQAAAAAAAAADyJOYXNkYXFHUzpJTlRDIg1OYXNkYXFHUzpJTlRDAQAAABYiSVFfVEVWX1RPVEFMX1JFVl9GV0QiFElRX1RFVl9UT1RBTF9SRVZfRldEAgAAAAZJUV9OVE0ENjAwMAMAAAAMIjEwLzE0LzIwMDUiCjEwLzE0LzIwMDUAAAAABAAAAAAAAAAPIk5hc2RhcUdTOklOVEMiDU5hc2RhcUdTOklOVEMBAAAAFiJJUV9URVZfVE9UQUxfUkVWX0ZXRCIUSVFfVEVWX1RPVEFMX1JFVl9GV0QCAAAABklRX05UTQQ2MDAwAwAAAAsiMTAvNy8yMDA1IgkxMC83LzIwMDUAAAAABAAAAAAAAAAPIk5hc2RhcUdTOklOVEMiDU5hc2RhcUdTOklOVEMB</t>
  </si>
  <si>
    <t>AAAAFiJJUV9URVZfVE9UQUxfUkVWX0ZXRCIUSVFfVEVWX1RPVEFMX1JFVl9GV0QCAAAABklRX05UTQQ2MDAwAwAAAAsiOS8zMC8yMDA1Igk5LzMwLzIwMDUAAAAABAAAAAAAAAAPIk5hc2RhcUdTOklOVEMiDU5hc2RhcUdTOklOVEMBAAAAFiJJUV9URVZfVE9UQUxfUkVWX0ZXRCIUSVFfVEVWX1RPVEFMX1JFVl9GV0QCAAAABklRX05UTQQ2MDAwAwAAAAsiOS8yMy8yMDA1Igk5LzIzLzIwMDUAAAAABAAAAAAAAAAPIk5hc2RhcUdTOklOVEMiDU5hc2RhcUdTOklOVEMBAAAAFiJJUV9URVZfVE9UQUxfUkVWX0ZXRCIUSVFfVEVWX1RPVEFMX1JFVl9GV0QCAAAABklRX05UTQQ2MDAwAwAAAAsiOS8xNi8yMDA1Igk5LzE2LzIwMDUAAAAABAAAAAAAAAAPIk5hc2RhcUdTOklOVEMiDU5hc2RhcUdTOklOVEMBAAAAFiJJUV9URVZfVE9UQUxfUkVWX0ZXRCIUSVFfVEVWX1RPVEFMX1JFVl9GV0QCAAAABklRX05UTQQ2MDAwAwAAAAoiOS85LzIwMDUiCDkvOS8yMDA1AAAAAAQAAAAAAAAADyJOYXNkYXFHUzpJTlRDIg1OYXNkYXFHUzpJTlRDAQAAABYiSVFfVEVWX1RPVEFMX1JFVl9GV0QiFElRX1RFVl9UT1RBTF9SRVZfRldEAgAAAAZJUV9OVE0ENjAwMAMAAAAKIjkvMi8yMDA1Igg5LzIvMjAwNQAAAAAEAAAAAAAAAA8iTmFzZGFxR1M6SU5UQyINTmFzZGFxR1M6SU5UQwEAAAAWIklRX1RFVl9UT1RBTF9SRVZfRldE</t>
  </si>
  <si>
    <t>IhRJUV9URVZfVE9UQUxfUkVWX0ZXRAIAAAAGSVFfTlRNBDYwMDADAAAACyI4LzI2LzIwMDUiCTgvMjYvMjAwNQAAAAAEAAAAAAAAAA8iTmFzZGFxR1M6SU5UQyINTmFzZGFxR1M6SU5UQwEAAAAWIklRX1RFVl9UT1RBTF9SRVZfRldEIhRJUV9URVZfVE9UQUxfUkVWX0ZXRAIAAAAGSVFfTlRNBDYwMDADAAAACyI4LzE5LzIwMDUiCTgvMTkvMjAwNQAAAAAEAAAAAAAAAA8iTmFzZGFxR1M6SU5UQyINTmFzZGFxR1M6SU5UQwEAAAAWIklRX1RFVl9UT1RBTF9SRVZfRldEIhRJUV9URVZfVE9UQUxfUkVWX0ZXRAIAAAAGSVFfTlRNBDYwMDADAAAACyI4LzEyLzIwMDUiCTgvMTIvMjAwNQAAAAAEAAAAAAAAAA8iTmFzZGFxR1M6SU5UQyINTmFzZGFxR1M6SU5UQwEAAAAWIklRX1RFVl9UT1RBTF9SRVZfRldEIhRJUV9URVZfVE9UQUxfUkVWX0ZXRAIAAAAGSVFfTlRNBDYwMDADAAAACiI4LzUvMjAwNSIIOC81LzIwMDUAAAAABAAAAAAAAAAPIk5hc2RhcUdTOklOVEMiDU5hc2RhcUdTOklOVEMBAAAAFiJJUV9URVZfVE9UQUxfUkVWX0ZXRCIUSVFfVEVWX1RPVEFMX1JFVl9GV0QCAAAABklRX05UTQQ2MDAwAwAAAAsiNy8yOS8yMDA1Igk3LzI5LzIwMDUAAAAABAAAAAAAAAAPIk5hc2RhcUdTOklOVEMiDU5hc2RhcUdTOklOVEMBAAAAFiJJUV9URVZfVE9UQUxfUkVWX0ZXRCIUSVFfVEVWX1RPVEFMX1JFVl9GV0QC</t>
  </si>
  <si>
    <t>AAAABklRX05UTQQ2MDAwAwAAAAsiNy8yMi8yMDA1Igk3LzIyLzIwMDUAAAAABAAAAAAAAAAPIk5hc2RhcUdTOklOVEMiDU5hc2RhcUdTOklOVEMBAAAAFiJJUV9URVZfVE9UQUxfUkVWX0ZXRCIUSVFfVEVWX1RPVEFMX1JFVl9GV0QCAAAABklRX05UTQQ2MDAwAwAAAAsiNy8xNS8yMDA1Igk3LzE1LzIwMDUAAAAABAAAAAAAAAAPIk5hc2RhcUdTOklOVEMiDU5hc2RhcUdTOklOVEMBAAAAFiJJUV9URVZfVE9UQUxfUkVWX0ZXRCIUSVFfVEVWX1RPVEFMX1JFVl9GV0QCAAAABklRX05UTQQ2MDAwAwAAAAoiNy84LzIwMDUiCDcvOC8yMDA1AAAAAAQAAAAAAAAADyJOYXNkYXFHUzpJTlRDIg1OYXNkYXFHUzpJTlRDAQAAABYiSVFfVEVWX1RPVEFMX1JFVl9GV0QiFElRX1RFVl9UT1RBTF9SRVZfRldEAgAAAAZJUV9OVE0ENjAwMAMAAAAKIjcvMS8yMDA1Igg3LzEvMjAwNQAAAAAEAAAAAAAAAA8iTmFzZGFxR1M6SU5UQyINTmFzZGFxR1M6SU5UQwEAAAAWIklRX1RFVl9UT1RBTF9SRVZfRldEIhRJUV9URVZfVE9UQUxfUkVWX0ZXRAIAAAAGSVFfTlRNBDYwMDADAAAACyI2LzI0LzIwMDUiCTYvMjQvMjAwNQAAAAAEAAAAAAAAAA8iTmFzZGFxR1M6SU5UQyINTmFzZGFxR1M6SU5UQwEAAAAWIklRX1RFVl9UT1RBTF9SRVZfRldEIhRJUV9URVZfVE9UQUxfUkVWX0ZXRAIAAAAGSVFfTlRNBDYwMDADAAAACyI2LzE3</t>
  </si>
  <si>
    <t>LzIwMDUiCTYvMTcvMjAwNQAAAAAEAAAAAAAAAA8iTmFzZGFxR1M6SU5UQyINTmFzZGFxR1M6SU5UQwEAAAAWIklRX1RFVl9UT1RBTF9SRVZfRldEIhRJUV9URVZfVE9UQUxfUkVWX0ZXRAIAAAAGSVFfTlRNBDYwMDADAAAACyI2LzEwLzIwMDUiCTYvMTAvMjAwNQAAAAAEAAAAAAAAAA8iTmFzZGFxR1M6SU5UQyINTmFzZGFxR1M6SU5UQwEAAAAWIklRX1RFVl9UT1RBTF9SRVZfRldEIhRJUV9URVZfVE9UQUxfUkVWX0ZXRAIAAAAGSVFfTlRNBDYwMDADAAAACiI2LzMvMjAwNSIINi8zLzIwMDUAAAAABAAAAAAAAAAPIk5hc2RhcUdTOklOVEMiDU5hc2RhcUdTOklOVEMBAAAAFiJJUV9URVZfVE9UQUxfUkVWX0ZXRCIUSVFfVEVWX1RPVEFMX1JFVl9GV0QCAAAABklRX05UTQQ2MDAwAwAAAAsiNS8yNy8yMDA1Igk1LzI3LzIwMDUAAAAABAAAAAAAAAAPIk5hc2RhcUdTOklOVEMiDU5hc2RhcUdTOklOVEMBAAAAFiJJUV9URVZfVE9UQUxfUkVWX0ZXRCIUSVFfVEVWX1RPVEFMX1JFVl9GV0QCAAAABklRX05UTQQ2MDAwAwAAAAsiNS8yMC8yMDA1Igk1LzIwLzIwMDUAAAAABAAAAAAAAAAPIk5hc2RhcUdTOklOVEMiDU5hc2RhcUdTOklOVEMBAAAAFiJJUV9URVZfVE9UQUxfUkVWX0ZXRCIUSVFfVEVWX1RPVEFMX1JFVl9GV0QCAAAABklRX05UTQQ2MDAwAwAAAAsiNS8xMy8yMDA1Igk1LzEzLzIwMDUAAAAABAAA</t>
  </si>
  <si>
    <t>AAAAAAAPIk5hc2RhcUdTOklOVEMiDU5hc2RhcUdTOklOVEMBAAAAFiJJUV9URVZfVE9UQUxfUkVWX0ZXRCIUSVFfVEVWX1RPVEFMX1JFVl9GV0QCAAAABklRX05UTQQ2MDAwAwAAAAoiNS82LzIwMDUiCDUvNi8yMDA1AAAAAAQAAAAAAAAADyJOYXNkYXFHUzpJTlRDIg1OYXNkYXFHUzpJTlRDAQAAABYiSVFfVEVWX1RPVEFMX1JFVl9GV0QiFElRX1RFVl9UT1RBTF9SRVZfRldEAgAAAAZJUV9OVE0ENjAwMAMAAAALIjQvMjkvMjAwNSIJNC8yOS8yMDA1AAAAAAQAAAAAAAAADyJOYXNkYXFHUzpJTlRDIg1OYXNkYXFHUzpJTlRDAQAAABYiSVFfVEVWX1RPVEFMX1JFVl9GV0QiFElRX1RFVl9UT1RBTF9SRVZfRldEAgAAAAZJUV9OVE0ENjAwMAMAAAALIjQvMjIvMjAwNSIJNC8yMi8yMDA1AAAAAAQAAAAAAAAADyJOYXNkYXFHUzpJTlRDIg1OYXNkYXFHUzpJTlRDAQAAABYiSVFfVEVWX1RPVEFMX1JFVl9GV0QiFElRX1RFVl9UT1RBTF9SRVZfRldEAgAAAAZJUV9OVE0ENjAwMAMAAAALIjQvMTUvMjAwNSIJNC8xNS8yMDA1AAAAAAQAAAAAAAAADyJOYXNkYXFHUzpJTlRDIg1OYXNkYXFHUzpJTlRDAQAAABYiSVFfVEVWX1RPVEFMX1JFVl9GV0QiFElRX1RFVl9UT1RBTF9SRVZfRldEAgAAAAZJUV9OVE0ENjAwMAMAAAAKIjQvOC8yMDA1Igg0LzgvMjAwNQAAAAAEAAAAAAAAAA8iTmFzZGFxR1M6SU5UQyINTmFz</t>
  </si>
  <si>
    <t>ZGFxR1M6SU5UQwEAAAAWIklRX1RFVl9UT1RBTF9SRVZfRldEIhRJUV9URVZfVE9UQUxfUkVWX0ZXRAIAAAAGSVFfTlRNBDYwMDADAAAACiI0LzEvMjAwNSIINC8xLzIwMDUAAAAABAAAAAAAAAAPIk5hc2RhcUdTOklOVEMiDU5hc2RhcUdTOklOVEMBAAAAFiJJUV9URVZfVE9UQUxfUkVWX0ZXRCIUSVFfVEVWX1RPVEFMX1JFVl9GV0QCAAAABklRX05UTQQ2MDAwAwAAAAsiMy8yNC8yMDA1IgkzLzI0LzIwMDUAAAAABAAAAAAAAAAPIk5hc2RhcUdTOklOVEMiDU5hc2RhcUdTOklOVEMBAAAAFiJJUV9URVZfVE9UQUxfUkVWX0ZXRCIUSVFfVEVWX1RPVEFMX1JFVl9GV0QCAAAABklRX05UTQQ2MDAwAwAAAAsiMy8xOC8yMDA1IgkzLzE4LzIwMDUAAAAABAAAAAAAAAAPIk5hc2RhcUdTOklOVEMiDU5hc2RhcUdTOklOVEMBAAAAFiJJUV9URVZfVE9UQUxfUkVWX0ZXRCIUSVFfVEVWX1RPVEFMX1JFVl9GV0QCAAAABklRX05UTQQ2MDAwAwAAAAsiMy8xMS8yMDA1IgkzLzExLzIwMDUAAAAABAAAAAAAAAAPIk5hc2RhcUdTOklOVEMiDU5hc2RhcUdTOklOVEMBAAAAFiJJUV9URVZfVE9UQUxfUkVWX0ZXRCIUSVFfVEVWX1RPVEFMX1JFVl9GV0QCAAAABklRX05UTQQ2MDAwAwAAAAoiMy80LzIwMDUiCDMvNC8yMDA1AAAAAAQAAAAAAAAADyJOYXNkYXFHUzpJTlRDIg1OYXNkYXFHUzpJTlRDAQAAABYiSVFfVEVWX1RP</t>
  </si>
  <si>
    <t>VEFMX1JFVl9GV0QiFElRX1RFVl9UT1RBTF9SRVZfRldEAgAAAAZJUV9OVE0ENjAwMAMAAAALIjIvMjUvMjAwNSIJMi8yNS8yMDA1AAAAAAQAAAAAAAAADyJOYXNkYXFHUzpJTlRDIg1OYXNkYXFHUzpJTlRDAQAAABYiSVFfVEVWX1RPVEFMX1JFVl9GV0QiFElRX1RFVl9UT1RBTF9SRVZfRldEAgAAAAZJUV9OVE0ENjAwMAMAAAALIjIvMTgvMjAwNSIJMi8xOC8yMDA1AAAAAAQAAAAAAAAADyJOYXNkYXFHUzpJTlRDIg1OYXNkYXFHUzpJTlRDAQAAABYiSVFfVEVWX1RPVEFMX1JFVl9GV0QiFElRX1RFVl9UT1RBTF9SRVZfRldEAgAAAAZJUV9OVE0ENjAwMAMAAAALIjIvMTEvMjAwNSIJMi8xMS8yMDA1AAAAAAQAAAAAAAAADyJOYXNkYXFHUzpJTlRDIg1OYXNkYXFHUzpJTlRDAQAAABYiSVFfVEVWX1RPVEFMX1JFVl9GV0QiFElRX1RFVl9UT1RBTF9SRVZfRldEAgAAAAZJUV9OVE0ENjAwMAMAAAAKIjIvNC8yMDA1IggyLzQvMjAwNQAAAAAEAAAAAAAAAA8iTmFzZGFxR1M6SU5UQyINTmFzZGFxR1M6SU5UQwEAAAAWIklRX1RFVl9UT1RBTF9SRVZfRldEIhRJUV9URVZfVE9UQUxfUkVWX0ZXRAIAAAAGSVFfTlRNBDYwMDADAAAACyIxLzI4LzIwMDUiCTEvMjgvMjAwNQAAAAAEAAAAAAAAAA8iTmFzZGFxR1M6SU5UQyINTmFzZGFxR1M6SU5UQwEAAAAWIklRX1RFVl9UT1RBTF9SRVZfRldEIhRJUV9URVZfVE9U</t>
  </si>
  <si>
    <t>QUxfUkVWX0ZXRAIAAAAGSVFfTlRNBDYwMDADAAAACyIxLzIxLzIwMDUiCTEvMjEvMjAwNQAAAAAEAAAAAAAAAA8iTmFzZGFxR1M6SU5UQyINTmFzZGFxR1M6SU5UQwEAAAAWIklRX1RFVl9UT1RBTF9SRVZfRldEIhRJUV9URVZfVE9UQUxfUkVWX0ZXRAIAAAAGSVFfTlRNBDYwMDADAAAACyIxLzE0LzIwMDUiCTEvMTQvMjAwNQAAAAAEAAAAAAAAAA8iTmFzZGFxR1M6SU5UQyINTmFzZGFxR1M6SU5UQwEAAAAWIklRX1RFVl9UT1RBTF9SRVZfRldEIhRJUV9URVZfVE9UQUxfUkVWX0ZXRAIAAAAGSVFfTlRNBDYwMDADAAAACiIxLzcvMjAwNSIIMS83LzIwMDUAAAAABAAAAAAAAAAPIk5hc2RhcUdTOklOVEMiDU5hc2RhcUdTOklOVEMBAAAAFiJJUV9URVZfVE9UQUxfUkVWX0ZXRCIUSVFfVEVWX1RPVEFMX1JFVl9GV0QCAAAABklRX05UTQQ2MDAwAwAAAAwiMTIvMzEvMjAwNCIKMTIvMzEvMjAwNAAAAAAEAAAAAAAAAA8iTmFzZGFxR1M6SU5UQyINTmFzZGFxR1M6SU5UQwEAAAAWIklRX1RFVl9UT1RBTF9SRVZfRldEIhRJUV9URVZfVE9UQUxfUkVWX0ZXRAIAAAAGSVFfTlRNBDYwMDADAAAADCIxMi8yMy8yMDA0IgoxMi8yMy8yMDA0AAAAAAQAAAAAAAAADyJOYXNkYXFHUzpJTlRDIg1OYXNkYXFHUzpJTlRDAQAAABYiSVFfVEVWX1RPVEFMX1JFVl9GV0QiFElRX1RFVl9UT1RBTF9SRVZfRldEAgAAAAZJUV9O</t>
  </si>
  <si>
    <t>VE0ENjAwMAMAAAAMIjEyLzE3LzIwMDQiCjEyLzE3LzIwMDQAAAAABAAAAAAAAAAPIk5hc2RhcUdTOklOVEMiDU5hc2RhcUdTOklOVEMBAAAAFiJJUV9URVZfVE9UQUxfUkVWX0ZXRCIUSVFfVEVWX1RPVEFMX1JFVl9GV0QCAAAABklRX05UTQQ2MDAwAwAAAAwiMTIvMTAvMjAwNCIKMTIvMTAvMjAwNAAAAAAEAAAAAAAAAA8iTmFzZGFxR1M6SU5UQyINTmFzZGFxR1M6SU5UQwEAAAAWIklRX1RFVl9UT1RBTF9SRVZfRldEIhRJUV9URVZfVE9UQUxfUkVWX0ZXRAIAAAAGSVFfTlRNBDYwMDADAAAACyIxMi8zLzIwMDQiCTEyLzMvMjAwNAAAAAAEAAAAAAAAAA8iTmFzZGFxR1M6SU5UQyINTmFzZGFxR1M6SU5UQwEAAAAWIklRX1RFVl9UT1RBTF9SRVZfRldEIhRJUV9URVZfVE9UQUxfUkVWX0ZXRAIAAAAGSVFfTlRNBDYwMDADAAAADCIxMS8yNi8yMDA0IgoxMS8yNi8yMDA0AAAAAAQAAAAAAAAADyJOYXNkYXFHUzpJTlRDIg1OYXNkYXFHUzpJTlRDAQAAABYiSVFfVEVWX1RPVEFMX1JFVl9GV0QiFElRX1RFVl9UT1RBTF9SRVZfRldEAgAAAAZJUV9OVE0ENjAwMAMAAAAMIjExLzE5LzIwMDQiCjExLzE5LzIwMDQAAAAABAAAAAAAAAAPIk5hc2RhcUdTOklOVEMiDU5hc2RhcUdTOklOVEMBAAAAFiJJUV9URVZfVE9UQUxfUkVWX0ZXRCIUSVFfVEVWX1RPVEFMX1JFVl9GV0QCAAAABklRX05UTQQ2MDAwAwAAAAwi</t>
  </si>
  <si>
    <t>MTEvMTIvMjAwNCIKMTEvMTIvMjAwNAAAAAAEAAAAAAAAAA8iTmFzZGFxR1M6SU5UQyINTmFzZGFxR1M6SU5UQwEAAAAWIklRX1RFVl9UT1RBTF9SRVZfRldEIhRJUV9URVZfVE9UQUxfUkVWX0ZXRAIAAAAGSVFfTlRNBDYwMDADAAAACyIxMS81LzIwMDQiCTExLzUvMjAwNAAAAAAEAAAAAAAAAA8iTmFzZGFxR1M6SU5UQyINTmFzZGFxR1M6SU5UQwEAAAAWIklRX1RFVl9UT1RBTF9SRVZfRldEIhRJUV9URVZfVE9UQUxfUkVWX0ZXRAIAAAAGSVFfTlRNBDYwMDADAAAADCIxMC8yOS8yMDA0IgoxMC8yOS8yMDA0AAAAAAQAAAAAAAAADyJOYXNkYXFHUzpJTlRDIg1OYXNkYXFHUzpJTlRDAQAAABYiSVFfVEVWX1RPVEFMX1JFVl9GV0QiFElRX1RFVl9UT1RBTF9SRVZfRldEAgAAAAZJUV9OVE0ENjAwMAMAAAAMIjEwLzIyLzIwMDQiCjEwLzIyLzIwMDQAAAAABAAAAAAAAAAPIk5hc2RhcUdTOklOVEMiDU5hc2RhcUdTOklOVEMBAAAAFiJJUV9URVZfVE9UQUxfUkVWX0ZXRCIUSVFfVEVWX1RPVEFMX1JFVl9GV0QCAAAABklRX05UTQQ2MDAwAwAAAAwiMTAvMTUvMjAwNCIKMTAvMTUvMjAwNAAAAAAEAAAAAAAAAA8iTmFzZGFxR1M6SU5UQyINTmFzZGFxR1M6SU5UQwEAAAAWIklRX1RFVl9UT1RBTF9SRVZfRldEIhRJUV9URVZfVE9UQUxfUkVWX0ZXRAIAAAAGSVFfTlRNBDYwMDADAAAACyIxMC84LzIwMDQiCTEw</t>
  </si>
  <si>
    <t>LzgvMjAwNAAAAAAEAAAAAAAAAA8iTmFzZGFxR1M6SU5UQyINTmFzZGFxR1M6SU5UQwEAAAAWIklRX1RFVl9UT1RBTF9SRVZfRldEIhRJUV9URVZfVE9UQUxfUkVWX0ZXRAIAAAAGSVFfTlRNBDYwMDADAAAACyIxMC8xLzIwMDQiCTEwLzEvMjAwNAAAAAAEAAAAAAAAAA8iTmFzZGFxR1M6SU5UQyINTmFzZGFxR1M6SU5UQwEAAAAWIklRX1RFVl9UT1RBTF9SRVZfRldEIhRJUV9URVZfVE9UQUxfUkVWX0ZXRAIAAAAGSVFfTlRNBDYwMDADAAAACyI5LzI0LzIwMDQiCTkvMjQvMjAwNAAAAAAEAAAAAAAAAA8iTmFzZGFxR1M6SU5UQyINTmFzZGFxR1M6SU5UQwEAAAAWIklRX1RFVl9UT1RBTF9SRVZfRldEIhRJUV9URVZfVE9UQUxfUkVWX0ZXRAIAAAAGSVFfTlRNBDYwMDADAAAACyI5LzE3LzIwMDQiCTkvMTcvMjAwNAAAAAAEAAAAAAAAAA8iTmFzZGFxR1M6SU5UQyINTmFzZGFxR1M6SU5UQwEAAAAWIklRX1RFVl9UT1RBTF9SRVZfRldEIhRJUV9URVZfVE9UQUxfUkVWX0ZXRAIAAAAGSVFfTlRNBDYwMDADAAAACyI5LzEwLzIwMDQiCTkvMTAvMjAwNAAAAAAEAAAAAAAAAA8iTmFzZGFxR1M6SU5UQyINTmFzZGFxR1M6SU5UQwEAAAAWIklRX1RFVl9UT1RBTF9SRVZfRldEIhRJUV9URVZfVE9UQUxfUkVWX0ZXRAIAAAAGSVFfTlRNBDYwMDADAAAACiI5LzMvMjAwNCIIOS8zLzIwMDQAAAAABAAAAAAAAAAPIk5h</t>
  </si>
  <si>
    <t>c2RhcUdTOklOVEMiDU5hc2RhcUdTOklOVEMBAAAAFiJJUV9URVZfVE9UQUxfUkVWX0ZXRCIUSVFfVEVWX1RPVEFMX1JFVl9GV0QCAAAABklRX05UTQQ2MDAwAwAAAAsiOC8yNy8yMDA0Igk4LzI3LzIwMDQAAAAABAAAAAAAAAAPIk5hc2RhcUdTOklOVEMiDU5hc2RhcUdTOklOVEMBAAAAFiJJUV9URVZfVE9UQUxfUkVWX0ZXRCIUSVFfVEVWX1RPVEFMX1JFVl9GV0QCAAAABklRX05UTQQ2MDAwAwAAAAsiOC8yMC8yMDA0Igk4LzIwLzIwMDQAAAAABAAAAAAAAAAPIk5hc2RhcUdTOklOVEMiDU5hc2RhcUdTOklOVEMBAAAAFiJJUV9URVZfVE9UQUxfUkVWX0ZXRCIUSVFfVEVWX1RPVEFMX1JFVl9GV0QCAAAABklRX05UTQQ2MDAwAwAAAAsiOC8xMy8yMDA0Igk4LzEzLzIwMDQAAAAABAAAAAAAAAAPIk5hc2RhcUdTOklOVEMiDU5hc2RhcUdTOklOVEMBAAAAFiJJUV9URVZfVE9UQUxfUkVWX0ZXRCIUSVFfVEVWX1RPVEFMX1JFVl9GV0QCAAAABklRX05UTQQ2MDAwAwAAAAoiOC82LzIwMDQiCDgvNi8yMDA0AAAAAAQAAAAAAAAADyJOYXNkYXFHUzpJTlRDIg1OYXNkYXFHUzpJTlRDAQAAABYiSVFfVEVWX1RPVEFMX1JFVl9GV0QiFElRX1RFVl9UT1RBTF9SRVZfRldEAgAAAAZJUV9OVE0ENjAwMAMAAAALIjcvMzAvMjAwNCIJNy8zMC8yMDA0AAAAAAQAAAAAAAAADyJOYXNkYXFHUzpJTlRDIg1OYXNkYXFHUzpJ</t>
  </si>
  <si>
    <t>TlRDAQAAABYiSVFfVEVWX1RPVEFMX1JFVl9GV0QiFElRX1RFVl9UT1RBTF9SRVZfRldEAgAAAAZJUV9OVE0ENjAwMAMAAAALIjcvMjMvMjAwNCIJNy8yMy8yMDA0AAAAAAQAAAAAAAAADyJOYXNkYXFHUzpJTlRDIg1OYXNkYXFHUzpJTlRDAQAAABYiSVFfVEVWX1RPVEFMX1JFVl9GV0QiFElRX1RFVl9UT1RBTF9SRVZfRldEAgAAAAZJUV9OVE0ENjAwMAMAAAALIjcvMTYvMjAwNCIJNy8xNi8yMDA0AAAAAAQAAAAAAAAADyJOYXNkYXFHUzpJTlRDIg1OYXNkYXFHUzpJTlRDAQAAABYiSVFfVEVWX1RPVEFMX1JFVl9GV0QiFElRX1RFVl9UT1RBTF9SRVZfRldEAgAAAAZJUV9OVE0ENjAwMAMAAAAKIjcvOS8yMDA0Igg3LzkvMjAwNAAAAAAEAAAAAAAAAA8iTmFzZGFxR1M6SU5UQyINTmFzZGFxR1M6SU5UQwEAAAAWIklRX1RFVl9UT1RBTF9SRVZfRldEIhRJUV9URVZfVE9UQUxfUkVWX0ZXRAIAAAAGSVFfTlRNBDYwMDADAAAACiI3LzIvMjAwNCIINy8yLzIwMDQAAAAABAAAAAAAAAAPIk5hc2RhcUdTOklOVEMiDU5hc2RhcUdTOklOVEMBAAAAFiJJUV9URVZfVE9UQUxfUkVWX0ZXRCIUSVFfVEVWX1RPVEFMX1JFVl9GV0QCAAAABklRX05UTQQ2MDAwAwAAAAsiNi8yNS8yMDA0Igk2LzI1LzIwMDQAAAAABAAAAAAAAAAPIk5hc2RhcUdTOklOVEMiDU5hc2RhcUdTOklOVEMBAAAAFiJJUV9URVZfVE9UQUxfUkVW</t>
  </si>
  <si>
    <t>X0ZXRCIUSVFfVEVWX1RPVEFMX1JFVl9GV0QCAAAABklRX05UTQQ2MDAwAwAAAAsiNi8xOC8yMDA0Igk2LzE4LzIwMDQAAAAABAAAAAAAAAAPIk5hc2RhcUdTOklOVEMiDU5hc2RhcUdTOklOVEMBAAAAFiJJUV9URVZfVE9UQUxfUkVWX0ZXRCIUSVFfVEVWX1RPVEFMX1JFVl9GV0QCAAAABklRX05UTQQ2MDAwAwAAAAsiNi8xMC8yMDA0Igk2LzEwLzIwMDQAAAAABAAAAAAAAAAPIk5hc2RhcUdTOklOVEMiDU5hc2RhcUdTOklOVEMBAAAAFiJJUV9URVZfVE9UQUxfUkVWX0ZXRCIUSVFfVEVWX1RPVEFMX1JFVl9GV0QCAAAABklRX05UTQQ2MDAwAwAAAAoiNi80LzIwMDQiCDYvNC8yMDA0AAAAAAQAAAAAAAAADyJOYXNkYXFHUzpJTlRDIg1OYXNkYXFHUzpJTlRDAQAAABYiSVFfVEVWX1RPVEFMX1JFVl9GV0QiFElRX1RFVl9UT1RBTF9SRVZfRldEAgAAAAZJUV9OVE0ENjAwMAMAAAALIjUvMjgvMjAwNCIJNS8yOC8yMDA0AAAAAAQAAAAAAAAADyJOYXNkYXFHUzpJTlRDIg1OYXNkYXFHUzpJTlRDAQAAABYiSVFfVEVWX1RPVEFMX1JFVl9GV0QiFElRX1RFVl9UT1RBTF9SRVZfRldEAgAAAAZJUV9OVE0ENjAwMAMAAAALIjUvMjEvMjAwNCIJNS8yMS8yMDA0AAAAAAQAAAAAAAAADyJOYXNkYXFHUzpJTlRDIg1OYXNkYXFHUzpJTlRDAQAAABYiSVFfVEVWX1RPVEFMX1JFVl9GV0QiFElRX1RFVl9UT1RBTF9SRVZf</t>
  </si>
  <si>
    <t>RldEAgAAAAZJUV9OVE0ENjAwMAMAAAALIjUvMTQvMjAwNCIJNS8xNC8yMDA0AAAAAAQAAAAAAAAADyJOYXNkYXFHUzpJTlRDIg1OYXNkYXFHUzpJTlRDAQAAABYiSVFfVEVWX1RPVEFMX1JFVl9GV0QiFElRX1RFVl9UT1RBTF9SRVZfRldEAgAAAAZJUV9OVE0ENjAwMAMAAAAKIjUvNy8yMDA0Igg1LzcvMjAwNAAAAAAEAAAAAAAAAA8iTmFzZGFxR1M6SU5UQyINTmFzZGFxR1M6SU5UQwEAAAAWIklRX1RFVl9UT1RBTF9SRVZfRldEIhRJUV9URVZfVE9UQUxfUkVWX0ZXRAIAAAAGSVFfTlRNBDYwMDADAAAACyI0LzMwLzIwMDQiCTQvMzAvMjAwNAAAAAAEAAAAAAAAAA8iTmFzZGFxR1M6SU5UQyINTmFzZGFxR1M6SU5UQwEAAAAWIklRX1RFVl9UT1RBTF9SRVZfRldEIhRJUV9URVZfVE9UQUxfUkVWX0ZXRAIAAAAGSVFfTlRNBDYwMDADAAAACyI0LzIzLzIwMDQiCTQvMjMvMjAwNAAAAAAEAAAAAAAAAA8iTmFzZGFxR1M6SU5UQyINTmFzZGFxR1M6SU5UQwEAAAAWIklRX1RFVl9UT1RBTF9SRVZfRldEIhRJUV9URVZfVE9UQUxfUkVWX0ZXRAIAAAAGSVFfTlRNBDYwMDADAAAACyI0LzE2LzIwMDQiCTQvMTYvMjAwNAAAAAAEAAAAAAAAAA8iTmFzZGFxR1M6SU5UQyINTmFzZGFxR1M6SU5UQwEAAAAWIklRX1RFVl9UT1RBTF9SRVZfRldEIhRJUV9URVZfVE9UQUxfUkVWX0ZXRAIAAAAGSVFfTlRNBDYwMDADAAAA</t>
  </si>
  <si>
    <t>CiI0LzgvMjAwNCIINC84LzIwMDQAAAAABAAAAAAAAAAPIk5hc2RhcUdTOklOVEMiDU5hc2RhcUdTOklOVEMBAAAAFiJJUV9URVZfVE9UQUxfUkVWX0ZXRCIUSVFfVEVWX1RPVEFMX1JFVl9GV0QCAAAABklRX05UTQQ2MDAwAwAAAAoiNC8yLzIwMDQiCDQvMi8yMDA0AAAAAAQAAAAAAAAADyJOYXNkYXFHUzpJTlRDIg1OYXNkYXFHUzpJTlRDAQAAABYiSVFfVEVWX1RPVEFMX1JFVl9GV0QiFElRX1RFVl9UT1RBTF9SRVZfRldEAgAAAAZJUV9OVE0ENjAwMAMAAAALIjMvMjYvMjAwNCIJMy8yNi8yMDA0AAAAAAQAAAAAAAAADyJOYXNkYXFHUzpJTlRDIg1OYXNkYXFHUzpJTlRDAQAAABYiSVFfVEVWX1RPVEFMX1JFVl9GV0QiFElRX1RFVl9UT1RBTF9SRVZfRldEAgAAAAZJUV9OVE0ENjAwMAMAAAALIjMvMTkvMjAwNCIJMy8xOS8yMDA0AAAAAAQAAAAAAAAADyJOYXNkYXFHUzpJTlRDIg1OYXNkYXFHUzpJTlRDAQAAABYiSVFfVEVWX1RPVEFMX1JFVl9GV0QiFElRX1RFVl9UT1RBTF9SRVZfRldEAgAAAAZJUV9OVE0ENjAwMAMAAAALIjMvMTIvMjAwNCIJMy8xMi8yMDA0AAAAAAQAAAAAAAAADyJOYXNkYXFHUzpJTlRDIg1OYXNkYXFHUzpJTlRDAQAAABYiSVFfVEVWX1RPVEFMX1JFVl9GV0QiFElRX1RFVl9UT1RBTF9SRVZfRldEAgAAAAZJUV9OVE0ENjAwMAMAAAAKIjMvNS8yMDA0IggzLzUvMjAwNAAAAAAE</t>
  </si>
  <si>
    <t>AAAAAAAAAA8iTmFzZGFxR1M6SU5UQyINTmFzZGFxR1M6SU5UQwEAAAAWIklRX1RFVl9UT1RBTF9SRVZfRldEIhRJUV9URVZfVE9UQUxfUkVWX0ZXRAIAAAAGSVFfTlRNBDYwMDADAAAACyIyLzI3LzIwMDQiCTIvMjcvMjAwNAAAAAAEAAAAAAAAAA8iTmFzZGFxR1M6SU5UQyINTmFzZGFxR1M6SU5UQwEAAAAWIklRX1RFVl9UT1RBTF9SRVZfRldEIhRJUV9URVZfVE9UQUxfUkVWX0ZXRAIAAAAGSVFfTlRNBDYwMDADAAAACyIyLzIwLzIwMDQiCTIvMjAvMjAwNAAAAAAEAAAAAAAAAA8iTmFzZGFxR1M6SU5UQyINTmFzZGFxR1M6SU5UQwEAAAAWIklRX1RFVl9UT1RBTF9SRVZfRldEIhRJUV9URVZfVE9UQUxfUkVWX0ZXRAIAAAAGSVFfTlRNBDYwMDADAAAACyIyLzEzLzIwMDQiCTIvMTMvMjAwNAAAAAAEAAAAAAAAAA8iTmFzZGFxR1M6SU5UQyINTmFzZGFxR1M6SU5UQwEAAAAWIklRX1RFVl9UT1RBTF9SRVZfRldEIhRJUV9URVZfVE9UQUxfUkVWX0ZXRAIAAAAGSVFfTlRNBDYwMDADAAAACiIyLzYvMjAwNCIIMi82LzIwMDQAAAAABAAAAAAAAAAPIk5hc2RhcUdTOklOVEMiDU5hc2RhcUdTOklOVEMBAAAAFiJJUV9URVZfVE9UQUxfUkVWX0ZXRCIUSVFfVEVWX1RPVEFMX1JFVl9GV0QCAAAABklRX05UTQQ2MDAwAwAAAAsiMS8zMC8yMDA0IgkxLzMwLzIwMDQAAAAABAAAAAAAAAAPIk5hc2RhcUdTOklOVEMi</t>
  </si>
  <si>
    <t>DU5hc2RhcUdTOklOVEMBAAAAFiJJUV9URVZfVE9UQUxfUkVWX0ZXRCIUSVFfVEVWX1RPVEFMX1JFVl9GV0QCAAAABklRX05UTQQ2MDAwAwAAAAsiMS8yMy8yMDA0IgkxLzIzLzIwMDQAAAAABAAAAAAAAAAPIk5hc2RhcUdTOklOVEMiDU5hc2RhcUdTOklOVEMBAAAAFiJJUV9URVZfVE9UQUxfUkVWX0ZXRCIUSVFfVEVWX1RPVEFMX1JFVl9GV0QCAAAABklRX05UTQQ2MDAwAwAAAAsiMS8xNi8yMDA0IgkxLzE2LzIwMDQAAAAABAAAAAAAAAAPIk5hc2RhcUdTOklOVEMiDU5hc2RhcUdTOklOVEMBAAAAFiJJUV9URVZfVE9UQUxfUkVWX0ZXRCIUSVFfVEVWX1RPVEFMX1JFVl9GV0QCAAAABklRX05UTQQ2MDAwAwAAAAoiMS85LzIwMDQiCDEvOS8yMDA0AAAAAAQAAAAAAAAADyJOYXNkYXFHUzpJTlRDIg1OYXNkYXFHUzpJTlRDAQAAABYiSVFfVEVWX1RPVEFMX1JFVl9GV0QiFElRX1RFVl9UT1RBTF9SRVZfRldEAgAAAAZJUV9OVE0ENjAwMAMAAAAKIjEvMi8yMDA0IggxLzIvMjAwNAAAAAAEAAAAAAAAAA8iTmFzZGFxR1M6SU5UQyINTmFzZGFxR1M6SU5UQwEAAAAWIklRX1RFVl9UT1RBTF9SRVZfRldEIhRJUV9URVZfVE9UQUxfUkVWX0ZXRAIAAAAGSVFfTlRNBDYwMDADAAAADCIxMi8yNi8yMDAzIgoxMi8yNi8yMDAzAAAAAAQAAAAAAAAADyJOYXNkYXFHUzpJTlRDIg1OYXNkYXFHUzpJTlRDAQAAABYiSVFf</t>
  </si>
  <si>
    <t>VEVWX1RPVEFMX1JFVl9GV0QiFElRX1RFVl9UT1RBTF9SRVZfRldEAgAAAAZJUV9OVE0ENjAwMAMAAAAMIjEyLzE5LzIwMDMiCjEyLzE5LzIwMDMAAAAABAAAAAAAAAAPIk5hc2RhcUdTOklOVEMiDU5hc2RhcUdTOklOVEMBAAAAFiJJUV9URVZfVE9UQUxfUkVWX0ZXRCIUSVFfVEVWX1RPVEFMX1JFVl9GV0QCAAAABklRX05UTQQ2MDAwAwAAAAwiMTIvMTIvMjAwMyIKMTIvMTIvMjAwMwAAAAAEAAAAAAAAAA8iTmFzZGFxR1M6SU5UQyINTmFzZGFxR1M6SU5UQwEAAAAWIklRX1RFVl9UT1RBTF9SRVZfRldEIhRJUV9URVZfVE9UQUxfUkVWX0ZXRAIAAAAGSVFfTlRNBDYwMDADAAAACyIxMi81LzIwMDMiCTEyLzUvMjAwMwAAAAAEAAAAAAAAAA8iTmFzZGFxR1M6SU5UQyINTmFzZGFxR1M6SU5UQwEAAAAWIklRX1RFVl9UT1RBTF9SRVZfRldEIhRJUV9URVZfVE9UQUxfUkVWX0ZXRAIAAAAGSVFfTlRNBDYwMDADAAAADCIxMS8yOC8yMDAzIgoxMS8yOC8yMDAzAAAAAAQAAAAAAAAADyJOYXNkYXFHUzpJTlRDIg1OYXNkYXFHUzpJTlRDAQAAABYiSVFfVEVWX1RPVEFMX1JFVl9GV0QiFElRX1RFVl9UT1RBTF9SRVZfRldEAgAAAAZJUV9OVE0ENjAwMAMAAAAMIjExLzIxLzIwMDMiCjExLzIxLzIwMDMAAAAABAAAAAAAAAAPIk5hc2RhcUdTOklOVEMiDU5hc2RhcUdTOklOVEMBAAAAFiJJUV9URVZfVE9UQUxfUkVW</t>
  </si>
  <si>
    <t>X0ZXRCIUSVFfVEVWX1RPVEFMX1JFVl9GV0QCAAAABklRX05UTQQ2MDAwAwAAAAwiMTEvMTQvMjAwMyIKMTEvMTQvMjAwMwAAAAAEAAAAAAAAAA8iTmFzZGFxR1M6SU5UQyINTmFzZGFxR1M6SU5UQwEAAAAWIklRX1RFVl9UT1RBTF9SRVZfRldEIhRJUV9URVZfVE9UQUxfUkVWX0ZXRAIAAAAGSVFfTlRNBDYwMDADAAAACyIxMS83LzIwMDMiCTExLzcvMjAwMwAAAAAEAAAAAAAAAA8iTmFzZGFxR1M6SU5UQyINTmFzZGFxR1M6SU5UQwEAAAAWIklRX1RFVl9UT1RBTF9SRVZfRldEIhRJUV9URVZfVE9UQUxfUkVWX0ZXRAIAAAAGSVFfTlRNBDYwMDADAAAADCIxMC8zMS8yMDAzIgoxMC8zMS8yMDAzAAAAAAQAAAAAAAAADyJOYXNkYXFHUzpJTlRDIg1OYXNkYXFHUzpJTlRDAQAAABYiSVFfVEVWX1RPVEFMX1JFVl9GV0QiFElRX1RFVl9UT1RBTF9SRVZfRldEAgAAAAZJUV9OVE0ENjAwMAMAAAAMIjEwLzI0LzIwMDMiCjEwLzI0LzIwMDMAAAAABAAAAAAAAAAPIk5hc2RhcUdTOklOVEMiDU5hc2RhcUdTOklOVEMBAAAAFiJJUV9URVZfVE9UQUxfUkVWX0ZXRCIUSVFfVEVWX1RPVEFMX1JFVl9GV0QCAAAABklRX05UTQQ2MDAwAwAAAAwiMTAvMTcvMjAwMyIKMTAvMTcvMjAwMwAAAAAEAAAAAAAAAA8iTmFzZGFxR1M6SU5UQyINTmFzZGFxR1M6SU5UQwEAAAAWIklRX1RFVl9UT1RBTF9SRVZfRldEIhRJUV9URVZf</t>
  </si>
  <si>
    <t>VE9UQUxfUkVWX0ZXRAIAAAAGSVFfTlRNBDYwMDADAAAADCIxMC8xMC8yMDAzIgoxMC8xMC8yMDAzAAAAAAQAAAAAAAAADyJOYXNkYXFHUzpJTlRDIg1OYXNkYXFHUzpJTlRDAQAAABYiSVFfVEVWX1RPVEFMX1JFVl9GV0QiFElRX1RFVl9UT1RBTF9SRVZfRldEAgAAAAZJUV9OVE0ENjAwMAMAAAALIjEwLzMvMjAwMyIJMTAvMy8yMDAzAAAAAAQAAAAAAAAADyJOYXNkYXFHUzpJTlRDIg1OYXNkYXFHUzpJTlRDAQAAABYiSVFfVEVWX1RPVEFMX1JFVl9GV0QiFElRX1RFVl9UT1RBTF9SRVZfRldEAgAAAAZJUV9OVE0ENjAwMAMAAAALIjkvMjYvMjAwMyIJOS8yNi8yMDAzAAAAAAQAAAAAAAAADyJOYXNkYXFHUzpJTlRDIg1OYXNkYXFHUzpJTlRDAQAAABYiSVFfVEVWX1RPVEFMX1JFVl9GV0QiFElRX1RFVl9UT1RBTF9SRVZfRldEAgAAAAZJUV9OVE0ENjAwMAMAAAALIjkvMTkvMjAwMyIJOS8xOS8yMDAzAAAAAAQAAAAAAAAADyJOYXNkYXFHUzpJTlRDIg1OYXNkYXFHUzpJTlRDAQAAABYiSVFfVEVWX1RPVEFMX1JFVl9GV0QiFElRX1RFVl9UT1RBTF9SRVZfRldEAgAAAAZJUV9OVE0ENjAwMAMAAAALIjkvMTIvMjAwMyIJOS8xMi8yMDAzAAAAAAQAAAAAAAAADyJOYXNkYXFHUzpJTlRDIg1OYXNkYXFHUzpJTlRDAQAAABYiSVFfVEVWX1RPVEFMX1JFVl9GV0QiFElRX1RFVl9UT1RBTF9SRVZfRldEAgAAAAZJ</t>
  </si>
  <si>
    <t>UV9OVE0ENjAwMAMAAAAKIjkvNS8yMDAzIgg5LzUvMjAwMwAAAAAEAAAAAAAAAA8iTmFzZGFxR1M6SU5UQyINTmFzZGFxR1M6SU5UQwEAAAAWIklRX1RFVl9UT1RBTF9SRVZfRldEIhRJUV9URVZfVE9UQUxfUkVWX0ZXRAIAAAAGSVFfTlRNBDYwMDADAAAACyI4LzI5LzIwMDMiCTgvMjkvMjAwMwAAAAAEAAAAAAAAAA8iTmFzZGFxR1M6SU5UQyINTmFzZGFxR1M6SU5UQwEAAAAWIklRX1RFVl9UT1RBTF9SRVZfRldEIhRJUV9URVZfVE9UQUxfUkVWX0ZXRAIAAAAGSVFfTlRNBDYwMDADAAAACyI4LzIyLzIwMDMiCTgvMjIvMjAwMwAAAAAEAAAAAAAAAA8iTmFzZGFxR1M6SU5UQyINTmFzZGFxR1M6SU5UQwEAAAAWIklRX1RFVl9UT1RBTF9SRVZfRldEIhRJUV9URVZfVE9UQUxfUkVWX0ZXRAIAAAAGSVFfTlRNBDYwMDADAAAACyI4LzE1LzIwMDMiCTgvMTUvMjAwMwAAAAAEAAAAAAAAAA8iTmFzZGFxR1M6SU5UQyINTmFzZGFxR1M6SU5UQwEAAAAWIklRX1RFVl9UT1RBTF9SRVZfRldEIhRJUV9URVZfVE9UQUxfUkVWX0ZXRAIAAAAGSVFfTlRNBDYwMDADAAAACiI4LzgvMjAwMyIIOC84LzIwMDMAAAAABAAAAAAAAAAPIk5hc2RhcUdTOklOVEMiDU5hc2RhcUdTOklOVEMBAAAAFiJJUV9URVZfVE9UQUxfUkVWX0ZXRCIUSVFfVEVWX1RPVEFMX1JFVl9GV0QCAAAABklRX05UTQQ2MDAwAwAAAAoiOC8xLzIwMDMi</t>
  </si>
  <si>
    <t>CDgvMS8yMDAzAAAAAAQAAAAAAAAADyJOYXNkYXFHUzpJTlRDIg1OYXNkYXFHUzpJTlRDAQAAABYiSVFfVEVWX1RPVEFMX1JFVl9GV0QiFElRX1RFVl9UT1RBTF9SRVZfRldEAgAAAAZJUV9OVE0ENjAwMAMAAAALIjcvMjUvMjAwMyIJNy8yNS8yMDAzAAAAAAQAAAAAAAAADyJOYXNkYXFHUzpJTlRDIg1OYXNkYXFHUzpJTlRDAQAAABYiSVFfVEVWX1RPVEFMX1JFVl9GV0QiFElRX1RFVl9UT1RBTF9SRVZfRldEAgAAAAZJUV9OVE0ENjAwMAMAAAALIjcvMTgvMjAwMyIJNy8xOC8yMDAzAAAAAAQAAAAAAAAADyJOYXNkYXFHUzpJTlRDIg1OYXNkYXFHUzpJTlRDAQAAABYiSVFfVEVWX1RPVEFMX1JFVl9GV0QiFElRX1RFVl9UT1RBTF9SRVZfRldEAgAAAAZJUV9OVE0ENjAwMAMAAAALIjcvMTEvMjAwMyIJNy8xMS8yMDAzAAAAAAQAAAAAAAAADyJOYXNkYXFHUzpJTlRDIg1OYXNkYXFHUzpJTlRDAQAAABYiSVFfVEVWX1RPVEFMX1JFVl9GV0QiFElRX1RFVl9UT1RBTF9SRVZfRldEAgAAAAZJUV9OVE0ENjAwMAMAAAAKIjcvMy8yMDAzIgg3LzMvMjAwMwAAAAAEAAAAAAAAAA8iTmFzZGFxR1M6SU5UQyINTmFzZGFxR1M6SU5UQwEAAAAWIklRX1RFVl9UT1RBTF9SRVZfRldEIhRJUV9URVZfVE9UQUxfUkVWX0ZXRAIAAAAGSVFfTlRNBDYwMDADAAAACyI2LzI3LzIwMDMiCTYvMjcvMjAwMwAAAAAEAAAAAAAAAA8i</t>
  </si>
  <si>
    <t>TmFzZGFxR1M6SU5UQyINTmFzZGFxR1M6SU5UQwEAAAAWIklRX1RFVl9UT1RBTF9SRVZfRldEIhRJUV9URVZfVE9UQUxfUkVWX0ZXRAIAAAAGSVFfTlRNBDYwMDADAAAACyI2LzIwLzIwMDMiCTYvMjAvMjAwMwAAAAAEAAAAAAAAAA8iTmFzZGFxR1M6SU5UQyINTmFzZGFxR1M6SU5UQwEAAAAWIklRX1RFVl9UT1RBTF9SRVZfRldEIhRJUV9URVZfVE9UQUxfUkVWX0ZXRAIAAAAGSVFfTlRNBDYwMDADAAAACyI2LzEzLzIwMDMiCTYvMTMvMjAwMwAAAAAEAAAAAAAAAA8iTmFzZGFxR1M6SU5UQyINTmFzZGFxR1M6SU5UQwEAAAAWIklRX1RFVl9UT1RBTF9SRVZfRldEIhRJUV9URVZfVE9UQUxfUkVWX0ZXRAIAAAAGSVFfTlRNBDYwMDADAAAACiI2LzYvMjAwMyIINi82LzIwMDMAAAAABAAAAAAAAAAPIk5hc2RhcUdTOklOVEMiDU5hc2RhcUdTOklOVEMBAAAAFiJJUV9URVZfVE9UQUxfUkVWX0ZXRCIUSVFfVEVWX1RPVEFMX1JFVl9GV0QCAAAABklRX05UTQQ2MDAwAwAAAAsiNS8zMC8yMDAzIgk1LzMwLzIwMDMAAAAABAAAAAAAAAAPIk5hc2RhcUdTOklOVEMiDU5hc2RhcUdTOklOVEMBAAAAFiJJUV9URVZfVE9UQUxfUkVWX0ZXRCIUSVFfVEVWX1RPVEFMX1JFVl9GV0QCAAAABklRX05UTQQ2MDAwAwAAAAsiNS8yMy8yMDAzIgk1LzIzLzIwMDMAAAAABAAAAAAAAAAPIk5hc2RhcUdTOklOVEMiDU5hc2RhcUdT</t>
  </si>
  <si>
    <t>OklOVEMBAAAAFiJJUV9URVZfVE9UQUxfUkVWX0ZXRCIUSVFfVEVWX1RPVEFMX1JFVl9GV0QCAAAABklRX05UTQQ2MDAwAwAAAAsiNS8xNi8yMDAzIgk1LzE2LzIwMDMAAAAABAAAAAAAAAAPIk5hc2RhcUdTOklOVEMiDU5hc2RhcUdTOklOVEMBAAAAFiJJUV9URVZfVE9UQUxfUkVWX0ZXRCIUSVFfVEVWX1RPVEFMX1JFVl9GV0QCAAAABklRX05UTQQ2MDAwAwAAAAoiNS85LzIwMDMiCDUvOS8yMDAzAAAAAAQAAAAAAAAADyJOYXNkYXFHUzpJTlRDIg1OYXNkYXFHUzpJTlRDAQAAABYiSVFfVEVWX1RPVEFMX1JFVl9GV0QiFElRX1RFVl9UT1RBTF9SRVZfRldEAgAAAAZJUV9OVE0ENjAwMAMAAAAKIjUvMi8yMDAzIgg1LzIvMjAwMwAAAAAEAAAAAAAAAA8iTmFzZGFxR1M6SU5UQyINTmFzZGFxR1M6SU5UQwEAAAAWIklRX1RFVl9UT1RBTF9SRVZfRldEIhRJUV9URVZfVE9UQUxfUkVWX0ZXRAIAAAAGSVFfTlRNBDYwMDADAAAACyI0LzI1LzIwMDMiCTQvMjUvMjAwMwAAAAAEAAAAAAAAAA8iTmFzZGFxR1M6SU5UQyINTmFzZGFxR1M6SU5UQwEAAAAWIklRX1RFVl9UT1RBTF9SRVZfRldEIhRJUV9URVZfVE9UQUxfUkVWX0ZXRAIAAAAGSVFfTlRNBDYwMDADAAAACyI0LzE3LzIwMDMiCTQvMTcvMjAwMwAAAAAEAAAAAAAAAA8iTmFzZGFxR1M6SU5UQyINTmFzZGFxR1M6SU5UQwEAAAAWIklRX1RFVl9UT1RBTF9S</t>
  </si>
  <si>
    <t>RVZfRldEIhRJUV9URVZfVE9UQUxfUkVWX0ZXRAIAAAAGSVFfTlRNBDYwMDADAAAACyI0LzExLzIwMDMiCTQvMTEvMjAwMwAAAAAEAAAAAAAAAA8iTmFzZGFxR1M6SU5UQyINTmFzZGFxR1M6SU5UQwEAAAAWIklRX1RFVl9UT1RBTF9SRVZfRldEIhRJUV9URVZfVE9UQUxfUkVWX0ZXRAIAAAAGSVFfTlRNBDYwMDADAAAACiI0LzQvMjAwMyIINC80LzIwMDMAAAAABAAAAAAAAAAPIk5hc2RhcUdTOklOVEMiDU5hc2RhcUdTOklOVEMBAAAAFiJJUV9URVZfVE9UQUxfUkVWX0ZXRCIUSVFfVEVWX1RPVEFMX1JFVl9GV0QCAAAABklRX05UTQQ2MDAwAwAAAAsiMy8yOC8yMDAzIgkzLzI4LzIwMDMAAAAABAAAAAAAAAAPIk5hc2RhcUdTOklOVEMiDU5hc2RhcUdTOklOVEMBAAAAFiJJUV9URVZfVE9UQUxfUkVWX0ZXRCIUSVFfVEVWX1RPVEFMX1JFVl9GV0QCAAAABklRX05UTQQ2MDAwAwAAAAsiMy8yMS8yMDAzIgkzLzIxLzIwMDMAAAAABAAAAAAAAAAPIk5hc2RhcUdTOklOVEMiDU5hc2RhcUdTOklOVEMBAAAAFiJJUV9URVZfVE9UQUxfUkVWX0ZXRCIUSVFfVEVWX1RPVEFMX1JFVl9GV0QCAAAABklRX05UTQQ2MDAwAwAAAAsiMy8xNC8yMDAzIgkzLzE0LzIwMDMAAAAABAAAAAAAAAAPIk5hc2RhcUdTOklOVEMiDU5hc2RhcUdTOklOVEMBAAAAFiJJUV9URVZfVE9UQUxfUkVWX0ZXRCIUSVFfVEVWX1RPVEFMX1JF</t>
  </si>
  <si>
    <t>Vl9GV0QCAAAABklRX05UTQQ2MDAwAwAAAAoiMy83LzIwMDMiCDMvNy8yMDAzAAAAAAQAAAAAAAAADyJOYXNkYXFHUzpJTlRDIg1OYXNkYXFHUzpJTlRDAQAAABYiSVFfVEVWX1RPVEFMX1JFVl9GV0QiFElRX1RFVl9UT1RBTF9SRVZfRldEAgAAAAZJUV9OVE0ENjAwMAMAAAALIjIvMjgvMjAwMyIJMi8yOC8yMDAzAAAAAAQAAAAAAAAADyJOYXNkYXFHUzpJTlRDIg1OYXNkYXFHUzpJTlRDAQAAABYiSVFfVEVWX1RPVEFMX1JFVl9GV0QiFElRX1RFVl9UT1RBTF9SRVZfRldEAgAAAAZJUV9OVE0ENjAwMAMAAAALIjIvMjEvMjAwMyIJMi8yMS8yMDAzAAAAAAQAAAAAAAAADyJOYXNkYXFHUzpJTlRDIg1OYXNkYXFHUzpJTlRDAQAAABYiSVFfVEVWX1RPVEFMX1JFVl9GV0QiFElRX1RFVl9UT1RBTF9SRVZfRldEAgAAAAZJUV9OVE0ENjAwMAMAAAALIjIvMTQvMjAwMyIJMi8xNC8yMDAzAAAAAAQAAAAAAAAADyJOYXNkYXFHUzpJTlRDIg1OYXNkYXFHUzpJTlRDAQAAABYiSVFfVEVWX1RPVEFMX1JFVl9GV0QiFElRX1RFVl9UT1RBTF9SRVZfRldEAgAAAAZJUV9OVE0ENjAwMAMAAAAKIjIvNy8yMDAzIggyLzcvMjAwMwAAAAAEAAAAAAAAAA8iTmFzZGFxR1M6SU5UQyINTmFzZGFxR1M6SU5UQwEAAAAWIklRX1RFVl9UT1RBTF9SRVZfRldEIhRJUV9URVZfVE9UQUxfUkVWX0ZXRAIAAAAGSVFfTlRNBDYwMDADAAAA</t>
  </si>
  <si>
    <t>CyIxLzMxLzIwMDMiCTEvMzEvMjAwMwAAAAAEAAAAAAAAAA8iTmFzZGFxR1M6SU5UQyINTmFzZGFxR1M6SU5UQwEAAAAWIklRX1RFVl9UT1RBTF9SRVZfRldEIhRJUV9URVZfVE9UQUxfUkVWX0ZXRAIAAAAGSVFfTlRNBDYwMDADAAAACyIxLzI0LzIwMDMiCTEvMjQvMjAwMwAAAAAEAAAAAAAAAA8iTmFzZGFxR1M6SU5UQyINTmFzZGFxR1M6SU5UQwEAAAAWIklRX1RFVl9UT1RBTF9SRVZfRldEIhRJUV9URVZfVE9UQUxfUkVWX0ZXRAIAAAAGSVFfTlRNBDYwMDADAAAACyIxLzE3LzIwMDMiCTEvMTcvMjAwMwAAAAAEAAAAAAAAAA8iTmFzZGFxR1M6SU5UQyINTmFzZGFxR1M6SU5UQwEAAAAWIklRX1RFVl9UT1RBTF9SRVZfRldEIhRJUV9URVZfVE9UQUxfUkVWX0ZXRAIAAAAGSVFfTlRNBDYwMDADAAAACyIxLzEwLzIwMDMiCTEvMTAvMjAwMwAAAAAEAAAAAAAAAA8iTmFzZGFxR1M6SU5UQyINTmFzZGFxR1M6SU5UQwEAAAAWIklRX1RFVl9UT1RBTF9SRVZfRldEIhRJUV9URVZfVE9UQUxfUkVWX0ZXRAIAAAAGSVFfTlRNBDYwMDADAAAACiIxLzMvMjAwMyIIMS8zLzIwMDMAAAAABAAAAAAAAAAPIk5hc2RhcUdTOklOVEMiDU5hc2RhcUdTOklOVEMBAAAAFiJJUV9URVZfVE9UQUxfUkVWX0ZXRCIUSVFfVEVWX1RPVEFMX1JFVl9GV0QCAAAABklRX05UTQQ2MDAwAwAAAAwiMTIvMjcvMjAwMiIKMTIvMjcvMjAw</t>
  </si>
  <si>
    <t>MgAAAAAEAAAAAAAAAA8iTmFzZGFxR1M6SU5UQyINTmFzZGFxR1M6SU5UQwEAAAAWIklRX1RFVl9UT1RBTF9SRVZfRldEIhRJUV9URVZfVE9UQUxfUkVWX0ZXRAIAAAAGSVFfTlRNBDYwMDADAAAADCIxMi8yMC8yMDAyIgoxMi8yMC8yMDAyAAAAAAQAAAAAAAAADyJOYXNkYXFHUzpJTlRDIg1OYXNkYXFHUzpJTlRDAQAAABYiSVFfVEVWX1RPVEFMX1JFVl9GV0QiFElRX1RFVl9UT1RBTF9SRVZfRldEAgAAAAZJUV9OVE0ENjAwMAMAAAAMIjEyLzEzLzIwMDIiCjEyLzEzLzIwMDIAAAAABAAAAAAAAAAPIk5hc2RhcUdTOklOVEMiDU5hc2RhcUdTOklOVEMBAAAAFiJJUV9URVZfVE9UQUxfUkVWX0ZXRCIUSVFfVEVWX1RPVEFMX1JFVl9GV0QCAAAABklRX05UTQQ2MDAwAwAAAAsiMTIvNi8yMDAyIgkxMi82LzIwMDIAAAAABAAAAAAAAAAPIk5hc2RhcUdTOklOVEMiDU5hc2RhcUdTOklOVEMBAAAAFiJJUV9URVZfVE9UQUxfUkVWX0ZXRCIUSVFfVEVWX1RPVEFMX1JFVl9GV0QCAAAABklRX05UTQQ2MDAwAwAAAAwiMTEvMjkvMjAwMiIKMTEvMjkvMjAwMgAAAAAEAAAAAAAAAA8iTmFzZGFxR1M6SU5UQyINTmFzZGFxR1M6SU5UQwEAAAAWIklRX1RFVl9UT1RBTF9SRVZfRldEIhRJUV9URVZfVE9UQUxfUkVWX0ZXRAIAAAAGSVFfTlRNBDYwMDADAAAADCIxMS8yMi8yMDAyIgoxMS8yMi8yMDAyAAAAAAQAAAAAAAAA</t>
  </si>
  <si>
    <t>DyJOYXNkYXFHUzpJTlRDIg1OYXNkYXFHUzpJTlRDAQAAABYiSVFfVEVWX1RPVEFMX1JFVl9GV0QiFElRX1RFVl9UT1RBTF9SRVZfRldEAgAAAAZJUV9OVE0ENjAwMAMAAAAMIjExLzE1LzIwMDIiCjExLzE1LzIwMDIAAAAABAAAAAAAAAAPIk5hc2RhcUdTOklOVEMiDU5hc2RhcUdTOklOVEMBAAAAFiJJUV9URVZfVE9UQUxfUkVWX0ZXRCIUSVFfVEVWX1RPVEFMX1JFVl9GV0QCAAAABklRX05UTQQ2MDAwAwAAAAsiMTEvOC8yMDAyIgkxMS84LzIwMDIAAAAABAAAAAAAAAAPIk5hc2RhcUdTOklOVEMiDU5hc2RhcUdTOklOVEMBAAAAFiJJUV9URVZfVE9UQUxfUkVWX0ZXRCIUSVFfVEVWX1RPVEFMX1JFVl9GV0QCAAAABklRX05UTQQ2MDAwAwAAAAsiMTEvMS8yMDAyIgkxMS8xLzIwMDIAAAAABAAAAAAAAAAPIk5hc2RhcUdTOklOVEMiDU5hc2RhcUdTOklOVEMBAAAAFiJJUV9URVZfVE9UQUxfUkVWX0ZXRCIUSVFfVEVWX1RPVEFMX1JFVl9GV0QCAAAABklRX05UTQQ2MDAwAwAAAAwiMTAvMjUvMjAwMiIKMTAvMjUvMjAwMgAAAAAEAAAAAAAAAA8iTmFzZGFxR1M6SU5UQyINTmFzZGFxR1M6SU5UQwEAAAAWIklRX1RFVl9UT1RBTF9SRVZfRldEIhRJUV9URVZfVE9UQUxfUkVWX0ZXRAIAAAAGSVFfTlRNBDYwMDADAAAADCIxMC8xOC8yMDAyIgoxMC8xOC8yMDAyAAAAAAQAAAAAAAAADyJOYXNkYXFHUzpJTlRD</t>
  </si>
  <si>
    <t>Ig1OYXNkYXFHUzpJTlRDAQAAABYiSVFfVEVWX1RPVEFMX1JFVl9GV0QiFElRX1RFVl9UT1RBTF9SRVZfRldEAgAAAAZJUV9OVE0ENjAwMAMAAAAMIjEwLzExLzIwMDIiCjEwLzExLzIwMDIAAAAABAAAAAAAAAAPIk5hc2RhcUdTOklOVEMiDU5hc2RhcUdTOklOVEMBAAAAFiJJUV9URVZfVE9UQUxfUkVWX0ZXRCIUSVFfVEVWX1RPVEFMX1JFVl9GV0QCAAAABklRX05UTQQ2MDAwAwAAAAsiMTAvNC8yMDAyIgkxMC80LzIwMDIAAAAABAAAAAAAAAAPIk5hc2RhcUdTOklOVEMiDU5hc2RhcUdTOklOVEMBAAAAFiJJUV9URVZfVE9UQUxfUkVWX0ZXRCIUSVFfVEVWX1RPVEFMX1JFVl9GV0QCAAAABklRX05UTQQ2MDAwAwAAAAsiOS8yNy8yMDAyIgk5LzI3LzIwMDIAAAAABAAAAAAAAAAPIk5hc2RhcUdTOklOVEMiDU5hc2RhcUdTOklOVEMBAAAAFiJJUV9URVZfVE9UQUxfUkVWX0ZXRCIUSVFfVEVWX1RPVEFMX1JFVl9GV0QCAAAABklRX05UTQQ2MDAwAwAAAAsiOS8yMC8yMDAyIgk5LzIwLzIwMDIAAAAABAAAAAAAAAAPIk5hc2RhcUdTOklOVEMiDU5hc2RhcUdTOklOVEMBAAAAFiJJUV9URVZfVE9UQUxfUkVWX0ZXRCIUSVFfVEVWX1RPVEFMX1JFVl9GV0QCAAAABklRX05UTQQ2MDAwAwAAAAsiOS8xMy8yMDAyIgk5LzEzLzIwMDIAAAAABAAAAAAAAAAPIk5hc2RhcUdTOklOVEMiDU5hc2RhcUdTOklOVEMBAAAA</t>
  </si>
  <si>
    <t>FiJJUV9URVZfVE9UQUxfUkVWX0ZXRCIUSVFfVEVWX1RPVEFMX1JFVl9GV0QCAAAABklRX05UTQQ2MDAwAwAAAAoiOS82LzIwMDIiCDkvNi8yMDAyAAAAAAQAAAAAAAAADyJOYXNkYXFHUzpJTlRDIg1OYXNkYXFHUzpJTlRDAQAAABYiSVFfVEVWX1RPVEFMX1JFVl9GV0QiFElRX1RFVl9UT1RBTF9SRVZfRldEAgAAAAZJUV9OVE0ENjAwMAMAAAALIjgvMzAvMjAwMiIJOC8zMC8yMDAyAAAAAAQAAAAAAAAADyJOYXNkYXFHUzpJTlRDIg1OYXNkYXFHUzpJTlRDAQAAABYiSVFfVEVWX1RPVEFMX1JFVl9GV0QiFElRX1RFVl9UT1RBTF9SRVZfRldEAgAAAAZJUV9OVE0ENjAwMAMAAAALIjgvMjMvMjAwMiIJOC8yMy8yMDAyAAAAAAQAAAAAAAAADyJOYXNkYXFHUzpJTlRDIg1OYXNkYXFHUzpJTlRDAQAAABYiSVFfVEVWX1RPVEFMX1JFVl9GV0QiFElRX1RFVl9UT1RBTF9SRVZfRldEAgAAAAZJUV9OVE0ENjAwMAMAAAALIjgvMTYvMjAwMiIJOC8xNi8yMDAyAAAAAAQAAAAAAAAADyJOYXNkYXFHUzpJTlRDIg1OYXNkYXFHUzpJTlRDAQAAABYiSVFfVEVWX1RPVEFMX1JFVl9GV0QiFElRX1RFVl9UT1RBTF9SRVZfRldEAgAAAAZJUV9OVE0ENjAwMAMAAAAKIjgvOS8yMDAyIgg4LzkvMjAwMgAAAAAEAAAAAAAAAA8iTmFzZGFxR1M6SU5UQyINTmFzZGFxR1M6SU5UQwEAAAAWIklRX1RFVl9UT1RBTF9SRVZfRldEIhRJ</t>
  </si>
  <si>
    <t>UV9URVZfVE9UQUxfUkVWX0ZXRAIAAAAGSVFfTlRNBDYwMDADAAAACiI4LzIvMjAwMiIIOC8yLzIwMDIAAAAABAAAAAAAAAAPIk5hc2RhcUdTOklOVEMiDU5hc2RhcUdTOklOVEMBAAAAFiJJUV9URVZfVE9UQUxfUkVWX0ZXRCIUSVFfVEVWX1RPVEFMX1JFVl9GV0QCAAAABklRX05UTQQ2MDAwAwAAAAsiNy8yNi8yMDAyIgk3LzI2LzIwMDIAAAAABAAAAAAAAAAPIk5hc2RhcUdTOklOVEMiDU5hc2RhcUdTOklOVEMBAAAAFiJJUV9URVZfVE9UQUxfUkVWX0ZXRCIUSVFfVEVWX1RPVEFMX1JFVl9GV0QCAAAABklRX05UTQQ2MDAwAwAAAAsiNy8xOS8yMDAyIgk3LzE5LzIwMDIAAAAABAAAAAAAAAAPIk5hc2RhcUdTOklOVEMiDU5hc2RhcUdTOklOVEMBAAAAFiJJUV9URVZfVE9UQUxfUkVWX0ZXRCIUSVFfVEVWX1RPVEFMX1JFVl9GV0QCAAAABklRX05UTQQ2MDAwAwAAAAsiNy8xMi8yMDAyIgk3LzEyLzIwMDIAAAAABAAAAAAAAAAPIk5hc2RhcUdTOklOVEMiDU5hc2RhcUdTOklOVEMBAAAAFiJJUV9URVZfVE9UQUxfUkVWX0ZXRCIUSVFfVEVWX1RPVEFMX1JFVl9GV0QCAAAABklRX05UTQQ2MDAwAwAAAAoiNy81LzIwMDIiCDcvNS8yMDAyAAAAAAQAAAAAAAAADyJOYXNkYXFHUzpJTlRDIg1OYXNkYXFHUzpJTlRDAQAAABYiSVFfVEVWX1RPVEFMX1JFVl9GV0QiFElRX1RFVl9UT1RBTF9SRVZfRldEAgAAAAZJ</t>
  </si>
  <si>
    <t>UV9OVE0ENjAwMAMAAAALIjYvMjgvMjAwMiIJNi8yOC8yMDAyAAAAAAQAAAAAAAAADyJOYXNkYXFHUzpJTlRDIg1OYXNkYXFHUzpJTlRDAQAAABYiSVFfVEVWX1RPVEFMX1JFVl9GV0QiFElRX1RFVl9UT1RBTF9SRVZfRldEAgAAAAZJUV9OVE0ENjAwMAMAAAALIjYvMjEvMjAwMiIJNi8yMS8yMDAyAAAAAAQAAAAAAAAADyJOYXNkYXFHUzpJTlRDIg1OYXNkYXFHUzpJTlRDAQAAABYiSVFfVEVWX1RPVEFMX1JFVl9GV0QiFElRX1RFVl9UT1RBTF9SRVZfRldEAgAAAAZJUV9OVE0ENjAwMAMAAAALIjYvMTQvMjAwMiIJNi8xNC8yMDAyAAAAAAQAAAAAAAAADyJOYXNkYXFHUzpJTlRDIg1OYXNkYXFHUzpJTlRDAQAAABYiSVFfVEVWX1RPVEFMX1JFVl9GV0QiFElRX1RFVl9UT1RBTF9SRVZfRldEAgAAAAZJUV9OVE0ENjAwMAMAAAAKIjYvNy8yMDAyIgg2LzcvMjAwMgAAAAAEAAAAAAAAAA8iTmFzZGFxR1M6SU5UQyINTmFzZGFxR1M6SU5UQwEAAAAWIklRX1RFVl9UT1RBTF9SRVZfRldEIhRJUV9URVZfVE9UQUxfUkVWX0ZXRAIAAAAGSVFfTlRNBDYwMDADAAAACyI1LzMxLzIwMDIiCTUvMzEvMjAwMgAAAAAEAAAAAAAAAA8iTmFzZGFxR1M6SU5UQyINTmFzZGFxR1M6SU5UQwEAAAAWIklRX1RFVl9UT1RBTF9SRVZfRldEIhRJUV9URVZfVE9UQUxfUkVWX0ZXRAIAAAAGSVFfTlRNBDYwMDADAAAACyI1LzI0LzIw</t>
  </si>
  <si>
    <t>MDIiCTUvMjQvMjAwMgAAAAAEAAAAAAAAAA8iTmFzZGFxR1M6SU5UQyINTmFzZGFxR1M6SU5UQwEAAAAWIklRX1RFVl9UT1RBTF9SRVZfRldEIhRJUV9URVZfVE9UQUxfUkVWX0ZXRAIAAAAGSVFfTlRNBDYwMDADAAAACyI1LzE3LzIwMDIiCTUvMTcvMjAwMgAAAAAEAAAAAAAAAA8iTmFzZGFxR1M6SU5UQyINTmFzZGFxR1M6SU5UQwEAAAAWIklRX1RFVl9UT1RBTF9SRVZfRldEIhRJUV9URVZfVE9UQUxfUkVWX0ZXRAIAAAAGSVFfTlRNBDYwMDADAAAACyI1LzEwLzIwMDIiCTUvMTAvMjAwMgAAAAAEAAAAAAAAAA8iTmFzZGFxR1M6SU5UQyINTmFzZGFxR1M6SU5UQwEAAAAWIklRX1RFVl9UT1RBTF9SRVZfRldEIhRJUV9URVZfVE9UQUxfUkVWX0ZXRAIAAAAGSVFfTlRNBDYwMDADAAAACiI1LzMvMjAwMiIINS8zLzIwMDIAAAAABAAAAAAAAAAPIk5hc2RhcUdTOklOVEMiDU5hc2RhcUdTOklOVEMBAAAAFiJJUV9URVZfVE9UQUxfUkVWX0ZXRCIUSVFfVEVWX1RPVEFMX1JFVl9GV0QCAAAABklRX05UTQQ2MDAwAwAAAAsiNC8yNi8yMDAyIgk0LzI2LzIwMDIAAAAABAAAAAAAAAAPIk5hc2RhcUdTOklOVEMiDU5hc2RhcUdTOklOVEMBAAAAFiJJUV9URVZfVE9UQUxfUkVWX0ZXRCIUSVFfVEVWX1RPVEFMX1JFVl9GV0QCAAAABklRX05UTQQ2MDAwAwAAAAsiNC8xOS8yMDAyIgk0LzE5LzIwMDIAAAAABAAAAAAA</t>
  </si>
  <si>
    <t>AAAPIk5hc2RhcUdTOklOVEMiDU5hc2RhcUdTOklOVEMBAAAAFiJJUV9URVZfVE9UQUxfUkVWX0ZXRCIUSVFfVEVWX1RPVEFMX1JFVl9GV0QCAAAABklRX05UTQQ2MDAwAwAAAAsiNC8xMi8yMDAyIgk0LzEyLzIwMDIAAAAABAAAAAAAAAAPIk5hc2RhcUdTOklOVEMiDU5hc2RhcUdTOklOVEMBAAAAFiJJUV9URVZfVE9UQUxfUkVWX0ZXRCIUSVFfVEVWX1RPVEFMX1JFVl9GV0QCAAAABklRX05UTQQ2MDAwAwAAAAoiNC81LzIwMDIiCDQvNS8yMDAyAAAAAAQAAAAAAAAADyJOYXNkYXFHUzpJTlRDIg1OYXNkYXFHUzpJTlRDAQAAABYiSVFfVEVWX1RPVEFMX1JFVl9GV0QiFElRX1RFVl9UT1RBTF9SRVZfRldEAgAAAAZJUV9OVE0ENjAwMAMAAAALIjMvMjgvMjAwMiIJMy8yOC8yMDAyAAAAAAQAAAAAAAAADyJOYXNkYXFHUzpJTlRDIg1OYXNkYXFHUzpJTlRDAQAAABYiSVFfVEVWX1RPVEFMX1JFVl9GV0QiFElRX1RFVl9UT1RBTF9SRVZfRldEAgAAAAZJUV9OVE0ENjAwMAMAAAALIjMvMjIvMjAwMiIJMy8yMi8yMDAyAAAAAAQAAAAAAAAADyJOYXNkYXFHUzpJTlRDIg1OYXNkYXFHUzpJTlRDAQAAABYiSVFfVEVWX1RPVEFMX1JFVl9GV0QiFElRX1RFVl9UT1RBTF9SRVZfRldEAgAAAAZJUV9OVE0ENjAwMAMAAAALIjMvMTUvMjAwMiIJMy8xNS8yMDAyAAAAAAQAAAAAAAAADyJOYXNkYXFHUzpJTlRDIg1OYXNk</t>
  </si>
  <si>
    <t>YXFHUzpJTlRDAQAAABYiSVFfVEVWX1RPVEFMX1JFVl9GV0QiFElRX1RFVl9UT1RBTF9SRVZfRldEAgAAAAZJUV9OVE0ENjAwMAMAAAAKIjMvOC8yMDAyIggzLzgvMjAwMgAAAAAEAAAAAAAAAA8iTmFzZGFxR1M6SU5UQyINTmFzZGFxR1M6SU5UQwEAAAAWIklRX1RFVl9UT1RBTF9SRVZfRldEIhRJUV9URVZfVE9UQUxfUkVWX0ZXRAIAAAAGSVFfTlRNBDYwMDADAAAACiIzLzEvMjAwMiIIMy8xLzIwMDIAAAAABAAAAAAAAAAPIk5hc2RhcUdTOklOVEMiDU5hc2RhcUdTOklOVEMBAAAAFiJJUV9URVZfVE9UQUxfUkVWX0ZXRCIUSVFfVEVWX1RPVEFMX1JFVl9GV0QCAAAABklRX05UTQQ2MDAwAwAAAAsiMi8yMi8yMDAyIgkyLzIyLzIwMDIAAAAABAAAAAAAAAAPIk5hc2RhcUdTOklOVEMiDU5hc2RhcUdTOklOVEMBAAAAFiJJUV9URVZfVE9UQUxfUkVWX0ZXRCIUSVFfVEVWX1RPVEFMX1JFVl9GV0QCAAAABklRX05UTQQ2MDAwAwAAAAsiMi8xNS8yMDAyIgkyLzE1LzIwMDIAAAAABAAAAAAAAAAPIk5hc2RhcUdTOklOVEMiDU5hc2RhcUdTOklOVEMBAAAAFiJJUV9URVZfVE9UQUxfUkVWX0ZXRCIUSVFfVEVWX1RPVEFMX1JFVl9GV0QCAAAABklRX05UTQQ2MDAwAwAAAAoiMi84LzIwMDIiCDIvOC8yMDAyAAAAAAQAAAAAAAAADyJOYXNkYXFHUzpJTlRDIg1OYXNkYXFHUzpJTlRDAQAAABYiSVFfVEVWX1RPVEFM</t>
  </si>
  <si>
    <t>X1JFVl9GV0QiFElRX1RFVl9UT1RBTF9SRVZfRldEAgAAAAZJUV9OVE0ENjAwMAMAAAAKIjIvMS8yMDAyIggyLzEvMjAwMgAAAAAEAAAAAAAAAA8iTmFzZGFxR1M6SU5UQyINTmFzZGFxR1M6SU5UQwEAAAAWIklRX1RFVl9UT1RBTF9SRVZfRldEIhRJUV9URVZfVE9UQUxfUkVWX0ZXRAIAAAAGSVFfTlRNBDYwMDADAAAACyIxLzI1LzIwMDIiCTEvMjUvMjAwMgAAAAAEAAAAAAAAAA8iTmFzZGFxR1M6SU5UQyINTmFzZGFxR1M6SU5UQwEAAAAWIklRX1RFVl9UT1RBTF9SRVZfRldEIhRJUV9URVZfVE9UQUxfUkVWX0ZXRAIAAAAGSVFfTlRNBDYwMDADAAAACyIxLzE4LzIwMDIiCTEvMTgvMjAwMgAAAAAEAAAAAAAAAA8iTmFzZGFxR1M6SU5UQyINTmFzZGFxR1M6SU5UQwEAAAAWIklRX1RFVl9UT1RBTF9SRVZfRldEIhRJUV9URVZfVE9UQUxfUkVWX0ZXRAIAAAAGSVFfTlRNBDYwMDADAAAACyIxLzExLzIwMDIiCTEvMTEvMjAwMgAAAAAEAAAAAAAAAA8iTmFzZGFxR1M6SU5UQyINTmFzZGFxR1M6SU5UQwEAAAAWIklRX1RFVl9UT1RBTF9SRVZfRldEIhRJUV9URVZfVE9UQUxfUkVWX0ZXRAIAAAAGSVFfTlRNBDYwMDADAAAACiIxLzQvMjAwMiIIMS80LzIwMDIAAAAABAAAAAAAAAAPIk5hc2RhcUdTOklOVEMiDU5hc2RhcUdTOklOVEMBAAAAFiJJUV9URVZfVE9UQUxfUkVWX0ZXRCIUSVFfVEVWX1RPVEFMX1JF</t>
  </si>
  <si>
    <t>Vl9GV0QCAAAABklRX05UTQQ2MDAwAwAAAAwiMTIvMjgvMjAwMSIKMTIvMjgvMjAwMQAAAAAEAAAAAAAAAA8iTmFzZGFxR1M6SU5UQyINTmFzZGFxR1M6SU5UQwEAAAAWIklRX1RFVl9UT1RBTF9SRVZfRldEIhRJUV9URVZfVE9UQUxfUkVWX0ZXRAIAAAAGSVFfTlRNBDYwMDADAAAADCIxMi8yMS8yMDAxIgoxMi8yMS8yMDAxAAAAAAQAAAAAAAAADyJOYXNkYXFHUzpJTlRDIg1OYXNkYXFHUzpJTlRDAQAAABYiSVFfVEVWX1RPVEFMX1JFVl9GV0QiFElRX1RFVl9UT1RBTF9SRVZfRldEAgAAAAZJUV9OVE0ENjAwMAMAAAAMIjEyLzE0LzIwMDEiCjEyLzE0LzIwMDEAAAAABAAAAAAAAAAPIk5hc2RhcUdTOklOVEMiDU5hc2RhcUdTOklOVEMBAAAAFiJJUV9URVZfVE9UQUxfUkVWX0ZXRCIUSVFfVEVWX1RPVEFMX1JFVl9GV0QCAAAABklRX05UTQQ2MDAwAwAAAAsiMTIvNy8yMDAxIgkxMi83LzIwMDEAAAAABAAAAAAAAAAPIk5hc2RhcUdTOklOVEMiDU5hc2RhcUdTOklOVEMBAAAAFiJJUV9URVZfVE9UQUxfUkVWX0ZXRCIUSVFfVEVWX1RPVEFMX1JFVl9GV0QCAAAABklRX05UTQQ2MDAwAwAAAAwiMTEvMzAvMjAwMSIKMTEvMzAvMjAwMQAAAAAEAAAAAAAAAA8iTmFzZGFxR1M6SU5UQyINTmFzZGFxR1M6SU5UQwEAAAAWIklRX1RFVl9UT1RBTF9SRVZfRldEIhRJUV9URVZfVE9UQUxfUkVWX0ZXRAIAAAAGSVFf</t>
  </si>
  <si>
    <t>TlRNBDYwMDADAAAADCIxMS8yMy8yMDAxIgoxMS8yMy8yMDAxAAAAAAQAAAAAAAAADyJOYXNkYXFHUzpJTlRDIg1OYXNkYXFHUzpJTlRDAQAAABYiSVFfVEVWX1RPVEFMX1JFVl9GV0QiFElRX1RFVl9UT1RBTF9SRVZfRldEAgAAAAZJUV9OVE0ENjAwMAMAAAAMIjExLzE2LzIwMDEiCjExLzE2LzIwMDEAAAAABAAAAAAAAAAPIk5hc2RhcUdTOklOVEMiDU5hc2RhcUdTOklOVEMBAAAAFiJJUV9URVZfVE9UQUxfUkVWX0ZXRCIUSVFfVEVWX1RPVEFMX1JFVl9GV0QCAAAABklRX05UTQQ2MDAwAwAAAAsiMTEvOS8yMDAxIgkxMS85LzIwMDEAAAAABAAAAAAAAAAPIk5hc2RhcUdTOklOVEMiDU5hc2RhcUdTOklOVEMBAAAAFiJJUV9URVZfVE9UQUxfUkVWX0ZXRCIUSVFfVEVWX1RPVEFMX1JFVl9GV0QCAAAABklRX05UTQQ2MDAwAwAAAAsiMTEvMi8yMDAxIgkxMS8yLzIwMDEAAAAABAAAAAAAAAAPIk5hc2RhcUdTOklOVEMiDU5hc2RhcUdTOklOVEMBAAAAFiJJUV9URVZfVE9UQUxfUkVWX0ZXRCIUSVFfVEVWX1RPVEFMX1JFVl9GV0QCAAAABklRX05UTQQ2MDAwAwAAAAwiMTAvMjYvMjAwMSIKMTAvMjYvMjAwMQAAAAAEAAAAAAAAAA8iTmFzZGFxR1M6SU5UQyINTmFzZGFxR1M6SU5UQwEAAAAWIklRX1RFVl9UT1RBTF9SRVZfRldEIhRJUV9URVZfVE9UQUxfUkVWX0ZXRAIAAAAGSVFfTlRNBDYwMDADAAAADCIx</t>
  </si>
  <si>
    <t>MC8xOS8yMDAxIgoxMC8xOS8yMDAxAAAAAAQAAAAAAAAADyJOYXNkYXFHUzpJTlRDIg1OYXNkYXFHUzpJTlRDAQAAABYiSVFfVEVWX1RPVEFMX1JFVl9GV0QiFElRX1RFVl9UT1RBTF9SRVZfRldEAgAAAAZJUV9OVE0ENjAwMAMAAAAMIjEwLzEyLzIwMDEiCjEwLzEyLzIwMDEAAAAABAAAAAAAAAAPIk5hc2RhcUdTOklOVEMiDU5hc2RhcUdTOklOVEMBAAAAFiJJUV9URVZfVE9UQUxfUkVWX0ZXRCIUSVFfVEVWX1RPVEFMX1JFVl9GV0QCAAAABklRX05UTQQ2MDAwAwAAAAsiMTAvNS8yMDAxIgkxMC81LzIwMDEAAAAABAAAAAAAAAAPIk5hc2RhcUdTOklOVEMiDU5hc2RhcUdTOklOVEMBAAAAFiJJUV9URVZfVE9UQUxfUkVWX0ZXRCIUSVFfVEVWX1RPVEFMX1JFVl9GV0QCAAAABklRX05UTQQ2MDAwAwAAAAsiOS8yOC8yMDAxIgk5LzI4LzIwMDEAAAAABAAAAAAAAAAPIk5hc2RhcUdTOklOVEMiDU5hc2RhcUdTOklOVEMBAAAAFiJJUV9URVZfVE9UQUxfUkVWX0ZXRCIUSVFfVEVWX1RPVEFMX1JFVl9GV0QCAAAABklRX05UTQQ2MDAwAwAAAAsiOS8yMS8yMDAxIgk5LzIxLzIwMDEAAAAABAAAAAAAAAAPIk5hc2RhcUdTOklOVEMiDU5hc2RhcUdTOklOVEMBAAAAFiJJUV9URVZfVE9UQUxfUkVWX0ZXRCIUSVFfVEVWX1RPVEFMX1JFVl9GV0QCAAAABklRX05UTQQ2MDAwAwAAAAsiOS8xMC8yMDAxIgk5LzEwLzIw</t>
  </si>
  <si>
    <t>MDEAAAAABAAAAAAAAAAPIk5hc2RhcUdTOklOVEMiDU5hc2RhcUdTOklOVEMBAAAAFiJJUV9URVZfVE9UQUxfUkVWX0ZXRCIUSVFfVEVWX1RPVEFMX1JFVl9GV0QCAAAABklRX05UTQQ2MDAwAwAAAAoiOS83LzIwMDEiCDkvNy8yMDAxAAAAAAQAAAAAAAAADyJOYXNkYXFHUzpJTlRDIg1OYXNkYXFHUzpJTlRDAQAAABYiSVFfVEVWX1RPVEFMX1JFVl9GV0QiFElRX1RFVl9UT1RBTF9SRVZfRldEAgAAAAZJUV9OVE0ENjAwMAMAAAALIjgvMzEvMjAwMSIJOC8zMS8yMDAxAAAAAAQAAAAAAAAADyJOYXNkYXFHUzpJTlRDIg1OYXNkYXFHUzpJTlRDAQAAABYiSVFfVEVWX1RPVEFMX1JFVl9GV0QiFElRX1RFVl9UT1RBTF9SRVZfRldEAgAAAAZJUV9OVE0ENjAwMAMAAAALIjgvMjQvMjAwMSIJOC8yNC8yMDAxAAAAAAQAAAAAAAAADyJOYXNkYXFHUzpJTlRDIg1OYXNkYXFHUzpJTlRDAQAAABYiSVFfVEVWX1RPVEFMX1JFVl9GV0QiFElRX1RFVl9UT1RBTF9SRVZfRldEAgAAAAZJUV9OVE0ENjAwMAMAAAALIjgvMTcvMjAwMSIJOC8xNy8yMDAxAAAAAAQAAAAAAAAADyJOYXNkYXFHUzpJTlRDIg1OYXNkYXFHUzpJTlRDAQAAABYiSVFfVEVWX1RPVEFMX1JFVl9GV0QiFElRX1RFVl9UT1RBTF9SRVZfRldEAgAAAAZJUV9OVE0ENjAwMAMAAAALIjgvMTAvMjAwMSIJOC8xMC8yMDAxAAAAAAQAAAAAAAAADyJOYXNkYXFH</t>
  </si>
  <si>
    <t>UzpJTlRDIg1OYXNkYXFHUzpJTlRDAQAAABYiSVFfVEVWX1RPVEFMX1JFVl9GV0QiFElRX1RFVl9UT1RBTF9SRVZfRldEAgAAAAZJUV9OVE0ENjAwMAMAAAAKIjgvMy8yMDAxIgg4LzMvMjAwMQAAAAAEAAAAAAAAAA8iTmFzZGFxR1M6SU5UQyINTmFzZGFxR1M6SU5UQwEAAAAWIklRX1RFVl9UT1RBTF9SRVZfRldEIhRJUV9URVZfVE9UQUxfUkVWX0ZXRAIAAAAGSVFfTlRNBDYwMDADAAAACyI3LzI3LzIwMDEiCTcvMjcvMjAwMQAAAAAEAAAAAAAAAA8iTmFzZGFxR1M6SU5UQyINTmFzZGFxR1M6SU5UQwEAAAAWIklRX1RFVl9UT1RBTF9SRVZfRldEIhRJUV9URVZfVE9UQUxfUkVWX0ZXRAIAAAAGSVFfTlRNBDYwMDADAAAACyI3LzIwLzIwMDEiCTcvMjAvMjAwMQAAAAAEAAAAAAAAAA8iTmFzZGFxR1M6SU5UQyINTmFzZGFxR1M6SU5UQwEAAAAWIklRX1RFVl9UT1RBTF9SRVZfRldEIhRJUV9URVZfVE9UQUxfUkVWX0ZXRAIAAAAGSVFfTlRNBDYwMDADAAAACyI3LzEzLzIwMDEiCTcvMTMvMjAwMQAAAAAEAAAAAAAAAA8iTmFzZGFxR1M6SU5UQyINTmFzZGFxR1M6SU5UQwEAAAAWIklRX1RFVl9UT1RBTF9SRVZfRldEIhRJUV9URVZfVE9UQUxfUkVWX0ZXRAIAAAAGSVFfTlRNBDYwMDADAAAACiI3LzYvMjAwMSIINy82LzIwMDEAAAAABAAAAAAAAAAPIk5hc2RhcUdTOklOVEMiDU5hc2RhcUdTOklOVEMBAAAA</t>
  </si>
  <si>
    <t>FiJJUV9URVZfVE9UQUxfUkVWX0ZXRCIUSVFfVEVWX1RPVEFMX1JFVl9GV0QCAAAABklRX05UTQQ2MDAwAwAAAAsiNi8yOS8yMDAxIgk2LzI5LzIwMDEAAAAABAAAAAAAAAAPIk5hc2RhcUdTOklOVEMiDU5hc2RhcUdTOklOVEMBAAAAFiJJUV9URVZfVE9UQUxfUkVWX0ZXRCIUSVFfVEVWX1RPVEFMX1JFVl9GV0QCAAAABklRX05UTQQ2MDAwAwAAAAsiNi8yMi8yMDAxIgk2LzIyLzIwMDEAAAAABAAAAAAAAAAPIk5hc2RhcUdTOklOVEMiDU5hc2RhcUdTOklOVEMBAAAAFiJJUV9URVZfVE9UQUxfUkVWX0ZXRCIUSVFfVEVWX1RPVEFMX1JFVl9GV0QCAAAABklRX05UTQQ2MDAwAwAAAAsiNi8xNS8yMDAxIgk2LzE1LzIwMDEAAAAABAAAAAAAAAAPIk5hc2RhcUdTOklOVEMiDU5hc2RhcUdTOklOVEMBAAAAFiJJUV9URVZfVE9UQUxfUkVWX0ZXRCIUSVFfVEVWX1RPVEFMX1JFVl9GV0QCAAAABklRX05UTQQ2MDAwAwAAAAoiNi84LzIwMDEiCDYvOC8yMDAxAAAAAAQAAAAAAAAADyJOYXNkYXFHUzpJTlRDIg1OYXNkYXFHUzpJTlRDAQAAABYiSVFfVEVWX1RPVEFMX1JFVl9GV0QiFElRX1RFVl9UT1RBTF9SRVZfRldEAgAAAAZJUV9OVE0ENjAwMAMAAAAKIjYvMS8yMDAxIgg2LzEvMjAwMQAAAAAEAAAAAAAAAA8iTmFzZGFxR1M6SU5UQyINTmFzZGFxR1M6SU5UQwEAAAAWIklRX1RFVl9UT1RBTF9SRVZfRldEIhRJ</t>
  </si>
  <si>
    <t>UV9URVZfVE9UQUxfUkVWX0ZXRAIAAAAGSVFfTlRNBDYwMDADAAAACyI1LzI1LzIwMDEiCTUvMjUvMjAwMQAAAAAEAAAAAAAAAA8iTmFzZGFxR1M6SU5UQyINTmFzZGFxR1M6SU5UQwEAAAAWIklRX1RFVl9UT1RBTF9SRVZfRldEIhRJUV9URVZfVE9UQUxfUkVWX0ZXRAIAAAAGSVFfTlRNBDYwMDADAAAACyI1LzE4LzIwMDEiCTUvMTgvMjAwMQAAAAAEAAAAAAAAAA8iTmFzZGFxR1M6SU5UQyINTmFzZGFxR1M6SU5UQwEAAAAWIklRX1RFVl9UT1RBTF9SRVZfRldEIhRJUV9URVZfVE9UQUxfUkVWX0ZXRAIAAAAGSVFfTlRNBDYwMDADAAAACyI1LzExLzIwMDEiCTUvMTEvMjAwMQAAAAAEAAAAAAAAAA8iTmFzZGFxR1M6SU5UQyINTmFzZGFxR1M6SU5UQwEAAAAWIklRX1RFVl9UT1RBTF9SRVZfRldEIhRJUV9URVZfVE9UQUxfUkVWX0ZXRAIAAAAGSVFfTlRNBDYwMDADAAAACiI1LzQvMjAwMSIINS80LzIwMDEAAAAABAAAAAAAAAAPIk5hc2RhcUdTOklOVEMiDU5hc2RhcUdTOklOVEMBAAAAFiJJUV9URVZfVE9UQUxfUkVWX0ZXRCIUSVFfVEVWX1RPVEFMX1JFVl9GV0QCAAAABklRX05UTQQ2MDAwAwAAAAsiNC8yNy8yMDAxIgk0LzI3LzIwMDEAAAAABAAAAAAAAAAPIk5hc2RhcUdTOklOVEMiDU5hc2RhcUdTOklOVEMBAAAAFiJJUV9URVZfVE9UQUxfUkVWX0ZXRCIUSVFfVEVWX1RPVEFMX1JFVl9GV0QCAAAA</t>
  </si>
  <si>
    <t>BklRX05UTQQ2MDAwAwAAAAsiNC8yMC8yMDAxIgk0LzIwLzIwMDEAAAAABAAAAAAAAAAPIk5hc2RhcUdTOklOVEMiDU5hc2RhcUdTOklOVEMBAAAAFiJJUV9URVZfVE9UQUxfUkVWX0ZXRCIUSVFfVEVWX1RPVEFMX1JFVl9GV0QCAAAABklRX05UTQQ2MDAwAwAAAAsiNC8xMi8yMDAxIgk0LzEyLzIwMDEAAAAABAAAAAAAAAAPIk5hc2RhcUdTOklOVEMiDU5hc2RhcUdTOklOVEMBAAAAFiJJUV9URVZfVE9UQUxfUkVWX0ZXRCIUSVFfVEVWX1RPVEFMX1JFVl9GV0QCAAAABklRX05UTQQ2MDAwAwAAAAoiNC82LzIwMDEiCDQvNi8yMDAxAAAAAAQAAAAAAAAADyJOYXNkYXFHUzpJTlRDIg1OYXNkYXFHUzpJTlRDAQAAABYiSVFfVEVWX1RPVEFMX1JFVl9GV0QiFElRX1RFVl9UT1RBTF9SRVZfRldEAgAAAAZJUV9OVE0ENjAwMAMAAAALIjMvMzAvMjAwMSIJMy8zMC8yMDAxAAAAAAQAAAAAAAAADyJOYXNkYXFHUzpJTlRDIg1OYXNkYXFHUzpJTlRDAQAAABYiSVFfVEVWX1RPVEFMX1JFVl9GV0QiFElRX1RFVl9UT1RBTF9SRVZfRldEAgAAAAZJUV9OVE0ENjAwMAMAAAALIjMvMjMvMjAwMSIJMy8yMy8yMDAxAAAAAAQAAAAAAAAADyJOYXNkYXFHUzpJTlRDIg1OYXNkYXFHUzpJTlRDAQAAABYiSVFfVEVWX1RPVEFMX1JFVl9GV0QiFElRX1RFVl9UT1RBTF9SRVZfRldEAgAAAAZJUV9OVE0ENjAwMAMAAAALIjMvMTYv</t>
  </si>
  <si>
    <t>MjAwMSIJMy8xNi8yMDAxAAAAAAQAAAAAAAAADyJOYXNkYXFHUzpJTlRDIg1OYXNkYXFHUzpJTlRDAQAAABYiSVFfVEVWX1RPVEFMX1JFVl9GV0QiFElRX1RFVl9UT1RBTF9SRVZfRldEAgAAAAZJUV9OVE0ENjAwMAMAAAAKIjMvOS8yMDAxIggzLzkvMjAwMQAAAAAEAAAAAAAAAA8iTmFzZGFxR1M6SU5UQyINTmFzZGFxR1M6SU5UQwEAAAAWIklRX1RFVl9UT1RBTF9SRVZfRldEIhRJUV9URVZfVE9UQUxfUkVWX0ZXRAIAAAAGSVFfTlRNBDYwMDADAAAACiIzLzIvMjAwMSIIMy8yLzIwMDEAAAAABAAAAAAAAAAPIk5hc2RhcUdTOklOVEMiDU5hc2RhcUdTOklOVEMBAAAAFiJJUV9URVZfVE9UQUxfUkVWX0ZXRCIUSVFfVEVWX1RPVEFMX1JFVl9GV0QCAAAABklRX05UTQQ2MDAwAwAAAAsiMi8yMy8yMDAxIgkyLzIzLzIwMDEAAAAABAAAAAAAAAAPIk5hc2RhcUdTOklOVEMiDU5hc2RhcUdTOklOVEMBAAAAFiJJUV9URVZfVE9UQUxfUkVWX0ZXRCIUSVFfVEVWX1RPVEFMX1JFVl9GV0QCAAAABklRX05UTQQ2MDAwAwAAAAsiMi8xNi8yMDAxIgkyLzE2LzIwMDEAAAAABAAAAAAAAAAPIk5hc2RhcUdTOklOVEMiDU5hc2RhcUdTOklOVEMBAAAAFiJJUV9URVZfVE9UQUxfUkVWX0ZXRCIUSVFfVEVWX1RPVEFMX1JFVl9GV0QCAAAABklRX05UTQQ2MDAwAwAAAAoiMi85LzIwMDEiCDIvOS8yMDAxAAAAAAQAAAAAAAAA</t>
  </si>
  <si>
    <t>DyJOYXNkYXFHUzpJTlRDIg1OYXNkYXFHUzpJTlRDAQAAABYiSVFfVEVWX1RPVEFMX1JFVl9GV0QiFElRX1RFVl9UT1RBTF9SRVZfRldEAgAAAAZJUV9OVE0ENjAwMAMAAAAKIjIvMi8yMDAxIggyLzIvMjAwMQAAAAAEAAAAAAAAAA8iTmFzZGFxR1M6SU5UQyINTmFzZGFxR1M6SU5UQwEAAAAWIklRX1RFVl9UT1RBTF9SRVZfRldEIhRJUV9URVZfVE9UQUxfUkVWX0ZXRAIAAAAGSVFfTlRNBDYwMDADAAAACyIxLzI2LzIwMDEiCTEvMjYvMjAwMQAAAAAEAAAAAAAAAA8iTmFzZGFxR1M6SU5UQyINTmFzZGFxR1M6SU5UQwEAAAAWIklRX1RFVl9UT1RBTF9SRVZfRldEIhRJUV9URVZfVE9UQUxfUkVWX0ZXRAIAAAAGSVFfTlRNBDYwMDADAAAACyIxLzE5LzIwMDEiCTEvMTkvMjAwMQAAAAAEAAAAAAAAAA8iTmFzZGFxR1M6SU5UQyINTmFzZGFxR1M6SU5UQwEAAAAWIklRX1RFVl9UT1RBTF9SRVZfRldEIhRJUV9URVZfVE9UQUxfUkVWX0ZXRAIAAAAGSVFfTlRNBDYwMDADAAAACyIxLzEyLzIwMDEiCTEvMTIvMjAwMQAAAAAEAAAAAAAAAA8iTmFzZGFxR1M6SU5UQyINTmFzZGFxR1M6SU5UQwEAAAAWIklRX1RFVl9UT1RBTF9SRVZfRldEIhRJUV9URVZfVE9UQUxfUkVWX0ZXRAIAAAAGSVFfTlRNBDYwMDADAAAACiIxLzUvMjAwMSIIMS81LzIwMDH7Jbq3k3PVCHtkykmXc9UIKENJUS5OQVNEQVFHUzpJTlRDLklR</t>
  </si>
  <si>
    <t>X1BUQlYuMjAwMC44LzI2LzIwMTYBAAAAh1IAAAIAAAAINC45NjgzODgBBwAAAAUAAAABMQEAAAAKMTgwMTI5NDUwMQMAAAABMAIAAAAGMTAwMDI5BAAAAAEwBwAAAAk4LzI2LzIwMTYIAAAACTgvMjYvMjAxNnudZrmTc9UIu19TSZdz1QguQ0lRLk5BU0RBUUdTOklOVEMuSVFfUFJJQ0VfU0FMRVMuMjAwMC45LzYvMjAxMwEAAACHUgAAAgAAAAgyLjE1NDM1NAEHAAAABQAAAAExAQAAAAoxNjI4NDM2ODQ5AwAAAAEwAgAAAAUzODk1OAQAAAABMAcAAAAIOS82LzIwMTMIAAAACDkvNi8yMDEzy7C5t5Nz1Qgb90xJl3PVCB9DSVEuXlNQWC5JUV9QVEJWLjIwMDAuNC8xOS8yMDE3AQAAAJu4KAACAAAACDguMjQyNTcyAOtnUruTc9UIy74US5dz1Qg1Q0lRLk5hc2RhcUdTOklOVEMuSVFfVEVWX1RPVEFMX1JFVl9GV0QuNjAwMC4xMi84LzIwMDYBAAAAh1IAAAIAAAAQMy4wNzc3MDAzMDc3Njg3MwENAAAABQAAAAE5AQAAAAcyNjIxMjk1AgAAAAcxNzU3MTUyAwAAAAYxMDAzMDcEAAAAATIGAAAAATAHAAAAAzE2MAgAAAABMAkAAAABMQoAAAABMAsAAAAKODg2MDUwNjQwMgwAAAACMTINAAAACTEyLzkvMjAwNvuWvLeTc9UIm75LSZdz1QgoQ0lRLk5BU0RBUUdTOklOVEMuSVFfUFRCVi4yMDAwLjgvMTkvMjAxMQEAAACHUgAAAgAAAAgzLjA4NDMzNgEHAAAABQAAAAExAQAAAAoxNDY1NjMxMDcxAwAAAAEwAgAAAAYx</t>
  </si>
  <si>
    <t>MDAwMjkEAAAAATAHAAAACTgvMTkvMjAxMQgAAAAJOC8xOS8yMDExO/Gvu5Nz1Qg7J1JJl3PVCC1DSVEuXlNQWC5JUV9URVZfRUJJVERBX0ZXRF9DSVEuNjAwMC4yLzI0LzIwMTYBAAAAm7goAAIAAAAHOS41NTY4NQDbuK+9k3PVCPssK0uXc9UINUNJUS5OYXNkYXFHUzpJTlRDLklRX1RFVl9UT1RBTF9SRVZfRldELjYwMDAuOC8xNy8yMDEyAQAAAIdSAAACAAAAEDIuMTU2NzU4NjkwMzQ3MDQBDQAAAAUAAAABOQEAAAAHMjYyMTI5NQIAAAAHMTc1NzE2OQMAAAAGMTAwMzA3BAAAAAEyBgAAAAEwBwAAAAMxNjAIAAAAATAJAAAAATEKAAAAATALAAAACjg4NjQ0MzMxOTUMAAAAAjEyDQAAAAk4LzE4LzIwMTKb27C7k3PVCLsMTEmXc9UINkNJUS5OQVNEQVFHUzpJTlRDLklRX1RFVl9FQklUREFfRldEX0NJUS42MDAwLjEwLzcvMjAwNQEAAACHUgAAAgAAABA3LjQ0NDkyNzQ3Njg3MzkzAQ0AAAAFAAAAATkBAAAABzI2MjEyOTUCAAAABzE3NTcxNDgDAAAABjEwMDMwOAQAAAABMgYAAAABMAcAAAADMTYwCAAAAAEwCQAAAAExCgAAAAEwCwAAAAoxMTY5MTMwOTY3DAAAAAIxMg0AAAAJMTAvOC8yMDA1G05Vu5Nz1QjbNI+ul3PVCDVDSVEuTmFzZGFxR1M6SU5UQy5JUV9URVZfVE9UQUxfUkVWX0ZXRC42MDAwLjExLzIvMjAxMgEAAACHUgAAAgAAABAxLjk4MzE5MTYxNzI5NjYzAQ0AAAAFAAAAATkBAAAABzI2MjEy</t>
  </si>
  <si>
    <t>OTUCAAAABzE3NTcxNzADAAAABjEwMDMwNwQAAAABMgYAAAABMAcAAAADMTYwCAAAAAEwCQAAAAExCgAAAAEwCwAAAAo4ODY0NDM0MzQyDAAAAAIxMg0AAAAJMTEvMy8yMDEy2yJXu5Nz1Qgb90xJl3PVCChDSVEuTkFTREFRR1M6SU5UQy5JUV9QVEJWLjIwMDAuMTAvMy8yMDE0AQAAAIdSAAACAAAACDMuODMzMDEzAQcAAAAFAAAAATEBAAAACjE2ODgwODA5OTIDAAAAATACAAAABjEwMDAyOQQAAAABMAcAAAAJMTAvMy8yMDE0CAAAAAkxMC8zLzIwMTS7aq+9k3PVCCtTWUmXc9UIL0NJUS5OQVNEQVFHUzpJTlRDLklRX1BSSUNFX1NBTEVTLjIwMDAuMy8xMi8yMDEwAQAAAIdSAAACAAAACDMuMzY0ODU4AQcAAAAFAAAAATEBAAAACjEzMjg4ODg3MDQDAAAAATACAAAABTM4OTU4BAAAAAEwBwAAAAkzLzEyLzIwMTAIAAAACTMvMTIvMjAxMMuwubeTc9UIKx5NSZdz1QgpQ0lRLk5BU0RBUUdTOklOVEMuSVFfUFRCVi4yMDAwLjEyLzIwLzIwMTMBAAAAh1IAAAIAAAAIMy4xNTAzMjUBBwAAAAUAAAABMQEAAAAKMTY0MjQ4Mzc5MgMAAAABMAIAAAAGMTAwMDI5BAAAAAEwBwAAAAoxMi8yMC8yMDEzCAAAAAoxMi8yMC8yMDEzu2qvvZNz1QgLBVlJl3PVCCVDSVEuXlNQWC5JUV9QRV9FWENMX0ZXRC42MDAwLjYvNy8yMDE3AQAAAJu4KAACAAAACTE4LjI3ODU1NgB7jbC7k3PVCNshC0uXc9UIL0NJUS5OQVNEQVFHUzpJ</t>
  </si>
  <si>
    <t>TlRDLklRX1BFX0VYQ0xfRldELjYwMDAuMS8xMS8yMDA4AQAAAIdSAAACAAAAEDE1LjI0MjI1NDEwNjg4MjkBDQAAAAUAAAABOQEAAAAHMjYyMTI5NQIAAAAHMTc1NzE1NQMAAAAGMTAwMzA5BAAAAAEyBgAAAAEwBwAAAAMxNjAIAAAAATAJAAAAATEKAAAAATALAAAACzEwMzc4NTg3NTY1DAAAAAIxMg0AAAAJMS8xMi8yMDA4SzuzvZNz1QhLv1RJl3PVCCxDSVEuXlNQWC5JUV9URVZfVE9UQUxfUkVWX0ZXRC42MDAwLjExLzUvMjAxNAEAAACbuCgAAgAAAAgxLjg5ODI2NQD7Jbq3k3PVCItQNkuXc9UINUNJUS5OYXNkYXFHUzpJTlRDLklRX1RFVl9UT1RBTF9SRVZfRldELjYwMDAuNS8yMC8yMDExAQAAAIdSAAACAAAAEDIuMTE0OTM2MzU1ODY2NDUBDQAAAAUAAAABOQEAAAAHMjYyMTI5NQIAAAAHMTc1NzE2NQMAAAAGMTAwMzA3BAAAAAEyBgAAAAEwBwAAAAMxNjAIAAAAATAJAAAAATEKAAAAATALAAAACjU3MTU2NTA2MDgMAAAAAjEyDQAAAAk1LzIxLzIwMTGLrVW5k3PVCAtBT0mXc9UII0NJUS5eU1BYLklRX0xBU1RTQUxFUFJJQ0UuOC8yNy8yMDE0AQAAAJu4KAACAAAAEDIwMDAuMTE3NzA1MzQ0NzMAG91Su5Nz1QjrOjdLl3PVCDdDSVEuTkFTREFRR1M6SU5UQy5JUV9URVZfRUJJVERBX0ZXRF9DSVEuNjAwMC4xMS8yOC8yMDA4AQAAAIdSAAACAAAAEDYuNDExMjMwMzU2NDU4NDEBDQAAAAUAAAABOQEA</t>
  </si>
  <si>
    <t>AAAHMjYyMTI5NQIAAAAHMTc1NzE1OAMAAAAGMTAwMzA4BAAAAAEyBgAAAAEwBwAAAAMxNjAIAAAAATAJAAAAATEKAAAAATALAAAACjY3MzA4NTg0NDcMAAAAAjEyDQAAAAoxMS8yOS8yMDA427FUu5Nz1Qgrh42ul3PVCDZDSVEuTkFTREFRR1M6SU5UQy5JUV9URVZfRUJJVERBX0ZXRF9DSVEuNjAwMC41LzI1LzIwMTIBAAAAh1IAAAIAAAAQNC42OTI1MTY4OTYwOTQxNAENAAAABQAAAAE5AQAAAAcyNjIxMjk1AgAAAAcxNzU3MTY4AwAAAAYxMDAzMDgEAAAAATIGAAAAATAHAAAAAzE2MAgAAAABMAkAAAABMQoAAAABMAsAAAAKNjk1NTQxMjUxNgwAAAACMTINAAAACTUvMjYvMjAxMpsVVLuTc9UICzmNrpdz1Qg1Q0lRLk5hc2RhcUdTOklOVEMuSVFfVEVWX1RPVEFMX1JFVl9GV0QuNjAwMC4yLzE0LzIwMDMBAAAAh1IAAAIAAAAQMy4zNjgwMzc1MTg1NzMwOAENAAAABQAAAAE5AQAAAAcyNjIxMjk1AgAAAAQxODc4AwAAAAYxMDAzMDcEAAAAATIGAAAAATAHAAAAAzE2MAgAAAABMAkAAAABMQoAAAABMAsAAAAJMzYwNjU2NDIwDAAAAAIxMg0AAAAJMi8xNS8yMDAz20i8t5Nz1Qg7J1JJl3PVCB9DSVEuXlNQWC5JUV9QVEJWLjIwMDAuMy8yNS8yMDE1AQAAAJu4KAACAAAACDUuODczMTc5ALtqr72Tc9UI61gyS5dz1QgvQ0lRLk5BU0RBUUdTOklOVEMuSVFfUEVfRVhDTF9GV0QuNjAwMC4yLzIyLzIwMTMBAAAA</t>
  </si>
  <si>
    <t>h1IAAAIAAAAQMTAuNTM2MDM3Njg2MTk5NAENAAAABQAAAAE5AQAAAAcyNjIxMjk1AgAAAAczNjUyNjYwAwAAAAYxMDAzMDkEAAAAATIGAAAAATAHAAAAAzE2MAgAAAABMAkAAAABMQoAAAABMAsAAAAKNTc0ODMwMjk5MQwAAAACMTINAAAACTIvMjMvMjAxMwufsr2Tc9UIqxpYSZdz1Qg1Q0lRLk5hc2RhcUdTOklOVEMuSVFfVEVWX1RPVEFMX1JFVl9GV0QuNjAwMC45LzMwLzIwMDUBAAAAh1IAAAIAAAAQMy4zNTQwMTQwODQ4NjEwNAENAAAABQAAAAE5AQAAAAcyNjIxMjk1AgAAAAcxNzU3MTQ4AwAAAAYxMDAzMDcEAAAAATIGAAAAATAHAAAAAzE2MAgAAAABMAkAAAABMQoAAAABMAsAAAAKNjcyNjg1NDM0NAwAAAACMTINAAAACTEwLzEvMjAwNasSZ7mTc9UIG0pUSZdz1Qg0Q0lRLk5hc2RhcUdTOklOVEMuSVFfVEVWX1RPVEFMX1JFVl9GV0QuNjAwMC4yLzgvMjAwOAEAAACHUgAAAgAAAA8yLjU5OTE4NDI3NTcxNTkBDQAAAAUAAAABOQEAAAAHMjYyMTI5NQIAAAAEMTg4MwMAAAAGMTAwMzA3BAAAAAEyBgAAAAEwBwAAAAMxNjAIAAAAATAJAAAAATEKAAAAATALAAAACTM2MDcwMDIzMwwAAAACMTINAAAACDIvOS8yMDA4m/6zvZNz1Qj7+1NJl3PVCDZDSVEuTkFTREFRR1M6SU5UQy5JUV9URVZfRUJJVERBX0ZXRF9DSVEuNjAwMC4yLzExLzIwMDUBAAAAh1IAAAIAAAAPOC44MTYxMTQxMjA3ODI1AQ0AAAAF</t>
  </si>
  <si>
    <t>AAAAATkBAAAABzI2MjEyOTUCAAAABDE4ODADAAAABjEwMDMwOAQAAAABMgYAAAABMAcAAAADMTYwCAAAAAEwCQAAAAExCgAAAAEwCwAAAAkzNjA2NjgxNzAMAAAAAjEyDQAAAAkyLzEyLzIwMDUrdVW7k3PVCCv4j66Xc9UIN0NJUS5OYXNkYXFHUzpJTlRDLklRX1RFVl9FQklUREFfRldEX0NJUS42MDAwLjExLzIxLzIwMDgBAAAAh1IAAAIAAAAPNi4wNDM0ODYwMDk5NjU1AQ0AAAAFAAAAATkBAAAABzI2MjEyOTUCAAAABzE3NTcxNTgDAAAABjEwMDMwOAQAAAABMgYAAAABMAcAAAADMTYwCAAAAAEwCQAAAAExCgAAAAEwCwAAAAo2NzMwODU4NDQ3DAAAAAIxMg0AAAAKMTEvMjIvMjAwOKsltL2Tc9UIayOOrpdz1Qg2Q0lRLk5BU0RBUUdTOklOVEMuSVFfVEVWX0VCSVREQV9GV0RfQ0lRLjYwMDAuNS8yOC8yMDA0AQAAAIdSAAACAAAAEDEwLjA2MzY1NzgxMTU5OTkBDQAAAAUAAAABOQEAAAAHMjYyMTI5NQIAAAAHMTc1NzE0NAMAAAAGMTAwMzA4BAAAAAEyBgAAAAEwBwAAAAMxNjAIAAAAATAJAAAAATEKAAAAATALAAAACjExNjkxMjg2OTEMAAAAAjEyDQAAAAk1LzI5LzIwMDQ7nFW7k3PVCLvmjq6Xc9UINUNJUS5OYXNkYXFHUzpJTlRDLklRX1RFVl9UT1RBTF9SRVZfRldELjYwMDAuMS8xOS8yMDA3AQAAAIdSAAACAAAADzIuOTQ0MjM1MDk2OTMwNQENAAAABQAAAAE5AQAAAAcyNjIxMjk1AgAAAAQxODgy</t>
  </si>
  <si>
    <t>AwAAAAYxMDAzMDcEAAAAATIGAAAAATAHAAAAAzE2MAgAAAABMAkAAAABMQoAAAABMAsAAAALMTAzNzg1MTM0NTcMAAAAAjEyDQAAAAkxLzIwLzIwMDeLtLC7k3PVCEuhWUmXc9UINUNJUS5OQVNEQVFHUzpJTlRDLklRX1RFVl9FQklUREFfRldEX0NJUS42MDAwLjgvMS8yMDA4AQAAAIdSAAACAAAAEDcuMTMyNzY4NTAwODMxODQBDQAAAAUAAAABOQEAAAAHMjYyMTI5NQIAAAAHMTc1NzE1NwMAAAAGMTAwMzA4BAAAAAEyBgAAAAEwBwAAAAMxNjAIAAAAATAJAAAAATEKAAAAATALAAAACjY3MzEzNjQzNDEMAAAAAjEyDQAAAAg4LzIvMjAwOOvYVLuTc9UIayOOrpdz1Qg1Q0lRLk5hc2RhcUdTOklOVEMuSVFfVEVWX1RPVEFMX1JFVl9GV0QuNjAwMC42LzI3LzIwMDgBAAAAh1IAAAIAAAAQMi43NjQ1NjgxMDU5ODQ1NgENAAAABQAAAAE5AQAAAAcyNjIxMjk1AgAAAAcxNzU3MTU2AwAAAAYxMDAzMDcEAAAAATIGAAAAATAHAAAAAzE2MAgAAAABMAkAAAABMQoAAAABMAsAAAAKODI0ODUxMjQ0MwwAAAACMTINAAAACTYvMjgvMjAwONsiV7uTc9UIG/dMSZdz1QgsQ0lRLl5TUFguSVFfVEVWX1RPVEFMX1JFVl9GV0QuNjAwMC42LzEwLzIwMTUBAAAAm7goAAIAAAAIMi4wNjI2NTEAe42wu5Nz1QhrIDFLl3PVCC9DSVEuTkFTREFRR1M6SU5UQy5JUV9QRV9FWENMX0ZXRC42MDAwLjQvMjcvMjAxMgEAAACHUgAAAgAA</t>
  </si>
  <si>
    <t>AA8xMC40NTk1ODc5NTU2MjYBDQAAAAUAAAABOQEAAAAHMjYyMTI5NQIAAAAHMTc1NzE2OAMAAAAGMTAwMzA5BAAAAAEyBgAAAAEwBwAAAAMxNjAIAAAAATAJAAAAATEKAAAAATALAAAACjg4NjM0MzY0NDEMAAAAAjEyDQAAAAk0LzI4LzIwMTIbxrK9k3PVCEvdT0mXc9UIL0NJUS5OQVNEQVFHUzpJTlRDLklRX1BSSUNFX1NBTEVTLjIwMDAuMy8yNy8yMDE1AQAAAIdSAAACAAAACDIuODA3MDg3AQcAAAAFAAAAATEBAAAACjE3MTg4NTkyOTEDAAAAATACAAAABTM4OTU4BAAAAAEwBwAAAAkzLzI3LzIwMTUIAAAACTMvMjcvMjAxNbtqr72Tc9UICwVZSZdz1QgtQ0lRLl5TUFguSVFfVEVWX1RPVEFMX1JFVl9GV0QuNjAwMC4xMS8yMC8yMDEzAQAAAJu4KAACAAAABzEuNzM0MTYAqxJnuZNz1QgruTxLl3PVCC5DSVEuTkFTREFRR1M6SU5UQy5JUV9QRV9FWENMX0ZXRC42MDAwLjUvNC8yMDEyAQAAAIdSAAACAAAAEDEwLjI4MjY4MTYwNTQyNTEBDQAAAAUAAAABOQEAAAAHMjYyMTI5NQIAAAAHMTc1NzE2OAMAAAAGMTAwMzA5BAAAAAEyBgAAAAEwBwAAAAMxNjAIAAAAATAJAAAAATEKAAAAATALAAAACjg4NjM0MzY0NDEMAAAAAjEyDQAAAAg1LzUvMjAxMhvGsr2Tc9UIe1JQSZdz1QgsQ0lRLl5TUFguSVFfVEVWX0VCSVREQV9GV0RfQ0lRLjYwMDAuMS82LzIwMTYBAAAAm7goAAIAAAAHOS41Mjc5NgCb62a5k3PV</t>
  </si>
  <si>
    <t>CKvaLEuXc9UINUNJUS5OYXNkYXFHUzpJTlRDLklRX1RFVl9UT1RBTF9SRVZfRldELjYwMDAuMTIvNS8yMDAzAQAAAIdSAAACAAAAEDUuNzkwNDAxMTcwNDY0OTMBDQAAAAUAAAABOQEAAAAHMjYyMTI5NQIAAAAHMTc1NzE0MwMAAAAGMTAwMzA3BAAAAAEyBgAAAAEwBwAAAAMxNjAIAAAAATAJAAAAATEKAAAAATALAAAACjkxMTEwNjI1MTcMAAAAAjEyDQAAAAkxMi82LzIwMDOLrVW5k3PVCEuhWUmXc9UIL0NJUS5OQVNEQVFHUzpJTlRDLklRX1BSSUNFX1NBTEVTLjIwMDAuMTAvNC8yMDE3AQAAAIdSAAACAAAACDMuMDEyNzY2AQcAAAAFAAAAATEBAAAACjE4NTA2MTg2NjQDAAAAATACAAAABTM4OTU4BAAAAAEwBwAAAAkxMC80LzIwMTcIAAAACTEwLzQvMjAxN/uOUruTc9UISzr2Spdz1QgrQ0lRLl5TUFguSVFfVEVWX1RPVEFMX1JFVl9GV0QuNjAwMC43LzMvMjAxMwEAAACbuCgAAgAAAAgxLjYyNjIzNABrX1W5k3PVCHt8PUuXc9UILkNJUS5eU1BYLklRX1RFVl9FQklUREFfRldEX0NJUS42MDAwLjEwLzIxLzIwMTUBAAAAm7goAAIAAAAIOS41NTU0MzgAa19VuZNz1Qh71i5Ll3PVCC5DSVEuTkFTREFRR1M6SU5UQy5JUV9QRV9FWENMX0ZXRC42MDAwLjEvNC8yMDEzAQAAAIdSAAACAAAAEDEwLjg0MDcxOTI5OTE0NDQBDQAAAAUAAAABOQEAAAAHMjYyMTI5NQIAAAAHMTc1NzE3MAMAAAAGMTAwMzA5BAAA</t>
  </si>
  <si>
    <t>AAEyBgAAAAEwBwAAAAMxNjAIAAAAATAJAAAAATEKAAAAATALAAAACjg4NjM0MzQ2MjkMAAAAAjEyDQAAAAgxLzUvMjAxMwufsr2Tc9UI2x5WSZdz1QgsQ0lRLk5BU0RBUUdTOklOVEMuSVFfTEFTVFNBTEVQUklDRS44LzIwLzIwMTQBAAAAh1IAAAIAAAAEMzQuNQALtlK7k3PVCBuwN0uXc9UIKENJUS5OQVNEQVFHUzpJTlRDLklRX1BUQlYuMjAwMC45LzI5LzIwMTcBAAAAh1IAAAIAAAAIMy45MTkyNjQBBwAAAAUAAAABMQEAAAAKMTg1MDYxODY2NAMAAAABMAIAAAAGMTAwMDI5BAAAAAEwBwAAAAk5LzI5LzIwMTcIAAAACTkvMjkvMjAxNzvxr7uTc9UIS05SSZdz1QgtQ0lRLl5TUFguSVFfVEVWX0VCSVREQV9GV0RfQ0lRLjYwMDAuNC8yMC8yMDE2AQAAAJu4KAACAAAACTEwLjE2NTc5NABrZrC7k3PVCJtCKkuXc9UILENJUS5eU1BYLklRX1RFVl9UT1RBTF9SRVZfRldELjYwMDAuNy8xMy8yMDE2AQAAAJu4KAACAAAACDIuMTAwOTc1ANu4r72Tc9UIm9EnS5dz1QgwQ0lRLk5BU0RBUUdTOklOVEMuSVFfUEVfRVhDTF9GV0QuNjAwMC4xMC8yNi8yMDA3AQAAAIdSAAACAAAAEDE4LjM2NDYwMTc2OTkxMTUBDQAAAAUAAAABOQEAAAAHMjYyMTI5NQIAAAAHMTc1NzE1NQMAAAAGMTAwMzA5BAAAAAEyBgAAAAEwBwAAAAMxNjAIAAAAATAJAAAAATEKAAAAATALAAAACjg4NjQ0ODUxMjMMAAAAAjEyDQAAAAoxMC8y</t>
  </si>
  <si>
    <t>Ny8yMDA3SzuzvZNz1Qg7CVdJl3PVCC9DSVEuTkFTREFRR1M6SU5UQy5JUV9QRV9FWENMX0ZXRC42MDAwLjkvMTMvMjAxMwEAAACHUgAAAgAAABAxMi4wMjk3NjY0ODcwNDEzAQ0AAAAFAAAAATkBAAAABzI2MjEyOTUCAAAABzM4Mjk3NTIDAAAABjEwMDMwOQQAAAABMgYAAAABMAcAAAADMTYwCAAAAAEwCQAAAAExCgAAAAEwCwAAAAo2OTU3NjM3Nzc3DAAAAAIxMg0AAAAJOS8xNC8yMDEzC5+yvZNz1QhbyFlJl3PVCChDSVEuTkFTREFRR1M6SU5UQy5JUV9QVEJWLjIwMDAuNS8yMi8yMDE1AQAAAIdSAAACAAAACDMuOTcwNzU5AQcAAAAFAAAAATEBAAAACjE3MzA3NjI3NTUDAAAAATACAAAABjEwMDAyOQQAAAABMAcAAAAJNS8yMi8yMDE1CAAAAAk1LzIyLzIwMTWrQ6+9k3PVCIs9WkmXc9UIL0NJUS5OQVNEQVFHUzpJTlRDLklRX1BSSUNFX1NBTEVTLjIwMDAuNS8yNC8yMDEzAQAAAIdSAAACAAAACDIuMjQ4Njg5AQcAAAAFAAAAATEBAAAACjE2MTQwNzQ5NDIDAAAAATACAAAABTM4OTU4BAAAAAEwBwAAAAk1LzI0LzIwMTMIAAAACTUvMjQvMjAxMzvxr7uTc9UIW3VSSZdz1Qg1Q0lRLk5hc2RhcUdTOklOVEMuSVFfVEVWX1RPVEFMX1JFVl9GV0QuNjAwMC40LzIwLzIwMDEBAAAAh1IAAAIAAAAQNy4yOTA3MzQ0Nzk3NTk1NgENAAAABQAAAAE5AQAAAAcyNjIxMjk1AgAAAAczNDIxMTYwAwAAAAYxMDAzMDcE</t>
  </si>
  <si>
    <t>AAAAATIGAAAAATAHAAAAAzE2MAgAAAABMAkAAAABMQoAAAABMAsAAAAKMTE2OTE1MjM0OQwAAAACMTINAAAACTQvMjEvMjAwMZvUVbmTc9UIK3FUSZdz1QgfQ0lRLl5TUFguSVFfUFRCVi4yMDAwLjcvMTMvMjAxNgEAAACbuCgAAgAAAAg3LjI4OTI1OABbOFW5k3PVCJvRJ0uXc9UINkNJUS5OYXNkYXFHUzpJTlRDLklRX1RFVl9FQklUREFfRldEX0NJUS42MDAwLjkvMTMvMjAwMgEAAACHUgAAAgAAABA5LjEzMTU4MDE3NzIxNjE0AQ0AAAAFAAAAATkBAAAABzI2MjEyOTUCAAAABzE3NTcxMzkDAAAABjEwMDMwOAQAAAABMgYAAAABMAcAAAADMTYwCAAAAAEwCQAAAAExCgAAAAEwCwAAAAoxMTY5MTI2MDQ3DAAAAAIxMg0AAAAJOS8xNC8yMDAyu0y0vZNz1QjbNI+ul3PVCC5DSVEuTmFzZGFxR1M6SU5UQy5JUV9QRV9FWENMX0ZXRC42MDAwLjIvMy8yMDE3AQAAAIdSAAACAAAAEDEzLjExMTM2NDAxOTg2MDkBDQAAAAUAAAABOQEAAAAHMjYyMTI5NQIAAAAKMTAwMDk0NDM4NwMAAAAGMTAwMzA5BAAAAAEyBgAAAAEwBwAAAAMxNjAIAAAAATAJAAAAATEKAAAAATALAAAACjk5NzY0NTI4NzYMAAAAAjEyDQAAAAgyLzQvMjAxN6sltL2Tc9UIe6VXSZdz1QgnQ0lRLk5BU0RBUUdTOklOVEMuSVFfUFRCVi4yMDAwLjgvNS8yMDExAQAAAIdSAAACAAAACDMuMzQ3MTg4AQcAAAAFAAAAATEBAAAACjE0NjIzNTQxNzID</t>
  </si>
  <si>
    <t>AAAAATACAAAABjEwMDAyOQQAAAABMAcAAAAIOC81LzIwMTEIAAAACDgvNS8yMDExSxiwu5Nz1Qirx1BJl3PVCDVDSVEuTmFzZGFxR1M6SU5UQy5JUV9URVZfVE9UQUxfUkVWX0ZXRC42MDAwLjYvMjYvMjAxNQEAAACHUgAAAgAAABAyLjU4NTQyMTUwMDc2OTM2AQ0AAAAFAAAAATkBAAAABzI2MjEyOTUCAAAABzgwNjgyNjADAAAABjEwMDMwNwQAAAABMgYAAAABMAcAAAADMTYwCAAAAAEwCQAAAAExCgAAAAEwCwAAAAo4ODg2MTA4NDEyDAAAAAIxMg0AAAAJNi8yNy8yMDE1y/tWu5Nz1QiLW1VJl3PVCC1DSVEuTkFTREFRR1M6SU5UQy5JUV9MQVNUU0FMRVBSSUNFLjEwLzI1LzIwMTcBAAAAh1IAAAIAAAAFNDAuNzgAWz+wu5Nz1Qjr3vJKl3PVCCxDSVEuXlNQWC5JUV9URVZfVE9UQUxfUkVWX0ZXRC42MDAwLjcvMTUvMjAxNQEAAACbuCgAAgAAAAgyLjA2MjM5MgAb3VK7k3PVCDurMEuXc9UIL0NJUS5OQVNEQVFHUzpJTlRDLklRX1BSSUNFX1NBTEVTLjIwMDAuNC8xNy8yMDE0AQAAAIdSAAACAAAACDIuNTQ0MTM4AQcAAAAFAAAAATEBAAAACjE2NjkwMjQ1NjIDAAAAATACAAAABTM4OTU4BAAAAAEwBwAAAAk0LzE3LzIwMTQIAAAACTQvMTcvMjAxNNvXubeTc9UIe3BLSZdz1Qg2Q0lRLk5hc2RhcUdTOklOVEMuSVFfVEVWX0VCSVREQV9GV0RfQ0lRLjYwMDAuNC8yNS8yMDAzAQAAAIdSAAACAAAAEDkuNTc3</t>
  </si>
  <si>
    <t>NzM1OTMzNTAxNDYBDQAAAAUAAAABOQEAAAAHMjYyMTI5NQIAAAAHMTc1NzE0MQMAAAAGMTAwMzA4BAAAAAEyBgAAAAEwBwAAAAMxNjAIAAAAATAJAAAAATEKAAAAATALAAAACjExNjkxMjY5ODAMAAAAAjEyDQAAAAk0LzI2LzIwMDO71Fa7k3PVCNs0j66Xc9UIL0NJUS5OQVNEQVFHUzpJTlRDLklRX1BSSUNFX1NBTEVTLjIwMDAuMTIvOS8yMDE2AQAAAIdSAAACAAAACDIuOTE3NjQ5AQcAAAAFAAAAATEBAAAACjE4MTU1NDQ0NTADAAAAATACAAAABTM4OTU4BAAAAAEwBwAAAAkxMi85LzIwMTYIAAAACTEyLzkvMjAxNsuwubeTc9UIW5NNSZdz1QgsQ0lRLl5TUFguSVFfVEVWX1RPVEFMX1JFVl9GV0QuNjAwMC4xMC85LzIwMTMBAAAAm7goAAIAAAAIMS42NTQ5NDUAe42wu5Nz1QhLBz1Ll3PVCDVDSVEuTmFzZGFxR1M6SU5UQy5JUV9URVZfVE9UQUxfUkVWX0ZXRC42MDAwLjEvMjYvMjAxOAEAAACHUgAAAgAAABAzLjgxMTM3MTE3NjcwNDk2AQ0AAAAFAAAAATkBAAAABzI2MjEyOTUCAAAACjEwMDE1Mjg1MjcDAAAABjEwMDMwNwQAAAABMgYAAAABMAcAAAADMTYwCAAAAAEwCQAAAAExCgAAAAEwCwAAAAsxMDcwMDc3MDc2OAwAAAACMTINAAAACTEvMjcvMjAxOPslureTc9UImxFTSZdz1QgoQ0lRLk5BU0RBUUdTOklOVEMuSVFfUFRCVi4yMDAwLjYvMjgvMjAxMwEAAACHUgAAAgAAAAgzLjM2NDc2NwEHAAAA</t>
  </si>
  <si>
    <t>BQAAAAExAQAAAAoxNjE0MDc0OTQyAwAAAAEwAgAAAAYxMDAwMjkEAAAAATAHAAAACTYvMjgvMjAxMwgAAAAJNi8yOC8yMDEzO+pUuZNz1QhL3U9Jl3PVCCxDSVEuTkFTREFRR1M6SU5UQy5JUV9MQVNUU0FMRVBSSUNFLjUvMjAvMjAxNQEAAACHUgAAAgAAAAUzMy4zNwBbP7C7k3PVCJuVMUuXc9UINkNJUS5OQVNEQVFHUzpJTlRDLklRX1RFVl9FQklUREFfRldEX0NJUS42MDAwLjMvMjQvMjAxNgEAAACHUgAAAgAAABA2LjUzOTY3MzM0NjkyMTA2AQ0AAAAFAAAAATkBAAAABzI2MjEyOTUCAAAACjEwMDA5MTU0MDIDAAAABjEwMDMwOAQAAAABMgYAAAABMAcAAAADMTYwCAAAAAEwCQAAAAExCgAAAAEwCwAAAAo5MzU2Mzc5MTY3DAAAAAIxMg0AAAAJMy8yNS8yMDE2W3lTu5Nz1QiLcY6ul3PVCDdDSVEuTmFzZGFxR1M6SU5UQy5JUV9URVZfRUJJVERBX0ZXRF9DSVEuNjAwMC4xMS8xMi8yMDA0AQAAAIdSAAACAAAAEDkuODg0NDQwNzc2MjAwNDMBDQAAAAUAAAABOQEAAAAHMjYyMTI5NQIAAAAHMTc1NzE0NgMAAAAGMTAwMzA4BAAAAAEyBgAAAAEwBwAAAAMxNjAIAAAAATAJAAAAATEKAAAAATALAAAACjExNjkxMjk2ODYMAAAAAjEyDQAAAAoxMS8xMy8yMDA0u9RWu5Nz1Qi75o6ul3PVCDVDSVEuTmFzZGFxR1M6SU5UQy5JUV9URVZfVE9UQUxfUkVWX0ZXRC42MDAwLjIvMTcvMjAxMgEAAACHUgAAAgAAABAy</t>
  </si>
  <si>
    <t>LjMzMzUzMzIxMjM2MTg1AQ0AAAAFAAAAATkBAAAABzI2MjEyOTUCAAAABDE4ODcDAAAABjEwMDMwNwQAAAABMgYAAAABMAcAAAADMTYwCAAAAAEwCQAAAAExCgAAAAEwCwAAAAo1NzQ4ODI3NjM1DAAAAAIxMg0AAAAJMi8xOC8yMDEyyyG8t5Nz1Qgrj09Jl3PVCDRDSVEuTmFzZGFxR1M6SU5UQy5JUV9URVZfVE9UQUxfUkVWX0ZXRC42MDAwLjEvMi8yMDE1AQAAAIdSAAACAAAAEDMuMDA3NTQ4NDQyNTI2OTIBDQAAAAUAAAABOQEAAAAHMjYyMTI5NQIAAAAHNDQ1NjQyOQMAAAAGMTAwMzA3BAAAAAEyBgAAAAEwBwAAAAMxNjAIAAAAATAJAAAAATEKAAAAATALAAAACjg4NjQ0Mzc3OTQMAAAAAjEyDQAAAAgxLzMvMjAxNXuNsLuTc9UIKx5NSZdz1QgvQ0lRLk5BU0RBUUdTOklOVEMuSVFfUFJJQ0VfU0FMRVMuMjAwMC41LzE1LzIwMTMBAAAAh1IAAAIAAAAIMi4yNzQ3MjcBBwAAAAUAAAABMQEAAAAKMTYxNDA3NDk0MgMAAAABMAIAAAAFMzg5NTgEAAAAATAHAAAACTUvMTUvMjAxMwgAAAAJNS8xNS8yMDEzu2qvvZNz1Qibyj1Ll3PVCClDSVEuTkFTREFRR1M6SU5UQy5JUV9QVEJWLjIwMDAuMTAvMjEvMjAxNgEAAACHUgAAAgAAAAg0LjE4OTAxMQEHAAAABQAAAAExAQAAAAoxODEzNTE0MzY0AwAAAAEwAgAAAAYxMDAwMjkEAAAAATAHAAAACjEwLzIxLzIwMTYIAAAACjEwLzIxLzIwMTZ7nWa5k3PVCAsjVEmX</t>
  </si>
  <si>
    <t>c9UIIkNJUS5eU1BYLklRX0xBU1RTQUxFUFJJQ0UuOC83LzIwMTMBAAAAm7goAAIAAAAPMTY5MC45MTA0MTkzMjQzANvXubeTc9UIWy49S5dz1QgvQ0lRLk5BU0RBUUdTOklOVEMuSVFfUEVfRVhDTF9GV0QuNjAwMC4zLzMwLzIwMTIBAAAAh1IAAAIAAAAQMTEuMDY4ODk3NjM3Nzk1MwENAAAABQAAAAE5AQAAAAcyNjIxMjk1AgAAAAQxODg3AwAAAAYxMDAzMDkEAAAAATIGAAAAATAHAAAAAzE2MAgAAAABMAkAAAABMQoAAAABMAsAAAAKNzYxNjIwMTk4NAwAAAACMTINAAAACTMvMzEvMjAxMhvGsr2Tc9UIezRVSZdz1QgtQ0lRLl5TUFguSVFfVEVWX1RPVEFMX1JFVl9GV0QuNjAwMC4xMi8yMy8yMDE1AQAAAJu4KAACAAAACDIuMDM0Njk2AJvrZrmTc9UI208tS5dz1QgvQ0lRLk5BU0RBUUdTOklOVEMuSVFfUEVfRVhDTF9GV0QuNjAwMC4zLzE3LzIwMDYBAAAAh1IAAAIAAAAQMTkuMDQ0ODM0MzA3OTkyMgENAAAABQAAAAE5AQAAAAcyNjIxMjk1AgAAAAQxODgxAwAAAAYxMDAzMDkEAAAAATIGAAAAATAHAAAAAzE2MAgAAAABMAkAAAABMQoAAAABMAsAAAAHMTUxNjg5MgwAAAACMTINAAAACTMvMTgvMjAwNltis72Tc9UIG0pUSZdz1QgtQ0lRLk5BU0RBUUdTOklOVEMuSVFfTEFTVFNBTEVQUklDRS4xMi8yOC8yMDE2AQAAAIdSAAACAAAABTM2LjYzAEsoZrmTc9UIC64cS5dz1Qg1Q0lRLk5hc2RhcUdTOklO</t>
  </si>
  <si>
    <t>VEMuSVFfVEVWX1RPVEFMX1JFVl9GV0QuNjAwMC45LzI0LzIwMDQBAAAAh1IAAAIAAAAQMy4yNzIwNzgwODA0NDM5NQENAAAABQAAAAE5AQAAAAcyNjIxMjk1AgAAAAcxNzU3MTQ1AwAAAAYxMDAzMDcEAAAAATIGAAAAATAHAAAAAzE2MAgAAAABMAkAAAABMQoAAAABMAsAAAAKMTE2OTEyODgyNwwAAAACMTINAAAACTkvMjUvMjAwNKsltL2Tc9UIS79USZdz1QgrQ0lRLk5BU0RBUUdTOklOVEMuSVFfTEFTVFNBTEVQUklDRS44LzUvMjAxNQEAAACHUgAAAgAAAAUyOS4xMgALtlK7k3PVCAs2MEuXc9UIL0NJUS5OQVNEQVFHUzpJTlRDLklRX1BSSUNFX1NBTEVTLjIwMDAuNy8yMi8yMDE1AQAAAIdSAAACAAAACDIuNDc4NjIzAQcAAAAFAAAAATEBAAAACjE3NDYxMjA0NzYDAAAAATACAAAABTM4OTU4BAAAAAEwBwAAAAk3LzIyLzIwMTUIAAAACTcvMjIvMjAxNQu2UruTc9UIK4QwS5dz1Qg2Q0lRLk5hc2RhcUdTOklOVEMuSVFfVEVWX1RPVEFMX1JFVl9GV0QuNjAwMC4xMC8xOS8yMDEyAQAAAIdSAAACAAAAEDEuOTE5ODg2NTMzMDY0NzIBDQAAAAUAAAABOQEAAAAHMjYyMTI5NQIAAAAHMTc1NzE3MAMAAAAGMTAwMzA3BAAAAAEyBgAAAAEwBwAAAAMxNjAIAAAAATAJAAAAATEKAAAAATALAAAACjg4NjQ0MzQzNDEMAAAAAjEyDQAAAAoxMC8yMC8yMDEy60lXu5Nz1QjrtlhJl3PVCB9DSVEuXlNQWC5JUV9QVEJW</t>
  </si>
  <si>
    <t>LjIwMDAuOS8yOC8yMDE2AQAAAJu4KAACAAAACDcuNjQ4NjgyANvXubeTc9UIqxYjS5dz1Qg2Q0lRLk5BU0RBUUdTOklOVEMuSVFfVEVWX0VCSVREQV9GV0RfQ0lRLjYwMDAuMi8yNy8yMDA0AQAAAIdSAAACAAAADzEwLjI0MjA3MzA5MDIzNQENAAAABQAAAAE5AQAAAAcyNjIxMjk1AgAAAAQxODc5AwAAAAYxMDAzMDgEAAAAATIGAAAAATAHAAAAAzE2MAgAAAABMAkAAAABMQoAAAABMAsAAAAJMzYwNjYzMjkyDAAAAAIxMg0AAAAJMi8yOC8yMDA0O5xVu5Nz1Qg7ro2ul3PVCC9DSVEuTkFTREFRR1M6SU5UQy5JUV9QUklDRV9TQUxFUy4yMDAwLjkvMzAvMjAxNgEAAACHUgAAAgAAAAgzLjE1MzYxMgEHAAAABQAAAAExAQAAAAoxODAxMjk0NTAxAwAAAAEwAgAAAAUzODk1OAQAAAABMAcAAAAJOS8zMC8yMDE2CAAAAAk5LzMwLzIwMTZrdma5k3PVCFvmVEmXc9UINkNJUS5OYXNkYXFHUzpJTlRDLklRX1RFVl9FQklUREFfRldEX0NJUS42MDAwLjExLzQvMjAxNgEAAACHUgAAAgAAABA3LjEwNzY2NzIwMTE5Njc0AQ0AAAAFAAAAATkBAAAABzI2MjEyOTUCAAAACDI3MDAzNjUzAwAAAAYxMDAzMDgEAAAAATIGAAAAATAHAAAAAzE2MAgAAAABMAkAAAABMQoAAAABMAsAAAAKOTc3OTc5MzczMwwAAAACMTINAAAACTExLzUvMjAxNns4VruTc9UICzmNrpdz1Qg2Q0lRLk5BU0RBUUdTOklOVEMuSVFfVEVWX0VCSVRE</t>
  </si>
  <si>
    <t>QV9GV0RfQ0lRLjYwMDAuMTAvOS8yMDE1AQAAAIdSAAACAAAADzYuNTA3MTQ3ODg3OTc3OQENAAAABQAAAAE5AQAAAAcyNjIxMjk1AgAAAAc4MDY4MjYxAwAAAAYxMDAzMDgEAAAAATIGAAAAATAHAAAAAzE2MAgAAAABMAkAAAABMQoAAAABMAsAAAAKOTA2MTU5OTg3OAwAAAACMTINAAAACjEwLzEwLzIwMTVbeVO7k3PVCEvVja6Xc9UILkNJUS5OQVNEQVFHUzpJTlRDLklRX1BFX0VYQ0xfRldELjYwMDAuNS85LzIwMDgBAAAAh1IAAAIAAAAQMTcuNDg0NjYyNTc2Njg3MQENAAAABQAAAAE5AQAAAAcyNjIxMjk1AgAAAAcxNzU3MTU2AwAAAAYxMDAzMDkEAAAAATIGAAAAATAHAAAAAzE2MAgAAAABMAkAAAABMQoAAAABMAsAAAAKODg2NDQ4NTE0OQwAAAACMTINAAAACTUvMTAvMjAwOEs7s72Tc9UIiwhOSZdz1Qg1Q0lRLk5hc2RhcUdTOklOVEMuSVFfVEVWX1RPVEFMX1JFVl9GV0QuNjAwMC45LzE4LzIwMTUBAAAAh1IAAAIAAAAQMi40MTgzOTM0OTMyNjI3NwENAAAABQAAAAE5AQAAAAcyNjIxMjk1AgAAAAc4MDY4MjYxAwAAAAYxMDAzMDcEAAAAATIGAAAAATAHAAAAAzE2MAgAAAABMAkAAAABMQoAAAABMAsAAAAKOTAxNTE2NzE3NAwAAAACMTINAAAACTkvMTkvMjAxNasltL2Tc9UIG9lRSZdz1Qg1Q0lRLk5hc2RhcUdTOklOVEMuSVFfVEVWX1RPVEFMX1JFVl9GV0QuNjAwMC4zLzMwLzIwMTIBAAAAh1IA</t>
  </si>
  <si>
    <t>AAIAAAAQMi4zNDk2MTczMzA2NzczOAENAAAABQAAAAE5AQAAAAcyNjIxMjk1AgAAAAQxODg3AwAAAAYxMDAzMDcEAAAAATIGAAAAATAHAAAAAzE2MAgAAAABMAkAAAABMQoAAAABMAsAAAAKNTc0ODgyNzY0MQwAAAACMTINAAAACTMvMzEvMjAxMpuGVruTc9UIC7JRSZdz1QgsQ0lRLl5TUFguSVFfVEVWX1RPVEFMX1JFVl9GV0QuNjAwMC4zLzMwLzIwMTYBAAAAm7goAAIAAAAIMi4wNTYzNzIA27ivvZNz1QjLtypLl3PVCC1DSVEuXlNQWC5JUV9URVZfRUJJVERBX0ZXRF9DSVEuNjAwMC41LzI1LzIwMTYBAAAAm7goAAIAAAAJMTAuMDQ4Njg3ABvdUruTc9UIW6YpS5dz1QgvQ0lRLk5BU0RBUUdTOklOVEMuSVFfUEVfRVhDTF9GV0QuNjAwMC43LzEyLzIwMDIBAAAAh1IAAAIAAAAQMjkuMjUyMDMyNTIwMzI1MgENAAAABQAAAAE5AQAAAAcyNjIxMjk1AgAAAAcxNzU3MTM4AwAAAAYxMDAzMDkEAAAAATIGAAAAATAHAAAAAzE2MAgAAAABMAkAAAABMQoAAAABMAsAAAAKODg2MDUwNjg5MQwAAAACMTINAAAACTcvMTMvMjAwMnuws72Tc9UIO9RKSZdz1QgvQ0lRLk5BU0RBUUdTOklOVEMuSVFfUEVfRVhDTF9GV0QuNjAwMC40LzEyLzIwMTMBAAAAh1IAAAIAAAAQMTEuNDMxMTE3OTU1NDI1MgENAAAABQAAAAE5AQAAAAcyNjIxMjk1AgAAAAczNjUyNjYwAwAAAAYxMDAzMDkEAAAAATIGAAAAATAHAAAAAzE2MAgA</t>
  </si>
  <si>
    <t>AAABMAkAAAABMQoAAAABMAsAAAAKNTc0ODMwMzAxNgwAAAACMTINAAAACTQvMTMvMjAxM6sltL2Tc9UIS91PSZdz1QgwQ0lRLk5BU0RBUUdTOklOVEMuSVFfUEVfRVhDTF9GV0QuNjAwMC4xMS8zMC8yMDEyAQAAAIdSAAACAAAAEDkuOTY5NDI2NzUxNTkyMzYBDQAAAAUAAAABOQEAAAAHMjYyMTI5NQIAAAAHMTc1NzE3MAMAAAAGMTAwMzA5BAAAAAEyBgAAAAEwBwAAAAMxNjAIAAAAATAJAAAAATEKAAAAATALAAAACjg4NjM0MzQ2MjcMAAAAAjEyDQAAAAkxMi8xLzIwMTILn7K9k3PVCDsJV0mXc9UIL0NJUS5OQVNEQVFHUzpJTlRDLklRX1BFX0VYQ0xfRldELjYwMDAuMTIvNi8yMDEzAQAAAIdSAAACAAAAEDEzLjI4NTUxNTQ2OTQzNTgBDQAAAAUAAAABOQEAAAAHMjYyMTI5NQIAAAAHMzgyOTc1MwMAAAAGMTAwMzA5BAAAAAEyBgAAAAEwBwAAAAMxNjAIAAAAATAJAAAAATEKAAAAATALAAAACjcwNjA4NzUwMzAMAAAAAjEyDQAAAAkxMi83LzIwMTP7d7K9k3PVCDsnUkmXc9UILkNJUS5OQVNEQVFHUzpJTlRDLklRX1BFX0VYQ0xfRldELjYwMDAuMi80LzIwMTEBAAAAh1IAAAIAAAAQMTAuNjUzMjQ4NTUyODY4MgENAAAABQAAAAE5AQAAAAcyNjIxMjk1AgAAAAQxODg2AwAAAAYxMDAzMDkEAAAAATIGAAAAATAHAAAAAzE2MAgAAAABMAkAAAABMQoAAAABMAsAAAAKNTc0Nzg5MjQ3NgwAAAACMTINAAAACDIv</t>
  </si>
  <si>
    <t>NS8yMDExu0y0vZNz1Qg7ellJl3PVCC5DSVEuTkFTREFRR1M6SU5UQy5JUV9QRV9FWENMX0ZXRC42MDAwLjkvNS8yMDE0AQAAAIdSAAACAAAADzE1LjE4NjM1ODMxMTI3NwENAAAABQAAAAE5AQAAAAcyNjIxMjk1AgAAAAc0NDU2NDI4AwAAAAYxMDAzMDkEAAAAATIGAAAAATAHAAAAAzE2MAgAAAABMAkAAAABMQoAAAABMAsAAAAKODc5ODE3Mjk4NgwAAAACMTINAAAACDkvNi8yMDE0+3eyvZNz1Qib81dJl3PVCDZDSVEuTkFTREFRR1M6SU5UQy5JUV9URVZfRUJJVERBX0ZXRF9DSVEuNjAwMC44LzI2LzIwMTEBAAAAh1IAAAIAAAAQMy45OTE5MTg1MTI2MDQwOAENAAAABQAAAAE5AQAAAAcyNjIxMjk1AgAAAAcxNzU3MTY2AwAAAAYxMDAzMDgEAAAAATIGAAAAATAHAAAAAzE2MAgAAAABMAkAAAABMQoAAAABMAsAAAAKODE3MDcwNTQxNQwAAAACMTINAAAACTgvMjcvMjAxMas8VLuTc9UIayOOrpdz1QgsQ0lRLk5BU0RBUUdTOklOVEMuSVFfTEFTVFNBTEVQUklDRS4zLzE1LzIwMTcBAAAAh1IAAAIAAAAEMzUuMQBbT2a5k3PVCCsaGEuXc9UINUNJUS5OQVNEQVFHUzpJTlRDLklRX1RFVl9FQklUREFfRldEX0NJUS42MDAwLjcvNi8yMDAxAQAAAIdSAAACAAAAEDIyLjcxMDg3MDY3NjE1NjEBDQAAAAUAAAABOQEAAAAHMjYyMTI5NQIAAAAHMzQyMTE2MAMAAAAGMTAwMzA4BAAAAAEyBgAAAAEwBwAAAAMxNjAI</t>
  </si>
  <si>
    <t>AAAAATAJAAAAATEKAAAAATALAAAACjExNjkxNTI0MzIMAAAAAjEyDQAAAAg3LzcvMjAwMWsRVruTc9UIi+KQrpdz1QgsQ0lRLk5BU0RBUUdTOklOVEMuSVFfTEFTVFNBTEVQUklDRS42LzE1LzIwMTYBAAAAh1IAAAIAAAAFMzEuNjEAK8NUuZNz1Qg7WClLl3PVCC9DSVEuTkFTREFRR1M6SU5UQy5JUV9QUklDRV9TQUxFUy4yMDAwLjgvMzEvMjAxMgEAAACHUgAAAgAAAAgyLjMxMDA5NQEHAAAABQAAAAExAQAAAAoxNTU3MjE2MjQ2AwAAAAEwAgAAAAUzODk1OAQAAAABMAcAAAAJOC8zMS8yMDEyCAAAAAk4LzMxLzIwMTI76lS5k3PVCEvdT0mXc9UILkNJUS5OQVNEQVFHUzpJTlRDLklRX1BFX0VYQ0xfRldELjYwMDAuMy80LzIwMTEBAAAAh1IAAAIAAAAQMTAuNTkwMzI3MjM5MTQ2OQENAAAABQAAAAE5AQAAAAcyNjIxMjk1AgAAAAQxODg2AwAAAAYxMDAzMDkEAAAAATIGAAAAATAHAAAAAzE2MAgAAAABMAkAAAABMQoAAAABMAsAAAAKNTc0Nzg5MjQ4MwwAAAACMTINAAAACDMvNS8yMDExG8ayvZNz1QirVk5Jl3PVCDVDSVEuTmFzZGFxR1M6SU5UQy5JUV9URVZfVE9UQUxfUkVWX0ZXRC42MDAwLjEyLzUvMjAxNAEAAACHUgAAAgAAABAzLjExNjM4NjIzMDkzNDUzAQ0AAAAFAAAAATkBAAAABzI2MjEyOTUCAAAABzQ0NTY0MjkDAAAABjEwMDMwNwQAAAABMgYAAAABMAcAAAADMTYwCAAAAAEwCQAAAAExCgAA</t>
  </si>
  <si>
    <t>AAEwCwAAAAo4ODY0NDM3NzkxDAAAAAIxMg0AAAAJMTIvNi8yMDE0656xu5Nz1QjbPFFJl3PVCC9DSVEuTkFTREFRR1M6SU5UQy5JUV9QRV9FWENMX0ZXRC42MDAwLjQvMjgvMjAxNwEAAACHUgAAAgAAABAxMi42NTgwMDYyMzI3MTEyAQ0AAAAFAAAAATkBAAAABzI2MjEyOTUCAAAACDI3NTAwMTcyAwAAAAYxMDAzMDkEAAAAATIGAAAAATAHAAAAAzE2MAgAAAABMAkAAAABMQoAAAABMAsAAAALMTAxNDY5MDA2ODcMAAAAAjEyDQAAAAk0LzI5LzIwMTfbKbK9k3PVCLvuUEmXc9UIIkNJUS5eU1BYLklRX0xBU1RTQUxFUFJJQ0UuMy82LzIwMTMBAAAAm7goAAIAAAAPMTU0MS40NTg5MDY2NTAzAFtPZrmTc9UIuxg+S5dz1QgvQ0lRLk5BU0RBUUdTOklOVEMuSVFfUEVfRVhDTF9GV0QuNjAwMC44LzMxLzIwMDcBAAAAh1IAAAIAAAAQMjAuODg3NDEwNzcyMjI1OAENAAAABQAAAAE5AQAAAAcyNjIxMjk1AgAAAAcxNzU3MTU0AwAAAAYxMDAzMDkEAAAAATIGAAAAATAHAAAAAzE2MAgAAAABMAkAAAABMQoAAAABMAsAAAALMTAzMzQyMDcwMjMMAAAAAjEyDQAAAAg5LzEvMjAwN0s7s72Tc9UIG0pUSZdz1QgwQ0lRLk5BU0RBUUdTOklOVEMuSVFfUEVfRVhDTF9GV0QuNjAwMC4xMS8yOS8yMDEzAQAAAIdSAAACAAAAEDEyLjc3NTMwNjc4OTU2MTEBDQAAAAUAAAABOQEAAAAHMjYyMTI5NQIAAAAHMzgyOTc1MwMAAAAG</t>
  </si>
  <si>
    <t>MTAwMzA5BAAAAAEyBgAAAAEwBwAAAAMxNjAIAAAAATAJAAAAATEKAAAAATALAAAACjY5NTU0MjY0MDEMAAAAAjEyDQAAAAoxMS8zMC8yMDEz+3eyvZNz1Qi7QVhJl3PVCC9DSVEuTkFTREFRR1M6SU5UQy5JUV9QUklDRV9TQUxFUy4yMDAwLjIvMTkvMjAxNAEAAACHUgAAAgAAAAcyLjMxMDE4AQcAAAAFAAAAATEBAAAACjE2NTgzNDI3ODADAAAAATACAAAABTM4OTU4BAAAAAEwBwAAAAkyLzE5LzIwMTQIAAAACTIvMTkvMjAxNOvRiLaTc9UIy847S5dz1QguQ0lRLk5BU0RBUUdTOklOVEMuSVFfUEVfRVhDTF9GV0QuNjAwMC4xLzcvMjAwNQEAAACHUgAAAgAAABAxOS43NTczNjU2ODQ1NzU0AQ0AAAAFAAAAATkBAAAABzI2MjEyOTUCAAAABzE3NTcxNDYDAAAABjEwMDMwOQQAAAABMgYAAAABMAcAAAADMTYwCAAAAAEwCQAAAAExCgAAAAEwCwAAAAoxMTY5MTU3NDMyDAAAAAIxMg0AAAAIMS84LzIwMDVribO9k3PVCDu2T0mXc9UIMENJUS5OQVNEQVFHUzpJTlRDLklRX1BFX0VYQ0xfRldELjYwMDAuMTIvMjgvMjAwNwEAAACHUgAAAgAAABAxOC41NjI3MDgxMDIxMDg4AQ0AAAAFAAAAATkBAAAABzI2MjEyOTUCAAAABzE3NTcxNTUDAAAABjEwMDMwOQQAAAABMgYAAAABMAcAAAADMTYwCAAAAAEwCQAAAAExCgAAAAEwCwAAAAo4ODY0NDg1MTM2DAAAAAIxMg0AAAAKMTIvMjkvMjAwN6sltL2Tc9UIaw1VSZdz</t>
  </si>
  <si>
    <t>1QgnQ0lRLk5BU0RBUUdTOklOVEMuSVFfUFRCVi4yMDAwLjMvNy8yMDE0AQAAAIdSAAACAAAACDIuODczNDAzAQcAAAAFAAAAATEBAAAACjE2NTgzNDI3ODADAAAAATACAAAABjEwMDAyOQQAAAABMAcAAAAIMy83LzIwMTQIAAAACDMvNy8yMDE029e5t5Nz1Qi7DExJl3PVCCdDSVEuTkFTREFRR1M6SU5UQy5JUV9SRVZFTlVFX0VTVC5GWTIwMTUBAAAAh1IAAAIAAAALNTUyNTEuMTY5OTIBDgAAAAUAAAABMwEAAAABMAIAAAAKMTAwMDA5NDA3MQMAAAAGMTAwMTgwBAAAAAEyBgAAAAEwBwAAAAMxNjAIAAAAATAJAAAAATEKAAAAATALAAAACjkyMjk0Mzc0NTgMAAAAATENAAAACTIvMTUvMjAxOBAAAAAKMTIvMzEvMjAxNRvdUruTc9UIe5Q/Spdz1Qg2Q0lRLk5BU0RBUUdTOklOVEMuSVFfVEVWX0VCSVREQV9GV0RfQ0lRLjYwMDAuNi8yNS8yMDA0AQAAAIdSAAACAAAADzkuNzY2NTg0MzMxNTAyMQENAAAABQAAAAE5AQAAAAcyNjIxMjk1AgAAAAcxNzU3MTQ0AwAAAAYxMDAzMDgEAAAAATIGAAAAATAHAAAAAzE2MAgAAAABMAkAAAABMQoAAAABMAsAAAAKNjg4MzY5NDUyMQwAAAACMTINAAAACTYvMjYvMjAwNDucVbuTc9UI+xGNrpdz1QgvQ0lRLk5BU0RBUUdTOklOVEMuSVFfUFJJQ0VfU0FMRVMuMjAwMC45LzEzLzIwMTMBAAAAh1IAAAIAAAAIMi4yMjc1MjgBBwAAAAUAAAABMQEAAAAKMTYyODQzNjg0OQMA</t>
  </si>
  <si>
    <t>AAABMAIAAAAFMzg5NTgEAAAAATAHAAAACTkvMTMvMjAxMwgAAAAJOS8xMy8yMDEzy7C5t5Nz1Qhbk01Jl3PVCC9DSVEuTkFTREFRR1M6SU5UQy5JUV9QUklDRV9TQUxFUy4yMDAwLjExLzUvMjAxMAEAAACHUgAAAgAAAAgyLjc1NzQ0NwEHAAAABQAAAAExAQAAAAoxNDA4NTE2NTQ2AwAAAAEwAgAAAAUzODk1OAQAAAABMAcAAAAJMTEvNS8yMDEwCAAAAAkxMS81LzIwMTBLEVW5k3PVCBtoT0mXc9UILENJUS5eU1BYLklRX1RFVl9UT1RBTF9SRVZfRldELjYwMDAuMTAvNC8yMDE3AQAAAJu4KAACAAAABzIuMjc5OTcAe42wu5Nz1QhbYfZKl3PVCC9DSVEuTkFTREFRR1M6SU5UQy5JUV9QUklDRV9TQUxFUy4yMDAwLjEwLzIvMjAxMwEAAACHUgAAAgAAAAgyLjE3NDc4NQEHAAAABQAAAAExAQAAAAoxNjI4NDM2ODQ5AwAAAAEwAgAAAAUzODk1OAQAAAABMAcAAAAJMTAvMi8yMDEzCAAAAAkxMC8yLzIwMTPLsLm3k3PVCEsHPUuXc9UIIENJUS5eU1BYLklRX1BUQlYuMjAwMC4xMi8xNi8yMDE1AQAAAJu4KAACAAAACDYuNjU2NjAyAMuRr72Tc9UI63YtS5dz1QgoQ0lRLk5BU0RBUUdTOklOVEMuSVFfUFRCVi4yMDAwLjIvMTIvMjAxNgEAAACHUgAAAgAAAAgyLjk1MzM4MgEHAAAABQAAAAExAQAAAAoxNzc1OTMzMTQwAwAAAAEwAgAAAAYxMDAwMjkEAAAAATAHAAAACTIvMTIvMjAxNggAAAAJMi8xMi8yMDE2u2qv</t>
  </si>
  <si>
    <t>vZNz1Qi7QVhJl3PVCDZDSVEuTkFTREFRR1M6SU5UQy5JUV9URVZfRUJJVERBX0ZXRF9DSVEuNjAwMC40LzEyLzIwMTMBAAAAh1IAAAIAAAAQNC45MDk2ODQwMzM5MjU1NAENAAAABQAAAAE5AQAAAAcyNjIxMjk1AgAAAAczNjUyNjYwAwAAAAYxMDAzMDgEAAAAATIGAAAAATAHAAAAAzE2MAgAAAABMAkAAAABMQoAAAABMAsAAAAKNTQzODIwMDA3OQwAAAACMTINAAAACTQvMTMvMjAxM4vuU7uTc9UIa5SQrpdz1QgrQ0lRLl5TUFguSVFfVEVWX1RPVEFMX1JFVl9GV0QuNjAwMC4zLzUvMjAxNAEAAACbuCgAAgAAAAgxLjgzMTEyOADr/rm3k3PVCKuAO0uXc9UIJ0NJUS5OQVNEQVFHUzpJTlRDLklRX1BUQlYuMjAwMC4yLzcvMjAxNAEAAACHUgAAAgAAAAgyLjgyNDk0OQEHAAAABQAAAAExAQAAAAoxNjUzODE5MzM0AwAAAAEwAgAAAAYxMDAwMjkEAAAAATAHAAAACDIvNy8yMDE0CAAAAAgyLzcvMjAxNIvEZrmTc9UImxFTSZdz1QgjQ0lRLl5TUFguSVFfTEFTVFNBTEVQUklDRS44LzEzLzIwMTQBAAAAm7goAAIAAAAQMTk0Ni43MjIwMDA5OTg0NgBLKGa5k3PVCAuJN0uXc9UIL0NJUS5OQVNEQVFHUzpJTlRDLklRX1BFX0VYQ0xfRldELjYwMDAuMi8xNC8yMDE0AQAAAIdSAAACAAAAEDEzLjQxNzg1MzI1MTg4NDkBDQAAAAUAAAABOQEAAAAHMjYyMTI5NQIAAAAHNDQ1NjQyMQMAAAAGMTAwMzA5BAAAAAEyBgAA</t>
  </si>
  <si>
    <t>AAEwBwAAAAMxNjAIAAAAATAJAAAAATEKAAAAATALAAAACjY1Mjg5Nzk1OTQMAAAAAjEyDQAAAAkyLzE1LzIwMTSb/rO9k3PVCFtXV0mXc9UIKENJUS5OQVNEQVFHUzpJTlRDLklRX1BUQlYuMjAwMC43LzI3LzIwMTIBAAAAh1IAAAIAAAAIMy45MTY2ODcBBwAAAAUAAAABMQEAAAAKMTU1NTM0NzkxNQMAAAABMAIAAAAGMTAwMDI5BAAAAAEwBwAAAAk3LzI3LzIwMTIIAAAACTcvMjcvMjAxMrtqr72Tc9UI249YSZdz1Qg2Q0lRLk5BU0RBUUdTOklOVEMuSVFfVEVWX0VCSVREQV9GV0RfQ0lRLjYwMDAuOC8yNC8yMDAxAQAAAIdSAAACAAAAEDIwLjM5Njg5NjIxMzYzOTgBDQAAAAUAAAABOQEAAAAHMjYyMTI5NQIAAAAHMzQyMTE2MQMAAAAGMTAwMzA4BAAAAAEyBgAAAAEwBwAAAAMxNjAIAAAAATAJAAAAATEKAAAAATALAAAACjExNjkxNTI1MjcMAAAAAjEyDQAAAAk4LzI1LzIwMDFrEVa7k3PVCLvmjq6Xc9UIL0NJUS5OQVNEQVFHUzpJTlRDLklRX1BFX0VYQ0xfRldELjYwMDAuNS8yMC8yMDE2AQAAAIdSAAACAAAAEDEyLjIzMTIzNzMyMjUxNTIBDQAAAAUAAAABOQEAAAAHMjYyMTI5NQIAAAAIMjcwMDM2NTEDAAAABjEwMDMwOQQAAAABMgYAAAABMAcAAAADMTYwCAAAAAEwCQAAAAExCgAAAAEwCwAAAAo5NDk1OTUxMzgxDAAAAAIxMg0AAAAJNS8yMS8yMDE22ymyvZNz1QgrU1lJl3PVCC9DSVEuTkFTREFR</t>
  </si>
  <si>
    <t>R1M6SU5UQy5JUV9QRV9FWENMX0ZXRC42MDAwLjIvMjQvMjAxNwEAAACHUgAAAgAAABAxMy4wODU2ODU2MjgzMTM1AQ0AAAAFAAAAATkBAAAABzI2MjEyOTUCAAAACjEwMDA5NDQzODcDAAAABjEwMDMwOQQAAAABMgYAAAABMAcAAAADMTYwCAAAAAEwCQAAAAExCgAAAAEwCwAAAAsxMDAyNDEwMjUwMwwAAAACMTINAAAACTIvMjUvMjAxN9spsr2Tc9UI+91YSZdz1QgtQ0lRLl5TUFguSVFfVEVWX0VCSVREQV9GV0RfQ0lRLjYwMDAuNS8xNy8yMDE3AQAAAJu4KAACAAAACTEwLjQ0NzE1MQBrX1W5k3PVCKv/EUuXc9UILENJUS5OQVNEQVFHUzpJTlRDLklRX0xBU1RTQUxFUFJJQ0UuMS8yNS8yMDE3AQAAAIdSAAACAAAABDM3LjgAy5GvvZNz1QhbABtLl3PVCC9DSVEuTkFTREFRR1M6SU5UQy5JUV9QRV9FWENMX0ZXRC42MDAwLjUvMzEvMjAwMgEAAACHUgAAAgAAABAzNS42ODQ3NTQ1MjE5NjM4AQ0AAAAFAAAAATkBAAAABzI2MjEyOTUCAAAABzE3NTcxMzgDAAAABjEwMDMwOQQAAAABMgYAAAABMAcAAAADMTYwCAAAAAEwCQAAAAExCgAAAAEwCwAAAAo4ODYwMTA3Nzc3DAAAAAIxMg0AAAAINi8xLzIwMDJ7sLO9k3PVCHulV0mXc9UINUNJUS5OYXNkYXFHUzpJTlRDLklRX1RFVl9UT1RBTF9SRVZfRldELjYwMDAuNS8yMy8yMDAzAQAAAIdSAAACAAAAEDMuODYxODk0Mjg1NDEyMjkBDQAAAAUAAAABOQEAAAAH</t>
  </si>
  <si>
    <t>MjYyMTI5NQIAAAAHMTc1NzE0MQMAAAAGMTAwMzA3BAAAAAEyBgAAAAEwBwAAAAMxNjAIAAAAATAJAAAAATEKAAAAATALAAAACjExNjkxMjY2MzEMAAAAAjEyDQAAAAk1LzI0LzIwMDPLSVa5k3PVCFvIWUmXc9UIL0NJUS5OQVNEQVFHUzpJTlRDLklRX1BFX0VYQ0xfRldELjYwMDAuMi8yMC8yMDA0AQAAAIdSAAACAAAAEDIzLjk1MjQ3ODI4MzA4NjQBDQAAAAUAAAABOQEAAAAHMjYyMTI5NQIAAAAEMTg3OQMAAAAGMTAwMzA5BAAAAAEyBgAAAAEwBwAAAAMxNjAIAAAAATAJAAAAATEKAAAAATALAAAACjYzOTMxNjA5NzAMAAAAAjEyDQAAAAkyLzIxLzIwMDRribO9k3PVCKsaWEmXc9UIKENJUS5OQVNEQVFHUzpJTlRDLklRX1BUQlYuMjAwMC42LzI1LzIwMTABAAAAh1IAAAIAAAAIMi45NDk3NjMBBwAAAAUAAAABMQEAAAAKMTM1NzY1OTEwMQMAAAABMAIAAAAGMTAwMDI5BAAAAAEwBwAAAAk2LzI1LzIwMTAIAAAACTYvMjUvMjAxMNvXubeTc9UIe3BLSZdz1QgpQ0lRLk5BU0RBUUdTOklOVEMuSVFfUFRCVi4yMDAwLjEwLzI0LzIwMTQBAAAAh1IAAAIAAAAIMy44NTAzNDEBBwAAAAUAAAABMQEAAAAKMTcwMTkwMzQ5NAMAAAABMAIAAAAGMTAwMDI5BAAAAAEwBwAAAAoxMC8yNC8yMDE0CAAAAAoxMC8yNC8yMDE0q0OvvZNz1Qhr71lJl3PVCDVDSVEuTmFzZGFxR1M6SU5UQy5JUV9URVZfVE9UQUxfUkVWX0ZX</t>
  </si>
  <si>
    <t>RC42MDAwLjQvMTIvMjAwMQEAAACHUgAAAgAAABA2LjM4ODQyMDQyNTY0NzY1AQ0AAAAFAAAAATkBAAAABzI2MjEyOTUCAAAABzMxNTEzMDEDAAAABjEwMDMwNwQAAAABMgYAAAABMAcAAAADMTYwCAAAAAEwCQAAAAExCgAAAAEwCwAAAAkzNjEyMTI2OTMMAAAAAjEyDQAAAAk0LzEzLzIwMDG7TLS9k3PVCDt6WUmXc9UINUNJUS5OYXNkYXFHUzpJTlRDLklRX1RFVl9UT1RBTF9SRVZfRldELjYwMDAuOS8xMy8yMDAyAQAAAIdSAAACAAAAEDMuNjAxODg1OTcyNDU0MDQBDQAAAAUAAAABOQEAAAAHMjYyMTI5NQIAAAAHMTc1NzEzOQMAAAAGMTAwMzA3BAAAAAEyBgAAAAEwBwAAAAMxNjAIAAAAATAJAAAAATEKAAAAATALAAAACjExNjkxMjU3MzUMAAAAAjEyDQAAAAk5LzE0LzIwMDKb/rO9k3PVCAuyUUmXc9UILENJUS5OQVNEQVFHUzpJTlRDLklRX0xBU1RTQUxFUFJJQ0UuOS8xNy8yMDE0AQAAAIdSAAACAAAABTM0Ljk4ANvXubeTc9UI+2E3S5dz1QgjQ0lRLl5TUFguSVFfTEFTVFNBTEVQUklDRS43LzIzLzIwMTQBAAAAm7goAAIAAAAQMTk4Ny4wMDUxNzUwMDYwOQAb3VK7k3PVCCvXN0uXc9UIL0NJUS5OQVNEQVFHUzpJTlRDLklRX1BFX0VYQ0xfRldELjYwMDAuOS8yMC8yMDEzAQAAAIdSAAACAAAAEDEyLjE5ODYxNDMxODcwNjcBDQAAAAUAAAABOQEAAAAHMjYyMTI5NQIAAAAHMzgyOTc1MgMAAAAGMTAw</t>
  </si>
  <si>
    <t>MzA5BAAAAAEyBgAAAAEwBwAAAAMxNjAIAAAAATAJAAAAATEKAAAAATALAAAACjY5NTc2Mzc3NzcMAAAAAjEyDQAAAAk5LzIxLzIwMTP7d7K9k3PVCLtBWEmXc9UINUNJUS5OYXNkYXFHUzpJTlRDLklRX1RFVl9UT1RBTF9SRVZfRldELjYwMDAuNy8yNy8yMDA3AQAAAIdSAAACAAAADzMuMzExNDA5NTMyNTcyNgENAAAABQAAAAE5AQAAAAcyNjIxMjk1AgAAAAcxNzU3MTU0AwAAAAYxMDAzMDcEAAAAATIGAAAAATAHAAAAAzE2MAgAAAABMAkAAAABMQoAAAABMAsAAAALMTA2MzkzNjc3MjMMAAAAAjEyDQAAAAk3LzI4LzIwMDe7TLS9k3PVCJtkWkmXc9UINUNJUS5OYXNkYXFHUzpJTlRDLklRX1RFVl9FQklUREFfRldEX0NJUS42MDAwLjcvOC8yMDExAQAAAIdSAAACAAAAEDQuODc4NzY4NTQzNjg2MDQBDQAAAAUAAAABOQEAAAAHMjYyMTI5NQIAAAAHMTc1NzE2NQMAAAAGMTAwMzA4BAAAAAEyBgAAAAEwBwAAAAMxNjAIAAAAATAJAAAAATEKAAAAATALAAAACjEzMjYxNTgyNzQMAAAAAjEyDQAAAAg3LzkvMjAxMZvbsLuTc9UIK4eNrpdz1QguQ0lRLk5BU0RBUUdTOklOVEMuSVFfUFJJQ0VfU0FMRVMuMjAwMC43LzgvMjAxNQEAAACHUgAAAgAAAAgyLjU1NjI0OQEHAAAABQAAAAExAQAAAAoxNzMwNzYyNzU1AwAAAAEwAgAAAAUzODk1OAQAAAABMAcAAAAINy84LzIwMTUIAAAACDcvOC8yMDE1SxFVuZNz1Qg7</t>
  </si>
  <si>
    <t>qzBLl3PVCDVDSVEuTkFTREFRR1M6SU5UQy5JUV9URVZfRUJJVERBX0ZXRF9DSVEuNjAwMC42LzkvMjAwNgEAAACHUgAAAgAAABA3LjQ3Njg0NzIzOTIzMDY5AQ0AAAAFAAAAATkBAAAABzI2MjEyOTUCAAAABzE3NTcxNTADAAAABjEwMDMwOAQAAAABMgYAAAABMAcAAAADMTYwCAAAAAEwCQAAAAExCgAAAAEwCwAAAAoxMTY5MTMzMjQxDAAAAAIxMg0AAAAJNi8xMC8yMDA2CydVu5Nz1Qh7So6ul3PVCCRDSVEuXlNQWC5JUV9MQVNUU0FMRVBSSUNFLjEwLzEyLzIwMTYBAAAAm7goAAIAAAAPMjEzOS4xNzY0MDE0NTI1AFtPZrmTc9UIy/MgS5dz1QgvQ0lRLk5BU0RBUUdTOklOVEMuSVFfUEVfRVhDTF9GV0QuNjAwMC40LzIyLzIwMDUBAAAAh1IAAAIAAAAQMTcuMzk2NTExNzE0OTQ4NwENAAAABQAAAAE5AQAAAAcyNjIxMjk1AgAAAAcxNzU3MTQ3AwAAAAYxMDAzMDkEAAAAATIGAAAAATAHAAAAAzE2MAgAAAABMAkAAAABMQoAAAABMAsAAAAKMTE2OTE1ODMyNAwAAAACMTINAAAACTQvMjMvMjAwNWuJs72Tc9UIi1tVSZdz1QgmQ0lRLl5TUFguSVFfUEVfRVhDTF9GV0QuNjAwMC4xMC81LzIwMTYBAAAAm7goAAIAAAAIMTcuNDY2NDUAe42wu5Nz1QjbGiFLl3PVCC5DSVEuTkFTREFRR1M6SU5UQy5JUV9QRV9FWENMX0ZXRC42MDAwLjEvNC8yMDAyAQAAAIdSAAACAAAAEDY2Ljk5NzM2MDUzOTEyMzkBDQAAAAUA</t>
  </si>
  <si>
    <t>AAABOQEAAAAHMjYyMTI5NQIAAAAHMzQyMTE2MgMAAAAGMTAwMzA5BAAAAAEyBgAAAAEwBwAAAAMxNjAIAAAAATAJAAAAATEKAAAAATALAAAACjExNjkxNzM1NTQMAAAAAjEyDQAAAAgxLzUvMjAwMovXs72Tc9UIa5xSSZdz1Qg1Q0lRLk5BU0RBUUdTOklOVEMuSVFfVEVWX0VCSVREQV9GV0RfQ0lRLjYwMDAuOC8zLzIwMDEBAAAAh1IAAAIAAAAQMjIuMTgwMTU5ODAxNjA2OQENAAAABQAAAAE5AQAAAAcyNjIxMjk1AgAAAAczNDIxMTYxAwAAAAYxMDAzMDgEAAAAATIGAAAAATAHAAAAAzE2MAgAAAABMAkAAAABMQoAAAABMAsAAAAKMTE2OTE1MjUyNwwAAAACMTINAAAACDgvNC8yMDAxaxFWu5Nz1Qg7H5Cul3PVCClDSVEuTkFTREFRR1M6SU5UQy5JUV9QVEJWLjIwMDAuMTIvMTkvMjAxNAEAAACHUgAAAgAAAAg0LjI5NDA2MQEHAAAABQAAAAExAQAAAAoxNzAzNjgxODk0AwAAAAEwAgAAAAYxMDAwMjkEAAAAATAHAAAACjEyLzE5LzIwMTQIAAAACjEyLzE5LzIwMTQLtlK7k3PVCKupVUmXc9UINkNJUS5OYXNkYXFHUzpJTlRDLklRX1RFVl9FQklUREFfRldEX0NJUS42MDAwLjkvMjQvMjAxMAEAAACHUgAAAgAAABA0Ljc0NTMzMDQxODM3MTM3AQ0AAAAFAAAAATkBAAAABzI2MjEyOTUCAAAABzE3NTcxNjMDAAAABjEwMDMwOAQAAAABMgYAAAABMAcAAAADMTYwCAAAAAEwCQAAAAExCgAAAAEwCwAAAAo3MDcz</t>
  </si>
  <si>
    <t>NzIwODk2DAAAAAIxMg0AAAAJOS8yNS8yMDEwqwKxu5Nz1QhrI46ul3PVCC5DSVEuTkFTREFRR1M6SU5UQy5JUV9QUklDRV9TQUxFUy4yMDAwLjQvNS8yMDEzAQAAAIdSAAACAAAACDEuOTYxMjcyAQcAAAAFAAAAATEBAAAACjE1ODgxNTc0NjMDAAAAATACAAAABTM4OTU4BAAAAAEwBwAAAAg0LzUvMjAxMwgAAAAINC81LzIwMTPb17m3k3PVCKvlS0mXc9UINkNJUS5OQVNEQVFHUzpJTlRDLklRX1RFVl9FQklUREFfRldEX0NJUS42MDAwLjQvMjAvMjAwMQEAAACHUgAAAgAAAA8yMi4zOTk4NTkxNTE0MDYBDQAAAAUAAAABOQEAAAAHMjYyMTI5NQIAAAAHMzQyMTE2MAMAAAAGMTAwMzA4BAAAAAEyBgAAAAEwBwAAAAMxNjAIAAAAATAJAAAAATEKAAAAATALAAAACjExNjkxNTI0MzEMAAAAAjEyDQAAAAk0LzIxLzIwMDFrEVa7k3PVCGuUkK6Xc9UIL0NJUS5OQVNEQVFHUzpJTlRDLklRX1BFX0VYQ0xfRldELjYwMDAuOS8xNS8yMDE3AQAAAIdSAAACAAAAEDEyLjE1MTQ2NjM4NjQxNjYBDQAAAAUAAAABOQEAAAAHMjYyMTI5NQIAAAAIMjc1MDAxNzMDAAAABjEwMDMwOQQAAAABMgYAAAABMAcAAAADMTYwCAAAAAEwCQAAAAExCgAAAAEwCwAAAAsxMDUzODk1NzUxOQwAAAACMTINAAAACTkvMTYvMjAxN8sCsr2Tc9UIa5xSSZdz1QgrQ0lRLl5TUFguSVFfVEVWX1RPVEFMX1JFVl9GV0QuNjAwMC45LzIvMjAxNQEA</t>
  </si>
  <si>
    <t>AACbuCgAAgAAAAgxLjkxMzI2MQB7jbC7k3PVCLtyL0uXc9UIL0NJUS5OQVNEQVFHUzpJTlRDLklRX1BFX0VYQ0xfRldELjYwMDAuMy8yNi8yMDEwAQAAAIdSAAACAAAAEDEzLjYzOTE1MTIzMjY3NTEBDQAAAAUAAAABOQEAAAAHMjYyMTI5NQIAAAAEMTg4NQMAAAAGMTAwMzA5BAAAAAEyBgAAAAEwBwAAAAMxNjAIAAAAATAJAAAAATEKAAAAATALAAAABzE1NTE5MzMMAAAAAjEyDQAAAAkzLzI3LzIwMTC7TLS9k3PVCMuGU0mXc9UILUNJUS5OQVNEQVFHUzpJTlRDLklRX0xBU1RTQUxFUFJJQ0UuMTAvMjkvMjAxNAEAAACHUgAAAgAAAAUzMy45MgBbP7C7k3PVCJt3NkuXc9UIL0NJUS5OQVNEQVFHUzpJTlRDLklRX1BSSUNFX1NBTEVTLjIwMDAuOS8yMy8yMDExAQAAAIdSAAACAAAACDIuNTAyNDgxAQcAAAAFAAAAATEBAAAACjE0NjU2MzEwNzEDAAAAATACAAAABTM4OTU4BAAAAAEwBwAAAAk5LzIzLzIwMTEIAAAACTkvMjMvMjAxMdvXubeTc9UIyzNMSZdz1Qg2Q0lRLk5BU0RBUUdTOklOVEMuSVFfVEVWX0VCSVREQV9GV0RfQ0lRLjYwMDAuMTAvNy8yMDExAQAAAIdSAAACAAAAEDQuNTEwMTY5Njg3MjkzNzIBDQAAAAUAAAABOQEAAAAHMjYyMTI5NQIAAAAHMTc1NzE2NgMAAAAGMTAwMzA4BAAAAAEyBgAAAAEwBwAAAAMxNjAIAAAAATAJAAAAATEKAAAAATALAAAACjgxNzA3MTE2OTEMAAAAAjEyDQAAAAkx</t>
  </si>
  <si>
    <t>MC84LzIwMTGrPFS7k3PVCJuYjq6Xc9UINENJUS5OYXNkYXFHUzpJTlRDLklRX1RFVl9UT1RBTF9SRVZfRldELjYwMDAuNy8xLzIwMTYBAAAAh1IAAAIAAAAQMi44NzIzMDI5MDUzOTUzNQENAAAABQAAAAE5AQAAAAcyNjIxMjk1AgAAAAgyNzAwMzY1MQMAAAAGMTAwMzA3BAAAAAEyBgAAAAEwBwAAAAMxNjAIAAAAATAJAAAAATEKAAAAATALAAAACjk1NjQ3OTkzMDQMAAAAAjEyDQAAAAg3LzIvMjAxNqsltL2Tc9UIW1dXSZdz1QgmQ0lRLl5TUFguSVFfUEVfRVhDTF9GV0QuNjAwMC42LzEyLzIwMTMBAAAAm7goAAIAAAAJMTQuMjgxMzEyAOv+ubeTc9UIe3w9S5dz1QguQ0lRLk5BU0RBUUdTOklOVEMuSVFfUEVfRVhDTF9GV0QuNjAwMC4yLzMvMjAwNgEAAACHUgAAAgAAABAxNC41ODUwOTE0MjA1MzQ1AQ0AAAAFAAAAATkBAAAABzI2MjEyOTUCAAAABDE4ODEDAAAABjEwMDMwOQQAAAABMgYAAAABMAcAAAADMTYwCAAAAAEwCQAAAAExCgAAAAEwCwAAAAcxNTE2NzY4DAAAAAIxMg0AAAAIMi80LzIwMDZbYrO9k3PVCAsFWUmXc9UINUNJUS5OYXNkYXFHUzpJTlRDLklRX1RFVl9FQklUREFfRldEX0NJUS42MDAwLjIvMi8yMDA3AQAAAIdSAAACAAAADzguNjQ5MjI5NjE1NDgzMgENAAAABQAAAAE5AQAAAAcyNjIxMjk1AgAAAAQxODgyAwAAAAYxMDAzMDgEAAAAATIGAAAAATAHAAAAAzE2MAgAAAABMAkAAAAB</t>
  </si>
  <si>
    <t>MQoAAAABMAsAAAALMTAzMzQxNzYwNjcMAAAAAjEyDQAAAAgyLzMvMjAwN6utVruTc9UI+xGNrpdz1QgsQ0lRLl5TUFguSVFfVEVWX0VCSVREQV9GV0RfQ0lRLjYwMDAuMy82LzIwMTMBAAAAm7goAAIAAAAINy44NzM1MDMAe4ZVuZNz1QjLPz5Ll3PVCCxDSVEuXlNQWC5JUV9URVZfVE9UQUxfUkVWX0ZXRC42MDAwLjQvMjIvMjAxNQEAAACbuCgAAgAAAAgyLjAzMzUzNgB7hlW5k3PVCMsKMkuXc9UINkNJUS5OYXNkYXFHUzpJTlRDLklRX1RFVl9FQklUREFfRldEX0NJUS42MDAwLjEvMjYvMjAwMQEAAACHUgAAAwAAAAAAu9RWu5Nz1QiLcY6ul3PVCC5DSVEuTkFTREFRR1M6SU5UQy5JUV9QUklDRV9TQUxFUy4yMDAwLjMvMi8yMDE2AQAAAIdSAAACAAAACDIuNjE2MjE2AQcAAAAFAAAAATEBAAAACjE3NzU5MzMxNDADAAAAATACAAAABTM4OTU4BAAAAAEwBwAAAAgzLzIvMjAxNggAAAAIMy8yLzIwMTYLtlK7k3PVCPssK0uXc9UILkNJUS5eU1BYLklRX1RFVl9FQklUREFfRldEX0NJUS42MDAwLjEyLzE2LzIwMTUBAAAAm7goAAIAAAAIOS44MjA0MzIAa19VuZNz1Qjrdi1Ll3PVCDBDSVEuTkFTREFRR1M6SU5UQy5JUV9QRV9FWENMX0ZXRC42MDAwLjEyLzMxLzIwMDQBAAAAh1IAAAIAAAAQMjAuMzM5MTMwNDM0NzgyNgENAAAABQAAAAE5AQAAAAcyNjIxMjk1AgAAAAcxNzU3MTQ2AwAAAAYxMDAzMDkEAAAA</t>
  </si>
  <si>
    <t>ATIGAAAAATAHAAAAAzE2MAgAAAABMAkAAAABMQoAAAABMAsAAAAKMTE2OTE1NzQyNgwAAAACMTINAAAACDEvMS8yMDA1a4mzvZNz1Qhb5lRJl3PVCDZDSVEuTkFTREFRR1M6SU5UQy5JUV9URVZfRUJJVERBX0ZXRF9DSVEuNjAwMC44LzI5LzIwMTQBAAAAh1IAAAIAAAAQNi44NjkzNjc4NDY2ODQ3OAENAAAABQAAAAE5AQAAAAcyNjIxMjk1AgAAAAc0NDU2NDI4AwAAAAYxMDAzMDgEAAAAATIGAAAAATAHAAAAAzE2MAgAAAABMAkAAAABMQoAAAABMAsAAAAKODY0ODEwMTY3NAwAAAACMTINAAAACTgvMzAvMjAxNHvHU7uTc9UI2zSPrpdz1Qg1Q0lRLk5hc2RhcUdTOklOVEMuSVFfVEVWX0VCSVREQV9GV0RfQ0lRLjYwMDAuMy8yLzIwMDcBAAAAh1IAAAIAAAAPNy42NDUxNjU0NTk5NTc0AQ0AAAAFAAAAATkBAAAABzI2MjEyOTUCAAAABDE4ODIDAAAABjEwMDMwOAQAAAABMgYAAAABMAcAAAADMTYwCAAAAAEwCQAAAAExCgAAAAEwCwAAAAsxMDMzNDE3NjA4NAwAAAACMTINAAAACDMvMy8yMDA3i19Wu5Nz1Qirv46ul3PVCDVDSVEuTmFzZGFxR1M6SU5UQy5JUV9URVZfVE9UQUxfUkVWX0ZXRC42MDAwLjUvMjEvMjAxMAEAAACHUgAAAgAAABAyLjM0ODQ3NjYyODYyNDY0AQ0AAAAFAAAAATkBAAAABzI2MjEyOTUCAAAABzE3NTcxNjIDAAAABjEwMDMwNwQAAAABMgYAAAABMAcAAAADMTYwCAAAAAEwCQAAAAEx</t>
  </si>
  <si>
    <t>CgAAAAEwCwAAAAo4ODYzODQ0MTc2DAAAAAIxMg0AAAAJNS8yMi8yMDEw665nuZNz1QhLbE1Jl3PVCDRDSVEuTmFzZGFxR1M6SU5UQy5JUV9URVZfVE9UQUxfUkVWX0ZXRC42MDAwLjIvMS8yMDAyAQAAAIdSAAACAAAAEDcuNzE1NTc4NDA2NzYyOTcBDQAAAAUAAAABOQEAAAAHMjYyMTI5NQIAAAAEMTg3NwMAAAAGMTAwMzA3BAAAAAEyBgAAAAEwBwAAAAMxNjAIAAAAATAJAAAAATEKAAAAATALAAAACTM2MDY1NDYzMwwAAAACMTINAAAACDIvMi8yMDAyi9ezvZNz1QibEVNJl3PVCC9DSVEuTkFTREFRR1M6SU5UQy5JUV9QRV9FWENMX0ZXRC42MDAwLjEyLzMvMjAwNAEAAACHUgAAAgAAABAyMS4xMDMyNjU2NjYzNzI1AQ0AAAAFAAAAATkBAAAABzI2MjEyOTUCAAAABzE3NTcxNDYDAAAABjEwMDMwOQQAAAABMgYAAAABMAcAAAADMTYwCAAAAAEwCQAAAAExCgAAAAEwCwAAAAo2NzI1OTkwMTc0DAAAAAIxMg0AAAAJMTIvNC8yMDA0a4mzvZNz1QiLCE5Jl3PVCC5DSVEuTkFTREFRR1M6SU5UQy5JUV9QUklDRV9TQUxFUy4yMDAwLjcvMS8yMDExAQAAAIdSAAACAAAACDIuNzAxMjcyAQcAAAAFAAAAATEBAAAACjE0NTI0NzU4NzIDAAAAATACAAAABTM4OTU4BAAAAAEwBwAAAAg3LzEvMjAxMQgAAAAINy8xLzIwMTGrQ6+9k3PVCEuhWUmXc9UILUNJUS5eU1BYLklRX1RFVl9FQklUREFfRldEX0NJUS42MDAwLjgv</t>
  </si>
  <si>
    <t>MjYvMjAxNQEAAACbuCgAAgAAAAg5LjE4NzEzOQBrX1W5k3PVCNvAL0uXc9UILkNJUS5OQVNEQVFHUzpJTlRDLklRX1BFX0VYQ0xfRldELjYwMDAuOS8xLzIwMDYBAAAAh1IAAAIAAAAQMjMuODIyNjQ4MjkyMzkwNwENAAAABQAAAAE5AQAAAAcyNjIxMjk1AgAAAAcxNzU3MTUxAwAAAAYxMDAzMDkEAAAAATIGAAAAATAHAAAAAzE2MAgAAAABMAkAAAABMQoAAAABMAsAAAAKNTc1MjMyNzA5MwwAAAACMTINAAAACDkvMi8yMDA2u0y0vZNz1QirGlhJl3PVCC9DSVEuTkFTREFRR1M6SU5UQy5JUV9QUklDRV9TQUxFUy4yMDAwLjQvMTAvMjAxMwEAAACHUgAAAgAAAAgyLjA4NDkwNQEHAAAABQAAAAExAQAAAAoxNTg4MTU3NDYzAwAAAAEwAgAAAAUzODk1OAQAAAABMAcAAAAJNC8xMC8yMDEzCAAAAAk0LzEwLzIwMTMLtlK7k3PVCKvxPUuXc9UIKENJUS5OQVNEQVFHUzpJTlRDLklRX1BUQlYuMjAwMC43LzEwLzIwMTUBAAAAh1IAAAIAAAAIMy40NjI2OTEBBwAAAAUAAAABMQEAAAAKMTczMDc2Mjc1NQMAAAABMAIAAAAGMTAwMDI5BAAAAAEwBwAAAAk3LzEwLzIwMTUIAAAACTcvMTAvMjAxNWt2ZrmTc9UIS79USZdz1QgsQ0lRLl5TUFguSVFfVEVWX1RPVEFMX1JFVl9GV0QuNjAwMC4xMC8yLzIwMTMBAAAAm7goAAIAAAAIMS42ODY3NjQAe4ZVuZNz1QhLBz1Ll3PVCDZDSVEuTmFzZGFxR1M6SU5UQy5JUV9URVZf</t>
  </si>
  <si>
    <t>RUJJVERBX0ZXRF9DSVEuNjAwMC4xMC81LzIwMDEBAAAAh1IAAAIAAAAQMTUuNjUzOTEwMzQxODUxMgENAAAABQAAAAE5AQAAAAcyNjIxMjk1AgAAAAczNDIxMTYxAwAAAAYxMDAzMDgEAAAAATIGAAAAATAHAAAAAzE2MAgAAAABMAkAAAABMQoAAAABMAsAAAAKMTE2OTE1MjUyOQwAAAACMTINAAAACTEwLzYvMjAwMZvbsLuTc9UIC6qPrpdz1Qg2Q0lRLk5hc2RhcUdTOklOVEMuSVFfVEVWX0VCSVREQV9GV0RfQ0lRLjYwMDAuMTEvMi8yMDEyAQAAAIdSAAACAAAAEDQuOTY2MzIzMDExNjQ2OTYBDQAAAAUAAAABOQEAAAAHMjYyMTI5NQIAAAAHMTc1NzE3MAMAAAAGMTAwMzA4BAAAAAEyBgAAAAEwBwAAAAMxNjAIAAAAATAJAAAAATEKAAAAATALAAAACjgxNzE1NzQyMzUMAAAAAjEyDQAAAAkxMS8zLzIwMTKbhla7k3PVCJuYjq6Xc9UINkNJUS5OYXNkYXFHUzpJTlRDLklRX1RFVl9FQklUREFfRldEX0NJUS42MDAwLjIvMjAvMjAwOQEAAACHUgAAAgAAABA4LjAyNjM1NjYzNDY3MzQ3AQ0AAAAFAAAAATkBAAAABzI2MjEyOTUCAAAABDE4ODQDAAAABjEwMDMwOAQAAAABMgYAAAABMAcAAAADMTYwCAAAAAEwCQAAAAExCgAAAAEwCwAAAAkzNjA3MTk2NDMMAAAAAjEyDQAAAAkyLzIxLzIwMDnrSVe7k3PVCNs0j66Xc9UIL0NJUS5OQVNEQVFHUzpJTlRDLklRX1BFX0VYQ0xfRldELjYwMDAuMTEvMy8yMDE3AQAA</t>
  </si>
  <si>
    <t>AIdSAAACAAAADzE0LjMwNjQ0MzE0Nzc4OAENAAAABQAAAAE5AQAAAAcyNjIxMjk1AgAAAAgyNzUwMDE3NAMAAAAGMTAwMzA5BAAAAAEyBgAAAAEwBwAAAAMxNjAIAAAAATAJAAAAATEKAAAAATALAAAACzEwNjk4MzYxMTM1DAAAAAIxMg0AAAAJMTEvNC8yMDE3ywKyvZNz1Qirx1BJl3PVCDBDSVEuTkFTREFRR1M6SU5UQy5JUV9QUklDRV9TQUxFUy4yMDAwLjEwLzI3LzIwMTcBAAAAh1IAAAIAAAAIMy4zNzE1NTIBBwAAAAUAAAABMQEAAAAKMTg2Mjc1ODA0MwMAAAABMAIAAAAFMzg5NTgEAAAAATAHAAAACjEwLzI3LzIwMTcIAAAACjEwLzI3LzIwMTdLEVW5k3PVCNvLTkmXc9UILkNJUS5OQVNEQVFHUzpJTlRDLklRX1BSSUNFX1NBTEVTLjIwMDAuMS8yLzIwMTUBAAAAh1IAAAIAAAAIMy4yNzQ3MzQBBwAAAAUAAAABMQEAAAAKMTcwMzY4MTg5NAMAAAABMAIAAAAFMzg5NTgEAAAAATAHAAAACDEvMi8yMDE1CAAAAAgxLzIvMjAxNTvxr7uTc9UIOydSSZdz1Qg2Q0lRLk5BU0RBUUdTOklOVEMuSVFfVEVWX0VCSVREQV9GV0RfQ0lRLjYwMDAuNS8yNi8yMDE3AQAAAIdSAAACAAAAEDcuMjM2MDU5MjUzMzk2MzQBDQAAAAUAAAABOQEAAAAHMjYyMTI5NQIAAAAIMjc1MDAxNzIDAAAABjEwMDMwOAQAAAABMgYAAAABMAcAAAADMTYwCAAAAAEwCQAAAAExCgAAAAEwCwAAAAsxMDE3NzgwMTU4MAwAAAACMTINAAAA</t>
  </si>
  <si>
    <t>CTUvMjcvMjAxN0tSU7uTc9UIyw2Prpdz1Qg2Q0lRLk5BU0RBUUdTOklOVEMuSVFfVEVWX0VCSVREQV9GV0RfQ0lRLjYwMDAuOC8xMS8yMDE3AQAAAIdSAAACAAAADzYuODAwMDE0MjMwMjEzNQENAAAABQAAAAE5AQAAAAcyNjIxMjk1AgAAAAgyNzUwMDE3MwMAAAAGMTAwMzA4BAAAAAEyBgAAAAEwBwAAAAMxNjAIAAAAATAJAAAAATEKAAAAATALAAAACzEwNjc3NjM5NzI3DAAAAAIxMg0AAAAJOC8xMi8yMDE3OytTu5Nz1QgLOY2ul3PVCDZDSVEuTkFTREFRR1M6SU5UQy5JUV9URVZfRUJJVERBX0ZXRF9DSVEuNjAwMC4yLzI0LzIwMTIBAAAAh1IAAAIAAAAQNS4xNDQ4MDgxMDkxOTA0NgENAAAABQAAAAE5AQAAAAcyNjIxMjk1AgAAAAQxODg3AwAAAAYxMDAzMDgEAAAAATIGAAAAATAHAAAAAzE2MAgAAAABMAkAAAABMQoAAAABMAsAAAAKNTc0ODgzMTM4MAwAAAACMTINAAAACTIvMjUvMjAxMqs8VLuTc9UI6+qMrpdz1Qg2Q0lRLk5hc2RhcUdTOklOVEMuSVFfVEVWX0VCSVREQV9GV0RfQ0lRLjYwMDAuOC8xNS8yMDA4AQAAAIdSAAACAAAAEDcuNzk0NDI0Nzk1MTE5ODUBDQAAAAUAAAABOQEAAAAHMjYyMTI5NQIAAAAHMTc1NzE1NwMAAAAGMTAwMzA4BAAAAAEyBgAAAAEwBwAAAAMxNjAIAAAAATAJAAAAATEKAAAAATALAAAACjY3MzEzNjQzNDEMAAAAAjEyDQAAAAk4LzE2LzIwMDibhla7k3PVCPsRja6X</t>
  </si>
  <si>
    <t>c9UIL0NJUS5OQVNEQVFHUzpJTlRDLklRX1BFX0VYQ0xfRldELjYwMDAuOC8yNC8yMDAxAQAAAIdSAAACAAAAEDU2LjA3NDA0NTUwNzEzNDYBDQAAAAUAAAABOQEAAAAHMjYyMTI5NQIAAAAHMzQyMTE2MQMAAAAGMTAwMzA5BAAAAAEyBgAAAAEwBwAAAAMxNjAIAAAAATAJAAAAATEKAAAAATALAAAACjExNjkxNzMzNTkMAAAAAjEyDQAAAAk4LzI1LzIwMDGL17O9k3PVCPtsVkmXc9UINUNJUS5OYXNkYXFHUzpJTlRDLklRX1RFVl9UT1RBTF9SRVZfRldELjYwMDAuOC8xOS8yMDE2AQAAAIdSAAACAAAAEDMuMDE3MDE3ODg4MjYxNzIBDQAAAAUAAAABOQEAAAAHMjYyMTI5NQIAAAAIMjcwMDM2NTIDAAAABjEwMDMwNwQAAAABMgYAAAABMAcAAAADMTYwCAAAAAEwCQAAAAExCgAAAAEwCwAAAAo5NjgzODgxMTYyDAAAAAIxMg0AAAAJOC8yMC8yMDE2y0lWuZNz1Qi77lBJl3PVCCxDSVEuTkFTREFRR1M6SU5UQy5JUV9MQVNUU0FMRVBSSUNFLjMvMTMvMjAxMwEAAACHUgAAAgAAAAYyMS42NTUAK8NUuZNz1Qi7GD5Ll3PVCCtDSVEuXlNQWC5JUV9URVZfVE9UQUxfUkVWX0ZXRC42MDAwLjgvNi8yMDE0AQAAAJu4KAACAAAACDEuODA5OTQzAHuGVbmTc9UIK9c3S5dz1Qg2Q0lRLk5BU0RBUUdTOklOVEMuSVFfVEVWX0VCSVREQV9GV0RfQ0lRLjYwMDAuNi8yOC8yMDEzAQAAAIdSAAACAAAAEDUuMzM4MzEwMTc2NDMy</t>
  </si>
  <si>
    <t>NzMBDQAAAAUAAAABOQEAAAAHMjYyMTI5NQIAAAAHMzgyOTc1MQMAAAAGMTAwMzA4BAAAAAEyBgAAAAEwBwAAAAMxNjAIAAAAATAJAAAAATEKAAAAATALAAAACjY5NTU0MTkxNzEMAAAAAjEyDQAAAAk2LzI5LzIwMTOL7lO7k3PVCFv8ja6Xc9UINkNJUS5OYXNkYXFHUzpJTlRDLklRX1RFVl9UT1RBTF9SRVZfRldELjYwMDAuMTIvMTYvMjAxMQEAAACHUgAAAgAAAA8yLjA0NDQ4ODMxMDk2NzEBDQAAAAUAAAABOQEAAAAHMjYyMTI5NQIAAAAHMTc1NzE2NwMAAAAGMTAwMzA3BAAAAAEyBgAAAAEwBwAAAAMxNjAIAAAAATAJAAAAATEKAAAAATALAAAACjg4NjQ0MzI2NjQMAAAAAjEyDQAAAAoxMi8xNy8yMDExuzlnuZNz1Qgbu1ZJl3PVCC9DSVEuTkFTREFRR1M6SU5UQy5JUV9QRV9FWENMX0ZXRC42MDAwLjcvMjIvMjAxNgEAAACHUgAAAgAAABAxMy4yNTQ4MDg5NzkzMTA5AQ0AAAAFAAAAATkBAAAABzI2MjEyOTUCAAAACDI3MDAzNjUyAwAAAAYxMDAzMDkEAAAAATIGAAAAATAHAAAAAzE2MAgAAAABMAkAAAABMQoAAAABMAsAAAAKOTYxNDczNTgyMwwAAAACMTINAAAACTcvMjMvMjAxNtspsr2Tc9UIC7JRSZdz1Qg2Q0lRLk5BU0RBUUdTOklOVEMuSVFfVEVWX0VCSVREQV9GV0RfQ0lRLjYwMDAuNy8yOC8yMDE3AQAAAIdSAAACAAAAEDYuNjk3NTM0ODg0MjI1MzkBDQAAAAUAAAABOQEAAAAHMjYyMTI5NQIA</t>
  </si>
  <si>
    <t>AAAIMjc1MDAxNzMDAAAABjEwMDMwOAQAAAABMgYAAAABMAcAAAADMTYwCAAAAAEwCQAAAAExCgAAAAEwCwAAAAsxMDY3NzYzOTcyNwwAAAACMTINAAAACTcvMjkvMjAxNzsrU7uTc9UIyw2Prpdz1QgjQ0lRLl5TUFguSVFfTEFTVFNBTEVQUklDRS4yLzEwLzIwMTYBAAAAm7goAAIAAAAQMTg1MS44NjMwNDU5MjM0NABLKGa5k3PVCOsFK0uXc9UINUNJUS5OYXNkYXFHUzpJTlRDLklRX1RFVl9UT1RBTF9SRVZfRldELjYwMDAuOS8yOC8yMDAxAQAAAIdSAAACAAAAEDQuNzg5NTI0Mjc5NjUzMjgBDQAAAAUAAAABOQEAAAAHMjYyMTI5NQIAAAAHMzQyMTE2MQMAAAAGMTAwMzA3BAAAAAEyBgAAAAEwBwAAAAMxNjAIAAAAATAJAAAAATEKAAAAATALAAAACjExNjkxNTI0NjAMAAAAAjEyDQAAAAk5LzI5LzIwMDGrrVa7k3PVCLvQVUmXc9UIN0NJUS5OQVNEQVFHUzpJTlRDLklRX1RFVl9FQklUREFfRldEX0NJUS42MDAwLjEyLzMxLzIwMDkBAAAAh1IAAAIAAAAQNi42MzUwODEyMjMxNzAxMQENAAAABQAAAAE5AQAAAAcyNjIxMjk1AgAAAAcxNzU3MTYxAwAAAAYxMDAzMDgEAAAAATIGAAAAATAHAAAAAzE2MAgAAAABMAkAAAABMQoAAAABMAsAAAAKODE3MjM5ODc5MQwAAAACMTINAAAACDEvMS8yMDEwy4pUu5Nz1Qjr6oyul3PVCCNDSVEuXlNQWC5JUV9MQVNUU0FMRVBSSUNFLjQvMTYvMjAxNAEAAACbuCgAAgAA</t>
  </si>
  <si>
    <t>ABAxODYyLjMxMTk5NzAwNTgxABvdUruTc9UI24Q5S5dz1QgjQ0lRLl5TUFguSVFfTEFTVFNBTEVQUklDRS42LzI0LzIwMTUBAAAAm7goAAIAAAAPMjEwOC41NzgwNTkzMjI4ADvqVLmTc9UIO6swS5dz1QgmQ0lRLl5TUFguSVFfUEVfRVhDTF9GV0QuNjAwMC41LzI4LzIwMTQBAAAAm7goAAIAAAAJMTUuNzIwNTUyAOv+ubeTc9UIm+g4S5dz1QgvQ0lRLk5BU0RBUUdTOklOVEMuSVFfUFJJQ0VfU0FMRVMuMjAwMC45LzE1LzIwMTcBAAAAh1IAAAIAAAAIMi44MzM1NjMBBwAAAAUAAAABMQEAAAAKMTg1MDYxODY2NAMAAAABMAIAAAAFMzg5NTgEAAAAATAHAAAACTkvMTUvMjAxNwgAAAAJOS8xNS8yMDE3Sxiwu5Nz1QgrAFJJl3PVCDVDSVEuTmFzZGFxR1M6SU5UQy5JUV9URVZfVE9UQUxfUkVWX0ZXRC42MDAwLjYvMTUvMjAxMgEAAACHUgAAAgAAABAyLjIyMjc2NjEyNjM5NTA2AQ0AAAAFAAAAATkBAAAABzI2MjEyOTUCAAAABzE3NTcxNjgDAAAABjEwMDMwNwQAAAABMgYAAAABMAcAAAADMTYwCAAAAAEwCQAAAAExCgAAAAEwCwAAAAo4MTcwNzA3ODIzDAAAAAIxMg0AAAAJNi8xNi8yMDEyy2BnuZNz1Qh7cEtJl3PVCC5DSVEuTkFTREFRR1M6SU5UQy5JUV9QUklDRV9TQUxFUy4yMDAwLjIvNy8yMDE4AQAAAIdSAAACAAAACDMuMzg1NjI1AQcAAAAFAAAAATEBAAAACjE4NzIyMTQwOTkDAAAAATACAAAABTM4</t>
  </si>
  <si>
    <t>OTU4BAAAAAEwBwAAAAgyLzcvMjAxOAgAAAAIMi83LzIwMTirQ6+9k3PVCHtkykmXc9UILkNJUS5OQVNEQVFHUzpJTlRDLklRX1BFX0VYQ0xfRldELjYwMDAuMS8yLzIwMDkBAAAAh1IAAAIAAAAQMjEuMDAwMjc2MzE5NDI1MwENAAAABQAAAAE5AQAAAAcyNjIxMjk1AgAAAAcxNzU3MTU4AwAAAAYxMDAzMDkEAAAAATIGAAAAATAHAAAAAzE2MAgAAAABMAkAAAABMQoAAAABMAsAAAAKODg2NDQ4NjYzNQwAAAACMTINAAAACDEvMy8yMDA5OxSzvZNz1QhLbE1Jl3PVCDVDSVEuTmFzZGFxR1M6SU5UQy5JUV9URVZfVE9UQUxfUkVWX0ZXRC42MDAwLjUvMTIvMjAxNwEAAACHUgAAAgAAABAyLjkzNzI3NDU3Nzk2Mjk1AQ0AAAAFAAAAATkBAAAABzI2MjEyOTUCAAAACDI3NTAwMTcyAwAAAAYxMDAzMDcEAAAAATIGAAAAATAHAAAAAzE2MAgAAAABMAkAAAABMQoAAAABMAsAAAALMTAxNTc1MDk0NzkMAAAAAjEyDQAAAAk1LzEzLzIwMTe7TLS9k3PVCBv3TEmXc9UIN0NJUS5OQVNEQVFHUzpJTlRDLklRX1RFVl9FQklUREFfRldEX0NJUS42MDAwLjEyLzIxLzIwMDcBAAAAh1IAAAIAAAAPOC43NDM2MTA2NjM4MDM5AQ0AAAAFAAAAATkBAAAABzI2MjEyOTUCAAAABzE3NTcxNTUDAAAABjEwMDMwOAQAAAABMgYAAAABMAcAAAADMTYwCAAAAAEwCQAAAAExCgAAAAEwCwAAAAoxMTY5MTM5NTM2DAAAAAIxMg0AAAAKMTIv</t>
  </si>
  <si>
    <t>MjIvMjAwN/v/VLuTc9UIayOOrpdz1Qg2Q0lRLk5BU0RBUUdTOklOVEMuSVFfVEVWX0VCSVREQV9GV0RfQ0lRLjYwMDAuNy8yMC8yMDEyAQAAAIdSAAACAAAAEDQuODMzOTAzOTU1OTU1ODYBDQAAAAUAAAABOQEAAAAHMjYyMTI5NQIAAAAHMTc1NzE2OQMAAAAGMTAwMzA4BAAAAAEyBgAAAAEwBwAAAAMxNjAIAAAAATAJAAAAATEKAAAAATALAAAACjY5NTU0MDI2MDUMAAAAAjEyDQAAAAk3LzIxLzIwMTKbFVS7k3PVCEvVja6Xc9UIL0NJUS5OQVNEQVFHUzpJTlRDLklRX1BFX0VYQ0xfRldELjYwMDAuOS8xNy8yMDA0AQAAAIdSAAACAAAAEDE4LjY2NzI3MTA3ODg3NTgBDQAAAAUAAAABOQEAAAAHMjYyMTI5NQIAAAAHMTc1NzE0NQMAAAAGMTAwMzA5BAAAAAEyBgAAAAEwBwAAAAMxNjAIAAAAATAJAAAAATEKAAAAATALAAAACjExNjkxNTY3MjAMAAAAAjEyDQAAAAk5LzE4LzIwMDRribO9k3PVCCuPT0mXc9UIH0NJUS5eU1BYLklRX1BUQlYuMjAwMC42LzI4LzIwMTcBAAAAm7goAAIAAAAIOC44Mjc3MzkA62dSu5Nz1QjbIQtLl3PVCC9DSVEuTkFTREFRR1M6SU5UQy5JUV9QUklDRV9TQUxFUy4yMDAwLjExLzYvMjAxMwEAAACHUgAAAgAAAAgyLjMwMDkxNQEHAAAABQAAAAExAQAAAAoxNjQyNDgzNzkyAwAAAAEwAgAAAAUzODk1OAQAAAABMAcAAAAJMTEvNi8yMDEzCAAAAAkxMS82LzIwMTP7jlK7k3PVCDvg</t>
  </si>
  <si>
    <t>PEuXc9UIJUNJUS5eU1BYLklRX1BFX0VYQ0xfRldELjYwMDAuOC85LzIwMTcBAAAAm7goAAIAAAAJMTguMTQwMjg3AGtmsLuTc9UIC/H8Spdz1QguQ0lRLk5BU0RBUUdTOklOVEMuSVFfUFJJQ0VfU0FMRVMuMjAwMC41LzgvMjAxNQEAAACHUgAAAgAAAAgyLjg0MjIwMwEHAAAABQAAAAExAQAAAAoxNzMwNzYyNzU1AwAAAAEwAgAAAAUzODk1OAQAAAABMAcAAAAINS84LzIwMTUIAAAACDUvOC8yMDE1+45Su5Nz1Qgbu1ZJl3PVCCZDSVEuXlNQWC5JUV9QRV9FWENMX0ZXRC42MDAwLjYvMTQvMjAxNwEAAACbuCgAAgAAAAkxOC4zMjkwNzYAKwRTu5Nz1Qg7mwlLl3PVCDZDSVEuTkFTREFRR1M6SU5UQy5JUV9URVZfRUJJVERBX0ZXRF9DSVEuNjAwMC4zLzEyLzIwMTABAAAAh1IAAAIAAAAQNi4xOTQwODA0NDUwNDU5MQENAAAABQAAAAE5AQAAAAcyNjIxMjk1AgAAAAQxODg1AwAAAAYxMDAzMDgEAAAAATIGAAAAATAHAAAAAzE2MAgAAAABMAkAAAABMQoAAAABMAsAAAAJMzYwNzQwNTYxDAAAAAIxMg0AAAAJMy8xMy8yMDEwy4pUu5Nz1QhbbZCul3PVCC9DSVEuTkFTREFRR1M6SU5UQy5JUV9QRV9FWENMX0ZXRC42MDAwLjEvMTMvMjAxNwEAAACHUgAAAgAAABAxMy4zMDUxMjQ1ODg2MjI1AQ0AAAAFAAAAATkBAAAABzI2MjEyOTUCAAAACDI3MDAzNjUzAwAAAAYxMDAzMDkEAAAAATIGAAAAATAHAAAAAzE2MAgA</t>
  </si>
  <si>
    <t>AAABMAkAAAABMQoAAAABMAsAAAAKOTkyOTM2NDI4MgwAAAACMTINAAAACTEvMTQvMjAxN9spsr2Tc9UIi1tVSZdz1QgvQ0lRLk5BU0RBUUdTOklOVEMuSVFfUFJJQ0VfU0FMRVMuMjAwMC4zLzIwLzIwMTUBAAAAh1IAAAIAAAAHMi43NDY1NgEHAAAABQAAAAExAQAAAAoxNzE4ODU5MjkxAwAAAAEwAgAAAAUzODk1OAQAAAABMAcAAAAJMy8yMC8yMDE1CAAAAAkzLzIwLzIwMTWLxGa5k3PVCKs4U0mXc9UILkNJUS5OQVNEQVFHUzpJTlRDLklRX1BFX0VYQ0xfRldELjYwMDAuMy83LzIwMDgBAAAAh1IAAAIAAAAQMTUuMTg1MzMzNzA2NTk4NQENAAAABQAAAAE5AQAAAAcyNjIxMjk1AgAAAAQxODgzAwAAAAYxMDAzMDkEAAAAATIGAAAAATAHAAAAAzE2MAgAAAABMAkAAAABMQoAAAABMAsAAAAHMTUzMzI5MwwAAAACMTINAAAACDMvOC8yMDA4SzuzvZNz1Qh74U1Jl3PVCDdDSVEuTkFTREFRR1M6SU5UQy5JUV9URVZfRUJJVERBX0ZXRF9DSVEuNjAwMC4xMi8xMS8yMDA5AQAAAIdSAAACAAAAEDYuMjg1MTAxMTU3MjI5MTcBDQAAAAUAAAABOQEAAAAHMjYyMTI5NQIAAAAHMTc1NzE2MQMAAAAGMTAwMzA4BAAAAAEyBgAAAAEwBwAAAAMxNjAIAAAAATAJAAAAATEKAAAAATALAAAACjgxNzI0MDQwMDcMAAAAAjEyDQAAAAoxMi8xMi8yMDA5y4pUu5Nz1QgLqo+ul3PVCDZDSVEuTmFzZGFxR1M6SU5UQy5JUV9URVZf</t>
  </si>
  <si>
    <t>VE9UQUxfUkVWX0ZXRC42MDAwLjExLzE0LzIwMTQBAAAAh1IAAAIAAAAPMi44MTcxODg3NTI1Mzc1AQ0AAAAFAAAAATkBAAAABzI2MjEyOTUCAAAABzQ0NTY0MjkDAAAABjEwMDMwNwQAAAABMgYAAAABMAcAAAADMTYwCAAAAAEwCQAAAAExCgAAAAEwCwAAAAo4ODY0NDQxNzQxDAAAAAIxMg0AAAAKMTEvMTUvMjAxNMtQsbuTc9UI2zxRSZdz1QgfQ0lRLl5TUFguSVFfUFRCVi4yMDAwLjkvMTgvMjAxMwEAAACbuCgAAgAAAAg1LjIxMDI4MQBrZrC7k3PVCEsHPUuXc9UIL0NJUS5OQVNEQVFHUzpJTlRDLklRX1BFX0VYQ0xfRldELjYwMDAuNy8yMi8yMDA1AQAAAIdSAAACAAAAEDE3LjY2NjA5NDMwNzIyNDkBDQAAAAUAAAABOQEAAAAHMjYyMTI5NQIAAAAHMTc1NzE0OAMAAAAGMTAwMzA5BAAAAAEyBgAAAAEwBwAAAAMxNjAIAAAAATAJAAAAATEKAAAAATALAAAACjg4NjI0MTIzOTUMAAAAAjEyDQAAAAk3LzIzLzIwMDVribO9k3PVCLtBWEmXc9UIMENJUS5OQVNEQVFHUzpJTlRDLklRX1BSSUNFX1NBTEVTLjIwMDAuMTEvMjQvMjAxNwEAAACHUgAAAgAAAAgzLjM5ODEyOQEHAAAABQAAAAExAQAAAAoxODYyNzU4MDQzAwAAAAEwAgAAAAUzODk1OAQAAAABMAcAAAAKMTEvMjQvMjAxNwgAAAAKMTEvMjQvMjAxN9vXubeTc9UIa0lLSZdz1Qg1Q0lRLk5hc2RhcUdTOklOVEMuSVFfVEVWX1RPVEFMX1JFVl9GV0Qu</t>
  </si>
  <si>
    <t>NjAwMC40LzMwLzIwMDQBAAAAh1IAAAIAAAAQNC4zMjczNTQ0NzM1OTg5NwENAAAABQAAAAE5AQAAAAcyNjIxMjk1AgAAAAcxNzU3MTQ0AwAAAAYxMDAzMDcEAAAAATIGAAAAATAHAAAAAzE2MAgAAAABMAkAAAABMQoAAAABMAsAAAAKMTE2OTEyODMzOAwAAAACMTINAAAACDUvMS8yMDA0m/6zvZNz1QibEVNJl3PVCDVDSVEuTmFzZGFxR1M6SU5UQy5JUV9URVZfVE9UQUxfUkVWX0ZXRC42MDAwLjkvMjgvMjAxMgEAAACHUgAAAgAAABAxLjk5NTY1MDQ5Nzk2MjI3AQ0AAAAFAAAAATkBAAAABzI2MjEyOTUCAAAABzE3NTcxNjkDAAAABjEwMDMwNwQAAAABMgYAAAABMAcAAAADMTYwCAAAAAEwCQAAAAExCgAAAAEwCwAAAAo4ODY0NDMzODU2DAAAAAIxMg0AAAAJOS8yOS8yMDEyqyW0vZNz1QhbdVJJl3PVCDVDSVEuTmFzZGFxR1M6SU5UQy5JUV9URVZfVE9UQUxfUkVWX0ZXRC42MDAwLjMvMTgvMjAxNgEAAACHUgAAAgAAABAyLjU3MTkwNDMxMTIzMTU2AQ0AAAAFAAAAATkBAAAABzI2MjEyOTUCAAAACjEwMDA5MTU0MDIDAAAABjEwMDMwNwQAAAABMgYAAAABMAcAAAADMTYwCAAAAAEwCQAAAAExCgAAAAEwCwAAAAo5MzU1NTA5NTU5DAAAAAIxMg0AAAAJMy8xOS8yMDE224dnuZNz1QjbHlZJl3PVCC1DSVEuXlNQWC5JUV9URVZfRUJJVERBX0ZXRF9DSVEuNjAwMC4zLzExLzIwMTUBAAAAm7goAAIAAAAIOS44</t>
  </si>
  <si>
    <t>NjAwNzYAG91Su5Nz1QgbzjJLl3PVCDBDSVEuTkFTREFRR1M6SU5UQy5JUV9QUklDRV9TQUxFUy4yMDAwLjExLzE0LzIwMTQBAAAAh1IAAAIAAAAIMy4wNTc2NzkBBwAAAAUAAAABMQEAAAAKMTcwMzY4MTg5NAMAAAABMAIAAAAFMzg5NTgEAAAAATAHAAAACjExLzE0LzIwMTQIAAAACjExLzE0LzIwMTSrQ6+9k3PVCHsWWkmXc9UIL0NJUS5OQVNEQVFHUzpJTlRDLklRX1BSSUNFX1NBTEVTLjIwMDAuOC8xMS8yMDE3AQAAAIdSAAACAAAACDIuNzQ3MDI0AQcAAAAFAAAAATEBAAAACjE4NTA2MTg2NjQDAAAAATACAAAABTM4OTU4BAAAAAEwBwAAAAk4LzExLzIwMTcIAAAACTgvMTEvMjAxN0sYsLuTc9UI62NRSZdz1QgwQ0lRLk5BU0RBUUdTOklOVEMuSVFfUEVfRVhDTF9GV0QuNjAwMC4xMS8xOC8yMDE2AQAAAIdSAAACAAAAEDEyLjY3MzYwNDgxNTYwNzIBDQAAAAUAAAABOQEAAAAHMjYyMTI5NQIAAAAIMjcwMDM2NTMDAAAABjEwMDMwOQQAAAABMgYAAAABMAcAAAADMTYwCAAAAAEwCQAAAAExCgAAAAEwCwAAAAo5ODYwMDIwMjkxDAAAAAIxMg0AAAAKMTEvMTkvMjAxNtspsr2Tc9UIi8xXSZdz1QgsQ0lRLk5BU0RBUUdTOklOVEMuSVFfTEFTVFNBTEVQUklDRS43LzI3LzIwMTYBAAAAh1IAAAIAAAAFMzQuODMAy5GvvZNz1QgrwCZLl3PVCC5DSVEuTkFTREFRR1M6SU5UQy5JUV9QUklDRV9TQUxFUy4yMDAw</t>
  </si>
  <si>
    <t>LjgvMy8yMDEyAQAAAIdSAAACAAAACDIuNDQwMzQ2AQcAAAAFAAAAATEBAAAACjE1NTcyMTYyNDYDAAAAATACAAAABTM4OTU4BAAAAAEwBwAAAAg4LzMvMjAxMggAAAAIOC8zLzIwMTJLEVW5k3PVCCuPT0mXc9UIL0NJUS5OQVNEQVFHUzpJTlRDLklRX1BFX0VYQ0xfRldELjYwMDAuMy8xOC8yMDA1AQAAAIdSAAACAAAAEDE4LjE4OTU4ODE4OTU4ODIBDQAAAAUAAAABOQEAAAAHMjYyMTI5NQIAAAAEMTg4MAMAAAAGMTAwMzA5BAAAAAEyBgAAAAEwBwAAAAMxNjAIAAAAATAJAAAAATEKAAAAATALAAAABzE1MDkxMTQMAAAAAjEyDQAAAAkzLzE5LzIwMDVribO9k3PVCOtjUUmXc9UIL0NJUS5OQVNEQVFHUzpJTlRDLklRX1BSSUNFX1NBTEVTLjIwMDAuMi8yMi8yMDEzAQAAAIdSAAACAAAACDEuOTEyNTY4AQcAAAAFAAAAATEBAAAACjE1ODgxNTc0NjMDAAAAATACAAAABTM4OTU4BAAAAAEwBwAAAAkyLzIyLzIwMTMIAAAACTIvMjIvMjAxM0sYsLuTc9UIG9lRSZdz1QgvQ0lRLk5BU0RBUUdTOklOVEMuSVFfUFJJQ0VfU0FMRVMuMjAwMC4zLzI4LzIwMTQBAAAAh1IAAAIAAAAIMi40MTU3ODgBBwAAAAUAAAABMQEAAAAKMTY1ODM0Mjc4MAMAAAABMAIAAAAFMzg5NTgEAAAAATAHAAAACTMvMjgvMjAxNAgAAAAJMy8yOC8yMDE0q0OvvZNz1Qh7FlpJl3PVCC9DSVEuTkFTREFRR1M6SU5UQy5JUV9QRV9FWENMX0ZX</t>
  </si>
  <si>
    <t>RC42MDAwLjYvMTcvMjAwNQEAAACHUgAAAgAAABAxOC41NjI2MjgzMzY3NTU2AQ0AAAAFAAAAATkBAAAABzI2MjEyOTUCAAAABzE3NTcxNDcDAAAABjEwMDMwOQQAAAABMgYAAAABMAcAAAADMTYwCAAAAAEwCQAAAAExCgAAAAEwCwAAAAo4ODYzMzU5MDU1DAAAAAIxMg0AAAAJNi8xOC8yMDA1a4mzvZNz1QhrK1BJl3PVCCdDSVEuTkFTREFRR1M6SU5UQy5JUV9SRVZFTlVFX0VTVC5GWTIwMTcBAAAAh1IAAAIAAAAKNjIwNTAuNTcxNgEOAAAABQAAAAEzAQAAAAEwAgAAAAoxMDAwOTQ0Mzg3AwAAAAYxMDAxODAEAAAAATIGAAAAATAHAAAAAzE2MAgAAAABMAkAAAABMQoAAAABMAsAAAALMTA2OTYzNzcyNDIMAAAAATENAAAACTIvMTUvMjAxOBAAAAAKMTIvMzEvMjAxNxvdUruTc9UIi7s/Spdz1Qg2Q0lRLk5BU0RBUUdTOklOVEMuSVFfVEVWX0VCSVREQV9GV0RfQ0lRLjYwMDAuOC8xOS8yMDE2AQAAAIdSAAACAAAAEDcuNTkyNDQ4Nzk5NjYxNzQBDQAAAAUAAAABOQEAAAAHMjYyMTI5NQIAAAAIMjcwMDM2NTIDAAAABjEwMDMwOAQAAAABMgYAAAABMAcAAAADMTYwCAAAAAEwCQAAAAExCgAAAAEwCwAAAAo5Njc1NzMzNjAyDAAAAAIxMg0AAAAJOC8yMC8yMDE2S1JTu5Nz1Qgb0Y+ul3PVCC9DSVEuTkFTREFRR1M6SU5UQy5JUV9QRV9FWENMX0ZXRC42MDAwLjQvMTMvMjAwNgEAAACHUgAAAgAAABAxOS42MDY4</t>
  </si>
  <si>
    <t>NTQ4Mzg3MDk3AQ0AAAAFAAAAATkBAAAABzI2MjEyOTUCAAAABDE4ODEDAAAABjEwMDMwOQQAAAABMgYAAAABMAcAAAADMTYwCAAAAAEwCQAAAAExCgAAAAEwCwAAAAcxNTE2OTA2DAAAAAIxMg0AAAAJNC8xNC8yMDA2W2KzvZNz1QirGlhJl3PVCCtDSVEuXlNQWC5JUV9URVZfVE9UQUxfUkVWX0ZXRC42MDAwLjQvNS8yMDE3AQAAAJu4KAACAAAACDIuMTg5NzQ3AJvrZrmTc9UIWx4WS5dz1QgmQ0lRLl5TUFguSVFfUEVfRVhDTF9GV0QuNjAwMC4yLzI3LzIwMTMBAAAAm7goAAIAAAAJMTMuNTkxMjEyAGtfVbmTc9UIuxg+S5dz1Qg0Q0lRLk5hc2RhcUdTOklOVEMuSVFfVEVWX1RPVEFMX1JFVl9GV0QuNjAwMC45LzEvMjAwNgEAAACHUgAAAgAAABAzLjA0Nzk0MTg0NjU2OTAzAQ0AAAAFAAAAATkBAAAABzI2MjEyOTUCAAAABzE3NTcxNTEDAAAABjEwMDMwNwQAAAABMgYAAAABMAcAAAADMTYwCAAAAAEwCQAAAAExCgAAAAEwCwAAAAo4ODYwNTAxNjMzDAAAAAIxMg0AAAAIOS8yLzIwMDbrSVe7k3PVCAuUVkmXc9UINUNJUS5OYXNkYXFHUzpJTlRDLklRX1RFVl9UT1RBTF9SRVZfRldELjYwMDAuMTEvOS8yMDAxAQAAAIdSAAACAAAAEDYuNzMwNDcxMTMyNzgyOTEBDQAAAAUAAAABOQEAAAAHMjYyMTI5NQIAAAAHMzQyMTE2MgMAAAAGMTAwMzA3BAAAAAEyBgAAAAEwBwAAAAMxNjAIAAAAATAJAAAAATEKAAAA</t>
  </si>
  <si>
    <t>ATALAAAACjExNjkxNTI1NTEMAAAAAjEyDQAAAAoxMS8xMC8yMDAxqyW0vZNz1Qgrj09Jl3PVCDZDSVEuTmFzZGFxR1M6SU5UQy5JUV9URVZfVE9UQUxfUkVWX0ZXRC42MDAwLjEyLzI2LzIwMDMBAAAAh1IAAAIAAAAQNS42MzgwOTMyMzI2MzI2MwENAAAABQAAAAE5AQAAAAcyNjIxMjk1AgAAAAcxNzU3MTQzAwAAAAYxMDAzMDcEAAAAATIGAAAAATAHAAAAAzE2MAgAAAABMAkAAAABMQoAAAABMAsAAAAKOTExMTA2MjUxOQwAAAACMTINAAAACjEyLzI3LzIwMDOLtLC7k3PVCGsrUEmXc9UIL0NJUS5OQVNEQVFHUzpJTlRDLklRX1BFX0VYQ0xfRldELjYwMDAuOS8xNS8yMDA2AQAAAIdSAAACAAAAEDIzLjAwOTc4ODg5MDE5OTMBDQAAAAUAAAABOQEAAAAHMjYyMTI5NQIAAAAHMTc1NzE1MQMAAAAGMTAwMzA5BAAAAAEyBgAAAAEwBwAAAAMxNjAIAAAAATAJAAAAATEKAAAAATALAAAACjg4NjQyMTE4NTIMAAAAAjEyDQAAAAk5LzE2LzIwMDZbYrO9k3PVCCtxVEmXc9UINkNJUS5OQVNEQVFHUzpJTlRDLklRX1RFVl9FQklUREFfRldEX0NJUS42MDAwLjMvMTQvMjAwOAEAAACHUgAAAgAAAA42LjkxNDc4MjUzMzYwNQENAAAABQAAAAE5AQAAAAcyNjIxMjk1AgAAAAQxODgzAwAAAAYxMDAzMDgEAAAAATIGAAAAATAHAAAAAzE2MAgAAAABMAkAAAABMQoAAAABMAsAAAAJMzYwNzAzMzE3DAAAAAIxMg0AAAAJMy8x</t>
  </si>
  <si>
    <t>NS8yMDA469hUu5Nz1Qj7go+ul3PVCDVDSVEuTmFzZGFxR1M6SU5UQy5JUV9URVZfVE9UQUxfUkVWX0ZXRC42MDAwLjcvMTYvMjAwNAEAAACHUgAAAgAAABAzLjU1OTcxNzkxOTUzNTEyAQ0AAAAFAAAAATkBAAAABzI2MjEyOTUCAAAABzE3NTcxNDUDAAAABjEwMDMwNwQAAAABMgYAAAABMAcAAAADMTYwCAAAAAEwCQAAAAExCgAAAAEwCwAAAAoxMTY5MTI4NzY1DAAAAAIxMg0AAAAJNy8xNy8yMDA0i7Swu5Nz1QirOFNJl3PVCDBDSVEuTkFTREFRR1M6SU5UQy5JUV9QRV9FWENMX0ZXRC42MDAwLjEwLzI4LzIwMTEBAAAAh1IAAAIAAAAQOS42NTkzMzI1ODU3NDY4OAENAAAABQAAAAE5AQAAAAcyNjIxMjk1AgAAAAcxNzU3MTY3AwAAAAYxMDAzMDkEAAAAATIGAAAAATAHAAAAAzE2MAgAAAABMAkAAAABMQoAAAABMAsAAAAKODg2NDQzMTExNQwAAAACMTINAAAACjEwLzI5LzIwMTEbxrK9k3PVCDuYVEmXc9UINUNJUS5OQVNEQVFHUzpJTlRDLklRX1RFVl9FQklUREFfRldEX0NJUS42MDAwLjkvMy8yMDEwAQAAAIdSAAACAAAAEDQuMzYzNDU1MDEzMTgxNzMBDQAAAAUAAAABOQEAAAAHMjYyMTI5NQIAAAAHMTc1NzE2MwMAAAAGMTAwMzA4BAAAAAEyBgAAAAEwBwAAAAMxNjAIAAAAATAJAAAAATEKAAAAATALAAAACjcwNzM3MjA4OTUMAAAAAjEyDQAAAAg5LzQvMjAxMLtjVLuTc9UIyw2Prpdz1Qg1Q0lRLk5h</t>
  </si>
  <si>
    <t>c2RhcUdTOklOVEMuSVFfVEVWX1RPVEFMX1JFVl9GV0QuNjAwMC4xLzMwLzIwMTUBAAAAh1IAAAIAAAAQMi43Mzc5NDA2MTk4NjY2NgENAAAABQAAAAE5AQAAAAcyNjIxMjk1AgAAAAoxMDAwMDk0MDcxAwAAAAYxMDAzMDcEAAAAATIGAAAAATAHAAAAAzE2MAgAAAABMAkAAAABMQoAAAABMAsAAAAKODU0ODM5MzYwMAwAAAACMTINAAAACTEvMzEvMjAxNdsiV7uTc9UIi3lQSZdz1QgvQ0lRLk5BU0RBUUdTOklOVEMuSVFfUEVfRVhDTF9GV0QuNjAwMC40LzIwLzIwMTIBAAAAh1IAAAIAAAAQMTAuMTcyMTE1MTM2NTQ5NgENAAAABQAAAAE5AQAAAAcyNjIxMjk1AgAAAAcxNzU3MTY4AwAAAAYxMDAzMDkEAAAAATIGAAAAATAHAAAAAzE2MAgAAAABMAkAAAABMQoAAAABMAsAAAAKODg2MzQzNjQ0MQwAAAACMTINAAAACTQvMjEvMjAxMpv+s72Tc9UI60VWSZdz1QgpQ0lRLk5BU0RBUUdTOklOVEMuSVFfUFRCVi4yMDAwLjExLzI4LzIwMTQBAAAAh1IAAAIAAAAINC4zOTc5NTkBBwAAAAUAAAABMQEAAAAKMTcwMzY4MTg5NAMAAAABMAIAAAAGMTAwMDI5BAAAAAEwBwAAAAoxMS8yOC8yMDE0CAAAAAoxMS8yOC8yMDE0SxFVuZNz1Qg7tk9Jl3PVCB9DSVEuXlNQWC5JUV9QVEJWLjIwMDAuNS8xNC8yMDE0AQAAAJu4KAACAAAACDUuMjcxNzg2AIvEZrmTc9UIy105S5dz1Qg3Q0lRLk5hc2RhcUdTOklOVEMuSVFfVEVW</t>
  </si>
  <si>
    <t>X0VCSVREQV9GV0RfQ0lRLjYwMDAuMTEvMTYvMjAwMQEAAACHUgAAAgAAABAyMS40MjUwNTE5NDQwMzYzAQ0AAAAFAAAAATkBAAAABzI2MjEyOTUCAAAABzM0MjExNjIDAAAABjEwMDMwOAQAAAABMgYAAAABMAcAAAADMTYwCAAAAAEwCQAAAAExCgAAAAEwCwAAAAoxMTY5MTUyNjIzDAAAAAIxMg0AAAAKMTEvMTcvMjAwMdt3sbuTc9UICzmNrpdz1QgfQ0lRLl5TUFguSVFfUFRCVi4yMDAwLjEyLzcvMjAxNgEAAACbuCgAAgAAAAg3LjczMzI5MgDb17m3k3PVCKs0HkuXc9UIL0NJUS5OQVNEQVFHUzpJTlRDLklRX1BSSUNFX1NBTEVTLjIwMDAuOS8yMC8yMDEzAQAAAIdSAAACAAAACDIuMjU4NzkzAQcAAAAFAAAAATEBAAAACjE2Mjg0MzY4NDkDAAAAATACAAAABTM4OTU4BAAAAAEwBwAAAAk5LzIwLzIwMTMIAAAACTkvMjAvMjAxM7tqr72Tc9UIqxpYSZdz1Qg2Q0lRLk5BU0RBUUdTOklOVEMuSVFfVEVWX0VCSVREQV9GV0RfQ0lRLjYwMDAuMTAvNi8yMDE3AQAAAIdSAAACAAAAEDcuNDg5Mzg1MDc4OTkyNTMBDQAAAAUAAAABOQEAAAAHMjYyMTI5NQIAAAAIMjc1MDAxNzMDAAAABjEwMDMwOAQAAAABMgYAAAABMAcAAAADMTYwCAAAAAEwCQAAAAExCgAAAAEwCwAAAAsxMDQ5MTU4NjQ5MgwAAAACMTINAAAACTEwLzcvMjAxNzsrU7uTc9UIi3GOrpdz1QgvQ0lRLk5BU0RBUUdTOklOVEMuSVFfUEVfRVhDTF9G</t>
  </si>
  <si>
    <t>V0QuNjAwMC40LzI1LzIwMTQBAAAAh1IAAAIAAAAQMTMuNTIzNTM0ODY0NTU4NwENAAAABQAAAAE5AQAAAAcyNjIxMjk1AgAAAAc0NDU2NDI3AwAAAAYxMDAzMDkEAAAAATIGAAAAATAHAAAAAzE2MAgAAAABMAkAAAABMQoAAAABMAsAAAAKODYzMDA5ODUxOQwAAAACMTINAAAACTQvMjYvMjAxNIvXs72Tc9UI67ZYSZdz1QgtQ0lRLk5BU0RBUUdTOklOVEMuSVFfTEFTVFNBTEVQUklDRS4xMS8xNi8yMDE2AQAAAIdSAAACAAAABTM0Ljg0ADvqVLmTc9UIezAgS5dz1QgwQ0lRLk5BU0RBUUdTOklOVEMuSVFfUFJJQ0VfU0FMRVMuMjAwMC4xMi8xMC8yMDEwAQAAAIdSAAACAAAACDIuODQ0NDI5AQcAAAAFAAAAATEBAAAACjE0MDg1MTY1NDYDAAAAATACAAAABTM4OTU4BAAAAAEwBwAAAAoxMi8xMC8yMDEwCAAAAAoxMi8xMC8yMDEw+45Su5Nz1Qib81dJl3PVCC9DSVEuTkFTREFRR1M6SU5UQy5JUV9QRV9FWENMX0ZXRC42MDAwLjIvMTkvMjAxMAEAAACHUgAAAgAAABAxMi44MTY5NjEyMzUxNTYyAQ0AAAAFAAAAATkBAAAABzI2MjEyOTUCAAAABDE4ODUDAAAABjEwMDMwOQQAAAABMgYAAAABMAcAAAADMTYwCAAAAAEwCQAAAAExCgAAAAEwCwAAAAcxNTUxOTIyDAAAAAIxMg0AAAAJMi8yMC8yMDEwK+2yvZNz1QirVk5Jl3PVCChDSVEuTkFTREFRR1M6SU5UQy5JUV9QVEJWLjIwMDAuNS8xNC8yMDEwAQAAAIdS</t>
  </si>
  <si>
    <t>AAACAAAACDMuMjIzMjc4AQcAAAAFAAAAATEBAAAACjEzNTc2NTkxMDEDAAAAATACAAAABjEwMDAyOQQAAAABMAcAAAAJNS8xNC8yMDEwCAAAAAk1LzE0LzIwMTDLsLm3k3PVCEtsTUmXc9UILkNJUS5OQVNEQVFHUzpJTlRDLklRX1BSSUNFX1NBTEVTLjIwMDAuOS8zLzIwMTABAAAAh1IAAAIAAAAIMi40ODgwNjMBBwAAAAUAAAABMQEAAAAKMTM4OTcxMDc0NAMAAAABMAIAAAAFMzg5NTgEAAAAATAHAAAACDkvMy8yMDEwCAAAAAg5LzMvMjAxMEsRVbmTc9UIG2hPSZdz1Qg0Q0lRLk5hc2RhcUdTOklOVEMuSVFfVEVWX1RPVEFMX1JFVl9GV0QuNjAwMC41LzUvMjAxNwEAAACHUgAAAgAAABAzLjAzODY1NDI0MTgzNDMzAQ0AAAAFAAAAATkBAAAABzI2MjEyOTUCAAAACDI3NTAwMTcyAwAAAAYxMDAzMDcEAAAAATIGAAAAATAHAAAAAzE2MAgAAAABMAkAAAABMQoAAAABMAsAAAALMTAxNTc1MDk0NzkMAAAAAjEyDQAAAAg1LzYvMjAxN9t3sbuTc9UI2x5WSZdz1QgvQ0lRLk5BU0RBUUdTOklOVEMuSVFfUEVfRVhDTF9GV0QuNjAwMC41LzI1LzIwMTIBAAAAh1IAAAIAAAAQOS41MzEyMTUyODU0OTIxMQENAAAABQAAAAE5AQAAAAcyNjIxMjk1AgAAAAcxNzU3MTY4AwAAAAYxMDAzMDkEAAAAATIGAAAAATAHAAAAAzE2MAgAAAABMAkAAAABMQoAAAABMAsAAAAKODg2MzQzNjQ0MgwAAAACMTINAAAACTUvMjYvMjAx</t>
  </si>
  <si>
    <t>MhvGsr2Tc9UICyNUSZdz1QgjQ0lRLl5TUFguSVFfTEFTVFNBTEVQUklDRS45LzIwLzIwMTcBAAAAm7goAAIAAAAQMjUwOC4yMzYwNDgzNjI4NwBLKGa5k3PVCPt29UqXc9UIL0NJUS5OQVNEQVFHUzpJTlRDLklRX1BFX0VYQ0xfRldELjYwMDAuMS8xOS8yMDE4AQAAAIdSAAACAAAAEDEzLjgyNjA3ODkwOTIxNDMBDQAAAAUAAAABOQEAAAAHMjYyMTI5NQIAAAAIMjc1MDAxNzQDAAAABjEwMDMwOQQAAAABMgYAAAABMAcAAAADMTYwCAAAAAEwCQAAAAExCgAAAAEwCwAAAAsxMDY2NzY1NzUxOAwAAAACMTINAAAACTEvMjAvMjAxOMsCsr2Tc9UIm/NXSZdz1QguQ0lRLk5BU0RBUUdTOklOVEMuSVFfUEVfRVhDTF9GV0QuNjAwMC42LzcvMjAxMwEAAACHUgAAAgAAABAxMi44MTE5NjI2OTQ3MzI1AQ0AAAAFAAAAATkBAAAABzI2MjEyOTUCAAAABzM4Mjk3NTEDAAAABjEwMDMwOQQAAAABMgYAAAABMAcAAAADMTYwCAAAAAEwCQAAAAExCgAAAAEwCwAAAAo3MDMzMjU4NjM3DAAAAAIxMg0AAAAINi84LzIwMTMLn7K9k3PVCJvzV0mXc9UILUNJUS5eU1BYLklRX1RFVl9FQklUREFfRldEX0NJUS42MDAwLjEvMjEvMjAxNQEAAACbuCgAAgAAAAg5LjcxNjM0MQB7hlW5k3PVCNuiNEuXc9UINUNJUS5OYXNkYXFHUzpJTlRDLklRX1RFVl9UT1RBTF9SRVZfRldELjYwMDAuMy8yMy8yMDEyAQAAAIdSAAACAAAAEDIuMzI4</t>
  </si>
  <si>
    <t>ODkxMzM5MzcwNDEBDQAAAAUAAAABOQEAAAAHMjYyMTI5NQIAAAAEMTg4NwMAAAAGMTAwMzA3BAAAAAEyBgAAAAEwBwAAAAMxNjAIAAAAATAJAAAAATEKAAAAATALAAAACjU3NDg4Mjc2NDAMAAAAAjEyDQAAAAkzLzI0LzIwMTLbcFa5k3PVCPsZT0mXc9UIJkNJUS5eU1BYLklRX1BFX0VYQ0xfRldELjYwMDAuOS8yOC8yMDE2AQAAAJu4KAACAAAACTE3LjU3NTY3NABrZrC7k3PVCBu3IUuXc9UINUNJUS5OYXNkYXFHUzpJTlRDLklRX1RFVl9FQklUREFfRldEX0NJUS42MDAwLjkvNC8yMDA5AQAAAIdSAAACAAAAEDcuNDAyNDE3MzU0NzY1MjcBDQAAAAUAAAABOQEAAAAHMjYyMTI5NQIAAAAHMTc1NzE2MAMAAAAGMTAwMzA4BAAAAAEyBgAAAAEwBwAAAAMxNjAIAAAAATAJAAAAATEKAAAAATALAAAACjgxNzI0MDMzNjAMAAAAAjEyDQAAAAg5LzUvMjAwOZvbsLuTc9UIK4eNrpdz1Qg2Q0lRLk5BU0RBUUdTOklOVEMuSVFfVEVWX0VCSVREQV9GV0RfQ0lRLjYwMDAuNy8zMS8yMDE1AQAAAIdSAAACAAAAEDUuODc3Nzc1NTE5ODQyMTEBDQAAAAUAAAABOQEAAAAHMjYyMTI5NQIAAAAHODA2ODI2MQMAAAAGMTAwMzA4BAAAAAEyBgAAAAEwBwAAAAMxNjAIAAAAATAJAAAAATEKAAAAATALAAAACjg4OTk4NDIzNDYMAAAAAjEyDQAAAAg4LzEvMjAxNWugU7uTc9UI61uPrpdz1QgsQ0lRLl5TUFguSVFfVEVWX1RPVEFM</t>
  </si>
  <si>
    <t>X1JFVl9GV0QuNjAwMC4zLzIwLzIwMTMBAAAAm7goAAIAAAAIMS41ODI3MzgA27ivvZNz1Qi7GD5Ll3PVCC9DSVEuTkFTREFRR1M6SU5UQy5JUV9QUklDRV9TQUxFUy4yMDAwLjEvMjIvMjAxNgEAAACHUgAAAgAAAAgyLjU2MzUzMgEHAAAABQAAAAExAQAAAAoxNzcyOTQyODA2AwAAAAEwAgAAAAUzODk1OAQAAAABMAcAAAAJMS8yMi8yMDE2CAAAAAkxLzIyLzIwMTbb17m3k3PVCJu+S0mXc9UINUNJUS5OYXNkYXFHUzpJTlRDLklRX1RFVl9UT1RBTF9SRVZfRldELjYwMDAuNy8zMC8yMDA0AQAAAIdSAAACAAAAEDMuODQ3MTMwNjg2MTQ1MDIBDQAAAAUAAAABOQEAAAAHMjYyMTI5NQIAAAAHMTc1NzE0NQMAAAAGMTAwMzA3BAAAAAEyBgAAAAEwBwAAAAMxNjAIAAAAATAJAAAAATEKAAAAATALAAAACjExNjkxMjg3NjYMAAAAAjEyDQAAAAk3LzMxLzIwMDTbcFa5k3PVCGucUkmXc9UINUNJUS5OQVNEQVFHUzpJTlRDLklRX1RFVl9FQklUREFfRldEX0NJUS42MDAwLjMvNS8yMDEwAQAAAIdSAAACAAAAEDYuMDY2MjY1NjY1MTg3NjUBDQAAAAUAAAABOQEAAAAHMjYyMTI5NQIAAAAEMTg4NQMAAAAGMTAwMzA4BAAAAAEyBgAAAAEwBwAAAAMxNjAIAAAAATAJAAAAATEKAAAAATALAAAACTM2MDc0MDU2MAwAAAACMTINAAAACDMvNi8yMDEwy4pUu5Nz1Qh7u5Cul3PVCC9DSVEuTkFTREFRR1M6SU5UQy5JUV9QUklD</t>
  </si>
  <si>
    <t>RV9TQUxFUy4yMDAwLjIvMjgvMjAxNAEAAACHUgAAAgAAAAgyLjMzNDY5NgEHAAAABQAAAAExAQAAAAoxNjU4MzQyNzgwAwAAAAEwAgAAAAUzODk1OAQAAAABMAcAAAAJMi8yOC8yMDE0CAAAAAkyLzI4LzIwMTRLEVW5k3PVCPsZT0mXc9UIMENJUS5OQVNEQVFHUzpJTlRDLklRX1BFX0VYQ0xfRldELjYwMDAuMTEvMjMvMjAxMgEAAACHUgAAAgAAABAxMC4wMjU5MjkxMjcwNTI3AQ0AAAAFAAAAATkBAAAABzI2MjEyOTUCAAAABzE3NTcxNzADAAAABjEwMDMwOQQAAAABMgYAAAABMAcAAAADMTYwCAAAAAEwCQAAAAExCgAAAAEwCwAAAAo4ODYzNDM0NjI2DAAAAAIxMg0AAAAKMTEvMjQvMjAxMgufsr2Tc9UIO7ZPSZdz1QguQ0lRLl5TUFguSVFfVEVWX0VCSVREQV9GV0RfQ0lRLjYwMDAuMTAvMjMvMjAxMwEAAACbuCgAAgAAAAc4LjQyMDIzANu4r72Tc9UIO+A8S5dz1QgsQ0lRLl5TUFguSVFfVEVWX1RPVEFMX1JFVl9GV0QuNjAwMC4zLzI5LzIwMTcBAAAAm7goAAIAAAAIMi4yMDAwMDMA27ivvZNz1Qir4RZLl3PVCDRDSVEuTmFzZGFxR1M6SU5UQy5JUV9URVZfVE9UQUxfUkVWX0ZXRC42MDAwLjcvOS8yMDA0AQAAAIdSAAACAAAADzQuNDQxNDM1NTYzNTc5NAENAAAABQAAAAE5AQAAAAcyNjIxMjk1AgAAAAcxNzU3MTQ0AwAAAAYxMDAzMDcEAAAAATIGAAAAATAHAAAAAzE2MAgAAAABMAkAAAABMQoAAAAB</t>
  </si>
  <si>
    <t>MAsAAAAKMTE2OTEyODM5MwwAAAACMTINAAAACTcvMTAvMjAwNIu0sLuTc9UIW1dXSZdz1Qg2Q0lRLk5BU0RBUUdTOklOVEMuSVFfVEVWX0VCSVREQV9GV0RfQ0lRLjYwMDAuNS8xOC8yMDEyAQAAAIdSAAACAAAAEDQuNzU1NzMwNzE4NTM2MjQBDQAAAAUAAAABOQEAAAAHMjYyMTI5NQIAAAAHMTc1NzE2OAMAAAAGMTAwMzA4BAAAAAEyBgAAAAEwBwAAAAMxNjAIAAAAATAJAAAAATEKAAAAATALAAAACjY5NTU0MTI1MTYMAAAAAjEyDQAAAAk1LzE5LzIwMTKbFVS7k3PVCJuYjq6Xc9UILENJUS5eU1BYLklRX1RFVl9FQklUREFfRldEX0NJUS42MDAwLjQvMS8yMDE1AQAAAJu4KAACAAAACDkuOTA1Mzk1AHuNsLuTc9UI61gyS5dz1QgsQ0lRLk5BU0RBUUdTOklOVEMuSVFfTEFTVFNBTEVQUklDRS4yLzExLzIwMTUBAAAAh1IAAAIAAAAFMzMuNTUAK8NUuZNz1QirLTRLl3PVCDVDSVEuTmFzZGFxR1M6SU5UQy5JUV9URVZfVE9UQUxfUkVWX0ZXRC42MDAwLjcvMjcvMjAwMQEAAACHUgAAAgAAABA2LjgwODE2MDE5NTIzNjY1AQ0AAAAFAAAAATkBAAAABzI2MjEyOTUCAAAABzM0MjExNjEDAAAABjEwMDMwNwQAAAABMgYAAAABMAcAAAADMTYwCAAAAAEwCQAAAAExCgAAAAEwCwAAAAoxMTY5MTUyNDQ5DAAAAAIxMg0AAAAJNy8yOC8yMDAx+9VnuZNz1QirGlhJl3PVCDZDSVEuTkFTREFRR1M6SU5UQy5JUV9URVZf</t>
  </si>
  <si>
    <t>RUJJVERBX0ZXRF9DSVEuNjAwMC4xMi81LzIwMTQBAAAAh1IAAAIAAAAPNy4yMTY3MDI3ODY0MzQ5AQ0AAAAFAAAAATkBAAAABzI2MjEyOTUCAAAABzQ0NTY0MjkDAAAABjEwMDMwOAQAAAABMgYAAAABMAcAAAADMTYwCAAAAAEwCQAAAAExCgAAAAEwCwAAAAo4NTE4MTc4OTI4DAAAAAIxMg0AAAAJMTIvNi8yMDE0a6BTu5Nz1Qg7H5Cul3PVCDRDSVEuTmFzZGFxR1M6SU5UQy5JUV9URVZfVE9UQUxfUkVWX0ZXRC42MDAwLjUvNi8yMDExAQAAAIdSAAACAAAAEDIuMTUyODc5NzgzNDU3NjcBDQAAAAUAAAABOQEAAAAHMjYyMTI5NQIAAAAHMTc1NzE2NQMAAAAGMTAwMzA3BAAAAAEyBgAAAAEwBwAAAAMxNjAIAAAAATAJAAAAATEKAAAAATALAAAACjg4NjI1NDA4MTcMAAAAAjEyDQAAAAg1LzcvMjAxMZvUVbmTc9UIq6lVSZdz1Qg1Q0lRLk5hc2RhcUdTOklOVEMuSVFfVEVWX1RPVEFMX1JFVl9GV0QuNjAwMC42LzE5LzIwMTUBAAAAh1IAAAIAAAAQMi42NzIxMTQ0MTI4MzU1OQENAAAABQAAAAE5AQAAAAcyNjIxMjk1AgAAAAc4MDY4MjYwAwAAAAYxMDAzMDcEAAAAATIGAAAAATAHAAAAAzE2MAgAAAABMAkAAAABMQoAAAABMAsAAAAKODg4NjExODYxNgwAAAACMTINAAAACTYvMjAvMjAxNav7VbmTc9UICwVZSZdz1QgwQ0lRLk5BU0RBUUdTOklOVEMuSVFfUEVfRVhDTF9GV0QuNjAwMC4xMC8yMS8yMDA1AQAA</t>
  </si>
  <si>
    <t>AIdSAAACAAAAEDE1LjIyMDI0OTgzNTYzNDUBDQAAAAUAAAABOQEAAAAHMjYyMTI5NQIAAAAHMTc1NzE0OQMAAAAGMTAwMzA5BAAAAAEyBgAAAAEwBwAAAAMxNjAIAAAAATAJAAAAATEKAAAAATALAAAACjg4NjI0MTI0MzEMAAAAAjEyDQAAAAoxMC8yMi8yMDA1a4mzvZNz1QgLlFZJl3PVCC5DSVEuTkFTREFRR1M6SU5UQy5JUV9QRV9FWENMX0ZXRC42MDAwLjcvMS8yMDExAQAAAIdSAAACAAAAEDkuODgxMTQ1NTYzNzkxMDYBDQAAAAUAAAABOQEAAAAHMjYyMTI5NQIAAAAHMTc1NzE2NQMAAAAGMTAwMzA5BAAAAAEyBgAAAAEwBwAAAAMxNjAIAAAAATAJAAAAATEKAAAAATALAAAACjg4NjMzNjI1MTEMAAAAAjEyDQAAAAg3LzIvMjAxMRvGsr2Tc9UIm6BQSZdz1QgoQ0lRLk5BU0RBUUdTOklOVEMuSVFfUFRCVi4yMDAwLjUvMTUvMjAxNQEAAACHUgAAAgAAAAgzLjkxNjE1MwEHAAAABQAAAAExAQAAAAoxNzMwNzYyNzU1AwAAAAEwAgAAAAYxMDAwMjkEAAAAATAHAAAACTUvMTUvMjAxNQgAAAAJNS8xNS8yMDE1+45Su5Nz1Qgbu1ZJl3PVCC9DSVEuTkFTREFRR1M6SU5UQy5JUV9QUklDRV9TQUxFUy4yMDAwLjcvMjQvMjAxMwEAAACHUgAAAgAAAAgyLjE3OTA2MgEHAAAABQAAAAExAQAAAAoxNjI2NDg2NjI4AwAAAAEwAgAAAAUzODk1OAQAAAABMAcAAAAJNy8yNC8yMDEzCAAAAAk3LzI0LzIwMTN7nWa5k3PV</t>
  </si>
  <si>
    <t>CGtVPUuXc9UINUNJUS5OYXNkYXFHUzpJTlRDLklRX1RFVl9UT1RBTF9SRVZfRldELjYwMDAuNi8xNC8yMDAyAQAAAIdSAAACAAAAEDQuNzk1NDU3NDgxMjIzNzkBDQAAAAUAAAABOQEAAAAHMjYyMTI5NQIAAAAHMTc1NzEzOAMAAAAGMTAwMzA3BAAAAAEyBgAAAAEwBwAAAAMxNjAIAAAAATAJAAAAATEKAAAAATALAAAACjExNjkxMjU0MTUMAAAAAjEyDQAAAAk2LzE1LzIwMDKLtLC7k3PVCPvdWEmXc9UII0NJUS5eU1BYLklRX0xBU1RTQUxFUFJJQ0UuNS8xNC8yMDE0AQAAAJu4KAACAAAAEDE4ODguNTI1NzIwNTcxMTcAW09muZNz1Qi7NjlLl3PVCDVDSVEuTmFzZGFxR1M6SU5UQy5JUV9URVZfVE9UQUxfUkVWX0ZXRC42MDAwLjYvMTUvMjAwNwEAAACHUgAAAgAAABAzLjU1Mzc1ODExODE4NzYzAQ0AAAAFAAAAATkBAAAABzI2MjEyOTUCAAAABzE3NTcxNTMDAAAABjEwMDMwNwQAAAABMgYAAAABMAcAAAADMTYwCAAAAAEwCQAAAAExCgAAAAEwCwAAAAo4ODUxOTU5OTIwDAAAAAIxMg0AAAAJNi8xNi8yMDA3i9ezvZNz1QibL05Jl3PVCCVDSVEuXlNQWC5JUV9QRV9FWENMX0ZXRC42MDAwLjkvNC8yMDEzAQAAAJu4KAACAAAACTE0LjQwNDYyNwArBFO7k3PVCEsHPUuXc9UINENJUS5OYXNkYXFHUzpJTlRDLklRX1RFVl9UT1RBTF9SRVZfRldELjYwMDAuOS8zLzIwMDQBAAAAh1IAAAIAAAAQMy4yNTgwMjQ3</t>
  </si>
  <si>
    <t>OTIzMzk5MwENAAAABQAAAAE5AQAAAAcyNjIxMjk1AgAAAAcxNzU3MTQ1AwAAAAYxMDAzMDcEAAAAATIGAAAAATAHAAAAAzE2MAgAAAABMAkAAAABMQoAAAABMAsAAAAKMTE2OTEyODgyNAwAAAACMTINAAAACDkvNC8yMDA0665nuZNz1QgLslFJl3PVCC5DSVEuTkFTREFRR1M6SU5UQy5JUV9QUklDRV9TQUxFUy4yMDAwLjYvMS8yMDEyAQAAAIdSAAACAAAACDIuMzkxNjY3AQcAAAAFAAAAATEBAAAACjE1NDUxNTY0MzgDAAAAATACAAAABTM4OTU4BAAAAAEwBwAAAAg2LzEvMjAxMggAAAAINi8xLzIwMTILtlK7k3PVCPtsVkmXc9UINENJUS5OYXNkYXFHUzpJTlRDLklRX1RFVl9UT1RBTF9SRVZfRldELjYwMDAuOC82LzIwMTABAAAAh1IAAAIAAAAQMi4xMzMzMzI0OTM4NDIxNwENAAAABQAAAAE5AQAAAAcyNjIxMjk1AgAAAAcxNzU3MTYzAwAAAAYxMDAzMDcEAAAAATIGAAAAATAHAAAAAzE2MAgAAAABMAkAAAABMQoAAAABMAsAAAAKODg2MzUxMTM5NQwAAAACMTINAAAACDgvNy8yMDEw+8Wxu5Nz1Qi7QVhJl3PVCDZDSVEuTmFzZGFxR1M6SU5UQy5JUV9URVZfRUJJVERBX0ZXRF9DSVEuNjAwMC4zLzIwLzIwMDgBAAAAh1IAAAIAAAAQNy4zMjUwMjUwMzE2NzczMQENAAAABQAAAAE5AQAAAAcyNjIxMjk1AgAAAAQxODgzAwAAAAYxMDAzMDgEAAAAATIGAAAAATAHAAAAAzE2MAgAAAABMAkAAAABMQoAAAAB</t>
  </si>
  <si>
    <t>MAsAAAAJMzYwNzAzMzE3DAAAAAIxMg0AAAAJMy8yMS8yMDA4m/6zvZNz1QjbNI+ul3PVCC9DSVEuTkFTREFRR1M6SU5UQy5JUV9QRV9FWENMX0ZXRC42MDAwLjEvMjcvMjAxMgEAAACHUgAAAgAAABAxMC42MTE4MTcxMDk5MTc1AQ0AAAAFAAAAATkBAAAABzI2MjEyOTUCAAAABDE4ODcDAAAABjEwMDMwOQQAAAABMgYAAAABMAcAAAADMTYwCAAAAAEwCQAAAAExCgAAAAEwCwAAAAo3NjE2MjAxOTc5DAAAAAIxMg0AAAAJMS8yOC8yMDEyG8ayvZNz1Qg7mFRJl3PVCC9DSVEuTkFTREFRR1M6SU5UQy5JUV9QRV9FWENMX0ZXRC42MDAwLjgvMjUvMjAxNwEAAACHUgAAAgAAABAxMS40MDMxMDQ4NTQ2MjQ0AQ0AAAAFAAAAATkBAAAABzI2MjEyOTUCAAAACDI3NTAwMTczAwAAAAYxMDAzMDkEAAAAATIGAAAAATAHAAAAAzE2MAgAAAABMAkAAAABMQoAAAABMAsAAAALMTA0MTU3NDEwMjgMAAAAAjEyDQAAAAk4LzI2LzIwMTfLArK9k3PVCMv3VUmXc9UII0NJUS5eU1BYLklRX0xBU1RTQUxFUFJJQ0UuMTAvOC8yMDE0AQAAAJu4KAACAAAAEDE5NjguODg5MjgyMjQ5ODkA29e5t5Nz1QiLUDZLl3PVCCNDSVEuXlNQWC5JUV9MQVNUU0FMRVBSSUNFLjIvMTEvMjAxNQEAAACbuCgAAgAAABAyMDY4LjUzMTk3NzA2MjA0AFtPZrmTc9UIK/UyS5dz1QguQ0lRLl5TUFguSVFfVEVWX0VCSVREQV9GV0RfQ0lRLjYwMDAuMTIv</t>
  </si>
  <si>
    <t>MzEvMjAxNAEAAACbuCgAAgAAAAg5LjU2MzIxMwB7jbC7k3PVCBs/NUuXc9UINUNJUS5OYXNkYXFHUzpJTlRDLklRX1RFVl9UT1RBTF9SRVZfRldELjYwMDAuMS8xMS8yMDEzAQAAAIdSAAACAAAAEDEuOTgxMTA3Mzc3MjUwNDUBDQAAAAUAAAABOQEAAAAHMjYyMTI5NQIAAAAHMTc1NzE3MAMAAAAGMTAwMzA3BAAAAAEyBgAAAAEwBwAAAAMxNjAIAAAAATAJAAAAATEKAAAAATALAAAACjg4NjQ0MzUxNDUMAAAAAjEyDQAAAAkxLzEyLzIwMTML/We5k3PVCGt+V0mXc9UILUNJUS5eU1BYLklRX1RFVl9FQklUREFfRldEX0NJUS42MDAwLjEvMjkvMjAxNAEAAACbuCgAAgAAAAg4LjQ5ODczMQArBFO7k3PVCPtDPEuXc9UII0NJUS5eU1BYLklRX0xBU1RTQUxFUFJJQ0UuNC8yNC8yMDEzAQAAAJu4KAACAAAAEDE1NzguNzg5NDUwOTA5MjcAC7ZSu5Nz1Qibyj1Ll3PVCCJDSVEuXlNQWC5JUV9MQVNUU0FMRVBSSUNFLjgvNS8yMDE1AQAAAJu4KAACAAAAEDIwOTkuODQyMjIxNzkxMzQAy5GvvZNz1QjbwC9Ll3PVCDdDSVEuTkFTREFRR1M6SU5UQy5JUV9URVZfRUJJVERBX0ZXRF9DSVEuNjAwMC4xMC8xMC8yMDE0AQAAAIdSAAACAAAAEDYuMTk4MDcxNTQzNzM3NzQBDQAAAAUAAAABOQEAAAAHMjYyMTI5NQIAAAAHNDQ1NjQyOAMAAAAGMTAwMzA4BAAAAAEyBgAAAAEwBwAAAAMxNjAIAAAAATAJAAAAATEKAAAAATAL</t>
  </si>
  <si>
    <t>AAAACjg2NDg3OTQ1MDYMAAAAAjEyDQAAAAoxMC8xMS8yMDE0e8dTu5Nz1Qgb0Y+ul3PVCC9DSVEuTkFTREFRR1M6SU5UQy5JUV9QRV9FWENMX0ZXRC42MDAwLjUvMTcvMjAxMwEAAACHUgAAAgAAABAxMi41MTIzNjE0MjE5NTM5AQ0AAAAFAAAAATkBAAAABzI2MjEyOTUCAAAABzM4Mjk3NTEDAAAABjEwMDMwOQQAAAABMgYAAAABMAcAAAADMTYwCAAAAAEwCQAAAAExCgAAAAEwCwAAAAo3MDMzMjU4NjM1DAAAAAIxMg0AAAAJNS8xOC8yMDEzC5+yvZNz1Qi7QVhJl3PVCDZDSVEuTmFzZGFxR1M6SU5UQy5JUV9URVZfRUJJVERBX0ZXRF9DSVEuNjAwMC4yLzIzLzIwMDEBAAAAh1IAAAMAAAAAAJvbsLuTc9UIC6qPrpdz1QgrQ0lRLk5BU0RBUUdTOklOVEMuSVFfTEFTVFNBTEVQUklDRS4xLzcvMjAxNQEAAACHUgAAAgAAAAUzNi4wMgDLka+9k3PVCOvJNEuXc9UIMENJUS5OQVNEQVFHUzpJTlRDLklRX1BFX0VYQ0xfRldELjYwMDAuMTAvMTcvMjAxNAEAAACHUgAAAgAAABAxMy4xNTAwNjQ5NTQxMTMxAQ0AAAAFAAAAATkBAAAABzI2MjEyOTUCAAAABzQ0NTY0MjkDAAAABjEwMDMwOQQAAAABMgYAAAABMAcAAAADMTYwCAAAAAEwCQAAAAExCgAAAAEwCwAAAAo4NDUyNTUxMTQxDAAAAAIxMg0AAAAKMTAvMTgvMjAxNPt3sr2Tc9UIS6FZSZdz1QgwQ0lRLk5BU0RBUUdTOklOVEMuSVFfUFJJQ0VfU0FMRVMuMjAw</t>
  </si>
  <si>
    <t>MC4xMS8yMi8yMDEzAQAAAIdSAAACAAAACDIuMjY1MzI3AQcAAAAFAAAAATEBAAAACjE2NDI0ODM3OTIDAAAAATACAAAABTM4OTU4BAAAAAEwBwAAAAoxMS8yMi8yMDEzCAAAAAoxMS8yMi8yMDEz29e5t5Nz1Qh7cEtJl3PVCC9DSVEuTkFTREFRR1M6SU5UQy5JUV9QRV9FWENMX0ZXRC42MDAwLjIvMjcvMjAwNAEAAACHUgAAAgAAABAyMy4zNjg3ODY2NjM3ODU2AQ0AAAAFAAAAATkBAAAABzI2MjEyOTUCAAAABDE4NzkDAAAABjEwMDMwOQQAAAABMgYAAAABMAcAAAADMTYwCAAAAAEwCQAAAAExCgAAAAEwCwAAAAo2MzkzMTYwOTcyDAAAAAIxMg0AAAAJMi8yOC8yMDA0a4mzvZNz1QirGlhJl3PVCDBDSVEuTkFTREFRR1M6SU5UQy5JUV9QRV9FWENMX0ZXRC42MDAwLjEyLzIzLzIwMTEBAAAAh1IAAAIAAAAQMTAuMjQxMzQzMTI2OTY3NQENAAAABQAAAAE5AQAAAAcyNjIxMjk1AgAAAAcxNzU3MTY3AwAAAAYxMDAzMDkEAAAAATIGAAAAATAHAAAAAzE2MAgAAAABMAkAAAABMQoAAAABMAsAAAAKODg2NDM5OTQxNQwAAAACMTINAAAACjEyLzI0LzIwMTGb/rO9k3PVCFtXV0mXc9UIL0NJUS5OQVNEQVFHUzpJTlRDLklRX1BFX0VYQ0xfRldELjYwMDAuNi8yMC8yMDA4AQAAAIdSAAACAAAAEDE2Ljc3Mjg4NzQ1NTk0OTYBDQAAAAUAAAABOQEAAAAHMjYyMTI5NQIAAAAHMTc1NzE1NgMAAAAGMTAwMzA5BAAAAAEy</t>
  </si>
  <si>
    <t>BgAAAAEwBwAAAAMxNjAIAAAAATAJAAAAATEKAAAAATALAAAACjgxNzI1MjcwODcMAAAAAjEyDQAAAAk2LzIxLzIwMDhLO7O9k3PVCMuGU0mXc9UIJENJUS5eU1BYLklRX0xBU1RTQUxFUFJJQ0UuMTAvMTUvMjAxNAEAAACbuCgAAgAAABAxODYyLjQ5MTEzNzUyNTAzAFs/sLuTc9UIi1A2S5dz1QgvQ0lRLk5BU0RBUUdTOklOVEMuSVFfUEVfRVhDTF9GV0QuNjAwMC4yLzEwLzIwMTIBAAAAh1IAAAIAAAAQMTAuNTk3OTIyMTAwNjA3OAENAAAABQAAAAE5AQAAAAcyNjIxMjk1AgAAAAQxODg3AwAAAAYxMDAzMDkEAAAAATIGAAAAATAHAAAAAzE2MAgAAAABMAkAAAABMQoAAAABMAsAAAAKNzYxNjIwMTk3OQwAAAACMTINAAAACTIvMTEvMjAxMqsltL2Tc9UIS6FZSZdz1Qg1Q0lRLk5hc2RhcUdTOklOVEMuSVFfVEVWX1RPVEFMX1JFVl9GV0QuNjAwMC4yLzI2LzIwMTABAAAAh1IAAAIAAAAQMi41MTU1NDM5NDUzNTM5MQENAAAABQAAAAE5AQAAAAcyNjIxMjk1AgAAAAQxODg1AwAAAAYxMDAzMDcEAAAAATIGAAAAATAHAAAAAzE2MAgAAAABMAkAAAABMQoAAAABMAsAAAAJMzYwNzM2MTU3DAAAAAIxMg0AAAAJMi8yNy8yMDEw24dnuZNz1QhbIktJl3PVCDVDSVEuTmFzZGFxR1M6SU5UQy5JUV9URVZfVE9UQUxfUkVWX0ZXRC42MDAwLjQvMTEvMjAwOAEAAACHUgAAAgAAABAyLjcxNzY0NjMzMzc1MTgyAQ0AAAAF</t>
  </si>
  <si>
    <t>AAAAATkBAAAABzI2MjEyOTUCAAAABDE4ODMDAAAABjEwMDMwNwQAAAABMgYAAAABMAcAAAADMTYwCAAAAAEwCQAAAAExCgAAAAEwCwAAAAkzNjA3MDAyNjcMAAAAAjEyDQAAAAk0LzEyLzIwMDj7lry3k3PVCAuyUUmXc9UINkNJUS5OYXNkYXFHUzpJTlRDLklRX1RFVl9FQklUREFfRldEX0NJUS42MDAwLjgvMjIvMjAxNAEAAACHUgAAAgAAAA42Ljg3MzM5NTgwMzY4NAENAAAABQAAAAE5AQAAAAcyNjIxMjk1AgAAAAc0NDU2NDI4AwAAAAYxMDAzMDgEAAAAATIGAAAAATAHAAAAAzE2MAgAAAABMAkAAAABMQoAAAABMAsAAAAKODY0ODEwMTY3NAwAAAACMTINAAAACTgvMjMvMjAxNJv+s72Tc9UIOx+Qrpdz1QgvQ0lRLk5BU0RBUUdTOklOVEMuSVFfUEVfRVhDTF9GV0QuNjAwMC45LzI4LzIwMDcBAAAAh1IAAAIAAAAQMjAuMzM2NTgzODMxMzkzNQENAAAABQAAAAE5AQAAAAcyNjIxMjk1AgAAAAcxNzU3MTU0AwAAAAYxMDAzMDkEAAAAATIGAAAAATAHAAAAAzE2MAgAAAABMAkAAAABMQoAAAABMAsAAAALMTAzMzQyMDcxODUMAAAAAjEyDQAAAAk5LzI5LzIwMDdLO7O9k3PVCIt5UEmXc9UIN0NJUS5OYXNkYXFHUzpJTlRDLklRX1RFVl9FQklUREFfRldEX0NJUS42MDAwLjEwLzE5LzIwMTIBAAAAh1IAAAIAAAAQNC44MDYyMTk1ODMxNjI0OAENAAAABQAAAAE5AQAAAAcyNjIxMjk1AgAAAAcxNzU3MTcwAwAA</t>
  </si>
  <si>
    <t>AAYxMDAzMDgEAAAAATIGAAAAATAHAAAAAzE2MAgAAAABMAkAAAABMQoAAAABMAsAAAAKODE3MTU3NDIzNQwAAAACMTINAAAACjEwLzIwLzIwMTKb/rO9k3PVCMsNj66Xc9UILUNJUS5eU1BYLklRX1RFVl9FQklUREFfRldEX0NJUS42MDAwLjUvMTAvMjAxNwEAAACbuCgAAgAAAAkxMC4zOTU1NDkAqxJnuZNz1QjrmxJLl3PVCCBDSVEuXlNQWC5JUV9QVEJWLjIwMDAuMTAvMjMvMjAxMwEAAACbuCgAAgAAAAg1LjE1MDE2OABrZrC7k3PVCDvgPEuXc9UINENJUS5OYXNkYXFHUzpJTlRDLklRX1RFVl9UT1RBTF9SRVZfRldELjYwMDAuMy85LzIwMTIBAAAAh1IAAAIAAAAQMi4yNTgwNDcyNTQxMDI3MQENAAAABQAAAAE5AQAAAAcyNjIxMjk1AgAAAAQxODg3AwAAAAYxMDAzMDcEAAAAATIGAAAAATAHAAAAAzE2MAgAAAABMAkAAAABMQoAAAABMAsAAAAKNTc0ODgyNzYzOQwAAAACMTINAAAACTMvMTAvMjAxMrspsbuTc9UIKx5NSZdz1QgtQ0lRLl5TUFguSVFfVEVWX1RPVEFMX1JFVl9GV0QuNjAwMC4xMS8xNi8yMDE2AQAAAJu4KAACAAAACDIuMDYwOTEzAGtmsLuTc9UIezAgS5dz1Qg1Q0lRLk5hc2RhcUdTOklOVEMuSVFfVEVWX1RPVEFMX1JFVl9GV0QuNjAwMC43LzIwLzIwMDcBAAAAh1IAAAIAAAAPMy40NjMwMTE4MDc4NzczAQ0AAAAFAAAAATkBAAAABzI2MjEyOTUCAAAABzE3NTcxNTQDAAAABjEwMDMw</t>
  </si>
  <si>
    <t>NwQAAAABMgYAAAABMAcAAAADMTYwCAAAAAEwCQAAAAExCgAAAAEwCwAAAAo5MTExMDUwODI3DAAAAAIxMg0AAAAJNy8yMS8yMDA324dnuZNz1QiLW1VJl3PVCDZDSVEuTmFzZGFxR1M6SU5UQy5JUV9URVZfRUJJVERBX0ZXRF9DSVEuNjAwMC4zLzIyLzIwMDIBAAAAh1IAAAIAAAAQMTguMjQ3NDM5NTA2NTQ3MgENAAAABQAAAAE5AQAAAAcyNjIxMjk1AgAAAAQxODc3AwAAAAYxMDAzMDgEAAAAATIGAAAAATAHAAAAAzE2MAgAAAABMAkAAAABMQoAAAABMAsAAAAJMzYwNjU2MDUzDAAAAAIxMg0AAAAJMy8yMy8yMDAyu0y0vZNz1QhrlJCul3PVCC9DSVEuTkFTREFRR1M6SU5UQy5JUV9QRV9FWENMX0ZXRC42MDAwLjYvMjMvMjAxNwEAAACHUgAAAgAAABAxMS45NjkxOTMwNjg0NDA0AQ0AAAAFAAAAATkBAAAABzI2MjEyOTUCAAAACDI3NTAwMTcyAwAAAAYxMDAzMDkEAAAAATIGAAAAATAHAAAAAzE2MAgAAAABMAkAAAABMQoAAAABMAsAAAALMTAyNTU4MDg1NDMMAAAAAjEyDQAAAAk2LzI0LzIwMTfbKbK9k3PVCHsWWkmXc9UINkNJUS5OQVNEQVFHUzpJTlRDLklRX1RFVl9FQklUREFfRldEX0NJUS42MDAwLjkvMTMvMjAxMwEAAACHUgAAAgAAABA1LjI3NDMyODQyNTExMzMyAQ0AAAAFAAAAATkBAAAABzI2MjEyOTUCAAAABzM4Mjk3NTIDAAAABjEwMDMwOAQAAAABMgYAAAABMAcAAAADMTYwCAAAAAEwCQAA</t>
  </si>
  <si>
    <t>AAExCgAAAAEwCwAAAAo4MTcxMjA1ODY2DAAAAAIxMg0AAAAJOS8xNC8yMDEzi+5Tu5Nz1QjrW4+ul3PVCC9DSVEuTkFTREFRR1M6SU5UQy5JUV9QUklDRV9TQUxFUy4yMDAwLjEwLzkvMjAxMwEAAACHUgAAAgAAAAgyLjE0Njc1MQEHAAAABQAAAAExAQAAAAoxNjI4NDM2ODQ5AwAAAAEwAgAAAAUzODk1OAQAAAABMAcAAAAJMTAvOS8yMDEzCAAAAAkxMC85LzIwMTNbT2a5k3PVCEsHPUuXc9UILkNJUS5OQVNEQVFHUzpJTlRDLklRX1BFX0VYQ0xfRldELjYwMDAuOS83LzIwMTIBAAAAh1IAAAIAAAAQMTAuNzYyNTkxMjA4NDAwMQENAAAABQAAAAE5AQAAAAcyNjIxMjk1AgAAAAcxNzU3MTY5AwAAAAYxMDAzMDkEAAAAATIGAAAAATAHAAAAAzE2MAgAAAABMAkAAAABMQoAAAABMAsAAAAKODg2MzQzNDk0MAwAAAACMTINAAAACDkvOC8yMDEyC5+yvZNz1QhrfldJl3PVCDVDSVEuTmFzZGFxR1M6SU5UQy5JUV9URVZfVE9UQUxfUkVWX0ZXRC42MDAwLjUvMTkvMjAwNgEAAACHUgAAAgAAABAyLjY2OTA4MDQ4NDI1MDEyAQ0AAAAFAAAAATkBAAAABzI2MjEyOTUCAAAABzE3NTcxNTADAAAABjEwMDMwNwQAAAABMgYAAAABMAcAAAADMTYwCAAAAAEwCQAAAAExCgAAAAEwCwAAAAo4ODU2MjI5MjY1DAAAAAIxMg0AAAAJNS8yMC8yMDA2uzlnuZNz1QgrU1lJl3PVCC5DSVEuTkFTREFRR1M6SU5UQy5JUV9QUklDRV9T</t>
  </si>
  <si>
    <t>QUxFUy4yMDAwLjIvNS8yMDEwAQAAAIdSAAACAAAACDMuMDgwMTAzAQcAAAAFAAAAATEBAAAACjEzMDUxNjkyNTQDAAAAATACAAAABTM4OTU4BAAAAAEwBwAAAAgyLzUvMjAxMAgAAAAIMi81LzIwMTCrQ6+9k3PVCDt6WUmXc9UINUNJUS5OYXNkYXFHUzpJTlRDLklRX1RFVl9UT1RBTF9SRVZfRldELjYwMDAuNC8xNi8yMDA0AQAAAIdSAAACAAAAEDQuNDU5OTc2MDkxMzgzMTYBDQAAAAUAAAABOQEAAAAHMjYyMTI5NQIAAAAHMTc1NzE0NAMAAAAGMTAwMzA3BAAAAAEyBgAAAAEwBwAAAAMxNjAIAAAAATAJAAAAATEKAAAAATALAAAACjExNjkxMjgzMzgMAAAAAjEyDQAAAAk0LzE3LzIwMDSLX1a7k3PVCDu2T0mXc9UIJkNJUS5eU1BYLklRX1BFX0VYQ0xfRldELjYwMDAuNi8yNS8yMDE0AQAAAJu4KAACAAAACTE2LjEyNTI0NgB7hlW5k3PVCFtMOEuXc9UILENJUS5OQVNEQVFHUzpJTlRDLklRX0xBU1RTQUxFUFJJQ0UuMy8xMi8yMDE0AQAAAIdSAAACAAAABTI0Ljc2AAu2UruTc9UIq4A7S5dz1QgvQ0lRLk5BU0RBUUdTOklOVEMuSVFfUEVfRVhDTF9GV0QuNjAwMC4yLzE2LzIwMDcBAAAAh1IAAAIAAAAQMTkuNTgyNzAzMDIxODA1NwENAAAABQAAAAE5AQAAAAcyNjIxMjk1AgAAAAQxODgyAwAAAAYxMDAzMDkEAAAAATIGAAAAATAHAAAAAzE2MAgAAAABMAkAAAABMQoAAAABMAsAAAALMTAzNzg1MjI4MzMM</t>
  </si>
  <si>
    <t>AAAAAjEyDQAAAAkyLzE3LzIwMDdbYrO9k3PVCIvMV0mXc9UINkNJUS5OQVNEQVFHUzpJTlRDLklRX1RFVl9FQklUREFfRldEX0NJUS42MDAwLjMvMTYvMjAxMgEAAACHUgAAAgAAABA1LjMzODMxMTUyODQ3NDMxAQ0AAAAFAAAAATkBAAAABzI2MjEyOTUCAAAABDE4ODcDAAAABjEwMDMwOAQAAAABMgYAAAABMAcAAAADMTYwCAAAAAEwCQAAAAExCgAAAAEwCwAAAAo1NzQ4ODMxMzg0DAAAAAIxMg0AAAAJMy8xNy8yMDEyqzxUu5Nz1QjbNI+ul3PVCDZDSVEuTkFTREFRR1M6SU5UQy5JUV9URVZfRUJJVERBX0ZXRF9DSVEuNjAwMC43LzMxLzIwMDkBAAAAh1IAAAIAAAAQOC4xNTc5ODI4Nzg5MDk3NQENAAAABQAAAAE5AQAAAAcyNjIxMjk1AgAAAAcxNzU3MTYwAwAAAAYxMDAzMDgEAAAAATIGAAAAATAHAAAAAzE2MAgAAAABMAkAAAABMQoAAAABMAsAAAAKODE3MjQwMzM0OQwAAAACMTINAAAACDgvMS8yMDA527FUu5Nz1QhbbZCul3PVCDVDSVEuTmFzZGFxR1M6SU5UQy5JUV9URVZfVE9UQUxfUkVWX0ZXRC42MDAwLjEyLzcvMjAxMgEAAACHUgAAAgAAABAxLjgxMzA5NzgzNjM1Nzc5AQ0AAAAFAAAAATkBAAAABzI2MjEyOTUCAAAABzE3NTcxNzADAAAABjEwMDMwNwQAAAABMgYAAAABMAcAAAADMTYwCAAAAAEwCQAAAAExCgAAAAEwCwAAAAo4ODY0NDM1NDY0DAAAAAIxMg0AAAAJMTIvOC8yMDEyqyW0vZNz</t>
  </si>
  <si>
    <t>1QjbHlZJl3PVCCRDSVEuXlNQWC5JUV9MQVNUU0FMRVBSSUNFLjExLzExLzIwMTUBAAAAm7goAAIAAAAQMjA3NS4wMDMxNjc0Mjk1NQDb17m3k3PVCAvFLUuXc9UINUNJUS5OYXNkYXFHUzpJTlRDLklRX1RFVl9UT1RBTF9SRVZfRldELjYwMDAuNy8xMS8yMDAzAQAAAIdSAAACAAAAEDQuODM0MjY0Njg4MDcyOTYBDQAAAAUAAAABOQEAAAAHMjYyMTI5NQIAAAAHMTc1NzE0MQMAAAAGMTAwMzA3BAAAAAEyBgAAAAEwBwAAAAMxNjAIAAAAATAJAAAAATEKAAAAATALAAAACjkxMTEwNjI0ODQMAAAAAjEyDQAAAAk3LzEyLzIwMDO7KbG7k3PVCJvzV0mXc9UIHkNJUS5eU1BYLklRX1BUQlYuMjAwMC4zLzEvMjAxNwEAAACbuCgAAgAAAAg4LjcxMjg5MgDrZ1K7k3PVCIsEGUuXc9UIKENJUS5OQVNEQVFHUzpJTlRDLklRX1BUQlYuMjAwMC41LzI4LzIwMTABAAAAh1IAAAIAAAAIMy4xNTQwNzEBBwAAAAUAAAABMQEAAAAKMTM1NzY1OTEwMQMAAAABMAIAAAAGMTAwMDI5BAAAAAEwBwAAAAk1LzI4LzIwMTAIAAAACTUvMjgvMjAxMNuqiLaTc9UIWyJLSZdz1QgvQ0lRLk5BU0RBUUdTOklOVEMuSVFfUEVfRVhDTF9GV0QuNjAwMC43LzI5LzIwMTYBAAAAh1IAAAIAAAAQMTMuMzIzNjUwODE3OTE3OAENAAAABQAAAAE5AQAAAAcyNjIxMjk1AgAAAAgyNzAwMzY1MgMAAAAGMTAwMzA5BAAAAAEyBgAAAAEwBwAAAAMxNjAI</t>
  </si>
  <si>
    <t>AAAAATAJAAAAATEKAAAAATALAAAACjk2MjYxMTA2NTUMAAAAAjEyDQAAAAk3LzMwLzIwMTbbKbK9k3PVCNs8UUmXc9UIJENJUS5eU1BYLklRX0xBU1RTQUxFUFJJQ0UuMTAvMTYvMjAxMwEAAACbuCgAAgAAABAxNzIxLjU0NDI5OTk5MDI5AMuRr72Tc9UIO+A8S5dz1QgvQ0lRLk5BU0RBUUdTOklOVEMuSVFfUEVfRVhDTF9GV0QuNjAwMC4zLzI0LzIwMDUBAAAAh1IAAAIAAAAPMTguMDEwODc4MDEwODc4AQ0AAAAFAAAAATkBAAAABzI2MjEyOTUCAAAABDE4ODADAAAABjEwMDMwOQQAAAABMgYAAAABMAcAAAADMTYwCAAAAAEwCQAAAAExCgAAAAEwCwAAAAcxNTA5MTE0DAAAAAIxMg0AAAAJMy8yNS8yMDA1a4mzvZNz1Qjbj1hJl3PVCDVDSVEuTkFTREFRR1M6SU5UQy5JUV9URVZfRUJJVERBX0ZXRF9DSVEuNjAwMC4yLzEvMjAwMgEAAACHUgAAAgAAAA4yMC44ODYzNTI3NDIzMQENAAAABQAAAAE5AQAAAAcyNjIxMjk1AgAAAAQxODc3AwAAAAYxMDAzMDgEAAAAATIGAAAAATAHAAAAAzE2MAgAAAABMAkAAAABMQoAAAABMAsAAAAJMzYwNjU2MDUxDAAAAAIxMg0AAAAIMi8yLzIwMDJb6lW7k3PVCNs0j66Xc9UINUNJUS5OYXNkYXFHUzpJTlRDLklRX1RFVl9UT1RBTF9SRVZfRldELjYwMDAuNC8yMS8yMDE3AQAAAIdSAAACAAAAEDIuOTk1NzU2MDMyMzA4MzIBDQAAAAUAAAABOQEAAAAHMjYyMTI5NQIAAAAK</t>
  </si>
  <si>
    <t>MTAwMDk0NDM4NwMAAAAGMTAwMzA3BAAAAAEyBgAAAAEwBwAAAAMxNjAIAAAAATAJAAAAATEKAAAAATALAAAACzEwMTE0MTcxMzMxDAAAAAIxMg0AAAAJNC8yMi8yMDE3yyG8t5Nz1QibEVNJl3PVCC9DSVEuTkFTREFRR1M6SU5UQy5JUV9QUklDRV9TQUxFUy4yMDAwLjEvMjQvMjAxNAEAAACHUgAAAgAAAAgyLjMzOTQxMQEHAAAABQAAAAExAQAAAAoxNjUzODE5MzM0AwAAAAEwAgAAAAUzODk1OAQAAAABMAcAAAAJMS8yNC8yMDE0CAAAAAkxLzI0LzIwMTR7nWa5k3PVCPv7U0mXc9UIMENJUS5OQVNEQVFHUzpJTlRDLklRX1BSSUNFX1NBTEVTLjIwMDAuMTEvMjUvMjAxNQEAAACHUgAAAgAAAAgyLjk2ODk4NwEHAAAABQAAAAExAQAAAAoxNzYxNzA2ODI3AwAAAAEwAgAAAAUzODk1OAQAAAABMAcAAAAKMTEvMjUvMjAxNQgAAAAKMTEvMjUvMjAxNbtqr72Tc9UIC8UtS5dz1QguQ0lRLk5BU0RBUUdTOklOVEMuSVFfUFJJQ0VfU0FMRVMuMjAwMC44LzUvMjAxNgEAAACHUgAAAgAAAAgyLjkyMjIwOAEHAAAABQAAAAExAQAAAAoxODAxMjk0NTAxAwAAAAEwAgAAAAUzODk1OAQAAAABMAcAAAAIOC81LzIwMTYIAAAACDgvNS8yMDE2O+pUuZNz1QhrK1BJl3PVCDBDSVEuTkFTREFRR1M6SU5UQy5JUV9QUklDRV9TQUxFUy4yMDAwLjEyLzMwLzIwMTEBAAAAh1IAAAIAAAAIMi41Mjc5MTIBBwAAAAUAAAABMQEAAAAK</t>
  </si>
  <si>
    <t>MTQ4MDIxNTM4MQMAAAABMAIAAAAFMzg5NTgEAAAAATAHAAAACjEyLzMwLzIwMTEIAAAACjEyLzMwLzIwMTGrQ6+9k3PVCEuhWUmXc9UILkNJUS5eU1BYLklRX1RFVl9FQklUREFfRldEX0NJUS42MDAwLjEwLzI1LzIwMTcBAAAAm7goAAIAAAAJMTAuMzkzOTEyAJvrZrmTc9UI697ySpdz1QgvQ0lRLk5BU0RBUUdTOklOVEMuSVFfUFJJQ0VfU0FMRVMuMjAwMC4yLzI0LzIwMTcBAAAAh1IAAAIAAAAIMi45MDk1MDcBBwAAAAUAAAABMQEAAAAKMTgyODE3NDEyMgMAAAABMAIAAAAFMzg5NTgEAAAAATAHAAAACTIvMjQvMjAxNwgAAAAJMi8yNC8yMDE3W09muZNz1QibglVJl3PVCC9DSVEuTkFTREFRR1M6SU5UQy5JUV9QRV9FWENMX0ZXRC42MDAwLjcvMzEvMjAwOQEAAACHUgAAAgAAAA8xOS43Mzk1NDA2MDcwNTUBDQAAAAUAAAABOQEAAAAHMjYyMTI5NQIAAAAHMTc1NzE2MAMAAAAGMTAwMzA5BAAAAAEyBgAAAAEwBwAAAAMxNjAIAAAAATAJAAAAATEKAAAAATALAAAACjg4NjMxMjQ2NzgMAAAAAjEyDQAAAAg4LzEvMjAwOasltL2Tc9UI+/tTSZdz1QggQ0lRLl5TUFguSVFfUFRCVi4yMDAwLjEwLzE4LzIwMTcBAAAAm7goAAIAAAAIOS4wODEzMjUAWz+wu5Nz1QiLZfRKl3PVCC9DSVEuTkFTREFRR1M6SU5UQy5JUV9QRV9FWENMX0ZXRC42MDAwLjQvMTMvMjAxNwEAAACHUgAAAgAAABAxMi42MDI1NjM0MTUw</t>
  </si>
  <si>
    <t>MjY1AQ0AAAAFAAAAATkBAAAABzI2MjEyOTUCAAAACjEwMDA5NDQzODcDAAAABjEwMDMwOQQAAAABMgYAAAABMAcAAAADMTYwCAAAAAEwCQAAAAExCgAAAAEwCwAAAAsxMDEwNzk5NzA2NAwAAAACMTINAAAACTQvMTQvMjAxN5v+s72Tc9UIK+JWSZdz1Qg0Q0lRLk5hc2RhcUdTOklOVEMuSVFfVEVWX1RPVEFMX1JFVl9GV0QuNjAwMC43LzUvMjAxMwEAAACHUgAAAgAAABAyLjEyOTkzODA1NTcwOTkxAQ0AAAAFAAAAATkBAAAABzI2MjEyOTUCAAAABzM4Mjk3NTEDAAAABjEwMDMwNwQAAAABMgYAAAABMAcAAAADMTYwCAAAAAEwCQAAAAExCgAAAAEwCwAAAAo4ODYyNTM5OTc4DAAAAAIxMg0AAAAINy82LzIwMTOb/rO9k3PVCBssWUmXc9UIMENJUS5OQVNEQVFHUzpJTlRDLklRX1BFX0VYQ0xfRldELjYwMDAuMTEvMjIvMjAwMgEAAACHUgAAAgAAABAzOC4zMzY1MjAwNzY0ODE4AQ0AAAAFAAAAATkBAAAABzI2MjEyOTUCAAAABzE3NTcxNDADAAAABjEwMDMwOQQAAAABMgYAAAABMAcAAAADMTYwCAAAAAEwCQAAAAExCgAAAAEwCwAAAAo4ODU5ODg5NDIwDAAAAAIxMg0AAAAKMTEvMjMvMjAwMnuws72Tc9UImy9OSZdz1Qg0Q0lRLk5hc2RhcUdTOklOVEMuSVFfVEVWX1RPVEFMX1JFVl9GV0QuNjAwMC41LzgvMjAxNQEAAACHUgAAAgAAABAyLjcyNzExMDYzMjkzMTAyAQ0AAAAFAAAAATkBAAAABzI2MjEyOTUC</t>
  </si>
  <si>
    <t>AAAABzgwNjgyNjADAAAABjEwMDMwNwQAAAABMgYAAAABMAcAAAADMTYwCAAAAAEwCQAAAAExCgAAAAEwCwAAAAo5MTA5NTk2ODAzDAAAAAIxMg0AAAAINS85LzIwMTWrJbS9k3PVCDtFTUmXc9UIK0NJUS5eU1BYLklRX1RFVl9UT1RBTF9SRVZfRldELjYwMDAuNy84LzIwMTUBAAAAm7goAAIAAAAIMi4wMDM4MzIAe4ZVuZNz1Qg7qzBLl3PVCDdDSVEuTmFzZGFxR1M6SU5UQy5JUV9URVZfRUJJVERBX0ZXRF9DSVEuNjAwMC4xMS8xNS8yMDEzAQAAAIdSAAACAAAAEDUuNTU5OTU2Nzc4OTU0MjQBDQAAAAUAAAABOQEAAAAHMjYyMTI5NQIAAAAHMzgyOTc1MwMAAAAGMTAwMzA4BAAAAAEyBgAAAAEwBwAAAAMxNjAIAAAAATAJAAAAATEKAAAAATALAAAACjc2MTc1NzczODIMAAAAAjEyDQAAAAoxMS8xNi8yMDEzqyW0vZNz1QgLqo+ul3PVCDBDSVEuTkFTREFRR1M6SU5UQy5JUV9QRV9FWENMX0ZXRC42MDAwLjEyLzEzLzIwMTMBAAAAh1IAAAIAAAAQMTMuMDAxODE5OTMzNjI1OQENAAAABQAAAAE5AQAAAAcyNjIxMjk1AgAAAAczODI5NzUzAwAAAAYxMDAzMDkEAAAAATIGAAAAATAHAAAAAzE2MAgAAAABMAkAAAABMQoAAAABMAsAAAAKODE3MTU4MTM1NwwAAAACMTINAAAACjEyLzE0LzIwMTOb/rO9k3PVCBu7VkmXc9UINkNJUS5OYXNkYXFHUzpJTlRDLklRX1RFVl9FQklUREFfRldEX0NJUS42MDAwLjIvMTUv</t>
  </si>
  <si>
    <t>MjAwMgEAAACHUgAAAgAAABAxOS4zODc1NjI3NDc3MDQ5AQ0AAAAFAAAAATkBAAAABzI2MjEyOTUCAAAABDE4NzcDAAAABjEwMDMwOAQAAAABMgYAAAABMAcAAAADMTYwCAAAAAEwCQAAAAExCgAAAAEwCwAAAAkzNjA2NTYwNTEMAAAAAjEyDQAAAAkyLzE2LzIwMDLbIle7k3PVCDsfkK6Xc9UIL0NJUS5OQVNEQVFHUzpJTlRDLklRX1BFX0VYQ0xfRldELjYwMDAuNS8yNi8yMDA2AQAAAIdSAAACAAAAEDE5LjMzMTU2NDk4NjczNzQBDQAAAAUAAAABOQEAAAAHMjYyMTI5NQIAAAAHMTc1NzE1MAMAAAAGMTAwMzA5BAAAAAEyBgAAAAEwBwAAAAMxNjAIAAAAATAJAAAAATEKAAAAATALAAAACjg4NjI5MTU5NDEMAAAAAjEyDQAAAAk1LzI3LzIwMDZbYrO9k3PVCGsNVUmXc9UIL0NJUS5OQVNEQVFHUzpJTlRDLklRX1BFX0VYQ0xfRldELjYwMDAuMi8xMi8yMDEwAQAAAIdSAAACAAAAEDEyLjU5OTY3ODA2OTg5OTUBDQAAAAUAAAABOQEAAAAHMjYyMTI5NQIAAAAEMTg4NQMAAAAGMTAwMzA5BAAAAAEyBgAAAAEwBwAAAAMxNjAIAAAAATAJAAAAATEKAAAAATALAAAABzE1NTE5MjEMAAAAAjEyDQAAAAkyLzEzLzIwMTCb/rO9k3PVCOvUU0mXc9UINUNJUS5OYXNkYXFHUzpJTlRDLklRX1RFVl9FQklUREFfRldEX0NJUS42MDAwLjkvOC8yMDA2AQAAAIdSAAACAAAADzEwLjYzMDA5NDQ4MDM1OAENAAAABQAAAAE5AQAA</t>
  </si>
  <si>
    <t>AAcyNjIxMjk1AgAAAAcxNzU3MTUxAwAAAAYxMDAzMDgEAAAAATIGAAAAATAHAAAAAzE2MAgAAAABMAkAAAABMQoAAAABMAsAAAAKMTE2OTEzNDU2MAwAAAACMTINAAAACDkvOS8yMDA2qwKxu5Nz1QjbNI+ul3PVCC9DSVEuTkFTREFRR1M6SU5UQy5JUV9QUklDRV9TQUxFUy4yMDAwLjEvMTcvMjAxOAEAAACHUgAAAgAAAAgzLjM3MDc5MwEHAAAABQAAAAExAQAAAAoxODYyNzU4MDQzAwAAAAEwAgAAAAUzODk1OAQAAAABMAcAAAAJMS8xNy8yMDE4CAAAAAkxLzE3LzIwMThbT2a5k3PVCPtGgEqXc9UIJkNJUS5eU1BYLklRX1BFX0VYQ0xfRldELjYwMDAuMi8xNC8yMDE4AQAAAJu4KAACAAAACTE3LjIwNTA2MwB7jbC7k3PVCGs9ykmXc9UIL0NJUS5OQVNEQVFHUzpJTlRDLklRX1BFX0VYQ0xfRldELjYwMDAuOC8yMy8yMDEzAQAAAIdSAAACAAAAEDExLjQ3MTIxOTcxMTY4NTkBDQAAAAUAAAABOQEAAAAHMjYyMTI5NQIAAAAHMzgyOTc1MgMAAAAGMTAwMzA5BAAAAAEyBgAAAAEwBwAAAAMxNjAIAAAAATAJAAAAATEKAAAAATALAAAACjcwNjA4NzE1ODUMAAAAAjEyDQAAAAk4LzI0LzIwMTOb/rO9k3PVCAsjVEmXc9UILkNJUS5OQVNEQVFHUzpJTlRDLklRX1BFX0VYQ0xfRldELjYwMDAuNC83LzIwMDYBAAAAh1IAAAIAAAAPMTkuMDQ5NTA0OTUwNDk1AQ0AAAAFAAAAATkBAAAABzI2MjEyOTUCAAAABDE4ODED</t>
  </si>
  <si>
    <t>AAAABjEwMDMwOQQAAAABMgYAAAABMAcAAAADMTYwCAAAAAEwCQAAAAExCgAAAAEwCwAAAAcxNTE2OTAyDAAAAAIxMg0AAAAINC84LzIwMDZbYrO9k3PVCBu7VkmXc9UINkNJUS5OYXNkYXFHUzpJTlRDLklRX1RFVl9FQklUREFfRldEX0NJUS42MDAwLjcvMTgvMjAwMwEAAACHUgAAAgAAABAxMi4wMzE4MTQ5ODQwMjk0AQ0AAAAFAAAAATkBAAAABzI2MjEyOTUCAAAABzE3NTcxNDIDAAAABjEwMDMwOAQAAAABMgYAAAABMAcAAAADMTYwCAAAAAEwCQAAAAExCgAAAAEwCwAAAAoxMTY5MTI3Njc1DAAAAAIxMg0AAAAJNy8xOS8yMDAz2yJXu5Nz1Qg7ro2ul3PVCDRDSVEuTmFzZGFxR1M6SU5UQy5JUV9URVZfVE9UQUxfUkVWX0ZXRC42MDAwLjUvMy8yMDEzAQAAAIdSAAACAAAADjIuMTE4MjUxNzUzMDc1AQ0AAAAFAAAAATkBAAAABzI2MjEyOTUCAAAABzM4Mjk3NTEDAAAABjEwMDMwNwQAAAABMgYAAAABMAcAAAADMTYwCAAAAAEwCQAAAAExCgAAAAEwCwAAAAozMzA4OTU1NTQzDAAAAAIxMg0AAAAINS80LzIwMTO7+ru3k3PVCGtJS0mXc9UIJkNJUS5eU1BYLklRX1BFX0VYQ0xfRldELjYwMDAuNy8xNy8yMDEzAQAAAJu4KAACAAAACTE0Ljg5NzUzMwDbuK+9k3PVCGtVPUuXc9UIL0NJUS5OQVNEQVFHUzpJTlRDLklRX1BFX0VYQ0xfRldELjYwMDAuOC8yNi8yMDA1AQAAAIdSAAACAAAAEDE2Ljk1MTMwMDg2</t>
  </si>
  <si>
    <t>NzI0NDgBDQAAAAUAAAABOQEAAAAHMjYyMTI5NQIAAAAHMTc1NzE0OAMAAAAGMTAwMzA5BAAAAAEyBgAAAAEwBwAAAAMxNjAIAAAAATAJAAAAATEKAAAAATALAAAACjg4NjIzOTg5MjYMAAAAAjEyDQAAAAk4LzI3LzIwMDVribO9k3PVCKs4U0mXc9UILkNJUS5OQVNEQVFHUzpJTlRDLklRX1BFX0VYQ0xfRldELjYwMDAuNi83LzIwMDIBAAAAh1IAAAIAAAAGMzQuMzc1AQ0AAAAFAAAAATkBAAAABzI2MjEyOTUCAAAABzE3NTcxMzgDAAAABjEwMDMwOQQAAAABMgYAAAABMAcAAAADMTYwCAAAAAEwCQAAAAExCgAAAAEwCwAAAAoxMTY5MTUyNzE0DAAAAAIxMg0AAAAINi84LzIwMDJ7sLO9k3PVCCtTWUmXc9UINUNJUS5OYXNkYXFHUzpJTlRDLklRX1RFVl9UT1RBTF9SRVZfRldELjYwMDAuMi8yNi8yMDE2AQAAAIdSAAACAAAAEDIuMzM2NDQzMTg5Mzc3NTQBDQAAAAUAAAABOQEAAAAHMjYyMTI5NQIAAAAKMTAwMDkxNTQwMgMAAAAGMTAwMzA3BAAAAAEyBgAAAAEwBwAAAAMxNjAIAAAAATAJAAAAATEKAAAAATALAAAACjkzMTE0MTAzMDcMAAAAAjEyDQAAAAkyLzI3LzIwMTbbIle7k3PVCGvvWUmXc9UINkNJUS5OYXNkYXFHUzpJTlRDLklRX1RFVl9FQklUREFfRldEX0NJUS42MDAwLjUvMTgvMjAwNwEAAACHUgAAAgAAABA5LjE3MjM5MDk5MjkxMDQxAQ0AAAAFAAAAATkBAAAABzI2MjEyOTUCAAAABzE3NTcx</t>
  </si>
  <si>
    <t>NTMDAAAABjEwMDMwOAQAAAABMgYAAAABMAcAAAADMTYwCAAAAAEwCQAAAAExCgAAAAEwCwAAAAoxMTY5MTM2ODMxDAAAAAIxMg0AAAAJNS8xOS8yMDA3y1Cxu5Nz1Qg7ro2ul3PVCC1DSVEuXlNQWC5JUV9URVZfRUJJVERBX0ZXRF9DSVEuNjAwMC4xLzE1LzIwMTQBAAAAm7goAAIAAAAHOC44Mzk4OQDbuK+9k3PVCAtrPEuXc9UIL0NJUS5OQVNEQVFHUzpJTlRDLklRX1BSSUNFX1NBTEVTLjIwMDAuNy8xNS8yMDE2AQAAAIdSAAACAAAACDIuOTUyMTUzAQcAAAAFAAAAATEBAAAACjE3ODkxOTMzNDMDAAAAATACAAAABTM4OTU4BAAAAAEwBwAAAAk3LzE1LzIwMTYIAAAACTcvMTUvMjAxNuvRiLaTc9UIO9RKSZdz1Qg2Q0lRLk5hc2RhcUdTOklOVEMuSVFfVEVWX1RPVEFMX1JFVl9GV0QuNjAwMC4xMS8yMS8yMDAzAQAAAIdSAAACAAAAEDUuOTA5MTI0NTg3OTcyODQBDQAAAAUAAAABOQEAAAAHMjYyMTI5NQIAAAAHMTc1NzE0MwMAAAAGMTAwMzA3BAAAAAEyBgAAAAEwBwAAAAMxNjAIAAAAATAJAAAAATEKAAAAATALAAAACjkxMTEwNjMzMjEMAAAAAjEyDQAAAAoxMS8yMi8yMDAzS5louZNz1QjLaFhJl3PVCDRDSVEuTmFzZGFxR1M6SU5UQy5JUV9URVZfVE9UQUxfUkVWX0ZXRC42MDAwLjkvNC8yMDE1AQAAAIdSAAACAAAAEDIuMzc3ODE2MjEwMzI2NjgBDQAAAAUAAAABOQEAAAAHMjYyMTI5NQIAAAAHODA2</t>
  </si>
  <si>
    <t>ODI2MQMAAAAGMTAwMzA3BAAAAAEyBgAAAAEwBwAAAAMxNjAIAAAAATAJAAAAATEKAAAAATALAAAACjkxMDk2MDQ2ODcMAAAAAjEyDQAAAAg5LzUvMjAxNdtIvLeTc9UI2x5WSZdz1QgwQ0lRLk5BU0RBUUdTOklOVEMuSVFfUFJJQ0VfU0FMRVMuMjAwMC4xMC8yMC8yMDE3AQAAAIdSAAACAAAACDMuMDk2MjQxAQcAAAAFAAAAATEBAAAACjE4NTA2MTg2NjQDAAAAATACAAAABTM4OTU4BAAAAAEwBwAAAAoxMC8yMC8yMDE3CAAAAAoxMC8yMC8yMDE3q0OvvZNz1Qhr71lJl3PVCCxDSVEuXlNQWC5JUV9URVZfRUJJVERBX0ZXRF9DSVEuNjAwMC4yLzQvMjAxNQEAAACbuCgAAgAAAAg5Ljc2NzIzNwDr/rm3k3PVCLtUNEuXc9UILkNJUS5OQVNEQVFHUzpJTlRDLklRX1BFX0VYQ0xfRldELjYwMDAuMi83LzIwMDMBAAAAh1IAAAIAAAAQMjQuMTU0MjAxNzA3NjQ1OQENAAAABQAAAAE5AQAAAAcyNjIxMjk1AgAAAAQxODc4AwAAAAYxMDAzMDkEAAAAATIGAAAAATAHAAAAAzE2MAgAAAABMAkAAAABMQoAAAABMAsAAAAHMTUwMDM0MwwAAAACMTINAAAACDIvOC8yMDAze7CzvZNz1QirGlhJl3PVCCdDSVEuXlNQWC5JUV9QRV9FWENMX0ZXRC42MDAwLjEwLzExLzIwMTcBAAAAm7goAAIAAAAIMTguODgzNzYAe4ZVuZNz1QhrpvFKl3PVCCxDSVEuXlNQWC5JUV9URVZfVE9UQUxfUkVWX0ZXRC42MDAwLjcvMTAvMjAxMwEA</t>
  </si>
  <si>
    <t>AACbuCgAAgAAAAgxLjY2NTA1MgArBFO7k3PVCHt8PUuXc9UIL0NJUS5OQVNEQVFHUzpJTlRDLklRX1BSSUNFX1NBTEVTLjIwMDAuNi8yNy8yMDE0AQAAAIdSAAACAAAABzIuOTEwMTQBBwAAAAUAAAABMQEAAAAKMTY3MzM3OTMyNwMAAAABMAIAAAAFMzg5NTgEAAAAATAHAAAACTYvMjcvMjAxNAgAAAAJNi8yNy8yMDE0e51muZNz1Qi7X1NJl3PVCC5DSVEuTkFTREFRR1M6SU5UQy5JUV9QUklDRV9TQUxFUy4yMDAwLjcvNi8yMDEyAQAAAIdSAAACAAAACDIuNDg4MjI4AQcAAAAFAAAAATEBAAAACjE1NDUxNTY0MzgDAAAAATACAAAABTM4OTU4BAAAAAEwBwAAAAg3LzYvMjAxMggAAAAINy82LzIwMTJrdma5k3PVCGsNVUmXc9UINUNJUS5OQVNEQVFHUzpJTlRDLklRX1RFVl9FQklUREFfRldEX0NJUS42MDAwLjIvNS8yMDE2AQAAAIdSAAACAAAAEDUuODM0NDQ1NzUxNzg2MzcBDQAAAAUAAAABOQEAAAAHMjYyMTI5NQIAAAAKMTAwMDkxNTQwMgMAAAAGMTAwMzA4BAAAAAEyBgAAAAEwBwAAAAMxNjAIAAAAATAJAAAAATEKAAAAATALAAAACjkyNjUzMzkwNTYMAAAAAjEyDQAAAAgyLzYvMjAxNlt5U7uTc9UIW/yNrpdz1QguQ0lRLk5BU0RBUUdTOklOVEMuSVFfUFJJQ0VfU0FMRVMuMjAwMC43LzcvMjAxNwEAAACHUgAAAgAAAAgyLjY0OTc3MgEHAAAABQAAAAExAQAAAAoxODM4MzYwMTMyAwAAAAEwAgAAAAUz</t>
  </si>
  <si>
    <t>ODk1OAQAAAABMAcAAAAINy83LzIwMTcIAAAACDcvNy8yMDE3q0OvvZNz1Qh7FlpJl3PVCC9DSVEuTkFTREFRR1M6SU5UQy5JUV9QRV9FWENMX0ZXRC42MDAwLjYvMzAvMjAwNgEAAACHUgAAAgAAABAyMC45NzU5MzI4NzcwMTQ4AQ0AAAAFAAAAATkBAAAABzI2MjEyOTUCAAAABzE3NTcxNTADAAAABjEwMDMwOQQAAAABMgYAAAABMAcAAAADMTYwCAAAAAEwCQAAAAExCgAAAAEwCwAAAAo4ODYyOTE1OTUwDAAAAAIxMg0AAAAINy8xLzIwMDZbYrO9k3PVCKvHUEmXc9UIL0NJUS5OQVNEQVFHUzpJTlRDLklRX1BSSUNFX1NBTEVTLjIwMDAuNS8yOC8yMDEwAQAAAIdSAAACAAAACDMuMTAzMjQ1AQcAAAAFAAAAATEBAAAACjEzNTc2NTkxMDEDAAAAATACAAAABTM4OTU4BAAAAAEwBwAAAAk1LzI4LzIwMTAIAAAACTUvMjgvMjAxMFs4VbmTc9UImy9OSZdz1Qg1Q0lRLk5hc2RhcUdTOklOVEMuSVFfVEVWX0VCSVREQV9GV0RfQ0lRLjYwMDAuNS84LzIwMDkBAAAAh1IAAAIAAAAQOC42NTcyMTM2MTg3NjU2NgENAAAABQAAAAE5AQAAAAcyNjIxMjk1AgAAAAcxNzU3MTU5AwAAAAYxMDAzMDgEAAAAATIGAAAAATAHAAAAAzE2MAgAAAABMAkAAAABMQoAAAABMAsAAAAKMTE2OTE0NTUwMwwAAAACMTINAAAACDUvOS8yMDA52yJXu5Nz1QhrI46ul3PVCDRDSVEuTmFzZGFxR1M6SU5UQy5JUV9URVZfVE9UQUxfUkVWX0ZX</t>
  </si>
  <si>
    <t>RC42MDAwLjcvMi8yMDE1AQAAAIdSAAACAAAADjIuNTUwMjMwNzk3ODYzAQ0AAAAFAAAAATkBAAAABzI2MjEyOTUCAAAABzgwNjgyNjADAAAABjEwMDMwNwQAAAABMgYAAAABMAcAAAADMTYwCAAAAAEwCQAAAAExCgAAAAEwCwAAAAo4ODg2MTA4NDE0DAAAAAIxMg0AAAAINy8zLzIwMTWb/rO9k3PVCItbVUmXc9UINUNJUS5OYXNkYXFHUzpJTlRDLklRX1RFVl9UT1RBTF9SRVZfRldELjYwMDAuNi8xMC8yMDE2AQAAAIdSAAACAAAAEDIuODEwMzUyODMxMzkxMTkBDQAAAAUAAAABOQEAAAAHMjYyMTI5NQIAAAAIMjcwMDM2NTEDAAAABjEwMDMwNwQAAAABMgYAAAABMAcAAAADMTYwCAAAAAEwCQAAAAExCgAAAAEwCwAAAAo5NDk1OTUwNjQ5DAAAAAIxMg0AAAAJNi8xMS8yMDE2m4ZWu5Nz1QgL0ExJl3PVCCZDSVEuXlNQWC5JUV9QRV9FWENMX0ZXRC42MDAwLjIvMjYvMjAxNAEAAACbuCgAAgAAAAgxNS42MTY5OAArBFO7k3PVCJtZO0uXc9UINkNJUS5OYXNkYXFHUzpJTlRDLklRX1RFVl9UT1RBTF9SRVZfRldELjYwMDAuMTAvMjYvMjAwMQEAAACHUgAAAgAAABA2LjIzMzE2MzM3MjYzNjM3AQ0AAAAFAAAAATkBAAAABzI2MjEyOTUCAAAABzM0MjExNjIDAAAABjEwMDMwNwQAAAABMgYAAAABMAcAAAADMTYwCAAAAAEwCQAAAAExCgAAAAEwCwAAAAoxMTY5MTUyNTQ4DAAAAAIxMg0AAAAKMTAvMjcvMjAwMcsh</t>
  </si>
  <si>
    <t>vLeTc9UI261TSZdz1QgwQ0lRLk5BU0RBUUdTOklOVEMuSVFfUEVfRVhDTF9GV0QuNjAwMC4xMC8xMy8yMDA2AQAAAIdSAAACAAAAEDI1LjM5MzgzOTY0MjYwNTIBDQAAAAUAAAABOQEAAAAHMjYyMTI5NQIAAAAHMTc1NzE1MQMAAAAGMTAwMzA5BAAAAAEyBgAAAAEwBwAAAAMxNjAIAAAAATAJAAAAATEKAAAAATALAAAACjkwNDMxMzI4OTYMAAAAAjEyDQAAAAoxMC8xNC8yMDA2m/6zvZNz1QjbHlZJl3PVCC1DSVEuXlNQWC5JUV9URVZfRUJJVERBX0ZXRF9DSVEuNjAwMC41LzIxLzIwMTQBAAAAm7goAAIAAAAHOC44MzE1NgCLxGa5k3PVCLs2OUuXc9UILENJUS5eU1BYLklRX1RFVl9FQklUREFfRldEX0NJUS42MDAwLjMvNC8yMDE1AQAAAJu4KAACAAAACTEwLjE1MTQ4MQDbuK+9k3PVCCv1MkuXc9UIN0NJUS5OYXNkYXFHUzpJTlRDLklRX1RFVl9FQklUREFfRldEX0NJUS42MDAwLjExLzIwLzIwMTUBAAAAh1IAAAIAAAAQNi44MjU2NTA3MjkyMDczOQENAAAABQAAAAE5AQAAAAcyNjIxMjk1AgAAAAc4MDY4MjYyAwAAAAYxMDAzMDgEAAAAATIGAAAAATAHAAAAAzE2MAgAAAABMAkAAAABMQoAAAABMAsAAAAKOTIyODgzMTIwNwwAAAACMTINAAAACjExLzIxLzIwMTWLX1a7k3PVCMsNj66Xc9UIKENJUS5OQVNEQVFHUzpJTlRDLklRX1BUQlYuMjAwMC45LzE5LzIwMTQBAAAAh1IAAAIAAAAIMy45MjE5OTYB</t>
  </si>
  <si>
    <t>BwAAAAUAAAABMQEAAAAKMTY4ODA4MDk5MgMAAAABMAIAAAAGMTAwMDI5BAAAAAEwBwAAAAk5LzE5LzIwMTQIAAAACTkvMTkvMjAxNHudZrmTc9UI69RTSZdz1QgrQ0lRLl5TUFguSVFfVEVWX1RPVEFMX1JFVl9GV0QuNjAwMC45LzQvMjAxMwEAAACbuCgAAgAAAAgxLjY1NTQ3OQBrX1W5k3PVCFsuPUuXc9UINENJUS5OYXNkYXFHUzpJTlRDLklRX1RFVl9UT1RBTF9SRVZfRldELjYwMDAuMy85LzIwMDcBAAAAh1IAAAIAAAAQMi42ODA3NTQ1OTg4Nzk4OAENAAAABQAAAAE5AQAAAAcyNjIxMjk1AgAAAAQxODgyAwAAAAYxMDAzMDcEAAAAATIGAAAAATAHAAAAAzE2MAgAAAABMAkAAAABMQoAAAABMAsAAAALMTAzNzg1MTM0NjcMAAAAAjEyDQAAAAkzLzEwLzIwMDfLYGe5k3PVCIvqUkmXc9UIMENJUS5OQVNEQVFHUzpJTlRDLklRX1BSSUNFX1NBTEVTLjIwMDAuMTAvMjEvMjAxMQEAAACHUgAAAgAAAAgyLjUwNDk3OQEHAAAABQAAAAExAQAAAAoxNDc3NDY4NTE3AwAAAAEwAgAAAAUzODk1OAQAAAABMAcAAAAKMTAvMjEvMjAxMQgAAAAKMTAvMjEvMjAxMbtqr72Tc9UIGyxZSZdz1QggQ0lRLl5TUFguSVFfUFRCVi4yMDAwLjEyLzMwLzIwMTUBAAAAm7goAAIAAAAGNi42NjIzAMuRr72Tc9UIyygtS5dz1QgeQ0lRLl5TUFguSVFfUFRCVi4yMDAwLjgvMi8yMDE3AQAAAJu4KAACAAAACDguNDE3NTU5ANvXubeT</t>
  </si>
  <si>
    <t>c9UIay4FS5dz1QgsQ0lRLk5BU0RBUUdTOklOVEMuSVFfTEFTVFNBTEVQUklDRS42LzExLzIwMTQBAAAAh1IAAAIAAAAFMjcuOTMAW09muZNz1QirDzlLl3PVCDVDSVEuTkFTREFRR1M6SU5UQy5JUV9URVZfRUJJVERBX0ZXRF9DSVEuNjAwMC41LzMvMjAwMgEAAACHUgAAAgAAABAxMy44MTc4Njc1NTQ1MzI2AQ0AAAAFAAAAATkBAAAABzI2MjEyOTUCAAAABzE3NTcxMzgDAAAABjEwMDMwOAQAAAABMgYAAAABMAcAAAADMTYwCAAAAAEwCQAAAAExCgAAAAEwCwAAAAoxMTY5MTI1NjM4DAAAAAIxMg0AAAAINS80LzIwMDJb6lW7k3PVCAs5ja6Xc9UILkNJUS5OQVNEQVFHUzpJTlRDLklRX1BSSUNFX1NBTEVTLjIwMDAuNS82LzIwMTEBAAAAh1IAAAIAAAAIMi43ODc1OTgBBwAAAAUAAAABMQEAAAAKMTQ0Mzc2NzAwMQMAAAABMAIAAAAFMzg5NTgEAAAAATAHAAAACDUvNi8yMDExCAAAAAg1LzYvMjAxMTvxr7uTc9UIe8NSSZdz1QgsQ0lRLk5BU0RBUUdTOklOVEMuSVFfTEFTVFNBTEVQUklDRS4xMS80LzIwMTUBAAAAh1IAAAIAAAAFMzQuMTUAG91Su5Nz1QhbiC5Ll3PVCC9DSVEuTkFTREFRR1M6SU5UQy5JUV9QUklDRV9TQUxFUy4yMDAwLjYvMTkvMjAxNQEAAACHUgAAAgAAAAgyLjc3ODk0NgEHAAAABQAAAAExAQAAAAoxNzMwNzYyNzU1AwAAAAEwAgAAAAUzODk1OAQAAAABMAcAAAAJNi8xOS8yMDE1CAAA</t>
  </si>
  <si>
    <t>AAk2LzE5LzIwMTU76lS5k3PVCHtSUEmXc9UINUNJUS5OYXNkYXFHUzpJTlRDLklRX1RFVl9UT1RBTF9SRVZfRldELjYwMDAuNi8xOC8yMDEwAQAAAIdSAAACAAAAEDIuNDEyNDI4NzUyMTIzMzcBDQAAAAUAAAABOQEAAAAHMjYyMTI5NQIAAAAHMTc1NzE2MgMAAAAGMTAwMzA3BAAAAAEyBgAAAAEwBwAAAAMxNjAIAAAAATAJAAAAATEKAAAAATALAAAACjkxMTEwNTA0MzMMAAAAAjEyDQAAAAk2LzE5LzIwMTD7lry3k3PVCBssWUmXc9UINUNJUS5OQVNEQVFHUzpJTlRDLklRX1RFVl9FQklUREFfRldEX0NJUS42MDAwLjEvNS8yMDA3AQAAAIdSAAACAAAADzkuMDg4NDQzNDg0MTQzNgENAAAABQAAAAE5AQAAAAcyNjIxMjk1AgAAAAcxNzU3MTUyAwAAAAYxMDAzMDgEAAAAATIGAAAAATAHAAAAAzE2MAgAAAABMAkAAAABMQoAAAABMAsAAAAKNjgzMTQ0MDYxNwwAAAACMTINAAAACDEvNi8yMDA3CydVu5Nz1Qirv46ul3PVCDVDSVEuTmFzZGFxR1M6SU5UQy5JUV9URVZfVE9UQUxfUkVWX0ZXRC42MDAwLjEwLzQvMjAxMwEAAACHUgAAAgAAABAyLjAzNTg3MzgyODQwNDIxAQ0AAAAFAAAAATkBAAAABzI2MjEyOTUCAAAABzM4Mjk3NTIDAAAABjEwMDMwNwQAAAABMgYAAAABMAcAAAADMTYwCAAAAAEwCQAAAAExCgAAAAEwCwAAAAo4ODYyNTQzMzExDAAAAAIxMg0AAAAJMTAvNS8yMDEzm/6zvZNz1Qi7QVhJl3PV</t>
  </si>
  <si>
    <t>CDdDSVEuTkFTREFRR1M6SU5UQy5JUV9URVZfRUJJVERBX0ZXRF9DSVEuNjAwMC4xMS8yOC8yMDE0AQAAAIdSAAACAAAAEDcuMTM3ODk5Nzk0NzA0MDkBDQAAAAUAAAABOQEAAAAHMjYyMTI5NQIAAAAHNDQ1NjQyOQMAAAAGMTAwMzA4BAAAAAEyBgAAAAEwBwAAAAMxNjAIAAAAATAJAAAAATEKAAAAATALAAAACjg2NDgxMDIzNjYMAAAAAjEyDQAAAAoxMS8yOS8yMDE0a6BTu5Nz1Qjbw4yul3PVCB5DSVEuXlNQWC5JUV9QVEJWLjIwMDAuMi80LzIwMTUBAAAAm7goAAIAAAAINS40ODkxNzUA62dSu5Nz1Qi7VDRLl3PVCC9DSVEuTkFTREFRR1M6SU5UQy5JUV9QUklDRV9TQUxFUy4yMDAwLjEvMjIvMjAxNAEAAACHUgAAAgAAAAgyLjM4NjU1OAEHAAAABQAAAAExAQAAAAoxNjUzODE5MzM0AwAAAAEwAgAAAAUzODk1OAQAAAABMAcAAAAJMS8yMi8yMDE0CAAAAAkxLzIyLzIwMTQ76lS5k3PVCAtrPEuXc9UIL0NJUS5OQVNEQVFHUzpJTlRDLklRX1BFX0VYQ0xfRldELjYwMDAuNi8yOC8yMDAyAQAAAIdSAAACAAAAEDI4Ljk1NDA0MTIwNDQzNzQBDQAAAAUAAAABOQEAAAAHMjYyMTI5NQIAAAAHMTc1NzEzOAMAAAAGMTAwMzA5BAAAAAEyBgAAAAEwBwAAAAMxNjAIAAAAATAJAAAAATEKAAAAATALAAAACjkwOTA2ODgwODgMAAAAAjEyDQAAAAk2LzI5LzIwMDJ7sLO9k3PVCLvQVUmXc9UIL0NJUS5OQVNEQVFHUzpJ</t>
  </si>
  <si>
    <t>TlRDLklRX1BSSUNFX1NBTEVTLjIwMDAuMi8xMC8yMDEyAQAAAIdSAAACAAAACDIuNTk4MzYxAQcAAAAFAAAAATEBAAAACjE0OTA0NjQ0MDUDAAAAATACAAAABTM4OTU4BAAAAAEwBwAAAAkyLzEwLzIwMTIIAAAACTIvMTAvMjAxMuvRiLaTc9UIO9RKSZdz1Qg1Q0lRLk5hc2RhcUdTOklOVEMuSVFfVEVWX1RPVEFMX1JFVl9GV0QuNjAwMC4yLzE4LzIwMDUBAAAAh1IAAAIAAAAQMy42Mjk3NjM4MjE0Nzc1OQENAAAABQAAAAE5AQAAAAcyNjIxMjk1AgAAAAQxODgwAwAAAAYxMDAzMDcEAAAAATIGAAAAATAHAAAAAzE2MAgAAAABMAkAAAABMQoAAAABMAsAAAAJMzYwNjY0NDY2DAAAAAIxMg0AAAAJMi8xOS8yMDA1m4ZWu5Nz1QhbV1dJl3PVCB5DSVEuXlNQWC5JUV9QVEJWLjIwMDAuOC85LzIwMTcBAAAAm7goAAIAAAAIOC42MjkxNjQA29e5t5Nz1QirWQNLl3PVCC5DSVEuTkFTREFRR1M6SU5UQy5JUV9QRV9FWENMX0ZXRC42MDAwLjYvMS8yMDA3AQAAAIdSAAACAAAAEDIwLjIxODgyNjI5NTMyNTEBDQAAAAUAAAABOQEAAAAHMjYyMTI5NQIAAAAHMTc1NzE1MwMAAAAGMTAwMzA5BAAAAAEyBgAAAAEwBwAAAAMxNjAIAAAAATAJAAAAATEKAAAAATALAAAACzEwMzM0MjA2OTkzDAAAAAIxMg0AAAAINi8yLzIwMDdLO7O9k3PVCIsITkmXc9UII0NJUS5eU1BYLklRX0xBU1RTQUxFUFJJQ0UuOC8xNy8yMDE2AQAA</t>
  </si>
  <si>
    <t>AJu4KAACAAAAEDIxODIuMjE4ODg4ODQ5MzIA6/65t5Nz1Qg7diRLl3PVCC9DSVEuTkFTREFRR1M6SU5UQy5JUV9QRV9FWENMX0ZXRC42MDAwLjEwLzMvMjAwOAEAAACHUgAAAgAAABAxMi43NjI2NjMxMjc2MjY2AQ0AAAAFAAAAATkBAAAABzI2MjEyOTUCAAAABzE3NTcxNTcDAAAABjEwMDMwOQQAAAABMgYAAAABMAcAAAADMTYwCAAAAAEwCQAAAAExCgAAAAEwCwAAAAo4ODYwOTcxMDI2DAAAAAIxMg0AAAAJMTAvNC8yMDA4OxSzvZNz1QhbBFBJl3PVCB9DSVEuXlNQWC5JUV9QVEJWLjIwMDAuOC8xOS8yMDE1AQAAAJu4KAACAAAACDYuMzI5MTA2ALtqr72Tc9UI6+cvS5dz1QgoQ0lRLk5BU0RBUUdTOklOVEMuSVFfUFRCVi4yMDAwLjIvMjUvMjAxMQEAAACHUgAAAgAAAAcyLjczNTU0AQcAAAAFAAAAATEBAAAACjE0MzA2MjQ1MDkDAAAAATACAAAABjEwMDAyOQQAAAABMAcAAAAJMi8yNS8yMDExCAAAAAkyLzI1LzIwMTFLGLC7k3PVCOtjUUmXc9UIJUNJUS5eU1BYLklRX1BFX0VYQ0xfRldELjYwMDAuMi84LzIwMTcBAAAAm7goAAIAAAAJMTcuNzI5NDg1AKsSZ7mTc9UIe90YS5dz1QgtQ0lRLl5TUFguSVFfVEVWX0VCSVREQV9GV0RfQ0lRLjYwMDAuNS8xMy8yMDE1AQAAAJu4KAACAAAACTEwLjAxNDczOQBrX1W5k3PVCLvjMUuXc9UINUNJUS5OYXNkYXFHUzpJTlRDLklRX1RFVl9UT1RBTF9SRVZfRldE</t>
  </si>
  <si>
    <t>LjYwMDAuNS8xOS8yMDE3AQAAAIdSAAACAAAAEDIuOTI3MDU4MDIyNjg5MDkBDQAAAAUAAAABOQEAAAAHMjYyMTI5NQIAAAAIMjc1MDAxNzIDAAAABjEwMDMwNwQAAAABMgYAAAABMAcAAAADMTYwCAAAAAEwCQAAAAExCgAAAAEwCwAAAAsxMDE1NzUwOTQ3OQwAAAACMTINAAAACTUvMjAvMjAxN9t3sbuTc9UIC0FPSZdz1QguQ0lRLk5BU0RBUUdTOklOVEMuSVFfUFJJQ0VfU0FMRVMuMjAwMC4yLzMvMjAxNgEAAACHUgAAAgAAAAgyLjUxMzQxOAEHAAAABQAAAAExAQAAAAoxNzcyOTQyODA2AwAAAAEwAgAAAAUzODk1OAQAAAABMAcAAAAIMi8zLzIwMTYIAAAACDIvMy8yMDE2O/Gvu5Nz1Qg7yStLl3PVCDVDSVEuTmFzZGFxR1M6SU5UQy5JUV9URVZfVE9UQUxfUkVWX0ZXRC42MDAwLjUvMTgvMjAxMgEAAACHUgAAAgAAABAyLjExMzE1NzU3NTY3ODcyAQ0AAAAFAAAAATkBAAAABzI2MjEyOTUCAAAABzE3NTcxNjgDAAAABjEwMDMwNwQAAAABMgYAAAABMAcAAAADMTYwCAAAAAEwCQAAAAExCgAAAAEwCwAAAAo4MTcwNzA3ODIxDAAAAAIxMg0AAAAJNS8xOS8yMDEyq61Wu5Nz1QhLv1RJl3PVCC1DSVEuTkFTREFRR1M6SU5UQy5JUV9MQVNUU0FMRVBSSUNFLjEwLzI2LzIwMTYBAAAAh1IAAAIAAAAFMzQuOTIAW09muZNz1QjbGiFLl3PVCDVDSVEuTmFzZGFxR1M6SU5UQy5JUV9URVZfVE9UQUxfUkVWX0ZXRC42</t>
  </si>
  <si>
    <t>MDAwLjMvMzEvMjAwNgEAAACHUgAAAgAAABAyLjcwMjU2OTM0NjEwMDQzAQ0AAAAFAAAAATkBAAAABzI2MjEyOTUCAAAABDE4ODEDAAAABjEwMDMwNwQAAAABMgYAAAABMAcAAAADMTYwCAAAAAEwCQAAAAExCgAAAAEwCwAAAAkzNjA2NzIzNjkMAAAAAjEyDQAAAAg0LzEvMjAwNlvAaLmTc9UIC7JRSZdz1Qg0Q0lRLk5hc2RhcUdTOklOVEMuSVFfVEVWX1RPVEFMX1JFVl9GV0QuNjAwMC45LzkvMjAxMQEAAACHUgAAAgAAABAxLjcwMzUwOTg2Mjc3OTM5AQ0AAAAFAAAAATkBAAAABzI2MjEyOTUCAAAABzE3NTcxNjYDAAAABjEwMDMwNwQAAAABMgYAAAABMAcAAAADMTYwCAAAAAEwCQAAAAExCgAAAAEwCwAAAAo4ODY0NDMxMzUwDAAAAAIxMg0AAAAJOS8xMC8yMDEx23BWuZNz1QgLI1RJl3PVCC9DSVEuTkFTREFRR1M6SU5UQy5JUV9QUklDRV9TQUxFUy4yMDAwLjgvMTYvMjAxNwEAAACHUgAAAgAAAAgyLjc0MjQyOQEHAAAABQAAAAExAQAAAAoxODUwNjE4NjY0AwAAAAEwAgAAAAUzODk1OAQAAAABMAcAAAAJOC8xNi8yMDE3CAAAAAk4LzE2LzIwMTdLGLC7k3PVCLsPAUuXc9UII0NJUS5eU1BYLklRX0xBU1RTQUxFUFJJQ0UuOC8yOC8yMDEzAQAAAJu4KAACAAAADzE2MzQuOTU2NTM1MjI2NgBbP7C7k3PVCFsuPUuXc9UIKUNJUS5OQVNEQVFHUzpJTlRDLklRX0VQU19OT1JNX0VTVC5GUTIyMDE4AQAAAIdS</t>
  </si>
  <si>
    <t>AAACAAAABzAuODA5MDYBDgAAAAUAAAABMwEAAAAHMjYyMTI5NQIAAAAKMTAwMTUyODUyNAMAAAAGMTAwMTczBAAAAAEyBgAAAAEwBwAAAAMxNjAIAAAAATAJAAAAATEKAAAAATALAAAACzEwNzA0NjMzNjA2DAAAAAEyDQAAAAkyLzE1LzIwMTgQAAAACTIvMTQvMjAxOBvdUruTc9UIe5Q/Spdz1Qg1Q0lRLk5hc2RhcUdTOklOVEMuSVFfVEVWX1RPVEFMX1JFVl9GV0QuNjAwMC4xLzEyLzIwMDcBAAAAh1IAAAIAAAAQMy4zMDY0NTM1MDYwNDAxNQENAAAABQAAAAE5AQAAAAcyNjIxMjk1AgAAAAcxNzU3MTUyAwAAAAYxMDAzMDcEAAAAATIGAAAAATAHAAAAAzE2MAgAAAABMAkAAAABMQoAAAABMAsAAAALMTAzNzg1ODQzMTYMAAAAAjEyDQAAAAkxLzEzLzIwMDcbJGi5k3PVCCviVkmXc9UIKENJUS5OQVNEQVFHUzpJTlRDLklRX1BUQlYuMjAwMC43LzEyLzIwMTMBAAAAh1IAAAIAAAAIMy4zMTg5NDEBBwAAAAUAAAABMQEAAAAKMTYxNDA3NDk0MgMAAAABMAIAAAAGMTAwMDI5BAAAAAEwBwAAAAk3LzEyLzIwMTMIAAAACTcvMTIvMjAxM8uwubeTc9UI64FMSZdz1Qg0Q0lRLk5hc2RhcUdTOklOVEMuSVFfVEVWX1RPVEFMX1JFVl9GV0QuNjAwMC45LzgvMjAwNgEAAACHUgAAAgAAABAyLjk4NDc2NjA2OTU5ODc3AQ0AAAAFAAAAATkBAAAABzI2MjEyOTUCAAAABzE3NTcxNTEDAAAABjEwMDMwNwQAAAABMgYAAAAB</t>
  </si>
  <si>
    <t>MAcAAAADMTYwCAAAAAEwCQAAAAExCgAAAAEwCwAAAAo4ODU5MjEyOTE4DAAAAAIxMg0AAAAIOS85LzIwMDarJbS9k3PVCGt+V0mXc9UIN0NJUS5OQVNEQVFHUzpJTlRDLklRX1RFVl9FQklUREFfRldEX0NJUS42MDAwLjEyLzI3LzIwMTMBAAAAh1IAAAIAAAAQNS44NTcyNzMzMDgyNTU0OAENAAAABQAAAAE5AQAAAAcyNjIxMjk1AgAAAAczODI5NzUzAwAAAAYxMDAzMDgEAAAAATIGAAAAATAHAAAAAzE2MAgAAAABMAkAAAABMQoAAAABMAsAAAAKODE3MTU5MTI0OQwAAAACMTINAAAACjEyLzI4LzIwMTN7x1O7k3PVCOvqjK6Xc9UIL0NJUS5OQVNEQVFHUzpJTlRDLklRX1BSSUNFX1NBTEVTLjIwMDAuNS8xNy8yMDE3AQAAAIdSAAACAAAACDIuNzQwNDk2AQcAAAAFAAAAATEBAAAACjE4MzgzNjAxMzIDAAAAATACAAAABTM4OTU4BAAAAAEwBwAAAAk1LzE3LzIwMTcIAAAACTUvMTcvMjAxN3udZrmTc9UIq/8RS5dz1QgrQ0lRLk5BU0RBUUdTOklOVEMuSVFfTEFTVFNBTEVQUklDRS45LzkvMjAxNQEAAACHUgAAAgAAAAUyOS4yNADb17m3k3PVCKtLL0uXc9UILkNJUS5OQVNEQVFHUzpJTlRDLklRX1BFX0VYQ0xfRldELjYwMDAuMi83LzIwMTQBAAAAh1IAAAIAAAAQMTMuMDkyOTg0MjU5MjA5MgENAAAABQAAAAE5AQAAAAcyNjIxMjk1AgAAAAc0NDU2NDIxAwAAAAYxMDAzMDkEAAAAATIGAAAAATAHAAAAAzE2</t>
  </si>
  <si>
    <t>MAgAAAABMAkAAAABMQoAAAABMAsAAAAKNjUyODk3OTU5MQwAAAACMTINAAAACDIvOC8yMDE0+3eyvZNz1QhLoVlJl3PVCC9DSVEuTkFTREFRR1M6SU5UQy5JUV9QRV9FWENMX0ZXRC42MDAwLjkvMTgvMjAwOQEAAACHUgAAAgAAABAxNy4xNjk5NDM4MjAyMjQ3AQ0AAAAFAAAAATkBAAAABzI2MjEyOTUCAAAABzE3NTcxNjADAAAABjEwMDMwOQQAAAABMgYAAAABMAcAAAADMTYwCAAAAAEwCQAAAAExCgAAAAEwCwAAAAo5MDkwMzc5NzU2DAAAAAIxMg0AAAAJOS8xOS8yMDA5m/6zvZNz1Qh7FlpJl3PVCDVDSVEuTkFTREFRR1M6SU5UQy5JUV9URVZfRUJJVERBX0ZXRF9DSVEuNjAwMC4xLzcvMjAwNQEAAACHUgAAAgAAABA4LjU2NzIwNTYyNTIzODExAQ0AAAAFAAAAATkBAAAABzI2MjEyOTUCAAAABzE3NTcxNDYDAAAABjEwMDMwOAQAAAABMgYAAAABMAcAAAADMTYwCAAAAAEwCQAAAAExCgAAAAEwCwAAAAoxMTY5MTI5NjkyDAAAAAIxMg0AAAAIMS84LzIwMDUrdVW7k3PVCLvmjq6Xc9UINkNJUS5OYXNkYXFHUzpJTlRDLklRX1RFVl9UT1RBTF9SRVZfRldELjYwMDAuMTIvMjIvMjAwNgEAAACHUgAAAgAAABAyLjk4MTUyNjcxMTk3NjQ1AQ0AAAAFAAAAATkBAAAABzI2MjEyOTUCAAAABzE3NTcxNTIDAAAABjEwMDMwNwQAAAABMgYAAAABMAcAAAADMTYwCAAAAAEwCQAAAAExCgAAAAEwCwAAAAsxMDYzOTM2</t>
  </si>
  <si>
    <t>NzUzOQwAAAACMTINAAAACjEyLzIzLzIwMDa71Fa7k3PVCOvUU0mXc9UINUNJUS5OYXNkYXFHUzpJTlRDLklRX1RFVl9UT1RBTF9SRVZfRldELjYwMDAuMTAvNS8yMDA3AQAAAIdSAAACAAAAEDMuNTY1MDM3NTg2MzgyNzkBDQAAAAUAAAABOQEAAAAHMjYyMTI5NQIAAAAHMTc1NzE1NAMAAAAGMTAwMzA3BAAAAAEyBgAAAAEwBwAAAAMxNjAIAAAAATAJAAAAATEKAAAAATALAAAACjg4NTY3MDcyNjgMAAAAAjEyDQAAAAkxMC82LzIwMDfrrme5k3PVCEtsTUmXc9UIL0NJUS5OQVNEQVFHUzpJTlRDLklRX1BFX0VYQ0xfRldELjYwMDAuOC8xNC8yMDE1AQAAAIdSAAACAAAAEDEzLjAzODU5NDU5OTQ1MTkBDQAAAAUAAAABOQEAAAAHMjYyMTI5NQIAAAAHODA2ODI2MQMAAAAGMTAwMzA5BAAAAAEyBgAAAAEwBwAAAAMxNjAIAAAAATAJAAAAATEKAAAAATALAAAACjkxMjg1MTgxMTYMAAAAAjEyDQAAAAk4LzE1LzIwMTWrJbS9k3PVCBssWUmXc9UIJ0NJUS5OQVNEQVFHUzpJTlRDLklRX1BUQlYuMjAwMC4zLzUvMjAxMAEAAACHUgAAAgAAAAgzLjE1NDQ4MgEHAAAABQAAAAExAQAAAAoxMzI4ODg4NzA0AwAAAAEwAgAAAAYxMDAwMjkEAAAAATAHAAAACDMvNS8yMDEwCAAAAAgzLzUvMjAxMEsRVbmTc9UIG2hPSZdz1Qg2Q0lRLk5hc2RhcUdTOklOVEMuSVFfVEVWX1RPVEFMX1JFVl9GV0QuNjAwMC4xMi8xMi8yMDAz</t>
  </si>
  <si>
    <t>AQAAAIdSAAACAAAAEDUuNTQyMTg0MzI2NDAyNzYBDQAAAAUAAAABOQEAAAAHMjYyMTI5NQIAAAAHMTc1NzE0MwMAAAAGMTAwMzA3BAAAAAEyBgAAAAEwBwAAAAMxNjAIAAAAATAJAAAAATEKAAAAATALAAAACjExNjkxMjc4NTEMAAAAAjEyDQAAAAoxMi8xMy8yMDAzu0y0vZNz1QirOFNJl3PVCDdDSVEuTkFTREFRR1M6SU5UQy5JUV9URVZfRUJJVERBX0ZXRF9DSVEuNjAwMC4xMi8yMC8yMDAyAQAAAIdSAAACAAAAEDEwLjI4MDA3Mzg4Njg1NTgBDQAAAAUAAAABOQEAAAAHMjYyMTI5NQIAAAAHMTc1NzE0MAMAAAAGMTAwMzA4BAAAAAEyBgAAAAEwBwAAAAMxNjAIAAAAATAJAAAAATEKAAAAATALAAAACjExNjkxMjY1NjQMAAAAAjEyDQAAAAoxMi8yMS8yMDAyS8NVu5Nz1Qgr+I+ul3PVCCNDSVEuXlNQWC5JUV9MQVNUU0FMRVBSSUNFLjcvMjkvMjAxNQEAAACbuCgAAgAAABAyMTA4LjU2ODU2NDIyMTM0ACvDVLmTc9UI6+cvS5dz1QgtQ0lRLl5TUFguSVFfVEVWX0VCSVREQV9GV0RfQ0lRLjYwMDAuMS8yMC8yMDE2AQAAAJu4KAACAAAACDkuMDM1ODY2ANu4r72Tc9UIS/ArS5dz1Qg1Q0lRLk5hc2RhcUdTOklOVEMuSVFfVEVWX1RPVEFMX1JFVl9GV0QuNjAwMC4xLzI4LzIwMTEBAAAAh1IAAAIAAAAQMi4xMTgzNDM2Nzk2ODQ1MQENAAAABQAAAAE5AQAAAAcyNjIxMjk1AgAAAAQxODg2AwAAAAYxMDAzMDcE</t>
  </si>
  <si>
    <t>AAAAATIGAAAAATAHAAAAAzE2MAgAAAABMAkAAAABMQoAAAABMAsAAAAKNTc0ODgxMjE1MQwAAAACMTINAAAACTEvMjkvMjAxMctJVrmTc9UIuwxMSZdz1QgwQ0lRLk5BU0RBUUdTOklOVEMuSVFfUEVfRVhDTF9GV0QuNjAwMC4xMi8xMy8yMDAyAQAAAIdSAAACAAAAEDMwLjk3MjUxNTg1NjIzNjgBDQAAAAUAAAABOQEAAAAHMjYyMTI5NQIAAAAHMTc1NzE0MAMAAAAGMTAwMzA5BAAAAAEyBgAAAAEwBwAAAAMxNjAIAAAAATAJAAAAATEKAAAAATALAAAACjg4NTk4ODk0NTcMAAAAAjEyDQAAAAoxMi8xNC8yMDAye7CzvZNz1Qg7mFRJl3PVCDVDSVEuTmFzZGFxR1M6SU5UQy5JUV9URVZfVE9UQUxfUkVWX0ZXRC42MDAwLjExLzQvMjAxMQEAAACHUgAAAgAAABAxLjk4NDc4NzgwOTU5MjE5AQ0AAAAFAAAAATkBAAAABzI2MjEyOTUCAAAABzE3NTcxNjcDAAAABjEwMDMwNwQAAAABMgYAAAABMAcAAAADMTYwCAAAAAEwCQAAAAExCgAAAAEwCwAAAAo4ODY0NDI0NTgxDAAAAAIxMg0AAAAJMTEvNS8yMDExm/6zvZNz1QjrgUxJl3PVCB5DSVEuXlNQWC5JUV9QVEJWLjIwMDAuOS80LzIwMTMBAAAAm7goAAIAAAAHNC45NTk4NADb17m3k3PVCFsuPUuXc9UII0NJUS5eU1BYLklRX0xBU1RTQUxFUFJJQ0UuNC8yOS8yMDE1AQAAAJu4KAACAAAAEDIxMDYuODUwOTk2MTY3NDEAK8NUuZNz1QirvDFLl3PVCC9DSVEuTkFT</t>
  </si>
  <si>
    <t>REFRR1M6SU5UQy5JUV9QUklDRV9TQUxFUy4yMDAwLjQvMjcvMjAxNgEAAACHUgAAAgAAAAgyLjY3MjY3OQEHAAAABQAAAAExAQAAAAoxNzg2MzY5OTc0AwAAAAEwAgAAAAUzODk1OAQAAAABMAcAAAAJNC8yNy8yMDE2CAAAAAk0LzI3LzIwMTa7aq+9k3PVCHv0KUuXc9UIJkNJUS5eU1BYLklRX1BFX0VYQ0xfRldELjYwMDAuOS8xMS8yMDEzAQAAAJu4KAACAAAACTE0LjcwMzgyOACb62a5k3PVCEsHPUuXc9UINENJUS5OYXNkYXFHUzpJTlRDLklRX1RFVl9UT1RBTF9SRVZfRldELjYwMDAuNC85LzIwMDkBAAAAh1IAAAIAAAAPMi42ODIyNDE4MDY5MTk2AQ0AAAAFAAAAATkBAAAABzI2MjEyOTUCAAAABDE4ODQDAAAABjEwMDMwNwQAAAABMgYAAAABMAcAAAADMTYwCAAAAAEwCQAAAAExCgAAAAEwCwAAAAkzNjA3MTU5ODQMAAAAAjEyDQAAAAk0LzEwLzIwMDn7lry3k3PVCDvUSkmXc9UILENJUS5eU1BYLklRX1RFVl9UT1RBTF9SRVZfRldELjYwMDAuNC8yNi8yMDE3AQAAAJu4KAACAAAACDIuMTczNjUxAKsSZ7mTc9UIiyIUS5dz1QgvQ0lRLk5BU0RBUUdTOklOVEMuSVFfUFJJQ0VfU0FMRVMuMjAwMC4xMi8yLzIwMTEBAAAAh1IAAAIAAAAIMi41Njg1NjcBBwAAAAUAAAABMQEAAAAKMTQ4MDIxNTM4MQMAAAABMAIAAAAFMzg5NTgEAAAAATAHAAAACTEyLzIvMjAxMQgAAAAJMTIvMi8yMDExSxiwu5Nz1Qir</t>
  </si>
  <si>
    <t>x1BJl3PVCC9DSVEuTkFTREFRR1M6SU5UQy5JUV9QRV9FWENMX0ZXRC42MDAwLjgvMTgvMjAxNwEAAACHUgAAAgAAABAxMS41MTQ5MzIyNDU3NTcxAQ0AAAAFAAAAATkBAAAABzI2MjEyOTUCAAAACDI3NTAwMTczAwAAAAYxMDAzMDkEAAAAATIGAAAAATAHAAAAAzE2MAgAAAABMAkAAAABMQoAAAABMAsAAAALMTAzNzczODc0NjEMAAAAAjEyDQAAAAk4LzE5LzIwMTfLArK9k3PVCPtsVkmXc9UIL0NJUS5OQVNEQVFHUzpJTlRDLklRX1BSSUNFX1NBTEVTLjIwMDAuMi8yNS8yMDE1AQAAAIdSAAACAAAACDIuOTc3NzA2AQcAAAAFAAAAATEBAAAACjE3MTg4NTkyOTEDAAAAATACAAAABTM4OTU4BAAAAAEwBwAAAAkyLzI1LzIwMTUIAAAACTIvMjUvMjAxNdvXubeTc9UIS0MzS5dz1QgvQ0lRLk5BU0RBUUdTOklOVEMuSVFfUEVfRVhDTF9GV0QuNjAwMC44LzIzLzIwMDIBAAAAh1IAAAIAAAAPMjcuNzU4ODg3MTcxNTYxAQ0AAAAFAAAAATkBAAAABzI2MjEyOTUCAAAABzE3NTcxMzkDAAAABjEwMDMwOQQAAAABMgYAAAABMAcAAAADMTYwCAAAAAEwCQAAAAExCgAAAAEwCwAAAAo5MDkwNjg4MTA2DAAAAAIxMg0AAAAJOC8yNC8yMDAye7CzvZNz1QiL6lJJl3PVCC1DSVEuXlNQWC5JUV9URVZfVE9UQUxfUkVWX0ZXRC42MDAwLjExLzE5LzIwMTQBAAAAm7goAAIAAAAIMS45NDA1MTkA27ivvZNz1Qh7KTZLl3PVCDdD</t>
  </si>
  <si>
    <t>SVEuTkFTREFRR1M6SU5UQy5JUV9URVZfRUJJVERBX0ZXRF9DSVEuNjAwMC4xMC8yNi8yMDAxAQAAAIdSAAACAAAAEDE3Ljk1MTA0MjAwMjIxODEBDQAAAAUAAAABOQEAAAAHMjYyMTI5NQIAAAAHMzQyMTE2MgMAAAAGMTAwMzA4BAAAAAEyBgAAAAEwBwAAAAMxNjAIAAAAATAJAAAAATEKAAAAATALAAAACjExNjkxNTI2MjMMAAAAAjEyDQAAAAoxMC8yNy8yMDAxaxFWu5Nz1Qgb0Y+ul3PVCDRDSVEuTmFzZGFxR1M6SU5UQy5JUV9URVZfVE9UQUxfUkVWX0ZXRC42MDAwLjEvOC8yMDE2AQAAAIdSAAACAAAAEDIuNTc5OTUwNDg0NDU3NzIBDQAAAAUAAAABOQEAAAAHMjYyMTI5NQIAAAAHODA2ODI2MgMAAAAGMTAwMzA3BAAAAAEyBgAAAAEwBwAAAAMxNjAIAAAAATAJAAAAATEKAAAAATALAAAACjkyMTQ5MjY5ODAMAAAAAjEyDQAAAAgxLzkvMjAxNrtMtL2Tc9UI+91YSZdz1QgwQ0lRLk5BU0RBUUdTOklOVEMuSVFfUFJJQ0VfU0FMRVMuMjAwMC4xMS8xNi8yMDEyAQAAAIdSAAACAAAACDEuODg2NjQ5AQcAAAAFAAAAATEBAAAACjE1NzM4ODc3OTUDAAAAATACAAAABTM4OTU4BAAAAAEwBwAAAAoxMS8xNi8yMDEyCAAAAAoxMS8xNi8yMDEyy7C5t5Nz1QjrgUxJl3PVCDVDSVEuTkFTREFRR1M6SU5UQy5JUV9URVZfRUJJVERBX0ZXRF9DSVEuNjAwMC4zLzYvMjAwOQEAAACHUgAAAgAAABA3Ljc1NjU5MjQxNDQw</t>
  </si>
  <si>
    <t>NTYyAQ0AAAAFAAAAATkBAAAABzI2MjEyOTUCAAAABDE4ODQDAAAABjEwMDMwOAQAAAABMgYAAAABMAcAAAADMTYwCAAAAAEwCQAAAAExCgAAAAEwCwAAAAkzNjA3MTk2NDQMAAAAAjEyDQAAAAgzLzcvMjAwOduxVLuTc9UIC6qPrpdz1Qg2Q0lRLk5BU0RBUUdTOklOVEMuSVFfVEVWX0VCSVREQV9GV0RfQ0lRLjYwMDAuMy8yNC8yMDA1AQAAAIdSAAACAAAAEDguMDk4NzYzODczODYwODkBDQAAAAUAAAABOQEAAAAHMjYyMTI5NQIAAAAEMTg4MAMAAAAGMTAwMzA4BAAAAAEyBgAAAAEwBwAAAAMxNjAIAAAAATAJAAAAATEKAAAAATALAAAACTM2MDY2ODE4MgwAAAACMTINAAAACTMvMjUvMjAwNSt1VbuTc9UIO66Nrpdz1QggQ0lRLl5TUFguSVFfUFRCVi4yMDAwLjExLzI5LzIwMTcBAAAAm7goAAIAAAAIOS4zNTA0NTgAu2qvvZNz1QgrKOxKl3PVCDRDSVEuTmFzZGFxR1M6SU5UQy5JUV9URVZfVE9UQUxfUkVWX0ZXRC42MDAwLjkvNS8yMDAzAQAAAIdSAAACAAAAEDUuNTEzMzA0MDU3OTIwODUBDQAAAAUAAAABOQEAAAAHMjYyMTI5NQIAAAAHMTc1NzE0MgMAAAAGMTAwMzA3BAAAAAEyBgAAAAEwBwAAAAMxNjAIAAAAATAJAAAAATEKAAAAATALAAAACjExNjkxMjcxNTkMAAAAAjEyDQAAAAg5LzYvMjAwM4vXs72Tc9UIC9BMSZdz1Qg2Q0lRLk5BU0RBUUdTOklOVEMuSVFfVEVWX0VCSVREQV9GV0RfQ0lRLjYw</t>
  </si>
  <si>
    <t>MDAuNS8xNy8yMDAyAQAAAIdSAAACAAAAEDE2LjQzNjU4ODEzMDMwMDYBDQAAAAUAAAABOQEAAAAHMjYyMTI5NQIAAAAHMTc1NzEzOAMAAAAGMTAwMzA4BAAAAAEyBgAAAAEwBwAAAAMxNjAIAAAAATAJAAAAATEKAAAAATALAAAACjExNjkxMjU2MzgMAAAAAjEyDQAAAAk1LzE4LzIwMDJb6lW7k3PVCAuqj66Xc9UIL0NJUS5OQVNEQVFHUzpJTlRDLklRX1BSSUNFX1NBTEVTLjIwMDAuNy8xMy8yMDEyAQAAAIdSAAACAAAACDIuNDAyMTMxAQcAAAAFAAAAATEBAAAACjE1NDUxNTY0MzgDAAAAATACAAAABTM4OTU4BAAAAAEwBwAAAAk3LzEzLzIwMTIIAAAACTcvMTMvMjAxMjvqVLmTc9UIS91PSZdz1Qg0Q0lRLk5hc2RhcUdTOklOVEMuSVFfVEVWX1RPVEFMX1JFVl9GV0QuNjAwMC4xLzUvMjAwNwEAAACHUgAAAgAAABAzLjE0MTcyNDY4NDMyMTI5AQ0AAAAFAAAAATkBAAAABzI2MjEyOTUCAAAABzE3NTcxNTIDAAAABjEwMDMwNwQAAAABMgYAAAABMAcAAAADMTYwCAAAAAEwCQAAAAExCgAAAAEwCwAAAAo2NzI2ODU0MzU0DAAAAAIxMg0AAAAIMS82LzIwMDcL/We5k3PVCJsvTkmXc9UIL0NJUS5OQVNEQVFHUzpJTlRDLklRX1BFX0VYQ0xfRldELjYwMDAuNC8yNi8yMDAyAQAAAIdSAAACAAAAEDM2LjIzNzExMzQwMjA2MTkBDQAAAAUAAAABOQEAAAAHMjYyMTI5NQIAAAAHMTc1NzEzOAMAAAAGMTAwMzA5BAAA</t>
  </si>
  <si>
    <t>AAEyBgAAAAEwBwAAAAMxNjAIAAAAATAJAAAAATEKAAAAATALAAAACjg4NjA1MDIwMTQMAAAAAjEyDQAAAAk0LzI3LzIwMDJ7sLO9k3PVCEtOUkmXc9UINkNJUS5OQVNEQVFHUzpJTlRDLklRX1RFVl9FQklUREFfRldEX0NJUS42MDAwLjcvMTAvMjAxNQEAAACHUgAAAgAAAA41LjkzMzE1MTAwMzM5MwENAAAABQAAAAE5AQAAAAcyNjIxMjk1AgAAAAc4MDY4MjYwAwAAAAYxMDAzMDgEAAAAATIGAAAAATAHAAAAAzE2MAgAAAABMAkAAAABMQoAAAABMAsAAAAKODg4NjkwMjY2MwwAAAACMTINAAAACTcvMTEvMjAxNWugU7uTc9UI28OMrpdz1QgrQ0lRLl5TUFguSVFfVEVWX1RPVEFMX1JFVl9GV0QuNjAwMC43LzYvMjAxNgEAAACbuCgAAgAAAAgyLjA1NTgxNgCb62a5k3PVCMtGKEuXc9UIL0NJUS5OQVNEQVFHUzpJTlRDLklRX1BFX0VYQ0xfRldELjYwMDAuOS8yMS8yMDA3AQAAAIdSAAACAAAAEDIwLjMzNjQ1MTUzNjgyODkBDQAAAAUAAAABOQEAAAAHMjYyMTI5NQIAAAAHMTc1NzE1NAMAAAAGMTAwMzA5BAAAAAEyBgAAAAEwBwAAAAMxNjAIAAAAATAJAAAAATEKAAAAATALAAAACzEwMzM0MjA3MTA5DAAAAAIxMg0AAAAJOS8yMi8yMDA3SzuzvZNz1QgbSlRJl3PVCDBDSVEuTkFTREFRR1M6SU5UQy5JUV9QUklDRV9TQUxFUy4yMDAwLjEwLzIzLzIwMTUBAAAAh1IAAAIAAAAIMy4wMDc3NjkBBwAAAAUAAAAB</t>
  </si>
  <si>
    <t>MQEAAAAKMTc2MDAxNjA1OAMAAAABMAIAAAAFMzg5NTgEAAAAATAHAAAACjEwLzIzLzIwMTUIAAAACjEwLzIzLzIwMTXrZ1K7k3PVCKsaWEmXc9UIL0NJUS5OQVNEQVFHUzpJTlRDLklRX1BSSUNFX1NBTEVTLjIwMDAuOS8yNy8yMDEzAQAAAIdSAAACAAAACDIuMTgzODEzAQcAAAAFAAAAATEBAAAACjE2Mjg0MzY4NDkDAAAAATACAAAABTM4OTU4BAAAAAEwBwAAAAk5LzI3LzIwMTMIAAAACTkvMjcvMjAxM/uOUruTc9UIe6VXSZdz1QgvQ0lRLk5BU0RBUUdTOklOVEMuSVFfUEVfRVhDTF9GV0QuNjAwMC4xLzMxLzIwMTQBAAAAh1IAAAIAAAAQMTMuMjQ4NTM2OTM4MjU5OQENAAAABQAAAAE5AQAAAAcyNjIxMjk1AgAAAAc0NDU2NDIxAwAAAAYxMDAzMDkEAAAAATIGAAAAATAHAAAAAzE2MAgAAAABMAkAAAABMQoAAAABMAsAAAAKNjUyODk3OTU4OQwAAAACMTINAAAACDIvMS8yMDE0+3eyvZNz1Qj7+1NJl3PVCC9DSVEuTkFTREFRR1M6SU5UQy5JUV9QRV9FWENMX0ZXRC42MDAwLjQvMjEvMjAxMQEAAACHUgAAAgAAABA5LjQyMTc4NTEzNDEyNjUzAQ0AAAAFAAAAATkBAAAABzI2MjEyOTUCAAAABzE3NTcxNjUDAAAABjEwMDMwOQQAAAABMgYAAAABMAcAAAADMTYwCAAAAAEwCQAAAAExCgAAAAEwCwAAAAo4ODYzMzYyNDk3DAAAAAIxMg0AAAAJNC8yMi8yMDExm/6zvZNz1Qj73VhJl3PVCDZDSVEuTkFTREFR</t>
  </si>
  <si>
    <t>R1M6SU5UQy5JUV9URVZfRUJJVERBX0ZXRF9DSVEuNjAwMC41LzIyLzIwMTUBAAAAh1IAAAIAAAAQNi43MzY1NDE4NDA3Nzc2OQENAAAABQAAAAE5AQAAAAcyNjIxMjk1AgAAAAc4MDY4MjYwAwAAAAYxMDAzMDgEAAAAATIGAAAAATAHAAAAAzE2MAgAAAABMAkAAAABMQoAAAABMAsAAAAKODg4NjkwMjgyOAwAAAACMTINAAAACTUvMjMvMjAxNWugU7uTc9UIa5SQrpdz1QgoQ0lRLk5BU0RBUUdTOklOVEMuSVFfUFRCVi4yMDAwLjEvMjIvMjAxNgEAAACHUgAAAgAAAAgzLjA4MzkzNAEHAAAABQAAAAExAQAAAAoxNzcyOTQyODA2AwAAAAEwAgAAAAYxMDAwMjkEAAAAATAHAAAACTEvMjIvMjAxNggAAAAJMS8yMi8yMDE229e5t5Nz1QibvktJl3PVCDVDSVEuTmFzZGFxR1M6SU5UQy5JUV9URVZfVE9UQUxfUkVWX0ZXRC42MDAwLjgvMTEvMjAwNgEAAACHUgAAAgAAABAyLjY1MDM4Nzc4MTM0Nzc4AQ0AAAAFAAAAATkBAAAABzI2MjEyOTUCAAAABzE3NTcxNTEDAAAABjEwMDMwNwQAAAABMgYAAAABMAcAAAADMTYwCAAAAAEwCQAAAAExCgAAAAEwCwAAAAo1NzUyMzI2MTQ0DAAAAAIxMg0AAAAJOC8xMi8yMDA2y/tWu5Nz1QiL6lJJl3PVCCZDSVEuXlNQWC5JUV9QRV9FWENMX0ZXRC42MDAwLjQvMjIvMjAxNQEAAACbuCgAAgAAAAkxNy43ODI1NDMA6/65t5Nz1Qi74zFLl3PVCDZDSVEuTkFTREFRR1M6SU5UQy5J</t>
  </si>
  <si>
    <t>UV9URVZfRUJJVERBX0ZXRF9DSVEuNjAwMC42LzE3LzIwMDUBAAAAh1IAAAIAAAAQOS4xODg2OTU1ODA2NzQzNAENAAAABQAAAAE5AQAAAAcyNjIxMjk1AgAAAAcxNzU3MTQ3AwAAAAYxMDAzMDgEAAAAATIGAAAAATAHAAAAAzE2MAgAAAABMAkAAAABMQoAAAABMAsAAAAKMTE2OTEzMDI5MgwAAAACMTINAAAACTYvMTgvMjAwNRtOVbuTc9UI2zSPrpdz1QguQ0lRLk5BU0RBUUdTOklOVEMuSVFfUEVfRVhDTF9GV0QuNjAwMC43LzcvMjAxNwEAAACHUgAAAgAAABAxMS44NjE5MTQ0MzE3NjI1AQ0AAAAFAAAAATkBAAAABzI2MjEyOTUCAAAACDI3NTAwMTcyAwAAAAYxMDAzMDkEAAAAATIGAAAAATAHAAAAAzE2MAgAAAABMAkAAAABMQoAAAABMAsAAAALMTA1Mzg5NTc2NDQMAAAAAjEyDQAAAAg3LzgvMjAxN9spsr2Tc9UIa35XSZdz1QgmQ0lRLl5TUFguSVFfUEVfRVhDTF9GV0QuNjAwMC4zLzIwLzIwMTMBAAAAm7goAAIAAAAJMTMuOTc0NTkxANu4r72Tc9UIq/E9S5dz1QgwQ0lRLk5BU0RBUUdTOklOVEMuSVFfUEVfRVhDTF9GV0QuNjAwMC4xMC8xMC8yMDE0AQAAAIdSAAACAAAAEDEzLjcyMjM3MDM0NDg4NjkBDQAAAAUAAAABOQEAAAAHMjYyMTI5NQIAAAAHNDQ1NjQyOAMAAAAGMTAwMzA5BAAAAAEyBgAAAAEwBwAAAAMxNjAIAAAAATAJAAAAATEKAAAAATALAAAACjkwNTI2Njc5MjAMAAAAAjEyDQAAAAox</t>
  </si>
  <si>
    <t>MC8xMS8yMDE0+3eyvZNz1QiLzFdJl3PVCCVDSVEuXlNQWC5JUV9QRV9FWENMX0ZXRC42MDAwLjkvMi8yMDE1AQAAAJu4KAACAAAACDE2LjAxMjg0AOv+ubeTc9UImyQvS5dz1Qg3Q0lRLk5BU0RBUUdTOklOVEMuSVFfVEVWX0VCSVREQV9GV0RfQ0lRLjYwMDAuMTIvMzAvMjAwNQEAAACHUgAAAgAAABA3LjY4ODE3Mzc4MzkxMDI3AQ0AAAAFAAAAATkBAAAABzI2MjEyOTUCAAAABzE3NTcxNDkDAAAABjEwMDMwOAQAAAABMgYAAAABMAcAAAADMTYwCAAAAAEwCQAAAAExCgAAAAEwCwAAAAo2ODgzNzAwNTI4DAAAAAIxMg0AAAAKMTIvMzEvMjAwNRtOVbuTc9UIO66Nrpdz1QguQ0lRLk5BU0RBUUdTOklOVEMuSVFfUEVfRVhDTF9GV0QuNjAwMC42LzUvMjAxNQEAAACHUgAAAgAAABAxNC4wNDk5NTE0NjA1OTQ4AQ0AAAAFAAAAATkBAAAABzI2MjEyOTUCAAAABzgwNjgyNjADAAAABjEwMDMwOQQAAAABMgYAAAABMAcAAAADMTYwCAAAAAEwCQAAAAExCgAAAAEwCwAAAAo4ODgyOTU3NDQyDAAAAAIxMg0AAAAINi82LzIwMTWL17O9k3PVCHtSUEmXc9UIMENJUS5OQVNEQVFHUzpJTlRDLklRX1BSSUNFX1NBTEVTLjIwMDAuMTIvMzEvMjAxMAEAAACHUgAAAgAAAAgyLjczMDE4NAEHAAAABQAAAAExAQAAAAoxNDA4NTE2NTQ2AwAAAAEwAgAAAAUzODk1OAQAAAABMAcAAAAKMTIvMzEvMjAxMAgAAAAKMTIvMzEvMjAx</t>
  </si>
  <si>
    <t>MPuOUruTc9UIi8xXSZdz1Qg1Q0lRLk5hc2RhcUdTOklOVEMuSVFfVEVWX1RPVEFMX1JFVl9GV0QuNjAwMC4zLzIxLzIwMTQBAAAAh1IAAAIAAAAQMi4yMzE1NTQyNTI5MzcxNQENAAAABQAAAAE5AQAAAAcyNjIxMjk1AgAAAAc0NDU2NDIxAwAAAAYxMDAzMDcEAAAAATIGAAAAATAHAAAAAzE2MAgAAAABMAkAAAABMQoAAAABMAsAAAAKNjQ5NzgyMjQ0NAwAAAACMTINAAAACTMvMjIvMjAxNKsltL2Tc9UI+4pRSZdz1Qg3Q0lRLk5BU0RBUUdTOklOVEMuSVFfVEVWX0VCSVREQV9GV0RfQ0lRLjYwMDAuMTEvMzAvMjAwMQEAAACHUgAAAgAAABAyMi45MDk1NzA4MTUxMjE0AQ0AAAAFAAAAATkBAAAABzI2MjEyOTUCAAAABzM0MjExNjIDAAAABjEwMDMwOAQAAAABMgYAAAABMAcAAAADMTYwCAAAAAEwCQAAAAExCgAAAAEwCwAAAAoxMTY5MTUyNjIzDAAAAAIxMg0AAAAJMTIvMS8yMDAxW+pVu5Nz1QhrlJCul3PVCCdDSVEuTkFTREFRR1M6SU5UQy5JUV9QVEJWLjIwMDAuMi8zLzIwMTcBAAAAh1IAAAIAAAAINC4wNTYwNjQBBwAAAAUAAAABMQEAAAAKMTgyNTUyMjE3NgMAAAABMAIAAAAGMTAwMDI5BAAAAAEwBwAAAAgyLzMvMjAxNwgAAAAIMi8zLzIwMTdbOFW5k3PVCKtWTkmXc9UIN0NJUS5OYXNkYXFHUzpJTlRDLklRX1RFVl9FQklUREFfRldEX0NJUS42MDAwLjEwLzI5LzIwMTABAAAAh1IAAAIAAAAPNC43</t>
  </si>
  <si>
    <t>MjMzODA3MTczMjMzAQ0AAAAFAAAAATkBAAAABzI2MjEyOTUCAAAABzE3NTcxNjQDAAAABjEwMDMwOAQAAAABMgYAAAABMAcAAAADMTYwCAAAAAEwCQAAAAExCgAAAAEwCwAAAAo3MDczNzIxODI1DAAAAAIxMg0AAAAKMTAvMzAvMjAxMJvbsLuTc9UIS0aQrpdz1QguQ0lRLk5BU0RBUUdTOklOVEMuSVFfUEVfRVhDTF9GV0QuNjAwMC40LzYvMjAwMQEAAACHUgAAAgAAABAzNS42NzU0NTUyODY3NjI3AQ0AAAAFAAAAATkBAAAABzI2MjEyOTUCAAAABzMxNTEzMDEDAAAABjEwMDMwOQQAAAABMgYAAAABMAcAAAADMTYwCAAAAAEwCQAAAAExCgAAAAEwCwAAAAkzMTE1NTA4OTYMAAAAAjEyDQAAAAg0LzcvMjAwMYvXs72Tc9UIK3FUSZdz1QgwQ0lRLk5BU0RBUUdTOklOVEMuSVFfUEVfRVhDTF9GV0QuNjAwMC4xMS8yMS8yMDE0AQAAAIdSAAACAAAAEDE1LjAwNjExMzc1ODA2MzgBDQAAAAUAAAABOQEAAAAHMjYyMTI5NQIAAAAHNDQ1NjQyOQMAAAAGMTAwMzA5BAAAAAEyBgAAAAEwBwAAAAMxNjAIAAAAATAJAAAAATEKAAAAATALAAAACjg2NDg3OTYyNDQMAAAAAjEyDQAAAAoxMS8yMi8yMDE0+3eyvZNz1QjLaFhJl3PVCDdDSVEuTmFzZGFxR1M6SU5UQy5JUV9URVZfRUJJVERBX0ZXRF9DSVEuNjAwMC4xMC8xNi8yMDA5AQAAAIdSAAACAAAAEDYuMzE4NDA2NDk2OTkyMjIBDQAAAAUAAAABOQEAAAAHMjYyMTI5</t>
  </si>
  <si>
    <t>NQIAAAAHMTc1NzE2MQMAAAAGMTAwMzA4BAAAAAEyBgAAAAEwBwAAAAMxNjAIAAAAATAJAAAAATEKAAAAATALAAAACjgxNzI0MDQwMDQMAAAAAjEyDQAAAAoxMC8xNy8yMDA5m/6zvZNz1QjrW4+ul3PVCDRDSVEuTmFzZGFxR1M6SU5UQy5JUV9URVZfVE9UQUxfUkVWX0ZXRC42MDAwLjUvMi8yMDE0AQAAAIdSAAACAAAAEDIuMzU3NDY4MDk0MzgzNzkBDQAAAAUAAAABOQEAAAAHMjYyMTI5NQIAAAAHNDQ1NjQyNwMAAAAGMTAwMzA3BAAAAAEyBgAAAAEwBwAAAAMxNjAIAAAAATAJAAAAATEKAAAAATALAAAACjg4NjQ0Mzk1MTQMAAAAAjEyDQAAAAg1LzMvMjAxNOuesbuTc9UI21pMSZdz1QgiQ0lRLl5TUFguSVFfTEFTVFNBTEVQUklDRS4zLzUvMjAxNAEAAACbuCgAAgAAABAxODczLjgxMTUyMDgyNDAzAMuRr72Tc9UIizI7S5dz1QglQ0lRLl5TUFguSVFfUEVfRVhDTF9GV0QuNjAwMC41LzQvMjAxNgEAAACbuCgAAgAAAAkxNy4wMDE1NDMAe42wu5Nz1QhbpilLl3PVCDVDSVEuTmFzZGFxR1M6SU5UQy5JUV9URVZfVE9UQUxfUkVWX0ZXRC42MDAwLjIvMTAvMjAxNwEAAACHUgAAAgAAABAyLjkyNjYyOTM0NjI3ODczAQ0AAAAFAAAAATkBAAAABzI2MjEyOTUCAAAACjEwMDA5NDQzODcDAAAABjEwMDMwNwQAAAABMgYAAAABMAcAAAADMTYwCAAAAAEwCQAAAAExCgAAAAEwCwAAAAo5OTkyNzMyNTk2DAAAAAIx</t>
  </si>
  <si>
    <t>Mg0AAAAJMi8xMS8yMDE3m/6zvZNz1Qh7UlBJl3PVCCZDSVEuXlNQWC5JUV9QRV9FWENMX0ZXRC42MDAwLjEwLzgvMjAxNAEAAACbuCgAAgAAAAkxNS45MDI0OTkA6/65t5Nz1QiLUDZLl3PVCDVDSVEuTmFzZGFxR1M6SU5UQy5JUV9URVZfVE9UQUxfUkVWX0ZXRC42MDAwLjUvMTYvMjAwMwEAAACHUgAAAgAAABA0LjAxMTE4NzY5MjY1NDM4AQ0AAAAFAAAAATkBAAAABzI2MjEyOTUCAAAABzE3NTcxNDEDAAAABjEwMDMwNwQAAAABMgYAAAABMAcAAAADMTYwCAAAAAEwCQAAAAExCgAAAAEwCwAAAAoxMTY5MTI2NjIxDAAAAAIxMg0AAAAJNS8xNy8yMDAz65dWuZNz1QhbBFBJl3PVCC9DSVEuTkFTREFRR1M6SU5UQy5JUV9QRV9FWENMX0ZXRC42MDAwLjMvMTYvMjAxMgEAAACHUgAAAgAAABAxMC45MTczMjI4MzQ2NDU3AQ0AAAAFAAAAATkBAAAABzI2MjEyOTUCAAAABDE4ODcDAAAABjEwMDMwOQQAAAABMgYAAAABMAcAAAADMTYwCAAAAAEwCQAAAAExCgAAAAEwCwAAAAo3NjE2MjAxOTg0DAAAAAIxMg0AAAAJMy8xNy8yMDEyG8ayvZNz1QjL91VJl3PVCC9DSVEuTkFTREFRR1M6SU5UQy5JUV9QUklDRV9TQUxFUy4yMDAwLjgvMjAvMjAxMAEAAACHUgAAAgAAAAgyLjU1Mjg2MwEHAAAABQAAAAExAQAAAAoxMzg5NzEwNzQ0AwAAAAEwAgAAAAUzODk1OAQAAAABMAcAAAAJOC8yMC8yMDEwCAAAAAk4LzIwLzIw</t>
  </si>
  <si>
    <t>MTBLGLC7k3PVCBvZUUmXc9UII0NJUS5eU1BYLklRX0xBU1RTQUxFUFJJQ0UuMS8yMi8yMDE0AQAAAJu4KAACAAAAEDE4NDQuODU1OTA1Mjg4OTIAO+pUuZNz1Qjb9TtLl3PVCChDSVEuTkFTREFRR1M6SU5UQy5JUV9QVEJWLjIwMDAuMy8xOS8yMDEwAQAAAIdSAAACAAAACDMuMzM2OTM4AQcAAAAFAAAAATEBAAAACjEzMjg4ODg3MDQDAAAAATACAAAABjEwMDAyOQQAAAABMAcAAAAJMy8xOS8yMDEwCAAAAAkzLzE5LzIwMTD7jlK7k3PVCBu7VkmXc9UIH0NJUS5eU1BYLklRX1BUQlYuMjAwMC4zLzEyLzIwMTQBAAAAm7goAAIAAAAINS4yOTMwMzcAy5GvvZNz1QirgDtLl3PVCDZDSVEuTmFzZGFxR1M6SU5UQy5JUV9URVZfRUJJVERBX0ZXRF9DSVEuNjAwMC4xMS81LzIwMDQBAAAAh1IAAAIAAAAQOS41NjM2MDk4MDcxNTg1OQENAAAABQAAAAE5AQAAAAcyNjIxMjk1AgAAAAcxNzU3MTQ2AwAAAAYxMDAzMDgEAAAAATIGAAAAATAHAAAAAzE2MAgAAAABMAkAAAABMQoAAAABMAsAAAAKMTE2OTEyOTY4NQwAAAACMTINAAAACTExLzYvMjAwNOuesbuTc9UI2zSPrpdz1QgrQ0lRLk5BU0RBUUdTOklOVEMuSVFfTEFTVFNBTEVQUklDRS43LzgvMjAxNQEAAACHUgAAAgAAAAQyOS41ABvdUruTc9UIO6swS5dz1QgtQ0lRLl5TUFguSVFfVEVWX0VCSVREQV9GV0RfQ0lRLjYwMDAuOC8zMS8yMDE2AQAAAJu4KAACAAAA</t>
  </si>
  <si>
    <t>CTEwLjE3NzIzOQArBFO7k3PVCFvEJEuXc9UILkNJUS5OQVNEQVFHUzpJTlRDLklRX1BSSUNFX1NBTEVTLjIwMDAuNC83LzIwMTcBAAAAh1IAAAIAAAAIMi44Njk2ODMBBwAAAAUAAAABMQEAAAAKMTgyODE3NDEyMgMAAAABMAIAAAAFMzg5NTgEAAAAATAHAAAACDQvNy8yMDE3CAAAAAg0LzcvMjAxN1s4VbmTc9UIiwhOSZdz1Qg1Q0lRLk5hc2RhcUdTOklOVEMuSVFfVEVWX1RPVEFMX1JFVl9GV0QuNjAwMC42LzIyLzIwMDcBAAAAh1IAAAIAAAAQMy40NjkzNTAyMzY5NTUwOAENAAAABQAAAAE5AQAAAAcyNjIxMjk1AgAAAAcxNzU3MTUzAwAAAAYxMDAzMDcEAAAAATIGAAAAATAHAAAAAzE2MAgAAAABMAkAAAABMQoAAAABMAsAAAAKODg2MjY2NDYwMQwAAAACMTINAAAACTYvMjMvMjAwN/vFsbuTc9UIqxpYSZdz1Qg2Q0lRLk5hc2RhcUdTOklOVEMuSVFfVEVWX1RPVEFMX1JFVl9GV0QuNjAwMC4xMC8xOC8yMDAyAQAAAIdSAAACAAAADzMuMjQwMjEwNDc3Nzg5NQENAAAABQAAAAE5AQAAAAcyNjIxMjk1AgAAAAcxNzU3MTQwAwAAAAYxMDAzMDcEAAAAATIGAAAAATAHAAAAAzE2MAgAAAABMAkAAAABMQoAAAABMAsAAAAKMTE2OTEyNjEwNgwAAAACMTINAAAACjEwLzE5LzIwMDLrb7y3k3PVCEu/VEmXc9UINUNJUS5OYXNkYXFHUzpJTlRDLklRX1RFVl9UT1RBTF9SRVZfRldELjYwMDAuMS8xNS8yMDE2AQAA</t>
  </si>
  <si>
    <t>AIdSAAACAAAADzIuMzM1MDA2MTQzMTk4MwENAAAABQAAAAE5AQAAAAcyNjIxMjk1AgAAAAoxMDAwOTE1NDAyAwAAAAYxMDAzMDcEAAAAATIGAAAAATAHAAAAAzE2MAgAAAABMAkAAAABMQoAAAABMAsAAAAKOTIzMzE2MTc0MwwAAAACMTINAAAACTEvMTYvMjAxNhskaLmTc9UIW1dXSZdz1QguQ0lRLk5BU0RBUUdTOklOVEMuSVFfUEVfRVhDTF9GV0QuNjAwMC44LzEvMjAxNAEAAACHUgAAAgAAABAxNC42NTc3MTg3MDM4NDg1AQ0AAAAFAAAAATkBAAAABzI2MjEyOTUCAAAABzQ0NTY0MjgDAAAABjEwMDMwOQQAAAABMgYAAAABMAcAAAADMTYwCAAAAAEwCQAAAAExCgAAAAEwCwAAAAo4NjQ4Nzk0NTE2DAAAAAIxMg0AAAAIOC8yLzIwMTT7d7K9k3PVCBuGSkmXc9UINENJUS5OYXNkYXFHUzpJTlRDLklRX1RFVl9UT1RBTF9SRVZfRldELjYwMDAuNC81LzIwMTIBAAAAh1IAAAIAAAAQMi4zNDk2MjIxMzk3NzYyNQENAAAABQAAAAE5AQAAAAcyNjIxMjk1AgAAAAQxODg3AwAAAAYxMDAzMDcEAAAAATIGAAAAATAHAAAAAzE2MAgAAAABMAkAAAABMQoAAAABMAsAAAAKNTc0ODgyNzY0MwwAAAACMTINAAAACDQvNi8yMDEyy0lWuZNz1QirqVVJl3PVCCdDSVEuTkFTREFRR1M6SU5UQy5JUV9QVEJWLjIwMDAuMy84LzIwMTMBAAAAh1IAAAIAAAAIMy4wMjYwMjMBBwAAAAUAAAABMQEAAAAKMTU4ODE1NzQ2MwMAAAAB</t>
  </si>
  <si>
    <t>MAIAAAAGMTAwMDI5BAAAAAEwBwAAAAgzLzgvMjAxMwgAAAAIMy84LzIwMTMLtlK7k3PVCPtsVkmXc9UINkNJUS5OQVNEQVFHUzpJTlRDLklRX1RFVl9FQklUREFfRldEX0NJUS42MDAwLjgvMjQvMjAxMgEAAACHUgAAAgAAABA0LjY3MzA4ODIxNjA4ODM4AQ0AAAAFAAAAATkBAAAABzI2MjEyOTUCAAAABzE3NTcxNjkDAAAABjEwMDMwOAQAAAABMgYAAAABMAcAAAADMTYwCAAAAAEwCQAAAAExCgAAAAEwCwAAAAo2OTU1NDAyNjA2DAAAAAIxMg0AAAAJOC8yNS8yMDEymxVUu5Nz1QgLqo+ul3PVCC9DSVEuTkFTREFRR1M6SU5UQy5JUV9QRV9FWENMX0ZXRC42MDAwLjUvMTAvMjAxMwEAAACHUgAAAgAAAA8xMi43NTE3ODI2NDcxNjYBDQAAAAUAAAABOQEAAAAHMjYyMTI5NQIAAAAHMzgyOTc1MQMAAAAGMTAwMzA5BAAAAAEyBgAAAAEwBwAAAAMxNjAIAAAAATAJAAAAATEKAAAAATALAAAACjcwMzMyNTg2MzUMAAAAAjEyDQAAAAk1LzExLzIwMTMLn7K9k3PVCBtoT0mXc9UIH0NJUS5eU1BYLklRX1BUQlYuMjAwMC44LzEwLzIwMTYBAAAAm7goAAIAAAAINy4zODI1OTYAWzhVuZNz1Qjb/CVLl3PVCDVDSVEuTmFzZGFxR1M6SU5UQy5JUV9URVZfVE9UQUxfUkVWX0ZXRC42MDAwLjcvMjgvMjAwNgEAAACHUgAAAgAAABAyLjc4ODg1MDM1NDQ3Mzc3AQ0AAAAFAAAAATkBAAAABzI2MjEyOTUCAAAABzE3NTcxNTED</t>
  </si>
  <si>
    <t>AAAABjEwMDMwNwQAAAABMgYAAAABMAcAAAADMTYwCAAAAAEwCQAAAAExCgAAAAEwCwAAAAsxMDYzOTM2NzUzNQwAAAACMTINAAAACTcvMjkvMjAwNrvUVruTc9UIGyxZSZdz1Qg2Q0lRLk5hc2RhcUdTOklOVEMuSVFfVEVWX1RPVEFMX1JFVl9GV0QuNjAwMC4xMC8yNy8yMDA2AQAAAIdSAAACAAAAEDMuMTMxNzI4NDI0NzY0NTQBDQAAAAUAAAABOQEAAAAHMjYyMTI5NQIAAAAHMTc1NzE1MgMAAAAGMTAwMzA3BAAAAAEyBgAAAAEwBwAAAAMxNjAIAAAAATAJAAAAATEKAAAAATALAAAACjg4NjA1MDYxNzgMAAAAAjEyDQAAAAoxMC8yOC8yMDA2qyW0vZNz1Qhruk1Jl3PVCDBDSVEuTkFTREFRR1M6SU5UQy5JUV9QRV9FWENMX0ZXRC42MDAwLjEyLzIzLzIwMDUBAAAAh1IAAAIAAAAQMTYuODQxNzYzOTQyOTMxMwENAAAABQAAAAE5AQAAAAcyNjIxMjk1AgAAAAcxNzU3MTQ5AwAAAAYxMDAzMDkEAAAAATIGAAAAATAHAAAAAzE2MAgAAAABMAkAAAABMQoAAAABMAsAAAAKODg2MjQxMjQzNgwAAAACMTINAAAACjEyLzI0LzIwMDWb/rO9k3PVCHulV0mXc9UIMENJUS5OQVNEQVFHUzpJTlRDLklRX1BSSUNFX1NBTEVTLjIwMDAuMTAvMTgvMjAxMwEAAACHUgAAAgAAAAgyLjI2NTgwMQEHAAAABQAAAAExAQAAAAoxNjQwOTgwMzQwAwAAAAEwAgAAAAUzODk1OAQAAAABMAcAAAAKMTAvMTgvMjAxMwgAAAAKMTAvMTgv</t>
  </si>
  <si>
    <t>MjAxM/uOUruTc9UIe6VXSZdz1QguQ0lRLk5BU0RBUUdTOklOVEMuSVFfUEVfRVhDTF9GV0QuNjAwMC44LzUvMjAwNQEAAACHUgAAAgAAAA8xNy42ODUxNDIzNjYzODcBDQAAAAUAAAABOQEAAAAHMjYyMTI5NQIAAAAHMTc1NzE0OAMAAAAGMTAwMzA5BAAAAAEyBgAAAAEwBwAAAAMxNjAIAAAAATAJAAAAATEKAAAAATALAAAACjg4NjI0MTIzOTcMAAAAAjEyDQAAAAg4LzYvMjAwNWuJs72Tc9UIu0FYSZdz1QgoQ0lRLk5BU0RBUUdTOklOVEMuSVFfUFRCVi4yMDAwLjExLzMvMjAxNwEAAACHUgAAAgAAAAg2LjQ3NTg5MwEHAAAABQAAAAExAQAAAAoxODYyNzU4MDQzAwAAAAEwAgAAAAYxMDAwMjkEAAAAATAHAAAACTExLzMvMjAxNwgAAAAJMTEvMy8yMDE3+45Su5Nz1Qgbu1ZJl3PVCDVDSVEuTmFzZGFxR1M6SU5UQy5JUV9URVZfVE9UQUxfUkVWX0ZXRC42MDAwLjIvMTMvMjAwOQEAAACHUgAAAgAAABAyLjI5MzEyMjA2NjYyNzcxAQ0AAAAFAAAAATkBAAAABzI2MjEyOTUCAAAABDE4ODQDAAAABjEwMDMwNwQAAAABMgYAAAABMAcAAAADMTYwCAAAAAEwCQAAAAExCgAAAAEwCwAAAAkzNjA3MTU5NjYMAAAAAjEyDQAAAAkyLzE0LzIwMDnrl1a5k3PVCPv7U0mXc9UIMENJUS5OQVNEQVFHUzpJTlRDLklRX1BSSUNFX1NBTEVTLjIwMDAuMTAvMTkvMjAxNgEAAACHUgAAAgAAAAgyLjg5NzI1MgEHAAAABQAAAAEx</t>
  </si>
  <si>
    <t>AQAAAAoxODEzNTE0MzY0AwAAAAEwAgAAAAUzODk1OAQAAAABMAcAAAAKMTAvMTkvMjAxNggAAAAKMTAvMTkvMjAxNmt2ZrmTc9UIC5AhS5dz1QgwQ0lRLk5BU0RBUUdTOklOVEMuSVFfUFJJQ0VfU0FMRVMuMjAwMC4xMC8xMy8yMDE3AQAAAIdSAAACAAAACDMuMDM4MDM5AQcAAAAFAAAAATEBAAAACjE4NTA2MTg2NjQDAAAAATACAAAABTM4OTU4BAAAAAEwBwAAAAoxMC8xMy8yMDE3CAAAAAoxMC8xMy8yMDE3y7C5t5Nz1QhLbE1Jl3PVCCNDSVEuXlNQWC5JUV9MQVNUU0FMRVBSSUNFLjUvMjAvMjAxNQEAAACbuCgAAgAAABAyMTI1Ljg0ODc2NDAzNTcxAAu2UruTc9UIe0cxS5dz1QgoQ0lRLk5BU0RBUUdTOklOVEMuSVFfUFRCVi4yMDAwLjcvMTQvMjAxNwEAAACHUgAAAgAAAAczLjc0NjYzAQcAAAAFAAAAATEBAAAACjE4MzgzNjAxMzIDAAAAATACAAAABjEwMDAyOQQAAAABMAcAAAAJNy8xNC8yMDE3CAAAAAk3LzE0LzIwMTfb17m3k3PVCIuXS0mXc9UINENJUS5OYXNkYXFHUzpJTlRDLklRX1RFVl9UT1RBTF9SRVZfRldELjYwMDAuOS84LzIwMTcBAAAAh1IAAAIAAAAQMi43NjczNDk2NjQ1MjAxOQENAAAABQAAAAE5AQAAAAcyNjIxMjk1AgAAAAgyNzUwMDE3MwMAAAAGMTAwMzA3BAAAAAEyBgAAAAEwBwAAAAMxNjAIAAAAATAJAAAAATEKAAAAATALAAAACzEwNDM2ODA3NzczDAAAAAIxMg0AAAAIOS85</t>
  </si>
  <si>
    <t>LzIwMTfLIby3k3PVCHvhTUmXc9UINkNJUS5OQVNEQVFHUzpJTlRDLklRX1RFVl9FQklUREFfRldEX0NJUS42MDAwLjExLzcvMjAxNAEAAACHUgAAAgAAAA82LjQyOTE0Mzg5ODk2ODgBDQAAAAUAAAABOQEAAAAHMjYyMTI5NQIAAAAHNDQ1NjQyOQMAAAAGMTAwMzA4BAAAAAEyBgAAAAEwBwAAAAMxNjAIAAAAATAJAAAAATEKAAAAATALAAAACjg2NDg3OTYyMzMMAAAAAjEyDQAAAAkxMS84LzIwMTRroFO7k3PVCAs5ja6Xc9UIN0NJUS5OQVNEQVFHUzpJTlRDLklRX1RFVl9FQklUREFfRldEX0NJUS42MDAwLjEyLzIzLzIwMTABAAAAh1IAAAIAAAAQNC44NTcyODE5MjM1NzQwMgENAAAABQAAAAE5AQAAAAcyNjIxMjk1AgAAAAcxNzU3MTY0AwAAAAYxMDAzMDgEAAAAATIGAAAAATAHAAAAAzE2MAgAAAABMAkAAAABMQoAAAABMAsAAAAKODg2NTY4MzUyNgwAAAACMTINAAAACjEyLzI0LzIwMTC7Y1S7k3PVCMsNj66Xc9UIHkNJUS5eU1BYLklRX1BUQlYuMjAwMC43LzkvMjAxNAEAAACbuCgAAgAAAAg1LjUwNzY4NADLka+9k3PVCFtMOEuXc9UILENJUS5OQVNEQVFHUzpJTlRDLklRX0xBU1RTQUxFUFJJQ0UuNy8yMy8yMDE0AQAAAIdSAAACAAAABDM0LjUAK8NUuZNz1Qg7/jdLl3PVCChDSVEuTkFTREFRR1M6SU5UQy5JUV9QVEJWLjIwMDAuMTIvOS8yMDE2AQAAAIdSAAACAAAACDQuMjY2MjA5AQcAAAAFAAAA</t>
  </si>
  <si>
    <t>ATEBAAAACjE4MTU1NDQ0NTADAAAAATACAAAABjEwMDAyOQQAAAABMAcAAAAJMTIvOS8yMDE2CAAAAAkxMi85LzIwMTbb17m3k3PVCKvlS0mXc9UIKUNJUS5OQVNEQVFHUzpJTlRDLklRX1BUQlYuMjAwMC4xMi8zMC8yMDE2AQAAAIdSAAACAAAACDQuMzI3MDUzAQcAAAAFAAAAATEBAAAACjE4MTU1NDQ0NTADAAAAATACAAAABjEwMDAyOQQAAAABMAcAAAAKMTIvMzAvMjAxNggAAAAKMTIvMzAvMjAxNltPZrmTc9UIm4JVSZdz1QgtQ0lRLk5BU0RBUUdTOklOVEMuSVFfTEFTVFNBTEVQUklDRS4xMS8xOC8yMDE1AQAAAIdSAAACAAAABTMzLjE2ACvDVLmTc9UIKxMuS5dz1Qg2Q0lRLk5BU0RBUUdTOklOVEMuSVFfVEVWX0VCSVREQV9GV0RfQ0lRLjYwMDAuMS8xMy8yMDA2AQAAAIdSAAACAAAAEDguMDI2MzU4NDE1NDI1MzUBDQAAAAUAAAABOQEAAAAHMjYyMTI5NQIAAAAHMTc1NzE0OQMAAAAGMTAwMzA4BAAAAAEyBgAAAAEwBwAAAAMxNjAIAAAAATAJAAAAATEKAAAAATALAAAACjExNjkxMzE3ODcMAAAAAjEyDQAAAAkxLzE0LzIwMDYbTlW7k3PVCCv4j66Xc9UILkNJUS5OQVNEQVFHUzpJTlRDLklRX1BSSUNFX1NBTEVTLjIwMDAuMS82LzIwMTIBAAAAh1IAAAIAAAAIMi42MzIxNTYBBwAAAAUAAAABMQEAAAAKMTQ4MDIxNTM4MQMAAAABMAIAAAAFMzg5NTgEAAAAATAHAAAACDEvNi8yMDEyCAAAAAgxLzYv</t>
  </si>
  <si>
    <t>MjAxMsuwubeTc9UIKx5NSZdz1QgvQ0lRLk5BU0RBUUdTOklOVEMuSVFfUFJJQ0VfU0FMRVMuMjAwMC4xMS8xLzIwMTMBAAAAh1IAAAIAAAAIMi4zMDg1MDcBBwAAAAUAAAABMQEAAAAKMTY0MjQ4Mzc5MgMAAAABMAIAAAAFMzg5NTgEAAAAATAHAAAACTExLzEvMjAxMwgAAAAJMTEvMS8yMDEz26qItpNz1QhL+0pJl3PVCC9DSVEuTkFTREFRR1M6SU5UQy5JUV9QRV9FWENMX0ZXRC42MDAwLjQvMjEvMjAwNgEAAACHUgAAAgAAABAxOS44MTkwNzAzOTYxNzM0AQ0AAAAFAAAAATkBAAAABzI2MjEyOTUCAAAABzE3NTcxNTADAAAABjEwMDMwOQQAAAABMgYAAAABMAcAAAADMTYwCAAAAAEwCQAAAAExCgAAAAEwCwAAAAo4ODYyOTE1OTM1DAAAAAIxMg0AAAAJNC8yMi8yMDA2W2KzvZNz1Qi77lBJl3PVCDVDSVEuTkFTREFRR1M6SU5UQy5JUV9URVZfRUJJVERBX0ZXRF9DSVEuNjAwMC4xLzMvMjAxNAEAAACHUgAAAgAAABA1LjkwMDMyMzI2ODI1ODk3AQ0AAAAFAAAAATkBAAAABzI2MjEyOTUCAAAABzM4Mjk3NTMDAAAABjEwMDMwOAQAAAABMgYAAAABMAcAAAADMTYwCAAAAAEwCQAAAAExCgAAAAEwCwAAAAo4MTcxNTkxMjQ5DAAAAAIxMg0AAAAIMS80LzIwMTR7x1O7k3PVCPuCj66Xc9UIKENJUS5OQVNEQVFHUzpJTlRDLklRX1BUQlYuMjAwMC4xLzE0LzIwMTEBAAAAh1IAAAIAAAAIMi41OTU1NjgBBwAAAAUA</t>
  </si>
  <si>
    <t>AAABMQEAAAAKMTQxODkyMDk3OQMAAAABMAIAAAAGMTAwMDI5BAAAAAEwBwAAAAkxLzE0LzIwMTEIAAAACTEvMTQvMjAxMWt2ZrmTc9UIO5hUSZdz1QgfQ0lRLl5TUFguSVFfUFRCVi4yMDAwLjQvMTAvMjAxMwEAAACbuCgAAgAAAAg0Ljk4MTUyNgDLka+9k3PVCKvxPUuXc9UINUNJUS5OYXNkYXFHUzpJTlRDLklRX1RFVl9UT1RBTF9SRVZfRldELjYwMDAuNS8zMC8yMDE0AQAAAIdSAAACAAAAEDIuNDQyMDU1MzIxMDc4NTIBDQAAAAUAAAABOQEAAAAHMjYyMTI5NQIAAAAHNDQ1NjQyNwMAAAAGMTAwMzA3BAAAAAEyBgAAAAEwBwAAAAMxNjAIAAAAATAJAAAAATEKAAAAATALAAAACjkwNzE5OTQwNjkMAAAAAjEyDQAAAAk1LzMxLzIwMTS7TLS9k3PVCHsWWkmXc9UILkNJUS5OQVNEQVFHUzpJTlRDLklRX1BFX0VYQ0xfRldELjYwMDAuNi84LzIwMTIBAAAAh1IAAAIAAAAQOS44NDM4MjU3MTA5ODQzOAENAAAABQAAAAE5AQAAAAcyNjIxMjk1AgAAAAcxNzU3MTY4AwAAAAYxMDAzMDkEAAAAATIGAAAAATAHAAAAAzE2MAgAAAABMAkAAAABMQoAAAABMAsAAAAKODg2MzQzNDkwOAwAAAACMTINAAAACDYvOS8yMDEyC5+yvZNz1QibZFpJl3PVCC9DSVEuTkFTREFRR1M6SU5UQy5JUV9QUklDRV9TQUxFUy4yMDAwLjUvMjgvMjAxNAEAAACHUgAAAgAAAAgyLjUyOTA4NAEHAAAABQAAAAExAQAAAAoxNjczMzc5MzI3</t>
  </si>
  <si>
    <t>AwAAAAEwAgAAAAUzODk1OAQAAAABMAcAAAAJNS8yOC8yMDE0CAAAAAk1LzI4LzIwMTSLxGa5k3PVCLs2OUuXc9UILENJUS5eU1BYLklRX1RFVl9FQklUREFfRldEX0NJUS42MDAwLjIvNy8yMDE4AQAAAJu4KAACAAAACTEwLjczNDIyNwDr/rm3k3PVCGs9ykmXc9UIK0NJUS5OQVNEQVFHUzpJTlRDLklRX0xBU1RTQUxFUFJJQ0UuMi8zLzIwMTYBAAAAh1IAAAIAAAAFMjkuMzQAC7ZSu5Nz1Qg7yStLl3PVCDVDSVEuTmFzZGFxR1M6SU5UQy5JUV9URVZfVE9UQUxfUkVWX0ZXRC42MDAwLjEvMjcvMjAxNwEAAACHUgAAAgAAAA8zLjEzMjM4NjYxNjc5NzMBDQAAAAUAAAABOQEAAAAHMjYyMTI5NQIAAAAKMTAwMDk0NDM4NwMAAAAGMTAwMzA3BAAAAAEyBgAAAAEwBwAAAAMxNjAIAAAAATAJAAAAATEKAAAAATALAAAACjk5NTk1ODQxMzYMAAAAAjEyDQAAAAkxLzI4LzIwMTfL+1a7k3PVCIs9WkmXc9UIL0NJUS5OQVNEQVFHUzpJTlRDLklRX1BFX0VYQ0xfRldELjYwMDAuOS8yMy8yMDE2AQAAAIdSAAACAAAAEDEzLjQ2MzQxODE2NjAyMTEBDQAAAAUAAAABOQEAAAAHMjYyMTI5NQIAAAAIMjcwMDM2NTIDAAAABjEwMDMwOQQAAAABMgYAAAABMAcAAAADMTYwCAAAAAEwCQAAAAExCgAAAAEwCwAAAAo5NzMwNzAxOTQzDAAAAAIxMg0AAAAJOS8yNC8yMDE22ymyvZNz1Qhr71lJl3PVCC9DSVEuTkFTREFRR1M6SU5U</t>
  </si>
  <si>
    <t>Qy5JUV9QRV9FWENMX0ZXRC42MDAwLjEyLzcvMjAwNwEAAACHUgAAAgAAABAxOS4zNTY0MTQ5MDk5NTM5AQ0AAAAFAAAAATkBAAAABzI2MjEyOTUCAAAABzE3NTcxNTUDAAAABjEwMDMwOQQAAAABMgYAAAABMAcAAAADMTYwCAAAAAEwCQAAAAExCgAAAAEwCwAAAAo4ODY0NDg1MTMzDAAAAAIxMg0AAAAJMTIvOC8yMDA3SzuzvZNz1QgbaE9Jl3PVCDVDSVEuTmFzZGFxR1M6SU5UQy5JUV9URVZfVE9UQUxfUkVWX0ZXRC42MDAwLjcvMTYvMjAxMAEAAACHUgAAAgAAAA8yLjE3NjY1MjkyMTI3MTkBDQAAAAUAAAABOQEAAAAHMjYyMTI5NQIAAAAHMTc1NzE2MwMAAAAGMTAwMzA3BAAAAAEyBgAAAAEwBwAAAAMxNjAIAAAAATAJAAAAATEKAAAAATALAAAACjg4NjM1MTEzOTMMAAAAAjEyDQAAAAk3LzE3LzIwMTC7TLS9k3PVCIs9WkmXc9UIL0NJUS5OQVNEQVFHUzpJTlRDLklRX1BFX0VYQ0xfRldELjYwMDAuMTIvNi8yMDAyAQAAAIdSAAACAAAAEDMzLjAzMzE5MjA5MDM5NTUBDQAAAAUAAAABOQEAAAAHMjYyMTI5NQIAAAAHMTc1NzE0MAMAAAAGMTAwMzA5BAAAAAEyBgAAAAEwBwAAAAMxNjAIAAAAATAJAAAAATEKAAAAATALAAAACjg4NTk4ODk0NTUMAAAAAjEyDQAAAAkxMi83LzIwMDK7TLS9k3PVCIs9WkmXc9UII0NJUS5eU1BYLklRX0xBU1RTQUxFUFJJQ0UuOS8yNC8yMDE0AQAAAJu4KAACAAAAEDE5OTgu</t>
  </si>
  <si>
    <t>MzAyMTUzODc1MDEAG91Su5Nz1QirnjZLl3PVCCNDSVEuXlNQWC5JUV9MQVNUU0FMRVBSSUNFLjQvMjAvMjAxNgEAAACbuCgAAgAAAA8yMTAyLjM5NjY1NTM4NDYASyhmuZNz1QhrzSlLl3PVCDRDSVEuTmFzZGFxR1M6SU5UQy5JUV9URVZfVE9UQUxfUkVWX0ZXRC42MDAwLjMvMi8yMDAxAQAAAIdSAAACAAAAEDUuNDA3NzUyMjk2MjkyMzYBDQAAAAUAAAABOQEAAAAHMjYyMTI5NQIAAAAHMzE1MTMwMQMAAAAGMTAwMzA3BAAAAAEyBgAAAAEwBwAAAAMxNjAIAAAAATAJAAAAATEKAAAAATALAAAACTM2MTIxMjY4MAwAAAACMTINAAAACDMvMy8yMDAx65dWuZNz1Qjr1FNJl3PVCDVDSVEuTmFzZGFxR1M6SU5UQy5JUV9URVZfVE9UQUxfUkVWX0ZXRC42MDAwLjUvMjYvMjAwNgEAAACHUgAAAgAAABAyLjY0OTcxODk2Mjk1NTkxAQ0AAAAFAAAAATkBAAAABzI2MjEyOTUCAAAABzE3NTcxNTADAAAABjEwMDMwNwQAAAABMgYAAAABMAcAAAADMTYwCAAAAAEwCQAAAAExCgAAAAEwCwAAAAo4ODYwNTAxNjI5DAAAAAIxMg0AAAAJNS8yNy8yMDA22yJXu5Nz1Qg7ellJl3PVCDZDSVEuTmFzZGFxR1M6SU5UQy5JUV9URVZfVE9UQUxfUkVWX0ZXRC42MDAwLjExLzMwLzIwMDEBAAAAh1IAAAIAAAAQNy45MzM0Nzk2NzkyNDA4OQENAAAABQAAAAE5AQAAAAcyNjIxMjk1AgAAAAczNDIxMTYyAwAAAAYxMDAzMDcEAAAAATIG</t>
  </si>
  <si>
    <t>AAAAATAHAAAAAzE2MAgAAAABMAkAAAABMQoAAAABMAsAAAAKMTE2OTE1MjU1NAwAAAACMTINAAAACTEyLzEvMjAwMasltL2Tc9UI+91YSZdz1QgwQ0lRLk5BU0RBUUdTOklOVEMuSVFfUEVfRVhDTF9GV0QuNjAwMC4xMi8yOS8yMDE3AQAAAIdSAAACAAAAEDE0LjI0MzgzNjIwODIyNjYBDQAAAAUAAAABOQEAAAAHMjYyMTI5NQIAAAAIMjc1MDAxNzQDAAAABjEwMDMwOQQAAAABMgYAAAABMAcAAAADMTYwCAAAAAEwCQAAAAExCgAAAAEwCwAAAAsxMDY1Nzk3MTc1OAwAAAACMTINAAAACjEyLzMwLzIwMTfLArK9k3PVCOtjUUmXc9UIL0NJUS5OQVNEQVFHUzpJTlRDLklRX1BFX0VYQ0xfRldELjYwMDAuOS8xOS8yMDE0AQAAAIdSAAACAAAADjE1LjA0NzUzNjczMjkzAQ0AAAAFAAAAATkBAAAABzI2MjEyOTUCAAAABzQ0NTY0MjgDAAAABjEwMDMwOQQAAAABMgYAAAABMAcAAAADMTYwCAAAAAEwCQAAAAExCgAAAAEwCwAAAAo4NTEwMjU5OTI5DAAAAAIxMg0AAAAJOS8yMC8yMDE0+3eyvZNz1QiLW1VJl3PVCB5DSVEuXlNQWC5JUV9QVEJWLjIwMDAuOC81LzIwMTUBAAAAm7goAAIAAAAINi4yNTMzMTcA29e5t5Nz1QgLNjBLl3PVCDRDSVEuTmFzZGFxR1M6SU5UQy5JUV9URVZfVE9UQUxfUkVWX0ZXRC42MDAwLjIvMi8yMDAxAQAAAIdSAAACAAAAEDYuNzg5OTQ4MDQyNjU1MzMBDQAAAAUAAAABOQEAAAAHMjYy</t>
  </si>
  <si>
    <t>MTI5NQIAAAAHMzE1MTMwMQMAAAAGMTAwMzA3BAAAAAEyBgAAAAEwBwAAAAMxNjAIAAAAATAJAAAAATEKAAAAATALAAAACTM2MTIxMjY3NwwAAAACMTINAAAACDIvMy8yMDAxu/q7t5Nz1Qib81dJl3PVCB9DSVEuXlNQWC5JUV9QVEJWLjIwMDAuNy8yMi8yMDE1AQAAAJu4KAACAAAACDYuMTc2NTQxAFs/sLuTc9UIK4QwS5dz1Qg2Q0lRLk5hc2RhcUdTOklOVEMuSVFfVEVWX1RPVEFMX1JFVl9GV0QuNjAwMC4xMS8xMS8yMDE2AQAAAIdSAAACAAAAEDIuODcxNjE0NDE0ODIxOTgBDQAAAAUAAAABOQEAAAAHMjYyMTI5NQIAAAAIMjcwMDM2NTMDAAAABjEwMDMwNwQAAAABMgYAAAABMAcAAAADMTYwCAAAAAEwCQAAAAExCgAAAAEwCwAAAAo5ODQ0NjY3NDQ5DAAAAAIxMg0AAAAKMTEvMTIvMjAxNutvvLeTc9UIu0FYSZdz1Qg2Q0lRLk5BU0RBUUdTOklOVEMuSVFfVEVWX0VCSVREQV9GV0RfQ0lRLjYwMDAuNy8yMi8yMDA1AQAAAIdSAAACAAAAEDguNzI3NjgyNjk4NTMwMDkBDQAAAAUAAAABOQEAAAAHMjYyMTI5NQIAAAAHMTc1NzE0OAMAAAAGMTAwMzA4BAAAAAEyBgAAAAEwBwAAAAMxNjAIAAAAATAJAAAAATEKAAAAATALAAAACjExNjkxMzA5NjQMAAAAAjEyDQAAAAk3LzIzLzIwMDUbTlW7k3PVCPsRja6Xc9UIKUNJUS5OQVNEQVFHUzpJTlRDLklRX1BUQlYuMjAwMC4xMS8xMi8yMDEwAQAAAIdSAAACAAAA</t>
  </si>
  <si>
    <t>CDIuODI4MzI5AQcAAAAFAAAAATEBAAAACjE0MDg1MTY1NDYDAAAAATACAAAABjEwMDAyOQQAAAABMAcAAAAKMTEvMTIvMjAxMAgAAAAKMTEvMTIvMjAxMEsRVbmTc9UIC0FPSZdz1QgvQ0lRLk5BU0RBUUdTOklOVEMuSVFfUFJJQ0VfU0FMRVMuMjAwMC4xMS84LzIwMTcBAAAAh1IAAAIAAAAIMy41NDYyMDQBBwAAAAUAAAABMQEAAAAKMTg2Mjc1ODA0MwMAAAABMAIAAAAFMzg5NTgEAAAAATAHAAAACTExLzgvMjAxNwgAAAAJMTEvOC8yMDE3W09muZNz1QjbRvBKl3PVCDVDSVEuTmFzZGFxR1M6SU5UQy5JUV9URVZfVE9UQUxfUkVWX0ZXRC42MDAwLjYvMTcvMjAxNgEAAACHUgAAAgAAABAyLjc4NzM2MDgyMDYzMzI0AQ0AAAAFAAAAATkBAAAABzI2MjEyOTUCAAAACDI3MDAzNjUxAwAAAAYxMDAzMDcEAAAAATIGAAAAATAHAAAAAzE2MAgAAAABMAkAAAABMQoAAAABMAsAAAAKOTQ5NTk1MDY0OQwAAAACMTINAAAACTYvMTgvMjAxNpv+s72Tc9UIm2RaSZdz1QgjQ0lRLl5TUFguSVFfTEFTVFNBTEVQUklDRS41LzEwLzIwMTcBAAAAm7goAAIAAAAQMjM5OS42Mjk5NTkzNjcwNQBLKGa5k3PVCOsqEEuXc9UIMENJUS5OQVNEQVFHUzpJTlRDLklRX1BSSUNFX1NBTEVTLjIwMDAuMTAvMTQvMjAxNQEAAACHUgAAAgAAAAgyLjgyNjc4NgEHAAAABQAAAAExAQAAAAoxNzYwMDE2MDU4AwAAAAEwAgAAAAUzODk1OAQA</t>
  </si>
  <si>
    <t>AAABMAcAAAAKMTAvMTQvMjAxNQgAAAAKMTAvMTQvMjAxNWt2ZrmTc9UIi/0uS5dz1Qg1Q0lRLk5hc2RhcUdTOklOVEMuSVFfVEVWX0VCSVREQV9GV0RfQ0lRLjYwMDAuMi85LzIwMDcBAAAAh1IAAAIAAAAQOC40MTYyNTIzNjk5NzI1NAENAAAABQAAAAE5AQAAAAcyNjIxMjk1AgAAAAQxODgyAwAAAAYxMDAzMDgEAAAAATIGAAAAATAHAAAAAzE2MAgAAAABMAkAAAABMQoAAAABMAsAAAALMTAzMzQxNzYwODQMAAAAAjEyDQAAAAkyLzEwLzIwMDd7jbC7k3PVCHu7kK6Xc9UIH0NJUS5eU1BYLklRX1BUQlYuMjAwMC4xMS80LzIwMTUBAAAAm7goAAIAAAAINi40NDgyNTEAa2awu5Nz1QhbiC5Ll3PVCDZDSVEuTkFTREFRR1M6SU5UQy5JUV9URVZfRUJJVERBX0ZXRF9DSVEuNjAwMC41LzE1LzIwMTUBAAAAh1IAAAIAAAAQNi42MzM5MDI1OTA5MDQzNgENAAAABQAAAAE5AQAAAAcyNjIxMjk1AgAAAAc4MDY4MjYwAwAAAAYxMDAzMDgEAAAAATIGAAAAATAHAAAAAzE2MAgAAAABMAkAAAABMQoAAAABMAsAAAAKODg4NjkwMjgyNgwAAAACMTINAAAACTUvMTYvMjAxNWugU7uTc9UI28OMrpdz1QgvQ0lRLk5BU0RBUUdTOklOVEMuSVFfUEVfRVhDTF9GV0QuNjAwMC4xMi8zLzIwMTABAAAAh1IAAAIAAAAQMTEuNDgwNDQyNDkxOTI4MgENAAAABQAAAAE5AQAAAAcyNjIxMjk1AgAAAAcxNzU3MTY0AwAAAAYxMDAzMDkE</t>
  </si>
  <si>
    <t>AAAAATIGAAAAATAHAAAAAzE2MAgAAAABMAkAAAABMQoAAAABMAsAAAAKODg2Mzg0NTQ5NAwAAAACMTINAAAACTEyLzQvMjAxMCvtsr2Tc9UIK1NZSZdz1QgwQ0lRLk5BU0RBUUdTOklOVEMuSVFfUEVfRVhDTF9GV0QuNjAwMC4xMi8xMS8yMDE1AQAAAIdSAAACAAAAEDE0Ljc0MjMyMTI1OTU3MTUBDQAAAAUAAAABOQEAAAAHMjYyMTI5NQIAAAAHODA2ODI2MgMAAAAGMTAwMzA5BAAAAAEyBgAAAAEwBwAAAAMxNjAIAAAAATAJAAAAATEKAAAAATALAAAACjkxODI0MDU1OTEMAAAAAjEyDQAAAAoxMi8xMi8yMDE161CyvZNz1QjrRVZJl3PVCCxDSVEuXlNQWC5JUV9URVZfVE9UQUxfUkVWX0ZXRC42MDAwLjcvMzEvMjAxMwEAAACbuCgAAgAAAAgxLjY3MjI5MgDbuK+9k3PVCGtVPUuXc9UILENJUS5eU1BYLklRX1RFVl9UT1RBTF9SRVZfRldELjYwMDAuOC8xNi8yMDE3AQAAAJu4KAACAAAACDIuMjI2OTk5AGtfVbmTc9UIuw8BS5dz1QgwQ0lRLk5BU0RBUUdTOklOVEMuSVFfUEVfRVhDTF9GV0QuNjAwMC4xMS8xNy8yMDE3AQAAAIdSAAACAAAAEDEzLjc4MTkyMjYxMzcxNzEBDQAAAAUAAAABOQEAAAAHMjYyMTI5NQIAAAAIMjc1MDAxNzQDAAAABjEwMDMwOQQAAAABMgYAAAABMAcAAAADMTYwCAAAAAEwCQAAAAExCgAAAAEwCwAAAAsxMDY5ODM2MTEzNgwAAAACMTINAAAACjExLzE4LzIwMTfLArK9k3PVCEuh</t>
  </si>
  <si>
    <t>WUmXc9UILUNJUS5eU1BYLklRX1RFVl9UT1RBTF9SRVZfRldELjYwMDAuMTEvMjcvMjAxMwEAAACbuCgAAgAAAAgxLjc1Njc0NQB7jbC7k3PVCCu5PEuXc9UINUNJUS5OYXNkYXFHUzpJTlRDLklRX1RFVl9UT1RBTF9SRVZfRldELjYwMDAuNy8xNS8yMDExAQAAAIdSAAACAAAAEDIuMDMzNzM3MTcyODQ1NzYBDQAAAAUAAAABOQEAAAAHMjYyMTI5NQIAAAAHMTc1NzE2NQMAAAAGMTAwMzA3BAAAAAEyBgAAAAEwBwAAAAMxNjAIAAAAATAJAAAAATEKAAAAATALAAAACjg4NjQ0Mjg5MTMMAAAAAjEyDQAAAAk3LzE2LzIwMTGLX1a7k3PVCIs9WkmXc9UINENJUS5OYXNkYXFHUzpJTlRDLklRX1RFVl9UT1RBTF9SRVZfRldELjYwMDAuMS85LzIwMDQBAAAAh1IAAAIAAAAQNi4xMzcyOTc0MDkzOTg4MgENAAAABQAAAAE5AQAAAAcyNjIxMjk1AgAAAAcxNzU3MTQzAwAAAAYxMDAzMDcEAAAAATIGAAAAATAHAAAAAzE2MAgAAAABMAkAAAABMQoAAAABMAsAAAAKMTE2OTEyNzg2MQwAAAACMTINAAAACTEvMTAvMjAwNAv9Z7mTc9UIWwRQSZdz1Qg1Q0lRLk5hc2RhcUdTOklOVEMuSVFfVEVWX1RPVEFMX1JFVl9GV0QuNjAwMC4xLzEzLzIwMTIBAAAAh1IAAAIAAAAQMi4yMjE4NzM3NjY2ODQ3NwENAAAABQAAAAE5AQAAAAcyNjIxMjk1AgAAAAcxNzU3MTY3AwAAAAYxMDAzMDcEAAAAATIGAAAAATAHAAAAAzE2MAgAAAAB</t>
  </si>
  <si>
    <t>MAkAAAABMQoAAAABMAsAAAAKODg2NDQzMTA5NwwAAAACMTINAAAACTEvMTQvMjAxMqsltL2Tc9UIy4ZTSZdz1Qg3Q0lRLk5hc2RhcUdTOklOVEMuSVFfVEVWX0VCSVREQV9GV0RfQ0lRLjYwMDAuMTEvMTMvMjAxNQEAAACHUgAAAgAAABA2LjMzNTI2NjE1OTQwMjU2AQ0AAAAFAAAAATkBAAAABzI2MjEyOTUCAAAABzgwNjgyNjIDAAAABjEwMDMwOAQAAAABMgYAAAABMAcAAAADMTYwCAAAAAEwCQAAAAExCgAAAAEwCwAAAAo5MjM0Mjg4NjEyDAAAAAIxMg0AAAAKMTEvMTQvMjAxNeuesbuTc9UIOx+Qrpdz1QgvQ0lRLk5BU0RBUUdTOklOVEMuSVFfUEVfRVhDTF9GV0QuNjAwMC4zLzIyLzIwMTMBAAAAh1IAAAIAAAAPMTEuMDg4Mjk1Njg3ODg1AQ0AAAAFAAAAATkBAAAABzI2MjEyOTUCAAAABzM2NTI2NjADAAAABjEwMDMwOQQAAAABMgYAAAABMAcAAAADMTYwCAAAAAEwCQAAAAExCgAAAAEwCwAAAAo1NzQ4MzAzMDAyDAAAAAIxMg0AAAAJMy8yMy8yMDEzC5+yvZNz1QhbyFlJl3PVCC9DSVEuTkFTREFRR1M6SU5UQy5JUV9QRV9FWENMX0ZXRC42MDAwLjIvMjgvMjAxNAEAAACHUgAAAgAAABAxMy40MTQzMTA0MDM2NzU0AQ0AAAAFAAAAATkBAAAABzI2MjEyOTUCAAAABzQ0NTY0MjEDAAAABjEwMDMwOQQAAAABMgYAAAABMAcAAAADMTYwCAAAAAEwCQAAAAExCgAAAAEwCwAAAAo2NTI4OTc5NTk3DAAAAAIx</t>
  </si>
  <si>
    <t>Mg0AAAAIMy8xLzIwMTSb/rO9k3PVCJugUEmXc9UINUNJUS5OYXNkYXFHUzpJTlRDLklRX1RFVl9UT1RBTF9SRVZfRldELjYwMDAuOC8xMi8yMDExAQAAAIdSAAACAAAAEDEuNzg4ODcyNzkxNzc2MzMBDQAAAAUAAAABOQEAAAAHMjYyMTI5NQIAAAAHMTc1NzE2NgMAAAAGMTAwMzA3BAAAAAEyBgAAAAEwBwAAAAMxNjAIAAAAATAJAAAAATEKAAAAATALAAAACjg4NjQ0MzEzNDQMAAAAAjEyDQAAAAk4LzEzLzIwMTGrJbS9k3PVCItbVUmXc9UILUNJUS5eU1BYLklRX1RFVl9FQklUREFfRldEX0NJUS42MDAwLjExLzUvMjAxNAEAAACbuCgAAgAAAAg5LjEyMTE5NgBrX1W5k3PVCItQNkuXc9UINUNJUS5OYXNkYXFHUzpJTlRDLklRX1RFVl9UT1RBTF9SRVZfRldELjYwMDAuNC8yNy8yMDAxAQAAAIdSAAACAAAAEDYuNzQ1OTI2OTAxNzkwOTYBDQAAAAUAAAABOQEAAAAHMjYyMTI5NQIAAAAHMzQyMTE2MAMAAAAGMTAwMzA3BAAAAAEyBgAAAAEwBwAAAAMxNjAIAAAAATAJAAAAATEKAAAAATALAAAACjExNjkxNTIzNTEMAAAAAjEyDQAAAAk0LzI4LzIwMDG7TLS9k3PVCHsWWkmXc9UIL0NJUS5OQVNEQVFHUzpJTlRDLklRX1BFX0VYQ0xfRldELjYwMDAuOC8yMS8yMDE1AQAAAIdSAAACAAAAEDExLjkxOTkzNTM3Mzg0NDQBDQAAAAUAAAABOQEAAAAHMjYyMTI5NQIAAAAHODA2ODI2MQMAAAAGMTAwMzA5BAAAAAEy</t>
  </si>
  <si>
    <t>BgAAAAEwBwAAAAMxNjAIAAAAATAJAAAAATEKAAAAATALAAAACjg5Nzc3MzA2MDcMAAAAAjEyDQAAAAk4LzIyLzIwMTXrULK9k3PVCDt6WUmXc9UII0NJUS5eU1BYLklRX0xBU1RTQUxFUFJJQ0UuMi8xNS8yMDE3AQAAAJu4KAACAAAAEDIzNDkuMjQ3NDA4NTM4MDgAC7ZSu5Nz1QhLaBhLl3PVCCxDSVEuXlNQWC5JUV9URVZfVE9UQUxfUkVWX0ZXRC42MDAwLjMvMjMvMjAxNgEAAACbuCgAAgAAAAcyLjA0MjM3AGtfVbmTc9UI294qS5dz1QgoQ0lRLk5BU0RBUUdTOklOVEMuSVFfUFRCVi4yMDAwLjYvMTAvMjAxNgEAAACHUgAAAgAAAAg0LjU2NjA3NwEHAAAABQAAAAExAQAAAAoxNzg5MTkzMzQzAwAAAAEwAgAAAAYxMDAwMjkEAAAAATAHAAAACTYvMTAvMjAxNggAAAAJNi8xMC8yMDE2q0OvvZNz1QiLPVpJl3PVCCdDSVEuXlNQWC5JUV9QRV9FWENMX0ZXRC42MDAwLjEyLzMwLzIwMTUBAAAAm7goAAIAAAAJMTcuMDA5MjEyAGtmsLuTc9UIS/ArS5dz1QgsQ0lRLk5BU0RBUUdTOklOVEMuSVFfTEFTVFNBTEVQUklDRS4yLzE0LzIwMTgBAAAAh1IAAAIAAAAFNDQuNjgAWz+wu5Nz1QhrPcpJl3PVCDZDSVEuTkFTREFRR1M6SU5UQy5JUV9URVZfRUJJVERBX0ZXRF9DSVEuNjAwMC41LzIxLzIwMTABAAAAh1IAAAIAAAAPNS4xODg1MDQ5Njg4NzM2AQ0AAAAFAAAAATkBAAAABzI2MjEyOTUCAAAABzE3NTcxNjID</t>
  </si>
  <si>
    <t>AAAABjEwMDMwOAQAAAABMgYAAAABMAcAAAADMTYwCAAAAAEwCQAAAAExCgAAAAEwCwAAAAo1NzE1NjQ4ODc2DAAAAAIxMg0AAAAJNS8yMi8yMDEwy4pUu5Nz1Qirv46ul3PVCChDSVEuTkFTREFRR1M6SU5UQy5JUV9QVEJWLjIwMDAuNi8xNy8yMDExAQAAAIdSAAACAAAACDMuNjAwMDMzAQcAAAAFAAAAATEBAAAACjE0NTI0NzU4NzIDAAAAATACAAAABjEwMDAyOQQAAAABMAcAAAAJNi8xNy8yMDExCAAAAAk2LzE3LzIwMTHb17m3k3PVCKvlS0mXc9UINUNJUS5OYXNkYXFHUzpJTlRDLklRX1RFVl9FQklUREFfRldEX0NJUS42MDAwLjIvMS8yMDEzAQAAAIdSAAACAAAAEDQuODA5MTY0Nzc3ODU2MDcBDQAAAAUAAAABOQEAAAAHMjYyMTI5NQIAAAAHMzY1MjY2MAMAAAAGMTAwMzA4BAAAAAEyBgAAAAEwBwAAAAMxNjAIAAAAATAJAAAAATEKAAAAATALAAAACjU0MzgyMDAwNjkMAAAAAjEyDQAAAAgyLzIvMjAxM6sCsbuTc9UIK/iPrpdz1Qg2Q0lRLk5BU0RBUUdTOklOVEMuSVFfVEVWX0VCSVREQV9GV0RfQ0lRLjYwMDAuNi8yMC8yMDA4AQAAAIdSAAACAAAADzcuNDU5NzcyOTIzNTI5NgENAAAABQAAAAE5AQAAAAcyNjIxMjk1AgAAAAcxNzU3MTU2AwAAAAYxMDAzMDgEAAAAATIGAAAAATAHAAAAAzE2MAgAAAABMAkAAAABMQoAAAABMAsAAAAKOTExMTA2MzE5NwwAAAACMTINAAAACTYvMjEvMjAwOOvYVLuT</t>
  </si>
  <si>
    <t>c9UI+xGNrpdz1QgfQ0lRLl5TUFguSVFfUFRCVi4yMDAwLjcvMzAvMjAxNAEAAACbuCgAAgAAAAg1LjMyMTg5NADb17m3k3PVCDv+N0uXc9UILkNJUS5OQVNEQVFHUzpJTlRDLklRX1BFX0VYQ0xfRldELjYwMDAuNi80LzIwMTABAAAAh1IAAAIAAAAQMTEuMDY2Nzg2NDMxMzY0MwENAAAABQAAAAE5AQAAAAcyNjIxMjk1AgAAAAcxNzU3MTYyAwAAAAYxMDAzMDkEAAAAATIGAAAAATAHAAAAAzE2MAgAAAABMAkAAAABMQoAAAABMAsAAAAKODg2Mzg0NDIwOAwAAAACMTINAAAACDYvNS8yMDEwK+2yvZNz1QhLTlJJl3PVCDZDSVEuTmFzZGFxR1M6SU5UQy5JUV9URVZfVE9UQUxfUkVWX0ZXRC42MDAwLjExLzI4LzIwMDMBAAAAh1IAAAIAAAAQNi4xNDgyNzE3Njc0MjMyMwENAAAABQAAAAE5AQAAAAcyNjIxMjk1AgAAAAcxNzU3MTQzAwAAAAYxMDAzMDcEAAAAATIGAAAAATAHAAAAAzE2MAgAAAABMAkAAAABMQoAAAABMAsAAAAKOTExMTA2MzMyMQwAAAACMTINAAAACjExLzI5LzIwMDO7TLS9k3PVCMsVUUmXc9UILUNJUS5eU1BYLklRX1RFVl9FQklUREFfRldEX0NJUS42MDAwLjEvMjIvMjAxNAEAAACbuCgAAgAAAAg4Ljg3MzA0OQDbuK+9k3PVCAtrPEuXc9UIMENJUS5OQVNEQVFHUzpJTlRDLklRX1BFX0VYQ0xfRldELjYwMDAuMTIvMTQvMjAwMQEAAACHUgAAAgAAABA2Mi40OTA2MDg1NjQ5ODg3AQ0AAAAF</t>
  </si>
  <si>
    <t>AAAAATkBAAAABzI2MjEyOTUCAAAABzM0MjExNjIDAAAABjEwMDMwOQQAAAABMgYAAAABMAcAAAADMTYwCAAAAAEwCQAAAAExCgAAAAEwCwAAAAo3MTE1ODQxNzUzDAAAAAIxMg0AAAAKMTIvMTUvMjAwMYvXs72Tc9UIKwBSSZdz1Qg1Q0lRLk5hc2RhcUdTOklOVEMuSVFfVEVWX1RPVEFMX1JFVl9GV0QuNjAwMC41LzI5LzIwMDkBAAAAh1IAAAIAAAAQMi41MzY5NTY0Mjk1ODUwOAENAAAABQAAAAE5AQAAAAcyNjIxMjk1AgAAAAcxNzU3MTU5AwAAAAYxMDAzMDcEAAAAATIGAAAAATAHAAAAAzE2MAgAAAABMAkAAAABMQoAAAABMAsAAAAKNDg5MzkwNDg2NAwAAAACMTINAAAACTUvMzAvMjAwOXs4VruTc9UIq8dQSZdz1Qg1Q0lRLk5hc2RhcUdTOklOVEMuSVFfVEVWX0VCSVREQV9GV0RfQ0lRLjYwMDAuMi82LzIwMTUBAAAAh1IAAAIAAAAQNi40MDk3ODg0MjEzMzE3OQENAAAABQAAAAE5AQAAAAcyNjIxMjk1AgAAAAoxMDAwMDk0MDcxAwAAAAYxMDAzMDgEAAAAATIGAAAAATAHAAAAAzE2MAgAAAABMAkAAAABMQoAAAABMAsAAAAKODU3NTI2MjI3MQwAAAACMTINAAAACDIvNy8yMDE1i9ezvZNz1QgLqo+ul3PVCCRDSVEuXlNQWC5JUV9MQVNUU0FMRVBSSUNFLjEwLzE5LzIwMTYBAAAAm7goAAIAAAAQMjE0NC4yOTAyODkxMjk5NwDLka+9k3PVCJt+IEuXc9UIKENJUS5OQVNEQVFHUzpJTlRDLklRX1BUQlYu</t>
  </si>
  <si>
    <t>MjAwMC41LzExLzIwMTIBAAAAh1IAAAIAAAAINC40MTc5MDUBBwAAAAUAAAABMQEAAAAKMTU0NTE1NjQzOAMAAAABMAIAAAAGMTAwMDI5BAAAAAEwBwAAAAk1LzExLzIwMTIIAAAACTUvMTEvMjAxMtvXubeTc9UIe3BLSZdz1QgsQ0lRLk5BU0RBUUdTOklOVEMuSVFfTEFTVFNBTEVQUklDRS4yLzEyLzIwMTQBAAAAh1IAAAIAAAAFMjQuNTUA26qItpNz1QjLzjtLl3PVCDBDSVEuTkFTREFRR1M6SU5UQy5JUV9QUklDRV9TQUxFUy4yMDAwLjEyLzI0LzIwMTQBAAAAh1IAAAIAAAAIMy4zNzIwMDMBBwAAAAUAAAABMQEAAAAKMTcwMzY4MTg5NAMAAAABMAIAAAAFMzg5NTgEAAAAATAHAAAACjEyLzI0LzIwMTQIAAAACjEyLzI0LzIwMTQLtlK7k3PVCCtmNUuXc9UIJ0NJUS5OQVNEQVFHUzpJTlRDLklRX1BUQlYuMjAwMC40LzkvMjAxMAEAAACHUgAAAgAAAAgzLjQyMTUyOAEHAAAABQAAAAExAQAAAAoxMzI4ODg4NzA0AwAAAAEwAgAAAAYxMDAwMjkEAAAAATAHAAAACDQvOS8yMDEwCAAAAAg0LzkvMjAxMPuOUruTc9UISzBXSZdz1QgtQ0lRLl5TUFguSVFfVEVWX1RPVEFMX1JFVl9GV0QuNjAwMC4xMS8xMi8yMDE0AQAAAJu4KAACAAAACDEuOTI5Njc4ANu4r72Tc9UIi1A2S5dz1Qg2Q0lRLk5hc2RhcUdTOklOVEMuSVFfVEVWX0VCSVREQV9GV0RfQ0lRLjYwMDAuOC8xMi8yMDExAQAAAIdSAAACAAAAEDQuMTc3</t>
  </si>
  <si>
    <t>MzY4NTQyODQ5NjEBDQAAAAUAAAABOQEAAAAHMjYyMTI5NQIAAAAHMTc1NzE2NgMAAAAGMTAwMzA4BAAAAAEyBgAAAAEwBwAAAAMxNjAIAAAAATAJAAAAATEKAAAAATALAAAACjgxNzA3MDU0MTQMAAAAAjEyDQAAAAk4LzEzLzIwMTHLULG7k3PVCJuYjq6Xc9UILUNJUS5OQVNEQVFHUzpJTlRDLklRX0xBU1RTQUxFUFJJQ0UuMTIvMTYvMjAxNQEAAACHUgAAAgAAAAQzNS4zANvXubeTc9UI63YtS5dz1Qg1Q0lRLk5hc2RhcUdTOklOVEMuSVFfVEVWX1RPVEFMX1JFVl9GV0QuNjAwMC40LzE5LzIwMDIBAAAAh1IAAAIAAAAQNi41MzU0NDM5NjE3MDEzMwENAAAABQAAAAE5AQAAAAcyNjIxMjk1AgAAAAcxNzU3MTM4AwAAAAYxMDAzMDcEAAAAATIGAAAAATAHAAAAAzE2MAgAAAABMAkAAAABMQoAAAABMAsAAAAKMTE2OTEyNTM3MAwAAAACMTINAAAACTQvMjAvMjAwMovXs72Tc9UIiz1aSZdz1QgiQ0lRLl5TUFguSVFfTEFTVFNBTEVQUklDRS44LzkvMjAxNwEAAACbuCgAAgAAABAyNDc0LjAxNzA3OTgxMjUyAMuRr72Tc9UIC/H8Spdz1QgoQ0lRLk5BU0RBUUdTOklOVEMuSVFfUFRCVi4yMDAwLjEyLzYvMjAxMwEAAACHUgAAAgAAAAgzLjEyMDc3NwEHAAAABQAAAAExAQAAAAoxNjQyNDgzNzkyAwAAAAEwAgAAAAYxMDAwMjkEAAAAATAHAAAACTEyLzYvMjAxMwgAAAAJMTIvNi8yMDEzSxFVuZNz1QgLQU9Jl3PV</t>
  </si>
  <si>
    <t>CCxDSVEuXlNQWC5JUV9URVZfVE9UQUxfUkVWX0ZXRC42MDAwLjMvMTkvMjAxNAEAAACbuCgAAgAAAAgxLjgxNzUwNQDbuK+9k3PVCJtZO0uXc9UIMENJUS5OQVNEQVFHUzpJTlRDLklRX1BSSUNFX1NBTEVTLjIwMDAuMTIvMTgvMjAxNQEAAACHUgAAAgAAAAgyLjkxODU3MQEHAAAABQAAAAExAQAAAAoxNzYxNzA2ODI3AwAAAAEwAgAAAAUzODk1OAQAAAABMAcAAAAKMTIvMTgvMjAxNQgAAAAKMTIvMTgvMjAxNYvEZrmTc9UIi+pSSZdz1QgvQ0lRLk5BU0RBUUdTOklOVEMuSVFfUEVfRVhDTF9GV0QuNjAwMC4zLzI4LzIwMTQBAAAAh1IAAAIAAAAQMTMuODQ3MzAxMzQzNjUzMQENAAAABQAAAAE5AQAAAAcyNjIxMjk1AgAAAAc0NDU2NDIxAwAAAAYxMDAzMDkEAAAAATIGAAAAATAHAAAAAzE2MAgAAAABMAkAAAABMQoAAAABMAsAAAAKNjUyODk3OTYwMAwAAAACMTINAAAACTMvMjkvMjAxNPt3sr2Tc9UI67ZYSZdz1Qg1Q0lRLk5BU0RBUUdTOklOVEMuSVFfVEVWX0VCSVREQV9GV0RfQ0lRLjYwMDAuMy82LzIwMTUBAAAAh1IAAAIAAAAPNi4yNTI0Mjg0NzgwODQ5AQ0AAAAFAAAAATkBAAAABzI2MjEyOTUCAAAACjEwMDAwOTQwNzEDAAAABjEwMDMwOAQAAAABMgYAAAABMAcAAAADMTYwCAAAAAEwCQAAAAExCgAAAAEwCwAAAAo4NjM4OTExNjMyDAAAAAIxMg0AAAAIMy83LzIwMTVroFO7k3PVCFv8ja6Xc9UI</t>
  </si>
  <si>
    <t>LkNJUS5OQVNEQVFHUzpJTlRDLklRX1BSSUNFX1NBTEVTLjIwMDAuNS8yLzIwMTQBAAAAh1IAAAIAAAAIMi40ODQ4NjIBBwAAAAUAAAABMQEAAAAKMTY3MzM3OTMyNwMAAAABMAIAAAAFMzg5NTgEAAAAATAHAAAACDUvMi8yMDE0CAAAAAg1LzIvMjAxNLtqr72Tc9UIy2hYSZdz1Qg1Q0lRLk5hc2RhcUdTOklOVEMuSVFfVEVWX1RPVEFMX1JFVl9GV0QuNjAwMC43LzI4LzIwMTcBAAAAh1IAAAIAAAAQMi43Nzk1NDgzODA0NTEwNgENAAAABQAAAAE5AQAAAAcyNjIxMjk1AgAAAAgyNzUwMDE3MwMAAAAGMTAwMzA3BAAAAAEyBgAAAAEwBwAAAAMxNjAIAAAAATAJAAAAATEKAAAAATALAAAACzEwMzU4NDUyNzAyDAAAAAIxMg0AAAAJNy8yOS8yMDE362+8t5Nz1Qg7CVdJl3PVCCxDSVEuXlNQWC5JUV9URVZfVE9UQUxfUkVWX0ZXRC42MDAwLjkvMTYvMjAxNQEAAACbuCgAAgAAAAgxLjk1MTgzNQD7+Ii2k3PVCKtLL0uXc9UIL0NJUS5OQVNEQVFHUzpJTlRDLklRX1BSSUNFX1NBTEVTLjIwMDAuOC8xNS8yMDE0AQAAAIdSAAACAAAACDMuMTU0NDc1AQcAAAAFAAAAATEBAAAACjE2ODgwODA5OTIDAAAAATACAAAABTM4OTU4BAAAAAEwBwAAAAk4LzE1LzIwMTQIAAAACTgvMTUvMjAxNGt2ZrmTc9UIO5hUSZdz1Qg1Q0lRLk5hc2RhcUdTOklOVEMuSVFfVEVWX1RPVEFMX1JFVl9GV0QuNjAwMC42LzI4LzIwMTMBAAAA</t>
  </si>
  <si>
    <t>h1IAAAIAAAAQMi4xNDMyNTg0OTI1ODgzNgENAAAABQAAAAE5AQAAAAcyNjIxMjk1AgAAAAczODI5NzUxAwAAAAYxMDAzMDcEAAAAATIGAAAAATAHAAAAAzE2MAgAAAABMAkAAAABMQoAAAABMAsAAAAKODg2MjUzOTk3NwwAAAACMTINAAAACTYvMjkvMjAxM5v+s72Tc9UIG2hPSZdz1Qg0Q0lRLk5hc2RhcUdTOklOVEMuSVFfVEVWX1RPVEFMX1JFVl9GV0QuNjAwMC4yLzkvMjAwNwEAAACHUgAAAgAAABAyLjk3MDU0NjcyMTYwNTQ0AQ0AAAAFAAAAATkBAAAABzI2MjEyOTUCAAAABDE4ODIDAAAABjEwMDMwNwQAAAABMgYAAAABMAcAAAADMTYwCAAAAAEwCQAAAAExCgAAAAEwCwAAAAsxMDM3ODUxMzQ2OAwAAAACMTINAAAACTIvMTAvMjAwN+uesbuTc9UIe8NSSZdz1QgsQ0lRLk5BU0RBUUdTOklOVEMuSVFfTEFTVFNBTEVQUklDRS4zLzE2LzIwMTYBAAAAh1IAAAIAAAAFMzEuNjkAW09muZNz1QjrBStLl3PVCC9DSVEuTkFTREFRR1M6SU5UQy5JUV9QRV9FWENMX0ZXRC42MDAwLjUvMTMvMjAxMQEAAACHUgAAAgAAABAxMC4zMDc3ODAzNzA3NDU1AQ0AAAAFAAAAATkBAAAABzI2MjEyOTUCAAAABzE3NTcxNjUDAAAABjEwMDMwOQQAAAABMgYAAAABMAcAAAADMTYwCAAAAAEwCQAAAAExCgAAAAEwCwAAAAo4ODY0NDI4OTE3DAAAAAIxMg0AAAAJNS8xNC8yMDExG8ayvZNz1QhbyFlJl3PVCCdDSVEuTkFTREFR</t>
  </si>
  <si>
    <t>R1M6SU5UQy5JUV9QVEJWLjIwMDAuNS82LzIwMTYBAAAAh1IAAAIAAAAINC4yODEwNTQBBwAAAAUAAAABMQEAAAAKMTc4OTE5MzM0MwMAAAABMAIAAAAGMTAwMDI5BAAAAAEwBwAAAAg1LzYvMjAxNggAAAAINS82LzIwMTZrdma5k3PVCHs0VUmXc9UILkNJUS5OQVNEQVFHUzpJTlRDLklRX1BFX0VYQ0xfRldELjYwMDAuNC84LzIwMTYBAAAAh1IAAAIAAAAQMTMuMzM5OTEyNjEzNjYxMwENAAAABQAAAAE5AQAAAAcyNjIxMjk1AgAAAAoxMDAwOTE1NDAyAwAAAAYxMDAzMDkEAAAAATIGAAAAATAHAAAAAzE2MAgAAAABMAkAAAABMQoAAAABMAsAAAAKOTQwMTU2NzI4OAwAAAACMTINAAAACDQvOS8yMDE2u0y0vZNz1Qh7FlpJl3PVCCRDSVEuXlNQWC5JUV9MQVNUU0FMRVBSSUNFLjEyLzIwLzIwMTcBAAAAm7goAAIAAAAQMjY3OS4yNDgwODQ1MDQxMQArw1S5k3PVCJvGl0qXc9UIH0NJUS5eU1BYLklRX1BUQlYuMjAwMC4xMC80LzIwMTcBAAAAm7goAAIAAAAIOC45MjEzMjcAa2awu5Nz1QhbYfZKl3PVCCtDSVEuXlNQWC5JUV9URVZfVE9UQUxfUkVWX0ZXRC42MDAwLjEvMS8yMDE0AQAAAJu4KAACAAAACDEuODEwNzc0AGtfVbmTc9UIG5I8S5dz1QgvQ0lRLk5BU0RBUUdTOklOVEMuSVFfUFJJQ0VfU0FMRVMuMjAwMC4zLzE4LzIwMTYBAAAAh1IAAAIAAAAHMi43OTk1NAEHAAAABQAAAAExAQAAAAoxNzc1OTMz</t>
  </si>
  <si>
    <t>MTQwAwAAAAEwAgAAAAUzODk1OAQAAAABMAcAAAAJMy8xOC8yMDE2CAAAAAkzLzE4LzIwMTa7aq+9k3PVCNuPWEmXc9UIL0NJUS5OQVNEQVFHUzpJTlRDLklRX1BSSUNFX1NBTEVTLjIwMDAuNS8xNC8yMDE0AQAAAIdSAAACAAAACDIuNDc3MzM1AQcAAAAFAAAAATEBAAAACjE2NzMzNzkzMjcDAAAAATACAAAABTM4OTU4BAAAAAEwBwAAAAk1LzE0LzIwMTQIAAAACTUvMTQvMjAxNMuwubeTc9UIy105S5dz1Qg1Q0lRLk5BU0RBUUdTOklOVEMuSVFfVEVWX0VCSVREQV9GV0RfQ0lRLjYwMDAuMi80LzIwMDUBAAAAh1IAAAIAAAAQOC4zMTg0NDQ4MTA2NDM4MgENAAAABQAAAAE5AQAAAAcyNjIxMjk1AgAAAAQxODgwAwAAAAYxMDAzMDgEAAAAATIGAAAAATAHAAAAAzE2MAgAAAABMAkAAAABMQoAAAABMAsAAAAJMzYwNjY4MTY5DAAAAAIxMg0AAAAIMi81LzIwMDUrdVW7k3PVCPsRja6Xc9UIL0NJUS5OQVNEQVFHUzpJTlRDLklRX1BSSUNFX1NBTEVTLjIwMDAuOC8zMC8yMDEzAQAAAIdSAAACAAAACDIuMDg4NzgyAQcAAAAFAAAAATEBAAAACjE2Mjg0MzY4NDkDAAAAATACAAAABTM4OTU4BAAAAAEwBwAAAAk4LzMwLzIwMTMIAAAACTgvMzAvMjAxM7tqr72Tc9UIy2hYSZdz1QgjQ0lRLl5TUFguSVFfTEFTVFNBTEVQUklDRS43LzI0LzIwMTMBAAAAm7goAAIAAAAQMTY4NS45MzY1NzI3NjE0NADr/rm3k3PVCGtV</t>
  </si>
  <si>
    <t>PUuXc9UII0NJUS5eU1BYLklRX0xBU1RTQUxFUFJJQ0UuOS8xNC8yMDE2AQAAAJu4KAACAAAAEDIxMjUuNzY5NTQwNTkyNDMAy5GvvZNz1Qh7oSJLl3PVCDdDSVEuTkFTREFRR1M6SU5UQy5JUV9URVZfRUJJVERBX0ZXRF9DSVEuNjAwMC4xMS8zMC8yMDA3AQAAAIdSAAACAAAAEDguNDM2NzM2NDQ2NTkxNTIBDQAAAAUAAAABOQEAAAAHMjYyMTI5NQIAAAAHMTc1NzE1NQMAAAAGMTAwMzA4BAAAAAEyBgAAAAEwBwAAAAMxNjAIAAAAATAJAAAAATEKAAAAATALAAAACjExNjkxMzk1MzYMAAAAAjEyDQAAAAkxMi8xLzIwMDf7/1S7k3PVCNs0j66Xc9UIL0NJUS5OQVNEQVFHUzpJTlRDLklRX1BSSUNFX1NBTEVTLjIwMDAuMi8xMS8yMDExAQAAAIdSAAACAAAACDIuNzcwOTQyAQcAAAAFAAAAATEBAAAACjE0MTg5MjA5NzkDAAAAATACAAAABTM4OTU4BAAAAAEwBwAAAAkyLzExLzIwMTEIAAAACTIvMTEvMjAxMbtqr72Tc9UIu0FYSZdz1QgoQ0lRLk5BU0RBUUdTOklOVEMuSVFfUFRCVi4yMDAwLjcvMTUvMjAxMQEAAACHUgAAAgAAAAgzLjgwMDUwNwEHAAAABQAAAAExAQAAAAoxNDUyNDc1ODcyAwAAAAEwAgAAAAYxMDAwMjkEAAAAATAHAAAACTcvMTUvMjAxMQgAAAAJNy8xNS8yMDExu2qvvZNz1QjLaFhJl3PVCC9DSVEuTkFTREFRR1M6SU5UQy5JUV9QRV9FWENMX0ZXRC42MDAwLjUvMTgvMjAwNwEAAACHUgAA</t>
  </si>
  <si>
    <t>AgAAABAyMC40NjMzNTUyNjkwODg2AQ0AAAAFAAAAATkBAAAABzI2MjEyOTUCAAAABzE3NTcxNTMDAAAABjEwMDMwOQQAAAABMgYAAAABMAcAAAADMTYwCAAAAAEwCQAAAAExCgAAAAEwCwAAAAo4ODYzMzU4ODE4DAAAAAIxMg0AAAAJNS8xOS8yMDA3i9ezvZNz1QjbPFFJl3PVCDZDSVEuTmFzZGFxR1M6SU5UQy5JUV9URVZfVE9UQUxfUkVWX0ZXRC42MDAwLjExLzE0LzIwMDgBAAAAh1IAAAIAAAAQMS44OTEzODc2NTE4NDQyNAENAAAABQAAAAE5AQAAAAcyNjIxMjk1AgAAAAcxNzU3MTU4AwAAAAYxMDAzMDcEAAAAATIGAAAAATAHAAAAAzE2MAgAAAABMAkAAAABMQoAAAABMAsAAAAKODg2MzQzMjI4MgwAAAACMTINAAAACjExLzE1LzIwMDib/rO9k3PVCJugUEmXc9UIMENJUS5OQVNEQVFHUzpJTlRDLklRX1BFX0VYQ0xfRldELjYwMDAuMTAvMzEvMjAwOAEAAACHUgAAAgAAABAxMi43NzA2NTI0MzM2ODEyAQ0AAAAFAAAAATkBAAAABzI2MjEyOTUCAAAABzE3NTcxNTgDAAAABjEwMDMwOQQAAAABMgYAAAABMAcAAAADMTYwCAAAAAEwCQAAAAExCgAAAAEwCwAAAAo4ODY0NDg2NjA3DAAAAAIxMg0AAAAJMTEvMS8yMDA4m/6zvZNz1Qg7CVdJl3PVCChDSVEuTkFTREFRR1M6SU5UQy5JUV9QVEJWLjIwMDAuMi8yMS8yMDE0AQAAAIdSAAACAAAACDIuODQ3NzQ4AQcAAAAFAAAAATEBAAAACjE2NTgzNDI3ODAD</t>
  </si>
  <si>
    <t>AAAAATACAAAABjEwMDAyOQQAAAABMAcAAAAJMi8yMS8yMDE0CAAAAAkyLzIxLzIwMTSrQ6+9k3PVCHsWWkmXc9UILENJUS5OQVNEQVFHUzpJTlRDLklRX0xBU1RTQUxFUFJJQ0UuMi8yNy8yMDEzAQAAAIdSAAACAAAABTIwLjkzAMuRr72Tc9UIyz8+S5dz1Qg2Q0lRLk5hc2RhcUdTOklOVEMuSVFfVEVWX0VCSVREQV9GV0RfQ0lRLjYwMDAuOC8yNy8yMDA0AQAAAIdSAAACAAAAEDcuNTk5NTY5NTc2OTIzMTYBDQAAAAUAAAABOQEAAAAHMjYyMTI5NQIAAAAHMTc1NzE0NQMAAAAGMTAwMzA4BAAAAAEyBgAAAAEwBwAAAAMxNjAIAAAAATAJAAAAATEKAAAAATALAAAACjExNjkxMjkxMzkMAAAAAjEyDQAAAAk4LzI4LzIwMDSrrVa7k3PVCHu7kK6Xc9UINUNJUS5OQVNEQVFHUzpJTlRDLklRX1RFVl9FQklUREFfRldEX0NJUS42MDAwLjYvNS8yMDA5AQAAAIdSAAACAAAADzguNzgxNjI3MDk3NDEwNQENAAAABQAAAAE5AQAAAAcyNjIxMjk1AgAAAAcxNzU3MTU5AwAAAAYxMDAzMDgEAAAAATIGAAAAATAHAAAAAzE2MAgAAAABMAkAAAABMQoAAAABMAsAAAAKMTE2OTE0NTUxMgwAAAACMTINAAAACDYvNi8yMDA527FUu5Nz1Qj7go+ul3PVCC1DSVEuXlNQWC5JUV9URVZfRUJJVERBX0ZXRF9DSVEuNjAwMC4xMC81LzIwMTYBAAAAm7goAAIAAAAJMTAuMDc0ODM2AHuGVbmTc9UIe6EiS5dz1Qg0Q0lRLk5BU0RBUUdT</t>
  </si>
  <si>
    <t>OklOVEMuSVFfVEVWX1RPVEFMX1JFVl9GV0QuNjAwMC44LzUvMjAwNQEAAACHUgAAAgAAABAzLjcxODYwNjU5NzU1MDQxAQ0AAAAFAAAAATkBAAAABzI2MjEyOTUCAAAABzE3NTcxNDgDAAAABjEwMDMwNwQAAAABMgYAAAABMAcAAAADMTYwCAAAAAEwCQAAAAExCgAAAAEwCwAAAAoxMTY5MTMwNzUzDAAAAAIxMg0AAAAIOC82LzIwMDV7Xru3k3PVCHtwS0mXc9UIL0NJUS5OQVNEQVFHUzpJTlRDLklRX1BFX0VYQ0xfRldELjYwMDAuNy8xOC8yMDAzAQAAAIdSAAACAAAAEDMwLjcyODk3MTk2MjYxNjgBDQAAAAUAAAABOQEAAAAHMjYyMTI5NQIAAAAHMTc1NzE0MgMAAAAGMTAwMzA5BAAAAAEyBgAAAAEwBwAAAAMxNjAIAAAAATAJAAAAATEKAAAAATALAAAACjkwOTA2ODgyMDIMAAAAAjEyDQAAAAk3LzE5LzIwMDN7sLO9k3PVCMuGU0mXc9UINUNJUS5OYXNkYXFHUzpJTlRDLklRX1RFVl9FQklUREFfRldEX0NJUS42MDAwLjMvNC8yMDA1AQAAAIdSAAACAAAAEDguODU5NTg3MjUwODUxNzYBDQAAAAUAAAABOQEAAAAHMjYyMTI5NQIAAAAEMTg4MAMAAAAGMTAwMzA4BAAAAAEyBgAAAAEwBwAAAAMxNjAIAAAAATAJAAAAATEKAAAAATALAAAACTM2MDY2ODE3MQwAAAACMTINAAAACDMvNS8yMDA1m9uwu5Nz1Qi75o6ul3PVCC9DSVEuTkFTREFRR1M6SU5UQy5JUV9QRV9FWENMX0ZXRC42MDAwLjQvMTcvMjAxNQEA</t>
  </si>
  <si>
    <t>AACHUgAAAgAAABAxNC4zMDM5NjQ3NTc3MDkzAQ0AAAAFAAAAATkBAAAABzI2MjEyOTUCAAAABzgwNjgyNjADAAAABjEwMDMwOQQAAAABMgYAAAABMAcAAAADMTYwCAAAAAEwCQAAAAExCgAAAAEwCwAAAAo4ODgyOTQxMjA5DAAAAAIxMg0AAAAJNC8xOC8yMDE1i9ezvZNz1Qi70FVJl3PVCChDSVEuTkFTREFRR1M6SU5UQy5JUV9FUFNfTk9STV9FU1QuRlkyMDE4AQAAAIdSAAACAAAABjMuNTYzOAEOAAAABQAAAAEzAQAAAAcyNjIxMjk1AgAAAAoxMDAxNTI4NTI3AwAAAAYxMDAxNzMEAAAAATIGAAAAATAHAAAAAzE2MAgAAAABMAkAAAABMQoAAAABMAsAAAALMTA3MDQ2MzQyMDYMAAAAATENAAAACTIvMTUvMjAxOBAAAAAJMi8xNC8yMDE4a19VuZNz1QiLuz9Kl3PVCDBDSVEuTkFTREFRR1M6SU5UQy5JUV9QRV9FWENMX0ZXRC42MDAwLjEwLzIzLzIwMDkBAAAAh1IAAAIAAAAQMTMuMzc0ODA1NTk4NzU1OAENAAAABQAAAAE5AQAAAAcyNjIxMjk1AgAAAAcxNzU3MTYxAwAAAAYxMDAzMDkEAAAAATIGAAAAATAHAAAAAzE2MAgAAAABMAkAAAABMQoAAAABMAsAAAAKOTA5MDM3OTc3NgwAAAACMTINAAAACjEwLzI0LzIwMDk7FLO9k3PVCPtsVkmXc9UIMENJUS5OQVNEQVFHUzpJTlRDLklRX1BFX0VYQ0xfRldELjYwMDAuMTAvMTIvMjAxMgEAAACHUgAAAgAAABAxMC4yNTcwNDMyNjIzNDM2AQ0AAAAFAAAAATkB</t>
  </si>
  <si>
    <t>AAAABzI2MjEyOTUCAAAABzE3NTcxNjkDAAAABjEwMDMwOQQAAAABMgYAAAABMAcAAAADMTYwCAAAAAEwCQAAAAExCgAAAAEwCwAAAAo4ODYzNDM0NDY4DAAAAAIxMg0AAAAKMTAvMTMvMjAxMqsltL2Tc9UI+2xWSZdz1QgtQ0lRLl5TUFguSVFfVEVWX0VCSVREQV9GV0RfQ0lRLjYwMDAuNi8yMS8yMDE3AQAAAJu4KAACAAAACTEwLjU1NzUyNQB7hlW5k3PVCGuBDEuXc9UINkNJUS5OYXNkYXFHUzpJTlRDLklRX1RFVl9FQklUREFfRldEX0NJUS42MDAwLjgvMTcvMjAwNwEAAACHUgAAAgAAABA5LjExOTUzNzEyNzQzMTUxAQ0AAAAFAAAAATkBAAAABzI2MjEyOTUCAAAABzE3NTcxNTQDAAAABjEwMDMwOAQAAAABMgYAAAABMAcAAAADMTYwCAAAAAEwCQAAAAExCgAAAAEwCwAAAAo2NzMwODYzNjI1DAAAAAIxMg0AAAAJOC8xOC8yMDA3m9uwu5Nz1Qirv46ul3PVCDZDSVEuTmFzZGFxR1M6SU5UQy5JUV9URVZfRUJJVERBX0ZXRF9DSVEuNjAwMC44LzIxLzIwMTUBAAAAh1IAAAIAAAAQNS4zODkxODU2NTE0MzcwMQENAAAABQAAAAE5AQAAAAcyNjIxMjk1AgAAAAc4MDY4MjYxAwAAAAYxMDAzMDgEAAAAATIGAAAAATAHAAAAAzE2MAgAAAABMAkAAAABMQoAAAABMAsAAAAKODg5OTg0MjM0NgwAAAACMTINAAAACTgvMjIvMjAxNbvUVruTc9UIW/yNrpdz1Qg1Q0lRLk5BU0RBUUdTOklOVEMuSVFfVEVWX0VCSVRE</t>
  </si>
  <si>
    <t>QV9GV0RfQ0lRLjYwMDAuOS81LzIwMDgBAAAAh1IAAAIAAAAQNi41MTM0MTM5MjI1NDE0OAENAAAABQAAAAE5AQAAAAcyNjIxMjk1AgAAAAcxNzU3MTU3AwAAAAYxMDAzMDgEAAAAATIGAAAAATAHAAAAAzE2MAgAAAABMAkAAAABMQoAAAABMAsAAAAKOTExMTA2MzE5OQwAAAACMTINAAAACDkvNi8yMDA469hUu5Nz1QhLRpCul3PVCB9DSVEuXlNQWC5JUV9QVEJWLjIwMDAuMi8xNy8yMDE2AQAAAJu4KAACAAAACDYuMjgwNTExAGtmsLuTc9UIC1QrS5dz1Qg1Q0lRLk5hc2RhcUdTOklOVEMuSVFfVEVWX1RPVEFMX1JFVl9GV0QuNjAwMC40LzE1LzIwMTEBAAAAh1IAAAIAAAAQMS43NDU4NzA2NjMyMTQ4MgENAAAABQAAAAE5AQAAAAcyNjIxMjk1AgAAAAQxODg2AwAAAAYxMDAzMDcEAAAAATIGAAAAATAHAAAAAzE2MAgAAAABMAkAAAABMQoAAAABMAsAAAAKNTc0ODgxMjIyNQwAAAACMTINAAAACTQvMTYvMjAxMftwV7uTc9UIC0FPSZdz1QgoQ0lRLk5BU0RBUUdTOklOVEMuSVFfUFRCVi4yMDAwLjEwLzQvMjAxMwEAAACHUgAAAgAAAAgyLjk3MzA4OQEHAAAABQAAAAExAQAAAAoxNjI4NDM2ODQ5AwAAAAEwAgAAAAYxMDAwMjkEAAAAATAHAAAACTEwLzQvMjAxMwgAAAAJMTAvNC8yMDEzSxFVuZNz1Qjby05Jl3PVCCNDSVEuXlNQWC5JUV9MQVNUU0FMRVBSSUNFLjcvMzAvMjAxNAEAAACbuCgAAgAAABAxOTcw</t>
  </si>
  <si>
    <t>LjA2ODExMDA4NjU0ACvDVLmTc9UIG7A3S5dz1QgwQ0lRLk5BU0RBUUdTOklOVEMuSVFfUFJJQ0VfU0FMRVMuMjAwMC4xMS8yMC8yMDE1AQAAAIdSAAACAAAACDIuOTg3MDg2AQcAAAAFAAAAATEBAAAACjE3NjE3MDY4MjcDAAAAATACAAAABTM4OTU4BAAAAAEwBwAAAAoxMS8yMC8yMDE1CAAAAAoxMS8yMC8yMDE169GItpNz1Qg71EpJl3PVCDdDSVEuTkFTREFRR1M6SU5UQy5JUV9URVZfRUJJVERBX0ZXRF9DSVEuNjAwMC4xMi8yMy8yMDE2AQAAAIdSAAACAAAAEDcuODYxMjUwMzQyMzQ3NTIBDQAAAAUAAAABOQEAAAAHMjYyMTI5NQIAAAAIMjcwMDM2NTMDAAAABjEwMDMwOAQAAAABMgYAAAABMAcAAAADMTYwCAAAAAEwCQAAAAExCgAAAAEwCwAAAAo5ODkwODYxNTY1DAAAAAIxMg0AAAAKMTIvMjQvMjAxNktSU7uTc9UIi3GOrpdz1QgtQ0lRLl5TUFguSVFfVEVWX0VCSVREQV9GV0RfQ0lRLjYwMDAuMTIvNC8yMDEzAQAAAJu4KAACAAAACDguNTg2OTA5AHuGVbmTc9UIK7k8S5dz1Qg2Q0lRLk5BU0RBUUdTOklOVEMuSVFfVEVWX0VCSVREQV9GV0RfQ0lRLjYwMDAuMS8yMC8yMDA2AQAAAIdSAAACAAAAEDcuNjcwNjA2MDUyNzI4MDMBDQAAAAUAAAABOQEAAAAHMjYyMTI5NQIAAAAEMTg4MQMAAAAGMTAwMzA4BAAAAAEyBgAAAAEwBwAAAAMxNjAIAAAAATAJAAAAATEKAAAAATALAAAACTM2MDY3NTU5MAwA</t>
  </si>
  <si>
    <t>AAACMTINAAAACTEvMjEvMjAwNhtOVbuTc9UI+4KPrpdz1QgkQ0lRLl5TUFguSVFfTEFTVFNBTEVQUklDRS4xMS8xMi8yMDE0AQAAAJu4KAACAAAAEDIwMzguMjUyMjI4MjgyOTkAW09muZNz1QhrAjZLl3PVCC9DSVEuTkFTREFRR1M6SU5UQy5JUV9QRV9FWENMX0ZXRC42MDAwLjgvMTUvMjAwOAEAAACHUgAAAgAAABAxNy4yNzkyMDIyNzkyMDIzAQ0AAAAFAAAAATkBAAAABzI2MjEyOTUCAAAABzE3NTcxNTcDAAAABjEwMDMwOQQAAAABMgYAAAABMAcAAAADMTYwCAAAAAEwCQAAAAExCgAAAAEwCwAAAAo4ODYwOTcwOTk2DAAAAAIxMg0AAAAJOC8xNi8yMDA4OxSzvZNz1Qgrj09Jl3PVCCtDSVEuXlNQWC5JUV9URVZfVE9UQUxfUkVWX0ZXRC42MDAwLjIvMS8yMDE3AQAAAJu4KAACAAAABzIuMTE4MTYA6/65t5Nz1QgrixpLl3PVCC5DSVEuTkFTREFRR1M6SU5UQy5JUV9QUklDRV9TQUxFUy4yMDAwLjgvMi8yMDE3AQAAAIdSAAACAAAACDIuODA1OTkzAQcAAAAFAAAAATEBAAAACjE4NTA2MTg2NjQDAAAAATACAAAABTM4OTU4BAAAAAEwBwAAAAg4LzIvMjAxNwgAAAAIOC8yLzIwMTdLEVW5k3PVCGsuBUuXc9UIK0NJUS5OQVNEQVFHUzpJTlRDLklRX0xBU1RTQUxFUFJJQ0UuNi8zLzIwMTUBAAAAh1IAAAIAAAAFMzIuNzMAK8NUuZNz1Qh7RzFLl3PVCCxDSVEuXlNQWC5JUV9URVZfRUJJVERBX0ZXRF9DSVEu</t>
  </si>
  <si>
    <t>NjAwMC40LzkvMjAxNAEAAACbuCgAAgAAAAg4Ljk2MDI4NAD7+Ii2k3PVCFu9OkuXc9UINkNJUS5OYXNkYXFHUzpJTlRDLklRX1RFVl9UT1RBTF9SRVZfRldELjYwMDAuMTIvMjgvMjAxMgEAAACHUgAAAgAAABAxLjgxNTU4MDIwMTUwNDI4AQ0AAAAFAAAAATkBAAAABzI2MjEyOTUCAAAABzE3NTcxNzADAAAABjEwMDMwNwQAAAABMgYAAAABMAcAAAADMTYwCAAAAAEwCQAAAAExCgAAAAEwCwAAAAo4ODY0NDM0MzUxDAAAAAIxMg0AAAAKMTIvMjkvMjAxMuuXVrmTc9UIGyxZSZdz1QgoQ0lRLk5BU0RBUUdTOklOVEMuSVFfUFRCVi4yMDAwLjIvMTMvMjAxNQEAAACHUgAAAgAAAAg0LjAyMjQxOQEHAAAABQAAAAExAQAAAAoxNzE4ODU5MjkxAwAAAAEwAgAAAAYxMDAwMjkEAAAAATAHAAAACTIvMTMvMjAxNQgAAAAJMi8xMy8yMDE1u2qvvZNz1QjLaFhJl3PVCDZDSVEuTkFTREFRR1M6SU5UQy5JUV9URVZfRUJJVERBX0ZXRF9DSVEuNjAwMC43LzI0LzIwMDkBAAAAh1IAAAIAAAAQOC4yMDk2MDYxMzU2MDA3MwENAAAABQAAAAE5AQAAAAcyNjIxMjk1AgAAAAcxNzU3MTYwAwAAAAYxMDAzMDgEAAAAATIGAAAAATAHAAAAAzE2MAgAAAABMAkAAAABMQoAAAABMAsAAAAKODE3MjQwMzM0OQwAAAACMTINAAAACTcvMjUvMjAwOduxVLuTc9UIe7uQrpdz1QgmQ0lRLl5TUFguSVFfUEVfRVhDTF9GV0QuNjAwMC45LzE2</t>
  </si>
  <si>
    <t>LzIwMTUBAAAAm7goAAIAAAAJMTYuNDM1Mjg5ABvdUruTc9UIi/0uS5dz1QgvQ0lRLk5BU0RBUUdTOklOVEMuSVFfUEVfRVhDTF9GV0QuNjAwMC44LzE2LzIwMTMBAAAAh1IAAAIAAAAQMTEuMjEwODY1NTYxNjk0MwENAAAABQAAAAE5AQAAAAcyNjIxMjk1AgAAAAczODI5NzUyAwAAAAYxMDAzMDkEAAAAATIGAAAAATAHAAAAAzE2MAgAAAABMAkAAAABMQoAAAABMAsAAAAKNjk1NTQwMzc4NgwAAAACMTINAAAACTgvMTcvMjAxM5v+s72Tc9UIi+pSSZdz1QgnQ0lRLk5BU0RBUUdTOklOVEMuSVFfUFRCVi4yMDAwLjQvNC8yMDE0AQAAAIdSAAACAAAACDMuMDUwNjU5AQcAAAAFAAAAATEBAAAACjE2NTgzNDI3ODADAAAAATACAAAABjEwMDAyOQQAAAABMAcAAAAINC80LzIwMTQIAAAACDQvNC8yMDE0e51muZNz1Qjr1FNJl3PVCCVDSVEuXlNQWC5JUV9QRV9FWENMX0ZXRC42MDAwLjQvOS8yMDE0AQAAAJu4KAACAAAACTE1Ljg2OTIyOADr/rm3k3PVCPvSOUuXc9UIMENJUS5OQVNEQVFHUzpJTlRDLklRX1BSSUNFX1NBTEVTLjIwMDAuMTIvMjEvMjAxNgEAAACHUgAAAgAAAAgzLjAxNzE4OQEHAAAABQAAAAExAQAAAAoxODE1NTQ0NDUwAwAAAAEwAgAAAAUzODk1OAQAAAABMAcAAAAKMTIvMjEvMjAxNggAAAAKMTIvMjEvMjAxNnudZrmTc9UIOyMdS5dz1QgsQ0lRLl5TUFguSVFfVEVWX1RPVEFMX1JFVl9GV0Qu</t>
  </si>
  <si>
    <t>NjAwMC40LzEzLzIwMTYBAAAAm7goAAIAAAAIMi4wNjQzODgA69+vvZNz1QibQipLl3PVCCBDSVEuXlNQWC5JUV9QVEJWLjIwMDAuMTIvMTgvMjAxMwEAAACbuCgAAgAAAAg1LjMwNTczOQDLka+9k3PVCBuSPEuXc9UIN0NJUS5OYXNkYXFHUzpJTlRDLklRX1RFVl9FQklUREFfRldEX0NJUS42MDAwLjExLzExLzIwMTEBAAAAh1IAAAIAAAAQNC43MTE0NDE2MjM1MzAwOAENAAAABQAAAAE5AQAAAAcyNjIxMjk1AgAAAAcxNzU3MTY3AwAAAAYxMDAzMDgEAAAAATIGAAAAATAHAAAAAzE2MAgAAAABMAkAAAABMQoAAAABMAsAAAAKODE3MDcwODgxMgwAAAACMTINAAAACjExLzEyLzIwMTGb/rO9k3PVCAuqj66Xc9UILENJUS5eU1BYLklRX1RFVl9UT1RBTF9SRVZfRldELjYwMDAuMi8xNC8yMDE4AQAAAJu4KAACAAAACDIuMjkxNjgxAOv+ubeTc9UIaz3KSZdz1Qg2Q0lRLk5hc2RhcUdTOklOVEMuSVFfVEVWX0VCSVREQV9GV0RfQ0lRLjYwMDAuOC8yNS8yMDA2AQAAAIdSAAACAAAAEDEwLjMxNDU4OTc1NjM0MDEBDQAAAAUAAAABOQEAAAAHMjYyMTI5NQIAAAAHMTc1NzE1MQMAAAAGMTAwMzA4BAAAAAEyBgAAAAEwBwAAAAMxNjAIAAAAATAJAAAAATEKAAAAATALAAAACjExNjkxMzQ1NjAMAAAAAjEyDQAAAAk4LzI2LzIwMDb7cFe7k3PVCCv4j66Xc9UIN0NJUS5OYXNkYXFHUzpJTlRDLklRX1RFVl9FQklUREFf</t>
  </si>
  <si>
    <t>RldEX0NJUS42MDAwLjEwLzIyLzIwMDQBAAAAh1IAAAIAAAAQOC43NjU3NjQ2MjMyMDQ2MQENAAAABQAAAAE5AQAAAAcyNjIxMjk1AgAAAAcxNzU3MTQ2AwAAAAYxMDAzMDgEAAAAATIGAAAAATAHAAAAAzE2MAgAAAABMAkAAAABMQoAAAABMAsAAAAKMTE2OTEyOTY4MgwAAAACMTINAAAACjEwLzIzLzIwMDR7jbC7k3PVCCv4j66Xc9UIHkNJUS5eU1BYLklRX1BUQlYuMjAwMC41LzYvMjAxNQEAAACbuCgAAgAAAAg1LjkyNzg0MgDLka+9k3PVCLvjMUuXc9UIL0NJUS5OQVNEQVFHUzpJTlRDLklRX1BSSUNFX1NBTEVTLjIwMDAuNy8yOS8yMDE2AQAAAIdSAAACAAAACDIuOTEyMTgzAQcAAAAFAAAAATEBAAAACjE3OTk5NDYyMDgDAAAAATACAAAABTM4OTU4BAAAAAEwBwAAAAk3LzI5LzIwMTYIAAAACTcvMjkvMjAxNksRVbmTc9UIG2hPSZdz1QgvQ0lRLk5BU0RBUUdTOklOVEMuSVFfUEVfRVhDTF9GV0QuNjAwMC4zLzI0LzIwMTcBAAAAh1IAAAIAAAAQMTIuNTQ3NTA4MTYzMzc0NgENAAAABQAAAAE5AQAAAAcyNjIxMjk1AgAAAAoxMDAwOTQ0Mzg3AwAAAAYxMDAzMDkEAAAAATIGAAAAATAHAAAAAzE2MAgAAAABMAkAAAABMQoAAAABMAsAAAALMTAwNjc4NTc5NDIMAAAAAjEyDQAAAAkzLzI1LzIwMTfbKbK9k3PVCIt5UEmXc9UIL0NJUS5OQVNEQVFHUzpJTlRDLklRX1BSSUNFX1NBTEVTLjIwMDAuMi8yNy8y</t>
  </si>
  <si>
    <t>MDEzAQAAAIdSAAACAAAACDEuOTYwMzM2AQcAAAAFAAAAATEBAAAACjE1ODgxNTc0NjMDAAAAATACAAAABTM4OTU4BAAAAAEwBwAAAAkyLzI3LzIwMTMIAAAACTIvMjcvMjAxMzvxr7uTc9UIyz8+S5dz1Qg1Q0lRLk5hc2RhcUdTOklOVEMuSVFfVEVWX1RPVEFMX1JFVl9GV0QuNjAwMC45LzE5LzIwMDMBAAAAh1IAAAIAAAAQNS42MDM2OTQ2NTc1ODMyNQENAAAABQAAAAE5AQAAAAcyNjIxMjk1AgAAAAcxNzU3MTQyAwAAAAYxMDAzMDcEAAAAATIGAAAAATAHAAAAAzE2MAgAAAABMAkAAAABMQoAAAABMAsAAAAKMTE2OTEyNzE2MAwAAAACMTINAAAACTkvMjAvMjAwM+uXVrmTc9UIOydSSZdz1QgkQ0lRLl5TUFguSVFfTEFTVFNBTEVQUklDRS4xMS8yNy8yMDEzAQAAAJu4KAACAAAAEDE4MDcuMjMzMzQwODUwODUA6/65t5Nz1QgbkjxLl3PVCCdDSVEuXlNQWC5JUV9QRV9FWENMX0ZXRC42MDAwLjExLzE2LzIwMTYBAAAAm7goAAIAAAAJMTcuMjA3NjQ2AKsSZ7mTc9UIqzQeS5dz1Qg3Q0lRLk5BU0RBUUdTOklOVEMuSVFfVEVWX0VCSVREQV9GV0RfQ0lRLjYwMDAuMTIvMTYvMjAxMQEAAACHUgAAAgAAABA0LjczMzAwNjczNTk3OTI3AQ0AAAAFAAAAATkBAAAABzI2MjEyOTUCAAAABzE3NTcxNjcDAAAABjEwMDMwOAQAAAABMgYAAAABMAcAAAADMTYwCAAAAAEwCQAAAAExCgAAAAEwCwAAAAo4MTcxMTk3MzI2</t>
  </si>
  <si>
    <t>DAAAAAIxMg0AAAAKMTIvMTcvMjAxMas8VLuTc9UIayOOrpdz1Qg1Q0lRLk5hc2RhcUdTOklOVEMuSVFfVEVWX1RPVEFMX1JFVl9GV0QuNjAwMC4xLzEwLzIwMTQBAAAAh1IAAAIAAAAQMi4yOTI1ODIyODA1MzAwNwENAAAABQAAAAE5AQAAAAcyNjIxMjk1AgAAAAczODI5NzUzAwAAAAYxMDAzMDcEAAAAATIGAAAAATAHAAAAAzE2MAgAAAABMAkAAAABMQoAAAABMAsAAAAKODg2MjU0NTc0OQwAAAACMTINAAAACTEvMTEvMjAxNLspsbuTc9UIq8dQSZdz1QgvQ0lRLk5BU0RBUUdTOklOVEMuSVFfUFJJQ0VfU0FMRVMuMjAwMC4xMC83LzIwMTEBAAAAh1IAAAIAAAAIMi41MTcxNjIBBwAAAAUAAAABMQEAAAAKMTQ2NTYzMTA3MQMAAAABMAIAAAAFMzg5NTgEAAAAATAHAAAACTEwLzcvMjAxMQgAAAAJMTAvNy8yMDEx+45Su5Nz1QhbV1dJl3PVCCZDSVEuXlNQWC5JUV9QRV9FWENMX0ZXRC42MDAwLjQvMjQvMjAxMwEAAACbuCgAAgAAAAkxNC4wOTk0OTkA27ivvZNz1Qibyj1Ll3PVCCtDSVEuTkFTREFRR1M6SU5UQy5JUV9MQVNUU0FMRVBSSUNFLjkvMy8yMDE0AQAAAIdSAAACAAAABTM0LjU3AOv+ubeTc9UIC4k3S5dz1Qg1Q0lRLk5hc2RhcUdTOklOVEMuSVFfVEVWX1RPVEFMX1JFVl9GV0QuNjAwMC43LzI1LzIwMDgBAAAAh1IAAAIAAAAPMi43OTE3NDIxMDE2MDEzAQ0AAAAFAAAAATkBAAAABzI2MjEyOTUC</t>
  </si>
  <si>
    <t>AAAABzE3NTcxNTcDAAAABjEwMDMwNwQAAAABMgYAAAABMAcAAAADMTYwCAAAAAEwCQAAAAExCgAAAAEwCwAAAAo4ODYyMDI4ODc0DAAAAAIxMg0AAAAJNy8yNi8yMDA4y2BnuZNz1Qhbk01Jl3PVCChDSVEuTkFTREFRR1M6SU5UQy5JUV9QVEJWLjIwMDAuMS8xOC8yMDEzAQAAAIdSAAACAAAACDIuOTk0MjE0AQcAAAAFAAAAATEBAAAACjE1ODQ0ODYyNjADAAAAATACAAAABjEwMDAyOQQAAAABMAcAAAAJMS8xOC8yMDEzCAAAAAkxLzE4LzIwMTNbT2a5k3PVCJuCVUmXc9UIMENJUS5OQVNEQVFHUzpJTlRDLklRX1BSSUNFX1NBTEVTLjIwMDAuMTEvMzAvMjAxMgEAAACHUgAAAgAAAAgxLjgyODI0NwEHAAAABQAAAAExAQAAAAoxNTczODg3Nzk1AwAAAAEwAgAAAAUzODk1OAQAAAABMAcAAAAKMTEvMzAvMjAxMggAAAAKMTEvMzAvMjAxMjvqVLmTc9UIWwRQSZdz1QgwQ0lRLk5BU0RBUUdTOklOVEMuSVFfUEVfRVhDTF9GV0QuNjAwMC4xMi8yMS8yMDAxAQAAAIdSAAACAAAAEDYwLjg3NTI4MTc0MzA1MDMBDQAAAAUAAAABOQEAAAAHMjYyMTI5NQIAAAAHMzQyMTE2MgMAAAAGMTAwMzA5BAAAAAEyBgAAAAEwBwAAAAMxNjAIAAAAATAJAAAAATEKAAAAATALAAAACjcxMTU4NDE3NTMMAAAAAjEyDQAAAAoxMi8yMi8yMDAxqyW0vZNz1QgLslFJl3PVCCxDSVEuXlNQWC5JUV9URVZfVE9UQUxfUkVWX0ZXRC42MDAw</t>
  </si>
  <si>
    <t>LjkvMTAvMjAxNAEAAACbuCgAAgAAAAgxLjg3NjY3OAB7hlW5k3PVCAuJN0uXc9UINkNJUS5OQVNEQVFHUzpJTlRDLklRX1RFVl9FQklUREFfRldEX0NJUS42MDAwLjkvMjEvMjAxMgEAAACHUgAAAgAAABA1LjAzNDA0NzI2NzkxMjk1AQ0AAAAFAAAAATkBAAAABzI2MjEyOTUCAAAABzE3NTcxNjkDAAAABjEwMDMwOAQAAAABMgYAAAABMAcAAAADMTYwCAAAAAEwCQAAAAExCgAAAAEwCwAAAAo4NDYzMTU0MzQyDAAAAAIxMg0AAAAJOS8yMi8yMDEymxVUu5Nz1Qhb/I2ul3PVCChDSVEuTkFTREFRR1M6SU5UQy5JUV9QVEJWLjIwMDAuNC8xNS8yMDE2AQAAAIdSAAACAAAACDMuMjQ0MTgzAQcAAAAFAAAAATEBAAAACjE3NzU5MzMxNDADAAAAATACAAAABjEwMDAyOQQAAAABMAcAAAAJNC8xNS8yMDE2CAAAAAk0LzE1LzIwMTY76lS5k3PVCFsEUEmXc9UIMENJUS5OQVNEQVFHUzpJTlRDLklRX1BSSUNFX1NBTEVTLjIwMDAuMTEvMTMvMjAxMwEAAACHUgAAAgAAAAgyLjMzNDYwNQEHAAAABQAAAAExAQAAAAoxNjQyNDgzNzkyAwAAAAEwAgAAAAUzODk1OAQAAAABMAcAAAAKMTEvMTMvMjAxMwgAAAAKMTEvMTMvMjAxMzvxr7uTc9UIK7k8S5dz1QgoQ0lRLk5BU0RBUUdTOklOVEMuSVFfUFRCVi4yMDAwLjcvMjIvMjAxMQEAAACHUgAAAgAAAAgzLjcyMzkyOAEHAAAABQAAAAExAQAAAAoxNDYyMzU0MTcyAwAAAAEw</t>
  </si>
  <si>
    <t>AgAAAAYxMDAwMjkEAAAAATAHAAAACTcvMjIvMjAxMQgAAAAJNy8yMi8yMDExa3ZmuZNz1QhLv1RJl3PVCCZDSVEuXlNQWC5JUV9QRV9FWENMX0ZXRC42MDAwLjcvMzEvMjAxMwEAAACbuCgAAgAAAAkxNC43NTc2MjgA27ivvZNz1QhbLj1Ll3PVCC5DSVEuXlNQWC5JUV9URVZfRUJJVERBX0ZXRF9DSVEuNjAwMC4xMC8yNi8yMDE2AQAAAJu4KAACAAAACDkuNzEwNzkzAGtmsLuTc9UI2xohS5dz1Qg2Q0lRLk5hc2RhcUdTOklOVEMuSVFfVEVWX1RPVEFMX1JFVl9GV0QuNjAwMC4xMC8xNy8yMDE0AQAAAIdSAAACAAAAEDIuNjYzOTI3Nzk3OTEzMDIBDQAAAAUAAAABOQEAAAAHMjYyMTI5NQIAAAAHNDQ1NjQyOQMAAAAGMTAwMzA3BAAAAAEyBgAAAAEwBwAAAAMxNjAIAAAAATAJAAAAATEKAAAAATALAAAACjg4NjQ0NDE3MzMMAAAAAjEyDQAAAAoxMC8xOC8yMDE0W8BouZNz1QjrtlhJl3PVCC9DSVEuTkFTREFRR1M6SU5UQy5JUV9QRV9FWENMX0ZXRC42MDAwLjIvMTEvMjAwNQEAAACHUgAAAgAAABAxOS41NzA4NTAyMDI0MjkxAQ0AAAAFAAAAATkBAAAABzI2MjEyOTUCAAAABDE4ODADAAAABjEwMDMwOQQAAAABMgYAAAABMAcAAAADMTYwCAAAAAEwCQAAAAExCgAAAAEwCwAAAAcxNTA5MDY4DAAAAAIxMg0AAAAJMi8xMi8yMDA1a4mzvZNz1QgLlFZJl3PVCDZDSVEuTmFzZGFxR1M6SU5UQy5JUV9URVZfRUJJ</t>
  </si>
  <si>
    <t>VERBX0ZXRF9DSVEuNjAwMC40LzE3LzIwMDMBAAAAh1IAAAIAAAAQOS45NDkzMTk2MjIwNjYxMQENAAAABQAAAAE5AQAAAAcyNjIxMjk1AgAAAAcxNzU3MTQxAwAAAAYxMDAzMDgEAAAAATIGAAAAATAHAAAAAzE2MAgAAAABMAkAAAABMQoAAAABMAsAAAAKMTE2OTEyNjk3OQwAAAACMTINAAAACTQvMTgvMjAwM+uesbuTc9UIC6qPrpdz1QgmQ0lRLl5TUFguSVFfUEVfRVhDTF9GV0QuNjAwMC42LzE3LzIwMTUBAAAAm7goAAIAAAAJMTcuMzgwNTMzACsEU7uTc9UIO6swS5dz1Qg0Q0lRLk5hc2RhcUdTOklOVEMuSVFfVEVWX1RPVEFMX1JFVl9GV0QuNjAwMC43LzYvMjAxMgEAAACHUgAAAgAAABAyLjEyNTM2MzA4MDY2ODg1AQ0AAAAFAAAAATkBAAAABzI2MjEyOTUCAAAABzE3NTcxNjgDAAAABjEwMDMwNwQAAAABMgYAAAABMAcAAAADMTYwCAAAAAEwCQAAAAExCgAAAAEwCwAAAAo4MTcwNzA3ODI1DAAAAAIxMg0AAAAINy83LzIwMTLL+1a7k3PVCHs0VUmXc9UINENJUS5OYXNkYXFHUzpJTlRDLklRX1RFVl9UT1RBTF9SRVZfRldELjYwMDAuNy83LzIwMTcBAAAAh1IAAAIAAAAQMi44MDc3NTAxMzU3NjE1MwENAAAABQAAAAE5AQAAAAcyNjIxMjk1AgAAAAgyNzUwMDE3MgMAAAAGMTAwMzA3BAAAAAEyBgAAAAEwBwAAAAMxNjAIAAAAATAJAAAAATEKAAAAATALAAAACzEwNTM4OTU0MjU4DAAAAAIxMg0AAAAI</t>
  </si>
  <si>
    <t>Ny84LzIwMTerrVa7k3PVCCuPT0mXc9UINkNJUS5OYXNkYXFHUzpJTlRDLklRX1RFVl9FQklUREFfRldEX0NJUS42MDAwLjcvMTEvMjAxNAEAAACHUgAAAgAAABA2LjM3NzAwODY4NTM5OTI0AQ0AAAAFAAAAATkBAAAABzI2MjEyOTUCAAAABzQ0NTY0MjcDAAAABjEwMDMwOAQAAAABMgYAAAABMAcAAAADMTYwCAAAAAEwCQAAAAExCgAAAAEwCwAAAAo4MTcwNzE1ODAzDAAAAAIxMg0AAAAJNy8xMi8yMDE0qyW0vZNz1QibmI6ul3PVCB9DSVEuXlNQWC5JUV9QVEJWLjIwMDAuOC8xNy8yMDE2AQAAAJu4KAACAAAACDcuNDU3MTgyANvXubeTc9UIq4clS5dz1QgvQ0lRLk5BU0RBUUdTOklOVEMuSVFfUFJJQ0VfU0FMRVMuMjAwMC42LzI0LzIwMTUBAAAAh1IAAAIAAAAIMi43NjUwODIBBwAAAAUAAAABMQEAAAAKMTczMDc2Mjc1NQMAAAABMAIAAAAFMzg5NTgEAAAAATAHAAAACTYvMjQvMjAxNQgAAAAJNi8yNC8yMDE1i8RmuZNz1QhL0jBLl3PVCDVDSVEuTmFzZGFxR1M6SU5UQy5JUV9URVZfVE9UQUxfUkVWX0ZXRC42MDAwLjEvMTYvMjAxNQEAAACHUgAAAgAAABAzLjAxNzExOTMzNTU3MDYyAQ0AAAAFAAAAATkBAAAABzI2MjEyOTUCAAAACjEwMDAwOTQwNzEDAAAABjEwMDMwNwQAAAABMgYAAAABMAcAAAADMTYwCAAAAAEwCQAAAAExCgAAAAEwCwAAAAo4NTE5NDY0NjA4DAAAAAIxMg0AAAAJMS8xNy8yMDE1</t>
  </si>
  <si>
    <t>i19Wu5Nz1QgrU1lJl3PVCC9DSVEuTkFTREFRR1M6SU5UQy5JUV9QRV9FWENMX0ZXRC42MDAwLjMvMjMvMjAwNwEAAACHUgAAAgAAABAxNy43MjMyODg2MDM1NjY3AQ0AAAAFAAAAATkBAAAABzI2MjEyOTUCAAAABDE4ODIDAAAABjEwMDMwOQQAAAABMgYAAAABMAcAAAADMTYwCAAAAAEwCQAAAAExCgAAAAEwCwAAAAsxMDM3ODUyMjg0OAwAAAACMTINAAAACTMvMjQvMjAwN1tis72Tc9UIC5RWSZdz1Qg1Q0lRLk5hc2RhcUdTOklOVEMuSVFfVEVWX1RPVEFMX1JFVl9GV0QuNjAwMC4zLzE0LzIwMDMBAAAAh1IAAAIAAAAQMy41Nzc2NzI4OTE1MDA3MgENAAAABQAAAAE5AQAAAAcyNjIxMjk1AgAAAAQxODc4AwAAAAYxMDAzMDcEAAAAATIGAAAAATAHAAAAAzE2MAgAAAABMAkAAAABMQoAAAABMAsAAAAJMzYwNjU2NDQxDAAAAAIxMg0AAAAJMy8xNS8yMDAzyyG8t5Nz1Qgb2VFJl3PVCC9DSVEuTkFTREFRR1M6SU5UQy5JUV9QUklDRV9TQUxFUy4yMDAwLjQvMTYvMjAxNAEAAACHUgAAAgAAAAgyLjUzMzc4OAEHAAAABQAAAAExAQAAAAoxNjY5MDI0NTYyAwAAAAEwAgAAAAUzODk1OAQAAAABMAcAAAAJNC8xNi8yMDE0CAAAAAk0LzE2LzIwMTR7nWa5k3PVCBshOkuXc9UIHkNJUS5eU1BYLklRX1BUQlYuMjAwMC42LzQvMjAxNAEAAACbuCgAAgAAAAg1LjM4MjYwMQC7aq+9k3PVCKsPOUuXc9UINUNJUS5OQVNE</t>
  </si>
  <si>
    <t>QVFHUzpJTlRDLklRX1RFVl9FQklUREFfRldEX0NJUS42MDAwLjgvNS8yMDE2AQAAAIdSAAACAAAAEDcuNTM0Nzk0NTU3NzExOTgBDQAAAAUAAAABOQEAAAAHMjYyMTI5NQIAAAAIMjcwMDM2NTIDAAAABjEwMDMwOAQAAAABMgYAAAABMAcAAAADMTYwCAAAAAEwCQAAAAExCgAAAAEwCwAAAAo5NjYyNjEwNTkzDAAAAAIxMg0AAAAIOC82LzIwMTZbeVO7k3PVCNvDjK6Xc9UILENJUS5eU1BYLklRX1RFVl9UT1RBTF9SRVZfRldELjYwMDAuMTEvNC8yMDE1AQAAAJu4KAACAAAACDIuMDYwMTEyAHuGVbmTc9UIW4guS5dz1Qg1Q0lRLk5hc2RhcUdTOklOVEMuSVFfVEVWX1RPVEFMX1JFVl9GV0QuNjAwMC4zLzI1LzIwMTEBAAAAh1IAAAIAAAAOMS44NDU4NzU4ODY4MDMBDQAAAAUAAAABOQEAAAAHMjYyMTI5NQIAAAAEMTg4NgMAAAAGMTAwMzA3BAAAAAEyBgAAAAEwBwAAAAMxNjAIAAAAATAJAAAAATEKAAAAATALAAAACjU3NDg4MTIyMDUMAAAAAjEyDQAAAAkzLzI2LzIwMTG7Ila5k3PVCPvdWEmXc9UIH0NJUS5eU1BYLklRX1BUQlYuMjAwMC4yLzIwLzIwMTMBAAAAm7goAAIAAAAINC42NTE1ODYAi8RmuZNz1QjbZj5Ll3PVCDBDSVEuTkFTREFRR1M6SU5UQy5JUV9QRV9FWENMX0ZXRC42MDAwLjExLzE0LzIwMDMBAAAAh1IAAAIAAAAQMjkuNzA0NzYzNjI5Nzc3MgENAAAABQAAAAE5AQAAAAcyNjIxMjk1AgAA</t>
  </si>
  <si>
    <t>AAcxNzU3MTQzAwAAAAYxMDAzMDkEAAAAATIGAAAAATAHAAAAAzE2MAgAAAABMAkAAAABMQoAAAABMAsAAAAKODg2NDQ1Mjg2NAwAAAACMTINAAAACjExLzE1LzIwMDOrJbS9k3PVCJvzV0mXc9UINkNJUS5OYXNkYXFHUzpJTlRDLklRX1RFVl9FQklUREFfRldEX0NJUS42MDAwLjEvMTkvMjAxOAEAAACHUgAAAgAAABA4LjI5MTc0NjIwNDM0MDA1AQ0AAAAFAAAAATkBAAAABzI2MjEyOTUCAAAACDI3NTAwMTc0AwAAAAYxMDAzMDgEAAAAATIGAAAAATAHAAAAAzE2MAgAAAABMAkAAAABMQoAAAABMAsAAAALMTA3MDIyMDU2NTQMAAAAAjEyDQAAAAkxLzIwLzIwMTjrSVe7k3PVCItxjq6Xc9UINUNJUS5OQVNEQVFHUzpJTlRDLklRX1RFVl9FQklUREFfRldEX0NJUS42MDAwLjEvOS8yMDE1AQAAAIdSAAACAAAAEDcuMDQxNDM2ODk0MDc0NzkBDQAAAAUAAAABOQEAAAAHMjYyMTI5NQIAAAAHNDQ1NjQyOQMAAAAGMTAwMzA4BAAAAAEyBgAAAAEwBwAAAAMxNjAIAAAAATAJAAAAATEKAAAAATALAAAACjg2NDg3OTYyMzYMAAAAAjEyDQAAAAkxLzEwLzIwMTVroFO7k3PVCFv8ja6Xc9UINkNJUS5OQVNEQVFHUzpJTlRDLklRX1RFVl9FQklUREFfRldEX0NJUS42MDAwLjIvMjYvMjAxNgEAAACHUgAAAgAAABA2LjAyMjQ0NDE2MjQ4OTM0AQ0AAAAFAAAAATkBAAAABzI2MjEyOTUCAAAACjEwMDA5MTU0MDIDAAAABjEw</t>
  </si>
  <si>
    <t>MDMwOAQAAAABMgYAAAABMAcAAAADMTYwCAAAAAEwCQAAAAExCgAAAAEwCwAAAAo5Mjk4MTY4MjkyDAAAAAIxMg0AAAAJMi8yNy8yMDE2W3lTu5Nz1QjrW4+ul3PVCCtDSVEuXlNQWC5JUV9URVZfVE9UQUxfUkVWX0ZXRC42MDAwLjEvMy8yMDE4AQAAAJu4KAACAAAACDIuMzY2NDI2AKsSZ7mTc9UIi9SjSpdz1QgwQ0lRLk5BU0RBUUdTOklOVEMuSVFfUEVfRVhDTF9GV0QuNjAwMC4xMS8yNS8yMDExAQAAAIdSAAACAAAAEDguNzM4NjEwNTg3ODI4MjMBDQAAAAUAAAABOQEAAAAHMjYyMTI5NQIAAAAHMTc1NzE2NwMAAAAGMTAwMzA5BAAAAAEyBgAAAAEwBwAAAAMxNjAIAAAAATAJAAAAATEKAAAAATALAAAACjg4NjQ0MzExMjQMAAAAAjEyDQAAAAoxMS8yNi8yMDExG8ayvZNz1QgrAFJJl3PVCChDSVEuTkFTREFRR1M6SU5UQy5JUV9QVEJWLjIwMDAuMi8xOC8yMDExAQAAAIdSAAACAAAACDIuNzcwNTc5AQcAAAAFAAAAATEBAAAACjE0MzA2MjQ1MDkDAAAAATACAAAABjEwMDAyOQQAAAABMAcAAAAJMi8xOC8yMDExCAAAAAkyLzE4LzIwMTELtlK7k3PVCNseVkmXc9UINkNJUS5OQVNEQVFHUzpJTlRDLklRX1RFVl9FQklUREFfRldEX0NJUS42MDAwLjkvMjcvMjAwMgEAAACHUgAAAgAAAA84LjI1MzE5NjYyMDE4MTcBDQAAAAUAAAABOQEAAAAHMjYyMTI5NQIAAAAHMTc1NzEzOQMAAAAGMTAwMzA4BAAAAAEy</t>
  </si>
  <si>
    <t>BgAAAAEwBwAAAAMxNjAIAAAAATAJAAAAATEKAAAAATALAAAACjExNjkxMjYwNDcMAAAAAjEyDQAAAAk5LzI4LzIwMDJb6lW7k3PVCBvRj66Xc9UIL0NJUS5OQVNEQVFHUzpJTlRDLklRX1BSSUNFX1NBTEVTLjIwMDAuOC8xMi8yMDE1AQAAAIdSAAACAAAACDIuNTUyNzA5AQcAAAAFAAAAATEBAAAACjE3NDczNTk1MTIDAAAAATACAAAABTM4OTU4BAAAAAEwBwAAAAk4LzEyLzIwMTUIAAAACTgvMTIvMjAxNatDr72Tc9UI6+cvS5dz1QgsQ0lRLl5TUFguSVFfVEVWX1RPVEFMX1JFVl9GV0QuNjAwMC45LzMwLzIwMTUBAAAAm7goAAIAAAAIMS44OTUzNjkAqxJnuZNz1QibJC9Ll3PVCChDSVEuTkFTREFRR1M6SU5UQy5JUV9QVEJWLjIwMDAuMy8yOC8yMDEzAQAAAIdSAAACAAAABzMuMDYxNzgBBwAAAAUAAAABMQEAAAAKMTU4ODE1NzQ2MwMAAAABMAIAAAAGMTAwMDI5BAAAAAEwBwAAAAkzLzI4LzIwMTMIAAAACTMvMjgvMjAxM/uOUruTc9UIe6VXSZdz1QgvQ0lRLk5BU0RBUUdTOklOVEMuSVFfUFJJQ0VfU0FMRVMuMjAwMC41LzIzLzIwMTQBAAAAh1IAAAIAAAAIMi40NzM0NzgBBwAAAAUAAAABMQEAAAAKMTY3MzM3OTMyNwMAAAABMAIAAAAFMzg5NTgEAAAAATAHAAAACTUvMjMvMjAxNAgAAAAJNS8yMy8yMDE0O/Gvu5Nz1QhLTlJJl3PVCB9DSVEuXlNQWC5JUV9QVEJWLjIwMDAuMTAvMi8yMDEzAQAAAJu4</t>
  </si>
  <si>
    <t>KAACAAAACDUuMTE4NzM1AIvEZrmTc9UISwc9S5dz1Qg2Q0lRLk5hc2RhcUdTOklOVEMuSVFfVEVWX0VCSVREQV9GV0RfQ0lRLjYwMDAuMi8xMC8yMDE3AQAAAIdSAAACAAAAEDcuMTc2NDAwMDM0MTQ0MTkBDQAAAAUAAAABOQEAAAAHMjYyMTI5NQIAAAAKMTAwMDk0NDM4NwMAAAAGMTAwMzA4BAAAAAEyBgAAAAEwBwAAAAMxNjAIAAAAATAJAAAAATEKAAAAATALAAAACjk5ODU2Mjc0MzkMAAAAAjEyDQAAAAkyLzExLzIwMTf7cFe7k3PVCMsNj66Xc9UINkNJUS5OYXNkYXFHUzpJTlRDLklRX1RFVl9UT1RBTF9SRVZfRldELjYwMDAuMTIvMjMvMjAxMAEAAACHUgAAAgAAABAyLjIxNjQ5ODI1NzI3MTc0AQ0AAAAFAAAAATkBAAAABzI2MjEyOTUCAAAABzE3NTcxNjQDAAAABjEwMDMwNwQAAAABMgYAAAABMAcAAAADMTYwCAAAAAEwCQAAAAExCgAAAAEwCwAAAAo4ODY0NDIxMTEyDAAAAAIxMg0AAAAKMTIvMjQvMjAxMMtJVrmTc9UIS2xNSZdz1QgiQ0lRLl5TUFguSVFfTEFTVFNBTEVQUklDRS40LzkvMjAxNAEAAACbuCgAAgAAABAxODcyLjE3ODc5Njk5MTc1AMuRr72Tc9UI+9I5S5dz1Qg1Q0lRLk5hc2RhcUdTOklOVEMuSVFfVEVWX1RPVEFMX1JFVl9GV0QuNjAwMC4yLzI0LzIwMTIBAAAAh1IAAAIAAAAQMi4yMjU5MDE4NDgyMTYwOAENAAAABQAAAAE5AQAAAAcyNjIxMjk1AgAAAAQxODg3AwAAAAYxMDAz</t>
  </si>
  <si>
    <t>MDcEAAAAATIGAAAAATAHAAAAAzE2MAgAAAABMAkAAAABMQoAAAABMAsAAAAKNTc0ODgyNzYzNgwAAAACMTINAAAACTIvMjUvMjAxMqsltL2Tc9UI60VWSZdz1QgwQ0lRLk5BU0RBUUdTOklOVEMuSVFfUEVfRVhDTF9GV0QuNjAwMC4xMi8yMS8yMDEyAQAAAIdSAAACAAAAEDEwLjYzODM1MjM3NDYwOTQBDQAAAAUAAAABOQEAAAAHMjYyMTI5NQIAAAAHMTc1NzE3MAMAAAAGMTAwMzA5BAAAAAEyBgAAAAEwBwAAAAMxNjAIAAAAATAJAAAAATEKAAAAATALAAAACjg4NjM0MzQ2MjkMAAAAAjEyDQAAAAoxMi8yMi8yMDEyC5+yvZNz1QirqVVJl3PVCDZDSVEuTmFzZGFxR1M6SU5UQy5JUV9URVZfVE9UQUxfUkVWX0ZXRC42MDAwLjEwLzI5LzIwMDQBAAAAh1IAAAIAAAAQMy42ODg2ODA5MzA1MjQ2MQENAAAABQAAAAE5AQAAAAcyNjIxMjk1AgAAAAcxNzU3MTQ2AwAAAAYxMDAzMDcEAAAAATIGAAAAATAHAAAAAzE2MAgAAAABMAkAAAABMQoAAAABMAsAAAAKMTE2OTEyOTI5NAwAAAACMTINAAAACjEwLzMwLzIwMDTLULG7k3PVCMsVUUmXc9UILkNJUS5OQVNEQVFHUzpJTlRDLklRX1BSSUNFX1NBTEVTLjIwMDAuNy85LzIwMTABAAAAh1IAAAIAAAAIMi45MzIyOTEBBwAAAAUAAAABMQEAAAAKMTM1NzY1OTEwMQMAAAABMAIAAAAFMzg5NTgEAAAAATAHAAAACDcvOS8yMDEwCAAAAAg3LzkvMjAxMGt2ZrmTc9UIezRV</t>
  </si>
  <si>
    <t>SZdz1QgkQ0lRLl5TUFguSVFfTEFTVFNBTEVQUklDRS4xMi8yNC8yMDE0AQAAAJu4KAACAAAAEDIwODEuODgxNTMwODkyODUAC7ZSu5Nz1QjbojRLl3PVCC9DSVEuTkFTREFRR1M6SU5UQy5JUV9QRV9FWENMX0ZXRC42MDAwLjEvMjQvMjAxOAEAAACHUgAAAgAAABAxNC4wNjA2MTcyOTUzOTM1AQ0AAAAFAAAAATkBAAAABzI2MjEyOTUCAAAACDI3NTAwMTc0AwAAAAYxMDAzMDkEAAAAATIGAAAAATAHAAAAAzE2MAgAAAABMAkAAAABMQoAAAABMAsAAAALMTA2OTg4MzQ1NzYMAAAAAjEyDQAAAAkxLzI1LzIwMTh7jbC7k3PVCHuNsLuTc9UILENJUS5OQVNEQVFHUzpJTlRDLklRX0xBU1RTQUxFUFJJQ0UuMy8yMi8yMDE3AQAAAIdSAAACAAAABTM1LjM3AMuRr72Tc9UI630XS5dz1Qg1Q0lRLk5BU0RBUUdTOklOVEMuSVFfVEVWX1RPVEFMX1JFVl9GV0QuNjAwMC4xLzE4LzIwMDIBAAAAh1IAAAIAAAAQNy40MjgxNTkwNzkyMDMxNgENAAAABQAAAAE5AQAAAAcyNjIxMjk1AgAAAAQxODc3AwAAAAYxMDAzMDcEAAAAATIGAAAAATAHAAAAAzE2MAgAAAABMAkAAAABMQoAAAABMAsAAAAJMzYwNjU0NjMyDAAAAAIxMg0AAAAJMS8xOS8yMDAyq9O7t5Nz1QibEVNJl3PVCCtDSVEuXlNQWC5JUV9URVZfVE9UQUxfUkVWX0ZXRC42MDAwLjYvNC8yMDE0AQAAAJu4KAACAAAACDEuODQ2OTQ2ANu4r72Tc9UIqw85S5dz1Qgv</t>
  </si>
  <si>
    <t>Q0lRLk5BU0RBUUdTOklOVEMuSVFfUFJJQ0VfU0FMRVMuMjAwMC4zLzMxLzIwMTcBAAAAh1IAAAIAAAAIMi44NzI4NjkBBwAAAAUAAAABMQEAAAAKMTgyODE3NDEyMgMAAAABMAIAAAAFMzg5NTgEAAAAATAHAAAACTMvMzEvMjAxNwgAAAAJMy8zMS8yMDE3u2qvvZNz1Qjbj1hJl3PVCDZDSVEuTmFzZGFxR1M6SU5UQy5JUV9URVZfVE9UQUxfUkVWX0ZXRC42MDAwLjEwLzIzLzIwMTUBAAAAh1IAAAIAAAAQMi45MDU3NTIxOTUwMzAyOAENAAAABQAAAAE5AQAAAAcyNjIxMjk1AgAAAAc4MDY4MjYyAwAAAAYxMDAzMDcEAAAAATIGAAAAATAHAAAAAzE2MAgAAAABMAkAAAABMQoAAAABMAsAAAAKOTE1ODQ0MTYxNQwAAAACMTINAAAACjEwLzI0LzIwMTXrrme5k3PVCOu2WEmXc9UILUNJUS5OQVNEQVFHUzpJTlRDLklRX0xBU1RTQUxFUFJJQ0UuMTIvMzEvMjAxNAEAAACHUgAAAgAAAAUzNi4yOQA76lS5k3PVCBs/NUuXc9UIL0NJUS5OQVNEQVFHUzpJTlRDLklRX1BFX0VYQ0xfRldELjYwMDAuNS8xNS8yMDA5AQAAAIdSAAACAAAAEDI1LjQ2MDk0NTM1NzAyMzEBDQAAAAUAAAABOQEAAAAHMjYyMTI5NQIAAAAHMTc1NzE1OQMAAAAGMTAwMzA5BAAAAAEyBgAAAAEwBwAAAAMxNjAIAAAAATAJAAAAATEKAAAAATALAAAACjg4NjM2MTMzNDcMAAAAAjEyDQAAAAk1LzE2LzIwMDk7FLO9k3PVCDsJV0mXc9UIK0NJUS5e</t>
  </si>
  <si>
    <t>U1BYLklRX1RFVl9UT1RBTF9SRVZfRldELjYwMDAuNC8yLzIwMTQBAAAAm7goAAIAAAAIMS44NDU4MTQAa2awu5Nz1Qh7CztLl3PVCC9DSVEuTkFTREFRR1M6SU5UQy5JUV9QUklDRV9TQUxFUy4yMDAwLjMvMTMvMjAxNQEAAACHUgAAAgAAAAgyLjcxMzIyNQEHAAAABQAAAAExAQAAAAoxNzE4ODU5MjkxAwAAAAEwAgAAAAUzODk1OAQAAAABMAcAAAAJMy8xMy8yMDE1CAAAAAkzLzEzLzIwMTWrQ6+9k3PVCGvvWUmXc9UINkNJUS5OQVNEQVFHUzpJTlRDLklRX1RFVl9FQklUREFfRldEX0NJUS42MDAwLjUvMTIvMjAxNwEAAACHUgAAAgAAABA3LjA5NzQzNDQ4MjE2NTkxAQ0AAAAFAAAAATkBAAAABzI2MjEyOTUCAAAACDI3NTAwMTcyAwAAAAYxMDAzMDgEAAAAATIGAAAAATAHAAAAAzE2MAgAAAABMAkAAAABMQoAAAABMAsAAAALMTAxNzc4MDE1ODAMAAAAAjEyDQAAAAk1LzEzLzIwMTdLUlO7k3PVCNvDjK6Xc9UIJUNJUS5eU1BYLklRX1BFX0VYQ0xfRldELjYwMDAuMi8zLzIwMTYBAAAAm7goAAIAAAAJMTYuMDI3NTY1ACsEU7uTc9UI+ywrS5dz1Qg1Q0lRLk5BU0RBUUdTOklOVEMuSVFfVEVWX0VCSVREQV9GV0RfQ0lRLjYwMDAuNS85LzIwMDgBAAAAh1IAAAIAAAAQNy43NTgyNjA4ODU5NjM2NQENAAAABQAAAAE5AQAAAAcyNjIxMjk1AgAAAAcxNzU3MTU2AwAAAAYxMDAzMDgEAAAAATIGAAAAATAHAAAA</t>
  </si>
  <si>
    <t>AzE2MAgAAAABMAkAAAABMQoAAAABMAsAAAAKNjcyNzQ4OTY3NwwAAAACMTINAAAACTUvMTAvMjAwOOvYVLuTc9UIW22Qrpdz1QgoQ0lRLk5BU0RBUUdTOklOVEMuSVFfRVBTX05PUk1fRVNULkZZMjAxNQEAAACHUgAAAgAAAAcyLjIxOTg5AQ4AAAAFAAAAATMBAAAABzI2MjEyOTUCAAAACjEwMDAwOTQwNzEDAAAABjEwMDE3MwQAAAABMgYAAAABMAcAAAADMTYwCAAAAAEwCQAAAAExCgAAAAEwCwAAAAo5MjI5NDM4MTU4DAAAAAExDQAAAAkyLzE1LzIwMTgQAAAACjEyLzMxLzIwMTXbuK+9k3PVCHuUP0qXc9UIN0NJUS5OYXNkYXFHUzpJTlRDLklRX1RFVl9FQklUREFfRldEX0NJUS42MDAwLjEwLzIwLzIwMDYBAAAAh1IAAAIAAAAQOS41NTMwMTk5MzU5MDAyNQENAAAABQAAAAE5AQAAAAcyNjIxMjk1AgAAAAcxNzU3MTUyAwAAAAYxMDAzMDgEAAAAATIGAAAAATAHAAAAAzE2MAgAAAABMAkAAAABMQoAAAABMAsAAAAKMTE2OTEzNTcyOQwAAAACMTINAAAACjEwLzIxLzIwMDab27C7k3PVCHu7kK6Xc9UIH0NJUS5eU1BYLklRX1BUQlYuMjAwMC44LzI4LzIwMTMBAAAAm7goAAIAAAAINC45MTI0NzYA29e5t5Nz1QhbLj1Ll3PVCC9DSVEuTkFTREFRR1M6SU5UQy5JUV9QUklDRV9TQUxFUy4yMDAwLjYvMjMvMjAxNwEAAACHUgAAAgAAAAgyLjY3NDAxNwEHAAAABQAAAAExAQAAAAoxODM4MzYwMTMyAwAAAAEw</t>
  </si>
  <si>
    <t>AgAAAAUzODk1OAQAAAABMAcAAAAJNi8yMy8yMDE3CAAAAAk2LzIzLzIwMTdLGLC7k3PVCBvZUUmXc9UINkNJUS5OYXNkYXFHUzpJTlRDLklRX1RFVl9FQklUREFfRldEX0NJUS42MDAwLjMvMTgvMjAwNQEAAACHUgAAAgAAABA4LjE4OTMyOTgyMjM1MTczAQ0AAAAFAAAAATkBAAAABzI2MjEyOTUCAAAABDE4ODADAAAABjEwMDMwOAQAAAABMgYAAAABMAcAAAADMTYwCAAAAAEwCQAAAAExCgAAAAEwCwAAAAkzNjA2NjgxODIMAAAAAjEyDQAAAAkzLzE5LzIwMDWb/rO9k3PVCHtKjq6Xc9UINUNJUS5OYXNkYXFHUzpJTlRDLklRX1RFVl9UT1RBTF9SRVZfRldELjYwMDAuNy8xMS8yMDA4AQAAAIdSAAACAAAAEDIuNjQzOTM3ODcwMTg1OTMBDQAAAAUAAAABOQEAAAAHMjYyMTI5NQIAAAAHMTc1NzE1NgMAAAAGMTAwMzA3BAAAAAEyBgAAAAEwBwAAAAMxNjAIAAAAATAJAAAAATEKAAAAATALAAAACjgyNDg1MTI0NDMMAAAAAjEyDQAAAAk3LzEyLzIwMDjrb7y3k3PVCAuUVkmXc9UILkNJUS5OQVNEQVFHUzpJTlRDLklRX1BSSUNFX1NBTEVTLjIwMDAuNy8zLzIwMTQBAAAAh1IAAAIAAAAIMi45Mjk4OTgBBwAAAAUAAAABMQEAAAAKMTY3MzM3OTMyNwMAAAABMAIAAAAFMzg5NTgEAAAAATAHAAAACDcvMy8yMDE0CAAAAAg3LzMvMjAxNEsRVbmTc9UI6/JOSZdz1Qg0Q0lRLk5hc2RhcUdTOklOVEMuSVFfVEVWX1RP</t>
  </si>
  <si>
    <t>VEFMX1JFVl9GV0QuNjAwMC4yLzkvMjAwMQEAAACHUgAAAgAAABA2LjM1MDQ0MTk2NTU4NDM2AQ0AAAAFAAAAATkBAAAABzI2MjEyOTUCAAAABzMxNTEzMDEDAAAABjEwMDMwNwQAAAABMgYAAAABMAcAAAADMTYwCAAAAAEwCQAAAAExCgAAAAEwCwAAAAkzNjEyMTI2NzcMAAAAAjEyDQAAAAkyLzEwLzIwMDErS2i5k3PVCLtBWEmXc9UILENJUS5eU1BYLklRX1RFVl9FQklUREFfRldEX0NJUS42MDAwLjcvMi8yMDE0AQAAAJu4KAACAAAACDkuMTMzMzk2ABvdUruTc9UIa3M4S5dz1QgfQ0lRLl5TUFguSVFfUFRCVi4yMDAwLjcvMTAvMjAxMwEAAACbuCgAAgAAAAg0Ljk3ODk1NABbP7C7k3PVCHt8PUuXc9UIKENJUS5OQVNEQVFHUzpJTlRDLklRX1BUQlYuMjAwMC40LzEzLzIwMTIBAAAAh1IAAAIAAAAINC42MjE1ODYBBwAAAAUAAAABMQEAAAAKMTUyMzQwMzg0OQMAAAABMAIAAAAGMTAwMDI5BAAAAAEwBwAAAAk0LzEzLzIwMTIIAAAACTQvMTMvMjAxMnudZrmTc9UICyNUSZdz1QgmQ0lRLl5TUFguSVFfUEVfRVhDTF9GV0QuNjAwMC4zLzE4LzIwMTUBAAAAm7goAAIAAAAJMTcuNzQxNTQ0AGtfVbmTc9UI2zEyS5dz1QgwQ0lRLk5BU0RBUUdTOklOVEMuSVFfUFJJQ0VfU0FMRVMuMjAwMC4xMi8yOC8yMDEyAQAAAIdSAAACAAAACDEuODkwMzg3AQcAAAAFAAAAATEBAAAACjE1NzM4ODc3OTUDAAAAATACAAAA</t>
  </si>
  <si>
    <t>BTM4OTU4BAAAAAEwBwAAAAoxMi8yOC8yMDEyCAAAAAoxMi8yOC8yMDEyq0OvvZNz1Qh7FlpJl3PVCB9DSVEuXlNQWC5JUV9QVEJWLjIwMDAuMi8xNS8yMDE3AQAAAJu4KAACAAAACDguMzAwOTc5AIvEZrmTc9UI6+4ZS5dz1QgnQ0lRLk5BU0RBUUdTOklOVEMuSVFfUFRCVi4yMDAwLjQvNS8yMDEyAQAAAIdSAAACAAAACDQuNjE4Mjk1AQcAAAAFAAAAATEBAAAACjE1MjM0MDM4NDkDAAAAATACAAAABjEwMDAyOQQAAAABMAcAAAAINC81LzIwMTIIAAAACDQvNS8yMDEye51muZNz1Qj7+1NJl3PVCB9DSVEuXlNQWC5JUV9QVEJWLjIwMDAuMy8yMy8yMDE2AQAAAJu4KAACAAAACDYuODQxMjU2ANvXubeTc9UI294qS5dz1QgvQ0lRLk5BU0RBUUdTOklOVEMuSVFfUEVfRVhDTF9GV0QuNjAwMC40LzExLzIwMTQBAAAAh1IAAAIAAAAQMTQuMTE3NDE1NTAwMDk3MQENAAAABQAAAAE5AQAAAAcyNjIxMjk1AgAAAAc0NDU2NDIxAwAAAAYxMDAzMDkEAAAAATIGAAAAATAHAAAAAzE2MAgAAAABMAkAAAABMQoAAAABMAsAAAAKNjUyODk3OTYwNQwAAAACMTINAAAACTQvMTIvMjAxNKsltL2Tc9UIGyxZSZdz1Qg1Q0lRLk5hc2RhcUdTOklOVEMuSVFfVEVWX1RPVEFMX1JFVl9GV0QuNjAwMC43LzIwLzIwMTIBAAAAh1IAAAIAAAAQMi4wOTg0ODMzNDcxMjczNQENAAAABQAAAAE5AQAAAAcyNjIxMjk1AgAAAAcxNzU3MTY5</t>
  </si>
  <si>
    <t>AwAAAAYxMDAzMDcEAAAAATIGAAAAATAHAAAAAzE2MAgAAAABMAkAAAABMQoAAAABMAsAAAAKODg2NDQzMzE5NAwAAAACMTINAAAACTcvMjEvMjAxMvuWvLeTc9UIK+JWSZdz1QgvQ0lRLk5BU0RBUUdTOklOVEMuSVFfUEVfRVhDTF9GV0QuNjAwMC4zLzE0LzIwMDgBAAAAh1IAAAIAAAAQMTUuNjM5NjY2OTE5MDAwOAENAAAABQAAAAE5AQAAAAcyNjIxMjk1AgAAAAQxODgzAwAAAAYxMDAzMDkEAAAAATIGAAAAATAHAAAAAzE2MAgAAAABMAkAAAABMQoAAAABMAsAAAAHMTUzMzI5NAwAAAACMTINAAAACTMvMTUvMjAwOEs7s72Tc9UIG/dMSZdz1Qg1Q0lRLk5hc2RhcUdTOklOVEMuSVFfVEVWX1RPVEFMX1JFVl9GV0QuNjAwMC4xMi82LzIwMDIBAAAAh1IAAAIAAAAQNC4xODk5ODQ4ODc0OTUyOQENAAAABQAAAAE5AQAAAAcyNjIxMjk1AgAAAAcxNzU3MTQwAwAAAAYxMDAzMDcEAAAAATIGAAAAATAHAAAAAzE2MAgAAAABMAkAAAABMQoAAAABMAsAAAAKMTE2OTEyNjE3NQwAAAACMTINAAAACTEyLzcvMjAwMrv6u7eTc9UIu9BVSZdz1Qg1Q0lRLk5BU0RBUUdTOklOVEMuSVFfVEVWX1RPVEFMX1JFVl9GV0QuNjAwMC4zLzE0LzIwMTQBAAAAh1IAAAIAAAAQMi4xNjk1OTk4MTY1NDc3NQENAAAABQAAAAE5AQAAAAcyNjIxMjk1AgAAAAc0NDU2NDIxAwAAAAYxMDAzMDcEAAAAATIGAAAAATAHAAAAAzE2MAgAAAAB</t>
  </si>
  <si>
    <t>MAkAAAABMQoAAAABMAsAAAAKNjQ5NzgyMjQ0MgwAAAACMTINAAAACTMvMTUvMjAxNCubureTc9UIG2hPSZdz1QgvQ0lRLk5BU0RBUUdTOklOVEMuSVFfUEVfRVhDTF9GV0QuNjAwMC4yLzI0LzIwMTIBAAAAh1IAAAIAAAAQMTAuNTI4ODg5Mzc5NjIzNgENAAAABQAAAAE5AQAAAAcyNjIxMjk1AgAAAAQxODg3AwAAAAYxMDAzMDkEAAAAATIGAAAAATAHAAAAAzE2MAgAAAABMAkAAAABMQoAAAABMAsAAAAKNzYxNjIwMTk4MAwAAAACMTINAAAACTIvMjUvMjAxMhvGsr2Tc9UIi3lQSZdz1Qg1Q0lRLk5hc2RhcUdTOklOVEMuSVFfVEVWX1RPVEFMX1JFVl9GV0QuNjAwMC42LzIwLzIwMTQBAAAAh1IAAAIAAAAQMi42MDk1OTQ4NzU4NDIxMgENAAAABQAAAAE5AQAAAAcyNjIxMjk1AgAAAAc0NDU2NDI3AwAAAAYxMDAzMDcEAAAAATIGAAAAATAHAAAAAzE2MAgAAAABMAkAAAABMQoAAAABMAsAAAAKODg1OTg2NzY5MAwAAAACMTINAAAACTYvMjEvMjAxNIvXs72Tc9UIu0FYSZdz1Qg2Q0lRLk5BU0RBUUdTOklOVEMuSVFfVEVWX0VCSVREQV9GV0RfQ0lRLjYwMDAuOS8xOS8yMDE0AQAAAIdSAAACAAAAEDYuODQ5MjI4MDYxNjg4NjgBDQAAAAUAAAABOQEAAAAHMjYyMTI5NQIAAAAHNDQ1NjQyOAMAAAAGMTAwMzA4BAAAAAEyBgAAAAEwBwAAAAMxNjAIAAAAATAJAAAAATEKAAAAATALAAAACjg2NDgxMDE2NzQMAAAA</t>
  </si>
  <si>
    <t>AjEyDQAAAAk5LzIwLzIwMTR7x1O7k3PVCFv8ja6Xc9UIMENJUS5OQVNEQVFHUzpJTlRDLklRX1BFX0VYQ0xfRldELjYwMDAuMTIvMTYvMjAwNQEAAACHUgAAAgAAABAxNy4xMDc2NTIzOTk0ODEyAQ0AAAAFAAAAATkBAAAABzI2MjEyOTUCAAAABzE3NTcxNDkDAAAABjEwMDMwOQQAAAABMgYAAAABMAcAAAADMTYwCAAAAAEwCQAAAAExCgAAAAEwCwAAAAo4ODYyNDEyNDM2DAAAAAIxMg0AAAAKMTIvMTcvMjAwNWuJs72Tc9UIK49PSZdz1QgwQ0lRLk5BU0RBUUdTOklOVEMuSVFfUEVfRVhDTF9GV0QuNjAwMC4xMS8xNC8yMDE0AQAAAIdSAAACAAAAEDE0LjIzMDAyNzY2MzY3NjgBDQAAAAUAAAABOQEAAAAHMjYyMTI5NQIAAAAHNDQ1NjQyOQMAAAAGMTAwMzA5BAAAAAEyBgAAAAEwBwAAAAMxNjAIAAAAATAJAAAAATEKAAAAATALAAAACjg0NDE5NzAyNjAMAAAAAjEyDQAAAAoxMS8xNS8yMDE0+3eyvZNz1Qg7tk9Jl3PVCC9DSVEuTkFTREFRR1M6SU5UQy5JUV9QRV9FWENMX0ZXRC42MDAwLjYvMTUvMjAwMQEAAACHUgAAAgAAABA1MS42NTE0MDg4NDQ5MzM4AQ0AAAAFAAAAATkBAAAABzI2MjEyOTUCAAAABzM0MjExNjADAAAABjEwMDMwOQQAAAABMgYAAAABMAcAAAADMTYwCAAAAAEwCQAAAAExCgAAAAEwCwAAAAoxMTY5MTczMjAxDAAAAAIxMg0AAAAJNi8xNi8yMDAxi9ezvZNz1Qg7mFRJl3PVCDVDSVEu</t>
  </si>
  <si>
    <t>TmFzZGFxR1M6SU5UQy5JUV9URVZfVE9UQUxfUkVWX0ZXRC42MDAwLjEwLzcvMjAxNgEAAACHUgAAAgAAABAzLjE0Mjk5MTUxMjYzNDI1AQ0AAAAFAAAAATkBAAAABzI2MjEyOTUCAAAACDI3MDAzNjUyAwAAAAYxMDAzMDcEAAAAATIGAAAAATAHAAAAAzE2MAgAAAABMAkAAAABMQoAAAABMAsAAAAKOTc1MTgwOTYzMQwAAAACMTINAAAACTEwLzgvMjAxNstQsbuTc9UISzBXSZdz1QgjQ0lRLl5TUFguSVFfTEFTVFNBTEVQUklDRS41LzMxLzIwMTcBAAAAm7goAAIAAAAQMjQxMS43OTczMjQyNTczNQAb3VK7k3PVCGuBDEuXc9UINkNJUS5OYXNkYXFHUzpJTlRDLklRX1RFVl9FQklUREFfRldEX0NJUS42MDAwLjgvMTcvMjAwMQEAAACHUgAAAgAAABAxOS42NTM0MjM5NjM4NzMzAQ0AAAAFAAAAATkBAAAABzI2MjEyOTUCAAAABzM0MjExNjEDAAAABjEwMDMwOAQAAAABMgYAAAABMAcAAAADMTYwCAAAAAEwCQAAAAExCgAAAAEwCwAAAAoxMTY5MTUyNTI3DAAAAAIxMg0AAAAJOC8xOC8yMDAxu0y0vZNz1QhbbZCul3PVCDZDSVEuTkFTREFRR1M6SU5UQy5JUV9URVZfRUJJVERBX0ZXRF9DSVEuNjAwMC45LzI5LzIwMTcBAAAAh1IAAAIAAAAQNy4yMDU2ODc4MjU2MjU3NQENAAAABQAAAAE5AQAAAAcyNjIxMjk1AgAAAAgyNzUwMDE3MwMAAAAGMTAwMzA4BAAAAAEyBgAAAAEwBwAAAAMxNjAIAAAAATAJAAAAATEK</t>
  </si>
  <si>
    <t>AAAAATALAAAACzEwNDkxNTg2NDkyDAAAAAIxMg0AAAAJOS8zMC8yMDE3OytTu5Nz1QiLcY6ul3PVCC9DSVEuTkFTREFRR1M6SU5UQy5JUV9QUklDRV9TQUxFUy4yMDAwLjMvMjEvMjAxNAEAAACHUgAAAgAAAAgyLjM3MzM1NwEHAAAABQAAAAExAQAAAAoxNjU4MzQyNzgwAwAAAAEwAgAAAAUzODk1OAQAAAABMAcAAAAJMy8yMS8yMDE0CAAAAAkzLzIxLzIwMTSrQ6+9k3PVCEuhWUmXc9UIL0NJUS5OQVNEQVFHUzpJTlRDLklRX1BFX0VYQ0xfRldELjYwMDAuNC8xOC8yMDA4AQAAAIdSAAACAAAAEDE2LjgzNDYzOTc5MDk2NjgBDQAAAAUAAAABOQEAAAAHMjYyMTI5NQIAAAAHMTc1NzE1NgMAAAAGMTAwMzA5BAAAAAEyBgAAAAEwBwAAAAMxNjAIAAAAATAJAAAAATEKAAAAATALAAAACjgyNDg1MTUyMjEMAAAAAjEyDQAAAAk0LzE5LzIwMDhLO7O9k3PVCIvMV0mXc9UIJ0NJUS5eU1BYLklRX1BFX0VYQ0xfRldELjYwMDAuMTAvMjIvMjAxNAEAAACbuCgAAgAAAAkxNS41ODg1MTIAe4ZVuZNz1QiLUDZLl3PVCDVDSVEuTkFTREFRR1M6SU5UQy5JUV9URVZfRUJJVERBX0ZXRF9DSVEuNjAwMC43LzYvMjAxMgEAAACHUgAAAgAAABA0Ljc5NjMyMDE3NDEzMjU5AQ0AAAAFAAAAATkBAAAABzI2MjEyOTUCAAAABzE3NTcxNjgDAAAABjEwMDMwOAQAAAABMgYAAAABMAcAAAADMTYwCAAAAAEwCQAAAAExCgAAAAEwCwAA</t>
  </si>
  <si>
    <t>AAo2OTU1Mzk3NjIxDAAAAAIxMg0AAAAINy83LzIwMTKbFVS7k3PVCFttkK6Xc9UINENJUS5OYXNkYXFHUzpJTlRDLklRX1RFVl9UT1RBTF9SRVZfRldELjYwMDAuNi8xLzIwMTIBAAAAh1IAAAIAAAAQMi4wMzQ3NTY3MzY3Mzk1NAENAAAABQAAAAE5AQAAAAcyNjIxMjk1AgAAAAcxNzU3MTY4AwAAAAYxMDAzMDcEAAAAATIGAAAAATAHAAAAAzE2MAgAAAABMAkAAAABMQoAAAABMAsAAAAKMTQxNjQ3ODE0OQwAAAACMTINAAAACDYvMi8yMDEyuymxu5Nz1Qg7RU1Jl3PVCCZDSVEuXlNQWC5JUV9QRV9FWENMX0ZXRC42MDAwLjEvMTMvMjAxNgEAAACbuCgAAgAAAAkxNS43NzM5MDYA+yW6t5Nz1QgroitLl3PVCC5DSVEuTkFTREFRR1M6SU5UQy5JUV9QRV9FWENMX0ZXRC42MDAwLjkvNC8yMDE1AQAAAIdSAAACAAAAEDEyLjg2ODI5NDAwMzUxOTQBDQAAAAUAAAABOQEAAAAHMjYyMTI5NQIAAAAHODA2ODI2MQMAAAAGMTAwMzA5BAAAAAEyBgAAAAEwBwAAAAMxNjAIAAAAATAJAAAAATEKAAAAATALAAAACjg5OTQ5ODc2MzIMAAAAAjEyDQAAAAg5LzUvMjAxNetQsr2Tc9UICwVZSZdz1QgmQ0lRLl5TUFguSVFfUEVfRVhDTF9GV0QuNjAwMC44LzMwLzIwMTcBAAAAm7goAAIAAAAJMTguMDEwODQ1ACsEU7uTc9UIO4T4Spdz1Qg2Q0lRLk5hc2RhcUdTOklOVEMuSVFfVEVWX1RPVEFMX1JFVl9GV0QuNjAwMC4xMS8x</t>
  </si>
  <si>
    <t>NS8yMDEzAQAAAIdSAAACAAAAEDIuMTg2NTI5ODAyMjQxNTEBDQAAAAUAAAABOQEAAAAHMjYyMTI5NQIAAAAHMzgyOTc1MwMAAAAGMTAwMzA3BAAAAAEyBgAAAAEwBwAAAAMxNjAIAAAAATAJAAAAATEKAAAAATALAAAACjg4NjI1NDU3MjcMAAAAAjEyDQAAAAoxMS8xNi8yMDEzuyJWuZNz1QgrrUpJl3PVCDdDSVEuTkFTREFRR1M6SU5UQy5JUV9URVZfRUJJVERBX0ZXRF9DSVEuNjAwMC4xMS8xOC8yMDE2AQAAAIdSAAACAAAAEDcuNDI1NDc4NjQ3MzM4MjYBDQAAAAUAAAABOQEAAAAHMjYyMTI5NQIAAAAIMjcwMDM2NTMDAAAABjEwMDMwOAQAAAABMgYAAAABMAcAAAADMTYwCAAAAAEwCQAAAAExCgAAAAEwCwAAAAo5ODYwMDIwMjk5DAAAAAIxMg0AAAAKMTEvMTkvMjAxNktSU7uTc9UIG2CNrpdz1QgvQ0lRLk5BU0RBUUdTOklOVEMuSVFfUFJJQ0VfU0FMRVMuMjAwMC4xLzI3LzIwMTYBAAAAh1IAAAIAAAAIMi41NTM2ODEBBwAAAAUAAAABMQEAAAAKMTc3Mjk0MjgwNgMAAAABMAIAAAAFMzg5NTgEAAAAATAHAAAACTEvMjcvMjAxNggAAAAJMS8yNy8yMDE2u2qvvZNz1Qg7yStLl3PVCCZDSVEuXlNQWC5JUV9QRV9FWENMX0ZXRC42MDAwLjUvMTEvMjAxNgEAAACbuCgAAgAAAAkxNy4wNTE5OTQAm+tmuZNz1QhbpilLl3PVCC1DSVEuXlNQWC5JUV9URVZfVE9UQUxfUkVWX0ZXRC42MDAwLjEwLzI2LzIwMTYB</t>
  </si>
  <si>
    <t>AAAAm7goAAIAAAAIMi4wMTEwMTEAa2awu5Nz1QjbGiFLl3PVCC1DSVEuXlNQWC5JUV9URVZfRUJJVERBX0ZXRF9DSVEuNjAwMC40LzEzLzIwMTYBAAAAm7goAAIAAAAJMTAuMjM0NjkxAOv+ubeTc9UIm0IqS5dz1QgjQ0lRLl5TUFguSVFfTEFTVFNBTEVQUklDRS4xMC83LzIwMTUBAAAAm7goAAIAAAAQMTk5NS44MjY0ODE1NDQ1MQDLka+9k3PVCGuvLkuXc9UIL0NJUS5OQVNEQVFHUzpJTlRDLklRX1BFX0VYQ0xfRldELjYwMDAuMTEvNi8yMDA5AQAAAIdSAAACAAAAEDEyLjgzNDc2ODQ1ODg3ODYBDQAAAAUAAAABOQEAAAAHMjYyMTI5NQIAAAAHMTc1NzE2MQMAAAAGMTAwMzA5BAAAAAEyBgAAAAEwBwAAAAMxNjAIAAAAATAJAAAAATEKAAAAATALAAAACjkwOTAzNzk3ODAMAAAAAjEyDQAAAAkxMS83LzIwMDk7FLO9k3PVCJugUEmXc9UINkNJUS5OYXNkYXFHUzpJTlRDLklRX1RFVl9UT1RBTF9SRVZfRldELjYwMDAuMTAvMTIvMjAwNwEAAACHUgAAAgAAABAzLjU2NzY5NDE4ODY0MDczAQ0AAAAFAAAAATkBAAAABzI2MjEyOTUCAAAABzE3NTcxNTQDAAAABjEwMDMwNwQAAAABMgYAAAABMAcAAAADMTYwCAAAAAEwCQAAAAExCgAAAAEwCwAAAAsxMDYzOTM2NzcyNAwAAAACMTINAAAACjEwLzEzLzIwMDfrrme5k3PVCBtKVEmXc9UIL0NJUS5OQVNEQVFHUzpJTlRDLklRX1BFX0VYQ0xfRldELjYwMDAuMy8x</t>
  </si>
  <si>
    <t>NC8yMDAzAQAAAIdSAAACAAAAEDI4Ljc5ODU3NzY4MjM2MDIBDQAAAAUAAAABOQEAAAAHMjYyMTI5NQIAAAAEMTg3OAMAAAAGMTAwMzA5BAAAAAEyBgAAAAEwBwAAAAMxNjAIAAAAATAJAAAAATEKAAAAATALAAAABzE1MDAzNzQMAAAAAjEyDQAAAAkzLzE1LzIwMDN7sLO9k3PVCAuUVkmXc9UINkNJUS5OQVNEQVFHUzpJTlRDLklRX1RFVl9FQklUREFfRldEX0NJUS42MDAwLjMvMTUvMjAwMgEAAACHUgAAAgAAABAxOC45Njg5NDc0NjQzMTU1AQ0AAAAFAAAAATkBAAAABzI2MjEyOTUCAAAABDE4NzcDAAAABjEwMDMwOAQAAAABMgYAAAABMAcAAAADMTYwCAAAAAEwCQAAAAExCgAAAAEwCwAAAAkzNjA2NTYwNTMMAAAAAjEyDQAAAAkzLzE2LzIwMDJb6lW7k3PVCAuqj66Xc9UINUNJUS5OYXNkYXFHUzpJTlRDLklRX1RFVl9FQklUREFfRldEX0NJUS42MDAwLjQvMS8yMDE2AQAAAIdSAAACAAAAEDYuNjcwODM1OTUwOTY3MTQBDQAAAAUAAAABOQEAAAAHMjYyMTI5NQIAAAAKMTAwMDkxNTQwMgMAAAAGMTAwMzA4BAAAAAEyBgAAAAEwBwAAAAMxNjAIAAAAATAJAAAAATEKAAAAATALAAAACjkzNzQ4NzQ4ODQMAAAAAjEyDQAAAAg0LzIvMjAxNou0sLuTc9UIW/yNrpdz1QgvQ0lRLk5BU0RBUUdTOklOVEMuSVFfUEVfRVhDTF9GV0QuNjAwMC41LzIyLzIwMDkBAAAAh1IAAAIAAAAQMjUuMzUzNzczNTg0OTA1NwEN</t>
  </si>
  <si>
    <t>AAAABQAAAAE5AQAAAAcyNjIxMjk1AgAAAAcxNzU3MTU5AwAAAAYxMDAzMDkEAAAAATIGAAAAATAHAAAAAzE2MAgAAAABMAkAAAABMQoAAAABMAsAAAAKODg2MzYxMzA0MQwAAAACMTINAAAACTUvMjMvMjAwOTsUs72Tc9UIy/dVSZdz1Qg0Q0lRLk5hc2RhcUdTOklOVEMuSVFfVEVWX1RPVEFMX1JFVl9GV0QuNjAwMC41LzYvMjAxNgEAAACHUgAAAgAAABAyLjY0NTY5MTA3NDI4ODY5AQ0AAAAFAAAAATkBAAAABzI2MjEyOTUCAAAACDI3MDAzNjUxAwAAAAYxMDAzMDcEAAAAATIGAAAAATAHAAAAAzE2MAgAAAABMAkAAAABMQoAAAABMAsAAAAKOTQ1MjIxMDMzMgwAAAACMTINAAAACDUvNy8yMDE2+9VnuZNz1QhbV1dJl3PVCDBDSVEuTkFTREFRR1M6SU5UQy5JUV9QUklDRV9TQUxFUy4yMDAwLjExLzE1LzIwMTcBAAAAh1IAAAIAAAAIMy40NTIwNDQBBwAAAAUAAAABMQEAAAAKMTg2Mjc1ODA0MwMAAAABMAIAAAAFMzg5NTgEAAAAATAHAAAACjExLzE1LzIwMTcIAAAACjExLzE1LzIwMTc78a+7k3PVCBty7kqXc9UIL0NJUS5OQVNEQVFHUzpJTlRDLklRX1BFX0VYQ0xfRldELjYwMDAuNy8xMy8yMDA3AQAAAIdSAAACAAAAEDIzLjM2OTAyNzI2NTM2NDkBDQAAAAUAAAABOQEAAAAHMjYyMTI5NQIAAAAHMTc1NzE1MwMAAAAGMTAwMzA5BAAAAAEyBgAAAAEwBwAAAAMxNjAIAAAAATAJAAAAATEKAAAAATALAAAA</t>
  </si>
  <si>
    <t>Cjg4NjMzNTg0NjEMAAAAAjEyDQAAAAk3LzE0LzIwMDdLO7O9k3PVCGucUkmXc9UINkNJUS5OYXNkYXFHUzpJTlRDLklRX1RFVl9UT1RBTF9SRVZfRldELjYwMDAuMTAvMjQvMjAwOAEAAACHUgAAAgAAABAxLjc3ODIwODc2MTgyNTE4AQ0AAAAFAAAAATkBAAAABzI2MjEyOTUCAAAABzE3NTcxNTgDAAAABjEwMDMwNwQAAAABMgYAAAABMAcAAAADMTYwCAAAAAEwCQAAAAExCgAAAAEwCwAAAAo4ODYyMDI5MzgxDAAAAAIxMg0AAAAKMTAvMjUvMjAwOOuesbuTc9UIiz1aSZdz1QguQ0lRLl5TUFguSVFfVEVWX0VCSVREQV9GV0RfQ0lRLjYwMDAuMTAvMzAvMjAxMwEAAACbuCgAAgAAAAg4LjUwMjI3OADr/rm3k3PVCDvgPEuXc9UIL0NJUS5OQVNEQVFHUzpJTlRDLklRX1BSSUNFX1NBTEVTLjIwMDAuMy8yOS8yMDE3AQAAAIdSAAACAAAACDIuODMzMDQ1AQcAAAAFAAAAATEBAAAACjE4MjgxNzQxMjIDAAAAATACAAAABTM4OTU4BAAAAAEwBwAAAAkzLzI5LzIwMTcIAAAACTMvMjkvMjAxN8uwubeTc9UIq+EWS5dz1QgvQ0lRLk5BU0RBUUdTOklOVEMuSVFfUEVfRVhDTF9GV0QuNjAwMC40LzEyLzIwMDEBAAAAh1IAAAIAAAAQNDIuODIyMTE3NjU0MjI1MQENAAAABQAAAAE5AQAAAAcyNjIxMjk1AgAAAAczMTUxMzAxAwAAAAYxMDAzMDkEAAAAATIGAAAAATAHAAAAAzE2MAgAAAABMAkAAAABMQoAAAABMAsAAAAJ</t>
  </si>
  <si>
    <t>MzExNTUwODk3DAAAAAIxMg0AAAAJNC8xMy8yMDAxi9ezvZNz1QirGlhJl3PVCB9DSVEuXlNQWC5JUV9QVEJWLjIwMDAuMy8xNi8yMDE2AQAAAJu4KAACAAAACDYuODE0NTk4ALtqr72Tc9UI6wUrS5dz1QguQ0lRLk5BU0RBUUdTOklOVEMuSVFfUEVfRVhDTF9GV0QuNjAwMC43LzMvMjAwMwEAAACHUgAAAgAAABAzMi43NTU1MDE5NTk2MDIxAQ0AAAAFAAAAATkBAAAABzI2MjEyOTUCAAAABzE3NTcxNDEDAAAABjEwMDMwOQQAAAABMgYAAAABMAcAAAADMTYwCAAAAAEwCQAAAAExCgAAAAEwCwAAAAoxMTY5MTU0MTY4DAAAAAIxMg0AAAAINy80LzIwMDN7sLO9k3PVCAsjVEmXc9UIN0NJUS5OQVNEQVFHUzpJTlRDLklRX1RFVl9FQklUREFfRldEX0NJUS42MDAwLjExLzI1LzIwMTEBAAAAh1IAAAIAAAAQNC4yNzk4NzU1NTQ0NTAyOAENAAAABQAAAAE5AQAAAAcyNjIxMjk1AgAAAAcxNzU3MTY3AwAAAAYxMDAzMDgEAAAAATIGAAAAATAHAAAAAzE2MAgAAAABMAkAAAABMQoAAAABMAsAAAAKODE3MTU3NDE2OQwAAAACMTINAAAACjExLzI2LzIwMTGrPFS7k3PVCPuCj66Xc9UINENJUS5OYXNkYXFHUzpJTlRDLklRX1RFVl9UT1RBTF9SRVZfRldELjYwMDAuNy81LzIwMDIBAAAAh1IAAAIAAAAQNC4zODIwNzUyNzI5NTc0OAENAAAABQAAAAE5AQAAAAcyNjIxMjk1AgAAAAcxNzU3MTM4AwAAAAYxMDAzMDcEAAAA</t>
  </si>
  <si>
    <t>ATIGAAAAATAHAAAAAzE2MAgAAAABMAkAAAABMQoAAAABMAsAAAAKMTE2OTEyNTQyMAwAAAACMTINAAAACDcvNi8yMDAyS5louZNz1QhrnFJJl3PVCC9DSVEuTkFTREFRR1M6SU5UQy5JUV9QUklDRV9TQUxFUy4yMDAwLjEyLzUvMjAxNAEAAACHUgAAAgAAAAgzLjM5MjcxOAEHAAAABQAAAAExAQAAAAoxNzAzNjgxODk0AwAAAAEwAgAAAAUzODk1OAQAAAABMAcAAAAJMTIvNS8yMDE0CAAAAAkxMi81LzIwMTRLGLC7k3PVCOtjUUmXc9UILkNJUS5OQVNEQVFHUzpJTlRDLklRX1BSSUNFX1NBTEVTLjIwMDAuNy8yLzIwMTABAAAAh1IAAAIAAAAHMi43ODE2MgEHAAAABQAAAAExAQAAAAoxMzU3NjU5MTAxAwAAAAEwAgAAAAUzODk1OAQAAAABMAcAAAAINy8yLzIwMTAIAAAACDcvMi8yMDEwSxiwu5Nz1QiboFBJl3PVCDVDSVEuTmFzZGFxR1M6SU5UQy5JUV9URVZfRUJJVERBX0ZXRF9DSVEuNjAwMC4zLzkvMjAwNwEAAACHUgAAAgAAABA3LjU5MzczMjgxMTU0MDAzAQ0AAAAFAAAAATkBAAAABzI2MjEyOTUCAAAABDE4ODIDAAAABjEwMDMwOAQAAAABMgYAAAABMAcAAAADMTYwCAAAAAEwCQAAAAExCgAAAAEwCwAAAAsxMDMzNDE3NjA4NAwAAAACMTINAAAACTMvMTAvMjAwN8v7VruTc9UI61uPrpdz1QgvQ0lRLk5BU0RBUUdTOklOVEMuSVFfUFJJQ0VfU0FMRVMuMjAwMC42LzE0LzIwMTMBAAAAh1IAAAIAAAAI</t>
  </si>
  <si>
    <t>Mi4zNDI0MDQBBwAAAAUAAAABMQEAAAAKMTYxNDA3NDk0MgMAAAABMAIAAAAFMzg5NTgEAAAAATAHAAAACTYvMTQvMjAxMwgAAAAJNi8xNC8yMDEz+45Su5Nz1QhLMFdJl3PVCDVDSVEuTkFTREFRR1M6SU5UQy5JUV9URVZfRUJJVERBX0ZXRF9DSVEuNjAwMC44LzMvMjAxMgEAAACHUgAAAgAAABA0Ljk0NTQ0OTQwNzEwNjU3AQ0AAAAFAAAAATkBAAAABzI2MjEyOTUCAAAABzE3NTcxNjkDAAAABjEwMDMwOAQAAAABMgYAAAABMAcAAAADMTYwCAAAAAEwCQAAAAExCgAAAAEwCwAAAAo2OTU1NDAyNjA1DAAAAAIxMg0AAAAIOC80LzIwMTKbFVS7k3PVCCuHja6Xc9UIIkNJUS5eU1BYLklRX0xBU1RTQUxFUFJJQ0UuNi83LzIwMTcBAAAAm7goAAIAAAAQMjQzMy4xMzc0MzAwODI3NgAb3VK7k3PVCNshC0uXc9UIL0NJUS5OQVNEQVFHUzpJTlRDLklRX1BSSUNFX1NBTEVTLjIwMDAuNi8xNS8yMDE2AQAAAIdSAAACAAAACDIuNjYwODk0AQcAAAAFAAAAATEBAAAACjE3ODkxOTMzNDMDAAAAATACAAAABTM4OTU4BAAAAAEwBwAAAAk2LzE1LzIwMTYIAAAACTYvMTUvMjAxNjvqVLmTc9UIO1gpS5dz1Qg3Q0lRLk5hc2RhcUdTOklOVEMuSVFfVEVWX0VCSVREQV9GV0RfQ0lRLjYwMDAuMTAvMTcvMjAxNAEAAACHUgAAAgAAABA2LjE1MjIwMTI1ODA1Mzc5AQ0AAAAFAAAAATkBAAAABzI2MjEyOTUCAAAABzQ0NTY0MjkD</t>
  </si>
  <si>
    <t>AAAABjEwMDMwOAQAAAABMgYAAAABMAcAAAADMTYwCAAAAAEwCQAAAAExCgAAAAEwCwAAAAo4NjQ4Nzk2MjMyDAAAAAIxMg0AAAAKMTAvMTgvMjAxNLtMtL2Tc9UI61uPrpdz1QgeQ0lRLl5TUFguSVFfUFRCVi4yMDAwLjkvNi8yMDE3AQAAAJu4KAACAAAACDguNjUxOTE5AIvEZrmTc9UIqwb8Spdz1QgvQ0lRLk5BU0RBUUdTOklOVEMuSVFfUFJJQ0VfU0FMRVMuMjAwMC4zLzE1LzIwMTcBAAAAh1IAAAIAAAAIMi43OTU2MTEBBwAAAAUAAAABMQEAAAAKMTgyODE3NDEyMgMAAAABMAIAAAAFMzg5NTgEAAAAATAHAAAACTMvMTUvMjAxNwgAAAAJMy8xNS8yMDE3+45Su5Nz1QgrGhhLl3PVCC1DSVEuXlNQWC5JUV9URVZfRUJJVERBX0ZXRF9DSVEuNjAwMC4zLzI2LzIwMTQBAAAAm7goAAIAAAAIOC44NDk2MTIAKwRTu5Nz1QiLMjtLl3PVCDdDSVEuTkFTREFRR1M6SU5UQy5JUV9URVZfRUJJVERBX0ZXRF9DSVEuNjAwMC4xMi8xMS8yMDE1AQAAAIdSAAACAAAAEDYuNzU5MjEyNzExNDI2ODcBDQAAAAUAAAABOQEAAAAHMjYyMTI5NQIAAAAHODA2ODI2MgMAAAAGMTAwMzA4BAAAAAEyBgAAAAEwBwAAAAMxNjAIAAAAATAJAAAAATEKAAAAATALAAAACjkxNzg3MzIwNTYMAAAAAjEyDQAAAAoxMi8xMi8yMDE1W3lTu5Nz1Qhb/I2ul3PVCCtDSVEuTkFTREFRR1M6SU5UQy5JUV9MQVNUU0FMRVBSSUNFLjgvMy8yMDE2</t>
  </si>
  <si>
    <t>AQAAAIdSAAACAAAABTM0LjI1AMuRr72Tc9UI+0omS5dz1QgoQ0lRLk5BU0RBUUdTOklOVEMuSVFfUFRCVi4yMDAwLjgvMjcvMjAxMAEAAACHUgAAAgAAAAgyLjUyMDIyNwEHAAAABQAAAAExAQAAAAoxMzg5NzEwNzQ0AwAAAAEwAgAAAAYxMDAwMjkEAAAAATAHAAAACTgvMjcvMjAxMAgAAAAJOC8yNy8yMDEwy7C5t5Nz1QgrHk1Jl3PVCC5DSVEuTkFTREFRR1M6SU5UQy5JUV9QUklDRV9TQUxFUy4yMDAwLjUvNC8yMDEyAQAAAIdSAAACAAAACDIuNjU0MjM2AQcAAAAFAAAAATEBAAAACjE1NDUxNTY0MzgDAAAAATACAAAABTM4OTU4BAAAAAEwBwAAAAg1LzQvMjAxMggAAAAINS80LzIwMTILtlK7k3PVCKupVUmXc9UINkNJUS5OQVNEQVFHUzpJTlRDLklRX1RFVl9FQklUREFfRldEX0NJUS42MDAwLjYvMjEvMjAxMwEAAACHUgAAAgAAABA1LjM5MDA5NTg0ODIwODM1AQ0AAAAFAAAAATkBAAAABzI2MjEyOTUCAAAABzM4Mjk3NTEDAAAABjEwMDMwOAQAAAABMgYAAAABMAcAAAADMTYwCAAAAAEwCQAAAAExCgAAAAEwCwAAAAo4MjQ5NTM3ODkwDAAAAAIxMg0AAAAJNi8yMi8yMDEzi+5Tu5Nz1QiLcY6ul3PVCCdDSVEuXlNQWC5JUV9QRV9FWENMX0ZXRC42MDAwLjExLzIyLzIwMTcBAAAAm7goAAIAAAAJMTguNTEyMTA2AJvrZrmTc9UIm7HZSpdz1QgvQ0lRLk5BU0RBUUdTOklOVEMuSVFfUFJJQ0VfU0FMRVMu</t>
  </si>
  <si>
    <t>MjAwMC4yLzI3LzIwMTUBAAAAh1IAAAIAAAAIMi45MTY3MzkBBwAAAAUAAAABMQEAAAAKMTcxODg1OTI5MQMAAAABMAIAAAAFMzg5NTgEAAAAATAHAAAACTIvMjcvMjAxNQgAAAAJMi8yNy8yMDE169GItpNz1QhL+0pJl3PVCC9DSVEuTkFTREFRR1M6SU5UQy5JUV9QRV9FWENMX0ZXRC42MDAwLjEyLzgvMjAxNwEAAACHUgAAAgAAABAxMy4zODgzMDcyMzYxNzE2AQ0AAAAFAAAAATkBAAAABzI2MjEyOTUCAAAACDI3NTAwMTc0AwAAAAYxMDAzMDkEAAAAATIGAAAAATAHAAAAAzE2MAgAAAABMAkAAAABMQoAAAABMAsAAAALMTA2OTgzNjExMzcMAAAAAjEyDQAAAAkxMi85LzIwMTfLArK9k3PVCNs8UUmXc9UILENJUS5eU1BYLklRX1RFVl9UT1RBTF9SRVZfRldELjYwMDAuMi8yNi8yMDE0AQAAAJu4KAACAAAABzEuNzk1MTYAm+tmuZNz1QirgDtLl3PVCB9DSVEuXlNQWC5JUV9QVEJWLjIwMDAuOS8xNi8yMDE1AQAAAJu4KAACAAAACDYuMTEyNzQyALtqr72Tc9UIq0svS5dz1Qg0Q0lRLk5hc2RhcUdTOklOVEMuSVFfVEVWX1RPVEFMX1JFVl9GV0QuNjAwMC41LzMvMjAwMgEAAACHUgAAAgAAABA1LjcxMTc5ODE0ODQ2NjE5AQ0AAAAFAAAAATkBAAAABzI2MjEyOTUCAAAABzE3NTcxMzgDAAAABjEwMDMwNwQAAAABMgYAAAABMAcAAAADMTYwCAAAAAEwCQAAAAExCgAAAAEwCwAAAAoxMTY5MTI1MzcyDAAAAAIx</t>
  </si>
  <si>
    <t>Mg0AAAAINS80LzIwMDLbh2e5k3PVCItbVUmXc9UIIENJUS5eU1BYLklRX1BUQlYuMjAwMC4xMi8xMC8yMDE0AQAAAJu4KAACAAAACDUuNTE0OTkzANvXubeTc9UIS7Q1S5dz1QgvQ0lRLk5BU0RBUUdTOklOVEMuSVFfUEVfRVhDTF9GV0QuNjAwMC4zLzE2LzIwMDEBAAAAh1IAAAIAAAAQNDEuNzg3ODQ1MTcxMzQ4OQENAAAABQAAAAE5AQAAAAcyNjIxMjk1AgAAAAczMTUxMzAxAwAAAAYxMDAzMDkEAAAAATIGAAAAATAHAAAAAzE2MAgAAAABMAkAAAABMQoAAAABMAsAAAAJMzExNTUwODkwDAAAAAIxMg0AAAAJMy8xNy8yMDAxi9ezvZNz1QibglVJl3PVCClDSVEuTkFTREFRR1M6SU5UQy5JUV9QVEJWLjIwMDAuMTEvMTEvMjAxNgEAAACHUgAAAgAAAAg0LjEyOTAxMwEHAAAABQAAAAExAQAAAAoxODE1NTQ0NDUwAwAAAAEwAgAAAAYxMDAwMjkEAAAAATAHAAAACjExLzExLzIwMTYIAAAACjExLzExLzIwMTa7aq+9k3PVCCtTWUmXc9UINkNJUS5OYXNkYXFHUzpJTlRDLklRX1RFVl9FQklUREFfRldEX0NJUS42MDAwLjYvMTAvMjAwNAEAAACHUgAAAgAAABAxMC4wOTU0NjQ2MDQ5OTQzAQ0AAAAFAAAAATkBAAAABzI2MjEyOTUCAAAABzE3NTcxNDQDAAAABjEwMDMwOAQAAAABMgYAAAABMAcAAAADMTYwCAAAAAEwCQAAAAExCgAAAAEwCwAAAAo2ODgzNjk0NTIxDAAAAAIxMg0AAAAJNi8xMS8yMDA0i7Swu5Nz</t>
  </si>
  <si>
    <t>1Qh7So6ul3PVCChDSVEuTkFTREFRR1M6SU5UQy5JUV9QVEJWLjIwMDAuMTIvMi8yMDE2AQAAAIdSAAACAAAACDQuMDc1MzI3AQcAAAAFAAAAATEBAAAACjE4MTU1NDQ0NTADAAAAATACAAAABjEwMDAyOQQAAAABMAcAAAAJMTIvMi8yMDE2CAAAAAkxMi8yLzIwMTb7jlK7k3PVCEswV0mXc9UINkNJUS5OQVNEQVFHUzpJTlRDLklRX1RFVl9FQklUREFfRldEX0NJUS42MDAwLjgvMjkvMjAwMwEAAACHUgAAAgAAABAxMy4wNDM5MDE1MjM2ODA5AQ0AAAAFAAAAATkBAAAABzI2MjEyOTUCAAAABzE3NTcxNDIDAAAABjEwMDMwOAQAAAABMgYAAAABMAcAAAADMTYwCAAAAAEwCQAAAAExCgAAAAEwCwAAAAoxMTY5MTI3Njc5DAAAAAIxMg0AAAAJOC8zMC8yMDAzO5xVu5Nz1QjrW4+ul3PVCC5DSVEuTkFTREFRR1M6SU5UQy5JUV9QRV9FWENMX0ZXRC42MDAwLjUvMi8yMDAzAQAAAIdSAAACAAAAEDI5LjI0MDIxNDg4ODcxODMBDQAAAAUAAAABOQEAAAAHMjYyMTI5NQIAAAAHMTc1NzE0MQMAAAAGMTAwMzA5BAAAAAEyBgAAAAEwBwAAAAMxNjAIAAAAATAJAAAAATEKAAAAATALAAAACjExNjkxNTQxMTcMAAAAAjEyDQAAAAg1LzMvMjAwM3uws72Tc9UIW8hZSZdz1QgvQ0lRLk5BU0RBUUdTOklOVEMuSVFfUEVfRVhDTF9GV0QuNjAwMC4xLzE2LzIwMDkBAAAAh1IAAAIAAAAQMzMuMjIyOTEyNjg3MDkwNQENAAAABQAA</t>
  </si>
  <si>
    <t>AAE5AQAAAAcyNjIxMjk1AgAAAAQxODg0AwAAAAYxMDAzMDkEAAAAATIGAAAAATAHAAAAAzE2MAgAAAABMAkAAAABMQoAAAABMAsAAAAHMTU0MTM5OAwAAAACMTINAAAACTEvMTcvMjAwOTsUs72Tc9UI69RTSZdz1QgmQ0lRLl5TUFguSVFfUEVfRVhDTF9GV0QuNjAwMC42LzExLzIwMTQBAAAAm7goAAIAAAAJMTYuMDE2MjI5ANu4r72Tc9UIa3M4S5dz1QgiQ0lRLl5TUFguSVFfTEFTVFNBTEVQUklDRS44LzYvMjAxNAEAAACbuCgAAgAAABAxOTIwLjIzNjAwMzE3MTI4ABvdUruTc9UIG7A3S5dz1QgvQ0lRLk5BU0RBUUdTOklOVEMuSVFfUEVfRVhDTF9GV0QuNjAwMC42LzMwLzIwMTcBAAAAh1IAAAIAAAAQMTEuODExNjU3NjIyOTY1MgENAAAABQAAAAE5AQAAAAcyNjIxMjk1AgAAAAgyNzUwMDE3MgMAAAAGMTAwMzA5BAAAAAEyBgAAAAEwBwAAAAMxNjAIAAAAATAJAAAAATEKAAAAATALAAAACzEwMjU1ODA4NTQzDAAAAAIxMg0AAAAINy8xLzIwMTeL17O9k3PVCJtkWkmXc9UINUNJUS5OYXNkYXFHUzpJTlRDLklRX1RFVl9UT1RBTF9SRVZfRldELjYwMDAuMS8yMy8yMDE1AQAAAIdSAAACAAAAEDMuMDIwNzExMTY2ODEzMDIBDQAAAAUAAAABOQEAAAAHMjYyMTI5NQIAAAAKMTAwMDA5NDA3MQMAAAAGMTAwMzA3BAAAAAEyBgAAAAEwBwAAAAMxNjAIAAAAATAJAAAAATEKAAAAATALAAAACjg1MjkyMTY1MzEM</t>
  </si>
  <si>
    <t>AAAAAjEyDQAAAAkxLzI0LzIwMTWLtLC7k3PVCIvqUkmXc9UINkNJUS5OQVNEQVFHUzpJTlRDLklRX1RFVl9FQklUREFfRldEX0NJUS42MDAwLjYvMTAvMjAxNgEAAACHUgAAAgAAABA3Ljg2MDg3OTQ5OTg0MTI2AQ0AAAAFAAAAATkBAAAABzI2MjEyOTUCAAAACDI3MDAzNjUxAwAAAAYxMDAzMDgEAAAAATIGAAAAATAHAAAAAzE2MAgAAAABMAkAAAABMQoAAAABMAsAAAAKOTQ3MzQ4ODQ5MQwAAAACMTINAAAACTYvMTEvMjAxNlt5U7uTc9UI28OMrpdz1QgnQ0lRLk5BU0RBUUdTOklOVEMuSVFfUFRCVi4yMDAwLjgvNS8yMDE2AQAAAIdSAAACAAAACDQuOTI4OTM0AQcAAAAFAAAAATEBAAAACjE4MDEyOTQ1MDEDAAAAATACAAAABjEwMDAyOQQAAAABMAcAAAAIOC81LzIwMTYIAAAACDgvNS8yMDE2Sxiwu5Nz1QjbPFFJl3PVCC9DSVEuTkFTREFRR1M6SU5UQy5JUV9QUklDRV9TQUxFUy4yMDAwLjgvMTcvMjAxMgEAAACHUgAAAgAAAAcyLjQ0OTY1AQcAAAAFAAAAATEBAAAACjE1NTcyMTYyNDYDAAAAATACAAAABTM4OTU4BAAAAAEwBwAAAAk4LzE3LzIwMTIIAAAACTgvMTcvMjAxMvuOUruTc9UIK+JWSZdz1QglQ0lRLl5TUFguSVFfUEVfRVhDTF9GV0QuNjAwMC42LzgvMjAxNgEAAACbuCgAAgAAAAkxNy40MTg5NTcAqxJnuZNz1Qj7uyhLl3PVCCtDSVEuXlNQWC5JUV9URVZfVE9UQUxfUkVWX0ZXRC42MDAw</t>
  </si>
  <si>
    <t>LjkvMy8yMDE0AQAAAJu4KAACAAAACDEuODgxMDIyAHuGVbmTc9UIC4k3S5dz1QgvQ0lRLk5BU0RBUUdTOklOVEMuSVFfUFJJQ0VfU0FMRVMuMjAwMC4zLzI2LzIwMTABAAAAh1IAAAIAAAAHMy41MTgzMQEHAAAABQAAAAExAQAAAAoxMzI4ODg4NzA0AwAAAAEwAgAAAAUzODk1OAQAAAABMAcAAAAJMy8yNi8yMDEwCAAAAAkzLzI2LzIwMTC7aq+9k3PVCDt6WUmXc9UINUNJUS5OYXNkYXFHUzpJTlRDLklRX1RFVl9UT1RBTF9SRVZfRldELjYwMDAuMy8yNC8yMDE2AQAAAIdSAAACAAAAEDIuNTEyOTI5MzMxMTc4NDYBDQAAAAUAAAABOQEAAAAHMjYyMTI5NQIAAAAKMTAwMDkxNTQwMgMAAAAGMTAwMzA3BAAAAAEyBgAAAAEwBwAAAAMxNjAIAAAAATAJAAAAATEKAAAAATALAAAACjkzNjAyMzA5MjcMAAAAAjEyDQAAAAkzLzI1LzIwMTa7+ru3k3PVCDvUSkmXc9UINUNJUS5OYXNkYXFHUzpJTlRDLklRX1RFVl9UT1RBTF9SRVZfRldELjYwMDAuNC8yOS8yMDE2AQAAAIdSAAACAAAAEDIuNjYyMjk1MzQ5NTQ0MjEBDQAAAAUAAAABOQEAAAAHMjYyMTI5NQIAAAAIMjcwMDM2NTEDAAAABjEwMDMwNwQAAAABMgYAAAABMAcAAAADMTYwCAAAAAEwCQAAAAExCgAAAAEwCwAAAAo5NDM4Njc0NTUyDAAAAAIxMg0AAAAJNC8zMC8yMDE2u0y0vZNz1Qh7UlBJl3PVCC9DSVEuTkFTREFRR1M6SU5UQy5JUV9QRV9FWENMX0ZX</t>
  </si>
  <si>
    <t>RC42MDAwLjYvMjYvMjAxNQEAAACHUgAAAgAAAA8xMy44MDkzNzU0MTczNTMBDQAAAAUAAAABOQEAAAAHMjYyMTI5NQIAAAAHODA2ODI2MAMAAAAGMTAwMzA5BAAAAAEyBgAAAAEwBwAAAAMxNjAIAAAAATAJAAAAATEKAAAAATALAAAACjg4ODI5NDIwMTIMAAAAAjEyDQAAAAk2LzI3LzIwMTXrULK9k3PVCIs9WkmXc9UIN0NJUS5OYXNkYXFHUzpJTlRDLklRX1RFVl9FQklUREFfRldEX0NJUS42MDAwLjEyLzE1LzIwMDYBAAAAh1IAAAIAAAAQOS4wMjUwMzMxMDgzMjQzMgENAAAABQAAAAE5AQAAAAcyNjIxMjk1AgAAAAcxNzU3MTUyAwAAAAYxMDAzMDgEAAAAATIGAAAAATAHAAAAAzE2MAgAAAABMAkAAAABMQoAAAABMAsAAAAKNjgzMTQ0MDYxNwwAAAACMTINAAAACjEyLzE2LzIwMDarArG7k3PVCCv4j66Xc9UIH0NJUS5eU1BYLklRX1BUQlYuMjAwMC40LzI3LzIwMTYBAAAAm7goAAIAAAAINi44Njg3MDYAWzhVuZNz1Qh79ClLl3PVCC9DSVEuTkFTREFRR1M6SU5UQy5JUV9QUklDRV9TQUxFUy4yMDAwLjgvMjgvMjAxNQEAAACHUgAAAgAAAAgyLjQ2MjU5MwEHAAAABQAAAAExAQAAAAoxNzQ3MzU5NTEyAwAAAAEwAgAAAAUzODk1OAQAAAABMAcAAAAJOC8yOC8yMDE1CAAAAAk4LzI4LzIwMTVLEVW5k3PVCPsZT0mXc9UIMENJUS5OQVNEQVFHUzpJTlRDLklRX1BFX0VYQ0xfRldELjYwMDAuMTIvMjQvMjAx</t>
  </si>
  <si>
    <t>NQEAAACHUgAAAgAAABAxNS4wNDc3NTAxNTA1NjM1AQ0AAAAFAAAAATkBAAAABzI2MjEyOTUCAAAABzgwNjgyNjIDAAAABjEwMDMwOQQAAAABMgYAAAABMAcAAAADMTYwCAAAAAEwCQAAAAExCgAAAAEwCwAAAAo5MTgyNDA1NTkxDAAAAAIxMg0AAAAKMTIvMjUvMjAxNYvXs72Tc9UIGyxZSZdz1QgvQ0lRLk5BU0RBUUdTOklOVEMuSVFfUEVfRVhDTF9GV0QuNjAwMC4xMC82LzIwMDYBAAAAh1IAAAIAAAAQMjQuMzUwODAyNjQ0MDAzOAENAAAABQAAAAE5AQAAAAcyNjIxMjk1AgAAAAcxNzU3MTUxAwAAAAYxMDAzMDkEAAAAATIGAAAAATAHAAAAAzE2MAgAAAABMAkAAAABMQoAAAABMAsAAAAKOTA0MzEzMjg5NQwAAAACMTINAAAACTEwLzcvMjAwNqsltL2Tc9UI62NRSZdz1Qg3Q0lRLk5BU0RBUUdTOklOVEMuSVFfVEVWX0VCSVREQV9GV0RfQ0lRLjYwMDAuMTAvMjMvMjAwOQEAAACHUgAAAgAAABA2LjE4MDA1Mzc3OTEyMDA2AQ0AAAAFAAAAATkBAAAABzI2MjEyOTUCAAAABzE3NTcxNjEDAAAABjEwMDMwOAQAAAABMgYAAAABMAcAAAADMTYwCAAAAAEwCQAAAAExCgAAAAEwCwAAAAo4MTcyNDA0MDA0DAAAAAIxMg0AAAAKMTAvMjQvMjAwOcuKVLuTc9UIayOOrpdz1Qg2Q0lRLk5hc2RhcUdTOklOVEMuSVFfVEVWX0VCSVREQV9GV0RfQ0lRLjYwMDAuMTEvNy8yMDA4AQAAAIdSAAACAAAAEDQuNzMxNTc0Nzgw</t>
  </si>
  <si>
    <t>NzM1NTEBDQAAAAUAAAABOQEAAAAHMjYyMTI5NQIAAAAHMTc1NzE1OAMAAAAGMTAwMzA4BAAAAAEyBgAAAAEwBwAAAAMxNjAIAAAAATAJAAAAATEKAAAAATALAAAACjY3MzA4NTg0NDQMAAAAAjEyDQAAAAkxMS84LzIwMDi7TLS9k3PVCKu/jq6Xc9UIN0NJUS5OQVNEQVFHUzpJTlRDLklRX1RFVl9FQklUREFfRldEX0NJUS42MDAwLjEwLzI1LzIwMDIBAAAAh1IAAAIAAAAQMTAuNTc4NjE1NjE4OTI3NgENAAAABQAAAAE5AQAAAAcyNjIxMjk1AgAAAAcxNzU3MTQwAwAAAAYxMDAzMDgEAAAAATIGAAAAATAHAAAAAzE2MAgAAAABMAkAAAABMQoAAAABMAsAAAAKMTE2OTEyNjU1OQwAAAACMTINAAAACjEwLzI2LzIwMDJLw1W7k3PVCDsfkK6Xc9UINUNJUS5OYXNkYXFHUzpJTlRDLklRX1RFVl9UT1RBTF9SRVZfRldELjYwMDAuNC8xNS8yMDA1AQAAAIdSAAACAAAAEDMuMTkxODE2Mzk3NjI3MDYBDQAAAAUAAAABOQEAAAAHMjYyMTI5NQIAAAAEMTg4MAMAAAAGMTAwMzA3BAAAAAEyBgAAAAEwBwAAAAMxNjAIAAAAATAJAAAAATEKAAAAATALAAAACTM2MDY2NDUxMQwAAAACMTINAAAACTQvMTYvMjAwNRskaLmTc9UI+91YSZdz1QgsQ0lRLk5BU0RBUUdTOklOVEMuSVFfTEFTVFNBTEVQUklDRS42LzEyLzIwMTMBAAAAh1IAAAIAAAAFMjQuNDYAC7ZSu5Nz1QiLoz1Ll3PVCChDSVEuTkFTREFRR1M6SU5UQy5JUV9Q</t>
  </si>
  <si>
    <t>VEJWLjIwMDAuOS8xMy8yMDEzAQAAAIdSAAACAAAACDMuMDU1MjA0AQcAAAAFAAAAATEBAAAACjE2Mjg0MzY4NDkDAAAAATACAAAABjEwMDAyOQQAAAABMAcAAAAJOS8xMy8yMDEzCAAAAAk5LzEzLzIwMTNrdma5k3PVCFvmVEmXc9UIL0NJUS5OQVNEQVFHUzpJTlRDLklRX1BFX0VYQ0xfRldELjYwMDAuNy8xMC8yMDA5AQAAAIdSAAACAAAAEDI1LjIwNDI3NDA0MTQ4MzMBDQAAAAUAAAABOQEAAAAHMjYyMTI5NQIAAAAHMTc1NzE1OQMAAAAGMTAwMzA5BAAAAAEyBgAAAAEwBwAAAAMxNjAIAAAAATAJAAAAATEKAAAAATALAAAACjg4NjM2MTQyNjAMAAAAAjEyDQAAAAk3LzExLzIwMDk7FLO9k3PVCGvvWUmXc9UINUNJUS5OYXNkYXFHUzpJTlRDLklRX1RFVl9UT1RBTF9SRVZfRldELjYwMDAuMTAvNC8yMDAyAQAAAIdSAAACAAAAEDMuMDQyNzg2NjA2Mzc1OTQBDQAAAAUAAAABOQEAAAAHMjYyMTI5NQIAAAAHMTc1NzEzOQMAAAAGMTAwMzA3BAAAAAEyBgAAAAEwBwAAAAMxNjAIAAAAATAJAAAAATEKAAAAATALAAAACjExNjkxMjU3NDYMAAAAAjEyDQAAAAkxMC81LzIwMDLrl1a5k3PVCDt6WUmXc9UIL0NJUS5OQVNEQVFHUzpJTlRDLklRX1BSSUNFX1NBTEVTLjIwMDAuOS8xMC8yMDE0AQAAAIdSAAACAAAACDMuMjMyOTQ1AQcAAAAFAAAAATEBAAAACjE2ODgwODA5OTIDAAAAATACAAAABTM4OTU4BAAAAAEw</t>
  </si>
  <si>
    <t>BwAAAAk5LzEwLzIwMTQIAAAACTkvMTAvMjAxNKtDr72Tc9UIC4k3S5dz1QgoQ0lRLk5BU0RBUUdTOklOVEMuSVFfUFRCVi4yMDAwLjIvMjAvMjAxNQEAAACHUgAAAgAAAAg0LjAyODI3MwEHAAAABQAAAAExAQAAAAoxNzE4ODU5MjkxAwAAAAEwAgAAAAYxMDAwMjkEAAAAATAHAAAACTIvMjAvMjAxNQgAAAAJMi8yMC8yMDE1u2qvvZNz1QjrtlhJl3PVCC9DSVEuTkFTREFRR1M6SU5UQy5JUV9QUklDRV9TQUxFUy4yMDAwLjQvMTEvMjAxNAEAAACHUgAAAgAAAAgyLjQ2ODU4MwEHAAAABQAAAAExAQAAAAoxNjU4MzQyNzgwAwAAAAEwAgAAAAUzODk1OAQAAAABMAcAAAAJNC8xMS8yMDE0CAAAAAk0LzExLzIwMTTLsLm3k3PVCEtsTUmXc9UINUNJUS5OQVNEQVFHUzpJTlRDLklRX1RFVl9UT1RBTF9SRVZfRldELjYwMDAuMS8yNi8yMDAxAQAAAIdSAAACAAAAEDYuODI3NjE5OTkyMTE4NTYBDQAAAAUAAAABOQEAAAAHMjYyMTI5NQIAAAAHMzE1MTMwMQMAAAAGMTAwMzA3BAAAAAEyBgAAAAEwBwAAAAMxNjAIAAAAATAJAAAAATEKAAAAATALAAAACTM2MTIxMjY3NwwAAAACMTINAAAACTEvMjcvMjAwMbv6u7eTc9UI+/tTSZdz1QgvQ0lRLk5BU0RBUUdTOklOVEMuSVFfUFJJQ0VfU0FMRVMuMjAwMC4yLzE3LzIwMTcBAAAAh1IAAAIAAAAIMi45MDU1MjQBBwAAAAUAAAABMQEAAAAKMTgyODE3NDEyMgMAAAABMAIA</t>
  </si>
  <si>
    <t>AAAFMzg5NTgEAAAAATAHAAAACTIvMTcvMjAxNwgAAAAJMi8xNy8yMDE3a3ZmuZNz1QgrcVRJl3PVCC9DSVEuTkFTREFRR1M6SU5UQy5JUV9QRV9FWENMX0ZXRC42MDAwLjkvMjcvMjAwMgEAAACHUgAAAgAAABAyMy45Mjc5ODY5MDY3MTAzAQ0AAAAFAAAAATkBAAAABzI2MjEyOTUCAAAABzE3NTcxMzkDAAAABjEwMDMwOQQAAAABMgYAAAABMAcAAAADMTYwCAAAAAEwCQAAAAExCgAAAAEwCwAAAAo5MDkwNjg4MTExDAAAAAIxMg0AAAAJOS8yOC8yMDAye7CzvZNz1QgLlFZJl3PVCDZDSVEuTkFTREFRR1M6SU5UQy5JUV9URVZfRUJJVERBX0ZXRF9DSVEuNjAwMC44LzIzLzIwMTMBAAAAh1IAAAIAAAAQNC45ODk2OTk5NTc1MTA3NgENAAAABQAAAAE5AQAAAAcyNjIxMjk1AgAAAAczODI5NzUyAwAAAAYxMDAzMDgEAAAAATIGAAAAATAHAAAAAzE2MAgAAAABMAkAAAABMQoAAAABMAsAAAAKNzYxNjYzNzIzMwwAAAACMTINAAAACTgvMjQvMjAxM4vuU7uTc9UIW/yNrpdz1QgvQ0lRLk5BU0RBUUdTOklOVEMuSVFfUEVfRVhDTF9GV0QuNjAwMC41LzI5LzIwMDkBAAAAh1IAAAIAAAAQMjYuMzU4MTQ4ODkzMzYwMgENAAAABQAAAAE5AQAAAAcyNjIxMjk1AgAAAAcxNzU3MTU5AwAAAAYxMDAzMDkEAAAAATIGAAAAATAHAAAAAzE2MAgAAAABMAkAAAABMQoAAAABMAsAAAAKODg2MzYxMzA0MwwAAAACMTINAAAACTUv</t>
  </si>
  <si>
    <t>MzAvMjAwOTsUs72Tc9UI249YSZdz1QgiQ0lRLl5TUFguSVFfTEFTVFNBTEVQUklDRS4xLzYvMjAxNgEAAACbuCgAAgAAABAxOTkwLjI2MjI5Mjc1NTUyANvXubeTc9UIS/ArS5dz1QgsQ0lRLl5TUFguSVFfVEVWX1RPVEFMX1JFVl9GV0QuNjAwMC42LzIxLzIwMTcBAAAAm7goAAIAAAAIMi4yMjg1NDMA6/65t5Nz1QhrgQxLl3PVCCtDSVEuTkFTREFRR1M6SU5UQy5JUV9MQVNUU0FMRVBSSUNFLjEvNi8yMDE2AQAAAIdSAAACAAAABTMzLjA4AMuRr72Tc9UIq9osS5dz1QgrQ0lRLl5TUFguSVFfVEVWX1RPVEFMX1JFVl9GV0QuNjAwMC42LzUvMjAxMwEAAACbuCgAAgAAAAgxLjYyMzI2MQDbuK+9k3PVCIujPUuXc9UIN0NJUS5OYXNkYXFHUzpJTlRDLklRX1RFVl9FQklUREFfRldEX0NJUS42MDAwLjEwLzE3LzIwMDgBAAAAh1IAAAIAAAAQNS4xMTMyMTA5ODg0MDU3MgENAAAABQAAAAE5AQAAAAcyNjIxMjk1AgAAAAcxNzU3MTU4AwAAAAYxMDAzMDgEAAAAATIGAAAAATAHAAAAAzE2MAgAAAABMAkAAAABMQoAAAABMAsAAAAKNjczMDg1ODQ0NAwAAAACMTINAAAACjEwLzE4LzIwMDjrnrG7k3PVCBvRj66Xc9UINkNJUS5OQVNEQVFHUzpJTlRDLklRX1RFVl9FQklUREFfRldEX0NJUS42MDAwLjEyLzgvMjAwNgEAAACHUgAAAgAAABA4Ljg5ODIxMjM1NjY4NTc3AQ0AAAAFAAAAATkBAAAABzI2MjEyOTUCAAAA</t>
  </si>
  <si>
    <t>BzE3NTcxNTIDAAAABjEwMDMwOAQAAAABMgYAAAABMAcAAAADMTYwCAAAAAEwCQAAAAExCgAAAAEwCwAAAAo2ODMxNDQwNjE3DAAAAAIxMg0AAAAJMTIvOS8yMDA2CydVu5Nz1Qj7EY2ul3PVCDVDSVEuTmFzZGFxR1M6SU5UQy5JUV9URVZfVE9UQUxfUkVWX0ZXRC42MDAwLjMvMTMvMjAxNQEAAACHUgAAAgAAAA8yLjYxNjY5NDIzMjY5MTQBDQAAAAUAAAABOQEAAAAHMjYyMTI5NQIAAAAKMTAwMDA5NDA3MQMAAAAGMTAwMzA3BAAAAAEyBgAAAAEwBwAAAAMxNjAIAAAAATAJAAAAATEKAAAAATALAAAACjg2NjgwOTExNjIMAAAAAjEyDQAAAAkzLzE0LzIwMTWLtLC7k3PVCDt6WUmXc9UINkNJUS5OQVNEQVFHUzpJTlRDLklRX1RFVl9FQklUREFfRldEX0NJUS42MDAwLjQvMjQvMjAwOQEAAACHUgAAAgAAABA4LjYxMzMzODc5OTMxMzg5AQ0AAAAFAAAAATkBAAAABzI2MjEyOTUCAAAABzE3NTcxNTkDAAAABjEwMDMwOAQAAAABMgYAAAABMAcAAAADMTYwCAAAAAEwCQAAAAExCgAAAAEwCwAAAAoxMTY5MTQ1NDk5DAAAAAIxMg0AAAAJNC8yNS8yMDA527FUu5Nz1Qirv46ul3PVCDVDSVEuTmFzZGFxR1M6SU5UQy5JUV9URVZfVE9UQUxfUkVWX0ZXRC42MDAwLjUvMTAvMjAwMgEAAACHUgAAAgAAABA1LjgzODkxOTc0MTIzNDMzAQ0AAAAFAAAAATkBAAAABzI2MjEyOTUCAAAABzE3NTcxMzgDAAAABjEwMDMwNwQA</t>
  </si>
  <si>
    <t>AAABMgYAAAABMAcAAAADMTYwCAAAAAEwCQAAAAExCgAAAAEwCwAAAAoxMTY5MTI1MzcyDAAAAAIxMg0AAAAJNS8xMS8yMDAyq61Wu5Nz1QibZFpJl3PVCDVDSVEuTmFzZGFxR1M6SU5UQy5JUV9URVZfRUJJVERBX0ZXRF9DSVEuNjAwMC42LzEvMjAxMgEAAACHUgAAAgAAABA0LjU3NzU4MjY3MzQ3MjE0AQ0AAAAFAAAAATkBAAAABzI2MjEyOTUCAAAABzE3NTcxNjgDAAAABjEwMDMwOAQAAAABMgYAAAABMAcAAAADMTYwCAAAAAEwCQAAAAExCgAAAAEwCwAAAAo2OTU1NDEyNTE2DAAAAAIxMg0AAAAINi8yLzIwMTJ7OFa7k3PVCGsjjq6Xc9UIIkNJUS5eU1BYLklRX0xBU1RTQUxFUFJJQ0UuNS84LzIwMTMBAAAAm7goAAIAAAAPMTYzMi42OTAwMTEwMjA3ACvDVLmTc9UIm8o9S5dz1QgwQ0lRLk5BU0RBUUdTOklOVEMuSVFfUEVfRVhDTF9GV0QuNjAwMC4xMS8xMy8yMDE1AQAAAIdSAAACAAAAEDEzLjg3ODIwMzc0MjkyMjYBDQAAAAUAAAABOQEAAAAHMjYyMTI5NQIAAAAHODA2ODI2MgMAAAAGMTAwMzA5BAAAAAEyBgAAAAEwBwAAAAMxNjAIAAAAATAJAAAAATEKAAAAATALAAAACjkyMzQyODg5NzcMAAAAAjEyDQAAAAoxMS8xNC8yMDE161CyvZNz1QirGlhJl3PVCC5DSVEuXlNQWC5JUV9URVZfRUJJVERBX0ZXRF9DSVEuNjAwMC4xMS8yMy8yMDE2AQAAAJu4KAACAAAACDkuODY3OTE4AJvrZrmTc9UIS7sf</t>
  </si>
  <si>
    <t>S5dz1QgvQ0lRLk5BU0RBUUdTOklOVEMuSVFfUFJJQ0VfU0FMRVMuMjAwMC4xMi8zLzIwMTQBAAAAh1IAAAIAAAAIMy4zNzExMDMBBwAAAAUAAAABMQEAAAAKMTcwMzY4MTg5NAMAAAABMAIAAAAFMzg5NTgEAAAAATAHAAAACTEyLzMvMjAxNAgAAAAJMTIvMy8yMDE0O/Gvu5Nz1QhrAjZLl3PVCDRDSVEuTmFzZGFxR1M6SU5UQy5JUV9URVZfVE9UQUxfUkVWX0ZXRC42MDAwLjMvNy8yMDE0AQAAAIdSAAACAAAAEDIuMTgyNzI1MjQzMDYxMzEBDQAAAAUAAAABOQEAAAAHMjYyMTI5NQIAAAAHNDQ1NjQyMQMAAAAGMTAwMzA3BAAAAAEyBgAAAAEwBwAAAAMxNjAIAAAAATAJAAAAATEKAAAAATALAAAACjY0OTc4MjI0NDAMAAAAAjEyDQAAAAgzLzgvMjAxNOuXVrmTc9UI6/JOSZdz1QgoQ0lRLk5BU0RBUUdTOklOVEMuSVFfUFRCVi4yMDAwLjMvMjUvMjAxMQEAAACHUgAAAgAAAAgyLjU0OTA4MwEHAAAABQAAAAExAQAAAAoxNDMwNjI0NTA5AwAAAAEwAgAAAAYxMDAwMjkEAAAAATAHAAAACTMvMjUvMjAxMQgAAAAJMy8yNS8yMDExO/Gvu5Nz1Qh7w1JJl3PVCDVDSVEuTmFzZGFxR1M6SU5UQy5JUV9URVZfVE9UQUxfUkVWX0ZXRC42MDAwLjQvMzAvMjAxMAEAAACHUgAAAgAAABAyLjU3NjA0MzQ5NjE3NzcxAQ0AAAAFAAAAATkBAAAABzI2MjEyOTUCAAAABzE3NTcxNjIDAAAABjEwMDMwNwQAAAABMgYAAAABMAcA</t>
  </si>
  <si>
    <t>AAADMTYwCAAAAAEwCQAAAAExCgAAAAEwCwAAAAo4ODYzODQ0MTY5DAAAAAIxMg0AAAAINS8xLzIwMTC7+ru3k3PVCNvLTkmXc9UIL0NJUS5OQVNEQVFHUzpJTlRDLklRX1BSSUNFX1NBTEVTLjIwMDAuMTAvMy8yMDE0AQAAAIdSAAACAAAACDMuMTQxNTUxAQcAAAAFAAAAATEBAAAACjE2ODgwODA5OTIDAAAAATACAAAABTM4OTU4BAAAAAEwBwAAAAkxMC8zLzIwMTQIAAAACTEwLzMvMjAxNLtqr72Tc9UIu0FYSZdz1Qg3Q0lRLk5hc2RhcUdTOklOVEMuSVFfVEVWX0VCSVREQV9GV0RfQ0lRLjYwMDAuMTEvMTcvMjAxNwEAAACHUgAAAgAAABA4LjI1ODgxNTI5MTA2Mjk0AQ0AAAAFAAAAATkBAAAABzI2MjEyOTUCAAAACDI3NTAwMTc0AwAAAAYxMDAzMDgEAAAAATIGAAAAATAHAAAAAzE2MAgAAAABMAkAAAABMQoAAAABMAsAAAALMTA2NTkzMjY3NTIMAAAAAjEyDQAAAAoxMS8xOC8yMDE3i19Wu5Nz1Qi75o6ul3PVCChDSVEuTkFTREFRR1M6SU5UQy5JUV9SRVZFTlVFX0VTVC5GUTEyMDE4AQAAAIdSAAACAAAACzE1MDE3LjYwNDc5AQ4AAAAFAAAAATMBAAAAATACAAAACjEwMDE1Mjg1MjMDAAAABjEwMDE4MAQAAAABMgYAAAABMAcAAAADMTYwCAAAAAEwCQAAAAExCgAAAAEwCwAAAAsxMDczNzI5NDQ4OAwAAAABMg0AAAAJMi8xNS8yMDE4EAAAAAkyLzE0LzIwMTjbuK+9k3PVCHuUP0qXc9UIIkNJUS5eU1BY</t>
  </si>
  <si>
    <t>LklRX0xBU1RTQUxFUFJJQ0UuOS8yLzIwMTUBAAAAm7goAAIAAAAQMTk0OC44NjI2MDI1OTYyNwBbT2a5k3PVCJskL0uXc9UINUNJUS5OYXNkYXFHUzpJTlRDLklRX1RFVl9UT1RBTF9SRVZfRldELjYwMDAuMTAvNy8yMDExAQAAAIdSAAACAAAAEDEuOTU4NzA3NTk3NTMyNDEBDQAAAAUAAAABOQEAAAAHMjYyMTI5NQIAAAAHMTc1NzE2NgMAAAAGMTAwMzA3BAAAAAEyBgAAAAEwBwAAAAMxNjAIAAAAATAJAAAAATEKAAAAATALAAAACjg4NjQ0MzEzNjAMAAAAAjEyDQAAAAkxMC84LzIwMTGbhla7k3PVCJvzV0mXc9UINUNJUS5OYXNkYXFHUzpJTlRDLklRX1RFVl9UT1RBTF9SRVZfRldELjYwMDAuMy8zMS8yMDE3AQAAAIdSAAACAAAAEDIuOTc4NDUyNzkwMTU1NjYBDQAAAAUAAAABOQEAAAAHMjYyMTI5NQIAAAAKMTAwMDk0NDM4NwMAAAAGMTAwMzA3BAAAAAEyBgAAAAEwBwAAAAMxNjAIAAAAATAJAAAAATEKAAAAATALAAAACzEwMDg4NzUxMjAzDAAAAAIxMg0AAAAINC8xLzIwMTdbwGi5k3PVCLtfU0mXc9UIL0NJUS5OQVNEQVFHUzpJTlRDLklRX1BSSUNFX1NBTEVTLjIwMDAuNC8xOS8yMDE3AQAAAIdSAAACAAAACDIuODYwMTI1AQcAAAAFAAAAATEBAAAACjE4MjgxNzQxMjIDAAAAATACAAAABTM4OTU4BAAAAAEwBwAAAAk0LzE5LzIwMTcIAAAACTQvMTkvMjAxNzvxr7uTc9UIy74US5dz1QgvQ0lRLk5B</t>
  </si>
  <si>
    <t>U0RBUUdTOklOVEMuSVFfUFJJQ0VfU0FMRVMuMjAwMC4zLzEzLzIwMTMBAAAAh1IAAAIAAAAHMi4wMjgyNAEHAAAABQAAAAExAQAAAAoxNTg4MTU3NDYzAwAAAAEwAgAAAAUzODk1OAQAAAABMAcAAAAJMy8xMy8yMDEzCAAAAAkzLzEzLzIwMTM78a+7k3PVCLsYPkuXc9UINkNJUS5OYXNkYXFHUzpJTlRDLklRX1RFVl9UT1RBTF9SRVZfRldELjYwMDAuMTEvMzAvMjAxMgEAAACHUgAAAgAAABAxLjc1NDE5MjM4MTQzNzQ0AQ0AAAAFAAAAATkBAAAABzI2MjEyOTUCAAAABzE3NTcxNzADAAAABjEwMDMwNwQAAAABMgYAAAABMAcAAAADMTYwCAAAAAEwCQAAAAExCgAAAAEwCwAAAAo4ODY0NDM1MTQwDAAAAAIxMg0AAAAJMTIvMS8yMDEy23BWuZNz1QhbyFlJl3PVCC1DSVEuTkFTREFRR1M6SU5UQy5JUV9MQVNUU0FMRVBSSUNFLjExLzIyLzIwMTcBAAAAh1IAAAIAAAAFNDQuNjUAC7ZSu5Nz1QirYO1Kl3PVCDZDSVEuTkFTREFRR1M6SU5UQy5JUV9URVZfRUJJVERBX0ZXRF9DSVEuNjAwMC43LzMwLzIwMDQBAAAAh1IAAAIAAAAQOC42MDg0MjM4MjQ5MDQzOQENAAAABQAAAAE5AQAAAAcyNjIxMjk1AgAAAAcxNzU3MTQ1AwAAAAYxMDAzMDgEAAAAATIGAAAAATAHAAAAAzE2MAgAAAABMAkAAAABMQoAAAABMAsAAAAKMTE2OTEyOTEzNAwAAAACMTINAAAACTcvMzEvMjAwNCt1VbuTc9UIOx+Qrpdz1Qg2Q0lRLk5B</t>
  </si>
  <si>
    <t>U0RBUUdTOklOVEMuSVFfVEVWX0VCSVREQV9GV0RfQ0lRLjYwMDAuNi8yOS8yMDEyAQAAAIdSAAACAAAAEDQuODkxNjIzODk0MjY3ODgBDQAAAAUAAAABOQEAAAAHMjYyMTI5NQIAAAAHMTc1NzE2OAMAAAAGMTAwMzA4BAAAAAEyBgAAAAEwBwAAAAMxNjAIAAAAATAJAAAAATEKAAAAATALAAAACjY5NTUzOTc2MjEMAAAAAjEyDQAAAAk2LzMwLzIwMTKbFVS7k3PVCHu7kK6Xc9UINkNJUS5OQVNEQVFHUzpJTlRDLklRX1RFVl9FQklUREFfRldEX0NJUS42MDAwLjExLzMvMjAxNwEAAACHUgAAAgAAAA84LjU1NTE5MzUxMDU1NjkBDQAAAAUAAAABOQEAAAAHMjYyMTI5NQIAAAAIMjc1MDAxNzQDAAAABjEwMDMwOAQAAAABMgYAAAABMAcAAAADMTYwCAAAAAEwCQAAAAExCgAAAAEwCwAAAAsxMDY1OTMyNjc1MgwAAAACMTINAAAACTExLzQvMjAxNzsrU7uTc9UIC6qPrpdz1QgoQ0lRLk5BU0RBUUdTOklOVEMuSVFfUFRCVi4yMDAwLjQvMTYvMjAxMAEAAACHUgAAAgAAAAgzLjQzOTgwNgEHAAAABQAAAAExAQAAAAoxMzUyNzA2NjA2AwAAAAEwAgAAAAYxMDAwMjkEAAAAATAHAAAACTQvMTYvMjAxMAgAAAAJNC8xNi8yMDEwSxFVuZNz1Qj7GU9Jl3PVCC5DSVEuTkFTREFRR1M6SU5UQy5JUV9QRV9FWENMX0ZXRC42MDAwLjQvMS8yMDA1AQAAAIdSAAACAAAAEDE3Ljg2NDkwNjgzMjI5ODEBDQAAAAUAAAABOQEAAAAH</t>
  </si>
  <si>
    <t>MjYyMTI5NQIAAAAEMTg4MAMAAAAGMTAwMzA5BAAAAAEyBgAAAAEwBwAAAAMxNjAIAAAAATAJAAAAATEKAAAAATALAAAABzE1MDkxMTYMAAAAAjEyDQAAAAg0LzIvMjAwNWuJs72Tc9UIOydSSZdz1QgvQ0lRLk5BU0RBUUdTOklOVEMuSVFfUFJJQ0VfU0FMRVMuMjAwMC45LzMwLzIwMTUBAAAAh1IAAAIAAAAIMi42MTE2MzEBBwAAAAUAAAABMQEAAAAKMTc0NzM1OTUxMgMAAAABMAIAAAAFMzg5NTgEAAAAATAHAAAACTkvMzAvMjAxNQgAAAAJOS8zMC8yMDE1y7C5t5Nz1QibJC9Ll3PVCCxDSVEuTkFTREFRR1M6SU5UQy5JUV9MQVNUU0FMRVBSSUNFLjEwLzUvMjAxNgEAAACHUgAAAgAAAAUzNy45OQArw1S5k3PVCHuhIkuXc9UINUNJUS5OYXNkYXFHUzpJTlRDLklRX1RFVl9UT1RBTF9SRVZfRldELjYwMDAuOC8yMi8yMDAzAQAAAIdSAAACAAAADzUuMjkwNjUwOTUyNjg1NgENAAAABQAAAAE5AQAAAAcyNjIxMjk1AgAAAAcxNzU3MTQyAwAAAAYxMDAzMDcEAAAAATIGAAAAATAHAAAAAzE2MAgAAAABMAkAAAABMQoAAAABMAsAAAAKMTE2OTEyNzA5NAwAAAACMTINAAAACTgvMjMvMjAwM7tMtL2Tc9UIi1tVSZdz1Qg2Q0lRLk5hc2RhcUdTOklOVEMuSVFfVEVWX0VCSVREQV9GV0RfQ0lRLjYwMDAuMTEvNC8yMDExAQAAAIdSAAACAAAAEDQuNDg2ODY1Mjg0ODMxMDEBDQAAAAUAAAABOQEAAAAHMjYyMTI5NQIA</t>
  </si>
  <si>
    <t>AAAHMTc1NzE2NwMAAAAGMTAwMzA4BAAAAAEyBgAAAAEwBwAAAAMxNjAIAAAAATAJAAAAATEKAAAAATALAAAACjgxNzA3MDg4MTIMAAAAAjEyDQAAAAkxMS81LzIwMTG7KbG7k3PVCOvqjK6Xc9UILkNJUS5OQVNEQVFHUzpJTlRDLklRX1BSSUNFX1NBTEVTLjIwMDAuMS85LzIwMTUBAAAAh1IAAAIAAAAHMy4zMTA3NgEHAAAABQAAAAExAQAAAAoxNzAzNjgxODk0AwAAAAEwAgAAAAUzODk1OAQAAAABMAcAAAAIMS85LzIwMTUIAAAACDEvOS8yMDE1O/Gvu5Nz1Qg7J1JJl3PVCChDSVEuTkFTREFRR1M6SU5UQy5JUV9QVEJWLjIwMDAuOS8yMS8yMDEyAQAAAIdSAAACAAAACDMuNDc0Njc2AQcAAAAFAAAAATEBAAAACjE1NTcyMTYyNDYDAAAAATACAAAABjEwMDAyOQQAAAABMAcAAAAJOS8yMS8yMDEyCAAAAAk5LzIxLzIwMTILtlK7k3PVCPtsVkmXc9UINkNJUS5OQVNEQVFHUzpJTlRDLklRX1RFVl9FQklUREFfRldEX0NJUS42MDAwLjMvMzAvMjAxMgEAAACHUgAAAgAAABA1LjQyNTI0OTAzOTU1NDA5AQ0AAAAFAAAAATkBAAAABzI2MjEyOTUCAAAABDE4ODcDAAAABjEwMDMwOAQAAAABMgYAAAABMAcAAAADMTYwCAAAAAEwCQAAAAExCgAAAAEwCwAAAAo1NzQ4ODMxMzg1DAAAAAIxMg0AAAAJMy8zMS8yMDEymxVUu5Nz1QhL1Y2ul3PVCC9DSVEuTkFTREFRR1M6SU5UQy5JUV9QUklDRV9TQUxFUy4yMDAwLjEx</t>
  </si>
  <si>
    <t>LzUvMjAxNAEAAACHUgAAAgAAAAgzLjA0MDU2NwEHAAAABQAAAAExAQAAAAoxNzAzNjgxODk0AwAAAAEwAgAAAAUzODk1OAQAAAABMAcAAAAJMTEvNS8yMDE0CAAAAAkxMS81LzIwMTQ76lS5k3PVCItQNkuXc9UINUNJUS5OQVNEQVFHUzpJTlRDLklRX1RFVl9UT1RBTF9SRVZfRldELjYwMDAuNi8xMC8yMDExAQAAAIdSAAACAAAAEDEuOTMzMzEwMDA1MTUwNTIBDQAAAAUAAAABOQEAAAAHMjYyMTI5NQIAAAAHMTc1NzE2NQMAAAAGMTAwMzA3BAAAAAEyBgAAAAEwBwAAAAMxNjAIAAAAATAJAAAAATEKAAAAATALAAAACjg4NjQ0Mjg5MTEMAAAAAjEyDQAAAAk2LzExLzIwMTE7wrq3k3PVCGsrUEmXc9UINUNJUS5OYXNkYXFHUzpJTlRDLklRX1RFVl9UT1RBTF9SRVZfRldELjYwMDAuMi8xMy8yMDE4AQAAAIdSAAACAAAAEDMuNDA2NjA0MDQxMjI2NjUBDQAAAAUAAAABOQEAAAAHMjYyMTI5NQIAAAAKMTAwMTUyODUyNwMAAAAGMTAwMzA3BAAAAAEyBgAAAAEwBwAAAAMxNjAIAAAAATAJAAAAATEKAAAAATALAAAACzEwNzM3Mjk0ODcyDAAAAAIxMg0AAAAJMi8xNC8yMDE4+yW6t5Nz1Qjr1FNJl3PVCDZDSVEuTkFTREFRR1M6SU5UQy5JUV9URVZfRUJJVERBX0ZXRF9DSVEuNjAwMC43LzE2LzIwMDQBAAAAh1IAAAIAAAAQNy45NjA2NzkxMzgzNTA2MgENAAAABQAAAAE5AQAAAAcyNjIxMjk1AgAAAAcxNzU3MTQ1</t>
  </si>
  <si>
    <t>AwAAAAYxMDAzMDgEAAAAATIGAAAAATAHAAAAAzE2MAgAAAABMAkAAAABMQoAAAABMAsAAAAKMTE2OTEyOTEzNAwAAAACMTINAAAACTcvMTcvMjAwNCt1VbuTc9UI2zSPrpdz1Qg1Q0lRLk5hc2RhcUdTOklOVEMuSVFfVEVWX1RPVEFMX1JFVl9GV0QuNjAwMC44LzEwLzIwMTIBAAAAh1IAAAIAAAAQMi4yMDQxNDQxMTYzNTU0NwENAAAABQAAAAE5AQAAAAcyNjIxMjk1AgAAAAcxNzU3MTY5AwAAAAYxMDAzMDcEAAAAATIGAAAAATAHAAAAAzE2MAgAAAABMAkAAAABMQoAAAABMAsAAAAKODg2NDQzMzE5NQwAAAACMTINAAAACTgvMTEvMjAxMutJV7uTc9UIi5dLSZdz1QgiQ0lRLl5TUFguSVFfTEFTVFNBTEVQUklDRS42LzgvMjAxNgEAAACbuCgAAgAAABAyMTE5LjExODI2ODU3NzIxAFtPZrmTc9UI+7soS5dz1QgvQ0lRLk5BU0RBUUdTOklOVEMuSVFfUFJJQ0VfU0FMRVMuMjAwMC40LzE2LzIwMTABAAAAh1IAAAIAAAAIMy40NjU0MzUBBwAAAAUAAAABMQEAAAAKMTM1MjcwNjYwNgMAAAABMAIAAAAFMzg5NTgEAAAAATAHAAAACTQvMTYvMjAxMAgAAAAJNC8xNi8yMDEwy7C5t5Nz1QhLbE1Jl3PVCDBDSVEuTkFTREFRR1M6SU5UQy5JUV9QUklDRV9TQUxFUy4yMDAwLjEwLzIxLzIwMTYBAAAAh1IAAAIAAAAHMi44Njc4OAEHAAAABQAAAAExAQAAAAoxODEzNTE0MzY0AwAAAAEwAgAAAAUzODk1OAQAAAABMAcA</t>
  </si>
  <si>
    <t>AAAKMTAvMjEvMjAxNggAAAAKMTAvMjEvMjAxNvuOUruTc9UIe6VXSZdz1QgZQ0lRLklOVEMuSVFfTEFTVFNBTEVQUklDRQEAAACHUgAAAgAAAAU0NC42OABbT2a5k3PVCLtfU0mXc9UIMENJUS5OQVNEQVFHUzpJTlRDLklRX1BSSUNFX1NBTEVTLjIwMDAuMTAvMTcvMjAxNAEAAACHUgAAAgAAAAgyLjgyNjIxNAEHAAAABQAAAAExAQAAAAoxNzAxOTAzNDk0AwAAAAEwAgAAAAUzODk1OAQAAAABMAcAAAAKMTAvMTcvMjAxNAgAAAAKMTAvMTcvMjAxNDvqVLmTc9UIO7ZPSZdz1Qg1Q0lRLk5hc2RhcUdTOklOVEMuSVFfVEVWX1RPVEFMX1JFVl9GV0QuNjAwMC41LzExLzIwMDEBAAAAh1IAAAIAAAAPNi4zMDA5MTEwODkzMTI0AQ0AAAAFAAAAATkBAAAABzI2MjEyOTUCAAAABzM0MjExNjADAAAABjEwMDMwNwQAAAABMgYAAAABMAcAAAADMTYwCAAAAAEwCQAAAAExCgAAAAEwCwAAAAoxMTY5MTUyMzUyDAAAAAIxMg0AAAAJNS8xMi8yMDAxqyW0vZNz1Qg7tk9Jl3PVCC9DSVEuTkFTREFRR1M6SU5UQy5JUV9QUklDRV9TQUxFUy4yMDAwLjEvMjUvMjAxNwEAAACHUgAAAgAAAAgzLjA4NDA5MgEHAAAABQAAAAExAQAAAAoxODE1NTQ0NDUwAwAAAAEwAgAAAAUzODk1OAQAAAABMAcAAAAJMS8yNS8yMDE3CAAAAAkxLzI1LzIwMTfb17m3k3PVCFsAG0uXc9UIKENJUS5OQVNEQVFHUzpJTlRDLklRX1BUQlYuMjAwMC42</t>
  </si>
  <si>
    <t>LzI2LzIwMTUBAAAAh1IAAAIAAAAGMy42ODIzAQcAAAAFAAAAATEBAAAACjE3MzA3NjI3NTUDAAAAATACAAAABjEwMDAyOQQAAAABMAcAAAAJNi8yNi8yMDE1CAAAAAk2LzI2LzIwMTX7jlK7k3PVCHulV0mXc9UIH0NJUS5eU1BYLklRX1BUQlYuMjAwMC44LzIwLzIwMTQBAAAAm7goAAIAAAAINS4zNjM2NjkAi8RmuZNz1QgbsDdLl3PVCC5DSVEuTkFTREFRR1M6SU5UQy5JUV9QUklDRV9TQUxFUy4yMDAwLjMvNC8yMDE1AQAAAIdSAAACAAAACDIuOTkzMDU3AQcAAAAFAAAAATEBAAAACjE3MTg4NTkyOTEDAAAAATACAAAABTM4OTU4BAAAAAEwBwAAAAgzLzQvMjAxNQgAAAAIMy80LzIwMTV7nWa5k3PVCCv1MkuXc9UIJkNJUS5eU1BYLklRX1BFX0VYQ0xfRldELjYwMDAuNS8yMi8yMDEzAQAAAJu4KAACAAAACTE0LjY2NDMxOQDbuK+9k3PVCIujPUuXc9UILENJUS5OQVNEQVFHUzpJTlRDLklRX0xBU1RTQUxFUFJJQ0UuOS8yMy8yMDE1AQAAAIdSAAACAAAABTI4Ljc0ANu4r72Tc9UImyQvS5dz1Qg1Q0lRLk5BU0RBUUdTOklOVEMuSVFfVEVWX0VCSVREQV9GV0RfQ0lRLjYwMDAuOC84LzIwMDgBAAAAh1IAAAIAAAAQNy43ODQwMzIyODc4Nzk3MgENAAAABQAAAAE5AQAAAAcyNjIxMjk1AgAAAAcxNzU3MTU3AwAAAAYxMDAzMDgEAAAAATIGAAAAATAHAAAAAzE2MAgAAAABMAkAAAABMQoAAAABMAsAAAAKNjcz</t>
  </si>
  <si>
    <t>MTM2NDM0MQwAAAACMTINAAAACDgvOS8yMDA469hUu5Nz1Qgrh42ul3PVCDdDSVEuTmFzZGFxR1M6SU5UQy5JUV9URVZfRUJJVERBX0ZXRF9DSVEuNjAwMC4xMS8yNS8yMDE2AQAAAIdSAAACAAAAEDcuNTIzNjIyOTMzMzE0MjkBDQAAAAUAAAABOQEAAAAHMjYyMTI5NQIAAAAIMjcwMDM2NTMDAAAABjEwMDMwOAQAAAABMgYAAAABMAcAAAADMTYwCAAAAAEwCQAAAAExCgAAAAEwCwAAAAo5ODYwMDIwMjk5DAAAAAIxMg0AAAAKMTEvMjYvMjAxNpuGVruTc9UI28OMrpdz1QgoQ0lRLk5BU0RBUUdTOklOVEMuSVFfUkVWRU5VRV9FU1QuRlEyMjAxNwEAAACHUgAAAgAAAAsxNDM5My4wMzY2MgEOAAAABQAAAAEzAQAAAAEwAgAAAAoxMDAwOTQ0Mzg0AwAAAAYxMDAxODAEAAAAATIGAAAAATAHAAAAAzE2MAgAAAABMAkAAAABMQoAAAABMAsAAAALMTAzMzMyNzY1ODYMAAAAATINAAAACTIvMTUvMjAxOBAAAAAJNi8zMC8yMDE3a2awu5Nz1QhLg15Jl3PVCDZDSVEuTmFzZGFxR1M6SU5UQy5JUV9URVZfRUJJVERBX0ZXRF9DSVEuNjAwMC4yLzEyLzIwMTABAAAAh1IAAAIAAAAQNS45MzkzMDM4MjE2NjIyMQENAAAABQAAAAE5AQAAAAcyNjIxMjk1AgAAAAQxODg1AwAAAAYxMDAzMDgEAAAAATIGAAAAATAHAAAAAzE2MAgAAAABMAkAAAABMQoAAAABMAsAAAAJMzYwNzQwNTU5DAAAAAIxMg0AAAAJMi8xMy8yMDEwu0y0</t>
  </si>
  <si>
    <t>vZNz1QhrI46ul3PVCDVDSVEuTmFzZGFxR1M6SU5UQy5JUV9URVZfVE9UQUxfUkVWX0ZXRC42MDAwLjUvMjcvMjAxMQEAAACHUgAAAgAAABAyLjAxNTA5OTU5MTQ0MjgzAQ0AAAAFAAAAATkBAAAABzI2MjEyOTUCAAAABzE3NTcxNjUDAAAABjEwMDMwNwQAAAABMgYAAAABMAcAAAADMTYwCAAAAAEwCQAAAAExCgAAAAEwCwAAAAo1NzE1NjUwNjA4DAAAAAIxMg0AAAAJNS8yOC8yMDExi7Swu5Nz1Qg7tk9Jl3PVCDRDSVEuTmFzZGFxR1M6SU5UQy5JUV9URVZfVE9UQUxfUkVWX0ZXRC42MDAwLjgvOC8yMDAzAQAAAIdSAAACAAAADzQuNjQ3NzM3MzkzMjYzMgENAAAABQAAAAE5AQAAAAcyNjIxMjk1AgAAAAcxNzU3MTQyAwAAAAYxMDAzMDcEAAAAATIGAAAAATAHAAAAAzE2MAgAAAABMAkAAAABMQoAAAABMAsAAAAKOTExMTA2MzI5MAwAAAACMTINAAAACDgvOS8yMDAzu/q7t5Nz1Qgrj09Jl3PVCC9DSVEuTkFTREFRR1M6SU5UQy5JUV9QRV9FWENMX0ZXRC42MDAwLjgvMTgvMjAwNgEAAACHUgAAAgAAABAyMi4xMzY2Njk4NzQ4Nzk3AQ0AAAAFAAAAATkBAAAABzI2MjEyOTUCAAAABzE3NTcxNTEDAAAABjEwMDMwOQQAAAABMgYAAAABMAcAAAADMTYwCAAAAAEwCQAAAAExCgAAAAEwCwAAAAo1NzUyMzI3MDkwDAAAAAIxMg0AAAAJOC8xOS8yMDA2W2KzvZNz1QgLI1RJl3PVCDBDSVEuTkFTREFRR1M6SU5UQy5J</t>
  </si>
  <si>
    <t>UV9QUklDRV9TQUxFUy4yMDAwLjExLzI4LzIwMTQBAAAAh1IAAAIAAAAIMy4zNTQ4OTEBBwAAAAUAAAABMQEAAAAKMTcwMzY4MTg5NAMAAAABMAIAAAAFMzg5NTgEAAAAATAHAAAACjExLzI4LzIwMTQIAAAACjExLzI4LzIwMTT7jlK7k3PVCGt+V0mXc9UII0NJUS5eU1BYLklRX0xBU1RTQUxFUFJJQ0UuMi8xOC8yMDE1AQAAAJu4KAACAAAADjIwOTkuNjc1MzQzNzg5AFs/sLuTc9UIG84yS5dz1QgvQ0lRLk5BU0RBUUdTOklOVEMuSVFfUEVfRVhDTF9GV0QuNjAwMC40LzEzLzIwMDcBAAAAh1IAAAIAAAAPMTkuMDM4MDQ4MTgxMzM2AQ0AAAAFAAAAATkBAAAABzI2MjEyOTUCAAAABDE4ODIDAAAABjEwMDMwOQQAAAABMgYAAAABMAcAAAADMTYwCAAAAAEwCQAAAAExCgAAAAEwCwAAAAsxMDM3ODUyMjgxMQwAAAACMTINAAAACTQvMTQvMjAwN1tis72Tc9UIm4JVSZdz1Qg0Q0lRLk5hc2RhcUdTOklOVEMuSVFfVEVWX1RPVEFMX1JFVl9GV0QuNjAwMC4yLzkvMjAxOAEAAACHUgAAAgAAABAzLjM2OTc5MzM2MjgyNjUxAQ0AAAAFAAAAATkBAAAABzI2MjEyOTUCAAAACjEwMDE1Mjg1MjcDAAAABjEwMDMwNwQAAAABMgYAAAABMAcAAAADMTYwCAAAAAEwCQAAAAExCgAAAAEwCwAAAAsxMDczNzI5NDg3MgwAAAACMTINAAAACTIvMTAvMjAxOPslureTc9UIS6FZSZdz1QguQ0lRLk5BU0RBUUdTOklOVEMuSVFfUFJJ</t>
  </si>
  <si>
    <t>Q0VfU0FMRVMuMjAwMC4yLzQvMjAxNQEAAACHUgAAAgAAAAgyLjk0NzQ0MgEHAAAABQAAAAExAQAAAAoxNzE1MzI4NjQzAwAAAAEwAgAAAAUzODk1OAQAAAABMAcAAAAIMi80LzIwMTUIAAAACDIvNC8yMDE1SxFVuZNz1Qi7VDRLl3PVCCdDSVEuTkFTREFRR1M6SU5UQy5JUV9QVEJWLjIwMDAuMy80LzIwMTEBAAAAh1IAAAIAAAAIMi42OTc5OTgBBwAAAAUAAAABMQEAAAAKMTQzMDYyNDUwOQMAAAABMAIAAAAGMTAwMDI5BAAAAAEwBwAAAAgzLzQvMjAxMQgAAAAIMy80LzIwMTHLsLm3k3PVCDtFTUmXc9UIJUNJUS5eU1BYLklRX1BFX0VYQ0xfRldELjYwMDAuNS82LzIwMTUBAAAAm7goAAIAAAAJMTcuMjYyNzAzANu4r72Tc9UIi24xS5dz1QgiQ0lRLl5TUFguSVFfTEFTVFNBTEVQUklDRS4yLzgvMjAxNwEAAACbuCgAAgAAABAyMjk0LjY2ODYxMzk2NzA2ACvDVLmTc9UIe90YS5dz1Qg2Q0lRLk5BU0RBUUdTOklOVEMuSVFfVEVWX0VCSVREQV9GV0RfQ0lRLjYwMDAuMTEvOS8yMDA3AQAAAIdSAAACAAAAEDguMzMwNzUyMzIyNjE4NzMBDQAAAAUAAAABOQEAAAAHMjYyMTI5NQIAAAAHMTc1NzE1NQMAAAAGMTAwMzA4BAAAAAEyBgAAAAEwBwAAAAMxNjAIAAAAATAJAAAAATEKAAAAATALAAAACjExNjkxMzk1MzMMAAAAAjEyDQAAAAoxMS8xMC8yMDA3+/9Uu5Nz1Qj7EY2ul3PVCCNDSVEuXlNQWC5JUV9MQVNU</t>
  </si>
  <si>
    <t>U0FMRVBSSUNFLjgvMjYvMjAxNQEAAACbuCgAAgAAABAxOTQwLjUxMDcxNzI1MTI0ANvXubeTc9UIq0svS5dz1Qg2Q0lRLk5hc2RhcUdTOklOVEMuSVFfVEVWX0VCSVREQV9GV0RfQ0lRLjYwMDAuNy8xNS8yMDExAQAAAIdSAAACAAAADjQuNzE5NDgzMDg4NTU4AQ0AAAAFAAAAATkBAAAABzI2MjEyOTUCAAAABzE3NTcxNjUDAAAABjEwMDMwOAQAAAABMgYAAAABMAcAAAADMTYwCAAAAAEwCQAAAAExCgAAAAEwCwAAAAoxMzI2MTU4Mjc5DAAAAAIxMg0AAAAJNy8xNi8yMDEx23exu5Nz1Qjr6oyul3PVCCtDSVEuXlNQWC5JUV9URVZfVE9UQUxfUkVWX0ZXRC42MDAwLjUvNy8yMDE0AQAAAJu4KAACAAAACDEuODA3ODQ1ACsEU7uTc9UI24Q5S5dz1QgwQ0lRLk5BU0RBUUdTOklOVEMuSVFfUFJJQ0VfU0FMRVMuMjAwMC4xMi8yMy8yMDExAQAAAIdSAAACAAAACDIuNTQzNTQ5AQcAAAAFAAAAATEBAAAACjE0ODAyMTUzODEDAAAAATACAAAABTM4OTU4BAAAAAEwBwAAAAoxMi8yMy8yMDExCAAAAAoxMi8yMy8yMDExSxiwu5Nz1Qj7ilFJl3PVCC1DSVEuXlNQWC5JUV9URVZfRUJJVERBX0ZXRF9DSVEuNjAwMC43LzMxLzIwMTMBAAAAm7goAAIAAAAHOC4yMTAxNwDbuK+9k3PVCGtVPUuXc9UILENJUS5OQVNEQVFHUzpJTlRDLklRX0xBU1RTQUxFUFJJQ0UuNi8xOC8yMDE0AQAAAIdSAAACAAAABTI5LjkzAAu2UruT</t>
  </si>
  <si>
    <t>c9UIm+g4S5dz1QgtQ0lRLl5TUFguSVFfVEVWX0VCSVREQV9GV0RfQ0lRLjYwMDAuOC8xMi8yMDE1AQAAAJu4KAACAAAABzkuNzkwMTcA27ivvZNz1Qjr5y9Ll3PVCC9DSVEuTkFTREFRR1M6SU5UQy5JUV9QRV9FWENMX0ZXRC42MDAwLjMvMzAvMjAwNwEAAACHUgAAAgAAABAxNy42MzM3NzQyNTQ1MDUyAQ0AAAAFAAAAATkBAAAABzI2MjEyOTUCAAAABDE4ODIDAAAABjEwMDMwOQQAAAABMgYAAAABMAcAAAADMTYwCAAAAAEwCQAAAAExCgAAAAEwCwAAAAsxMDM3ODUyMjgzNQwAAAACMTINAAAACTMvMzEvMjAwN1tis72Tc9UIO3pZSZdz1Qg1Q0lRLk5hc2RhcUdTOklOVEMuSVFfVEVWX1RPVEFMX1JFVl9GV0QuNjAwMC4yLzI4LzIwMDMBAAAAh1IAAAIAAAAQMy42MzAxNjg3MDMxOTczOQENAAAABQAAAAE5AQAAAAcyNjIxMjk1AgAAAAQxODc4AwAAAAYxMDAzMDcEAAAAATIGAAAAATAHAAAAAzE2MAgAAAABMAkAAAABMQoAAAABMAsAAAAJMzYwNjU2NDI0DAAAAAIxMg0AAAAIMy8xLzIwMDPLSVa5k3PVCAtBT0mXc9UIKENJUS5OQVNEQVFHUzpJTlRDLklRX1BUQlYuMjAwMC4xMi8yLzIwMTEBAAAAh1IAAAIAAAAINC4xMzAwNjkBBwAAAAUAAAABMQEAAAAKMTQ4MDIxNTM4MQMAAAABMAIAAAAGMTAwMDI5BAAAAAEwBwAAAAkxMi8yLzIwMTEIAAAACTEyLzIvMjAxMUsRVbmTc9UIK49PSZdz1Qg2Q0lRLk5h</t>
  </si>
  <si>
    <t>c2RhcUdTOklOVEMuSVFfVEVWX0VCSVREQV9GV0RfQ0lRLjYwMDAuOC8yNS8yMDE3AQAAAIdSAAACAAAAEDYuNTgxNTUzODY4MjE4ODQBDQAAAAUAAAABOQEAAAAHMjYyMTI5NQIAAAAIMjc1MDAxNzMDAAAABjEwMDMwOAQAAAABMgYAAAABMAcAAAADMTYwCAAAAAEwCQAAAAExCgAAAAEwCwAAAAsxMDQ5MTU4NjQ5MgwAAAACMTINAAAACTgvMjYvMjAxN/vFsbuTc9UIG2CNrpdz1Qg1Q0lRLk5hc2RhcUdTOklOVEMuSVFfVEVWX1RPVEFMX1JFVl9GV0QuNjAwMC44LzE1LzIwMTQBAAAAh1IAAAIAAAAQMi45Mjk0ODQxOTIyMTkyNwENAAAABQAAAAE5AQAAAAcyNjIxMjk1AgAAAAc0NDU2NDI4AwAAAAYxMDAzMDcEAAAAATIGAAAAATAHAAAAAzE2MAgAAAABMAkAAAABMQoAAAABMAsAAAAKODg2MDE5MzgyNQwAAAACMTINAAAACTgvMTYvMjAxNJuGVruTc9UIK+JWSZdz1QgsQ0lRLl5TUFguSVFfVEVWX1RPVEFMX1JFVl9GV0QuNjAwMC4xMS82LzIwMTMBAAAAm7goAAIAAAAIMS43MjUwNjIAm+tmuZNz1Qg74DxLl3PVCC1DSVEuXlNQWC5JUV9URVZfVE9UQUxfUkVWX0ZXRC42MDAwLjExLzExLzIwMTUBAAAAm7goAAIAAAAIMi4wMzM5NTUAKwRTu5Nz1Qg7Oi5Ll3PVCC9DSVEuTkFTREFRR1M6SU5UQy5JUV9QRV9FWENMX0ZXRC42MDAwLjgvMjYvMjAxMQEAAACHUgAAAgAAABA4LjM1OTQwODAzMzgyNjY0AQ0A</t>
  </si>
  <si>
    <t>AAAFAAAAATkBAAAABzI2MjEyOTUCAAAABzE3NTcxNjYDAAAABjEwMDMwOQQAAAABMgYAAAABMAcAAAADMTYwCAAAAAEwCQAAAAExCgAAAAEwCwAAAAo4ODYzMzYzMTkyDAAAAAIxMg0AAAAJOC8yNy8yMDExG8ayvZNz1Qg7ellJl3PVCC9DSVEuTkFTREFRR1M6SU5UQy5JUV9QRV9FWENMX0ZXRC42MDAwLjEyLzkvMjAxMQEAAACHUgAAAgAAABA5LjU5Mzc3MDM3ODYxMDYxAQ0AAAAFAAAAATkBAAAABzI2MjEyOTUCAAAABzE3NTcxNjcDAAAABjEwMDMwOQQAAAABMgYAAAABMAcAAAADMTYwCAAAAAEwCQAAAAExCgAAAAEwCwAAAAo4ODY0NDMxMTI3DAAAAAIxMg0AAAAKMTIvMTAvMjAxMRvGsr2Tc9UIO3pZSZdz1QgtQ0lRLl5TUFguSVFfVEVWX0VCSVREQV9GV0RfQ0lRLjYwMDAuMTEvMS8yMDE3AQAAAJu4KAACAAAACTEwLjQyOTgwNABrZrC7k3PVCFt/8UqXc9UIJUNJUS5eU1BYLklRX1BFX0VYQ0xfRldELjYwMDAuNy82LzIwMTYBAAAAm7goAAIAAAAIMTcuMzQ5MTMA6/65t5Nz1QgrwCZLl3PVCC5DSVEuTkFTREFRR1M6SU5UQy5JUV9QUklDRV9TQUxFUy4yMDAwLjkvOS8yMDExAQAAAIdSAAACAAAACDIuMjI0Njc5AQcAAAAFAAAAATEBAAAACjE0NjU2MzEwNzEDAAAAATACAAAABTM4OTU4BAAAAAEwBwAAAAg5LzkvMjAxMQgAAAAIOS85LzIwMTF7nWa5k3PVCLtfU0mXc9UINkNJUS5OYXNkYXFHUzpJ</t>
  </si>
  <si>
    <t>TlRDLklRX1RFVl9UT1RBTF9SRVZfRldELjYwMDAuMTIvMTQvMjAwMQEAAACHUgAAAgAAABA3LjgzMDkyMDU5NTE0ODUyAQ0AAAAFAAAAATkBAAAABzI2MjEyOTUCAAAABzM0MjExNjIDAAAABjEwMDMwNwQAAAABMgYAAAABMAcAAAADMTYwCAAAAAEwCQAAAAExCgAAAAEwCwAAAAoxMTY5MTUyNTYwDAAAAAIxMg0AAAAKMTIvMTUvMjAwMasCsbuTc9UIiwhOSZdz1QgvQ0lRLk5BU0RBUUdTOklOVEMuSVFfUFJJQ0VfU0FMRVMuMjAwMC4xMC81LzIwMTYBAAAAh1IAAAIAAAAIMy4xNzM2NjIBBwAAAAUAAAABMQEAAAAKMTgwMTI5NDUwMQMAAAABMAIAAAAFMzg5NTgEAAAAATAHAAAACTEwLzUvMjAxNggAAAAJMTAvNS8yMDE2u2qvvZNz1Qh7oSJLl3PVCDZDSVEuTmFzZGFxR1M6SU5UQy5JUV9URVZfRUJJVERBX0ZXRF9DSVEuNjAwMC40LzE1LzIwMTYBAAAAh1IAAAIAAAAQNi40ODQwNDc2NTAwOTgwOQENAAAABQAAAAE5AQAAAAcyNjIxMjk1AgAAAAoxMDAwOTE1NDAyAwAAAAYxMDAzMDgEAAAAATIGAAAAATAHAAAAAzE2MAgAAAABMAkAAAABMQoAAAABMAsAAAAKOTQwMDY5OTY2NwwAAAACMTINAAAACTQvMTYvMjAxNrtMtL2Tc9UI28OMrpdz1Qg1Q0lRLk5hc2RhcUdTOklOVEMuSVFfVEVWX1RPVEFMX1JFVl9GV0QuNjAwMC4xLzIyLzIwMTABAAAAh1IAAAIAAAAQMi40MjYyNDI0MzIxNTA2NgENAAAABQAA</t>
  </si>
  <si>
    <t>AAE5AQAAAAcyNjIxMjk1AgAAAAQxODg1AwAAAAYxMDAzMDcEAAAAATIGAAAAATAHAAAAAzE2MAgAAAABMAkAAAABMQoAAAABMAsAAAAJMzYwNzM2MTQ3DAAAAAIxMg0AAAAJMS8yMy8yMDEwW8BouZNz1Qi7DExJl3PVCDVDSVEuTmFzZGFxR1M6SU5UQy5JUV9URVZfVE9UQUxfUkVWX0ZXRC42MDAwLjUvMzAvMjAwOAEAAACHUgAAAgAAAA8zLjAwMzcyOTA0MjM0NzgBDQAAAAUAAAABOQEAAAAHMjYyMTI5NQIAAAAHMTc1NzE1NgMAAAAGMTAwMzA3BAAAAAEyBgAAAAEwBwAAAAMxNjAIAAAAATAJAAAAATEKAAAAATALAAAACjg4NjM1MTA2MjIMAAAAAjEyDQAAAAk1LzMxLzIwMDirJbS9k3PVCGsNVUmXc9UIJENJUS5eU1BYLklRX0xBU1RTQUxFUFJJQ0UuMTEvMTgvMjAxNQEAAACbuCgAAgAAABAyMDgzLjU4MTAxMTY3NzUyACvDVLmTc9UI63YtS5dz1QgoQ0lRLk5BU0RBUUdTOklOVEMuSVFfUFRCVi4yMDAwLjgvMzAvMjAxMwEAAACHUgAAAgAAAAgyLjg2NDkwNQEHAAAABQAAAAExAQAAAAoxNjI4NDM2ODQ5AwAAAAEwAgAAAAYxMDAwMjkEAAAAATAHAAAACTgvMzAvMjAxMwgAAAAJOC8zMC8yMDEza3ZmuZNz1QgrcVRJl3PVCCNDSVEuXlNQWC5JUV9MQVNUU0FMRVBSSUNFLjEvMjAvMjAxNgEAAACbuCgAAgAAABAxODU5LjMyODQ2MTk0NjI0AMuRr72Tc9UIG3srS5dz1QgpQ0lRLk5BU0RBUUdTOklOVEMu</t>
  </si>
  <si>
    <t>SVFfUFRCVi4yMDAwLjExLzIyLzIwMTMBAAAAh1IAAAIAAAAIMy4wMDEzMjgBBwAAAAUAAAABMQEAAAAKMTY0MjQ4Mzc5MgMAAAABMAIAAAAGMTAwMDI5BAAAAAEwBwAAAAoxMS8yMi8yMDEzCAAAAAoxMS8yMi8yMDEzC7ZSu5Nz1Qi70FVJl3PVCCRDSVEuXlNQWC5JUV9MQVNUU0FMRVBSSUNFLjExLzE2LzIwMTYBAAAAm7goAAIAAAAQMjE3Ni45NDA5MDMyNzE1OADr/rm3k3PVCKs0HkuXc9UILkNJUS5eU1BYLklRX1RFVl9FQklUREFfRldEX0NJUS42MDAwLjEyLzEzLzIwMTcBAAAAm7goAAIAAAAJMTAuNzY0NzE4AJvrZrmTc9UIK6DYSpdz1QgvQ0lRLk5BU0RBUUdTOklOVEMuSVFfUEVfRVhDTF9GV0QuNjAwMC43LzI1LzIwMDMBAAAAh1IAAAIAAAAQMzAuOTA1NzA3MTk2MDI5OAENAAAABQAAAAE5AQAAAAcyNjIxMjk1AgAAAAcxNzU3MTQyAwAAAAYxMDAzMDkEAAAAATIGAAAAATAHAAAAAzE2MAgAAAABMAkAAAABMQoAAAABMAsAAAAKNjgzMTQ0MTk0NwwAAAACMTINAAAACTcvMjYvMjAwM3uws72Tc9UIu19TSZdz1QglQ0lRLl5TUFguSVFfUEVfRVhDTF9GV0QuNjAwMC41LzEvMjAxMwEAAACbuCgAAgAAAAkxNC4wNzgwNDIAe42wu5Nz1Qibyj1Ll3PVCDZDSVEuTkFTREFRR1M6SU5UQy5JUV9URVZfRUJJVERBX0ZXRF9DSVEuNjAwMC45LzEyLzIwMDMBAAAAh1IAAAIAAAAQMTIuODc2MzIwMTE5Njcw</t>
  </si>
  <si>
    <t>OQENAAAABQAAAAE5AQAAAAcyNjIxMjk1AgAAAAcxNzU3MTQyAwAAAAYxMDAzMDgEAAAAATIGAAAAATAHAAAAAzE2MAgAAAABMAkAAAABMQoAAAABMAsAAAAKMTE2OTEyNzY4MQwAAAACMTINAAAACTkvMTMvMjAwMzucVbuTc9UIO66Nrpdz1QgjQ0lRLl5TUFguSVFfTEFTVFNBTEVQUklDRS45LzMwLzIwMTUBAAAAm7goAAIAAAAPMTkyMC4wMjY1NTE2Mzk3AOv+ubeTc9UIi/0uS5dz1QgoQ0lRLk5BU0RBUUdTOklOVEMuSVFfUFRCVi4yMDAwLjUvMjAvMjAxNgEAAACHUgAAAgAAAAc0LjI5NjczAQcAAAAFAAAAATEBAAAACjE3ODkxOTMzNDMDAAAAATACAAAABjEwMDAyOQQAAAABMAcAAAAJNS8yMC8yMDE2CAAAAAk1LzIwLzIwMTb7jlK7k3PVCDsJV0mXc9UIJkNJUS5eU1BYLklRX1BFX0VYQ0xfRldELjYwMDAuNS8yOS8yMDEzAQAAAJu4KAACAAAACTE0LjYxODk0MgD7+Ii2k3PVCIujPUuXc9UILUNJUS5OQVNEQVFHUzpJTlRDLklRX0xBU1RTQUxFUFJJQ0UuMTAvMTIvMjAxNgEAAACHUgAAAgAAAAUzNy4xMwBbP7C7k3PVCEssIkuXc9UILENJUS5eU1BYLklRX1RFVl9UT1RBTF9SRVZfRldELjYwMDAuNS8yNS8yMDE2AQAAAJu4KAACAAAACDIuMDQ2OTg5APv4iLaTc9UIW6YpS5dz1Qg1Q0lRLk5hc2RhcUdTOklOVEMuSVFfVEVWX1RPVEFMX1JFVl9GV0QuNjAwMC42LzI3LzIwMTQBAAAAh1IAAAIAAAAQ</t>
  </si>
  <si>
    <t>Mi42NzMxMjkwNDU2NjY3MQENAAAABQAAAAE5AQAAAAcyNjIxMjk1AgAAAAc0NDU2NDI3AwAAAAYxMDAzMDcEAAAAATIGAAAAATAHAAAAAzE2MAgAAAABMAkAAAABMQoAAAABMAsAAAAKODg2MDE5MDI1OQwAAAACMTINAAAACTYvMjgvMjAxNKv7VbmTc9UIexZaSZdz1Qg0Q0lRLk5hc2RhcUdTOklOVEMuSVFfVEVWX1RPVEFMX1JFVl9GV0QuNjAwMC42LzgvMjAxMgEAAACHUgAAAgAAABAyLjE0MzU1NDEyNTIwMTY5AQ0AAAAFAAAAATkBAAAABzI2MjEyOTUCAAAABzE3NTcxNjgDAAAABjEwMDMwNwQAAAABMgYAAAABMAcAAAADMTYwCAAAAAEwCQAAAAExCgAAAAEwCwAAAAo4MTcwNzA3ODIzDAAAAAIxMg0AAAAINi85LzIwMTLLULG7k3PVCDsJV0mXc9UINkNJUS5OYXNkYXFHUzpJTlRDLklRX1RFVl9FQklUREFfRldEX0NJUS42MDAwLjkvMjIvMjAwNgEAAACHUgAAAgAAABAxMC40MTIxMDkzOTgzMDkzAQ0AAAAFAAAAATkBAAAABzI2MjEyOTUCAAAABzE3NTcxNTEDAAAABjEwMDMwOAQAAAABMgYAAAABMAcAAAADMTYwCAAAAAEwCQAAAAExCgAAAAEwCwAAAAoxMTY5MTM0NTYwDAAAAAIxMg0AAAAJOS8yMy8yMDA2u9RWu5Nz1Qgb0Y+ul3PVCDZDSVEuTkFTREFRR1M6SU5UQy5JUV9URVZfRUJJVERBX0ZXRF9DSVEuNjAwMC4xMC8yLzIwMDkBAAAAh1IAAAIAAAAQNy4xMDE5NzI0MzI5MzcwNAENAAAABQAA</t>
  </si>
  <si>
    <t>AAE5AQAAAAcyNjIxMjk1AgAAAAcxNzU3MTYwAwAAAAYxMDAzMDgEAAAAATIGAAAAATAHAAAAAzE2MAgAAAABMAkAAAABMQoAAAABMAsAAAAKODE3MjQwMzM2MgwAAAACMTINAAAACTEwLzMvMjAwOcuKVLuTc9UI2zSPrpdz1Qg2Q0lRLk5BU0RBUUdTOklOVEMuSVFfVEVWX0VCSVREQV9GV0RfQ0lRLjYwMDAuMy8yMC8yMDA5AQAAAIdSAAACAAAAEDkuMjY0NTk2MzIxNDk0MTcBDQAAAAUAAAABOQEAAAAHMjYyMTI5NQIAAAAEMTg4NAMAAAAGMTAwMzA4BAAAAAEyBgAAAAEwBwAAAAMxNjAIAAAAATAJAAAAATEKAAAAATALAAAACTM2MDcxOTY0NQwAAAACMTINAAAACTMvMjEvMjAwOduxVLuTc9UIK4eNrpdz1QgwQ0lRLk5BU0RBUUdTOklOVEMuSVFfUEVfRVhDTF9GV0QuNjAwMC4xMi8xOS8yMDE0AQAAAIdSAAACAAAAEDE1LjM1MTgyMTM2Njc2MzcBDQAAAAUAAAABOQEAAAAHMjYyMTI5NQIAAAAHNDQ1NjQyOQMAAAAGMTAwMzA5BAAAAAEyBgAAAAEwBwAAAAMxNjAIAAAAATAJAAAAATEKAAAAATALAAAACjg1MTkyNzY3NzAMAAAAAjEyDQAAAAoxMi8yMC8yMDE0+3eyvZNz1QhLMFdJl3PVCChDSVEuTkFTREFRR1M6SU5UQy5JUV9QVEJWLjIwMDAuNi8yOS8yMDEyAQAAAIdSAAACAAAACDQuMjYxMjA4AQcAAAAFAAAAATEBAAAACjE1NDUxNTY0MzgDAAAAATACAAAABjEwMDAyOQQAAAABMAcAAAAJNi8yOS8y</t>
  </si>
  <si>
    <t>MDEyCAAAAAk2LzI5LzIwMTJ7nWa5k3PVCOvUU0mXc9UIL0NJUS5OQVNEQVFHUzpJTlRDLklRX1BSSUNFX1NBTEVTLjIwMDAuMTIvMi8yMDE2AQAAAIdSAAACAAAACDIuNzg3MTA2AQcAAAAFAAAAATEBAAAACjE4MTU1NDQ0NTADAAAAATACAAAABTM4OTU4BAAAAAEwBwAAAAkxMi8yLzIwMTYIAAAACTEyLzIvMjAxNjvxr7uTc9UIa5xSSZdz1QgvQ0lRLk5BU0RBUUdTOklOVEMuSVFfUEVfRVhDTF9GV0QuNjAwMC4zLzExLzIwMTEBAAAAh1IAAAIAAAAQMTAuMjY0NTU3MDMwNTA4NAENAAAABQAAAAE5AQAAAAcyNjIxMjk1AgAAAAQxODg2AwAAAAYxMDAzMDkEAAAAATIGAAAAATAHAAAAAzE2MAgAAAABMAkAAAABMQoAAAABMAsAAAAKNTc0Nzg5MjQ4NAwAAAACMTINAAAACTMvMTIvMjAxMRvGsr2Tc9UIa+9ZSZdz1QgrQ0lRLl5TUFguSVFfVEVWX1RPVEFMX1JFVl9GV0QuNjAwMC43LzEvMjAxNQEAAACbuCgAAgAAAAgyLjAzNDc2MgB7jbC7k3PVCDurMEuXc9UIL0NJUS5OQVNEQVFHUzpJTlRDLklRX1BSSUNFX1NBTEVTLjIwMDAuMS8yMC8yMDE2AQAAAIdSAAACAAAACDIuNTM0ODM0AQcAAAAFAAAAATEBAAAACjE3NzI5NDI4MDYDAAAAATACAAAABTM4OTU4BAAAAAEwBwAAAAkxLzIwLzIwMTYIAAAACTEvMjAvMjAxNmt2ZrmTc9UIS/ArS5dz1QgwQ0lRLk5BU0RBUUdTOklOVEMuSVFfUFJJQ0VfU0FMRVMu</t>
  </si>
  <si>
    <t>MjAwMC4xMC8yOC8yMDExAQAAAIdSAAACAAAABzIuNjA0MDEBBwAAAAUAAAABMQEAAAAKMTQ3NzQ2ODUxNwMAAAABMAIAAAAFMzg5NTgEAAAAATAHAAAACjEwLzI4LzIwMTEIAAAACjEwLzI4LzIwMTGrQ6+9k3PVCEuhWUmXc9UIL0NJUS5OQVNEQVFHUzpJTlRDLklRX1BSSUNFX1NBTEVTLjIwMDAuNS8yMS8yMDEwAQAAAIdSAAACAAAACDMuMDI4OTk2AQcAAAAFAAAAATEBAAAACjEzNTc2NTkxMDEDAAAAATACAAAABTM4OTU4BAAAAAEwBwAAAAk1LzIxLzIwMTAIAAAACTUvMjEvMjAxMKtDr72Tc9UIa+9ZSZdz1QgvQ0lRLk5BU0RBUUdTOklOVEMuSVFfUEVfRVhDTF9GV0QuNjAwMC4xMS84LzIwMDIBAAAAh1IAAAIAAAAQMzQuNzAzNjMyODg3MTg5MwENAAAABQAAAAE5AQAAAAcyNjIxMjk1AgAAAAcxNzU3MTQwAwAAAAYxMDAzMDkEAAAAATIGAAAAATAHAAAAAzE2MAgAAAABMAkAAAABMQoAAAABMAsAAAAKODg1OTg5MDY3NAwAAAACMTINAAAACTExLzkvMjAwMnuws72Tc9UIy2hYSZdz1QgmQ0lRLl5TUFguSVFfUEVfRVhDTF9GV0QuNjAwMC41LzI0LzIwMTcBAAAAm7goAAIAAAAJMTcuOTkzMjM5AGtmsLuTc9UI25INS5dz1QggQ0lRLl5TUFguSVFfUFRCVi4yMDAwLjEyLzIzLzIwMTUBAAAAm7goAAIAAAAINi42NTU1OTgA29e5t5Nz1QjbTy1Ll3PVCChDSVEuTkFTREFRR1M6SU5UQy5JUV9QVEJWLjIw</t>
  </si>
  <si>
    <t>MDAuNi8yMC8yMDE0AQAAAIdSAAACAAAACDMuNTM2NTM5AQcAAAAFAAAAATEBAAAACjE2NzMzNzkzMjcDAAAAATACAAAABjEwMDAyOQQAAAABMAcAAAAJNi8yMC8yMDE0CAAAAAk2LzIwLzIwMTTLsLm3k3PVCGu6TUmXc9UINUNJUS5OYXNkYXFHUzpJTlRDLklRX1RFVl9FQklUREFfRldEX0NJUS42MDAwLjIvNi8yMDA5AQAAAIdSAAACAAAAEDkuMjEzODkyNDk0NzA1NDgBDQAAAAUAAAABOQEAAAAHMjYyMTI5NQIAAAAEMTg4NAMAAAAGMTAwMzA4BAAAAAEyBgAAAAEwBwAAAAMxNjAIAAAAATAJAAAAATEKAAAAATALAAAACTM2MDcxOTY0MgwAAAACMTINAAAACDIvNy8yMDA5m4ZWu5Nz1Qgb0Y+ul3PVCCNDSVEuXlNQWC5JUV9MQVNUU0FMRVBSSUNFLjkvMTAvMjAxNAEAAACbuCgAAgAAAA8xOTk1LjY5MjMwNjIyMjYAC7ZSu5Nz1QjL7DZLl3PVCChDSVEuTkFTREFRR1M6SU5UQy5JUV9QVEJWLjIwMDAuMi8yNC8yMDEyAQAAAIdSAAACAAAACDQuMzkyODkyAQcAAAAFAAAAATEBAAAACjE1MjM0MDM4NDkDAAAAATACAAAABjEwMDAyOQQAAAABMAcAAAAJMi8yNC8yMDEyCAAAAAkyLzI0LzIwMTLLsLm3k3PVCNtaTEmXc9UIL0NJUS5OQVNEQVFHUzpJTlRDLklRX1BFX0VYQ0xfRldELjYwMDAuMTEvNS8yMDEwAQAAAIdSAAACAAAAEDExLjMwNTY5MDEwNDg1OTcBDQAAAAUAAAABOQEAAAAHMjYyMTI5NQIAAAAH</t>
  </si>
  <si>
    <t>MTc1NzE2NAMAAAAGMTAwMzA5BAAAAAEyBgAAAAEwBwAAAAMxNjAIAAAAATAJAAAAATEKAAAAATALAAAACjg4NjM4NDY4NjUMAAAAAjEyDQAAAAkxMS82LzIwMTAr7bK9k3PVCFvmVEmXc9UILUNJUS5eU1BYLklRX1RFVl9FQklUREFfRldEX0NJUS42MDAwLjYvMTcvMjAxNQEAAACbuCgAAgAAAAkxMC4wMDA1NTkA6/65t5Nz1Qhb+TBLl3PVCDdDSVEuTmFzZGFxR1M6SU5UQy5JUV9URVZfRUJJVERBX0ZXRF9DSVEuNjAwMC4xMi8yNi8yMDE0AQAAAIdSAAACAAAAEDcuMTk0ODY0NjUxMDgzMDkBDQAAAAUAAAABOQEAAAAHMjYyMTI5NQIAAAAHNDQ1NjQyOQMAAAAGMTAwMzA4BAAAAAEyBgAAAAEwBwAAAAMxNjAIAAAAATAJAAAAATEKAAAAATALAAAACjg2NDg3OTYyMzYMAAAAAjEyDQAAAAoxMi8yNy8yMDE0i9ezvZNz1QibmI6ul3PVCDVDSVEuTkFTREFRR1M6SU5UQy5JUV9URVZfRUJJVERBX0ZXRF9DSVEuNjAwMC43LzEvMjAxMQEAAACHUgAAAgAAAA80Ljc1MDI5NDA2MzM0NDIBDQAAAAUAAAABOQEAAAAHMjYyMTI5NQIAAAAHMTc1NzE2NQMAAAAGMTAwMzA4BAAAAAEyBgAAAAEwBwAAAAMxNjAIAAAAATAJAAAAATEKAAAAATALAAAACjEzMjYxNTgyNzQMAAAAAjEyDQAAAAg3LzIvMjAxMas8VLuTc9UIayOOrpdz1Qg1Q0lRLk5hc2RhcUdTOklOVEMuSVFfVEVWX1RPVEFMX1JFVl9GV0QuNjAwMC45LzE5</t>
  </si>
  <si>
    <t>LzIwMTQBAAAAh1IAAAIAAAAQMi45ODIzNDE5MzQ3NTY0NAENAAAABQAAAAE5AQAAAAcyNjIxMjk1AgAAAAc0NDU2NDI4AwAAAAYxMDAzMDcEAAAAATIGAAAAATAHAAAAAzE2MAgAAAABMAkAAAABMQoAAAABMAsAAAAKODg2NDQ0MDUyNQwAAAACMTINAAAACTkvMjAvMjAxNKutVruTc9UIiz1aSZdz1QgrQ0lRLk5BU0RBUUdTOklOVEMuSVFfTEFTVFNBTEVQUklDRS4zLzYvMjAxMwEAAACHUgAAAgAAAAUyMS43NQAb3VK7k3PVCMs/PkuXc9UIKENJUS5OQVNEQVFHUzpJTlRDLklRX1BUQlYuMjAwMC4xMC8xLzIwMTABAAAAh1IAAAIAAAAHMi42NTA1NgEHAAAABQAAAAExAQAAAAoxMzg5NzEwNzQ0AwAAAAEwAgAAAAYxMDAwMjkEAAAAATAHAAAACTEwLzEvMjAxMAgAAAAJMTAvMS8yMDEwO/Gvu5Nz1QiL6lJJl3PVCChDSVEuTkFTREFRR1M6SU5UQy5JUV9QVEJWLjIwMDAuNC8xMS8yMDE0AQAAAIdSAAACAAAACDMuMDUyOTc5AQcAAAAFAAAAATEBAAAACjE2NTgzNDI3ODADAAAAATACAAAABjEwMDAyOQQAAAABMAcAAAAJNC8xMS8yMDE0CAAAAAk0LzExLzIwMTSrQ6+9k3PVCDt6WUmXc9UILENJUS5OQVNEQVFHUzpJTlRDLklRX0xBU1RTQUxFUFJJQ0UuNS8yNy8yMDE1AQAAAIdSAAACAAAABTMzLjcxANvXubeTc9UIe0cxS5dz1QgvQ0lRLk5BU0RBUUdTOklOVEMuSVFfUEVfRVhDTF9GV0QuNjAwMC40LzEz</t>
  </si>
  <si>
    <t>LzIwMTIBAAAAh1IAAAIAAAAQMTEuMTM1MjA0MTMyMTk1NAENAAAABQAAAAE5AQAAAAcyNjIxMjk1AgAAAAQxODg3AwAAAAYxMDAzMDkEAAAAATIGAAAAATAHAAAAAzE2MAgAAAABMAkAAAABMQoAAAABMAsAAAAKNzYxNjIwMTk4OAwAAAACMTINAAAACTQvMTQvMjAxMhvGsr2Tc9UIa35XSZdz1QgjQ0lRLl5TUFguSVFfTEFTVFNBTEVQUklDRS4xMi8zLzIwMTQBAAAAm7goAAIAAAAPMjA3NC4zMzQ2MzkxNTQ2ABvdUruTc9UIK2Y1S5dz1QgjQ0lRLl5TUFguSVFfTEFTVFNBTEVQUklDRS4yLzI2LzIwMTQBAAAAm7goAAIAAAAQMTg0NS4xNjM5NzgwOTEwNgALtlK7k3PVCJtZO0uXc9UIKUNJUS5OQVNEQVFHUzpJTlRDLklRX1BUQlYuMjAwMC4xMS8yMC8yMDE1AQAAAIdSAAACAAAACDMuODk4ODI3AQcAAAAFAAAAATEBAAAACjE3NjE3MDY4MjcDAAAAATACAAAABjEwMDAyOQQAAAABMAcAAAAKMTEvMjAvMjAxNQgAAAAKMTEvMjAvMjAxNfuOUruTc9UIe6VXSZdz1QgpQ0lRLk5BU0RBUUdTOklOVEMuSVFfUFRCVi4yMDAwLjEwLzMwLzIwMTUBAAAAh1IAAAIAAAAIMy44MDg4MzcBBwAAAAUAAAABMQEAAAAKMTc2MTcwNjgyNwMAAAABMAIAAAAGMTAwMDI5BAAAAAEwBwAAAAoxMC8zMC8yMDE1CAAAAAoxMC8zMC8yMDE1e51muZNz1QjLhlNJl3PVCDZDSVEuTmFzZGFxR1M6SU5UQy5JUV9URVZfVE9UQUxfUkVW</t>
  </si>
  <si>
    <t>X0ZXRC42MDAwLjEyLzIzLzIwMDUBAAAAh1IAAAIAAAAQMy40ODA1MTg3ODczMTQ1NwENAAAABQAAAAE5AQAAAAcyNjIxMjk1AgAAAAcxNzU3MTQ5AwAAAAYxMDAzMDcEAAAAATIGAAAAATAHAAAAAzE2MAgAAAABMAkAAAABMQoAAAABMAsAAAAKMTE2OTEzMTQ4OAwAAAACMTINAAAACjEyLzI0LzIwMDW7+ru3k3PVCDsnUkmXc9UINkNJUS5OYXNkYXFHUzpJTlRDLklRX1RFVl9FQklUREFfRldEX0NJUS42MDAwLjgvMTMvMjAwNAEAAACHUgAAAgAAABA3LjQyMDczNzcwOTE4MDA4AQ0AAAAFAAAAATkBAAAABzI2MjEyOTUCAAAABzE3NTcxNDUDAAAABjEwMDMwOAQAAAABMgYAAAABMAcAAAADMTYwCAAAAAEwCQAAAAExCgAAAAEwCwAAAAoxMTY5MTI5MTM5DAAAAAIxMg0AAAAJOC8xNC8yMDA0u0y0vZNz1Qg7ro2ul3PVCDVDSVEuTmFzZGFxR1M6SU5UQy5JUV9URVZfVE9UQUxfUkVWX0ZXRC42MDAwLjMvMTYvMjAxMgEAAACHUgAAAgAAABAyLjMxNjA5MDY3NTc0NTc5AQ0AAAAFAAAAATkBAAAABzI2MjEyOTUCAAAABDE4ODcDAAAABjEwMDMwNwQAAAABMgYAAAABMAcAAAADMTYwCAAAAAEwCQAAAAExCgAAAAEwCwAAAAo1NzQ4ODI3NjQwDAAAAAIxMg0AAAAJMy8xNy8yMDEy+3BXu5Nz1QgrU1lJl3PVCCdDSVEuXlNQWC5JUV9QRV9FWENMX0ZXRC42MDAwLjEwLzE4LzIwMTcBAAAAm7goAAIAAAAJMTguNzk1</t>
  </si>
  <si>
    <t>NDE2ANu4r72Tc9UI623wSpdz1QgvQ0lRLk5BU0RBUUdTOklOVEMuSVFfUEVfRVhDTF9GV0QuNjAwMC4xMS8yLzIwMDcBAAAAh1IAAAIAAAAQMTguOTM1OTE0NjQ3MDcxMwENAAAABQAAAAE5AQAAAAcyNjIxMjk1AgAAAAcxNzU3MTU1AwAAAAYxMDAzMDkEAAAAATIGAAAAATAHAAAAAzE2MAgAAAABMAkAAAABMQoAAAABMAsAAAAKODg2NDQ4NTEyNQwAAAACMTINAAAACTExLzMvMjAwN4vXs72Tc9UIi3lQSZdz1QgvQ0lRLk5BU0RBUUdTOklOVEMuSVFfUEVfRVhDTF9GV0QuNjAwMC45LzEwLzIwMTABAAAAh1IAAAIAAAAPOS41NDI3NzUyMTEwODgxAQ0AAAAFAAAAATkBAAAABzI2MjEyOTUCAAAABzE3NTcxNjMDAAAABjEwMDMwOQQAAAABMgYAAAABMAcAAAADMTYwCAAAAAEwCQAAAAExCgAAAAEwCwAAAAo4ODYzODQ0ODc2DAAAAAIxMg0AAAAJOS8xMS8yMDEwK+2yvZNz1Qh7UlBJl3PVCDBDSVEuTkFTREFRR1M6SU5UQy5JUV9QRV9FWENMX0ZXRC42MDAwLjExLzE2LzIwMTIBAAAAh1IAAAIAAAAQMTAuMjQxOTcyMzAyNTQxNQENAAAABQAAAAE5AQAAAAcyNjIxMjk1AgAAAAcxNzU3MTcwAwAAAAYxMDAzMDkEAAAAATIGAAAAATAHAAAAAzE2MAgAAAABMAkAAAABMQoAAAABMAsAAAAKODg2MzQzNDYyNQwAAAACMTINAAAACjExLzE3LzIwMTKb/rO9k3PVCLvQVUmXc9UILUNJUS5eU1BYLklRX1RFVl9FQklU</t>
  </si>
  <si>
    <t>REFfRldEX0NJUS42MDAwLjYvMjIvMjAxNgEAAACbuCgAAgAAAAkxMC4wODQ3NzcA27ivvZNz1QgrMSlLl3PVCDVDSVEuTmFzZGFxR1M6SU5UQy5JUV9URVZfVE9UQUxfUkVWX0ZXRC42MDAwLjEvMjYvMjAwNwEAAACHUgAAAgAAABAyLjkwMDMwNjE3OTAwNzU1AQ0AAAAFAAAAATkBAAAABzI2MjEyOTUCAAAABDE4ODIDAAAABjEwMDMwNwQAAAABMgYAAAABMAcAAAADMTYwCAAAAAEwCQAAAAExCgAAAAEwCwAAAAsxMDM3ODUxMzQ1OAwAAAACMTINAAAACTEvMjcvMjAwN/vFsbuTc9UIG0pUSZdz1QgmQ0lRLl5TUFguSVFfUEVfRVhDTF9GV0QuNjAwMC44LzEzLzIwMTQBAAAAm7goAAIAAAAJMTUuNjA0MTE2AJvrZrmTc9UIG7A3S5dz1QgvQ0lRLk5BU0RBUUdTOklOVEMuSVFfUEVfRVhDTF9GV0QuNjAwMC4xLzIxLzIwMTEBAAAAh1IAAAIAAAAQOS45MTA2NTE4MDg2MjI1NQENAAAABQAAAAE5AQAAAAcyNjIxMjk1AgAAAAQxODg2AwAAAAYxMDAzMDkEAAAAATIGAAAAATAHAAAAAzE2MAgAAAABMAkAAAABMQoAAAABMAsAAAAKNTc0Nzg5MjQ0MwwAAAACMTINAAAACTEvMjIvMjAxMSvtsr2Tc9UIS6FZSZdz1QgsQ0lRLl5TUFguSVFfVEVWX0VCSVREQV9GV0RfQ0lRLjYwMDAuNi8xLzIwMTYBAAAAm7goAAIAAAAJMTAuMDg3NDgyANu4r72Tc9UIW6YpS5dz1QgvQ0lRLk5BU0RBUUdTOklOVEMuSVFfUEVfRVhD</t>
  </si>
  <si>
    <t>TF9GV0QuNjAwMC45LzEwLzIwMDEBAAAAh1IAAAIAAAAQNTEuNzQ2NzQ0NzM5OTc2MgENAAAABQAAAAE5AQAAAAcyNjIxMjk1AgAAAAczNDIxMTYxAwAAAAYxMDAzMDkEAAAAATIGAAAAATAHAAAAAzE2MAgAAAABMAkAAAABMQoAAAABMAsAAAAKMTE2OTE3MzM2NwwAAAACMTINAAAACTkvMTEvMjAwMYvXs72Tc9UIm4JVSZdz1Qg1Q0lRLk5hc2RhcUdTOklOVEMuSVFfVEVWX1RPVEFMX1JFVl9GV0QuNjAwMC4xMi80LzIwMTUBAAAAh1IAAAIAAAAQMi44NzEzMjM4NTgzOTYwNAENAAAABQAAAAE5AQAAAAcyNjIxMjk1AgAAAAc4MDY4MjYyAwAAAAYxMDAzMDcEAAAAATIGAAAAATAHAAAAAzE2MAgAAAABMAkAAAABMQoAAAABMAsAAAAKOTE3MDE2Mjc0MAwAAAACMTINAAAACTEyLzUvMjAxNStLaLmTc9UIK49PSZdz1QgoQ0lRLk5BU0RBUUdTOklOVEMuSVFfUFRCVi4yMDAwLjEwLzYvMjAxNwEAAACHUgAAAgAAAAg0LjA3ODc5MwEHAAAABQAAAAExAQAAAAoxODUwNjE4NjY0AwAAAAEwAgAAAAYxMDAwMjkEAAAAATAHAAAACTEwLzYvMjAxNwgAAAAJMTAvNi8yMDE3O/Gvu5Nz1Qh7w1JJl3PVCClDSVEuTkFTREFRR1M6SU5UQy5JUV9QVEJWLjIwMDAuMTEvMjkvMjAxMwEAAACHUgAAAgAAAAgyLjk5NzU1NQEHAAAABQAAAAExAQAAAAoxNjQyNDgzNzkyAwAAAAEwAgAAAAYxMDAwMjkEAAAAATAHAAAACjExLzI5</t>
  </si>
  <si>
    <t>LzIwMTMIAAAACjExLzI5LzIwMTM78a+7k3PVCDsnUkmXc9UIH0NJUS5eU1BYLklRX1BUQlYuMjAwMC41LzE1LzIwMTMBAAAAm7goAAIAAAAINS4wMjQ0NTcAWz+wu5Nz1Qibyj1Ll3PVCClDSVEuTkFTREFRR1M6SU5UQy5JUV9QVEJWLjIwMDAuMTIvMTIvMjAxNAEAAACHUgAAAgAAAAg0LjI3Njk0MQEHAAAABQAAAAExAQAAAAoxNzAzNjgxODk0AwAAAAEwAgAAAAYxMDAwMjkEAAAAATAHAAAACjEyLzEyLzIwMTQIAAAACjEyLzEyLzIwMTRrdma5k3PVCCtxVEmXc9UIL0NJUS5OQVNEQVFHUzpJTlRDLklRX1BSSUNFX1NBTEVTLjIwMDAuMi8xOC8yMDE1AQAAAIdSAAACAAAACDMuMDA1Nzc3AQcAAAAFAAAAATEBAAAACjE3MTg4NTkyOTEDAAAAATACAAAABTM4OTU4BAAAAAEwBwAAAAkyLzE4LzIwMTUIAAAACTIvMTgvMjAxNfuOUruTc9UIe7gzS5dz1QgvQ0lRLk5BU0RBUUdTOklOVEMuSVFfUFJJQ0VfU0FMRVMuMjAwMC4yLzIwLzIwMTUBAAAAh1IAAAIAAAAIMy4wMTg0OTYBBwAAAAUAAAABMQEAAAAKMTcxODg1OTI5MQMAAAABMAIAAAAFMzg5NTgEAAAAATAHAAAACTIvMjAvMjAxNQgAAAAJMi8yMC8yMDE1e51muZNz1QjLhlNJl3PVCC5DSVEuTkFTREFRR1M6SU5UQy5JUV9QRV9FWENMX0ZXRC42MDAwLjkvNi8yMDEzAQAAAIdSAAACAAAAEDExLjYxMTM1MDEzMzE2OTQBDQAAAAUAAAABOQEAAAAHMjYy</t>
  </si>
  <si>
    <t>MTI5NQIAAAAHMzgyOTc1MgMAAAAGMTAwMzA5BAAAAAEyBgAAAAEwBwAAAAMxNjAIAAAAATAJAAAAATEKAAAAATALAAAACjY5NTU0MDM3ODgMAAAAAjEyDQAAAAg5LzcvMjAxMwufsr2Tc9UIW8hZSZdz1Qg1Q0lRLk5BU0RBUUdTOklOVEMuSVFfVEVWX0VCSVREQV9GV0RfQ0lRLjYwMDAuNC81LzIwMTMBAAAAh1IAAAIAAAAQNC43MzU2OTQ1MTUwNjU1MQENAAAABQAAAAE5AQAAAAcyNjIxMjk1AgAAAAczNjUyNjYwAwAAAAYxMDAzMDgEAAAAATIGAAAAATAHAAAAAzE2MAgAAAABMAkAAAABMQoAAAABMAsAAAAKNTQzODIwMDA3OQwAAAACMTINAAAACDQvNi8yMDEzi+5Tu5Nz1Qg7H5Cul3PVCDdDSVEuTkFTREFRR1M6SU5UQy5JUV9URVZfRUJJVERBX0ZXRF9DSVEuNjAwMC4xMi8yMS8yMDEyAQAAAIdSAAACAAAAEDQuNjk2NzcwNzk3Mzc0MDYBDQAAAAUAAAABOQEAAAAHMjYyMTI5NQIAAAAHMTc1NzE3MAMAAAAGMTAwMzA4BAAAAAEyBgAAAAEwBwAAAAMxNjAIAAAAATAJAAAAATEKAAAAATALAAAACjY5NTU0MDU5NzYMAAAAAjEyDQAAAAoxMi8yMi8yMDEymxVUu5Nz1QhLRpCul3PVCCdDSVEuTkFTREFRR1M6SU5UQy5JUV9QVEJWLjIwMDAuMy82LzIwMTUBAAAAh1IAAAIAAAAIMy44ODU0NTEBBwAAAAUAAAABMQEAAAAKMTcxODg1OTI5MQMAAAABMAIAAAAGMTAwMDI5BAAAAAEwBwAAAAgzLzYvMjAxNQgA</t>
  </si>
  <si>
    <t>AAAIMy82LzIwMTXLsLm3k3PVCBv3TEmXc9UILENJUS5eU1BYLklRX1RFVl9UT1RBTF9SRVZfRldELjYwMDAuMTAvNS8yMDE2AQAAAJu4KAACAAAACDIuMDY5OTUxACsEU7uTc9UIe6EiS5dz1QgrQ0lRLl5TUFguSVFfVEVWX1RPVEFMX1JFVl9GV0QuNjAwMC4yLzUvMjAxNAEAAACbuCgAAgAAAAgxLjY5MzM3MwDr36+9k3PVCNv1O0uXc9UIIENJUS5eU1BYLklRX1BUQlYuMjAwMC4xMi8xNy8yMDE0AQAAAJu4KAACAAAACDUuNDg3MDM3AOtnUruTc9UIK2Y1S5dz1QgvQ0lRLk5BU0RBUUdTOklOVEMuSVFfUFJJQ0VfU0FMRVMuMjAwMC4yLzI0LzIwMTYBAAAAh1IAAAIAAAAIMi41MDA1NjgBBwAAAAUAAAABMQEAAAAKMTc3NTkzMzE0MAMAAAABMAIAAAAFMzg5NTgEAAAAATAHAAAACTIvMjQvMjAxNggAAAAJMi8yNC8yMDE2Sxiwu5Nz1Qj7LCtLl3PVCDZDSVEuTmFzZGFxR1M6SU5UQy5JUV9URVZfRUJJVERBX0ZXRF9DSVEuNjAwMC40LzEzLzIwMTIBAAAAh1IAAAIAAAAQNS4zODQzMDU0MTIyMTA0MwENAAAABQAAAAE5AQAAAAcyNjIxMjk1AgAAAAQxODg3AwAAAAYxMDAzMDgEAAAAATIGAAAAATAHAAAAAzE2MAgAAAABMAkAAAABMQoAAAABMAsAAAAKNTc0ODgzMTM4OQwAAAACMTINAAAACTQvMTQvMjAxMtt3sbuTc9UIK4eNrpdz1QgvQ0lRLk5BU0RBUUdTOklOVEMuSVFfUFJJQ0VfU0FMRVMuMjAwMC41</t>
  </si>
  <si>
    <t>LzI3LzIwMTYBAAAAh1IAAAIAAAAIMi42NTc1MjcBBwAAAAUAAAABMQEAAAAKMTc4OTE5MzM0MwMAAAABMAIAAAAFMzg5NTgEAAAAATAHAAAACTUvMjcvMjAxNggAAAAJNS8yNy8yMDE229e5t5Nz1Qir5UtJl3PVCDdDSVEuTmFzZGFxR1M6SU5UQy5JUV9URVZfRUJJVERBX0ZXRF9DSVEuNjAwMC4xMC8yMC8yMDE3AQAAAIdSAAACAAAADjcuNjM1ODA5NDY3ODI3AQ0AAAAFAAAAATkBAAAABzI2MjEyOTUCAAAACDI3NTAwMTczAwAAAAYxMDAzMDgEAAAAATIGAAAAATAHAAAAAzE2MAgAAAABMAkAAAABMQoAAAABMAsAAAALMTA2OTg0Mjk3NTcMAAAAAjEyDQAAAAoxMC8yMS8yMDE3m/6zvZNz1QgbYI2ul3PVCDVDSVEuTmFzZGFxR1M6SU5UQy5JUV9URVZfVE9UQUxfUkVWX0ZXRC42MDAwLjUvMjYvMjAxNwEAAACHUgAAAgAAABAyLjk5NDY0NDQ2NTI3MDAxAQ0AAAAFAAAAATkBAAAABzI2MjEyOTUCAAAACDI3NTAwMTcyAwAAAAYxMDAzMDcEAAAAATIGAAAAATAHAAAAAzE2MAgAAAABMAkAAAABMQoAAAABMAsAAAALMTAxNTc1MDk0NzkMAAAAAjEyDQAAAAk1LzI3LzIwMTerrVa7k3PVCMsVUUmXc9UIKENJUS5OQVNEQVFHUzpJTlRDLklRX1JFVkVOVUVfRVNULkZRNDIwMTYBAAAAh1IAAAIAAAALMTU3NTYuOTc1NzgBDgAAAAUAAAABMwEAAAABMAIAAAAKMTAwMDkxNTQwMQMAAAAGMTAwMTgwBAAAAAEyBgAA</t>
  </si>
  <si>
    <t>AAEwBwAAAAMxNjAIAAAAATAJAAAAATEKAAAAATALAAAACjk5NTE1NDM4ODAMAAAAATINAAAACTIvMTUvMjAxOBAAAAAKMTIvMzEvMjAxNhvdUruTc9UIS4NeSZdz1Qg0Q0lRLk5hc2RhcUdTOklOVEMuSVFfVEVWX1RPVEFMX1JFVl9GV0QuNjAwMC4xLzkvMjAxNQEAAACHUgAAAgAAABAzLjA0MzM2MTkzODk0NjQ2AQ0AAAAFAAAAATkBAAAABzI2MjEyOTUCAAAABzQ0NTY0MjkDAAAABjEwMDMwNwQAAAABMgYAAAABMAcAAAADMTYwCAAAAAEwCQAAAAExCgAAAAEwCwAAAAo4ODY0NDQxNzYwDAAAAAIxMg0AAAAJMS8xMC8yMDE1+8Wxu5Nz1QiLeVBJl3PVCC1DSVEuXlNQWC5JUV9URVZfRUJJVERBX0ZXRF9DSVEuNjAwMC42LzI1LzIwMTQBAAAAm7goAAIAAAAIOS4wNTcwMTEAqxJnuZNz1QiLwThLl3PVCC5DSVEuTkFTREFRR1M6SU5UQy5JUV9QRV9FWENMX0ZXRC42MDAwLjMvNC8yMDA1AQAAAIdSAAACAAAAEDE5Ljk2NzYzNzU0MDQ1MzEBDQAAAAUAAAABOQEAAAAHMjYyMTI5NQIAAAAEMTg4MAMAAAAGMTAwMzA5BAAAAAEyBgAAAAEwBwAAAAMxNjAIAAAAATAJAAAAATEKAAAAATALAAAABzE1MDkwNzUMAAAAAjEyDQAAAAgzLzUvMjAwNbtMtL2Tc9UIy/dVSZdz1QgoQ0lRLk5BU0RBUUdTOklOVEMuSVFfUFRCVi4yMDAwLjEwLzgvMjAxMAEAAACHUgAAAgAAAAgyLjY3Nzk5OQEHAAAABQAAAAExAQAAAAox</t>
  </si>
  <si>
    <t>Mzg5NzEwNzQ0AwAAAAEwAgAAAAYxMDAwMjkEAAAAATAHAAAACTEwLzgvMjAxMAgAAAAJMTAvOC8yMDEwe51muZNz1Qjr1FNJl3PVCChDSVEuTkFTREFRR1M6SU5UQy5JUV9QVEJWLjIwMDAuNy8yNi8yMDEzAQAAAIdSAAACAAAACDMuMDI5OTE3AQcAAAAFAAAAATEBAAAACjE2MjY0ODY2MjgDAAAAATACAAAABjEwMDAyOQQAAAABMAcAAAAJNy8yNi8yMDEzCAAAAAk3LzI2LzIwMTO7aq+9k3PVCKsaWEmXc9UIL0NJUS5OYXNkYXFHUzpJTlRDLklRX1BFX0VYQ0xfRldELjYwMDAuMTIvNC8yMDE1AQAAAIdSAAACAAAADzE1LjA1MTA1MzM3OTg2MwENAAAABQAAAAE5AQAAAAcyNjIxMjk1AgAAAAc4MDY4MjYyAwAAAAYxMDAzMDkEAAAAATIGAAAAATAHAAAAAzE2MAgAAAABMAkAAAABMQoAAAABMAsAAAAKOTE2NTE3MTg2OAwAAAACMTINAAAACTEyLzUvMjAxNasltL2Tc9UIu19TSZdz1QgvQ0lRLk5BU0RBUUdTOklOVEMuSVFfUEVfRVhDTF9GV0QuNjAwMC4xLzE4LzIwMDIBAAAAh1IAAAIAAAAQNDkuMDkwOTA5MDkwOTA5MQENAAAABQAAAAE5AQAAAAcyNjIxMjk1AgAAAAQxODc3AwAAAAYxMDAzMDkEAAAAATIGAAAAATAHAAAAAzE2MAgAAAABMAkAAAABMQoAAAABMAsAAAAHMTQ5Nzc4NQwAAAACMTINAAAACTEvMTkvMjAwMovXs72Tc9UI+91YSZdz1QgnQ0lRLk5BU0RBUUdTOklOVEMuSVFfUFRCVi4yMDAw</t>
  </si>
  <si>
    <t>LjIvMS8yMDEzAQAAAIdSAAACAAAACDMuMDA5MDA5AQcAAAAFAAAAATEBAAAACjE1ODQ0ODYyNjADAAAAATACAAAABjEwMDAyOQQAAAABMAcAAAAIMi8xLzIwMTMIAAAACDIvMS8yMDEz+45Su5Nz1Qgbu1ZJl3PVCC9DSVEuTkFTREFRR1M6SU5UQy5JUV9QRV9FWENMX0ZXRC42MDAwLjEvMTUvMjAxMAEAAACHUgAAAgAAABAxMi45NjY2MTA5NzY3MzQ5AQ0AAAAFAAAAATkBAAAABzI2MjEyOTUCAAAABDE4ODUDAAAABjEwMDMwOQQAAAABMgYAAAABMAcAAAADMTYwCAAAAAEwCQAAAAExCgAAAAEwCwAAAAcxNTUxOTE2DAAAAAIxMg0AAAAJMS8xNi8yMDEwK+2yvZNz1QhbyFlJl3PVCChDSVEuTkFTREFRR1M6SU5UQy5JUV9QVEJWLjIwMDAuOC8yMi8yMDE0AQAAAIdSAAACAAAACDMuOTM1NTEyAQcAAAAFAAAAATEBAAAACjE2ODgwODA5OTIDAAAAATACAAAABjEwMDAyOQQAAAABMAcAAAAJOC8yMi8yMDE0CAAAAAk4LzIyLzIwMTRLGLC7k3PVCBvZUUmXc9UINkNJUS5OQVNEQVFHUzpJTlRDLklRX1RFVl9FQklUREFfRldEX0NJUS42MDAwLjcvMTEvMjAwOAEAAACHUgAAAgAAABA2LjgyNTkxMzU4MzAxMDg0AQ0AAAAFAAAAATkBAAAABzI2MjEyOTUCAAAABzE3NTcxNTYDAAAABjEwMDMwOAQAAAABMgYAAAABMAcAAAADMTYwCAAAAAEwCQAAAAExCgAAAAEwCwAAAAo5MTExMDYzMTk3DAAAAAIxMg0AAAAJNy8x</t>
  </si>
  <si>
    <t>Mi8yMDA469hUu5Nz1QjbNI+ul3PVCCZDSVEuXlNQWC5JUV9QRV9FWENMX0ZXRC42MDAwLjMvMjcvMjAxMwEAAACbuCgAAgAAAAkxNC4wMjE3NTkAa19VuZNz1Qir8T1Ll3PVCDBDSVEuTkFTREFRR1M6SU5UQy5JUV9QUklDRV9TQUxFUy4yMDAwLjEyLzIwLzIwMTcBAAAAh1IAAAIAAAAIMy42MTE1MDkBBwAAAAUAAAABMQEAAAAKMTg2Mjc1ODA0MwMAAAABMAIAAAAFMzg5NTgEAAAAATAHAAAACjEyLzIwLzIwMTcIAAAACjEyLzIwLzIwMTfr0Yi2k3PVCEtmxUqXc9UIKENJUS5OQVNEQVFHUzpJTlRDLklRX1BUQlYuMjAwMC4xLzIzLzIwMTUBAAAAh1IAAAIAAAAINC4yODUzNzQBBwAAAAUAAAABMQEAAAAKMTcxNTMyODY0MwMAAAABMAIAAAAGMTAwMDI5BAAAAAEwBwAAAAkxLzIzLzIwMTUIAAAACTEvMjMvMjAxNduqiLaTc9UIS/tKSZdz1Qg1Q0lRLk5hc2RhcUdTOklOVEMuSVFfVEVWX1RPVEFMX1JFVl9GV0QuNjAwMC4xLzI5LzIwMTABAAAAh1IAAAIAAAAQMi4zNTY2OTI4MzA0MzE2OQENAAAABQAAAAE5AQAAAAcyNjIxMjk1AgAAAAQxODg1AwAAAAYxMDAzMDcEAAAAATIGAAAAATAHAAAAAzE2MAgAAAABMAkAAAABMQoAAAABMAsAAAAJMzYwNzM2MTQ3DAAAAAIxMg0AAAAJMS8zMC8yMDEwm9RVuZNz1QhrfldJl3PVCCVDSVEuXlNQWC5JUV9QRV9FWENMX0ZXRC42MDAwLjIvMS8yMDE3AQAAAJu4KAAC</t>
  </si>
  <si>
    <t>AAAACTE3LjcyMjE3MQCrEme5k3PVCLt5GUuXc9UIHkNJUS5eU1BYLklRX1BUQlYuMjAwMC40LzkvMjAxNAEAAACbuCgAAgAAAAg1LjMwODM0NwCLxGa5k3PVCEuWOkuXc9UIH0NJUS5eU1BYLklRX1BUQlYuMjAwMC40LzIwLzIwMTYBAAAAm7goAAIAAAAINi44ODE4MTkA26qItpNz1QibQipLl3PVCDZDSVEuTmFzZGFxR1M6SU5UQy5JUV9URVZfRUJJVERBX0ZXRF9DSVEuNjAwMC43LzI1LzIwMDgBAAAAh1IAAAIAAAAQNy4xNTg3NDU0NTU2NjU3OAENAAAABQAAAAE5AQAAAAcyNjIxMjk1AgAAAAcxNzU3MTU3AwAAAAYxMDAzMDgEAAAAATIGAAAAATAHAAAAAzE2MAgAAAABMAkAAAABMQoAAAABMAsAAAAKNjczMTM2NDM0MQwAAAACMTINAAAACTcvMjYvMjAwOJvbsLuTc9UI61uPrpdz1QgvQ0lRLk5BU0RBUUdTOklOVEMuSVFfUEVfRVhDTF9GV0QuNjAwMC4xLzEyLzIwMDcBAAAAh1IAAAIAAAAQMjEuOTE3NDAxMjA4Mjc5NwENAAAABQAAAAE5AQAAAAcyNjIxMjk1AgAAAAcxNzU3MTUyAwAAAAYxMDAzMDkEAAAAATIGAAAAATAHAAAAAzE2MAgAAAABMAkAAAABMQoAAAABMAsAAAAKOTA0MjUxNzM2MwwAAAACMTINAAAACTEvMTMvMjAwN1tis72Tc9UI67ZYSZdz1Qg2Q0lRLk5BU0RBUUdTOklOVEMuSVFfVEVWX0VCSVREQV9GV0RfQ0lRLjYwMDAuNi8xNi8yMDA2AQAAAIdSAAACAAAAEDguMTgzNjY5NTA3</t>
  </si>
  <si>
    <t>MDE3ODkBDQAAAAUAAAABOQEAAAAHMjYyMTI5NQIAAAAHMTc1NzE1MAMAAAAGMTAwMzA4BAAAAAEyBgAAAAEwBwAAAAMxNjAIAAAAATAJAAAAATEKAAAAATALAAAACjExNjkxMzMyNDMMAAAAAjEyDQAAAAk2LzE3LzIwMDYLJ1W7k3PVCDuuja6Xc9UIL0NJUS5OQVNEQVFHUzpJTlRDLklRX1BSSUNFX1NBTEVTLjIwMDAuNi8xMi8yMDE1AQAAAIdSAAACAAAACDIuNzEzOTU3AQcAAAAFAAAAATEBAAAACjE3MzA3NjI3NTUDAAAAATACAAAABTM4OTU4BAAAAAEwBwAAAAk2LzEyLzIwMTUIAAAACTYvMTIvMjAxNbtqr72Tc9UICwVZSZdz1QglQ0lRLl5TUFguSVFfUEVfRVhDTF9GV0QuNjAwMC42LzMvMjAxNQEAAACbuCgAAgAAAAkxNy40OTM1NDQA27ivvZNz1QhL0jBLl3PVCCxDSVEuTkFTREFRR1M6SU5UQy5JUV9MQVNUU0FMRVBSSUNFLjkvMTYvMjAxNQEAAACHUgAAAgAAAAUyOS43NwDLka+9k3PVCKtLL0uXc9UIMENJUS5OQVNEQVFHUzpJTlRDLklRX1BFX0VYQ0xfRldELjYwMDAuMTAvMTgvMjAxMwEAAACHUgAAAgAAAA8xMi42ODUyOTgzMzY5NjQBDQAAAAUAAAABOQEAAAAHMjYyMTI5NQIAAAAHMzgyOTc1MwMAAAAGMTAwMzA5BAAAAAEyBgAAAAEwBwAAAAMxNjAIAAAAATAJAAAAATEKAAAAATALAAAACjcwMzMyNjU1MDQMAAAAAjEyDQAAAAoxMC8xOS8yMDEzu0y0vZNz1QibEVNJl3PVCC1DSVEuXlNQ</t>
  </si>
  <si>
    <t>WC5JUV9URVZfRUJJVERBX0ZXRF9DSVEuNjAwMC43LzEzLzIwMTYBAAAAm7goAAIAAAAJMTAuMzk1Mzg4ANu4r72Tc9UIm9EnS5dz1QgoQ0lRLk5BU0RBUUdTOklOVEMuSVFfUFRCVi4yMDAwLjMvMTIvMjAxMAEAAACHUgAAAgAAAAgzLjIyNzMxMwEHAAAABQAAAAExAQAAAAoxMzI4ODg4NzA0AwAAAAEwAgAAAAYxMDAwMjkEAAAAATAHAAAACTMvMTIvMjAxMAgAAAAJMy8xMi8yMDEw26qItpNz1QhL+0pJl3PVCC5DSVEuTkFTREFRR1M6SU5UQy5JUV9QUklDRV9TQUxFUy4yMDAwLjkvOS8yMDE2AQAAAIdSAAACAAAACDIuOTYwNjM2AQcAAAAFAAAAATEBAAAACjE4MDEyOTQ1MDEDAAAAATACAAAABTM4OTU4BAAAAAEwBwAAAAg5LzkvMjAxNggAAAAIOS85LzIwMTZLEVW5k3PVCNvLTkmXc9UII0NJUS5eU1BYLklRX0xBU1RTQUxFUFJJQ0UuMS8yMS8yMDE1AQAAAJu4KAACAAAAEDIwMzIuMTIwMjg4NjU3MzcAG91Su5Nz1QirLTRLl3PVCDVDSVEuTmFzZGFxR1M6SU5UQy5JUV9URVZfRUJJVERBX0ZXRF9DSVEuNjAwMC45LzYvMjAxMwEAAACHUgAAAgAAABA1LjA2ODMwOTc2NzM4MDMyAQ0AAAAFAAAAATkBAAAABzI2MjEyOTUCAAAABzM4Mjk3NTIDAAAABjEwMDMwOAQAAAABMgYAAAABMAcAAAADMTYwCAAAAAEwCQAAAAExCgAAAAEwCwAAAAo3NjE2NjM3MjM0DAAAAAIxMg0AAAAIOS83LzIwMTO71Fa7k3PV</t>
  </si>
  <si>
    <t>COvqjK6Xc9UIL0NJUS5OQVNEQVFHUzpJTlRDLklRX1BFX0VYQ0xfRldELjYwMDAuNy8yNC8yMDE1AQAAAIdSAAACAAAAEDEyLjU2NjA1NDYzNTAyMDIBDQAAAAUAAAABOQEAAAAHMjYyMTI5NQIAAAAHODA2ODI2MQMAAAAGMTAwMzA5BAAAAAEyBgAAAAEwBwAAAAMxNjAIAAAAATAJAAAAATEKAAAAATALAAAACjg4OTk4NDIzOTQMAAAAAjEyDQAAAAk3LzI1LzIwMTWrJbS9k3PVCOuBTEmXc9UINENJUS5OYXNkYXFHUzpJTlRDLklRX1RFVl9UT1RBTF9SRVZfRldELjYwMDAuNi85LzIwMDYBAAAAh1IAAAIAAAAQMi40OTg5OTI5NjcxODExNwENAAAABQAAAAE5AQAAAAcyNjIxMjk1AgAAAAcxNzU3MTUwAwAAAAYxMDAzMDcEAAAAATIGAAAAATAHAAAAAzE2MAgAAAABMAkAAAABMQoAAAABMAsAAAAKOTA3ODEzODI4NgwAAAACMTINAAAACTYvMTAvMjAwNrv6u7eTc9UIm4JVSZdz1Qg2Q0lRLk5hc2RhcUdTOklOVEMuSVFfVEVWX0VCSVREQV9GV0RfQ0lRLjYwMDAuMS8yNi8yMDE4AQAAAIdSAAACAAAAEDkuMTEzNTc3NDY3NDQyMzcBDQAAAAUAAAABOQEAAAAHMjYyMTI5NQIAAAAKMTAwMTUyODUyNwMAAAAGMTAwMzA4BAAAAAEyBgAAAAEwBwAAAAMxNjAIAAAAATAJAAAAATEKAAAAATALAAAACzEwNzAwNDc3OTM1DAAAAAIxMg0AAAAJMS8yNy8yMDE4OytTu5Nz1QhL1Y2ul3PVCC9DSVEuTkFTREFRR1M6SU5U</t>
  </si>
  <si>
    <t>Qy5JUV9QRV9FWENMX0ZXRC42MDAwLjUvMTYvMjAxNAEAAACHUgAAAgAAABAxMy4yOTQ4ODY5NzgwMTM1AQ0AAAAFAAAAATkBAAAABzI2MjEyOTUCAAAABzQ0NTY0MjcDAAAABjEwMDMwOQQAAAABMgYAAAABMAcAAAADMTYwCAAAAAEwCQAAAAExCgAAAAEwCwAAAAo4MTcwNzE2NDEzDAAAAAIxMg0AAAAJNS8xNy8yMDE0+3eyvZNz1QiLPVpJl3PVCDZDSVEuTmFzZGFxR1M6SU5UQy5JUV9URVZfRUJJVERBX0ZXRF9DSVEuNjAwMC40LzE1LzIwMTEBAAAAh1IAAAIAAAAQNC4yMjMwNTc1NDc4NTEwNAENAAAABQAAAAE5AQAAAAcyNjIxMjk1AgAAAAQxODg2AwAAAAYxMDAzMDgEAAAAATIGAAAAATAHAAAAAzE2MAgAAAABMAkAAAABMQoAAAABMAsAAAAKNTc0ODgxNTIxNgwAAAACMTINAAAACTQvMTYvMjAxMdsiV7uTc9UIyw2Prpdz1QgvQ0lRLk5BU0RBUUdTOklOVEMuSVFfUFJJQ0VfU0FMRVMuMjAwMC4zLzI4LzIwMTMBAAAAh1IAAAIAAAAIMi4wNDUwOTkBBwAAAAUAAAABMQEAAAAKMTU4ODE1NzQ2MwMAAAABMAIAAAAFMzg5NTgEAAAAATAHAAAACTMvMjgvMjAxMwgAAAAJMy8yOC8yMDEzSxiwu5Nz1QjrY1FJl3PVCCxDSVEuXlNQWC5JUV9URVZfVE9UQUxfUkVWX0ZXRC42MDAwLjIvMjAvMjAxMwEAAACbuCgAAgAAAAgxLjUyOTQxMgB7hlW5k3PVCNtmPkuXc9UIKENJUS5OQVNEQVFHUzpJTlRDLklRX1BU</t>
  </si>
  <si>
    <t>QlYuMjAwMC4xMC85LzIwMTUBAAAAh1IAAAIAAAAIMy42MDAxNDYBBwAAAAUAAAABMQEAAAAKMTc0NzM1OTUxMgMAAAABMAIAAAAGMTAwMDI5BAAAAAEwBwAAAAkxMC85LzIwMTUIAAAACTEwLzkvMjAxNWt2ZrmTc9UIaw1VSZdz1QgvQ0lRLk5BU0RBUUdTOklOVEMuSVFfUFJJQ0VfU0FMRVMuMjAwMC40LzE1LzIwMTEBAAAAh1IAAAIAAAAIMi41MTQ5ODYBBwAAAAUAAAABMQEAAAAKMTQzMDYyNDUwOQMAAAABMAIAAAAFMzg5NTgEAAAAATAHAAAACTQvMTUvMjAxMQgAAAAJNC8xNS8yMDExO/Gvu5Nz1Qg7J1JJl3PVCC5DSVEuTkFTREFRR1M6SU5UQy5JUV9QRV9FWENMX0ZXRC42MDAwLjQvOS8yMDA5AQAAAIdSAAACAAAAEDM3LjQyMjEzNDc5NDYyMzIBDQAAAAUAAAABOQEAAAAHMjYyMTI5NQIAAAAEMTg4NAMAAAAGMTAwMzA5BAAAAAEyBgAAAAEwBwAAAAMxNjAIAAAAATAJAAAAATEKAAAAATALAAAABzE1NDE0NDEMAAAAAjEyDQAAAAk0LzEwLzIwMDk7FLO9k3PVCKsaWEmXc9UIN0NJUS5OYXNkYXFHUzpJTlRDLklRX1RFVl9FQklUREFfRldEX0NJUS42MDAwLjEyLzMxLzIwMTUBAAAAh1IAAAIAAAANNi43NzM0NDI5MTExOAENAAAABQAAAAE5AQAAAAcyNjIxMjk1AgAAAAc4MDY4MjYyAwAAAAYxMDAzMDgEAAAAATIGAAAAATAHAAAAAzE2MAgAAAABMAkAAAABMQoAAAABMAsAAAAKOTIwNzI3ODI4NAwA</t>
  </si>
  <si>
    <t>AAACMTINAAAACDEvMS8yMDE2y/tWu5Nz1QjbNI+ul3PVCC9DSVEuTkFTREFRR1M6SU5UQy5JUV9QUklDRV9TQUxFUy4yMDAwLjkvMjEvMjAxNgEAAACHUgAAAgAAAAczLjEyODU1AQcAAAAFAAAAATEBAAAACjE4MDEyOTQ1MDEDAAAAATACAAAABTM4OTU4BAAAAAEwBwAAAAk5LzIxLzIwMTYIAAAACTkvMjEvMjAxNtuqiLaTc9UIy2QjS5dz1QgvQ0lRLk5BU0RBUUdTOklOVEMuSVFfUFJJQ0VfU0FMRVMuMjAwMC45LzEwLzIwMTABAAAAh1IAAAIAAAAIMi40MjU5NjMBBwAAAAUAAAABMQEAAAAKMTM4OTcxMDc0NAMAAAABMAIAAAAFMzg5NTgEAAAAATAHAAAACTkvMTAvMjAxMAgAAAAJOS8xMC8yMDEwO+pUuZNz1Qh7UlBJl3PVCCtDSVEuTkFTREFRR1M6SU5UQy5JUV9MQVNUU0FMRVBSSUNFLjMvOS8yMDE2AQAAAIdSAAACAAAABjMwLjg2NQA76lS5k3PVCOsFK0uXc9UINkNJUS5OYXNkYXFHUzpJTlRDLklRX1RFVl9UT1RBTF9SRVZfRldELjYwMDAuMTIvMzEvMjAwOQEAAACHUgAAAgAAABAyLjY1NTUzMjczNDI3MjY0AQ0AAAAFAAAAATkBAAAABzI2MjEyOTUCAAAABzE3NTcxNjEDAAAABjEwMDMwNwQAAAABMgYAAAABMAcAAAADMTYwCAAAAAEwCQAAAAExCgAAAAEwCwAAAAoxMTY5MTUwMjA3DAAAAAIxMg0AAAAIMS8xLzIwMTDrb7y3k3PVCKupVUmXc9UIL0NJUS5OQVNEQVFHUzpJTlRDLklRX1BSSUNF</t>
  </si>
  <si>
    <t>X1NBTEVTLjIwMDAuMi8xMC8yMDE3AQAAAIdSAAACAAAACDIuODE0NzI3AQcAAAAFAAAAATEBAAAACjE4MjU1MjIxNzYDAAAAATACAAAABTM4OTU4BAAAAAEwBwAAAAkyLzEwLzIwMTcIAAAACTIvMTAvMjAxN7tqr72Tc9UICwVZSZdz1QgtQ0lRLk5BU0RBUUdTOklOVEMuSVFfTEFTVFNBTEVQUklDRS4xMC8yOC8yMDE1AQAAAIdSAAACAAAABTM0LjcxAAu2UruTc9UIa68uS5dz1Qg1Q0lRLk5hc2RhcUdTOklOVEMuSVFfVEVWX1RPVEFMX1JFVl9GV0QuNjAwMC4xMi85LzIwMTEBAAAAh1IAAAIAAAAQMi4xMDA0MzY2NzQ4MDAxOQENAAAABQAAAAE5AQAAAAcyNjIxMjk1AgAAAAcxNzU3MTY3AwAAAAYxMDAzMDcEAAAAATIGAAAAATAHAAAAAzE2MAgAAAABMAkAAAABMQoAAAABMAsAAAAKODg2NDQzMjYzNAwAAAACMTINAAAACjEyLzEwLzIwMTG71Fa7k3PVCBssWUmXc9UINUNJUS5OYXNkYXFHUzpJTlRDLklRX1RFVl9UT1RBTF9SRVZfRldELjYwMDAuMy8yNC8yMDA2AQAAAIdSAAACAAAAEDIuNzI2NTEzMzAzMDY0MjQBDQAAAAUAAAABOQEAAAAHMjYyMTI5NQIAAAAEMTg4MQMAAAAGMTAwMzA3BAAAAAEyBgAAAAEwBwAAAAMxNjAIAAAAATAJAAAAATEKAAAAATALAAAACTM2MDY3MjM2OAwAAAACMTINAAAACTMvMjUvMjAwNpvbsLuTc9UIO7ZPSZdz1QgtQ0lRLl5TUFguSVFfVEVWX0VCSVREQV9GV0RfQ0lR</t>
  </si>
  <si>
    <t>LjYwMDAuMTAvNy8yMDE1AQAAAJu4KAACAAAACDkuNTQ4NDg3ACsEU7uTc9UImyQvS5dz1QgvQ0lRLk5BU0RBUUdTOklOVEMuSVFfUEVfRVhDTF9GV0QuNjAwMC43LzE2LzIwMTABAAAAh1IAAAIAAAAQMTAuMDEyMzg0NDkwODA2OQENAAAABQAAAAE5AQAAAAcyNjIxMjk1AgAAAAcxNzU3MTYzAwAAAAYxMDAzMDkEAAAAATIGAAAAATAHAAAAAzE2MAgAAAABMAkAAAABMQoAAAABMAsAAAAKODg2Mzg0NTA0NwwAAAACMTINAAAACTcvMTcvMjAxMCvtsr2Tc9UIOwlXSZdz1QgvQ0lRLk5BU0RBUUdTOklOVEMuSVFfUEVfRVhDTF9GV0QuNjAwMC40LzE1LzIwMTYBAAAAh1IAAAIAAAAQMTMuMzE4NzY5ODk3NzE3MwENAAAABQAAAAE5AQAAAAcyNjIxMjk1AgAAAAoxMDAwOTE1NDAyAwAAAAYxMDAzMDkEAAAAATIGAAAAATAHAAAAAzE2MAgAAAABMAkAAAABMQoAAAABMAsAAAAKOTQwMDAxMjE4MQwAAAACMTINAAAACTQvMTYvMjAxNtspsr2Tc9UI67ZYSZdz1QgwQ0lRLk5BU0RBUUdTOklOVEMuSVFfUEVfRVhDTF9GV0QuNjAwMC4xMS8yNC8yMDA2AQAAAIdSAAACAAAAEDIxLjQzNTY2MzIyNDc4MTYBDQAAAAUAAAABOQEAAAAHMjYyMTI5NQIAAAAHMTc1NzE1MgMAAAAGMTAwMzA5BAAAAAEyBgAAAAEwBwAAAAMxNjAIAAAAATAJAAAAATEKAAAAATALAAAACjg4NjA1MDY5MzUMAAAAAjEyDQAAAAoxMS8yNS8yMDA2</t>
  </si>
  <si>
    <t>W2KzvZNz1QiboFBJl3PVCCxDSVEuTkFTREFRR1M6SU5UQy5JUV9MQVNUU0FMRVBSSUNFLjkvMTAvMjAxNAEAAACHUgAAAgAAAAUzNS4wMgALtlK7k3PVCAuJN0uXc9UILENJUS5eU1BYLklRX1RFVl9UT1RBTF9SRVZfRldELjYwMDAuNC8yMy8yMDE0AQAAAJu4KAACAAAABzEuODA1NTgA6/65t5Nz1QgL+jlLl3PVCCZDSVEuXlNQWC5JUV9QRV9FWENMX0ZXRC42MDAwLjcvMzAvMjAxNAEAAACbuCgAAgAAAAgxNS44MjMyNwDr/rm3k3PVCCvXN0uXc9UILENJUS5OQVNEQVFHUzpJTlRDLklRX0xBU1RTQUxFUFJJQ0UuNi8xOS8yMDEzAQAAAIdSAAACAAAAAjI1AFtPZrmTc9UIi6M9S5dz1Qg1Q0lRLk5hc2RhcUdTOklOVEMuSVFfVEVWX1RPVEFMX1JFVl9GV0QuNjAwMC43LzE3LzIwMDkBAAAAh1IAAAIAAAAQMi43NjQzMTM3ODM0ODc1NwENAAAABQAAAAE5AQAAAAcyNjIxMjk1AgAAAAcxNzU3MTYwAwAAAAYxMDAzMDcEAAAAATIGAAAAATAHAAAAAzE2MAgAAAABMAkAAAABMQoAAAABMAsAAAAKODg2NDIxMTMzNAwAAAACMTINAAAACTcvMTgvMjAwOetvvLeTc9UIW3VSSZdz1Qg1Q0lRLk5BU0RBUUdTOklOVEMuSVFfVEVWX1RPVEFMX1JFVl9GV0QuNjAwMC4zLzIwLzIwMDkBAAAAh1IAAAIAAAAQMi40MzE2ODIyMTM3MjE4NgENAAAABQAAAAE5AQAAAAcyNjIxMjk1AgAAAAQxODg0AwAAAAYxMDAzMDcEAAAA</t>
  </si>
  <si>
    <t>ATIGAAAAATAHAAAAAzE2MAgAAAABMAkAAAABMQoAAAABMAsAAAAJMzYwNzE1OTc0DAAAAAIxMg0AAAAJMy8yMS8yMDA5WxC7t5Nz1Qjby05Jl3PVCChDSVEuTkFTREFRR1M6SU5UQy5JUV9QVEJWLjIwMDAuMS8xNy8yMDE0AQAAAIdSAAACAAAACDMuMDE2OTM1AQcAAAAFAAAAATEBAAAACjE2NTM4MTkzMzQDAAAAATACAAAABjEwMDAyOQQAAAABMAcAAAAJMS8xNy8yMDE0CAAAAAkxLzE3LzIwMTS7aq+9k3PVCPvdWEmXc9UIJUNJUS5eU1BYLklRX1BFX0VYQ0xfRldELjYwMDAuMS8xLzIwMTQBAAAAm7goAAIAAAAJMTUuOTQwMTEyAKsSZ7mTc9UIC2s8S5dz1QgwQ0lRLk5BU0RBUUdTOklOVEMuSVFfUEVfRVhDTF9GV0QuNjAwMC4xMS8yMC8yMDA5AQAAAIdSAAACAAAAEDEzLjA1MTE0NjM4NDQ3OTcBDQAAAAUAAAABOQEAAAAHMjYyMTI5NQIAAAAHMTc1NzE2MQMAAAAGMTAwMzA5BAAAAAEyBgAAAAEwBwAAAAMxNjAIAAAAATAJAAAAATEKAAAAATALAAAACjkwOTAzNzk3OTIMAAAAAjEyDQAAAAoxMS8yMS8yMDA5u0y0vZNz1Qh7pVdJl3PVCClDSVEuTkFTREFRR1M6SU5UQy5JUV9QVEJWLjIwMDAuMTAvMTcvMjAxNAEAAACHUgAAAgAAAAgzLjY0MTQ2MQEHAAAABQAAAAExAQAAAAoxNzAxOTAzNDk0AwAAAAEwAgAAAAYxMDAwMjkEAAAAATAHAAAACjEwLzE3LzIwMTQIAAAACjEwLzE3LzIwMTQ78a+7k3PV</t>
  </si>
  <si>
    <t>CIvqUkmXc9UINkNJUS5OYXNkYXFHUzpJTlRDLklRX1RFVl9FQklUREFfRldEX0NJUS42MDAwLjcvMTUvMjAwNQEAAACHUgAAAgAAABA5LjU0MDk0Nzk5Njk5MDMzAQ0AAAAFAAAAATkBAAAABzI2MjEyOTUCAAAABzE3NTcxNDcDAAAABjEwMDMwOAQAAAABMgYAAAABMAcAAAADMTYwCAAAAAEwCQAAAAExCgAAAAEwCwAAAAo2ODgzNjkyNzQzDAAAAAIxMg0AAAAJNy8xNi8yMDA1u0y0vZNz1Qg7ro2ul3PVCDZDSVEuTkFTREFRR1M6SU5UQy5JUV9URVZfRUJJVERBX0ZXRF9DSVEuNjAwMC43LzE3LzIwMDkBAAAAh1IAAAIAAAAQNy45NDIxMDM4MDU0NzQ3MwENAAAABQAAAAE5AQAAAAcyNjIxMjk1AgAAAAcxNzU3MTYwAwAAAAYxMDAzMDgEAAAAATIGAAAAATAHAAAAAzE2MAgAAAABMAkAAAABMQoAAAABMAsAAAAKODE3MjQwMzM0OQwAAAACMTINAAAACTcvMTgvMjAwOduxVLuTc9UI+xGNrpdz1QgwQ0lRLk5BU0RBUUdTOklOVEMuSVFfUEVfRVhDTF9GV0QuNjAwMC4xMi8yMi8yMDA2AQAAAIdSAAACAAAAEDE5LjkxNDcwNzkyNDIyODkBDQAAAAUAAAABOQEAAAAHMjYyMTI5NQIAAAAHMTc1NzE1MgMAAAAGMTAwMzA5BAAAAAEyBgAAAAEwBwAAAAMxNjAIAAAAATAJAAAAATEKAAAAATALAAAACjg4NjAwNzg3MzMMAAAAAjEyDQAAAAoxMi8yMy8yMDA2qyW0vZNz1QjLFVFJl3PVCChDSVEuTkFTREFRR1M6SU5U</t>
  </si>
  <si>
    <t>Qy5JUV9QVEJWLjIwMDAuMy8zMS8yMDE3AQAAAIdSAAACAAAACDQuMDAxODU1AQcAAAAFAAAAATEBAAAACjE4MjgxNzQxMjIDAAAAATACAAAABjEwMDAyOQQAAAABMAcAAAAJMy8zMS8yMDE3CAAAAAkzLzMxLzIwMTf7jlK7k3PVCCviVkmXc9UIL0NJUS5OQVNEQVFHUzpJTlRDLklRX1BSSUNFX1NBTEVTLjIwMDAuNy8yNy8yMDE2AQAAAIdSAAACAAAACDIuOTA5Njc3AQcAAAAFAAAAATEBAAAACjE3OTk5NDYyMDgDAAAAATACAAAABTM4OTU4BAAAAAEwBwAAAAk3LzI3LzIwMTYIAAAACTcvMjcvMjAxNqtDr72Tc9UIK8AmS5dz1Qg1Q0lRLk5hc2RhcUdTOklOVEMuSVFfVEVWX1RPVEFMX1JFVl9GV0QuNjAwMC41LzEzLzIwMDUBAAAAh1IAAAIAAAAQMy42NDI3MTM1NjY3MzQyNwENAAAABQAAAAE5AQAAAAcyNjIxMjk1AgAAAAcxNzU3MTQ3AwAAAAYxMDAzMDcEAAAAATIGAAAAATAHAAAAAzE2MAgAAAABMAkAAAABMQoAAAABMAsAAAAKNTg4Nzc3NjQ0OAwAAAACMTINAAAACTUvMTQvMjAwNZvUVbmTc9UIK61KSZdz1Qg2Q0lRLk5hc2RhcUdTOklOVEMuSVFfVEVWX1RPVEFMX1JFVl9GV0QuNjAwMC4xMi8xNS8yMDA2AQAAAIdSAAACAAAAEDMuMTIwMzcwODAyNzAyNjkBDQAAAAUAAAABOQEAAAAHMjYyMTI5NQIAAAAHMTc1NzE1MgMAAAAGMTAwMzA3BAAAAAEyBgAAAAEwBwAAAAMxNjAIAAAAATAJAAAAATEK</t>
  </si>
  <si>
    <t>AAAAATALAAAACjU3NTIzMjY2NDIMAAAAAjEyDQAAAAoxMi8xNi8yMDA2+75WuZNz1QgrAFJJl3PVCDRDSVEuTmFzZGFxR1M6SU5UQy5JUV9URVZfVE9UQUxfUkVWX0ZXRC42MDAwLjUvNC8yMDA3AQAAAIdSAAACAAAAEDMuMTgzNzc0MzQ4ODg5ODQBDQAAAAUAAAABOQEAAAAHMjYyMTI5NQIAAAAHMTc1NzE1MwMAAAAGMTAwMzA3BAAAAAEyBgAAAAEwBwAAAAMxNjAIAAAAATAJAAAAATEKAAAAATALAAAACzEwMzc4NTgzODk2DAAAAAIxMg0AAAAINS81LzIwMDerJbS9k3PVCHvDUkmXc9UIH0NJUS5eU1BYLklRX1BUQlYuMjAwMC4xLzExLzIwMTcBAAAAm7goAAIAAAAINy45MTgxMDMA62dSu5Nz1QibnBtLl3PVCCxDSVEuTkFTREFRR1M6SU5UQy5JUV9MQVNUU0FMRVBSSUNFLjgvMTcvMjAxNgEAAACHUgAAAgAAAAUzNS4wMgDr/rm3k3PVCKuHJUuXc9UILUNJUS5eU1BYLklRX1RFVl9UT1RBTF9SRVZfRldELjYwMDAuMTAvMjIvMjAxNAEAAACbuCgAAgAAAAgxLjgwOTQ1NQB7hlW5k3PVCJt3NkuXc9UINkNJUS5OYXNkYXFHUzpJTlRDLklRX1RFVl9FQklUREFfRldEX0NJUS42MDAwLjMvMjMvMjAwMQEAAACHUgAAAwAAAAAAq61Wu5Nz1QiLcY6ul3PVCC1DSVEuXlNQWC5JUV9URVZfRUJJVERBX0ZXRF9DSVEuNjAwMC4xMS82LzIwMTMBAAAAm7goAAIAAAAIOC41MDI4MDQAKwRTu5Nz1Qg74DxLl3PVCDBD</t>
  </si>
  <si>
    <t>SVEuTkFTREFRR1M6SU5UQy5JUV9QRV9FWENMX0ZXRC42MDAwLjEwLzE0LzIwMTEBAAAAh1IAAAIAAAAPOS44NjExMDUyODMwMzQ3AQ0AAAAFAAAAATkBAAAABzI2MjEyOTUCAAAABzE3NTcxNjYDAAAABjEwMDMwOQQAAAABMgYAAAABMAcAAAADMTYwCAAAAAEwCQAAAAExCgAAAAEwCwAAAAo4ODYzMzU5MjgwDAAAAAIxMg0AAAAKMTAvMTUvMjAxMRvGsr2Tc9UIC9BMSZdz1QgvQ0lRLk5BU0RBUUdTOklOVEMuSVFfUFJJQ0VfU0FMRVMuMjAwMC41LzIxLzIwMTQBAAAAh1IAAAIAAAAIMi40NjUxMDQBBwAAAAUAAAABMQEAAAAKMTY3MzM3OTMyNwMAAAABMAIAAAAFMzg5NTgEAAAAATAHAAAACTUvMjEvMjAxNAgAAAAJNS8yMS8yMDE069GItpNz1Qi7NjlLl3PVCDZDSVEuTmFzZGFxR1M6SU5UQy5JUV9URVZfRUJJVERBX0ZXRF9DSVEuNjAwMC41LzI3LzIwMTYBAAAAh1IAAAIAAAAQNy43NTI5MjgzOTk4ODg4NQENAAAABQAAAAE5AQAAAAcyNjIxMjk1AgAAAAgyNzAwMzY1MQMAAAAGMTAwMzA4BAAAAAEyBgAAAAEwBwAAAAMxNjAIAAAAATAJAAAAATEKAAAAATALAAAACjk0NzM0ODg0OTEMAAAAAjEyDQAAAAk1LzI4LzIwMTaLtLC7k3PVCFv8ja6Xc9UIK0NJUS5eU1BYLklRX1RFVl9UT1RBTF9SRVZfRldELjYwMDAuNi8xLzIwMTYBAAAAm7goAAIAAAAIMi4wNTMzNTUAa19VuZNz1QhbpilLl3PVCC9DSVEu</t>
  </si>
  <si>
    <t>TkFTREFRR1M6SU5UQy5JUV9QUklDRV9TQUxFUy4yMDAwLjQvMTIvMjAxNwEAAACHUgAAAgAAAAgyLjgzNzgyNAEHAAAABQAAAAExAQAAAAoxODI4MTc0MTIyAwAAAAEwAgAAAAUzODk1OAQAAAABMAcAAAAJNC8xMi8yMDE3CAAAAAk0LzEyLzIwMTdLEVW5k3PVCBuCFUuXc9UINENJUS5OYXNkYXFHUzpJTlRDLklRX1RFVl9UT1RBTF9SRVZfRldELjYwMDAuNC81LzIwMDIBAAAAh1IAAAIAAAAQNi42NDgxMjc2NTI4NzE1NAENAAAABQAAAAE5AQAAAAcyNjIxMjk1AgAAAAQxODc3AwAAAAYxMDAzMDcEAAAAATIGAAAAATAHAAAAAzE2MAgAAAABMAkAAAABMQoAAAABMAsAAAAJMzYwNjU0NjQzDAAAAAIxMg0AAAAINC82LzIwMDLrb7y3k3PVCPsZT0mXc9UIL0NJUS5OQVNEQVFHUzpJTlRDLklRX1BFX0VYQ0xfRldELjYwMDAuMi8xMy8yMDE1AQAAAIdSAAACAAAAEDE0LjQ2NTM1ODQ5NzU1NjEBDQAAAAUAAAABOQEAAAAHMjYyMTI5NQIAAAAKMTAwMDA5NDA3MQMAAAAGMTAwMzA5BAAAAAEyBgAAAAEwBwAAAAMxNjAIAAAAATAJAAAAATEKAAAAATALAAAACjg2MDQ1NjI0MTAMAAAAAjEyDQAAAAkyLzE0LzIwMTWb/rO9k3PVCMtoWEmXc9UIL0NJUS5OQVNEQVFHUzpJTlRDLklRX1BSSUNFX1NBTEVTLjIwMDAuNC8xMy8yMDEyAQAAAIdSAAACAAAACDIuNzM0MTQ0AQcAAAAFAAAAATEBAAAACjE1MjM0MDM4NDkD</t>
  </si>
  <si>
    <t>AAAAATACAAAABTM4OTU4BAAAAAEwBwAAAAk0LzEzLzIwMTIIAAAACTQvMTMvMjAxMjvqVLmTc9UIe1JQSZdz1QgvQ0lRLk5BU0RBUUdTOklOVEMuSVFfUFJJQ0VfU0FMRVMuMjAwMC4yLzE0LzIwMTQBAAAAh1IAAAIAAAAIMi4zMzQyMjUBBwAAAAUAAAABMQEAAAAKMTY1ODM0Mjc4MAMAAAABMAIAAAAFMzg5NTgEAAAAATAHAAAACTIvMTQvMjAxNAgAAAAJMi8xNC8yMDE0q0OvvZNz1QiLPVpJl3PVCDVDSVEuTmFzZGFxR1M6SU5UQy5JUV9URVZfVE9UQUxfUkVWX0ZXRC42MDAwLjYvMTAvMjAwNAEAAACHUgAAAgAAABA0LjgyODExMTkyODkwNDY5AQ0AAAAFAAAAATkBAAAABzI2MjEyOTUCAAAABzE3NTcxNDQDAAAABjEwMDMwNwQAAAABMgYAAAABMAcAAAADMTYwCAAAAAEwCQAAAAExCgAAAAEwCwAAAAoxMTY5MTI4Mzg0DAAAAAIxMg0AAAAJNi8xMS8yMDA0u/q7t5Nz1Qi7QVhJl3PVCC5DSVEuTkFTREFRR1M6SU5UQy5JUV9QUklDRV9TQUxFUy4yMDAwLjIvMy8yMDE3AQAAAIdSAAACAAAABzIuOTA4NzEBBwAAAAUAAAABMQEAAAAKMTgyNTUyMjE3NgMAAAABMAIAAAAFMzg5NTgEAAAAATAHAAAACDIvMy8yMDE3CAAAAAgyLzMvMjAxNzvxr7uTc9UIa5xSSZdz1QgwQ0lRLk5BU0RBUUdTOklOVEMuSVFfUFJJQ0VfU0FMRVMuMjAwMC4xMC8xMC8yMDE0AQAAAIdSAAACAAAACDIuOTQ1ODM5AQcAAAAFAAAA</t>
  </si>
  <si>
    <t>ATEBAAAACjE2ODgwODA5OTIDAAAAATACAAAABTM4OTU4BAAAAAEwBwAAAAoxMC8xMC8yMDE0CAAAAAoxMC8xMC8yMDE0+45Su5Nz1QhbV1dJl3PVCB9DSVEuXlNQWC5JUV9QVEJWLjIwMDAuOC8yNy8yMDE0AQAAAJu4KAACAAAACDUuNDAyOTkyAFs/sLuTc9UIG7A3S5dz1Qg0Q0lRLk5hc2RhcUdTOklOVEMuSVFfVEVWX1RPVEFMX1JFVl9GV0QuNjAwMC4xLzYvMjAxNwEAAACHUgAAAgAAABAzLjAxMzgwNzA2MTA3Nzc3AQ0AAAAFAAAAATkBAAAABzI2MjEyOTUCAAAACDI3MDAzNjUzAwAAAAYxMDAzMDcEAAAAATIGAAAAATAHAAAAAzE2MAgAAAABMAkAAAABMQoAAAABMAsAAAAKOTkxMjY5MDMyMwwAAAACMTINAAAACDEvNy8yMDE3i9ezvZNz1Qg7RU1Jl3PVCDVDSVEuTmFzZGFxR1M6SU5UQy5JUV9URVZfVE9UQUxfUkVWX0ZXRC42MDAwLjgvMTIvMjAxNgEAAACHUgAAAgAAABAyLjk2MzIxODEzMzk5MzA0AQ0AAAAFAAAAATkBAAAABzI2MjEyOTUCAAAACDI3MDAzNjUyAwAAAAYxMDAzMDcEAAAAATIGAAAAATAHAAAAAzE2MAgAAAABMAkAAAABMQoAAAABMAsAAAAKOTYzOTkzNDk5MgwAAAACMTINAAAACTgvMTMvMjAxNoutVbmTc9UImxFTSZdz1QgvQ0lRLk5BU0RBUUdTOklOVEMuSVFfUFJJQ0VfU0FMRVMuMjAwMC41LzI5LzIwMTMBAAAAh1IAAAIAAAAIMi4yODEzMDYBBwAAAAUAAAABMQEAAAAKMTYx</t>
  </si>
  <si>
    <t>NDA3NDk0MgMAAAABMAIAAAAFMzg5NTgEAAAAATAHAAAACTUvMjkvMjAxMwgAAAAJNS8yOS8yMDEzSxiwu5Nz1Qibyj1Ll3PVCDVDSVEuTmFzZGFxR1M6SU5UQy5JUV9URVZfRUJJVERBX0ZXRF9DSVEuNjAwMC40LzQvMjAwMwEAAACHUgAAAgAAABA5LjE2MTEwNzYzMjI2MzY2AQ0AAAAFAAAAATkBAAAABzI2MjEyOTUCAAAABDE4NzgDAAAABjEwMDMwOAQAAAABMgYAAAABMAcAAAADMTYwCAAAAAEwCQAAAAExCgAAAAEwCwAAAAkzNjA2NTkwNDMMAAAAAjEyDQAAAAg0LzUvMjAwM5vbsLuTc9UICzmNrpdz1QgiQ0lRLl5TUFguSVFfTEFTVFNBTEVQUklDRS42LzMvMjAxNQEAAACbuCgAAgAAABAyMTE0LjA2NzM3MzcxMjM1ABvdUruTc9UIS9IwS5dz1QgrQ0lRLk5BU0RBUUdTOklOVEMuSVFfTEFTVFNBTEVQUklDRS40LzEvMjAxNQEAAACHUgAAAgAAAAUzMC44MQDb17m3k3PVCOtYMkuXc9UILUNJUS5eU1BYLklRX1RFVl9FQklUREFfRldEX0NJUS42MDAwLjQvMjkvMjAxNQEAAACbuCgAAgAAAAg5Ljk4MjMxNgBrZrC7k3PVCMsKMkuXc9UIHkNJUS5eU1BYLklRX1BUQlYuMjAwMC41LzQvMjAxNgEAAACbuCgAAgAAAAg2LjczNzg5OQDrZ1K7k3PVCGvNKUuXc9UINkNJUS5OQVNEQVFHUzpJTlRDLklRX1RFVl9FQklUREFfRldEX0NJUS42MDAwLjEyLzMvMjAxMAEAAACHUgAAAgAAABA1LjA5Njk1MDg1ODQ0</t>
  </si>
  <si>
    <t>NDcxAQ0AAAAFAAAAATkBAAAABzI2MjEyOTUCAAAABzE3NTcxNjQDAAAABjEwMDMwOAQAAAABMgYAAAABMAcAAAADMTYwCAAAAAEwCQAAAAExCgAAAAEwCwAAAAo3MDczNzIwNTQxDAAAAAIxMg0AAAAJMTIvNC8yMDEwu2NUu5Nz1Qjr6oyul3PVCDRDSVEuTmFzZGFxR1M6SU5UQy5JUV9URVZfVE9UQUxfUkVWX0ZXRC42MDAwLjgvMy8yMDA3AQAAAIdSAAACAAAAEDMuMzcyMzU3NzcxNDkyNzMBDQAAAAUAAAABOQEAAAAHMjYyMTI5NQIAAAAHMTc1NzE1NAMAAAAGMTAwMzA3BAAAAAEyBgAAAAEwBwAAAAMxNjAIAAAAATAJAAAAATEKAAAAATALAAAACjg4NTY3MDcyNTIMAAAAAjEyDQAAAAg4LzQvMjAwN4utVbmTc9UIu31OSZdz1QgoQ0lRLk5BU0RBUUdTOklOVEMuSVFfUFRCVi4yMDAwLjUvMTgvMjAxMgEAAACHUgAAAgAAAAg0LjE2ODQ2OAEHAAAABQAAAAExAQAAAAoxNTQ1MTU2NDM4AwAAAAEwAgAAAAYxMDAwMjkEAAAAATAHAAAACTUvMTgvMjAxMggAAAAJNS8xOC8yMDEyu2qvvZNz1Qg7ellJl3PVCCZDSVEuXlNQWC5JUV9QRV9FWENMX0ZXRC42MDAwLjEvMTcvMjAxOAEAAACbuCgAAgAAAAkxOS4xNzY1NjEAa19VuZNz1QhrwEZKl3PVCDVDSVEuTmFzZGFxR1M6SU5UQy5JUV9URVZfRUJJVERBX0ZXRF9DSVEuNjAwMC44LzUvMjAwNQEAAACHUgAAAgAAABA4LjczNDgxNjE0NTg4MTQ4AQ0AAAAFAAAA</t>
  </si>
  <si>
    <t>ATkBAAAABzI2MjEyOTUCAAAABzE3NTcxNDgDAAAABjEwMDMwOAQAAAABMgYAAAABMAcAAAADMTYwCAAAAAEwCQAAAAExCgAAAAEwCwAAAAoxMTY5MTMwOTY0DAAAAAIxMg0AAAAIOC82LzIwMDV7jbC7k3PVCGuUkK6Xc9UILENJUS5eU1BYLklRX1RFVl9UT1RBTF9SRVZfRldELjYwMDAuOC8xNC8yMDEzAQAAAJu4KAACAAAACDEuNjg2OTgzAGtmsLuTc9UIa1U9S5dz1QgvQ0lRLk5BU0RBUUdTOklOVEMuSVFfUFJJQ0VfU0FMRVMuMjAwMC4zLzExLzIwMTUBAAAAh1IAAAIAAAAIMi44MzYwMzYBBwAAAAUAAAABMQEAAAAKMTcxODg1OTI5MQMAAAABMAIAAAAFMzg5NTgEAAAAATAHAAAACTMvMTEvMjAxNQgAAAAJMy8xMS8yMDE1O+pUuZNz1Qgr9TJLl3PVCC5DSVEuTkFTREFRR1M6SU5UQy5JUV9QUklDRV9TQUxFUy4yMDAwLjEvNy8yMDE1AQAAAIdSAAACAAAACDMuMjQ0MTEyAQcAAAAFAAAAATEBAAAACjE3MDM2ODE4OTQDAAAAATACAAAABTM4OTU4BAAAAAEwBwAAAAgxLzcvMjAxNQgAAAAIMS83LzIwMTX7jlK7k3PVCOvJNEuXc9UINUNJUS5OYXNkYXFHUzpJTlRDLklRX1RFVl9UT1RBTF9SRVZfRldELjYwMDAuNS8yMS8yMDA0AQAAAIdSAAACAAAADzQuNjU4MDYxMjQzNjA0MQENAAAABQAAAAE5AQAAAAcyNjIxMjk1AgAAAAcxNzU3MTQ0AwAAAAYxMDAzMDcEAAAAATIGAAAAATAHAAAAAzE2MAgAAAAB</t>
  </si>
  <si>
    <t>MAkAAAABMQoAAAABMAsAAAAKMTE2OTEyODM1MAwAAAACMTINAAAACTUvMjIvMjAwNLtMtL2Tc9UIO3pZSZdz1Qg3Q0lRLk5BU0RBUUdTOklOVEMuSVFfVEVWX0VCSVREQV9GV0RfQ0lRLjYwMDAuMTIvMTQvMjAxMgEAAACHUgAAAgAAABA0LjY0MTExMTQwMzc1MjkzAQ0AAAAFAAAAATkBAAAABzI2MjEyOTUCAAAABzE3NTcxNzADAAAABjEwMDMwOAQAAAABMgYAAAABMAcAAAADMTYwCAAAAAEwCQAAAAExCgAAAAEwCwAAAAo2OTU1NDA1OTc2DAAAAAIxMg0AAAAKMTIvMTUvMjAxMpsVVLuTc9UIW22Qrpdz1QgmQ0lRLl5TUFguSVFfUEVfRVhDTF9GV0QuNjAwMC4xLzI0LzIwMTgBAAAAm7goAAIAAAAJMTkuMTM1ODM0AHuNsLuTc9UIe2TKSZdz1Qg1Q0lRLk5BU0RBUUdTOklOVEMuSVFfVEVWX0VCSVREQV9GV0RfQ0lRLjYwMDAuNS81LzIwMDYBAAAAh1IAAAIAAAAQOS4yNjA1ODIxNjkxODE4NwENAAAABQAAAAE5AQAAAAcyNjIxMjk1AgAAAAcxNzU3MTUwAwAAAAYxMDAzMDgEAAAAATIGAAAAATAHAAAAAzE2MAgAAAABMAkAAAABMQoAAAABMAsAAAAKMTE2OTEzMzIzMgwAAAACMTINAAAACDUvNi8yMDA2CydVu5Nz1Qgr+I+ul3PVCDdDSVEuTkFTREFRR1M6SU5UQy5JUV9URVZfRUJJVERBX0ZXRF9DSVEuNjAwMC4xMi8xNS8yMDE3AQAAAIdSAAACAAAAEDguMjQ2NjgyODQ5MzI5MjcBDQAAAAUAAAABOQEA</t>
  </si>
  <si>
    <t>AAAHMjYyMTI5NQIAAAAIMjc1MDAxNzQDAAAABjEwMDMwOAQAAAABMgYAAAABMAcAAAADMTYwCAAAAAEwCQAAAAExCgAAAAEwCwAAAAsxMDY1OTMyNjc1MgwAAAACMTINAAAACjEyLzE2LzIwMTc7K1O7k3PVCBtgja6Xc9UILkNJUS5OQVNEQVFHUzpJTlRDLklRX1BFX0VYQ0xfRldELjYwMDAuMS82LzIwMTcBAAAAh1IAAAIAAAAQMTMuMjE1NDc2MDE3OTY4NAENAAAABQAAAAE5AQAAAAcyNjIxMjk1AgAAAAgyNzAwMzY1MwMAAAAGMTAwMzA5BAAAAAEyBgAAAAEwBwAAAAMxNjAIAAAAATAJAAAAATEKAAAAATALAAAACjk5MTI2OTAzMTUMAAAAAjEyDQAAAAgxLzcvMjAxN5v+s72Tc9UIu19TSZdz1QgvQ0lRLk5BU0RBUUdTOklOVEMuSVFfUEVfRVhDTF9GV0QuNjAwMC41LzE2LzIwMDMBAAAAh1IAAAIAAAAQMjkuODU3NjAyMjA0ODY5MQENAAAABQAAAAE5AQAAAAcyNjIxMjk1AgAAAAcxNzU3MTQxAwAAAAYxMDAzMDkEAAAAATIGAAAAATAHAAAAAzE2MAgAAAABMAkAAAABMQoAAAABMAsAAAAKODg2MDM2MzU3MAwAAAACMTINAAAACTUvMTcvMjAwM3uws72Tc9UIOydSSZdz1QguQ0lRLl5TUFguSVFfVEVWX0VCSVREQV9GV0RfQ0lRLjYwMDAuMTIvMjUvMjAxMwEAAACbuCgAAgAAAAg4LjgzNjk2MQDbuK+9k3PVCBuSPEuXc9UINUNJUS5OYXNkYXFHUzpJTlRDLklRX1RFVl9UT1RBTF9SRVZfRldELjYwMDAu</t>
  </si>
  <si>
    <t>MTAvOC8yMDEwAQAAAIdSAAACAAAAEDIuMTM0NDQ0NDU4NDIxMjEBDQAAAAUAAAABOQEAAAAHMjYyMTI5NQIAAAAHMTc1NzE2MwMAAAAGMTAwMzA3BAAAAAEyBgAAAAEwBwAAAAMxNjAIAAAAATAJAAAAATEKAAAAATALAAAACjg4NjQ0MjYxMzIMAAAAAjEyDQAAAAkxMC85LzIwMTCb/rO9k3PVCGu6TUmXc9UIL0NJUS5OQVNEQVFHUzpJTlRDLklRX1BSSUNFX1NBTEVTLjIwMDAuNy8zMC8yMDEwAQAAAIdSAAACAAAACDIuNzgxMDE1AQcAAAAFAAAAATEBAAAACjEzODk3MTA3NDQDAAAAATACAAAABTM4OTU4BAAAAAEwBwAAAAk3LzMwLzIwMTAIAAAACTcvMzAvMjAxMEsRVbmTc9UI28tOSZdz1QgmQ0lRLl5TUFguSVFfUEVfRVhDTF9GV0QuNjAwMC43LzE2LzIwMTQBAAAAm7goAAIAAAAJMTYuMjM5ODIzANu4r72Tc9UIK9c3S5dz1QgoQ0lRLk5BU0RBUUdTOklOVEMuSVFfUFRCVi4yMDAwLjQvMTcvMjAxNQEAAACHUgAAAgAAAAgzLjg1MzYxMwEHAAAABQAAAAExAQAAAAoxNzI4MjE0MzE0AwAAAAEwAgAAAAYxMDAwMjkEAAAAATAHAAAACTQvMTcvMjAxNQgAAAAJNC8xNy8yMDE126qItpNz1QhbIktJl3PVCB9DSVEuXlNQWC5JUV9QVEJWLjIwMDAuNi8yOS8yMDE2AQAAAJu4KAACAAAACDcuMDA1OTc3AOtnUruTc9UIC+MoS5dz1QgtQ0lRLl5TUFguSVFfVEVWX0VCSVREQV9GV0RfQ0lRLjYwMDAuMi8xNC8y</t>
  </si>
  <si>
    <t>MDE4AQAAAJu4KAACAAAACTEwLjY1ODM0OQCb62a5k3PVCGs9ykmXc9UIL0NJUS5OQVNEQVFHUzpJTlRDLklRX1BFX0VYQ0xfRldELjYwMDAuNS8yNy8yMDA1AQAAAIdSAAACAAAADzIwLjI2OTM3MDIzNjA2OQENAAAABQAAAAE5AQAAAAcyNjIxMjk1AgAAAAcxNzU3MTQ3AwAAAAYxMDAzMDkEAAAAATIGAAAAATAHAAAAAzE2MAgAAAABMAkAAAABMQoAAAABMAsAAAAKODg2MjgwMDI1OAwAAAACMTINAAAACTUvMjgvMjAwNWuJs72Tc9UIaytQSZdz1QguQ0lRLk5BU0RBUUdTOklOVEMuSVFfUEVfRVhDTF9GV0QuNjAwMC4yLzEvMjAxMwEAAACHUgAAAgAAABAxMS4wMjM4Njk5OTUyNTA4AQ0AAAAFAAAAATkBAAAABzI2MjEyOTUCAAAABzM2NTI2NjADAAAABjEwMDMwOQQAAAABMgYAAAABMAcAAAADMTYwCAAAAAEwCQAAAAExCgAAAAEwCwAAAAo1NzQ4MzAyOTkwDAAAAAIxMg0AAAAIMi8yLzIwMTMLn7K9k3PVCIvMV0mXc9UIL0NJUS5OQVNEQVFHUzpJTlRDLklRX1BFX0VYQ0xfRldELjYwMDAuMi8yMS8yMDE0AQAAAIdSAAACAAAADzEzLjIyODYwMjM4MzUzMgENAAAABQAAAAE5AQAAAAcyNjIxMjk1AgAAAAc0NDU2NDIxAwAAAAYxMDAzMDkEAAAAATIGAAAAATAHAAAAAzE2MAgAAAABMAkAAAABMQoAAAABMAsAAAAKNjUyODk3OTU5NQwAAAACMTINAAAACTIvMjIvMjAxNPt3sr2Tc9UIW+ZUSZdz1QgoQ0lR</t>
  </si>
  <si>
    <t>Lk5BU0RBUUdTOklOVEMuSVFfUFRCVi4yMDAwLjIvMTAvMjAxMgEAAACHUgAAAgAAAAc0LjQ1MjY4AQcAAAAFAAAAATEBAAAACjE0OTA0NjQ0MDUDAAAAATACAAAABjEwMDAyOQQAAAABMAcAAAAJMi8xMC8yMDEyCAAAAAkyLzEwLzIwMTI78a+7k3PVCGucUkmXc9UINkNJUS5OQVNEQVFHUzpJTlRDLklRX1RFVl9FQklUREFfRldEX0NJUS42MDAwLjcvMjIvMjAxMQEAAACHUgAAAgAAABA0LjY4NjI0ODc5MzEzODIyAQ0AAAAFAAAAATkBAAAABzI2MjEyOTUCAAAABzE3NTcxNjYDAAAABjEwMDMwOAQAAAABMgYAAAABMAcAAAADMTYwCAAAAAEwCQAAAAExCgAAAAEwCwAAAAo4MTcwNzA1NDEzDAAAAAIxMg0AAAAJNy8yMy8yMDExqzxUu5Nz1Qgb0Y+ul3PVCDVDSVEuTmFzZGFxR1M6SU5UQy5JUV9URVZfVE9UQUxfUkVWX0ZXRC42MDAwLjUvMjcvMjAwNQEAAACHUgAAAgAAABA0LjAwMjg4OTM3MjQxNjQ2AQ0AAAAFAAAAATkBAAAABzI2MjEyOTUCAAAABzE3NTcxNDcDAAAABjEwMDMwNwQAAAABMgYAAAABMAcAAAADMTYwCAAAAAEwCQAAAAExCgAAAAEwCwAAAAo1OTI3NjMyODkzDAAAAAIxMg0AAAAJNS8yOC8yMDA123BWuZNz1Qg7mFRJl3PVCDZDSVEuTkFTREFRR1M6SU5UQy5JUV9URVZfRUJJVERBX0ZXRF9DSVEuNjAwMC40LzIyLzIwMDUBAAAAh1IAAAIAAAAQNy44ODA3MDA5OTk0OTU5NQENAAAABQAA</t>
  </si>
  <si>
    <t>AAE5AQAAAAcyNjIxMjk1AgAAAAcxNzU3MTQ3AwAAAAYxMDAzMDgEAAAAATIGAAAAATAHAAAAAzE2MAgAAAABMAkAAAABMQoAAAABMAsAAAAKMTE2OTEzMDI3NQwAAAACMTINAAAACTQvMjMvMjAwNSt1VbuTc9UIS0aQrpdz1QgmQ0lRLl5TUFguSVFfUEVfRVhDTF9GV0QuNjAwMC42LzE1LzIwMTYBAAAAm7goAAIAAAAJMTcuMDQ2NzM0AHuNsLuTc9UIy0YoS5dz1QgvQ0lRLk5BU0RBUUdTOklOVEMuSVFfUEVfRVhDTF9GV0QuNjAwMC4yLzI1LzIwMDUBAAAAh1IAAAIAAAAQMTkuNTIxODgwMDY0ODI5OAENAAAABQAAAAE5AQAAAAcyNjIxMjk1AgAAAAQxODgwAwAAAAYxMDAzMDkEAAAAATIGAAAAATAHAAAAAzE2MAgAAAABMAkAAAABMQoAAAABMAsAAAAHMTUwOTA2OQwAAAACMTINAAAACTIvMjYvMjAwNWuJs72Tc9UIu9BVSZdz1QgsQ0lRLk5BU0RBUUdTOklOVEMuSVFfTEFTVFNBTEVQUklDRS4xMi8yLzIwMTUBAAAAh1IAAAIAAAAFMzQuODMA26qItpNz1Qj7nS1Ll3PVCC9DSVEuTkFTREFRR1M6SU5UQy5JUV9QRV9FWENMX0ZXRC42MDAwLjYvMjIvMjAwNwEAAACHUgAAAgAAABAyMS4zODQxMDE3Nzc0OTcxAQ0AAAAFAAAAATkBAAAABzI2MjEyOTUCAAAABzE3NTcxNTMDAAAABjEwMDMwOQQAAAABMgYAAAABMAcAAAADMTYwCAAAAAEwCQAAAAExCgAAAAEwCwAAAAo4ODYzMzU5MDgyDAAAAAIxMg0AAAAJ</t>
  </si>
  <si>
    <t>Ni8yMy8yMDA3SzuzvZNz1Qgbu1ZJl3PVCCxDSVEuTkFTREFRR1M6SU5UQy5JUV9MQVNUU0FMRVBSSUNFLjQvMzAvMjAxNAEAAACHUgAAAgAAAAUyNi42OQBLKGa5k3PVCPvSOUuXc9UINUNJUS5OYXNkYXFHUzpJTlRDLklRX1RFVl9UT1RBTF9SRVZfRldELjYwMDAuOS8yNy8yMDAyAQAAAIdSAAACAAAAEDMuMjYwMTYxMzkwNzEzOTEBDQAAAAUAAAABOQEAAAAHMjYyMTI5NQIAAAAHMTc1NzEzOQMAAAAGMTAwMzA3BAAAAAEyBgAAAAEwBwAAAAMxNjAIAAAAATAJAAAAATEKAAAAATALAAAACjExNjkxMjU3NDEMAAAAAjEyDQAAAAk5LzI4LzIwMDLrrme5k3PVCGsNVUmXc9UINkNJUS5OYXNkYXFHUzpJTlRDLklRX1RFVl9FQklUREFfRldEX0NJUS42MDAwLjEyLzUvMjAwOAEAAACHUgAAAgAAABA2LjEzOTQxOTMxNzc0NjI2AQ0AAAAFAAAAATkBAAAABzI2MjEyOTUCAAAABzE3NTcxNTgDAAAABjEwMDMwOAQAAAABMgYAAAABMAcAAAADMTYwCAAAAAEwCQAAAAExCgAAAAEwCwAAAAo2NzMwODU4NDQ3DAAAAAIxMg0AAAAJMTIvNi8yMDA42yJXu5Nz1Qj7EY2ul3PVCDZDSVEuTmFzZGFxR1M6SU5UQy5JUV9URVZfRUJJVERBX0ZXRF9DSVEuNjAwMC4xMi84LzIwMTcBAAAAh1IAAAIAAAAQOC4wMzY5NjQ5Mjc5MzI5NgENAAAABQAAAAE5AQAAAAcyNjIxMjk1AgAAAAgyNzUwMDE3NAMAAAAGMTAwMzA4BAAAAAEy</t>
  </si>
  <si>
    <t>BgAAAAEwBwAAAAMxNjAIAAAAATAJAAAAATEKAAAAATALAAAACzEwNjU5MzI2NzUyDAAAAAIxMg0AAAAJMTIvOS8yMDE3e42wu5Nz1QhL1Y2ul3PVCClDSVEuTkFTREFRR1M6SU5UQy5JUV9QVEJWLjIwMDAuMTIvMzEvMjAxMAEAAACHUgAAAgAAAAgyLjc2MjY0NgEHAAAABQAAAAExAQAAAAoxNDA4NTE2NTQ2AwAAAAEwAgAAAAYxMDAwMjkEAAAAATAHAAAACjEyLzMxLzIwMTAIAAAACjEyLzMxLzIwMTB7nWa5k3PVCMuGU0mXc9UINUNJUS5OQVNEQVFHUzpJTlRDLklRX1RFVl9FQklUREFfRldEX0NJUS42MDAwLjgvNy8yMDE1AQAAAIdSAAACAAAAEDUuODYzNDY1MzU2MzMyMzQBDQAAAAUAAAABOQEAAAAHMjYyMTI5NQIAAAAHODA2ODI2MQMAAAAGMTAwMzA4BAAAAAEyBgAAAAEwBwAAAAMxNjAIAAAAATAJAAAAATEKAAAAATALAAAACjg4OTk4NDIzNDYMAAAAAjEyDQAAAAg4LzgvMjAxNWugU7uTc9UIm5iOrpdz1QgfQ0lRLl5TUFguSVFfUFRCVi4yMDAwLjEvMjcvMjAxNgEAAACbuCgAAgAAAAg1Ljk5NDA2NwCLxGa5k3PVCEvwK0uXc9UIL0NJUS5OQVNEQVFHUzpJTlRDLklRX1BFX0VYQ0xfRldELjYwMDAuNy8yMy8yMDA0AQAAAIdSAAACAAAAEDE3LjY5NzExMTYzMTUzNzkBDQAAAAUAAAABOQEAAAAHMjYyMTI5NQIAAAAHMTc1NzE0NQMAAAAGMTAwMzA5BAAAAAEyBgAAAAEwBwAAAAMxNjAIAAAAATAJ</t>
  </si>
  <si>
    <t>AAAAATEKAAAAATALAAAACjExNjkxNTY2NDgMAAAAAjEyDQAAAAk3LzI0LzIwMDRribO9k3PVCBtoT0mXc9UIL0NJUS5OQVNEQVFHUzpJTlRDLklRX1BFX0VYQ0xfRldELjYwMDAuMS8yOS8yMDEwAQAAAIdSAAACAAAAEDExLjk5NDMzNjY5NDYzMjgBDQAAAAUAAAABOQEAAAAHMjYyMTI5NQIAAAAEMTg4NQMAAAAGMTAwMzA5BAAAAAEyBgAAAAEwBwAAAAMxNjAIAAAAATAJAAAAATEKAAAAATALAAAABzE1NTE5MTkMAAAAAjEyDQAAAAkxLzMwLzIwMTAr7bK9k3PVCKvHUEmXc9UIKENJUS5OQVNEQVFHUzpJTlRDLklRX1JFVkVOVUVfRVNULkZRMzIwMTYBAAAAh1IAAAIAAAALMTU2MDUuNTQwNDMBDgAAAAUAAAABMwEAAAABMAIAAAAKMTAwMDkxNTQwMAMAAAAGMTAwMTgwBAAAAAEyBgAAAAEwBwAAAAMxNjAIAAAAATAJAAAAATEKAAAAATALAAAACjk3Nzg3Mjk3NjMMAAAAATINAAAACTIvMTUvMjAxOBAAAAAJOS8zMC8yMDE2i8RmuZNz1QhLg15Jl3PVCCZDSVEuXlNQWC5JUV9QRV9FWENMX0ZXRC42MDAwLjExLzUvMjAxNAEAAACbuCgAAgAAAAkxNi4yMjEyNjQA6/65t5Nz1Qh7KTZLl3PVCC9DSVEuTkFTREFRR1M6SU5UQy5JUV9QRV9FWENMX0ZXRC42MDAwLjEwLzUvMjAxMgEAAACHUgAAAgAAABAxMC41NDA5OTI3NDk1ODE3AQ0AAAAFAAAAATkBAAAABzI2MjEyOTUCAAAABzE3NTcxNjkDAAAABjEwMDMw</t>
  </si>
  <si>
    <t>OQQAAAABMgYAAAABMAcAAAADMTYwCAAAAAEwCQAAAAExCgAAAAEwCwAAAAo4ODYzNDM2NzY0DAAAAAIxMg0AAAAJMTAvNi8yMDEyC5+yvZNz1QibglVJl3PVCDVDSVEuTmFzZGFxR1M6SU5UQy5JUV9URVZfVE9UQUxfUkVWX0ZXRC42MDAwLjQvMjYvMjAwMgEAAACHUgAAAgAAAA82LjA4MzkxMTI4NjUwODYBDQAAAAUAAAABOQEAAAAHMjYyMTI5NQIAAAAHMTc1NzEzOAMAAAAGMTAwMzA3BAAAAAEyBgAAAAEwBwAAAAMxNjAIAAAAATAJAAAAATEKAAAAATALAAAACjExNjkxMjUzNzIMAAAAAjEyDQAAAAk0LzI3LzIwMDI7cmi5k3PVCMszTEmXc9UIJ0NJUS5OQVNEQVFHUzpJTlRDLklRX1BUQlYuMjAwMC4yLzMvMjAxMgEAAACHUgAAAgAAAAg0LjQ2MDE4NgEHAAAABQAAAAExAQAAAAoxNDkwNDY0NDA1AwAAAAEwAgAAAAYxMDAwMjkEAAAAATAHAAAACDIvMy8yMDEyCAAAAAgyLzMvMjAxMvuOUruTc9UISzBXSZdz1QgvQ0lRLk5BU0RBUUdTOklOVEMuSVFfUEVfRVhDTF9GV0QuNjAwMC4zLzI0LzIwMDYBAAAAh1IAAAIAAAAQMTkuMjcyMzY5NzE0ODQ3NgENAAAABQAAAAE5AQAAAAcyNjIxMjk1AgAAAAQxODgxAwAAAAYxMDAzMDkEAAAAATIGAAAAATAHAAAAAzE2MAgAAAABMAkAAAABMQoAAAABMAsAAAAHMTUxNjg5NwwAAAACMTINAAAACTMvMjUvMjAwNltis72Tc9UIezRVSZdz1QgvQ0lRLk5BU0RBUUdT</t>
  </si>
  <si>
    <t>OklOVEMuSVFfUFJJQ0VfU0FMRVMuMjAwMC45LzI4LzIwMTIBAAAAh1IAAAIAAAAIMi4xMDc3NDEBBwAAAAUAAAABMQEAAAAKMTU1NzIxNjI0NgMAAAABMAIAAAAFMzg5NTgEAAAAATAHAAAACTkvMjgvMjAxMggAAAAJOS8yOC8yMDEy29e5t5Nz1Qi7DExJl3PVCDVDSVEuTkFTREFRR1M6SU5UQy5JUV9URVZfRUJJVERBX0ZXRF9DSVEuNjAwMC45LzkvMjAxNgEAAACHUgAAAgAAAA83LjY3Mjc2Mjg2MzY0MTMBDQAAAAUAAAABOQEAAAAHMjYyMTI5NQIAAAAIMjcwMDM2NTIDAAAABjEwMDMwOAQAAAABMgYAAAABMAcAAAADMTYwCAAAAAEwCQAAAAExCgAAAAEwCwAAAAo5NzA2ODkwNzA4DAAAAAIxMg0AAAAJOS8xMC8yMDE2S1JTu5Nz1QhL1Y2ul3PVCC9DSVEuTkFTREFRR1M6SU5UQy5JUV9QRV9FWENMX0ZXRC42MDAwLjcvMTUvMjAxNgEAAACHUgAAAgAAABAxNC4yNDY4MzEzMjkyMTY4AQ0AAAAFAAAAATkBAAAABzI2MjEyOTUCAAAACDI3MDAzNjUxAwAAAAYxMDAzMDkEAAAAATIGAAAAATAHAAAAAzE2MAgAAAABMAkAAAABMQoAAAABMAsAAAAKOTY4MjI3NjA0MgwAAAACMTINAAAACTcvMTYvMjAxNtspsr2Tc9UIaytQSZdz1QgsQ0lRLk5BU0RBUUdTOklOVEMuSVFfTEFTVFNBTEVQUklDRS4xLzIxLzIwMTUBAAAAh1IAAAIAAAAFMzYuNDgAW09muZNz1QjbojRLl3PVCDBDSVEuTkFTREFRR1M6SU5UQy5J</t>
  </si>
  <si>
    <t>UV9QRV9FWENMX0ZXRC42MDAwLjEwLzEwLzIwMDgBAAAAh1IAAAIAAAAQMTEuNDM5OTc1ODk5OTg0OQENAAAABQAAAAE5AQAAAAcyNjIxMjk1AgAAAAcxNzU3MTU3AwAAAAYxMDAzMDkEAAAAATIGAAAAATAHAAAAAzE2MAgAAAABMAkAAAABMQoAAAABMAsAAAAKODg2MDk3MTAzOAwAAAACMTINAAAACjEwLzExLzIwMDg7FLO9k3PVCItbVUmXc9UIJkNJUS5eU1BYLklRX1BFX0VYQ0xfRldELjYwMDAuOS8yMC8yMDE3AQAAAJu4KAACAAAACTE4LjQ0MjI1NwDr0Yi2k3PVCAue9UqXc9UIL0NJUS5OQVNEQVFHUzpJTlRDLklRX1BFX0VYQ0xfRldELjYwMDAuOS8xNC8yMDA3AQAAAIdSAAACAAAAEDE5LjU2MjE0Njg5MjY1NTQBDQAAAAUAAAABOQEAAAAHMjYyMTI5NQIAAAAHMTc1NzE1NAMAAAAGMTAwMzA5BAAAAAEyBgAAAAEwBwAAAAMxNjAIAAAAATAJAAAAATEKAAAAATALAAAACjkwOTA0MTIyOTYMAAAAAjEyDQAAAAk5LzE1LzIwMDdLO7O9k3PVCBtoT0mXc9UINkNJUS5OQVNEQVFHUzpJTlRDLklRX1RFVl9FQklUREFfRldEX0NJUS42MDAwLjMvMTgvMjAxNgEAAACHUgAAAgAAABA2LjYzNjgzMzQzOTY0MDQyAQ0AAAAFAAAAATkBAAAABzI2MjEyOTUCAAAACjEwMDA5MTU0MDIDAAAABjEwMDMwOAQAAAABMgYAAAABMAcAAAADMTYwCAAAAAEwCQAAAAExCgAAAAEwCwAAAAo5MzU1NTA5ODQ1DAAAAAIxMg0A</t>
  </si>
  <si>
    <t>AAAJMy8xOS8yMDE2W3lTu5Nz1QibmI6ul3PVCDVDSVEuTmFzZGFxR1M6SU5UQy5JUV9URVZfVE9UQUxfUkVWX0ZXRC42MDAwLjIvMjkvMjAwOAEAAACHUgAAAgAAAA8yLjUyNzUzMDUyNTQwNzkBDQAAAAUAAAABOQEAAAAHMjYyMTI5NQIAAAAEMTg4MwMAAAAGMTAwMzA3BAAAAAEyBgAAAAEwBwAAAAMxNjAIAAAAATAJAAAAATEKAAAAATALAAAACTM2MDcwMDIzNAwAAAACMTINAAAACDMvMS8yMDA423BWuZNz1Qg7ellJl3PVCDZDSVEuTmFzZGFxR1M6SU5UQy5JUV9URVZfVE9UQUxfUkVWX0ZXRC42MDAwLjEyLzMwLzIwMDUBAAAAh1IAAAIAAAAQMy4zMzI2NDQ5NTU4MzYxOAENAAAABQAAAAE5AQAAAAcyNjIxMjk1AgAAAAcxNzU3MTQ5AwAAAAYxMDAzMDcEAAAAATIGAAAAATAHAAAAAzE2MAgAAAABMAkAAAABMQoAAAABMAsAAAAKMTE2OTEzMTQ4OAwAAAACMTINAAAACjEyLzMxLzIwMDXrb7y3k3PVCOuBTEmXc9UIL0NJUS5OQVNEQVFHUzpJTlRDLklRX1BSSUNFX1NBTEVTLjIwMDAuNC8xNS8yMDE2AQAAAIdSAAACAAAACDIuNjk1MDI4AQcAAAAFAAAAATEBAAAACjE3NzU5MzMxNDADAAAAATACAAAABTM4OTU4BAAAAAEwBwAAAAk0LzE1LzIwMTYIAAAACTQvMTUvMjAxNtvXubeTc9UIm75LSZdz1QgwQ0lRLk5BU0RBUUdTOklOVEMuSVFfUFJJQ0VfU0FMRVMuMjAwMC4xMC8xNS8yMDEwAQAAAIdSAAAC</t>
  </si>
  <si>
    <t>AAAACDIuNTA4MTg2AQcAAAAFAAAAATEBAAAACjE0MDE0MDE5NDEDAAAAATACAAAABTM4OTU4BAAAAAEwBwAAAAoxMC8xNS8yMDEwCAAAAAoxMC8xNS8yMDEwSxiwu5Nz1QjLFVFJl3PVCC1DSVEuXlNQWC5JUV9URVZfRUJJVERBX0ZXRF9DSVEuNjAwMC42LzE4LzIwMTQBAAAAm7goAAIAAAAIOS4wNTA1ODIA6/65t5Nz1Qib6DhLl3PVCC9DSVEuTkFTREFRR1M6SU5UQy5JUV9QUklDRV9TQUxFUy4yMDAwLjIvMTIvMjAxNAEAAACHUgAAAgAAAAgyLjMxNDg5NQEHAAAABQAAAAExAQAAAAoxNjUzODE5MzM0AwAAAAEwAgAAAAUzODk1OAQAAAABMAcAAAAJMi8xMi8yMDE0CAAAAAkyLzEyLzIwMTRbOFW5k3PVCMvOO0uXc9UIJ0NJUS5OQVNEQVFHUzpJTlRDLklRX1BUQlYuMjAwMC43LzEvMjAxMQEAAACHUgAAAgAAAAczLjgyNzY5AQcAAAAFAAAAATEBAAAACjE0NTI0NzU4NzIDAAAAATACAAAABjEwMDAyOQQAAAABMAcAAAAINy8xLzIwMTEIAAAACDcvMS8yMDExq0OvvZNz1QhLoVlJl3PVCC9DSVEuTkFTREFRR1M6SU5UQy5JUV9QRV9FWENMX0ZXRC42MDAwLjYvMTcvMjAxMQEAAACHUgAAAgAAABA5LjI4ODU2MzUzODMzMzQxAQ0AAAAFAAAAATkBAAAABzI2MjEyOTUCAAAABzE3NTcxNjUDAAAABjEwMDMwOQQAAAABMgYAAAABMAcAAAADMTYwCAAAAAEwCQAAAAExCgAAAAEwCwAAAAo4ODYzMzYyNTEwDAAA</t>
  </si>
  <si>
    <t>AAIxMg0AAAAJNi8xOC8yMDExqyW0vZNz1Qgb2VFJl3PVCC5DSVEuTkFTREFRR1M6SU5UQy5JUV9QRV9FWENMX0ZXRC42MDAwLjYvOS8yMDA2AQAAAIdSAAACAAAAEDE4LjQ3NzQ0MTU4NTAxMTMBDQAAAAUAAAABOQEAAAAHMjYyMTI5NQIAAAAHMTc1NzE1MAMAAAAGMTAwMzA5BAAAAAEyBgAAAAEwBwAAAAMxNjAIAAAAATAJAAAAATEKAAAAATALAAAACjg4NjI5MTU5NDYMAAAAAjEyDQAAAAk2LzEwLzIwMDZbYrO9k3PVCDsnUkmXc9UIH0NJUS5eU1BYLklRX1BUQlYuMjAwMC4zLzE1LzIwMTcBAAAAm7goAAIAAAAIOC43NDA2ODYAi8RmuZNz1QgrGhhLl3PVCDVDSVEuTmFzZGFxR1M6SU5UQy5JUV9URVZfVE9UQUxfUkVWX0ZXRC42MDAwLjkvMTIvMjAxNAEAAACHUgAAAgAAABAyLjk2NTIyMDE4NTUzMDA3AQ0AAAAFAAAAATkBAAAABzI2MjEyOTUCAAAABzQ0NTY0MjgDAAAABjEwMDMwNwQAAAABMgYAAAABMAcAAAADMTYwCAAAAAEwCQAAAAExCgAAAAEwCwAAAAo4ODY0NDQyMTQ3DAAAAAIxMg0AAAAJOS8xMy8yMDE0656xu5Nz1Qj7bFZJl3PVCC9DSVEuTkFTREFRR1M6SU5UQy5JUV9QRV9FWENMX0ZXRC42MDAwLjMvMjcvMjAxNQEAAACHUgAAAgAAAA8xNC43OTc0MTQxNTE4NzcBDQAAAAUAAAABOQEAAAAHMjYyMTI5NQIAAAAKMTAwMDA5NDA3MQMAAAAGMTAwMzA5BAAAAAEyBgAAAAEwBwAAAAMxNjAI</t>
  </si>
  <si>
    <t>AAAAATAJAAAAATEKAAAAATALAAAACjg2OTY1OTM1MTYMAAAAAjEyDQAAAAkzLzI4LzIwMTXrULK9k3PVCEu/VEmXc9UIL0NJUS5OQVNEQVFHUzpJTlRDLklRX1BFX0VYQ0xfRldELjYwMDAuNS8yMy8yMDA4AQAAAIdSAAACAAAAEDE3LjQ5MjM0MTAyOTY2NDUBDQAAAAUAAAABOQEAAAAHMjYyMTI5NQIAAAAHMTc1NzE1NgMAAAAGMTAwMzA5BAAAAAEyBgAAAAEwBwAAAAMxNjAIAAAAATAJAAAAATEKAAAAATALAAAACjgxNzI1MjcwODQMAAAAAjEyDQAAAAk1LzI0LzIwMDhLO7O9k3PVCFvmVEmXc9UIJ0NJUS5OQVNEQVFHUzpJTlRDLklRX1BUQlYuMjAwMC42LzIvMjAxNwEAAACHUgAAAgAAAAgzLjkyMzgwNgEHAAAABQAAAAExAQAAAAoxODM4MzYwMTMyAwAAAAEwAgAAAAYxMDAwMjkEAAAAATAHAAAACDYvMi8yMDE3CAAAAAg2LzIvMjAxN1tPZrmTc9UIm4JVSZdz1Qg1Q0lRLk5hc2RhcUdTOklOVEMuSVFfVEVWX1RPVEFMX1JFVl9GV0QuNjAwMC45LzE2LzIwMDUBAAAAh1IAAAIAAAAQMy4zNzgwMzU4NzgzNDA0NAENAAAABQAAAAE5AQAAAAcyNjIxMjk1AgAAAAcxNzU3MTQ4AwAAAAYxMDAzMDcEAAAAATIGAAAAATAHAAAAAzE2MAgAAAABMAkAAAABMQoAAAABMAsAAAAKNjcyNjg1NDM0NAwAAAACMTINAAAACTkvMTcvMjAwNUuZaLmTc9UIO0VNSZdz1QglQ0lRLl5TUFguSVFfUEVfRVhDTF9GV0QuNjAw</t>
  </si>
  <si>
    <t>MC40LzUvMjAxNwEAAACbuCgAAgAAAAgxOC4xMjgwMgBrX1W5k3PVCHv7E0uXc9UIMENJUS5OQVNEQVFHUzpJTlRDLklRX1BFX0VYQ0xfRldELjYwMDAuMTIvMTUvMjAwNgEAAACHUgAAAgAAABAyMC43Njg5MjU4ODE4ODY2AQ0AAAAFAAAAATkBAAAABzI2MjEyOTUCAAAABzE3NTcxNTIDAAAABjEwMDMwOQQAAAABMgYAAAABMAcAAAADMTYwCAAAAAEwCQAAAAExCgAAAAEwCwAAAAo4ODYwNTA2OTM2DAAAAAIxMg0AAAAKMTIvMTYvMjAwNltis72Tc9UIaw1VSZdz1QgjQ0lRLl5TUFguSVFfTEFTVFNBTEVQUklDRS43LzI3LzIwMTYBAAAAm7goAAIAAAAQMjE2Ni41ODA0MjA1NDE2OAArw1S5k3PVCLuuJUuXc9UIH0NJUS5eU1BYLklRX1BUQlYuMjAwMC4zLzIwLzIwMTMBAAAAm7goAAIAAAAINC44ODU3MzcAi8RmuZNz1Qi7GD5Ll3PVCC9DSVEuTkFTREFRR1M6SU5UQy5JUV9QRV9FWENMX0ZXRC42MDAwLjcvMjEvMjAwNgEAAACHUgAAAgAAABAyMC4zOTQ4MTUwNzkwODE5AQ0AAAAFAAAAATkBAAAABzI2MjEyOTUCAAAABzE3NTcxNTEDAAAABjEwMDMwOQQAAAABMgYAAAABMAcAAAADMTYwCAAAAAEwCQAAAAExCgAAAAEwCwAAAAo5MDQzMTMyODkyDAAAAAIxMg0AAAAJNy8yMi8yMDA2W2KzvZNz1QibglVJl3PVCCVDSVEuXlNQWC5JUV9QRV9FWENMX0ZXRC42MDAwLjcvMS8yMDE1AQAAAJu4KAACAAAACTE3</t>
  </si>
  <si>
    <t>LjI1MzkyOAAb3VK7k3PVCCuEMEuXc9UIIkNJUS5eU1BYLklRX0xBU1RTQUxFUFJJQ0UuOS82LzIwMTcBAAAAm7goAAIAAAAQMjQ2NS41NDM2MjI4NjcyOQDr/rm3k3PVCNuZ90qXc9UIJ0NJUS5eU1BYLklRX1BFX0VYQ0xfRldELjYwMDAuMTEvMjYvMjAxNAEAAACbuCgAAgAAAAkxNi42NDE5OTcAm+tmuZNz1QgrZjVLl3PVCC1DSVEuXlNQWC5JUV9URVZfRUJJVERBX0ZXRF9DSVEuNjAwMC42LzEwLzIwMTUBAAAAm7goAAIAAAAJMTAuMDE0MTkyAOv+ubeTc9UIayAxS5dz1QgnQ0lRLk5BU0RBUUdTOklOVEMuSVFfUFRCVi4yMDAwLjkvNy8yMDEyAQAAAIdSAAACAAAACDMuNjM0Njk5AQcAAAAFAAAAATEBAAAACjE1NTcyMTYyNDYDAAAAATACAAAABjEwMDAyOQQAAAABMAcAAAAIOS83LzIwMTIIAAAACDkvNy8yMDEyy7C5t5Nz1Qj7qExJl3PVCCZDSVEuXlNQWC5JUV9QRV9FWENMX0ZXRC42MDAwLjIvMjUvMjAxNQEAAACbuCgAAgAAAAkxNy43OTE3ODMA+/iItpNz1QgbzjJLl3PVCC5DSVEuTkFTREFRR1M6SU5UQy5JUV9QUklDRV9TQUxFUy4yMDAwLjQvMS8yMDE1AQAAAIdSAAACAAAACDIuNzAyNjk5AQcAAAAFAAAAATEBAAAACjE3MTg4NTkyOTEDAAAAATACAAAABTM4OTU4BAAAAAEwBwAAAAg0LzEvMjAxNQgAAAAINC8xLzIwMTX7jlK7k3PVCOtYMkuXc9UIKENJUS5OQVNEQVFHUzpJTlRDLklRX1BU</t>
  </si>
  <si>
    <t>QlYuMjAwMC4zLzE4LzIwMTEBAAAAh1IAAAIAAAAIMi40OTQwMjIBBwAAAAUAAAABMQEAAAAKMTQzMDYyNDUwOQMAAAABMAIAAAAGMTAwMDI5BAAAAAEwBwAAAAkzLzE4LzIwMTEIAAAACTMvMTgvMjAxMWt2ZrmTc9UIW+ZUSZdz1QgoQ0lRLk5BU0RBUUdTOklOVEMuSVFfUFRCVi4yMDAwLjQvMjAvMjAxMgEAAACHUgAAAgAAAAg0LjQwNjkzNwEHAAAABQAAAAExAQAAAAoxNTQyMDAwMjAzAwAAAAEwAgAAAAYxMDAwMjkEAAAAATAHAAAACTQvMjAvMjAxMggAAAAJNC8yMC8yMDEySxFVuZNz1Qgrj09Jl3PVCCZDSVEuXlNQWC5JUV9QRV9FWENMX0ZXRC42MDAwLjYvMjkvMjAxNgEAAACbuCgAAgAAAAkxNy4wOTQ0NDYAG91Su5Nz1QhrXCdLl3PVCCxDSVEuXlNQWC5JUV9URVZfVE9UQUxfUkVWX0ZXRC42MDAwLjExLzkvMjAxNgEAAACbuCgAAgAAAAgyLjA0MzE4OAArBFO7k3PVCJt+IEuXc9UIL0NJUS5OQVNEQVFHUzpJTlRDLklRX1BSSUNFX1NBTEVTLjIwMDAuNy8xNS8yMDExAQAAAIdSAAACAAAACDIuNjgyMDg5AQcAAAAFAAAAATEBAAAACjE0NTI0NzU4NzIDAAAAATACAAAABTM4OTU4BAAAAAEwBwAAAAk3LzE1LzIwMTEIAAAACTcvMTUvMjAxMatDr72Tc9UIS6FZSZdz1Qg0Q0lRLk5hc2RhcUdTOklOVEMuSVFfVEVWX1RPVEFMX1JFVl9GV0QuNjAwMC40LzIvMjAxNQEAAACHUgAAAgAAABAyLjYwNTU4</t>
  </si>
  <si>
    <t>NTEyNzQyMzAyAQ0AAAAFAAAAATkBAAAABzI2MjEyOTUCAAAACjEwMDAwOTQwNzEDAAAABjEwMDMwNwQAAAABMgYAAAABMAcAAAADMTYwCAAAAAEwCQAAAAExCgAAAAEwCwAAAAo4Njk1NDQ0NjkwDAAAAAIxMg0AAAAINC8zLzIwMTUL/We5k3PVCIvqUkmXc9UIJUNJUS5eU1BYLklRX1BFX0VYQ0xfRldELjYwMDAuOC82LzIwMTQBAAAAm7goAAIAAAAJMTUuMzg4MjU3ANu4r72Tc9UIG7A3S5dz1QgvQ0lRLk5BU0RBUUdTOklOVEMuSVFfUEVfRVhDTF9GV0QuNjAwMC4xLzIwLzIwMTIBAAAAh1IAAAIAAAAQMTAuNDU0NDM5MTczNjMxNwENAAAABQAAAAE5AQAAAAcyNjIxMjk1AgAAAAQxODg3AwAAAAYxMDAzMDkEAAAAATIGAAAAATAHAAAAAzE2MAgAAAABMAkAAAABMQoAAAABMAsAAAAKNzYxNjIwMTk3NgwAAAACMTINAAAACTEvMjEvMjAxMpv+s72Tc9UIm2RaSZdz1QgvQ0lRLk5BU0RBUUdTOklOVEMuSVFfUEVfRVhDTF9GV0QuNjAwMC4yLzI2LzIwMTABAAAAh1IAAAIAAAAQMTIuNjMwNTAzOTI4MTkxMwENAAAABQAAAAE5AQAAAAcyNjIxMjk1AgAAAAQxODg1AwAAAAYxMDAzMDkEAAAAATIGAAAAATAHAAAAAzE2MAgAAAABMAkAAAABMQoAAAABMAsAAAAHMTU1MTkyMwwAAAACMTINAAAACTIvMjcvMjAxMCvtsr2Tc9UI67ZYSZdz1QgsQ0lRLl5TUFguSVFfVEVWX1RPVEFMX1JFVl9GV0QuNjAwMC43LzI0</t>
  </si>
  <si>
    <t>LzIwMTMBAAAAm7goAAIAAAAHMS42NzE2NQDr/rm3k3PVCHt8PUuXc9UILENJUS5OQVNEQVFHUzpJTlRDLklRX0xBU1RTQUxFUFJJQ0UuMTIvOS8yMDE1AQAAAIdSAAACAAAABTM0LjgxAMuRr72Tc9UI63YtS5dz1Qg0Q0lRLk5hc2RhcUdTOklOVEMuSVFfVEVWX1RPVEFMX1JFVl9GV0QuNjAwMC40LzUvMjAxMwEAAACHUgAAAgAAABAxLjg0NDQxMzUxOTI2NzIzAQ0AAAAFAAAAATkBAAAABzI2MjEyOTUCAAAABzM2NTI2NjADAAAABjEwMDMwNwQAAAABMgYAAAABMAcAAAADMTYwCAAAAAEwCQAAAAExCgAAAAEwCwAAAAo1NzQ4ODk2MzIyDAAAAAIxMg0AAAAINC82LzIwMTO71Fa7k3PVCMv3VUmXc9UINENJUS5OYXNkYXFHUzpJTlRDLklRX1RFVl9UT1RBTF9SRVZfRldELjYwMDAuMy80LzIwMDUBAAAAh1IAAAIAAAAQMy42ODAwMjk5Mjk5MjQ3MgENAAAABQAAAAE5AQAAAAcyNjIxMjk1AgAAAAQxODgwAwAAAAYxMDAzMDcEAAAAATIGAAAAATAHAAAAAzE2MAgAAAABMAkAAAABMQoAAAABMAsAAAAJMzYwNjY0NDcxDAAAAAIxMg0AAAAIMy81LzIwMDWr+1W5k3PVCIvMV0mXc9UINENJUS5OYXNkYXFHUzpJTlRDLklRX1RFVl9UT1RBTF9SRVZfRldELjYwMDAuOS8yLzIwMDUBAAAAh1IAAAIAAAAQMy40NDUyMDQyODIxNzkzMgENAAAABQAAAAE5AQAAAAcyNjIxMjk1AgAAAAcxNzU3MTQ4AwAAAAYxMDAzMDcE</t>
  </si>
  <si>
    <t>AAAAATIGAAAAATAHAAAAAzE2MAgAAAABMAkAAAABMQoAAAABMAsAAAAKNjcyNjg1NDM0MwwAAAACMTINAAAACDkvMy8yMDA1uymxu5Nz1Qjbj1hJl3PVCCJDSVEuXlNQWC5JUV9MQVNUU0FMRVBSSUNFLjIvNS8yMDE0AQAAAJu4KAACAAAAEDE3NTEuNjQxNzY5MDEzNTEA6/65t5Nz1Qi7pztLl3PVCDZDSVEuTmFzZGFxR1M6SU5UQy5JUV9URVZfVE9UQUxfUkVWX0ZXRC42MDAwLjExLzE5LzIwMDQBAAAAh1IAAAIAAAAQMy45NzAzMDIxNTYyMDI0MQENAAAABQAAAAE5AQAAAAcyNjIxMjk1AgAAAAcxNzU3MTQ2AwAAAAYxMDAzMDcEAAAAATIGAAAAATAHAAAAAzE2MAgAAAABMAkAAAABMQoAAAABMAsAAAAKMTE2OTEyOTMwMwwAAAACMTINAAAACjExLzIwLzIwMDS7+ru3k3PVCPuKUUmXc9UIL0NJUS5OQVNEQVFHUzpJTlRDLklRX1BSSUNFX1NBTEVTLjIwMDAuMS8yMS8yMDE1AQAAAIdSAAACAAAABzMuMjAwMDgBBwAAAAUAAAABMQEAAAAKMTcxNTMyODY0MwMAAAABMAIAAAAFMzg5NTgEAAAAATAHAAAACTEvMjEvMjAxNQgAAAAJMS8yMS8yMDE129e5t5Nz1QjbojRLl3PVCCtDSVEuTkFTREFRR1M6SU5UQy5JUV9MQVNUU0FMRVBSSUNFLjIvNC8yMDE1AQAAAIdSAAACAAAABDMzLjYAWz+wu5Nz1Qi7VDRLl3PVCC9DSVEuTkFTREFRR1M6SU5UQy5JUV9QRV9FWENMX0ZXRC42MDAwLjEvMjYvMjAwNwEAAACH</t>
  </si>
  <si>
    <t>UgAAAgAAABAxOC44OTI1ODAwODQxMTAyAQ0AAAAFAAAAATkBAAAABzI2MjEyOTUCAAAABDE4ODIDAAAABjEwMDMwOQQAAAABMgYAAAABMAcAAAADMTYwCAAAAAEwCQAAAAExCgAAAAEwCwAAAAsxMDM3ODUyMjg0NQwAAAACMTINAAAACTEvMjcvMjAwN1tis72Tc9UI+4pRSZdz1Qg1Q0lRLk5hc2RhcUdTOklOVEMuSVFfVEVWX1RPVEFMX1JFVl9GV0QuNjAwMC43LzE5LzIwMDIBAAAAh1IAAAIAAAAQNC4xNDQ3MjE0MjU0MTcyNAENAAAABQAAAAE5AQAAAAcyNjIxMjk1AgAAAAcxNzU3MTM5AwAAAAYxMDAzMDcEAAAAATIGAAAAATAHAAAAAzE2MAgAAAABMAkAAAABMQoAAAABMAsAAAAKMTE2OTEyNTY5MwwAAAACMTINAAAACTcvMjAvMjAwMotfVruTc9UIm4JVSZdz1QgsQ0lRLl5TUFguSVFfVEVWX0VCSVREQV9GV0RfQ0lRLjYwMDAuNC8zLzIwMTMBAAAAm7goAAIAAAAINy45NTU4MzEAqxJnuZNz1Qir8T1Ll3PVCDBDSVEuTkFTREFRR1M6SU5UQy5JUV9QUklDRV9TQUxFUy4yMDAwLjExLzE4LzIwMTEBAAAAh1IAAAIAAAAIMi41MzIwODIBBwAAAAUAAAABMQEAAAAKMTQ4MDIxNTM4MQMAAAABMAIAAAAFMzg5NTgEAAAAATAHAAAACjExLzE4LzIwMTEIAAAACjExLzE4LzIwMTELtlK7k3PVCAuUVkmXc9UINkNJUS5OYXNkYXFHUzpJTlRDLklRX1RFVl9FQklUREFfRldEX0NJUS42MDAwLjIvMTMvMjAwNAEA</t>
  </si>
  <si>
    <t>AACHUgAAAgAAABAxMC42ODUxNTc4NjkwMTYxAQ0AAAAFAAAAATkBAAAABzI2MjEyOTUCAAAABDE4NzkDAAAABjEwMDMwOAQAAAABMgYAAAABMAcAAAADMTYwCAAAAAEwCQAAAAExCgAAAAEwCwAAAAkzNjA2NjMyOTIMAAAAAjEyDQAAAAkyLzE0LzIwMDSrArG7k3PVCDsfkK6Xc9UIH0NJUS5eU1BYLklRX1BUQlYuMjAwMC42LzE1LzIwMTYBAAAAm7goAAIAAAAINy4wMTY5MDQAu2qvvZNz1Qg7WClLl3PVCDZDSVEuTkFTREFRR1M6SU5UQy5JUV9URVZfRUJJVERBX0ZXRF9DSVEuNjAwMC4xMi83LzIwMTIBAAAAh1IAAAIAAAAQNC41NjY2MjQ5MDQ0OTcxMwENAAAABQAAAAE5AQAAAAcyNjIxMjk1AgAAAAcxNzU3MTcwAwAAAAYxMDAzMDgEAAAAATIGAAAAATAHAAAAAzE2MAgAAAABMAkAAAABMQoAAAABMAsAAAAKNjk1NTQwNTk3NgwAAAACMTINAAAACTEyLzgvMjAxMpsVVLuTc9UIe7uQrpdz1QgjQ0lRLl5TUFguSVFfTEFTVFNBTEVQUklDRS4zLzE5LzIwMTQBAAAAm7goAAIAAAAQMTg2MC43NzE0Mjg3MzIwMQAb3VK7k3PVCEuWOkuXc9UIJkNJUS5eU1BYLklRX1BFX0VYQ0xfRldELjYwMDAuNS8xMy8yMDE1AQAAAJu4KAACAAAACTE3LjM4NzE5NQB7hlW5k3PVCHtHMUuXc9UILUNJUS5eU1BYLklRX1RFVl9FQklUREFfRldEX0NJUS42MDAwLjEvMTAvMjAxOAEAAACbuCgAAgAAAAkxMS4wMzYzMDUAe42w</t>
  </si>
  <si>
    <t>u5Nz1QjLO5hKl3PVCDdDSVEuTkFTREFRR1M6SU5UQy5JUV9URVZfRUJJVERBX0ZXRF9DSVEuNjAwMC4xMC8yMS8yMDA1AQAAAIdSAAACAAAAEDcuMTgzMDYwNjE4OTA2MzIBDQAAAAUAAAABOQEAAAAHMjYyMTI5NQIAAAAHMTc1NzE0OQMAAAAGMTAwMzA4BAAAAAEyBgAAAAEwBwAAAAMxNjAIAAAAATAJAAAAATEKAAAAATALAAAACjExNjkxMzE3NjgMAAAAAjEyDQAAAAoxMC8yMi8yMDA1G05Vu5Nz1QiL4pCul3PVCC1DSVEuXlNQWC5JUV9URVZfVE9UQUxfUkVWX0ZXRC42MDAwLjExLzI5LzIwMTcBAAAAm7goAAIAAAAIMi4zMDU3MzcAm+tmuZNz1QgrKOxKl3PVCCtDSVEuTkFTREFRR1M6SU5UQy5JUV9MQVNUU0FMRVBSSUNFLjMvNC8yMDE1AQAAAIdSAAACAAAABTM0LjEyAMuRr72Tc9UIK/UyS5dz1Qg2Q0lRLk5BU0RBUUdTOklOVEMuSVFfVEVWX0VCSVREQV9GV0RfQ0lRLjYwMDAuMS8xOS8yMDAxAQAAAIdSAAADAAAAAABrEVa7k3PVCAuqj66Xc9UIJ0NJUS5OQVNEQVFHUzpJTlRDLklRX1BUQlYuMjAwMC4yLzUvMjAxNgEAAACHUgAAAgAAAAgyLjk5MjcyOQEHAAAABQAAAAExAQAAAAoxNzcyOTQyODA2AwAAAAEwAgAAAAYxMDAwMjkEAAAAATAHAAAACDIvNS8yMDE2CAAAAAgyLzUvMjAxNrtqr72Tc9UIu0FYSZdz1QguQ0lRLl5TUFguSVFfVEVWX0VCSVREQV9GV0RfQ0lRLjYwMDAuMTAvMTkvMjAx</t>
  </si>
  <si>
    <t>NgEAAACbuCgAAgAAAAg5Ljg2ODMxMQB7hlW5k3PVCAuQIUuXc9UIL0NJUS5OQVNEQVFHUzpJTlRDLklRX1BFX0VYQ0xfRldELjYwMDAuOS8yOS8yMDA2AQAAAIdSAAACAAAAEDI0LjMyMzA0NTk5NzM5ODYBDQAAAAUAAAABOQEAAAAHMjYyMTI5NQIAAAAHMTc1NzE1MQMAAAAGMTAwMzA5BAAAAAEyBgAAAAEwBwAAAAMxNjAIAAAAATAJAAAAATEKAAAAATALAAAACjg4NjI5MTY1OTYMAAAAAjEyDQAAAAk5LzMwLzIwMDZbYrO9k3PVCDu2T0mXc9UILUNJUS5eU1BYLklRX1RFVl9UT1RBTF9SRVZfRldELjYwMDAuMTAvMjMvMjAxMwEAAACbuCgAAgAAAAgxLjY5ODY0OABrX1W5k3PVCDvgPEuXc9UINENJUS5OYXNkYXFHUzpJTlRDLklRX1RFVl9UT1RBTF9SRVZfRldELjYwMDAuMy84LzIwMTMBAAAAh1IAAAIAAAAQMS44OTE1NTc4MjgwNjA4MgENAAAABQAAAAE5AQAAAAcyNjIxMjk1AgAAAAczNjUyNjYwAwAAAAYxMDAzMDcEAAAAATIGAAAAATAHAAAAAzE2MAgAAAABMAkAAAABMQoAAAABMAsAAAAKNTc0ODg5NjMwNwwAAAACMTINAAAACDMvOS8yMDEzezhWu5Nz1Qir5UtJl3PVCChDSVEuTkFTREFRR1M6SU5UQy5JUV9QVEJWLjIwMDAuOS8yNS8yMDE1AQAAAIdSAAACAAAACDMuMjI3MTM4AQcAAAAFAAAAATEBAAAACjE3NDczNTk1MTIDAAAAATACAAAABjEwMDAyOQQAAAABMAcAAAAJOS8yNS8yMDE1CAAA</t>
  </si>
  <si>
    <t>AAk5LzI1LzIwMTULtlK7k3PVCMv3VUmXc9UIJ0NJUS5OQVNEQVFHUzpJTlRDLklRX1BUQlYuMjAwMC42LzkvMjAxNwEAAACHUgAAAgAAAAgzLjg1NzkwNQEHAAAABQAAAAExAQAAAAoxODM4MzYwMTMyAwAAAAEwAgAAAAYxMDAwMjkEAAAAATAHAAAACDYvOS8yMDE3CAAAAAg2LzkvMjAxN0sRVbmTc9UIO7ZPSZdz1QgsQ0lRLl5TUFguSVFfVEVWX0VCSVREQV9GV0RfQ0lRLjYwMDAuNi81LzIwMTMBAAAAm7goAAIAAAAHOC4wNzU2MwB7jbC7k3PVCIujPUuXc9UIJ0NJUS5eU1BYLklRX1BFX0VYQ0xfRldELjYwMDAuMTIvMjAvMjAxNwEAAACbuCgAAgAAAAkxOC45ODkxOTEA69+vvZNz1QibxpdKl3PVCCRDSVEuXlNQWC5JUV9MQVNUU0FMRVBSSUNFLjExLzIwLzIwMTMBAAAAm7goAAIAAAAQMTc4MS4zNzM4Njg3NTM2MwAb3VK7k3PVCBuSPEuXc9UINUNJUS5OQVNEQVFHUzpJTlRDLklRX1RFVl9FQklUREFfRldEX0NJUS42MDAwLjYvNS8yMDE1AQAAAIdSAAACAAAAEDYuMjg3Nzg4NzYzMzc3NjIBDQAAAAUAAAABOQEAAAAHMjYyMTI5NQIAAAAHODA2ODI2MAMAAAAGMTAwMzA4BAAAAAEyBgAAAAEwBwAAAAMxNjAIAAAAATAJAAAAATEKAAAAATALAAAACjg4ODY5MDI4MzEMAAAAAjEyDQAAAAg2LzYvMjAxNWugU7uTc9UIOx+Qrpdz1QgnQ0lRLk5BU0RBUUdTOklOVEMuSVFfUFRCVi4yMDAwLjEvOC8yMDEw</t>
  </si>
  <si>
    <t>AQAAAIdSAAACAAAACDMuNDE4MDAyAQcAAAAFAAAAATEBAAAACjEyMzc1NzcxMjUDAAAAATACAAAABjEwMDAyOQQAAAABMAcAAAAIMS84LzIwMTAIAAAACDEvOC8yMDEw29e5t5Nz1Qh7cEtJl3PVCC9DSVEuTkFTREFRR1M6SU5UQy5JUV9QRV9FWENMX0ZXRC42MDAwLjEvMjIvMjAxMAEAAACHUgAAAgAAABAxMi4zMDk2NTE3MzE0NTA1AQ0AAAAFAAAAATkBAAAABzI2MjEyOTUCAAAABDE4ODUDAAAABjEwMDMwOQQAAAABMgYAAAABMAcAAAADMTYwCAAAAAEwCQAAAAExCgAAAAEwCwAAAAcxNTUxOTE5DAAAAAIxMg0AAAAJMS8yMy8yMDEwK+2yvZNz1QgLQU9Jl3PVCDVDSVEuTmFzZGFxR1M6SU5UQy5JUV9URVZfVE9UQUxfUkVWX0ZXRC42MDAwLjEvMjEvMjAwNQEAAACHUgAAAgAAABAzLjM2NjYxMzk3MTM1NDM4AQ0AAAAFAAAAATkBAAAABzI2MjEyOTUCAAAABDE4ODADAAAABjEwMDMwNwQAAAABMgYAAAABMAcAAAADMTYwCAAAAAEwCQAAAAExCgAAAAEwCwAAAAkzNjA2NjQ0NjAMAAAAAjEyDQAAAAkxLzIyLzIwMDWr+1W5k3PVCDu2T0mXc9UINkNJUS5OYXNkYXFHUzpJTlRDLklRX1RFVl9FQklUREFfRldEX0NJUS42MDAwLjcvMjIvMjAxNgEAAACHUgAAAgAAAA83LjQ0NzIwNzUxNDUxMzIBDQAAAAUAAAABOQEAAAAHMjYyMTI5NQIAAAAIMjcwMDM2NTIDAAAABjEwMDMwOAQAAAABMgYAAAABMAcAAAAD</t>
  </si>
  <si>
    <t>MTYwCAAAAAEwCQAAAAExCgAAAAEwCwAAAAo5NjE0NzM2MzcxDAAAAAIxMg0AAAAJNy8yMy8yMDE2u9RWu5Nz1Qhb/I2ul3PVCDRDSVEuTmFzZGFxR1M6SU5UQy5JUV9URVZfVE9UQUxfUkVWX0ZXRC42MDAwLjgvNi8yMDA0AQAAAIdSAAACAAAAEDMuNTMxOTM1MDY5Njk1OTYBDQAAAAUAAAABOQEAAAAHMjYyMTI5NQIAAAAHMTc1NzE0NQMAAAAGMTAwMzA3BAAAAAEyBgAAAAEwBwAAAAMxNjAIAAAAATAJAAAAATEKAAAAATALAAAACjExNjkxMjg3NjYMAAAAAjEyDQAAAAg4LzcvMjAwNAv9Z7mTc9UIe8NSSZdz1Qg1Q0lRLk5hc2RhcUdTOklOVEMuSVFfVEVWX1RPVEFMX1JFVl9GV0QuNjAwMC4xMi82LzIwMTMBAAAAh1IAAAIAAAAQMi4yMjY1OTcyMTEzMzU3NwENAAAABQAAAAE5AQAAAAcyNjIxMjk1AgAAAAczODI5NzUzAwAAAAYxMDAzMDcEAAAAATIGAAAAATAHAAAAAzE2MAgAAAABMAkAAAABMQoAAAABMAsAAAAKODg2MjU0NTc0NgwAAAACMTINAAAACTEyLzcvMjAxM+tJV7uTc9UIG2hPSZdz1QgvQ0lRLk5BU0RBUUdTOklOVEMuSVFfUFJJQ0VfU0FMRVMuMjAwMC42LzE3LzIwMTUBAAAAh1IAAAIAAAAIMi43Njg1NDgBBwAAAAUAAAABMQEAAAAKMTczMDc2Mjc1NQMAAAABMAIAAAAFMzg5NTgEAAAAATAHAAAACTYvMTcvMjAxNQgAAAAJNi8xNy8yMDE1u2qvvZNz1Qhb+TBLl3PVCDdDSVEuTkFTREFR</t>
  </si>
  <si>
    <t>R1M6SU5UQy5JUV9URVZfRUJJVERBX0ZXRF9DSVEuNjAwMC4xMC8xNy8yMDAzAQAAAIdSAAACAAAADzExLjgzODkzMzk0MTMzNgENAAAABQAAAAE5AQAAAAcyNjIxMjk1AgAAAAcxNzU3MTQzAwAAAAYxMDAzMDgEAAAAATIGAAAAATAHAAAAAzE2MAgAAAABMAkAAAABMQoAAAABMAsAAAAKMTE2OTEyODIzMQwAAAACMTINAAAACjEwLzE4LzIwMDM7nFW7k3PVCLvmjq6Xc9UILkNJUS5OQVNEQVFHUzpJTlRDLklRX1BSSUNFX1NBTEVTLjIwMDAuMy8xLzIwMTcBAAAAh1IAAAIAAAAIMi44NjE3MTgBBwAAAAUAAAABMQEAAAAKMTgyODE3NDEyMgMAAAABMAIAAAAFMzg5NTgEAAAAATAHAAAACDMvMS8yMDE3CAAAAAgzLzEvMjAxN3udZrmTc9UIiwQZS5dz1QgiQ0lRLl5TUFguSVFfTEFTVFNBTEVQUklDRS43LzEvMjAxNQEAAACbuCgAAgAAABAyMDc3LjQyNDM0MTcxMjAxAFtPZrmTc9UIK4QwS5dz1Qg1Q0lRLk5BU0RBUUdTOklOVEMuSVFfVEVWX0VCSVREQV9GV0RfQ0lRLjYwMDAuOC84LzIwMTQBAAAAh1IAAAIAAAAQNi40MDIxMjQ4MzQ3NzUyNQENAAAABQAAAAE5AQAAAAcyNjIxMjk1AgAAAAc0NDU2NDI4AwAAAAYxMDAzMDgEAAAAATIGAAAAATAHAAAAAzE2MAgAAAABMAkAAAABMQoAAAABMAsAAAAKODY0ODEwMTY3NAwAAAACMTINAAAACDgvOS8yMDE0e8dTu5Nz1Qjr6oyul3PVCChDSVEuTkFTREFRR1M6</t>
  </si>
  <si>
    <t>SU5UQy5JUV9QVEJWLjIwMDAuOC8yNC8yMDEyAQAAAIdSAAACAAAACDMuNzQyODgzAQcAAAAFAAAAATEBAAAACjE1NTcyMTYyNDYDAAAAATACAAAABjEwMDAyOQQAAAABMAcAAAAJOC8yNC8yMDEyCAAAAAk4LzI0LzIwMTLb17m3k3PVCGtJS0mXc9UIKENJUS5OQVNEQVFHUzpJTlRDLklRX1BUQlYuMjAwMC45LzI0LzIwMTABAAAAh1IAAAIAAAAIMi42NjQ2MjIBBwAAAAUAAAABMQEAAAAKMTM4OTcxMDc0NAMAAAABMAIAAAAGMTAwMDI5BAAAAAEwBwAAAAk5LzI0LzIwMTAIAAAACTkvMjQvMjAxMEsYsLuTc9UIq8dQSZdz1Qg2Q0lRLk5BU0RBUUdTOklOVEMuSVFfVEVWX0VCSVREQV9GV0RfQ0lRLjYwMDAuMTIvNS8yMDAzAQAAAIdSAAACAAAAEDExLjYyNDU1ODg0ODQxMDQBDQAAAAUAAAABOQEAAAAHMjYyMTI5NQIAAAAHMTc1NzE0MwMAAAAGMTAwMzA4BAAAAAEyBgAAAAEwBwAAAAMxNjAIAAAAATAJAAAAATEKAAAAATALAAAACjExNjkxMjgyNDEMAAAAAjEyDQAAAAkxMi82LzIwMDM7nFW7k3PVCNs0j66Xc9UINkNJUS5OQVNEQVFHUzpJTlRDLklRX1RFVl9FQklUREFfRldEX0NJUS42MDAwLjIvMTcvMjAxNwEAAACHUgAAAgAAABA3LjM4MDcxNzU1MjA3NzczAQ0AAAAFAAAAATkBAAAABzI2MjEyOTUCAAAACjEwMDA5NDQzODcDAAAABjEwMDMwOAQAAAABMgYAAAABMAcAAAADMTYwCAAAAAEwCQAAAAEx</t>
  </si>
  <si>
    <t>CgAAAAEwCwAAAAo5OTg1NjI3NDM5DAAAAAIxMg0AAAAJMi8xOC8yMDE3S1JTu5Nz1QiLcY6ul3PVCC9DSVEuTkFTREFRR1M6SU5UQy5JUV9QUklDRV9TQUxFUy4yMDAwLjEwLzEvMjAxNAEAAACHUgAAAgAAAAgzLjEzNzg1OAEHAAAABQAAAAExAQAAAAoxNjg4MDgwOTkyAwAAAAEwAgAAAAUzODk1OAQAAAABMAcAAAAJMTAvMS8yMDE0CAAAAAkxMC8xLzIwMTT7jlK7k3PVCMvsNkuXc9UINkNJUS5OQVNEQVFHUzpJTlRDLklRX1RFVl9FQklUREFfRldEX0NJUS42MDAwLjQvMTEvMjAxNAEAAACHUgAAAgAAABA1LjkwMTkzNDE2ODAxNzA2AQ0AAAAFAAAAATkBAAAABzI2MjEyOTUCAAAABzQ0NTY0MjEDAAAABjEwMDMwOAQAAAABMgYAAAABMAcAAAADMTYwCAAAAAEwCQAAAAExCgAAAAEwCwAAAAo2NDk3OTMzMTg3DAAAAAIxMg0AAAAJNC8xMi8yMDE0e8dTu5Nz1QgbYI2ul3PVCDVDSVEuTmFzZGFxR1M6SU5UQy5JUV9URVZfVE9UQUxfUkVWX0ZXRC42MDAwLjExLzEvMjAwMgEAAACHUgAAAgAAABA0LjE5MjQzNTg1NTk0ODY2AQ0AAAAFAAAAATkBAAAABzI2MjEyOTUCAAAABzE3NTcxNDADAAAABjEwMDMwNwQAAAABMgYAAAABMAcAAAADMTYwCAAAAAEwCQAAAAExCgAAAAEwCwAAAAoxMTY5MTI2MTA4DAAAAAIxMg0AAAAJMTEvMi8yMDAyq61Wu5Nz1Qh7NFVJl3PVCC5DSVEuXlNQWC5JUV9URVZfRUJJVERB</t>
  </si>
  <si>
    <t>X0ZXRF9DSVEuNjAwMC4xMC8xMi8yMDE2AQAAAJu4KAACAAAABzkuOTk5MzMAKwRTu5Nz1QhLLCJLl3PVCC9DSVEuTkFTREFRR1M6SU5UQy5JUV9QRV9FWENMX0ZXRC42MDAwLjgvMzEvMjAxMgEAAACHUgAAAgAAABA5LjY0NDU5MTE4Mjc1MzkzAQ0AAAAFAAAAATkBAAAABzI2MjEyOTUCAAAABzE3NTcxNjkDAAAABjEwMDMwOQQAAAABMgYAAAABMAcAAAADMTYwCAAAAAEwCQAAAAExCgAAAAEwCwAAAAo4ODYzNDM2NDY5DAAAAAIxMg0AAAAIOS8xLzIwMTILn7K9k3PVCHvDUkmXc9UIJUNJUS5eU1BYLklRX1BFX0VYQ0xfRldELjYwMDAuNi81LzIwMTMBAAAAm7goAAIAAAAJMTQuMjY2ODMxACsEU7uTc9UIe3w9S5dz1QgvQ0lRLk5BU0RBUUdTOklOVEMuSVFfUEVfRVhDTF9GV0QuNjAwMC43LzEzLzIwMTIBAAAAh1IAAAIAAAAQOS42MzU1NjU3MzE3MzA1OQENAAAABQAAAAE5AQAAAAcyNjIxMjk1AgAAAAcxNzU3MTY4AwAAAAYxMDAzMDkEAAAAATIGAAAAATAHAAAAAzE2MAgAAAABMAkAAAABMQoAAAABMAsAAAAKODg2MzQzNDQ0MAwAAAACMTINAAAACTcvMTQvMjAxMgufsr2Tc9UICwVZSZdz1QglQ0lRLl5TUFguSVFfUEVfRVhDTF9GV0QuNjAwMC44LzMvMjAxNgEAAACbuCgAAgAAAAkxNy40NjM1NTUA6/65t5Nz1QiLOSVLl3PVCClDSVEuTkFTREFRR1M6SU5UQy5JUV9QVEJWLjIwMDAuMTEvMTMvMjAx</t>
  </si>
  <si>
    <t>NQEAAACHUgAAAgAAAAgzLjYxMTk4MwEHAAAABQAAAAExAQAAAAoxNzYxNzA2ODI3AwAAAAEwAgAAAAYxMDAwMjkEAAAAATAHAAAACjExLzEzLzIwMTUIAAAACjExLzEzLzIwMTV7nWa5k3PVCOvUU0mXc9UILENJUS5OQVNEQVFHUzpJTlRDLklRX0xBU1RTQUxFUFJJQ0UuMS8xNS8yMDE0AQAAAIdSAAACAAAABTI2LjY3AMuRr72Tc9UIC2s8S5dz1QgfQ0lRLl5TUFguSVFfUFRCVi4yMDAwLjEvMjUvMjAxNwEAAACbuCgAAgAAAAg3Ljg1Nzg4OADb17m3k3PVCFsAG0uXc9UINkNJUS5OYXNkYXFHUzpJTlRDLklRX1RFVl9FQklUREFfRldEX0NJUS42MDAwLjMvMjgvMjAwMgEAAACHUgAAAgAAABAxOC4xMzQ1MDg4MDgyMDY3AQ0AAAAFAAAAATkBAAAABzI2MjEyOTUCAAAABDE4NzcDAAAABjEwMDMwOAQAAAABMgYAAAABMAcAAAADMTYwCAAAAAEwCQAAAAExCgAAAAEwCwAAAAkzNjA2NTYwNTMMAAAAAjEyDQAAAAkzLzI5LzIwMDKLX1a7k3PVCFttkK6Xc9UIL0NJUS5OQVNEQVFHUzpJTlRDLklRX1BFX0VYQ0xfRldELjYwMDAuMy8yOC8yMDAzAQAAAIdSAAACAAAAEDI4Ljg5OTQwNTkwMDcxNDkBDQAAAAUAAAABOQEAAAAHMjYyMTI5NQIAAAAEMTg3OAMAAAAGMTAwMzA5BAAAAAEyBgAAAAEwBwAAAAMxNjAIAAAAATAJAAAAATEKAAAAATALAAAABzE1MDAzNzYMAAAAAjEyDQAAAAkzLzI5LzIwMDN7sLO9k3PV</t>
  </si>
  <si>
    <t>CMtoWEmXc9UINkNJUS5OQVNEQVFHUzpJTlRDLklRX1RFVl9FQklUREFfRldEX0NJUS42MDAwLjkvMjUvMjAwOQEAAACHUgAAAgAAABA3LjI5MDA2NzMzMzc0Nzg2AQ0AAAAFAAAAATkBAAAABzI2MjEyOTUCAAAABzE3NTcxNjADAAAABjEwMDMwOAQAAAABMgYAAAABMAcAAAADMTYwCAAAAAEwCQAAAAExCgAAAAEwCwAAAAo4MTcyNDAzMzYwDAAAAAIxMg0AAAAJOS8yNi8yMDA5y4pUu5Nz1Qj7go+ul3PVCDVDSVEuTmFzZGFxR1M6SU5UQy5JUV9URVZfVE9UQUxfUkVWX0ZXRC42MDAwLjMvMTEvMjAwNQEAAACHUgAAAgAAAA4zLjU1NjQ2NjQ5MjcyMgENAAAABQAAAAE5AQAAAAcyNjIxMjk1AgAAAAQxODgwAwAAAAYxMDAzMDcEAAAAATIGAAAAATAHAAAAAzE2MAgAAAABMAkAAAABMQoAAAABMAsAAAAJMzYwNjY0NTA2DAAAAAIxMg0AAAAJMy8xMi8yMDA1m9uwu5Nz1QhbV1dJl3PVCDZDSVEuTkFTREFRR1M6SU5UQy5JUV9URVZfRUJJVERBX0ZXRF9DSVEuNjAwMC45LzI2LzIwMDgBAAAAh1IAAAIAAAAQNi4wNjQ5NzQ2NjA2MTEwNAENAAAABQAAAAE5AQAAAAcyNjIxMjk1AgAAAAcxNzU3MTU3AwAAAAYxMDAzMDgEAAAAATIGAAAAATAHAAAAAzE2MAgAAAABMAkAAAABMQoAAAABMAsAAAAKNjczMTM2NDM0MwwAAAACMTINAAAACTkvMjcvMjAwOOvYVLuTc9UIayOOrpdz1QgsQ0lRLk5BU0RBUUdTOklOVEMu</t>
  </si>
  <si>
    <t>SVFfTEFTVFNBTEVQUklDRS40LzE1LzIwMTUBAAAAh1IAAAIAAAAFMzIuODMAy5GvvZNz1QjbMTJLl3PVCDZDSVEuTkFTREFRR1M6SU5UQy5JUV9URVZfRUJJVERBX0ZXRF9DSVEuNjAwMC4yLzI1LzIwMDUBAAAAh1IAAAIAAAAQOC42MzQxNTU3MTY2OTc4MgENAAAABQAAAAE5AQAAAAcyNjIxMjk1AgAAAAQxODgwAwAAAAYxMDAzMDgEAAAAATIGAAAAATAHAAAAAzE2MAgAAAABMAkAAAABMQoAAAABMAsAAAAJMzYwNjY4MTcwDAAAAAIxMg0AAAAJMi8yNi8yMDA1K3VVu5Nz1QjbNI+ul3PVCB9DSVEuXlNQWC5JUV9QVEJWLjIwMDAuMy8xMy8yMDEzAQAAAJu4KAACAAAACDQuODcxMDUyAOtnUruTc9UIuxg+S5dz1QgwQ0lRLk5BU0RBUUdTOklOVEMuSVFfUEVfRVhDTF9GV0QuNjAwMC4xMS8xMS8yMDA1AQAAAIdSAAACAAAAEDE2LjQwMzM5NDI1NTg3NDcBDQAAAAUAAAABOQEAAAAHMjYyMTI5NQIAAAAHMTc1NzE0OQMAAAAGMTAwMzA5BAAAAAEyBgAAAAEwBwAAAAMxNjAIAAAAATAJAAAAATEKAAAAATALAAAACjg4NjI0MTI0MzIMAAAAAjEyDQAAAAoxMS8xMi8yMDA1a4mzvZNz1QgLI1RJl3PVCC1DSVEuXlNQWC5JUV9URVZfRUJJVERBX0ZXRF9DSVEuNjAwMC43LzE3LzIwMTMBAAAAm7goAAIAAAAIOC4yNTIyOTQAqxJnuZNz1Qh7fD1Ll3PVCDBDSVEuTkFTREFRR1M6SU5UQy5JUV9QUklDRV9TQUxFUy4y</t>
  </si>
  <si>
    <t>MDAwLjEwLzE1LzIwMTQBAAAAh1IAAAIAAAAIMi44MTY3NTgBBwAAAAUAAAABMQEAAAAKMTcwMTkwMzQ5NAMAAAABMAIAAAAFMzg5NTgEAAAAATAHAAAACjEwLzE1LzIwMTQIAAAACjEwLzE1LzIwMTRLEVW5k3PVCJt3NkuXc9UILENJUS5OQVNEQVFHUzpJTlRDLklRX0xBU1RTQUxFUFJJQ0UuNC8xMC8yMDEzAQAAAIdSAAACAAAABTIyLjI2AMuRr72Tc9UIq/E9S5dz1QgwQ0lRLk5BU0RBUUdTOklOVEMuSVFfUEVfRVhDTF9GV0QuNjAwMC4xMi8yOC8yMDEyAQAAAIdSAAACAAAAEDEwLjM2NDI2MDQ2NDE2MzEBDQAAAAUAAAABOQEAAAAHMjYyMTI5NQIAAAAHMTc1NzE3MAMAAAAGMTAwMzA5BAAAAAEyBgAAAAEwBwAAAAMxNjAIAAAAATAJAAAAATEKAAAAATALAAAACjg4NjM0MzQ2MjkMAAAAAjEyDQAAAAoxMi8yOS8yMDEyqyW0vZNz1Qib81dJl3PVCCVDSVEuXlNQWC5JUV9QRV9FWENMX0ZXRC42MDAwLjQvMy8yMDEzAQAAAJu4KAACAAAACTEzLjkzNDQ2MgB7hlW5k3PVCKvxPUuXc9UIJ0NJUS5OQVNEQVFHUzpJTlRDLklRX1BUQlYuMjAwMC43LzEvMjAxNgEAAACHUgAAAgAAAAg0LjY2NzI2MQEHAAAABQAAAAExAQAAAAoxNzg5MTkzMzQzAwAAAAEwAgAAAAYxMDAwMjkEAAAAATAHAAAACDcvMS8yMDE2CAAAAAg3LzEvMjAxNtvXubeTc9UIq+VLSZdz1Qg3Q0lRLk5BU0RBUUdTOklOVEMuSVFfVEVWX0VC</t>
  </si>
  <si>
    <t>SVREQV9GV0RfQ0lRLjYwMDAuMTIvMjYvMjAwMwEAAACHUgAAAgAAAA8xMS4yNjQxNjE1NTU2MDkBDQAAAAUAAAABOQEAAAAHMjYyMTI5NQIAAAAHMTc1NzE0MwMAAAAGMTAwMzA4BAAAAAEyBgAAAAEwBwAAAAMxNjAIAAAAATAJAAAAATEKAAAAATALAAAACjY4ODM3MDA1MjQMAAAAAjEyDQAAAAoxMi8yNy8yMDAzO5xVu5Nz1Qh7So6ul3PVCCxDSVEuXlNQWC5JUV9URVZfVE9UQUxfUkVWX0ZXRC42MDAwLjgvMTcvMjAxNgEAAACbuCgAAgAAAAgyLjA4MDU1NQB7hlW5k3PVCKuHJUuXc9UIL0NJUS5OQVNEQVFHUzpJTlRDLklRX1BFX0VYQ0xfRldELjYwMDAuNi8xMy8yMDAzAQAAAIdSAAACAAAADzMyLjQwMTM5NTYzMTA2OAENAAAABQAAAAE5AQAAAAcyNjIxMjk1AgAAAAcxNzU3MTQxAwAAAAYxMDAzMDkEAAAAATIGAAAAATAHAAAAAzE2MAgAAAABMAkAAAABMQoAAAABMAsAAAAKNjg4MzY5NDYyOAwAAAACMTINAAAACTYvMTQvMjAwM3uws72Tc9UIe6VXSZdz1QgnQ0lRLk5BU0RBUUdTOklOVEMuSVFfUFRCVi4yMDAwLjgvNi8yMDEwAQAAAIdSAAACAAAACDIuODMzMDI2AQcAAAAFAAAAATEBAAAACjEzODk3MTA3NDQDAAAAATACAAAABjEwMDAyOQQAAAABMAcAAAAIOC82LzIwMTAIAAAACDgvNi8yMDEw69GItpNz1QgbhkpJl3PVCC9DSVEuTkFTREFRR1M6SU5UQy5JUV9QRV9FWENMX0ZXRC42MDAwLjYv</t>
  </si>
  <si>
    <t>MjQvMjAxNgEAAACHUgAAAgAAABAxMi43OTU1NTUwMTQ4MDMxAQ0AAAAFAAAAATkBAAAABzI2MjEyOTUCAAAACDI3MDAzNjUxAwAAAAYxMDAzMDkEAAAAATIGAAAAATAHAAAAAzE2MAgAAAABMAkAAAABMQoAAAABMAsAAAAKOTU1NDQ3ODkwMAwAAAACMTINAAAACTYvMjUvMjAxNtspsr2Tc9UICwVZSZdz1Qg1Q0lRLk5BU0RBUUdTOklOVEMuSVFfVEVWX0VCSVREQV9GV0RfQ0lRLjYwMDAuOS80LzIwMTUBAAAAh1IAAAIAAAAQNS43NTc1ODg2NjY0Mjc2NwENAAAABQAAAAE5AQAAAAcyNjIxMjk1AgAAAAc4MDY4MjYxAwAAAAYxMDAzMDgEAAAAATIGAAAAATAHAAAAAzE2MAgAAAABMAkAAAABMQoAAAABMAsAAAAKOTA0NTEyMDUzOQwAAAACMTINAAAACDkvNS8yMDE1a6BTu5Nz1Qjbw4yul3PVCC9DSVEuTkFTREFRR1M6SU5UQy5JUV9QRV9FWENMX0ZXRC42MDAwLjMvMjgvMjAwOAEAAACHUgAAAgAAABAxNS43ODU4NzY5OTMxNjYzAQ0AAAAFAAAAATkBAAAABzI2MjEyOTUCAAAABDE4ODMDAAAABjEwMDMwOQQAAAABMgYAAAABMAcAAAADMTYwCAAAAAEwCQAAAAExCgAAAAEwCwAAAAcxNTMzMjk2DAAAAAIxMg0AAAAJMy8yOS8yMDA4SzuzvZNz1Qh7NFVJl3PVCDBDSVEuTkFTREFRR1M6SU5UQy5JUV9QUklDRV9TQUxFUy4yMDAwLjEyLzE0LzIwMTYBAAAAh1IAAAIAAAAIMi45ODIxMDUBBwAAAAUAAAABMQEA</t>
  </si>
  <si>
    <t>AAAKMTgxNTU0NDQ1MAMAAAABMAIAAAAFMzg5NTgEAAAAATAHAAAACjEyLzE0LzIwMTYIAAAACjEyLzE0LzIwMTZLGLC7k3PVCGuYHUuXc9UIL0NJUS5OQVNEQVFHUzpJTlRDLklRX1BSSUNFX1NBTEVTLjIwMDAuMy8yMi8yMDEzAQAAAIdSAAACAAAABjEuOTk3OAEHAAAABQAAAAExAQAAAAoxNTg4MTU3NDYzAwAAAAEwAgAAAAUzODk1OAQAAAABMAcAAAAJMy8yMi8yMDEzCAAAAAkzLzIyLzIwMTM76lS5k3PVCFsEUEmXc9UIKENJUS5OQVNEQVFHUzpJTlRDLklRX1BUQlYuMjAwMC40LzIxLzIwMTEBAAAAh1IAAAIAAAAIMy43MjUxNjMBBwAAAAUAAAABMQEAAAAKMTQ0Mzc2NzAwMQMAAAABMAIAAAAGMTAwMDI5BAAAAAEwBwAAAAk0LzIxLzIwMTEIAAAACTQvMjEvMjAxMevRiLaTc9UIK61KSZdz1Qg0Q0lRLk5hc2RhcUdTOklOVEMuSVFfVEVWX1RPVEFMX1JFVl9GV0QuNjAwMC4zLzcvMjAwOAEAAACHUgAAAgAAABAyLjU1OTgxMzYzOTU2OTM4AQ0AAAAFAAAAATkBAAAABzI2MjEyOTUCAAAABDE4ODMDAAAABjEwMDMwNwQAAAABMgYAAAABMAcAAAADMTYwCAAAAAEwCQAAAAExCgAAAAEwCwAAAAkzNjA3MDAyNTMMAAAAAjEyDQAAAAgzLzgvMjAwOJuGVruTc9UIqzhTSZdz1Qg2Q0lRLk5BU0RBUUdTOklOVEMuSVFfVEVWX0VCSVREQV9GV0RfQ0lRLjYwMDAuNi8yNC8yMDE2AQAAAIdSAAACAAAAEDcuNzQ4</t>
  </si>
  <si>
    <t>MzM0NzM2MDYxMDgBDQAAAAUAAAABOQEAAAAHMjYyMTI5NQIAAAAIMjcwMDM2NTEDAAAABjEwMDMwOAQAAAABMgYAAAABMAcAAAADMTYwCAAAAAEwCQAAAAExCgAAAAEwCwAAAAo5NDczNDg4NDkxDAAAAAIxMg0AAAAJNi8yNS8yMDE2W3lTu5Nz1Qg7H5Cul3PVCChDSVEuTkFTREFRR1M6SU5UQy5JUV9QVEJWLjIwMDAuMy8xMC8yMDE3AQAAAIdSAAACAAAACDMuOTg0MTAzAQcAAAAFAAAAATEBAAAACjE4MjgxNzQxMjIDAAAAATACAAAABjEwMDAyOQQAAAABMAcAAAAJMy8xMC8yMDE3CAAAAAkzLzEwLzIwMTfb17m3k3PVCHtwS0mXc9UIMENJUS5OQVNEQVFHUzpJTlRDLklRX1BSSUNFX1NBTEVTLjIwMDAuMTIvMjQvMjAxNQEAAACHUgAAAgAAAAgzLjAxNDY2NAEHAAAABQAAAAExAQAAAAoxNzYxNzA2ODI3AwAAAAEwAgAAAAUzODk1OAQAAAABMAcAAAAKMTIvMjQvMjAxNQgAAAAKMTIvMjQvMjAxNdvXubeTc9UIi5dLSZdz1QgnQ0lRLl5TUFguSVFfUEVfRVhDTF9GV0QuNjAwMC4xMC8yNS8yMDE3AQAAAJu4KAACAAAACTE4LjY5NDY0NQB7jbC7k3PVCDvA7kqXc9UIIkNJUS5eU1BYLklRX0xBU1RTQUxFUFJJQ0UuMi83LzIwMTgBAAAAm7goAAIAAAAQMjY4MS42NjAxMzUxNzI0NwAb3VK7k3PVCHtkykmXc9UIIENJUS5eU1BYLklRX1BUQlYuMjAwMC4xMi8xNC8yMDE2AQAAAJu4KAACAAAACDcuNzk5NTk3</t>
  </si>
  <si>
    <t>ANvXubeTc9UIa5gdS5dz1Qg2Q0lRLk5hc2RhcUdTOklOVEMuSVFfVEVWX0VCSVREQV9GV0RfQ0lRLjYwMDAuMi8yNy8yMDE1AQAAAIdSAAACAAAAEDYuMjYzNzc5OTgxMzk4MTIBDQAAAAUAAAABOQEAAAAHMjYyMTI5NQIAAAAKMTAwMDA5NDA3MQMAAAAGMTAwMzA4BAAAAAEyBgAAAAEwBwAAAAMxNjAIAAAAATAJAAAAATEKAAAAATALAAAACjg2Mzg5MTE2MzIMAAAAAjEyDQAAAAkyLzI4LzIwMTX7cFe7k3PVCEvVja6Xc9UINUNJUS5OYXNkYXFHUzpJTlRDLklRX1RFVl9UT1RBTF9SRVZfRldELjYwMDAuMS8xMC8yMDAzAQAAAIdSAAACAAAAEDMuODcyODEwMDgyNTY4NzQBDQAAAAUAAAABOQEAAAAHMjYyMTI5NQIAAAAHMTc1NzE0MAMAAAAGMTAwMzA3BAAAAAEyBgAAAAEwBwAAAAMxNjAIAAAAATAJAAAAATEKAAAAATALAAAACjExNjkxMjYxNzkMAAAAAjEyDQAAAAkxLzExLzIwMDOLtLC7k3PVCFvIWUmXc9UIL0NJUS5OQVNEQVFHUzpJTlRDLklRX1BSSUNFX1NBTEVTLjIwMDAuNi8yMS8yMDEzAQAAAIdSAAACAAAACDIuMjc0MjU3AQcAAAAFAAAAATEBAAAACjE2MTQwNzQ5NDIDAAAAATACAAAABTM4OTU4BAAAAAEwBwAAAAk2LzIxLzIwMTMIAAAACTYvMjEvMjAxM9vXubeTc9UIuwxMSZdz1QgfQ0lRLl5TUFguSVFfUFRCVi4yMDAwLjcvMzEvMjAxMwEAAACbuCgAAgAAAAg0Ljk3NjY1MgBbP7C7k3PV</t>
  </si>
  <si>
    <t>CGtVPUuXc9UIKENJUS5OQVNEQVFHUzpJTlRDLklRX1BUQlYuMjAwMC4yLzE5LzIwMTYBAAAAh1IAAAIAAAAIMi45NjA2MDEBBwAAAAUAAAABMQEAAAAKMTc3NTkzMzE0MAMAAAABMAIAAAAGMTAwMDI5BAAAAAEwBwAAAAkyLzE5LzIwMTYIAAAACTIvMTkvMjAxNgu2UruTc9UI60VWSZdz1Qg2Q0lRLk5BU0RBUUdTOklOVEMuSVFfVEVWX0VCSVREQV9GV0RfQ0lRLjYwMDAuMTAvMi8yMDE1AQAAAIdSAAACAAAAEDYuMTcxNDk1NDE2MDI0MjgBDQAAAAUAAAABOQEAAAAHMjYyMTI5NQIAAAAHODA2ODI2MQMAAAAGMTAwMzA4BAAAAAEyBgAAAAEwBwAAAAMxNjAIAAAAATAJAAAAATEKAAAAATALAAAACjkwOTAxNjU4NTYMAAAAAjEyDQAAAAkxMC8zLzIwMTVbeVO7k3PVCJuYjq6Xc9UILUNJUS5OQVNEQVFHUzpJTlRDLklRX0xBU1RTQUxFUFJJQ0UuMTEvMTIvMjAxNAEAAACHUgAAAgAAAAUzMy4zOABbP7C7k3PVCItQNkuXc9UIL0NJUS5OQVNEQVFHUzpJTlRDLklRX1BFX0VYQ0xfRldELjYwMDAuOS8yNS8yMDE1AQAAAIdSAAACAAAAEDEzLjA0MDkxOTc4OTk2OTIBDQAAAAUAAAABOQEAAAAHMjYyMTI5NQIAAAAHODA2ODI2MQMAAAAGMTAwMzA5BAAAAAEyBgAAAAEwBwAAAAMxNjAIAAAAATAJAAAAATEKAAAAATALAAAACjkwMjYzNDA3NjMMAAAAAjEyDQAAAAk5LzI2LzIwMTXrULK9k3PVCJsRU0mXc9UILENJ</t>
  </si>
  <si>
    <t>US5eU1BYLklRX1RFVl9FQklUREFfRldEX0NJUS42MDAwLjkvNi8yMDE3AQAAAJu4KAACAAAACTEwLjQwMjE3MgDr/rm3k3PVCKsG/EqXc9UIMENJUS5OQVNEQVFHUzpJTlRDLklRX1BFX0VYQ0xfRldELjYwMDAuMTIvMjYvMjAwMwEAAACHUgAAAgAAABAyNy4wODExNzQ0Mzg2ODc0AQ0AAAAFAAAAATkBAAAABzI2MjEyOTUCAAAABzE3NTcxNDMDAAAABjEwMDMwOQQAAAABMgYAAAABMAcAAAADMTYwCAAAAAEwCQAAAAExCgAAAAEwCwAAAAo4ODYwNTA2NTg2DAAAAAIxMg0AAAAKMTIvMjcvMjAwM6sltL2Tc9UIG0pUSZdz1Qg0Q0lRLk5hc2RhcUdTOklOVEMuSVFfVEVWX1RPVEFMX1JFVl9GV0QuNjAwMC41LzEvMjAxNQEAAACHUgAAAgAAABAyLjc3ODkyMzQ3MTY3Njc2AQ0AAAAFAAAAATkBAAAABzI2MjEyOTUCAAAABzgwNjgyNjADAAAABjEwMDMwNwQAAAABMgYAAAABMAcAAAADMTYwCAAAAAEwCQAAAAExCgAAAAEwCwAAAAo4ODg2MTA4NDg4DAAAAAIxMg0AAAAINS8yLzIwMTW7+ru3k3PVCOuBTEmXc9UINkNJUS5OQVNEQVFHUzpJTlRDLklRX1RFVl9FQklUREFfRldEX0NJUS42MDAwLjEvMTIvMjAwMQEAAACHUgAAAwAAAAAAaxFWu5Nz1Qi75o6ul3PVCCtDSVEuTkFTREFRR1M6SU5UQy5JUV9MQVNUU0FMRVBSSUNFLjYvOC8yMDE2AQAAAIdSAAACAAAABTMxLjg5AEsoZrmTc9UIS38pS5dz1QgmQ0lR</t>
  </si>
  <si>
    <t>Ll5TUFguSVFfUEVfRVhDTF9GV0QuNjAwMC4xLzIxLzIwMTUBAAAAm7goAAIAAAAJMTcuMDQxMzk4AKsSZ7mTc9UIqy00S5dz1QgwQ0lRLk5BU0RBUUdTOklOVEMuSVFfUEVfRVhDTF9GV0QuNjAwMC4xMS8xMS8yMDE2AQAAAIdSAAACAAAADzEyLjU2OTkxMzU2MTQxNQENAAAABQAAAAE5AQAAAAcyNjIxMjk1AgAAAAgyNzAwMzY1MwMAAAAGMTAwMzA5BAAAAAEyBgAAAAEwBwAAAAMxNjAIAAAAATAJAAAAATEKAAAAATALAAAACjk4NDQ2NjcwMDkMAAAAAjEyDQAAAAoxMS8xMi8yMDE22ymyvZNz1Qj7+1NJl3PVCC5DSVEuTkFTREFRR1M6SU5UQy5JUV9QUklDRV9TQUxFUy4yMDAwLjQvMi8yMDE1AQAAAIdSAAACAAAACDIuNzAyNjk5AQcAAAAFAAAAATEBAAAACjE3MTg4NTkyOTEDAAAAATACAAAABTM4OTU4BAAAAAEwBwAAAAg0LzIvMjAxNQgAAAAINC8yLzIwMTWrQ6+9k3PVCJtkWkmXc9UIN0NJUS5OYXNkYXFHUzpJTlRDLklRX1RFVl9FQklUREFfRldEX0NJUS42MDAwLjExLzE4LzIwMTEBAAAAh1IAAAIAAAAQNC41OTUzMDEzODI0NzQ5NQENAAAABQAAAAE5AQAAAAcyNjIxMjk1AgAAAAcxNzU3MTY3AwAAAAYxMDAzMDgEAAAAATIGAAAAATAHAAAAAzE2MAgAAAABMAkAAAABMQoAAAABMAsAAAAKODE3MTU3NDE2OQwAAAACMTINAAAACjExLzE5LzIwMTGLX1a7k3PVCBvRj66Xc9UIHkNJUS5eU1BYLklR</t>
  </si>
  <si>
    <t>X1BUQlYuMjAwMC4zLzUvMjAxNAEAAACbuCgAAgAAAAg1LjMwNzYwNQC7aq+9k3PVCKuAO0uXc9UIL0NJUS5OQVNEQVFHUzpJTlRDLklRX1BSSUNFX1NBTEVTLjIwMDAuNi8yMC8yMDE0AQAAAIdSAAACAAAACDIuODQxNDU2AQcAAAAFAAAAATEBAAAACjE2NzMzNzkzMjcDAAAAATACAAAABTM4OTU4BAAAAAEwBwAAAAk2LzIwLzIwMTQIAAAACTYvMjAvMjAxNHudZrmTc9UI+/tTSZdz1QgvQ0lRLk5BU0RBUUdTOklOVEMuSVFfUFJJQ0VfU0FMRVMuMjAwMC42LzE4LzIwMTQBAAAAh1IAAAIAAAAIMi44MTYwNTIBBwAAAAUAAAABMQEAAAAKMTY3MzM3OTMyNwMAAAABMAIAAAAFMzg5NTgEAAAAATAHAAAACTYvMTgvMjAxNAgAAAAJNi8xOC8yMDE0SxFVuZNz1Qib6DhLl3PVCDVDSVEuTmFzZGFxR1M6SU5UQy5JUV9URVZfVE9UQUxfUkVWX0ZXRC42MDAwLjUvMjUvMjAwMQEAAACHUgAAAgAAAA42LjY1MjY2NjEwNzUzMQENAAAABQAAAAE5AQAAAAcyNjIxMjk1AgAAAAczNDIxMTYwAwAAAAYxMDAzMDcEAAAAATIGAAAAATAHAAAAAzE2MAgAAAABMAkAAAABMQoAAAABMAsAAAAKMTE2OTE1MjM1NQwAAAACMTINAAAACTUvMjYvMjAwMbspsbuTc9UIe8NSSZdz1Qg2Q0lRLk5BU0RBUUdTOklOVEMuSVFfVEVWX0VCSVREQV9GV0RfQ0lRLjYwMDAuNC8xMS8yMDA4AQAAAIdSAAACAAAAEDcuMTA2MDIxMTY3NDU0ODYB</t>
  </si>
  <si>
    <t>DQAAAAUAAAABOQEAAAAHMjYyMTI5NQIAAAAEMTg4MwMAAAAGMTAwMzA4BAAAAAEyBgAAAAEwBwAAAAMxNjAIAAAAATAJAAAAATEKAAAAATALAAAACTM2MDcwMzMyMwwAAAACMTINAAAACTQvMTIvMjAwOOvYVLuTc9UIayOOrpdz1Qg0Q0lRLk5hc2RhcUdTOklOVEMuSVFfVEVWX1RPVEFMX1JFVl9GV0QuNjAwMC42LzQvMjAxMAEAAACHUgAAAgAAAA8yLjM1MzMwMTAwOTU1NTEBDQAAAAUAAAABOQEAAAAHMjYyMTI5NQIAAAAHMTc1NzE2MgMAAAAGMTAwMzA3BAAAAAEyBgAAAAEwBwAAAAMxNjAIAAAAATAJAAAAATEKAAAAATALAAAACjg4NjQ0MjcxNTEMAAAAAjEyDQAAAAg2LzUvMjAxMOtvvLeTc9UIi1tVSZdz1QgmQ0lRLl5TUFguSVFfUEVfRVhDTF9GV0QuNjAwMC45LzE4LzIwMTMBAAAAm7goAAIAAAAJMTUuMDIxNTUyAHuNsLuTc9UISwc9S5dz1QgtQ0lRLl5TUFguSVFfVEVWX0VCSVREQV9GV0RfQ0lRLjYwMDAuMTEvMi8yMDE2AQAAAJu4KAACAAAACDkuNTA3NDc4AIvEZrmTc9UIu8wgS5dz1QguQ0lRLk5BU0RBUUdTOklOVEMuSVFfUFJJQ0VfU0FMRVMuMjAwMC42LzcvMjAxMwEAAACHUgAAAgAAAAgyLjMxMTM4NQEHAAAABQAAAAExAQAAAAoxNjE0MDc0OTQyAwAAAAEwAgAAAAUzODk1OAQAAAABMAcAAAAINi83LzIwMTMIAAAACDYvNy8yMDEzO+pUuZNz1QhbBFBJl3PVCCxDSVEuXlNQWC5JUV9U</t>
  </si>
  <si>
    <t>RVZfRUJJVERBX0ZXRF9DSVEuNjAwMC40LzUvMjAxNwEAAACbuCgAAgAAAAkxMC40MDE3MDkAe42wu5Nz1QhbHhZLl3PVCDVDSVEuTmFzZGFxR1M6SU5UQy5JUV9URVZfVE9UQUxfUkVWX0ZXRC42MDAwLjEwLzUvMjAxMgEAAACHUgAAAgAAABAxLjk5ODYxNzMxMzI2NTM2AQ0AAAAFAAAAATkBAAAABzI2MjEyOTUCAAAABzE3NTcxNjkDAAAABjEwMDMwNwQAAAABMgYAAAABMAcAAAADMTYwCAAAAAEwCQAAAAExCgAAAAEwCwAAAAo4ODY0NDMzODU3DAAAAAIxMg0AAAAJMTAvNi8yMDEy+9VnuZNz1Qi7DExJl3PVCDZDSVEuTkFTREFRR1M6SU5UQy5JUV9URVZfRUJJVERBX0ZXRF9DSVEuNjAwMC40LzE4LzIwMDgBAAAAh1IAAAIAAAAQNy40ODQxNzM0ODkyMTg1MgENAAAABQAAAAE5AQAAAAcyNjIxMjk1AgAAAAcxNzU3MTU2AwAAAAYxMDAzMDgEAAAAATIGAAAAATAHAAAAAzE2MAgAAAABMAkAAAABMQoAAAABMAsAAAAKNjcyNzQ4OTY3NwwAAAACMTINAAAACTQvMTkvMjAwOOvYVLuTc9UIO66Nrpdz1QgvQ0lRLk5BU0RBUUdTOklOVEMuSVFfUEVfRVhDTF9GV0QuNjAwMC44LzIwLzIwMTABAAAAh1IAAAIAAAAPOS4xNjg5Mjk0MDI2Mzc3AQ0AAAAFAAAAATkBAAAABzI2MjEyOTUCAAAABzE3NTcxNjMDAAAABjEwMDMwOQQAAAABMgYAAAABMAcAAAADMTYwCAAAAAEwCQAAAAExCgAAAAEwCwAAAAo4ODYzODQ1</t>
  </si>
  <si>
    <t>MDU0DAAAAAIxMg0AAAAJOC8yMS8yMDEwK+2yvZNz1Qhr71lJl3PVCDVDSVEuTmFzZGFxR1M6SU5UQy5JUV9URVZfRUJJVERBX0ZXRF9DSVEuNjAwMC4zLzkvMjAxMgEAAACHUgAAAgAAABA1LjIwNzQxMjE0NzgwNzYzAQ0AAAAFAAAAATkBAAAABzI2MjEyOTUCAAAABDE4ODcDAAAABjEwMDMwOAQAAAABMgYAAAABMAcAAAADMTYwCAAAAAEwCQAAAAExCgAAAAEwCwAAAAo1NzQ4ODMxMzgzDAAAAAIxMg0AAAAJMy8xMC8yMDEym9uwu5Nz1QhLRpCul3PVCB5DSVEuXlNQWC5JUV9QVEJWLjIwMDAuMi81LzIwMTQBAAAAm7goAAIAAAAINC44NjI4ODgAi8RmuZNz1QjrHDxLl3PVCC9DSVEuTkFTREFRR1M6SU5UQy5JUV9QRV9FWENMX0ZXRC42MDAwLjQvMjkvMjAxMQEAAACHUgAAAgAAABAxMC4xNTU3MzU5MDY5OTcxAQ0AAAAFAAAAATkBAAAABzI2MjEyOTUCAAAABzE3NTcxNjUDAAAABjEwMDMwOQQAAAABMgYAAAABMAcAAAADMTYwCAAAAAEwCQAAAAExCgAAAAEwCwAAAAo4ODYzMzYyNDk5DAAAAAIxMg0AAAAJNC8zMC8yMDExG8ayvZNz1QhLMFdJl3PVCCxDSVEuXlNQWC5JUV9URVZfVE9UQUxfUkVWX0ZXRC42MDAwLjEwLzEvMjAxNAEAAACbuCgAAgAAAAgxLjgzNTU5NQDbuK+9k3PVCMvsNkuXc9UINUNJUS5OYXNkYXFHUzpJTlRDLklRX1RFVl9FQklUREFfRldEX0NJUS42MDAwLjcvNS8yMDEzAQAAAIdS</t>
  </si>
  <si>
    <t>AAACAAAAEDUuMjk5NjMxMzAzMjQyNzIBDQAAAAUAAAABOQEAAAAHMjYyMTI5NQIAAAAHMzgyOTc1MQMAAAAGMTAwMzA4BAAAAAEyBgAAAAEwBwAAAAMxNjAIAAAAATAJAAAAATEKAAAAATALAAAACjY5NTU0MTkxNzEMAAAAAjEyDQAAAAg3LzYvMjAxM6sltL2Tc9UIG2CNrpdz1Qg2Q0lRLk5hc2RhcUdTOklOVEMuSVFfVEVWX1RPVEFMX1JFVl9GV0QuNjAwMC4xMS8yNy8yMDA5AQAAAIdSAAACAAAAEDIuNDc3ODMzNzcyODg3MjUBDQAAAAUAAAABOQEAAAAHMjYyMTI5NQIAAAAHMTc1NzE2MQMAAAAGMTAwMzA3BAAAAAEyBgAAAAEwBwAAAAMxNjAIAAAAATAJAAAAATEKAAAAATALAAAACjg4NjQyMTA4MDUMAAAAAjEyDQAAAAoxMS8yOC8yMDA5+5a8t5Nz1Qi7QVhJl3PVCCxDSVEuXlNQWC5JUV9URVZfVE9UQUxfUkVWX0ZXRC42MDAwLjEvMjIvMjAxNAEAAACbuCgAAgAAAAgxLjc3OTU3MgB7jbC7k3PVCAtrPEuXc9UINENJUS5OYXNkYXFHUzpJTlRDLklRX1RFVl9UT1RBTF9SRVZfRldELjYwMDAuNy8yLzIwMDkBAAAAh1IAAAIAAAAQMi42OTgxMzEyMTk1NTgzOAENAAAABQAAAAE5AQAAAAcyNjIxMjk1AgAAAAcxNzU3MTU5AwAAAAYxMDAzMDcEAAAAATIGAAAAATAHAAAAAzE2MAgAAAABMAkAAAABMQoAAAABMAsAAAAKNDg5MzkwNDg3MgwAAAACMTINAAAACDcvMy8yMDA5i9ezvZNz1Qg7mFRJl3PVCCxD</t>
  </si>
  <si>
    <t>SVEuTkFTREFRR1M6SU5UQy5JUV9MQVNUU0FMRVBSSUNFLjEwLzcvMjAxNQEAAACHUgAAAgAAAAYzMi4zMTUASyhmuZNz1QibJC9Ll3PVCC9DSVEuTkFTREFRR1M6SU5UQy5JUV9QUklDRV9TQUxFUy4yMDAwLjExLzQvMjAxMQEAAACHUgAAAgAAAAgyLjQ3NDc0OAEHAAAABQAAAAExAQAAAAoxNDgwMjE1MzgxAwAAAAEwAgAAAAUzODk1OAQAAAABMAcAAAAJMTEvNC8yMDExCAAAAAkxMS80LzIwMTG7aq+9k3PVCCtTWUmXc9UIL0NJUS5OQVNEQVFHUzpJTlRDLklRX1BFX0VYQ0xfRldELjYwMDAuOS8yOS8yMDE3AQAAAIdSAAACAAAAEDEyLjUwODIxMTc5ODcxMjQBDQAAAAUAAAABOQEAAAAHMjYyMTI5NQIAAAAIMjc1MDAxNzMDAAAABjEwMDMwOQQAAAABMgYAAAABMAcAAAADMTYwCAAAAAEwCQAAAAExCgAAAAEwCwAAAAsxMDQ2NDQ0NzcxNAwAAAACMTINAAAACTkvMzAvMjAxN8sCsr2Tc9UIK+JWSZdz1QgtQ0lRLl5TUFguSVFfVEVWX1RPVEFMX1JFVl9GV0QuNjAwMC4xMC8yNS8yMDE3AQAAAJu4KAACAAAACDIuMjMxOTA4AGtmsLuTc9UI697ySpdz1Qg2Q0lRLk5hc2RhcUdTOklOVEMuSVFfVEVWX0VCSVREQV9GV0RfQ0lRLjYwMDAuNy8xOS8yMDEzAQAAAIdSAAACAAAAEDUuMTEyMDQxNTMzNzUzMTYBDQAAAAUAAAABOQEAAAAHMjYyMTI5NQIAAAAHMzgyOTc1MgMAAAAGMTAwMzA4BAAAAAEyBgAAAAEw</t>
  </si>
  <si>
    <t>BwAAAAMxNjAIAAAAATAJAAAAATEKAAAAATALAAAACjc2MTY2MzcyMzMMAAAAAjEyDQAAAAk3LzIwLzIwMTOL17O9k3PVCBvRj66Xc9UIH0NJUS5eU1BYLklRX1BUQlYuMjAwMC4xMS8yLzIwMTYBAAAAm7goAAIAAAAINi45NzQ5OTEAa2awu5Nz1Qi7zCBLl3PVCC5DSVEuXlNQWC5JUV9URVZfRUJJVERBX0ZXRF9DSVEuNjAwMC4xMi8xMS8yMDEzAQAAAJu4KAACAAAACDguNTQ1MjM3AHuGVbmTc9UIG5I8S5dz1QgsQ0lRLk5BU0RBUUdTOklOVEMuSVFfTEFTVFNBTEVQUklDRS41LzExLzIwMTYBAAAAh1IAAAIAAAAFMzAuMDYA29e5t5Nz1QhrzSlLl3PVCC9DSVEuTkFTREFRR1M6SU5UQy5JUV9QRV9FWENMX0ZXRC42MDAwLjkvMjYvMjAwOAEAAACHUgAAAgAAABAxNC4wOTc5NTEzOTE0Mzg0AQ0AAAAFAAAAATkBAAAABzI2MjEyOTUCAAAABzE3NTcxNTcDAAAABjEwMDMwOQQAAAABMgYAAAABMAcAAAADMTYwCAAAAAEwCQAAAAExCgAAAAEwCwAAAAo4ODY0NDgyMzgyDAAAAAIxMg0AAAAJOS8yNy8yMDA4OxSzvZNz1Qg7CVdJl3PVCDRDSVEuTmFzZGFxR1M6SU5UQy5JUV9URVZfVE9UQUxfUkVWX0ZXRC42MDAwLjIvMy8yMDA2AQAAAIdSAAACAAAAEDIuNzcwOTMwMDcwMzc1OTQBDQAAAAUAAAABOQEAAAAHMjYyMTI5NQIAAAAEMTg4MQMAAAAGMTAwMzA3BAAAAAEyBgAAAAEwBwAAAAMxNjAIAAAAATAJAAAA</t>
  </si>
  <si>
    <t>ATEKAAAAATALAAAACTM2MDY3MjI5OQwAAAACMTINAAAACDIvNC8yMDA2uzlnuZNz1QiLzFdJl3PVCChDSVEuTkFTREFRR1M6SU5UQy5JUV9QVEJWLjIwMDAuMy8yMC8yMDE1AQAAAIdSAAACAAAACDMuNjY1MzY1AQcAAAAFAAAAATEBAAAACjE3MTg4NTkyOTEDAAAAATACAAAABjEwMDAyOQQAAAABMAcAAAAJMy8yMC8yMDE1CAAAAAkzLzIwLzIwMTWrQ6+9k3PVCHsWWkmXc9UINkNJUS5OQVNEQVFHUzpJTlRDLklRX1RFVl9FQklUREFfRldEX0NJUS42MDAwLjMvMjEvMjAxNAEAAACHUgAAAgAAABA1LjY2MzcwNjY3NDU0MzM5AQ0AAAAFAAAAATkBAAAABzI2MjEyOTUCAAAABzQ0NTY0MjEDAAAABjEwMDMwOAQAAAABMgYAAAABMAcAAAADMTYwCAAAAAEwCQAAAAExCgAAAAEwCwAAAAo2NDk3OTMzMTg2DAAAAAIxMg0AAAAJMy8yMi8yMDE0e8dTu5Nz1QibmI6ul3PVCC9DSVEuTkFTREFRR1M6SU5UQy5JUV9QRV9FWENMX0ZXRC42MDAwLjYvMTQvMjAwMgEAAACHUgAAAgAAABAzMy4xNDY0MTc0NDU0ODI5AQ0AAAAFAAAAATkBAAAABzI2MjEyOTUCAAAABzE3NTcxMzgDAAAABjEwMDMwOQQAAAABMgYAAAABMAcAAAADMTYwCAAAAAEwCQAAAAExCgAAAAEwCwAAAAo4ODYwNTAyMDIwDAAAAAIxMg0AAAAJNi8xNS8yMDAye7CzvZNz1Qg7J1JJl3PVCDVDSVEuTmFzZGFxR1M6SU5UQy5JUV9URVZfVE9UQUxfUkVW</t>
  </si>
  <si>
    <t>X0ZXRC42MDAwLjEvMTMvMjAwNgEAAACHUgAAAgAAABAzLjQ1MTYyMjI3MDA0NTMxAQ0AAAAFAAAAATkBAAAABzI2MjEyOTUCAAAABzE3NTcxNDkDAAAABjEwMDMwNwQAAAABMgYAAAABMAcAAAADMTYwCAAAAAEwCQAAAAExCgAAAAEwCwAAAAo2ODgzNzAwNTI2DAAAAAIxMg0AAAAJMS8xNC8yMDA2ezhWu5Nz1Qhbk01Jl3PVCC9DSVEuTkFTREFRR1M6SU5UQy5JUV9QRV9FWENMX0ZXRC42MDAwLjUvMTIvMjAwNgEAAACHUgAAAgAAABAyMC4wNTY4ODQwMTk4MDQxAQ0AAAAFAAAAATkBAAAABzI2MjEyOTUCAAAABzE3NTcxNTADAAAABjEwMDMwOQQAAAABMgYAAAABMAcAAAADMTYwCAAAAAEwCQAAAAExCgAAAAEwCwAAAAo1Nzc4NjU3NjQ4DAAAAAIxMg0AAAAJNS8xMy8yMDA2W2KzvZNz1QgbSlRJl3PVCC1DSVEuXlNQWC5JUV9URVZfRUJJVERBX0ZXRF9DSVEuNjAwMC4zLzI5LzIwMTcBAAAAm7goAAIAAAAJMTAuNDY3NDMzAHuNsLuTc9UIq+EWS5dz1QguQ0lRLk5BU0RBUUdTOklOVEMuSVFfUEVfRVhDTF9GV0QuNjAwMC4zLzcvMjAxNAEAAACHUgAAAgAAABAxMy4zNTAwMjA4NTk0MDc2AQ0AAAAFAAAAATkBAAAABzI2MjEyOTUCAAAABzQ0NTY0MjEDAAAABjEwMDMwOQQAAAABMgYAAAABMAcAAAADMTYwCAAAAAEwCQAAAAExCgAAAAEwCwAAAAo2NTI4OTc5NTk4DAAAAAIxMg0AAAAIMy84LzIwMTS7TLS9</t>
  </si>
  <si>
    <t>k3PVCDt6WUmXc9UIL0NJUS5OQVNEQVFHUzpJTlRDLklRX1BSSUNFX1NBTEVTLjIwMDAuNi8xNi8yMDE3AQAAAIdSAAACAAAACDIuNzUzNzkyAQcAAAAFAAAAATEBAAAACjE4MzgzNjAxMzIDAAAAATACAAAABTM4OTU4BAAAAAEwBwAAAAk2LzE2LzIwMTcIAAAACTYvMTYvMjAxN0sRVbmTc9UI+xlPSZdz1QgiQ0lRLl5TUFguSVFfTEFTVFNBTEVQUklDRS42LzUvMjAxMwEAAACbuCgAAgAAABAxNjA4Ljg5ODY2NzAyNTQ1AFs/sLuTc9UIe3w9S5dz1QgsQ0lRLl5TUFguSVFfVEVWX1RPVEFMX1JFVl9GV0QuNjAwMC41LzE3LzIwMTcBAAAAm7goAAIAAAAIMi4yMDYxMTcA27ivvZNz1Qir/xFLl3PVCCNDSVEuXlNQWC5JUV9MQVNUU0FMRVBSSUNFLjcvMTUvMjAxNQEAAACbuCgAAgAAABAyMTA3LjQwMzA0NzUzMjE1AMuRr72Tc9UICzYwS5dz1QgvQ0lRLk5BU0RBUUdTOklOVEMuSVFfUEVfRVhDTF9GV0QuNjAwMC4yLzI1LzIwMTEBAAAAh1IAAAIAAAAPMTAuNzQyMTczMTAzMjg5AQ0AAAAFAAAAATkBAAAABzI2MjEyOTUCAAAABDE4ODYDAAAABjEwMDMwOQQAAAABMgYAAAABMAcAAAADMTYwCAAAAAEwCQAAAAExCgAAAAEwCwAAAAo1NzQ3ODkyNDc5DAAAAAIxMg0AAAAJMi8yNi8yMDExG8ayvZNz1QirGlhJl3PVCDdDSVEuTkFTREFRR1M6SU5UQy5JUV9URVZfRUJJVERBX0ZXRF9DSVEuNjAwMC4xMi8yMi8y</t>
  </si>
  <si>
    <t>MDE3AQAAAIdSAAACAAAAEDguNjE3NTg4OTI1MTg3MjEBDQAAAAUAAAABOQEAAAAHMjYyMTI5NQIAAAAIMjc1MDAxNzQDAAAABjEwMDMwOAQAAAABMgYAAAABMAcAAAADMTYwCAAAAAEwCQAAAAExCgAAAAEwCwAAAAsxMDY1OTMyNjc1MgwAAAACMTINAAAACjEyLzIzLzIwMTc7K1O7k3PVCNvDjK6Xc9UIN0NJUS5OQVNEQVFHUzpJTlRDLklRX1RFVl9FQklUREFfRldEX0NJUS42MDAwLjExLzIyLzIwMDIBAAAAh1IAAAIAAAAPMTIuNTQ3OTkxOTMxMjMzAQ0AAAAFAAAAATkBAAAABzI2MjEyOTUCAAAABzE3NTcxNDADAAAABjEwMDMwOAQAAAABMgYAAAABMAcAAAADMTYwCAAAAAEwCQAAAAExCgAAAAEwCwAAAAoxMTY5MTI2NTYwDAAAAAIxMg0AAAAKMTEvMjMvMjAwMkvDVbuTc9UIC6qPrpdz1Qg2Q0lRLk5hc2RhcUdTOklOVEMuSVFfVEVWX1RPVEFMX1JFVl9GV0QuNjAwMC4xMi8zMS8yMDA0AQAAAIdSAAACAAAAEDMuNjcwODY5NDU5ODMxMDUBDQAAAAUAAAABOQEAAAAHMjYyMTI5NQIAAAAHMTc1NzE0NgMAAAAGMTAwMzA3BAAAAAEyBgAAAAEwBwAAAAMxNjAIAAAAATAJAAAAATEKAAAAATALAAAACjExNjkxMjkzNTAMAAAAAjEyDQAAAAgxLzEvMjAwNav7VbmTc9UIi1tVSZdz1Qg2Q0lRLk5hc2RhcUdTOklOVEMuSVFfVEVWX0VCSVREQV9GV0RfQ0lRLjYwMDAuOC8xNi8yMDAyAQAAAIdSAAACAAAAEDEw</t>
  </si>
  <si>
    <t>LjgyNjA1MDU4NTExMjMBDQAAAAUAAAABOQEAAAAHMjYyMTI5NQIAAAAHMTc1NzEzOQMAAAAGMTAwMzA4BAAAAAEyBgAAAAEwBwAAAAMxNjAIAAAAATAJAAAAATEKAAAAATALAAAACjExNjkxMjYwNDcMAAAAAjEyDQAAAAk4LzE3LzIwMDLbd7G7k3PVCEvVja6Xc9UINkNJUS5OQVNEQVFHUzpJTlRDLklRX1RFVl9FQklUREFfRldEX0NJUS42MDAwLjYvMjcvMjAwOAEAAACHUgAAAgAAABA3LjEzNzM0NzM2MzAzNDUxAQ0AAAAFAAAAATkBAAAABzI2MjEyOTUCAAAABzE3NTcxNTYDAAAABjEwMDMwOAQAAAABMgYAAAABMAcAAAADMTYwCAAAAAEwCQAAAAExCgAAAAEwCwAAAAo5MTExMDYzMTk3DAAAAAIxMg0AAAAJNi8yOC8yMDA469hUu5Nz1Qgb0Y+ul3PVCCNDSVEuXlNQWC5JUV9MQVNUU0FMRVBSSUNFLjgvMjQvMjAxNgEAAACbuCgAAgAAABAyMTc1LjQzNzAxMDUxMzY0AFs/sLuTc9UICwEkS5dz1Qg2Q0lRLk5BU0RBUUdTOklOVEMuSVFfVEVWX0VCSVREQV9GV0RfQ0lRLjYwMDAuNi8yMi8yMDEyAQAAAIdSAAACAAAADzQuOTM0OTk3NzYxOTgzNwENAAAABQAAAAE5AQAAAAcyNjIxMjk1AgAAAAcxNzU3MTY4AwAAAAYxMDAzMDgEAAAAATIGAAAAATAHAAAAAzE2MAgAAAABMAkAAAABMQoAAAABMAsAAAAKNjk1NTQxMjUxNwwAAAACMTINAAAACTYvMjMvMjAxMpsVVLuTc9UIe7uQrpdz1QgwQ0lRLk5BU0RB</t>
  </si>
  <si>
    <t>UUdTOklOVEMuSVFfUEVfRVhDTF9GV0QuNjAwMC4xMi8xNi8yMDExAQAAAIdSAAACAAAAEDkuODIxNTc5NTcwNDM4MDIBDQAAAAUAAAABOQEAAAAHMjYyMTI5NQIAAAAHMTc1NzE2NwMAAAAGMTAwMzA5BAAAAAEyBgAAAAEwBwAAAAMxNjAIAAAAATAJAAAAATEKAAAAATALAAAACjg4NjQzOTk0MTQMAAAAAjEyDQAAAAoxMi8xNy8yMDExG8ayvZNz1QgrHk1Jl3PVCCdDSVEuXlNQWC5JUV9QRV9FWENMX0ZXRC42MDAwLjEwLzIzLzIwMTMBAAAAm7goAAIAAAAJMTUuMTU0NzM4AOv+ubeTc9UIO+A8S5dz1QgiQ0lRLl5TUFguSVFfTEFTVFNBTEVQUklDRS4zLzgvMjAxNwEAAACbuCgAAgAAABAyMzYyLjk3Njk5NjM0Njg5ABvdUruTc9UIm7oWS5dz1QgvQ0lRLk5BU0RBUUdTOklOVEMuSVFfUEVfRVhDTF9GV0QuNjAwMC4zLzIwLzIwMTUBAAAAh1IAAAIAAAAQMTQuNDg1MDQzMDcxMTQzNwENAAAABQAAAAE5AQAAAAcyNjIxMjk1AgAAAAoxMDAwMDk0MDcxAwAAAAYxMDAzMDkEAAAAATIGAAAAATAHAAAAAzE2MAgAAAABMAkAAAABMQoAAAABMAsAAAAKODY2Nzc3NzYzMgwAAAACMTINAAAACTMvMjEvMjAxNYvXs72Tc9UIiz1aSZdz1Qg1Q0lRLk5hc2RhcUdTOklOVEMuSVFfVEVWX1RPVEFMX1JFVl9GV0QuNjAwMC40LzEyLzIwMDIBAAAAh1IAAAIAAAAPNi4yNjE1MDgxNTMxMDI2AQ0AAAAFAAAAATkBAAAABzI2</t>
  </si>
  <si>
    <t>MjEyOTUCAAAABDE4NzcDAAAABjEwMDMwNwQAAAABMgYAAAABMAcAAAADMTYwCAAAAAEwCQAAAAExCgAAAAEwCwAAAAkzNjA2NTQ2NDMMAAAAAjEyDQAAAAk0LzEzLzIwMDK7OWe5k3PVCFsEUEmXc9UINkNJUS5OYXNkYXFHUzpJTlRDLklRX1RFVl9FQklUREFfRldEX0NJUS42MDAwLjEwLzEvMjAxMAEAAACHUgAAAgAAABA0Ljc3MzY0ODc1MTQ1NTc0AQ0AAAAFAAAAATkBAAAABzI2MjEyOTUCAAAABzE3NTcxNjMDAAAABjEwMDMwOAQAAAABMgYAAAABMAcAAAADMTYwCAAAAAEwCQAAAAExCgAAAAEwCwAAAAo3MDczNzE4NzAxDAAAAAIxMg0AAAAJMTAvMi8yMDEw60lXu5Nz1Qgrh42ul3PVCC9DSVEuTkFTREFRR1M6SU5UQy5JUV9QUklDRV9TQUxFUy4yMDAwLjUvMTAvMjAxNwEAAACHUgAAAgAAAAcyLjgxNjM2AQcAAAAFAAAAATEBAAAACjE4MzgzNjAxMzIDAAAAATACAAAABTM4OTU4BAAAAAEwBwAAAAk1LzEwLzIwMTcIAAAACTUvMTAvMjAxN0sYsLuTc9UI65sSS5dz1QgvQ0lRLk5BU0RBUUdTOklOVEMuSVFfUEVfRVhDTF9GV0QuNjAwMC4zLzI0LzIwMTYBAAAAh1IAAAIAAAAQMTMuNTMzNjQ5NDU4MTAyMQENAAAABQAAAAE5AQAAAAcyNjIxMjk1AgAAAAoxMDAwOTE1NDAyAwAAAAYxMDAzMDkEAAAAATIGAAAAATAHAAAAAzE2MAgAAAABMAkAAAABMQoAAAABMAsAAAAKOTM2MjI1MTI2OQwAAAACMTIN</t>
  </si>
  <si>
    <t>AAAACTMvMjUvMjAxNqsltL2Tc9UIq6lVSZdz1QgsQ0lRLl5TUFguSVFfVEVWX1RPVEFMX1JFVl9GV0QuNjAwMC40LzI3LzIwMTYBAAAAm7goAAIAAAAIMi4wNDk2MDEAe4ZVuZNz1Qh79ClLl3PVCC9DSVEuTkFTREFRR1M6SU5UQy5JUV9QUklDRV9TQUxFUy4yMDAwLjMvMjYvMjAxNAEAAACHUgAAAgAAAAgyLjM5Mjg5NAEHAAAABQAAAAExAQAAAAoxNjU4MzQyNzgwAwAAAAEwAgAAAAUzODk1OAQAAAABMAcAAAAJMy8yNi8yMDE0CAAAAAkzLzI2LzIwMTS7aq+9k3PVCIsyO0uXc9UINUNJUS5OYXNkYXFHUzpJTlRDLklRX1RFVl9UT1RBTF9SRVZfRldELjYwMDAuMS8zMC8yMDA5AQAAAIdSAAACAAAAEDIuMDk2NDI1NTIxMTIyMzYBDQAAAAUAAAABOQEAAAAHMjYyMTI5NQIAAAAEMTg4NAMAAAAGMTAwMzA3BAAAAAEyBgAAAAEwBwAAAAMxNjAIAAAAATAJAAAAATEKAAAAATALAAAACTM2MDcxNTk2MwwAAAACMTINAAAACTEvMzEvMjAwObtMtL2Tc9UIexZaSZdz1QgeQ0lRLl5TUFguSVFfUFRCVi4yMDAwLjgvNi8yMDE0AQAAAJu4KAACAAAABzUuMTQxODgAa2awu5Nz1Qgr1zdLl3PVCCNDSVEuXlNQWC5JUV9MQVNUU0FMRVBSSUNFLjQvMjYvMjAxNwEAAACbuCgAAgAAABAyMzg3LjQ0NzkzMDg4NjMxABvdUruTc9UIm9gRS5dz1QgvQ0lRLk5BU0RBUUdTOklOVEMuSVFfUEVfRVhDTF9GV0QuNjAwMC42LzE5</t>
  </si>
  <si>
    <t>LzIwMTUBAAAAh1IAAAIAAAAQMTQuMjQ5NTMzNDU3NzQ0NgENAAAABQAAAAE5AQAAAAcyNjIxMjk1AgAAAAc4MDY4MjYwAwAAAAYxMDAzMDkEAAAAATIGAAAAATAHAAAAAzE2MAgAAAABMAkAAAABMQoAAAABMAsAAAAKODg4Mjk0MjAxMQwAAAACMTINAAAACTYvMjAvMjAxNetQsr2Tc9UIS6FZSZdz1QguQ0lRLk5BU0RBUUdTOklOVEMuSVFfUEVfRVhDTF9GV0QuNjAwMC45LzgvMjAxNwEAAACHUgAAAgAAABAxMS41NTcwMjk3ODc1MTM1AQ0AAAAFAAAAATkBAAAABzI2MjEyOTUCAAAACDI3NTAwMTczAwAAAAYxMDAzMDkEAAAAATIGAAAAATAHAAAAAzE2MAgAAAABMAkAAAABMQoAAAABMAsAAAALMTA0MzY4MDExOTcMAAAAAjEyDQAAAAg5LzkvMjAxN8sCsr2Tc9UIaw1VSZdz1QgvQ0lRLk5BU0RBUUdTOklOVEMuSVFfUEVfRVhDTF9GV0QuNjAwMC44LzIyLzIwMDMBAAAAh1IAAAIAAAAQMzAuMjQ4NDgxNTAxOTMyNgENAAAABQAAAAE5AQAAAAcyNjIxMjk1AgAAAAcxNzU3MTQyAwAAAAYxMDAzMDkEAAAAATIGAAAAATAHAAAAAzE2MAgAAAABMAkAAAABMQoAAAABMAsAAAAKMTE2OTE1NDY3MwwAAAACMTINAAAACTgvMjMvMjAwM5v+s72Tc9UIOwlXSZdz1QgvQ0lRLk5BU0RBUUdTOklOVEMuSVFfUFJJQ0VfU0FMRVMuMjAwMC4xMC80LzIwMTMBAAAAh1IAAAIAAAAIMi4xNjc2NTgBBwAAAAUAAAABMQEAAAAK</t>
  </si>
  <si>
    <t>MTYyODQzNjg0OQMAAAABMAIAAAAFMzg5NTgEAAAAATAHAAAACTEwLzQvMjAxMwgAAAAJMTAvNC8yMDEzu2qvvZNz1QjrtlhJl3PVCCdDSVEuTkFTREFRR1M6SU5UQy5JUV9QVEJWLjIwMDAuMy8yLzIwMTIBAAAAh1IAAAIAAAAINC40MjgyNjUBBwAAAAUAAAABMQEAAAAKMTUyMzQwMzg0OQMAAAABMAIAAAAGMTAwMDI5BAAAAAEwBwAAAAgzLzIvMjAxMggAAAAIMy8yLzIwMTL7jlK7k3PVCFtXV0mXc9UIH0NJUS5eU1BYLklRX1BUQlYuMjAwMC44LzI0LzIwMTYBAAAAm7goAAIAAAAINy40MjE5MTIAy5GvvZNz1QiLOSVLl3PVCC9DSVEuTkFTREFRR1M6SU5UQy5JUV9QRV9FWENMX0ZXRC42MDAwLjQvMjUvMjAwOAEAAACHUgAAAgAAABAxNi44MTgyNDk1ODk5ODA2AQ0AAAAFAAAAATkBAAAABzI2MjEyOTUCAAAABzE3NTcxNTYDAAAABjEwMDMwOQQAAAABMgYAAAABMAcAAAADMTYwCAAAAAEwCQAAAAExCgAAAAEwCwAAAAo4ODYzNTEwMDMzDAAAAAIxMg0AAAAJNC8yNi8yMDA4m/6zvZNz1Qgbu1ZJl3PVCDZDSVEuTmFzZGFxR1M6SU5UQy5JUV9URVZfVE9UQUxfUkVWX0ZXRC42MDAwLjExLzIxLzIwMTQBAAAAh1IAAAIAAAAQMi45NDE5NzkxMTQxNTEwMQENAAAABQAAAAE5AQAAAAcyNjIxMjk1AgAAAAc0NDU2NDI5AwAAAAYxMDAzMDcEAAAAATIGAAAAATAHAAAAAzE2MAgAAAABMAkAAAABMQoAAAABMAsA</t>
  </si>
  <si>
    <t>AAAKODg2NDQzNzc5MAwAAAACMTINAAAACjExLzIyLzIwMTSrrVa7k3PVCDt6WUmXc9UINkNJUS5OYXNkYXFHUzpJTlRDLklRX1RFVl9FQklUREFfRldEX0NJUS42MDAwLjMvMzEvMjAxNwEAAACHUgAAAgAAABA3LjI5NDA2Mjk2NDc3MTIzAQ0AAAAFAAAAATkBAAAABzI2MjEyOTUCAAAACjEwMDA5NDQzODcDAAAABjEwMDMwOAQAAAABMgYAAAABMAcAAAADMTYwCAAAAAEwCQAAAAExCgAAAAEwCwAAAAsxMDEyNDQxMzQ4NAwAAAACMTINAAAACDQvMS8yMDE32yJXu5Nz1Qgb0Y+ul3PVCCxDSVEuXlNQWC5JUV9URVZfVE9UQUxfUkVWX0ZXRC42MDAwLjQvMjkvMjAxNQEAAACbuCgAAgAAAAgyLjAzODQ2NgBrZrC7k3PVCMsKMkuXc9UIL0NJUS5OQVNEQVFHUzpJTlRDLklRX1BFX0VYQ0xfRldELjYwMDAuNS8xMS8yMDAxAQAAAIdSAAACAAAAEDQ5LjQ3NzU5ODcyNDk4NjcBDQAAAAUAAAABOQEAAAAHMjYyMTI5NQIAAAAHMzQyMTE2MAMAAAAGMTAwMzA5BAAAAAEyBgAAAAEwBwAAAAMxNjAIAAAAATAJAAAAATEKAAAAATALAAAACjExNjkxNzMxODcMAAAAAjEyDQAAAAk1LzEyLzIwMDGL17O9k3PVCCseTUmXc9UILENJUS5eU1BYLklRX1RFVl9UT1RBTF9SRVZfRldELjYwMDAuNy8yOS8yMDE1AQAAAJu4KAACAAAACDIuMDQyMTE4AGtfVbmTc9UIG10wS5dz1QguQ0lRLk5BU0RBUUdTOklOVEMuSVFfUEVfRVhD</t>
  </si>
  <si>
    <t>TF9GV0QuNjAwMC43LzIvMjAwNAEAAACHUgAAAgAAABAyMC40NTg0MzA0NTg0MzA1AQ0AAAAFAAAAATkBAAAABzI2MjEyOTUCAAAABzE3NTcxNDQDAAAABjEwMDMwOQQAAAABMgYAAAABMAcAAAADMTYwCAAAAAEwCQAAAAExCgAAAAEwCwAAAAo4ODY0MTAwNDI5DAAAAAIxMg0AAAAINy8zLzIwMDRribO9k3PVCEtOUkmXc9UIL0NJUS5OQVNEQVFHUzpJTlRDLklRX1BSSUNFX1NBTEVTLjIwMDAuNC8yMC8yMDE2AQAAAIdSAAACAAAACDIuNjkzNzI0AQcAAAAFAAAAATEBAAAACjE3ODYzNjk5NzQDAAAAATACAAAABTM4OTU4BAAAAAEwBwAAAAk0LzIwLzIwMTYIAAAACTQvMjAvMjAxNksYsLuTc9UIm0IqS5dz1QgvQ0lRLk5BU0RBUUdTOklOVEMuSVFfUFJJQ0VfU0FMRVMuMjAwMC41LzI0LzIwMTcBAAAAh1IAAAIAAAAIMi44MjQ5NjMBBwAAAAUAAAABMQEAAAAKMTgzODM2MDEzMgMAAAABMAIAAAAFMzg5NTgEAAAAATAHAAAACTUvMjQvMjAxNwgAAAAJNS8yNC8yMDE3y7C5t5Nz1QhLFRFLl3PVCB9DSVEuXlNQWC5JUV9QVEJWLjIwMDAuNS8xOC8yMDE2AQAAAJu4KAACAAAACDYuODYzNDYxAFs4VbmTc9UIW6YpS5dz1QgvQ0lRLk5BU0RBUUdTOklOVEMuSVFfUEVfRVhDTF9GV0QuNjAwMC42LzEwLzIwMTEBAAAAh1IAAAIAAAAQOS4zNzE4NDkzODQxMjMwOQENAAAABQAAAAE5AQAAAAcyNjIxMjk1AgAAAAcx</t>
  </si>
  <si>
    <t>NzU3MTY1AwAAAAYxMDAzMDkEAAAAATIGAAAAATAHAAAAAzE2MAgAAAABMAkAAAABMQoAAAABMAsAAAAKODg2MzM2MjUxMAwAAAACMTINAAAACTYvMTEvMjAxMRvGsr2Tc9UIW1dXSZdz1QgsQ0lRLk5BU0RBUUdTOklOVEMuSVFfTEFTVFNBTEVQUklDRS4xMC84LzIwMTQBAAAAh1IAAAIAAAAFMzQuMjcAWz+wu5Nz1Qi7xTZLl3PVCC5DSVEuTkFTREFRR1M6SU5UQy5JUV9QRV9FWENMX0ZXRC42MDAwLjQvNS8yMDEyAQAAAIdSAAACAAAAEDExLjA1MTE4MTEwMjM2MjIBDQAAAAUAAAABOQEAAAAHMjYyMTI5NQIAAAAEMTg4NwMAAAAGMTAwMzA5BAAAAAEyBgAAAAEwBwAAAAMxNjAIAAAAATAJAAAAATEKAAAAATALAAAACjc2MTYyMDE5ODQMAAAAAjEyDQAAAAg0LzYvMjAxMhvGsr2Tc9UIS05SSZdz1QgjQ0lRLl5TUFguSVFfTEFTVFNBTEVQUklDRS41LzI4LzIwMTQBAAAAm7goAAIAAAAQMTkwOS43ODE5MjQ3NzMxMgA76lS5k3PVCJvoOEuXc9UINkNJUS5OYXNkYXFHUzpJTlRDLklRX1RFVl9FQklUREFfRldEX0NJUS42MDAwLjUvMjMvMjAxNAEAAACHUgAAAgAAABA1LjY4MzQ1OTAxNDY2NTk2AQ0AAAAFAAAAATkBAAAABzI2MjEyOTUCAAAABzQ0NTY0MjcDAAAABjEwMDMwOAQAAAABMgYAAAABMAcAAAADMTYwCAAAAAEwCQAAAAExCgAAAAEwCwAAAAo4MTcwNzE1ODAxDAAAAAIxMg0AAAAJNS8yNC8yMDE0</t>
  </si>
  <si>
    <t>u9RWu5Nz1QgLOY2ul3PVCDVDSVEuTmFzZGFxR1M6SU5UQy5JUV9URVZfVE9UQUxfUkVWX0ZXRC42MDAwLjgvMjEvMjAxNQEAAACHUgAAAgAAABAyLjIwOTQ5NjEyMjgyMTc1AQ0AAAAFAAAAATkBAAAABzI2MjEyOTUCAAAABzgwNjgyNjEDAAAABjEwMDMwNwQAAAABMgYAAAABMAcAAAADMTYwCAAAAAEwCQAAAAExCgAAAAEwCwAAAAo4OTc3NzMwNTc5DAAAAAIxMg0AAAAJOC8yMi8yMDE123exu5Nz1QiLCE5Jl3PVCDZDSVEuTmFzZGFxR1M6SU5UQy5JUV9URVZfVE9UQUxfUkVWX0ZXRC42MDAwLjEwLzI4LzIwMTYBAAAAh1IAAAIAAAAQMi44NzM2ODU5MDMzOTMwNwENAAAABQAAAAE5AQAAAAcyNjIxMjk1AgAAAAgyNzAwMzY1MwMAAAAGMTAwMzA3BAAAAAEyBgAAAAEwBwAAAAMxNjAIAAAAATAJAAAAATEKAAAAATALAAAACjk4MTMzODExMzEMAAAAAjEyDQAAAAoxMC8yOS8yMDE2m9RVuZNz1Qj7ilFJl3PVCCxDSVEuXlNQWC5JUV9URVZfVE9UQUxfUkVWX0ZXRC42MDAwLjUvMjcvMjAxNQEAAACbuCgAAgAAAAgyLjA2OTA0NgDbuK+9k3PVCHtHMUuXc9UINUNJUS5OYXNkYXFHUzpJTlRDLklRX1RFVl9FQklUREFfRldEX0NJUS42MDAwLjUvOC8yMDE1AQAAAIdSAAACAAAAEDYuNTk1MzU4MTYyMjI0MDgBDQAAAAUAAAABOQEAAAAHMjYyMTI5NQIAAAAHODA2ODI2MAMAAAAGMTAwMzA4BAAAAAEyBgAAAAEw</t>
  </si>
  <si>
    <t>BwAAAAMxNjAIAAAAATAJAAAAATEKAAAAATALAAAACjg4ODY5MDI4MjYMAAAAAjEyDQAAAAg1LzkvMjAxNZv+s72Tc9UIG2CNrpdz1Qg0Q0lRLk5hc2RhcUdTOklOVEMuSVFfVEVWX1RPVEFMX1JFVl9GV0QuNjAwMC44LzcvMjAxNQEAAACHUgAAAgAAABAyLjQwMDI0MDI1MjExMjY2AQ0AAAAFAAAAATkBAAAABzI2MjEyOTUCAAAABzgwNjgyNjEDAAAABjEwMDMwNwQAAAABMgYAAAABMAcAAAADMTYwCAAAAAEwCQAAAAExCgAAAAEwCwAAAAo4OTQ2MTEzNzcxDAAAAAIxMg0AAAAIOC84LzIwMTWb/rO9k3PVCJugUEmXc9UINkNJUS5OQVNEQVFHUzpJTlRDLklRX1RFVl9FQklUREFfRldEX0NJUS42MDAwLjYvMjkvMjAwNwEAAACHUgAAAgAAABA5LjYxNjI2NzA1MzU5NDM5AQ0AAAAFAAAAATkBAAAABzI2MjEyOTUCAAAABzE3NTcxNTMDAAAABjEwMDMwOAQAAAABMgYAAAABMAcAAAADMTYwCAAAAAEwCQAAAAExCgAAAAEwCwAAAAoxMTY5MTM2ODMxDAAAAAIxMg0AAAAJNi8zMC8yMDA3+/9Uu5Nz1QgLqo+ul3PVCC9DSVEuTkFTREFRR1M6SU5UQy5JUV9QUklDRV9TQUxFUy4yMDAwLjQvMjIvMjAxNgEAAACHUgAAAgAAAAgyLjY2MzQxOQEHAAAABQAAAAExAQAAAAoxNzg2MzY5OTc0AwAAAAEwAgAAAAUzODk1OAQAAAABMAcAAAAJNC8yMi8yMDE2CAAAAAk0LzIyLzIwMTaLxGa5k3PVCKs4U0mXc9UILkNJUS5e</t>
  </si>
  <si>
    <t>U1BYLklRX1RFVl9FQklUREFfRldEX0NJUS42MDAwLjExLzExLzIwMTUBAAAAm7goAAIAAAAGOS43ODg1AHuNsLuTc9UIOzouS5dz1QgmQ0lRLl5TUFguSVFfUEVfRVhDTF9GV0QuNjAwMC4zLzExLzIwMTUBAAAAm7goAAIAAAAJMTcuMTg1Njk0AHuNsLuTc9UI61gyS5dz1Qg1Q0lRLk5hc2RhcUdTOklOVEMuSVFfVEVWX1RPVEFMX1JFVl9GV0QuNjAwMC44LzI0LzIwMDEBAAAAh1IAAAIAAAAQNi44MjA1ODgyMDg0NzE5OQENAAAABQAAAAE5AQAAAAcyNjIxMjk1AgAAAAczNDIxMTYxAwAAAAYxMDAzMDcEAAAAATIGAAAAATAHAAAAAzE2MAgAAAABMAkAAAABMQoAAAABMAsAAAAKMTE2OTE1MjQ1MAwAAAACMTINAAAACTgvMjUvMjAwMfuWvLeTc9UIS/tKSZdz1Qg2Q0lRLk5hc2RhcUdTOklOVEMuSVFfVEVWX1RPVEFMX1JFVl9GV0QuNjAwMC4xMi8yNC8yMDE1AQAAAIdSAAACAAAAEDIuODcxNzk0NzQ4NjkwNjgBDQAAAAUAAAABOQEAAAAHMjYyMTI5NQIAAAAHODA2ODI2MgMAAAAGMTAwMzA3BAAAAAEyBgAAAAEwBwAAAAMxNjAIAAAAATAJAAAAATEKAAAAATALAAAACjkxODI0MDU1NzEMAAAAAjEyDQAAAAoxMi8yNS8yMDE1m4ZWu5Nz1Qjr1FNJl3PVCC9DSVEuTkFTREFRR1M6SU5UQy5JUV9QRV9FWENMX0ZXRC42MDAwLjQvMzAvMjAxMAEAAACHUgAAAgAAABAxMi4wNTI3NzA0NDg1NDg4AQ0AAAAFAAAA</t>
  </si>
  <si>
    <t>ATkBAAAABzI2MjEyOTUCAAAABzE3NTcxNjIDAAAABjEwMDMwOQQAAAABMgYAAAABMAcAAAADMTYwCAAAAAEwCQAAAAExCgAAAAEwCwAAAAo4ODYzODQzODM2DAAAAAIxMg0AAAAINS8xLzIwMTCrJbS9k3PVCDsJV0mXc9UIL0NJUS5OYXNkYXFHUzpJTlRDLklRX1BFX0VYQ0xfRldELjYwMDAuMTEvOS8yMDA3AQAAAIdSAAACAAAAEDE3Ljc3MDA4NDA4MTExMzUBDQAAAAUAAAABOQEAAAAHMjYyMTI5NQIAAAAHMTc1NzE1NQMAAAAGMTAwMzA5BAAAAAEyBgAAAAEwBwAAAAMxNjAIAAAAATAJAAAAATEKAAAAATALAAAACjg4NjQ0ODUxMjUMAAAAAjEyDQAAAAoxMS8xMC8yMDA3u0y0vZNz1QirOFNJl3PVCC9DSVEuTkFTREFRR1M6SU5UQy5JUV9QUklDRV9TQUxFUy4yMDAwLjcvMTEvMjAxNAEAAACHUgAAAgAAAAgyLjk0MDI0OAEHAAAABQAAAAExAQAAAAoxNjczMzc5MzI3AwAAAAEwAgAAAAUzODk1OAQAAAABMAcAAAAJNy8xMS8yMDE0CAAAAAk3LzExLzIwMTRLGLC7k3PVCPuKUUmXc9UILUNJUS5eU1BYLklRX1RFVl9FQklUREFfRldEX0NJUS42MDAwLjcvMTYvMjAxNAEAAACbuCgAAgAAAAg5LjA2ODQzNQD7+Ii2k3PVCFtMOEuXc9UIKUNJUS5OQVNEQVFHUzpJTlRDLklRX1BUQlYuMjAwMC4xMi8yMS8yMDEyAQAAAIdSAAACAAAACDMuMDk1MDI2AQcAAAAFAAAAATEBAAAACjE1NzM4ODc3OTUDAAAAATAC</t>
  </si>
  <si>
    <t>AAAABjEwMDAyOQQAAAABMAcAAAAKMTIvMjEvMjAxMggAAAAKMTIvMjEvMjAxMls4VbmTc9UIq1ZOSZdz1QguQ0lRLk5BU0RBUUdTOklOVEMuSVFfUEVfRVhDTF9GV0QuNjAwMC42LzIvMjAxNwEAAACHUgAAAgAAABAxMi43MDc3NDI5MDYxMjY0AQ0AAAAFAAAAATkBAAAABzI2MjEyOTUCAAAACDI3NTAwMTcyAwAAAAYxMDAzMDkEAAAAATIGAAAAATAHAAAAAzE2MAgAAAABMAkAAAABMQoAAAABMAsAAAALMTAxNTc1MDk1MTEMAAAAAjEyDQAAAAg2LzMvMjAxN4vXs72Tc9UIiz1aSZdz1QglQ0lRLl5TUFguSVFfUEVfRVhDTF9GV0QuNjAwMC40LzIvMjAxNAEAAACbuCgAAgAAAAkxNi4wNjU2ODUA6/65t5Nz1QgL+jlLl3PVCCdDSVEuXlNQWC5JUV9QRV9FWENMX0ZXRC42MDAwLjEyLzE3LzIwMTQBAAAAm7goAAIAAAAJMTYuNDI3MjQ4AOv+ubeTc9UI+/A0S5dz1QgnQ0lRLk5BU0RBUUdTOklOVEMuSVFfUFRCVi4yMDAwLjkvNS8yMDE0AQAAAIdSAAACAAAABzMuOTQyMjcBBwAAAAUAAAABMQEAAAAKMTY4ODA4MDk5MgMAAAABMAIAAAAGMTAwMDI5BAAAAAEwBwAAAAg5LzUvMjAxNAgAAAAIOS81LzIwMTR7nWa5k3PVCPv7U0mXc9UINUNJUS5OYXNkYXFHUzpJTlRDLklRX1RFVl9UT1RBTF9SRVZfRldELjYwMDAuNS8xNy8yMDAyAQAAAIdSAAACAAAAEDYuNzk5Nzg5Njc3OTAyODYBDQAAAAUAAAABOQEAAAAH</t>
  </si>
  <si>
    <t>MjYyMTI5NQIAAAAHMTc1NzEzOAMAAAAGMTAwMzA3BAAAAAEyBgAAAAEwBwAAAAMxNjAIAAAAATAJAAAAATEKAAAAATALAAAACjExNjkxMjUzNzYMAAAAAjEyDQAAAAk1LzE4LzIwMDL7vla5k3PVCMuGU0mXc9UINENJUS5OYXNkYXFHUzpJTlRDLklRX1RFVl9UT1RBTF9SRVZfRldELjYwMDAuMy80LzIwMTEBAAAAh1IAAAIAAAAQMS45NzU4NTgyMTMxNzkyNQENAAAABQAAAAE5AQAAAAcyNjIxMjk1AgAAAAQxODg2AwAAAAYxMDAzMDcEAAAAATIGAAAAATAHAAAAAzE2MAgAAAABMAkAAAABMQoAAAABMAsAAAAKNTc0ODgxMjE5OQwAAAACMTINAAAACDMvNS8yMDExqyW0vZNz1QibL05Jl3PVCC5DSVEuTkFTREFRR1M6SU5UQy5JUV9QUklDRV9TQUxFUy4yMDAwLjQvMy8yMDEzAQAAAIdSAAACAAAACDEuOTcxNTc1AQcAAAAFAAAAATEBAAAACjE1ODgxNTc0NjMDAAAAATACAAAABTM4OTU4BAAAAAEwBwAAAAg0LzMvMjAxMwgAAAAINC8zLzIwMTN7nWa5k3PVCKvxPUuXc9UINUNJUS5OYXNkYXFHUzpJTlRDLklRX1RFVl9UT1RBTF9SRVZfRldELjYwMDAuNy8zMS8yMDA5AQAAAIdSAAACAAAAEDIuODM1MDQ5ODI4OTEzMDYBDQAAAAUAAAABOQEAAAAHMjYyMTI5NQIAAAAHMTc1NzE2MAMAAAAGMTAwMzA3BAAAAAEyBgAAAAEwBwAAAAMxNjAIAAAAATAJAAAAATEKAAAAATALAAAACjg4NTk4MDQxNDUMAAAAAjEy</t>
  </si>
  <si>
    <t>DQAAAAg4LzEvMjAwOfuWvLeTc9UI64FMSZdz1QgvQ0lRLk5BU0RBUUdTOklOVEMuSVFfUFJJQ0VfU0FMRVMuMjAwMC43LzE2LzIwMTABAAAAh1IAAAIAAAAIMi44Mzc3MTUBBwAAAAUAAAABMQEAAAAKMTM4NjcyMTA1MgMAAAABMAIAAAAFMzg5NTgEAAAAATAHAAAACTcvMTYvMjAxMAgAAAAJNy8xNi8yMDEwe51muZNz1Qi7X1NJl3PVCC5DSVEuTkFTREFRR1M6SU5UQy5JUV9QUklDRV9TQUxFUy4yMDAwLjcvMi8yMDE0AQAAAIdSAAACAAAACDIuOTE0ODQ0AQcAAAAFAAAAATEBAAAACjE2NzMzNzkzMjcDAAAAATACAAAABTM4OTU4BAAAAAEwBwAAAAg3LzIvMjAxNAgAAAAINy8yLzIwMTTLsLm3k3PVCGtzOEuXc9UINkNJUS5OYXNkYXFHUzpJTlRDLklRX1RFVl9FQklUREFfRldEX0NJUS42MDAwLjkvMjYvMjAxNAEAAACHUgAAAgAAABA2Ljc1MzYyNzM0MTE5MjUzAQ0AAAAFAAAAATkBAAAABzI2MjEyOTUCAAAABzQ0NTY0MjgDAAAABjEwMDMwOAQAAAABMgYAAAABMAcAAAADMTYwCAAAAAEwCQAAAAExCgAAAAEwCwAAAAo4MjUwNzUxOTYzDAAAAAIxMg0AAAAJOS8yNy8yMDE0i9ezvZNz1QgbYI2ul3PVCB9DSVEuXlNQWC5JUV9QVEJWLjIwMDAuMS8xNC8yMDE1AQAAAJu4KAACAAAACDUuNDc2NzQzAOtnUruTc9UI26I0S5dz1QguQ0lRLk5BU0RBUUdTOklOVEMuSVFfUEVfRVhDTF9GV0QuNjAwMC4xLzIv</t>
  </si>
  <si>
    <t>MjAxNQEAAACHUgAAAgAAAA8xNS4zNDc2MDAzNTQ1NjUBDQAAAAUAAAABOQEAAAAHMjYyMTI5NQIAAAAHNDQ1NjQyOQMAAAAGMTAwMzA5BAAAAAEyBgAAAAEwBwAAAAMxNjAIAAAAATAJAAAAATEKAAAAATALAAAACjg1MTkyNzY3NzAMAAAAAjEyDQAAAAgxLzMvMjAxNetQsr2Tc9UI261TSZdz1QgvQ0lRLk5BU0RBUUdTOklOVEMuSVFfUFJJQ0VfU0FMRVMuMjAwMC45LzI1LzIwMTUBAAAAh1IAAAIAAAAIMi40OTYzODcBBwAAAAUAAAABMQEAAAAKMTc0NzM1OTUxMgMAAAABMAIAAAAFMzg5NTgEAAAAATAHAAAACTkvMjUvMjAxNQgAAAAJOS8yNS8yMDE1e51muZNz1Qi7X1NJl3PVCDZDSVEuTmFzZGFxR1M6SU5UQy5JUV9URVZfVE9UQUxfUkVWX0ZXRC42MDAwLjExLzEyLzIwMDQBAAAAh1IAAAIAAAAQMy44OTE5ODU2MTAxODMyMgENAAAABQAAAAE5AQAAAAcyNjIxMjk1AgAAAAcxNzU3MTQ2AwAAAAYxMDAzMDcEAAAAATIGAAAAATAHAAAAAzE2MAgAAAABMAkAAAABMQoAAAABMAsAAAAKMTE2OTEyOTI5NwwAAAACMTINAAAACjExLzEzLzIwMDQL5la5k3PVCGsrUEmXc9UINkNJUS5OQVNEQVFHUzpJTlRDLklRX1RFVl9FQklUREFfRldEX0NJUS42MDAwLjcvMjAvMjAwMQEAAACHUgAAAgAAABAyMC44ODIxMzQxODYxNDk4AQ0AAAAFAAAAATkBAAAABzI2MjEyOTUCAAAABzM0MjExNjEDAAAABjEwMDMwOAQA</t>
  </si>
  <si>
    <t>AAABMgYAAAABMAcAAAADMTYwCAAAAAEwCQAAAAExCgAAAAEwCwAAAAoxMTY5MTUyNTI3DAAAAAIxMg0AAAAJNy8yMS8yMDAxaxFWu5Nz1QhL1Y2ul3PVCDVDSVEuTmFzZGFxR1M6SU5UQy5JUV9URVZfVE9UQUxfUkVWX0ZXRC42MDAwLjcvMjIvMjAwNQEAAACHUgAAAgAAABAzLjcxNzk1MjU2Nzc5NDMxAQ0AAAAFAAAAATkBAAAABzI2MjEyOTUCAAAABzE3NTcxNDgDAAAABjEwMDMwNwQAAAABMgYAAAABMAcAAAADMTYwCAAAAAEwCQAAAAExCgAAAAEwCwAAAAoxMTY5MTMwNzUxDAAAAAIxMg0AAAAJNy8yMy8yMDA1m/6zvZNz1QhLTlJJl3PVCChDSVEuTkFTREFRR1M6SU5UQy5JUV9QVEJWLjIwMDAuNC8xMy8yMDE3AQAAAIdSAAACAAAACDMuOTEwODc5AQcAAAAFAAAAATEBAAAACjE4MjgxNzQxMjIDAAAAATACAAAABjEwMDAyOQQAAAABMAcAAAAJNC8xMy8yMDE3CAAAAAk0LzEzLzIwMTe7aq+9k3PVCPvdWEmXc9UIKUNJUS5OQVNEQVFHUzpJTlRDLklRX1BUQlYuMjAwMC4xMS8yNS8yMDExAQAAAIdSAAACAAAACDMuODA5OTIxAQcAAAAFAAAAATEBAAAACjE0ODAyMTUzODEDAAAAATACAAAABjEwMDAyOQQAAAABMAcAAAAKMTEvMjUvMjAxMQgAAAAKMTEvMjUvMjAxMbtqr72Tc9UIGyxZSZdz1QgsQ0lRLl5TUFguSVFfVEVWX1RPVEFMX1JFVl9GV0QuNjAwMC45LzIwLzIwMTcBAAAAm7goAAIAAAAIMi4y</t>
  </si>
  <si>
    <t>NTQwMDUAG91Su5Nz1Qhb0vhKl3PVCCxDSVEuXlNQWC5JUV9URVZfVE9UQUxfUkVWX0ZXRC42MDAwLjUvMTgvMjAxNgEAAACbuCgAAgAAAAgyLjAxNTM3NQCb62a5k3PVCFumKUuXc9UINENJUS5OYXNkYXFHUzpJTlRDLklRX1RFVl9UT1RBTF9SRVZfRldELjYwMDAuMi80LzIwMTEBAAAAh1IAAAIAAAAQMi4wMzEyOTg5MDg1MDAyNgENAAAABQAAAAE5AQAAAAcyNjIxMjk1AgAAAAQxODg2AwAAAAYxMDAzMDcEAAAAATIGAAAAATAHAAAAAzE2MAgAAAABMAkAAAABMQoAAAABMAsAAAAKNTc0ODgxMjE5MgwAAAACMTINAAAACDIvNS8yMDExK0touZNz1QjbWkxJl3PVCDZDSVEuTmFzZGFxR1M6SU5UQy5JUV9URVZfVE9UQUxfUkVWX0ZXRC42MDAwLjEwLzEwLzIwMDgBAAAAh1IAAAIAAAAQMS44NTA3MjQwMTIxNzQ5OAENAAAABQAAAAE5AQAAAAcyNjIxMjk1AgAAAAcxNzU3MTU3AwAAAAYxMDAzMDcEAAAAATIGAAAAATAHAAAAAzE2MAgAAAABMAkAAAABMQoAAAABMAsAAAAKODg2MjAyOTM2OAwAAAACMTINAAAACjEwLzExLzIwMDj7vla5k3PVCKs4U0mXc9UIL0NJUS5OQVNEQVFHUzpJTlRDLklRX1BFX0VYQ0xfRldELjYwMDAuMTEvMS8yMDEzAQAAAIdSAAACAAAAEDEyLjg5Mjg4MTc1MTIwNTgBDQAAAAUAAAABOQEAAAAHMjYyMTI5NQIAAAAHMzgyOTc1MwMAAAAGMTAwMzA5BAAAAAEyBgAAAAEwBwAAAAMx</t>
  </si>
  <si>
    <t>NjAIAAAAATAJAAAAATEKAAAAATALAAAACjcwMzMyNzQyMjAMAAAAAjEyDQAAAAkxMS8yLzIwMTP7d7K9k3PVCBtoT0mXc9UILENJUS5OQVNEQVFHUzpJTlRDLklRX0xBU1RTQUxFUFJJQ0UuNC8yMC8yMDE2AQAAAIdSAAACAAAAAjMyAMuRr72Tc9UIm0IqS5dz1QglQ0lRLl5TUFguSVFfUEVfRVhDTF9GV0QuNjAwMC4yLzUvMjAxNAEAAACbuCgAAgAAAAkxNC44ODQ2MDEAa2awu5Nz1Qi7pztLl3PVCCxDSVEuTkFTREFRR1M6SU5UQy5JUV9MQVNUU0FMRVBSSUNFLjMvMjcvMjAxMwEAAACHUgAAAgAAAAUyMS44MwBLKGa5k3PVCLsYPkuXc9UINkNJUS5OYXNkYXFHUzpJTlRDLklRX1RFVl9FQklUREFfRldEX0NJUS42MDAwLjgvMTIvMjAxNgEAAACHUgAAAgAAABA3LjQ1NzA1OTUxOTYzNTA3AQ0AAAAFAAAAATkBAAAABzI2MjEyOTUCAAAACDI3MDAzNjUyAwAAAAYxMDAzMDgEAAAAATIGAAAAATAHAAAAAzE2MAgAAAABMAkAAAABMQoAAAABMAsAAAAKOTY3NTczMzYwMgwAAAACMTINAAAACTgvMTMvMjAxNrvUVruTc9UI2zSPrpdz1Qg1Q0lRLk5hc2RhcUdTOklOVEMuSVFfVEVWX1RPVEFMX1JFVl9GV0QuNjAwMC4xMi8yLzIwMTYBAAAAh1IAAAIAAAAQMi44MzQ2NDQwMzc4NDI5MQENAAAABQAAAAE5AQAAAAcyNjIxMjk1AgAAAAgyNzAwMzY1MwMAAAAGMTAwMzA3BAAAAAEyBgAAAAEwBwAAAAMxNjAIAAAA</t>
  </si>
  <si>
    <t>ATAJAAAAATEKAAAAATALAAAACjk4NjI4MDIwODIMAAAAAjEyDQAAAAkxMi8zLzIwMTZ7OFa7k3PVCKvlS0mXc9UINENJUS5OYXNkYXFHUzpJTlRDLklRX1RFVl9UT1RBTF9SRVZfRldELjYwMDAuMi8zLzIwMTcBAAAAh1IAAAIAAAAQMy4wMjk2Mjc0ODk5OTM4NQENAAAABQAAAAE5AQAAAAcyNjIxMjk1AgAAAAoxMDAwOTQ0Mzg3AwAAAAYxMDAzMDcEAAAAATIGAAAAATAHAAAAAzE2MAgAAAABMAkAAAABMQoAAAABMAsAAAAKOTk3NjQzNzcwOAwAAAACMTINAAAACDIvNC8yMDE32yJXu5Nz1Qgb90xJl3PVCC5DSVEuTkFTREFRR1M6SU5UQy5JUV9QUklDRV9TQUxFUy4yMDAwLjMvNS8yMDEwAQAAAIdSAAACAAAACDMuMjg4OTI0AQcAAAAFAAAAATEBAAAACjEzMjg4ODg3MDQDAAAAATACAAAABTM4OTU4BAAAAAEwBwAAAAgzLzUvMjAxMAgAAAAIMy81LzIwMTBbOFW5k3PVCKtWTkmXc9UILUNJUS5eU1BYLklRX1RFVl9UT1RBTF9SRVZfRldELjYwMDAuMTEvMjYvMjAxNAEAAACbuCgAAgAAAAgxLjk2MTk0NQDbuK+9k3PVCHspNkuXc9UINUNJUS5OYXNkYXFHUzpJTlRDLklRX1RFVl9UT1RBTF9SRVZfRldELjYwMDAuMi8xNy8yMDE3AQAAAIdSAAACAAAAEDMuMDEwNTg5OTIxMTAyODIBDQAAAAUAAAABOQEAAAAHMjYyMTI5NQIAAAAKMTAwMDk0NDM4NwMAAAAGMTAwMzA3BAAAAAEyBgAAAAEwBwAAAAMxNjAI</t>
  </si>
  <si>
    <t>AAAAATAJAAAAATEKAAAAATALAAAACjk5OTg3OTIxNzUMAAAAAjEyDQAAAAkyLzE4LzIwMTeLX1a7k3PVCPtsVkmXc9UIL0NJUS5OQVNEQVFHUzpJTlRDLklRX1BSSUNFX1NBTEVTLjIwMDAuOC8zMS8yMDE2AQAAAIdSAAACAAAACDIuOTk4MjI5AQcAAAAFAAAAATEBAAAACjE4MDEyOTQ1MDEDAAAAATACAAAABTM4OTU4BAAAAAEwBwAAAAk4LzMxLzIwMTYIAAAACTgvMzEvMjAxNvuOUruTc9UIW8QkS5dz1QgvQ0lRLk5BU0RBUUdTOklOVEMuSVFfUEVfRVhDTF9GV0QuNjAwMC4xMi80LzIwMDkBAAAAh1IAAAIAAAAQMTMuODc3NzcyNTAyMjA0NAENAAAABQAAAAE5AQAAAAcyNjIxMjk1AgAAAAcxNzU3MTYxAwAAAAYxMDAzMDkEAAAAATIGAAAAATAHAAAAAzE2MAgAAAABMAkAAAABMQoAAAABMAsAAAAKODg2MzEyMzczNwwAAAACMTINAAAACTEyLzUvMjAwOSvtsr2Tc9UIG9lRSZdz1QgsQ0lRLk5BU0RBUUdTOklOVEMuSVFfTEFTVFNBTEVQUklDRS4xMi82LzIwMTcBAAAAh1IAAAIAAAAFNDMuNDUAG91Su5Nz1QjrqeZKl3PVCDRDSVEuTmFzZGFxR1M6SU5UQy5JUV9URVZfVE9UQUxfUkVWX0ZXRC42MDAwLjUvOS8yMDA4AQAAAIdSAAACAAAAEDMuMDI2NjI1MzkzODU5MDMBDQAAAAUAAAABOQEAAAAHMjYyMTI5NQIAAAAHMTc1NzE1NgMAAAAGMTAwMzA3BAAAAAEyBgAAAAEwBwAAAAMxNjAIAAAAATAJAAAA</t>
  </si>
  <si>
    <t>ATEKAAAAATALAAAACjg4NjM1MTA2MjAMAAAAAjEyDQAAAAk1LzEwLzIwMDjbh2e5k3PVCNs8UUmXc9UIKENJUS5OQVNEQVFHUzpJTlRDLklRX1JFVkVOVUVfRVNULkZRMjIwMTgBAAAAh1IAAAIAAAALMTU1MzAuOTY2ODEBDgAAAAUAAAABMwEAAAABMAIAAAAKMTAwMTUyODUyNAMAAAAGMTAwMTgwBAAAAAEyBgAAAAEwBwAAAAMxNjAIAAAAATAJAAAAATEKAAAAATALAAAACzEwNzM3Mjk0NTI0DAAAAAEyDQAAAAkyLzE1LzIwMTgQAAAACTIvMTQvMjAxONu4r72Tc9UIe5Q/Spdz1QgsQ0lRLl5TUFguSVFfVEVWX0VCSVREQV9GV0RfQ0lRLjYwMDAuNS8zLzIwMTcBAAAAm7goAAIAAAAJMTAuMjQzMTY2AKsSZ7mTc9UIS4YTS5dz1QgwQ0lRLk5BU0RBUUdTOklOVEMuSVFfUFJJQ0VfU0FMRVMuMjAwMC4xMC8xMi8yMDE2AQAAAIdSAAACAAAACDMuMTAxODE4AQcAAAAFAAAAATEBAAAACjE4MDEyOTQ1MDEDAAAAATACAAAABTM4OTU4BAAAAAEwBwAAAAoxMC8xMi8yMDE2CAAAAAoxMC8xMi8yMDE2+45Su5Nz1QhLLCJLl3PVCDdDSVEuTmFzZGFxR1M6SU5UQy5JUV9URVZfRUJJVERBX0ZXRF9DSVEuNjAwMC4xMS8xMi8yMDEwAQAAAIdSAAACAAAAEDUuMDg0MDU2NjcwNjM3ODYBDQAAAAUAAAABOQEAAAAHMjYyMTI5NQIAAAAHMTc1NzE2NAMAAAAGMTAwMzA4BAAAAAEyBgAAAAEwBwAAAAMxNjAIAAAAATAJAAAA</t>
  </si>
  <si>
    <t>ATEKAAAAATALAAAACjcwNzM3MjIwNzMMAAAAAjEyDQAAAAoxMS8xMy8yMDEwu0y0vZNz1QgLqo+ul3PVCC9DSVEuTmFzZGFxR1M6SU5UQy5JUV9QRV9FWENMX0ZXRC42MDAwLjUvMTIvMjAxNwEAAACHUgAAAgAAABAxMi40MzEzMzU1MDI2MDY2AQ0AAAAFAAAAATkBAAAABzI2MjEyOTUCAAAACDI3NTAwMTcyAwAAAAYxMDAzMDkEAAAAATIGAAAAATAHAAAAAzE2MAgAAAABMAkAAAABMQoAAAABMAsAAAALMTAxNTc1MDk1MTEMAAAAAjEyDQAAAAk1LzEzLzIwMTeb/rO9k3PVCCviVkmXc9UIL0NJUS5OQVNEQVFHUzpJTlRDLklRX1BSSUNFX1NBTEVTLjIwMDAuOS8xMy8yMDE3AQAAAIdSAAACAAAACDIuNzgyMjUyAQcAAAAFAAAAATEBAAAACjE4NTA2MTg2NjQDAAAAATACAAAABTM4OTU4BAAAAAEwBwAAAAk5LzEzLzIwMTcIAAAACTkvMTMvMjAxN0sRVbmTc9UIC4D6Spdz1Qg2Q0lRLk5BU0RBUUdTOklOVEMuSVFfVEVWX0VCSVREQV9GV0RfQ0lRLjYwMDAuOS8yNC8yMDA0AQAAAIdSAAACAAAAEDcuMTk5MzY0NzcwNjI0MjIBDQAAAAUAAAABOQEAAAAHMjYyMTI5NQIAAAAHMTc1NzE0NQMAAAAGMTAwMzA4BAAAAAEyBgAAAAEwBwAAAAMxNjAIAAAAATAJAAAAATEKAAAAATALAAAACjExNjkxMjkxNDIMAAAAAjEyDQAAAAk5LzI1LzIwMDQrdVW7k3PVCAuqj66Xc9UIL0NJUS5OQVNEQVFHUzpJTlRDLklRX1BF</t>
  </si>
  <si>
    <t>X0VYQ0xfRldELjYwMDAuMy8xNC8yMDE0AQAAAIdSAAACAAAADzEzLjI3MzQ0OTMwODk2OAENAAAABQAAAAE5AQAAAAcyNjIxMjk1AgAAAAc0NDU2NDIxAwAAAAYxMDAzMDkEAAAAATIGAAAAATAHAAAAAzE2MAgAAAABMAkAAAABMQoAAAABMAsAAAAKNjUyODk3OTU5OQwAAAACMTINAAAACTMvMTUvMjAxNPt3sr2Tc9UIC0FPSZdz1QgsQ0lRLl5TUFguSVFfVEVWX0VCSVREQV9GV0RfQ0lRLjYwMDAuMi8xLzIwMTcBAAAAm7goAAIAAAAIOS45ODI0ODMAKwRTu5Nz1QgrixpLl3PVCCdDSVEuTkFTREFRR1M6SU5UQy5JUV9QVEJWLjIwMDAuMy80LzIwMTYBAAAAh1IAAAIAAAAIMy4xNTg1OTMBBwAAAAUAAAABMQEAAAAKMTc3NTkzMzE0MAMAAAABMAIAAAAGMTAwMDI5BAAAAAEwBwAAAAgzLzQvMjAxNggAAAAIMy80LzIwMTa7aq+9k3PVCOu2WEmXc9UIL0NJUS5OQVNEQVFHUzpJTlRDLklRX1BFX0VYQ0xfRldELjYwMDAuNC8xMS8yMDA4AQAAAIdSAAACAAAAEDE2LjY1ODgyMzUyOTQxMTgBDQAAAAUAAAABOQEAAAAHMjYyMTI5NQIAAAAEMTg4MwMAAAAGMTAwMzA5BAAAAAEyBgAAAAEwBwAAAAMxNjAIAAAAATAJAAAAATEKAAAAATALAAAABzE1MzMzMjYMAAAAAjEyDQAAAAk0LzEyLzIwMDhLO7O9k3PVCKs4U0mXc9UILkNJUS5OQVNEQVFHUzpJTlRDLklRX1BFX0VYQ0xfRldELjYwMDAuNS81LzIwMDYBAAAA</t>
  </si>
  <si>
    <t>h1IAAAIAAAAQMjAuNjgwNTE3Mjc3OTMwOQENAAAABQAAAAE5AQAAAAcyNjIxMjk1AgAAAAcxNzU3MTUwAwAAAAYxMDAzMDkEAAAAATIGAAAAATAHAAAAAzE2MAgAAAABMAkAAAABMQoAAAABMAsAAAAKODg2MjkxNTkzNwwAAAACMTINAAAACDUvNi8yMDA2W2KzvZNz1Qgbu1ZJl3PVCCdDSVEuTkFTREFRR1M6SU5UQy5JUV9QVEJWLjIwMDAuNC81LzIwMTMBAAAAh1IAAAIAAAAHMi45MzYyOAEHAAAABQAAAAExAQAAAAoxNTg4MTU3NDYzAwAAAAEwAgAAAAYxMDAwMjkEAAAAATAHAAAACDQvNS8yMDEzCAAAAAg0LzUvMjAxMwu2UruTc9UI60VWSZdz1Qg1Q0lRLk5hc2RhcUdTOklOVEMuSVFfVEVWX1RPVEFMX1JFVl9GV0QuNjAwMC42LzIwLzIwMDgBAAAAh1IAAAIAAAAQMi44ODk0ODc0MjIyNjY0OAENAAAABQAAAAE5AQAAAAcyNjIxMjk1AgAAAAcxNzU3MTU2AwAAAAYxMDAzMDcEAAAAATIGAAAAATAHAAAAAzE2MAgAAAABMAkAAAABMQoAAAABMAsAAAAKODg2MzUxMTc5NwwAAAACMTINAAAACTYvMjEvMjAwOMv7VruTc9UICwVZSZdz1QgvQ0lRLk5BU0RBUUdTOklOVEMuSVFfUFJJQ0VfU0FMRVMuMjAwMC4zLzEyLzIwMTQBAAAAh1IAAAIAAAAIMi4zMzQ2OTYBBwAAAAUAAAABMQEAAAAKMTY1ODM0Mjc4MAMAAAABMAIAAAAFMzg5NTgEAAAAATAHAAAACTMvMTIvMjAxNAgAAAAJMy8xMi8yMDE029e5t5Nz</t>
  </si>
  <si>
    <t>1QirgDtLl3PVCChDSVEuTkFTREFRR1M6SU5UQy5JUV9QVEJWLjIwMDAuNi8yMy8yMDE3AQAAAIdSAAACAAAACDMuNjkzNjkzAQcAAAAFAAAAATEBAAAACjE4MzgzNjAxMzIDAAAAATACAAAABjEwMDAyOQQAAAABMAcAAAAJNi8yMy8yMDE3CAAAAAk2LzIzLzIwMTdLEVW5k3PVCPsZT0mXc9UIL0NJUS5OQVNEQVFHUzpJTlRDLklRX1BFX0VYQ0xfRldELjYwMDAuMS8xOS8yMDA3AQAAAIdSAAACAAAAEDE5LjExNTk5OTc3OTY0MjcBDQAAAAUAAAABOQEAAAAHMjYyMTI5NQIAAAAEMTg4MgMAAAAGMTAwMzA5BAAAAAEyBgAAAAEwBwAAAAMxNjAIAAAAATAJAAAAATEKAAAAATALAAAACzEwMzc4NTIyODUyDAAAAAIxMg0AAAAJMS8yMC8yMDA3m/6zvZNz1Qi70FVJl3PVCCZDSVEuXlNQWC5JUV9QRV9FWENMX0ZXRC42MDAwLjEvMTAvMjAxOAEAAACbuCgAAgAAAAkxOS4wODI0NzYA27ivvZNz1Qg7nk1Kl3PVCDVDSVEuTmFzZGFxR1M6SU5UQy5JUV9URVZfVE9UQUxfUkVWX0ZXRC42MDAwLjIvMTAvMjAxMgEAAACHUgAAAgAAABAyLjI3MjcwNzYxNzY0MDIxAQ0AAAAFAAAAATkBAAAABzI2MjEyOTUCAAAABDE4ODcDAAAABjEwMDMwNwQAAAABMgYAAAABMAcAAAADMTYwCAAAAAEwCQAAAAExCgAAAAEwCwAAAAo1NzQ4ODI3NjM1DAAAAAIxMg0AAAAJMi8xMS8yMDEyqwKxu5Nz1QhrnFJJl3PVCB9DSVEuXlNQWC5J</t>
  </si>
  <si>
    <t>UV9QVEJWLjIwMDAuMi8xNC8yMDE4AQAAAJu4KAACAAAACDkuMTQyNjIzAIvEZrmTc9UIaz3KSZdz1Qg2Q0lRLk5BU0RBUUdTOklOVEMuSVFfVEVWX0VCSVREQV9GV0RfQ0lRLjYwMDAuNy8yNi8yMDEzAQAAAIdSAAACAAAAEDUuMTYyNTkyMDkxNjQ2NjcBDQAAAAUAAAABOQEAAAAHMjYyMTI5NQIAAAAHMzgyOTc1MgMAAAAGMTAwMzA4BAAAAAEyBgAAAAEwBwAAAAMxNjAIAAAAATAJAAAAATEKAAAAATALAAAACjc2MTY2MzcyMzMMAAAAAjEyDQAAAAk3LzI3LzIwMTOL7lO7k3PVCPuCj66Xc9UILUNJUS5OQVNEQVFHUzpJTlRDLklRX0xBU1RTQUxFUFJJQ0UuMTAvMjIvMjAxNAEAAACHUgAAAgAAAAUzMi4yNwAb3VK7k3PVCJt3NkuXc9UIL0NJUS5OQVNEQVFHUzpJTlRDLklRX1BSSUNFX1NBTEVTLjIwMDAuNi8yMi8yMDE2AQAAAIdSAAACAAAACDIuNzE4MTM1AQcAAAAFAAAAATEBAAAACjE3ODkxOTMzNDMDAAAAATACAAAABTM4OTU4BAAAAAEwBwAAAAk2LzIyLzIwMTYIAAAACTYvMjIvMjAxNksRVbmTc9UIKzEpS5dz1Qg0Q0lRLk5hc2RhcUdTOklOVEMuSVFfVEVWX1RPVEFMX1JFVl9GV0QuNjAwMC45LzUvMjAwOAEAAACHUgAAAgAAAA8yLjU0NTkxMjI0MzI4NzMBDQAAAAUAAAABOQEAAAAHMjYyMTI5NQIAAAAHMTc1NzE1NwMAAAAGMTAwMzA3BAAAAAEyBgAAAAEwBwAAAAMxNjAIAAAAATAJAAAAATEK</t>
  </si>
  <si>
    <t>AAAAATALAAAACjg4NjIwMjg4NzYMAAAAAjEyDQAAAAg5LzYvMjAwOLvUVruTc9UIi8xXSZdz1QgtQ0lRLl5TUFguSVFfVEVWX0VCSVREQV9GV0RfQ0lRLjYwMDAuMi8xOC8yMDE1AQAAAJu4KAACAAAACTEwLjA3MDc4NADr/rm3k3PVCHu4M0uXc9UINUNJUS5OYXNkYXFHUzpJTlRDLklRX1RFVl9FQklUREFfRldEX0NJUS42MDAwLjYvNy8yMDEzAQAAAIdSAAACAAAAEDUuNDgwOTc0NzM2MDQ5MTYBDQAAAAUAAAABOQEAAAAHMjYyMTI5NQIAAAAHMzgyOTc1MQMAAAAGMTAwMzA4BAAAAAEyBgAAAAEwBwAAAAMxNjAIAAAAATAJAAAAATEKAAAAATALAAAACjgyNDk1Mzc4OTAMAAAAAjEyDQAAAAg2LzgvMjAxM/vFsbuTc9UI2zSPrpdz1QgvQ0lRLk5BU0RBUUdTOklOVEMuSVFfUEVfRVhDTF9GV0QuNjAwMC4xMS82LzIwMTUBAAAAh1IAAAIAAAAOMTQuNjcwMzA4MjMyNTQBDQAAAAUAAAABOQEAAAAHMjYyMTI5NQIAAAAHODA2ODI2MgMAAAAGMTAwMzA5BAAAAAEyBgAAAAEwBwAAAAMxNjAIAAAAATAJAAAAATEKAAAAATALAAAACjkxMTk0MDU3OTIMAAAAAjEyDQAAAAkxMS83LzIwMTXrULK9k3PVCLt9TkmXc9UINkNJUS5OQVNEQVFHUzpJTlRDLklRX1RFVl9FQklUREFfRldEX0NJUS42MDAwLjEyLzEvMjAwNgEAAACHUgAAAgAAABA5LjAxMTQ0NTE3MDY0ODc2AQ0AAAAFAAAAATkBAAAABzI2MjEyOTUCAAAA</t>
  </si>
  <si>
    <t>BzE3NTcxNTIDAAAABjEwMDMwOAQAAAABMgYAAAABMAcAAAADMTYwCAAAAAEwCQAAAAExCgAAAAEwCwAAAAo2ODMxNDQwNjE3DAAAAAIxMg0AAAAJMTIvMi8yMDA2CydVu5Nz1Qg7ro2ul3PVCDVDSVEuTmFzZGFxR1M6SU5UQy5JUV9URVZfVE9UQUxfUkVWX0ZXRC42MDAwLjkvMjMvMjAwNQEAAACHUgAAAgAAABAzLjMxMzQ3NzMwODM2NDU1AQ0AAAAFAAAAATkBAAAABzI2MjEyOTUCAAAABzE3NTcxNDgDAAAABjEwMDMwNwQAAAABMgYAAAABMAcAAAADMTYwCAAAAAEwCQAAAAExCgAAAAEwCwAAAAo2NzI2ODU0MzQ0DAAAAAIxMg0AAAAJOS8yNC8yMDA1q/tVuZNz1QgLslFJl3PVCCZDSVEuXlNQWC5JUV9QRV9FWENMX0ZXRC42MDAwLjEyLzYvMjAxNwEAAACbuCgAAgAAAAkxOC43MjI0NTQA6/65t5Nz1QjbrrVKl3PVCCZDSVEuXlNQWC5JUV9QRV9FWENMX0ZXRC42MDAwLjUvMjcvMjAxNQEAAACbuCgAAgAAAAkxNy41NjM5NDcAKwRTu5Nz1QhL0jBLl3PVCC9DSVEuTkFTREFRR1M6SU5UQy5JUV9QRV9FWENMX0ZXRC42MDAwLjEvMTEvMjAxMwEAAACHUgAAAgAAABAxMS4yMzkzOTkyMDMwMjQ0AQ0AAAAFAAAAATkBAAAABzI2MjEyOTUCAAAABzE3NTcxNzADAAAABjEwMDMwOQQAAAABMgYAAAABMAcAAAADMTYwCAAAAAEwCQAAAAExCgAAAAEwCwAAAAo4ODYzNDM0NjMxDAAAAAIxMg0AAAAJMS8xMi8yMDEz</t>
  </si>
  <si>
    <t>C5+yvZNz1QiLW1VJl3PVCC9DSVEuTkFTREFRR1M6SU5UQy5JUV9QUklDRV9TQUxFUy4yMDAwLjUvMTMvMjAxNQEAAACHUgAAAgAAAAgyLjgyODMzOAEHAAAABQAAAAExAQAAAAoxNzMwNzYyNzU1AwAAAAEwAgAAAAUzODk1OAQAAAABMAcAAAAJNS8xMy8yMDE1CAAAAAk1LzEzLzIwMTXLsLm3k3PVCLvjMUuXc9UIIkNJUS5eU1BYLklRX0xBU1RTQUxFUFJJQ0UuNC8yLzIwMTQBAAAAm7goAAIAAAAQMTg5MC44OTg3NzQ0MzAxNQBLKGa5k3PVCAv6OUuXc9UILkNJUS5OQVNEQVFHUzpJTlRDLklRX1BFX0VYQ0xfRldELjYwMDAuOS84LzIwMDYBAAAAh1IAAAIAAAAQMjIuODc5NjYxMjE2MzI3NQENAAAABQAAAAE5AQAAAAcyNjIxMjk1AgAAAAcxNzU3MTUxAwAAAAYxMDAzMDkEAAAAATIGAAAAATAHAAAAAzE2MAgAAAABMAkAAAABMQoAAAABMAsAAAAKNTc1MjMyNzExMAwAAAACMTINAAAACDkvOS8yMDA2W2KzvZNz1QgLlFZJl3PVCC5DSVEuTkFTREFRR1M6SU5UQy5JUV9QUklDRV9TQUxFUy4yMDAwLjcvOC8yMDExAQAAAIdSAAACAAAACDIuNzY4NDE0AQcAAAAFAAAAATEBAAAACjE0NTI0NzU4NzIDAAAAATACAAAABTM4OTU4BAAAAAEwBwAAAAg3LzgvMjAxMQgAAAAINy84LzIwMTG7aq+9k3PVCOu2WEmXc9UINUNJUS5OQVNEQVFHUzpJTlRDLklRX1RFVl9FQklUREFfRldEX0NJUS42MDAwLjEvMy8yMDAz</t>
  </si>
  <si>
    <t>AQAAAIdSAAACAAAAEDkuOTY4NzkyNzM0NDU5MTgBDQAAAAUAAAABOQEAAAAHMjYyMTI5NQIAAAAHMTc1NzE0MAMAAAAGMTAwMzA4BAAAAAEyBgAAAAEwBwAAAAMxNjAIAAAAATAJAAAAATEKAAAAATALAAAACjExNjkxMjY1NjQMAAAAAjEyDQAAAAgxLzQvMjAwM0vDVbuTc9UI2zSPrpdz1Qg1Q0lRLk5hc2RhcUdTOklOVEMuSVFfVEVWX1RPVEFMX1JFVl9GV0QuNjAwMC4xMC82LzIwMTcBAAAAh1IAAAIAAAAQMy4xMDIyMTc4NjE2NzYwMwENAAAABQAAAAE5AQAAAAcyNjIxMjk1AgAAAAgyNzUwMDE3MwMAAAAGMTAwMzA3BAAAAAEyBgAAAAEwBwAAAAMxNjAIAAAAATAJAAAAATEKAAAAATALAAAACzEwNDgwNTkyNTk5DAAAAAIxMg0AAAAJMTAvNy8yMDE3656xu5Nz1QjLM0xJl3PVCCxDSVEuTkFTREFRR1M6SU5UQy5JUV9MQVNUU0FMRVBSSUNFLjkvMTQvMjAxNgEAAACHUgAAAgAAAAUzNS42MgBLKGa5k3PVCPvZI0uXc9UIJUNJUS5eU1BYLklRX1BFX0VYQ0xfRldELjYwMDAuNy81LzIwMTcBAAAAm7goAAIAAAAIMTguMjU3NjUAe4ZVuZNz1Qi78QVLl3PVCCxDSVEuTkFTREFRR1M6SU5UQy5JUV9MQVNUU0FMRVBSSUNFLjYvMjQvMjAxNQEAAACHUgAAAgAAAAUzMS45MQAb3VK7k3PVCEvSMEuXc9UINkNJUS5OYXNkYXFHUzpJTlRDLklRX1RFVl9FQklUREFfRldEX0NJUS42MDAwLjQvMTAvMjAxNQEAAACH</t>
  </si>
  <si>
    <t>UgAAAgAAABA2LjM3MTE1MDI5NDQ5NTkyAQ0AAAAFAAAAATkBAAAABzI2MjEyOTUCAAAACjEwMDAwOTQwNzEDAAAABjEwMDMwOAQAAAABMgYAAAABMAcAAAADMTYwCAAAAAEwCQAAAAExCgAAAAEwCwAAAAo4NzEyNjA2MDc1DAAAAAIxMg0AAAAJNC8xMS8yMDE1uymxu5Nz1QjrW4+ul3PVCDdDSVEuTmFzZGFxR1M6SU5UQy5JUV9URVZfRUJJVERBX0ZXRF9DSVEuNjAwMC4xMi8xNi8yMDE2AQAAAIdSAAACAAAAEDcuNzI4NTI5NjQxNzc3NTUBDQAAAAUAAAABOQEAAAAHMjYyMTI5NQIAAAAIMjcwMDM2NTMDAAAABjEwMDMwOAQAAAABMgYAAAABMAcAAAADMTYwCAAAAAEwCQAAAAExCgAAAAEwCwAAAAo5ODkwODYxNTY1DAAAAAIxMg0AAAAKMTIvMTcvMjAxNtt3sbuTc9UIyw2Prpdz1Qg2Q0lRLk5hc2RhcUdTOklOVEMuSVFfVEVWX0VCSVREQV9GV0RfQ0lRLjYwMDAuMi8xMS8yMDExAQAAAIdSAAACAAAADzQuODg4MDY2MDQ0NzA5NwENAAAABQAAAAE5AQAAAAcyNjIxMjk1AgAAAAQxODg2AwAAAAYxMDAzMDgEAAAAATIGAAAAATAHAAAAAzE2MAgAAAABMAkAAAABMQoAAAABMAsAAAAKNTc0ODgxNTIwMAwAAAACMTINAAAACTIvMTIvMjAxMbvUVruTc9UIW22Qrpdz1Qg2Q0lRLk5hc2RhcUdTOklOVEMuSVFfVEVWX1RPVEFMX1JFVl9GV0QuNjAwMC4xMi8xNi8yMDA1AQAAAIdSAAACAAAAEDMuNTM1MDU1MDI4</t>
  </si>
  <si>
    <t>MTAwODIBDQAAAAUAAAABOQEAAAAHMjYyMTI5NQIAAAAHMTc1NzE0OQMAAAAGMTAwMzA3BAAAAAEyBgAAAAEwBwAAAAMxNjAIAAAAATAJAAAAATEKAAAAATALAAAACjExNjkxMzE0ODYMAAAAAjEyDQAAAAoxMi8xNy8yMDA1+75WuZNz1Qh7UlBJl3PVCCxDSVEuXlNQWC5JUV9URVZfVE9UQUxfUkVWX0ZXRC42MDAwLjcvMjAvMjAxNgEAAACbuCgAAgAAAAgyLjA5NzMyMgArBFO7k3PVCFs1J0uXc9UIL0NJUS5OQVNEQVFHUzpJTlRDLklRX1BSSUNFX1NBTEVTLjIwMDAuNS8yMi8yMDEzAQAAAIdSAAACAAAACDIuMjYyNTA3AQcAAAAFAAAAATEBAAAACjE2MTQwNzQ5NDIDAAAAATACAAAABTM4OTU4BAAAAAEwBwAAAAk1LzIyLzIwMTMIAAAACTUvMjIvMjAxM7tqr72Tc9UIm8o9S5dz1QguQ0lRLl5TUFguSVFfVEVWX0VCSVREQV9GV0RfQ0lRLjYwMDAuMTIvMjcvMjAxNwEAAACbuCgAAgAAAAgxMC43OTU3OQB7jbC7k3PVCKs5tUqXc9UINUNJUS5OYXNkYXFHUzpJTlRDLklRX1RFVl9UT1RBTF9SRVZfRldELjYwMDAuNi8xOS8yMDA5AQAAAIdSAAACAAAAEDIuNTgxNjAxMDY3MDMxNTIBDQAAAAUAAAABOQEAAAAHMjYyMTI5NQIAAAAHMTc1NzE1OQMAAAAGMTAwMzA3BAAAAAEyBgAAAAEwBwAAAAMxNjAIAAAAATAJAAAAATEKAAAAATALAAAACjg4NjQyMjA2OTUMAAAAAjEyDQAAAAk2LzIwLzIwMDmL17O9k3PV</t>
  </si>
  <si>
    <t>CIvMV0mXc9UIL0NJUS5OQVNEQVFHUzpJTlRDLklRX1BFX0VYQ0xfRldELjYwMDAuMi8xNC8yMDAzAQAAAIdSAAACAAAAEDI1Ljg3MTg3NDE0ODk1MTUBDQAAAAUAAAABOQEAAAAHMjYyMTI5NQIAAAAEMTg3OAMAAAAGMTAwMzA5BAAAAAEyBgAAAAEwBwAAAAMxNjAIAAAAATAJAAAAATEKAAAAATALAAAABzE1MDAzNDQMAAAAAjEyDQAAAAkyLzE1LzIwMDN7sLO9k3PVCIt5UEmXc9UIL0NJUS5OQVNEQVFHUzpJTlRDLklRX1BSSUNFX1NBTEVTLjIwMDAuOS8yMy8yMDE1AQAAAIdSAAACAAAACDIuNDkwMzIxAQcAAAAFAAAAATEBAAAACjE3NDczNTk1MTIDAAAAATACAAAABTM4OTU4BAAAAAEwBwAAAAk5LzIzLzIwMTUIAAAACTkvMjMvMjAxNcuwubeTc9UImyQvS5dz1Qg2Q0lRLk5BU0RBUUdTOklOVEMuSVFfVEVWX0VCSVREQV9GV0RfQ0lRLjYwMDAuMS8yMC8yMDE3AQAAAIdSAAACAAAAEDcuNzk3NDQ3MDA5MjUyMDEBDQAAAAUAAAABOQEAAAAHMjYyMTI5NQIAAAAIMjcwMDM2NTMDAAAABjEwMDMwOAQAAAABMgYAAAABMAcAAAADMTYwCAAAAAEwCQAAAAExCgAAAAEwCwAAAAo5OTQxMjAzODExDAAAAAIxMg0AAAAJMS8yMS8yMDE3S1JTu5Nz1Qjbw4yul3PVCC5DSVEuTkFTREFRR1M6SU5UQy5JUV9QRV9FWENMX0ZXRC42MDAwLjgvMy8yMDAxAQAAAIdSAAACAAAAEDYwLjUxNTc0MDIxMDEyNDIBDQAAAAUA</t>
  </si>
  <si>
    <t>AAABOQEAAAAHMjYyMTI5NQIAAAAHMzQyMTE2MQMAAAAGMTAwMzA5BAAAAAEyBgAAAAEwBwAAAAMxNjAIAAAAATAJAAAAATEKAAAAATALAAAACjExNjkxNzMzNTYMAAAAAjEyDQAAAAg4LzQvMjAwMYvXs72Tc9UImxFTSZdz1QgnQ0lRLk5BU0RBUUdTOklOVEMuSVFfUFRCVi4yMDAwLjkvMy8yMDEwAQAAAIdSAAACAAAACDIuNTI4NDU5AQcAAAAFAAAAATEBAAAACjEzODk3MTA3NDQDAAAAATACAAAABjEwMDAyOQQAAAABMAcAAAAIOS8zLzIwMTAIAAAACDkvMy8yMDEw29e5t5Nz1Qi7DExJl3PVCDZDSVEuTkFTREFRR1M6SU5UQy5JUV9URVZfRUJJVERBX0ZXRF9DSVEuNjAwMC4xLzE2LzIwMDQBAAAAh1IAAAIAAAAQMTEuNzQ1MzQ3ODAyNDE1NwENAAAABQAAAAE5AQAAAAcyNjIxMjk1AgAAAAQxODc5AwAAAAYxMDAzMDgEAAAAATIGAAAAATAHAAAAAzE2MAgAAAABMAkAAAABMQoAAAABMAsAAAAJMzYwNjYzMjkxDAAAAAIxMg0AAAAJMS8xNy8yMDA0O5xVu5Nz1Qg7H5Cul3PVCCxDSVEuTkFTREFRR1M6SU5UQy5JUV9MQVNUU0FMRVBSSUNFLjEvMjIvMjAxNAEAAACHUgAAAgAAAAUyNS4zMQBbP7C7k3PVCAtrPEuXc9UIN0NJUS5OQVNEQVFHUzpJTlRDLklRX1RFVl9FQklUREFfRldEX0NJUS42MDAwLjEyLzEwLzIwMTABAAAAh1IAAAIAAAAQNS4xMzU2OTYyNzczODY2NQENAAAABQAAAAE5AQAAAAcyNjIx</t>
  </si>
  <si>
    <t>Mjk1AgAAAAcxNzU3MTY0AwAAAAYxMDAzMDgEAAAAATIGAAAAATAHAAAAAzE2MAgAAAABMAkAAAABMQoAAAABMAsAAAAKODE3MTU3MjU2NgwAAAACMTINAAAACjEyLzExLzIwMTC7Y1S7k3PVCBvRj66Xc9UIIUNJUS5OQVNEQVFHUzpJTlRDLklRX1JFVkVOVUVfRVNULgEAAACHUgAAAgAAAAs2NDgzOS44ODA4MQEOAAAABQAAAAIxMQEAAAABMAIAAAAKMTAwMTUyODUyNwMAAAAGMTAwMTgwBAAAAAEyBgAAAAEwBwAAAAMxNjAIAAAAATAJAAAAATEKAAAAATALAAAACzEwNzQ0MzY4NjEyDAAAAAIxMg0AAAAJMi8xNS8yMDE4EAAAAAkyLzE0LzIwMTjLc9R8lnPVCBuUYSmXc9UILENJUS5OQVNEQVFHUzpJTlRDLklRX0xBU1RTQUxFUFJJQ0UuNC8xNy8yMDEzAQAAAIdSAAACAAAABTIxLjkzAMuRr72Tc9UIq/E9S5dz1QgnQ0lRLk5BU0RBUUdTOklOVEMuSVFfUFRCVi4yMDAwLjcvNS8yMDEzAQAAAIdSAAACAAAABzMuMzQxMTYBBwAAAAUAAAABMQEAAAAKMTYxNDA3NDk0MgMAAAABMAIAAAAGMTAwMDI5BAAAAAEwBwAAAAg3LzUvMjAxMwgAAAAINy81LzIwMTNbT2a5k3PVCJuCVUmXc9UIJkNJUS5eU1BYLklRX1BFX0VYQ0xfRldELjYwMDAuNC8yNy8yMDE2AQAAAJu4KAACAAAACTE3LjYxNzc1NwBrX1W5k3PVCFumKUuXc9UIL0NJUS5OQVNEQVFHUzpJTlRDLklRX1BFX0VYQ0xfRldELjYwMDAuOC8xMS8yMDA2</t>
  </si>
  <si>
    <t>AQAAAIdSAAACAAAAEDIwLjk0MzEwMTE2Njg0NzEBDQAAAAUAAAABOQEAAAAHMjYyMTI5NQIAAAAHMTc1NzE1MQMAAAAGMTAwMzA5BAAAAAEyBgAAAAEwBwAAAAMxNjAIAAAAATAJAAAAATEKAAAAATALAAAACjU3NTIzMjcwODgMAAAAAjEyDQAAAAk4LzEyLzIwMDZbYrO9k3PVCHs0VUmXc9UIL0NJUS5OQVNEQVFHUzpJTlRDLklRX1BFX0VYQ0xfRldELjYwMDAuMy8yMy8yMDEyAQAAAIdSAAACAAAAEDEwLjk3NDQwOTQ0ODgxODkBDQAAAAUAAAABOQEAAAAHMjYyMTI5NQIAAAAEMTg4NwMAAAAGMTAwMzA5BAAAAAEyBgAAAAEwBwAAAAMxNjAIAAAAATAJAAAAATEKAAAAATALAAAACjc2MTYyMDE5ODQMAAAAAjEyDQAAAAkzLzI0LzIwMTIbxrK9k3PVCEuhWUmXc9UILUNJUS5eU1BYLklRX1RFVl9FQklUREFfRldEX0NJUS42MDAwLjQvMTAvMjAxMwEAAACbuCgAAgAAAAg4LjA5MDEwMQD7+Ii2k3PVCKvxPUuXc9UILENJUS5eU1BYLklRX1RFVl9UT1RBTF9SRVZfRldELjYwMDAuNi8yOC8yMDE3AQAAAJu4KAACAAAACDIuMjEyNzk4ANu4r72Tc9UI2yELS5dz1Qg1Q0lRLk5hc2RhcUdTOklOVEMuSVFfVEVWX1RPVEFMX1JFVl9GV0QuNjAwMC4yLzI1LzIwMTEBAAAAh1IAAAIAAAAQMi4wMTEzMzk0ODY3OTMyNAENAAAABQAAAAE5AQAAAAcyNjIxMjk1AgAAAAQxODg2AwAAAAYxMDAzMDcEAAAAATIGAAAAATAH</t>
  </si>
  <si>
    <t>AAAAAzE2MAgAAAABMAkAAAABMQoAAAABMAsAAAAKNTc0ODgxMjE5NQwAAAACMTINAAAACTIvMjYvMjAxMUuZaLmTc9UI69RTSZdz1QgoQ0lRLk5BU0RBUUdTOklOVEMuSVFfUFRCVi4yMDAwLjQvMjUvMjAxNAEAAACHUgAAAgAAAAczLjA3NTE1AQcAAAAFAAAAATEBAAAACjE2NzMzNzkzMjcDAAAAATACAAAABjEwMDAyOQQAAAABMAcAAAAJNC8yNS8yMDE0CAAAAAk0LzI1LzIwMTTLsLm3k3PVCEtsTUmXc9UINENJUS5OYXNkYXFHUzpJTlRDLklRX1RFVl9UT1RBTF9SRVZfRldELjYwMDAuNi82LzIwMTQBAAAAh1IAAAIAAAAQMi41MjEzNTUwNDk4MDU3MQENAAAABQAAAAE5AQAAAAcyNjIxMjk1AgAAAAc0NDU2NDI3AwAAAAYxMDAzMDcEAAAAATIGAAAAATAHAAAAAzE2MAgAAAABMAkAAAABMQoAAAABMAsAAAAKOTA3MTk5NDA2OQwAAAACMTINAAAACDYvNy8yMDE0m/6zvZNz1Qhb5lRJl3PVCCZDSVEuXlNQWC5JUV9QRV9FWENMX0ZXRC42MDAwLjcvMTIvMjAxNwEAAACbuCgAAgAAAAkxOC4zNzQ3MTYAm+tmuZNz1QhbBwVLl3PVCB5DSVEuXlNQWC5JUV9QVEJWLjIwMDAuOC83LzIwMTMBAAAAm7goAAIAAAAINS4wMjkwOTkAWzhVuZNz1QhrVT1Ll3PVCDVDSVEuTkFTREFRR1M6SU5UQy5JUV9URVZfVE9UQUxfUkVWX0ZXRC42MDAwLjQvMjIvMjAwNQEAAACHUgAAAgAAABAzLjM1MjExMTU5OTI2MTA4AQ0A</t>
  </si>
  <si>
    <t>AAAFAAAAATkBAAAABzI2MjEyOTUCAAAABzE3NTcxNDcDAAAABjEwMDMwNwQAAAABMgYAAAABMAcAAAADMTYwCAAAAAEwCQAAAAExCgAAAAEwCwAAAAoxMTY5MTI5ODYyDAAAAAIxMg0AAAAJNC8yMy8yMDA1i4W7t5Nz1QhL3U9Jl3PVCDZDSVEuTmFzZGFxR1M6SU5UQy5JUV9URVZfVE9UQUxfUkVWX0ZXRC42MDAwLjExLzE4LzIwMTYBAAAAh1IAAAIAAAAQMi44OTYzNjMwOTU3ODczMgENAAAABQAAAAE5AQAAAAcyNjIxMjk1AgAAAAgyNzAwMzY1MwMAAAAGMTAwMzA3BAAAAAEyBgAAAAEwBwAAAAMxNjAIAAAAATAJAAAAATEKAAAAATALAAAACjk4NjAwMjAyOTUMAAAAAjEyDQAAAAoxMS8xOS8yMDE2S5louZNz1Qg7tk9Jl3PVCDZDSVEuTmFzZGFxR1M6SU5UQy5JUV9URVZfVE9UQUxfUkVWX0ZXRC42MDAwLjExLzI5LzIwMDIBAAAAh1IAAAIAAAAQNC44MTE1NDIxMzA0MjEyNgENAAAABQAAAAE5AQAAAAcyNjIxMjk1AgAAAAcxNzU3MTQwAwAAAAYxMDAzMDcEAAAAATIGAAAAATAHAAAAAzE2MAgAAAABMAkAAAABMQoAAAABMAsAAAAKMTE2OTEyNjEyMgwAAAACMTINAAAACjExLzMwLzIwMDL7lry3k3PVCFsEUEmXc9UINkNJUS5OYXNkYXFHUzpJTlRDLklRX1RFVl9FQklUREFfRldEX0NJUS42MDAwLjIvMTIvMjAxNgEAAACHUgAAAgAAABA1Ljc1NjUwMTY3Mzk3ODY4AQ0AAAAFAAAAATkBAAAABzI2MjEy</t>
  </si>
  <si>
    <t>OTUCAAAACjEwMDA5MTU0MDIDAAAABjEwMDMwOAQAAAABMgYAAAABMAcAAAADMTYwCAAAAAEwCQAAAAExCgAAAAEwCwAAAAo5Mjg1ODk1OTYyDAAAAAIxMg0AAAAJMi8xMy8yMDE2+8Wxu5Nz1QgbYI2ul3PVCCdDSVEuTkFTREFRR1M6SU5UQy5JUV9QVEJWLjIwMDAuOS8yLzIwMTEBAAAAh1IAAAIAAAAIMy4xNTY2NjMBBwAAAAUAAAABMQEAAAAKMTQ2NTYzMTA3MQMAAAABMAIAAAAGMTAwMDI5BAAAAAEwBwAAAAg5LzIvMjAxMQgAAAAIOS8yLzIwMTH7jlK7k3PVCAuUVkmXc9UINkNJUS5OYXNkYXFHUzpJTlRDLklRX1RFVl9UT1RBTF9SRVZfRldELjYwMDAuMTEvMTkvMjAxMAEAAACHUgAAAgAAABAyLjI1ODU3MDU3MDQ4MDcxAQ0AAAAFAAAAATkBAAAABzI2MjEyOTUCAAAABzE3NTcxNjQDAAAABjEwMDMwNwQAAAABMgYAAAABMAcAAAADMTYwCAAAAAEwCQAAAAExCgAAAAEwCwAAAAo4ODY0NDIxMTA3DAAAAAIxMg0AAAAKMTEvMjAvMjAxMIutVbmTc9UI69RTSZdz1Qg3Q0lRLk5hc2RhcUdTOklOVEMuSVFfVEVWX0VCSVREQV9GV0RfQ0lRLjYwMDAuMTAvMTYvMjAxNQEAAACHUgAAAgAAABA2LjYyMzcxMzk1MjAzOTE1AQ0AAAAFAAAAATkBAAAABzI2MjEyOTUCAAAABzgwNjgyNjIDAAAABjEwMDMwOAQAAAABMgYAAAABMAcAAAADMTYwCAAAAAEwCQAAAAExCgAAAAEwCwAAAAo5MjA3NDYyNjI5DAAAAAIx</t>
  </si>
  <si>
    <t>Mg0AAAAKMTAvMTcvMjAxNbtMtL2Tc9UIW/yNrpdz1QgfQ0lRLl5TUFguSVFfUFRCVi4yMDAwLjYvMTEvMjAxNAEAAACbuCgAAgAAAAg1LjQyNTU3MgDb17m3k3PVCKsPOUuXc9UIJkNJUS5eU1BYLklRX1BFX0VYQ0xfRldELjYwMDAuNS8xNy8yMDE3AQAAAJu4KAACAAAACTE3Ljk2OTgxMgDbuK+9k3PVCItAD0uXc9UINkNJUS5OQVNEQVFHUzpJTlRDLklRX1RFVl9FQklUREFfRldEX0NJUS42MDAwLjYvMTAvMjAwNQEAAACHUgAAAgAAABA5LjEzNjQ0NTUzMTA5Nzc5AQ0AAAAFAAAAATkBAAAABzI2MjEyOTUCAAAABzE3NTcxNDcDAAAABjEwMDMwOAQAAAABMgYAAAABMAcAAAADMTYwCAAAAAEwCQAAAAExCgAAAAEwCwAAAAoxMTY5MTMwMjkyDAAAAAIxMg0AAAAJNi8xMS8yMDA1G05Vu5Nz1Qj7go+ul3PVCDdDSVEuTkFTREFRR1M6SU5UQy5JUV9URVZfRUJJVERBX0ZXRF9DSVEuNjAwMC4xMC8xOS8yMDAxAQAAAIdSAAACAAAAEDE2LjY5NzU0Nzg3NDYwMTIBDQAAAAUAAAABOQEAAAAHMjYyMTI5NQIAAAAHMzQyMTE2MgMAAAAGMTAwMzA4BAAAAAEyBgAAAAEwBwAAAAMxNjAIAAAAATAJAAAAATEKAAAAATALAAAACjExNjkxNTI2MjMMAAAAAjEyDQAAAAoxMC8yMC8yMDAxaxFWu5Nz1Qi75o6ul3PVCDRDSVEuTmFzZGFxR1M6SU5UQy5JUV9URVZfVE9UQUxfUkVWX0ZXRC42MDAwLjQvMS8yMDExAQAAAIdS</t>
  </si>
  <si>
    <t>AAACAAAAEDEuNzc3MTUzNDc1OTQxMDEBDQAAAAUAAAABOQEAAAAHMjYyMTI5NQIAAAAEMTg4NgMAAAAGMTAwMzA3BAAAAAEyBgAAAAEwBwAAAAMxNjAIAAAAATAJAAAAATEKAAAAATALAAAACjU3NDg4MTIyMDkMAAAAAjEyDQAAAAg0LzIvMjAxMXs4VruTc9UIq6lVSZdz1QgvQ0lRLk5BU0RBUUdTOklOVEMuSVFfUFJJQ0VfU0FMRVMuMjAwMC44LzI0LzIwMTYBAAAAh1IAAAIAAAAHMi45MzY0MQEHAAAABQAAAAExAQAAAAoxODAxMjk0NTAxAwAAAAEwAgAAAAUzODk1OAQAAAABMAcAAAAJOC8yNC8yMDE2CAAAAAk4LzI0LzIwMTZbOFW5k3PVCIs5JUuXc9UINkNJUS5OYXNkYXFHUzpJTlRDLklRX1RFVl9UT1RBTF9SRVZfRldELjYwMDAuMTEvMjMvMjAwNwEAAACHUgAAAgAAAA8zLjI5ODEwMjUyMTUxNjQBDQAAAAUAAAABOQEAAAAHMjYyMTI5NQIAAAAHMTc1NzE1NQMAAAAGMTAwMzA3BAAAAAEyBgAAAAEwBwAAAAMxNjAIAAAAATAJAAAAATEKAAAAATALAAAACjg4NjQzMzAxMjAMAAAAAjEyDQAAAAoxMS8yNC8yMDA3u/q7t5Nz1QgL0ExJl3PVCCVDSVEuXlNQWC5JUV9QRV9FWENMX0ZXRC42MDAwLjkvNi8yMDE3AQAAAJu4KAACAAAACTE4LjAyMjUwMgDbuK+9k3PVCNuZ90qXc9UINUNJUS5OYXNkYXFHUzpJTlRDLklRX1RFVl9UT1RBTF9SRVZfRldELjYwMDAuMy8yNC8yMDE3AQAAAIdSAAACAAAAEDIu</t>
  </si>
  <si>
    <t>OTA2MjQ5MTU0MTI3MTEBDQAAAAUAAAABOQEAAAAHMjYyMTI5NQIAAAAKMTAwMDk0NDM4NwMAAAAGMTAwMzA3BAAAAAEyBgAAAAEwBwAAAAMxNjAIAAAAATAJAAAAATEKAAAAATALAAAACzEwMDY3ODU0MTk3DAAAAAIxMg0AAAAJMy8yNS8yMDE3qyW0vZNz1Qhr71lJl3PVCCxDSVEuXlNQWC5JUV9URVZfVE9UQUxfUkVWX0ZXRC42MDAwLjQvMjQvMjAxMwEAAACbuCgAAgAAAAgxLjU3ODIzOACb62a5k3PVCKvxPUuXc9UINENJUS5OYXNkYXFHUzpJTlRDLklRX1RFVl9UT1RBTF9SRVZfRldELjYwMDAuNy82LzIwMDcBAAAAh1IAAAIAAAAQMy42MTg1ODUwODQ5MjY5NQENAAAABQAAAAE5AQAAAAcyNjIxMjk1AgAAAAcxNzU3MTUzAwAAAAYxMDAzMDcEAAAAATIGAAAAATAHAAAAAzE2MAgAAAABMAkAAAABMQoAAAABMAsAAAALMTAzNzg1ODM5MDMMAAAAAjEyDQAAAAg3LzcvMjAwN4vXs72Tc9UIiz1aSZdz1QguQ0lRLk5BU0RBUUdTOklOVEMuSVFfUFJJQ0VfU0FMRVMuMjAwMC42LzMvMjAxNgEAAACHUgAAAgAAAAgyLjY2MTczNgEHAAAABQAAAAExAQAAAAoxNzg5MTkzMzQzAwAAAAEwAgAAAAUzODk1OAQAAAABMAcAAAAINi8zLzIwMTYIAAAACDYvMy8yMDE2O/Gvu5Nz1QiL6lJJl3PVCDVDSVEuTmFzZGFxR1M6SU5UQy5JUV9URVZfVE9UQUxfUkVWX0ZXRC42MDAwLjEwLzkvMjAwOQEAAACHUgAAAgAAABAy</t>
  </si>
  <si>
    <t>Ljg1MjAxMzQ1MDIxOTM0AQ0AAAAFAAAAATkBAAAABzI2MjEyOTUCAAAABzE3NTcxNjADAAAABjEwMDMwNwQAAAABMgYAAAABMAcAAAADMTYwCAAAAAEwCQAAAAExCgAAAAEwCwAAAAo4ODU5ODEzNDA4DAAAAAIxMg0AAAAKMTAvMTAvMjAwOctQsbuTc9UIKx5NSZdz1Qg2Q0lRLk5BU0RBUUdTOklOVEMuSVFfVEVWX0VCSVREQV9GV0RfQ0lRLjYwMDAuOC8zMS8yMDAxAQAAAIdSAAACAAAAEDE5LjU3MjQ1MDkzNjkwNDQBDQAAAAUAAAABOQEAAAAHMjYyMTI5NQIAAAAHMzQyMTE2MQMAAAAGMTAwMzA4BAAAAAEyBgAAAAEwBwAAAAMxNjAIAAAAATAJAAAAATEKAAAAATALAAAACjExNjkxNTI1MjcMAAAAAjEyDQAAAAg5LzEvMjAwMWsRVruTc9UI61uPrpdz1QgvQ0lRLk5BU0RBUUdTOklOVEMuSVFfUFJJQ0VfU0FMRVMuMjAwMC44LzE0LzIwMTUBAAAAh1IAAAIAAAAIMi41MTQ1ODMBBwAAAAUAAAABMQEAAAAKMTc0NzM1OTUxMgMAAAABMAIAAAAFMzg5NTgEAAAAATAHAAAACTgvMTQvMjAxNQgAAAAJOC8xNC8yMDE129e5t5Nz1Qir5UtJl3PVCDBDSVEuTkFTREFRR1M6SU5UQy5JUV9QRV9FWENMX0ZXRC42MDAwLjExLzI0LzIwMTcBAAAAh1IAAAIAAAAQMTMuODE4OTc5MDkzOTY5MQENAAAABQAAAAE5AQAAAAcyNjIxMjk1AgAAAAgyNzUwMDE3NAMAAAAGMTAwMzA5BAAAAAEyBgAAAAEwBwAAAAMxNjAIAAAA</t>
  </si>
  <si>
    <t>ATAJAAAAATEKAAAAATALAAAACzEwNjk4MzYxMTM2DAAAAAIxMg0AAAAKMTEvMjUvMjAxN5v+s72Tc9UIy/dVSZdz1QgsQ0lRLk5BU0RBUUdTOklOVEMuSVFfTEFTVFNBTEVQUklDRS42LzIxLzIwMTcBAAAAh1IAAAIAAAAFMzQuNTgAG91Su5Nz1QhrgQxLl3PVCC9DSVEuTkFTREFRR1M6SU5UQy5JUV9QRV9FWENMX0ZXRC42MDAwLjIvMTMvMjAwNAEAAACHUgAAAgAAABAyNC4wNTk0NTQxNTIxMzE3AQ0AAAAFAAAAATkBAAAABzI2MjEyOTUCAAAABDE4NzkDAAAABjEwMDMwOQQAAAABMgYAAAABMAcAAAADMTYwCAAAAAEwCQAAAAExCgAAAAEwCwAAAAo2MzkzMTYwOTY5DAAAAAIxMg0AAAAJMi8xNC8yMDA0a4mzvZNz1Qi70FVJl3PVCDZDSVEuTmFzZGFxR1M6SU5UQy5JUV9URVZfVE9UQUxfUkVWX0ZXRC42MDAwLjEyLzIxLzIwMDEBAAAAh1IAAAIAAAAQNy42MjAwNTM0ODE1MDg4MgENAAAABQAAAAE5AQAAAAcyNjIxMjk1AgAAAAczNDIxMTYyAwAAAAYxMDAzMDcEAAAAATIGAAAAATAHAAAAAzE2MAgAAAABMAkAAAABMQoAAAABMAsAAAAKMTE2OTE1MjU2MAwAAAACMTINAAAACjEyLzIyLzIwMDGbhla7k3PVCBssWUmXc9UIMENJUS5OQVNEQVFHUzpJTlRDLklRX1BFX0VYQ0xfRldELjYwMDAuMTIvMzEvMjAxMAEAAACHUgAAAgAAABAxMS4wOTU4Njg3Mjc5MDU5AQ0AAAAFAAAAATkBAAAABzI2MjEyOTUC</t>
  </si>
  <si>
    <t>AAAABzE3NTcxNjQDAAAABjEwMDMwOQQAAAABMgYAAAABMAcAAAADMTYwCAAAAAEwCQAAAAExCgAAAAEwCwAAAAo4ODYzODQ1NDk4DAAAAAIxMg0AAAAIMS8xLzIwMTGb/rO9k3PVCDtFTUmXc9UILkNJUS5OQVNEQVFHUzpJTlRDLklRX1BSSUNFX1NBTEVTLjIwMDAuNi81LzIwMTUBAAAAh1IAAAIAAAAIMi43NTkwMTYBBwAAAAUAAAABMQEAAAAKMTczMDc2Mjc1NQMAAAABMAIAAAAFMzg5NTgEAAAAATAHAAAACDYvNS8yMDE1CAAAAAg2LzUvMjAxNYvEZrmTc9UIqzhTSZdz1QgvQ0lRLk5BU0RBUUdTOklOVEMuSVFfUFJJQ0VfU0FMRVMuMjAwMC41LzE1LzIwMTUBAAAAh1IAAAIAAAAIMi44NTg2NjcBBwAAAAUAAAABMQEAAAAKMTczMDc2Mjc1NQMAAAABMAIAAAAFMzg5NTgEAAAAATAHAAAACTUvMTUvMjAxNQgAAAAJNS8xNS8yMDE1O+pUuZNz1QhbBFBJl3PVCC5DSVEuTkFTREFRR1M6SU5UQy5JUV9QRV9FWENMX0ZXRC42MDAwLjMvNS8yMDEwAQAAAIdSAAACAAAAEDEyLjc3OTIxODg2MzMzMTgBDQAAAAUAAAABOQEAAAAHMjYyMTI5NQIAAAAEMTg4NQMAAAAGMTAwMzA5BAAAAAEyBgAAAAEwBwAAAAMxNjAIAAAAATAJAAAAATEKAAAAATALAAAABzE1NTE5MjQMAAAAAjEyDQAAAAgzLzYvMjAxMCvtsr2Tc9UIS6FZSZdz1QgvQ0lRLk5BU0RBUUdTOklOVEMuSVFfUEVfRVhDTF9GV0QuNjAwMC42LzI5LzIw</t>
  </si>
  <si>
    <t>MDcBAAAAh1IAAAIAAAAQMjEuMzg5MjI0MjU0NDM3MwENAAAABQAAAAE5AQAAAAcyNjIxMjk1AgAAAAcxNzU3MTUzAwAAAAYxMDAzMDkEAAAAATIGAAAAATAHAAAAAzE2MAgAAAABMAkAAAABMQoAAAABMAsAAAAKODg2MzM1OTA4MwwAAAACMTINAAAACTYvMzAvMjAwN0s7s72Tc9UIq6lVSZdz1Qg0Q0lRLk5hc2RhcUdTOklOVEMuSVFfVEVWX1RPVEFMX1JFVl9GV0QuNjAwMC42LzcvMjAwMgEAAACHUgAAAgAAABA0Ljk5MTg2MTIzMTE2NzQzAQ0AAAAFAAAAATkBAAAABzI2MjEyOTUCAAAABzE3NTcxMzgDAAAABjEwMDMwNwQAAAABMgYAAAABMAcAAAADMTYwCAAAAAEwCQAAAAExCgAAAAEwCwAAAAoxMTY5MTI1NDEyDAAAAAIxMg0AAAAINi84LzIwMDLbSLy3k3PVCIsITkmXc9UILENJUS5eU1BYLklRX1RFVl9UT1RBTF9SRVZfRldELjYwMDAuMS8xOC8yMDE3AQAAAJu4KAACAAAACDIuMTQxNDU1AHuGVbmTc9UIe04bS5dz1QgsQ0lRLl5TUFguSVFfVEVWX1RPVEFMX1JFVl9GV0QuNjAwMC41LzE0LzIwMTQBAAAAm7goAAIAAAAIMS44MTYxNjMAa2awu5Nz1QjLXTlLl3PVCC1DSVEuXlNQWC5JUV9URVZfRUJJVERBX0ZXRF9DSVEuNjAwMC4xLzE4LzIwMTcBAAAAm7goAAIAAAAIMTAuMDkxNTUAm+tmuZNz1Qh7ThtLl3PVCC9DSVEuTkFTREFRR1M6SU5UQy5JUV9QRV9FWENMX0ZXRC42MDAwLjExLzkvMjAw</t>
  </si>
  <si>
    <t>MQEAAACHUgAAAgAAABA1Ni43NDc0MDQ4NDQyOTA3AQ0AAAAFAAAAATkBAAAABzI2MjEyOTUCAAAABzM0MjExNjIDAAAABjEwMDMwOQQAAAABMgYAAAABMAcAAAADMTYwCAAAAAEwCQAAAAExCgAAAAEwCwAAAAo4ODYwMDc5MjQxDAAAAAIxMg0AAAAKMTEvMTAvMjAwMYvXs72Tc9UI261TSZdz1QgsQ0lRLk5BU0RBUUdTOklOVEMuSVFfTEFTVFNBTEVQUklDRS41LzE1LzIwMTMBAAAAh1IAAAIAAAAEMjQuMgALtlK7k3PVCJvKPUuXc9UIH0NJUS5eU1BYLklRX1BUQlYuMjAwMC45LzEwLzIwMTQBAAAAm7goAAIAAAAINS4zOTg2MjEA62dSu5Nz1QgLiTdLl3PVCChDSVEuTkFTREFRR1M6SU5UQy5JUV9QVEJWLjIwMDAuNi8xOS8yMDE1AQAAAIdSAAACAAAACDMuODA2OTQyAQcAAAAFAAAAATEBAAAACjE3MzA3NjI3NTUDAAAAATACAAAABjEwMDAyOQQAAAABMAcAAAAJNi8xOS8yMDE1CAAAAAk2LzE5LzIwMTWrQ6+9k3PVCFvIWUmXc9UIL0NJUS5OQVNEQVFHUzpJTlRDLklRX1BSSUNFX1NBTEVTLjIwMDAuMi8xNy8yMDE2AQAAAIdSAAACAAAACDIuNTI0NTU1AQcAAAAFAAAAATEBAAAACjE3NzU5MzMxNDADAAAAATACAAAABTM4OTU4BAAAAAEwBwAAAAkyLzE3LzIwMTYIAAAACTIvMTcvMjAxNltPZrmTc9UIC1QrS5dz1Qg2Q0lRLk5BU0RBUUdTOklOVEMuSVFfVEVWX0VCSVREQV9GV0RfQ0lRLjYwMDAuOS8y</t>
  </si>
  <si>
    <t>Ny8yMDEzAQAAAIdSAAACAAAAEDUuMDk5NDI0NDQxNDA3NzEBDQAAAAUAAAABOQEAAAAHMjYyMTI5NQIAAAAHMzgyOTc1MgMAAAAGMTAwMzA4BAAAAAEyBgAAAAEwBwAAAAMxNjAIAAAAATAJAAAAATEKAAAAATALAAAACjc2MTY2MzcyMzcMAAAAAjEyDQAAAAk5LzI4LzIwMTOL7lO7k3PVCFttkK6Xc9UILkNJUS5OQVNEQVFHUzpJTlRDLklRX1BFX0VYQ0xfRldELjYwMDAuOC81LzIwMTYBAAAAh1IAAAIAAAAQMTMuMzYzMzg2MzA4MDY4NQENAAAABQAAAAE5AQAAAAcyNjIxMjk1AgAAAAgyNzAwMzY1MgMAAAAGMTAwMzA5BAAAAAEyBgAAAAEwBwAAAAMxNjAIAAAAATAJAAAAATEKAAAAATALAAAACjk2NTAxNTAzMTgMAAAAAjEyDQAAAAg4LzYvMjAxNtspsr2Tc9UIS91PSZdz1QgtQ0lRLl5TUFguSVFfVEVWX0VCSVREQV9GV0RfQ0lRLjYwMDAuNC8yNC8yMDEzAQAAAJu4KAACAAAACDcuODY5MTAxAKsSZ7mTc9UIq/E9S5dz1Qg0Q0lRLk5hc2RhcUdTOklOVEMuSVFfVEVWX1RPVEFMX1JFVl9GV0QuNjAwMC45LzYvMjAwMgEAAACHUgAAAgAAABAzLjYzODY2MDAxNzY4MDg5AQ0AAAAFAAAAATkBAAAABzI2MjEyOTUCAAAABzE3NTcxMzkDAAAABjEwMDMwNwQAAAABMgYAAAABMAcAAAADMTYwCAAAAAEwCQAAAAExCgAAAAEwCwAAAAoxMTY5MTI1NzMyDAAAAAIxMg0AAAAIOS83LzIwMDLbh2e5k3PVCLtfU0mX</t>
  </si>
  <si>
    <t>c9UIKUNJUS5OQVNEQVFHUzpJTlRDLklRX1BUQlYuMjAwMC4xMS8xNy8yMDE3AQAAAIdSAAACAAAACDYuMjM2OTI1AQcAAAAFAAAAATEBAAAACjE4NjI3NTgwNDMDAAAAATACAAAABjEwMDAyOQQAAAABMAcAAAAKMTEvMTcvMjAxNwgAAAAKMTEvMTcvMjAxN4vEZrmTc9UImxFTSZdz1QgvQ0lRLk5BU0RBUUdTOklOVEMuSVFfUEVfRVhDTF9GV0QuNjAwMC4yLzI5LzIwMDgBAAAAh1IAAAIAAAAQMTQuMjMzNzEzNDcxMTMzMwENAAAABQAAAAE5AQAAAAcyNjIxMjk1AgAAAAQxODgzAwAAAAYxMDAzMDkEAAAAATIGAAAAATAHAAAAAzE2MAgAAAABMAkAAAABMQoAAAABMAsAAAAHMTUzMzI1MQwAAAACMTINAAAACDMvMS8yMDA4SzuzvZNz1Qj7bFZJl3PVCC5DSVEuXlNQWC5JUV9URVZfRUJJVERBX0ZXRF9DSVEuNjAwMC4xMC8yOS8yMDE0AQAAAJu4KAACAAAACDguOTQxODQ5APslureTc9UIm3c2S5dz1QgjQ0lRLl5TUFguSVFfTEFTVFNBTEVQUklDRS4zLzI5LzIwMTcBAAAAm7goAAIAAAAQMjM2MS4xMzI5NjExMDYzMgDLka+9k3PVCMu+FEuXc9UIMENJUS5OQVNEQVFHUzpJTlRDLklRX1BFX0VYQ0xfRldELjYwMDAuMTAvMjQvMjAwMwEAAACHUgAAAgAAABAyOC4zNjI4Mzk5MzQyOTQ2AQ0AAAAFAAAAATkBAAAABzI2MjEyOTUCAAAABzE3NTcxNDMDAAAABjEwMDMwOQQAAAABMgYAAAABMAcAAAADMTYwCAAA</t>
  </si>
  <si>
    <t>AAEwCQAAAAExCgAAAAEwCwAAAAoxMTY5MTU1NDIwDAAAAAIxMg0AAAAKMTAvMjUvMjAwM3uws72Tc9UIG2hPSZdz1QgsQ0lRLl5TUFguSVFfVEVWX1RPVEFMX1JFVl9GV0QuNjAwMC43LzI2LzIwMTcBAAAAm7goAAIAAAAIMi4yMzU0NTQA6/65t5Nz1QjbPwZLl3PVCDVDSVEuTmFzZGFxR1M6SU5UQy5JUV9URVZfVE9UQUxfUkVWX0ZXRC42MDAwLjYvMTIvMjAwOQEAAACHUgAAAgAAABAyLjY0MDgyMzM2OTU1MTY1AQ0AAAAFAAAAATkBAAAABzI2MjEyOTUCAAAABzE3NTcxNTkDAAAABjEwMDMwNwQAAAABMgYAAAABMAcAAAADMTYwCAAAAAEwCQAAAAExCgAAAAEwCwAAAAo4ODY0MjIwNjkzDAAAAAIxMg0AAAAJNi8xMy8yMDA5+9VnuZNz1QhbyFlJl3PVCC9DSVEuTkFTREFRR1M6SU5UQy5JUV9QRV9FWENMX0ZXRC42MDAwLjMvMTMvMjAwOQEAAACHUgAAAgAAABAzNy4wNjg3OTE2MDc4MjczAQ0AAAAFAAAAATkBAAAABzI2MjEyOTUCAAAABDE4ODQDAAAABjEwMDMwOQQAAAABMgYAAAABMAcAAAADMTYwCAAAAAEwCQAAAAExCgAAAAEwCwAAAAcxNTQxNDE1DAAAAAIxMg0AAAAJMy8xNC8yMDA5OxSzvZNz1QjLaFhJl3PVCClDSVEuTkFTREFRR1M6SU5UQy5JUV9QVEJWLjIwMDAuMTIvMTEvMjAxNQEAAACHUgAAAgAAAAgzLjg1NDk1NwEHAAAABQAAAAExAQAAAAoxNzYxNzA2ODI3AwAAAAEwAgAAAAYxMDAw</t>
  </si>
  <si>
    <t>MjkEAAAAATAHAAAACjEyLzExLzIwMTUIAAAACjEyLzExLzIwMTXr0Yi2k3PVCDvUSkmXc9UINUNJUS5OQVNEQVFHUzpJTlRDLklRX1RFVl9FQklUREFfRldEX0NJUS42MDAwLjcvNy8yMDA2AQAAAIdSAAACAAAAEDguNjczMjU5Mjc1MTQ0NzYBDQAAAAUAAAABOQEAAAAHMjYyMTI5NQIAAAAHMTc1NzE1MAMAAAAGMTAwMzA4BAAAAAEyBgAAAAEwBwAAAAMxNjAIAAAAATAJAAAAATEKAAAAATALAAAACjY4ODM2OTQ1MjYMAAAAAjEyDQAAAAg3LzgvMjAwNgsnVbuTc9UIa5SQrpdz1Qg2Q0lRLk5hc2RhcUdTOklOVEMuSVFfVEVWX1RPVEFMX1JFVl9GV0QuNjAwMC4xMi8yOS8yMDA2AQAAAIdSAAACAAAAEDMuMDA4MTM5MzMxNjAyMzcBDQAAAAUAAAABOQEAAAAHMjYyMTI5NQIAAAAHMTc1NzE1MgMAAAAGMTAwMzA3BAAAAAEyBgAAAAEwBwAAAAMxNjAIAAAAATAJAAAAATEKAAAAATALAAAACzEwNjM5MzY3NTM5DAAAAAIxMg0AAAAKMTIvMzAvMjAwNpv+s72Tc9UIi5dLSZdz1QgoQ0lRLk5BU0RBUUdTOklOVEMuSVFfUFRCVi4yMDAwLjYvMTgvMjAxMAEAAACHUgAAAgAAAAgzLjE1MTEyNgEHAAAABQAAAAExAQAAAAoxMzU3NjU5MTAxAwAAAAEwAgAAAAYxMDAwMjkEAAAAATAHAAAACTYvMTgvMjAxMAgAAAAJNi8xOC8yMDEw+45Su5Nz1QhrfldJl3PVCC9DSVEuTkFTREFRR1M6SU5UQy5JUV9QRV9FWENMX0ZX</t>
  </si>
  <si>
    <t>RC42MDAwLjQvMTAvMjAxNQEAAACHUgAAAgAAABAxNC44MDUyMzIxNDAyOTA0AQ0AAAAFAAAAATkBAAAABzI2MjEyOTUCAAAACjEwMDAwOTQwNzEDAAAABjEwMDMwOQQAAAABMgYAAAABMAcAAAADMTYwCAAAAAEwCQAAAAExCgAAAAEwCwAAAAo4NzEyNjA1ODUwDAAAAAIxMg0AAAAJNC8xMS8yMDE161CyvZNz1QibZFpJl3PVCCNDSVEuXlNQWC5JUV9MQVNUU0FMRVBSSUNFLjIvMjcvMjAxMwEAAACbuCgAAgAAABAxNTE1Ljk4NTM4NDg4MjE2AMuRr72Tc9UIuxg+S5dz1QgfQ0lRLl5TUFguSVFfUFRCVi4yMDAwLjkvMzAvMjAxNQEAAACbuCgAAgAAAAg1Ljg3NDg1NQDrZ1K7k3PVCJskL0uXc9UILkNJUS5OQVNEQVFHUzpJTlRDLklRX1BSSUNFX1NBTEVTLjIwMDAuOC8zLzIwMTYBAAAAh1IAAAIAAAAIMi44NjEyMjQBBwAAAAUAAAABMQEAAAAKMTgwMTI5NDUwMQMAAAABMAIAAAAFMzg5NTgEAAAAATAHAAAACDgvMy8yMDE2CAAAAAg4LzMvMjAxNmt2ZrmTc9UI+0omS5dz1QgvQ0lRLk5BU0RBUUdTOklOVEMuSVFfUFJJQ0VfU0FMRVMuMjAwMC4yLzIyLzIwMTcBAAAAh1IAAAIAAAAIMi44NzI4NjkBBwAAAAUAAAABMQEAAAAKMTgyODE3NDEyMgMAAAABMAIAAAAFMzg5NTgEAAAAATAHAAAACTIvMjIvMjAxNwgAAAAJMi8yMi8yMDE3C7ZSu5Nz1Qi7eRlLl3PVCC9DSVEuTkFTREFRR1M6SU5UQy5JUV9QRV9F</t>
  </si>
  <si>
    <t>WENMX0ZXRC42MDAwLjEwLzcvMjAxMQEAAACHUgAAAgAAABA5LjQwMTA5NjU4MzcxOTk1AQ0AAAAFAAAAATkBAAAABzI2MjEyOTUCAAAABzE3NTcxNjYDAAAABjEwMDMwOQQAAAABMgYAAAABMAcAAAADMTYwCAAAAAEwCQAAAAExCgAAAAEwCwAAAAo4ODY0NDMxMzcyDAAAAAIxMg0AAAAJMTAvOC8yMDExG8ayvZNz1Qh7w1JJl3PVCCxDSVEuXlNQWC5JUV9URVZfVE9UQUxfUkVWX0ZXRC42MDAwLjgvMTMvMjAxNAEAAACbuCgAAgAAAAgxLjgzNjUxNgCb62a5k3PVCCvXN0uXc9UILENJUS5eU1BYLklRX1RFVl9UT1RBTF9SRVZfRldELjYwMDAuNC8zMC8yMDE0AQAAAJu4KAACAAAABzEuODAzMjgA6/65t5Nz1Qj70jlLl3PVCCxDSVEuXlNQWC5JUV9URVZfRUJJVERBX0ZXRF9DSVEuNjAwMC40LzgvMjAxNQEAAACbuCgAAgAAAAkxMC4wMzY1MTYAa19VuZNz1QjbMTJLl3PVCB9DSVEuXlNQWC5JUV9QVEJWLjIwMDAuMi8xMC8yMDE2AQAAAJu4KAACAAAACDUuOTk1NzM2ANvXubeTc9UIG3srS5dz1QgwQ0lRLk5BU0RBUUdTOklOVEMuSVFfUFJJQ0VfU0FMRVMuMjAwMC4xMS8xMi8yMDEwAQAAAIdSAAACAAAACDIuNzk1MDk2AQcAAAAFAAAAATEBAAAACjE0MDg1MTY1NDYDAAAAATACAAAABTM4OTU4BAAAAAEwBwAAAAoxMS8xMi8yMDEwCAAAAAoxMS8xMi8yMDEwa3ZmuZNz1QgrcVRJl3PVCDdDSVEuTkFTREFR</t>
  </si>
  <si>
    <t>R1M6SU5UQy5JUV9URVZfRUJJVERBX0ZXRF9DSVEuNjAwMC4xMi8xMy8yMDAyAQAAAIdSAAACAAAAEDEwLjY1NzU4NTA3MTY3NzIBDQAAAAUAAAABOQEAAAAHMjYyMTI5NQIAAAAHMTc1NzE0MAMAAAAGMTAwMzA4BAAAAAEyBgAAAAEwBwAAAAMxNjAIAAAAATAJAAAAATEKAAAAATALAAAACjExNjkxMjY1NjQMAAAAAjEyDQAAAAoxMi8xNC8yMDAyS8NVu5Nz1QgLOY2ul3PVCC9DSVEuTkFTREFRR1M6SU5UQy5JUV9QRV9FWENMX0ZXRC42MDAwLjkvMTkvMjAwMwEAAACHUgAAAgAAABAzMC44MTIyOTUzNDE3MTMzAQ0AAAAFAAAAATkBAAAABzI2MjEyOTUCAAAABzE3NTcxNDIDAAAABjEwMDMwOQQAAAABMgYAAAABMAcAAAADMTYwCAAAAAEwCQAAAAExCgAAAAEwCwAAAAo5MDkwNjg4MjMyDAAAAAIxMg0AAAAJOS8yMC8yMDAze7CzvZNz1Qi7QVhJl3PVCChDSVEuTkFTREFRR1M6SU5UQy5JUV9QVEJWLjIwMDAuNS8xMi8yMDE3AQAAAIdSAAACAAAACDMuODM4NDU5AQcAAAAFAAAAATEBAAAACjE4MzgzNjAxMzIDAAAAATACAAAABjEwMDAyOQQAAAABMAcAAAAJNS8xMi8yMDE3CAAAAAk1LzEyLzIwMTd7nWa5k3PVCBtKVEmXc9UIL0NJUS5OQVNEQVFHUzpJTlRDLklRX1BSSUNFX1NBTEVTLjIwMDAuMTAvMi8yMDE1AQAAAIdSAAACAAAACDIuNjQzNjkyAQcAAAAFAAAAATEBAAAACjE3NDczNTk1MTIDAAAAATAC</t>
  </si>
  <si>
    <t>AAAABTM4OTU4BAAAAAEwBwAAAAkxMC8yLzIwMTUIAAAACTEwLzIvMjAxNbtqr72Tc9UI67ZYSZdz1QgwQ0lRLk5BU0RBUUdTOklOVEMuSVFfUFJJQ0VfU0FMRVMuMjAwMC4xMS8yNy8yMDE1AQAAAIdSAAACAAAACDIuOTY5ODQ5AQcAAAAFAAAAATEBAAAACjE3NjE3MDY4MjcDAAAAATACAAAABTM4OTU4BAAAAAEwBwAAAAoxMS8yNy8yMDE1CAAAAAoxMS8yNy8yMDE1O/Gvu5Nz1QhLTlJJl3PVCDZDSVEuTkFTREFRR1M6SU5UQy5JUV9URVZfRUJJVERBX0ZXRF9DSVEuNjAwMC4zLzEwLzIwMTcBAAAAh1IAAAIAAAAQNy4yNzY1NTA2NTA5Mzg2NgENAAAABQAAAAE5AQAAAAcyNjIxMjk1AgAAAAoxMDAwOTQ0Mzg3AwAAAAYxMDAzMDgEAAAAATIGAAAAATAHAAAAAzE2MAgAAAABMAkAAAABMQoAAAABMAsAAAALMTAwNTI4MDcwODgMAAAAAjEyDQAAAAkzLzExLzIwMTdLUlO7k3PVCBtgja6Xc9UIL0NJUS5OQVNEQVFHUzpJTlRDLklRX1BSSUNFX1NBTEVTLjIwMDAuMTIvNC8yMDEzAQAAAIdSAAACAAAACDIuMjUyOTg5AQcAAAAFAAAAATEBAAAACjE2NDI0ODM3OTIDAAAAATACAAAABTM4OTU4BAAAAAEwBwAAAAkxMi80LzIwMTMIAAAACTEyLzQvMjAxM7tqr72Tc9UIK7k8S5dz1QgvQ0lRLk5BU0RBUUdTOklOVEMuSVFfUEVfRVhDTF9GV0QuNjAwMC43LzE3LzIwMTUBAAAAh1IAAAIAAAAPMTMuMTkzOTQ2OTkx</t>
  </si>
  <si>
    <t>NDA0AQ0AAAAFAAAAATkBAAAABzI2MjEyOTUCAAAABzgwNjgyNjEDAAAABjEwMDMwOQQAAAABMgYAAAABMAcAAAADMTYwCAAAAAEwCQAAAAExCgAAAAEwCwAAAAo4ODk0NTc2MzE4DAAAAAIxMg0AAAAJNy8xOC8yMDE161CyvZNz1QgLslFJl3PVCCVDSVEuXlNQWC5JUV9QRV9FWENMX0ZXRC42MDAwLjQvOC8yMDE1AQAAAJu4KAACAAAACTE3LjU5NzU3OAB7jbC7k3PVCMsKMkuXc9UIL0NJUS5OQVNEQVFHUzpJTlRDLklRX1BSSUNFX1NBTEVTLjIwMDAuOC8xOS8yMDExAQAAAIdSAAACAAAACDIuMTY3MDg1AQcAAAAFAAAAATEBAAAACjE0NjU2MzEwNzEDAAAAATACAAAABTM4OTU4BAAAAAEwBwAAAAk4LzE5LzIwMTEIAAAACTgvMTkvMjAxMQu2UruTc9UIq6lVSZdz1QgvQ0lRLk5BU0RBUUdTOklOVEMuSVFfUFJJQ0VfU0FMRVMuMjAwMC40LzI2LzIwMTMBAAAAh1IAAAIAAAAIMi4xOTk1MjkBBwAAAAUAAAABMQEAAAAKMTYwMzg5NzYzNQMAAAABMAIAAAAFMzg5NTgEAAAAATAHAAAACTQvMjYvMjAxMwgAAAAJNC8yNi8yMDEzSxiwu5Nz1QjrY1FJl3PVCCdDSVEuXlNQWC5JUV9QRV9FWENMX0ZXRC42MDAwLjEwLzIxLzIwMTUBAAAAm7goAAIAAAAJMTYuODM5MDU4ACsEU7uTc9UIOzouS5dz1QgvQ0lRLk5BU0RBUUdTOklOVEMuSVFfUEVfRVhDTF9GV0QuNjAwMC40LzE5LzIwMTMBAAAAh1IAAAIAAAAQMTEu</t>
  </si>
  <si>
    <t>Njg5MzI2NDU3MjU4OQENAAAABQAAAAE5AQAAAAcyNjIxMjk1AgAAAAczODI5NzUxAwAAAAYxMDAzMDkEAAAAATIGAAAAATAHAAAAAzE2MAgAAAABMAkAAAABMQoAAAABMAsAAAAKNzAzMzI1NTMxOAwAAAACMTINAAAACTQvMjAvMjAxMwufsr2Tc9UI+91YSZdz1QgvQ0lRLk5BU0RBUUdTOklOVEMuSVFfUEVfRVhDTF9GV0QuNjAwMC4xLzIxLzIwMDUBAAAAh1IAAAIAAAAQMTguMTgzMjkyNzgxODMyOQENAAAABQAAAAE5AQAAAAcyNjIxMjk1AgAAAAQxODgwAwAAAAYxMDAzMDkEAAAAATIGAAAAATAHAAAAAzE2MAgAAAABMAkAAAABMQoAAAABMAsAAAAHMTUwOTA2MwwAAAACMTINAAAACTEvMjIvMjAwNWuJs72Tc9UI60VWSZdz1Qg2Q0lRLk5BU0RBUUdTOklOVEMuSVFfVEVWX0VCSVREQV9GV0RfQ0lRLjYwMDAuOC8yNC8yMDA3AQAAAIdSAAACAAAAEDkuNTY2NzE4NzE5MzY0NTQBDQAAAAUAAAABOQEAAAAHMjYyMTI5NQIAAAAHMTc1NzE1NAMAAAAGMTAwMzA4BAAAAAEyBgAAAAEwBwAAAAMxNjAIAAAAATAJAAAAATEKAAAAATALAAAACjY3MzA4NjM2MjUMAAAAAjEyDQAAAAk4LzI1LzIwMDf7/1S7k3PVCDsfkK6Xc9UIL0NJUS5OQVNEQVFHUzpJTlRDLklRX1BFX0VYQ0xfRldELjYwMDAuMS8yMy8yMDA5AQAAAIdSAAACAAAAEDMxLjU1NTE0OTM1NzgzMzUBDQAAAAUAAAABOQEAAAAHMjYyMTI5NQIAAAAE</t>
  </si>
  <si>
    <t>MTg4NAMAAAAGMTAwMzA5BAAAAAEyBgAAAAEwBwAAAAMxNjAIAAAAATAJAAAAATEKAAAAATALAAAABzE1NDE0MDAMAAAAAjEyDQAAAAkxLzI0LzIwMDk7FLO9k3PVCGsNVUmXc9UINUNJUS5OYXNkYXFHUzpJTlRDLklRX1RFVl9UT1RBTF9SRVZfRldELjYwMDAuMy8yOC8yMDAyAQAAAIdSAAACAAAAEDYuNzM3MTU3ODExMjQ1MjQBDQAAAAUAAAABOQEAAAAHMjYyMTI5NQIAAAAEMTg3NwMAAAAGMTAwMzA3BAAAAAEyBgAAAAEwBwAAAAMxNjAIAAAAATAJAAAAATEKAAAAATALAAAACTM2MDY1NDY0MQwAAAACMTINAAAACTMvMjkvMjAwMovXs72Tc9UI69RTSZdz1QgiQ0lRLl5TUFguSVFfTEFTVFNBTEVQUklDRS4xLzEvMjAxNAEAAACbuCgAAgAAABAxODQ4LjM1NjUyMDk0MTk0AFs/sLuTc9UIC2s8S5dz1QgvQ0lRLk5BU0RBUUdTOklOVEMuSVFfUFJJQ0VfU0FMRVMuMjAwMC45LzIwLzIwMTcBAAAAh1IAAAIAAAAIMi44Mzg5MjMBBwAAAAUAAAABMQEAAAAKMTg1MDYxODY2NAMAAAABMAIAAAAFMzg5NTgEAAAAATAHAAAACTkvMjAvMjAxNwgAAAAJOS8yMC8yMDE3O/Gvu5Nz1Qhb0vhKl3PVCCZDSVEuXlNQWC5JUV9QRV9FWENMX0ZXRC42MDAwLjUvMjEvMjAxNAEAAACbuCgAAgAAAAkxNS41NDMwNDIAe42wu5Nz1QirDzlLl3PVCCtDSVEuTkFTREFRR1M6SU5UQy5JUV9MQVNUU0FMRVBSSUNFLjcvMi8yMDE0</t>
  </si>
  <si>
    <t>AQAAAIdSAAACAAAABTMwLjk4AFs/sLuTc9UIa3M4S5dz1Qg0Q0lRLk5hc2RhcUdTOklOVEMuSVFfVEVWX1RPVEFMX1JFVl9GV0QuNjAwMC40LzgvMjAxNgEAAACHUgAAAgAAABAyLjQ5OTIwMjA1MDgzNjQ1AQ0AAAAFAAAAATkBAAAABzI2MjEyOTUCAAAACjEwMDA5MTU0MDIDAAAABjEwMDMwNwQAAAABMgYAAAABMAcAAAADMTYwCAAAAAEwCQAAAAExCgAAAAEwCwAAAAo5Mzg1MTg4NDMxDAAAAAIxMg0AAAAINC85LzIwMTaLrVW5k3PVCFvmVEmXc9UINUNJUS5OYXNkYXFHUzpJTlRDLklRX1RFVl9UT1RBTF9SRVZfRldELjYwMDAuMy8yMi8yMDEzAQAAAIdSAAACAAAAEDEuODcxNzE3MDM2NjA5NzYBDQAAAAUAAAABOQEAAAAHMjYyMTI5NQIAAAAHMzY1MjY2MAMAAAAGMTAwMzA3BAAAAAEyBgAAAAEwBwAAAAMxNjAIAAAAATAJAAAAATEKAAAAATALAAAACjU3NDg4OTYzMTQMAAAAAjEyDQAAAAkzLzIzLzIwMTNbwGi5k3PVCHsWWkmXc9UIMENJUS5OQVNEQVFHUzpJTlRDLklRX1BSSUNFX1NBTEVTLjIwMDAuMTAvMTEvMjAxMwEAAACHUgAAAgAAAAgyLjIwOTk0NwEHAAAABQAAAAExAQAAAAoxNjI4NDM2ODQ5AwAAAAEwAgAAAAUzODk1OAQAAAABMAcAAAAKMTAvMTEvMjAxMwgAAAAKMTAvMTEvMjAxM9vXubeTc9UIyzNMSZdz1QgoQ0lRLk5BU0RBUUdTOklOVEMuSVFfUFRCVi4yMDAwLjYvMTEvMjAxMAEA</t>
  </si>
  <si>
    <t>AACHUgAAAgAAAAgzLjAzOTIxNwEHAAAABQAAAAExAQAAAAoxMzU3NjU5MTAxAwAAAAEwAgAAAAYxMDAwMjkEAAAAATAHAAAACTYvMTEvMjAxMAgAAAAJNi8xMS8yMDEwa3ZmuZNz1QgrcVRJl3PVCCxDSVEuXlNQWC5JUV9URVZfVE9UQUxfUkVWX0ZXRC42MDAwLjEyLzMvMjAxNAEAAACbuCgAAgAAAAgxLjk3MTYxNACb62a5k3PVCGsCNkuXc9UIIENJUS5eU1BYLklRX1BUQlYuMjAwMC4xMC8xNi8yMDEzAQAAAJu4KAACAAAABzUuMTU5NDgA62dSu5Nz1Qg74DxLl3PVCC9DSVEuTkFTREFRR1M6SU5UQy5JUV9QRV9FWENMX0ZXRC42MDAwLjYvMjQvMjAwNQEAAACHUgAAAgAAAA8xNy44NjQ0NzYzODYwMzcBDQAAAAUAAAABOQEAAAAHMjYyMTI5NQIAAAAHMTc1NzE0NwMAAAAGMTAwMzA5BAAAAAEyBgAAAAEwBwAAAAMxNjAIAAAAATAJAAAAATEKAAAAATALAAAACjg4NjMzNTkwNTUMAAAAAjEyDQAAAAk2LzI1LzIwMDWrJbS9k3PVCNutU0mXc9UIN0NJUS5OQVNEQVFHUzpJTlRDLklRX1RFVl9FQklUREFfRldEX0NJUS42MDAwLjExLzEwLzIwMDYBAAAAh1IAAAIAAAAQOC44NTI5MTkyMzExMDA1NwENAAAABQAAAAE5AQAAAAcyNjIxMjk1AgAAAAcxNzU3MTUyAwAAAAYxMDAzMDgEAAAAATIGAAAAATAHAAAAAzE2MAgAAAABMAkAAAABMQoAAAABMAsAAAAKNjgzMTQ0MDYxNwwAAAACMTINAAAACjExLzExLzIw</t>
  </si>
  <si>
    <t>MDYLJ1W7k3PVCKu/jq6Xc9UINUNJUS5OYXNkYXFHUzpJTlRDLklRX1RFVl9UT1RBTF9SRVZfRldELjYwMDAuNi8xMy8yMDE0AQAAAIdSAAACAAAADzIuNTc5MzU3NzMwMDYxMQENAAAABQAAAAE5AQAAAAcyNjIxMjk1AgAAAAc0NDU2NDI3AwAAAAYxMDAzMDcEAAAAATIGAAAAATAHAAAAAzE2MAgAAAABMAkAAAABMQoAAAABMAsAAAAKODg1OTg2NzY4OAwAAAACMTINAAAACTYvMTQvMjAxNNt3sbuTc9UIKwBSSZdz1QguQ0lRLk5BU0RBUUdTOklOVEMuSVFfUEVfRVhDTF9GV0QuNjAwMC4xLzgvMjAxMAEAAACHUgAAAgAAABAxNC4xMDM4NjYyMDYyNDI4AQ0AAAAFAAAAATkBAAAABzI2MjEyOTUCAAAABzE3NTcxNjEDAAAABjEwMDMwOQQAAAABMgYAAAABMAcAAAADMTYwCAAAAAEwCQAAAAExCgAAAAEwCwAAAAo4ODYzNjE0OTEyDAAAAAIxMg0AAAAIMS85LzIwMTAr7bK9k3PVCHs0VUmXc9UINkNJUS5OYXNkYXFHUzpJTlRDLklRX1RFVl9UT1RBTF9SRVZfRldELjYwMDAuMTAvMTYvMjAxNQEAAACHUgAAAgAAABAyLjc1MTAxMzg3NjE4MzczAQ0AAAAFAAAAATkBAAAABzI2MjEyOTUCAAAABzgwNjgyNjIDAAAABjEwMDMwNwQAAAABMgYAAAABMAcAAAADMTYwCAAAAAEwCQAAAAExCgAAAAEwCwAAAAo5MTU4NDQxNjEyDAAAAAIxMg0AAAAKMTAvMTcvMjAxNZv+s72Tc9UIG2hPSZdz1QgsQ0lRLk5BU0RBUUdT</t>
  </si>
  <si>
    <t>OklOVEMuSVFfTEFTVFNBTEVQUklDRS44LzI0LzIwMTYBAAAAh1IAAAIAAAAFMzUuMTUAC7ZSu5Nz1QiLOSVLl3PVCDZDSVEuTkFTREFRR1M6SU5UQy5JUV9URVZfRUJJVERBX0ZXRF9DSVEuNjAwMC4yLzI3LzIwMDkBAAAAh1IAAAIAAAAQNy45OTcyMDUxMzQ4NDM3MgENAAAABQAAAAE5AQAAAAcyNjIxMjk1AgAAAAQxODg0AwAAAAYxMDAzMDgEAAAAATIGAAAAATAHAAAAAzE2MAgAAAABMAkAAAABMQoAAAABMAsAAAAJMzYwNzE5NjQ0DAAAAAIxMg0AAAAJMi8yOC8yMDA527FUu5Nz1Qirv46ul3PVCCxDSVEuTkFTREFRR1M6SU5UQy5JUV9MQVNUU0FMRVBSSUNFLjEvMTEvMjAxNwEAAACHUgAAAgAAAAUzNi45NQAb3VK7k3PVCJucG0uXc9UINkNJUS5OQVNEQVFHUzpJTlRDLklRX1RFVl9FQklUREFfRldEX0NJUS42MDAwLjgvMTYvMjAxMwEAAACHUgAAAgAAABA0Ljg2ODgwMTAwNTY4MjU1AQ0AAAAFAAAAATkBAAAABzI2MjEyOTUCAAAABzM4Mjk3NTIDAAAABjEwMDMwOAQAAAABMgYAAAABMAcAAAADMTYwCAAAAAEwCQAAAAExCgAAAAEwCwAAAAo3NjE2NjM3MjMzDAAAAAIxMg0AAAAJOC8xNy8yMDEzi+5Tu5Nz1QgLOY2ul3PVCDVDSVEuTmFzZGFxR1M6SU5UQy5JUV9URVZfRUJJVERBX0ZXRF9DSVEuNjAwMC44LzYvMjAxMAEAAACHUgAAAgAAABA0LjUwNzAxNjEyMjI5MTc2AQ0AAAAFAAAAATkBAAAA</t>
  </si>
  <si>
    <t>BzI2MjEyOTUCAAAABzE3NTcxNjMDAAAABjEwMDMwOAQAAAABMgYAAAABMAcAAAADMTYwCAAAAAEwCQAAAAExCgAAAAEwCwAAAAo3MDczNzE4NzAwDAAAAAIxMg0AAAAIOC83LzIwMTB7jbC7k3PVCCuHja6Xc9UIJkNJUS5eU1BYLklRX1BFX0VYQ0xfRldELjYwMDAuNy8xOS8yMDE3AQAAAJu4KAACAAAACTE4LjUzNTQ3OQCb62a5k3PVCMunA0uXc9UIL0NJUS5OQVNEQVFHUzpJTlRDLklRX1BSSUNFX1NBTEVTLjIwMDAuNi8yNS8yMDE0AQAAAIdSAAACAAAACDIuOTA1NDM2AQcAAAAFAAAAATEBAAAACjE2NzMzNzkzMjcDAAAAATACAAAABTM4OTU4BAAAAAEwBwAAAAk2LzI1LzIwMTQIAAAACTYvMjUvMjAxNKtDr72Tc9UIi8E4S5dz1QgtQ0lRLl5TUFguSVFfVEVWX0VCSVREQV9GV0RfQ0lRLjYwMDAuMTAvOC8yMDE0AQAAAJu4KAACAAAACDguODUxOTEzAGtmsLuTc9UIu8U2S5dz1Qg1Q0lRLk5hc2RhcUdTOklOVEMuSVFfVEVWX1RPVEFMX1JFVl9GV0QuNjAwMC4xLzE3LzIwMTQBAAAAh1IAAAIAAAAQMi4yOTIxOTY5MTkzMTYyNAENAAAABQAAAAE5AQAAAAcyNjIxMjk1AgAAAAc0NDU2NDIxAwAAAAYxMDAzMDcEAAAAATIGAAAAATAHAAAAAzE2MAgAAAABMAkAAAABMQoAAAABMAsAAAAKNjQ5NzgyMjQyOQwAAAACMTINAAAACTEvMTgvMjAxNLs5Z7mTc9UIezRVSZdz1Qg1Q0lRLk5hc2RhcUdTOklOVEMu</t>
  </si>
  <si>
    <t>SVFfVEVWX1RPVEFMX1JFVl9GV0QuNjAwMC4zLzE1LzIwMDIBAAAAh1IAAAIAAAAPNy4wMzYyMDg1MTczMzE4AQ0AAAAFAAAAATkBAAAABzI2MjEyOTUCAAAABDE4NzcDAAAABjEwMDMwNwQAAAABMgYAAAABMAcAAAADMTYwCAAAAAEwCQAAAAExCgAAAAEwCwAAAAkzNjA2NTQ2MzkMAAAAAjEyDQAAAAkzLzE2LzIwMDLLSVa5k3PVCCtxVEmXc9UINUNJUS5OQVNEQVFHUzpJTlRDLklRX1RFVl9FQklUREFfRldEX0NJUS42MDAwLjgvNC8yMDE3AQAAAIdSAAACAAAADzYuODc4NzAzNzI4MDI1OAENAAAABQAAAAE5AQAAAAcyNjIxMjk1AgAAAAgyNzUwMDE3MwMAAAAGMTAwMzA4BAAAAAEyBgAAAAEwBwAAAAMxNjAIAAAAATAJAAAAATEKAAAAATALAAAACzEwNjc3NjM5NzI3DAAAAAIxMg0AAAAIOC81LzIwMTc7K1O7k3PVCItxjq6Xc9UILENJUS5eU1BYLklRX1RFVl9UT1RBTF9SRVZfRldELjYwMDAuNi8yNC8yMDE1AQAAAJu4KAACAAAACDIuMDY0MzI4AGtfVbmTc9UIS9IwS5dz1QguQ0lRLk5BU0RBUUdTOklOVEMuSVFfUEVfRVhDTF9GV0QuNjAwMC4yLzIvMjAwMQEAAACHUgAAAgAAABAzMy44NTkxMDgxNTkzOTI4AQ0AAAAFAAAAATkBAAAABzI2MjEyOTUCAAAABzMxNTEzMDEDAAAABjEwMDMwOQQAAAABMgYAAAABMAcAAAADMTYwCAAAAAEwCQAAAAExCgAAAAEwCwAAAAkzMTE1NTA4NzMMAAAAAjEyDQAA</t>
  </si>
  <si>
    <t>AAgyLzMvMjAwMYvXs72Tc9UIG0pUSZdz1QguQ0lRLl5TUFguSVFfVEVWX0VCSVREQV9GV0RfQ0lRLjYwMDAuMTEvMTMvMjAxMwEAAACbuCgAAgAAAAg4LjU3NDYyOADr/rm3k3PVCCu5PEuXc9UILENJUS5eU1BYLklRX1RFVl9UT1RBTF9SRVZfRldELjYwMDAuNC8xNi8yMDE0AQAAAJu4KAACAAAACDEuNzk2OTM1ABvdUruTc9UIGyE6S5dz1QgwQ0lRLk5BU0RBUUdTOklOVEMuSVFfUEVfRVhDTF9GV0QuNjAwMC4xMC8zMS8yMDAzAQAAAIdSAAACAAAAEDMwLjAwMzY0MjMyMzgwMjYBDQAAAAUAAAABOQEAAAAHMjYyMTI5NQIAAAAHMTc1NzE0MwMAAAAGMTAwMzA5BAAAAAEyBgAAAAEwBwAAAAMxNjAIAAAAATAJAAAAATEKAAAAATALAAAACjExNjkxNTU0MjMMAAAAAjEyDQAAAAkxMS8xLzIwMDN7sLO9k3PVCHs0VUmXc9UIL0NJUS5OQVNEQVFHUzpJTlRDLklRX1BFX0VYQ0xfRldELjYwMDAuOS8yMS8yMDEyAQAAAIdSAAACAAAAEDEwLjc0NTgxNzg0Mzg2NjIBDQAAAAUAAAABOQEAAAAHMjYyMTI5NQIAAAAHMTc1NzE2OQMAAAAGMTAwMzA5BAAAAAEyBgAAAAEwBwAAAAMxNjAIAAAAATAJAAAAATEKAAAAATALAAAACjg4NjM0MzU0MzEMAAAAAjEyDQAAAAk5LzIyLzIwMTILn7K9k3PVCPtsVkmXc9UIKENJUS5OQVNEQVFHUzpJTlRDLklRX1BUQlYuMjAwMC40LzI4LzIwMTcBAAAAh1IAAAIAAAAIMy45MDU0</t>
  </si>
  <si>
    <t>NDEBBwAAAAUAAAABMQEAAAAKMTgzODM2MDEzMgMAAAABMAIAAAAGMTAwMDI5BAAAAAEwBwAAAAk0LzI4LzIwMTcIAAAACTQvMjgvMjAxN9uqiLaTc9UIWyJLSZdz1QgwQ0lRLk5BU0RBUUdTOklOVEMuSVFfUEVfRVhDTF9GV0QuNjAwMC4xMS8xNS8yMDAyAQAAAIdSAAACAAAAEDM1Ljk0NjQ2MjcxNTEwNTIBDQAAAAUAAAABOQEAAAAHMjYyMTI5NQIAAAAHMTc1NzE0MAMAAAAGMTAwMzA5BAAAAAEyBgAAAAEwBwAAAAMxNjAIAAAAATAJAAAAATEKAAAAATALAAAACjkwOTA2ODgxMjgMAAAAAjEyDQAAAAoxMS8xNi8yMDAyi9ezvZNz1QgLslFJl3PVCC9DSVEuTkFTREFRR1M6SU5UQy5JUV9QRV9FWENMX0ZXRC42MDAwLjIvMTkvMjAxNgEAAACHUgAAAgAAABAxMi4yMDYwNjE3OTEzMjc4AQ0AAAAFAAAAATkBAAAABzI2MjEyOTUCAAAACjEwMDA5MTU0MDIDAAAABjEwMDMwOQQAAAABMgYAAAABMAcAAAADMTYwCAAAAAEwCQAAAAExCgAAAAEwCwAAAAo5MzA1MzU0OTQxDAAAAAIxMg0AAAAJMi8yMC8yMDE261CyvZNz1Qj73VhJl3PVCDdDSVEuTkFTREFRR1M6SU5UQy5JUV9URVZfRUJJVERBX0ZXRF9DSVEuNjAwMC4xMC8xNS8yMDEwAQAAAIdSAAACAAAADzQuNTE3MTM1MzY2NjU5NAENAAAABQAAAAE5AQAAAAcyNjIxMjk1AgAAAAcxNzU3MTY0AwAAAAYxMDAzMDgEAAAAATIGAAAAATAHAAAAAzE2MAgAAAAB</t>
  </si>
  <si>
    <t>MAkAAAABMQoAAAABMAsAAAAKNzA3MzcyMDU0MAwAAAACMTINAAAACjEwLzE2LzIwMTC7Y1S7k3PVCHu7kK6Xc9UILkNJUS5OQVNEQVFHUzpJTlRDLklRX1BFX0VYQ0xfRldELjYwMDAuNS82LzIwMTEBAAAAh1IAAAIAAAAQMTAuMjMwNTcyOTEyMDgzMQENAAAABQAAAAE5AQAAAAcyNjIxMjk1AgAAAAcxNzU3MTY1AwAAAAYxMDAzMDkEAAAAATIGAAAAATAHAAAAAzE2MAgAAAABMAkAAAABMQoAAAABMAsAAAAKODg2MzM2MjUwMgwAAAACMTINAAAACDUvNy8yMDExi9ezvZNz1QjLhlNJl3PVCDVDSVEuTkFTREFRR1M6SU5UQy5JUV9URVZfRUJJVERBX0ZXRF9DSVEuNjAwMC4yLzIvMjAwMQEAAACHUgAAAwAAAAAAaxFWu5Nz1QhL1Y2ul3PVCDZDSVEuTkFTREFRR1M6SU5UQy5JUV9URVZfRUJJVERBX0ZXRF9DSVEuNjAwMC4yLzEzLzIwMDkBAAAAh1IAAAIAAAAQOC44MjgzOTc2NjkzMDY2NgENAAAABQAAAAE5AQAAAAcyNjIxMjk1AgAAAAQxODg0AwAAAAYxMDAzMDgEAAAAATIGAAAAATAHAAAAAzE2MAgAAAABMAkAAAABMQoAAAABMAsAAAAJMzYwNzE5NjQzDAAAAAIxMg0AAAAJMi8xNC8yMDA527FUu5Nz1Qj7go+ul3PVCC5DSVEuTkFTREFRR1M6SU5UQy5JUV9QUklDRV9TQUxFUy4yMDAwLjMvOS8yMDE2AQAAAIdSAAACAAAACDIuNjQ0MDU4AQcAAAAFAAAAATEBAAAACjE3NzU5MzMxNDADAAAAATACAAAA</t>
  </si>
  <si>
    <t>BTM4OTU4BAAAAAEwBwAAAAgzLzkvMjAxNggAAAAIMy85LzIwMTZLGLC7k3PVCOsFK0uXc9UIL0NJUS5OQVNEQVFHUzpJTlRDLklRX1BFX0VYQ0xfRldELjYwMDAuMS8yNS8yMDA4AQAAAIdSAAACAAAADzE0LjI2NTMzNTIzNTM3OAENAAAABQAAAAE5AQAAAAcyNjIxMjk1AgAAAAQxODgzAwAAAAYxMDAzMDkEAAAAATIGAAAAATAHAAAAAzE2MAgAAAABMAkAAAABMQoAAAABMAsAAAAHMTUzMzI0OAwAAAACMTINAAAACTEvMjYvMjAwOLtMtL2Tc9UI62NRSZdz1QgpQ0lRLk5BU0RBUUdTOklOVEMuSVFfUFRCVi4yMDAwLjEwLzIwLzIwMTcBAAAAh1IAAAIAAAAHNC4xNjExMwEHAAAABQAAAAExAQAAAAoxODUwNjE4NjY0AwAAAAEwAgAAAAYxMDAwMjkEAAAAATAHAAAACjEwLzIwLzIwMTcIAAAACjEwLzIwLzIwMTe7aq+9k3PVCOu2WEmXc9UILkNJUS5OQVNEQVFHUzpJTlRDLklRX1BFX0VYQ0xfRldELjYwMDAuMy8yLzIwMDEBAAAAh1IAAAIAAAAQMjcuMjY3NDQxODYwNDY1MQENAAAABQAAAAE5AQAAAAcyNjIxMjk1AgAAAAczMTUxMzAxAwAAAAYxMDAzMDkEAAAAATIGAAAAATAHAAAAAzE2MAgAAAABMAkAAAABMQoAAAABMAsAAAAJMzExNTUwODgwDAAAAAIxMg0AAAAIMy8zLzIwMDGL17O9k3PVCAsjVEmXc9UII0NJUS5eU1BYLklRX0xBU1RTQUxFUFJJQ0UuMS8xOC8yMDE3AQAAAJu4KAACAAAAEDIyNzEu</t>
  </si>
  <si>
    <t>ODg5MzY4ODIzMDIAWz+wu5Nz1QgLPRpLl3PVCDVDSVEuTmFzZGFxR1M6SU5UQy5JUV9URVZfVE9UQUxfUkVWX0ZXRC42MDAwLjIvMTEvMjAxMQEAAACHUgAAAgAAABAyLjAzNzEwNjYwNDgyNzE4AQ0AAAAFAAAAATkBAAAABzI2MjEyOTUCAAAABDE4ODYDAAAABjEwMDMwNwQAAAABMgYAAAABMAcAAAADMTYwCAAAAAEwCQAAAAExCgAAAAEwCwAAAAo1NzQ4ODEyMTkzDAAAAAIxMg0AAAAJMi8xMi8yMDEx+75WuZNz1Qh7cEtJl3PVCDVDSVEuTmFzZGFxR1M6SU5UQy5JUV9URVZfVE9UQUxfUkVWX0ZXRC42MDAwLjEwLzUvMjAwMQEAAACHUgAAAgAAABA1LjE4MzEzMDUyOTY2NzMxAQ0AAAAFAAAAATkBAAAABzI2MjEyOTUCAAAABzM0MjExNjEDAAAABjEwMDMwNwQAAAABMgYAAAABMAcAAAADMTYwCAAAAAEwCQAAAAExCgAAAAEwCwAAAAoxMTY5MTUyNDYyDAAAAAIxMg0AAAAJMTAvNi8yMDAxK0touZNz1QgLI1RJl3PVCDVDSVEuTkFTREFRR1M6SU5UQy5JUV9URVZfRUJJVERBX0ZXRF9DSVEuNjAwMC4zLzIvMjAwMQEAAACHUgAAAwAAAAAAaxFWu5Nz1QjbNI+ul3PVCChDSVEuTkFTREFRR1M6SU5UQy5JUV9QVEJWLjIwMDAuMi8yNi8yMDEwAQAAAIdSAAACAAAACDMuMTE1MDMyAQcAAAAFAAAAATEBAAAACjEzMjg4ODg3MDQDAAAAATACAAAABjEwMDAyOQQAAAABMAcAAAAJMi8yNi8yMDEwCAAAAAkyLzI2</t>
  </si>
  <si>
    <t>LzIwMTD7jlK7k3PVCHulV0mXc9UINUNJUS5OYXNkYXFHUzpJTlRDLklRX1RFVl9UT1RBTF9SRVZfRldELjYwMDAuOS8yMS8yMDAxAQAAAIdSAAACAAAAEDQuNDc3OTY3Njc5NDcxNDUBDQAAAAUAAAABOQEAAAAHMjYyMTI5NQIAAAAHMzQyMTE2MQMAAAAGMTAwMzA3BAAAAAEyBgAAAAEwBwAAAAMxNjAIAAAAATAJAAAAATEKAAAAATALAAAACjExNjkxNTI0NTgMAAAAAjEyDQAAAAk5LzIyLzIwMDGrJbS9k3PVCHsWWkmXc9UINENJUS5OYXNkYXFHUzpJTlRDLklRX1RFVl9UT1RBTF9SRVZfRldELjYwMDAuNi83LzIwMTMBAAAAh1IAAAIAAAAQMi4xNzY3NzY4NTU0MjkyNAENAAAABQAAAAE5AQAAAAcyNjIxMjk1AgAAAAczODI5NzUxAwAAAAYxMDAzMDcEAAAAATIGAAAAATAHAAAAAzE2MAgAAAABMAkAAAABMQoAAAABMAsAAAAKODg2MjUzOTk3NgwAAAACMTINAAAACDYvOC8yMDEzuyJWuZNz1QirqVVJl3PVCCJDSVEuXlNQWC5JUV9MQVNUU0FMRVBSSUNFLjQvOC8yMDE1AQAAAJu4KAACAAAAEDIwODEuOTAzOTc2NDc4MjYAWz+wu5Nz1QjLCjJLl3PVCClDSVEuTkFTREFRR1M6SU5UQy5JUV9QVEJWLjIwMDAuMTEvMjEvMjAxNAEAAACHUgAAAgAAAAg0LjIwMTk2OQEHAAAABQAAAAExAQAAAAoxNzAzNjgxODk0AwAAAAEwAgAAAAYxMDAwMjkEAAAAATAHAAAACjExLzIxLzIwMTQIAAAACjExLzIxLzIwMTR7</t>
  </si>
  <si>
    <t>nWa5k3PVCOvUU0mXc9UIH0NJUS5eU1BYLklRX1BUQlYuMjAwMC42LzE3LzIwMTUBAAAAm7goAAIAAAAINi4yMzE2NTIA62dSu5Nz1Qhb+TBLl3PVCDBDSVEuTkFTREFRR1M6SU5UQy5JUV9QRV9FWENMX0ZXRC42MDAwLjEwLzE5LzIwMDEBAAAAh1IAAAIAAAAQNTAuMzc1NDQ4NDc3MjYzMgENAAAABQAAAAE5AQAAAAcyNjIxMjk1AgAAAAczNDIxMTYyAwAAAAYxMDAzMDkEAAAAATIGAAAAATAHAAAAAzE2MAgAAAABMAkAAAABMQoAAAABMAsAAAAKODg2MDEwNzc5NAwAAAACMTINAAAACjEwLzIwLzIwMDGL17O9k3PVCCviVkmXc9UILkNJUS5OQVNEQVFHUzpJTlRDLklRX1BSSUNFX1NBTEVTLjIwMDAuMi84LzIwMTMBAAAAh1IAAAIAAAAIMS45NjY4OTIBBwAAAAUAAAABMQEAAAAKMTU4NDQ4NjI2MAMAAAABMAIAAAAFMzg5NTgEAAAAATAHAAAACDIvOC8yMDEzCAAAAAgyLzgvMjAxM/uOUruTc9UIe6VXSZdz1QgoQ0lRLk5BU0RBUUdTOklOVEMuSVFfUFRCVi4yMDAwLjIvMjQvMjAxNwEAAACHUgAAAgAAAAg0LjA1Mjg5MQEHAAAABQAAAAExAQAAAAoxODI4MTc0MTIyAwAAAAEwAgAAAAYxMDAwMjkEAAAAATAHAAAACTIvMjQvMjAxNwgAAAAJMi8yNC8yMDE3Sxiwu5Nz1QgrAFJJl3PVCC9DSVEuTkFTREFRR1M6SU5UQy5JUV9QRV9FWENMX0ZXRC42MDAwLjgvMjgvMjAwOQEAAACHUgAAAgAAABAxOC4yOTky</t>
  </si>
  <si>
    <t>OTUxMzgyNjEzAQ0AAAAFAAAAATkBAAAABzI2MjEyOTUCAAAABzE3NTcxNjADAAAABjEwMDMwOQQAAAABMgYAAAABMAcAAAADMTYwCAAAAAEwCQAAAAExCgAAAAEwCwAAAAo4ODY0Mzk1MDA0DAAAAAIxMg0AAAAJOC8yOS8yMDA5m/6zvZNz1Qgr4lZJl3PVCCxDSVEuTkFTREFRR1M6SU5UQy5JUV9MQVNUU0FMRVBSSUNFLjMvMjMvMjAxNgEAAACHUgAAAgAAAAIzMgBbT2a5k3PVCNveKkuXc9UINkNJUS5OQVNEQVFHUzpJTlRDLklRX1RFVl9FQklUREFfRldEX0NJUS42MDAwLjcvMTMvMjAxMgEAAACHUgAAAgAAABA0LjcxNTM0ODA1NDM3Mzk4AQ0AAAAFAAAAATkBAAAABzI2MjEyOTUCAAAABzE3NTcxNjgDAAAABjEwMDMwOAQAAAABMgYAAAABMAcAAAADMTYwCAAAAAEwCQAAAAExCgAAAAEwCwAAAAo2OTU2MDUxOTAwDAAAAAIxMg0AAAAJNy8xNC8yMDEymxVUu5Nz1QibmI6ul3PVCC9DSVEuTkFTREFRR1M6SU5UQy5JUV9QUklDRV9TQUxFUy4yMDAwLjYvMjYvMjAxMwEAAACHUgAAAgAAAAgyLjI1NjM5NwEHAAAABQAAAAExAQAAAAoxNjE0MDc0OTQyAwAAAAEwAgAAAAUzODk1OAQAAAABMAcAAAAJNi8yNi8yMDEzCAAAAAk2LzI2LzIwMTO7aq+9k3PVCHt8PUuXc9UINkNJUS5OQVNEQVFHUzpJTlRDLklRX1RFVl9FQklUREFfRldEX0NJUS42MDAwLjEwLzQvMjAwMgEAAACHUgAAAgAAABA3LjY4NjI5NjU5</t>
  </si>
  <si>
    <t>NDAxMDU0AQ0AAAAFAAAAATkBAAAABzI2MjEyOTUCAAAABzE3NTcxMzkDAAAABjEwMDMwOAQAAAABMgYAAAABMAcAAAADMTYwCAAAAAEwCQAAAAExCgAAAAEwCwAAAAoxMTY5MTI2MDQ3DAAAAAIxMg0AAAAJMTAvNS8yMDAyW+pVu5Nz1Qh7So6ul3PVCDZDSVEuTkFTREFRR1M6SU5UQy5JUV9URVZfRUJJVERBX0ZXRF9DSVEuNjAwMC44LzI4LzIwMDkBAAAAh1IAAAIAAAAQOC4wNTE1NTk0MzQ4NzcwOAENAAAABQAAAAE5AQAAAAcyNjIxMjk1AgAAAAcxNzU3MTYwAwAAAAYxMDAzMDgEAAAAATIGAAAAATAHAAAAAzE2MAgAAAABMAkAAAABMQoAAAABMAsAAAAKODE3MjQwMzM1NgwAAAACMTINAAAACTgvMjkvMjAwOduxVLuTc9UIayOOrpdz1QgoQ0lRLk5BU0RBUUdTOklOVEMuSVFfUFRCVi4yMDAwLjIvMTQvMjAxNAEAAACHUgAAAgAAAAgyLjg4NjgxNAEHAAAABQAAAAExAQAAAAoxNjU4MzQyNzgwAwAAAAEwAgAAAAYxMDAwMjkEAAAAATAHAAAACTIvMTQvMjAxNAgAAAAJMi8xNC8yMDE0O/Gvu5Nz1QhrnFJJl3PVCCZDSVEuXlNQWC5JUV9QRV9FWENMX0ZXRC42MDAwLjgvMjcvMjAxNAEAAACbuCgAAgAAAAgxNi4xMDQ4NABrZrC7k3PVCOs6N0uXc9UINkNJUS5OYXNkYXFHUzpJTlRDLklRX1RFVl9FQklUREFfRldEX0NJUS42MDAwLjEwLzUvMjAwNwEAAACHUgAAAgAAABA5LjkxOTE5NDEzNzAzMjYzAQ0A</t>
  </si>
  <si>
    <t>AAAFAAAAATkBAAAABzI2MjEyOTUCAAAABzE3NTcxNTQDAAAABjEwMDMwOAQAAAABMgYAAAABMAcAAAADMTYwCAAAAAEwCQAAAAExCgAAAAEwCwAAAAo2NzMwODYzNjI2DAAAAAIxMg0AAAAJMTAvNi8yMDA3uymxu5Nz1QhLRpCul3PVCChDSVEuTkFTREFRR1M6SU5UQy5JUV9QVEJWLjIwMDAuMTEvNC8yMDExAQAAAIdSAAACAAAACDMuOTc5MjE0AQcAAAAFAAAAATEBAAAACjE0ODAyMTUzODEDAAAAATACAAAABjEwMDAyOQQAAAABMAcAAAAJMTEvNC8yMDExCAAAAAkxMS80LzIwMTFLEVW5k3PVCBtoT0mXc9UINUNJUS5OYXNkYXFHUzpJTlRDLklRX1RFVl9UT1RBTF9SRVZfRldELjYwMDAuNS8zMS8yMDEzAQAAAIdSAAACAAAAEDIuMTQ3Mzg1OTk1MTU4MjcBDQAAAAUAAAABOQEAAAAHMjYyMTI5NQIAAAAHMzgyOTc1MQMAAAAGMTAwMzA3BAAAAAEyBgAAAAEwBwAAAAMxNjAIAAAAATAJAAAAATEKAAAAATALAAAACjg4NjI1NDIxMTMMAAAAAjEyDQAAAAg2LzEvMjAxM9siV7uTc9UI+91YSZdz1QgvQ0lRLk5BU0RBUUdTOklOVEMuSVFfUEVfRVhDTF9GV0QuNjAwMC43LzE4LzIwMTQBAAAAh1IAAAIAAAAQMTQuNjM5NDQzOTYxNzcyNAENAAAABQAAAAE5AQAAAAcyNjIxMjk1AgAAAAc0NDU2NDI4AwAAAAYxMDAzMDkEAAAAATIGAAAAATAHAAAAAzE2MAgAAAABMAkAAAABMQoAAAABMAsAAAAKODY0ODIwMTc4</t>
  </si>
  <si>
    <t>NgwAAAACMTINAAAACTcvMTkvMjAxNPt3sr2Tc9UIu19TSZdz1QgnQ0lRLl5TUFguSVFfUEVfRVhDTF9GV0QuNjAwMC4xMC8yOS8yMDE0AQAAAJu4KAACAAAACTE1Ljk1OTE5MwDr36+9k3PVCHspNkuXc9UIKENJUS5OQVNEQVFHUzpJTlRDLklRX1BUQlYuMjAwMC4zLzI0LzIwMTYBAAAAh1IAAAIAAAAIMy4yODc0OTQBBwAAAAUAAAABMQEAAAAKMTc3NTkzMzE0MAMAAAABMAIAAAAGMTAwMDI5BAAAAAEwBwAAAAkzLzI0LzIwMTYIAAAACTMvMjQvMjAxNqtDr72Tc9UIS6FZSZdz1QgvQ0lRLk5BU0RBUUdTOklOVEMuSVFfUEVfRVhDTF9GV0QuNjAwMC4yLzEyLzIwMTYBAAAAh1IAAAIAAAAQMTIuMTE5ODI3MTczOTcyOAENAAAABQAAAAE5AQAAAAcyNjIxMjk1AgAAAAoxMDAwOTE1NDAyAwAAAAYxMDAzMDkEAAAAATIGAAAAATAHAAAAAzE2MAgAAAABMAkAAAABMQoAAAABMAsAAAAKOTI4NDQwMTUzOQwAAAACMTINAAAACTIvMTMvMjAxNutQsr2Tc9UI+2xWSZdz1QgfQ0lRLl5TUFguSVFfUFRCVi4yMDAwLjQvMjQvMjAxMwEAAACbuCgAAgAAAAg0Ljc2ODQ1MwC7aq+9k3PVCKvxPUuXc9UINENJUS5OYXNkYXFHUzpJTlRDLklRX1RFVl9UT1RBTF9SRVZfRldELjYwMDAuOS8zLzIwMTABAAAAh1IAAAIAAAAQMS45ODAzMjI1MTAzOTkyNAENAAAABQAAAAE5AQAAAAcyNjIxMjk1AgAAAAcxNzU3MTYzAwAAAAYx</t>
  </si>
  <si>
    <t>MDAzMDcEAAAAATIGAAAAATAHAAAAAzE2MAgAAAABMAkAAAABMQoAAAABMAsAAAAKODg2MzUxMTcwOAwAAAACMTINAAAACDkvNC8yMDEw665nuZNz1QhrDVVJl3PVCC9DSVEuTkFTREFRR1M6SU5UQy5JUV9QRV9FWENMX0ZXRC42MDAwLjUvMjUvMjAwMQEAAACHUgAAAgAAABA1My4wNzMxNTMzODMxODQ0AQ0AAAAFAAAAATkBAAAABzI2MjEyOTUCAAAABzM0MjExNjADAAAABjEwMDMwOQQAAAABMgYAAAABMAcAAAADMTYwCAAAAAEwCQAAAAExCgAAAAEwCwAAAAoxMTY5MTczMTkyDAAAAAIxMg0AAAAJNS8yNi8yMDAxi9ezvZNz1QjL91VJl3PVCCdDSVEuTkFTREFRR1M6SU5UQy5JUV9QVEJWLjIwMDAuMi84LzIwMTMBAAAAh1IAAAIAAAAIMi45NTg5ODgBBwAAAAUAAAABMQEAAAAKMTU4NDQ4NjI2MAMAAAABMAIAAAAGMTAwMDI5BAAAAAEwBwAAAAgyLzgvMjAxMwgAAAAIMi84LzIwMTPLsLm3k3PVCBv3TEmXc9UINkNJUS5OYXNkYXFHUzpJTlRDLklRX1RFVl9FQklUREFfRldEX0NJUS42MDAwLjYvMTAvMjAxMQEAAACHUgAAAgAAABA0LjQ4Mjk4OTAwMDg0NjM0AQ0AAAAFAAAAATkBAAAABzI2MjEyOTUCAAAABzE3NTcxNjUDAAAABjEwMDMwOAQAAAABMgYAAAABMAcAAAADMTYwCAAAAAEwCQAAAAExCgAAAAEwCwAAAAoxMzI2MTU4MjczDAAAAAIxMg0AAAAJNi8xMS8yMDExm/6zvZNz1QhLRpCul3PVCCdD</t>
  </si>
  <si>
    <t>SVEuTkFTREFRR1M6SU5UQy5JUV9QVEJWLjIwMDAuNi81LzIwMTUBAAAAh1IAAAIAAAAHMy43Nzk2NAEHAAAABQAAAAExAQAAAAoxNzMwNzYyNzU1AwAAAAEwAgAAAAYxMDAwMjkEAAAAATAHAAAACDYvNS8yMDE1CAAAAAg2LzUvMjAxNfuOUruTc9UIi8xXSZdz1QgoQ0lRLk5BU0RBUUdTOklOVEMuSVFfUFRCVi4yMDAwLjEvMjkvMjAxNgEAAACHUgAAAgAAAAgzLjE5Njc3OQEHAAAABQAAAAExAQAAAAoxNzcyOTQyODA2AwAAAAEwAgAAAAYxMDAwMjkEAAAAATAHAAAACTEvMjkvMjAxNggAAAAJMS8yOS8yMDE229e5t5Nz1QiLl0tJl3PVCCNDSVEuXlNQWC5JUV9MQVNUU0FMRVBSSUNFLjQvMjIvMjAxNQEAAACbuCgAAgAAABAyMTA3Ljk2NDA3NzYyMzI4AMuRr72Tc9UIu+MxS5dz1Qg1Q0lRLk5hc2RhcUdTOklOVEMuSVFfVEVWX1RPVEFMX1JFVl9GV0QuNjAwMC45LzI4LzIwMDcBAAAAh1IAAAIAAAAQMy42MTUwMzk4Nzc5OTM2NwENAAAABQAAAAE5AQAAAAcyNjIxMjk1AgAAAAcxNzU3MTU0AwAAAAYxMDAzMDcEAAAAATIGAAAAATAHAAAAAzE2MAgAAAABMAkAAAABMQoAAAABMAsAAAALMTAzNzg1ODU4MTEMAAAAAjEyDQAAAAk5LzI5LzIwMDe7+ru3k3PVCOu2WEmXc9UILkNJUS5OQVNEQVFHUzpJTlRDLklRX1BSSUNFX1NBTEVTLjIwMDAuMS84LzIwMTYBAAAAh1IAAAIAAAAIMi43MTU2MTEBBwAAAAUA</t>
  </si>
  <si>
    <t>AAABMQEAAAAKMTc2MTcwNjgyNwMAAAABMAIAAAAFMzg5NTgEAAAAATAHAAAACDEvOC8yMDE2CAAAAAgxLzgvMjAxNksYsLuTc9UIC7JRSZdz1QgwQ0lRLk5BU0RBUUdTOklOVEMuSVFfUFJJQ0VfU0FMRVMuMjAwMC4xMS8yNS8yMDExAQAAAIdSAAACAAAACDIuMzY5NDYyAQcAAAAFAAAAATEBAAAACjE0ODAyMTUzODEDAAAAATACAAAABTM4OTU4BAAAAAEwBwAAAAoxMS8yNS8yMDExCAAAAAoxMS8yNS8yMDExy7C5t5Nz1Qh74U1Jl3PVCCxDSVEuXlNQWC5JUV9URVZfVE9UQUxfUkVWX0ZXRC42MDAwLjgvMjcvMjAxNAEAAACbuCgAAgAAAAgxLjg4MDM4NQDbuK+9k3PVCBuwN0uXc9UINUNJUS5OQVNEQVFHUzpJTlRDLklRX1RFVl9FQklUREFfRldEX0NJUS42MDAwLjIvMy8yMDE3AQAAAIdSAAACAAAAEDcuNDIwODA2MDIzMzA5MjQBDQAAAAUAAAABOQEAAAAHMjYyMTI5NQIAAAAKMTAwMDk0NDM4NwMAAAAGMTAwMzA4BAAAAAEyBgAAAAEwBwAAAAMxNjAIAAAAATAJAAAAATEKAAAAATALAAAACjk5NTg4ODk1NTUMAAAAAjEyDQAAAAgyLzQvMjAxN0tSU7uTc9UIOx+Qrpdz1Qg1Q0lRLk5hc2RhcUdTOklOVEMuSVFfVEVWX1RPVEFMX1JFVl9GV0QuNjAwMC43LzI3LzIwMTIBAAAAh1IAAAIAAAAPMi4xNDE3NzcxNzM1MjAzAQ0AAAAFAAAAATkBAAAABzI2MjEyOTUCAAAABzE3NTcxNjkDAAAABjEwMDMwNwQA</t>
  </si>
  <si>
    <t>AAABMgYAAAABMAcAAAADMTYwCAAAAAEwCQAAAAExCgAAAAEwCwAAAAo4ODY0NDMzMTk0DAAAAAIxMg0AAAAJNy8yOC8yMDEy62+8t5Nz1Qj7bFZJl3PVCCxDSVEuTkFTREFRR1M6SU5UQy5JUV9MQVNUU0FMRVBSSUNFLjEvMjkvMjAxNAEAAACHUgAAAgAAAAUyNC42OABbP7C7k3PVCPtDPEuXc9UIMENJUS5OQVNEQVFHUzpJTlRDLklRX1BSSUNFX1NBTEVTLjIwMDAuMTIvMzAvMjAxNQEAAACHUgAAAgAAAAgzLjAxNTUyNgEHAAAABQAAAAExAQAAAAoxNzYxNzA2ODI3AwAAAAEwAgAAAAUzODk1OAQAAAABMAcAAAAKMTIvMzAvMjAxNQgAAAAKMTIvMzAvMjAxNUsYsLuTc9UIyygtS5dz1Qg2Q0lRLk5BU0RBUUdTOklOVEMuSVFfVEVWX0VCSVREQV9GV0RfQ0lRLjYwMDAuNC8xMS8yMDAzAQAAAIdSAAACAAAAEDguOTg3ODYyNDc2ODMzODkBDQAAAAUAAAABOQEAAAAHMjYyMTI5NQIAAAAEMTg3OAMAAAAGMTAwMzA4BAAAAAEyBgAAAAEwBwAAAAMxNjAIAAAAATAJAAAAATEKAAAAATALAAAACTM2MDY1OTA0NQwAAAACMTINAAAACTQvMTIvMjAwM0vDVbuTc9UIK/iPrpdz1Qg1Q0lRLk5hc2RhcUdTOklOVEMuSVFfVEVWX1RPVEFMX1JFVl9GV0QuNjAwMC45LzIwLzIwMDIBAAAAh1IAAAIAAAAQMy4zMjU4NDIyODM4Mzc4NgENAAAABQAAAAE5AQAAAAcyNjIxMjk1AgAAAAcxNzU3MTM5AwAAAAYxMDAzMDcEAAAA</t>
  </si>
  <si>
    <t>ATIGAAAAATAHAAAAAzE2MAgAAAABMAkAAAABMQoAAAABMAsAAAAKMTE2OTEyNTczNwwAAAACMTINAAAACTkvMjEvMjAwMstgZ7mTc9UIK61KSZdz1QgsQ0lRLl5TUFguSVFfVEVWX0VCSVREQV9GV0RfQ0lRLjYwMDAuNC82LzIwMTYBAAAAm7goAAIAAAAJMTAuMjAyNjE3AOv+ubeTc9UIq2kqS5dz1Qg2Q0lRLk5BU0RBUUdTOklOVEMuSVFfVEVWX0VCSVREQV9GV0RfQ0lRLjYwMDAuMS8yMi8yMDEwAQAAAIdSAAACAAAAEDUuNzQxMzUyODA0MjU1MTMBDQAAAAUAAAABOQEAAAAHMjYyMTI5NQIAAAAEMTg4NQMAAAAGMTAwMzA4BAAAAAEyBgAAAAEwBwAAAAMxNjAIAAAAATAJAAAAATEKAAAAATALAAAACTM2MDc0MDU1OAwAAAACMTINAAAACTEvMjMvMjAxMMuKVLuTc9UIyw2Prpdz1QgsQ0lRLk5BU0RBUUdTOklOVEMuSVFfTEFTVFNBTEVQUklDRS41LzI0LzIwMTcBAAAAh1IAAAIAAAAFMzYuMTIAy5GvvZNz1QhLFRFLl3PVCDZDSVEuTmFzZGFxR1M6SU5UQy5JUV9URVZfVE9UQUxfUkVWX0ZXRC42MDAwLjEwLzI1LzIwMDIBAAAAh1IAAAIAAAAQMy43NzIyNjE4MzYxOTE5NgENAAAABQAAAAE5AQAAAAcyNjIxMjk1AgAAAAcxNzU3MTQwAwAAAAYxMDAzMDcEAAAAATIGAAAAATAHAAAAAzE2MAgAAAABMAkAAAABMQoAAAABMAsAAAAKMTE2OTEyNjEwNgwAAAACMTINAAAACjEwLzI2LzIwMDJ7OFa7k3PVCLt9</t>
  </si>
  <si>
    <t>TkmXc9UIKENJUS5OQVNEQVFHUzpJTlRDLklRX1BUQlYuMjAwMC40LzEyLzIwMTMBAAAAh1IAAAIAAAAIMy4wMzkzNDQBBwAAAAUAAAABMQEAAAAKMTU4ODE1NzQ2MwMAAAABMAIAAAAGMTAwMDI5BAAAAAEwBwAAAAk0LzEyLzIwMTMIAAAACTQvMTIvMjAxM8uwubeTc9UIa7pNSZdz1QgfQ0lRLl5TUFguSVFfUFRCVi4yMDAwLjMvMjIvMjAxNwEAAACbuCgAAgAAAAg4LjU3NjMyNQDb17m3k3PVCOt9F0uXc9UIJENJUS5eU1BYLklRX0xBU1RTQUxFUFJJQ0UuMTIvMTcvMjAxNAEAAACbuCgAAgAAABAyMDEyLjg4NTk3OTY1NDc5AMuRr72Tc9UI68k0S5dz1Qg2Q0lRLk5hc2RhcUdTOklOVEMuSVFfVEVWX1RPVEFMX1JFVl9GV0QuNjAwMC4xMC8yOS8yMDEwAQAAAIdSAAACAAAADzIuMTE2NDUxMzgyMzA4NwENAAAABQAAAAE5AQAAAAcyNjIxMjk1AgAAAAcxNzU3MTY0AwAAAAYxMDAzMDcEAAAAATIGAAAAATAHAAAAAzE2MAgAAAABMAkAAAABMQoAAAABMAsAAAAKODg2NDQyMTEwNAwAAAACMTINAAAACjEwLzMwLzIwMTArS2i5k3PVCDt6WUmXc9UIL0NJUS5OQVNEQVFHUzpJTlRDLklRX1BFX0VYQ0xfRldELjYwMDAuOC8xMi8yMDExAQAAAIdSAAACAAAAEDguNTkzNDI0ODg1NTU5NzIBDQAAAAUAAAABOQEAAAAHMjYyMTI5NQIAAAAHMTc1NzE2NgMAAAAGMTAwMzA5BAAAAAEyBgAAAAEwBwAAAAMxNjAIAAAA</t>
  </si>
  <si>
    <t>ATAJAAAAATEKAAAAATALAAAACjg4NjQ0MzEzNjgMAAAAAjEyDQAAAAk4LzEzLzIwMTGrJbS9k3PVCCuPT0mXc9UILkNJUS5eU1BYLklRX1RFVl9FQklUREFfRldEX0NJUS42MDAwLjEyLzI0LzIwMTQBAAAAm7goAAIAAAAIOS42NTgzMjQA6/65t5Nz1QgrZjVLl3PVCCxDSVEuTkFTREFRR1M6SU5UQy5JUV9MQVNUU0FMRVBSSUNFLjUvMTQvMjAxNAEAAACHUgAAAgAAAAUyNi4zMwBbT2a5k3PVCMtdOUuXc9UIN0NJUS5OYXNkYXFHUzpJTlRDLklRX1RFVl9FQklUREFfRldEX0NJUS42MDAwLjEyLzIxLzIwMDEBAAAAh1IAAAIAAAAQMjEuNzk5NzMyODI1NTA4NQENAAAABQAAAAE5AQAAAAcyNjIxMjk1AgAAAAczNDIxMTYyAwAAAAYxMDAzMDgEAAAAATIGAAAAATAHAAAAAzE2MAgAAAABMAkAAAABMQoAAAABMAsAAAAKODQwMTQyODMzMwwAAAACMTINAAAACjEyLzIyLzIwMDHrnrG7k3PVCAuqj66Xc9UII0NJUS5eU1BYLklRX0xBU1RTQUxFUFJJQ0UuMS8yOC8yMDE1AQAAAJu4KAACAAAAEDIwMDIuMTU2NDQ3NDk2NzMAC7ZSu5Nz1Qh7uDNLl3PVCCNDSVEuXlNQWC5JUV9MQVNUU0FMRVBSSUNFLjExLzUvMjAxNAEAAACbuCgAAgAAABAyMDIzLjU3NDY1MjY0OTk2AMuRr72Tc9UIeyk2S5dz1QgsQ0lRLk5BU0RBUUdTOklOVEMuSVFfTEFTVFNBTEVQUklDRS41LzEwLzIwMTcBAAAAh1IAAAIAAAAFMzYuMDEA</t>
  </si>
  <si>
    <t>Wz+wu5Nz1QjrmxJLl3PVCChDSVEuTkFTREFRR1M6SU5UQy5JUV9QVEJWLjIwMDAuNy8yOS8yMDExAQAAAIdSAAACAAAACDMuNTk1MTI4AQcAAAAFAAAAATEBAAAACjE0NjIzNTQxNzIDAAAAATACAAAABjEwMDAyOQQAAAABMAcAAAAJNy8yOS8yMDExCAAAAAk3LzI5LzIwMTE78a+7k3PVCCsAUkmXc9UINUNJUS5OYXNkYXFHUzpJTlRDLklRX1RFVl9UT1RBTF9SRVZfRldELjYwMDAuMy8yOC8yMDEzAQAAAIdSAAACAAAAEDEuOTE4NzA1Njk0NDM4MjgBDQAAAAUAAAABOQEAAAAHMjYyMTI5NQIAAAAHMzY1MjY2MAMAAAAGMTAwMzA3BAAAAAEyBgAAAAEwBwAAAAMxNjAIAAAAATAJAAAAATEKAAAAATALAAAACjU3NDg4OTYzMTYMAAAAAjEyDQAAAAkzLzI5LzIwMTO7TLS9k3PVCKsaWEmXc9UIL0NJUS5OQVNEQVFHUzpJTlRDLklRX1BFX0VYQ0xfRldELjYwMDAuNS8yMC8yMDA1AQAAAIdSAAACAAAAEDE5LjUwMTE4NDEzMjYyMjkBDQAAAAUAAAABOQEAAAAHMjYyMTI5NQIAAAAHMTc1NzE0NwMAAAAGMTAwMzA5BAAAAAEyBgAAAAEwBwAAAAMxNjAIAAAAATAJAAAAATEKAAAAATALAAAACjU4ODc3NzY0ODYMAAAAAjEyDQAAAAk1LzIxLzIwMDVribO9k3PVCPv7U0mXc9UIL0NJUS5OQVNEQVFHUzpJTlRDLklRX1BSSUNFX1NBTEVTLjIwMDAuOC8xOS8yMDE2AQAAAIdSAAACAAAACDIuOTQzOTI4AQcAAAAFAAAA</t>
  </si>
  <si>
    <t>ATEBAAAACjE4MDEyOTQ1MDEDAAAAATACAAAABTM4OTU4BAAAAAEwBwAAAAk4LzE5LzIwMTYIAAAACTgvMTkvMjAxNksYsLuTc9UI62NRSZdz1QgeQ0lRLl5TUFguSVFfUFRCVi4yMDAwLjYvMy8yMDE1AQAAAJu4KAACAAAACDYuMjY2NDQxAIvEZrmTc9UIe0cxS5dz1QguQ0lRLk5BU0RBUUdTOklOVEMuSVFfUEVfRVhDTF9GV0QuNjAwMC44LzgvMjAwMwEAAACHUgAAAgAAABAyOS4yNTU1ODMxMjY1NTA5AQ0AAAAFAAAAATkBAAAABzI2MjEyOTUCAAAABzE3NTcxNDIDAAAABjEwMDMwOQQAAAABMgYAAAABMAcAAAADMTYwCAAAAAEwCQAAAAExCgAAAAEwCwAAAAo2ODMxNDQxOTQ3DAAAAAIxMg0AAAAIOC85LzIwMDN7sLO9k3PVCOtFVkmXc9UILkNJUS5eU1BYLklRX1RFVl9FQklUREFfRldEX0NJUS42MDAwLjExLzE1LzIwMTcBAAAAm7goAAIAAAAJMTAuNTQ1MjIyAGtfVbmTc9UIG3LuSpdz1QggQ0lRLl5TUFguSVFfUFRCVi4yMDAwLjEwLzIxLzIwMTUBAAAAm7goAAIAAAAINi4wOTM1ODgAWzhVuZNz1Qh71i5Ll3PVCC9DSVEuTkFTREFRR1M6SU5UQy5JUV9QRV9FWENMX0ZXRC42MDAwLjgvMTkvMjAwNQEAAACHUgAAAgAAABAxNi45NzIxNDMxODc5ODM5AQ0AAAAFAAAAATkBAAAABzI2MjEyOTUCAAAABzE3NTcxNDgDAAAABjEwMDMwOQQAAAABMgYAAAABMAcAAAADMTYwCAAAAAEwCQAAAAExCgAAAAEw</t>
  </si>
  <si>
    <t>CwAAAAoxMTY5MTU5Nzk4DAAAAAIxMg0AAAAJOC8yMC8yMDA1a4mzvZNz1Qj7bFZJl3PVCB5DSVEuXlNQWC5JUV9QVEJWLjIwMDAuMi8xLzIwMTcBAAAAm7goAAIAAAAINy43MjY2ODIAWzhVuZNz1QgrixpLl3PVCCVDSVEuXlNQWC5JUV9QRV9FWENMX0ZXRC42MDAwLjEvMy8yMDE4AQAAAJu4KAACAAAACTE5LjEzODk1MwDr36+9k3PVCNuOZ0qXc9UINkNJUS5OYXNkYXFHUzpJTlRDLklRX1RFVl9FQklUREFfRldEX0NJUS42MDAwLjEvMTEvMjAwMgEAAACHUgAAAgAAABAyMy4zMDA4NTk0NDc1MTQyAQ0AAAAFAAAAATkBAAAABzI2MjEyOTUCAAAABzM0MjExNjIDAAAABjEwMDMwOAQAAAABMgYAAAABMAcAAAADMTYwCAAAAAEwCQAAAAExCgAAAAEwCwAAAAo4NDAxNDI4MzMzDAAAAAIxMg0AAAAJMS8xMi8yMDAy60lXu5Nz1QgLOY2ul3PVCDZDSVEuTmFzZGFxR1M6SU5UQy5JUV9URVZfVE9UQUxfUkVWX0ZXRC42MDAwLjEyLzI4LzIwMDEBAAAAh1IAAAIAAAAPNy41ODEwMzEyNTI2NjU0AQ0AAAAFAAAAATkBAAAABzI2MjEyOTUCAAAABzM0MjExNjIDAAAABjEwMDMwNwQAAAABMgYAAAABMAcAAAADMTYwCAAAAAEwCQAAAAExCgAAAAEwCwAAAAoxMTY5MTUyNTYxDAAAAAIxMg0AAAAKMTIvMjkvMjAwMVvAaLmTc9UIS05SSZdz1QgmQ0lRLl5TUFguSVFfUEVfRVhDTF9GV0QuNjAwMC4yLzE3LzIwMTYBAAAA</t>
  </si>
  <si>
    <t>m7goAAIAAAAJMTYuMDg2ODM4AOvfr72Tc9UI6wUrS5dz1QgtQ0lRLl5TUFguSVFfVEVWX0VCSVREQV9GV0RfQ0lRLjYwMDAuOS8xMC8yMDE0AQAAAJu4KAACAAAACDguOTgzODU5AHuNsLuTc9UIC4k3S5dz1QgsQ0lRLl5TUFguSVFfVEVWX1RPVEFMX1JFVl9GV0QuNjAwMC4xLzI3LzIwMTYBAAAAm7goAAIAAAAIMS44NzEyOTIAKwRTu5Nz1Qg7yStLl3PVCDRDSVEuTmFzZGFxR1M6SU5UQy5JUV9URVZfVE9UQUxfUkVWX0ZXRC42MDAwLjUvMi8yMDA4AQAAAIdSAAACAAAAEDMuMDU2MzgxNDc0Mjk2OTMBDQAAAAUAAAABOQEAAAAHMjYyMTI5NQIAAAAHMTc1NzE1NgMAAAAGMTAwMzA3BAAAAAEyBgAAAAEwBwAAAAMxNjAIAAAAATAJAAAAATEKAAAAATALAAAACjg4NjM1MTA2MjAMAAAAAjEyDQAAAAg1LzMvMjAwOJvbsLuTc9UIe3BLSZdz1Qg0Q0lRLk5hc2RhcUdTOklOVEMuSVFfVEVWX1RPVEFMX1JFVl9GV0QuNjAwMC41LzEvMjAwOQEAAACHUgAAAgAAABAyLjU2MTk3NDk2MzAzODE0AQ0AAAAFAAAAATkBAAAABzI2MjEyOTUCAAAABzE3NTcxNTkDAAAABjEwMDMwNwQAAAABMgYAAAABMAcAAAADMTYwCAAAAAEwCQAAAAExCgAAAAEwCwAAAAo4ODY0MjIwNjg3DAAAAAIxMg0AAAAINS8yLzIwMDnrSVe7k3PVCGtJS0mXc9UILENJUS5OQVNEQVFHUzpJTlRDLklRX0xBU1RTQUxFUFJJQ0UuNi8yNi8yMDEz</t>
  </si>
  <si>
    <t>AQAAAIdSAAACAAAABjI0LjAwNQBbP7C7k3PVCIujPUuXc9UIJUNJUS5eU1BYLklRX1BFX0VYQ0xfRldELjYwMDAuNC82LzIwMTYBAAAAm7goAAIAAAAJMTcuNDY1MzM5ANu4r72Tc9UIe/QpS5dz1QglQ0lRLl5TUFguSVFfUEVfRVhDTF9GV0QuNjAwMC45LzkvMjAxNQEAAACbuCgAAgAAAAkxNS45NTEzMzEAKwRTu5Nz1QibJC9Ll3PVCB9DSVEuXlNQWC5JUV9QVEJWLjIwMDAuNS8yNS8yMDE2AQAAAJu4KAACAAAACDcuMDA5NjY2AMuRr72Tc9UIW6YpS5dz1QgwQ0lRLk5BU0RBUUdTOklOVEMuSVFfUFJJQ0VfU0FMRVMuMjAwMC4xMi8xNi8yMDE1AQAAAIdSAAACAAAACDMuMDQyMjQyAQcAAAAFAAAAATEBAAAACjE3NjE3MDY4MjcDAAAAATACAAAABTM4OTU4BAAAAAEwBwAAAAoxMi8xNi8yMDE1CAAAAAoxMi8xNi8yMDE1C7ZSu5Nz1Qjrdi1Ll3PVCDZDSVEuTmFzZGFxR1M6SU5UQy5JUV9URVZfVE9UQUxfUkVWX0ZXRC42MDAwLjEwLzE3LzIwMDMBAAAAh1IAAAIAAAAQNS43OTg5NDI5NzM0NTE3MQENAAAABQAAAAE5AQAAAAcyNjIxMjk1AgAAAAcxNzU3MTQzAwAAAAYxMDAzMDcEAAAAATIGAAAAATAHAAAAAzE2MAgAAAABMAkAAAABMQoAAAABMAsAAAAKMTE2OTEyNzc4MQwAAAACMTINAAAACjEwLzE4LzIwMDO7TLS9k3PVCBv3TEmXc9UIMENJUS5OQVNEQVFHUzpJTlRDLklRX1BFX0VYQ0xfRldELjYw</t>
  </si>
  <si>
    <t>MDAuMTAvMjIvMjAwNAEAAACHUgAAAgAAABAyMC4yMjc5MjAyMjc5MjAyAQ0AAAAFAAAAATkBAAAABzI2MjEyOTUCAAAABzE3NTcxNDYDAAAABjEwMDMwOQQAAAABMgYAAAABMAcAAAADMTYwCAAAAAEwCQAAAAExCgAAAAEwCwAAAAoxMTY5MTU3MzU3DAAAAAIxMg0AAAAKMTAvMjMvMjAwNKsltL2Tc9UIi8xXSZdz1Qg1Q0lRLk5hc2RhcUdTOklOVEMuSVFfVEVWX1RPVEFMX1JFVl9GV0QuNjAwMC4xMS8xLzIwMTMBAAAAh1IAAAIAAAAQMi4xNjc3MDcyOTc2NjgwNAENAAAABQAAAAE5AQAAAAcyNjIxMjk1AgAAAAczODI5NzUzAwAAAAYxMDAzMDcEAAAAATIGAAAAATAHAAAAAzE2MAgAAAABMAkAAAABMQoAAAABMAsAAAAKODg2MjU0NTcyNgwAAAACMTINAAAACTExLzIvMjAxM7spsbuTc9UIO7ZPSZdz1QgwQ0lRLk5BU0RBUUdTOklOVEMuSVFfUFJJQ0VfU0FMRVMuMjAwMC4xMi8xMS8yMDEzAQAAAIdSAAACAAAACDIuMzE3NTIzAQcAAAAFAAAAATEBAAAACjE2NDI0ODM3OTIDAAAAATACAAAABTM4OTU4BAAAAAEwBwAAAAoxMi8xMS8yMDEzCAAAAAoxMi8xMS8yMDEz29e5t5Nz1QgbkjxLl3PVCC9DSVEuTkFTREFRR1M6SU5UQy5JUV9QUklDRV9TQUxFUy4yMDAwLjEyLzQvMjAxNQEAAACHUgAAAgAAAAgzLjAxMDc4NgEHAAAABQAAAAExAQAAAAoxNzYxNzA2ODI3AwAAAAEwAgAAAAUzODk1OAQAAAABMAcA</t>
  </si>
  <si>
    <t>AAAJMTIvNC8yMDE1CAAAAAkxMi80LzIwMTXb17m3k3PVCIuXS0mXc9UINkNJUS5OQVNEQVFHUzpJTlRDLklRX1RFVl9FQklUREFfRldEX0NJUS42MDAwLjExLzMvMjAwNgEAAACHUgAAAgAAABA5LjE2MjA0NTM2Njg1NzgyAQ0AAAAFAAAAATkBAAAABzI2MjEyOTUCAAAABzE3NTcxNTIDAAAABjEwMDMwOAQAAAABMgYAAAABMAcAAAADMTYwCAAAAAEwCQAAAAExCgAAAAEwCwAAAAoxMTY5MTM1NzI5DAAAAAIxMg0AAAAJMTEvNC8yMDA2CydVu5Nz1QhLRpCul3PVCChDSVEuTkFTREFRR1M6SU5UQy5JUV9QVEJWLjIwMDAuMTIvNS8yMDE0AQAAAIdSAAACAAAACDQuNDQ3NTQ3AQcAAAAFAAAAATEBAAAACjE3MDM2ODE4OTQDAAAAATACAAAABjEwMDAyOQQAAAABMAcAAAAJMTIvNS8yMDE0CAAAAAkxMi81LzIwMTRbOFW5k3PVCKtWTkmXc9UINUNJUS5OQVNEQVFHUzpJTlRDLklRX1RFVl9FQklUREFfRldEX0NJUS42MDAwLjgvMi8yMDEzAQAAAIdSAAACAAAAEDUuMTY5MzIxMjU3MzY5ODEBDQAAAAUAAAABOQEAAAAHMjYyMTI5NQIAAAAHMzgyOTc1MgMAAAAGMTAwMzA4BAAAAAEyBgAAAAEwBwAAAAMxNjAIAAAAATAJAAAAATEKAAAAATALAAAACjc2MTY2MzcyMzMMAAAAAjEyDQAAAAg4LzMvMjAxM4vuU7uTc9UIyw2Prpdz1QgwQ0lRLk5BU0RBUUdTOklOVEMuSVFfUFJJQ0VfU0FMRVMuMjAwMC4xMC8yMS8y</t>
  </si>
  <si>
    <t>MDE1AQAAAIdSAAACAAAABzIuODc1OTEBBwAAAAUAAAABMQEAAAAKMTc2MDAxNjA1OAMAAAABMAIAAAAFMzg5NTgEAAAAATAHAAAACjEwLzIxLzIwMTUIAAAACjEwLzIxLzIwMTW7aq+9k3PVCHvWLkuXc9UIIENJUS5eU1BYLklRX1BUQlYuMjAwMC4xMC8yOS8yMDE0AQAAAJu4KAACAAAACDUuMjM5MDU3AOtnUruTc9UIi1A2S5dz1QguQ0lRLk5BU0RBUUdTOklOVEMuSVFfUFJJQ0VfU0FMRVMuMjAwMC41LzEvMjAxMwEAAACHUgAAAgAAAAgyLjI1NDk4NwEHAAAABQAAAAExAQAAAAoxNjE0MDc0OTQyAwAAAAEwAgAAAAUzODk1OAQAAAABMAcAAAAINS8xLzIwMTMIAAAACDUvMS8yMDEzSxiwu5Nz1Qibyj1Ll3PVCC1DSVEuXlNQWC5JUV9URVZfRUJJVERBX0ZXRF9DSVEuNjAwMC4yLzE1LzIwMTcBAAAAm7goAAIAAAAJMTAuMjU2ODE0AJvrZrmTc9UI6+4ZS5dz1QgvQ0lRLk5BU0RBUUdTOklOVEMuSVFfUFJJQ0VfU0FMRVMuMjAwMC4xLzEzLzIwMTYBAAAAh1IAAAIAAAAIMi43NTAwODQBBwAAAAUAAAABMQEAAAAKMTc2MTcwNjgyNwMAAAABMAIAAAAFMzg5NTgEAAAAATAHAAAACTEvMTMvMjAxNggAAAAJMS8xMy8yMDE2u2qvvZNz1QhbFyxLl3PVCDdDSVEuTmFzZGFxR1M6SU5UQy5JUV9URVZfRUJJVERBX0ZXRF9DSVEuNjAwMC4xMS8xNi8yMDA3AQAAAIdSAAACAAAAEDguNDU5NjcwMzYyNzIzMDEBDQAA</t>
  </si>
  <si>
    <t>AAUAAAABOQEAAAAHMjYyMTI5NQIAAAAHMTc1NzE1NQMAAAAGMTAwMzA4BAAAAAEyBgAAAAEwBwAAAAMxNjAIAAAAATAJAAAAATEKAAAAATALAAAACjExNjkxMzk1MzMMAAAAAjEyDQAAAAoxMS8xNy8yMDA3y/tWu5Nz1Qgr+I+ul3PVCCxDSVEuXlNQWC5JUV9URVZfVE9UQUxfUkVWX0ZXRC42MDAwLjYvMTUvMjAxNgEAAACbuCgAAgAAAAgyLjAyODQxOQB7hlW5k3PVCDtYKUuXc9UIIkNJUS5eU1BYLklRX0xBU1RTQUxFUFJJQ0UuNS82LzIwMTUBAAAAm7goAAIAAAAQMjA4MC4xNDUwNTAwOTAwNQArw1S5k3PVCItuMUuXc9UINUNJUS5OYXNkYXFHUzpJTlRDLklRX1RFVl9UT1RBTF9SRVZfRldELjYwMDAuNy8xMi8yMDEzAQAAAIdSAAACAAAAEDIuMTE2ODk1MjkwNDQwMDQBDQAAAAUAAAABOQEAAAAHMjYyMTI5NQIAAAAHMzgyOTc1MQMAAAAGMTAwMzA3BAAAAAEyBgAAAAEwBwAAAAMxNjAIAAAAATAJAAAAATEKAAAAATALAAAACjg4NjI1NDA0OTQMAAAAAjEyDQAAAAk3LzEzLzIwMTOb/rO9k3PVCDvUSkmXc9UINkNJUS5OQVNEQVFHUzpJTlRDLklRX1RFVl9FQklUREFfRldEX0NJUS42MDAwLjgvMTAvMjAxMgEAAACHUgAAAgAAABA1LjA3NDM3NDY2MjE2MzE2AQ0AAAAFAAAAATkBAAAABzI2MjEyOTUCAAAABzE3NTcxNjkDAAAABjEwMDMwOAQAAAABMgYAAAABMAcAAAADMTYwCAAAAAEwCQAAAAExCgAA</t>
  </si>
  <si>
    <t>AAEwCwAAAAo2OTU1NDAyNjA1DAAAAAIxMg0AAAAJOC8xMS8yMDEymxVUu5Nz1Qjr6oyul3PVCDRDSVEuTmFzZGFxR1M6SU5UQy5JUV9URVZfVE9UQUxfUkVWX0ZXRC42MDAwLjQvNy8yMDE3AQAAAIdSAAACAAAAEDIuOTcwMDEwNDA4Mjc4NDUBDQAAAAUAAAABOQEAAAAHMjYyMTI5NQIAAAAKMTAwMDk0NDM4NwMAAAAGMTAwMzA3BAAAAAEyBgAAAAEwBwAAAAMxNjAIAAAAATAJAAAAATEKAAAAATALAAAACzEwMDkzNTM5MDczDAAAAAIxMg0AAAAINC84LzIwMTfrnrG7k3PVCDuYVEmXc9UILkNJUS5OQVNEQVFHUzpJTlRDLklRX1BSSUNFX1NBTEVTLjIwMDAuNS82LzIwMTUBAAAAh1IAAAIAAAAIMi43OTE5NDQBBwAAAAUAAAABMQEAAAAKMTczMDc2Mjc1NQMAAAABMAIAAAAFMzg5NTgEAAAAATAHAAAACDUvNi8yMDE1CAAAAAg1LzYvMjAxNbtqr72Tc9UIu+MxS5dz1QgwQ0lRLk5BU0RBUUdTOklOVEMuSVFfUFJJQ0VfU0FMRVMuMjAwMC4xMS8xOC8yMDE2AQAAAIdSAAACAAAACDIuODUxNTYyAQcAAAAFAAAAATEBAAAACjE4MTU1NDQ0NTADAAAAATACAAAABTM4OTU4BAAAAAEwBwAAAAoxMS8xOC8yMDE2CAAAAAoxMS8xOC8yMDE269GItpNz1Qg71EpJl3PVCDdDSVEuTkFTREFRR1M6SU5UQy5JUV9URVZfRUJJVERBX0ZXRF9DSVEuNjAwMC4xMC8xMS8yMDEzAQAAAIdSAAACAAAADjUuMzU0NzI2MDQ0MDI5</t>
  </si>
  <si>
    <t>AQ0AAAAFAAAAATkBAAAABzI2MjEyOTUCAAAABzM4Mjk3NTIDAAAABjEwMDMwOAQAAAABMgYAAAABMAcAAAADMTYwCAAAAAEwCQAAAAExCgAAAAEwCwAAAAo3NjE2NjM3MjQwDAAAAAIxMg0AAAAKMTAvMTIvMjAxM4vuU7uTc9UIS9WNrpdz1Qg2Q0lRLk5BU0RBUUdTOklOVEMuSVFfVEVWX0VCSVREQV9GV0RfQ0lRLjYwMDAuNC8xMi8yMDAxAQAAAIdSAAADAAAAAABrEVa7k3PVCAuqj66Xc9UILENJUS5eU1BYLklRX1RFVl9UT1RBTF9SRVZfRldELjYwMDAuMy8xNS8yMDE3AQAAAJu4KAACAAAACDIuMjIxMTEyACsEU7uTc9UIKxoYS5dz1QgoQ0lRLk5BU0RBUUdTOklOVEMuSVFfUFRCVi4yMDAwLjQvMjcvMjAxMgEAAACHUgAAAgAAAAg0LjUzMTQ4MQEHAAAABQAAAAExAQAAAAoxNTQyMDAwMjAzAwAAAAEwAgAAAAYxMDAwMjkEAAAAATAHAAAACTQvMjcvMjAxMggAAAAJNC8yNy8yMDEy29e5t5Nz1QhrSUtJl3PVCCtDSVEuTkFTREFRR1M6SU5UQy5JUV9MQVNUU0FMRVBSSUNFLjgvMi8yMDE3AQAAAIdSAAACAAAABTM2LjY0AOv+ubeTc9UIay4FS5dz1Qg1Q0lRLk5hc2RhcUdTOklOVEMuSVFfVEVWX0VCSVREQV9GV0RfQ0lRLjYwMDAuNC85LzIwMDkBAAAAh1IAAAIAAAAQMTAuMDYzOTM5MTYxNDUyNAENAAAABQAAAAE5AQAAAAcyNjIxMjk1AgAAAAQxODg0AwAAAAYxMDAzMDgEAAAAATIGAAAAATAHAAAA</t>
  </si>
  <si>
    <t>AzE2MAgAAAABMAkAAAABMQoAAAABMAsAAAAJMzYwNzE5NjU0DAAAAAIxMg0AAAAJNC8xMC8yMDA5m4ZWu5Nz1QhbbZCul3PVCC9DSVEuTkFTREFRR1M6SU5UQy5JUV9QRV9FWENMX0ZXRC42MDAwLjEyLzkvMjAxNgEAAACHUgAAAgAAABAxMi45NjYzODc0Njg3MjYyAQ0AAAAFAAAAATkBAAAABzI2MjEyOTUCAAAACDI3MDAzNjUzAwAAAAYxMDAzMDkEAAAAATIGAAAAATAHAAAAAzE2MAgAAAABMAkAAAABMQoAAAABMAsAAAAKOTg3Mzg1MDE4MQwAAAACMTINAAAACjEyLzEwLzIwMTbbKbK9k3PVCJvzV0mXc9UIJkNJUS5eU1BYLklRX1BFX0VYQ0xfRldELjYwMDAuMTAvNy8yMDE1AQAAAJu4KAACAAAACTE2LjU5OTAzMQBrX1W5k3PVCGuvLkuXc9UINUNJUS5OYXNkYXFHUzpJTlRDLklRX1RFVl9UT1RBTF9SRVZfRldELjYwMDAuMy8xOC8yMDExAQAAAIdSAAACAAAAEDEuNzk3MjI5NDYwODkwNjgBDQAAAAUAAAABOQEAAAAHMjYyMTI5NQIAAAAEMTg4NgMAAAAGMTAwMzA3BAAAAAEyBgAAAAEwBwAAAAMxNjAIAAAAATAJAAAAATEKAAAAATALAAAACjU3NDg4MTIyMDMMAAAAAjEyDQAAAAkzLzE5LzIwMTG7Ila5k3PVCLtfU0mXc9UIH0NJUS5eU1BYLklRX1BUQlYuMjAwMC45LzE3LzIwMTQBAAAAm7goAAIAAAAINS40MTIyNjcA62dSu5Nz1QjrOjdLl3PVCC5DSVEuTkFTREFRR1M6SU5UQy5JUV9QRV9FWENM</t>
  </si>
  <si>
    <t>X0ZXRC42MDAwLjMvNi8yMDA5AQAAAIdSAAACAAAAEDMxLjQyMTY5ODk0OTIzNDEBDQAAAAUAAAABOQEAAAAHMjYyMTI5NQIAAAAEMTg4NAMAAAAGMTAwMzA5BAAAAAEyBgAAAAEwBwAAAAMxNjAIAAAAATAJAAAAATEKAAAAATALAAAABzE1NDE0MTMMAAAAAjEyDQAAAAgzLzcvMjAwOTsUs72Tc9UI+6hMSZdz1Qg2Q0lRLk5BU0RBUUdTOklOVEMuSVFfVEVWX0VCSVREQV9GV0RfQ0lRLjYwMDAuNi8yNy8yMDE0AQAAAIdSAAACAAAAEDYuMzI2NjEyMTY2OTA2MzYBDQAAAAUAAAABOQEAAAAHMjYyMTI5NQIAAAAHNDQ1NjQyNwMAAAAGMTAwMzA4BAAAAAEyBgAAAAEwBwAAAAMxNjAIAAAAATAJAAAAATEKAAAAATALAAAACjg1MTc2MzMyOTMMAAAAAjEyDQAAAAk2LzI4LzIwMTR7x1O7k3PVCHu7kK6Xc9UIH0NJUS5eU1BYLklRX1BUQlYuMjAwMC45LzIxLzIwMTYBAAAAm7goAAIAAAAINy42MTY2MTUAu2qvvZNz1QjLZCNLl3PVCDBDSVEuTkFTREFRR1M6SU5UQy5JUV9QRV9FWENMX0ZXRC42MDAwLjExLzE4LzIwMTEBAAAAh1IAAAIAAAAQOS4yOTc2MDc2NTU1MDIzOQENAAAABQAAAAE5AQAAAAcyNjIxMjk1AgAAAAcxNzU3MTY3AwAAAAYxMDAzMDkEAAAAATIGAAAAATAHAAAAAzE2MAgAAAABMAkAAAABMQoAAAABMAsAAAAKODg2NDQzMTEyMwwAAAACMTINAAAACjExLzE5LzIwMTGb/rO9k3PVCFvmVEmXc9UI</t>
  </si>
  <si>
    <t>LkNJUS5eU1BYLklRX1RFVl9FQklUREFfRldEX0NJUS42MDAwLjEwLzIyLzIwMTQBAAAAm7goAAIAAAAIOC43NDU3NjgAKwRTu5Nz1QibdzZLl3PVCC9DSVEuTkFTREFRR1M6SU5UQy5JUV9QUklDRV9TQUxFUy4yMDAwLjIvMTAvMjAxNgEAAACHUgAAAgAAAAcyLjQxODMzAQcAAAAFAAAAATEBAAAACjE3NzI5NDI4MDYDAAAAATACAAAABTM4OTU4BAAAAAEwBwAAAAkyLzEwLzIwMTYIAAAACTIvMTAvMjAxNls4VbmTc9UIG3srS5dz1Qg1Q0lRLk5BU0RBUUdTOklOVEMuSVFfVEVWX0VCSVREQV9GV0RfQ0lRLjYwMDAuNi8yLzIwMDYBAAAAh1IAAAIAAAAQOC41NTYwNDE4NzA2MzU3OAENAAAABQAAAAE5AQAAAAcyNjIxMjk1AgAAAAcxNzU3MTUwAwAAAAYxMDAzMDgEAAAAATIGAAAAATAHAAAAAzE2MAgAAAABMAkAAAABMQoAAAABMAsAAAAKMTE2OTEzMzIzMgwAAAACMTINAAAACDYvMy8yMDA2CydVu5Nz1Qg7H5Cul3PVCChDSVEuTkFTREFRR1M6SU5UQy5JUV9QVEJWLjIwMDAuMi8yMi8yMDEzAQAAAIdSAAACAAAACDIuODYzMzYzAQcAAAAFAAAAATEBAAAACjE1ODgxNTc0NjMDAAAAATACAAAABjEwMDAyOQQAAAABMAcAAAAJMi8yMi8yMDEzCAAAAAkyLzIyLzIwMTPr0Yi2k3PVCCutSkmXc9UIIkNJUS5eU1BYLklRX0xBU1RTQUxFUFJJQ0UuNy82LzIwMTYBAAAAm7goAAIAAAAOMjA5OS43MzQyOTA4MTkA</t>
  </si>
  <si>
    <t>W09muZNz1QgrwCZLl3PVCDZDSVEuTkFTREFRR1M6SU5UQy5JUV9URVZfRUJJVERBX0ZXRF9DSVEuNjAwMC43LzE1LzIwMTYBAAAAh1IAAAIAAAAQOC40NDIxNjU4NjgxMzIxMgENAAAABQAAAAE5AQAAAAcyNjIxMjk1AgAAAAgyNzAwMzY1MQMAAAAGMTAwMzA4BAAAAAEyBgAAAAEwBwAAAAMxNjAIAAAAATAJAAAAATEKAAAAATALAAAACjk1OTQzOTU3NDkMAAAAAjEyDQAAAAk3LzE2LzIwMTZbeVO7k3PVCItxjq6Xc9UILENJUS5OQVNEQVFHUzpJTlRDLklRX0xBU1RTQUxFUFJJQ0UuNS8yMi8yMDEzAQAAAIdSAAACAAAABTI0LjA3AFtPZrmTc9UIm8o9S5dz1Qg1Q0lRLk5hc2RhcUdTOklOVEMuSVFfVEVWX1RPVEFMX1JFVl9GV0QuNjAwMC43LzI2LzIwMDIBAAAAh1IAAAIAAAAQMy45NDMyNzEyMzk3NTYzMwENAAAABQAAAAE5AQAAAAcyNjIxMjk1AgAAAAcxNzU3MTM5AwAAAAYxMDAzMDcEAAAAATIGAAAAATAHAAAAAzE2MAgAAAABMAkAAAABMQoAAAABMAsAAAAKMTE2OTEyNTY5MwwAAAACMTINAAAACTcvMjcvMjAwMjtyaLmTc9UIu19TSZdz1Qg1Q0lRLk5BU0RBUUdTOklOVEMuSVFfVEVWX0VCSVREQV9GV0RfQ0lRLjYwMDAuOC8xLzIwMTQBAAAAh1IAAAIAAAAQNi42Mzk2MTUyODM0MDQ2NQENAAAABQAAAAE5AQAAAAcyNjIxMjk1AgAAAAc0NDU2NDI4AwAAAAYxMDAzMDgEAAAAATIGAAAAATAHAAAA</t>
  </si>
  <si>
    <t>AzE2MAgAAAABMAkAAAABMQoAAAABMAsAAAAKODY0ODc5NDUwNQwAAAACMTINAAAACDgvMi8yMDE0e8dTu5Nz1QgbYI2ul3PVCC1DSVEuXlNQWC5JUV9URVZfRUJJVERBX0ZXRF9DSVEuNjAwMC4zLzE5LzIwMTQBAAAAm7goAAIAAAAIOC44OTkwNDcAm+tmuZNz1QibWTtLl3PVCC5DSVEuTkFTREFRR1M6SU5UQy5JUV9QRV9FWENMX0ZXRC42MDAwLjEvNS8yMDA3AQAAAIdSAAACAAAADzIwLjkyMDA4NzI0OTY1MwENAAAABQAAAAE5AQAAAAcyNjIxMjk1AgAAAAcxNzU3MTUyAwAAAAYxMDAzMDkEAAAAATIGAAAAATAHAAAAAzE2MAgAAAABMAkAAAABMQoAAAABMAsAAAAKNjcyNzQ4OTY5NwwAAAACMTINAAAACDEvNi8yMDA3W2KzvZNz1Qj7+1NJl3PVCC9DSVEuTkFTREFRR1M6SU5UQy5JUV9QUklDRV9TQUxFUy4yMDAwLjcvMjQvMjAxNQEAAACHUgAAAgAAAAgyLjQzMTM5OQEHAAAABQAAAAExAQAAAAoxNzQ2MTIwNDc2AwAAAAEwAgAAAAUzODk1OAQAAAABMAcAAAAJNy8yNC8yMDE1CAAAAAk3LzI0LzIwMTV7nWa5k3PVCMuGU0mXc9UINENJUS5OYXNkYXFHUzpJTlRDLklRX1RFVl9UT1RBTF9SRVZfRldELjYwMDAuNi84LzIwMDcBAAAAh1IAAAIAAAAQMy4xODI1MjIyODc1NTU5NgENAAAABQAAAAE5AQAAAAcyNjIxMjk1AgAAAAcxNzU3MTUzAwAAAAYxMDAzMDcEAAAAATIGAAAAATAHAAAAAzE2MAgAAAAB</t>
  </si>
  <si>
    <t>MAkAAAABMQoAAAABMAsAAAAKODg1MTk1OTkxNwwAAAACMTINAAAACDYvOS8yMDA365dWuZNz1QiLW1VJl3PVCDVDSVEuTmFzZGFxR1M6SU5UQy5JUV9URVZfVE9UQUxfUkVWX0ZXRC42MDAwLjMvMjAvMjAwOAEAAACHUgAAAgAAABAyLjgwMTY1NDAyMjQzOTU1AQ0AAAAFAAAAATkBAAAABzI2MjEyOTUCAAAABDE4ODMDAAAABjEwMDMwNwQAAAABMgYAAAABMAcAAAADMTYwCAAAAAEwCQAAAAExCgAAAAEwCwAAAAkzNjA3MDAyNTMMAAAAAjEyDQAAAAkzLzIxLzIwMDi7KbG7k3PVCLt9TkmXc9UINkNJUS5OYXNkYXFHUzpJTlRDLklRX1RFVl9UT1RBTF9SRVZfRldELjYwMDAuMTAvMTUvMjAxMAEAAACHUgAAAgAAABAyLjAyNTAwNDg3NTQ4MzMzAQ0AAAAFAAAAATkBAAAABzI2MjEyOTUCAAAABzE3NTcxNjQDAAAABjEwMDMwNwQAAAABMgYAAAABMAcAAAADMTYwCAAAAAEwCQAAAAExCgAAAAEwCwAAAAo4ODY0NDIxMTAxDAAAAAIxMg0AAAAKMTAvMTYvMjAxMJv+s72Tc9UIWyJLSZdz1QguQ0lRLl5TUFguSVFfVEVWX0VCSVREQV9GV0RfQ0lRLjYwMDAuMTIvMTQvMjAxNgEAAACbuCgAAgAAAAkxMC4wMDc1OTMAKwRTu5Nz1QhbcR1Ll3PVCC9DSVEuTkFTREFRR1M6SU5UQy5JUV9QRV9FWENMX0ZXRC42MDAwLjQvMTcvMjAwOQEAAACHUgAAAgAAABAyNi43MDMxODM4NDExNTAzAQ0AAAAFAAAAATkBAAAABzI2</t>
  </si>
  <si>
    <t>MjEyOTUCAAAABzE3NTcxNTkDAAAABjEwMDMwOQQAAAABMgYAAAABMAcAAAADMTYwCAAAAAEwCQAAAAExCgAAAAEwCwAAAAo4ODYzMTkxNDkxDAAAAAIxMg0AAAAJNC8xOC8yMDA5OxSzvZNz1QirOFNJl3PVCDRDSVEuTmFzZGFxR1M6SU5UQy5JUV9URVZfVE9UQUxfUkVWX0ZXRC42MDAwLjEvNi8yMDEyAQAAAIdSAAACAAAAEDIuMjMyMjQwMDc4MzI5MTMBDQAAAAUAAAABOQEAAAAHMjYyMTI5NQIAAAAHMTc1NzE2NwMAAAAGMTAwMzA3BAAAAAEyBgAAAAEwBwAAAAMxNjAIAAAAATAJAAAAATEKAAAAATALAAAACjg4NjQ0MzEwOTcMAAAAAjEyDQAAAAgxLzcvMjAxMuuXVrmTc9UIi1tVSZdz1QgrQ0lRLk5BU0RBUUdTOklOVEMuSVFfTEFTVFNBTEVQUklDRS4zLzgvMjAxNwEAAACHUgAAAgAAAAUzNS42MgBbP7C7k3PVCFuPGEuXc9UIL0NJUS5OQVNEQVFHUzpJTlRDLklRX1BSSUNFX1NBTEVTLjIwMDAuOC8xNi8yMDEzAQAAAIdSAAACAAAACDIuMDgyNjA1AQcAAAAFAAAAATEBAAAACjE2Mjg0MzY4NDkDAAAAATACAAAABTM4OTU4BAAAAAEwBwAAAAk4LzE2LzIwMTMIAAAACTgvMTYvMjAxM6tDr72Tc9UIW8hZSZdz1QgtQ0lRLl5TUFguSVFfVEVWX0VCSVREQV9GV0RfQ0lRLjYwMDAuNC8yMi8yMDE1AQAAAJu4KAACAAAACTEwLjAwNjY5MgDr/rm3k3PVCMsKMkuXc9UINENJUS5OYXNkYXFHUzpJTlRDLklR</t>
  </si>
  <si>
    <t>X1RFVl9UT1RBTF9SRVZfRldELjYwMDAuNy84LzIwMTEBAAAAh1IAAAIAAAAOMi4xMDI4MDU2MTA3MjIBDQAAAAUAAAABOQEAAAAHMjYyMTI5NQIAAAAHMTc1NzE2NQMAAAAGMTAwMzA3BAAAAAEyBgAAAAEwBwAAAAMxNjAIAAAAATAJAAAAATEKAAAAATALAAAACjg4NjI1NDA4MjgMAAAAAjEyDQAAAAg3LzkvMjAxMbs5Z7mTc9UIK+JWSZdz1QgtQ0lRLl5TUFguSVFfVEVWX0VCSVREQV9GV0RfQ0lRLjYwMDAuOC8yNC8yMDE2AQAAAJu4KAACAAAACTEwLjIzMTY2OQDr/rm3k3PVCIs5JUuXc9UII0NJUS5eU1BYLklRX0xBU1RTQUxFUFJJQ0UuNC8xMC8yMDEzAQAAAJu4KAACAAAAEDE1ODcuNzMxODI3Mjk3NDYAO+pUuZNz1Qibyj1Ll3PVCDZDSVEuTkFTREFRR1M6SU5UQy5JUV9URVZfRUJJVERBX0ZXRF9DSVEuNjAwMC4yLzIyLzIwMDIBAAAAh1IAAAIAAAAPMTcuNjQ5NDgzNzQ5MjY3AQ0AAAAFAAAAATkBAAAABzI2MjEyOTUCAAAABDE4NzcDAAAABjEwMDMwOAQAAAABMgYAAAABMAcAAAADMTYwCAAAAAEwCQAAAAExCgAAAAEwCwAAAAkzNjA2NTYwNTEMAAAAAjEyDQAAAAkyLzIzLzIwMDJb6lW7k3PVCHtKjq6Xc9UIL0NJUS5OQVNEQVFHUzpJTlRDLklRX1BSSUNFX1NBTEVTLjIwMDAuOC8yOS8yMDE0AQAAAIdSAAACAAAACDMuMjIzNzEzAQcAAAAFAAAAATEBAAAACjE2ODgwODA5OTIDAAAAATACAAAA</t>
  </si>
  <si>
    <t>BTM4OTU4BAAAAAEwBwAAAAk4LzI5LzIwMTQIAAAACTgvMjkvMjAxNMuwubeTc9UIG/dMSZdz1QgtQ0lRLk5BU0RBUUdTOklOVEMuSVFfTEFTVFNBTEVQUklDRS4xMi8xMS8yMDEzAQAAAIdSAAACAAAABTI0LjQyAMuRr72Tc9UIG5I8S5dz1Qg2Q0lRLk5BU0RBUUdTOklOVEMuSVFfVEVWX0VCSVREQV9GV0RfQ0lRLjYwMDAuOS8yMy8yMDE2AQAAAIdSAAACAAAAEDcuOTgxMTgyMTM1MjQwNDQBDQAAAAUAAAABOQEAAAAHMjYyMTI5NQIAAAAIMjcwMDM2NTIDAAAABjEwMDMwOAQAAAABMgYAAAABMAcAAAADMTYwCAAAAAEwCQAAAAExCgAAAAEwCwAAAAo5NzI5OTk2OTQxDAAAAAIxMg0AAAAJOS8yNC8yMDE2S1JTu5Nz1QgbYI2ul3PVCChDSVEuTkFTREFRR1M6SU5UQy5JUV9QVEJWLjIwMDAuOC8xNy8yMDEyAQAAAIdSAAACAAAACDMuOTU2MjQ3AQcAAAAFAAAAATEBAAAACjE1NTcyMTYyNDYDAAAAATACAAAABjEwMDAyOQQAAAABMAcAAAAJOC8xNy8yMDEyCAAAAAk4LzE3LzIwMTLLsLm3k3PVCCseTUmXc9UINUNJUS5OYXNkYXFHUzpJTlRDLklRX1RFVl9UT1RBTF9SRVZfRldELjYwMDAuMTAvMi8yMDE1AQAAAIdSAAACAAAAEDIuNTQyODI4NDQxMTE2MTUBDQAAAAUAAAABOQEAAAAHMjYyMTI5NQIAAAAHODA2ODI2MQMAAAAGMTAwMzA3BAAAAAEyBgAAAAEwBwAAAAMxNjAIAAAAATAJAAAAATEKAAAAATAL</t>
  </si>
  <si>
    <t>AAAACjkwMzYwOTAyNTMMAAAAAjEyDQAAAAkxMC8zLzIwMTWrJbS9k3PVCKtWTkmXc9UILkNJUS5OQVNEQVFHUzpJTlRDLklRX1BFX0VYQ0xfRldELjYwMDAuNy8zLzIwMDgBAAAAh1IAAAIAAAAQMTUuNDg2MDk1NDk1MDkwMwENAAAABQAAAAE5AQAAAAcyNjIxMjk1AgAAAAcxNzU3MTU2AwAAAAYxMDAzMDkEAAAAATIGAAAAATAHAAAAAzE2MAgAAAABMAkAAAABMQoAAAABMAsAAAAKODE3MTU3Nzc2OAwAAAACMTINAAAACDcvNC8yMDA4SzuzvZNz1QirVk5Jl3PVCChDSVEuTkFTREFRR1M6SU5UQy5JUV9QVEJWLjIwMDAuOC8yOS8yMDE0AQAAAIdSAAACAAAACDMuOTMzMjU5AQcAAAAFAAAAATEBAAAACjE2ODgwODA5OTIDAAAAATACAAAABjEwMDAyOQQAAAABMAcAAAAJOC8yOS8yMDE0CAAAAAk4LzI5LzIwMTS7aq+9k3PVCCtTWUmXc9UILkNJUS5eU1BYLklRX1RFVl9FQklUREFfRldEX0NJUS42MDAwLjExLzIwLzIwMTMBAAAAm7goAAIAAAAIOC41NDk1ODIA6/65t5Nz1QgruTxLl3PVCDZDSVEuTmFzZGFxR1M6SU5UQy5JUV9URVZfVE9UQUxfUkVWX0ZXRC42MDAwLjEwLzI2LzIwMTIBAAAAh1IAAAIAAAAQMS45ODM3MTYyNzUyODExNQENAAAABQAAAAE5AQAAAAcyNjIxMjk1AgAAAAcxNzU3MTcwAwAAAAYxMDAzMDcEAAAAATIGAAAAATAHAAAAAzE2MAgAAAABMAkAAAABMQoAAAABMAsAAAAKODg2NDQz</t>
  </si>
  <si>
    <t>NDM0MQwAAAACMTINAAAACjEwLzI3LzIwMTL7vla5k3PVCDuYVEmXc9UILENJUS5OQVNEQVFHUzpJTlRDLklRX0xBU1RTQUxFUFJJQ0UuMi8yMi8yMDE3AQAAAIdSAAACAAAABTM2LjA3AOv+ubeTc9UIu3kZS5dz1QguQ0lRLk5BU0RBUUdTOklOVEMuSVFfUEVfRVhDTF9GV0QuNjAwMC43LzEvMjAxNgEAAACHUgAAAgAAABAxMy4yOTQwOTM3NjkwMjc4AQ0AAAAFAAAAATkBAAAABzI2MjEyOTUCAAAACDI3MDAzNjUxAwAAAAYxMDAzMDkEAAAAATIGAAAAATAHAAAAAzE2MAgAAAABMAkAAAABMQoAAAABMAsAAAAKOTU3MDU3OTQ5NAwAAAACMTINAAAACDcvMi8yMDE22ymyvZNz1Qg7J1JJl3PVCB5DSVEuXlNQWC5JUV9QVEJWLjIwMDAuMy85LzIwMTYBAAAAm7goAAIAAAAINi42ODY0NzMAy5GvvZNz1QjrBStLl3PVCDBDSVEuTkFTREFRR1M6SU5UQy5JUV9QRV9FWENMX0ZXRC42MDAwLjEyLzEyLzIwMDMBAAAAh1IAAAIAAAAQMjYuNDE0NDQ4MzQzNzQ3MwENAAAABQAAAAE5AQAAAAcyNjIxMjk1AgAAAAcxNzU3MTQzAwAAAAYxMDAzMDkEAAAAATIGAAAAATAHAAAAAzE2MAgAAAABMAkAAAABMQoAAAABMAsAAAAKNjg4MzY5NTA0MwwAAAACMTINAAAACjEyLzEzLzIwMDN7sLO9k3PVCGsNVUmXc9UINENJUS5OQVNEQVFHUzpJTlRDLklRX1RFVl9UT1RBTF9SRVZfRldELjYwMDAuMi83LzIwMTQBAAAAh1IAAAIA</t>
  </si>
  <si>
    <t>AAAQMi4xMzk3Mjg5NDc2MDE3MQENAAAABQAAAAE5AQAAAAcyNjIxMjk1AgAAAAc0NDU2NDIxAwAAAAYxMDAzMDcEAAAAATIGAAAAATAHAAAAAzE2MAgAAAABMAkAAAABMQoAAAABMAsAAAAKNjQ5NzgyMjQzNAwAAAACMTINAAAACDIvOC8yMDE0K5u6t5Nz1QiLW1VJl3PVCDRDSVEuTmFzZGFxR1M6SU5UQy5JUV9URVZfVE9UQUxfUkVWX0ZXRC42MDAwLjYvMi8yMDA2AQAAAIdSAAACAAAAEDIuNjU3Njk1MTc0NDczODkBDQAAAAUAAAABOQEAAAAHMjYyMTI5NQIAAAAHMTc1NzE1MAMAAAAGMTAwMzA3BAAAAAEyBgAAAAEwBwAAAAMxNjAIAAAAATAJAAAAATEKAAAAATALAAAACjg4NjA0OTk3MDgMAAAAAjEyDQAAAAg2LzMvMjAwNotfVruTc9UIa35XSZdz1QgpQ0lRLk5BU0RBUUdTOklOVEMuSVFfUFRCVi4yMDAwLjEyLzEzLzIwMTMBAAAAh1IAAAIAAAAIMy4wNTQxMzcBBwAAAAUAAAABMQEAAAAKMTY0MjQ4Mzc5MgMAAAABMAIAAAAGMTAwMDI5BAAAAAEwBwAAAAoxMi8xMy8yMDEzCAAAAAoxMi8xMy8yMDEzW09muZNz1QibglVJl3PVCDZDSVEuTkFTREFRR1M6SU5UQy5JUV9URVZfRUJJVERBX0ZXRF9DSVEuNjAwMC4xLzEwLzIwMDMBAAAAh1IAAAIAAAAQMTAuNTUxNjE3MDE5Nzk3NQENAAAABQAAAAE5AQAAAAcyNjIxMjk1AgAAAAcxNzU3MTQwAwAAAAYxMDAzMDgEAAAAATIGAAAAATAHAAAAAzE2MAgA</t>
  </si>
  <si>
    <t>AAABMAkAAAABMQoAAAABMAsAAAAKMTE2OTEyNjU2NAwAAAACMTINAAAACTEvMTEvMjAwM0vDVbuTc9UIu+aOrpdz1QgvQ0lRLk5BU0RBUUdTOklOVEMuSVFfUEVfRVhDTF9GV0QuNjAwMC4xMS8yLzIwMTIBAAAAh1IAAAIAAAAQMTEuMTkwNTg0ODkzMjE3NwENAAAABQAAAAE5AQAAAAcyNjIxMjk1AgAAAAcxNzU3MTcwAwAAAAYxMDAzMDkEAAAAATIGAAAAATAHAAAAAzE2MAgAAAABMAkAAAABMQoAAAABMAsAAAAKODg2MzQzNDYyNQwAAAACMTINAAAACTExLzMvMjAxMgufsr2Tc9UICwVZSZdz1QgvQ0lRLk5BU0RBUUdTOklOVEMuSVFfUFJJQ0VfU0FMRVMuMjAwMC4xMC84LzIwMTQBAAAAh1IAAAIAAAAIMy4xNjM3MDcBBwAAAAUAAAABMQEAAAAKMTY4ODA4MDk5MgMAAAABMAIAAAAFMzg5NTgEAAAAATAHAAAACTEwLzgvMjAxNAgAAAAJMTAvOC8yMDE0SxFVuZNz1Qi7xTZLl3PVCC9DSVEuTkFTREFRR1M6SU5UQy5JUV9QUklDRV9TQUxFUy4yMDAwLjEyLzIvMjAxNQEAAACHUgAAAgAAAAgzLjAwMTczNwEHAAAABQAAAAExAQAAAAoxNzYxNzA2ODI3AwAAAAEwAgAAAAUzODk1OAQAAAABMAcAAAAJMTIvMi8yMDE1CAAAAAkxMi8yLzIwMTVrdma5k3PVCPudLUuXc9UILENJUS5eU1BYLklRX1RFVl9FQklUREFfRldEX0NJUS42MDAwLjUvNy8yMDE0AQAAAJu4KAACAAAACDguNzk1NTg4AGtmsLuTc9UI24Q5</t>
  </si>
  <si>
    <t>S5dz1QgtQ0lRLl5TUFguSVFfVEVWX1RPVEFMX1JFVl9GV0QuNjAwMC4xMi8yNC8yMDE0AQAAAJu4KAACAAAABzEuOTk4NzUAG91Su5Nz1QgrZjVLl3PVCCxDSVEuXlNQWC5JUV9URVZfVE9UQUxfUkVWX0ZXRC42MDAwLjgvMzAvMjAxNwEAAACbuCgAAgAAAAgyLjIxNzgxNwBrZrC7k3PVCBsY/UqXc9UILkNJUS5OQVNEQVFHUzpJTlRDLklRX1BFX0VYQ0xfRldELjYwMDAuMy85LzIwMDEBAAAAh1IAAAIAAAAQNDMuNjUxMjA1NTUxNzY2MQENAAAABQAAAAE5AQAAAAcyNjIxMjk1AgAAAAczMTUxMzAxAwAAAAYxMDAzMDkEAAAAATIGAAAAATAHAAAAAzE2MAgAAAABMAkAAAABMQoAAAABMAsAAAAJMzExNTUwODg3DAAAAAIxMg0AAAAJMy8xMC8yMDAxm/6zvZNz1QjbHlZJl3PVCCJDSVEuXlNQWC5JUV9MQVNUU0FMRVBSSUNFLjkvMy8yMDE0AQAAAJu4KAACAAAAEDIwMDAuNzIzNjMxNTE0OTEAC7ZSu5Nz1QjL7DZLl3PVCDZDSVEuTmFzZGFxR1M6SU5UQy5JUV9URVZfVE9UQUxfUkVWX0ZXRC42MDAwLjExLzExLzIwMTEBAAAAh1IAAAIAAAAQMi4wODU0Mzg3NzE4MDg1OQENAAAABQAAAAE5AQAAAAcyNjIxMjk1AgAAAAcxNzU3MTY3AwAAAAYxMDAzMDcEAAAAATIGAAAAATAHAAAAAzE2MAgAAAABMAkAAAABMQoAAAABMAsAAAAKODg2NDQyNDU4MgwAAAACMTINAAAACjExLzEyLzIwMTG7+ru3k3PVCCtxVEmX</t>
  </si>
  <si>
    <t>c9UIKENJUS5OQVNEQVFHUzpJTlRDLklRX1BUQlYuMjAwMC43LzI4LzIwMTcBAAAAh1IAAAIAAAAHMy42MzQxNwEHAAAABQAAAAExAQAAAAoxODUwNjE4NjY0AwAAAAEwAgAAAAYxMDAwMjkEAAAAATAHAAAACTcvMjgvMjAxNwgAAAAJNy8yOC8yMDE3y7C5t5Nz1Qgb90xJl3PVCC5DSVEuTkFTREFRR1M6SU5UQy5JUV9QUklDRV9TQUxFUy4yMDAwLjkvMi8yMDE2AQAAAIdSAAACAAAACDMuMDE0MTAxAQcAAAAFAAAAATEBAAAACjE4MDEyOTQ1MDEDAAAAATACAAAABTM4OTU4BAAAAAEwBwAAAAg5LzIvMjAxNggAAAAIOS8yLzIwMTarQ6+9k3PVCHsWWkmXc9UINUNJUS5OYXNkYXFHUzpJTlRDLklRX1RFVl9UT1RBTF9SRVZfRldELjYwMDAuNy8xNC8yMDE3AQAAAIdSAAACAAAAEDIuODY5NzcwOTUyMjIwMjgBDQAAAAUAAAABOQEAAAAHMjYyMTI5NQIAAAAIMjc1MDAxNzIDAAAABjEwMDMwNwQAAAABMgYAAAABMAcAAAADMTYwCAAAAAEwCQAAAAExCgAAAAEwCwAAAAsxMDMwMjgzNDI0NgwAAAACMTINAAAACTcvMTUvMjAxN+tJV7uTc9UI64FMSZdz1QgvQ0lRLk5BU0RBUUdTOklOVEMuSVFfUFJJQ0VfU0FMRVMuMjAwMC45LzE3LzIwMTQBAAAAh1IAAAIAAAAIMy4yMjkyNTIBBwAAAAUAAAABMQEAAAAKMTY4ODA4MDk5MgMAAAABMAIAAAAFMzg5NTgEAAAAATAHAAAACTkvMTcvMjAxNAgAAAAJOS8xNy8yMDE0</t>
  </si>
  <si>
    <t>a3ZmuZNz1Qj7YTdLl3PVCC9DSVEuTkFTREFRR1M6SU5UQy5JUV9QUklDRV9TQUxFUy4yMDAwLjkvMTYvMjAxMQEAAACHUgAAAgAAAAgyLjQ4MTAyNQEHAAAABQAAAAExAQAAAAoxNDY1NjMxMDcxAwAAAAEwAgAAAAUzODk1OAQAAAABMAcAAAAJOS8xNi8yMDExCAAAAAk5LzE2LzIwMTFbOFW5k3PVCLt9TkmXc9UILENJUS5eU1BYLklRX1RFVl9FQklUREFfRldEX0NJUS42MDAwLjcvNi8yMDE2AQAAAJu4KAACAAAACTEwLjE3ODc4MwD7+Ii2k3PVCNttKEuXc9UINkNJUS5OYXNkYXFHUzpJTlRDLklRX1RFVl9UT1RBTF9SRVZfRldELjYwMDAuMTEvMTYvMjAwNwEAAACHUgAAAgAAABAzLjM2MjQ5ODk0MzI2OTg2AQ0AAAAFAAAAATkBAAAABzI2MjEyOTUCAAAABzE3NTcxNTUDAAAABjEwMDMwNwQAAAABMgYAAAABMAcAAAADMTYwCAAAAAEwCQAAAAExCgAAAAEwCwAAAAo4ODY0MzMwMTE5DAAAAAIxMg0AAAAKMTEvMTcvMjAwN9tIvLeTc9UIi1tVSZdz1QgoQ0lRLk5BU0RBUUdTOklOVEMuSVFfUFRCVi4yMDAwLjExLzgvMjAxMwEAAACHUgAAAgAAAAczLjAyODk5AQcAAAAFAAAAATEBAAAACjE2NDI0ODM3OTIDAAAAATACAAAABjEwMDAyOQQAAAABMAcAAAAJMTEvOC8yMDEzCAAAAAkxMS84LzIwMTOrQ6+9k3PVCDt6WUmXc9UII0NJUS5eU1BYLklRX0xBU1RTQUxFUFJJQ0UuMi8yNS8yMDE1AQAAAJu4KAAC</t>
  </si>
  <si>
    <t>AAAAEDIxMTMuODYzNTE0ODEyNzUAK8NUuZNz1QgbzjJLl3PVCB9DSVEuXlNQWC5JUV9QVEJWLjIwMDAuOC8yNi8yMDE1AQAAAJu4KAACAAAACDUuOTEzNzU0AMuRr72Tc9UI28AvS5dz1QgsQ0lRLl5TUFguSVFfVEVWX1RPVEFMX1JFVl9GV0QuNjAwMC4zLzEzLzIwMTMBAAAAm7goAAIAAAAIMS41ODE3NTcAm+tmuZNz1Qi7GD5Ll3PVCC9DSVEuTkFTREFRR1M6SU5UQy5JUV9QRV9FWENMX0ZXRC42MDAwLjgvMjIvMjAwOAEAAACHUgAAAgAAABAxNi43NjA2MTM2MjgyNTU0AQ0AAAAFAAAAATkBAAAABzI2MjEyOTUCAAAABzE3NTcxNTcDAAAABjEwMDMwOQQAAAABMgYAAAABMAcAAAADMTYwCAAAAAEwCQAAAAExCgAAAAEwCwAAAAo4ODY0NDg1MTY5DAAAAAIxMg0AAAAJOC8yMy8yMDA4OxSzvZNz1QjLaFhJl3PVCB9DSVEuXlNQWC5JUV9QVEJWLjIwMDAuMi8xMS8yMDE1AQAAAJu4KAACAAAACDUuNjUwMDc3AOtnUruTc9UImwY0S5dz1QgwQ0lRLk5BU0RBUUdTOklOVEMuSVFfUFJJQ0VfU0FMRVMuMjAwMC4xMS8xMS8yMDExAQAAAIdSAAACAAAACDIuNTkwNDU5AQcAAAAFAAAAATEBAAAACjE0ODAyMTUzODEDAAAAATACAAAABTM4OTU4BAAAAAEwBwAAAAoxMS8xMS8yMDExCAAAAAoxMS8xMS8yMDEx29e5t5Nz1Qh7cEtJl3PVCCZDSVEuXlNQWC5JUV9QRV9FWENMX0ZXRC42MDAwLjMvMjkvMjAxNwEAAACb</t>
  </si>
  <si>
    <t>uCgAAgAAAAgxOC4xOTQ3MgCb62a5k3PVCMu+FEuXc9UINUNJUS5OYXNkYXFHUzpJTlRDLklRX1RFVl9UT1RBTF9SRVZfRldELjYwMDAuNC8yMS8yMDExAQAAAIdSAAACAAAAEDEuOTczMTk0NzM3MTM0NTkBDQAAAAUAAAABOQEAAAAHMjYyMTI5NQIAAAAHMTc1NzE2NQMAAAAGMTAwMzA3BAAAAAEyBgAAAAEwBwAAAAMxNjAIAAAAATAJAAAAATEKAAAAATALAAAACjg4NjI1NDA4MTUMAAAAAjEyDQAAAAk0LzIyLzIwMTHbSLy3k3PVCIvMV0mXc9UILENJUS5eU1BYLklRX1RFVl9UT1RBTF9SRVZfRldELjYwMDAuMS8xNy8yMDE4AQAAAJu4KAACAAAACDIuNDI1MTU0ABvdUruTc9UI+0aASpdz1Qg2Q0lRLk5hc2RhcUdTOklOVEMuSVFfVEVWX1RPVEFMX1JFVl9GV0QuNjAwMC4xMi8yNC8yMDA5AQAAAIdSAAACAAAAEDIuNjQ5Mzg2NjM4NjQ0NzMBDQAAAAUAAAABOQEAAAAHMjYyMTI5NQIAAAAHMTc1NzE2MQMAAAAGMTAwMzA3BAAAAAEyBgAAAAEwBwAAAAMxNjAIAAAAATAJAAAAATEKAAAAATALAAAACjExNjkxNTAyMDQMAAAAAjEyDQAAAAoxMi8yNS8yMDA565dWuZNz1Qhr71lJl3PVCC5DSVEuTkFTREFRR1M6SU5UQy5JUV9QUklDRV9TQUxFUy4yMDAwLjEvOC8yMDE0AQAAAIdSAAACAAAACDIuNDEzMzc1AQcAAAAFAAAAATEBAAAACjE2NDI0ODM3OTIDAAAAATACAAAABTM4OTU4BAAAAAEwBwAAAAgxLzgv</t>
  </si>
  <si>
    <t>MjAxNAgAAAAIMS84LzIwMTRLGLC7k3PVCAtrPEuXc9UINkNJUS5OYXNkYXFHUzpJTlRDLklRX1RFVl9FQklUREFfRldEX0NJUS42MDAwLjEvMjQvMjAwMwEAAACHUgAAAgAAABA4LjQxMjExNTg4MDkzOTg0AQ0AAAAFAAAAATkBAAAABzI2MjEyOTUCAAAABDE4NzgDAAAABjEwMDMwOAQAAAABMgYAAAABMAcAAAADMTYwCAAAAAEwCQAAAAExCgAAAAEwCwAAAAkzNjA2NTkwNDEMAAAAAjEyDQAAAAkxLzI1LzIwMDOL17O9k3PVCHtKjq6Xc9UINENJUS5OYXNkYXFHUzpJTlRDLklRX1RFVl9UT1RBTF9SRVZfRldELjYwMDAuNS84LzIwMDkBAAAAh1IAAAIAAAAQMi40NjIxOTg2NTc3OTE3OAENAAAABQAAAAE5AQAAAAcyNjIxMjk1AgAAAAcxNzU3MTU5AwAAAAYxMDAzMDcEAAAAATIGAAAAATAHAAAAAzE2MAgAAAABMAkAAAABMQoAAAABMAsAAAAKNDg5MzkwNDg1NgwAAAACMTINAAAACDUvOS8yMDA5656xu5Nz1QgLBVlJl3PVCC9DSVEuTkFTREFRR1M6SU5UQy5JUV9QRV9FWENMX0ZXRC42MDAwLjUvMTQvMjAwNAEAAACHUgAAAgAAABAyMS4zNDE3NTIxNzA0ODE1AQ0AAAAFAAAAATkBAAAABzI2MjEyOTUCAAAABzE3NTcxNDQDAAAABjEwMDMwOQQAAAABMgYAAAABMAcAAAADMTYwCAAAAAEwCQAAAAExCgAAAAEwCwAAAAo4ODY0MTAwNDE4DAAAAAIxMg0AAAAJNS8xNS8yMDA0a4mzvZNz1Qirx1BJl3PVCCtD</t>
  </si>
  <si>
    <t>SVEuXlNQWC5JUV9URVZfVE9UQUxfUkVWX0ZXRC42MDAwLjIvNy8yMDE4AQAAAJu4KAACAAAACDIuMzA3NjE5ANu4r72Tc9UIe2TKSZdz1QgvQ0lRLk5BU0RBUUdTOklOVEMuSVFfUFJJQ0VfU0FMRVMuMjAwMC40LzI0LzIwMTUBAAAAh1IAAAIAAAAIMi43Nzk4MTMBBwAAAAUAAAABMQEAAAAKMTcyODIxNDMxNAMAAAABMAIAAAAFMzg5NTgEAAAAATAHAAAACTQvMjQvMjAxNQgAAAAJNC8yNC8yMDE1SxFVuZNz1Qgrj09Jl3PVCDZDSVEuTkFTREFRR1M6SU5UQy5JUV9URVZfRUJJVERBX0ZXRF9DSVEuNjAwMC42LzE5LzIwMTUBAAAAh1IAAAIAAAAPNi4zMjUyNjA3MzYzMTA0AQ0AAAAFAAAAATkBAAAABzI2MjEyOTUCAAAABzgwNjgyNjADAAAABjEwMDMwOAQAAAABMgYAAAABMAcAAAADMTYwCAAAAAEwCQAAAAExCgAAAAEwCwAAAAo5MDkwMTY4NzkxDAAAAAIxMg0AAAAJNi8yMC8yMDE1a6BTu5Nz1QiLcY6ul3PVCC1DSVEuXlNQWC5JUV9URVZfRUJJVERBX0ZXRF9DSVEuNjAwMC43LzI2LzIwMTcBAAAAm7goAAIAAAAJMTAuNTQzMDU0AHuGVbmTc9UI2z8GS5dz1QgvQ0lRLk5BU0RBUUdTOklOVEMuSVFfUEVfRVhDTF9GV0QuNjAwMC45LzI0LzIwMTABAAAAh1IAAAIAAAAQMTAuNDY0MTQ1MjUwNzk0NwENAAAABQAAAAE5AQAAAAcyNjIxMjk1AgAAAAcxNzU3MTYzAwAAAAYxMDAzMDkEAAAAATIGAAAAATAH</t>
  </si>
  <si>
    <t>AAAAAzE2MAgAAAABMAkAAAABMQoAAAABMAsAAAAKODg2Mzg0NDg3OAwAAAACMTINAAAACTkvMjUvMjAxMCvtsr2Tc9UIm6BQSZdz1QggQ0lRLl5TUFguSVFfUFRCVi4yMDAwLjExLzIwLzIwMTMBAAAAm7goAAIAAAAINS4yMTM3MzMAWzhVuZNz1QgruTxLl3PVCDZDSVEuTkFTREFRR1M6SU5UQy5JUV9URVZfRUJJVERBX0ZXRF9DSVEuNjAwMC41LzIzLzIwMDMBAAAAh1IAAAIAAAAQOS43NTg3MjU0MTU2NzI4MQENAAAABQAAAAE5AQAAAAcyNjIxMjk1AgAAAAcxNzU3MTQxAwAAAAYxMDAzMDgEAAAAATIGAAAAATAHAAAAAzE2MAgAAAABMAkAAAABMQoAAAABMAsAAAAKMTE2OTEyNjk4MwwAAAACMTINAAAACTUvMjQvMjAwM0vDVbuTc9UIO66Nrpdz1Qg1Q0lRLk5hc2RhcUdTOklOVEMuSVFfVEVWX1RPVEFMX1JFVl9GV0QuNjAwMC43LzIxLzIwMDYBAAAAh1IAAAIAAAAQMi42MTc3NzQ0MDI3OTMxMQENAAAABQAAAAE5AQAAAAcyNjIxMjk1AgAAAAcxNzU3MTUxAwAAAAYxMDAzMDcEAAAAATIGAAAAATAHAAAAAzE2MAgAAAABMAkAAAABMQoAAAABMAsAAAAKOTA3ODEzMzQwMgwAAAACMTINAAAACTcvMjIvMjAwNnuNsLuTc9UIK1NZSZdz1Qg1Q0lRLk5hc2RhcUdTOklOVEMuSVFfVEVWX1RPVEFMX1JFVl9GV0QuNjAwMC4xLzE1LzIwMTABAAAAh1IAAAIAAAAQMi41NDQ2NDYyOTAwMDgwMQENAAAABQAAAAE5</t>
  </si>
  <si>
    <t>AQAAAAcyNjIxMjk1AgAAAAQxODg1AwAAAAYxMDAzMDcEAAAAATIGAAAAATAHAAAAAzE2MAgAAAABMAkAAAABMQoAAAABMAsAAAAJMzYwNzM2MTQ1DAAAAAIxMg0AAAAJMS8xNi8yMDEwK0touZNz1Qi7fU5Jl3PVCDBDSVEuTkFTREFRR1M6SU5UQy5JUV9QUklDRV9TQUxFUy4yMDAwLjEwLzE2LzIwMTUBAAAAh1IAAAIAAAAHMi44NDc0NwEHAAAABQAAAAExAQAAAAoxNzYwMDE2MDU4AwAAAAEwAgAAAAUzODk1OAQAAAABMAcAAAAKMTAvMTYvMjAxNQgAAAAKMTAvMTYvMjAxNWt2ZrmTc9UIO5hUSZdz1Qg2Q0lRLk5hc2RhcUdTOklOVEMuSVFfVEVWX1RPVEFMX1JFVl9GV0QuNjAwMC4xMC8zMC8yMDE1AQAAAIdSAAACAAAADzIuNzkzMTEwNjgwOTUzNAENAAAABQAAAAE5AQAAAAcyNjIxMjk1AgAAAAc4MDY4MjYyAwAAAAYxMDAzMDcEAAAAATIGAAAAATAHAAAAAzE2MAgAAAABMAkAAAABMQoAAAABMAsAAAAKOTE1ODQ0MTYxOAwAAAACMTINAAAACjEwLzMxLzIwMTX7lry3k3PVCDsJV0mXc9UIJ0NJUS5eU1BYLklRX1BFX0VYQ0xfRldELjYwMDAuMTAvMjYvMjAxNgEAAACbuCgAAgAAAAkxNy4xMDMxNTYAG91Su5Nz1QhrCSBLl3PVCDVDSVEuTmFzZGFxR1M6SU5UQy5JUV9URVZfRUJJVERBX0ZXRF9DSVEuNjAwMC45LzkvMjAwNQEAAACHUgAAAgAAABA3LjkzOTg3NTkzNDk3MzkzAQ0AAAAFAAAAATkBAAAA</t>
  </si>
  <si>
    <t>BzI2MjEyOTUCAAAABzE3NTcxNDgDAAAABjEwMDMwOAQAAAABMgYAAAABMAcAAAADMTYwCAAAAAEwCQAAAAExCgAAAAEwCwAAAAoxMTY5MTMwOTY3DAAAAAIxMg0AAAAJOS8xMC8yMDA160lXu5Nz1Qg7ro2ul3PVCClDSVEuTkFTREFRR1M6SU5UQy5JUV9QVEJWLjIwMDAuMTAvMjIvMjAxMAEAAACHUgAAAgAAAAgyLjU1ODgzNgEHAAAABQAAAAExAQAAAAoxNDAxNDAxOTQxAwAAAAEwAgAAAAYxMDAwMjkEAAAAATAHAAAACjEwLzIyLzIwMTAIAAAACjEwLzIyLzIwMTBrdma5k3PVCDuYVEmXc9UILENJUS5eU1BYLklRX1RFVl9UT1RBTF9SRVZfRldELjYwMDAuMS8yNS8yMDE3AQAAAJu4KAACAAAACDIuMTQ2MzQ1AHuGVbmTc9UIWwAbS5dz1Qg2Q0lRLk5BU0RBUUdTOklOVEMuSVFfVEVWX0VCSVREQV9GV0RfQ0lRLjYwMDAuOS8xNS8yMDE3AQAAAIdSAAACAAAAEDcuMDA4MDE0OTAwNjk5MjIBDQAAAAUAAAABOQEAAAAHMjYyMTI5NQIAAAAIMjc1MDAxNzMDAAAABjEwMDMwOAQAAAABMgYAAAABMAcAAAADMTYwCAAAAAEwCQAAAAExCgAAAAEwCwAAAAsxMDQ5MTU4NjQ5MgwAAAACMTINAAAACTkvMTYvMjAxNzsrU7uTc9UIOx+Qrpdz1QgsQ0lRLk5BU0RBUUdTOklOVEMuSVFfTEFTVFNBTEVQUklDRS43LzMxLzIwMTMBAAAAh1IAAAIAAAAGMjMuMzM1ACvDVLmTc9UIa1U9S5dz1Qg2Q0lRLk5hc2RhcUdTOklO</t>
  </si>
  <si>
    <t>VEMuSVFfVEVWX1RPVEFMX1JFVl9GV0QuNjAwMC4xMS8xMi8yMDEwAQAAAIdSAAACAAAAEDIuMzA4NTQ3MjY3MjE5MjQBDQAAAAUAAAABOQEAAAAHMjYyMTI5NQIAAAAHMTc1NzE2NAMAAAAGMTAwMzA3BAAAAAEyBgAAAAEwBwAAAAMxNjAIAAAAATAJAAAAATEKAAAAATALAAAACjg4NjQ0MjExMDcMAAAAAjEyDQAAAAoxMS8xMy8yMDEw656xu5Nz1QibglVJl3PVCCxDSVEuTkFTREFRR1M6SU5UQy5JUV9MQVNUU0FMRVBSSUNFLjEvMjAvMjAxNgEAAACHUgAAAgAAAAUyOS41OQArw1S5k3PVCEvwK0uXc9UIIENJUS5eU1BYLklRX1BUQlYuMjAwMC4xMC8xMi8yMDE2AQAAAJu4KAACAAAABzcuNTU1NDEA62dSu5Nz1QhLLCJLl3PVCCRDSVEuXlNQWC5JUV9MQVNUU0FMRVBSSUNFLjExLzIyLzIwMTcBAAAAm7goAAIAAAAQMjU5Ny4wNzcyMDI2MTAyNgDLka+9k3PVCJux2UqXc9UIN0NJUS5OQVNEQVFHUzpJTlRDLklRX1RFVl9FQklUREFfRldEX0NJUS42MDAwLjEyLzE3LzIwMTABAAAAh1IAAAIAAAAQNS4wMjg4MTkyOTY0NTE1NAENAAAABQAAAAE5AQAAAAcyNjIxMjk1AgAAAAcxNzU3MTY0AwAAAAYxMDAzMDgEAAAAATIGAAAAATAHAAAAAzE2MAgAAAABMAkAAAABMQoAAAABMAsAAAAKODg2NTY4MzUyNgwAAAACMTINAAAACjEyLzE4LzIwMTC7Y1S7k3PVCPuCj66Xc9UIH0NJUS5eU1BYLklRX1BUQlYuMjAw</t>
  </si>
  <si>
    <t>MC42LzEwLzIwMTUBAAAAm7goAAIAAAAINi4yNTQwODYA62dSu5Nz1QhrIDFLl3PVCDVDSVEuTmFzZGFxR1M6SU5UQy5JUV9URVZfVE9UQUxfUkVWX0ZXRC42MDAwLjcvMjkvMjAxMQEAAACHUgAAAgAAABAxLjk2MzE3MjcyOTIwMzkyAQ0AAAAFAAAAATkBAAAABzI2MjEyOTUCAAAABzE3NTcxNjYDAAAABjEwMDMwNwQAAAABMgYAAAABMAcAAAADMTYwCAAAAAEwCQAAAAExCgAAAAEwCwAAAAo4ODY0NDMxMzQzDAAAAAIxMg0AAAAJNy8zMC8yMDEx20i8t5Nz1QibglVJl3PVCDVDSVEuTmFzZGFxR1M6SU5UQy5JUV9URVZfVE9UQUxfUkVWX0ZXRC42MDAwLjQvMjIvMjAxNgEAAACHUgAAAgAAABAyLjc3MjMxNTU0MTU3NDE5AQ0AAAAFAAAAATkBAAAABzI2MjEyOTUCAAAACDI3MDAzNjUxAwAAAAYxMDAzMDcEAAAAATIGAAAAATAHAAAAAzE2MAgAAAABMAkAAAABMQoAAAABMAsAAAAKOTQyMTI0ODg4NwwAAAACMTINAAAACTQvMjMvMjAxNkuZaLmTc9UIGyxZSZdz1QgpQ0lRLk5BU0RBUUdTOklOVEMuSVFfUFRCVi4yMDAwLjEyLzIzLzIwMTEBAAAAh1IAAAIAAAAINC4wODk4NDEBBwAAAAUAAAABMQEAAAAKMTQ4MDIxNTM4MQMAAAABMAIAAAAGMTAwMDI5BAAAAAEwBwAAAAoxMi8yMy8yMDExCAAAAAoxMi8yMy8yMDExW09muZNz1QibglVJl3PVCDRDSVEuTmFzZGFxR1M6SU5UQy5JUV9URVZfVE9UQUxfUkVW</t>
  </si>
  <si>
    <t>X0ZXRC42MDAwLjkvNC8yMDA5AQAAAIdSAAACAAAAEDIuNzc1ODk4MjgwMjkzNDgBDQAAAAUAAAABOQEAAAAHMjYyMTI5NQIAAAAHMTc1NzE2MAMAAAAGMTAwMzA3BAAAAAEyBgAAAAEwBwAAAAMxNjAIAAAAATAJAAAAATEKAAAAATALAAAACjg4NjQyMTA3NzAMAAAAAjEyDQAAAAg5LzUvMjAwORskaLmTc9UIW1dXSZdz1QggQ0lRLl5TUFguSVFfUFRCVi4yMDAwLjEwLzE0LzIwMTUBAAAAm7goAAIAAAAINi4wODcxMDMA29e5t5Nz1QiL/S5Ll3PVCCtDSVEuXlNQWC5JUV9URVZfVE9UQUxfUkVWX0ZXRC42MDAwLjMvOS8yMDE2AQAAAJu4KAACAAAACDEuOTk4MDIxAGtmsLuTc9UI6wUrS5dz1QguQ0lRLk5BU0RBUUdTOklOVEMuSVFfUEVfRVhDTF9GV0QuNjAwMC41LzYvMjAwNQEAAACHUgAAAgAAAA8xOC4yMzY2NTIwMjE3NDQBDQAAAAUAAAABOQEAAAAHMjYyMTI5NQIAAAAHMTc1NzE0NwMAAAAGMTAwMzA5BAAAAAEyBgAAAAEwBwAAAAMxNjAIAAAAATAJAAAAATEKAAAAATALAAAACjg4NjI4MDA0OTYMAAAAAjEyDQAAAAg1LzcvMjAwNWuJs72Tc9UIS79USZdz1QgtQ0lRLk5BU0RBUUdTOklOVEMuSVFfTEFTVFNBTEVQUklDRS4xMS8xMS8yMDE1AQAAAIdSAAACAAAABTMyLjg2AFs/sLuTc9UIOzouS5dz1QguQ0lRLk5BU0RBUUdTOklOVEMuSVFfUEVfRVhDTF9GV0QuNjAwMC4yLzYvMjAwNAEAAACHUgAA</t>
  </si>
  <si>
    <t>AgAAABAyNC42NzQ3ODUwNTQ0OTU1AQ0AAAAFAAAAATkBAAAABzI2MjEyOTUCAAAABDE4NzkDAAAABjEwMDMwOQQAAAABMgYAAAABMAcAAAADMTYwCAAAAAEwCQAAAAExCgAAAAEwCwAAAAo2MzkzMTYwOTY0DAAAAAIxMg0AAAAIMi83LzIwMDS7TLS9k3PVCItbVUmXc9UINkNJUS5OYXNkYXFHUzpJTlRDLklRX1RFVl9FQklUREFfRldEX0NJUS42MDAwLjIvMjAvMjAwNAEAAACHUgAAAgAAABAxMC42MzE0MzA4MjU2Mzg1AQ0AAAAFAAAAATkBAAAABzI2MjEyOTUCAAAABDE4NzkDAAAABjEwMDMwOAQAAAABMgYAAAABMAcAAAADMTYwCAAAAAEwCQAAAAExCgAAAAEwCwAAAAkzNjA2NjMyOTIMAAAAAjEyDQAAAAkyLzIxLzIwMDSrJbS9k3PVCHtKjq6Xc9UIK0NJUS5OQVNEQVFHUzpJTlRDLklRX0xBU1RTQUxFUFJJQ0UuNi8xLzIwMTYBAAAAh1IAAAIAAAAFMzEuNjYAy5GvvZNz1QhLfylLl3PVCDZDSVEuTmFzZGFxR1M6SU5UQy5JUV9URVZfRUJJVERBX0ZXRF9DSVEuNjAwMC44LzE0LzIwMTUBAAAAh1IAAAIAAAAQNS44OTIwODU2ODMzNTE4OAENAAAABQAAAAE5AQAAAAcyNjIxMjk1AgAAAAc4MDY4MjYxAwAAAAYxMDAzMDgEAAAAATIGAAAAATAHAAAAAzE2MAgAAAABMAkAAAABMQoAAAABMAsAAAAKODg5OTg0MjM0NgwAAAACMTINAAAACTgvMTUvMjAxNZvbsLuTc9UIi3GOrpdz1QgvQ0lRLk5BU0RBUUdT</t>
  </si>
  <si>
    <t>OklOVEMuSVFfUFJJQ0VfU0FMRVMuMjAwMC43LzMxLzIwMTUBAAAAh1IAAAIAAAAIMi41MDg1MTgBBwAAAAUAAAABMQEAAAAKMTc0NzM1OTUxMgMAAAABMAIAAAAFMzg5NTgEAAAAATAHAAAACTcvMzEvMjAxNQgAAAAJNy8zMS8yMDE1C7ZSu5Nz1QirqVVJl3PVCC9DSVEuTkFTREFRR1M6SU5UQy5JUV9QRV9FWENMX0ZXRC42MDAwLjIvMjYvMjAxNgEAAACHUgAAAgAAABAxMi42NDk3MzgwOTA5OTMyAQ0AAAAFAAAAATkBAAAABzI2MjEyOTUCAAAACjEwMDA5MTU0MDIDAAAABjEwMDMwOQQAAAABMgYAAAABMAcAAAADMTYwCAAAAAEwCQAAAAExCgAAAAEwCwAAAAo5MzI5NDMyNzkzDAAAAAIxMg0AAAAJMi8yNy8yMDE261CyvZNz1QgrU1lJl3PVCC9DSVEuTkFTREFRR1M6SU5UQy5JUV9QUklDRV9TQUxFUy4yMDAwLjYvMTEvMjAxNAEAAACHUgAAAgAAAAgyLjYyNzg3NgEHAAAABQAAAAExAQAAAAoxNjczMzc5MzI3AwAAAAEwAgAAAAUzODk1OAQAAAABMAcAAAAJNi8xMS8yMDE0CAAAAAk2LzExLzIwMTS7aq+9k3PVCKsPOUuXc9UILkNJUS5OQVNEQVFHUzpJTlRDLklRX1BFX0VYQ0xfRldELjYwMDAuOS83LzIwMDcBAAAAh1IAAAIAAAAQMjAuNjE1MTM1NTcyNjQyNwENAAAABQAAAAE5AQAAAAcyNjIxMjk1AgAAAAcxNzU3MTU0AwAAAAYxMDAzMDkEAAAAATIGAAAAATAHAAAAAzE2MAgAAAABMAkAAAABMQoA</t>
  </si>
  <si>
    <t>AAABMAsAAAALMTAzMzQyMDY5NDIMAAAAAjEyDQAAAAg5LzgvMjAwN0s7s72Tc9UIS05SSZdz1QhMQ0lRUkFOR0UuTkFTREFRR1M6SU5UQy5JUV9QVEJWLjIwMDAuMjAxMC8wMS8wMS4yLzIxLzIwMTguLkRFU0MuVy4uLkxUTSBQL1RCVgUAAAAAAAAACAAAABYoRXhjZWVkcyA4IFllYXIgTGltaXQpy7C5t5Nz1Qh7ZMpJl3PVCC9DSVEuTkFTREFRR1M6SU5UQy5JUV9QUklDRV9TQUxFUy4yMDAwLjEvMTYvMjAxNQEAAACHUgAAAgAAAAgzLjE5NzQ0OAEHAAAABQAAAAExAQAAAAoxNzE1MzI4NjQzAwAAAAEwAgAAAAUzODk1OAQAAAABMAcAAAAJMS8xNi8yMDE1CAAAAAkxLzE2LzIwMTU76lS5k3PVCEvdT0mXc9UINUNJUS5OYXNkYXFHUzpJTlRDLklRX1RFVl9UT1RBTF9SRVZfRldELjYwMDAuOC8xNC8yMDE1AQAAAIdSAAACAAAAEDIuNDExOTU2NzEwMTc0NTUBDQAAAAUAAAABOQEAAAAHMjYyMTI5NQIAAAAHODA2ODI2MQMAAAAGMTAwMzA3BAAAAAEyBgAAAAEwBwAAAAMxNjAIAAAAATAJAAAAATEKAAAAATALAAAACjkxMDk2MDQ2ODUMAAAAAjEyDQAAAAk4LzE1LzIwMTXbIle7k3PVCBtoT0mXc9UIHkNJUS5eU1BYLklRX1BUQlYuMjAwMC45LzIvMjAxNQEAAACbuCgAAgAAAAg1Ljk1MzMwMQDbqoi2k3PVCLtyL0uXc9UINkNJUS5OYXNkYXFHUzpJTlRDLklRX1RFVl9UT1RBTF9SRVZfRldELjYwMDAuMTAv</t>
  </si>
  <si>
    <t>MTAvMjAwMwEAAACHUgAAAgAAABA1LjgzNDAyNTIzMDY1MzI5AQ0AAAAFAAAAATkBAAAABzI2MjEyOTUCAAAABzE3NTcxNDIDAAAABjEwMDMwNwQAAAABMgYAAAABMAcAAAADMTYwCAAAAAEwCQAAAAExCgAAAAEwCwAAAAo5MTExMDYzMzA0DAAAAAIxMg0AAAAKMTAvMTEvMjAwM7spsbuTc9UIq1ZOSZdz1QgpQ0lRLk5BU0RBUUdTOklOVEMuSVFfUFRCVi4yMDAwLjEwLzIzLzIwMTUBAAAAh1IAAAIAAAAIMy45Mzk5MzQBBwAAAAUAAAABMQEAAAAKMTc2MDAxNjA1OAMAAAABMAIAAAAGMTAwMDI5BAAAAAEwBwAAAAoxMC8yMy8yMDE1CAAAAAoxMC8yMy8yMDE1q0OvvZNz1QhbyFlJl3PVCC9DSVEuTkFTREFRR1M6SU5UQy5JUV9QUklDRV9TQUxFUy4yMDAwLjMvMTgvMjAxMQEAAACHUgAAAgAAAAgyLjUzNzkwNwEHAAAABQAAAAExAQAAAAoxNDMwNjI0NTA5AwAAAAEwAgAAAAUzODk1OAQAAAABMAcAAAAJMy8xOC8yMDExCAAAAAkzLzE4LzIwMTF7nWa5k3PVCOvUU0mXc9UIH0NJUS5eU1BYLklRX1BUQlYuMjAwMC4xMS8xLzIwMTcBAAAAm7goAAIAAAAIOS4xMjI3NjIAWz+wu5Nz1Qhbf/FKl3PVCCdDSVEuTkFTREFRR1M6SU5UQy5JUV9QVEJWLjIwMDAuNC84LzIwMTYBAAAAh1IAAAIAAAAIMy4yNjE3MTQBBwAAAAUAAAABMQEAAAAKMTc3NTkzMzE0MAMAAAABMAIAAAAGMTAwMDI5BAAAAAEwBwAAAAg0Lzgv</t>
  </si>
  <si>
    <t>MjAxNggAAAAINC84LzIwMTa7aq+9k3PVCPvdWEmXc9UIN0NJUS5OQVNEQVFHUzpJTlRDLklRX1RFVl9FQklUREFfRldEX0NJUS42MDAwLjEyLzIzLzIwMDUBAAAAh1IAAAIAAAAQOC4wMjkzMDgxNDcwMjU1NQENAAAABQAAAAE5AQAAAAcyNjIxMjk1AgAAAAcxNzU3MTQ5AwAAAAYxMDAzMDgEAAAAATIGAAAAATAHAAAAAzE2MAgAAAABMAkAAAABMQoAAAABMAsAAAAKNjg4MzcwMDUyOAwAAAACMTINAAAACjEyLzI0LzIwMDUbTlW7k3PVCHtKjq6Xc9UIJkNJUS5eU1BYLklRX1BFX0VYQ0xfRldELjYwMDAuOS8zMC8yMDE1AQAAAJu4KAACAAAACTE1Ljg5NTY3NAB7hlW5k3PVCIv9LkuXc9UILUNJUS5OQVNEQVFHUzpJTlRDLklRX0xBU1RTQUxFUFJJQ0UuMTAvMTgvMjAxNwEAAACHUgAAAgAAAAU0MC4yNQBbT2a5k3PVCItl9EqXc9UINENJUS5OYXNkYXFHUzpJTlRDLklRX1RFVl9UT1RBTF9SRVZfRldELjYwMDAuNi8zLzIwMTYBAAAAh1IAAAIAAAAQMi43NzU4NjQ4MTUyNTQyNgENAAAABQAAAAE5AQAAAAcyNjIxMjk1AgAAAAgyNzAwMzY1MQMAAAAGMTAwMzA3BAAAAAEyBgAAAAEwBwAAAAMxNjAIAAAAATAJAAAAATEKAAAAATALAAAACjk0OTU5NTA2NDkMAAAAAjEyDQAAAAg2LzQvMjAxNqsCsbuTc9UIS/tKSZdz1Qg2Q0lRLk5hc2RhcUdTOklOVEMuSVFfVEVWX0VCSVREQV9GV0RfQ0lRLjYwMDAuNy8y</t>
  </si>
  <si>
    <t>Ny8yMDA3AQAAAIdSAAACAAAAEDguOTA4NTk2NTg5OTEwMzgBDQAAAAUAAAABOQEAAAAHMjYyMTI5NQIAAAAHMTc1NzE1NAMAAAAGMTAwMzA4BAAAAAEyBgAAAAEwBwAAAAMxNjAIAAAAATAJAAAAATEKAAAAATALAAAACjExNjkxMzgxMjgMAAAAAjEyDQAAAAk3LzI4LzIwMDe7TLS9k3PVCCv4j66Xc9UIH0NJUS5eU1BYLklRX1BUQlYuMjAwMC40LzIyLzIwMTUBAAAAm7goAAIAAAAINS45OTA4NzUAi8RmuZNz1QjLCjJLl3PVCDZDSVEuTkFTREFRR1M6SU5UQy5JUV9URVZfRUJJVERBX0ZXRF9DSVEuNjAwMC4xMi8yLzIwMDUBAAAAh1IAAAIAAAAQOC41MTY3NDc2NDEwMDI2NwENAAAABQAAAAE5AQAAAAcyNjIxMjk1AgAAAAcxNzU3MTQ5AwAAAAYxMDAzMDgEAAAAATIGAAAAATAHAAAAAzE2MAgAAAABMAkAAAABMQoAAAABMAsAAAAKMTE2OTEzMTc3NwwAAAACMTINAAAACTEyLzMvMjAwNRtOVbuTc9UIS0aQrpdz1Qg3Q0lRLk5hc2RhcUdTOklOVEMuSVFfVEVWX0VCSVREQV9GV0RfQ0lRLjYwMDAuMTIvMzEvMjAwNAEAAACHUgAAAgAAABA4LjgxNDc2NTM5Mzk5MDIzAQ0AAAAFAAAAATkBAAAABzI2MjEyOTUCAAAABzE3NTcxNDYDAAAABjEwMDMwOAQAAAABMgYAAAABMAcAAAADMTYwCAAAAAEwCQAAAAExCgAAAAEwCwAAAAoxMTY5MTI5NjkyDAAAAAIxMg0AAAAIMS8xLzIwMDX7xbG7k3PVCEtGkK6Xc9UI</t>
  </si>
  <si>
    <t>NUNJUS5OYXNkYXFHUzpJTlRDLklRX1RFVl9UT1RBTF9SRVZfRldELjYwMDAuMi8yMC8yMDA5AQAAAIdSAAACAAAAEDIuMDg0Nzk2ODM0Mzc3MTgBDQAAAAUAAAABOQEAAAAHMjYyMTI5NQIAAAAEMTg4NAMAAAAGMTAwMzA3BAAAAAEyBgAAAAEwBwAAAAMxNjAIAAAAATAJAAAAATEKAAAAATALAAAACTM2MDcxNTk2NgwAAAACMTINAAAACTIvMjEvMjAwOZuGVruTc9UIu0FYSZdz1QgeQ0lRLl5TUFguSVFfUFRCVi4yMDAwLjcvOC8yMDE1AQAAAJu4KAACAAAACDYuMDgzMzcyAFs4VbmTc9UIO6swS5dz1QgvQ0lRLk5BU0RBUUdTOklOVEMuSVFfUFJJQ0VfU0FMRVMuMjAwMC42LzE5LzIwMTMBAAAAh1IAAAIAAAAIMi4zNDk5MjQBBwAAAAUAAAABMQEAAAAKMTYxNDA3NDk0MgMAAAABMAIAAAAFMzg5NTgEAAAAATAHAAAACTYvMTkvMjAxMwgAAAAJNi8xOS8yMDEz+45Su5Nz1QiLoz1Ll3PVCClDSVEuTkFTREFRR1M6SU5UQy5JUV9QVEJWLjIwMDAuMTEvMjMvMjAxMgEAAACHUgAAAgAAAAgyLjkzOTI2OAEHAAAABQAAAAExAQAAAAoxNTczODg3Nzk1AwAAAAEwAgAAAAYxMDAwMjkEAAAAATAHAAAACjExLzIzLzIwMTIIAAAACjExLzIzLzIwMTI78a+7k3PVCFt1UkmXc9UINENJUS5OYXNkYXFHUzpJTlRDLklRX1RFVl9UT1RBTF9SRVZfRldELjYwMDAuNS80LzIwMTIBAAAAh1IAAAIAAAAQMi4yNTU0NjY2MjQ4</t>
  </si>
  <si>
    <t>NTIxNAENAAAABQAAAAE5AQAAAAcyNjIxMjk1AgAAAAcxNzU3MTY4AwAAAAYxMDAzMDcEAAAAATIGAAAAATAHAAAAAzE2MAgAAAABMAkAAAABMQoAAAABMAsAAAAKODE3MDcwNzgxOQwAAAACMTINAAAACDUvNS8yMDEy2yJXu5Nz1QirVk5Jl3PVCCdDSVEuXlNQWC5JUV9QRV9FWENMX0ZXRC42MDAwLjEwLzEyLzIwMTYBAAAAm7goAAIAAAAJMTcuMzM4MDM2AGtfVbmTc9UIy/MgS5dz1Qg1Q0lRLk5hc2RhcUdTOklOVEMuSVFfVEVWX1RPVEFMX1JFVl9GV0QuNjAwMC42LzI1LzIwMTABAAAAh1IAAAIAAAAQMi4yMzk5NDE4NjY4NzI2OAENAAAABQAAAAE5AQAAAAcyNjIxMjk1AgAAAAcxNzU3MTYyAwAAAAYxMDAzMDcEAAAAATIGAAAAATAHAAAAAzE2MAgAAAABMAkAAAABMQoAAAABMAsAAAAKODg2MDE3MDIwMgwAAAACMTINAAAACTYvMjYvMjAxMIvXs72Tc9UIyzNMSZdz1QgjQ0lRLl5TUFguSVFfTEFTVFNBTEVQUklDRS43LzI2LzIwMTcBAAAAm7goAAIAAAAPMjQ3Ny44MzA1MTA3MDY1AMuRr72Tc9UI64QBS5dz1QgwQ0lRLk5BU0RBUUdTOklOVEMuSVFfUEVfRVhDTF9GV0QuNjAwMC4xMi8xNy8yMDEwAQAAAIdSAAACAAAAEDExLjMzMDUxNzQyMzQ0MjQBDQAAAAUAAAABOQEAAAAHMjYyMTI5NQIAAAAHMTc1NzE2NAMAAAAGMTAwMzA5BAAAAAEyBgAAAAEwBwAAAAMxNjAIAAAAATAJAAAAATEKAAAAATAL</t>
  </si>
  <si>
    <t>AAAACjg4NjM4NDU0OTcMAAAAAjEyDQAAAAoxMi8xOC8yMDEwqyW0vZNz1QgLBVlJl3PVCC5DSVEuTkFTREFRR1M6SU5UQy5JUV9QRV9FWENMX0ZXRC42MDAwLjEvNS8yMDE4AQAAAIdSAAACAAAAEDEzLjgwNTY1OTI3MTE0NTEBDQAAAAUAAAABOQEAAAAHMjYyMTI5NQIAAAAIMjc1MDAxNzQDAAAABjEwMDMwOQQAAAABMgYAAAABMAcAAAADMTYwCAAAAAEwCQAAAAExCgAAAAEwCwAAAAsxMDY2MjE5MDc0NQwAAAACMTINAAAACDEvNi8yMDE4ywKyvZNz1QibZFpJl3PVCC9DSVEuTkFTREFRR1M6SU5UQy5JUV9QUklDRV9TQUxFUy4yMDAwLjExLzEvMjAxNwEAAACHUgAAAgAAAAgzLjU0Njk2NAEHAAAABQAAAAExAQAAAAoxODYyNzU4MDQzAwAAAAEwAgAAAAUzODk1OAQAAAABMAcAAAAJMTEvMS8yMDE3CAAAAAkxMS8xLzIwMTdLEVW5k3PVCFt/8UqXc9UINUNJUS5OYXNkYXFHUzpJTlRDLklRX1RFVl9UT1RBTF9SRVZfRldELjYwMDAuOC8zMS8yMDA3AQAAAIdSAAACAAAADzMuNjYxOTAyNzU5MDAyMwENAAAABQAAAAE5AQAAAAcyNjIxMjk1AgAAAAcxNzU3MTU0AwAAAAYxMDAzMDcEAAAAATIGAAAAATAHAAAAAzE2MAgAAAABMAkAAAABMQoAAAABMAsAAAAKODg2NDMyODk0OAwAAAACMTINAAAACDkvMS8yMDA3y1Cxu5Nz1QhbV1dJl3PVCDZDSVEuTkFTREFRR1M6SU5UQy5JUV9URVZfRUJJVERBX0ZXRF9D</t>
  </si>
  <si>
    <t>SVEuNjAwMC45LzIzLzIwMTEBAAAAh1IAAAIAAAAQNC40ODE2MTk4NzU3MzExNAENAAAABQAAAAE5AQAAAAcyNjIxMjk1AgAAAAcxNzU3MTY2AwAAAAYxMDAzMDgEAAAAATIGAAAAATAHAAAAAzE2MAgAAAABMAkAAAABMQoAAAABMAsAAAAKODE3MDcxMTY5MQwAAAACMTINAAAACTkvMjQvMjAxMas8VLuTc9UIW22Qrpdz1Qg1Q0lRLk5hc2RhcUdTOklOVEMuSVFfVEVWX1RPVEFMX1JFVl9GV0QuNjAwMC44LzE1LzIwMDgBAAAAh1IAAAIAAAAQMy4wMzkzOTE3MDUxMTYwNwENAAAABQAAAAE5AQAAAAcyNjIxMjk1AgAAAAcxNzU3MTU3AwAAAAYxMDAzMDcEAAAAATIGAAAAATAHAAAAAzE2MAgAAAABMAkAAAABMQoAAAABMAsAAAAKODg2MjAyOTM2MwwAAAACMTINAAAACTgvMTYvMjAwOItfVruTc9UIi1tVSZdz1QguQ0lRLk5BU0RBUUdTOklOVEMuSVFfUEVfRVhDTF9GV0QuNjAwMC42LzEvMjAwMQEAAACHUgAAAgAAABA1Mi41ODkyMjIzMjM4NzkyAQ0AAAAFAAAAATkBAAAABzI2MjEyOTUCAAAABzM0MjExNjADAAAABjEwMDMwOQQAAAABMgYAAAABMAcAAAADMTYwCAAAAAEwCQAAAAExCgAAAAEwCwAAAAoxMTY5MTczMTk0DAAAAAIxMg0AAAAINi8yLzIwMDGL17O9k3PVCNutU0mXc9UINUNJUS5OYXNkYXFHUzpJTlRDLklRX1RFVl9UT1RBTF9SRVZfRldELjYwMDAuMy8yNC8yMDA1AQAAAIdSAAACAAAAEDMu</t>
  </si>
  <si>
    <t>MzkxMTYzOTk0OTk5NjUBDQAAAAUAAAABOQEAAAAHMjYyMTI5NQIAAAAEMTg4MAMAAAAGMTAwMzA3BAAAAAEyBgAAAAEwBwAAAAMxNjAIAAAAATAJAAAAATEKAAAAATALAAAACTM2MDY2NDUwOAwAAAACMTINAAAACTMvMjUvMjAwNasltL2Tc9UIK49PSZdz1QgwQ0lRLk5BU0RBUUdTOklOVEMuSVFfUEVfRVhDTF9GV0QuNjAwMC4xMi8xOC8yMDE1AQAAAIdSAAACAAAAEDE0LjU2ODA5NzczNzI0NTEBDQAAAAUAAAABOQEAAAAHMjYyMTI5NQIAAAAHODA2ODI2MgMAAAAGMTAwMzA5BAAAAAEyBgAAAAEwBwAAAAMxNjAIAAAAATAJAAAAATEKAAAAATALAAAACjkxODI0MDU1OTEMAAAAAjEyDQAAAAoxMi8xOS8yMDE161CyvZNz1QjrRVZJl3PVCC5DSVEuXlNQWC5JUV9URVZfRUJJVERBX0ZXRF9DSVEuNjAwMC4xMi8yOC8yMDE2AQAAAJu4KAACAAAACDkuOTc3NTA0AHuGVbmTc9UIC64cS5dz1QguQ0lRLk5BU0RBUUdTOklOVEMuSVFfUEVfRVhDTF9GV0QuNjAwMC40LzgvMjAwNAEAAACHUgAAAgAAABAyMi4zMjQ2MzI5NTI2OTE3AQ0AAAAFAAAAATkBAAAABzI2MjEyOTUCAAAABDE4NzkDAAAABjEwMDMwOQQAAAABMgYAAAABMAcAAAADMTYwCAAAAAEwCQAAAAExCgAAAAEwCwAAAAcxNTA0MDk5DAAAAAIxMg0AAAAINC85LzIwMDRribO9k3PVCFsEUEmXc9UINUNJUS5OYXNkYXFHUzpJTlRDLklRX1RFVl9FQklU</t>
  </si>
  <si>
    <t>REFfRldEX0NJUS42MDAwLjkvNi8yMDAyAQAAAIdSAAACAAAAEDkuMjQ5OTQzOTE4OTQ0MTgBDQAAAAUAAAABOQEAAAAHMjYyMTI5NQIAAAAHMTc1NzEzOQMAAAAGMTAwMzA4BAAAAAEyBgAAAAEwBwAAAAMxNjAIAAAAATAJAAAAATEKAAAAATALAAAACjExNjkxMjYwNDcMAAAAAjEyDQAAAAg5LzcvMjAwMqsltL2Tc9UIC6qPrpdz1QgnQ0lRLk5BU0RBUUdTOklOVEMuSVFfUFRCVi4yMDAwLjgvMS8yMDE0AQAAAIdSAAACAAAACDMuODAwOTEyAQcAAAAFAAAAATEBAAAACjE2ODgwODA5OTIDAAAAATACAAAABjEwMDAyOQQAAAABMAcAAAAIOC8xLzIwMTQIAAAACDgvMS8yMDE0y7C5t5Nz1Qg7RU1Jl3PVCCtDSVEuTkFTREFRR1M6SU5UQy5JUV9MQVNUU0FMRVBSSUNFLjgvOS8yMDE3AQAAAIdSAAACAAAABTM2LjU5AFs/sLuTc9UIq1kDS5dz1QgmQ0lRLl5TUFguSVFfUEVfRVhDTF9GV0QuNjAwMC4xLzE4LzIwMTcBAAAAm7goAAIAAAAJMTcuODYwMTM1AKsSZ7mTc9UICz0aS5dz1QgmQ0lRLl5TUFguSVFfUEVfRVhDTF9GV0QuNjAwMC45LzEwLzIwMTQBAAAAm7goAAIAAAAJMTYuMDY4NzkzAOv+ubeTc9UIy+w2S5dz1Qg1Q0lRLk5BU0RBUUdTOklOVEMuSVFfVEVWX0VCSVREQV9GV0RfQ0lRLjYwMDAuOC80LzIwMDYBAAAAh1IAAAIAAAAQOC4zOTE1OTk2NDg4MTQ3NQENAAAABQAAAAE5AQAAAAcyNjIxMjk1</t>
  </si>
  <si>
    <t>AgAAAAcxNzU3MTUxAwAAAAYxMDAzMDgEAAAAATIGAAAAATAHAAAAAzE2MAgAAAABMAkAAAABMQoAAAABMAsAAAAKMTE2OTEzNDU1NQwAAAACMTINAAAACDgvNS8yMDA2CydVu5Nz1Qh7So6ul3PVCC9DSVEuTkFTREFRR1M6SU5UQy5JUV9QRV9FWENMX0ZXRC42MDAwLjExLzQvMjAxNgEAAACHUgAAAgAAABAxMi4yMTI5MzYwNDY1MTE2AQ0AAAAFAAAAATkBAAAABzI2MjEyOTUCAAAACDI3MDAzNjUzAwAAAAYxMDAzMDkEAAAAATIGAAAAATAHAAAAAzE2MAgAAAABMAkAAAABMQoAAAABMAsAAAAKOTgyOTQ1NjgxMAwAAAACMTINAAAACTExLzUvMjAxNtspsr2Tc9UIy2hYSZdz1Qg1Q0lRLk5hc2RhcUdTOklOVEMuSVFfVEVWX1RPVEFMX1JFVl9GV0QuNjAwMC4yLzE2LzIwMDcBAAAAh1IAAAIAAAAQMy4wMDA3ODY1NDgxNzE3OQENAAAABQAAAAE5AQAAAAcyNjIxMjk1AgAAAAQxODgyAwAAAAYxMDAzMDcEAAAAATIGAAAAATAHAAAAAzE2MAgAAAABMAkAAAABMQoAAAABMAsAAAALMTAzNzg1MTM0NjgMAAAAAjEyDQAAAAkyLzE3LzIwMDdbwGi5k3PVCIt5UEmXc9UIL0NJUS5OQVNEQVFHUzpJTlRDLklRX1BFX0VYQ0xfRldELjYwMDAuNi8xOC8yMDEwAQAAAIdSAAACAAAAEDExLjMwMDYyODM5OTQyOTcBDQAAAAUAAAABOQEAAAAHMjYyMTI5NQIAAAAHMTc1NzE2MgMAAAAGMTAwMzA5BAAAAAEyBgAAAAEwBwAA</t>
  </si>
  <si>
    <t>AAMxNjAIAAAAATAJAAAAATEKAAAAATALAAAACjg4NjM4NDQyMDkMAAAAAjEyDQAAAAk2LzE5LzIwMTAr7bK9k3PVCFsEUEmXc9UIL0NJUS5OQVNEQVFHUzpJTlRDLklRX1BFX0VYQ0xfRldELjYwMDAuMTEvMS8yMDAyAQAAAIdSAAACAAAAEDM1LjEyNDc2MDA3Njc3NTQBDQAAAAUAAAABOQEAAAAHMjYyMTI5NQIAAAAHMTc1NzE0MAMAAAAGMTAwMzA5BAAAAAEyBgAAAAEwBwAAAAMxNjAIAAAAATAJAAAAATEKAAAAATALAAAACjkwOTA2ODgxMjcMAAAAAjEyDQAAAAkxMS8yLzIwMDJ7sLO9k3PVCEswV0mXc9UIKENJUS5OQVNEQVFHUzpJTlRDLklRX1BUQlYuMjAwMC4xLzMwLzIwMTUBAAAAh1IAAAIAAAAIMy44ODQ5OTgBBwAAAAUAAAABMQEAAAAKMTcxNTMyODY0MwMAAAABMAIAAAAGMTAwMDI5BAAAAAEwBwAAAAkxLzMwLzIwMTUIAAAACTEvMzAvMjAxNbtqr72Tc9UIu0FYSZdz1QgnQ0lRLk5BU0RBUUdTOklOVEMuSVFfUFRCVi4yMDAwLjYvNy8yMDEzAQAAAIdSAAACAAAABzMuNDE0NzYBBwAAAAUAAAABMQEAAAAKMTYxNDA3NDk0MgMAAAABMAIAAAAGMTAwMDI5BAAAAAEwBwAAAAg2LzcvMjAxMwgAAAAINi83LzIwMTP7jlK7k3PVCEswV0mXc9UILUNJUS5eU1BYLklRX1RFVl9FQklUREFfRldEX0NJUS42MDAwLjkvMTcvMjAxNAEAAACbuCgAAgAAAAg4Ljk4ODU2NwArBFO7k3PVCPthN0uXc9UII0NJ</t>
  </si>
  <si>
    <t>US5eU1BYLklRX0xBU1RTQUxFUFJJQ0UuOC8xOS8yMDE1AQAAAJu4KAACAAAAEDIwNzkuNjEwNjU2ODAxODgASyhmuZNz1QirSy9Ll3PVCCZDSVEuXlNQWC5JUV9QRV9FWENMX0ZXRC42MDAwLjUvMjUvMjAxNgEAAACbuCgAAgAAAAkxNy4yMTc2OTUA27ivvZNz1Qg7WClLl3PVCC1DSVEuXlNQWC5JUV9URVZfVE9UQUxfUkVWX0ZXRC42MDAwLjEyLzIwLzIwMTcBAAAAm7goAAIAAAAIMi4zNDIzNTQAa19VuZNz1QhLZsVKl3PVCDZDSVEuTkFTREFRR1M6SU5UQy5JUV9URVZfRUJJVERBX0ZXRF9DSVEuNjAwMC41LzMwLzIwMTQBAAAAh1IAAAIAAAAQNS45MTY0OTM1Nzg1NDI5MQENAAAABQAAAAE5AQAAAAcyNjIxMjk1AgAAAAc0NDU2NDI3AwAAAAYxMDAzMDgEAAAAATIGAAAAATAHAAAAAzE2MAgAAAABMAkAAAABMQoAAAABMAsAAAAKODE3MDcxNTgwMQwAAAACMTINAAAACTUvMzEvMjAxNHvHU7uTc9UIW/yNrpdz1QgmQ0lRLl5TUFguSVFfUEVfRVhDTF9GV0QuNjAwMC40LzE5LzIwMTcBAAAAm7goAAIAAAAJMTcuOTIzMzY5AJvrZrmTc9UI65sSS5dz1Qg1Q0lRLk5hc2RhcUdTOklOVEMuSVFfVEVWX1RPVEFMX1JFVl9GV0QuNjAwMC44LzI2LzIwMTYBAAAAh1IAAAIAAAAQMy4wMTg2MjM4NTEwNzU3MQENAAAABQAAAAE5AQAAAAcyNjIxMjk1AgAAAAgyNzAwMzY1MgMAAAAGMTAwMzA3BAAAAAEyBgAAAAEw</t>
  </si>
  <si>
    <t>BwAAAAMxNjAIAAAAATAJAAAAATEKAAAAATALAAAACjk2ODM4ODExNjIMAAAAAjEyDQAAAAk4LzI3LzIwMTarJbS9k3PVCLt9TkmXc9UILENJUS5OQVNEQVFHUzpJTlRDLklRX0xBU1RTQUxFUFJJQ0UuNi8yMi8yMDE2AQAAAIdSAAACAAAABTMyLjI5AAu2UruTc9UIKzEpS5dz1QgvQ0lRLk5BU0RBUUdTOklOVEMuSVFfUFJJQ0VfU0FMRVMuMjAwMC41LzExLzIwMTYBAAAAh1IAAAIAAAAIMi41MzA0MTYBBwAAAAUAAAABMQEAAAAKMTc4OTE5MzM0MwMAAAABMAIAAAAFMzg5NTgEAAAAATAHAAAACTUvMTEvMjAxNggAAAAJNS8xMS8yMDE269GItpNz1QhrzSlLl3PVCDVDSVEuTmFzZGFxR1M6SU5UQy5JUV9URVZfVE9UQUxfUkVWX0ZXRC42MDAwLjcvMTQvMjAwNgEAAACHUgAAAgAAABAyLjY0NjQ1MTc1ODEyMjU4AQ0AAAAFAAAAATkBAAAABzI2MjEyOTUCAAAABzE3NTcxNTADAAAABjEwMDMwNwQAAAABMgYAAAABMAcAAAADMTYwCAAAAAEwCQAAAAExCgAAAAEwCwAAAAo1NzUyMzI2MDE4DAAAAAIxMg0AAAAJNy8xNS8yMDA2O3JouZNz1Qib81dJl3PVCDVDSVEuTmFzZGFxR1M6SU5UQy5JUV9URVZfVE9UQUxfUkVWX0ZXRC42MDAwLjcvMjUvMjAxNAEAAACHUgAAAgAAABAyLjkzNjg1NjQ1NjYxNDA5AQ0AAAAFAAAAATkBAAAABzI2MjEyOTUCAAAABzQ0NTY0MjgDAAAABjEwMDMwNwQAAAABMgYAAAABMAcA</t>
  </si>
  <si>
    <t>AAADMTYwCAAAAAEwCQAAAAExCgAAAAEwCwAAAAo4ODYwMTkwMTgxDAAAAAIxMg0AAAAJNy8yNi8yMDE0q61Wu5Nz1QhL+0pJl3PVCDBDSVEuTkFTREFRR1M6SU5UQy5JUV9QRV9FWENMX0ZXRC42MDAwLjEyLzI2LzIwMTQBAAAAh1IAAAIAAAAQMTUuODQ5OTAwODA2MjEzMwENAAAABQAAAAE5AQAAAAcyNjIxMjk1AgAAAAc0NDU2NDI5AwAAAAYxMDAzMDkEAAAAATIGAAAAATAHAAAAAzE2MAgAAAABMAkAAAABMQoAAAABMAsAAAAKODUxOTI3Njc3MAwAAAACMTINAAAACjEyLzI3LzIwMTS7TLS9k3PVCLtfU0mXc9UILENJUS5eU1BYLklRX1RFVl9UT1RBTF9SRVZfRldELjYwMDAuMTIvOS8yMDE1AQAAAJu4KAACAAAACDIuMDA5OTAyAOvfr72Tc9UI63YtS5dz1Qg2Q0lRLk5BU0RBUUdTOklOVEMuSVFfVEVWX0VCSVREQV9GV0RfQ0lRLjYwMDAuOS8yMS8yMDAxAQAAAIdSAAACAAAAEDEzLjI1OTY1MzA4OTIyNjIBDQAAAAUAAAABOQEAAAAHMjYyMTI5NQIAAAAHMzQyMTE2MQMAAAAGMTAwMzA4BAAAAAEyBgAAAAEwBwAAAAMxNjAIAAAAATAJAAAAATEKAAAAATALAAAACjExNjkxNTI1MjgMAAAAAjEyDQAAAAk5LzIyLzIwMDFrEVa7k3PVCAs5ja6Xc9UIL0NJUS5OQVNEQVFHUzpJTlRDLklRX1BFX0VYQ0xfRldELjYwMDAuNy8yOS8yMDA1AQAAAIdSAAACAAAAEDE3LjkyMzY1NjA1NjAwMzIBDQAAAAUAAAAB</t>
  </si>
  <si>
    <t>OQEAAAAHMjYyMTI5NQIAAAAHMTc1NzE0OAMAAAAGMTAwMzA5BAAAAAEyBgAAAAEwBwAAAAMxNjAIAAAAATAJAAAAATEKAAAAATALAAAACjg4NjI0MTIzOTUMAAAAAjEyDQAAAAk3LzMwLzIwMDVribO9k3PVCCtTWUmXc9UINUNJUS5OYXNkYXFHUzpJTlRDLklRX1RFVl9UT1RBTF9SRVZfRldELjYwMDAuMTIvNy8yMDA3AQAAAIdSAAACAAAADzMuNjcxODk4NzQwMjUwNAENAAAABQAAAAE5AQAAAAcyNjIxMjk1AgAAAAcxNzU3MTU1AwAAAAYxMDAzMDcEAAAAATIGAAAAATAHAAAAAzE2MAgAAAABMAkAAAABMQoAAAABMAsAAAAKODg2NDMzMDEyNAwAAAACMTINAAAACTEyLzgvMjAwN0uZaLmTc9UI64FMSZdz1QgrQ0lRLl5TUFguSVFfVEVWX1RPVEFMX1JFVl9GV0QuNjAwMC44LzkvMjAxNwEAAACbuCgAAgAAAAgyLjIzNDI0OQB7jbC7k3PVCKtZA0uXc9UINUNJUS5OYXNkYXFHUzpJTlRDLklRX1RFVl9FQklUREFfRldEX0NJUS42MDAwLjgvOS8yMDAyAQAAAIdSAAACAAAAEDEwLjMwNjY2NjE2ODE2ODQBDQAAAAUAAAABOQEAAAAHMjYyMTI5NQIAAAAHMTc1NzEzOQMAAAAGMTAwMzA4BAAAAAEyBgAAAAEwBwAAAAMxNjAIAAAAATAJAAAAATEKAAAAATALAAAACjExNjkxMjYwNDcMAAAAAjEyDQAAAAk4LzEwLzIwMDKb/rO9k3PVCHtKjq6Xc9UIL0NJUS5OQVNEQVFHUzpJTlRDLklRX1BSSUNFX1NBTEVTLjIw</t>
  </si>
  <si>
    <t>MDAuNy8yOS8yMDE1AQAAAIdSAAACAAAACDIuNTEzNzE3AQcAAAAFAAAAATEBAAAACjE3NDczNTk1MTIDAAAAATACAAAABTM4OTU4BAAAAAEwBwAAAAk3LzI5LzIwMTUIAAAACTcvMjkvMjAxNdvXubeTc9UIG10wS5dz1QgwQ0lRLk5BU0RBUUdTOklOVEMuSVFfUFJJQ0VfU0FMRVMuMjAwMC4xMS8xMS8yMDE2AQAAAIdSAAACAAAACDIuODIzODIxAQcAAAAFAAAAATEBAAAACjE4MTU1NDQ0NTADAAAAATACAAAABTM4OTU4BAAAAAEwBwAAAAoxMS8xMS8yMDE2CAAAAAoxMS8xMS8yMDE2i8RmuZNz1QibEVNJl3PVCC5DSVEuXlNQWC5JUV9URVZfRUJJVERBX0ZXRF9DSVEuNjAwMC4xMS8xOS8yMDE0AQAAAJu4KAACAAAACDkuMjQ5Njg1AJvrZrmTc9UIeyk2S5dz1Qg2Q0lRLk5BU0RBUUdTOklOVEMuSVFfVEVWX0VCSVREQV9GV0RfQ0lRLjYwMDAuMi8yOC8yMDAzAQAAAIdSAAACAAAAEDkuMjQ5NjAxMjU3NDAxMDcBDQAAAAUAAAABOQEAAAAHMjYyMTI5NQIAAAAEMTg3OAMAAAAGMTAwMzA4BAAAAAEyBgAAAAEwBwAAAAMxNjAIAAAAATAJAAAAATEKAAAAATALAAAACTM2MDY1OTA0MQwAAAACMTINAAAACDMvMS8yMDAzS8NVu5Nz1QhbbZCul3PVCC9DSVEuTkFTREFRR1M6SU5UQy5JUV9QUklDRV9TQUxFUy4yMDAwLjEyLzcvMjAxNgEAAACHUgAAAgAAAAgyLjg5NjQzNgEHAAAABQAAAAExAQAAAAoxODE1NTQ0</t>
  </si>
  <si>
    <t>NDUwAwAAAAEwAgAAAAUzODk1OAQAAAABMAcAAAAJMTIvNy8yMDE2CAAAAAkxMi83LzIwMTYLtlK7k3PVCKs0HkuXc9UIKENJUS5OQVNEQVFHUzpJTlRDLklRX1BUQlYuMjAwMC41LzI5LzIwMTUBAAAAh1IAAAIAAAAINC4wOTA2NTMBBwAAAAUAAAABMQEAAAAKMTczMDc2Mjc1NQMAAAABMAIAAAAGMTAwMDI5BAAAAAEwBwAAAAk1LzI5LzIwMTUIAAAACTUvMjkvMjAxNYvEZrmTc9UImxFTSZdz1QgwQ0lRLk5BU0RBUUdTOklOVEMuSVFfUEVfRVhDTF9GV0QuNjAwMC4xMC8yMC8yMDA2AQAAAIdSAAACAAAAEDIxLjEyOTI3MTkxNjc5MDUBDQAAAAUAAAABOQEAAAAHMjYyMTI5NQIAAAAHMTc1NzE1MgMAAAAGMTAwMzA5BAAAAAEyBgAAAAEwBwAAAAMxNjAIAAAAATAJAAAAATEKAAAAATALAAAACjg4NjA1MDY5NDgMAAAAAjEyDQAAAAoxMC8yMS8yMDA2W2KzvZNz1Qj7+1NJl3PVCCZDSVEuXlNQWC5JUV9QRV9FWENMX0ZXRC42MDAwLjMvMjIvMjAxNwEAAACbuCgAAgAAAAkxOC4xMTgzMjYAa2awu5Nz1QgLWxVLl3PVCDZDSVEuTmFzZGFxR1M6SU5UQy5JUV9URVZfRUJJVERBX0ZXRF9DSVEuNjAwMC4xLzI4LzIwMDUBAAAAh1IAAAIAAAAQOC4wMDg5NTQxNzM2MTk4NQENAAAABQAAAAE5AQAAAAcyNjIxMjk1AgAAAAQxODgwAwAAAAYxMDAzMDgEAAAAATIGAAAAATAHAAAAAzE2MAgAAAABMAkAAAABMQoAAAAB</t>
  </si>
  <si>
    <t>MAsAAAAJMzYwNjY4MTY5DAAAAAIxMg0AAAAJMS8yOS8yMDA1u9RWu5Nz1Qg7ro2ul3PVCDBDSVEuTkFTREFRR1M6SU5UQy5JUV9QRV9FWENMX0ZXRC42MDAwLjEyLzMwLzIwMTYBAAAAh1IAAAIAAAAQMTMuMTQwODI4MjMwODYxMgENAAAABQAAAAE5AQAAAAcyNjIxMjk1AgAAAAgyNzAwMzY1MwMAAAAGMTAwMzA5BAAAAAEyBgAAAAEwBwAAAAMxNjAIAAAAATAJAAAAATEKAAAAATALAAAACjk5MDI5NzE1MDUMAAAAAjEyDQAAAAoxMi8zMS8yMDE22ymyvZNz1Qib81dJl3PVCDZDSVEuTmFzZGFxR1M6SU5UQy5JUV9URVZfRUJJVERBX0ZXRF9DSVEuNjAwMC40LzI3LzIwMDcBAAAAh1IAAAIAAAAQOC43NzI2MDg3MTEwMTY0MgENAAAABQAAAAE5AQAAAAcyNjIxMjk1AgAAAAcxNzU3MTUzAwAAAAYxMDAzMDgEAAAAATIGAAAAATAHAAAAAzE2MAgAAAABMAkAAAABMQoAAAABMAsAAAAKMTE2OTEzNjgzMQwAAAACMTINAAAACTQvMjgvMjAwN7vUVruTc9UIq7+Orpdz1Qg2Q0lRLk5hc2RhcUdTOklOVEMuSVFfVEVWX0VCSVREQV9GV0RfQ0lRLjYwMDAuNy8xMC8yMDA5AQAAAIdSAAACAAAAEDguODAyMTQwNDk3NDg2NzgBDQAAAAUAAAABOQEAAAAHMjYyMTI5NQIAAAAHMTc1NzE1OQMAAAAGMTAwMzA4BAAAAAEyBgAAAAEwBwAAAAMxNjAIAAAAATAJAAAAATEKAAAAATALAAAACjExNjkxNDU1MjIMAAAAAjEyDQAA</t>
  </si>
  <si>
    <t>AAk3LzExLzIwMDmLtLC7k3PVCCuHja6Xc9UIJkNJUS5eU1BYLklRX1BFX0VYQ0xfRldELjYwMDAuMS8yOC8yMDE1AQAAAJu4KAACAAAACTE2Ljc4OTUyOQDbuK+9k3PVCHu4M0uXc9UILUNJUS5OQVNEQVFHUzpJTlRDLklRX0xBU1RTQUxFUFJJQ0UuMTIvMjcvMjAxNwEAAACHUgAAAgAAAAU0Ni4xMQDb17m3k3PVCKs5tUqXc9UILENJUS5OQVNEQVFHUzpJTlRDLklRX0xBU1RTQUxFUFJJQ0UuMTAvMS8yMDE0AQAAAIdSAAACAAAABTMzLjk5ABvdUruTc9UIy+w2S5dz1Qg3Q0lRLk5hc2RhcUdTOklOVEMuSVFfVEVWX0VCSVREQV9GV0RfQ0lRLjYwMDAuMTAvMjYvMjAwNwEAAACHUgAAAgAAABA4Ljc1NjIyNDY3NDI3MjE4AQ0AAAAFAAAAATkBAAAABzI2MjEyOTUCAAAABzE3NTcxNTUDAAAABjEwMDMwOAQAAAABMgYAAAABMAcAAAADMTYwCAAAAAEwCQAAAAExCgAAAAEwCwAAAAoxMTY5MTM5NTMxDAAAAAIxMg0AAAAKMTAvMjcvMjAwN6utVruTc9UIayOOrpdz1Qg1Q0lRLk5hc2RhcUdTOklOVEMuSVFfVEVWX1RPVEFMX1JFVl9GV0QuNjAwMC44LzI2LzIwMDUBAAAAh1IAAAIAAAAQMy40NjUwNzkxMDY5Njg3NAENAAAABQAAAAE5AQAAAAcyNjIxMjk1AgAAAAcxNzU3MTQ4AwAAAAYxMDAzMDcEAAAAATIGAAAAATAHAAAAAzE2MAgAAAABMAkAAAABMQoAAAABMAsAAAAKMTE2OTEzMDc2MAwAAAACMTINAAAA</t>
  </si>
  <si>
    <t>CTgvMjcvMjAwNcshvLeTc9UIO9RKSZdz1QgvQ0lRLk5BU0RBUUdTOklOVEMuSVFfUFJJQ0VfU0FMRVMuMjAwMC4xLzIyLzIwMTABAAAAh1IAAAIAAAAHMy4xNDk3MQEHAAAABQAAAAExAQAAAAoxMzA1MTY5MjU0AwAAAAEwAgAAAAUzODk1OAQAAAABMAcAAAAJMS8yMi8yMDEwCAAAAAkxLzIyLzIwMTBbT2a5k3PVCJuCVUmXc9UINkNJUS5OYXNkYXFHUzpJTlRDLklRX1RFVl9FQklUREFfRldEX0NJUS42MDAwLjgvMzEvMjAxMgEAAACHUgAAAgAAABA0LjY1NzI1NjIxMzY2NTM5AQ0AAAAFAAAAATkBAAAABzI2MjEyOTUCAAAABzE3NTcxNjkDAAAABjEwMDMwOAQAAAABMgYAAAABMAcAAAADMTYwCAAAAAEwCQAAAAExCgAAAAEwCwAAAAo2OTU1NDAyNjA2DAAAAAIxMg0AAAAIOS8xLzIwMTKrJbS9k3PVCBvRj66Xc9UIL0NJUS5OQVNEQVFHUzpJTlRDLklRX1BFX0VYQ0xfRldELjYwMDAuMS8xMS8yMDAyAQAAAIdSAAACAAAAEDYzLjU0NjA3MzIwMjEzMzUBDQAAAAUAAAABOQEAAAAHMjYyMTI5NQIAAAAHMzQyMTE2MgMAAAAGMTAwMzA5BAAAAAEyBgAAAAEwBwAAAAMxNjAIAAAAATAJAAAAATEKAAAAATALAAAACjg4NjAxMDc3OTcMAAAAAjEyDQAAAAkxLzEyLzIwMDKL17O9k3PVCCtTWUmXc9UIN0NJUS5OYXNkYXFHUzpJTlRDLklRX1RFVl9FQklUREFfRldEX0NJUS42MDAwLjEyLzI4LzIwMDcBAAAAh1IA</t>
  </si>
  <si>
    <t>AAIAAAAQOC4zNjMwNDM0NjYzOTc1OQENAAAABQAAAAE5AQAAAAcyNjIxMjk1AgAAAAcxNzU3MTU1AwAAAAYxMDAzMDgEAAAAATIGAAAAATAHAAAAAzE2MAgAAAABMAkAAAABMQoAAAABMAsAAAAKMTE2OTEzOTUzNwwAAAACMTINAAAACjEyLzI5LzIwMDerrVa7k3PVCDuuja6Xc9UILENJUS5eU1BYLklRX1RFVl9FQklUREFfRldEX0NJUS42MDAwLjEvNC8yMDE3AQAAAJu4KAACAAAACTEwLjA3NzgwNABrZrC7k3PVCMsRHEuXc9UINUNJUS5OYXNkYXFHUzpJTlRDLklRX1RFVl9UT1RBTF9SRVZfRldELjYwMDAuMTAvOS8yMDE1AQAAAIdSAAACAAAAEDIuNjc5ODkzNTIzNDQzOTQBDQAAAAUAAAABOQEAAAAHMjYyMTI5NQIAAAAHODA2ODI2MQMAAAAGMTAwMzA3BAAAAAEyBgAAAAEwBwAAAAMxNjAIAAAAATAJAAAAATEKAAAAATALAAAACjkwNTQ4ODIxNTMMAAAAAjEyDQAAAAoxMC8xMC8yMDE1q61Wu5Nz1QgbLFlJl3PVCC9DSVEuTmFzZGFxR1M6SU5UQy5JUV9QRV9FWENMX0ZXRC42MDAwLjMvMzEvMjAxNwEAAACHUgAAAgAAABAxMi44OTk5NzI0NjE5Mzg1AQ0AAAAFAAAAATkBAAAABzI2MjEyOTUCAAAACjEwMDA5NDQzODcDAAAABjEwMDMwOQQAAAABMgYAAAABMAcAAAADMTYwCAAAAAEwCQAAAAExCgAAAAEwCwAAAAsxMDA4ODc1MTYxNwwAAAACMTINAAAACDQvMS8yMDE3u0y0vZNz1Qh7FlpJl3PVCClD</t>
  </si>
  <si>
    <t>SVEuTkFTREFRR1M6SU5UQy5JUV9QVEJWLjIwMDAuMTEvMjUvMjAxNgEAAACHUgAAAgAAAAg0LjIyODAzMwEHAAAABQAAAAExAQAAAAoxODE1NTQ0NDUwAwAAAAEwAgAAAAYxMDAwMjkEAAAAATAHAAAACjExLzI1LzIwMTYIAAAACjExLzI1LzIwMTa7aq+9k3PVCAsFWUmXc9UIJ0NJUS5OQVNEQVFHUzpJTlRDLklRX1BUQlYuMjAwMC42LzgvMjAxMgEAAACHUgAAAgAAAAg0LjIyMjgzMwEHAAAABQAAAAExAQAAAAoxNTQ1MTU2NDM4AwAAAAEwAgAAAAYxMDAwMjkEAAAAATAHAAAACDYvOC8yMDEyCAAAAAg2LzgvMjAxMsuwubeTc9UIe+FNSZdz1QgvQ0lRLk5BU0RBUUdTOklOVEMuSVFfUEVfRVhDTF9GV0QuNjAwMC4xLzE3LzIwMTQBAAAAh1IAAAIAAAAQMTMuOTM2OTYyODc0MzAzMgENAAAABQAAAAE5AQAAAAcyNjIxMjk1AgAAAAc0NDU2NDIxAwAAAAYxMDAzMDkEAAAAATIGAAAAATAHAAAAAzE2MAgAAAABMAkAAAABMQoAAAABMAsAAAAKNjUyODk3OTU4NgwAAAACMTINAAAACTEvMTgvMjAxNJv+s72Tc9UIu0FYSZdz1Qg0Q0lRLk5hc2RhcUdTOklOVEMuSVFfVEVWX1RPVEFMX1JFVl9GV0QuNjAwMC4xLzUvMjAwMQEAAACHUgAAAgAAABA1Ljg0MjcwNjI5MTQ3NDEzAQ0AAAAFAAAAATkBAAAABzI2MjEyOTUCAAAABzM0MjExNTkDAAAABjEwMDMwNwQAAAABMgYAAAABMAcAAAADMTYwCAAAAAEwCQAAAAEx</t>
  </si>
  <si>
    <t>CgAAAAEwCwAAAAoxMTY5MTUyMjczDAAAAAIxMg0AAAAIMS82LzIwMDErS2i5k3PVCHtkykmXc9UIL0NJUS5OQVNEQVFHUzpJTlRDLklRX1BFX0VYQ0xfRldELjYwMDAuNC8xNi8yMDEwAQAAAIdSAAACAAAAEDEyLjY0ODcyMjk2NTQ2OTgBDQAAAAUAAAABOQEAAAAHMjYyMTI5NQIAAAAHMTc1NzE2MgMAAAAGMTAwMzA5BAAAAAEyBgAAAAEwBwAAAAMxNjAIAAAAATAJAAAAATEKAAAAATALAAAACjg4NjM4NDQxOTgMAAAAAjEyDQAAAAk0LzE3LzIwMTCb/rO9k3PVCMtoWEmXc9UINkNJUS5OYXNkYXFHUzpJTlRDLklRX1RFVl9UT1RBTF9SRVZfRldELjYwMDAuMTAvMTIvMjAxMgEAAACHUgAAAgAAABAxLjg5Mjc4NTU1MDY1MTIxAQ0AAAAFAAAAATkBAAAABzI2MjEyOTUCAAAABzE3NTcxNjkDAAAABjEwMDMwNwQAAAABMgYAAAABMAcAAAADMTYwCAAAAAEwCQAAAAExCgAAAAEwCwAAAAo4ODY0NDMzODY4DAAAAAIxMg0AAAAKMTAvMTMvMjAxMsshvLeTc9UIKx5NSZdz1Qg2Q0lRLk5hc2RhcUdTOklOVEMuSVFfVEVWX1RPVEFMX1JFVl9GV0QuNjAwMC4xMC8yMy8yMDA5AQAAAIdSAAACAAAADTIuNjA3NDU5NjAxNDQBDQAAAAUAAAABOQEAAAAHMjYyMTI5NQIAAAAHMTc1NzE2MQMAAAAGMTAwMzA3BAAAAAEyBgAAAAEwBwAAAAMxNjAIAAAAATAJAAAAATEKAAAAATALAAAACjg4NjQyMTA4MDEMAAAAAjEyDQAA</t>
  </si>
  <si>
    <t>AAoxMC8yNC8yMDA5m4ZWu5Nz1QgrAFJJl3PVCCdDSVEuTkFTREFRR1M6SU5UQy5JUV9QVEJWLjIwMDAuNS85LzIwMTQBAAAAh1IAAAIAAAAIMy4wNzk4MzQBBwAAAAUAAAABMQEAAAAKMTY3MzM3OTMyNwMAAAABMAIAAAAGMTAwMDI5BAAAAAEwBwAAAAg1LzkvMjAxNAgAAAAINS85LzIwMTS7aq+9k3PVCCtTWUmXc9UIH0NJUS5eU1BYLklRX1BUQlYuMjAwMC43LzE5LzIwMTcBAAAAm7goAAIAAAAIOC41ODE4MzcA62dSu5Nz1QhbeAdLl3PVCCRDSVEuXlNQWC5JUV9MQVNUU0FMRVBSSUNFLjExLzI5LzIwMTcBAAAAm7goAAIAAAAQMjYyNi4wNjYxOTQ2NTQxNgDb17m3k3PVCDs/xUqXc9UIL0NJUS5OQVNEQVFHUzpJTlRDLklRX1BFX0VYQ0xfRldELjYwMDAuMS8yMC8yMDA2AQAAAIdSAAACAAAAEDE1LjI5MTYzNzM4NTgwNDYBDQAAAAUAAAABOQEAAAAHMjYyMTI5NQIAAAAEMTg4MQMAAAAGMTAwMzA5BAAAAAEyBgAAAAEwBwAAAAMxNjAIAAAAATAJAAAAATEKAAAAATALAAAABzE1MTY3NjcMAAAAAjEyDQAAAAkxLzIxLzIwMDZbYrO9k3PVCNuPWEmXc9UIH0NJUS5eU1BYLklRX1BUQlYuMjAwMC4xLzI0LzIwMTgBAAAAm7goAAIAAAAIOS43NDQ5MzQAu2qvvZNz1Qg7l2NKl3PVCDVDSVEuTmFzZGFxR1M6SU5UQy5JUV9URVZfRUJJVERBX0ZXRF9DSVEuNjAwMC41LzQvMjAxMgEAAACHUgAAAgAAABA1LjA3</t>
  </si>
  <si>
    <t>OTQ2NzgzNzMyNjI0AQ0AAAAFAAAAATkBAAAABzI2MjEyOTUCAAAABzE3NTcxNjgDAAAABjEwMDMwOAQAAAABMgYAAAABMAcAAAADMTYwCAAAAAEwCQAAAAExCgAAAAEwCwAAAAo2OTU1Mzk3NjE5DAAAAAIxMg0AAAAINS81LzIwMTKrJbS9k3PVCPuCj66Xc9UINkNJUS5OYXNkYXFHUzpJTlRDLklRX1RFVl9UT1RBTF9SRVZfRldELjYwMDAuMTAvMzEvMjAwOAEAAACHUgAAAgAAABAyLjAxMzQxODk3NjY4MTU3AQ0AAAAFAAAAATkBAAAABzI2MjEyOTUCAAAABzE3NTcxNTgDAAAABjEwMDMwNwQAAAABMgYAAAABMAcAAAADMTYwCAAAAAEwCQAAAAExCgAAAAEwCwAAAAo4ODYyMDI5MzgzDAAAAAIxMg0AAAAJMTEvMS8yMDA4e42wu5Nz1QibL05Jl3PVCDRDSVEuTmFzZGFxR1M6SU5UQy5JUV9URVZfVE9UQUxfUkVWX0ZXRC42MDAwLjQvOC8yMDA0AQAAAIdSAAACAAAAEDQuNjk0NzkxODMyMTAxNjEBDQAAAAUAAAABOQEAAAAHMjYyMTI5NQIAAAAEMTg3OQMAAAAGMTAwMzA3BAAAAAEyBgAAAAEwBwAAAAMxNjAIAAAAATAJAAAAATEKAAAAATALAAAACTM2MDY1OTgxNwwAAAACMTINAAAACDQvOS8yMDA0W8BouZNz1Qi7fU5Jl3PVCCxDSVEuTkFTREFRR1M6SU5UQy5JUV9MQVNUU0FMRVBSSUNFLjEwLzkvMjAxMwEAAACHUgAAAgAAAAUyMi41OQBbP7C7k3PVCEsHPUuXc9UIN0NJUS5OQVNEQVFHUzpJTlRDLklR</t>
  </si>
  <si>
    <t>X1RFVl9FQklUREFfRldEX0NJUS42MDAwLjEyLzMwLzIwMTEBAAAAh1IAAAIAAAAQNC45NTU4MTkxMTQxMjA5NwENAAAABQAAAAE5AQAAAAcyNjIxMjk1AgAAAAcxNzU3MTY3AwAAAAYxMDAzMDgEAAAAATIGAAAAATAHAAAAAzE2MAgAAAABMAkAAAABMQoAAAABMAsAAAAKODE3MTE5NzMyNgwAAAACMTINAAAACjEyLzMxLzIwMTGrPFS7k3PVCOvqjK6Xc9UIH0NJUS5eU1BYLklRX1BUQlYuMjAwMC4xLzE3LzIwMTgBAAAAm7goAAIAAAAIOS43NzM3ODQAWz+wu5Nz1QgLboBKl3PVCDZDSVEuTmFzZGFxR1M6SU5UQy5JUV9URVZfRUJJVERBX0ZXRF9DSVEuNjAwMC4zLzE3LzIwMDYBAAAAh1IAAAIAAAAQOC4zMDg1OTIwMzM1MzY1OAENAAAABQAAAAE5AQAAAAcyNjIxMjk1AgAAAAQxODgxAwAAAAYxMDAzMDgEAAAAATIGAAAAATAHAAAAAzE2MAgAAAABMAkAAAABMQoAAAABMAsAAAAJMzYwNjc1NjA2DAAAAAIxMg0AAAAJMy8xOC8yMDA2u0y0vZNz1QhrlJCul3PVCC9DSVEuTkFTREFRR1M6SU5UQy5JUV9QUklDRV9TQUxFUy4yMDAwLjUvMTgvMjAxNgEAAACHUgAAAgAAAAgyLjUyNDUyNAEHAAAABQAAAAExAQAAAAoxNzg5MTkzMzQzAwAAAAEwAgAAAAUzODk1OAQAAAABMAcAAAAJNS8xOC8yMDE2CAAAAAk1LzE4LzIwMTb7jlK7k3PVCFumKUuXc9UIL0NJUS5OQVNEQVFHUzpJTlRDLklRX1BSSUNFX1NBTEVT</t>
  </si>
  <si>
    <t>LjIwMDAuNS8yMC8yMDE2AQAAAIdSAAACAAAACDIuNTM3OTkzAQcAAAAFAAAAATEBAAAACjE3ODkxOTMzNDMDAAAAATACAAAABTM4OTU4BAAAAAEwBwAAAAk1LzIwLzIwMTYIAAAACTUvMjAvMjAxNnudZrmTc9UI69RTSZdz1QgvQ0lRLk5BU0RBUUdTOklOVEMuSVFfUFJJQ0VfU0FMRVMuMjAwMC44LzI2LzIwMTUBAAAAh1IAAAIAAAAIMi4zNjU1NDUBBwAAAAUAAAABMQEAAAAKMTc0NzM1OTUxMgMAAAABMAIAAAAFMzg5NTgEAAAAATAHAAAACTgvMjYvMjAxNQgAAAAJOC8yNi8yMDE1e51muZNz1QjbwC9Ll3PVCDVDSVEuTkFTREFRR1M6SU5UQy5JUV9URVZfRUJJVERBX0ZXRF9DSVEuNjAwMC43LzkvMjAxMAEAAACHUgAAAgAAAA80Ljk3ODk4OTU5NDgzODgBDQAAAAUAAAABOQEAAAAHMjYyMTI5NQIAAAAHMTc1NzE2MgMAAAAGMTAwMzA4BAAAAAEyBgAAAAEwBwAAAAMxNjAIAAAAATAJAAAAATEKAAAAATALAAAACjgxNzI2MTQ1MDkMAAAAAjEyDQAAAAk3LzEwLzIwMTC7Y1S7k3PVCEtGkK6Xc9UIL0NJUS5OQVNEQVFHUzpJTlRDLklRX1BFX0VYQ0xfRldELjYwMDAuOS8zMC8yMDA1AQAAAIdSAAACAAAAEDE2LjYxMDUxMjEyOTM4MDEBDQAAAAUAAAABOQEAAAAHMjYyMTI5NQIAAAAHMTc1NzE0OAMAAAAGMTAwMzA5BAAAAAEyBgAAAAEwBwAAAAMxNjAIAAAAATAJAAAAATEKAAAAATALAAAACjg4NjI0MTI0</t>
  </si>
  <si>
    <t>MjIMAAAAAjEyDQAAAAkxMC8xLzIwMDVribO9k3PVCKtWTkmXc9UITENJUVJBTkdFLk5BU0RBUUdTOklOVEMuSVFfUFJJQ0VfU0FMRVMuMjAwMC4yMDEwLzAxLzAxLi4uREVTQy5XLi4uTFRNIFAvU0FMRVMFAAAAAAAAAAgAAAAWKEV4Y2VlZHMgOCBZZWFyIExpbWl0Kct808KTc9UIy/38wpNz1QgvQ0lRLk5BU0RBUUdTOklOVEMuSVFfUFJJQ0VfU0FMRVMuMjAwMC44LzIxLzIwMTMBAAAAh1IAAAIAAAAIMi4xMDY4MzgBBwAAAAUAAAABMQEAAAAKMTYyODQzNjg0OQMAAAABMAIAAAAFMzg5NTgEAAAAATAHAAAACTgvMjEvMjAxMwgAAAAJOC8yMS8yMDEzu2qvvZNz1QhbLj1Ll3PVCDBDSVEuTkFTREFRR1M6SU5UQy5JUV9QRV9FWENMX0ZXRC42MDAwLjEyLzMwLzIwMDUBAAAAh1IAAAIAAAAQMTYuMTg2NzcwNDI4MDE1NgENAAAABQAAAAE5AQAAAAcyNjIxMjk1AgAAAAcxNzU3MTQ5AwAAAAYxMDAzMDkEAAAAATIGAAAAATAHAAAAAzE2MAgAAAABMAkAAAABMQoAAAABMAsAAAAKODg2MjQxMjQzNgwAAAACMTINAAAACjEyLzMxLzIwMDW7TLS9k3PVCHvDUkmXc9UIL0NJUS5OQVNEQVFHUzpJTlRDLklRX1BSSUNFX1NBTEVTLjIwMDAuOC8zMC8yMDE3AQAAAIdSAAACAAAACDIuNjcxOTczAQcAAAAFAAAAATEBAAAACjE4NTA2MTg2NjQDAAAAATACAAAABTM4OTU4BAAAAAEwBwAAAAk4LzMwLzIwMTcIAAAACTgv</t>
  </si>
  <si>
    <t>MzAvMjAxN/uOUruTc9UIGxj9Spdz1Qg1Q0lRLk5hc2RhcUdTOklOVEMuSVFfVEVWX1RPVEFMX1JFVl9GV0QuNjAwMC4yLzE1LzIwMTMBAAAAh1IAAAIAAAAOMS44NTIzODYxNjI5OTgBDQAAAAUAAAABOQEAAAAHMjYyMTI5NQIAAAAHMzY1MjY2MAMAAAAGMTAwMzA3BAAAAAEyBgAAAAEwBwAAAAMxNjAIAAAAATAJAAAAATEKAAAAATALAAAACjU3NDg4OTYzMDQMAAAAAjEyDQAAAAkyLzE2LzIwMTPrb7y3k3PVCLvuUEmXc9UINkNJUS5OYXNkYXFHUzpJTlRDLklRX1RFVl9FQklUREFfRldEX0NJUS42MDAwLjgvMTMvMjAxMAEAAACHUgAAAgAAABA0LjE1NzQxODMyOTA0OTc2AQ0AAAAFAAAAATkBAAAABzI2MjEyOTUCAAAABzE3NTcxNjMDAAAABjEwMDMwOAQAAAABMgYAAAABMAcAAAADMTYwCAAAAAEwCQAAAAExCgAAAAEwCwAAAAo3MDczNzIwNjgwDAAAAAIxMg0AAAAJOC8xNC8yMDEwq61Wu5Nz1Qjr6oyul3PVCDVDSVEuTmFzZGFxR1M6SU5UQy5JUV9URVZfRUJJVERBX0ZXRF9DSVEuNjAwMC45LzcvMjAxMgEAAACHUgAAAgAAABA0Ljk4OTk5ODg1NjQ5MDYxAQ0AAAAFAAAAATkBAAAABzI2MjEyOTUCAAAABzE3NTcxNjkDAAAABjEwMDMwOAQAAAABMgYAAAABMAcAAAADMTYwCAAAAAEwCQAAAAExCgAAAAEwCwAAAAo2OTU1NDAyNjEyDAAAAAIxMg0AAAAIOS84LzIwMTKb/rO9k3PVCJuYjq6Xc9UIL0NJ</t>
  </si>
  <si>
    <t>US5OQVNEQVFHUzpJTlRDLklRX1BFX0VYQ0xfRldELjYwMDAuNy8yNS8yMDE0AQAAAIdSAAACAAAAEDE0Ljg3NzcyMDM0MjI5NjIBDQAAAAUAAAABOQEAAAAHMjYyMTI5NQIAAAAHNDQ1NjQyOAMAAAAGMTAwMzA5BAAAAAEyBgAAAAEwBwAAAAMxNjAIAAAAATAJAAAAATEKAAAAATALAAAACjczNDUzNDY0MDgMAAAAAjEyDQAAAAk3LzI2LzIwMTSrJbS9k3PVCMuGU0mXc9UIH0NJUS5eU1BYLklRX1BUQlYuMjAwMC4yLzI2LzIwMTQBAAAAm7goAAIAAAAINS4xODQzOTcAy5GvvZNz1QirgDtLl3PVCC5DSVEuTkFTREFRR1M6SU5UQy5JUV9QRV9FWENMX0ZXRC42MDAwLjQvMy8yMDA5AQAAAIdSAAACAAAAEDM5LjgzODE0OTcxMTUxNjgBDQAAAAUAAAABOQEAAAAHMjYyMTI5NQIAAAAEMTg4NAMAAAAGMTAwMzA5BAAAAAEyBgAAAAEwBwAAAAMxNjAIAAAAATAJAAAAATEKAAAAATALAAAABzE1NDE0MzAMAAAAAjEyDQAAAAg0LzQvMjAwOTsUs72Tc9UI60VWSZdz1Qg2Q0lRLk5hc2RhcUdTOklOVEMuSVFfVEVWX1RPVEFMX1JFVl9GV0QuNjAwMC4xMi8yNi8yMDE0AQAAAIdSAAACAAAADzMuMTA3MzYyODI5NTU4NAENAAAABQAAAAE5AQAAAAcyNjIxMjk1AgAAAAc0NDU2NDI5AwAAAAYxMDAzMDcEAAAAATIGAAAAATAHAAAAAzE2MAgAAAABMAkAAAABMQoAAAABMAsAAAAKODg2NDQzNzc5NAwAAAACMTINAAAACjEy</t>
  </si>
  <si>
    <t>LzI3LzIwMTSrJbS9k3PVCKvHUEmXc9UILkNJUS5OQVNEQVFHUzpJTlRDLklRX1BFX0VYQ0xfRldELjYwMDAuMS85LzIwMDkBAAAAh1IAAAIAAAAQMzAuMzA2Mjc1NDMzNzExNwENAAAABQAAAAE5AQAAAAcyNjIxMjk1AgAAAAcxNzU3MTU4AwAAAAYxMDAzMDkEAAAAATIGAAAAATAHAAAAAzE2MAgAAAABMAkAAAABMQoAAAABMAsAAAAKODg2NDQ4NzQ3NgwAAAACMTINAAAACTEvMTAvMjAwOTsUs72Tc9UIe1JQSZdz1Qg0Q0lRLk5hc2RhcUdTOklOVEMuSVFfVEVWX1RPVEFMX1JFVl9GV0QuNjAwMC42LzMvMjAxMQEAAACHUgAAAgAAABAxLjk2NzY1MjI4NDIwODQ4AQ0AAAAFAAAAATkBAAAABzI2MjEyOTUCAAAABzE3NTcxNjUDAAAABjEwMDMwNwQAAAABMgYAAAABMAcAAAADMTYwCAAAAAEwCQAAAAExCgAAAAEwCwAAAAo4ODYyNTQwODI2DAAAAAIxMg0AAAAINi80LzIwMTHbh2e5k3PVCNuPWEmXc9UIMENJUS5OQVNEQVFHUzpJTlRDLklRX1BSSUNFX1NBTEVTLjIwMDAuMTIvMjcvMjAxNwEAAACHUgAAAgAAAAgzLjUwMTQwMgEHAAAABQAAAAExAQAAAAoxODYyNzU4MDQzAwAAAAEwAgAAAAUzODk1OAQAAAABMAcAAAAKMTIvMjcvMjAxNwgAAAAKMTIvMjcvMjAxN9vXubeTc9UIqzm1Spdz1QgwQ0lRLk5BU0RBUUdTOklOVEMuSVFfUFJJQ0VfU0FMRVMuMjAwMC4xMS8yOS8yMDE3AQAAAIdSAAACAAAACDMu</t>
  </si>
  <si>
    <t>MzM3MzgxAQcAAAAFAAAAATEBAAAACjE4NjI3NTgwNDMDAAAAATACAAAABTM4OTU4BAAAAAEwBwAAAAoxMS8yOS8yMDE3CAAAAAoxMS8yOS8yMDE329e5t5Nz1QgrKOxKl3PVCCNDSVEuXlNQWC5JUV9MQVNUU0FMRVBSSUNFLjUvMTEvMjAxNgEAAACbuCgAAgAAABAyMDY0LjQ2MTkwMjk5MzU1AFs/sLuTc9UIW6YpS5dz1QgsQ0lRLl5TUFguSVFfVEVWX0VCSVREQV9GV0RfQ0lRLjYwMDAuNC8yLzIwMTQBAAAAm7goAAIAAAAIOS4wMzQxODkAm+tmuZNz1Qh7CztLl3PVCChDSVEuTkFTREFRR1M6SU5UQy5JUV9QVEJWLjIwMDAuNS8yMS8yMDEwAQAAAIdSAAACAAAACDMuMDc4NjA2AQcAAAAFAAAAATEBAAAACjEzNTc2NTkxMDEDAAAAATACAAAABjEwMDAyOQQAAAABMAcAAAAJNS8yMS8yMDEwCAAAAAk1LzIxLzIwMTBLGLC7k3PVCAuyUUmXc9UIKENJUS5OQVNEQVFHUzpJTlRDLklRX1BUQlYuMjAwMC45LzIzLzIwMTYBAAAAh1IAAAIAAAAINS4yNDAzMzkBBwAAAAUAAAABMQEAAAAKMTgwMTI5NDUwMQMAAAABMAIAAAAGMTAwMDI5BAAAAAEwBwAAAAk5LzIzLzIwMTYIAAAACTkvMjMvMjAxNvuOUruTc9UIW1dXSZdz1QgiQ0lRLl5TUFguSVFfTEFTVFNBTEVQUklDRS40LzUvMjAxNwEAAACbuCgAAgAAABAyMzUyLjk0ODE5MDUzMjU4ANvXubeTc9UIiyIUS5dz1QguQ0lRLk5BU0RBUUdTOklOVEMuSVFfUFJJ</t>
  </si>
  <si>
    <t>Q0VfU0FMRVMuMjAwMC40LzEvMjAxNgEAAACHUgAAAgAAAAgyLjc3OTgzNwEHAAAABQAAAAExAQAAAAoxNzc1OTMzMTQwAwAAAAEwAgAAAAUzODk1OAQAAAABMAcAAAAINC8xLzIwMTYIAAAACDQvMS8yMDE2a3ZmuZNz1Qh7NFVJl3PVCB9DSVEuXlNQWC5JUV9QVEJWLjIwMDAuMTAvNy8yMDE1AQAAAJu4KAACAAAACDYuMTEzNTY1ALtqr72Tc9UImyQvS5dz1QgvQ0lRLk5hc2RhcUdTOklOVEMuSVFfUEVfRVhDTF9GV0QuNjAwMC4xLzI2LzIwMTgBAAAAh1IAAAIAAAAQMTQuMTQyMjk4NDA1ODg1MQENAAAABQAAAAE5AQAAAAcyNjIxMjk1AgAAAAoxMDAxNTI4NTI3AwAAAAYxMDAzMDkEAAAAATIGAAAAATAHAAAAAzE2MAgAAAABMAkAAAABMQoAAAABMAsAAAALMTA3MDA3NzEwMjYMAAAAAjEyDQAAAAkxLzI3LzIwMTjLArK9k3PVCBu7VkmXc9UINkNJUS5OYXNkYXFHUzpJTlRDLklRX1RFVl9UT1RBTF9SRVZfRldELjYwMDAuMTIvMTQvMjAxMgEAAACHUgAAAgAAABAxLjg0MzAzOTkyOTA1MTM5AQ0AAAAFAAAAATkBAAAABzI2MjEyOTUCAAAABzE3NTcxNzADAAAABjEwMDMwNwQAAAABMgYAAAABMAcAAAADMTYwCAAAAAEwCQAAAAExCgAAAAEwCwAAAAo4ODY0NDM0MzUwDAAAAAIxMg0AAAAKMTIvMTUvMjAxMuuXVrmTc9UIa+9ZSZdz1QgtQ0lRLl5TUFguSVFfVEVWX1RPVEFMX1JFVl9GV0QuNjAwMC4xMS8x</t>
  </si>
  <si>
    <t>NS8yMDE3AQAAAJu4KAACAAAABzIuMjc1MzgAKwRTu5Nz1Qgbcu5Kl3PVCCVDSVEuXlNQWC5JUV9QRV9FWENMX0ZXRC42MDAwLjcvMi8yMDE0AQAAAJu4KAACAAAACTE2LjI2NDU3NgDbuK+9k3PVCDv+N0uXc9UINENJUS5OYXNkYXFHUzpJTlRDLklRX1RFVl9UT1RBTF9SRVZfRldELjYwMDAuMS8yLzIwMDkBAAAAh1IAAAIAAAAOMi4yNjQwNjgyOTEzNTkBDQAAAAUAAAABOQEAAAAHMjYyMTI5NQIAAAAHMTc1NzE1OAMAAAAGMTAwMzA3BAAAAAEyBgAAAAEwBwAAAAMxNjAIAAAAATAJAAAAATEKAAAAATALAAAACjg4NjIwMjk0MTcMAAAAAjEyDQAAAAgxLzMvMjAwOZvbsLuTc9UI2x5WSZdz1QgsQ0lRLl5TUFguSVFfVEVWX1RPVEFMX1JFVl9GV0QuNjAwMC45LzE4LzIwMTMBAAAAm7goAAIAAAAHMS43MTM1MwCrEme5k3PVCEsHPUuXc9UINUNJUS5OYXNkYXFHUzpJTlRDLklRX1RFVl9UT1RBTF9SRVZfRldELjYwMDAuMTEvMi8yMDAxAQAAAIdSAAACAAAAEDYuMzE5MjEyOTA1NTAxODYBDQAAAAUAAAABOQEAAAAHMjYyMTI5NQIAAAAHMzQyMTE2MgMAAAAGMTAwMzA3BAAAAAEyBgAAAAEwBwAAAAMxNjAIAAAAATAJAAAAATEKAAAAATALAAAACjExNjkxNTI1NTAMAAAAAjEyDQAAAAkxMS8zLzIwMDFbwGi5k3PVCOtjUUmXc9UINkNJUS5OYXNkYXFHUzpJTlRDLklRX1RFVl9UT1RBTF9SRVZfRldELjYwMDAu</t>
  </si>
  <si>
    <t>MTEvMjcvMjAxNQEAAACHUgAAAgAAABAyLjgzMjI4ODM2MDQ0MTI3AQ0AAAAFAAAAATkBAAAABzI2MjEyOTUCAAAABzgwNjgyNjIDAAAABjEwMDMwNwQAAAABMgYAAAABMAcAAAADMTYwCAAAAAEwCQAAAAExCgAAAAEwCwAAAAo5MTcwMTYyNzQwDAAAAAIxMg0AAAAKMTEvMjgvMjAxNfvVZ7mTc9UISzBXSZdz1QgeQ0lRLl5TUFguSVFfUFRCVi4yMDAwLjMvNi8yMDEzAQAAAJu4KAACAAAACDQuODI4NDE2ANvXubeTc9UIyz8+S5dz1QggQ0lRLl5TUFguSVFfUFRCVi4yMDAwLjEwLzI1LzIwMTcBAAAAm7goAAIAAAAIOS4wMzMyNTIAWzhVuZNz1Qjr3vJKl3PVCC5DSVEuXlNQWC5JUV9URVZfRUJJVERBX0ZXRF9DSVEuNjAwMC4xMi8zMC8yMDE1AQAAAJu4KAACAAAACDkuODExMjM5ANu4r72Tc9UIyygtS5dz1QgvQ0lRLk5BU0RBUUdTOklOVEMuSVFfUEVfRVhDTF9GV0QuNjAwMC43LzI2LzIwMTMBAAAAh1IAAAIAAAAQMTEuODkwMzk5NzU0NjI2MwENAAAABQAAAAE5AQAAAAcyNjIxMjk1AgAAAAczODI5NzUyAwAAAAYxMDAzMDkEAAAAATIGAAAAATAHAAAAAzE2MAgAAAABMAkAAAABMQoAAAABMAsAAAAKNzAzMzI2NzI2MgwAAAACMTINAAAACTcvMjcvMjAxMwufsr2Tc9UIK+JWSZdz1Qg2Q0lRLk5hc2RhcUdTOklOVEMuSVFfVEVWX0VCSVREQV9GV0RfQ0lRLjYwMDAuMS8xOC8yMDAyAQAAAIdSAAACAAAA</t>
  </si>
  <si>
    <t>EDIwLjEzNjk2MDg5Mzc1OTQBDQAAAAUAAAABOQEAAAAHMjYyMTI5NQIAAAAEMTg3NwMAAAAGMTAwMzA4BAAAAAEyBgAAAAEwBwAAAAMxNjAIAAAAATAJAAAAATEKAAAAATALAAAACTM2MDY1NjA1MQwAAAACMTINAAAACTEvMTkvMjAwMotfVruTc9UIK/iPrpdz1Qg1Q0lRLk5hc2RhcUdTOklOVEMuSVFfVEVWX0VCSVREQV9GV0RfQ0lRLjYwMDAuMS8yLzIwMDkBAAAAh1IAAAIAAAAQNy4xNTczNzgzMDU4NjQzMgENAAAABQAAAAE5AQAAAAcyNjIxMjk1AgAAAAcxNzU3MTU4AwAAAAYxMDAzMDgEAAAAATIGAAAAATAHAAAAAzE2MAgAAAABMAkAAAABMQoAAAABMAsAAAAKNjczMDg1ODQ0NwwAAAACMTINAAAACDEvMy8yMDA5qwKxu5Nz1Qirv46ul3PVCC5DSVEuTkFTREFRR1M6SU5UQy5JUV9QRV9FWENMX0ZXRC42MDAwLjkvNC8yMDA5AQAAAIdSAAACAAAAEDE3LjMyNjg2MzY5NjUxNTIBDQAAAAUAAAABOQEAAAAHMjYyMTI5NQIAAAAHMTc1NzE2MAMAAAAGMTAwMzA5BAAAAAEyBgAAAAEwBwAAAAMxNjAIAAAAATAJAAAAATEKAAAAATALAAAACjg4NjQzOTUwMTMMAAAAAjEyDQAAAAg5LzUvMjAwOTsUs72Tc9UIO0VNSZdz1Qg2Q0lRLk5BU0RBUUdTOklOVEMuSVFfVEVWX0VCSVREQV9GV0RfQ0lRLjYwMDAuOS8xOC8yMDA5AQAAAIdSAAACAAAADjcuMzY5MTI4NDU5NjQ5AQ0AAAAFAAAAATkBAAAABzI2MjEy</t>
  </si>
  <si>
    <t>OTUCAAAABzE3NTcxNjADAAAABjEwMDMwOAQAAAABMgYAAAABMAcAAAADMTYwCAAAAAEwCQAAAAExCgAAAAEwCwAAAAo4MTcyNDAzMzYwDAAAAAIxMg0AAAAJOS8xOS8yMDA5y4pUu5Nz1Qgb0Y+ul3PVCCxDSVEuTkFTREFRR1M6SU5UQy5JUV9MQVNUU0FMRVBSSUNFLjkvMTgvMjAxMwEAAACHUgAAAgAAAAQyMy45AFtPZrmTc9UISwc9S5dz1Qg1Q0lRLk5hc2RhcUdTOklOVEMuSVFfVEVWX0VCSVREQV9GV0RfQ0lRLjYwMDAuNC83LzIwMDYBAAAAh1IAAAIAAAAQOC4wNjY3MTQ1ODI4Nzg1OQENAAAABQAAAAE5AQAAAAcyNjIxMjk1AgAAAAQxODgxAwAAAAYxMDAzMDgEAAAAATIGAAAAATAHAAAAAzE2MAgAAAABMAkAAAABMQoAAAABMAsAAAAJMzYwNjc1NjA2DAAAAAIxMg0AAAAINC84LzIwMDarJbS9k3PVCOtbj66Xc9UIMENJUS5OQVNEQVFHUzpJTlRDLklRX1BSSUNFX1NBTEVTLjIwMDAuMTIvMzEvMjAxNAEAAACHUgAAAgAAAAczLjI2ODQzAQcAAAAFAAAAATEBAAAACjE3MDM2ODE4OTQDAAAAATACAAAABTM4OTU4BAAAAAEwBwAAAAoxMi8zMS8yMDE0CAAAAAoxMi8zMS8yMDE0O+pUuZNz1QgbPzVLl3PVCDVDSVEuTmFzZGFxR1M6SU5UQy5JUV9URVZfVE9UQUxfUkVWX0ZXRC42MDAwLjcvMjIvMjAxMQEAAACHUgAAAgAAABAyLjAzOTUwODE4NDM5ODEyAQ0AAAAFAAAAATkBAAAABzI2MjEyOTUCAAAA</t>
  </si>
  <si>
    <t>BzE3NTcxNjYDAAAABjEwMDMwNwQAAAABMgYAAAABMAcAAAADMTYwCAAAAAEwCQAAAAExCgAAAAEwCwAAAAo4ODY0NDMxMzQyDAAAAAIxMg0AAAAJNy8yMy8yMDExuzlnuZNz1QhLMFdJl3PVCDZDSVEuTmFzZGFxR1M6SU5UQy5JUV9URVZfRUJJVERBX0ZXRF9DSVEuNjAwMC4yLzE1LzIwMDgBAAAAh1IAAAIAAAAQNi42NTMyODQwNzA4OTM2OQENAAAABQAAAAE5AQAAAAcyNjIxMjk1AgAAAAQxODgzAwAAAAYxMDAzMDgEAAAAATIGAAAAATAHAAAAAzE2MAgAAAABMAkAAAABMQoAAAABMAsAAAAJMzYwNzAzMzA4DAAAAAIxMg0AAAAJMi8xNi8yMDA4qwKxu5Nz1QhrI46ul3PVCCZDSVEuXlNQWC5JUV9QRV9FWENMX0ZXRC42MDAwLjEyLzQvMjAxMwEAAACbuCgAAgAAAAkxNS4zMzgwODMAm+tmuZNz1QgbkjxLl3PVCChDSVEuTkFTREFRR1M6SU5UQy5JUV9QVEJWLjIwMDAuOC8xNS8yMDE0AQAAAIdSAAACAAAACDMuODQ4NzgyAQcAAAAFAAAAATEBAAAACjE2ODgwODA5OTIDAAAAATACAAAABjEwMDAyOQQAAAABMAcAAAAJOC8xNS8yMDE0CAAAAAk4LzE1LzIwMTQLtlK7k3PVCKupVUmXc9UIIENJUS5eU1BYLklRX1BUQlYuMjAwMC4xMS8zMC8yMDE2AQAAAJu4KAACAAAACDcuNjA4NzQyAFs/sLuTc9UI+/ceS5dz1Qg1Q0lRLk5BU0RBUUdTOklOVEMuSVFfVEVWX0VCSVREQV9GV0RfQ0lRLjYwMDAuOC83LzIw</t>
  </si>
  <si>
    <t>MDkBAAAAh1IAAAIAAAAQNy44Mjg2MzkxMTYyNzUyOQENAAAABQAAAAE5AQAAAAcyNjIxMjk1AgAAAAcxNzU3MTYwAwAAAAYxMDAzMDgEAAAAATIGAAAAATAHAAAAAzE2MAgAAAABMAkAAAABMQoAAAABMAsAAAAKODE3MjQwMzM1MQwAAAACMTINAAAACDgvOC8yMDA527FUu5Nz1QhLRpCul3PVCChDSVEuTkFTREFRR1M6SU5UQy5JUV9QVEJWLjIwMDAuMy8xOC8yMDE2AQAAAIdSAAACAAAACDMuMzY5OTkxAQcAAAAFAAAAATEBAAAACjE3NzU5MzMxNDADAAAAATACAAAABjEwMDAyOQQAAAABMAcAAAAJMy8xOC8yMDE2CAAAAAkzLzE4LzIwMTb7jlK7k3PVCJvzV0mXc9UILENJUS5eU1BYLklRX1RFVl9UT1RBTF9SRVZfRldELjYwMDAuNS8yMS8yMDE0AQAAAJu4KAACAAAACDEuODEyNzIyAHuGVbmTc9UIuzY5S5dz1QgvQ0lRLk5BU0RBUUdTOklOVEMuSVFfUEVfRVhDTF9GV0QuNjAwMC4xMC8zLzIwMDMBAAAAh1IAAAIAAAAOMzEuMDAxOTg5MzIwNDkBDQAAAAUAAAABOQEAAAAHMjYyMTI5NQIAAAAHMTc1NzE0MgMAAAAGMTAwMzA5BAAAAAEyBgAAAAEwBwAAAAMxNjAIAAAAATAJAAAAATEKAAAAATALAAAACjY4ODM2OTQ2MzEMAAAAAjEyDQAAAAkxMC80LzIwMDN7sLO9k3PVCJtkWkmXc9UINkNJUS5OYXNkYXFHUzpJTlRDLklRX1RFVl9FQklUREFfRldEX0NJUS42MDAwLjgvMTkvMjAwNQEAAACHUgAAAgAA</t>
  </si>
  <si>
    <t>ABA4LjA3ODMyMzA1NjEyMDc5AQ0AAAAFAAAAATkBAAAABzI2MjEyOTUCAAAABzE3NTcxNDgDAAAABjEwMDMwOAQAAAABMgYAAAABMAcAAAADMTYwCAAAAAEwCQAAAAExCgAAAAEwCwAAAAoxMTY5MTMwOTY3DAAAAAIxMg0AAAAJOC8yMC8yMDA1+8Wxu5Nz1Qi75o6ul3PVCDZDSVEuTmFzZGFxR1M6SU5UQy5JUV9URVZfVE9UQUxfUkVWX0ZXRC42MDAwLjEwLzE0LzIwMDUBAAAAh1IAAAIAAAAQMy4xNDMxOTg5NTA3MTE3NQENAAAABQAAAAE5AQAAAAcyNjIxMjk1AgAAAAcxNzU3MTQ4AwAAAAYxMDAzMDcEAAAAATIGAAAAATAHAAAAAzE2MAgAAAABMAkAAAABMQoAAAABMAsAAAAKODg2MDk3MDk1MAwAAAACMTINAAAACjEwLzE1LzIwMDXbcFa5k3PVCCuPT0mXc9UIH0NJUS5eU1BYLklRX1BUQlYuMjAwMC41LzIxLzIwMTQBAAAAm7goAAIAAAAINS4yNzAzMDkAy5GvvZNz1Qi7NjlLl3PVCC1DSVEuXlNQWC5JUV9URVZfRUJJVERBX0ZXRF9DSVEuNjAwMC43LzE5LzIwMTcBAAAAm7goAAIAAAAJMTAuNTg0MDMxAGtmsLuTc9UIW3gHS5dz1QgjQ0lRLl5TUFguSVFfTEFTVFNBTEVQUklDRS4xMi82LzIwMTcBAAAAm7goAAIAAAAPMjYyOS4yNjY5MTM4NjY4AFs/sLuTc9UI2661Spdz1Qg1Q0lRLk5hc2RhcUdTOklOVEMuSVFfVEVWX0VCSVREQV9GV0RfQ0lRLjYwMDAuNy8zLzIwMTQBAAAAh1IAAAIAAAAQNi4z</t>
  </si>
  <si>
    <t>NTM3MDg2MjA5MDI1OQENAAAABQAAAAE5AQAAAAcyNjIxMjk1AgAAAAc0NDU2NDI3AwAAAAYxMDAzMDgEAAAAATIGAAAAATAHAAAAAzE2MAgAAAABMAkAAAABMQoAAAABMAsAAAAKODE3MDcxNTgwMwwAAAACMTINAAAACDcvNC8yMDE0ezhWu5Nz1QhrlJCul3PVCDZDSVEuTmFzZGFxR1M6SU5UQy5JUV9URVZfRUJJVERBX0ZXRF9DSVEuNjAwMC4xLzExLzIwMDgBAAAAh1IAAAIAAAAQNi44MDUyOTkxNzQ5ODkxNAENAAAABQAAAAE5AQAAAAcyNjIxMjk1AgAAAAcxNzU3MTU1AwAAAAYxMDAzMDgEAAAAATIGAAAAATAHAAAAAzE2MAgAAAABMAkAAAABMQoAAAABMAsAAAAKMTE2OTEzOTUzOAwAAAACMTINAAAACTEvMTIvMjAwOLtMtL2Tc9UIe7uQrpdz1Qg1Q0lRLk5hc2RhcUdTOklOVEMuSVFfVEVWX1RPVEFMX1JFVl9GV0QuNjAwMC44LzMxLzIwMDEBAAAAh1IAAAIAAAAQNi41NzEwMTU3ODczOTIxMgENAAAABQAAAAE5AQAAAAcyNjIxMjk1AgAAAAczNDIxMTYxAwAAAAYxMDAzMDcEAAAAATIGAAAAATAHAAAAAzE2MAgAAAABMAkAAAABMQoAAAABMAsAAAAKMTE2OTE1MjQ1MgwAAAACMTINAAAACDkvMS8yMDAxi9ezvZNz1QibZFpJl3PVCDVDSVEuTmFzZGFxR1M6SU5UQy5JUV9URVZfRUJJVERBX0ZXRF9DSVEuNjAwMC4zLzgvMjAxMwEAAACHUgAAAgAAABA0Ljg1ODgwMjU0NzUxOTA2AQ0AAAAFAAAAATkB</t>
  </si>
  <si>
    <t>AAAABzI2MjEyOTUCAAAABzM2NTI2NjADAAAABjEwMDMwOAQAAAABMgYAAAABMAcAAAADMTYwCAAAAAEwCQAAAAExCgAAAAEwCwAAAAo1NDM4MjAwMDcxDAAAAAIxMg0AAAAIMy85LzIwMTOL17O9k3PVCFv8ja6Xc9UINUNJUS5OYXNkYXFHUzpJTlRDLklRX1RFVl9UT1RBTF9SRVZfRldELjYwMDAuMS8yMy8yMDA0AQAAAIdSAAACAAAAEDUuNDg0NDU3MDM0NTk1NzcBDQAAAAUAAAABOQEAAAAHMjYyMTI5NQIAAAAEMTg3OQMAAAAGMTAwMzA3BAAAAAEyBgAAAAEwBwAAAAMxNjAIAAAAATAJAAAAATEKAAAAATALAAAACTM2MDY1OTc2NQwAAAACMTINAAAACTEvMjQvMjAwNMshvLeTc9UIi+pSSZdz1QgmQ0lRLl5TUFguSVFfUEVfRVhDTF9GV0QuNjAwMC40LzEyLzIwMTcBAAAAm7goAAIAAAAJMTguMTI2MTc3AGtmsLuTc9UIKzgTS5dz1QgvQ0lRLk5BU0RBUUdTOklOVEMuSVFfUFJJQ0VfU0FMRVMuMjAwMC43LzIwLzIwMTYBAAAAh1IAAAIAAAAIMi45ODE1MjEBBwAAAAUAAAABMQEAAAAKMTc5OTk0NjIwOAMAAAABMAIAAAAFMzg5NTgEAAAAATAHAAAACTcvMjAvMjAxNggAAAAJNy8yMC8yMDE2y7C5t5Nz1QhbNSdLl3PVCC1DSVEuXlNQWC5JUV9URVZfRUJJVERBX0ZXRF9DSVEuNjAwMC4yLzE3LzIwMTYBAAAAm7goAAIAAAAIOS40Mzg2MTYAG91Su5Nz1QgLVCtLl3PVCCtDSVEuXlNQWC5JUV9URVZfVE9U</t>
  </si>
  <si>
    <t>QUxfUkVWX0ZXRC42MDAwLjEvOC8yMDE0AQAAAJu4KAACAAAACDEuNzk2MjIyAGtfVbmTc9UIC2s8S5dz1QgsQ0lRLk5BU0RBUUdTOklOVEMuSVFfTEFTVFNBTEVQUklDRS44LzEwLzIwMTYBAAAAh1IAAAIAAAAFMzQuNTMAW09muZNz1Qjb/CVLl3PVCC5DSVEuTkFTREFRR1M6SU5UQy5JUV9QRV9FWENMX0ZXRC42MDAwLjUvNC8yMDAxAQAAAIdSAAACAAAAEDU0LjY2NDU0MjM5Njg4NDQBDQAAAAUAAAABOQEAAAAHMjYyMTI5NQIAAAAHMzQyMTE2MAMAAAAGMTAwMzA5BAAAAAEyBgAAAAEwBwAAAAMxNjAIAAAAATAJAAAAATEKAAAAATALAAAACjExNjkxNzMxODIMAAAAAjEyDQAAAAg1LzUvMjAwMYvXs72Tc9UIyxVRSZdz1QgjQ0lRLl5TUFguSVFfTEFTVFNBTEVQUklDRS42LzExLzIwMTQBAAAAm7goAAIAAAAQMTk0My44OTAyMDg1ODM5MwArw1S5k3PVCGtzOEuXc9UILENJUS5OQVNEQVFHUzpJTlRDLklRX0xBU1RTQUxFUFJJQ0UuMS8yNy8yMDE2AQAAAIdSAAACAAAABTI5LjgxABvdUruTc9UIS/ArS5dz1QgoQ0lRLk5BU0RBUUdTOklOVEMuSVFfUFRCVi4yMDAwLjQvMjkvMjAxMQEAAACHUgAAAgAAAAg0LjAxODUyNAEHAAAABQAAAAExAQAAAAoxNDQzNzY3MDAxAwAAAAEwAgAAAAYxMDAwMjkEAAAAATAHAAAACTQvMjkvMjAxMQgAAAAJNC8yOS8yMDExSxFVuZNz1QjLpE5Jl3PVCC5DSVEuXlNQWC5J</t>
  </si>
  <si>
    <t>UV9URVZfRUJJVERBX0ZXRF9DSVEuNjAwMC4xMi8xMC8yMDE0AQAAAJu4KAACAAAACDkuMzYzOTMyANu4r72Tc9UIS7Q1S5dz1Qg1Q0lRLk5hc2RhcUdTOklOVEMuSVFfVEVWX1RPVEFMX1JFVl9GV0QuNjAwMC4zLzMwLzIwMDEBAAAAh1IAAAIAAAAQNS45NDIzNTk1NjY2MjMxNgENAAAABQAAAAE5AQAAAAcyNjIxMjk1AgAAAAczMTUxMzAxAwAAAAYxMDAzMDcEAAAAATIGAAAAATAHAAAAAzE2MAgAAAABMAkAAAABMQoAAAABMAsAAAAJMzYxMjEyNjkxDAAAAAIxMg0AAAAJMy8zMS8yMDAx+9VnuZNz1QgbLFlJl3PVCChDSVEuTkFTREFRR1M6SU5UQy5JUV9QVEJWLjIwMDAuMS8yNC8yMDE0AQAAAIdSAAACAAAACDIuODk1NTU4AQcAAAAFAAAAATEBAAAACjE2NTM4MTkzMzQDAAAAATACAAAABjEwMDAyOQQAAAABMAcAAAAJMS8yNC8yMDE0CAAAAAkxLzI0LzIwMTQLtlK7k3PVCKupVUmXc9UILkNJUS5OQVNEQVFHUzpJTlRDLklRX1BFX0VYQ0xfRldELjYwMDAuOS8yLzIwMTEBAAAAh1IAAAIAAAAQOC4zMzEyMTIzNTI1OTE4NAENAAAABQAAAAE5AQAAAAcyNjIxMjk1AgAAAAcxNzU3MTY2AwAAAAYxMDAzMDkEAAAAATIGAAAAATAHAAAAAzE2MAgAAAABMAkAAAABMQoAAAABMAsAAAAKODg2MzM1OTM2OAwAAAACMTINAAAACDkvMy8yMDExG8ayvZNz1QgbLFlJl3PVCB9DSVEuXlNQWC5JUV9QVEJWLjIwMDAu</t>
  </si>
  <si>
    <t>Ni8yNS8yMDE0AQAAAJu4KAACAAAACDUuNDU1MTIzAFs4VbmTc9UIi8E4S5dz1QgmQ0lRLl5TUFguSVFfUEVfRVhDTF9GV0QuNjAwMC40LzMwLzIwMTQBAAAAm7goAAIAAAAIMTUuNTc0NzUA69+vvZNz1Qi7NjlLl3PVCDBDSVEuTkFTREFRR1M6SU5UQy5JUV9QRV9FWENMX0ZXRC42MDAwLjExLzMwLzIwMDEBAAAAh1IAAAIAAAAQNjYuNTQ0NDE3Mjc3OTEzNgENAAAABQAAAAE5AQAAAAcyNjIxMjk1AgAAAAczNDIxMTYyAwAAAAYxMDAzMDkEAAAAATIGAAAAATAHAAAAAzE2MAgAAAABMAkAAAABMQoAAAABMAsAAAAKMTE2OTE3MzU0MQwAAAACMTINAAAACTEyLzEvMjAwMYvXs72Tc9UIe6VXSZdz1QgjQ0lRLl5TUFguSVFfTEFTVFNBTEVQUklDRS45LzI1LzIwMTMBAAAAm7goAAIAAAAQMTY5Mi43NjYxOTcxOTM3NgA76lS5k3PVCDvgPEuXc9UIK0NJUS5eU1BYLklRX1RFVl9UT1RBTF9SRVZfRldELjYwMDAuOS85LzIwMTUBAAAAm7goAAIAAAAIMS45MDI5MjcAe4ZVuZNz1QirSy9Ll3PVCCxDSVEuXlNQWC5JUV9URVZfVE9UQUxfUkVWX0ZXRC42MDAwLjMvMTEvMjAxNQEAAACbuCgAAgAAAAgxLjk5OTg5NwCb62a5k3PVCBvOMkuXc9UINENJUS5OYXNkYXFHUzpJTlRDLklRX1RFVl9UT1RBTF9SRVZfRldELjYwMDAuMy8zLzIwMDYBAAAAh1IAAAIAAAAQMi43ODg5Mzc3NTk4NDg0MwENAAAABQAAAAE5AQAA</t>
  </si>
  <si>
    <t>AAcyNjIxMjk1AgAAAAQxODgxAwAAAAYxMDAzMDcEAAAAATIGAAAAATAHAAAAAzE2MAgAAAABMAkAAAABMQoAAAABMAsAAAAJMzYwNjcyMzQzDAAAAAIxMg0AAAAIMy80LzIwMDab1FW5k3PVCEv7SkmXc9UINkNJUS5OYXNkYXFHUzpJTlRDLklRX1RFVl9UT1RBTF9SRVZfRldELjYwMDAuMTIvMjMvMjAxNgEAAACHUgAAAgAAABAzLjA1MjQ2Nzk5MjM1NzE3AQ0AAAAFAAAAATkBAAAABzI2MjEyOTUCAAAACDI3MDAzNjUzAwAAAAYxMDAzMDcEAAAAATIGAAAAATAHAAAAAzE2MAgAAAABMAkAAAABMQoAAAABMAsAAAAKOTkwMjc5NDkwNAwAAAACMTINAAAACjEyLzI0LzIwMTb7lry3k3PVCJvzV0mXc9UILENJUS5eU1BYLklRX1RFVl9FQklUREFfRldEX0NJUS42MDAwLjEvOC8yMDE0AQAAAJu4KAACAAAACDguODM5MzgyAOv+ubeTc9UIC2s8S5dz1QgmQ0lRLl5TUFguSVFfUEVfRVhDTF9GV0QuNjAwMC44LzI4LzIwMTMBAAAAm7goAAIAAAAIMTQuMjQ5OTkAe42wu5Nz1QhbLj1Ll3PVCDZDSVEuTkFTREFRR1M6SU5UQy5JUV9URVZfVE9UQUxfUkVWX0ZXRC42MDAwLjExLzE3LzIwMTcBAAAAh1IAAAIAAAAQMy41MTYxMzA5ODUwODg3NQENAAAABQAAAAE5AQAAAAcyNjIxMjk1AgAAAAgyNzUwMDE3NAMAAAAGMTAwMzA3BAAAAAEyBgAAAAEwBwAAAAMxNjAIAAAAATAJAAAAATEKAAAAATALAAAACzEwNTM1OTYx</t>
  </si>
  <si>
    <t>NjAwDAAAAAIxMg0AAAAKMTEvMTgvMjAxN/slureTc9UIS2xNSZdz1QgvQ0lRLk5BU0RBUUdTOklOVEMuSVFfUFJJQ0VfU0FMRVMuMjAwMC42LzI4LzIwMTcBAAAAh1IAAAIAAAAIMi42NzQ3OTkBBwAAAAUAAAABMQEAAAAKMTgzODM2MDEzMgMAAAABMAIAAAAFMzg5NTgEAAAAATAHAAAACTYvMjgvMjAxNwgAAAAJNi8yOC8yMDE362dSu5Nz1QjbIQtLl3PVCC1DSVEuXlNQWC5JUV9URVZfRUJJVERBX0ZXRF9DSVEuNjAwMC41LzMxLzIwMTcBAAAAm7goAAIAAAAJMTAuNTAxNTgxAJvrZrmTc9UI6yoQS5dz1QgvQ0lRLk5BU0RBUUdTOklOVEMuSVFfUFJJQ0VfU0FMRVMuMjAwMC4xMS8yLzIwMTIBAAAAh1IAAAIAAAAIMi4wNjEzOTEBBwAAAAUAAAABMQEAAAAKMTU3Mzg4Nzc5NQMAAAABMAIAAAAFMzg5NTgEAAAAATAHAAAACTExLzIvMjAxMggAAAAJMTEvMi8yMDEy+45Su5Nz1QgLlFZJl3PVCChDSVEuTkFTREFRR1M6SU5UQy5JUV9QVEJWLjIwMDAuMy8xMS8yMDExAQAAAIdSAAACAAAACDIuNjExNjUyAQcAAAAFAAAAATEBAAAACjE0MzA2MjQ1MDkDAAAAATACAAAABjEwMDAyOQQAAAABMAcAAAAJMy8xMS8yMDExCAAAAAkzLzExLzIwMTH7jlK7k3PVCHulV0mXc9UIL0NJUS5OQVNEQVFHUzpJTlRDLklRX1BFX0VYQ0xfRldELjYwMDAuOC8yOS8yMDE0AQAAAIdSAAACAAAAEDE1LjE1MTY0NjYzNTEzNjkB</t>
  </si>
  <si>
    <t>DQAAAAUAAAABOQEAAAAHMjYyMTI5NQIAAAAHNDQ1NjQyOAMAAAAGMTAwMzA5BAAAAAEyBgAAAAEwBwAAAAMxNjAIAAAAATAJAAAAATEKAAAAATALAAAACjg3OTgxNzI5ODYMAAAAAjEyDQAAAAk4LzMwLzIwMTT7d7K9k3PVCAsFWUmXc9UINkNJUS5OYXNkYXFHUzpJTlRDLklRX1RFVl9UT1RBTF9SRVZfRldELjYwMDAuMTAvMTQvMjAxNgEAAACHUgAAAgAAAA8zLjA4ODIxODIzMjk3MzgBDQAAAAUAAAABOQEAAAAHMjYyMTI5NQIAAAAIMjcwMDM2NTIDAAAABjEwMDMwNwQAAAABMgYAAAABMAcAAAADMTYwCAAAAAEwCQAAAAExCgAAAAEwCwAAAAo5NzcwOTQyNDI5DAAAAAIxMg0AAAAKMTAvMTUvMjAxNqsltL2Tc9UIW+ZUSZdz1QgiQ0lRLl5TUFguSVFfTEFTVFNBTEVQUklDRS43LzIvMjAxNAEAAACbuCgAAgAAAA8xOTc0LjYxODA0Nzk0NjgAG91Su5Nz1Qg7/jdLl3PVCC5DSVEuTkFTREFRR1M6SU5UQy5JUV9QRV9FWENMX0ZXRC42MDAwLjcvMi8yMDEwAQAAAIdSAAACAAAAEDEwLjE1NTUwNjE4ODUxMTYBDQAAAAUAAAABOQEAAAAHMjYyMTI5NQIAAAAHMTc1NzE2MgMAAAAGMTAwMzA5BAAAAAEyBgAAAAEwBwAAAAMxNjAIAAAAATAJAAAAATEKAAAAATALAAAACjg4NjM4NDY4MDcMAAAAAjEyDQAAAAg3LzMvMjAxMCvtsr2Tc9UIu19TSZdz1QgtQ0lRLl5TUFguSVFfVEVWX1RPVEFMX1JFVl9GV0QuNjAw</t>
  </si>
  <si>
    <t>MC4xMi8xOC8yMDEzAQAAAJu4KAACAAAACDEuNzY4MTc1APv4iLaTc9UIG5I8S5dz1QgmQ0lRLl5TUFguSVFfUEVfRVhDTF9GV0QuNjAwMC44LzE3LzIwMTYBAAAAm7goAAIAAAAJMTcuNTkwMjY3ACsEU7uTc9UIO3YkS5dz1QgiQ0lRLl5TUFguSVFfTEFTVFNBTEVQUklDRS40LzMvMjAxMwEAAACbuCgAAgAAABAxNTUzLjY4Njk3Nzk0OTkzACvDVLmTc9UIq/E9S5dz1QgjQ0lRLl5TUFguSVFfTEFTVFNBTEVQUklDRS42LzEyLzIwMTMBAAAAm7goAAIAAAAQMTYxMi41MjQ3NTg2MTY0MQDbqoi2k3PVCHt8PUuXc9UINUNJUS5OQVNEQVFHUzpJTlRDLklRX1RFVl9UT1RBTF9SRVZfRldELjYwMDAuOC8zMC8yMDAyAQAAAIdSAAACAAAAEDMuNjgxOTMwMDA4MTc0MzYBDQAAAAUAAAABOQEAAAAHMjYyMTI5NQIAAAAHMTc1NzEzOQMAAAAGMTAwMzA3BAAAAAEyBgAAAAEwBwAAAAMxNjAIAAAAATAJAAAAATEKAAAAATALAAAACjExNjkxMjU3MTQMAAAAAjEyDQAAAAk4LzMxLzIwMDKbrLu3k3PVCIuXS0mXc9UIK0NJUS5OQVNEQVFHUzpJTlRDLklRX0xBU1RTQUxFUFJJQ0UuNC8zLzIwMTMBAAAAh1IAAAIAAAAFMjEuMDUAK8NUuZNz1Qi7GD5Ll3PVCDZDSVEuTkFTREFRR1M6SU5UQy5JUV9URVZfRUJJVERBX0ZXRF9DSVEuNjAwMC43LzEzLzIwMDEBAAAAh1IAAAIAAAAQMjQuMTk3ODcwMTA5NTUxOQENAAAABQAA</t>
  </si>
  <si>
    <t>AAE5AQAAAAcyNjIxMjk1AgAAAAczNDIxMTYwAwAAAAYxMDAzMDgEAAAAATIGAAAAATAHAAAAAzE2MAgAAAABMAkAAAABMQoAAAABMAsAAAAKMTE2OTE1MjQzMgwAAAACMTINAAAACTcvMTQvMjAwMWsRVruTc9UIi3GOrpdz1QgtQ0lRLl5TUFguSVFfVEVWX0VCSVREQV9GV0RfQ0lRLjYwMDAuNS8yOC8yMDE0AQAAAJu4KAACAAAACDguOTMxNDkzAGtmsLuTc9UIuzY5S5dz1Qg1Q0lRLk5hc2RhcUdTOklOVEMuSVFfVEVWX1RPVEFMX1JFVl9GV0QuNjAwMC45LzI2LzIwMDMBAAAAh1IAAAIAAAAQNS4yMTEyOTcxODg4NzA1NwENAAAABQAAAAE5AQAAAAcyNjIxMjk1AgAAAAcxNzU3MTQyAwAAAAYxMDAzMDcEAAAAATIGAAAAATAHAAAAAzE2MAgAAAABMAkAAAABMQoAAAABMAsAAAAKOTExMTA2MzMwMwwAAAACMTINAAAACTkvMjcvMjAwM8shvLeTc9UIm2RaSZdz1QgoQ0lRLk5BU0RBUUdTOklOVEMuSVFfUFRCVi4yMDAwLjEwLzIvMjAxNQEAAACHUgAAAgAAAAgzLjQxNzU2MwEHAAAABQAAAAExAQAAAAoxNzQ3MzU5NTEyAwAAAAEwAgAAAAYxMDAwMjkEAAAAATAHAAAACTEwLzIvMjAxNQgAAAAJMTAvMi8yMDE1Sxiwu5Nz1QjbPFFJl3PVCDZDSVEuTmFzZGFxR1M6SU5UQy5JUV9URVZfRUJJVERBX0ZXRF9DSVEuNjAwMC4xMi85LzIwMTYBAAAAh1IAAAIAAAAQNy41ODc3MTcxNjA4OTA0NwENAAAABQAAAAE5</t>
  </si>
  <si>
    <t>AQAAAAcyNjIxMjk1AgAAAAgyNzAwMzY1MwMAAAAGMTAwMzA4BAAAAAEyBgAAAAEwBwAAAAMxNjAIAAAAATAJAAAAATEKAAAAATALAAAACjk4NjAwMjAyOTkMAAAAAjEyDQAAAAoxMi8xMC8yMDE223exu5Nz1QhrlJCul3PVCB1DSVEuXlNQWC5JUV9QRV9FWENMX0ZXRC42MDAwLgEAAACbuCgAAgAAAAkxNy4yMDUwNjMAq5/VwpNz1QjrJ9M1l3PVCDZDSVEuTmFzZGFxR1M6SU5UQy5JUV9URVZfRUJJVERBX0ZXRF9DSVEuNjAwMC40LzE3LzIwMTQBAAAAh1IAAAIAAAAQNS44NDE0MjYxMjUzMDEwNAENAAAABQAAAAE5AQAAAAcyNjIxMjk1AgAAAAc0NDU2NDI3AwAAAAYxMDAzMDgEAAAAATIGAAAAATAHAAAAAzE2MAgAAAABMAkAAAABMQoAAAABMAsAAAAKODE3MDcxNTgwMQwAAAACMTINAAAACTQvMTgvMjAxNPtwV7uTc9UI6+qMrpdz1QguQ0lRLk5BU0RBUUdTOklOVEMuSVFfUEVfRVhDTF9GV0QuNjAwMC42LzMvMjAwNQEAAACHUgAAAgAAABAxOS45Mzg3MTc0NDM2NDE5AQ0AAAAFAAAAATkBAAAABzI2MjEyOTUCAAAABzE3NTcxNDcDAAAABjEwMDMwOQQAAAABMgYAAAABMAcAAAADMTYwCAAAAAEwCQAAAAExCgAAAAEwCwAAAAo4ODYyODAyMjIwDAAAAAIxMg0AAAAINi80LzIwMDVribO9k3PVCGsrUEmXc9UINUNJUS5OYXNkYXFHUzpJTlRDLklRX1RFVl9UT1RBTF9SRVZfRldELjYwMDAuNS8yMi8yMDE1</t>
  </si>
  <si>
    <t>AQAAAIdSAAACAAAAEDIuNzg1MDM5ODExMzA1NjUBDQAAAAUAAAABOQEAAAAHMjYyMTI5NQIAAAAHODA2ODI2MAMAAAAGMTAwMzA3BAAAAAEyBgAAAAEwBwAAAAMxNjAIAAAAATAJAAAAATEKAAAAATALAAAACjg4ODYxMDg0OTIMAAAAAjEyDQAAAAk1LzIzLzIwMTWLtLC7k3PVCGu6TUmXc9UIN0NJUS5OQVNEQVFHUzpJTlRDLklRX1RFVl9FQklUREFfRldEX0NJUS42MDAwLjExLzIzLzIwMDcBAAAAh1IAAAIAAAAQOC4zMDIxMDM4NjkyNjIyMgENAAAABQAAAAE5AQAAAAcyNjIxMjk1AgAAAAcxNzU3MTU1AwAAAAYxMDAzMDgEAAAAATIGAAAAATAHAAAAAzE2MAgAAAABMAkAAAABMQoAAAABMAsAAAAKMTE2OTEzOTUzMwwAAAACMTINAAAACjExLzI0LzIwMDf7/1S7k3PVCPuCj66Xc9UINUNJUS5OYXNkYXFHUzpJTlRDLklRX1RFVl9UT1RBTF9SRVZfRldELjYwMDAuMi8xNS8yMDAyAQAAAIdSAAACAAAAEDcuMTYxOTEzOTIyNTI2NjkBDQAAAAUAAAABOQEAAAAHMjYyMTI5NQIAAAAEMTg3NwMAAAAGMTAwMzA3BAAAAAEyBgAAAAEwBwAAAAMxNjAIAAAAATAJAAAAATEKAAAAATALAAAACTM2MDY1NDYzMwwAAAACMTINAAAACTIvMTYvMjAwMpv+s72Tc9UIu+5QSZdz1QgrQ0lRLk5BU0RBUUdTOklOVEMuSVFfTEFTVFNBTEVQUklDRS42LzUvMjAxMwEAAACHUgAAAgAAAAQyNC43ABvdUruTc9UIi6M9S5dz1Qgt</t>
  </si>
  <si>
    <t>Q0lRLk5BU0RBUUdTOklOVEMuSVFfTEFTVFNBTEVQUklDRS4xMS8xMy8yMDEzAQAAAIdSAAACAAAABDI0LjYAG91Su5Nz1QgruTxLl3PVCB9DSVEuXlNQWC5JUV9QVEJWLjIwMDAuMS8yMC8yMDE2AQAAAJu4KAACAAAACDUuODg1MjE1ANvXubeTc9UIS/ArS5dz1QgjQ0lRLl5TUFguSVFfTEFTVFNBTEVQUklDRS4xMC8yLzIwMTMBAAAAm7goAAIAAAAQMTY5My44Njk2NjQ0NDcyOQALtlK7k3PVCDvgPEuXc9UILUNJUS5eU1BYLklRX1RFVl9FQklUREFfRldEX0NJUS42MDAwLjEyLzkvMjAxNQEAAACbuCgAAgAAAAg5LjcxNDA3OQCrEme5k3PVCOt2LUuXc9UINUNJUS5OYXNkYXFHUzpJTlRDLklRX1RFVl9UT1RBTF9SRVZfRldELjYwMDAuNC8xMy8yMDA3AQAAAIdSAAACAAAAEDIuOTA5MzUwMTM3MDI3ODUBDQAAAAUAAAABOQEAAAAHMjYyMTI5NQIAAAAEMTg4MgMAAAAGMTAwMzA3BAAAAAEyBgAAAAEwBwAAAAMxNjAIAAAAATAJAAAAATEKAAAAATALAAAACzEwMzc4NTEzNDI4DAAAAAIxMg0AAAAJNC8xNC8yMDA3i7Swu5Nz1QibZFpJl3PVCCdDSVEuXlNQWC5JUV9QRV9FWENMX0ZXRC42MDAwLjEyLzI0LzIwMTQBAAAAm7goAAIAAAAJMTcuMTA0NTIxAGtfVbmTc9UI68k0S5dz1Qg0Q0lRLk5hc2RhcUdTOklOVEMuSVFfVEVWX1RPVEFMX1JFVl9GV0QuNjAwMC44LzQvMjAxNwEAAACHUgAAAgAAABAyLjg1</t>
  </si>
  <si>
    <t>MzI4NjMxMTMyNzY4AQ0AAAAFAAAAATkBAAAABzI2MjEyOTUCAAAACDI3NTAwMTczAwAAAAYxMDAzMDcEAAAAATIGAAAAATAHAAAAAzE2MAgAAAABMAkAAAABMQoAAAABMAsAAAALMTAzNzczODg2NDUMAAAAAjEyDQAAAAg4LzUvMjAxN5vbsLuTc9UIq6lVSZdz1Qg0Q0lRLk5hc2RhcUdTOklOVEMuSVFfVEVWX1RPVEFMX1JFVl9GV0QuNjAwMC44LzEvMjAwOAEAAACHUgAAAgAAABAyLjc4MTYxMTcwMTEwOTk4AQ0AAAAFAAAAATkBAAAABzI2MjEyOTUCAAAABzE3NTcxNTcDAAAABjEwMDMwNwQAAAABMgYAAAABMAcAAAADMTYwCAAAAAEwCQAAAAExCgAAAAEwCwAAAAo4ODYyMDI4ODc0DAAAAAIxMg0AAAAIOC8yLzIwMDib27C7k3PVCMszTEmXc9UIJ0NJUS5OQVNEQVFHUzpJTlRDLklRX1BUQlYuMjAwMC4xLzMvMjAxNAEAAACHUgAAAgAAAAgzLjI0MTQ4NAEHAAAABQAAAAExAQAAAAoxNjQyNDgzNzkyAwAAAAEwAgAAAAYxMDAwMjkEAAAAATAHAAAACDEvMy8yMDE0CAAAAAgxLzMvMjAxNEsRVbmTc9UI6/JOSZdz1QguQ0lRLk5BU0RBUUdTOklOVEMuSVFfUEVfRVhDTF9GV0QuNjAwMC42LzgvMjAwNwEAAACHUgAAAgAAABAxOS42OTMyNzkyMDYxMzQ0AQ0AAAAFAAAAATkBAAAABzI2MjEyOTUCAAAABzE3NTcxNTMDAAAABjEwMDMwOQQAAAABMgYAAAABMAcAAAADMTYwCAAAAAEwCQAAAAExCgAAAAEwCwAA</t>
  </si>
  <si>
    <t>AAo4ODYzMzU5MDc5DAAAAAIxMg0AAAAINi85LzIwMDdLO7O9k3PVCJtkWkmXc9UINkNJUS5OQVNEQVFHUzpJTlRDLklRX1RFVl9FQklUREFfRldEX0NJUS42MDAwLjMvMjcvMjAxNQEAAACHUgAAAgAAABA2LjM2NDQ2NTExMzg3NTQyAQ0AAAAFAAAAATkBAAAABzI2MjEyOTUCAAAACjEwMDAwOTQwNzEDAAAABjEwMDMwOAQAAAABMgYAAAABMAcAAAADMTYwCAAAAAEwCQAAAAExCgAAAAEwCwAAAAo4Njk2NTk0OTk3DAAAAAIxMg0AAAAJMy8yOC8yMDE1a6BTu5Nz1QjrW4+ul3PVCCdDSVEuTkFTREFRR1M6SU5UQy5JUV9QVEJWLjIwMDAuNi8zLzIwMTYBAAAAh1IAAAIAAAAINC41MDYyMjIBBwAAAAUAAAABMQEAAAAKMTc4OTE5MzM0MwMAAAABMAIAAAAGMTAwMDI5BAAAAAEwBwAAAAg2LzMvMjAxNggAAAAINi8zLzIwMTb7jlK7k3PVCCviVkmXc9UIHkNJUS5eU1BYLklRX1BUQlYuMjAwMC41LzgvMjAxMwEAAACbuCgAAgAAAAg0LjkyODAxOQDLka+9k3PVCJvKPUuXc9UIL0NJUS5OQVNEQVFHUzpJTlRDLklRX1BFX0VYQ0xfRldELjYwMDAuNi8xMi8yMDE1AQAAAIdSAAACAAAAEDEzLjg4NTQ0MDY4MDk3MTgBDQAAAAUAAAABOQEAAAAHMjYyMTI5NQIAAAAHODA2ODI2MAMAAAAGMTAwMzA5BAAAAAEyBgAAAAEwBwAAAAMxNjAIAAAAATAJAAAAATEKAAAAATALAAAACjg4ODI5NTc0NDUMAAAAAjEyDQAAAAk2</t>
  </si>
  <si>
    <t>LzEzLzIwMTWL17O9k3PVCNutU0mXc9UINkNJUS5OQVNEQVFHUzpJTlRDLklRX1RFVl9FQklUREFfRldEX0NJUS42MDAwLjcvMTEvMjAwMwEAAACHUgAAAgAAABAxMi4xODMzODk1MTM3ODM3AQ0AAAAFAAAAATkBAAAABzI2MjEyOTUCAAAABzE3NTcxNDEDAAAABjEwMDMwOAQAAAABMgYAAAABMAcAAAADMTYwCAAAAAEwCQAAAAExCgAAAAEwCwAAAAoxMTY5MTI2OTkzDAAAAAIxMg0AAAAJNy8xMi8yMDAzS8NVu5Nz1Qh7So6ul3PVCDZDSVEuTmFzZGFxR1M6SU5UQy5JUV9URVZfRUJJVERBX0ZXRF9DSVEuNjAwMC4zLzE2LzIwMDEBAAAAh1IAAAMAAAAAAPtwV7uTc9UI61uPrpdz1QgfQ0lRLl5TUFguSVFfUFRCVi4yMDAwLjUvMTcvMjAxNwEAAACbuCgAAgAAAAg4LjQwMDQzNgBrZrC7k3PVCKv/EUuXc9UINUNJUS5OYXNkYXFHUzpJTlRDLklRX1RFVl9UT1RBTF9SRVZfRldELjYwMDAuNy8xMC8yMDE1AQAAAIdSAAACAAAAEDIuNDUwOTY4NDYzNjcxNjYBDQAAAAUAAAABOQEAAAAHMjYyMTI5NQIAAAAHODA2ODI2MAMAAAAGMTAwMzA3BAAAAAEyBgAAAAEwBwAAAAMxNjAIAAAAATAJAAAAATEKAAAAATALAAAACjg4ODYxMDg1MTIMAAAAAjEyDQAAAAk3LzExLzIwMTWrrVa7k3PVCCuPT0mXc9UIIkNJUS5eU1BYLklRX0xBU1RTQUxFUFJJQ0UuOS83LzIwMTYBAAAAm7goAAIAAAAPMjE4Ni4xNTg3Mjc2MzM3</t>
  </si>
  <si>
    <t>AMuRr72Tc9UIqxYjS5dz1Qg2Q0lRLk5hc2RhcUdTOklOVEMuSVFfVEVWX0VCSVREQV9GV0RfQ0lRLjYwMDAuNS8xMS8yMDA3AQAAAIdSAAACAAAAEDguOTkzMTE2MTE1MDQ5NzcBDQAAAAUAAAABOQEAAAAHMjYyMTI5NQIAAAAHMTc1NzE1MwMAAAAGMTAwMzA4BAAAAAEyBgAAAAEwBwAAAAMxNjAIAAAAATAJAAAAATEKAAAAATALAAAACjExNjkxMzY4MzEMAAAAAjEyDQAAAAk1LzEyLzIwMDerrVa7k3PVCGsjjq6Xc9UIKENJUS5OQVNEQVFHUzpJTlRDLklRX1BUQlYuMjAwMC42LzI0LzIwMTYBAAAAh1IAAAIAAAAINC40OTYyNDcBBwAAAAUAAAABMQEAAAAKMTc4OTE5MzM0MwMAAAABMAIAAAAGMTAwMDI5BAAAAAEwBwAAAAk2LzI0LzIwMTYIAAAACTYvMjQvMjAxNgu2UruTc9UIu9BVSZdz1Qg3Q0lRLk5BU0RBUUdTOklOVEMuSVFfVEVWX0VCSVREQV9GV0RfQ0lRLjYwMDAuMTAvMTgvMjAwMgEAAACHUgAAAgAAABA5LjA4NjU3NTI4NDkxMTUxAQ0AAAAFAAAAATkBAAAABzI2MjEyOTUCAAAABzE3NTcxNDADAAAABjEwMDMwOAQAAAABMgYAAAABMAcAAAADMTYwCAAAAAEwCQAAAAExCgAAAAEwCwAAAAoxMTY5MTI2NTU5DAAAAAIxMg0AAAAKMTAvMTkvMjAwMkvDVbuTc9UICzmNrpdz1Qg1Q0lRLk5hc2RhcUdTOklOVEMuSVFfVEVWX1RPVEFMX1JFVl9GV0QuNjAwMC4yLzI0LzIwMTcBAAAAh1IAAAIAAAAQ</t>
  </si>
  <si>
    <t>My4wMTUzNDUxMDk5NzEwMQENAAAABQAAAAE5AQAAAAcyNjIxMjk1AgAAAAoxMDAwOTQ0Mzg3AwAAAAYxMDAzMDcEAAAAATIGAAAAATAHAAAAAzE2MAgAAAABMAkAAAABMQoAAAABMAsAAAALMTAwMjQxMDI2MzUMAAAAAjEyDQAAAAkyLzI1LzIwMTfrl1a5k3PVCOtFVkmXc9UIMENJUS5OQVNEQVFHUzpJTlRDLklRX1BFX0VYQ0xfRldELjYwMDAuMTAvMjcvMjAwNgEAAACHUgAAAgAAABAyMC44ODkwMjA4ODkwMjA5AQ0AAAAFAAAAATkBAAAABzI2MjEyOTUCAAAABzE3NTcxNTIDAAAABjEwMDMwOQQAAAABMgYAAAABMAcAAAADMTYwCAAAAAEwCQAAAAExCgAAAAEwCwAAAAo4ODYwNTAwMTYwDAAAAAIxMg0AAAAKMTAvMjgvMjAwNqsltL2Tc9UI+91YSZdz1QgiQ0lRLl5TUFguSVFfTEFTVFNBTEVQUklDRS4xLzgvMjAxNAEAAACbuCgAAgAAABAxODM3LjQ5NDYwMjY1MDQ2AMuRr72Tc9UI+0M8S5dz1QgvQ0lRLk5BU0RBUUdTOklOVEMuSVFfUFJJQ0VfU0FMRVMuMjAwMC41LzI1LzIwMTIBAAAAh1IAAAIAAAAIMi40NDg3NDcBBwAAAAUAAAABMQEAAAAKMTU0NTE1NjQzOAMAAAABMAIAAAAFMzg5NTgEAAAAATAHAAAACTUvMjUvMjAxMggAAAAJNS8yNS8yMDEy+45Su5Nz1Qib81dJl3PVCCZDSVEuXlNQWC5JUV9QRV9FWENMX0ZXRC42MDAwLjYvMjgvMjAxNwEAAACbuCgAAgAAAAkxOC4xNjUzOTUAa19VuZNz</t>
  </si>
  <si>
    <t>1QhbeAdLl3PVCDZDSVEuTkFTREFRR1M6SU5UQy5JUV9URVZfRUJJVERBX0ZXRF9DSVEuNjAwMC43LzE4LzIwMTQBAAAAh1IAAAIAAAAQNi42NjM1NjMxOTY2MTA5NwENAAAABQAAAAE5AQAAAAcyNjIxMjk1AgAAAAc0NDU2NDI4AwAAAAYxMDAzMDgEAAAAATIGAAAAATAHAAAAAzE2MAgAAAABMAkAAAABMQoAAAABMAsAAAAKODY0ODc5NDUwNQwAAAACMTINAAAACTcvMTkvMjAxNHvHU7uTc9UIi3GOrpdz1QgfQ0lRLl5TUFguSVFfUFRCVi4yMDAwLjcvMTIvMjAxNwEAAACbuCgAAgAAAAg4LjgzODIxOQBbP7C7k3PVCOvXCEuXc9UIKENJUS5OQVNEQVFHUzpJTlRDLklRX1BUQlYuMjAwMC44LzEyLzIwMTEBAAAAh1IAAAIAAAAIMy4zMTg5OTcBBwAAAAUAAAABMQEAAAAKMTQ2NTYzMTA3MQMAAAABMAIAAAAGMTAwMDI5BAAAAAEwBwAAAAk4LzEyLzIwMTEIAAAACTgvMTIvMjAxMUsRVbmTc9UIO7ZPSZdz1Qg2Q0lRLk5hc2RhcUdTOklOVEMuSVFfVEVWX0VCSVREQV9GV0RfQ0lRLjYwMDAuOS8yMC8yMDEzAQAAAIdSAAACAAAAEDUuMzE1ODE1OTA5MjQ2NDIBDQAAAAUAAAABOQEAAAAHMjYyMTI5NQIAAAAHMzgyOTc1MgMAAAAGMTAwMzA4BAAAAAEyBgAAAAEwBwAAAAMxNjAIAAAAATAJAAAAATEKAAAAATALAAAACjgxNzA3MTI3MTQMAAAAAjEyDQAAAAk5LzIxLzIwMTOL17O9k3PVCGuUkK6Xc9UINUNJUS5O</t>
  </si>
  <si>
    <t>YXNkYXFHUzpJTlRDLklRX1RFVl9UT1RBTF9SRVZfRldELjYwMDAuMi8xNC8yMDE0AQAAAIdSAAACAAAAEDIuMTk0MDUwOTQzNTQwMTMBDQAAAAUAAAABOQEAAAAHMjYyMTI5NQIAAAAHNDQ1NjQyMQMAAAAGMTAwMzA3BAAAAAEyBgAAAAEwBwAAAAMxNjAIAAAAATAJAAAAATEKAAAAATALAAAACjY0OTc4MjI0MzYMAAAAAjEyDQAAAAkyLzE1LzIwMTTbcFa5k3PVCDsJV0mXc9UII0NJUS5eU1BYLklRX0xBU1RTQUxFUFJJQ0UuNi8xOS8yMDEzAQAAAJu4KAACAAAAEDE2MjguOTI2MTkzMzE0MjcA6/65t5Nz1Qh7fD1Ll3PVCDBDSVEuTkFTREFRR1M6SU5UQy5JUV9QUklDRV9TQUxFUy4yMDAwLjEyLzI4LzIwMTYBAAAAh1IAAAIAAAAIMi45ODg2MzIBBwAAAAUAAAABMQEAAAAKMTgxNTU0NDQ1MAMAAAABMAIAAAAFMzg5NTgEAAAAATAHAAAACjEyLzI4LzIwMTYIAAAACjEyLzI4LzIwMTZrdma5k3PVCAuuHEuXc9UIH0NJUS5eU1BYLklRX1BUQlYuMjAwMC4yLzI3LzIwMTMBAAAAm7goAAIAAAAINC43MTMxOTEAWzhVuZNz1QjLPz5Ll3PVCC9DSVEuTkFTREFRR1M6SU5UQy5JUV9QRV9FWENMX0ZXRC42MDAwLjIvMjMvMjAwMQEAAACHUgAAAgAAABAyOC42MjA5MzY5MDI0ODU3AQ0AAAAFAAAAATkBAAAABzI2MjEyOTUCAAAABzMxNTEzMDEDAAAABjEwMDMwOQQAAAABMgYAAAABMAcAAAADMTYwCAAAAAEwCQAA</t>
  </si>
  <si>
    <t>AAExCgAAAAEwCwAAAAkzMTE1NTA4NzYMAAAAAjEyDQAAAAkyLzI0LzIwMDGL17O9k3PVCPsZT0mXc9UILkNJUS5eU1BYLklRX1RFVl9FQklUREFfRldEX0NJUS42MDAwLjExLzI2LzIwMTQBAAAAm7goAAIAAAAIOS40MTAyMjIA27ivvZNz1Qh7KTZLl3PVCCJDSVEuXlNQWC5JUV9MQVNUU0FMRVBSSUNFLjkvOS8yMDE1AQAAAJu4KAACAAAAEDE5NDIuMDM3ODEzNTIyMDIAy5GvvZNz1QibJC9Ll3PVCDVDSVEuTmFzZGFxR1M6SU5UQy5JUV9URVZfVE9UQUxfUkVWX0ZXRC42MDAwLjcvMTkvMjAxMwEAAACHUgAAAgAAABAyLjA0MDA1MDMyODk1MDk2AQ0AAAAFAAAAATkBAAAABzI2MjEyOTUCAAAABzM4Mjk3NTIDAAAABjEwMDMwNwQAAAABMgYAAAABMAcAAAADMTYwCAAAAAEwCQAAAAExCgAAAAEwCwAAAAo4ODYyNTQ0NjIyDAAAAAIxMg0AAAAJNy8yMC8yMDEz+9VnuZNz1QhbyFlJl3PVCFVDSVFSQU5HRS5OQVNEQVFHUzpJTlRDLklRX1BFX0VYQ0xfRldELjYwMDAuMjAwMS8wMS8wMS4yLzIxLzIwMTguLkRFU0MuVy4uLkZPUldBUkQgUC9FAwAAAIdSAAB+AwAAAAAAAAQAAAAAAAAADyJOYXNkYXFHUzpJTlRDIg1OYXNkYXFHUzpJTlRDAQAAABAiSVFfUEVfRVhDTF9GV0QiDklRX1BFX0VYQ0xfRldEAgAAAAZJUV9OVE0ENjAwMAMAAAALIjIvMTMvMjAxOCIJMi8xMy8yMDE4AAAAAAQAAAAAAAAADyJOYXNk</t>
  </si>
  <si>
    <t>YXFHUzpJTlRDIg1OYXNkYXFHUzpJTlRDAQAAABAiSVFfUEVfRVhDTF9GV0QiDklRX1BFX0VYQ0xfRldEAgAAAAZJUV9OVE0ENjAwMAMAAAAKIjIvOS8yMDE4IggyLzkvMjAxOAAAAAAEAAAAAAAAAA8iTmFzZGFxR1M6SU5UQyINTmFzZGFxR1M6SU5UQwEAAAAQIklRX1BFX0VYQ0xfRldEIg5JUV9QRV9FWENMX0ZXRAIAAAAGSVFfTlRNBDYwMDADAAAACiIyLzIvMjAxOCIIMi8yLzIwMTgAAAAABAAAAAAAAAAPIk5hc2RhcUdTOklOVEMiDU5hc2RhcUdTOklOVEMBAAAAECJJUV9QRV9FWENMX0ZXRCIOSVFfUEVfRVhDTF9GV0QCAAAABklRX05UTQQ2MDAwAwAAAAsiMS8yNi8yMDE4IgkxLzI2LzIwMTgAAAAABAAAAAAAAAAPIk5hc2RhcUdTOklOVEMiDU5hc2RhcUdTOklOVEMBAAAAECJJUV9QRV9FWENMX0ZXRCIOSVFfUEVfRVhDTF9GV0QCAAAABklRX05UTQQ2MDAwAwAAAAsiMS8xOS8yMDE4IgkxLzE5LzIwMTgAAAAABAAAAAAAAAAPIk5hc2RhcUdTOklOVEMiDU5hc2RhcUdTOklOVEMBAAAAECJJUV9QRV9FWENMX0ZXRCIOSVFfUEVfRVhDTF9GV0QCAAAABklRX05UTQQ2MDAwAwAAAAsiMS8xMi8yMDE4IgkxLzEyLzIwMTgAAAAABAAAAAAAAAAPIk5hc2RhcUdTOklOVEMiDU5hc2RhcUdTOklOVEMBAAAAECJJUV9QRV9FWENMX0ZXRCIOSVFfUEVfRVhDTF9GV0QCAAAABklRX05UTQQ2MDAwAwAAAAoiMS81</t>
  </si>
  <si>
    <t>LzIwMTgiCDEvNS8yMDE4AAAAAAQAAAAAAAAADyJOYXNkYXFHUzpJTlRDIg1OYXNkYXFHUzpJTlRDAQAAABAiSVFfUEVfRVhDTF9GV0QiDklRX1BFX0VYQ0xfRldEAgAAAAZJUV9OVE0ENjAwMAMAAAAMIjEyLzI5LzIwMTciCjEyLzI5LzIwMTcAAAAABAAAAAAAAAAPIk5hc2RhcUdTOklOVEMiDU5hc2RhcUdTOklOVEMBAAAAECJJUV9QRV9FWENMX0ZXRCIOSVFfUEVfRVhDTF9GV0QCAAAABklRX05UTQQ2MDAwAwAAAAwiMTIvMjIvMjAxNyIKMTIvMjIvMjAxNwAAAAAEAAAAAAAAAA8iTmFzZGFxR1M6SU5UQyINTmFzZGFxR1M6SU5UQwEAAAAQIklRX1BFX0VYQ0xfRldEIg5JUV9QRV9FWENMX0ZXRAIAAAAGSVFfTlRNBDYwMDADAAAADCIxMi8xNS8yMDE3IgoxMi8xNS8yMDE3AAAAAAQAAAAAAAAADyJOYXNkYXFHUzpJTlRDIg1OYXNkYXFHUzpJTlRDAQAAABAiSVFfUEVfRVhDTF9GV0QiDklRX1BFX0VYQ0xfRldEAgAAAAZJUV9OVE0ENjAwMAMAAAALIjEyLzgvMjAxNyIJMTIvOC8yMDE3AAAAAAQAAAAAAAAADyJOYXNkYXFHUzpJTlRDIg1OYXNkYXFHUzpJTlRDAQAAABAiSVFfUEVfRVhDTF9GV0QiDklRX1BFX0VYQ0xfRldEAgAAAAZJUV9OVE0ENjAwMAMAAAALIjEyLzEvMjAxNyIJMTIvMS8yMDE3AAAAAAQAAAAAAAAADyJOYXNkYXFHUzpJTlRDIg1OYXNkYXFHUzpJTlRDAQAAABAiSVFfUEVfRVhDTF9G</t>
  </si>
  <si>
    <t>V0QiDklRX1BFX0VYQ0xfRldEAgAAAAZJUV9OVE0ENjAwMAMAAAAMIjExLzI0LzIwMTciCjExLzI0LzIwMTcAAAAABAAAAAAAAAAPIk5hc2RhcUdTOklOVEMiDU5hc2RhcUdTOklOVEMBAAAAECJJUV9QRV9FWENMX0ZXRCIOSVFfUEVfRVhDTF9GV0QCAAAABklRX05UTQQ2MDAwAwAAAAwiMTEvMTcvMjAxNyIKMTEvMTcvMjAxNwAAAAAEAAAAAAAAAA8iTmFzZGFxR1M6SU5UQyINTmFzZGFxR1M6SU5UQwEAAAAQIklRX1BFX0VYQ0xfRldEIg5JUV9QRV9FWENMX0ZXRAIAAAAGSVFfTlRNBDYwMDADAAAADCIxMS8xMC8yMDE3IgoxMS8xMC8yMDE3AAAAAAQAAAAAAAAADyJOYXNkYXFHUzpJTlRDIg1OYXNkYXFHUzpJTlRDAQAAABAiSVFfUEVfRVhDTF9GV0QiDklRX1BFX0VYQ0xfRldEAgAAAAZJUV9OVE0ENjAwMAMAAAALIjExLzMvMjAxNyIJMTEvMy8yMDE3AAAAAAQAAAAAAAAADyJOYXNkYXFHUzpJTlRDIg1OYXNkYXFHUzpJTlRDAQAAABAiSVFfUEVfRVhDTF9GV0QiDklRX1BFX0VYQ0xfRldEAgAAAAZJUV9OVE0ENjAwMAMAAAAMIjEwLzI3LzIwMTciCjEwLzI3LzIwMTcAAAAABAAAAAAAAAAPIk5hc2RhcUdTOklOVEMiDU5hc2RhcUdTOklOVEMBAAAAECJJUV9QRV9FWENMX0ZXRCIOSVFfUEVfRVhDTF9GV0QCAAAABklRX05UTQQ2MDAwAwAAAAwiMTAvMjAvMjAxNyIKMTAvMjAvMjAxNwAAAAAEAAAAAAAA</t>
  </si>
  <si>
    <t>AA8iTmFzZGFxR1M6SU5UQyINTmFzZGFxR1M6SU5UQwEAAAAQIklRX1BFX0VYQ0xfRldEIg5JUV9QRV9FWENMX0ZXRAIAAAAGSVFfTlRNBDYwMDADAAAADCIxMC8xMy8yMDE3IgoxMC8xMy8yMDE3AAAAAAQAAAAAAAAADyJOYXNkYXFHUzpJTlRDIg1OYXNkYXFHUzpJTlRDAQAAABAiSVFfUEVfRVhDTF9GV0QiDklRX1BFX0VYQ0xfRldEAgAAAAZJUV9OVE0ENjAwMAMAAAALIjEwLzYvMjAxNyIJMTAvNi8yMDE3AAAAAAQAAAAAAAAADyJOYXNkYXFHUzpJTlRDIg1OYXNkYXFHUzpJTlRDAQAAABAiSVFfUEVfRVhDTF9GV0QiDklRX1BFX0VYQ0xfRldEAgAAAAZJUV9OVE0ENjAwMAMAAAALIjkvMjkvMjAxNyIJOS8yOS8yMDE3AAAAAAQAAAAAAAAADyJOYXNkYXFHUzpJTlRDIg1OYXNkYXFHUzpJTlRDAQAAABAiSVFfUEVfRVhDTF9GV0QiDklRX1BFX0VYQ0xfRldEAgAAAAZJUV9OVE0ENjAwMAMAAAALIjkvMjIvMjAxNyIJOS8yMi8yMDE3AAAAAAQAAAAAAAAADyJOYXNkYXFHUzpJTlRDIg1OYXNkYXFHUzpJTlRDAQAAABAiSVFfUEVfRVhDTF9GV0QiDklRX1BFX0VYQ0xfRldEAgAAAAZJUV9OVE0ENjAwMAMAAAALIjkvMTUvMjAxNyIJOS8xNS8yMDE3AAAAAAQAAAAAAAAADyJOYXNkYXFHUzpJTlRDIg1OYXNkYXFHUzpJTlRDAQAAABAiSVFfUEVfRVhDTF9GV0QiDklRX1BFX0VYQ0xfRldEAgAAAAZJUV9OVE0E</t>
  </si>
  <si>
    <t>NjAwMAMAAAAKIjkvOC8yMDE3Igg5LzgvMjAxNwAAAAAEAAAAAAAAAA8iTmFzZGFxR1M6SU5UQyINTmFzZGFxR1M6SU5UQwEAAAAQIklRX1BFX0VYQ0xfRldEIg5JUV9QRV9FWENMX0ZXRAIAAAAGSVFfTlRNBDYwMDADAAAACiI5LzEvMjAxNyIIOS8xLzIwMTcAAAAABAAAAAAAAAAPIk5hc2RhcUdTOklOVEMiDU5hc2RhcUdTOklOVEMBAAAAECJJUV9QRV9FWENMX0ZXRCIOSVFfUEVfRVhDTF9GV0QCAAAABklRX05UTQQ2MDAwAwAAAAsiOC8yNS8yMDE3Igk4LzI1LzIwMTcAAAAABAAAAAAAAAAPIk5hc2RhcUdTOklOVEMiDU5hc2RhcUdTOklOVEMBAAAAECJJUV9QRV9FWENMX0ZXRCIOSVFfUEVfRVhDTF9GV0QCAAAABklRX05UTQQ2MDAwAwAAAAsiOC8xOC8yMDE3Igk4LzE4LzIwMTcAAAAABAAAAAAAAAAPIk5hc2RhcUdTOklOVEMiDU5hc2RhcUdTOklOVEMBAAAAECJJUV9QRV9FWENMX0ZXRCIOSVFfUEVfRVhDTF9GV0QCAAAABklRX05UTQQ2MDAwAwAAAAsiOC8xMS8yMDE3Igk4LzExLzIwMTcAAAAABAAAAAAAAAAPIk5hc2RhcUdTOklOVEMiDU5hc2RhcUdTOklOVEMBAAAAECJJUV9QRV9FWENMX0ZXRCIOSVFfUEVfRVhDTF9GV0QCAAAABklRX05UTQQ2MDAwAwAAAAoiOC80LzIwMTciCDgvNC8yMDE3AAAAAAQAAAAAAAAADyJOYXNkYXFHUzpJTlRDIg1OYXNkYXFHUzpJTlRDAQAAABAiSVFfUEVfRVhD</t>
  </si>
  <si>
    <t>TF9GV0QiDklRX1BFX0VYQ0xfRldEAgAAAAZJUV9OVE0ENjAwMAMAAAALIjcvMjgvMjAxNyIJNy8yOC8yMDE3AAAAAAQAAAAAAAAADyJOYXNkYXFHUzpJTlRDIg1OYXNkYXFHUzpJTlRDAQAAABAiSVFfUEVfRVhDTF9GV0QiDklRX1BFX0VYQ0xfRldEAgAAAAZJUV9OVE0ENjAwMAMAAAALIjcvMjEvMjAxNyIJNy8yMS8yMDE3AAAAAAQAAAAAAAAADyJOYXNkYXFHUzpJTlRDIg1OYXNkYXFHUzpJTlRDAQAAABAiSVFfUEVfRVhDTF9GV0QiDklRX1BFX0VYQ0xfRldEAgAAAAZJUV9OVE0ENjAwMAMAAAALIjcvMTQvMjAxNyIJNy8xNC8yMDE3AAAAAAQAAAAAAAAADyJOYXNkYXFHUzpJTlRDIg1OYXNkYXFHUzpJTlRDAQAAABAiSVFfUEVfRVhDTF9GV0QiDklRX1BFX0VYQ0xfRldEAgAAAAZJUV9OVE0ENjAwMAMAAAAKIjcvNy8yMDE3Igg3LzcvMjAxNwAAAAAEAAAAAAAAAA8iTmFzZGFxR1M6SU5UQyINTmFzZGFxR1M6SU5UQwEAAAAQIklRX1BFX0VYQ0xfRldEIg5JUV9QRV9FWENMX0ZXRAIAAAAGSVFfTlRNBDYwMDADAAAACyI2LzMwLzIwMTciCTYvMzAvMjAxNwAAAAAEAAAAAAAAAA8iTmFzZGFxR1M6SU5UQyINTmFzZGFxR1M6SU5UQwEAAAAQIklRX1BFX0VYQ0xfRldEIg5JUV9QRV9FWENMX0ZXRAIAAAAGSVFfTlRNBDYwMDADAAAACyI2LzIzLzIwMTciCTYvMjMvMjAxNwAAAAAEAAAAAAAAAA8iTmFzZGFx</t>
  </si>
  <si>
    <t>R1M6SU5UQyINTmFzZGFxR1M6SU5UQwEAAAAQIklRX1BFX0VYQ0xfRldEIg5JUV9QRV9FWENMX0ZXRAIAAAAGSVFfTlRNBDYwMDADAAAACyI2LzE2LzIwMTciCTYvMTYvMjAxNwAAAAAEAAAAAAAAAA8iTmFzZGFxR1M6SU5UQyINTmFzZGFxR1M6SU5UQwEAAAAQIklRX1BFX0VYQ0xfRldEIg5JUV9QRV9FWENMX0ZXRAIAAAAGSVFfTlRNBDYwMDADAAAACiI2LzkvMjAxNyIINi85LzIwMTcAAAAABAAAAAAAAAAPIk5hc2RhcUdTOklOVEMiDU5hc2RhcUdTOklOVEMBAAAAECJJUV9QRV9FWENMX0ZXRCIOSVFfUEVfRVhDTF9GV0QCAAAABklRX05UTQQ2MDAwAwAAAAoiNi8yLzIwMTciCDYvMi8yMDE3AAAAAAQAAAAAAAAADyJOYXNkYXFHUzpJTlRDIg1OYXNkYXFHUzpJTlRDAQAAABAiSVFfUEVfRVhDTF9GV0QiDklRX1BFX0VYQ0xfRldEAgAAAAZJUV9OVE0ENjAwMAMAAAALIjUvMjYvMjAxNyIJNS8yNi8yMDE3AAAAAAQAAAAAAAAADyJOYXNkYXFHUzpJTlRDIg1OYXNkYXFHUzpJTlRDAQAAABAiSVFfUEVfRVhDTF9GV0QiDklRX1BFX0VYQ0xfRldEAgAAAAZJUV9OVE0ENjAwMAMAAAALIjUvMTkvMjAxNyIJNS8xOS8yMDE3AAAAAAQAAAAAAAAADyJOYXNkYXFHUzpJTlRDIg1OYXNkYXFHUzpJTlRDAQAAABAiSVFfUEVfRVhDTF9GV0QiDklRX1BFX0VYQ0xfRldEAgAAAAZJUV9OVE0ENjAwMAMAAAALIjUvMTIv</t>
  </si>
  <si>
    <t>MjAxNyIJNS8xMi8yMDE3AAAAAAQAAAAAAAAADyJOYXNkYXFHUzpJTlRDIg1OYXNkYXFHUzpJTlRDAQAAABAiSVFfUEVfRVhDTF9GV0QiDklRX1BFX0VYQ0xfRldEAgAAAAZJUV9OVE0ENjAwMAMAAAAKIjUvNS8yMDE3Igg1LzUvMjAxNwAAAAAEAAAAAAAAAA8iTmFzZGFxR1M6SU5UQyINTmFzZGFxR1M6SU5UQwEAAAAQIklRX1BFX0VYQ0xfRldEIg5JUV9QRV9FWENMX0ZXRAIAAAAGSVFfTlRNBDYwMDADAAAACyI0LzI4LzIwMTciCTQvMjgvMjAxNwAAAAAEAAAAAAAAAA8iTmFzZGFxR1M6SU5UQyINTmFzZGFxR1M6SU5UQwEAAAAQIklRX1BFX0VYQ0xfRldEIg5JUV9QRV9FWENMX0ZXRAIAAAAGSVFfTlRNBDYwMDADAAAACyI0LzIxLzIwMTciCTQvMjEvMjAxNwAAAAAEAAAAAAAAAA8iTmFzZGFxR1M6SU5UQyINTmFzZGFxR1M6SU5UQwEAAAAQIklRX1BFX0VYQ0xfRldEIg5JUV9QRV9FWENMX0ZXRAIAAAAGSVFfTlRNBDYwMDADAAAACyI0LzEzLzIwMTciCTQvMTMvMjAxNwAAAAAEAAAAAAAAAA8iTmFzZGFxR1M6SU5UQyINTmFzZGFxR1M6SU5UQwEAAAAQIklRX1BFX0VYQ0xfRldEIg5JUV9QRV9FWENMX0ZXRAIAAAAGSVFfTlRNBDYwMDADAAAACiI0LzcvMjAxNyIINC83LzIwMTcAAAAABAAAAAAAAAAPIk5hc2RhcUdTOklOVEMiDU5hc2RhcUdTOklOVEMBAAAAECJJUV9QRV9FWENMX0ZXRCIOSVFfUEVf</t>
  </si>
  <si>
    <t>RVhDTF9GV0QCAAAABklRX05UTQQ2MDAwAwAAAAsiMy8zMS8yMDE3IgkzLzMxLzIwMTcAAAAABAAAAAAAAAAPIk5hc2RhcUdTOklOVEMiDU5hc2RhcUdTOklOVEMBAAAAECJJUV9QRV9FWENMX0ZXRCIOSVFfUEVfRVhDTF9GV0QCAAAABklRX05UTQQ2MDAwAwAAAAsiMy8yNC8yMDE3IgkzLzI0LzIwMTcAAAAABAAAAAAAAAAPIk5hc2RhcUdTOklOVEMiDU5hc2RhcUdTOklOVEMBAAAAECJJUV9QRV9FWENMX0ZXRCIOSVFfUEVfRVhDTF9GV0QCAAAABklRX05UTQQ2MDAwAwAAAAsiMy8xNy8yMDE3IgkzLzE3LzIwMTcAAAAABAAAAAAAAAAPIk5hc2RhcUdTOklOVEMiDU5hc2RhcUdTOklOVEMBAAAAECJJUV9QRV9FWENMX0ZXRCIOSVFfUEVfRVhDTF9GV0QCAAAABklRX05UTQQ2MDAwAwAAAAsiMy8xMC8yMDE3IgkzLzEwLzIwMTcAAAAABAAAAAAAAAAPIk5hc2RhcUdTOklOVEMiDU5hc2RhcUdTOklOVEMBAAAAECJJUV9QRV9FWENMX0ZXRCIOSVFfUEVfRVhDTF9GV0QCAAAABklRX05UTQQ2MDAwAwAAAAoiMy8zLzIwMTciCDMvMy8yMDE3AAAAAAQAAAAAAAAADyJOYXNkYXFHUzpJTlRDIg1OYXNkYXFHUzpJTlRDAQAAABAiSVFfUEVfRVhDTF9GV0QiDklRX1BFX0VYQ0xfRldEAgAAAAZJUV9OVE0ENjAwMAMAAAALIjIvMjQvMjAxNyIJMi8yNC8yMDE3AAAAAAQAAAAAAAAADyJOYXNkYXFHUzpJTlRDIg1OYXNk</t>
  </si>
  <si>
    <t>YXFHUzpJTlRDAQAAABAiSVFfUEVfRVhDTF9GV0QiDklRX1BFX0VYQ0xfRldEAgAAAAZJUV9OVE0ENjAwMAMAAAALIjIvMTcvMjAxNyIJMi8xNy8yMDE3AAAAAAQAAAAAAAAADyJOYXNkYXFHUzpJTlRDIg1OYXNkYXFHUzpJTlRDAQAAABAiSVFfUEVfRVhDTF9GV0QiDklRX1BFX0VYQ0xfRldEAgAAAAZJUV9OVE0ENjAwMAMAAAALIjIvMTAvMjAxNyIJMi8xMC8yMDE3AAAAAAQAAAAAAAAADyJOYXNkYXFHUzpJTlRDIg1OYXNkYXFHUzpJTlRDAQAAABAiSVFfUEVfRVhDTF9GV0QiDklRX1BFX0VYQ0xfRldEAgAAAAZJUV9OVE0ENjAwMAMAAAAKIjIvMy8yMDE3IggyLzMvMjAxNwAAAAAEAAAAAAAAAA8iTmFzZGFxR1M6SU5UQyINTmFzZGFxR1M6SU5UQwEAAAAQIklRX1BFX0VYQ0xfRldEIg5JUV9QRV9FWENMX0ZXRAIAAAAGSVFfTlRNBDYwMDADAAAACyIxLzI3LzIwMTciCTEvMjcvMjAxNwAAAAAEAAAAAAAAAA8iTmFzZGFxR1M6SU5UQyINTmFzZGFxR1M6SU5UQwEAAAAQIklRX1BFX0VYQ0xfRldEIg5JUV9QRV9FWENMX0ZXRAIAAAAGSVFfTlRNBDYwMDADAAAACyIxLzIwLzIwMTciCTEvMjAvMjAxNwAAAAAEAAAAAAAAAA8iTmFzZGFxR1M6SU5UQyINTmFzZGFxR1M6SU5UQwEAAAAQIklRX1BFX0VYQ0xfRldEIg5JUV9QRV9FWENMX0ZXRAIAAAAGSVFfTlRNBDYwMDADAAAACyIxLzEzLzIwMTciCTEvMTMv</t>
  </si>
  <si>
    <t>MjAxNwAAAAAEAAAAAAAAAA8iTmFzZGFxR1M6SU5UQyINTmFzZGFxR1M6SU5UQwEAAAAQIklRX1BFX0VYQ0xfRldEIg5JUV9QRV9FWENMX0ZXRAIAAAAGSVFfTlRNBDYwMDADAAAACiIxLzYvMjAxNyIIMS82LzIwMTcAAAAABAAAAAAAAAAPIk5hc2RhcUdTOklOVEMiDU5hc2RhcUdTOklOVEMBAAAAECJJUV9QRV9FWENMX0ZXRCIOSVFfUEVfRVhDTF9GV0QCAAAABklRX05UTQQ2MDAwAwAAAAwiMTIvMzAvMjAxNiIKMTIvMzAvMjAxNgAAAAAEAAAAAAAAAA8iTmFzZGFxR1M6SU5UQyINTmFzZGFxR1M6SU5UQwEAAAAQIklRX1BFX0VYQ0xfRldEIg5JUV9QRV9FWENMX0ZXRAIAAAAGSVFfTlRNBDYwMDADAAAADCIxMi8yMy8yMDE2IgoxMi8yMy8yMDE2AAAAAAQAAAAAAAAADyJOYXNkYXFHUzpJTlRDIg1OYXNkYXFHUzpJTlRDAQAAABAiSVFfUEVfRVhDTF9GV0QiDklRX1BFX0VYQ0xfRldEAgAAAAZJUV9OVE0ENjAwMAMAAAAMIjEyLzE2LzIwMTYiCjEyLzE2LzIwMTYAAAAABAAAAAAAAAAPIk5hc2RhcUdTOklOVEMiDU5hc2RhcUdTOklOVEMBAAAAECJJUV9QRV9FWENMX0ZXRCIOSVFfUEVfRVhDTF9GV0QCAAAABklRX05UTQQ2MDAwAwAAAAsiMTIvOS8yMDE2IgkxMi85LzIwMTYAAAAABAAAAAAAAAAPIk5hc2RhcUdTOklOVEMiDU5hc2RhcUdTOklOVEMBAAAAECJJUV9QRV9FWENMX0ZXRCIOSVFfUEVfRVhD</t>
  </si>
  <si>
    <t>TF9GV0QCAAAABklRX05UTQQ2MDAwAwAAAAsiMTIvMi8yMDE2IgkxMi8yLzIwMTYAAAAABAAAAAAAAAAPIk5hc2RhcUdTOklOVEMiDU5hc2RhcUdTOklOVEMBAAAAECJJUV9QRV9FWENMX0ZXRCIOSVFfUEVfRVhDTF9GV0QCAAAABklRX05UTQQ2MDAwAwAAAAwiMTEvMjUvMjAxNiIKMTEvMjUvMjAxNgAAAAAEAAAAAAAAAA8iTmFzZGFxR1M6SU5UQyINTmFzZGFxR1M6SU5UQwEAAAAQIklRX1BFX0VYQ0xfRldEIg5JUV9QRV9FWENMX0ZXRAIAAAAGSVFfTlRNBDYwMDADAAAADCIxMS8xOC8yMDE2IgoxMS8xOC8yMDE2AAAAAAQAAAAAAAAADyJOYXNkYXFHUzpJTlRDIg1OYXNkYXFHUzpJTlRDAQAAABAiSVFfUEVfRVhDTF9GV0QiDklRX1BFX0VYQ0xfRldEAgAAAAZJUV9OVE0ENjAwMAMAAAAMIjExLzExLzIwMTYiCjExLzExLzIwMTYAAAAABAAAAAAAAAAPIk5hc2RhcUdTOklOVEMiDU5hc2RhcUdTOklOVEMBAAAAECJJUV9QRV9FWENMX0ZXRCIOSVFfUEVfRVhDTF9GV0QCAAAABklRX05UTQQ2MDAwAwAAAAsiMTEvNC8yMDE2IgkxMS80LzIwMTYAAAAABAAAAAAAAAAPIk5hc2RhcUdTOklOVEMiDU5hc2RhcUdTOklOVEMBAAAAECJJUV9QRV9FWENMX0ZXRCIOSVFfUEVfRVhDTF9GV0QCAAAABklRX05UTQQ2MDAwAwAAAAwiMTAvMjgvMjAxNiIKMTAvMjgvMjAxNgAAAAAEAAAAAAAAAA8iTmFzZGFxR1M6SU5U</t>
  </si>
  <si>
    <t>QyINTmFzZGFxR1M6SU5UQwEAAAAQIklRX1BFX0VYQ0xfRldEIg5JUV9QRV9FWENMX0ZXRAIAAAAGSVFfTlRNBDYwMDADAAAADCIxMC8yMS8yMDE2IgoxMC8yMS8yMDE2AAAAAAQAAAAAAAAADyJOYXNkYXFHUzpJTlRDIg1OYXNkYXFHUzpJTlRDAQAAABAiSVFfUEVfRVhDTF9GV0QiDklRX1BFX0VYQ0xfRldEAgAAAAZJUV9OVE0ENjAwMAMAAAAMIjEwLzE0LzIwMTYiCjEwLzE0LzIwMTYAAAAABAAAAAAAAAAPIk5hc2RhcUdTOklOVEMiDU5hc2RhcUdTOklOVEMBAAAAECJJUV9QRV9FWENMX0ZXRCIOSVFfUEVfRVhDTF9GV0QCAAAABklRX05UTQQ2MDAwAwAAAAsiMTAvNy8yMDE2IgkxMC83LzIwMTYAAAAABAAAAAAAAAAPIk5hc2RhcUdTOklOVEMiDU5hc2RhcUdTOklOVEMBAAAAECJJUV9QRV9FWENMX0ZXRCIOSVFfUEVfRVhDTF9GV0QCAAAABklRX05UTQQ2MDAwAwAAAAsiOS8zMC8yMDE2Igk5LzMwLzIwMTYAAAAABAAAAAAAAAAPIk5hc2RhcUdTOklOVEMiDU5hc2RhcUdTOklOVEMBAAAAECJJUV9QRV9FWENMX0ZXRCIOSVFfUEVfRVhDTF9GV0QCAAAABklRX05UTQQ2MDAwAwAAAAsiOS8yMy8yMDE2Igk5LzIzLzIwMTYAAAAABAAAAAAAAAAPIk5hc2RhcUdTOklOVEMiDU5hc2RhcUdTOklOVEMBAAAAECJJUV9QRV9FWENMX0ZXRCIOSVFfUEVfRVhDTF9GV0QCAAAABklRX05UTQQ2MDAwAwAAAAsiOS8x</t>
  </si>
  <si>
    <t>Ni8yMDE2Igk5LzE2LzIwMTYAAAAABAAAAAAAAAAPIk5hc2RhcUdTOklOVEMiDU5hc2RhcUdTOklOVEMBAAAAECJJUV9QRV9FWENMX0ZXRCIOSVFfUEVfRVhDTF9GV0QCAAAABklRX05UTQQ2MDAwAwAAAAoiOS85LzIwMTYiCDkvOS8yMDE2AAAAAAQAAAAAAAAADyJOYXNkYXFHUzpJTlRDIg1OYXNkYXFHUzpJTlRDAQAAABAiSVFfUEVfRVhDTF9GV0QiDklRX1BFX0VYQ0xfRldEAgAAAAZJUV9OVE0ENjAwMAMAAAAKIjkvMi8yMDE2Igg5LzIvMjAxNgAAAAAEAAAAAAAAAA8iTmFzZGFxR1M6SU5UQyINTmFzZGFxR1M6SU5UQwEAAAAQIklRX1BFX0VYQ0xfRldEIg5JUV9QRV9FWENMX0ZXRAIAAAAGSVFfTlRNBDYwMDADAAAACyI4LzI2LzIwMTYiCTgvMjYvMjAxNgAAAAAEAAAAAAAAAA8iTmFzZGFxR1M6SU5UQyINTmFzZGFxR1M6SU5UQwEAAAAQIklRX1BFX0VYQ0xfRldEIg5JUV9QRV9FWENMX0ZXRAIAAAAGSVFfTlRNBDYwMDADAAAACyI4LzE5LzIwMTYiCTgvMTkvMjAxNgAAAAAEAAAAAAAAAA8iTmFzZGFxR1M6SU5UQyINTmFzZGFxR1M6SU5UQwEAAAAQIklRX1BFX0VYQ0xfRldEIg5JUV9QRV9FWENMX0ZXRAIAAAAGSVFfTlRNBDYwMDADAAAACyI4LzEyLzIwMTYiCTgvMTIvMjAxNgAAAAAEAAAAAAAAAA8iTmFzZGFxR1M6SU5UQyINTmFzZGFxR1M6SU5UQwEAAAAQIklRX1BFX0VYQ0xfRldEIg5JUV9Q</t>
  </si>
  <si>
    <t>RV9FWENMX0ZXRAIAAAAGSVFfTlRNBDYwMDADAAAACiI4LzUvMjAxNiIIOC81LzIwMTYAAAAABAAAAAAAAAAPIk5hc2RhcUdTOklOVEMiDU5hc2RhcUdTOklOVEMBAAAAECJJUV9QRV9FWENMX0ZXRCIOSVFfUEVfRVhDTF9GV0QCAAAABklRX05UTQQ2MDAwAwAAAAsiNy8yOS8yMDE2Igk3LzI5LzIwMTYAAAAABAAAAAAAAAAPIk5hc2RhcUdTOklOVEMiDU5hc2RhcUdTOklOVEMBAAAAECJJUV9QRV9FWENMX0ZXRCIOSVFfUEVfRVhDTF9GV0QCAAAABklRX05UTQQ2MDAwAwAAAAsiNy8yMi8yMDE2Igk3LzIyLzIwMTYAAAAABAAAAAAAAAAPIk5hc2RhcUdTOklOVEMiDU5hc2RhcUdTOklOVEMBAAAAECJJUV9QRV9FWENMX0ZXRCIOSVFfUEVfRVhDTF9GV0QCAAAABklRX05UTQQ2MDAwAwAAAAsiNy8xNS8yMDE2Igk3LzE1LzIwMTYAAAAABAAAAAAAAAAPIk5hc2RhcUdTOklOVEMiDU5hc2RhcUdTOklOVEMBAAAAECJJUV9QRV9FWENMX0ZXRCIOSVFfUEVfRVhDTF9GV0QCAAAABklRX05UTQQ2MDAwAwAAAAoiNy84LzIwMTYiCDcvOC8yMDE2AAAAAAQAAAAAAAAADyJOYXNkYXFHUzpJTlRDIg1OYXNkYXFHUzpJTlRDAQAAABAiSVFfUEVfRVhDTF9GV0QiDklRX1BFX0VYQ0xfRldEAgAAAAZJUV9OVE0ENjAwMAMAAAAKIjcvMS8yMDE2Igg3LzEvMjAxNgAAAAAEAAAAAAAAAA8iTmFzZGFxR1M6SU5UQyINTmFzZGFx</t>
  </si>
  <si>
    <t>R1M6SU5UQwEAAAAQIklRX1BFX0VYQ0xfRldEIg5JUV9QRV9FWENMX0ZXRAIAAAAGSVFfTlRNBDYwMDADAAAACyI2LzI0LzIwMTYiCTYvMjQvMjAxNgAAAAAEAAAAAAAAAA8iTmFzZGFxR1M6SU5UQyINTmFzZGFxR1M6SU5UQwEAAAAQIklRX1BFX0VYQ0xfRldEIg5JUV9QRV9FWENMX0ZXRAIAAAAGSVFfTlRNBDYwMDADAAAACyI2LzE3LzIwMTYiCTYvMTcvMjAxNgAAAAAEAAAAAAAAAA8iTmFzZGFxR1M6SU5UQyINTmFzZGFxR1M6SU5UQwEAAAAQIklRX1BFX0VYQ0xfRldEIg5JUV9QRV9FWENMX0ZXRAIAAAAGSVFfTlRNBDYwMDADAAAACyI2LzEwLzIwMTYiCTYvMTAvMjAxNgAAAAAEAAAAAAAAAA8iTmFzZGFxR1M6SU5UQyINTmFzZGFxR1M6SU5UQwEAAAAQIklRX1BFX0VYQ0xfRldEIg5JUV9QRV9FWENMX0ZXRAIAAAAGSVFfTlRNBDYwMDADAAAACiI2LzMvMjAxNiIINi8zLzIwMTYAAAAABAAAAAAAAAAPIk5hc2RhcUdTOklOVEMiDU5hc2RhcUdTOklOVEMBAAAAECJJUV9QRV9FWENMX0ZXRCIOSVFfUEVfRVhDTF9GV0QCAAAABklRX05UTQQ2MDAwAwAAAAsiNS8yNy8yMDE2Igk1LzI3LzIwMTYAAAAABAAAAAAAAAAPIk5hc2RhcUdTOklOVEMiDU5hc2RhcUdTOklOVEMBAAAAECJJUV9QRV9FWENMX0ZXRCIOSVFfUEVfRVhDTF9GV0QCAAAABklRX05UTQQ2MDAwAwAAAAsiNS8yMC8yMDE2Igk1LzIwLzIw</t>
  </si>
  <si>
    <t>MTYAAAAABAAAAAAAAAAPIk5hc2RhcUdTOklOVEMiDU5hc2RhcUdTOklOVEMBAAAAECJJUV9QRV9FWENMX0ZXRCIOSVFfUEVfRVhDTF9GV0QCAAAABklRX05UTQQ2MDAwAwAAAAsiNS8xMy8yMDE2Igk1LzEzLzIwMTYAAAAABAAAAAAAAAAPIk5hc2RhcUdTOklOVEMiDU5hc2RhcUdTOklOVEMBAAAAECJJUV9QRV9FWENMX0ZXRCIOSVFfUEVfRVhDTF9GV0QCAAAABklRX05UTQQ2MDAwAwAAAAoiNS82LzIwMTYiCDUvNi8yMDE2AAAAAAQAAAAAAAAADyJOYXNkYXFHUzpJTlRDIg1OYXNkYXFHUzpJTlRDAQAAABAiSVFfUEVfRVhDTF9GV0QiDklRX1BFX0VYQ0xfRldEAgAAAAZJUV9OVE0ENjAwMAMAAAALIjQvMjkvMjAxNiIJNC8yOS8yMDE2AAAAAAQAAAAAAAAADyJOYXNkYXFHUzpJTlRDIg1OYXNkYXFHUzpJTlRDAQAAABAiSVFfUEVfRVhDTF9GV0QiDklRX1BFX0VYQ0xfRldEAgAAAAZJUV9OVE0ENjAwMAMAAAALIjQvMjIvMjAxNiIJNC8yMi8yMDE2AAAAAAQAAAAAAAAADyJOYXNkYXFHUzpJTlRDIg1OYXNkYXFHUzpJTlRDAQAAABAiSVFfUEVfRVhDTF9GV0QiDklRX1BFX0VYQ0xfRldEAgAAAAZJUV9OVE0ENjAwMAMAAAALIjQvMTUvMjAxNiIJNC8xNS8yMDE2AAAAAAQAAAAAAAAADyJOYXNkYXFHUzpJTlRDIg1OYXNkYXFHUzpJTlRDAQAAABAiSVFfUEVfRVhDTF9GV0QiDklRX1BFX0VYQ0xfRldEAgAA</t>
  </si>
  <si>
    <t>AAZJUV9OVE0ENjAwMAMAAAAKIjQvOC8yMDE2Igg0LzgvMjAxNgAAAAAEAAAAAAAAAA8iTmFzZGFxR1M6SU5UQyINTmFzZGFxR1M6SU5UQwEAAAAQIklRX1BFX0VYQ0xfRldEIg5JUV9QRV9FWENMX0ZXRAIAAAAGSVFfTlRNBDYwMDADAAAACiI0LzEvMjAxNiIINC8xLzIwMTYAAAAABAAAAAAAAAAPIk5hc2RhcUdTOklOVEMiDU5hc2RhcUdTOklOVEMBAAAAECJJUV9QRV9FWENMX0ZXRCIOSVFfUEVfRVhDTF9GV0QCAAAABklRX05UTQQ2MDAwAwAAAAsiMy8yNC8yMDE2IgkzLzI0LzIwMTYAAAAABAAAAAAAAAAPIk5hc2RhcUdTOklOVEMiDU5hc2RhcUdTOklOVEMBAAAAECJJUV9QRV9FWENMX0ZXRCIOSVFfUEVfRVhDTF9GV0QCAAAABklRX05UTQQ2MDAwAwAAAAsiMy8xOC8yMDE2IgkzLzE4LzIwMTYAAAAABAAAAAAAAAAPIk5hc2RhcUdTOklOVEMiDU5hc2RhcUdTOklOVEMBAAAAECJJUV9QRV9FWENMX0ZXRCIOSVFfUEVfRVhDTF9GV0QCAAAABklRX05UTQQ2MDAwAwAAAAsiMy8xMS8yMDE2IgkzLzExLzIwMTYAAAAABAAAAAAAAAAPIk5hc2RhcUdTOklOVEMiDU5hc2RhcUdTOklOVEMBAAAAECJJUV9QRV9FWENMX0ZXRCIOSVFfUEVfRVhDTF9GV0QCAAAABklRX05UTQQ2MDAwAwAAAAoiMy80LzIwMTYiCDMvNC8yMDE2AAAAAAQAAAAAAAAADyJOYXNkYXFHUzpJTlRDIg1OYXNkYXFHUzpJTlRDAQAAABAi</t>
  </si>
  <si>
    <t>SVFfUEVfRVhDTF9GV0QiDklRX1BFX0VYQ0xfRldEAgAAAAZJUV9OVE0ENjAwMAMAAAALIjIvMjYvMjAxNiIJMi8yNi8yMDE2AAAAAAQAAAAAAAAADyJOYXNkYXFHUzpJTlRDIg1OYXNkYXFHUzpJTlRDAQAAABAiSVFfUEVfRVhDTF9GV0QiDklRX1BFX0VYQ0xfRldEAgAAAAZJUV9OVE0ENjAwMAMAAAALIjIvMTkvMjAxNiIJMi8xOS8yMDE2AAAAAAQAAAAAAAAADyJOYXNkYXFHUzpJTlRDIg1OYXNkYXFHUzpJTlRDAQAAABAiSVFfUEVfRVhDTF9GV0QiDklRX1BFX0VYQ0xfRldEAgAAAAZJUV9OVE0ENjAwMAMAAAALIjIvMTIvMjAxNiIJMi8xMi8yMDE2AAAAAAQAAAAAAAAADyJOYXNkYXFHUzpJTlRDIg1OYXNkYXFHUzpJTlRDAQAAABAiSVFfUEVfRVhDTF9GV0QiDklRX1BFX0VYQ0xfRldEAgAAAAZJUV9OVE0ENjAwMAMAAAAKIjIvNS8yMDE2IggyLzUvMjAxNgAAAAAEAAAAAAAAAA8iTmFzZGFxR1M6SU5UQyINTmFzZGFxR1M6SU5UQwEAAAAQIklRX1BFX0VYQ0xfRldEIg5JUV9QRV9FWENMX0ZXRAIAAAAGSVFfTlRNBDYwMDADAAAACyIxLzI5LzIwMTYiCTEvMjkvMjAxNgAAAAAEAAAAAAAAAA8iTmFzZGFxR1M6SU5UQyINTmFzZGFxR1M6SU5UQwEAAAAQIklRX1BFX0VYQ0xfRldEIg5JUV9QRV9FWENMX0ZXRAIAAAAGSVFfTlRNBDYwMDADAAAACyIxLzIyLzIwMTYiCTEvMjIvMjAxNgAAAAAEAAAAAAAA</t>
  </si>
  <si>
    <t>AA8iTmFzZGFxR1M6SU5UQyINTmFzZGFxR1M6SU5UQwEAAAAQIklRX1BFX0VYQ0xfRldEIg5JUV9QRV9FWENMX0ZXRAIAAAAGSVFfTlRNBDYwMDADAAAACyIxLzE1LzIwMTYiCTEvMTUvMjAxNgAAAAAEAAAAAAAAAA8iTmFzZGFxR1M6SU5UQyINTmFzZGFxR1M6SU5UQwEAAAAQIklRX1BFX0VYQ0xfRldEIg5JUV9QRV9FWENMX0ZXRAIAAAAGSVFfTlRNBDYwMDADAAAACiIxLzgvMjAxNiIIMS84LzIwMTYAAAAABAAAAAAAAAAPIk5hc2RhcUdTOklOVEMiDU5hc2RhcUdTOklOVEMBAAAAECJJUV9QRV9FWENMX0ZXRCIOSVFfUEVfRVhDTF9GV0QCAAAABklRX05UTQQ2MDAwAwAAAAwiMTIvMzEvMjAxNSIKMTIvMzEvMjAxNQAAAAAEAAAAAAAAAA8iTmFzZGFxR1M6SU5UQyINTmFzZGFxR1M6SU5UQwEAAAAQIklRX1BFX0VYQ0xfRldEIg5JUV9QRV9FWENMX0ZXRAIAAAAGSVFfTlRNBDYwMDADAAAADCIxMi8yNC8yMDE1IgoxMi8yNC8yMDE1AAAAAAQAAAAAAAAADyJOYXNkYXFHUzpJTlRDIg1OYXNkYXFHUzpJTlRDAQAAABAiSVFfUEVfRVhDTF9GV0QiDklRX1BFX0VYQ0xfRldEAgAAAAZJUV9OVE0ENjAwMAMAAAAMIjEyLzE4LzIwMTUiCjEyLzE4LzIwMTUAAAAABAAAAAAAAAAPIk5hc2RhcUdTOklOVEMiDU5hc2RhcUdTOklOVEMBAAAAECJJUV9QRV9FWENMX0ZXRCIOSVFfUEVfRVhDTF9GV0QCAAAABklRX05U</t>
  </si>
  <si>
    <t>TQQ2MDAwAwAAAAwiMTIvMTEvMjAxNSIKMTIvMTEvMjAxNQAAAAAEAAAAAAAAAA8iTmFzZGFxR1M6SU5UQyINTmFzZGFxR1M6SU5UQwEAAAAQIklRX1BFX0VYQ0xfRldEIg5JUV9QRV9FWENMX0ZXRAIAAAAGSVFfTlRNBDYwMDADAAAACyIxMi80LzIwMTUiCTEyLzQvMjAxNQAAAAAEAAAAAAAAAA8iTmFzZGFxR1M6SU5UQyINTmFzZGFxR1M6SU5UQwEAAAAQIklRX1BFX0VYQ0xfRldEIg5JUV9QRV9FWENMX0ZXRAIAAAAGSVFfTlRNBDYwMDADAAAADCIxMS8yNy8yMDE1IgoxMS8yNy8yMDE1AAAAAAQAAAAAAAAADyJOYXNkYXFHUzpJTlRDIg1OYXNkYXFHUzpJTlRDAQAAABAiSVFfUEVfRVhDTF9GV0QiDklRX1BFX0VYQ0xfRldEAgAAAAZJUV9OVE0ENjAwMAMAAAAMIjExLzIwLzIwMTUiCjExLzIwLzIwMTUAAAAABAAAAAAAAAAPIk5hc2RhcUdTOklOVEMiDU5hc2RhcUdTOklOVEMBAAAAECJJUV9QRV9FWENMX0ZXRCIOSVFfUEVfRVhDTF9GV0QCAAAABklRX05UTQQ2MDAwAwAAAAwiMTEvMTMvMjAxNSIKMTEvMTMvMjAxNQAAAAAEAAAAAAAAAA8iTmFzZGFxR1M6SU5UQyINTmFzZGFxR1M6SU5UQwEAAAAQIklRX1BFX0VYQ0xfRldEIg5JUV9QRV9FWENMX0ZXRAIAAAAGSVFfTlRNBDYwMDADAAAACyIxMS82LzIwMTUiCTExLzYvMjAxNQAAAAAEAAAAAAAAAA8iTmFzZGFxR1M6SU5UQyINTmFzZGFxR1M6SU5U</t>
  </si>
  <si>
    <t>QwEAAAAQIklRX1BFX0VYQ0xfRldEIg5JUV9QRV9FWENMX0ZXRAIAAAAGSVFfTlRNBDYwMDADAAAADCIxMC8zMC8yMDE1IgoxMC8zMC8yMDE1AAAAAAQAAAAAAAAADyJOYXNkYXFHUzpJTlRDIg1OYXNkYXFHUzpJTlRDAQAAABAiSVFfUEVfRVhDTF9GV0QiDklRX1BFX0VYQ0xfRldEAgAAAAZJUV9OVE0ENjAwMAMAAAAMIjEwLzIzLzIwMTUiCjEwLzIzLzIwMTUAAAAABAAAAAAAAAAPIk5hc2RhcUdTOklOVEMiDU5hc2RhcUdTOklOVEMBAAAAECJJUV9QRV9FWENMX0ZXRCIOSVFfUEVfRVhDTF9GV0QCAAAABklRX05UTQQ2MDAwAwAAAAwiMTAvMTYvMjAxNSIKMTAvMTYvMjAxNQAAAAAEAAAAAAAAAA8iTmFzZGFxR1M6SU5UQyINTmFzZGFxR1M6SU5UQwEAAAAQIklRX1BFX0VYQ0xfRldEIg5JUV9QRV9FWENMX0ZXRAIAAAAGSVFfTlRNBDYwMDADAAAACyIxMC85LzIwMTUiCTEwLzkvMjAxNQAAAAAEAAAAAAAAAA8iTmFzZGFxR1M6SU5UQyINTmFzZGFxR1M6SU5UQwEAAAAQIklRX1BFX0VYQ0xfRldEIg5JUV9QRV9FWENMX0ZXRAIAAAAGSVFfTlRNBDYwMDADAAAACyIxMC8yLzIwMTUiCTEwLzIvMjAxNQAAAAAEAAAAAAAAAA8iTmFzZGFxR1M6SU5UQyINTmFzZGFxR1M6SU5UQwEAAAAQIklRX1BFX0VYQ0xfRldEIg5JUV9QRV9FWENMX0ZXRAIAAAAGSVFfTlRNBDYwMDADAAAACyI5LzI1LzIwMTUiCTkvMjUv</t>
  </si>
  <si>
    <t>MjAxNQAAAAAEAAAAAAAAAA8iTmFzZGFxR1M6SU5UQyINTmFzZGFxR1M6SU5UQwEAAAAQIklRX1BFX0VYQ0xfRldEIg5JUV9QRV9FWENMX0ZXRAIAAAAGSVFfTlRNBDYwMDADAAAACyI5LzE4LzIwMTUiCTkvMTgvMjAxNQAAAAAEAAAAAAAAAA8iTmFzZGFxR1M6SU5UQyINTmFzZGFxR1M6SU5UQwEAAAAQIklRX1BFX0VYQ0xfRldEIg5JUV9QRV9FWENMX0ZXRAIAAAAGSVFfTlRNBDYwMDADAAAACyI5LzExLzIwMTUiCTkvMTEvMjAxNQAAAAAEAAAAAAAAAA8iTmFzZGFxR1M6SU5UQyINTmFzZGFxR1M6SU5UQwEAAAAQIklRX1BFX0VYQ0xfRldEIg5JUV9QRV9FWENMX0ZXRAIAAAAGSVFfTlRNBDYwMDADAAAACiI5LzQvMjAxNSIIOS80LzIwMTUAAAAABAAAAAAAAAAPIk5hc2RhcUdTOklOVEMiDU5hc2RhcUdTOklOVEMBAAAAECJJUV9QRV9FWENMX0ZXRCIOSVFfUEVfRVhDTF9GV0QCAAAABklRX05UTQQ2MDAwAwAAAAsiOC8yOC8yMDE1Igk4LzI4LzIwMTUAAAAABAAAAAAAAAAPIk5hc2RhcUdTOklOVEMiDU5hc2RhcUdTOklOVEMBAAAAECJJUV9QRV9FWENMX0ZXRCIOSVFfUEVfRVhDTF9GV0QCAAAABklRX05UTQQ2MDAwAwAAAAsiOC8yMS8yMDE1Igk4LzIxLzIwMTUAAAAABAAAAAAAAAAPIk5hc2RhcUdTOklOVEMiDU5hc2RhcUdTOklOVEMBAAAAECJJUV9QRV9FWENMX0ZXRCIOSVFfUEVfRVhDTF9GV0QC</t>
  </si>
  <si>
    <t>AAAABklRX05UTQQ2MDAwAwAAAAsiOC8xNC8yMDE1Igk4LzE0LzIwMTUAAAAABAAAAAAAAAAPIk5hc2RhcUdTOklOVEMiDU5hc2RhcUdTOklOVEMBAAAAECJJUV9QRV9FWENMX0ZXRCIOSVFfUEVfRVhDTF9GV0QCAAAABklRX05UTQQ2MDAwAwAAAAoiOC83LzIwMTUiCDgvNy8yMDE1AAAAAAQAAAAAAAAADyJOYXNkYXFHUzpJTlRDIg1OYXNkYXFHUzpJTlRDAQAAABAiSVFfUEVfRVhDTF9GV0QiDklRX1BFX0VYQ0xfRldEAgAAAAZJUV9OVE0ENjAwMAMAAAALIjcvMzEvMjAxNSIJNy8zMS8yMDE1AAAAAAQAAAAAAAAADyJOYXNkYXFHUzpJTlRDIg1OYXNkYXFHUzpJTlRDAQAAABAiSVFfUEVfRVhDTF9GV0QiDklRX1BFX0VYQ0xfRldEAgAAAAZJUV9OVE0ENjAwMAMAAAALIjcvMjQvMjAxNSIJNy8yNC8yMDE1AAAAAAQAAAAAAAAADyJOYXNkYXFHUzpJTlRDIg1OYXNkYXFHUzpJTlRDAQAAABAiSVFfUEVfRVhDTF9GV0QiDklRX1BFX0VYQ0xfRldEAgAAAAZJUV9OVE0ENjAwMAMAAAALIjcvMTcvMjAxNSIJNy8xNy8yMDE1AAAAAAQAAAAAAAAADyJOYXNkYXFHUzpJTlRDIg1OYXNkYXFHUzpJTlRDAQAAABAiSVFfUEVfRVhDTF9GV0QiDklRX1BFX0VYQ0xfRldEAgAAAAZJUV9OVE0ENjAwMAMAAAALIjcvMTAvMjAxNSIJNy8xMC8yMDE1AAAAAAQAAAAAAAAADyJOYXNkYXFHUzpJTlRDIg1OYXNkYXFHUzpJTlRD</t>
  </si>
  <si>
    <t>AQAAABAiSVFfUEVfRVhDTF9GV0QiDklRX1BFX0VYQ0xfRldEAgAAAAZJUV9OVE0ENjAwMAMAAAAKIjcvMi8yMDE1Igg3LzIvMjAxNQAAAAAEAAAAAAAAAA8iTmFzZGFxR1M6SU5UQyINTmFzZGFxR1M6SU5UQwEAAAAQIklRX1BFX0VYQ0xfRldEIg5JUV9QRV9FWENMX0ZXRAIAAAAGSVFfTlRNBDYwMDADAAAACyI2LzI2LzIwMTUiCTYvMjYvMjAxNQAAAAAEAAAAAAAAAA8iTmFzZGFxR1M6SU5UQyINTmFzZGFxR1M6SU5UQwEAAAAQIklRX1BFX0VYQ0xfRldEIg5JUV9QRV9FWENMX0ZXRAIAAAAGSVFfTlRNBDYwMDADAAAACyI2LzE5LzIwMTUiCTYvMTkvMjAxNQAAAAAEAAAAAAAAAA8iTmFzZGFxR1M6SU5UQyINTmFzZGFxR1M6SU5UQwEAAAAQIklRX1BFX0VYQ0xfRldEIg5JUV9QRV9FWENMX0ZXRAIAAAAGSVFfTlRNBDYwMDADAAAACyI2LzEyLzIwMTUiCTYvMTIvMjAxNQAAAAAEAAAAAAAAAA8iTmFzZGFxR1M6SU5UQyINTmFzZGFxR1M6SU5UQwEAAAAQIklRX1BFX0VYQ0xfRldEIg5JUV9QRV9FWENMX0ZXRAIAAAAGSVFfTlRNBDYwMDADAAAACiI2LzUvMjAxNSIINi81LzIwMTUAAAAABAAAAAAAAAAPIk5hc2RhcUdTOklOVEMiDU5hc2RhcUdTOklOVEMBAAAAECJJUV9QRV9FWENMX0ZXRCIOSVFfUEVfRVhDTF9GV0QCAAAABklRX05UTQQ2MDAwAwAAAAsiNS8yOS8yMDE1Igk1LzI5LzIwMTUAAAAABAAA</t>
  </si>
  <si>
    <t>AAAAAAAPIk5hc2RhcUdTOklOVEMiDU5hc2RhcUdTOklOVEMBAAAAECJJUV9QRV9FWENMX0ZXRCIOSVFfUEVfRVhDTF9GV0QCAAAABklRX05UTQQ2MDAwAwAAAAsiNS8yMi8yMDE1Igk1LzIyLzIwMTUAAAAABAAAAAAAAAAPIk5hc2RhcUdTOklOVEMiDU5hc2RhcUdTOklOVEMBAAAAECJJUV9QRV9FWENMX0ZXRCIOSVFfUEVfRVhDTF9GV0QCAAAABklRX05UTQQ2MDAwAwAAAAsiNS8xNS8yMDE1Igk1LzE1LzIwMTUAAAAABAAAAAAAAAAPIk5hc2RhcUdTOklOVEMiDU5hc2RhcUdTOklOVEMBAAAAECJJUV9QRV9FWENMX0ZXRCIOSVFfUEVfRVhDTF9GV0QCAAAABklRX05UTQQ2MDAwAwAAAAoiNS84LzIwMTUiCDUvOC8yMDE1AAAAAAQAAAAAAAAADyJOYXNkYXFHUzpJTlRDIg1OYXNkYXFHUzpJTlRDAQAAABAiSVFfUEVfRVhDTF9GV0QiDklRX1BFX0VYQ0xfRldEAgAAAAZJUV9OVE0ENjAwMAMAAAAKIjUvMS8yMDE1Igg1LzEvMjAxNQAAAAAEAAAAAAAAAA8iTmFzZGFxR1M6SU5UQyINTmFzZGFxR1M6SU5UQwEAAAAQIklRX1BFX0VYQ0xfRldEIg5JUV9QRV9FWENMX0ZXRAIAAAAGSVFfTlRNBDYwMDADAAAACyI0LzI0LzIwMTUiCTQvMjQvMjAxNQAAAAAEAAAAAAAAAA8iTmFzZGFxR1M6SU5UQyINTmFzZGFxR1M6SU5UQwEAAAAQIklRX1BFX0VYQ0xfRldEIg5JUV9QRV9FWENMX0ZXRAIAAAAGSVFfTlRNBDYw</t>
  </si>
  <si>
    <t>MDADAAAACyI0LzE3LzIwMTUiCTQvMTcvMjAxNQAAAAAEAAAAAAAAAA8iTmFzZGFxR1M6SU5UQyINTmFzZGFxR1M6SU5UQwEAAAAQIklRX1BFX0VYQ0xfRldEIg5JUV9QRV9FWENMX0ZXRAIAAAAGSVFfTlRNBDYwMDADAAAACyI0LzEwLzIwMTUiCTQvMTAvMjAxNQAAAAAEAAAAAAAAAA8iTmFzZGFxR1M6SU5UQyINTmFzZGFxR1M6SU5UQwEAAAAQIklRX1BFX0VYQ0xfRldEIg5JUV9QRV9FWENMX0ZXRAIAAAAGSVFfTlRNBDYwMDADAAAACiI0LzIvMjAxNSIINC8yLzIwMTUAAAAABAAAAAAAAAAPIk5hc2RhcUdTOklOVEMiDU5hc2RhcUdTOklOVEMBAAAAECJJUV9QRV9FWENMX0ZXRCIOSVFfUEVfRVhDTF9GV0QCAAAABklRX05UTQQ2MDAwAwAAAAsiMy8yNy8yMDE1IgkzLzI3LzIwMTUAAAAABAAAAAAAAAAPIk5hc2RhcUdTOklOVEMiDU5hc2RhcUdTOklOVEMBAAAAECJJUV9QRV9FWENMX0ZXRCIOSVFfUEVfRVhDTF9GV0QCAAAABklRX05UTQQ2MDAwAwAAAAsiMy8yMC8yMDE1IgkzLzIwLzIwMTUAAAAABAAAAAAAAAAPIk5hc2RhcUdTOklOVEMiDU5hc2RhcUdTOklOVEMBAAAAECJJUV9QRV9FWENMX0ZXRCIOSVFfUEVfRVhDTF9GV0QCAAAABklRX05UTQQ2MDAwAwAAAAsiMy8xMy8yMDE1IgkzLzEzLzIwMTUAAAAABAAAAAAAAAAPIk5hc2RhcUdTOklOVEMiDU5hc2RhcUdTOklOVEMBAAAAECJJUV9QRV9F</t>
  </si>
  <si>
    <t>WENMX0ZXRCIOSVFfUEVfRVhDTF9GV0QCAAAABklRX05UTQQ2MDAwAwAAAAoiMy82LzIwMTUiCDMvNi8yMDE1AAAAAAQAAAAAAAAADyJOYXNkYXFHUzpJTlRDIg1OYXNkYXFHUzpJTlRDAQAAABAiSVFfUEVfRVhDTF9GV0QiDklRX1BFX0VYQ0xfRldEAgAAAAZJUV9OVE0ENjAwMAMAAAALIjIvMjcvMjAxNSIJMi8yNy8yMDE1AAAAAAQAAAAAAAAADyJOYXNkYXFHUzpJTlRDIg1OYXNkYXFHUzpJTlRDAQAAABAiSVFfUEVfRVhDTF9GV0QiDklRX1BFX0VYQ0xfRldEAgAAAAZJUV9OVE0ENjAwMAMAAAALIjIvMjAvMjAxNSIJMi8yMC8yMDE1AAAAAAQAAAAAAAAADyJOYXNkYXFHUzpJTlRDIg1OYXNkYXFHUzpJTlRDAQAAABAiSVFfUEVfRVhDTF9GV0QiDklRX1BFX0VYQ0xfRldEAgAAAAZJUV9OVE0ENjAwMAMAAAALIjIvMTMvMjAxNSIJMi8xMy8yMDE1AAAAAAQAAAAAAAAADyJOYXNkYXFHUzpJTlRDIg1OYXNkYXFHUzpJTlRDAQAAABAiSVFfUEVfRVhDTF9GV0QiDklRX1BFX0VYQ0xfRldEAgAAAAZJUV9OVE0ENjAwMAMAAAAKIjIvNi8yMDE1IggyLzYvMjAxNQAAAAAEAAAAAAAAAA8iTmFzZGFxR1M6SU5UQyINTmFzZGFxR1M6SU5UQwEAAAAQIklRX1BFX0VYQ0xfRldEIg5JUV9QRV9FWENMX0ZXRAIAAAAGSVFfTlRNBDYwMDADAAAACyIxLzMwLzIwMTUiCTEvMzAvMjAxNQAAAAAEAAAAAAAAAA8iTmFzZGFx</t>
  </si>
  <si>
    <t>R1M6SU5UQyINTmFzZGFxR1M6SU5UQwEAAAAQIklRX1BFX0VYQ0xfRldEIg5JUV9QRV9FWENMX0ZXRAIAAAAGSVFfTlRNBDYwMDADAAAACyIxLzIzLzIwMTUiCTEvMjMvMjAxNQAAAAAEAAAAAAAAAA8iTmFzZGFxR1M6SU5UQyINTmFzZGFxR1M6SU5UQwEAAAAQIklRX1BFX0VYQ0xfRldEIg5JUV9QRV9FWENMX0ZXRAIAAAAGSVFfTlRNBDYwMDADAAAACyIxLzE2LzIwMTUiCTEvMTYvMjAxNQAAAAAEAAAAAAAAAA8iTmFzZGFxR1M6SU5UQyINTmFzZGFxR1M6SU5UQwEAAAAQIklRX1BFX0VYQ0xfRldEIg5JUV9QRV9FWENMX0ZXRAIAAAAGSVFfTlRNBDYwMDADAAAACiIxLzkvMjAxNSIIMS85LzIwMTUAAAAABAAAAAAAAAAPIk5hc2RhcUdTOklOVEMiDU5hc2RhcUdTOklOVEMBAAAAECJJUV9QRV9FWENMX0ZXRCIOSVFfUEVfRVhDTF9GV0QCAAAABklRX05UTQQ2MDAwAwAAAAoiMS8yLzIwMTUiCDEvMi8yMDE1AAAAAAQAAAAAAAAADyJOYXNkYXFHUzpJTlRDIg1OYXNkYXFHUzpJTlRDAQAAABAiSVFfUEVfRVhDTF9GV0QiDklRX1BFX0VYQ0xfRldEAgAAAAZJUV9OVE0ENjAwMAMAAAAMIjEyLzI2LzIwMTQiCjEyLzI2LzIwMTQAAAAABAAAAAAAAAAPIk5hc2RhcUdTOklOVEMiDU5hc2RhcUdTOklOVEMBAAAAECJJUV9QRV9FWENMX0ZXRCIOSVFfUEVfRVhDTF9GV0QCAAAABklRX05UTQQ2MDAwAwAAAAwiMTIv</t>
  </si>
  <si>
    <t>MTkvMjAxNCIKMTIvMTkvMjAxNAAAAAAEAAAAAAAAAA8iTmFzZGFxR1M6SU5UQyINTmFzZGFxR1M6SU5UQwEAAAAQIklRX1BFX0VYQ0xfRldEIg5JUV9QRV9FWENMX0ZXRAIAAAAGSVFfTlRNBDYwMDADAAAADCIxMi8xMi8yMDE0IgoxMi8xMi8yMDE0AAAAAAQAAAAAAAAADyJOYXNkYXFHUzpJTlRDIg1OYXNkYXFHUzpJTlRDAQAAABAiSVFfUEVfRVhDTF9GV0QiDklRX1BFX0VYQ0xfRldEAgAAAAZJUV9OVE0ENjAwMAMAAAALIjEyLzUvMjAxNCIJMTIvNS8yMDE0AAAAAAQAAAAAAAAADyJOYXNkYXFHUzpJTlRDIg1OYXNkYXFHUzpJTlRDAQAAABAiSVFfUEVfRVhDTF9GV0QiDklRX1BFX0VYQ0xfRldEAgAAAAZJUV9OVE0ENjAwMAMAAAAMIjExLzI4LzIwMTQiCjExLzI4LzIwMTQAAAAABAAAAAAAAAAPIk5hc2RhcUdTOklOVEMiDU5hc2RhcUdTOklOVEMBAAAAECJJUV9QRV9FWENMX0ZXRCIOSVFfUEVfRVhDTF9GV0QCAAAABklRX05UTQQ2MDAwAwAAAAwiMTEvMjEvMjAxNCIKMTEvMjEvMjAxNAAAAAAEAAAAAAAAAA8iTmFzZGFxR1M6SU5UQyINTmFzZGFxR1M6SU5UQwEAAAAQIklRX1BFX0VYQ0xfRldEIg5JUV9QRV9FWENMX0ZXRAIAAAAGSVFfTlRNBDYwMDADAAAADCIxMS8xNC8yMDE0IgoxMS8xNC8yMDE0AAAAAAQAAAAAAAAADyJOYXNkYXFHUzpJTlRDIg1OYXNkYXFHUzpJTlRDAQAAABAiSVFfUEVf</t>
  </si>
  <si>
    <t>RVhDTF9GV0QiDklRX1BFX0VYQ0xfRldEAgAAAAZJUV9OVE0ENjAwMAMAAAALIjExLzcvMjAxNCIJMTEvNy8yMDE0AAAAAAQAAAAAAAAADyJOYXNkYXFHUzpJTlRDIg1OYXNkYXFHUzpJTlRDAQAAABAiSVFfUEVfRVhDTF9GV0QiDklRX1BFX0VYQ0xfRldEAgAAAAZJUV9OVE0ENjAwMAMAAAAMIjEwLzMxLzIwMTQiCjEwLzMxLzIwMTQAAAAABAAAAAAAAAAPIk5hc2RhcUdTOklOVEMiDU5hc2RhcUdTOklOVEMBAAAAECJJUV9QRV9FWENMX0ZXRCIOSVFfUEVfRVhDTF9GV0QCAAAABklRX05UTQQ2MDAwAwAAAAwiMTAvMjQvMjAxNCIKMTAvMjQvMjAxNAAAAAAEAAAAAAAAAA8iTmFzZGFxR1M6SU5UQyINTmFzZGFxR1M6SU5UQwEAAAAQIklRX1BFX0VYQ0xfRldEIg5JUV9QRV9FWENMX0ZXRAIAAAAGSVFfTlRNBDYwMDADAAAADCIxMC8xNy8yMDE0IgoxMC8xNy8yMDE0AAAAAAQAAAAAAAAADyJOYXNkYXFHUzpJTlRDIg1OYXNkYXFHUzpJTlRDAQAAABAiSVFfUEVfRVhDTF9GV0QiDklRX1BFX0VYQ0xfRldEAgAAAAZJUV9OVE0ENjAwMAMAAAAMIjEwLzEwLzIwMTQiCjEwLzEwLzIwMTQAAAAABAAAAAAAAAAPIk5hc2RhcUdTOklOVEMiDU5hc2RhcUdTOklOVEMBAAAAECJJUV9QRV9FWENMX0ZXRCIOSVFfUEVfRVhDTF9GV0QCAAAABklRX05UTQQ2MDAwAwAAAAsiMTAvMy8yMDE0IgkxMC8zLzIwMTQAAAAABAAA</t>
  </si>
  <si>
    <t>AAAAAAAPIk5hc2RhcUdTOklOVEMiDU5hc2RhcUdTOklOVEMBAAAAECJJUV9QRV9FWENMX0ZXRCIOSVFfUEVfRVhDTF9GV0QCAAAABklRX05UTQQ2MDAwAwAAAAsiOS8yNi8yMDE0Igk5LzI2LzIwMTQAAAAABAAAAAAAAAAPIk5hc2RhcUdTOklOVEMiDU5hc2RhcUdTOklOVEMBAAAAECJJUV9QRV9FWENMX0ZXRCIOSVFfUEVfRVhDTF9GV0QCAAAABklRX05UTQQ2MDAwAwAAAAsiOS8xOS8yMDE0Igk5LzE5LzIwMTQAAAAABAAAAAAAAAAPIk5hc2RhcUdTOklOVEMiDU5hc2RhcUdTOklOVEMBAAAAECJJUV9QRV9FWENMX0ZXRCIOSVFfUEVfRVhDTF9GV0QCAAAABklRX05UTQQ2MDAwAwAAAAsiOS8xMi8yMDE0Igk5LzEyLzIwMTQAAAAABAAAAAAAAAAPIk5hc2RhcUdTOklOVEMiDU5hc2RhcUdTOklOVEMBAAAAECJJUV9QRV9FWENMX0ZXRCIOSVFfUEVfRVhDTF9GV0QCAAAABklRX05UTQQ2MDAwAwAAAAoiOS81LzIwMTQiCDkvNS8yMDE0AAAAAAQAAAAAAAAADyJOYXNkYXFHUzpJTlRDIg1OYXNkYXFHUzpJTlRDAQAAABAiSVFfUEVfRVhDTF9GV0QiDklRX1BFX0VYQ0xfRldEAgAAAAZJUV9OVE0ENjAwMAMAAAALIjgvMjkvMjAxNCIJOC8yOS8yMDE0AAAAAAQAAAAAAAAADyJOYXNkYXFHUzpJTlRDIg1OYXNkYXFHUzpJTlRDAQAAABAiSVFfUEVfRVhDTF9GV0QiDklRX1BFX0VYQ0xfRldEAgAAAAZJUV9OVE0E</t>
  </si>
  <si>
    <t>NjAwMAMAAAALIjgvMjIvMjAxNCIJOC8yMi8yMDE0AAAAAAQAAAAAAAAADyJOYXNkYXFHUzpJTlRDIg1OYXNkYXFHUzpJTlRDAQAAABAiSVFfUEVfRVhDTF9GV0QiDklRX1BFX0VYQ0xfRldEAgAAAAZJUV9OVE0ENjAwMAMAAAALIjgvMTUvMjAxNCIJOC8xNS8yMDE0AAAAAAQAAAAAAAAADyJOYXNkYXFHUzpJTlRDIg1OYXNkYXFHUzpJTlRDAQAAABAiSVFfUEVfRVhDTF9GV0QiDklRX1BFX0VYQ0xfRldEAgAAAAZJUV9OVE0ENjAwMAMAAAAKIjgvOC8yMDE0Igg4LzgvMjAxNAAAAAAEAAAAAAAAAA8iTmFzZGFxR1M6SU5UQyINTmFzZGFxR1M6SU5UQwEAAAAQIklRX1BFX0VYQ0xfRldEIg5JUV9QRV9FWENMX0ZXRAIAAAAGSVFfTlRNBDYwMDADAAAACiI4LzEvMjAxNCIIOC8xLzIwMTQAAAAABAAAAAAAAAAPIk5hc2RhcUdTOklOVEMiDU5hc2RhcUdTOklOVEMBAAAAECJJUV9QRV9FWENMX0ZXRCIOSVFfUEVfRVhDTF9GV0QCAAAABklRX05UTQQ2MDAwAwAAAAsiNy8yNS8yMDE0Igk3LzI1LzIwMTQAAAAABAAAAAAAAAAPIk5hc2RhcUdTOklOVEMiDU5hc2RhcUdTOklOVEMBAAAAECJJUV9QRV9FWENMX0ZXRCIOSVFfUEVfRVhDTF9GV0QCAAAABklRX05UTQQ2MDAwAwAAAAsiNy8xOC8yMDE0Igk3LzE4LzIwMTQAAAAABAAAAAAAAAAPIk5hc2RhcUdTOklOVEMiDU5hc2RhcUdTOklOVEMBAAAAECJJUV9QRV9F</t>
  </si>
  <si>
    <t>WENMX0ZXRCIOSVFfUEVfRVhDTF9GV0QCAAAABklRX05UTQQ2MDAwAwAAAAsiNy8xMS8yMDE0Igk3LzExLzIwMTQAAAAABAAAAAAAAAAPIk5hc2RhcUdTOklOVEMiDU5hc2RhcUdTOklOVEMBAAAAECJJUV9QRV9FWENMX0ZXRCIOSVFfUEVfRVhDTF9GV0QCAAAABklRX05UTQQ2MDAwAwAAAAoiNy8zLzIwMTQiCDcvMy8yMDE0AAAAAAQAAAAAAAAADyJOYXNkYXFHUzpJTlRDIg1OYXNkYXFHUzpJTlRDAQAAABAiSVFfUEVfRVhDTF9GV0QiDklRX1BFX0VYQ0xfRldEAgAAAAZJUV9OVE0ENjAwMAMAAAALIjYvMjcvMjAxNCIJNi8yNy8yMDE0AAAAAAQAAAAAAAAADyJOYXNkYXFHUzpJTlRDIg1OYXNkYXFHUzpJTlRDAQAAABAiSVFfUEVfRVhDTF9GV0QiDklRX1BFX0VYQ0xfRldEAgAAAAZJUV9OVE0ENjAwMAMAAAALIjYvMjAvMjAxNCIJNi8yMC8yMDE0AAAAAAQAAAAAAAAADyJOYXNkYXFHUzpJTlRDIg1OYXNkYXFHUzpJTlRDAQAAABAiSVFfUEVfRVhDTF9GV0QiDklRX1BFX0VYQ0xfRldEAgAAAAZJUV9OVE0ENjAwMAMAAAALIjYvMTMvMjAxNCIJNi8xMy8yMDE0AAAAAAQAAAAAAAAADyJOYXNkYXFHUzpJTlRDIg1OYXNkYXFHUzpJTlRDAQAAABAiSVFfUEVfRVhDTF9GV0QiDklRX1BFX0VYQ0xfRldEAgAAAAZJUV9OVE0ENjAwMAMAAAAKIjYvNi8yMDE0Igg2LzYvMjAxNAAAAAAEAAAAAAAAAA8iTmFzZGFx</t>
  </si>
  <si>
    <t>R1M6SU5UQyINTmFzZGFxR1M6SU5UQwEAAAAQIklRX1BFX0VYQ0xfRldEIg5JUV9QRV9FWENMX0ZXRAIAAAAGSVFfTlRNBDYwMDADAAAACyI1LzMwLzIwMTQiCTUvMzAvMjAxNAAAAAAEAAAAAAAAAA8iTmFzZGFxR1M6SU5UQyINTmFzZGFxR1M6SU5UQwEAAAAQIklRX1BFX0VYQ0xfRldEIg5JUV9QRV9FWENMX0ZXRAIAAAAGSVFfTlRNBDYwMDADAAAACyI1LzIzLzIwMTQiCTUvMjMvMjAxNAAAAAAEAAAAAAAAAA8iTmFzZGFxR1M6SU5UQyINTmFzZGFxR1M6SU5UQwEAAAAQIklRX1BFX0VYQ0xfRldEIg5JUV9QRV9FWENMX0ZXRAIAAAAGSVFfTlRNBDYwMDADAAAACyI1LzE2LzIwMTQiCTUvMTYvMjAxNAAAAAAEAAAAAAAAAA8iTmFzZGFxR1M6SU5UQyINTmFzZGFxR1M6SU5UQwEAAAAQIklRX1BFX0VYQ0xfRldEIg5JUV9QRV9FWENMX0ZXRAIAAAAGSVFfTlRNBDYwMDADAAAACiI1LzkvMjAxNCIINS85LzIwMTQAAAAABAAAAAAAAAAPIk5hc2RhcUdTOklOVEMiDU5hc2RhcUdTOklOVEMBAAAAECJJUV9QRV9FWENMX0ZXRCIOSVFfUEVfRVhDTF9GV0QCAAAABklRX05UTQQ2MDAwAwAAAAoiNS8yLzIwMTQiCDUvMi8yMDE0AAAAAAQAAAAAAAAADyJOYXNkYXFHUzpJTlRDIg1OYXNkYXFHUzpJTlRDAQAAABAiSVFfUEVfRVhDTF9GV0QiDklRX1BFX0VYQ0xfRldEAgAAAAZJUV9OVE0ENjAwMAMAAAALIjQvMjUv</t>
  </si>
  <si>
    <t>MjAxNCIJNC8yNS8yMDE0AAAAAAQAAAAAAAAADyJOYXNkYXFHUzpJTlRDIg1OYXNkYXFHUzpJTlRDAQAAABAiSVFfUEVfRVhDTF9GV0QiDklRX1BFX0VYQ0xfRldEAgAAAAZJUV9OVE0ENjAwMAMAAAALIjQvMTcvMjAxNCIJNC8xNy8yMDE0AAAAAAQAAAAAAAAADyJOYXNkYXFHUzpJTlRDIg1OYXNkYXFHUzpJTlRDAQAAABAiSVFfUEVfRVhDTF9GV0QiDklRX1BFX0VYQ0xfRldEAgAAAAZJUV9OVE0ENjAwMAMAAAALIjQvMTEvMjAxNCIJNC8xMS8yMDE0AAAAAAQAAAAAAAAADyJOYXNkYXFHUzpJTlRDIg1OYXNkYXFHUzpJTlRDAQAAABAiSVFfUEVfRVhDTF9GV0QiDklRX1BFX0VYQ0xfRldEAgAAAAZJUV9OVE0ENjAwMAMAAAAKIjQvNC8yMDE0Igg0LzQvMjAxNAAAAAAEAAAAAAAAAA8iTmFzZGFxR1M6SU5UQyINTmFzZGFxR1M6SU5UQwEAAAAQIklRX1BFX0VYQ0xfRldEIg5JUV9QRV9FWENMX0ZXRAIAAAAGSVFfTlRNBDYwMDADAAAACyIzLzI4LzIwMTQiCTMvMjgvMjAxNAAAAAAEAAAAAAAAAA8iTmFzZGFxR1M6SU5UQyINTmFzZGFxR1M6SU5UQwEAAAAQIklRX1BFX0VYQ0xfRldEIg5JUV9QRV9FWENMX0ZXRAIAAAAGSVFfTlRNBDYwMDADAAAACyIzLzIxLzIwMTQiCTMvMjEvMjAxNAAAAAAEAAAAAAAAAA8iTmFzZGFxR1M6SU5UQyINTmFzZGFxR1M6SU5UQwEAAAAQIklRX1BFX0VYQ0xfRldEIg5JUV9Q</t>
  </si>
  <si>
    <t>RV9FWENMX0ZXRAIAAAAGSVFfTlRNBDYwMDADAAAACyIzLzE0LzIwMTQiCTMvMTQvMjAxNAAAAAAEAAAAAAAAAA8iTmFzZGFxR1M6SU5UQyINTmFzZGFxR1M6SU5UQwEAAAAQIklRX1BFX0VYQ0xfRldEIg5JUV9QRV9FWENMX0ZXRAIAAAAGSVFfTlRNBDYwMDADAAAACiIzLzcvMjAxNCIIMy83LzIwMTQAAAAABAAAAAAAAAAPIk5hc2RhcUdTOklOVEMiDU5hc2RhcUdTOklOVEMBAAAAECJJUV9QRV9FWENMX0ZXRCIOSVFfUEVfRVhDTF9GV0QCAAAABklRX05UTQQ2MDAwAwAAAAsiMi8yOC8yMDE0IgkyLzI4LzIwMTQAAAAABAAAAAAAAAAPIk5hc2RhcUdTOklOVEMiDU5hc2RhcUdTOklOVEMBAAAAECJJUV9QRV9FWENMX0ZXRCIOSVFfUEVfRVhDTF9GV0QCAAAABklRX05UTQQ2MDAwAwAAAAsiMi8yMS8yMDE0IgkyLzIxLzIwMTQAAAAABAAAAAAAAAAPIk5hc2RhcUdTOklOVEMiDU5hc2RhcUdTOklOVEMBAAAAECJJUV9QRV9FWENMX0ZXRCIOSVFfUEVfRVhDTF9GV0QCAAAABklRX05UTQQ2MDAwAwAAAAsiMi8xNC8yMDE0IgkyLzE0LzIwMTQAAAAABAAAAAAAAAAPIk5hc2RhcUdTOklOVEMiDU5hc2RhcUdTOklOVEMBAAAAECJJUV9QRV9FWENMX0ZXRCIOSVFfUEVfRVhDTF9GV0QCAAAABklRX05UTQQ2MDAwAwAAAAoiMi83LzIwMTQiCDIvNy8yMDE0AAAAAAQAAAAAAAAADyJOYXNkYXFHUzpJTlRDIg1OYXNk</t>
  </si>
  <si>
    <t>YXFHUzpJTlRDAQAAABAiSVFfUEVfRVhDTF9GV0QiDklRX1BFX0VYQ0xfRldEAgAAAAZJUV9OVE0ENjAwMAMAAAALIjEvMzEvMjAxNCIJMS8zMS8yMDE0AAAAAAQAAAAAAAAADyJOYXNkYXFHUzpJTlRDIg1OYXNkYXFHUzpJTlRDAQAAABAiSVFfUEVfRVhDTF9GV0QiDklRX1BFX0VYQ0xfRldEAgAAAAZJUV9OVE0ENjAwMAMAAAALIjEvMjQvMjAxNCIJMS8yNC8yMDE0AAAAAAQAAAAAAAAADyJOYXNkYXFHUzpJTlRDIg1OYXNkYXFHUzpJTlRDAQAAABAiSVFfUEVfRVhDTF9GV0QiDklRX1BFX0VYQ0xfRldEAgAAAAZJUV9OVE0ENjAwMAMAAAALIjEvMTcvMjAxNCIJMS8xNy8yMDE0AAAAAAQAAAAAAAAADyJOYXNkYXFHUzpJTlRDIg1OYXNkYXFHUzpJTlRDAQAAABAiSVFfUEVfRVhDTF9GV0QiDklRX1BFX0VYQ0xfRldEAgAAAAZJUV9OVE0ENjAwMAMAAAALIjEvMTAvMjAxNCIJMS8xMC8yMDE0AAAAAAQAAAAAAAAADyJOYXNkYXFHUzpJTlRDIg1OYXNkYXFHUzpJTlRDAQAAABAiSVFfUEVfRVhDTF9GV0QiDklRX1BFX0VYQ0xfRldEAgAAAAZJUV9OVE0ENjAwMAMAAAAKIjEvMy8yMDE0IggxLzMvMjAxNAAAAAAEAAAAAAAAAA8iTmFzZGFxR1M6SU5UQyINTmFzZGFxR1M6SU5UQwEAAAAQIklRX1BFX0VYQ0xfRldEIg5JUV9QRV9FWENMX0ZXRAIAAAAGSVFfTlRNBDYwMDADAAAADCIxMi8yNy8yMDEzIgoxMi8y</t>
  </si>
  <si>
    <t>Ny8yMDEzAAAAAAQAAAAAAAAADyJOYXNkYXFHUzpJTlRDIg1OYXNkYXFHUzpJTlRDAQAAABAiSVFfUEVfRVhDTF9GV0QiDklRX1BFX0VYQ0xfRldEAgAAAAZJUV9OVE0ENjAwMAMAAAAMIjEyLzIwLzIwMTMiCjEyLzIwLzIwMTMAAAAABAAAAAAAAAAPIk5hc2RhcUdTOklOVEMiDU5hc2RhcUdTOklOVEMBAAAAECJJUV9QRV9FWENMX0ZXRCIOSVFfUEVfRVhDTF9GV0QCAAAABklRX05UTQQ2MDAwAwAAAAwiMTIvMTMvMjAxMyIKMTIvMTMvMjAxMwAAAAAEAAAAAAAAAA8iTmFzZGFxR1M6SU5UQyINTmFzZGFxR1M6SU5UQwEAAAAQIklRX1BFX0VYQ0xfRldEIg5JUV9QRV9FWENMX0ZXRAIAAAAGSVFfTlRNBDYwMDADAAAACyIxMi82LzIwMTMiCTEyLzYvMjAxMwAAAAAEAAAAAAAAAA8iTmFzZGFxR1M6SU5UQyINTmFzZGFxR1M6SU5UQwEAAAAQIklRX1BFX0VYQ0xfRldEIg5JUV9QRV9FWENMX0ZXRAIAAAAGSVFfTlRNBDYwMDADAAAADCIxMS8yOS8yMDEzIgoxMS8yOS8yMDEzAAAAAAQAAAAAAAAADyJOYXNkYXFHUzpJTlRDIg1OYXNkYXFHUzpJTlRDAQAAABAiSVFfUEVfRVhDTF9GV0QiDklRX1BFX0VYQ0xfRldEAgAAAAZJUV9OVE0ENjAwMAMAAAAMIjExLzIyLzIwMTMiCjExLzIyLzIwMTMAAAAABAAAAAAAAAAPIk5hc2RhcUdTOklOVEMiDU5hc2RhcUdTOklOVEMBAAAAECJJUV9QRV9FWENMX0ZXRCIOSVFf</t>
  </si>
  <si>
    <t>UEVfRVhDTF9GV0QCAAAABklRX05UTQQ2MDAwAwAAAAwiMTEvMTUvMjAxMyIKMTEvMTUvMjAxMwAAAAAEAAAAAAAAAA8iTmFzZGFxR1M6SU5UQyINTmFzZGFxR1M6SU5UQwEAAAAQIklRX1BFX0VYQ0xfRldEIg5JUV9QRV9FWENMX0ZXRAIAAAAGSVFfTlRNBDYwMDADAAAACyIxMS84LzIwMTMiCTExLzgvMjAxMwAAAAAEAAAAAAAAAA8iTmFzZGFxR1M6SU5UQyINTmFzZGFxR1M6SU5UQwEAAAAQIklRX1BFX0VYQ0xfRldEIg5JUV9QRV9FWENMX0ZXRAIAAAAGSVFfTlRNBDYwMDADAAAACyIxMS8xLzIwMTMiCTExLzEvMjAxMwAAAAAEAAAAAAAAAA8iTmFzZGFxR1M6SU5UQyINTmFzZGFxR1M6SU5UQwEAAAAQIklRX1BFX0VYQ0xfRldEIg5JUV9QRV9FWENMX0ZXRAIAAAAGSVFfTlRNBDYwMDADAAAADCIxMC8yNS8yMDEzIgoxMC8yNS8yMDEzAAAAAAQAAAAAAAAADyJOYXNkYXFHUzpJTlRDIg1OYXNkYXFHUzpJTlRDAQAAABAiSVFfUEVfRVhDTF9GV0QiDklRX1BFX0VYQ0xfRldEAgAAAAZJUV9OVE0ENjAwMAMAAAAMIjEwLzE4LzIwMTMiCjEwLzE4LzIwMTMAAAAABAAAAAAAAAAPIk5hc2RhcUdTOklOVEMiDU5hc2RhcUdTOklOVEMBAAAAECJJUV9QRV9FWENMX0ZXRCIOSVFfUEVfRVhDTF9GV0QCAAAABklRX05UTQQ2MDAwAwAAAAwiMTAvMTEvMjAxMyIKMTAvMTEvMjAxMwAAAAAEAAAAAAAAAA8iTmFzZGFx</t>
  </si>
  <si>
    <t>R1M6SU5UQyINTmFzZGFxR1M6SU5UQwEAAAAQIklRX1BFX0VYQ0xfRldEIg5JUV9QRV9FWENMX0ZXRAIAAAAGSVFfTlRNBDYwMDADAAAACyIxMC80LzIwMTMiCTEwLzQvMjAxMwAAAAAEAAAAAAAAAA8iTmFzZGFxR1M6SU5UQyINTmFzZGFxR1M6SU5UQwEAAAAQIklRX1BFX0VYQ0xfRldEIg5JUV9QRV9FWENMX0ZXRAIAAAAGSVFfTlRNBDYwMDADAAAACyI5LzI3LzIwMTMiCTkvMjcvMjAxMwAAAAAEAAAAAAAAAA8iTmFzZGFxR1M6SU5UQyINTmFzZGFxR1M6SU5UQwEAAAAQIklRX1BFX0VYQ0xfRldEIg5JUV9QRV9FWENMX0ZXRAIAAAAGSVFfTlRNBDYwMDADAAAACyI5LzIwLzIwMTMiCTkvMjAvMjAxMwAAAAAEAAAAAAAAAA8iTmFzZGFxR1M6SU5UQyINTmFzZGFxR1M6SU5UQwEAAAAQIklRX1BFX0VYQ0xfRldEIg5JUV9QRV9FWENMX0ZXRAIAAAAGSVFfTlRNBDYwMDADAAAACyI5LzEzLzIwMTMiCTkvMTMvMjAxMwAAAAAEAAAAAAAAAA8iTmFzZGFxR1M6SU5UQyINTmFzZGFxR1M6SU5UQwEAAAAQIklRX1BFX0VYQ0xfRldEIg5JUV9QRV9FWENMX0ZXRAIAAAAGSVFfTlRNBDYwMDADAAAACiI5LzYvMjAxMyIIOS82LzIwMTMAAAAABAAAAAAAAAAPIk5hc2RhcUdTOklOVEMiDU5hc2RhcUdTOklOVEMBAAAAECJJUV9QRV9FWENMX0ZXRCIOSVFfUEVfRVhDTF9GV0QCAAAABklRX05UTQQ2MDAwAwAAAAsiOC8z</t>
  </si>
  <si>
    <t>MC8yMDEzIgk4LzMwLzIwMTMAAAAABAAAAAAAAAAPIk5hc2RhcUdTOklOVEMiDU5hc2RhcUdTOklOVEMBAAAAECJJUV9QRV9FWENMX0ZXRCIOSVFfUEVfRVhDTF9GV0QCAAAABklRX05UTQQ2MDAwAwAAAAsiOC8yMy8yMDEzIgk4LzIzLzIwMTMAAAAABAAAAAAAAAAPIk5hc2RhcUdTOklOVEMiDU5hc2RhcUdTOklOVEMBAAAAECJJUV9QRV9FWENMX0ZXRCIOSVFfUEVfRVhDTF9GV0QCAAAABklRX05UTQQ2MDAwAwAAAAsiOC8xNi8yMDEzIgk4LzE2LzIwMTMAAAAABAAAAAAAAAAPIk5hc2RhcUdTOklOVEMiDU5hc2RhcUdTOklOVEMBAAAAECJJUV9QRV9FWENMX0ZXRCIOSVFfUEVfRVhDTF9GV0QCAAAABklRX05UTQQ2MDAwAwAAAAoiOC85LzIwMTMiCDgvOS8yMDEzAAAAAAQAAAAAAAAADyJOYXNkYXFHUzpJTlRDIg1OYXNkYXFHUzpJTlRDAQAAABAiSVFfUEVfRVhDTF9GV0QiDklRX1BFX0VYQ0xfRldEAgAAAAZJUV9OVE0ENjAwMAMAAAAKIjgvMi8yMDEzIgg4LzIvMjAxMwAAAAAEAAAAAAAAAA8iTmFzZGFxR1M6SU5UQyINTmFzZGFxR1M6SU5UQwEAAAAQIklRX1BFX0VYQ0xfRldEIg5JUV9QRV9FWENMX0ZXRAIAAAAGSVFfTlRNBDYwMDADAAAACyI3LzI2LzIwMTMiCTcvMjYvMjAxMwAAAAAEAAAAAAAAAA8iTmFzZGFxR1M6SU5UQyINTmFzZGFxR1M6SU5UQwEAAAAQIklRX1BFX0VYQ0xfRldEIg5JUV9Q</t>
  </si>
  <si>
    <t>RV9FWENMX0ZXRAIAAAAGSVFfTlRNBDYwMDADAAAACyI3LzE5LzIwMTMiCTcvMTkvMjAxMwAAAAAEAAAAAAAAAA8iTmFzZGFxR1M6SU5UQyINTmFzZGFxR1M6SU5UQwEAAAAQIklRX1BFX0VYQ0xfRldEIg5JUV9QRV9FWENMX0ZXRAIAAAAGSVFfTlRNBDYwMDADAAAACyI3LzEyLzIwMTMiCTcvMTIvMjAxMwAAAAAEAAAAAAAAAA8iTmFzZGFxR1M6SU5UQyINTmFzZGFxR1M6SU5UQwEAAAAQIklRX1BFX0VYQ0xfRldEIg5JUV9QRV9FWENMX0ZXRAIAAAAGSVFfTlRNBDYwMDADAAAACiI3LzUvMjAxMyIINy81LzIwMTMAAAAABAAAAAAAAAAPIk5hc2RhcUdTOklOVEMiDU5hc2RhcUdTOklOVEMBAAAAECJJUV9QRV9FWENMX0ZXRCIOSVFfUEVfRVhDTF9GV0QCAAAABklRX05UTQQ2MDAwAwAAAAsiNi8yOC8yMDEzIgk2LzI4LzIwMTMAAAAABAAAAAAAAAAPIk5hc2RhcUdTOklOVEMiDU5hc2RhcUdTOklOVEMBAAAAECJJUV9QRV9FWENMX0ZXRCIOSVFfUEVfRVhDTF9GV0QCAAAABklRX05UTQQ2MDAwAwAAAAsiNi8yMS8yMDEzIgk2LzIxLzIwMTMAAAAABAAAAAAAAAAPIk5hc2RhcUdTOklOVEMiDU5hc2RhcUdTOklOVEMBAAAAECJJUV9QRV9FWENMX0ZXRCIOSVFfUEVfRVhDTF9GV0QCAAAABklRX05UTQQ2MDAwAwAAAAsiNi8xNC8yMDEzIgk2LzE0LzIwMTMAAAAABAAAAAAAAAAPIk5hc2RhcUdTOklOVEMiDU5h</t>
  </si>
  <si>
    <t>c2RhcUdTOklOVEMBAAAAECJJUV9QRV9FWENMX0ZXRCIOSVFfUEVfRVhDTF9GV0QCAAAABklRX05UTQQ2MDAwAwAAAAoiNi83LzIwMTMiCDYvNy8yMDEzAAAAAAQAAAAAAAAADyJOYXNkYXFHUzpJTlRDIg1OYXNkYXFHUzpJTlRDAQAAABAiSVFfUEVfRVhDTF9GV0QiDklRX1BFX0VYQ0xfRldEAgAAAAZJUV9OVE0ENjAwMAMAAAALIjUvMzEvMjAxMyIJNS8zMS8yMDEzAAAAAAQAAAAAAAAADyJOYXNkYXFHUzpJTlRDIg1OYXNkYXFHUzpJTlRDAQAAABAiSVFfUEVfRVhDTF9GV0QiDklRX1BFX0VYQ0xfRldEAgAAAAZJUV9OVE0ENjAwMAMAAAALIjUvMjQvMjAxMyIJNS8yNC8yMDEzAAAAAAQAAAAAAAAADyJOYXNkYXFHUzpJTlRDIg1OYXNkYXFHUzpJTlRDAQAAABAiSVFfUEVfRVhDTF9GV0QiDklRX1BFX0VYQ0xfRldEAgAAAAZJUV9OVE0ENjAwMAMAAAALIjUvMTcvMjAxMyIJNS8xNy8yMDEzAAAAAAQAAAAAAAAADyJOYXNkYXFHUzpJTlRDIg1OYXNkYXFHUzpJTlRDAQAAABAiSVFfUEVfRVhDTF9GV0QiDklRX1BFX0VYQ0xfRldEAgAAAAZJUV9OVE0ENjAwMAMAAAALIjUvMTAvMjAxMyIJNS8xMC8yMDEzAAAAAAQAAAAAAAAADyJOYXNkYXFHUzpJTlRDIg1OYXNkYXFHUzpJTlRDAQAAABAiSVFfUEVfRVhDTF9GV0QiDklRX1BFX0VYQ0xfRldEAgAAAAZJUV9OVE0ENjAwMAMAAAAKIjUvMy8yMDEzIgg1LzMv</t>
  </si>
  <si>
    <t>MjAxMwAAAAAEAAAAAAAAAA8iTmFzZGFxR1M6SU5UQyINTmFzZGFxR1M6SU5UQwEAAAAQIklRX1BFX0VYQ0xfRldEIg5JUV9QRV9FWENMX0ZXRAIAAAAGSVFfTlRNBDYwMDADAAAACyI0LzI2LzIwMTMiCTQvMjYvMjAxMwAAAAAEAAAAAAAAAA8iTmFzZGFxR1M6SU5UQyINTmFzZGFxR1M6SU5UQwEAAAAQIklRX1BFX0VYQ0xfRldEIg5JUV9QRV9FWENMX0ZXRAIAAAAGSVFfTlRNBDYwMDADAAAACyI0LzE5LzIwMTMiCTQvMTkvMjAxMwAAAAAEAAAAAAAAAA8iTmFzZGFxR1M6SU5UQyINTmFzZGFxR1M6SU5UQwEAAAAQIklRX1BFX0VYQ0xfRldEIg5JUV9QRV9FWENMX0ZXRAIAAAAGSVFfTlRNBDYwMDADAAAACyI0LzEyLzIwMTMiCTQvMTIvMjAxMwAAAAAEAAAAAAAAAA8iTmFzZGFxR1M6SU5UQyINTmFzZGFxR1M6SU5UQwEAAAAQIklRX1BFX0VYQ0xfRldEIg5JUV9QRV9FWENMX0ZXRAIAAAAGSVFfTlRNBDYwMDADAAAACiI0LzUvMjAxMyIINC81LzIwMTMAAAAABAAAAAAAAAAPIk5hc2RhcUdTOklOVEMiDU5hc2RhcUdTOklOVEMBAAAAECJJUV9QRV9FWENMX0ZXRCIOSVFfUEVfRVhDTF9GV0QCAAAABklRX05UTQQ2MDAwAwAAAAsiMy8yOC8yMDEzIgkzLzI4LzIwMTMAAAAABAAAAAAAAAAPIk5hc2RhcUdTOklOVEMiDU5hc2RhcUdTOklOVEMBAAAAECJJUV9QRV9FWENMX0ZXRCIOSVFfUEVfRVhDTF9GV0QC</t>
  </si>
  <si>
    <t>AAAABklRX05UTQQ2MDAwAwAAAAsiMy8yMi8yMDEzIgkzLzIyLzIwMTMAAAAABAAAAAAAAAAPIk5hc2RhcUdTOklOVEMiDU5hc2RhcUdTOklOVEMBAAAAECJJUV9QRV9FWENMX0ZXRCIOSVFfUEVfRVhDTF9GV0QCAAAABklRX05UTQQ2MDAwAwAAAAsiMy8xNS8yMDEzIgkzLzE1LzIwMTMAAAAABAAAAAAAAAAPIk5hc2RhcUdTOklOVEMiDU5hc2RhcUdTOklOVEMBAAAAECJJUV9QRV9FWENMX0ZXRCIOSVFfUEVfRVhDTF9GV0QCAAAABklRX05UTQQ2MDAwAwAAAAoiMy84LzIwMTMiCDMvOC8yMDEzAAAAAAQAAAAAAAAADyJOYXNkYXFHUzpJTlRDIg1OYXNkYXFHUzpJTlRDAQAAABAiSVFfUEVfRVhDTF9GV0QiDklRX1BFX0VYQ0xfRldEAgAAAAZJUV9OVE0ENjAwMAMAAAAKIjMvMS8yMDEzIggzLzEvMjAxMwAAAAAEAAAAAAAAAA8iTmFzZGFxR1M6SU5UQyINTmFzZGFxR1M6SU5UQwEAAAAQIklRX1BFX0VYQ0xfRldEIg5JUV9QRV9FWENMX0ZXRAIAAAAGSVFfTlRNBDYwMDADAAAACyIyLzIyLzIwMTMiCTIvMjIvMjAxMwAAAAAEAAAAAAAAAA8iTmFzZGFxR1M6SU5UQyINTmFzZGFxR1M6SU5UQwEAAAAQIklRX1BFX0VYQ0xfRldEIg5JUV9QRV9FWENMX0ZXRAIAAAAGSVFfTlRNBDYwMDADAAAACyIyLzE1LzIwMTMiCTIvMTUvMjAxMwAAAAAEAAAAAAAAAA8iTmFzZGFxR1M6SU5UQyINTmFzZGFxR1M6SU5UQwEA</t>
  </si>
  <si>
    <t>AAAQIklRX1BFX0VYQ0xfRldEIg5JUV9QRV9FWENMX0ZXRAIAAAAGSVFfTlRNBDYwMDADAAAACiIyLzgvMjAxMyIIMi84LzIwMTMAAAAABAAAAAAAAAAPIk5hc2RhcUdTOklOVEMiDU5hc2RhcUdTOklOVEMBAAAAECJJUV9QRV9FWENMX0ZXRCIOSVFfUEVfRVhDTF9GV0QCAAAABklRX05UTQQ2MDAwAwAAAAoiMi8xLzIwMTMiCDIvMS8yMDEzAAAAAAQAAAAAAAAADyJOYXNkYXFHUzpJTlRDIg1OYXNkYXFHUzpJTlRDAQAAABAiSVFfUEVfRVhDTF9GV0QiDklRX1BFX0VYQ0xfRldEAgAAAAZJUV9OVE0ENjAwMAMAAAALIjEvMjUvMjAxMyIJMS8yNS8yMDEzAAAAAAQAAAAAAAAADyJOYXNkYXFHUzpJTlRDIg1OYXNkYXFHUzpJTlRDAQAAABAiSVFfUEVfRVhDTF9GV0QiDklRX1BFX0VYQ0xfRldEAgAAAAZJUV9OVE0ENjAwMAMAAAALIjEvMTgvMjAxMyIJMS8xOC8yMDEzAAAAAAQAAAAAAAAADyJOYXNkYXFHUzpJTlRDIg1OYXNkYXFHUzpJTlRDAQAAABAiSVFfUEVfRVhDTF9GV0QiDklRX1BFX0VYQ0xfRldEAgAAAAZJUV9OVE0ENjAwMAMAAAALIjEvMTEvMjAxMyIJMS8xMS8yMDEzAAAAAAQAAAAAAAAADyJOYXNkYXFHUzpJTlRDIg1OYXNkYXFHUzpJTlRDAQAAABAiSVFfUEVfRVhDTF9GV0QiDklRX1BFX0VYQ0xfRldEAgAAAAZJUV9OVE0ENjAwMAMAAAAKIjEvNC8yMDEzIggxLzQvMjAxMwAAAAAEAAAAAAAA</t>
  </si>
  <si>
    <t>AA8iTmFzZGFxR1M6SU5UQyINTmFzZGFxR1M6SU5UQwEAAAAQIklRX1BFX0VYQ0xfRldEIg5JUV9QRV9FWENMX0ZXRAIAAAAGSVFfTlRNBDYwMDADAAAADCIxMi8yOC8yMDEyIgoxMi8yOC8yMDEyAAAAAAQAAAAAAAAADyJOYXNkYXFHUzpJTlRDIg1OYXNkYXFHUzpJTlRDAQAAABAiSVFfUEVfRVhDTF9GV0QiDklRX1BFX0VYQ0xfRldEAgAAAAZJUV9OVE0ENjAwMAMAAAAMIjEyLzIxLzIwMTIiCjEyLzIxLzIwMTIAAAAABAAAAAAAAAAPIk5hc2RhcUdTOklOVEMiDU5hc2RhcUdTOklOVEMBAAAAECJJUV9QRV9FWENMX0ZXRCIOSVFfUEVfRVhDTF9GV0QCAAAABklRX05UTQQ2MDAwAwAAAAwiMTIvMTQvMjAxMiIKMTIvMTQvMjAxMgAAAAAEAAAAAAAAAA8iTmFzZGFxR1M6SU5UQyINTmFzZGFxR1M6SU5UQwEAAAAQIklRX1BFX0VYQ0xfRldEIg5JUV9QRV9FWENMX0ZXRAIAAAAGSVFfTlRNBDYwMDADAAAACyIxMi83LzIwMTIiCTEyLzcvMjAxMgAAAAAEAAAAAAAAAA8iTmFzZGFxR1M6SU5UQyINTmFzZGFxR1M6SU5UQwEAAAAQIklRX1BFX0VYQ0xfRldEIg5JUV9QRV9FWENMX0ZXRAIAAAAGSVFfTlRNBDYwMDADAAAADCIxMS8zMC8yMDEyIgoxMS8zMC8yMDEyAAAAAAQAAAAAAAAADyJOYXNkYXFHUzpJTlRDIg1OYXNkYXFHUzpJTlRDAQAAABAiSVFfUEVfRVhDTF9GV0QiDklRX1BFX0VYQ0xfRldEAgAAAAZJ</t>
  </si>
  <si>
    <t>UV9OVE0ENjAwMAMAAAAMIjExLzIzLzIwMTIiCjExLzIzLzIwMTIAAAAABAAAAAAAAAAPIk5hc2RhcUdTOklOVEMiDU5hc2RhcUdTOklOVEMBAAAAECJJUV9QRV9FWENMX0ZXRCIOSVFfUEVfRVhDTF9GV0QCAAAABklRX05UTQQ2MDAwAwAAAAwiMTEvMTYvMjAxMiIKMTEvMTYvMjAxMgAAAAAEAAAAAAAAAA8iTmFzZGFxR1M6SU5UQyINTmFzZGFxR1M6SU5UQwEAAAAQIklRX1BFX0VYQ0xfRldEIg5JUV9QRV9FWENMX0ZXRAIAAAAGSVFfTlRNBDYwMDADAAAACyIxMS85LzIwMTIiCTExLzkvMjAxMgAAAAAEAAAAAAAAAA8iTmFzZGFxR1M6SU5UQyINTmFzZGFxR1M6SU5UQwEAAAAQIklRX1BFX0VYQ0xfRldEIg5JUV9QRV9FWENMX0ZXRAIAAAAGSVFfTlRNBDYwMDADAAAACyIxMS8yLzIwMTIiCTExLzIvMjAxMgAAAAAEAAAAAAAAAA8iTmFzZGFxR1M6SU5UQyINTmFzZGFxR1M6SU5UQwEAAAAQIklRX1BFX0VYQ0xfRldEIg5JUV9QRV9FWENMX0ZXRAIAAAAGSVFfTlRNBDYwMDADAAAADCIxMC8yNi8yMDEyIgoxMC8yNi8yMDEyAAAAAAQAAAAAAAAADyJOYXNkYXFHUzpJTlRDIg1OYXNkYXFHUzpJTlRDAQAAABAiSVFfUEVfRVhDTF9GV0QiDklRX1BFX0VYQ0xfRldEAgAAAAZJUV9OVE0ENjAwMAMAAAAMIjEwLzE5LzIwMTIiCjEwLzE5LzIwMTIAAAAABAAAAAAAAAAPIk5hc2RhcUdTOklOVEMiDU5hc2RhcUdT</t>
  </si>
  <si>
    <t>OklOVEMBAAAAECJJUV9QRV9FWENMX0ZXRCIOSVFfUEVfRVhDTF9GV0QCAAAABklRX05UTQQ2MDAwAwAAAAwiMTAvMTIvMjAxMiIKMTAvMTIvMjAxMgAAAAAEAAAAAAAAAA8iTmFzZGFxR1M6SU5UQyINTmFzZGFxR1M6SU5UQwEAAAAQIklRX1BFX0VYQ0xfRldEIg5JUV9QRV9FWENMX0ZXRAIAAAAGSVFfTlRNBDYwMDADAAAACyIxMC81LzIwMTIiCTEwLzUvMjAxMgAAAAAEAAAAAAAAAA8iTmFzZGFxR1M6SU5UQyINTmFzZGFxR1M6SU5UQwEAAAAQIklRX1BFX0VYQ0xfRldEIg5JUV9QRV9FWENMX0ZXRAIAAAAGSVFfTlRNBDYwMDADAAAACyI5LzI4LzIwMTIiCTkvMjgvMjAxMgAAAAAEAAAAAAAAAA8iTmFzZGFxR1M6SU5UQyINTmFzZGFxR1M6SU5UQwEAAAAQIklRX1BFX0VYQ0xfRldEIg5JUV9QRV9FWENMX0ZXRAIAAAAGSVFfTlRNBDYwMDADAAAACyI5LzIxLzIwMTIiCTkvMjEvMjAxMgAAAAAEAAAAAAAAAA8iTmFzZGFxR1M6SU5UQyINTmFzZGFxR1M6SU5UQwEAAAAQIklRX1BFX0VYQ0xfRldEIg5JUV9QRV9FWENMX0ZXRAIAAAAGSVFfTlRNBDYwMDADAAAACyI5LzE0LzIwMTIiCTkvMTQvMjAxMgAAAAAEAAAAAAAAAA8iTmFzZGFxR1M6SU5UQyINTmFzZGFxR1M6SU5UQwEAAAAQIklRX1BFX0VYQ0xfRldEIg5JUV9QRV9FWENMX0ZXRAIAAAAGSVFfTlRNBDYwMDADAAAACiI5LzcvMjAxMiIIOS83LzIw</t>
  </si>
  <si>
    <t>MTIAAAAABAAAAAAAAAAPIk5hc2RhcUdTOklOVEMiDU5hc2RhcUdTOklOVEMBAAAAECJJUV9QRV9FWENMX0ZXRCIOSVFfUEVfRVhDTF9GV0QCAAAABklRX05UTQQ2MDAwAwAAAAsiOC8zMS8yMDEyIgk4LzMxLzIwMTIAAAAABAAAAAAAAAAPIk5hc2RhcUdTOklOVEMiDU5hc2RhcUdTOklOVEMBAAAAECJJUV9QRV9FWENMX0ZXRCIOSVFfUEVfRVhDTF9GV0QCAAAABklRX05UTQQ2MDAwAwAAAAsiOC8yNC8yMDEyIgk4LzI0LzIwMTIAAAAABAAAAAAAAAAPIk5hc2RhcUdTOklOVEMiDU5hc2RhcUdTOklOVEMBAAAAECJJUV9QRV9FWENMX0ZXRCIOSVFfUEVfRVhDTF9GV0QCAAAABklRX05UTQQ2MDAwAwAAAAsiOC8xNy8yMDEyIgk4LzE3LzIwMTIAAAAABAAAAAAAAAAPIk5hc2RhcUdTOklOVEMiDU5hc2RhcUdTOklOVEMBAAAAECJJUV9QRV9FWENMX0ZXRCIOSVFfUEVfRVhDTF9GV0QCAAAABklRX05UTQQ2MDAwAwAAAAsiOC8xMC8yMDEyIgk4LzEwLzIwMTIAAAAABAAAAAAAAAAPIk5hc2RhcUdTOklOVEMiDU5hc2RhcUdTOklOVEMBAAAAECJJUV9QRV9FWENMX0ZXRCIOSVFfUEVfRVhDTF9GV0QCAAAABklRX05UTQQ2MDAwAwAAAAoiOC8zLzIwMTIiCDgvMy8yMDEyAAAAAAQAAAAAAAAADyJOYXNkYXFHUzpJTlRDIg1OYXNkYXFHUzpJTlRDAQAAABAiSVFfUEVfRVhDTF9GV0QiDklRX1BFX0VYQ0xfRldEAgAA</t>
  </si>
  <si>
    <t>AAZJUV9OVE0ENjAwMAMAAAALIjcvMjcvMjAxMiIJNy8yNy8yMDEyAAAAAAQAAAAAAAAADyJOYXNkYXFHUzpJTlRDIg1OYXNkYXFHUzpJTlRDAQAAABAiSVFfUEVfRVhDTF9GV0QiDklRX1BFX0VYQ0xfRldEAgAAAAZJUV9OVE0ENjAwMAMAAAALIjcvMjAvMjAxMiIJNy8yMC8yMDEyAAAAAAQAAAAAAAAADyJOYXNkYXFHUzpJTlRDIg1OYXNkYXFHUzpJTlRDAQAAABAiSVFfUEVfRVhDTF9GV0QiDklRX1BFX0VYQ0xfRldEAgAAAAZJUV9OVE0ENjAwMAMAAAALIjcvMTMvMjAxMiIJNy8xMy8yMDEyAAAAAAQAAAAAAAAADyJOYXNkYXFHUzpJTlRDIg1OYXNkYXFHUzpJTlRDAQAAABAiSVFfUEVfRVhDTF9GV0QiDklRX1BFX0VYQ0xfRldEAgAAAAZJUV9OVE0ENjAwMAMAAAAKIjcvNi8yMDEyIgg3LzYvMjAxMgAAAAAEAAAAAAAAAA8iTmFzZGFxR1M6SU5UQyINTmFzZGFxR1M6SU5UQwEAAAAQIklRX1BFX0VYQ0xfRldEIg5JUV9QRV9FWENMX0ZXRAIAAAAGSVFfTlRNBDYwMDADAAAACyI2LzI5LzIwMTIiCTYvMjkvMjAxMgAAAAAEAAAAAAAAAA8iTmFzZGFxR1M6SU5UQyINTmFzZGFxR1M6SU5UQwEAAAAQIklRX1BFX0VYQ0xfRldEIg5JUV9QRV9FWENMX0ZXRAIAAAAGSVFfTlRNBDYwMDADAAAACyI2LzIyLzIwMTIiCTYvMjIvMjAxMgAAAAAEAAAAAAAAAA8iTmFzZGFxR1M6SU5UQyINTmFzZGFxR1M6SU5UQwEA</t>
  </si>
  <si>
    <t>AAAQIklRX1BFX0VYQ0xfRldEIg5JUV9QRV9FWENMX0ZXRAIAAAAGSVFfTlRNBDYwMDADAAAACyI2LzE1LzIwMTIiCTYvMTUvMjAxMgAAAAAEAAAAAAAAAA8iTmFzZGFxR1M6SU5UQyINTmFzZGFxR1M6SU5UQwEAAAAQIklRX1BFX0VYQ0xfRldEIg5JUV9QRV9FWENMX0ZXRAIAAAAGSVFfTlRNBDYwMDADAAAACiI2LzgvMjAxMiIINi84LzIwMTIAAAAABAAAAAAAAAAPIk5hc2RhcUdTOklOVEMiDU5hc2RhcUdTOklOVEMBAAAAECJJUV9QRV9FWENMX0ZXRCIOSVFfUEVfRVhDTF9GV0QCAAAABklRX05UTQQ2MDAwAwAAAAoiNi8xLzIwMTIiCDYvMS8yMDEyAAAAAAQAAAAAAAAADyJOYXNkYXFHUzpJTlRDIg1OYXNkYXFHUzpJTlRDAQAAABAiSVFfUEVfRVhDTF9GV0QiDklRX1BFX0VYQ0xfRldEAgAAAAZJUV9OVE0ENjAwMAMAAAALIjUvMjUvMjAxMiIJNS8yNS8yMDEyAAAAAAQAAAAAAAAADyJOYXNkYXFHUzpJTlRDIg1OYXNkYXFHUzpJTlRDAQAAABAiSVFfUEVfRVhDTF9GV0QiDklRX1BFX0VYQ0xfRldEAgAAAAZJUV9OVE0ENjAwMAMAAAALIjUvMTgvMjAxMiIJNS8xOC8yMDEyAAAAAAQAAAAAAAAADyJOYXNkYXFHUzpJTlRDIg1OYXNkYXFHUzpJTlRDAQAAABAiSVFfUEVfRVhDTF9GV0QiDklRX1BFX0VYQ0xfRldEAgAAAAZJUV9OVE0ENjAwMAMAAAALIjUvMTEvMjAxMiIJNS8xMS8yMDEyAAAAAAQAAAAA</t>
  </si>
  <si>
    <t>AAAADyJOYXNkYXFHUzpJTlRDIg1OYXNkYXFHUzpJTlRDAQAAABAiSVFfUEVfRVhDTF9GV0QiDklRX1BFX0VYQ0xfRldEAgAAAAZJUV9OVE0ENjAwMAMAAAAKIjUvNC8yMDEyIgg1LzQvMjAxMgAAAAAEAAAAAAAAAA8iTmFzZGFxR1M6SU5UQyINTmFzZGFxR1M6SU5UQwEAAAAQIklRX1BFX0VYQ0xfRldEIg5JUV9QRV9FWENMX0ZXRAIAAAAGSVFfTlRNBDYwMDADAAAACyI0LzI3LzIwMTIiCTQvMjcvMjAxMgAAAAAEAAAAAAAAAA8iTmFzZGFxR1M6SU5UQyINTmFzZGFxR1M6SU5UQwEAAAAQIklRX1BFX0VYQ0xfRldEIg5JUV9QRV9FWENMX0ZXRAIAAAAGSVFfTlRNBDYwMDADAAAACyI0LzIwLzIwMTIiCTQvMjAvMjAxMgAAAAAEAAAAAAAAAA8iTmFzZGFxR1M6SU5UQyINTmFzZGFxR1M6SU5UQwEAAAAQIklRX1BFX0VYQ0xfRldEIg5JUV9QRV9FWENMX0ZXRAIAAAAGSVFfTlRNBDYwMDADAAAACyI0LzEzLzIwMTIiCTQvMTMvMjAxMgAAAAAEAAAAAAAAAA8iTmFzZGFxR1M6SU5UQyINTmFzZGFxR1M6SU5UQwEAAAAQIklRX1BFX0VYQ0xfRldEIg5JUV9QRV9FWENMX0ZXRAIAAAAGSVFfTlRNBDYwMDADAAAACiI0LzUvMjAxMiIINC81LzIwMTIAAAAABAAAAAAAAAAPIk5hc2RhcUdTOklOVEMiDU5hc2RhcUdTOklOVEMBAAAAECJJUV9QRV9FWENMX0ZXRCIOSVFfUEVfRVhDTF9GV0QCAAAABklRX05UTQQ2MDAw</t>
  </si>
  <si>
    <t>AwAAAAsiMy8zMC8yMDEyIgkzLzMwLzIwMTIAAAAABAAAAAAAAAAPIk5hc2RhcUdTOklOVEMiDU5hc2RhcUdTOklOVEMBAAAAECJJUV9QRV9FWENMX0ZXRCIOSVFfUEVfRVhDTF9GV0QCAAAABklRX05UTQQ2MDAwAwAAAAsiMy8yMy8yMDEyIgkzLzIzLzIwMTIAAAAABAAAAAAAAAAPIk5hc2RhcUdTOklOVEMiDU5hc2RhcUdTOklOVEMBAAAAECJJUV9QRV9FWENMX0ZXRCIOSVFfUEVfRVhDTF9GV0QCAAAABklRX05UTQQ2MDAwAwAAAAsiMy8xNi8yMDEyIgkzLzE2LzIwMTIAAAAABAAAAAAAAAAPIk5hc2RhcUdTOklOVEMiDU5hc2RhcUdTOklOVEMBAAAAECJJUV9QRV9FWENMX0ZXRCIOSVFfUEVfRVhDTF9GV0QCAAAABklRX05UTQQ2MDAwAwAAAAoiMy85LzIwMTIiCDMvOS8yMDEyAAAAAAQAAAAAAAAADyJOYXNkYXFHUzpJTlRDIg1OYXNkYXFHUzpJTlRDAQAAABAiSVFfUEVfRVhDTF9GV0QiDklRX1BFX0VYQ0xfRldEAgAAAAZJUV9OVE0ENjAwMAMAAAAKIjMvMi8yMDEyIggzLzIvMjAxMgAAAAAEAAAAAAAAAA8iTmFzZGFxR1M6SU5UQyINTmFzZGFxR1M6SU5UQwEAAAAQIklRX1BFX0VYQ0xfRldEIg5JUV9QRV9FWENMX0ZXRAIAAAAGSVFfTlRNBDYwMDADAAAACyIyLzI0LzIwMTIiCTIvMjQvMjAxMgAAAAAEAAAAAAAAAA8iTmFzZGFxR1M6SU5UQyINTmFzZGFxR1M6SU5UQwEAAAAQIklRX1BFX0VYQ0xf</t>
  </si>
  <si>
    <t>RldEIg5JUV9QRV9FWENMX0ZXRAIAAAAGSVFfTlRNBDYwMDADAAAACyIyLzE3LzIwMTIiCTIvMTcvMjAxMgAAAAAEAAAAAAAAAA8iTmFzZGFxR1M6SU5UQyINTmFzZGFxR1M6SU5UQwEAAAAQIklRX1BFX0VYQ0xfRldEIg5JUV9QRV9FWENMX0ZXRAIAAAAGSVFfTlRNBDYwMDADAAAACyIyLzEwLzIwMTIiCTIvMTAvMjAxMgAAAAAEAAAAAAAAAA8iTmFzZGFxR1M6SU5UQyINTmFzZGFxR1M6SU5UQwEAAAAQIklRX1BFX0VYQ0xfRldEIg5JUV9QRV9FWENMX0ZXRAIAAAAGSVFfTlRNBDYwMDADAAAACiIyLzMvMjAxMiIIMi8zLzIwMTIAAAAABAAAAAAAAAAPIk5hc2RhcUdTOklOVEMiDU5hc2RhcUdTOklOVEMBAAAAECJJUV9QRV9FWENMX0ZXRCIOSVFfUEVfRVhDTF9GV0QCAAAABklRX05UTQQ2MDAwAwAAAAsiMS8yNy8yMDEyIgkxLzI3LzIwMTIAAAAABAAAAAAAAAAPIk5hc2RhcUdTOklOVEMiDU5hc2RhcUdTOklOVEMBAAAAECJJUV9QRV9FWENMX0ZXRCIOSVFfUEVfRVhDTF9GV0QCAAAABklRX05UTQQ2MDAwAwAAAAsiMS8yMC8yMDEyIgkxLzIwLzIwMTIAAAAABAAAAAAAAAAPIk5hc2RhcUdTOklOVEMiDU5hc2RhcUdTOklOVEMBAAAAECJJUV9QRV9FWENMX0ZXRCIOSVFfUEVfRVhDTF9GV0QCAAAABklRX05UTQQ2MDAwAwAAAAsiMS8xMy8yMDEyIgkxLzEzLzIwMTIAAAAABAAAAAAAAAAPIk5hc2RhcUdT</t>
  </si>
  <si>
    <t>OklOVEMiDU5hc2RhcUdTOklOVEMBAAAAECJJUV9QRV9FWENMX0ZXRCIOSVFfUEVfRVhDTF9GV0QCAAAABklRX05UTQQ2MDAwAwAAAAoiMS82LzIwMTIiCDEvNi8yMDEyAAAAAAQAAAAAAAAADyJOYXNkYXFHUzpJTlRDIg1OYXNkYXFHUzpJTlRDAQAAABAiSVFfUEVfRVhDTF9GV0QiDklRX1BFX0VYQ0xfRldEAgAAAAZJUV9OVE0ENjAwMAMAAAAMIjEyLzMwLzIwMTEiCjEyLzMwLzIwMTEAAAAABAAAAAAAAAAPIk5hc2RhcUdTOklOVEMiDU5hc2RhcUdTOklOVEMBAAAAECJJUV9QRV9FWENMX0ZXRCIOSVFfUEVfRVhDTF9GV0QCAAAABklRX05UTQQ2MDAwAwAAAAwiMTIvMjMvMjAxMSIKMTIvMjMvMjAxMQAAAAAEAAAAAAAAAA8iTmFzZGFxR1M6SU5UQyINTmFzZGFxR1M6SU5UQwEAAAAQIklRX1BFX0VYQ0xfRldEIg5JUV9QRV9FWENMX0ZXRAIAAAAGSVFfTlRNBDYwMDADAAAADCIxMi8xNi8yMDExIgoxMi8xNi8yMDExAAAAAAQAAAAAAAAADyJOYXNkYXFHUzpJTlRDIg1OYXNkYXFHUzpJTlRDAQAAABAiSVFfUEVfRVhDTF9GV0QiDklRX1BFX0VYQ0xfRldEAgAAAAZJUV9OVE0ENjAwMAMAAAALIjEyLzkvMjAxMSIJMTIvOS8yMDExAAAAAAQAAAAAAAAADyJOYXNkYXFHUzpJTlRDIg1OYXNkYXFHUzpJTlRDAQAAABAiSVFfUEVfRVhDTF9GV0QiDklRX1BFX0VYQ0xfRldEAgAAAAZJUV9OVE0ENjAwMAMAAAAL</t>
  </si>
  <si>
    <t>IjEyLzIvMjAxMSIJMTIvMi8yMDExAAAAAAQAAAAAAAAADyJOYXNkYXFHUzpJTlRDIg1OYXNkYXFHUzpJTlRDAQAAABAiSVFfUEVfRVhDTF9GV0QiDklRX1BFX0VYQ0xfRldEAgAAAAZJUV9OVE0ENjAwMAMAAAAMIjExLzI1LzIwMTEiCjExLzI1LzIwMTEAAAAABAAAAAAAAAAPIk5hc2RhcUdTOklOVEMiDU5hc2RhcUdTOklOVEMBAAAAECJJUV9QRV9FWENMX0ZXRCIOSVFfUEVfRVhDTF9GV0QCAAAABklRX05UTQQ2MDAwAwAAAAwiMTEvMTgvMjAxMSIKMTEvMTgvMjAxMQAAAAAEAAAAAAAAAA8iTmFzZGFxR1M6SU5UQyINTmFzZGFxR1M6SU5UQwEAAAAQIklRX1BFX0VYQ0xfRldEIg5JUV9QRV9FWENMX0ZXRAIAAAAGSVFfTlRNBDYwMDADAAAADCIxMS8xMS8yMDExIgoxMS8xMS8yMDExAAAAAAQAAAAAAAAADyJOYXNkYXFHUzpJTlRDIg1OYXNkYXFHUzpJTlRDAQAAABAiSVFfUEVfRVhDTF9GV0QiDklRX1BFX0VYQ0xfRldEAgAAAAZJUV9OVE0ENjAwMAMAAAALIjExLzQvMjAxMSIJMTEvNC8yMDExAAAAAAQAAAAAAAAADyJOYXNkYXFHUzpJTlRDIg1OYXNkYXFHUzpJTlRDAQAAABAiSVFfUEVfRVhDTF9GV0QiDklRX1BFX0VYQ0xfRldEAgAAAAZJUV9OVE0ENjAwMAMAAAAMIjEwLzI4LzIwMTEiCjEwLzI4LzIwMTEAAAAABAAAAAAAAAAPIk5hc2RhcUdTOklOVEMiDU5hc2RhcUdTOklOVEMBAAAAECJJUV9Q</t>
  </si>
  <si>
    <t>RV9FWENMX0ZXRCIOSVFfUEVfRVhDTF9GV0QCAAAABklRX05UTQQ2MDAwAwAAAAwiMTAvMjEvMjAxMSIKMTAvMjEvMjAxMQAAAAAEAAAAAAAAAA8iTmFzZGFxR1M6SU5UQyINTmFzZGFxR1M6SU5UQwEAAAAQIklRX1BFX0VYQ0xfRldEIg5JUV9QRV9FWENMX0ZXRAIAAAAGSVFfTlRNBDYwMDADAAAADCIxMC8xNC8yMDExIgoxMC8xNC8yMDExAAAAAAQAAAAAAAAADyJOYXNkYXFHUzpJTlRDIg1OYXNkYXFHUzpJTlRDAQAAABAiSVFfUEVfRVhDTF9GV0QiDklRX1BFX0VYQ0xfRldEAgAAAAZJUV9OVE0ENjAwMAMAAAALIjEwLzcvMjAxMSIJMTAvNy8yMDExAAAAAAQAAAAAAAAADyJOYXNkYXFHUzpJTlRDIg1OYXNkYXFHUzpJTlRDAQAAABAiSVFfUEVfRVhDTF9GV0QiDklRX1BFX0VYQ0xfRldEAgAAAAZJUV9OVE0ENjAwMAMAAAALIjkvMzAvMjAxMSIJOS8zMC8yMDExAAAAAAQAAAAAAAAADyJOYXNkYXFHUzpJTlRDIg1OYXNkYXFHUzpJTlRDAQAAABAiSVFfUEVfRVhDTF9GV0QiDklRX1BFX0VYQ0xfRldEAgAAAAZJUV9OVE0ENjAwMAMAAAALIjkvMjMvMjAxMSIJOS8yMy8yMDExAAAAAAQAAAAAAAAADyJOYXNkYXFHUzpJTlRDIg1OYXNkYXFHUzpJTlRDAQAAABAiSVFfUEVfRVhDTF9GV0QiDklRX1BFX0VYQ0xfRldEAgAAAAZJUV9OVE0ENjAwMAMAAAALIjkvMTYvMjAxMSIJOS8xNi8yMDExAAAAAAQAAAAA</t>
  </si>
  <si>
    <t>AAAADyJOYXNkYXFHUzpJTlRDIg1OYXNkYXFHUzpJTlRDAQAAABAiSVFfUEVfRVhDTF9GV0QiDklRX1BFX0VYQ0xfRldEAgAAAAZJUV9OVE0ENjAwMAMAAAAKIjkvOS8yMDExIgg5LzkvMjAxMQAAAAAEAAAAAAAAAA8iTmFzZGFxR1M6SU5UQyINTmFzZGFxR1M6SU5UQwEAAAAQIklRX1BFX0VYQ0xfRldEIg5JUV9QRV9FWENMX0ZXRAIAAAAGSVFfTlRNBDYwMDADAAAACiI5LzIvMjAxMSIIOS8yLzIwMTEAAAAABAAAAAAAAAAPIk5hc2RhcUdTOklOVEMiDU5hc2RhcUdTOklOVEMBAAAAECJJUV9QRV9FWENMX0ZXRCIOSVFfUEVfRVhDTF9GV0QCAAAABklRX05UTQQ2MDAwAwAAAAsiOC8yNi8yMDExIgk4LzI2LzIwMTEAAAAABAAAAAAAAAAPIk5hc2RhcUdTOklOVEMiDU5hc2RhcUdTOklOVEMBAAAAECJJUV9QRV9FWENMX0ZXRCIOSVFfUEVfRVhDTF9GV0QCAAAABklRX05UTQQ2MDAwAwAAAAsiOC8xOS8yMDExIgk4LzE5LzIwMTEAAAAABAAAAAAAAAAPIk5hc2RhcUdTOklOVEMiDU5hc2RhcUdTOklOVEMBAAAAECJJUV9QRV9FWENMX0ZXRCIOSVFfUEVfRVhDTF9GV0QCAAAABklRX05UTQQ2MDAwAwAAAAsiOC8xMi8yMDExIgk4LzEyLzIwMTEAAAAABAAAAAAAAAAPIk5hc2RhcUdTOklOVEMiDU5hc2RhcUdTOklOVEMBAAAAECJJUV9QRV9FWENMX0ZXRCIOSVFfUEVfRVhDTF9GV0QCAAAABklRX05UTQQ2MDAw</t>
  </si>
  <si>
    <t>AwAAAAoiOC81LzIwMTEiCDgvNS8yMDExAAAAAAQAAAAAAAAADyJOYXNkYXFHUzpJTlRDIg1OYXNkYXFHUzpJTlRDAQAAABAiSVFfUEVfRVhDTF9GV0QiDklRX1BFX0VYQ0xfRldEAgAAAAZJUV9OVE0ENjAwMAMAAAALIjcvMjkvMjAxMSIJNy8yOS8yMDExAAAAAAQAAAAAAAAADyJOYXNkYXFHUzpJTlRDIg1OYXNkYXFHUzpJTlRDAQAAABAiSVFfUEVfRVhDTF9GV0QiDklRX1BFX0VYQ0xfRldEAgAAAAZJUV9OVE0ENjAwMAMAAAALIjcvMjIvMjAxMSIJNy8yMi8yMDExAAAAAAQAAAAAAAAADyJOYXNkYXFHUzpJTlRDIg1OYXNkYXFHUzpJTlRDAQAAABAiSVFfUEVfRVhDTF9GV0QiDklRX1BFX0VYQ0xfRldEAgAAAAZJUV9OVE0ENjAwMAMAAAALIjcvMTUvMjAxMSIJNy8xNS8yMDExAAAAAAQAAAAAAAAADyJOYXNkYXFHUzpJTlRDIg1OYXNkYXFHUzpJTlRDAQAAABAiSVFfUEVfRVhDTF9GV0QiDklRX1BFX0VYQ0xfRldEAgAAAAZJUV9OVE0ENjAwMAMAAAAKIjcvOC8yMDExIgg3LzgvMjAxMQAAAAAEAAAAAAAAAA8iTmFzZGFxR1M6SU5UQyINTmFzZGFxR1M6SU5UQwEAAAAQIklRX1BFX0VYQ0xfRldEIg5JUV9QRV9FWENMX0ZXRAIAAAAGSVFfTlRNBDYwMDADAAAACiI3LzEvMjAxMSIINy8xLzIwMTEAAAAABAAAAAAAAAAPIk5hc2RhcUdTOklOVEMiDU5hc2RhcUdTOklOVEMBAAAAECJJUV9QRV9FWENMX0ZX</t>
  </si>
  <si>
    <t>RCIOSVFfUEVfRVhDTF9GV0QCAAAABklRX05UTQQ2MDAwAwAAAAsiNi8yNC8yMDExIgk2LzI0LzIwMTEAAAAABAAAAAAAAAAPIk5hc2RhcUdTOklOVEMiDU5hc2RhcUdTOklOVEMBAAAAECJJUV9QRV9FWENMX0ZXRCIOSVFfUEVfRVhDTF9GV0QCAAAABklRX05UTQQ2MDAwAwAAAAsiNi8xNy8yMDExIgk2LzE3LzIwMTEAAAAABAAAAAAAAAAPIk5hc2RhcUdTOklOVEMiDU5hc2RhcUdTOklOVEMBAAAAECJJUV9QRV9FWENMX0ZXRCIOSVFfUEVfRVhDTF9GV0QCAAAABklRX05UTQQ2MDAwAwAAAAsiNi8xMC8yMDExIgk2LzEwLzIwMTEAAAAABAAAAAAAAAAPIk5hc2RhcUdTOklOVEMiDU5hc2RhcUdTOklOVEMBAAAAECJJUV9QRV9FWENMX0ZXRCIOSVFfUEVfRVhDTF9GV0QCAAAABklRX05UTQQ2MDAwAwAAAAoiNi8zLzIwMTEiCDYvMy8yMDExAAAAAAQAAAAAAAAADyJOYXNkYXFHUzpJTlRDIg1OYXNkYXFHUzpJTlRDAQAAABAiSVFfUEVfRVhDTF9GV0QiDklRX1BFX0VYQ0xfRldEAgAAAAZJUV9OVE0ENjAwMAMAAAALIjUvMjcvMjAxMSIJNS8yNy8yMDExAAAAAAQAAAAAAAAADyJOYXNkYXFHUzpJTlRDIg1OYXNkYXFHUzpJTlRDAQAAABAiSVFfUEVfRVhDTF9GV0QiDklRX1BFX0VYQ0xfRldEAgAAAAZJUV9OVE0ENjAwMAMAAAALIjUvMjAvMjAxMSIJNS8yMC8yMDExAAAAAAQAAAAAAAAADyJOYXNkYXFHUzpJ</t>
  </si>
  <si>
    <t>TlRDIg1OYXNkYXFHUzpJTlRDAQAAABAiSVFfUEVfRVhDTF9GV0QiDklRX1BFX0VYQ0xfRldEAgAAAAZJUV9OVE0ENjAwMAMAAAALIjUvMTMvMjAxMSIJNS8xMy8yMDExAAAAAAQAAAAAAAAADyJOYXNkYXFHUzpJTlRDIg1OYXNkYXFHUzpJTlRDAQAAABAiSVFfUEVfRVhDTF9GV0QiDklRX1BFX0VYQ0xfRldEAgAAAAZJUV9OVE0ENjAwMAMAAAAKIjUvNi8yMDExIgg1LzYvMjAxMQAAAAAEAAAAAAAAAA8iTmFzZGFxR1M6SU5UQyINTmFzZGFxR1M6SU5UQwEAAAAQIklRX1BFX0VYQ0xfRldEIg5JUV9QRV9FWENMX0ZXRAIAAAAGSVFfTlRNBDYwMDADAAAACyI0LzI5LzIwMTEiCTQvMjkvMjAxMQAAAAAEAAAAAAAAAA8iTmFzZGFxR1M6SU5UQyINTmFzZGFxR1M6SU5UQwEAAAAQIklRX1BFX0VYQ0xfRldEIg5JUV9QRV9FWENMX0ZXRAIAAAAGSVFfTlRNBDYwMDADAAAACyI0LzIxLzIwMTEiCTQvMjEvMjAxMQAAAAAEAAAAAAAAAA8iTmFzZGFxR1M6SU5UQyINTmFzZGFxR1M6SU5UQwEAAAAQIklRX1BFX0VYQ0xfRldEIg5JUV9QRV9FWENMX0ZXRAIAAAAGSVFfTlRNBDYwMDADAAAACyI0LzE1LzIwMTEiCTQvMTUvMjAxMQAAAAAEAAAAAAAAAA8iTmFzZGFxR1M6SU5UQyINTmFzZGFxR1M6SU5UQwEAAAAQIklRX1BFX0VYQ0xfRldEIg5JUV9QRV9FWENMX0ZXRAIAAAAGSVFfTlRNBDYwMDADAAAACiI0LzgvMjAx</t>
  </si>
  <si>
    <t>MSIINC84LzIwMTEAAAAABAAAAAAAAAAPIk5hc2RhcUdTOklOVEMiDU5hc2RhcUdTOklOVEMBAAAAECJJUV9QRV9FWENMX0ZXRCIOSVFfUEVfRVhDTF9GV0QCAAAABklRX05UTQQ2MDAwAwAAAAoiNC8xLzIwMTEiCDQvMS8yMDExAAAAAAQAAAAAAAAADyJOYXNkYXFHUzpJTlRDIg1OYXNkYXFHUzpJTlRDAQAAABAiSVFfUEVfRVhDTF9GV0QiDklRX1BFX0VYQ0xfRldEAgAAAAZJUV9OVE0ENjAwMAMAAAALIjMvMjUvMjAxMSIJMy8yNS8yMDExAAAAAAQAAAAAAAAADyJOYXNkYXFHUzpJTlRDIg1OYXNkYXFHUzpJTlRDAQAAABAiSVFfUEVfRVhDTF9GV0QiDklRX1BFX0VYQ0xfRldEAgAAAAZJUV9OVE0ENjAwMAMAAAALIjMvMTgvMjAxMSIJMy8xOC8yMDExAAAAAAQAAAAAAAAADyJOYXNkYXFHUzpJTlRDIg1OYXNkYXFHUzpJTlRDAQAAABAiSVFfUEVfRVhDTF9GV0QiDklRX1BFX0VYQ0xfRldEAgAAAAZJUV9OVE0ENjAwMAMAAAALIjMvMTEvMjAxMSIJMy8xMS8yMDExAAAAAAQAAAAAAAAADyJOYXNkYXFHUzpJTlRDIg1OYXNkYXFHUzpJTlRDAQAAABAiSVFfUEVfRVhDTF9GV0QiDklRX1BFX0VYQ0xfRldEAgAAAAZJUV9OVE0ENjAwMAMAAAAKIjMvNC8yMDExIggzLzQvMjAxMQAAAAAEAAAAAAAAAA8iTmFzZGFxR1M6SU5UQyINTmFzZGFxR1M6SU5UQwEAAAAQIklRX1BFX0VYQ0xfRldEIg5JUV9QRV9FWENM</t>
  </si>
  <si>
    <t>X0ZXRAIAAAAGSVFfTlRNBDYwMDADAAAACyIyLzI1LzIwMTEiCTIvMjUvMjAxMQAAAAAEAAAAAAAAAA8iTmFzZGFxR1M6SU5UQyINTmFzZGFxR1M6SU5UQwEAAAAQIklRX1BFX0VYQ0xfRldEIg5JUV9QRV9FWENMX0ZXRAIAAAAGSVFfTlRNBDYwMDADAAAACyIyLzE4LzIwMTEiCTIvMTgvMjAxMQAAAAAEAAAAAAAAAA8iTmFzZGFxR1M6SU5UQyINTmFzZGFxR1M6SU5UQwEAAAAQIklRX1BFX0VYQ0xfRldEIg5JUV9QRV9FWENMX0ZXRAIAAAAGSVFfTlRNBDYwMDADAAAACyIyLzExLzIwMTEiCTIvMTEvMjAxMQAAAAAEAAAAAAAAAA8iTmFzZGFxR1M6SU5UQyINTmFzZGFxR1M6SU5UQwEAAAAQIklRX1BFX0VYQ0xfRldEIg5JUV9QRV9FWENMX0ZXRAIAAAAGSVFfTlRNBDYwMDADAAAACiIyLzQvMjAxMSIIMi80LzIwMTEAAAAABAAAAAAAAAAPIk5hc2RhcUdTOklOVEMiDU5hc2RhcUdTOklOVEMBAAAAECJJUV9QRV9FWENMX0ZXRCIOSVFfUEVfRVhDTF9GV0QCAAAABklRX05UTQQ2MDAwAwAAAAsiMS8yOC8yMDExIgkxLzI4LzIwMTEAAAAABAAAAAAAAAAPIk5hc2RhcUdTOklOVEMiDU5hc2RhcUdTOklOVEMBAAAAECJJUV9QRV9FWENMX0ZXRCIOSVFfUEVfRVhDTF9GV0QCAAAABklRX05UTQQ2MDAwAwAAAAsiMS8yMS8yMDExIgkxLzIxLzIwMTEAAAAABAAAAAAAAAAPIk5hc2RhcUdTOklOVEMiDU5hc2RhcUdT</t>
  </si>
  <si>
    <t>OklOVEMBAAAAECJJUV9QRV9FWENMX0ZXRCIOSVFfUEVfRVhDTF9GV0QCAAAABklRX05UTQQ2MDAwAwAAAAsiMS8xNC8yMDExIgkxLzE0LzIwMTEAAAAABAAAAAAAAAAPIk5hc2RhcUdTOklOVEMiDU5hc2RhcUdTOklOVEMBAAAAECJJUV9QRV9FWENMX0ZXRCIOSVFfUEVfRVhDTF9GV0QCAAAABklRX05UTQQ2MDAwAwAAAAoiMS83LzIwMTEiCDEvNy8yMDExAAAAAAQAAAAAAAAADyJOYXNkYXFHUzpJTlRDIg1OYXNkYXFHUzpJTlRDAQAAABAiSVFfUEVfRVhDTF9GV0QiDklRX1BFX0VYQ0xfRldEAgAAAAZJUV9OVE0ENjAwMAMAAAAMIjEyLzMxLzIwMTAiCjEyLzMxLzIwMTAAAAAABAAAAAAAAAAPIk5hc2RhcUdTOklOVEMiDU5hc2RhcUdTOklOVEMBAAAAECJJUV9QRV9FWENMX0ZXRCIOSVFfUEVfRVhDTF9GV0QCAAAABklRX05UTQQ2MDAwAwAAAAwiMTIvMjMvMjAxMCIKMTIvMjMvMjAxMAAAAAAEAAAAAAAAAA8iTmFzZGFxR1M6SU5UQyINTmFzZGFxR1M6SU5UQwEAAAAQIklRX1BFX0VYQ0xfRldEIg5JUV9QRV9FWENMX0ZXRAIAAAAGSVFfTlRNBDYwMDADAAAADCIxMi8xNy8yMDEwIgoxMi8xNy8yMDEwAAAAAAQAAAAAAAAADyJOYXNkYXFHUzpJTlRDIg1OYXNkYXFHUzpJTlRDAQAAABAiSVFfUEVfRVhDTF9GV0QiDklRX1BFX0VYQ0xfRldEAgAAAAZJUV9OVE0ENjAwMAMAAAAMIjEyLzEwLzIwMTAiCjEy</t>
  </si>
  <si>
    <t>LzEwLzIwMTAAAAAABAAAAAAAAAAPIk5hc2RhcUdTOklOVEMiDU5hc2RhcUdTOklOVEMBAAAAECJJUV9QRV9FWENMX0ZXRCIOSVFfUEVfRVhDTF9GV0QCAAAABklRX05UTQQ2MDAwAwAAAAsiMTIvMy8yMDEwIgkxMi8zLzIwMTAAAAAABAAAAAAAAAAPIk5hc2RhcUdTOklOVEMiDU5hc2RhcUdTOklOVEMBAAAAECJJUV9QRV9FWENMX0ZXRCIOSVFfUEVfRVhDTF9GV0QCAAAABklRX05UTQQ2MDAwAwAAAAwiMTEvMjYvMjAxMCIKMTEvMjYvMjAxMAAAAAAEAAAAAAAAAA8iTmFzZGFxR1M6SU5UQyINTmFzZGFxR1M6SU5UQwEAAAAQIklRX1BFX0VYQ0xfRldEIg5JUV9QRV9FWENMX0ZXRAIAAAAGSVFfTlRNBDYwMDADAAAADCIxMS8xOS8yMDEwIgoxMS8xOS8yMDEwAAAAAAQAAAAAAAAADyJOYXNkYXFHUzpJTlRDIg1OYXNkYXFHUzpJTlRDAQAAABAiSVFfUEVfRVhDTF9GV0QiDklRX1BFX0VYQ0xfRldEAgAAAAZJUV9OVE0ENjAwMAMAAAAMIjExLzEyLzIwMTAiCjExLzEyLzIwMTAAAAAABAAAAAAAAAAPIk5hc2RhcUdTOklOVEMiDU5hc2RhcUdTOklOVEMBAAAAECJJUV9QRV9FWENMX0ZXRCIOSVFfUEVfRVhDTF9GV0QCAAAABklRX05UTQQ2MDAwAwAAAAsiMTEvNS8yMDEwIgkxMS81LzIwMTAAAAAABAAAAAAAAAAPIk5hc2RhcUdTOklOVEMiDU5hc2RhcUdTOklOVEMBAAAAECJJUV9QRV9FWENMX0ZXRCIOSVFf</t>
  </si>
  <si>
    <t>UEVfRVhDTF9GV0QCAAAABklRX05UTQQ2MDAwAwAAAAwiMTAvMjkvMjAxMCIKMTAvMjkvMjAxMAAAAAAEAAAAAAAAAA8iTmFzZGFxR1M6SU5UQyINTmFzZGFxR1M6SU5UQwEAAAAQIklRX1BFX0VYQ0xfRldEIg5JUV9QRV9FWENMX0ZXRAIAAAAGSVFfTlRNBDYwMDADAAAADCIxMC8yMi8yMDEwIgoxMC8yMi8yMDEwAAAAAAQAAAAAAAAADyJOYXNkYXFHUzpJTlRDIg1OYXNkYXFHUzpJTlRDAQAAABAiSVFfUEVfRVhDTF9GV0QiDklRX1BFX0VYQ0xfRldEAgAAAAZJUV9OVE0ENjAwMAMAAAAMIjEwLzE1LzIwMTAiCjEwLzE1LzIwMTAAAAAABAAAAAAAAAAPIk5hc2RhcUdTOklOVEMiDU5hc2RhcUdTOklOVEMBAAAAECJJUV9QRV9FWENMX0ZXRCIOSVFfUEVfRVhDTF9GV0QCAAAABklRX05UTQQ2MDAwAwAAAAsiMTAvOC8yMDEwIgkxMC84LzIwMTAAAAAABAAAAAAAAAAPIk5hc2RhcUdTOklOVEMiDU5hc2RhcUdTOklOVEMBAAAAECJJUV9QRV9FWENMX0ZXRCIOSVFfUEVfRVhDTF9GV0QCAAAABklRX05UTQQ2MDAwAwAAAAsiMTAvMS8yMDEwIgkxMC8xLzIwMTAAAAAABAAAAAAAAAAPIk5hc2RhcUdTOklOVEMiDU5hc2RhcUdTOklOVEMBAAAAECJJUV9QRV9FWENMX0ZXRCIOSVFfUEVfRVhDTF9GV0QCAAAABklRX05UTQQ2MDAwAwAAAAsiOS8yNC8yMDEwIgk5LzI0LzIwMTAAAAAABAAAAAAAAAAPIk5hc2RhcUdT</t>
  </si>
  <si>
    <t>OklOVEMiDU5hc2RhcUdTOklOVEMBAAAAECJJUV9QRV9FWENMX0ZXRCIOSVFfUEVfRVhDTF9GV0QCAAAABklRX05UTQQ2MDAwAwAAAAsiOS8xNy8yMDEwIgk5LzE3LzIwMTAAAAAABAAAAAAAAAAPIk5hc2RhcUdTOklOVEMiDU5hc2RhcUdTOklOVEMBAAAAECJJUV9QRV9FWENMX0ZXRCIOSVFfUEVfRVhDTF9GV0QCAAAABklRX05UTQQ2MDAwAwAAAAsiOS8xMC8yMDEwIgk5LzEwLzIwMTAAAAAABAAAAAAAAAAPIk5hc2RhcUdTOklOVEMiDU5hc2RhcUdTOklOVEMBAAAAECJJUV9QRV9FWENMX0ZXRCIOSVFfUEVfRVhDTF9GV0QCAAAABklRX05UTQQ2MDAwAwAAAAoiOS8zLzIwMTAiCDkvMy8yMDEwAAAAAAQAAAAAAAAADyJOYXNkYXFHUzpJTlRDIg1OYXNkYXFHUzpJTlRDAQAAABAiSVFfUEVfRVhDTF9GV0QiDklRX1BFX0VYQ0xfRldEAgAAAAZJUV9OVE0ENjAwMAMAAAALIjgvMjcvMjAxMCIJOC8yNy8yMDEwAAAAAAQAAAAAAAAADyJOYXNkYXFHUzpJTlRDIg1OYXNkYXFHUzpJTlRDAQAAABAiSVFfUEVfRVhDTF9GV0QiDklRX1BFX0VYQ0xfRldEAgAAAAZJUV9OVE0ENjAwMAMAAAALIjgvMjAvMjAxMCIJOC8yMC8yMDEwAAAAAAQAAAAAAAAADyJOYXNkYXFHUzpJTlRDIg1OYXNkYXFHUzpJTlRDAQAAABAiSVFfUEVfRVhDTF9GV0QiDklRX1BFX0VYQ0xfRldEAgAAAAZJUV9OVE0ENjAwMAMAAAALIjgvMTMv</t>
  </si>
  <si>
    <t>MjAxMCIJOC8xMy8yMDEwAAAAAAQAAAAAAAAADyJOYXNkYXFHUzpJTlRDIg1OYXNkYXFHUzpJTlRDAQAAABAiSVFfUEVfRVhDTF9GV0QiDklRX1BFX0VYQ0xfRldEAgAAAAZJUV9OVE0ENjAwMAMAAAAKIjgvNi8yMDEwIgg4LzYvMjAxMAAAAAAEAAAAAAAAAA8iTmFzZGFxR1M6SU5UQyINTmFzZGFxR1M6SU5UQwEAAAAQIklRX1BFX0VYQ0xfRldEIg5JUV9QRV9FWENMX0ZXRAIAAAAGSVFfTlRNBDYwMDADAAAACyI3LzMwLzIwMTAiCTcvMzAvMjAxMAAAAAAEAAAAAAAAAA8iTmFzZGFxR1M6SU5UQyINTmFzZGFxR1M6SU5UQwEAAAAQIklRX1BFX0VYQ0xfRldEIg5JUV9QRV9FWENMX0ZXRAIAAAAGSVFfTlRNBDYwMDADAAAACyI3LzIzLzIwMTAiCTcvMjMvMjAxMAAAAAAEAAAAAAAAAA8iTmFzZGFxR1M6SU5UQyINTmFzZGFxR1M6SU5UQwEAAAAQIklRX1BFX0VYQ0xfRldEIg5JUV9QRV9FWENMX0ZXRAIAAAAGSVFfTlRNBDYwMDADAAAACyI3LzE2LzIwMTAiCTcvMTYvMjAxMAAAAAAEAAAAAAAAAA8iTmFzZGFxR1M6SU5UQyINTmFzZGFxR1M6SU5UQwEAAAAQIklRX1BFX0VYQ0xfRldEIg5JUV9QRV9FWENMX0ZXRAIAAAAGSVFfTlRNBDYwMDADAAAACiI3LzkvMjAxMCIINy85LzIwMTAAAAAABAAAAAAAAAAPIk5hc2RhcUdTOklOVEMiDU5hc2RhcUdTOklOVEMBAAAAECJJUV9QRV9FWENMX0ZXRCIOSVFfUEVf</t>
  </si>
  <si>
    <t>RVhDTF9GV0QCAAAABklRX05UTQQ2MDAwAwAAAAoiNy8yLzIwMTAiCDcvMi8yMDEwAAAAAAQAAAAAAAAADyJOYXNkYXFHUzpJTlRDIg1OYXNkYXFHUzpJTlRDAQAAABAiSVFfUEVfRVhDTF9GV0QiDklRX1BFX0VYQ0xfRldEAgAAAAZJUV9OVE0ENjAwMAMAAAALIjYvMjUvMjAxMCIJNi8yNS8yMDEwAAAAAAQAAAAAAAAADyJOYXNkYXFHUzpJTlRDIg1OYXNkYXFHUzpJTlRDAQAAABAiSVFfUEVfRVhDTF9GV0QiDklRX1BFX0VYQ0xfRldEAgAAAAZJUV9OVE0ENjAwMAMAAAALIjYvMTgvMjAxMCIJNi8xOC8yMDEwAAAAAAQAAAAAAAAADyJOYXNkYXFHUzpJTlRDIg1OYXNkYXFHUzpJTlRDAQAAABAiSVFfUEVfRVhDTF9GV0QiDklRX1BFX0VYQ0xfRldEAgAAAAZJUV9OVE0ENjAwMAMAAAALIjYvMTEvMjAxMCIJNi8xMS8yMDEwAAAAAAQAAAAAAAAADyJOYXNkYXFHUzpJTlRDIg1OYXNkYXFHUzpJTlRDAQAAABAiSVFfUEVfRVhDTF9GV0QiDklRX1BFX0VYQ0xfRldEAgAAAAZJUV9OVE0ENjAwMAMAAAAKIjYvNC8yMDEwIgg2LzQvMjAxMAAAAAAEAAAAAAAAAA8iTmFzZGFxR1M6SU5UQyINTmFzZGFxR1M6SU5UQwEAAAAQIklRX1BFX0VYQ0xfRldEIg5JUV9QRV9FWENMX0ZXRAIAAAAGSVFfTlRNBDYwMDADAAAACyI1LzI4LzIwMTAiCTUvMjgvMjAxMAAAAAAEAAAAAAAAAA8iTmFzZGFxR1M6SU5UQyINTmFzZGFx</t>
  </si>
  <si>
    <t>R1M6SU5UQwEAAAAQIklRX1BFX0VYQ0xfRldEIg5JUV9QRV9FWENMX0ZXRAIAAAAGSVFfTlRNBDYwMDADAAAACyI1LzIxLzIwMTAiCTUvMjEvMjAxMAAAAAAEAAAAAAAAAA8iTmFzZGFxR1M6SU5UQyINTmFzZGFxR1M6SU5UQwEAAAAQIklRX1BFX0VYQ0xfRldEIg5JUV9QRV9FWENMX0ZXRAIAAAAGSVFfTlRNBDYwMDADAAAACyI1LzE0LzIwMTAiCTUvMTQvMjAxMAAAAAAEAAAAAAAAAA8iTmFzZGFxR1M6SU5UQyINTmFzZGFxR1M6SU5UQwEAAAAQIklRX1BFX0VYQ0xfRldEIg5JUV9QRV9FWENMX0ZXRAIAAAAGSVFfTlRNBDYwMDADAAAACiI1LzcvMjAxMCIINS83LzIwMTAAAAAABAAAAAAAAAAPIk5hc2RhcUdTOklOVEMiDU5hc2RhcUdTOklOVEMBAAAAECJJUV9QRV9FWENMX0ZXRCIOSVFfUEVfRVhDTF9GV0QCAAAABklRX05UTQQ2MDAwAwAAAAsiNC8zMC8yMDEwIgk0LzMwLzIwMTAAAAAABAAAAAAAAAAPIk5hc2RhcUdTOklOVEMiDU5hc2RhcUdTOklOVEMBAAAAECJJUV9QRV9FWENMX0ZXRCIOSVFfUEVfRVhDTF9GV0QCAAAABklRX05UTQQ2MDAwAwAAAAsiNC8yMy8yMDEwIgk0LzIzLzIwMTAAAAAABAAAAAAAAAAPIk5hc2RhcUdTOklOVEMiDU5hc2RhcUdTOklOVEMBAAAAECJJUV9QRV9FWENMX0ZXRCIOSVFfUEVfRVhDTF9GV0QCAAAABklRX05UTQQ2MDAwAwAAAAsiNC8xNi8yMDEwIgk0LzE2LzIw</t>
  </si>
  <si>
    <t>MTAAAAAABAAAAAAAAAAPIk5hc2RhcUdTOklOVEMiDU5hc2RhcUdTOklOVEMBAAAAECJJUV9QRV9FWENMX0ZXRCIOSVFfUEVfRVhDTF9GV0QCAAAABklRX05UTQQ2MDAwAwAAAAoiNC85LzIwMTAiCDQvOS8yMDEwAAAAAAQAAAAAAAAADyJOYXNkYXFHUzpJTlRDIg1OYXNkYXFHUzpJTlRDAQAAABAiSVFfUEVfRVhDTF9GV0QiDklRX1BFX0VYQ0xfRldEAgAAAAZJUV9OVE0ENjAwMAMAAAAKIjQvMS8yMDEwIgg0LzEvMjAxMAAAAAAEAAAAAAAAAA8iTmFzZGFxR1M6SU5UQyINTmFzZGFxR1M6SU5UQwEAAAAQIklRX1BFX0VYQ0xfRldEIg5JUV9QRV9FWENMX0ZXRAIAAAAGSVFfTlRNBDYwMDADAAAACyIzLzI2LzIwMTAiCTMvMjYvMjAxMAAAAAAEAAAAAAAAAA8iTmFzZGFxR1M6SU5UQyINTmFzZGFxR1M6SU5UQwEAAAAQIklRX1BFX0VYQ0xfRldEIg5JUV9QRV9FWENMX0ZXRAIAAAAGSVFfTlRNBDYwMDADAAAACyIzLzE5LzIwMTAiCTMvMTkvMjAxMAAAAAAEAAAAAAAAAA8iTmFzZGFxR1M6SU5UQyINTmFzZGFxR1M6SU5UQwEAAAAQIklRX1BFX0VYQ0xfRldEIg5JUV9QRV9FWENMX0ZXRAIAAAAGSVFfTlRNBDYwMDADAAAACyIzLzEyLzIwMTAiCTMvMTIvMjAxMAAAAAAEAAAAAAAAAA8iTmFzZGFxR1M6SU5UQyINTmFzZGFxR1M6SU5UQwEAAAAQIklRX1BFX0VYQ0xfRldEIg5JUV9QRV9FWENMX0ZXRAIAAAAG</t>
  </si>
  <si>
    <t>SVFfTlRNBDYwMDADAAAACiIzLzUvMjAxMCIIMy81LzIwMTAAAAAABAAAAAAAAAAPIk5hc2RhcUdTOklOVEMiDU5hc2RhcUdTOklOVEMBAAAAECJJUV9QRV9FWENMX0ZXRCIOSVFfUEVfRVhDTF9GV0QCAAAABklRX05UTQQ2MDAwAwAAAAsiMi8yNi8yMDEwIgkyLzI2LzIwMTAAAAAABAAAAAAAAAAPIk5hc2RhcUdTOklOVEMiDU5hc2RhcUdTOklOVEMBAAAAECJJUV9QRV9FWENMX0ZXRCIOSVFfUEVfRVhDTF9GV0QCAAAABklRX05UTQQ2MDAwAwAAAAsiMi8xOS8yMDEwIgkyLzE5LzIwMTAAAAAABAAAAAAAAAAPIk5hc2RhcUdTOklOVEMiDU5hc2RhcUdTOklOVEMBAAAAECJJUV9QRV9FWENMX0ZXRCIOSVFfUEVfRVhDTF9GV0QCAAAABklRX05UTQQ2MDAwAwAAAAsiMi8xMi8yMDEwIgkyLzEyLzIwMTAAAAAABAAAAAAAAAAPIk5hc2RhcUdTOklOVEMiDU5hc2RhcUdTOklOVEMBAAAAECJJUV9QRV9FWENMX0ZXRCIOSVFfUEVfRVhDTF9GV0QCAAAABklRX05UTQQ2MDAwAwAAAAoiMi81LzIwMTAiCDIvNS8yMDEwAAAAAAQAAAAAAAAADyJOYXNkYXFHUzpJTlRDIg1OYXNkYXFHUzpJTlRDAQAAABAiSVFfUEVfRVhDTF9GV0QiDklRX1BFX0VYQ0xfRldEAgAAAAZJUV9OVE0ENjAwMAMAAAALIjEvMjkvMjAxMCIJMS8yOS8yMDEwAAAAAAQAAAAAAAAADyJOYXNkYXFHUzpJTlRDIg1OYXNkYXFHUzpJTlRDAQAAABAi</t>
  </si>
  <si>
    <t>SVFfUEVfRVhDTF9GV0QiDklRX1BFX0VYQ0xfRldEAgAAAAZJUV9OVE0ENjAwMAMAAAALIjEvMjIvMjAxMCIJMS8yMi8yMDEwAAAAAAQAAAAAAAAADyJOYXNkYXFHUzpJTlRDIg1OYXNkYXFHUzpJTlRDAQAAABAiSVFfUEVfRVhDTF9GV0QiDklRX1BFX0VYQ0xfRldEAgAAAAZJUV9OVE0ENjAwMAMAAAALIjEvMTUvMjAxMCIJMS8xNS8yMDEwAAAAAAQAAAAAAAAADyJOYXNkYXFHUzpJTlRDIg1OYXNkYXFHUzpJTlRDAQAAABAiSVFfUEVfRVhDTF9GV0QiDklRX1BFX0VYQ0xfRldEAgAAAAZJUV9OVE0ENjAwMAMAAAAKIjEvOC8yMDEwIggxLzgvMjAxMAAAAAAEAAAAAAAAAA8iTmFzZGFxR1M6SU5UQyINTmFzZGFxR1M6SU5UQwEAAAAQIklRX1BFX0VYQ0xfRldEIg5JUV9QRV9FWENMX0ZXRAIAAAAGSVFfTlRNBDYwMDADAAAADCIxMi8zMS8yMDA5IgoxMi8zMS8yMDA5AAAAAAQAAAAAAAAADyJOYXNkYXFHUzpJTlRDIg1OYXNkYXFHUzpJTlRDAQAAABAiSVFfUEVfRVhDTF9GV0QiDklRX1BFX0VYQ0xfRldEAgAAAAZJUV9OVE0ENjAwMAMAAAAMIjEyLzI0LzIwMDkiCjEyLzI0LzIwMDkAAAAABAAAAAAAAAAPIk5hc2RhcUdTOklOVEMiDU5hc2RhcUdTOklOVEMBAAAAECJJUV9QRV9FWENMX0ZXRCIOSVFfUEVfRVhDTF9GV0QCAAAABklRX05UTQQ2MDAwAwAAAAwiMTIvMTgvMjAwOSIKMTIvMTgvMjAwOQAAAAAE</t>
  </si>
  <si>
    <t>AAAAAAAAAA8iTmFzZGFxR1M6SU5UQyINTmFzZGFxR1M6SU5UQwEAAAAQIklRX1BFX0VYQ0xfRldEIg5JUV9QRV9FWENMX0ZXRAIAAAAGSVFfTlRNBDYwMDADAAAADCIxMi8xMS8yMDA5IgoxMi8xMS8yMDA5AAAAAAQAAAAAAAAADyJOYXNkYXFHUzpJTlRDIg1OYXNkYXFHUzpJTlRDAQAAABAiSVFfUEVfRVhDTF9GV0QiDklRX1BFX0VYQ0xfRldEAgAAAAZJUV9OVE0ENjAwMAMAAAALIjEyLzQvMjAwOSIJMTIvNC8yMDA5AAAAAAQAAAAAAAAADyJOYXNkYXFHUzpJTlRDIg1OYXNkYXFHUzpJTlRDAQAAABAiSVFfUEVfRVhDTF9GV0QiDklRX1BFX0VYQ0xfRldEAgAAAAZJUV9OVE0ENjAwMAMAAAAMIjExLzI3LzIwMDkiCjExLzI3LzIwMDkAAAAABAAAAAAAAAAPIk5hc2RhcUdTOklOVEMiDU5hc2RhcUdTOklOVEMBAAAAECJJUV9QRV9FWENMX0ZXRCIOSVFfUEVfRVhDTF9GV0QCAAAABklRX05UTQQ2MDAwAwAAAAwiMTEvMjAvMjAwOSIKMTEvMjAvMjAwOQAAAAAEAAAAAAAAAA8iTmFzZGFxR1M6SU5UQyINTmFzZGFxR1M6SU5UQwEAAAAQIklRX1BFX0VYQ0xfRldEIg5JUV9QRV9FWENMX0ZXRAIAAAAGSVFfTlRNBDYwMDADAAAADCIxMS8xMy8yMDA5IgoxMS8xMy8yMDA5AAAAAAQAAAAAAAAADyJOYXNkYXFHUzpJTlRDIg1OYXNkYXFHUzpJTlRDAQAAABAiSVFfUEVfRVhDTF9GV0QiDklRX1BFX0VYQ0xfRldE</t>
  </si>
  <si>
    <t>AgAAAAZJUV9OVE0ENjAwMAMAAAALIjExLzYvMjAwOSIJMTEvNi8yMDA5AAAAAAQAAAAAAAAADyJOYXNkYXFHUzpJTlRDIg1OYXNkYXFHUzpJTlRDAQAAABAiSVFfUEVfRVhDTF9GV0QiDklRX1BFX0VYQ0xfRldEAgAAAAZJUV9OVE0ENjAwMAMAAAAMIjEwLzMwLzIwMDkiCjEwLzMwLzIwMDkAAAAABAAAAAAAAAAPIk5hc2RhcUdTOklOVEMiDU5hc2RhcUdTOklOVEMBAAAAECJJUV9QRV9FWENMX0ZXRCIOSVFfUEVfRVhDTF9GV0QCAAAABklRX05UTQQ2MDAwAwAAAAwiMTAvMjMvMjAwOSIKMTAvMjMvMjAwOQAAAAAEAAAAAAAAAA8iTmFzZGFxR1M6SU5UQyINTmFzZGFxR1M6SU5UQwEAAAAQIklRX1BFX0VYQ0xfRldEIg5JUV9QRV9FWENMX0ZXRAIAAAAGSVFfTlRNBDYwMDADAAAADCIxMC8xNi8yMDA5IgoxMC8xNi8yMDA5AAAAAAQAAAAAAAAADyJOYXNkYXFHUzpJTlRDIg1OYXNkYXFHUzpJTlRDAQAAABAiSVFfUEVfRVhDTF9GV0QiDklRX1BFX0VYQ0xfRldEAgAAAAZJUV9OVE0ENjAwMAMAAAALIjEwLzkvMjAwOSIJMTAvOS8yMDA5AAAAAAQAAAAAAAAADyJOYXNkYXFHUzpJTlRDIg1OYXNkYXFHUzpJTlRDAQAAABAiSVFfUEVfRVhDTF9GV0QiDklRX1BFX0VYQ0xfRldEAgAAAAZJUV9OVE0ENjAwMAMAAAALIjEwLzIvMjAwOSIJMTAvMi8yMDA5AAAAAAQAAAAAAAAADyJOYXNkYXFHUzpJTlRDIg1OYXNk</t>
  </si>
  <si>
    <t>YXFHUzpJTlRDAQAAABAiSVFfUEVfRVhDTF9GV0QiDklRX1BFX0VYQ0xfRldEAgAAAAZJUV9OVE0ENjAwMAMAAAALIjkvMjUvMjAwOSIJOS8yNS8yMDA5AAAAAAQAAAAAAAAADyJOYXNkYXFHUzpJTlRDIg1OYXNkYXFHUzpJTlRDAQAAABAiSVFfUEVfRVhDTF9GV0QiDklRX1BFX0VYQ0xfRldEAgAAAAZJUV9OVE0ENjAwMAMAAAALIjkvMTgvMjAwOSIJOS8xOC8yMDA5AAAAAAQAAAAAAAAADyJOYXNkYXFHUzpJTlRDIg1OYXNkYXFHUzpJTlRDAQAAABAiSVFfUEVfRVhDTF9GV0QiDklRX1BFX0VYQ0xfRldEAgAAAAZJUV9OVE0ENjAwMAMAAAALIjkvMTEvMjAwOSIJOS8xMS8yMDA5AAAAAAQAAAAAAAAADyJOYXNkYXFHUzpJTlRDIg1OYXNkYXFHUzpJTlRDAQAAABAiSVFfUEVfRVhDTF9GV0QiDklRX1BFX0VYQ0xfRldEAgAAAAZJUV9OVE0ENjAwMAMAAAAKIjkvNC8yMDA5Igg5LzQvMjAwOQAAAAAEAAAAAAAAAA8iTmFzZGFxR1M6SU5UQyINTmFzZGFxR1M6SU5UQwEAAAAQIklRX1BFX0VYQ0xfRldEIg5JUV9QRV9FWENMX0ZXRAIAAAAGSVFfTlRNBDYwMDADAAAACyI4LzI4LzIwMDkiCTgvMjgvMjAwOQAAAAAEAAAAAAAAAA8iTmFzZGFxR1M6SU5UQyINTmFzZGFxR1M6SU5UQwEAAAAQIklRX1BFX0VYQ0xfRldEIg5JUV9QRV9FWENMX0ZXRAIAAAAGSVFfTlRNBDYwMDADAAAACyI4LzIxLzIwMDkiCTgvMjEv</t>
  </si>
  <si>
    <t>MjAwOQAAAAAEAAAAAAAAAA8iTmFzZGFxR1M6SU5UQyINTmFzZGFxR1M6SU5UQwEAAAAQIklRX1BFX0VYQ0xfRldEIg5JUV9QRV9FWENMX0ZXRAIAAAAGSVFfTlRNBDYwMDADAAAACyI4LzE0LzIwMDkiCTgvMTQvMjAwOQAAAAAEAAAAAAAAAA8iTmFzZGFxR1M6SU5UQyINTmFzZGFxR1M6SU5UQwEAAAAQIklRX1BFX0VYQ0xfRldEIg5JUV9QRV9FWENMX0ZXRAIAAAAGSVFfTlRNBDYwMDADAAAACiI4LzcvMjAwOSIIOC83LzIwMDkAAAAABAAAAAAAAAAPIk5hc2RhcUdTOklOVEMiDU5hc2RhcUdTOklOVEMBAAAAECJJUV9QRV9FWENMX0ZXRCIOSVFfUEVfRVhDTF9GV0QCAAAABklRX05UTQQ2MDAwAwAAAAsiNy8zMS8yMDA5Igk3LzMxLzIwMDkAAAAABAAAAAAAAAAPIk5hc2RhcUdTOklOVEMiDU5hc2RhcUdTOklOVEMBAAAAECJJUV9QRV9FWENMX0ZXRCIOSVFfUEVfRVhDTF9GV0QCAAAABklRX05UTQQ2MDAwAwAAAAsiNy8yNC8yMDA5Igk3LzI0LzIwMDkAAAAABAAAAAAAAAAPIk5hc2RhcUdTOklOVEMiDU5hc2RhcUdTOklOVEMBAAAAECJJUV9QRV9FWENMX0ZXRCIOSVFfUEVfRVhDTF9GV0QCAAAABklRX05UTQQ2MDAwAwAAAAsiNy8xNy8yMDA5Igk3LzE3LzIwMDkAAAAABAAAAAAAAAAPIk5hc2RhcUdTOklOVEMiDU5hc2RhcUdTOklOVEMBAAAAECJJUV9QRV9FWENMX0ZXRCIOSVFfUEVfRVhDTF9GV0QC</t>
  </si>
  <si>
    <t>AAAABklRX05UTQQ2MDAwAwAAAAsiNy8xMC8yMDA5Igk3LzEwLzIwMDkAAAAABAAAAAAAAAAPIk5hc2RhcUdTOklOVEMiDU5hc2RhcUdTOklOVEMBAAAAECJJUV9QRV9FWENMX0ZXRCIOSVFfUEVfRVhDTF9GV0QCAAAABklRX05UTQQ2MDAwAwAAAAoiNy8yLzIwMDkiCDcvMi8yMDA5AAAAAAQAAAAAAAAADyJOYXNkYXFHUzpJTlRDIg1OYXNkYXFHUzpJTlRDAQAAABAiSVFfUEVfRVhDTF9GV0QiDklRX1BFX0VYQ0xfRldEAgAAAAZJUV9OVE0ENjAwMAMAAAALIjYvMjYvMjAwOSIJNi8yNi8yMDA5AAAAAAQAAAAAAAAADyJOYXNkYXFHUzpJTlRDIg1OYXNkYXFHUzpJTlRDAQAAABAiSVFfUEVfRVhDTF9GV0QiDklRX1BFX0VYQ0xfRldEAgAAAAZJUV9OVE0ENjAwMAMAAAALIjYvMTkvMjAwOSIJNi8xOS8yMDA5AAAAAAQAAAAAAAAADyJOYXNkYXFHUzpJTlRDIg1OYXNkYXFHUzpJTlRDAQAAABAiSVFfUEVfRVhDTF9GV0QiDklRX1BFX0VYQ0xfRldEAgAAAAZJUV9OVE0ENjAwMAMAAAALIjYvMTIvMjAwOSIJNi8xMi8yMDA5AAAAAAQAAAAAAAAADyJOYXNkYXFHUzpJTlRDIg1OYXNkYXFHUzpJTlRDAQAAABAiSVFfUEVfRVhDTF9GV0QiDklRX1BFX0VYQ0xfRldEAgAAAAZJUV9OVE0ENjAwMAMAAAAKIjYvNS8yMDA5Igg2LzUvMjAwOQAAAAAEAAAAAAAAAA8iTmFzZGFxR1M6SU5UQyINTmFzZGFxR1M6SU5UQwEA</t>
  </si>
  <si>
    <t>AAAQIklRX1BFX0VYQ0xfRldEIg5JUV9QRV9FWENMX0ZXRAIAAAAGSVFfTlRNBDYwMDADAAAACyI1LzI5LzIwMDkiCTUvMjkvMjAwOQAAAAAEAAAAAAAAAA8iTmFzZGFxR1M6SU5UQyINTmFzZGFxR1M6SU5UQwEAAAAQIklRX1BFX0VYQ0xfRldEIg5JUV9QRV9FWENMX0ZXRAIAAAAGSVFfTlRNBDYwMDADAAAACyI1LzIyLzIwMDkiCTUvMjIvMjAwOQAAAAAEAAAAAAAAAA8iTmFzZGFxR1M6SU5UQyINTmFzZGFxR1M6SU5UQwEAAAAQIklRX1BFX0VYQ0xfRldEIg5JUV9QRV9FWENMX0ZXRAIAAAAGSVFfTlRNBDYwMDADAAAACyI1LzE1LzIwMDkiCTUvMTUvMjAwOQAAAAAEAAAAAAAAAA8iTmFzZGFxR1M6SU5UQyINTmFzZGFxR1M6SU5UQwEAAAAQIklRX1BFX0VYQ0xfRldEIg5JUV9QRV9FWENMX0ZXRAIAAAAGSVFfTlRNBDYwMDADAAAACiI1LzgvMjAwOSIINS84LzIwMDkAAAAABAAAAAAAAAAPIk5hc2RhcUdTOklOVEMiDU5hc2RhcUdTOklOVEMBAAAAECJJUV9QRV9FWENMX0ZXRCIOSVFfUEVfRVhDTF9GV0QCAAAABklRX05UTQQ2MDAwAwAAAAoiNS8xLzIwMDkiCDUvMS8yMDA5AAAAAAQAAAAAAAAADyJOYXNkYXFHUzpJTlRDIg1OYXNkYXFHUzpJTlRDAQAAABAiSVFfUEVfRVhDTF9GV0QiDklRX1BFX0VYQ0xfRldEAgAAAAZJUV9OVE0ENjAwMAMAAAALIjQvMjQvMjAwOSIJNC8yNC8yMDA5AAAAAAQAAAAA</t>
  </si>
  <si>
    <t>AAAADyJOYXNkYXFHUzpJTlRDIg1OYXNkYXFHUzpJTlRDAQAAABAiSVFfUEVfRVhDTF9GV0QiDklRX1BFX0VYQ0xfRldEAgAAAAZJUV9OVE0ENjAwMAMAAAALIjQvMTcvMjAwOSIJNC8xNy8yMDA5AAAAAAQAAAAAAAAADyJOYXNkYXFHUzpJTlRDIg1OYXNkYXFHUzpJTlRDAQAAABAiSVFfUEVfRVhDTF9GV0QiDklRX1BFX0VYQ0xfRldEAgAAAAZJUV9OVE0ENjAwMAMAAAAKIjQvOS8yMDA5Igg0LzkvMjAwOQAAAAAEAAAAAAAAAA8iTmFzZGFxR1M6SU5UQyINTmFzZGFxR1M6SU5UQwEAAAAQIklRX1BFX0VYQ0xfRldEIg5JUV9QRV9FWENMX0ZXRAIAAAAGSVFfTlRNBDYwMDADAAAACiI0LzMvMjAwOSIINC8zLzIwMDkAAAAABAAAAAAAAAAPIk5hc2RhcUdTOklOVEMiDU5hc2RhcUdTOklOVEMBAAAAECJJUV9QRV9FWENMX0ZXRCIOSVFfUEVfRVhDTF9GV0QCAAAABklRX05UTQQ2MDAwAwAAAAsiMy8yNy8yMDA5IgkzLzI3LzIwMDkAAAAABAAAAAAAAAAPIk5hc2RhcUdTOklOVEMiDU5hc2RhcUdTOklOVEMBAAAAECJJUV9QRV9FWENMX0ZXRCIOSVFfUEVfRVhDTF9GV0QCAAAABklRX05UTQQ2MDAwAwAAAAsiMy8yMC8yMDA5IgkzLzIwLzIwMDkAAAAABAAAAAAAAAAPIk5hc2RhcUdTOklOVEMiDU5hc2RhcUdTOklOVEMBAAAAECJJUV9QRV9FWENMX0ZXRCIOSVFfUEVfRVhDTF9GV0QCAAAABklRX05UTQQ2MDAw</t>
  </si>
  <si>
    <t>AwAAAAsiMy8xMy8yMDA5IgkzLzEzLzIwMDkAAAAABAAAAAAAAAAPIk5hc2RhcUdTOklOVEMiDU5hc2RhcUdTOklOVEMBAAAAECJJUV9QRV9FWENMX0ZXRCIOSVFfUEVfRVhDTF9GV0QCAAAABklRX05UTQQ2MDAwAwAAAAoiMy82LzIwMDkiCDMvNi8yMDA5AAAAAAQAAAAAAAAADyJOYXNkYXFHUzpJTlRDIg1OYXNkYXFHUzpJTlRDAQAAABAiSVFfUEVfRVhDTF9GV0QiDklRX1BFX0VYQ0xfRldEAgAAAAZJUV9OVE0ENjAwMAMAAAALIjIvMjcvMjAwOSIJMi8yNy8yMDA5AAAAAAQAAAAAAAAADyJOYXNkYXFHUzpJTlRDIg1OYXNkYXFHUzpJTlRDAQAAABAiSVFfUEVfRVhDTF9GV0QiDklRX1BFX0VYQ0xfRldEAgAAAAZJUV9OVE0ENjAwMAMAAAALIjIvMjAvMjAwOSIJMi8yMC8yMDA5AAAAAAQAAAAAAAAADyJOYXNkYXFHUzpJTlRDIg1OYXNkYXFHUzpJTlRDAQAAABAiSVFfUEVfRVhDTF9GV0QiDklRX1BFX0VYQ0xfRldEAgAAAAZJUV9OVE0ENjAwMAMAAAALIjIvMTMvMjAwOSIJMi8xMy8yMDA5AAAAAAQAAAAAAAAADyJOYXNkYXFHUzpJTlRDIg1OYXNkYXFHUzpJTlRDAQAAABAiSVFfUEVfRVhDTF9GV0QiDklRX1BFX0VYQ0xfRldEAgAAAAZJUV9OVE0ENjAwMAMAAAAKIjIvNi8yMDA5IggyLzYvMjAwOQAAAAAEAAAAAAAAAA8iTmFzZGFxR1M6SU5UQyINTmFzZGFxR1M6SU5UQwEAAAAQIklRX1BFX0VYQ0xf</t>
  </si>
  <si>
    <t>RldEIg5JUV9QRV9FWENMX0ZXRAIAAAAGSVFfTlRNBDYwMDADAAAACyIxLzMwLzIwMDkiCTEvMzAvMjAwOQAAAAAEAAAAAAAAAA8iTmFzZGFxR1M6SU5UQyINTmFzZGFxR1M6SU5UQwEAAAAQIklRX1BFX0VYQ0xfRldEIg5JUV9QRV9FWENMX0ZXRAIAAAAGSVFfTlRNBDYwMDADAAAACyIxLzIzLzIwMDkiCTEvMjMvMjAwOQAAAAAEAAAAAAAAAA8iTmFzZGFxR1M6SU5UQyINTmFzZGFxR1M6SU5UQwEAAAAQIklRX1BFX0VYQ0xfRldEIg5JUV9QRV9FWENMX0ZXRAIAAAAGSVFfTlRNBDYwMDADAAAACyIxLzE2LzIwMDkiCTEvMTYvMjAwOQAAAAAEAAAAAAAAAA8iTmFzZGFxR1M6SU5UQyINTmFzZGFxR1M6SU5UQwEAAAAQIklRX1BFX0VYQ0xfRldEIg5JUV9QRV9FWENMX0ZXRAIAAAAGSVFfTlRNBDYwMDADAAAACiIxLzkvMjAwOSIIMS85LzIwMDkAAAAABAAAAAAAAAAPIk5hc2RhcUdTOklOVEMiDU5hc2RhcUdTOklOVEMBAAAAECJJUV9QRV9FWENMX0ZXRCIOSVFfUEVfRVhDTF9GV0QCAAAABklRX05UTQQ2MDAwAwAAAAoiMS8yLzIwMDkiCDEvMi8yMDA5AAAAAAQAAAAAAAAADyJOYXNkYXFHUzpJTlRDIg1OYXNkYXFHUzpJTlRDAQAAABAiSVFfUEVfRVhDTF9GV0QiDklRX1BFX0VYQ0xfRldEAgAAAAZJUV9OVE0ENjAwMAMAAAAMIjEyLzI2LzIwMDgiCjEyLzI2LzIwMDgAAAAABAAAAAAAAAAPIk5hc2RhcUdT</t>
  </si>
  <si>
    <t>OklOVEMiDU5hc2RhcUdTOklOVEMBAAAAECJJUV9QRV9FWENMX0ZXRCIOSVFfUEVfRVhDTF9GV0QCAAAABklRX05UTQQ2MDAwAwAAAAwiMTIvMTkvMjAwOCIKMTIvMTkvMjAwOAAAAAAEAAAAAAAAAA8iTmFzZGFxR1M6SU5UQyINTmFzZGFxR1M6SU5UQwEAAAAQIklRX1BFX0VYQ0xfRldEIg5JUV9QRV9FWENMX0ZXRAIAAAAGSVFfTlRNBDYwMDADAAAADCIxMi8xMi8yMDA4IgoxMi8xMi8yMDA4AAAAAAQAAAAAAAAADyJOYXNkYXFHUzpJTlRDIg1OYXNkYXFHUzpJTlRDAQAAABAiSVFfUEVfRVhDTF9GV0QiDklRX1BFX0VYQ0xfRldEAgAAAAZJUV9OVE0ENjAwMAMAAAALIjEyLzUvMjAwOCIJMTIvNS8yMDA4AAAAAAQAAAAAAAAADyJOYXNkYXFHUzpJTlRDIg1OYXNkYXFHUzpJTlRDAQAAABAiSVFfUEVfRVhDTF9GV0QiDklRX1BFX0VYQ0xfRldEAgAAAAZJUV9OVE0ENjAwMAMAAAAMIjExLzI4LzIwMDgiCjExLzI4LzIwMDgAAAAABAAAAAAAAAAPIk5hc2RhcUdTOklOVEMiDU5hc2RhcUdTOklOVEMBAAAAECJJUV9QRV9FWENMX0ZXRCIOSVFfUEVfRVhDTF9GV0QCAAAABklRX05UTQQ2MDAwAwAAAAwiMTEvMjEvMjAwOCIKMTEvMjEvMjAwOAAAAAAEAAAAAAAAAA8iTmFzZGFxR1M6SU5UQyINTmFzZGFxR1M6SU5UQwEAAAAQIklRX1BFX0VYQ0xfRldEIg5JUV9QRV9FWENMX0ZXRAIAAAAGSVFfTlRNBDYwMDAD</t>
  </si>
  <si>
    <t>AAAADCIxMS8xNC8yMDA4IgoxMS8xNC8yMDA4AAAAAAQAAAAAAAAADyJOYXNkYXFHUzpJTlRDIg1OYXNkYXFHUzpJTlRDAQAAABAiSVFfUEVfRVhDTF9GV0QiDklRX1BFX0VYQ0xfRldEAgAAAAZJUV9OVE0ENjAwMAMAAAALIjExLzcvMjAwOCIJMTEvNy8yMDA4AAAAAAQAAAAAAAAADyJOYXNkYXFHUzpJTlRDIg1OYXNkYXFHUzpJTlRDAQAAABAiSVFfUEVfRVhDTF9GV0QiDklRX1BFX0VYQ0xfRldEAgAAAAZJUV9OVE0ENjAwMAMAAAAMIjEwLzMxLzIwMDgiCjEwLzMxLzIwMDgAAAAABAAAAAAAAAAPIk5hc2RhcUdTOklOVEMiDU5hc2RhcUdTOklOVEMBAAAAECJJUV9QRV9FWENMX0ZXRCIOSVFfUEVfRVhDTF9GV0QCAAAABklRX05UTQQ2MDAwAwAAAAwiMTAvMjQvMjAwOCIKMTAvMjQvMjAwOAAAAAAEAAAAAAAAAA8iTmFzZGFxR1M6SU5UQyINTmFzZGFxR1M6SU5UQwEAAAAQIklRX1BFX0VYQ0xfRldEIg5JUV9QRV9FWENMX0ZXRAIAAAAGSVFfTlRNBDYwMDADAAAADCIxMC8xNy8yMDA4IgoxMC8xNy8yMDA4AAAAAAQAAAAAAAAADyJOYXNkYXFHUzpJTlRDIg1OYXNkYXFHUzpJTlRDAQAAABAiSVFfUEVfRVhDTF9GV0QiDklRX1BFX0VYQ0xfRldEAgAAAAZJUV9OVE0ENjAwMAMAAAAMIjEwLzEwLzIwMDgiCjEwLzEwLzIwMDgAAAAABAAAAAAAAAAPIk5hc2RhcUdTOklOVEMiDU5hc2RhcUdTOklOVEMBAAAA</t>
  </si>
  <si>
    <t>ECJJUV9QRV9FWENMX0ZXRCIOSVFfUEVfRVhDTF9GV0QCAAAABklRX05UTQQ2MDAwAwAAAAsiMTAvMy8yMDA4IgkxMC8zLzIwMDgAAAAABAAAAAAAAAAPIk5hc2RhcUdTOklOVEMiDU5hc2RhcUdTOklOVEMBAAAAECJJUV9QRV9FWENMX0ZXRCIOSVFfUEVfRVhDTF9GV0QCAAAABklRX05UTQQ2MDAwAwAAAAsiOS8yNi8yMDA4Igk5LzI2LzIwMDgAAAAABAAAAAAAAAAPIk5hc2RhcUdTOklOVEMiDU5hc2RhcUdTOklOVEMBAAAAECJJUV9QRV9FWENMX0ZXRCIOSVFfUEVfRVhDTF9GV0QCAAAABklRX05UTQQ2MDAwAwAAAAsiOS8xOS8yMDA4Igk5LzE5LzIwMDgAAAAABAAAAAAAAAAPIk5hc2RhcUdTOklOVEMiDU5hc2RhcUdTOklOVEMBAAAAECJJUV9QRV9FWENMX0ZXRCIOSVFfUEVfRVhDTF9GV0QCAAAABklRX05UTQQ2MDAwAwAAAAsiOS8xMi8yMDA4Igk5LzEyLzIwMDgAAAAABAAAAAAAAAAPIk5hc2RhcUdTOklOVEMiDU5hc2RhcUdTOklOVEMBAAAAECJJUV9QRV9FWENMX0ZXRCIOSVFfUEVfRVhDTF9GV0QCAAAABklRX05UTQQ2MDAwAwAAAAoiOS81LzIwMDgiCDkvNS8yMDA4AAAAAAQAAAAAAAAADyJOYXNkYXFHUzpJTlRDIg1OYXNkYXFHUzpJTlRDAQAAABAiSVFfUEVfRVhDTF9GV0QiDklRX1BFX0VYQ0xfRldEAgAAAAZJUV9OVE0ENjAwMAMAAAALIjgvMjkvMjAwOCIJOC8yOS8yMDA4AAAAAAQAAAAA</t>
  </si>
  <si>
    <t>AAAADyJOYXNkYXFHUzpJTlRDIg1OYXNkYXFHUzpJTlRDAQAAABAiSVFfUEVfRVhDTF9GV0QiDklRX1BFX0VYQ0xfRldEAgAAAAZJUV9OVE0ENjAwMAMAAAALIjgvMjIvMjAwOCIJOC8yMi8yMDA4AAAAAAQAAAAAAAAADyJOYXNkYXFHUzpJTlRDIg1OYXNkYXFHUzpJTlRDAQAAABAiSVFfUEVfRVhDTF9GV0QiDklRX1BFX0VYQ0xfRldEAgAAAAZJUV9OVE0ENjAwMAMAAAALIjgvMTUvMjAwOCIJOC8xNS8yMDA4AAAAAAQAAAAAAAAADyJOYXNkYXFHUzpJTlRDIg1OYXNkYXFHUzpJTlRDAQAAABAiSVFfUEVfRVhDTF9GV0QiDklRX1BFX0VYQ0xfRldEAgAAAAZJUV9OVE0ENjAwMAMAAAAKIjgvOC8yMDA4Igg4LzgvMjAwOAAAAAAEAAAAAAAAAA8iTmFzZGFxR1M6SU5UQyINTmFzZGFxR1M6SU5UQwEAAAAQIklRX1BFX0VYQ0xfRldEIg5JUV9QRV9FWENMX0ZXRAIAAAAGSVFfTlRNBDYwMDADAAAACiI4LzEvMjAwOCIIOC8xLzIwMDgAAAAABAAAAAAAAAAPIk5hc2RhcUdTOklOVEMiDU5hc2RhcUdTOklOVEMBAAAAECJJUV9QRV9FWENMX0ZXRCIOSVFfUEVfRVhDTF9GV0QCAAAABklRX05UTQQ2MDAwAwAAAAsiNy8yNS8yMDA4Igk3LzI1LzIwMDgAAAAABAAAAAAAAAAPIk5hc2RhcUdTOklOVEMiDU5hc2RhcUdTOklOVEMBAAAAECJJUV9QRV9FWENMX0ZXRCIOSVFfUEVfRVhDTF9GV0QCAAAABklRX05UTQQ2MDAw</t>
  </si>
  <si>
    <t>AwAAAAsiNy8xOC8yMDA4Igk3LzE4LzIwMDgAAAAABAAAAAAAAAAPIk5hc2RhcUdTOklOVEMiDU5hc2RhcUdTOklOVEMBAAAAECJJUV9QRV9FWENMX0ZXRCIOSVFfUEVfRVhDTF9GV0QCAAAABklRX05UTQQ2MDAwAwAAAAsiNy8xMS8yMDA4Igk3LzExLzIwMDgAAAAABAAAAAAAAAAPIk5hc2RhcUdTOklOVEMiDU5hc2RhcUdTOklOVEMBAAAAECJJUV9QRV9FWENMX0ZXRCIOSVFfUEVfRVhDTF9GV0QCAAAABklRX05UTQQ2MDAwAwAAAAoiNy8zLzIwMDgiCDcvMy8yMDA4AAAAAAQAAAAAAAAADyJOYXNkYXFHUzpJTlRDIg1OYXNkYXFHUzpJTlRDAQAAABAiSVFfUEVfRVhDTF9GV0QiDklRX1BFX0VYQ0xfRldEAgAAAAZJUV9OVE0ENjAwMAMAAAALIjYvMjcvMjAwOCIJNi8yNy8yMDA4AAAAAAQAAAAAAAAADyJOYXNkYXFHUzpJTlRDIg1OYXNkYXFHUzpJTlRDAQAAABAiSVFfUEVfRVhDTF9GV0QiDklRX1BFX0VYQ0xfRldEAgAAAAZJUV9OVE0ENjAwMAMAAAALIjYvMjAvMjAwOCIJNi8yMC8yMDA4AAAAAAQAAAAAAAAADyJOYXNkYXFHUzpJTlRDIg1OYXNkYXFHUzpJTlRDAQAAABAiSVFfUEVfRVhDTF9GV0QiDklRX1BFX0VYQ0xfRldEAgAAAAZJUV9OVE0ENjAwMAMAAAALIjYvMTMvMjAwOCIJNi8xMy8yMDA4AAAAAAQAAAAAAAAADyJOYXNkYXFHUzpJTlRDIg1OYXNkYXFHUzpJTlRDAQAAABAiSVFfUEVfRVhD</t>
  </si>
  <si>
    <t>TF9GV0QiDklRX1BFX0VYQ0xfRldEAgAAAAZJUV9OVE0ENjAwMAMAAAAKIjYvNi8yMDA4Igg2LzYvMjAwOAAAAAAEAAAAAAAAAA8iTmFzZGFxR1M6SU5UQyINTmFzZGFxR1M6SU5UQwEAAAAQIklRX1BFX0VYQ0xfRldEIg5JUV9QRV9FWENMX0ZXRAIAAAAGSVFfTlRNBDYwMDADAAAACyI1LzMwLzIwMDgiCTUvMzAvMjAwOAAAAAAEAAAAAAAAAA8iTmFzZGFxR1M6SU5UQyINTmFzZGFxR1M6SU5UQwEAAAAQIklRX1BFX0VYQ0xfRldEIg5JUV9QRV9FWENMX0ZXRAIAAAAGSVFfTlRNBDYwMDADAAAACyI1LzIzLzIwMDgiCTUvMjMvMjAwOAAAAAAEAAAAAAAAAA8iTmFzZGFxR1M6SU5UQyINTmFzZGFxR1M6SU5UQwEAAAAQIklRX1BFX0VYQ0xfRldEIg5JUV9QRV9FWENMX0ZXRAIAAAAGSVFfTlRNBDYwMDADAAAACyI1LzE2LzIwMDgiCTUvMTYvMjAwOAAAAAAEAAAAAAAAAA8iTmFzZGFxR1M6SU5UQyINTmFzZGFxR1M6SU5UQwEAAAAQIklRX1BFX0VYQ0xfRldEIg5JUV9QRV9FWENMX0ZXRAIAAAAGSVFfTlRNBDYwMDADAAAACiI1LzkvMjAwOCIINS85LzIwMDgAAAAABAAAAAAAAAAPIk5hc2RhcUdTOklOVEMiDU5hc2RhcUdTOklOVEMBAAAAECJJUV9QRV9FWENMX0ZXRCIOSVFfUEVfRVhDTF9GV0QCAAAABklRX05UTQQ2MDAwAwAAAAoiNS8yLzIwMDgiCDUvMi8yMDA4AAAAAAQAAAAAAAAADyJOYXNkYXFHUzpJ</t>
  </si>
  <si>
    <t>TlRDIg1OYXNkYXFHUzpJTlRDAQAAABAiSVFfUEVfRVhDTF9GV0QiDklRX1BFX0VYQ0xfRldEAgAAAAZJUV9OVE0ENjAwMAMAAAALIjQvMjUvMjAwOCIJNC8yNS8yMDA4AAAAAAQAAAAAAAAADyJOYXNkYXFHUzpJTlRDIg1OYXNkYXFHUzpJTlRDAQAAABAiSVFfUEVfRVhDTF9GV0QiDklRX1BFX0VYQ0xfRldEAgAAAAZJUV9OVE0ENjAwMAMAAAALIjQvMTgvMjAwOCIJNC8xOC8yMDA4AAAAAAQAAAAAAAAADyJOYXNkYXFHUzpJTlRDIg1OYXNkYXFHUzpJTlRDAQAAABAiSVFfUEVfRVhDTF9GV0QiDklRX1BFX0VYQ0xfRldEAgAAAAZJUV9OVE0ENjAwMAMAAAALIjQvMTEvMjAwOCIJNC8xMS8yMDA4AAAAAAQAAAAAAAAADyJOYXNkYXFHUzpJTlRDIg1OYXNkYXFHUzpJTlRDAQAAABAiSVFfUEVfRVhDTF9GV0QiDklRX1BFX0VYQ0xfRldEAgAAAAZJUV9OVE0ENjAwMAMAAAAKIjQvNC8yMDA4Igg0LzQvMjAwOAAAAAAEAAAAAAAAAA8iTmFzZGFxR1M6SU5UQyINTmFzZGFxR1M6SU5UQwEAAAAQIklRX1BFX0VYQ0xfRldEIg5JUV9QRV9FWENMX0ZXRAIAAAAGSVFfTlRNBDYwMDADAAAACyIzLzI4LzIwMDgiCTMvMjgvMjAwOAAAAAAEAAAAAAAAAA8iTmFzZGFxR1M6SU5UQyINTmFzZGFxR1M6SU5UQwEAAAAQIklRX1BFX0VYQ0xfRldEIg5JUV9QRV9FWENMX0ZXRAIAAAAGSVFfTlRNBDYwMDADAAAACyIzLzIwLzIw</t>
  </si>
  <si>
    <t>MDgiCTMvMjAvMjAwOAAAAAAEAAAAAAAAAA8iTmFzZGFxR1M6SU5UQyINTmFzZGFxR1M6SU5UQwEAAAAQIklRX1BFX0VYQ0xfRldEIg5JUV9QRV9FWENMX0ZXRAIAAAAGSVFfTlRNBDYwMDADAAAACyIzLzE0LzIwMDgiCTMvMTQvMjAwOAAAAAAEAAAAAAAAAA8iTmFzZGFxR1M6SU5UQyINTmFzZGFxR1M6SU5UQwEAAAAQIklRX1BFX0VYQ0xfRldEIg5JUV9QRV9FWENMX0ZXRAIAAAAGSVFfTlRNBDYwMDADAAAACiIzLzcvMjAwOCIIMy83LzIwMDgAAAAABAAAAAAAAAAPIk5hc2RhcUdTOklOVEMiDU5hc2RhcUdTOklOVEMBAAAAECJJUV9QRV9FWENMX0ZXRCIOSVFfUEVfRVhDTF9GV0QCAAAABklRX05UTQQ2MDAwAwAAAAsiMi8yOS8yMDA4IgkyLzI5LzIwMDgAAAAABAAAAAAAAAAPIk5hc2RhcUdTOklOVEMiDU5hc2RhcUdTOklOVEMBAAAAECJJUV9QRV9FWENMX0ZXRCIOSVFfUEVfRVhDTF9GV0QCAAAABklRX05UTQQ2MDAwAwAAAAsiMi8yMi8yMDA4IgkyLzIyLzIwMDgAAAAABAAAAAAAAAAPIk5hc2RhcUdTOklOVEMiDU5hc2RhcUdTOklOVEMBAAAAECJJUV9QRV9FWENMX0ZXRCIOSVFfUEVfRVhDTF9GV0QCAAAABklRX05UTQQ2MDAwAwAAAAsiMi8xNS8yMDA4IgkyLzE1LzIwMDgAAAAABAAAAAAAAAAPIk5hc2RhcUdTOklOVEMiDU5hc2RhcUdTOklOVEMBAAAAECJJUV9QRV9FWENMX0ZXRCIOSVFfUEVf</t>
  </si>
  <si>
    <t>RVhDTF9GV0QCAAAABklRX05UTQQ2MDAwAwAAAAoiMi84LzIwMDgiCDIvOC8yMDA4AAAAAAQAAAAAAAAADyJOYXNkYXFHUzpJTlRDIg1OYXNkYXFHUzpJTlRDAQAAABAiSVFfUEVfRVhDTF9GV0QiDklRX1BFX0VYQ0xfRldEAgAAAAZJUV9OVE0ENjAwMAMAAAAKIjIvMS8yMDA4IggyLzEvMjAwOAAAAAAEAAAAAAAAAA8iTmFzZGFxR1M6SU5UQyINTmFzZGFxR1M6SU5UQwEAAAAQIklRX1BFX0VYQ0xfRldEIg5JUV9QRV9FWENMX0ZXRAIAAAAGSVFfTlRNBDYwMDADAAAACyIxLzI1LzIwMDgiCTEvMjUvMjAwOAAAAAAEAAAAAAAAAA8iTmFzZGFxR1M6SU5UQyINTmFzZGFxR1M6SU5UQwEAAAAQIklRX1BFX0VYQ0xfRldEIg5JUV9QRV9FWENMX0ZXRAIAAAAGSVFfTlRNBDYwMDADAAAACyIxLzE4LzIwMDgiCTEvMTgvMjAwOAAAAAAEAAAAAAAAAA8iTmFzZGFxR1M6SU5UQyINTmFzZGFxR1M6SU5UQwEAAAAQIklRX1BFX0VYQ0xfRldEIg5JUV9QRV9FWENMX0ZXRAIAAAAGSVFfTlRNBDYwMDADAAAACyIxLzExLzIwMDgiCTEvMTEvMjAwOAAAAAAEAAAAAAAAAA8iTmFzZGFxR1M6SU5UQyINTmFzZGFxR1M6SU5UQwEAAAAQIklRX1BFX0VYQ0xfRldEIg5JUV9QRV9FWENMX0ZXRAIAAAAGSVFfTlRNBDYwMDADAAAACiIxLzQvMjAwOCIIMS80LzIwMDgAAAAABAAAAAAAAAAPIk5hc2RhcUdTOklOVEMiDU5hc2RhcUdT</t>
  </si>
  <si>
    <t>OklOVEMBAAAAECJJUV9QRV9FWENMX0ZXRCIOSVFfUEVfRVhDTF9GV0QCAAAABklRX05UTQQ2MDAwAwAAAAwiMTIvMjgvMjAwNyIKMTIvMjgvMjAwNwAAAAAEAAAAAAAAAA8iTmFzZGFxR1M6SU5UQyINTmFzZGFxR1M6SU5UQwEAAAAQIklRX1BFX0VYQ0xfRldEIg5JUV9QRV9FWENMX0ZXRAIAAAAGSVFfTlRNBDYwMDADAAAADCIxMi8yMS8yMDA3IgoxMi8yMS8yMDA3AAAAAAQAAAAAAAAADyJOYXNkYXFHUzpJTlRDIg1OYXNkYXFHUzpJTlRDAQAAABAiSVFfUEVfRVhDTF9GV0QiDklRX1BFX0VYQ0xfRldEAgAAAAZJUV9OVE0ENjAwMAMAAAAMIjEyLzE0LzIwMDciCjEyLzE0LzIwMDcAAAAABAAAAAAAAAAPIk5hc2RhcUdTOklOVEMiDU5hc2RhcUdTOklOVEMBAAAAECJJUV9QRV9FWENMX0ZXRCIOSVFfUEVfRVhDTF9GV0QCAAAABklRX05UTQQ2MDAwAwAAAAsiMTIvNy8yMDA3IgkxMi83LzIwMDcAAAAABAAAAAAAAAAPIk5hc2RhcUdTOklOVEMiDU5hc2RhcUdTOklOVEMBAAAAECJJUV9QRV9FWENMX0ZXRCIOSVFfUEVfRVhDTF9GV0QCAAAABklRX05UTQQ2MDAwAwAAAAwiMTEvMzAvMjAwNyIKMTEvMzAvMjAwNwAAAAAEAAAAAAAAAA8iTmFzZGFxR1M6SU5UQyINTmFzZGFxR1M6SU5UQwEAAAAQIklRX1BFX0VYQ0xfRldEIg5JUV9QRV9FWENMX0ZXRAIAAAAGSVFfTlRNBDYwMDADAAAADCIxMS8yMy8yMDA3</t>
  </si>
  <si>
    <t>IgoxMS8yMy8yMDA3AAAAAAQAAAAAAAAADyJOYXNkYXFHUzpJTlRDIg1OYXNkYXFHUzpJTlRDAQAAABAiSVFfUEVfRVhDTF9GV0QiDklRX1BFX0VYQ0xfRldEAgAAAAZJUV9OVE0ENjAwMAMAAAAMIjExLzE2LzIwMDciCjExLzE2LzIwMDcAAAAABAAAAAAAAAAPIk5hc2RhcUdTOklOVEMiDU5hc2RhcUdTOklOVEMBAAAAECJJUV9QRV9FWENMX0ZXRCIOSVFfUEVfRVhDTF9GV0QCAAAABklRX05UTQQ2MDAwAwAAAAsiMTEvOS8yMDA3IgkxMS85LzIwMDcAAAAABAAAAAAAAAAPIk5hc2RhcUdTOklOVEMiDU5hc2RhcUdTOklOVEMBAAAAECJJUV9QRV9FWENMX0ZXRCIOSVFfUEVfRVhDTF9GV0QCAAAABklRX05UTQQ2MDAwAwAAAAsiMTEvMi8yMDA3IgkxMS8yLzIwMDcAAAAABAAAAAAAAAAPIk5hc2RhcUdTOklOVEMiDU5hc2RhcUdTOklOVEMBAAAAECJJUV9QRV9FWENMX0ZXRCIOSVFfUEVfRVhDTF9GV0QCAAAABklRX05UTQQ2MDAwAwAAAAwiMTAvMjYvMjAwNyIKMTAvMjYvMjAwNwAAAAAEAAAAAAAAAA8iTmFzZGFxR1M6SU5UQyINTmFzZGFxR1M6SU5UQwEAAAAQIklRX1BFX0VYQ0xfRldEIg5JUV9QRV9FWENMX0ZXRAIAAAAGSVFfTlRNBDYwMDADAAAADCIxMC8xOS8yMDA3IgoxMC8xOS8yMDA3AAAAAAQAAAAAAAAADyJOYXNkYXFHUzpJTlRDIg1OYXNkYXFHUzpJTlRDAQAAABAiSVFfUEVfRVhDTF9GV0Qi</t>
  </si>
  <si>
    <t>DklRX1BFX0VYQ0xfRldEAgAAAAZJUV9OVE0ENjAwMAMAAAAMIjEwLzEyLzIwMDciCjEwLzEyLzIwMDcAAAAABAAAAAAAAAAPIk5hc2RhcUdTOklOVEMiDU5hc2RhcUdTOklOVEMBAAAAECJJUV9QRV9FWENMX0ZXRCIOSVFfUEVfRVhDTF9GV0QCAAAABklRX05UTQQ2MDAwAwAAAAsiMTAvNS8yMDA3IgkxMC81LzIwMDcAAAAABAAAAAAAAAAPIk5hc2RhcUdTOklOVEMiDU5hc2RhcUdTOklOVEMBAAAAECJJUV9QRV9FWENMX0ZXRCIOSVFfUEVfRVhDTF9GV0QCAAAABklRX05UTQQ2MDAwAwAAAAsiOS8yOC8yMDA3Igk5LzI4LzIwMDcAAAAABAAAAAAAAAAPIk5hc2RhcUdTOklOVEMiDU5hc2RhcUdTOklOVEMBAAAAECJJUV9QRV9FWENMX0ZXRCIOSVFfUEVfRVhDTF9GV0QCAAAABklRX05UTQQ2MDAwAwAAAAsiOS8yMS8yMDA3Igk5LzIxLzIwMDcAAAAABAAAAAAAAAAPIk5hc2RhcUdTOklOVEMiDU5hc2RhcUdTOklOVEMBAAAAECJJUV9QRV9FWENMX0ZXRCIOSVFfUEVfRVhDTF9GV0QCAAAABklRX05UTQQ2MDAwAwAAAAsiOS8xNC8yMDA3Igk5LzE0LzIwMDcAAAAABAAAAAAAAAAPIk5hc2RhcUdTOklOVEMiDU5hc2RhcUdTOklOVEMBAAAAECJJUV9QRV9FWENMX0ZXRCIOSVFfUEVfRVhDTF9GV0QCAAAABklRX05UTQQ2MDAwAwAAAAoiOS83LzIwMDciCDkvNy8yMDA3AAAAAAQAAAAAAAAADyJOYXNkYXFHUzpJ</t>
  </si>
  <si>
    <t>TlRDIg1OYXNkYXFHUzpJTlRDAQAAABAiSVFfUEVfRVhDTF9GV0QiDklRX1BFX0VYQ0xfRldEAgAAAAZJUV9OVE0ENjAwMAMAAAALIjgvMzEvMjAwNyIJOC8zMS8yMDA3AAAAAAQAAAAAAAAADyJOYXNkYXFHUzpJTlRDIg1OYXNkYXFHUzpJTlRDAQAAABAiSVFfUEVfRVhDTF9GV0QiDklRX1BFX0VYQ0xfRldEAgAAAAZJUV9OVE0ENjAwMAMAAAALIjgvMjQvMjAwNyIJOC8yNC8yMDA3AAAAAAQAAAAAAAAADyJOYXNkYXFHUzpJTlRDIg1OYXNkYXFHUzpJTlRDAQAAABAiSVFfUEVfRVhDTF9GV0QiDklRX1BFX0VYQ0xfRldEAgAAAAZJUV9OVE0ENjAwMAMAAAALIjgvMTcvMjAwNyIJOC8xNy8yMDA3AAAAAAQAAAAAAAAADyJOYXNkYXFHUzpJTlRDIg1OYXNkYXFHUzpJTlRDAQAAABAiSVFfUEVfRVhDTF9GV0QiDklRX1BFX0VYQ0xfRldEAgAAAAZJUV9OVE0ENjAwMAMAAAALIjgvMTAvMjAwNyIJOC8xMC8yMDA3AAAAAAQAAAAAAAAADyJOYXNkYXFHUzpJTlRDIg1OYXNkYXFHUzpJTlRDAQAAABAiSVFfUEVfRVhDTF9GV0QiDklRX1BFX0VYQ0xfRldEAgAAAAZJUV9OVE0ENjAwMAMAAAAKIjgvMy8yMDA3Igg4LzMvMjAwNwAAAAAEAAAAAAAAAA8iTmFzZGFxR1M6SU5UQyINTmFzZGFxR1M6SU5UQwEAAAAQIklRX1BFX0VYQ0xfRldEIg5JUV9QRV9FWENMX0ZXRAIAAAAGSVFfTlRNBDYwMDADAAAACyI3LzI3LzIw</t>
  </si>
  <si>
    <t>MDciCTcvMjcvMjAwNwAAAAAEAAAAAAAAAA8iTmFzZGFxR1M6SU5UQyINTmFzZGFxR1M6SU5UQwEAAAAQIklRX1BFX0VYQ0xfRldEIg5JUV9QRV9FWENMX0ZXRAIAAAAGSVFfTlRNBDYwMDADAAAACyI3LzIwLzIwMDciCTcvMjAvMjAwNwAAAAAEAAAAAAAAAA8iTmFzZGFxR1M6SU5UQyINTmFzZGFxR1M6SU5UQwEAAAAQIklRX1BFX0VYQ0xfRldEIg5JUV9QRV9FWENMX0ZXRAIAAAAGSVFfTlRNBDYwMDADAAAACyI3LzEzLzIwMDciCTcvMTMvMjAwNwAAAAAEAAAAAAAAAA8iTmFzZGFxR1M6SU5UQyINTmFzZGFxR1M6SU5UQwEAAAAQIklRX1BFX0VYQ0xfRldEIg5JUV9QRV9FWENMX0ZXRAIAAAAGSVFfTlRNBDYwMDADAAAACiI3LzYvMjAwNyIINy82LzIwMDcAAAAABAAAAAAAAAAPIk5hc2RhcUdTOklOVEMiDU5hc2RhcUdTOklOVEMBAAAAECJJUV9QRV9FWENMX0ZXRCIOSVFfUEVfRVhDTF9GV0QCAAAABklRX05UTQQ2MDAwAwAAAAsiNi8yOS8yMDA3Igk2LzI5LzIwMDcAAAAABAAAAAAAAAAPIk5hc2RhcUdTOklOVEMiDU5hc2RhcUdTOklOVEMBAAAAECJJUV9QRV9FWENMX0ZXRCIOSVFfUEVfRVhDTF9GV0QCAAAABklRX05UTQQ2MDAwAwAAAAsiNi8yMi8yMDA3Igk2LzIyLzIwMDcAAAAABAAAAAAAAAAPIk5hc2RhcUdTOklOVEMiDU5hc2RhcUdTOklOVEMBAAAAECJJUV9QRV9FWENMX0ZXRCIOSVFfUEVf</t>
  </si>
  <si>
    <t>RVhDTF9GV0QCAAAABklRX05UTQQ2MDAwAwAAAAsiNi8xNS8yMDA3Igk2LzE1LzIwMDcAAAAABAAAAAAAAAAPIk5hc2RhcUdTOklOVEMiDU5hc2RhcUdTOklOVEMBAAAAECJJUV9QRV9FWENMX0ZXRCIOSVFfUEVfRVhDTF9GV0QCAAAABklRX05UTQQ2MDAwAwAAAAoiNi84LzIwMDciCDYvOC8yMDA3AAAAAAQAAAAAAAAADyJOYXNkYXFHUzpJTlRDIg1OYXNkYXFHUzpJTlRDAQAAABAiSVFfUEVfRVhDTF9GV0QiDklRX1BFX0VYQ0xfRldEAgAAAAZJUV9OVE0ENjAwMAMAAAAKIjYvMS8yMDA3Igg2LzEvMjAwNwAAAAAEAAAAAAAAAA8iTmFzZGFxR1M6SU5UQyINTmFzZGFxR1M6SU5UQwEAAAAQIklRX1BFX0VYQ0xfRldEIg5JUV9QRV9FWENMX0ZXRAIAAAAGSVFfTlRNBDYwMDADAAAACyI1LzI1LzIwMDciCTUvMjUvMjAwNwAAAAAEAAAAAAAAAA8iTmFzZGFxR1M6SU5UQyINTmFzZGFxR1M6SU5UQwEAAAAQIklRX1BFX0VYQ0xfRldEIg5JUV9QRV9FWENMX0ZXRAIAAAAGSVFfTlRNBDYwMDADAAAACyI1LzE4LzIwMDciCTUvMTgvMjAwNwAAAAAEAAAAAAAAAA8iTmFzZGFxR1M6SU5UQyINTmFzZGFxR1M6SU5UQwEAAAAQIklRX1BFX0VYQ0xfRldEIg5JUV9QRV9FWENMX0ZXRAIAAAAGSVFfTlRNBDYwMDADAAAACyI1LzExLzIwMDciCTUvMTEvMjAwNwAAAAAEAAAAAAAAAA8iTmFzZGFxR1M6SU5UQyINTmFzZGFx</t>
  </si>
  <si>
    <t>R1M6SU5UQwEAAAAQIklRX1BFX0VYQ0xfRldEIg5JUV9QRV9FWENMX0ZXRAIAAAAGSVFfTlRNBDYwMDADAAAACiI1LzQvMjAwNyIINS80LzIwMDcAAAAABAAAAAAAAAAPIk5hc2RhcUdTOklOVEMiDU5hc2RhcUdTOklOVEMBAAAAECJJUV9QRV9FWENMX0ZXRCIOSVFfUEVfRVhDTF9GV0QCAAAABklRX05UTQQ2MDAwAwAAAAsiNC8yNy8yMDA3Igk0LzI3LzIwMDcAAAAABAAAAAAAAAAPIk5hc2RhcUdTOklOVEMiDU5hc2RhcUdTOklOVEMBAAAAECJJUV9QRV9FWENMX0ZXRCIOSVFfUEVfRVhDTF9GV0QCAAAABklRX05UTQQ2MDAwAwAAAAsiNC8yMC8yMDA3Igk0LzIwLzIwMDcAAAAABAAAAAAAAAAPIk5hc2RhcUdTOklOVEMiDU5hc2RhcUdTOklOVEMBAAAAECJJUV9QRV9FWENMX0ZXRCIOSVFfUEVfRVhDTF9GV0QCAAAABklRX05UTQQ2MDAwAwAAAAsiNC8xMy8yMDA3Igk0LzEzLzIwMDcAAAAABAAAAAAAAAAPIk5hc2RhcUdTOklOVEMiDU5hc2RhcUdTOklOVEMBAAAAECJJUV9QRV9FWENMX0ZXRCIOSVFfUEVfRVhDTF9GV0QCAAAABklRX05UTQQ2MDAwAwAAAAoiNC81LzIwMDciCDQvNS8yMDA3AAAAAAQAAAAAAAAADyJOYXNkYXFHUzpJTlRDIg1OYXNkYXFHUzpJTlRDAQAAABAiSVFfUEVfRVhDTF9GV0QiDklRX1BFX0VYQ0xfRldEAgAAAAZJUV9OVE0ENjAwMAMAAAALIjMvMzAvMjAwNyIJMy8zMC8yMDA3</t>
  </si>
  <si>
    <t>AAAAAAQAAAAAAAAADyJOYXNkYXFHUzpJTlRDIg1OYXNkYXFHUzpJTlRDAQAAABAiSVFfUEVfRVhDTF9GV0QiDklRX1BFX0VYQ0xfRldEAgAAAAZJUV9OVE0ENjAwMAMAAAALIjMvMjMvMjAwNyIJMy8yMy8yMDA3AAAAAAQAAAAAAAAADyJOYXNkYXFHUzpJTlRDIg1OYXNkYXFHUzpJTlRDAQAAABAiSVFfUEVfRVhDTF9GV0QiDklRX1BFX0VYQ0xfRldEAgAAAAZJUV9OVE0ENjAwMAMAAAALIjMvMTYvMjAwNyIJMy8xNi8yMDA3AAAAAAQAAAAAAAAADyJOYXNkYXFHUzpJTlRDIg1OYXNkYXFHUzpJTlRDAQAAABAiSVFfUEVfRVhDTF9GV0QiDklRX1BFX0VYQ0xfRldEAgAAAAZJUV9OVE0ENjAwMAMAAAAKIjMvOS8yMDA3IggzLzkvMjAwNwAAAAAEAAAAAAAAAA8iTmFzZGFxR1M6SU5UQyINTmFzZGFxR1M6SU5UQwEAAAAQIklRX1BFX0VYQ0xfRldEIg5JUV9QRV9FWENMX0ZXRAIAAAAGSVFfTlRNBDYwMDADAAAACiIzLzIvMjAwNyIIMy8yLzIwMDcAAAAABAAAAAAAAAAPIk5hc2RhcUdTOklOVEMiDU5hc2RhcUdTOklOVEMBAAAAECJJUV9QRV9FWENMX0ZXRCIOSVFfUEVfRVhDTF9GV0QCAAAABklRX05UTQQ2MDAwAwAAAAsiMi8yMy8yMDA3IgkyLzIzLzIwMDcAAAAABAAAAAAAAAAPIk5hc2RhcUdTOklOVEMiDU5hc2RhcUdTOklOVEMBAAAAECJJUV9QRV9FWENMX0ZXRCIOSVFfUEVfRVhDTF9GV0QCAAAABklR</t>
  </si>
  <si>
    <t>X05UTQQ2MDAwAwAAAAsiMi8xNi8yMDA3IgkyLzE2LzIwMDcAAAAABAAAAAAAAAAPIk5hc2RhcUdTOklOVEMiDU5hc2RhcUdTOklOVEMBAAAAECJJUV9QRV9FWENMX0ZXRCIOSVFfUEVfRVhDTF9GV0QCAAAABklRX05UTQQ2MDAwAwAAAAoiMi85LzIwMDciCDIvOS8yMDA3AAAAAAQAAAAAAAAADyJOYXNkYXFHUzpJTlRDIg1OYXNkYXFHUzpJTlRDAQAAABAiSVFfUEVfRVhDTF9GV0QiDklRX1BFX0VYQ0xfRldEAgAAAAZJUV9OVE0ENjAwMAMAAAAKIjIvMi8yMDA3IggyLzIvMjAwNwAAAAAEAAAAAAAAAA8iTmFzZGFxR1M6SU5UQyINTmFzZGFxR1M6SU5UQwEAAAAQIklRX1BFX0VYQ0xfRldEIg5JUV9QRV9FWENMX0ZXRAIAAAAGSVFfTlRNBDYwMDADAAAACyIxLzI2LzIwMDciCTEvMjYvMjAwNwAAAAAEAAAAAAAAAA8iTmFzZGFxR1M6SU5UQyINTmFzZGFxR1M6SU5UQwEAAAAQIklRX1BFX0VYQ0xfRldEIg5JUV9QRV9FWENMX0ZXRAIAAAAGSVFfTlRNBDYwMDADAAAACyIxLzE5LzIwMDciCTEvMTkvMjAwNwAAAAAEAAAAAAAAAA8iTmFzZGFxR1M6SU5UQyINTmFzZGFxR1M6SU5UQwEAAAAQIklRX1BFX0VYQ0xfRldEIg5JUV9QRV9FWENMX0ZXRAIAAAAGSVFfTlRNBDYwMDADAAAACyIxLzEyLzIwMDciCTEvMTIvMjAwNwAAAAAEAAAAAAAAAA8iTmFzZGFxR1M6SU5UQyINTmFzZGFxR1M6SU5UQwEAAAAQIklR</t>
  </si>
  <si>
    <t>X1BFX0VYQ0xfRldEIg5JUV9QRV9FWENMX0ZXRAIAAAAGSVFfTlRNBDYwMDADAAAACiIxLzUvMjAwNyIIMS81LzIwMDcAAAAABAAAAAAAAAAPIk5hc2RhcUdTOklOVEMiDU5hc2RhcUdTOklOVEMBAAAAECJJUV9QRV9FWENMX0ZXRCIOSVFfUEVfRVhDTF9GV0QCAAAABklRX05UTQQ2MDAwAwAAAAwiMTIvMjkvMjAwNiIKMTIvMjkvMjAwNgAAAAAEAAAAAAAAAA8iTmFzZGFxR1M6SU5UQyINTmFzZGFxR1M6SU5UQwEAAAAQIklRX1BFX0VYQ0xfRldEIg5JUV9QRV9FWENMX0ZXRAIAAAAGSVFfTlRNBDYwMDADAAAADCIxMi8yMi8yMDA2IgoxMi8yMi8yMDA2AAAAAAQAAAAAAAAADyJOYXNkYXFHUzpJTlRDIg1OYXNkYXFHUzpJTlRDAQAAABAiSVFfUEVfRVhDTF9GV0QiDklRX1BFX0VYQ0xfRldEAgAAAAZJUV9OVE0ENjAwMAMAAAAMIjEyLzE1LzIwMDYiCjEyLzE1LzIwMDYAAAAABAAAAAAAAAAPIk5hc2RhcUdTOklOVEMiDU5hc2RhcUdTOklOVEMBAAAAECJJUV9QRV9FWENMX0ZXRCIOSVFfUEVfRVhDTF9GV0QCAAAABklRX05UTQQ2MDAwAwAAAAsiMTIvOC8yMDA2IgkxMi84LzIwMDYAAAAABAAAAAAAAAAPIk5hc2RhcUdTOklOVEMiDU5hc2RhcUdTOklOVEMBAAAAECJJUV9QRV9FWENMX0ZXRCIOSVFfUEVfRVhDTF9GV0QCAAAABklRX05UTQQ2MDAwAwAAAAsiMTIvMS8yMDA2IgkxMi8xLzIwMDYAAAAABAAA</t>
  </si>
  <si>
    <t>AAAAAAAPIk5hc2RhcUdTOklOVEMiDU5hc2RhcUdTOklOVEMBAAAAECJJUV9QRV9FWENMX0ZXRCIOSVFfUEVfRVhDTF9GV0QCAAAABklRX05UTQQ2MDAwAwAAAAwiMTEvMjQvMjAwNiIKMTEvMjQvMjAwNgAAAAAEAAAAAAAAAA8iTmFzZGFxR1M6SU5UQyINTmFzZGFxR1M6SU5UQwEAAAAQIklRX1BFX0VYQ0xfRldEIg5JUV9QRV9FWENMX0ZXRAIAAAAGSVFfTlRNBDYwMDADAAAADCIxMS8xNy8yMDA2IgoxMS8xNy8yMDA2AAAAAAQAAAAAAAAADyJOYXNkYXFHUzpJTlRDIg1OYXNkYXFHUzpJTlRDAQAAABAiSVFfUEVfRVhDTF9GV0QiDklRX1BFX0VYQ0xfRldEAgAAAAZJUV9OVE0ENjAwMAMAAAAMIjExLzEwLzIwMDYiCjExLzEwLzIwMDYAAAAABAAAAAAAAAAPIk5hc2RhcUdTOklOVEMiDU5hc2RhcUdTOklOVEMBAAAAECJJUV9QRV9FWENMX0ZXRCIOSVFfUEVfRVhDTF9GV0QCAAAABklRX05UTQQ2MDAwAwAAAAsiMTEvMy8yMDA2IgkxMS8zLzIwMDYAAAAABAAAAAAAAAAPIk5hc2RhcUdTOklOVEMiDU5hc2RhcUdTOklOVEMBAAAAECJJUV9QRV9FWENMX0ZXRCIOSVFfUEVfRVhDTF9GV0QCAAAABklRX05UTQQ2MDAwAwAAAAwiMTAvMjcvMjAwNiIKMTAvMjcvMjAwNgAAAAAEAAAAAAAAAA8iTmFzZGFxR1M6SU5UQyINTmFzZGFxR1M6SU5UQwEAAAAQIklRX1BFX0VYQ0xfRldEIg5JUV9QRV9FWENMX0ZXRAIA</t>
  </si>
  <si>
    <t>AAAGSVFfTlRNBDYwMDADAAAADCIxMC8yMC8yMDA2IgoxMC8yMC8yMDA2AAAAAAQAAAAAAAAADyJOYXNkYXFHUzpJTlRDIg1OYXNkYXFHUzpJTlRDAQAAABAiSVFfUEVfRVhDTF9GV0QiDklRX1BFX0VYQ0xfRldEAgAAAAZJUV9OVE0ENjAwMAMAAAAMIjEwLzEzLzIwMDYiCjEwLzEzLzIwMDYAAAAABAAAAAAAAAAPIk5hc2RhcUdTOklOVEMiDU5hc2RhcUdTOklOVEMBAAAAECJJUV9QRV9FWENMX0ZXRCIOSVFfUEVfRVhDTF9GV0QCAAAABklRX05UTQQ2MDAwAwAAAAsiMTAvNi8yMDA2IgkxMC82LzIwMDYAAAAABAAAAAAAAAAPIk5hc2RhcUdTOklOVEMiDU5hc2RhcUdTOklOVEMBAAAAECJJUV9QRV9FWENMX0ZXRCIOSVFfUEVfRVhDTF9GV0QCAAAABklRX05UTQQ2MDAwAwAAAAsiOS8yOS8yMDA2Igk5LzI5LzIwMDYAAAAABAAAAAAAAAAPIk5hc2RhcUdTOklOVEMiDU5hc2RhcUdTOklOVEMBAAAAECJJUV9QRV9FWENMX0ZXRCIOSVFfUEVfRVhDTF9GV0QCAAAABklRX05UTQQ2MDAwAwAAAAsiOS8yMi8yMDA2Igk5LzIyLzIwMDYAAAAABAAAAAAAAAAPIk5hc2RhcUdTOklOVEMiDU5hc2RhcUdTOklOVEMBAAAAECJJUV9QRV9FWENMX0ZXRCIOSVFfUEVfRVhDTF9GV0QCAAAABklRX05UTQQ2MDAwAwAAAAsiOS8xNS8yMDA2Igk5LzE1LzIwMDYAAAAABAAAAAAAAAAPIk5hc2RhcUdTOklOVEMiDU5hc2RhcUdT</t>
  </si>
  <si>
    <t>OklOVEMBAAAAECJJUV9QRV9FWENMX0ZXRCIOSVFfUEVfRVhDTF9GV0QCAAAABklRX05UTQQ2MDAwAwAAAAoiOS84LzIwMDYiCDkvOC8yMDA2AAAAAAQAAAAAAAAADyJOYXNkYXFHUzpJTlRDIg1OYXNkYXFHUzpJTlRDAQAAABAiSVFfUEVfRVhDTF9GV0QiDklRX1BFX0VYQ0xfRldEAgAAAAZJUV9OVE0ENjAwMAMAAAAKIjkvMS8yMDA2Igg5LzEvMjAwNgAAAAAEAAAAAAAAAA8iTmFzZGFxR1M6SU5UQyINTmFzZGFxR1M6SU5UQwEAAAAQIklRX1BFX0VYQ0xfRldEIg5JUV9QRV9FWENMX0ZXRAIAAAAGSVFfTlRNBDYwMDADAAAACyI4LzI1LzIwMDYiCTgvMjUvMjAwNgAAAAAEAAAAAAAAAA8iTmFzZGFxR1M6SU5UQyINTmFzZGFxR1M6SU5UQwEAAAAQIklRX1BFX0VYQ0xfRldEIg5JUV9QRV9FWENMX0ZXRAIAAAAGSVFfTlRNBDYwMDADAAAACyI4LzE4LzIwMDYiCTgvMTgvMjAwNgAAAAAEAAAAAAAAAA8iTmFzZGFxR1M6SU5UQyINTmFzZGFxR1M6SU5UQwEAAAAQIklRX1BFX0VYQ0xfRldEIg5JUV9QRV9FWENMX0ZXRAIAAAAGSVFfTlRNBDYwMDADAAAACyI4LzExLzIwMDYiCTgvMTEvMjAwNgAAAAAEAAAAAAAAAA8iTmFzZGFxR1M6SU5UQyINTmFzZGFxR1M6SU5UQwEAAAAQIklRX1BFX0VYQ0xfRldEIg5JUV9QRV9FWENMX0ZXRAIAAAAGSVFfTlRNBDYwMDADAAAACiI4LzQvMjAwNiIIOC80LzIwMDYAAAAA</t>
  </si>
  <si>
    <t>BAAAAAAAAAAPIk5hc2RhcUdTOklOVEMiDU5hc2RhcUdTOklOVEMBAAAAECJJUV9QRV9FWENMX0ZXRCIOSVFfUEVfRVhDTF9GV0QCAAAABklRX05UTQQ2MDAwAwAAAAsiNy8yOC8yMDA2Igk3LzI4LzIwMDYAAAAABAAAAAAAAAAPIk5hc2RhcUdTOklOVEMiDU5hc2RhcUdTOklOVEMBAAAAECJJUV9QRV9FWENMX0ZXRCIOSVFfUEVfRVhDTF9GV0QCAAAABklRX05UTQQ2MDAwAwAAAAsiNy8yMS8yMDA2Igk3LzIxLzIwMDYAAAAABAAAAAAAAAAPIk5hc2RhcUdTOklOVEMiDU5hc2RhcUdTOklOVEMBAAAAECJJUV9QRV9FWENMX0ZXRCIOSVFfUEVfRVhDTF9GV0QCAAAABklRX05UTQQ2MDAwAwAAAAsiNy8xNC8yMDA2Igk3LzE0LzIwMDYAAAAABAAAAAAAAAAPIk5hc2RhcUdTOklOVEMiDU5hc2RhcUdTOklOVEMBAAAAECJJUV9QRV9FWENMX0ZXRCIOSVFfUEVfRVhDTF9GV0QCAAAABklRX05UTQQ2MDAwAwAAAAoiNy83LzIwMDYiCDcvNy8yMDA2AAAAAAQAAAAAAAAADyJOYXNkYXFHUzpJTlRDIg1OYXNkYXFHUzpJTlRDAQAAABAiSVFfUEVfRVhDTF9GV0QiDklRX1BFX0VYQ0xfRldEAgAAAAZJUV9OVE0ENjAwMAMAAAALIjYvMzAvMjAwNiIJNi8zMC8yMDA2AAAAAAQAAAAAAAAADyJOYXNkYXFHUzpJTlRDIg1OYXNkYXFHUzpJTlRDAQAAABAiSVFfUEVfRVhDTF9GV0QiDklRX1BFX0VYQ0xfRldEAgAAAAZJUV9O</t>
  </si>
  <si>
    <t>VE0ENjAwMAMAAAALIjYvMjMvMjAwNiIJNi8yMy8yMDA2AAAAAAQAAAAAAAAADyJOYXNkYXFHUzpJTlRDIg1OYXNkYXFHUzpJTlRDAQAAABAiSVFfUEVfRVhDTF9GV0QiDklRX1BFX0VYQ0xfRldEAgAAAAZJUV9OVE0ENjAwMAMAAAALIjYvMTYvMjAwNiIJNi8xNi8yMDA2AAAAAAQAAAAAAAAADyJOYXNkYXFHUzpJTlRDIg1OYXNkYXFHUzpJTlRDAQAAABAiSVFfUEVfRVhDTF9GV0QiDklRX1BFX0VYQ0xfRldEAgAAAAZJUV9OVE0ENjAwMAMAAAAKIjYvOS8yMDA2Igg2LzkvMjAwNgAAAAAEAAAAAAAAAA8iTmFzZGFxR1M6SU5UQyINTmFzZGFxR1M6SU5UQwEAAAAQIklRX1BFX0VYQ0xfRldEIg5JUV9QRV9FWENMX0ZXRAIAAAAGSVFfTlRNBDYwMDADAAAACiI2LzIvMjAwNiIINi8yLzIwMDYAAAAABAAAAAAAAAAPIk5hc2RhcUdTOklOVEMiDU5hc2RhcUdTOklOVEMBAAAAECJJUV9QRV9FWENMX0ZXRCIOSVFfUEVfRVhDTF9GV0QCAAAABklRX05UTQQ2MDAwAwAAAAsiNS8yNi8yMDA2Igk1LzI2LzIwMDYAAAAABAAAAAAAAAAPIk5hc2RhcUdTOklOVEMiDU5hc2RhcUdTOklOVEMBAAAAECJJUV9QRV9FWENMX0ZXRCIOSVFfUEVfRVhDTF9GV0QCAAAABklRX05UTQQ2MDAwAwAAAAsiNS8xOS8yMDA2Igk1LzE5LzIwMDYAAAAABAAAAAAAAAAPIk5hc2RhcUdTOklOVEMiDU5hc2RhcUdTOklOVEMBAAAAECJJUV9Q</t>
  </si>
  <si>
    <t>RV9FWENMX0ZXRCIOSVFfUEVfRVhDTF9GV0QCAAAABklRX05UTQQ2MDAwAwAAAAsiNS8xMi8yMDA2Igk1LzEyLzIwMDYAAAAABAAAAAAAAAAPIk5hc2RhcUdTOklOVEMiDU5hc2RhcUdTOklOVEMBAAAAECJJUV9QRV9FWENMX0ZXRCIOSVFfUEVfRVhDTF9GV0QCAAAABklRX05UTQQ2MDAwAwAAAAoiNS81LzIwMDYiCDUvNS8yMDA2AAAAAAQAAAAAAAAADyJOYXNkYXFHUzpJTlRDIg1OYXNkYXFHUzpJTlRDAQAAABAiSVFfUEVfRVhDTF9GV0QiDklRX1BFX0VYQ0xfRldEAgAAAAZJUV9OVE0ENjAwMAMAAAALIjQvMjgvMjAwNiIJNC8yOC8yMDA2AAAAAAQAAAAAAAAADyJOYXNkYXFHUzpJTlRDIg1OYXNkYXFHUzpJTlRDAQAAABAiSVFfUEVfRVhDTF9GV0QiDklRX1BFX0VYQ0xfRldEAgAAAAZJUV9OVE0ENjAwMAMAAAALIjQvMjEvMjAwNiIJNC8yMS8yMDA2AAAAAAQAAAAAAAAADyJOYXNkYXFHUzpJTlRDIg1OYXNkYXFHUzpJTlRDAQAAABAiSVFfUEVfRVhDTF9GV0QiDklRX1BFX0VYQ0xfRldEAgAAAAZJUV9OVE0ENjAwMAMAAAALIjQvMTMvMjAwNiIJNC8xMy8yMDA2AAAAAAQAAAAAAAAADyJOYXNkYXFHUzpJTlRDIg1OYXNkYXFHUzpJTlRDAQAAABAiSVFfUEVfRVhDTF9GV0QiDklRX1BFX0VYQ0xfRldEAgAAAAZJUV9OVE0ENjAwMAMAAAAKIjQvNy8yMDA2Igg0LzcvMjAwNgAAAAAEAAAAAAAAAA8iTmFz</t>
  </si>
  <si>
    <t>ZGFxR1M6SU5UQyINTmFzZGFxR1M6SU5UQwEAAAAQIklRX1BFX0VYQ0xfRldEIg5JUV9QRV9FWENMX0ZXRAIAAAAGSVFfTlRNBDYwMDADAAAACyIzLzMxLzIwMDYiCTMvMzEvMjAwNgAAAAAEAAAAAAAAAA8iTmFzZGFxR1M6SU5UQyINTmFzZGFxR1M6SU5UQwEAAAAQIklRX1BFX0VYQ0xfRldEIg5JUV9QRV9FWENMX0ZXRAIAAAAGSVFfTlRNBDYwMDADAAAACyIzLzI0LzIwMDYiCTMvMjQvMjAwNgAAAAAEAAAAAAAAAA8iTmFzZGFxR1M6SU5UQyINTmFzZGFxR1M6SU5UQwEAAAAQIklRX1BFX0VYQ0xfRldEIg5JUV9QRV9FWENMX0ZXRAIAAAAGSVFfTlRNBDYwMDADAAAACyIzLzE3LzIwMDYiCTMvMTcvMjAwNgAAAAAEAAAAAAAAAA8iTmFzZGFxR1M6SU5UQyINTmFzZGFxR1M6SU5UQwEAAAAQIklRX1BFX0VYQ0xfRldEIg5JUV9QRV9FWENMX0ZXRAIAAAAGSVFfTlRNBDYwMDADAAAACyIzLzEwLzIwMDYiCTMvMTAvMjAwNgAAAAAEAAAAAAAAAA8iTmFzZGFxR1M6SU5UQyINTmFzZGFxR1M6SU5UQwEAAAAQIklRX1BFX0VYQ0xfRldEIg5JUV9QRV9FWENMX0ZXRAIAAAAGSVFfTlRNBDYwMDADAAAACiIzLzMvMjAwNiIIMy8zLzIwMDYAAAAABAAAAAAAAAAPIk5hc2RhcUdTOklOVEMiDU5hc2RhcUdTOklOVEMBAAAAECJJUV9QRV9FWENMX0ZXRCIOSVFfUEVfRVhDTF9GV0QCAAAABklRX05UTQQ2MDAwAwAAAAsi</t>
  </si>
  <si>
    <t>Mi8yNC8yMDA2IgkyLzI0LzIwMDYAAAAABAAAAAAAAAAPIk5hc2RhcUdTOklOVEMiDU5hc2RhcUdTOklOVEMBAAAAECJJUV9QRV9FWENMX0ZXRCIOSVFfUEVfRVhDTF9GV0QCAAAABklRX05UTQQ2MDAwAwAAAAsiMi8xNy8yMDA2IgkyLzE3LzIwMDYAAAAABAAAAAAAAAAPIk5hc2RhcUdTOklOVEMiDU5hc2RhcUdTOklOVEMBAAAAECJJUV9QRV9FWENMX0ZXRCIOSVFfUEVfRVhDTF9GV0QCAAAABklRX05UTQQ2MDAwAwAAAAsiMi8xMC8yMDA2IgkyLzEwLzIwMDYAAAAABAAAAAAAAAAPIk5hc2RhcUdTOklOVEMiDU5hc2RhcUdTOklOVEMBAAAAECJJUV9QRV9FWENMX0ZXRCIOSVFfUEVfRVhDTF9GV0QCAAAABklRX05UTQQ2MDAwAwAAAAoiMi8zLzIwMDYiCDIvMy8yMDA2AAAAAAQAAAAAAAAADyJOYXNkYXFHUzpJTlRDIg1OYXNkYXFHUzpJTlRDAQAAABAiSVFfUEVfRVhDTF9GV0QiDklRX1BFX0VYQ0xfRldEAgAAAAZJUV9OVE0ENjAwMAMAAAALIjEvMjcvMjAwNiIJMS8yNy8yMDA2AAAAAAQAAAAAAAAADyJOYXNkYXFHUzpJTlRDIg1OYXNkYXFHUzpJTlRDAQAAABAiSVFfUEVfRVhDTF9GV0QiDklRX1BFX0VYQ0xfRldEAgAAAAZJUV9OVE0ENjAwMAMAAAALIjEvMjAvMjAwNiIJMS8yMC8yMDA2AAAAAAQAAAAAAAAADyJOYXNkYXFHUzpJTlRDIg1OYXNkYXFHUzpJTlRDAQAAABAiSVFfUEVfRVhDTF9GV0Qi</t>
  </si>
  <si>
    <t>DklRX1BFX0VYQ0xfRldEAgAAAAZJUV9OVE0ENjAwMAMAAAALIjEvMTMvMjAwNiIJMS8xMy8yMDA2AAAAAAQAAAAAAAAADyJOYXNkYXFHUzpJTlRDIg1OYXNkYXFHUzpJTlRDAQAAABAiSVFfUEVfRVhDTF9GV0QiDklRX1BFX0VYQ0xfRldEAgAAAAZJUV9OVE0ENjAwMAMAAAAKIjEvNi8yMDA2IggxLzYvMjAwNgAAAAAEAAAAAAAAAA8iTmFzZGFxR1M6SU5UQyINTmFzZGFxR1M6SU5UQwEAAAAQIklRX1BFX0VYQ0xfRldEIg5JUV9QRV9FWENMX0ZXRAIAAAAGSVFfTlRNBDYwMDADAAAADCIxMi8zMC8yMDA1IgoxMi8zMC8yMDA1AAAAAAQAAAAAAAAADyJOYXNkYXFHUzpJTlRDIg1OYXNkYXFHUzpJTlRDAQAAABAiSVFfUEVfRVhDTF9GV0QiDklRX1BFX0VYQ0xfRldEAgAAAAZJUV9OVE0ENjAwMAMAAAAMIjEyLzIzLzIwMDUiCjEyLzIzLzIwMDUAAAAABAAAAAAAAAAPIk5hc2RhcUdTOklOVEMiDU5hc2RhcUdTOklOVEMBAAAAECJJUV9QRV9FWENMX0ZXRCIOSVFfUEVfRVhDTF9GV0QCAAAABklRX05UTQQ2MDAwAwAAAAwiMTIvMTYvMjAwNSIKMTIvMTYvMjAwNQAAAAAEAAAAAAAAAA8iTmFzZGFxR1M6SU5UQyINTmFzZGFxR1M6SU5UQwEAAAAQIklRX1BFX0VYQ0xfRldEIg5JUV9QRV9FWENMX0ZXRAIAAAAGSVFfTlRNBDYwMDADAAAACyIxMi85LzIwMDUiCTEyLzkvMjAwNQAAAAAEAAAAAAAAAA8iTmFzZGFx</t>
  </si>
  <si>
    <t>R1M6SU5UQyINTmFzZGFxR1M6SU5UQwEAAAAQIklRX1BFX0VYQ0xfRldEIg5JUV9QRV9FWENMX0ZXRAIAAAAGSVFfTlRNBDYwMDADAAAACyIxMi8yLzIwMDUiCTEyLzIvMjAwNQAAAAAEAAAAAAAAAA8iTmFzZGFxR1M6SU5UQyINTmFzZGFxR1M6SU5UQwEAAAAQIklRX1BFX0VYQ0xfRldEIg5JUV9QRV9FWENMX0ZXRAIAAAAGSVFfTlRNBDYwMDADAAAADCIxMS8yNS8yMDA1IgoxMS8yNS8yMDA1AAAAAAQAAAAAAAAADyJOYXNkYXFHUzpJTlRDIg1OYXNkYXFHUzpJTlRDAQAAABAiSVFfUEVfRVhDTF9GV0QiDklRX1BFX0VYQ0xfRldEAgAAAAZJUV9OVE0ENjAwMAMAAAAMIjExLzE4LzIwMDUiCjExLzE4LzIwMDUAAAAABAAAAAAAAAAPIk5hc2RhcUdTOklOVEMiDU5hc2RhcUdTOklOVEMBAAAAECJJUV9QRV9FWENMX0ZXRCIOSVFfUEVfRVhDTF9GV0QCAAAABklRX05UTQQ2MDAwAwAAAAwiMTEvMTEvMjAwNSIKMTEvMTEvMjAwNQAAAAAEAAAAAAAAAA8iTmFzZGFxR1M6SU5UQyINTmFzZGFxR1M6SU5UQwEAAAAQIklRX1BFX0VYQ0xfRldEIg5JUV9QRV9FWENMX0ZXRAIAAAAGSVFfTlRNBDYwMDADAAAACyIxMS80LzIwMDUiCTExLzQvMjAwNQAAAAAEAAAAAAAAAA8iTmFzZGFxR1M6SU5UQyINTmFzZGFxR1M6SU5UQwEAAAAQIklRX1BFX0VYQ0xfRldEIg5JUV9QRV9FWENMX0ZXRAIAAAAGSVFfTlRNBDYwMDAD</t>
  </si>
  <si>
    <t>AAAADCIxMC8yOC8yMDA1IgoxMC8yOC8yMDA1AAAAAAQAAAAAAAAADyJOYXNkYXFHUzpJTlRDIg1OYXNkYXFHUzpJTlRDAQAAABAiSVFfUEVfRVhDTF9GV0QiDklRX1BFX0VYQ0xfRldEAgAAAAZJUV9OVE0ENjAwMAMAAAAMIjEwLzIxLzIwMDUiCjEwLzIxLzIwMDUAAAAABAAAAAAAAAAPIk5hc2RhcUdTOklOVEMiDU5hc2RhcUdTOklOVEMBAAAAECJJUV9QRV9FWENMX0ZXRCIOSVFfUEVfRVhDTF9GV0QCAAAABklRX05UTQQ2MDAwAwAAAAwiMTAvMTQvMjAwNSIKMTAvMTQvMjAwNQAAAAAEAAAAAAAAAA8iTmFzZGFxR1M6SU5UQyINTmFzZGFxR1M6SU5UQwEAAAAQIklRX1BFX0VYQ0xfRldEIg5JUV9QRV9FWENMX0ZXRAIAAAAGSVFfTlRNBDYwMDADAAAACyIxMC83LzIwMDUiCTEwLzcvMjAwNQAAAAAEAAAAAAAAAA8iTmFzZGFxR1M6SU5UQyINTmFzZGFxR1M6SU5UQwEAAAAQIklRX1BFX0VYQ0xfRldEIg5JUV9QRV9FWENMX0ZXRAIAAAAGSVFfTlRNBDYwMDADAAAACyI5LzMwLzIwMDUiCTkvMzAvMjAwNQAAAAAEAAAAAAAAAA8iTmFzZGFxR1M6SU5UQyINTmFzZGFxR1M6SU5UQwEAAAAQIklRX1BFX0VYQ0xfRldEIg5JUV9QRV9FWENMX0ZXRAIAAAAGSVFfTlRNBDYwMDADAAAACyI5LzIzLzIwMDUiCTkvMjMvMjAwNQAAAAAEAAAAAAAAAA8iTmFzZGFxR1M6SU5UQyINTmFzZGFxR1M6SU5UQwEAAAAQIklR</t>
  </si>
  <si>
    <t>X1BFX0VYQ0xfRldEIg5JUV9QRV9FWENMX0ZXRAIAAAAGSVFfTlRNBDYwMDADAAAACyI5LzE2LzIwMDUiCTkvMTYvMjAwNQAAAAAEAAAAAAAAAA8iTmFzZGFxR1M6SU5UQyINTmFzZGFxR1M6SU5UQwEAAAAQIklRX1BFX0VYQ0xfRldEIg5JUV9QRV9FWENMX0ZXRAIAAAAGSVFfTlRNBDYwMDADAAAACiI5LzkvMjAwNSIIOS85LzIwMDUAAAAABAAAAAAAAAAPIk5hc2RhcUdTOklOVEMiDU5hc2RhcUdTOklOVEMBAAAAECJJUV9QRV9FWENMX0ZXRCIOSVFfUEVfRVhDTF9GV0QCAAAABklRX05UTQQ2MDAwAwAAAAoiOS8yLzIwMDUiCDkvMi8yMDA1AAAAAAQAAAAAAAAADyJOYXNkYXFHUzpJTlRDIg1OYXNkYXFHUzpJTlRDAQAAABAiSVFfUEVfRVhDTF9GV0QiDklRX1BFX0VYQ0xfRldEAgAAAAZJUV9OVE0ENjAwMAMAAAALIjgvMjYvMjAwNSIJOC8yNi8yMDA1AAAAAAQAAAAAAAAADyJOYXNkYXFHUzpJTlRDIg1OYXNkYXFHUzpJTlRDAQAAABAiSVFfUEVfRVhDTF9GV0QiDklRX1BFX0VYQ0xfRldEAgAAAAZJUV9OVE0ENjAwMAMAAAALIjgvMTkvMjAwNSIJOC8xOS8yMDA1AAAAAAQAAAAAAAAADyJOYXNkYXFHUzpJTlRDIg1OYXNkYXFHUzpJTlRDAQAAABAiSVFfUEVfRVhDTF9GV0QiDklRX1BFX0VYQ0xfRldEAgAAAAZJUV9OVE0ENjAwMAMAAAALIjgvMTIvMjAwNSIJOC8xMi8yMDA1AAAAAAQAAAAAAAAADyJO</t>
  </si>
  <si>
    <t>YXNkYXFHUzpJTlRDIg1OYXNkYXFHUzpJTlRDAQAAABAiSVFfUEVfRVhDTF9GV0QiDklRX1BFX0VYQ0xfRldEAgAAAAZJUV9OVE0ENjAwMAMAAAAKIjgvNS8yMDA1Igg4LzUvMjAwNQAAAAAEAAAAAAAAAA8iTmFzZGFxR1M6SU5UQyINTmFzZGFxR1M6SU5UQwEAAAAQIklRX1BFX0VYQ0xfRldEIg5JUV9QRV9FWENMX0ZXRAIAAAAGSVFfTlRNBDYwMDADAAAACyI3LzI5LzIwMDUiCTcvMjkvMjAwNQAAAAAEAAAAAAAAAA8iTmFzZGFxR1M6SU5UQyINTmFzZGFxR1M6SU5UQwEAAAAQIklRX1BFX0VYQ0xfRldEIg5JUV9QRV9FWENMX0ZXRAIAAAAGSVFfTlRNBDYwMDADAAAACyI3LzIyLzIwMDUiCTcvMjIvMjAwNQAAAAAEAAAAAAAAAA8iTmFzZGFxR1M6SU5UQyINTmFzZGFxR1M6SU5UQwEAAAAQIklRX1BFX0VYQ0xfRldEIg5JUV9QRV9FWENMX0ZXRAIAAAAGSVFfTlRNBDYwMDADAAAACyI3LzE1LzIwMDUiCTcvMTUvMjAwNQAAAAAEAAAAAAAAAA8iTmFzZGFxR1M6SU5UQyINTmFzZGFxR1M6SU5UQwEAAAAQIklRX1BFX0VYQ0xfRldEIg5JUV9QRV9FWENMX0ZXRAIAAAAGSVFfTlRNBDYwMDADAAAACiI3LzgvMjAwNSIINy84LzIwMDUAAAAABAAAAAAAAAAPIk5hc2RhcUdTOklOVEMiDU5hc2RhcUdTOklOVEMBAAAAECJJUV9QRV9FWENMX0ZXRCIOSVFfUEVfRVhDTF9GV0QCAAAABklRX05UTQQ2MDAwAwAAAAoi</t>
  </si>
  <si>
    <t>Ny8xLzIwMDUiCDcvMS8yMDA1AAAAAAQAAAAAAAAADyJOYXNkYXFHUzpJTlRDIg1OYXNkYXFHUzpJTlRDAQAAABAiSVFfUEVfRVhDTF9GV0QiDklRX1BFX0VYQ0xfRldEAgAAAAZJUV9OVE0ENjAwMAMAAAALIjYvMjQvMjAwNSIJNi8yNC8yMDA1AAAAAAQAAAAAAAAADyJOYXNkYXFHUzpJTlRDIg1OYXNkYXFHUzpJTlRDAQAAABAiSVFfUEVfRVhDTF9GV0QiDklRX1BFX0VYQ0xfRldEAgAAAAZJUV9OVE0ENjAwMAMAAAALIjYvMTcvMjAwNSIJNi8xNy8yMDA1AAAAAAQAAAAAAAAADyJOYXNkYXFHUzpJTlRDIg1OYXNkYXFHUzpJTlRDAQAAABAiSVFfUEVfRVhDTF9GV0QiDklRX1BFX0VYQ0xfRldEAgAAAAZJUV9OVE0ENjAwMAMAAAALIjYvMTAvMjAwNSIJNi8xMC8yMDA1AAAAAAQAAAAAAAAADyJOYXNkYXFHUzpJTlRDIg1OYXNkYXFHUzpJTlRDAQAAABAiSVFfUEVfRVhDTF9GV0QiDklRX1BFX0VYQ0xfRldEAgAAAAZJUV9OVE0ENjAwMAMAAAAKIjYvMy8yMDA1Igg2LzMvMjAwNQAAAAAEAAAAAAAAAA8iTmFzZGFxR1M6SU5UQyINTmFzZGFxR1M6SU5UQwEAAAAQIklRX1BFX0VYQ0xfRldEIg5JUV9QRV9FWENMX0ZXRAIAAAAGSVFfTlRNBDYwMDADAAAACyI1LzI3LzIwMDUiCTUvMjcvMjAwNQAAAAAEAAAAAAAAAA8iTmFzZGFxR1M6SU5UQyINTmFzZGFxR1M6SU5UQwEAAAAQIklRX1BFX0VYQ0xfRldEIg5J</t>
  </si>
  <si>
    <t>UV9QRV9FWENMX0ZXRAIAAAAGSVFfTlRNBDYwMDADAAAACyI1LzIwLzIwMDUiCTUvMjAvMjAwNQAAAAAEAAAAAAAAAA8iTmFzZGFxR1M6SU5UQyINTmFzZGFxR1M6SU5UQwEAAAAQIklRX1BFX0VYQ0xfRldEIg5JUV9QRV9FWENMX0ZXRAIAAAAGSVFfTlRNBDYwMDADAAAACyI1LzEzLzIwMDUiCTUvMTMvMjAwNQAAAAAEAAAAAAAAAA8iTmFzZGFxR1M6SU5UQyINTmFzZGFxR1M6SU5UQwEAAAAQIklRX1BFX0VYQ0xfRldEIg5JUV9QRV9FWENMX0ZXRAIAAAAGSVFfTlRNBDYwMDADAAAACiI1LzYvMjAwNSIINS82LzIwMDUAAAAABAAAAAAAAAAPIk5hc2RhcUdTOklOVEMiDU5hc2RhcUdTOklOVEMBAAAAECJJUV9QRV9FWENMX0ZXRCIOSVFfUEVfRVhDTF9GV0QCAAAABklRX05UTQQ2MDAwAwAAAAsiNC8yOS8yMDA1Igk0LzI5LzIwMDUAAAAABAAAAAAAAAAPIk5hc2RhcUdTOklOVEMiDU5hc2RhcUdTOklOVEMBAAAAECJJUV9QRV9FWENMX0ZXRCIOSVFfUEVfRVhDTF9GV0QCAAAABklRX05UTQQ2MDAwAwAAAAsiNC8yMi8yMDA1Igk0LzIyLzIwMDUAAAAABAAAAAAAAAAPIk5hc2RhcUdTOklOVEMiDU5hc2RhcUdTOklOVEMBAAAAECJJUV9QRV9FWENMX0ZXRCIOSVFfUEVfRVhDTF9GV0QCAAAABklRX05UTQQ2MDAwAwAAAAsiNC8xNS8yMDA1Igk0LzE1LzIwMDUAAAAABAAAAAAAAAAPIk5hc2RhcUdTOklOVEMi</t>
  </si>
  <si>
    <t>DU5hc2RhcUdTOklOVEMBAAAAECJJUV9QRV9FWENMX0ZXRCIOSVFfUEVfRVhDTF9GV0QCAAAABklRX05UTQQ2MDAwAwAAAAoiNC84LzIwMDUiCDQvOC8yMDA1AAAAAAQAAAAAAAAADyJOYXNkYXFHUzpJTlRDIg1OYXNkYXFHUzpJTlRDAQAAABAiSVFfUEVfRVhDTF9GV0QiDklRX1BFX0VYQ0xfRldEAgAAAAZJUV9OVE0ENjAwMAMAAAAKIjQvMS8yMDA1Igg0LzEvMjAwNQAAAAAEAAAAAAAAAA8iTmFzZGFxR1M6SU5UQyINTmFzZGFxR1M6SU5UQwEAAAAQIklRX1BFX0VYQ0xfRldEIg5JUV9QRV9FWENMX0ZXRAIAAAAGSVFfTlRNBDYwMDADAAAACyIzLzI0LzIwMDUiCTMvMjQvMjAwNQAAAAAEAAAAAAAAAA8iTmFzZGFxR1M6SU5UQyINTmFzZGFxR1M6SU5UQwEAAAAQIklRX1BFX0VYQ0xfRldEIg5JUV9QRV9FWENMX0ZXRAIAAAAGSVFfTlRNBDYwMDADAAAACyIzLzE4LzIwMDUiCTMvMTgvMjAwNQAAAAAEAAAAAAAAAA8iTmFzZGFxR1M6SU5UQyINTmFzZGFxR1M6SU5UQwEAAAAQIklRX1BFX0VYQ0xfRldEIg5JUV9QRV9FWENMX0ZXRAIAAAAGSVFfTlRNBDYwMDADAAAACyIzLzExLzIwMDUiCTMvMTEvMjAwNQAAAAAEAAAAAAAAAA8iTmFzZGFxR1M6SU5UQyINTmFzZGFxR1M6SU5UQwEAAAAQIklRX1BFX0VYQ0xfRldEIg5JUV9QRV9FWENMX0ZXRAIAAAAGSVFfTlRNBDYwMDADAAAACiIzLzQvMjAwNSIIMy80</t>
  </si>
  <si>
    <t>LzIwMDUAAAAABAAAAAAAAAAPIk5hc2RhcUdTOklOVEMiDU5hc2RhcUdTOklOVEMBAAAAECJJUV9QRV9FWENMX0ZXRCIOSVFfUEVfRVhDTF9GV0QCAAAABklRX05UTQQ2MDAwAwAAAAsiMi8yNS8yMDA1IgkyLzI1LzIwMDUAAAAABAAAAAAAAAAPIk5hc2RhcUdTOklOVEMiDU5hc2RhcUdTOklOVEMBAAAAECJJUV9QRV9FWENMX0ZXRCIOSVFfUEVfRVhDTF9GV0QCAAAABklRX05UTQQ2MDAwAwAAAAsiMi8xOC8yMDA1IgkyLzE4LzIwMDUAAAAABAAAAAAAAAAPIk5hc2RhcUdTOklOVEMiDU5hc2RhcUdTOklOVEMBAAAAECJJUV9QRV9FWENMX0ZXRCIOSVFfUEVfRVhDTF9GV0QCAAAABklRX05UTQQ2MDAwAwAAAAsiMi8xMS8yMDA1IgkyLzExLzIwMDUAAAAABAAAAAAAAAAPIk5hc2RhcUdTOklOVEMiDU5hc2RhcUdTOklOVEMBAAAAECJJUV9QRV9FWENMX0ZXRCIOSVFfUEVfRVhDTF9GV0QCAAAABklRX05UTQQ2MDAwAwAAAAoiMi80LzIwMDUiCDIvNC8yMDA1AAAAAAQAAAAAAAAADyJOYXNkYXFHUzpJTlRDIg1OYXNkYXFHUzpJTlRDAQAAABAiSVFfUEVfRVhDTF9GV0QiDklRX1BFX0VYQ0xfRldEAgAAAAZJUV9OVE0ENjAwMAMAAAALIjEvMjgvMjAwNSIJMS8yOC8yMDA1AAAAAAQAAAAAAAAADyJOYXNkYXFHUzpJTlRDIg1OYXNkYXFHUzpJTlRDAQAAABAiSVFfUEVfRVhDTF9GV0QiDklRX1BFX0VYQ0xfRldE</t>
  </si>
  <si>
    <t>AgAAAAZJUV9OVE0ENjAwMAMAAAALIjEvMjEvMjAwNSIJMS8yMS8yMDA1AAAAAAQAAAAAAAAADyJOYXNkYXFHUzpJTlRDIg1OYXNkYXFHUzpJTlRDAQAAABAiSVFfUEVfRVhDTF9GV0QiDklRX1BFX0VYQ0xfRldEAgAAAAZJUV9OVE0ENjAwMAMAAAALIjEvMTQvMjAwNSIJMS8xNC8yMDA1AAAAAAQAAAAAAAAADyJOYXNkYXFHUzpJTlRDIg1OYXNkYXFHUzpJTlRDAQAAABAiSVFfUEVfRVhDTF9GV0QiDklRX1BFX0VYQ0xfRldEAgAAAAZJUV9OVE0ENjAwMAMAAAAKIjEvNy8yMDA1IggxLzcvMjAwNQAAAAAEAAAAAAAAAA8iTmFzZGFxR1M6SU5UQyINTmFzZGFxR1M6SU5UQwEAAAAQIklRX1BFX0VYQ0xfRldEIg5JUV9QRV9FWENMX0ZXRAIAAAAGSVFfTlRNBDYwMDADAAAADCIxMi8zMS8yMDA0IgoxMi8zMS8yMDA0AAAAAAQAAAAAAAAADyJOYXNkYXFHUzpJTlRDIg1OYXNkYXFHUzpJTlRDAQAAABAiSVFfUEVfRVhDTF9GV0QiDklRX1BFX0VYQ0xfRldEAgAAAAZJUV9OVE0ENjAwMAMAAAAMIjEyLzIzLzIwMDQiCjEyLzIzLzIwMDQAAAAABAAAAAAAAAAPIk5hc2RhcUdTOklOVEMiDU5hc2RhcUdTOklOVEMBAAAAECJJUV9QRV9FWENMX0ZXRCIOSVFfUEVfRVhDTF9GV0QCAAAABklRX05UTQQ2MDAwAwAAAAwiMTIvMTcvMjAwNCIKMTIvMTcvMjAwNAAAAAAEAAAAAAAAAA8iTmFzZGFxR1M6SU5UQyINTmFzZGFx</t>
  </si>
  <si>
    <t>R1M6SU5UQwEAAAAQIklRX1BFX0VYQ0xfRldEIg5JUV9QRV9FWENMX0ZXRAIAAAAGSVFfTlRNBDYwMDADAAAADCIxMi8xMC8yMDA0IgoxMi8xMC8yMDA0AAAAAAQAAAAAAAAADyJOYXNkYXFHUzpJTlRDIg1OYXNkYXFHUzpJTlRDAQAAABAiSVFfUEVfRVhDTF9GV0QiDklRX1BFX0VYQ0xfRldEAgAAAAZJUV9OVE0ENjAwMAMAAAALIjEyLzMvMjAwNCIJMTIvMy8yMDA0AAAAAAQAAAAAAAAADyJOYXNkYXFHUzpJTlRDIg1OYXNkYXFHUzpJTlRDAQAAABAiSVFfUEVfRVhDTF9GV0QiDklRX1BFX0VYQ0xfRldEAgAAAAZJUV9OVE0ENjAwMAMAAAAMIjExLzI2LzIwMDQiCjExLzI2LzIwMDQAAAAABAAAAAAAAAAPIk5hc2RhcUdTOklOVEMiDU5hc2RhcUdTOklOVEMBAAAAECJJUV9QRV9FWENMX0ZXRCIOSVFfUEVfRVhDTF9GV0QCAAAABklRX05UTQQ2MDAwAwAAAAwiMTEvMTkvMjAwNCIKMTEvMTkvMjAwNAAAAAAEAAAAAAAAAA8iTmFzZGFxR1M6SU5UQyINTmFzZGFxR1M6SU5UQwEAAAAQIklRX1BFX0VYQ0xfRldEIg5JUV9QRV9FWENMX0ZXRAIAAAAGSVFfTlRNBDYwMDADAAAADCIxMS8xMi8yMDA0IgoxMS8xMi8yMDA0AAAAAAQAAAAAAAAADyJOYXNkYXFHUzpJTlRDIg1OYXNkYXFHUzpJTlRDAQAAABAiSVFfUEVfRVhDTF9GV0QiDklRX1BFX0VYQ0xfRldEAgAAAAZJUV9OVE0ENjAwMAMAAAALIjExLzUvMjAw</t>
  </si>
  <si>
    <t>NCIJMTEvNS8yMDA0AAAAAAQAAAAAAAAADyJOYXNkYXFHUzpJTlRDIg1OYXNkYXFHUzpJTlRDAQAAABAiSVFfUEVfRVhDTF9GV0QiDklRX1BFX0VYQ0xfRldEAgAAAAZJUV9OVE0ENjAwMAMAAAAMIjEwLzI5LzIwMDQiCjEwLzI5LzIwMDQAAAAABAAAAAAAAAAPIk5hc2RhcUdTOklOVEMiDU5hc2RhcUdTOklOVEMBAAAAECJJUV9QRV9FWENMX0ZXRCIOSVFfUEVfRVhDTF9GV0QCAAAABklRX05UTQQ2MDAwAwAAAAwiMTAvMjIvMjAwNCIKMTAvMjIvMjAwNAAAAAAEAAAAAAAAAA8iTmFzZGFxR1M6SU5UQyINTmFzZGFxR1M6SU5UQwEAAAAQIklRX1BFX0VYQ0xfRldEIg5JUV9QRV9FWENMX0ZXRAIAAAAGSVFfTlRNBDYwMDADAAAADCIxMC8xNS8yMDA0IgoxMC8xNS8yMDA0AAAAAAQAAAAAAAAADyJOYXNkYXFHUzpJTlRDIg1OYXNkYXFHUzpJTlRDAQAAABAiSVFfUEVfRVhDTF9GV0QiDklRX1BFX0VYQ0xfRldEAgAAAAZJUV9OVE0ENjAwMAMAAAALIjEwLzgvMjAwNCIJMTAvOC8yMDA0AAAAAAQAAAAAAAAADyJOYXNkYXFHUzpJTlRDIg1OYXNkYXFHUzpJTlRDAQAAABAiSVFfUEVfRVhDTF9GV0QiDklRX1BFX0VYQ0xfRldEAgAAAAZJUV9OVE0ENjAwMAMAAAALIjEwLzEvMjAwNCIJMTAvMS8yMDA0AAAAAAQAAAAAAAAADyJOYXNkYXFHUzpJTlRDIg1OYXNkYXFHUzpJTlRDAQAAABAiSVFfUEVfRVhDTF9GV0Qi</t>
  </si>
  <si>
    <t>DklRX1BFX0VYQ0xfRldEAgAAAAZJUV9OVE0ENjAwMAMAAAALIjkvMjQvMjAwNCIJOS8yNC8yMDA0AAAAAAQAAAAAAAAADyJOYXNkYXFHUzpJTlRDIg1OYXNkYXFHUzpJTlRDAQAAABAiSVFfUEVfRVhDTF9GV0QiDklRX1BFX0VYQ0xfRldEAgAAAAZJUV9OVE0ENjAwMAMAAAALIjkvMTcvMjAwNCIJOS8xNy8yMDA0AAAAAAQAAAAAAAAADyJOYXNkYXFHUzpJTlRDIg1OYXNkYXFHUzpJTlRDAQAAABAiSVFfUEVfRVhDTF9GV0QiDklRX1BFX0VYQ0xfRldEAgAAAAZJUV9OVE0ENjAwMAMAAAALIjkvMTAvMjAwNCIJOS8xMC8yMDA0AAAAAAQAAAAAAAAADyJOYXNkYXFHUzpJTlRDIg1OYXNkYXFHUzpJTlRDAQAAABAiSVFfUEVfRVhDTF9GV0QiDklRX1BFX0VYQ0xfRldEAgAAAAZJUV9OVE0ENjAwMAMAAAAKIjkvMy8yMDA0Igg5LzMvMjAwNAAAAAAEAAAAAAAAAA8iTmFzZGFxR1M6SU5UQyINTmFzZGFxR1M6SU5UQwEAAAAQIklRX1BFX0VYQ0xfRldEIg5JUV9QRV9FWENMX0ZXRAIAAAAGSVFfTlRNBDYwMDADAAAACyI4LzI3LzIwMDQiCTgvMjcvMjAwNAAAAAAEAAAAAAAAAA8iTmFzZGFxR1M6SU5UQyINTmFzZGFxR1M6SU5UQwEAAAAQIklRX1BFX0VYQ0xfRldEIg5JUV9QRV9FWENMX0ZXRAIAAAAGSVFfTlRNBDYwMDADAAAACyI4LzIwLzIwMDQiCTgvMjAvMjAwNAAAAAAEAAAAAAAAAA8iTmFzZGFxR1M6SU5U</t>
  </si>
  <si>
    <t>QyINTmFzZGFxR1M6SU5UQwEAAAAQIklRX1BFX0VYQ0xfRldEIg5JUV9QRV9FWENMX0ZXRAIAAAAGSVFfTlRNBDYwMDADAAAACyI4LzEzLzIwMDQiCTgvMTMvMjAwNAAAAAAEAAAAAAAAAA8iTmFzZGFxR1M6SU5UQyINTmFzZGFxR1M6SU5UQwEAAAAQIklRX1BFX0VYQ0xfRldEIg5JUV9QRV9FWENMX0ZXRAIAAAAGSVFfTlRNBDYwMDADAAAACiI4LzYvMjAwNCIIOC82LzIwMDQAAAAABAAAAAAAAAAPIk5hc2RhcUdTOklOVEMiDU5hc2RhcUdTOklOVEMBAAAAECJJUV9QRV9FWENMX0ZXRCIOSVFfUEVfRVhDTF9GV0QCAAAABklRX05UTQQ2MDAwAwAAAAsiNy8zMC8yMDA0Igk3LzMwLzIwMDQAAAAABAAAAAAAAAAPIk5hc2RhcUdTOklOVEMiDU5hc2RhcUdTOklOVEMBAAAAECJJUV9QRV9FWENMX0ZXRCIOSVFfUEVfRVhDTF9GV0QCAAAABklRX05UTQQ2MDAwAwAAAAsiNy8yMy8yMDA0Igk3LzIzLzIwMDQAAAAABAAAAAAAAAAPIk5hc2RhcUdTOklOVEMiDU5hc2RhcUdTOklOVEMBAAAAECJJUV9QRV9FWENMX0ZXRCIOSVFfUEVfRVhDTF9GV0QCAAAABklRX05UTQQ2MDAwAwAAAAsiNy8xNi8yMDA0Igk3LzE2LzIwMDQAAAAABAAAAAAAAAAPIk5hc2RhcUdTOklOVEMiDU5hc2RhcUdTOklOVEMBAAAAECJJUV9QRV9FWENMX0ZXRCIOSVFfUEVfRVhDTF9GV0QCAAAABklRX05UTQQ2MDAwAwAAAAoiNy85LzIwMDQi</t>
  </si>
  <si>
    <t>CDcvOS8yMDA0AAAAAAQAAAAAAAAADyJOYXNkYXFHUzpJTlRDIg1OYXNkYXFHUzpJTlRDAQAAABAiSVFfUEVfRVhDTF9GV0QiDklRX1BFX0VYQ0xfRldEAgAAAAZJUV9OVE0ENjAwMAMAAAAKIjcvMi8yMDA0Igg3LzIvMjAwNAAAAAAEAAAAAAAAAA8iTmFzZGFxR1M6SU5UQyINTmFzZGFxR1M6SU5UQwEAAAAQIklRX1BFX0VYQ0xfRldEIg5JUV9QRV9FWENMX0ZXRAIAAAAGSVFfTlRNBDYwMDADAAAACyI2LzI1LzIwMDQiCTYvMjUvMjAwNAAAAAAEAAAAAAAAAA8iTmFzZGFxR1M6SU5UQyINTmFzZGFxR1M6SU5UQwEAAAAQIklRX1BFX0VYQ0xfRldEIg5JUV9QRV9FWENMX0ZXRAIAAAAGSVFfTlRNBDYwMDADAAAACyI2LzE4LzIwMDQiCTYvMTgvMjAwNAAAAAAEAAAAAAAAAA8iTmFzZGFxR1M6SU5UQyINTmFzZGFxR1M6SU5UQwEAAAAQIklRX1BFX0VYQ0xfRldEIg5JUV9QRV9FWENMX0ZXRAIAAAAGSVFfTlRNBDYwMDADAAAACyI2LzEwLzIwMDQiCTYvMTAvMjAwNAAAAAAEAAAAAAAAAA8iTmFzZGFxR1M6SU5UQyINTmFzZGFxR1M6SU5UQwEAAAAQIklRX1BFX0VYQ0xfRldEIg5JUV9QRV9FWENMX0ZXRAIAAAAGSVFfTlRNBDYwMDADAAAACiI2LzQvMjAwNCIINi80LzIwMDQAAAAABAAAAAAAAAAPIk5hc2RhcUdTOklOVEMiDU5hc2RhcUdTOklOVEMBAAAAECJJUV9QRV9FWENMX0ZXRCIOSVFfUEVfRVhDTF9G</t>
  </si>
  <si>
    <t>V0QCAAAABklRX05UTQQ2MDAwAwAAAAsiNS8yOC8yMDA0Igk1LzI4LzIwMDQAAAAABAAAAAAAAAAPIk5hc2RhcUdTOklOVEMiDU5hc2RhcUdTOklOVEMBAAAAECJJUV9QRV9FWENMX0ZXRCIOSVFfUEVfRVhDTF9GV0QCAAAABklRX05UTQQ2MDAwAwAAAAsiNS8yMS8yMDA0Igk1LzIxLzIwMDQAAAAABAAAAAAAAAAPIk5hc2RhcUdTOklOVEMiDU5hc2RhcUdTOklOVEMBAAAAECJJUV9QRV9FWENMX0ZXRCIOSVFfUEVfRVhDTF9GV0QCAAAABklRX05UTQQ2MDAwAwAAAAsiNS8xNC8yMDA0Igk1LzE0LzIwMDQAAAAABAAAAAAAAAAPIk5hc2RhcUdTOklOVEMiDU5hc2RhcUdTOklOVEMBAAAAECJJUV9QRV9FWENMX0ZXRCIOSVFfUEVfRVhDTF9GV0QCAAAABklRX05UTQQ2MDAwAwAAAAoiNS83LzIwMDQiCDUvNy8yMDA0AAAAAAQAAAAAAAAADyJOYXNkYXFHUzpJTlRDIg1OYXNkYXFHUzpJTlRDAQAAABAiSVFfUEVfRVhDTF9GV0QiDklRX1BFX0VYQ0xfRldEAgAAAAZJUV9OVE0ENjAwMAMAAAALIjQvMzAvMjAwNCIJNC8zMC8yMDA0AAAAAAQAAAAAAAAADyJOYXNkYXFHUzpJTlRDIg1OYXNkYXFHUzpJTlRDAQAAABAiSVFfUEVfRVhDTF9GV0QiDklRX1BFX0VYQ0xfRldEAgAAAAZJUV9OVE0ENjAwMAMAAAALIjQvMjMvMjAwNCIJNC8yMy8yMDA0AAAAAAQAAAAAAAAADyJOYXNkYXFHUzpJTlRDIg1OYXNkYXFHUzpJ</t>
  </si>
  <si>
    <t>TlRDAQAAABAiSVFfUEVfRVhDTF9GV0QiDklRX1BFX0VYQ0xfRldEAgAAAAZJUV9OVE0ENjAwMAMAAAALIjQvMTYvMjAwNCIJNC8xNi8yMDA0AAAAAAQAAAAAAAAADyJOYXNkYXFHUzpJTlRDIg1OYXNkYXFHUzpJTlRDAQAAABAiSVFfUEVfRVhDTF9GV0QiDklRX1BFX0VYQ0xfRldEAgAAAAZJUV9OVE0ENjAwMAMAAAAKIjQvOC8yMDA0Igg0LzgvMjAwNAAAAAAEAAAAAAAAAA8iTmFzZGFxR1M6SU5UQyINTmFzZGFxR1M6SU5UQwEAAAAQIklRX1BFX0VYQ0xfRldEIg5JUV9QRV9FWENMX0ZXRAIAAAAGSVFfTlRNBDYwMDADAAAACiI0LzIvMjAwNCIINC8yLzIwMDQAAAAABAAAAAAAAAAPIk5hc2RhcUdTOklOVEMiDU5hc2RhcUdTOklOVEMBAAAAECJJUV9QRV9FWENMX0ZXRCIOSVFfUEVfRVhDTF9GV0QCAAAABklRX05UTQQ2MDAwAwAAAAsiMy8yNi8yMDA0IgkzLzI2LzIwMDQAAAAABAAAAAAAAAAPIk5hc2RhcUdTOklOVEMiDU5hc2RhcUdTOklOVEMBAAAAECJJUV9QRV9FWENMX0ZXRCIOSVFfUEVfRVhDTF9GV0QCAAAABklRX05UTQQ2MDAwAwAAAAsiMy8xOS8yMDA0IgkzLzE5LzIwMDQAAAAABAAAAAAAAAAPIk5hc2RhcUdTOklOVEMiDU5hc2RhcUdTOklOVEMBAAAAECJJUV9QRV9FWENMX0ZXRCIOSVFfUEVfRVhDTF9GV0QCAAAABklRX05UTQQ2MDAwAwAAAAsiMy8xMi8yMDA0IgkzLzEyLzIwMDQAAAAA</t>
  </si>
  <si>
    <t>BAAAAAAAAAAPIk5hc2RhcUdTOklOVEMiDU5hc2RhcUdTOklOVEMBAAAAECJJUV9QRV9FWENMX0ZXRCIOSVFfUEVfRVhDTF9GV0QCAAAABklRX05UTQQ2MDAwAwAAAAoiMy81LzIwMDQiCDMvNS8yMDA0AAAAAAQAAAAAAAAADyJOYXNkYXFHUzpJTlRDIg1OYXNkYXFHUzpJTlRDAQAAABAiSVFfUEVfRVhDTF9GV0QiDklRX1BFX0VYQ0xfRldEAgAAAAZJUV9OVE0ENjAwMAMAAAALIjIvMjcvMjAwNCIJMi8yNy8yMDA0AAAAAAQAAAAAAAAADyJOYXNkYXFHUzpJTlRDIg1OYXNkYXFHUzpJTlRDAQAAABAiSVFfUEVfRVhDTF9GV0QiDklRX1BFX0VYQ0xfRldEAgAAAAZJUV9OVE0ENjAwMAMAAAALIjIvMjAvMjAwNCIJMi8yMC8yMDA0AAAAAAQAAAAAAAAADyJOYXNkYXFHUzpJTlRDIg1OYXNkYXFHUzpJTlRDAQAAABAiSVFfUEVfRVhDTF9GV0QiDklRX1BFX0VYQ0xfRldEAgAAAAZJUV9OVE0ENjAwMAMAAAALIjIvMTMvMjAwNCIJMi8xMy8yMDA0AAAAAAQAAAAAAAAADyJOYXNkYXFHUzpJTlRDIg1OYXNkYXFHUzpJTlRDAQAAABAiSVFfUEVfRVhDTF9GV0QiDklRX1BFX0VYQ0xfRldEAgAAAAZJUV9OVE0ENjAwMAMAAAAKIjIvNi8yMDA0IggyLzYvMjAwNAAAAAAEAAAAAAAAAA8iTmFzZGFxR1M6SU5UQyINTmFzZGFxR1M6SU5UQwEAAAAQIklRX1BFX0VYQ0xfRldEIg5JUV9QRV9FWENMX0ZXRAIAAAAGSVFfTlRN</t>
  </si>
  <si>
    <t>BDYwMDADAAAACyIxLzMwLzIwMDQiCTEvMzAvMjAwNAAAAAAEAAAAAAAAAA8iTmFzZGFxR1M6SU5UQyINTmFzZGFxR1M6SU5UQwEAAAAQIklRX1BFX0VYQ0xfRldEIg5JUV9QRV9FWENMX0ZXRAIAAAAGSVFfTlRNBDYwMDADAAAACyIxLzIzLzIwMDQiCTEvMjMvMjAwNAAAAAAEAAAAAAAAAA8iTmFzZGFxR1M6SU5UQyINTmFzZGFxR1M6SU5UQwEAAAAQIklRX1BFX0VYQ0xfRldEIg5JUV9QRV9FWENMX0ZXRAIAAAAGSVFfTlRNBDYwMDADAAAACyIxLzE2LzIwMDQiCTEvMTYvMjAwNAAAAAAEAAAAAAAAAA8iTmFzZGFxR1M6SU5UQyINTmFzZGFxR1M6SU5UQwEAAAAQIklRX1BFX0VYQ0xfRldEIg5JUV9QRV9FWENMX0ZXRAIAAAAGSVFfTlRNBDYwMDADAAAACiIxLzkvMjAwNCIIMS85LzIwMDQAAAAABAAAAAAAAAAPIk5hc2RhcUdTOklOVEMiDU5hc2RhcUdTOklOVEMBAAAAECJJUV9QRV9FWENMX0ZXRCIOSVFfUEVfRVhDTF9GV0QCAAAABklRX05UTQQ2MDAwAwAAAAoiMS8yLzIwMDQiCDEvMi8yMDA0AAAAAAQAAAAAAAAADyJOYXNkYXFHUzpJTlRDIg1OYXNkYXFHUzpJTlRDAQAAABAiSVFfUEVfRVhDTF9GV0QiDklRX1BFX0VYQ0xfRldEAgAAAAZJUV9OVE0ENjAwMAMAAAAMIjEyLzI2LzIwMDMiCjEyLzI2LzIwMDMAAAAABAAAAAAAAAAPIk5hc2RhcUdTOklOVEMiDU5hc2RhcUdTOklOVEMBAAAAECJJUV9Q</t>
  </si>
  <si>
    <t>RV9FWENMX0ZXRCIOSVFfUEVfRVhDTF9GV0QCAAAABklRX05UTQQ2MDAwAwAAAAwiMTIvMTkvMjAwMyIKMTIvMTkvMjAwMwAAAAAEAAAAAAAAAA8iTmFzZGFxR1M6SU5UQyINTmFzZGFxR1M6SU5UQwEAAAAQIklRX1BFX0VYQ0xfRldEIg5JUV9QRV9FWENMX0ZXRAIAAAAGSVFfTlRNBDYwMDADAAAADCIxMi8xMi8yMDAzIgoxMi8xMi8yMDAzAAAAAAQAAAAAAAAADyJOYXNkYXFHUzpJTlRDIg1OYXNkYXFHUzpJTlRDAQAAABAiSVFfUEVfRVhDTF9GV0QiDklRX1BFX0VYQ0xfRldEAgAAAAZJUV9OVE0ENjAwMAMAAAALIjEyLzUvMjAwMyIJMTIvNS8yMDAzAAAAAAQAAAAAAAAADyJOYXNkYXFHUzpJTlRDIg1OYXNkYXFHUzpJTlRDAQAAABAiSVFfUEVfRVhDTF9GV0QiDklRX1BFX0VYQ0xfRldEAgAAAAZJUV9OVE0ENjAwMAMAAAAMIjExLzI4LzIwMDMiCjExLzI4LzIwMDMAAAAABAAAAAAAAAAPIk5hc2RhcUdTOklOVEMiDU5hc2RhcUdTOklOVEMBAAAAECJJUV9QRV9FWENMX0ZXRCIOSVFfUEVfRVhDTF9GV0QCAAAABklRX05UTQQ2MDAwAwAAAAwiMTEvMjEvMjAwMyIKMTEvMjEvMjAwMwAAAAAEAAAAAAAAAA8iTmFzZGFxR1M6SU5UQyINTmFzZGFxR1M6SU5UQwEAAAAQIklRX1BFX0VYQ0xfRldEIg5JUV9QRV9FWENMX0ZXRAIAAAAGSVFfTlRNBDYwMDADAAAADCIxMS8xNC8yMDAzIgoxMS8xNC8yMDAzAAAA</t>
  </si>
  <si>
    <t>AAQAAAAAAAAADyJOYXNkYXFHUzpJTlRDIg1OYXNkYXFHUzpJTlRDAQAAABAiSVFfUEVfRVhDTF9GV0QiDklRX1BFX0VYQ0xfRldEAgAAAAZJUV9OVE0ENjAwMAMAAAALIjExLzcvMjAwMyIJMTEvNy8yMDAzAAAAAAQAAAAAAAAADyJOYXNkYXFHUzpJTlRDIg1OYXNkYXFHUzpJTlRDAQAAABAiSVFfUEVfRVhDTF9GV0QiDklRX1BFX0VYQ0xfRldEAgAAAAZJUV9OVE0ENjAwMAMAAAAMIjEwLzMxLzIwMDMiCjEwLzMxLzIwMDMAAAAABAAAAAAAAAAPIk5hc2RhcUdTOklOVEMiDU5hc2RhcUdTOklOVEMBAAAAECJJUV9QRV9FWENMX0ZXRCIOSVFfUEVfRVhDTF9GV0QCAAAABklRX05UTQQ2MDAwAwAAAAwiMTAvMjQvMjAwMyIKMTAvMjQvMjAwMwAAAAAEAAAAAAAAAA8iTmFzZGFxR1M6SU5UQyINTmFzZGFxR1M6SU5UQwEAAAAQIklRX1BFX0VYQ0xfRldEIg5JUV9QRV9FWENMX0ZXRAIAAAAGSVFfTlRNBDYwMDADAAAADCIxMC8xNy8yMDAzIgoxMC8xNy8yMDAzAAAAAAQAAAAAAAAADyJOYXNkYXFHUzpJTlRDIg1OYXNkYXFHUzpJTlRDAQAAABAiSVFfUEVfRVhDTF9GV0QiDklRX1BFX0VYQ0xfRldEAgAAAAZJUV9OVE0ENjAwMAMAAAAMIjEwLzEwLzIwMDMiCjEwLzEwLzIwMDMAAAAABAAAAAAAAAAPIk5hc2RhcUdTOklOVEMiDU5hc2RhcUdTOklOVEMBAAAAECJJUV9QRV9FWENMX0ZXRCIOSVFfUEVfRVhDTF9G</t>
  </si>
  <si>
    <t>V0QCAAAABklRX05UTQQ2MDAwAwAAAAsiMTAvMy8yMDAzIgkxMC8zLzIwMDMAAAAABAAAAAAAAAAPIk5hc2RhcUdTOklOVEMiDU5hc2RhcUdTOklOVEMBAAAAECJJUV9QRV9FWENMX0ZXRCIOSVFfUEVfRVhDTF9GV0QCAAAABklRX05UTQQ2MDAwAwAAAAsiOS8yNi8yMDAzIgk5LzI2LzIwMDMAAAAABAAAAAAAAAAPIk5hc2RhcUdTOklOVEMiDU5hc2RhcUdTOklOVEMBAAAAECJJUV9QRV9FWENMX0ZXRCIOSVFfUEVfRVhDTF9GV0QCAAAABklRX05UTQQ2MDAwAwAAAAsiOS8xOS8yMDAzIgk5LzE5LzIwMDMAAAAABAAAAAAAAAAPIk5hc2RhcUdTOklOVEMiDU5hc2RhcUdTOklOVEMBAAAAECJJUV9QRV9FWENMX0ZXRCIOSVFfUEVfRVhDTF9GV0QCAAAABklRX05UTQQ2MDAwAwAAAAsiOS8xMi8yMDAzIgk5LzEyLzIwMDMAAAAABAAAAAAAAAAPIk5hc2RhcUdTOklOVEMiDU5hc2RhcUdTOklOVEMBAAAAECJJUV9QRV9FWENMX0ZXRCIOSVFfUEVfRVhDTF9GV0QCAAAABklRX05UTQQ2MDAwAwAAAAoiOS81LzIwMDMiCDkvNS8yMDAzAAAAAAQAAAAAAAAADyJOYXNkYXFHUzpJTlRDIg1OYXNkYXFHUzpJTlRDAQAAABAiSVFfUEVfRVhDTF9GV0QiDklRX1BFX0VYQ0xfRldEAgAAAAZJUV9OVE0ENjAwMAMAAAALIjgvMjkvMjAwMyIJOC8yOS8yMDAzAAAAAAQAAAAAAAAADyJOYXNkYXFHUzpJTlRDIg1OYXNkYXFHUzpJ</t>
  </si>
  <si>
    <t>TlRDAQAAABAiSVFfUEVfRVhDTF9GV0QiDklRX1BFX0VYQ0xfRldEAgAAAAZJUV9OVE0ENjAwMAMAAAALIjgvMjIvMjAwMyIJOC8yMi8yMDAzAAAAAAQAAAAAAAAADyJOYXNkYXFHUzpJTlRDIg1OYXNkYXFHUzpJTlRDAQAAABAiSVFfUEVfRVhDTF9GV0QiDklRX1BFX0VYQ0xfRldEAgAAAAZJUV9OVE0ENjAwMAMAAAALIjgvMTUvMjAwMyIJOC8xNS8yMDAzAAAAAAQAAAAAAAAADyJOYXNkYXFHUzpJTlRDIg1OYXNkYXFHUzpJTlRDAQAAABAiSVFfUEVfRVhDTF9GV0QiDklRX1BFX0VYQ0xfRldEAgAAAAZJUV9OVE0ENjAwMAMAAAAKIjgvOC8yMDAzIgg4LzgvMjAwMwAAAAAEAAAAAAAAAA8iTmFzZGFxR1M6SU5UQyINTmFzZGFxR1M6SU5UQwEAAAAQIklRX1BFX0VYQ0xfRldEIg5JUV9QRV9FWENMX0ZXRAIAAAAGSVFfTlRNBDYwMDADAAAACiI4LzEvMjAwMyIIOC8xLzIwMDMAAAAABAAAAAAAAAAPIk5hc2RhcUdTOklOVEMiDU5hc2RhcUdTOklOVEMBAAAAECJJUV9QRV9FWENMX0ZXRCIOSVFfUEVfRVhDTF9GV0QCAAAABklRX05UTQQ2MDAwAwAAAAsiNy8yNS8yMDAzIgk3LzI1LzIwMDMAAAAABAAAAAAAAAAPIk5hc2RhcUdTOklOVEMiDU5hc2RhcUdTOklOVEMBAAAAECJJUV9QRV9FWENMX0ZXRCIOSVFfUEVfRVhDTF9GV0QCAAAABklRX05UTQQ2MDAwAwAAAAsiNy8xOC8yMDAzIgk3LzE4LzIwMDMAAAAA</t>
  </si>
  <si>
    <t>BAAAAAAAAAAPIk5hc2RhcUdTOklOVEMiDU5hc2RhcUdTOklOVEMBAAAAECJJUV9QRV9FWENMX0ZXRCIOSVFfUEVfRVhDTF9GV0QCAAAABklRX05UTQQ2MDAwAwAAAAsiNy8xMS8yMDAzIgk3LzExLzIwMDMAAAAABAAAAAAAAAAPIk5hc2RhcUdTOklOVEMiDU5hc2RhcUdTOklOVEMBAAAAECJJUV9QRV9FWENMX0ZXRCIOSVFfUEVfRVhDTF9GV0QCAAAABklRX05UTQQ2MDAwAwAAAAoiNy8zLzIwMDMiCDcvMy8yMDAzAAAAAAQAAAAAAAAADyJOYXNkYXFHUzpJTlRDIg1OYXNkYXFHUzpJTlRDAQAAABAiSVFfUEVfRVhDTF9GV0QiDklRX1BFX0VYQ0xfRldEAgAAAAZJUV9OVE0ENjAwMAMAAAALIjYvMjcvMjAwMyIJNi8yNy8yMDAzAAAAAAQAAAAAAAAADyJOYXNkYXFHUzpJTlRDIg1OYXNkYXFHUzpJTlRDAQAAABAiSVFfUEVfRVhDTF9GV0QiDklRX1BFX0VYQ0xfRldEAgAAAAZJUV9OVE0ENjAwMAMAAAALIjYvMjAvMjAwMyIJNi8yMC8yMDAzAAAAAAQAAAAAAAAADyJOYXNkYXFHUzpJTlRDIg1OYXNkYXFHUzpJTlRDAQAAABAiSVFfUEVfRVhDTF9GV0QiDklRX1BFX0VYQ0xfRldEAgAAAAZJUV9OVE0ENjAwMAMAAAALIjYvMTMvMjAwMyIJNi8xMy8yMDAzAAAAAAQAAAAAAAAADyJOYXNkYXFHUzpJTlRDIg1OYXNkYXFHUzpJTlRDAQAAABAiSVFfUEVfRVhDTF9GV0QiDklRX1BFX0VYQ0xfRldEAgAAAAZJUV9O</t>
  </si>
  <si>
    <t>VE0ENjAwMAMAAAAKIjYvNi8yMDAzIgg2LzYvMjAwMwAAAAAEAAAAAAAAAA8iTmFzZGFxR1M6SU5UQyINTmFzZGFxR1M6SU5UQwEAAAAQIklRX1BFX0VYQ0xfRldEIg5JUV9QRV9FWENMX0ZXRAIAAAAGSVFfTlRNBDYwMDADAAAACyI1LzMwLzIwMDMiCTUvMzAvMjAwMwAAAAAEAAAAAAAAAA8iTmFzZGFxR1M6SU5UQyINTmFzZGFxR1M6SU5UQwEAAAAQIklRX1BFX0VYQ0xfRldEIg5JUV9QRV9FWENMX0ZXRAIAAAAGSVFfTlRNBDYwMDADAAAACyI1LzIzLzIwMDMiCTUvMjMvMjAwMwAAAAAEAAAAAAAAAA8iTmFzZGFxR1M6SU5UQyINTmFzZGFxR1M6SU5UQwEAAAAQIklRX1BFX0VYQ0xfRldEIg5JUV9QRV9FWENMX0ZXRAIAAAAGSVFfTlRNBDYwMDADAAAACyI1LzE2LzIwMDMiCTUvMTYvMjAwMwAAAAAEAAAAAAAAAA8iTmFzZGFxR1M6SU5UQyINTmFzZGFxR1M6SU5UQwEAAAAQIklRX1BFX0VYQ0xfRldEIg5JUV9QRV9FWENMX0ZXRAIAAAAGSVFfTlRNBDYwMDADAAAACiI1LzkvMjAwMyIINS85LzIwMDMAAAAABAAAAAAAAAAPIk5hc2RhcUdTOklOVEMiDU5hc2RhcUdTOklOVEMBAAAAECJJUV9QRV9FWENMX0ZXRCIOSVFfUEVfRVhDTF9GV0QCAAAABklRX05UTQQ2MDAwAwAAAAoiNS8yLzIwMDMiCDUvMi8yMDAzAAAAAAQAAAAAAAAADyJOYXNkYXFHUzpJTlRDIg1OYXNkYXFHUzpJTlRDAQAAABAiSVFfUEVf</t>
  </si>
  <si>
    <t>RVhDTF9GV0QiDklRX1BFX0VYQ0xfRldEAgAAAAZJUV9OVE0ENjAwMAMAAAALIjQvMjUvMjAwMyIJNC8yNS8yMDAzAAAAAAQAAAAAAAAADyJOYXNkYXFHUzpJTlRDIg1OYXNkYXFHUzpJTlRDAQAAABAiSVFfUEVfRVhDTF9GV0QiDklRX1BFX0VYQ0xfRldEAgAAAAZJUV9OVE0ENjAwMAMAAAALIjQvMTcvMjAwMyIJNC8xNy8yMDAzAAAAAAQAAAAAAAAADyJOYXNkYXFHUzpJTlRDIg1OYXNkYXFHUzpJTlRDAQAAABAiSVFfUEVfRVhDTF9GV0QiDklRX1BFX0VYQ0xfRldEAgAAAAZJUV9OVE0ENjAwMAMAAAALIjQvMTEvMjAwMyIJNC8xMS8yMDAzAAAAAAQAAAAAAAAADyJOYXNkYXFHUzpJTlRDIg1OYXNkYXFHUzpJTlRDAQAAABAiSVFfUEVfRVhDTF9GV0QiDklRX1BFX0VYQ0xfRldEAgAAAAZJUV9OVE0ENjAwMAMAAAAKIjQvNC8yMDAzIgg0LzQvMjAwMwAAAAAEAAAAAAAAAA8iTmFzZGFxR1M6SU5UQyINTmFzZGFxR1M6SU5UQwEAAAAQIklRX1BFX0VYQ0xfRldEIg5JUV9QRV9FWENMX0ZXRAIAAAAGSVFfTlRNBDYwMDADAAAACyIzLzI4LzIwMDMiCTMvMjgvMjAwMwAAAAAEAAAAAAAAAA8iTmFzZGFxR1M6SU5UQyINTmFzZGFxR1M6SU5UQwEAAAAQIklRX1BFX0VYQ0xfRldEIg5JUV9QRV9FWENMX0ZXRAIAAAAGSVFfTlRNBDYwMDADAAAACyIzLzIxLzIwMDMiCTMvMjEvMjAwMwAAAAAEAAAAAAAAAA8iTmFz</t>
  </si>
  <si>
    <t>ZGFxR1M6SU5UQyINTmFzZGFxR1M6SU5UQwEAAAAQIklRX1BFX0VYQ0xfRldEIg5JUV9QRV9FWENMX0ZXRAIAAAAGSVFfTlRNBDYwMDADAAAACyIzLzE0LzIwMDMiCTMvMTQvMjAwMwAAAAAEAAAAAAAAAA8iTmFzZGFxR1M6SU5UQyINTmFzZGFxR1M6SU5UQwEAAAAQIklRX1BFX0VYQ0xfRldEIg5JUV9QRV9FWENMX0ZXRAIAAAAGSVFfTlRNBDYwMDADAAAACiIzLzcvMjAwMyIIMy83LzIwMDMAAAAABAAAAAAAAAAPIk5hc2RhcUdTOklOVEMiDU5hc2RhcUdTOklOVEMBAAAAECJJUV9QRV9FWENMX0ZXRCIOSVFfUEVfRVhDTF9GV0QCAAAABklRX05UTQQ2MDAwAwAAAAsiMi8yOC8yMDAzIgkyLzI4LzIwMDMAAAAABAAAAAAAAAAPIk5hc2RhcUdTOklOVEMiDU5hc2RhcUdTOklOVEMBAAAAECJJUV9QRV9FWENMX0ZXRCIOSVFfUEVfRVhDTF9GV0QCAAAABklRX05UTQQ2MDAwAwAAAAsiMi8yMS8yMDAzIgkyLzIxLzIwMDMAAAAABAAAAAAAAAAPIk5hc2RhcUdTOklOVEMiDU5hc2RhcUdTOklOVEMBAAAAECJJUV9QRV9FWENMX0ZXRCIOSVFfUEVfRVhDTF9GV0QCAAAABklRX05UTQQ2MDAwAwAAAAsiMi8xNC8yMDAzIgkyLzE0LzIwMDMAAAAABAAAAAAAAAAPIk5hc2RhcUdTOklOVEMiDU5hc2RhcUdTOklOVEMBAAAAECJJUV9QRV9FWENMX0ZXRCIOSVFfUEVfRVhDTF9GV0QCAAAABklRX05UTQQ2MDAwAwAAAAoi</t>
  </si>
  <si>
    <t>Mi83LzIwMDMiCDIvNy8yMDAzAAAAAAQAAAAAAAAADyJOYXNkYXFHUzpJTlRDIg1OYXNkYXFHUzpJTlRDAQAAABAiSVFfUEVfRVhDTF9GV0QiDklRX1BFX0VYQ0xfRldEAgAAAAZJUV9OVE0ENjAwMAMAAAALIjEvMzEvMjAwMyIJMS8zMS8yMDAzAAAAAAQAAAAAAAAADyJOYXNkYXFHUzpJTlRDIg1OYXNkYXFHUzpJTlRDAQAAABAiSVFfUEVfRVhDTF9GV0QiDklRX1BFX0VYQ0xfRldEAgAAAAZJUV9OVE0ENjAwMAMAAAALIjEvMjQvMjAwMyIJMS8yNC8yMDAzAAAAAAQAAAAAAAAADyJOYXNkYXFHUzpJTlRDIg1OYXNkYXFHUzpJTlRDAQAAABAiSVFfUEVfRVhDTF9GV0QiDklRX1BFX0VYQ0xfRldEAgAAAAZJUV9OVE0ENjAwMAMAAAALIjEvMTcvMjAwMyIJMS8xNy8yMDAzAAAAAAQAAAAAAAAADyJOYXNkYXFHUzpJTlRDIg1OYXNkYXFHUzpJTlRDAQAAABAiSVFfUEVfRVhDTF9GV0QiDklRX1BFX0VYQ0xfRldEAgAAAAZJUV9OVE0ENjAwMAMAAAALIjEvMTAvMjAwMyIJMS8xMC8yMDAzAAAAAAQAAAAAAAAADyJOYXNkYXFHUzpJTlRDIg1OYXNkYXFHUzpJTlRDAQAAABAiSVFfUEVfRVhDTF9GV0QiDklRX1BFX0VYQ0xfRldEAgAAAAZJUV9OVE0ENjAwMAMAAAAKIjEvMy8yMDAzIggxLzMvMjAwMwAAAAAEAAAAAAAAAA8iTmFzZGFxR1M6SU5UQyINTmFzZGFxR1M6SU5UQwEAAAAQIklRX1BFX0VYQ0xfRldEIg5J</t>
  </si>
  <si>
    <t>UV9QRV9FWENMX0ZXRAIAAAAGSVFfTlRNBDYwMDADAAAADCIxMi8yNy8yMDAyIgoxMi8yNy8yMDAyAAAAAAQAAAAAAAAADyJOYXNkYXFHUzpJTlRDIg1OYXNkYXFHUzpJTlRDAQAAABAiSVFfUEVfRVhDTF9GV0QiDklRX1BFX0VYQ0xfRldEAgAAAAZJUV9OVE0ENjAwMAMAAAAMIjEyLzIwLzIwMDIiCjEyLzIwLzIwMDIAAAAABAAAAAAAAAAPIk5hc2RhcUdTOklOVEMiDU5hc2RhcUdTOklOVEMBAAAAECJJUV9QRV9FWENMX0ZXRCIOSVFfUEVfRVhDTF9GV0QCAAAABklRX05UTQQ2MDAwAwAAAAwiMTIvMTMvMjAwMiIKMTIvMTMvMjAwMgAAAAAEAAAAAAAAAA8iTmFzZGFxR1M6SU5UQyINTmFzZGFxR1M6SU5UQwEAAAAQIklRX1BFX0VYQ0xfRldEIg5JUV9QRV9FWENMX0ZXRAIAAAAGSVFfTlRNBDYwMDADAAAACyIxMi82LzIwMDIiCTEyLzYvMjAwMgAAAAAEAAAAAAAAAA8iTmFzZGFxR1M6SU5UQyINTmFzZGFxR1M6SU5UQwEAAAAQIklRX1BFX0VYQ0xfRldEIg5JUV9QRV9FWENMX0ZXRAIAAAAGSVFfTlRNBDYwMDADAAAADCIxMS8yOS8yMDAyIgoxMS8yOS8yMDAyAAAAAAQAAAAAAAAADyJOYXNkYXFHUzpJTlRDIg1OYXNkYXFHUzpJTlRDAQAAABAiSVFfUEVfRVhDTF9GV0QiDklRX1BFX0VYQ0xfRldEAgAAAAZJUV9OVE0ENjAwMAMAAAAMIjExLzIyLzIwMDIiCjExLzIyLzIwMDIAAAAABAAAAAAAAAAPIk5h</t>
  </si>
  <si>
    <t>c2RhcUdTOklOVEMiDU5hc2RhcUdTOklOVEMBAAAAECJJUV9QRV9FWENMX0ZXRCIOSVFfUEVfRVhDTF9GV0QCAAAABklRX05UTQQ2MDAwAwAAAAwiMTEvMTUvMjAwMiIKMTEvMTUvMjAwMgAAAAAEAAAAAAAAAA8iTmFzZGFxR1M6SU5UQyINTmFzZGFxR1M6SU5UQwEAAAAQIklRX1BFX0VYQ0xfRldEIg5JUV9QRV9FWENMX0ZXRAIAAAAGSVFfTlRNBDYwMDADAAAACyIxMS84LzIwMDIiCTExLzgvMjAwMgAAAAAEAAAAAAAAAA8iTmFzZGFxR1M6SU5UQyINTmFzZGFxR1M6SU5UQwEAAAAQIklRX1BFX0VYQ0xfRldEIg5JUV9QRV9FWENMX0ZXRAIAAAAGSVFfTlRNBDYwMDADAAAACyIxMS8xLzIwMDIiCTExLzEvMjAwMgAAAAAEAAAAAAAAAA8iTmFzZGFxR1M6SU5UQyINTmFzZGFxR1M6SU5UQwEAAAAQIklRX1BFX0VYQ0xfRldEIg5JUV9QRV9FWENMX0ZXRAIAAAAGSVFfTlRNBDYwMDADAAAADCIxMC8yNS8yMDAyIgoxMC8yNS8yMDAyAAAAAAQAAAAAAAAADyJOYXNkYXFHUzpJTlRDIg1OYXNkYXFHUzpJTlRDAQAAABAiSVFfUEVfRVhDTF9GV0QiDklRX1BFX0VYQ0xfRldEAgAAAAZJUV9OVE0ENjAwMAMAAAAMIjEwLzE4LzIwMDIiCjEwLzE4LzIwMDIAAAAABAAAAAAAAAAPIk5hc2RhcUdTOklOVEMiDU5hc2RhcUdTOklOVEMBAAAAECJJUV9QRV9FWENMX0ZXRCIOSVFfUEVfRVhDTF9GV0QCAAAABklRX05UTQQ2</t>
  </si>
  <si>
    <t>MDAwAwAAAAwiMTAvMTEvMjAwMiIKMTAvMTEvMjAwMgAAAAAEAAAAAAAAAA8iTmFzZGFxR1M6SU5UQyINTmFzZGFxR1M6SU5UQwEAAAAQIklRX1BFX0VYQ0xfRldEIg5JUV9QRV9FWENMX0ZXRAIAAAAGSVFfTlRNBDYwMDADAAAACyIxMC80LzIwMDIiCTEwLzQvMjAwMgAAAAAEAAAAAAAAAA8iTmFzZGFxR1M6SU5UQyINTmFzZGFxR1M6SU5UQwEAAAAQIklRX1BFX0VYQ0xfRldEIg5JUV9QRV9FWENMX0ZXRAIAAAAGSVFfTlRNBDYwMDADAAAACyI5LzI3LzIwMDIiCTkvMjcvMjAwMgAAAAAEAAAAAAAAAA8iTmFzZGFxR1M6SU5UQyINTmFzZGFxR1M6SU5UQwEAAAAQIklRX1BFX0VYQ0xfRldEIg5JUV9QRV9FWENMX0ZXRAIAAAAGSVFfTlRNBDYwMDADAAAACyI5LzIwLzIwMDIiCTkvMjAvMjAwMgAAAAAEAAAAAAAAAA8iTmFzZGFxR1M6SU5UQyINTmFzZGFxR1M6SU5UQwEAAAAQIklRX1BFX0VYQ0xfRldEIg5JUV9QRV9FWENMX0ZXRAIAAAAGSVFfTlRNBDYwMDADAAAACyI5LzEzLzIwMDIiCTkvMTMvMjAwMgAAAAAEAAAAAAAAAA8iTmFzZGFxR1M6SU5UQyINTmFzZGFxR1M6SU5UQwEAAAAQIklRX1BFX0VYQ0xfRldEIg5JUV9QRV9FWENMX0ZXRAIAAAAGSVFfTlRNBDYwMDADAAAACiI5LzYvMjAwMiIIOS82LzIwMDIAAAAABAAAAAAAAAAPIk5hc2RhcUdTOklOVEMiDU5hc2RhcUdTOklOVEMBAAAAECJJUV9Q</t>
  </si>
  <si>
    <t>RV9FWENMX0ZXRCIOSVFfUEVfRVhDTF9GV0QCAAAABklRX05UTQQ2MDAwAwAAAAsiOC8zMC8yMDAyIgk4LzMwLzIwMDIAAAAABAAAAAAAAAAPIk5hc2RhcUdTOklOVEMiDU5hc2RhcUdTOklOVEMBAAAAECJJUV9QRV9FWENMX0ZXRCIOSVFfUEVfRVhDTF9GV0QCAAAABklRX05UTQQ2MDAwAwAAAAsiOC8yMy8yMDAyIgk4LzIzLzIwMDIAAAAABAAAAAAAAAAPIk5hc2RhcUdTOklOVEMiDU5hc2RhcUdTOklOVEMBAAAAECJJUV9QRV9FWENMX0ZXRCIOSVFfUEVfRVhDTF9GV0QCAAAABklRX05UTQQ2MDAwAwAAAAsiOC8xNi8yMDAyIgk4LzE2LzIwMDIAAAAABAAAAAAAAAAPIk5hc2RhcUdTOklOVEMiDU5hc2RhcUdTOklOVEMBAAAAECJJUV9QRV9FWENMX0ZXRCIOSVFfUEVfRVhDTF9GV0QCAAAABklRX05UTQQ2MDAwAwAAAAoiOC85LzIwMDIiCDgvOS8yMDAyAAAAAAQAAAAAAAAADyJOYXNkYXFHUzpJTlRDIg1OYXNkYXFHUzpJTlRDAQAAABAiSVFfUEVfRVhDTF9GV0QiDklRX1BFX0VYQ0xfRldEAgAAAAZJUV9OVE0ENjAwMAMAAAAKIjgvMi8yMDAyIgg4LzIvMjAwMgAAAAAEAAAAAAAAAA8iTmFzZGFxR1M6SU5UQyINTmFzZGFxR1M6SU5UQwEAAAAQIklRX1BFX0VYQ0xfRldEIg5JUV9QRV9FWENMX0ZXRAIAAAAGSVFfTlRNBDYwMDADAAAACyI3LzI2LzIwMDIiCTcvMjYvMjAwMgAAAAAEAAAAAAAAAA8iTmFz</t>
  </si>
  <si>
    <t>ZGFxR1M6SU5UQyINTmFzZGFxR1M6SU5UQwEAAAAQIklRX1BFX0VYQ0xfRldEIg5JUV9QRV9FWENMX0ZXRAIAAAAGSVFfTlRNBDYwMDADAAAACyI3LzE5LzIwMDIiCTcvMTkvMjAwMgAAAAAEAAAAAAAAAA8iTmFzZGFxR1M6SU5UQyINTmFzZGFxR1M6SU5UQwEAAAAQIklRX1BFX0VYQ0xfRldEIg5JUV9QRV9FWENMX0ZXRAIAAAAGSVFfTlRNBDYwMDADAAAACyI3LzEyLzIwMDIiCTcvMTIvMjAwMgAAAAAEAAAAAAAAAA8iTmFzZGFxR1M6SU5UQyINTmFzZGFxR1M6SU5UQwEAAAAQIklRX1BFX0VYQ0xfRldEIg5JUV9QRV9FWENMX0ZXRAIAAAAGSVFfTlRNBDYwMDADAAAACiI3LzUvMjAwMiIINy81LzIwMDIAAAAABAAAAAAAAAAPIk5hc2RhcUdTOklOVEMiDU5hc2RhcUdTOklOVEMBAAAAECJJUV9QRV9FWENMX0ZXRCIOSVFfUEVfRVhDTF9GV0QCAAAABklRX05UTQQ2MDAwAwAAAAsiNi8yOC8yMDAyIgk2LzI4LzIwMDIAAAAABAAAAAAAAAAPIk5hc2RhcUdTOklOVEMiDU5hc2RhcUdTOklOVEMBAAAAECJJUV9QRV9FWENMX0ZXRCIOSVFfUEVfRVhDTF9GV0QCAAAABklRX05UTQQ2MDAwAwAAAAsiNi8yMS8yMDAyIgk2LzIxLzIwMDIAAAAABAAAAAAAAAAPIk5hc2RhcUdTOklOVEMiDU5hc2RhcUdTOklOVEMBAAAAECJJUV9QRV9FWENMX0ZXRCIOSVFfUEVfRVhDTF9GV0QCAAAABklRX05UTQQ2MDAwAwAAAAsi</t>
  </si>
  <si>
    <t>Ni8xNC8yMDAyIgk2LzE0LzIwMDIAAAAABAAAAAAAAAAPIk5hc2RhcUdTOklOVEMiDU5hc2RhcUdTOklOVEMBAAAAECJJUV9QRV9FWENMX0ZXRCIOSVFfUEVfRVhDTF9GV0QCAAAABklRX05UTQQ2MDAwAwAAAAoiNi83LzIwMDIiCDYvNy8yMDAyAAAAAAQAAAAAAAAADyJOYXNkYXFHUzpJTlRDIg1OYXNkYXFHUzpJTlRDAQAAABAiSVFfUEVfRVhDTF9GV0QiDklRX1BFX0VYQ0xfRldEAgAAAAZJUV9OVE0ENjAwMAMAAAALIjUvMzEvMjAwMiIJNS8zMS8yMDAyAAAAAAQAAAAAAAAADyJOYXNkYXFHUzpJTlRDIg1OYXNkYXFHUzpJTlRDAQAAABAiSVFfUEVfRVhDTF9GV0QiDklRX1BFX0VYQ0xfRldEAgAAAAZJUV9OVE0ENjAwMAMAAAALIjUvMjQvMjAwMiIJNS8yNC8yMDAyAAAAAAQAAAAAAAAADyJOYXNkYXFHUzpJTlRDIg1OYXNkYXFHUzpJTlRDAQAAABAiSVFfUEVfRVhDTF9GV0QiDklRX1BFX0VYQ0xfRldEAgAAAAZJUV9OVE0ENjAwMAMAAAALIjUvMTcvMjAwMiIJNS8xNy8yMDAyAAAAAAQAAAAAAAAADyJOYXNkYXFHUzpJTlRDIg1OYXNkYXFHUzpJTlRDAQAAABAiSVFfUEVfRVhDTF9GV0QiDklRX1BFX0VYQ0xfRldEAgAAAAZJUV9OVE0ENjAwMAMAAAALIjUvMTAvMjAwMiIJNS8xMC8yMDAyAAAAAAQAAAAAAAAADyJOYXNkYXFHUzpJTlRDIg1OYXNkYXFHUzpJTlRDAQAAABAiSVFfUEVfRVhDTF9GV0Qi</t>
  </si>
  <si>
    <t>DklRX1BFX0VYQ0xfRldEAgAAAAZJUV9OVE0ENjAwMAMAAAAKIjUvMy8yMDAyIgg1LzMvMjAwMgAAAAAEAAAAAAAAAA8iTmFzZGFxR1M6SU5UQyINTmFzZGFxR1M6SU5UQwEAAAAQIklRX1BFX0VYQ0xfRldEIg5JUV9QRV9FWENMX0ZXRAIAAAAGSVFfTlRNBDYwMDADAAAACyI0LzI2LzIwMDIiCTQvMjYvMjAwMgAAAAAEAAAAAAAAAA8iTmFzZGFxR1M6SU5UQyINTmFzZGFxR1M6SU5UQwEAAAAQIklRX1BFX0VYQ0xfRldEIg5JUV9QRV9FWENMX0ZXRAIAAAAGSVFfTlRNBDYwMDADAAAACyI0LzE5LzIwMDIiCTQvMTkvMjAwMgAAAAAEAAAAAAAAAA8iTmFzZGFxR1M6SU5UQyINTmFzZGFxR1M6SU5UQwEAAAAQIklRX1BFX0VYQ0xfRldEIg5JUV9QRV9FWENMX0ZXRAIAAAAGSVFfTlRNBDYwMDADAAAACyI0LzEyLzIwMDIiCTQvMTIvMjAwMgAAAAAEAAAAAAAAAA8iTmFzZGFxR1M6SU5UQyINTmFzZGFxR1M6SU5UQwEAAAAQIklRX1BFX0VYQ0xfRldEIg5JUV9QRV9FWENMX0ZXRAIAAAAGSVFfTlRNBDYwMDADAAAACiI0LzUvMjAwMiIINC81LzIwMDIAAAAABAAAAAAAAAAPIk5hc2RhcUdTOklOVEMiDU5hc2RhcUdTOklOVEMBAAAAECJJUV9QRV9FWENMX0ZXRCIOSVFfUEVfRVhDTF9GV0QCAAAABklRX05UTQQ2MDAwAwAAAAsiMy8yOC8yMDAyIgkzLzI4LzIwMDIAAAAABAAAAAAAAAAPIk5hc2RhcUdTOklOVEMi</t>
  </si>
  <si>
    <t>DU5hc2RhcUdTOklOVEMBAAAAECJJUV9QRV9FWENMX0ZXRCIOSVFfUEVfRVhDTF9GV0QCAAAABklRX05UTQQ2MDAwAwAAAAsiMy8yMi8yMDAyIgkzLzIyLzIwMDIAAAAABAAAAAAAAAAPIk5hc2RhcUdTOklOVEMiDU5hc2RhcUdTOklOVEMBAAAAECJJUV9QRV9FWENMX0ZXRCIOSVFfUEVfRVhDTF9GV0QCAAAABklRX05UTQQ2MDAwAwAAAAsiMy8xNS8yMDAyIgkzLzE1LzIwMDIAAAAABAAAAAAAAAAPIk5hc2RhcUdTOklOVEMiDU5hc2RhcUdTOklOVEMBAAAAECJJUV9QRV9FWENMX0ZXRCIOSVFfUEVfRVhDTF9GV0QCAAAABklRX05UTQQ2MDAwAwAAAAoiMy84LzIwMDIiCDMvOC8yMDAyAAAAAAQAAAAAAAAADyJOYXNkYXFHUzpJTlRDIg1OYXNkYXFHUzpJTlRDAQAAABAiSVFfUEVfRVhDTF9GV0QiDklRX1BFX0VYQ0xfRldEAgAAAAZJUV9OVE0ENjAwMAMAAAAKIjMvMS8yMDAyIggzLzEvMjAwMgAAAAAEAAAAAAAAAA8iTmFzZGFxR1M6SU5UQyINTmFzZGFxR1M6SU5UQwEAAAAQIklRX1BFX0VYQ0xfRldEIg5JUV9QRV9FWENMX0ZXRAIAAAAGSVFfTlRNBDYwMDADAAAACyIyLzIyLzIwMDIiCTIvMjIvMjAwMgAAAAAEAAAAAAAAAA8iTmFzZGFxR1M6SU5UQyINTmFzZGFxR1M6SU5UQwEAAAAQIklRX1BFX0VYQ0xfRldEIg5JUV9QRV9FWENMX0ZXRAIAAAAGSVFfTlRNBDYwMDADAAAACyIyLzE1LzIwMDIiCTIv</t>
  </si>
  <si>
    <t>MTUvMjAwMgAAAAAEAAAAAAAAAA8iTmFzZGFxR1M6SU5UQyINTmFzZGFxR1M6SU5UQwEAAAAQIklRX1BFX0VYQ0xfRldEIg5JUV9QRV9FWENMX0ZXRAIAAAAGSVFfTlRNBDYwMDADAAAACiIyLzgvMjAwMiIIMi84LzIwMDIAAAAABAAAAAAAAAAPIk5hc2RhcUdTOklOVEMiDU5hc2RhcUdTOklOVEMBAAAAECJJUV9QRV9FWENMX0ZXRCIOSVFfUEVfRVhDTF9GV0QCAAAABklRX05UTQQ2MDAwAwAAAAoiMi8xLzIwMDIiCDIvMS8yMDAyAAAAAAQAAAAAAAAADyJOYXNkYXFHUzpJTlRDIg1OYXNkYXFHUzpJTlRDAQAAABAiSVFfUEVfRVhDTF9GV0QiDklRX1BFX0VYQ0xfRldEAgAAAAZJUV9OVE0ENjAwMAMAAAALIjEvMjUvMjAwMiIJMS8yNS8yMDAyAAAAAAQAAAAAAAAADyJOYXNkYXFHUzpJTlRDIg1OYXNkYXFHUzpJTlRDAQAAABAiSVFfUEVfRVhDTF9GV0QiDklRX1BFX0VYQ0xfRldEAgAAAAZJUV9OVE0ENjAwMAMAAAALIjEvMTgvMjAwMiIJMS8xOC8yMDAyAAAAAAQAAAAAAAAADyJOYXNkYXFHUzpJTlRDIg1OYXNkYXFHUzpJTlRDAQAAABAiSVFfUEVfRVhDTF9GV0QiDklRX1BFX0VYQ0xfRldEAgAAAAZJUV9OVE0ENjAwMAMAAAALIjEvMTEvMjAwMiIJMS8xMS8yMDAyAAAAAAQAAAAAAAAADyJOYXNkYXFHUzpJTlRDIg1OYXNkYXFHUzpJTlRDAQAAABAiSVFfUEVfRVhDTF9GV0QiDklRX1BFX0VYQ0xfRldE</t>
  </si>
  <si>
    <t>AgAAAAZJUV9OVE0ENjAwMAMAAAAKIjEvNC8yMDAyIggxLzQvMjAwMgAAAAAEAAAAAAAAAA8iTmFzZGFxR1M6SU5UQyINTmFzZGFxR1M6SU5UQwEAAAAQIklRX1BFX0VYQ0xfRldEIg5JUV9QRV9FWENMX0ZXRAIAAAAGSVFfTlRNBDYwMDADAAAADCIxMi8yOC8yMDAxIgoxMi8yOC8yMDAxAAAAAAQAAAAAAAAADyJOYXNkYXFHUzpJTlRDIg1OYXNkYXFHUzpJTlRDAQAAABAiSVFfUEVfRVhDTF9GV0QiDklRX1BFX0VYQ0xfRldEAgAAAAZJUV9OVE0ENjAwMAMAAAAMIjEyLzIxLzIwMDEiCjEyLzIxLzIwMDEAAAAABAAAAAAAAAAPIk5hc2RhcUdTOklOVEMiDU5hc2RhcUdTOklOVEMBAAAAECJJUV9QRV9FWENMX0ZXRCIOSVFfUEVfRVhDTF9GV0QCAAAABklRX05UTQQ2MDAwAwAAAAwiMTIvMTQvMjAwMSIKMTIvMTQvMjAwMQAAAAAEAAAAAAAAAA8iTmFzZGFxR1M6SU5UQyINTmFzZGFxR1M6SU5UQwEAAAAQIklRX1BFX0VYQ0xfRldEIg5JUV9QRV9FWENMX0ZXRAIAAAAGSVFfTlRNBDYwMDADAAAACyIxMi83LzIwMDEiCTEyLzcvMjAwMQAAAAAEAAAAAAAAAA8iTmFzZGFxR1M6SU5UQyINTmFzZGFxR1M6SU5UQwEAAAAQIklRX1BFX0VYQ0xfRldEIg5JUV9QRV9FWENMX0ZXRAIAAAAGSVFfTlRNBDYwMDADAAAADCIxMS8zMC8yMDAxIgoxMS8zMC8yMDAxAAAAAAQAAAAAAAAADyJOYXNkYXFHUzpJTlRDIg1OYXNk</t>
  </si>
  <si>
    <t>YXFHUzpJTlRDAQAAABAiSVFfUEVfRVhDTF9GV0QiDklRX1BFX0VYQ0xfRldEAgAAAAZJUV9OVE0ENjAwMAMAAAAMIjExLzIzLzIwMDEiCjExLzIzLzIwMDEAAAAABAAAAAAAAAAPIk5hc2RhcUdTOklOVEMiDU5hc2RhcUdTOklOVEMBAAAAECJJUV9QRV9FWENMX0ZXRCIOSVFfUEVfRVhDTF9GV0QCAAAABklRX05UTQQ2MDAwAwAAAAwiMTEvMTYvMjAwMSIKMTEvMTYvMjAwMQAAAAAEAAAAAAAAAA8iTmFzZGFxR1M6SU5UQyINTmFzZGFxR1M6SU5UQwEAAAAQIklRX1BFX0VYQ0xfRldEIg5JUV9QRV9FWENMX0ZXRAIAAAAGSVFfTlRNBDYwMDADAAAACyIxMS85LzIwMDEiCTExLzkvMjAwMQAAAAAEAAAAAAAAAA8iTmFzZGFxR1M6SU5UQyINTmFzZGFxR1M6SU5UQwEAAAAQIklRX1BFX0VYQ0xfRldEIg5JUV9QRV9FWENMX0ZXRAIAAAAGSVFfTlRNBDYwMDADAAAACyIxMS8yLzIwMDEiCTExLzIvMjAwMQAAAAAEAAAAAAAAAA8iTmFzZGFxR1M6SU5UQyINTmFzZGFxR1M6SU5UQwEAAAAQIklRX1BFX0VYQ0xfRldEIg5JUV9QRV9FWENMX0ZXRAIAAAAGSVFfTlRNBDYwMDADAAAADCIxMC8yNi8yMDAxIgoxMC8yNi8yMDAxAAAAAAQAAAAAAAAADyJOYXNkYXFHUzpJTlRDIg1OYXNkYXFHUzpJTlRDAQAAABAiSVFfUEVfRVhDTF9GV0QiDklRX1BFX0VYQ0xfRldEAgAAAAZJUV9OVE0ENjAwMAMAAAAMIjEwLzE5LzIw</t>
  </si>
  <si>
    <t>MDEiCjEwLzE5LzIwMDEAAAAABAAAAAAAAAAPIk5hc2RhcUdTOklOVEMiDU5hc2RhcUdTOklOVEMBAAAAECJJUV9QRV9FWENMX0ZXRCIOSVFfUEVfRVhDTF9GV0QCAAAABklRX05UTQQ2MDAwAwAAAAwiMTAvMTIvMjAwMSIKMTAvMTIvMjAwMQAAAAAEAAAAAAAAAA8iTmFzZGFxR1M6SU5UQyINTmFzZGFxR1M6SU5UQwEAAAAQIklRX1BFX0VYQ0xfRldEIg5JUV9QRV9FWENMX0ZXRAIAAAAGSVFfTlRNBDYwMDADAAAACyIxMC81LzIwMDEiCTEwLzUvMjAwMQAAAAAEAAAAAAAAAA8iTmFzZGFxR1M6SU5UQyINTmFzZGFxR1M6SU5UQwEAAAAQIklRX1BFX0VYQ0xfRldEIg5JUV9QRV9FWENMX0ZXRAIAAAAGSVFfTlRNBDYwMDADAAAACyI5LzI4LzIwMDEiCTkvMjgvMjAwMQAAAAAEAAAAAAAAAA8iTmFzZGFxR1M6SU5UQyINTmFzZGFxR1M6SU5UQwEAAAAQIklRX1BFX0VYQ0xfRldEIg5JUV9QRV9FWENMX0ZXRAIAAAAGSVFfTlRNBDYwMDADAAAACyI5LzIxLzIwMDEiCTkvMjEvMjAwMQAAAAAEAAAAAAAAAA8iTmFzZGFxR1M6SU5UQyINTmFzZGFxR1M6SU5UQwEAAAAQIklRX1BFX0VYQ0xfRldEIg5JUV9QRV9FWENMX0ZXRAIAAAAGSVFfTlRNBDYwMDADAAAACyI5LzEwLzIwMDEiCTkvMTAvMjAwMQAAAAAEAAAAAAAAAA8iTmFzZGFxR1M6SU5UQyINTmFzZGFxR1M6SU5UQwEAAAAQIklRX1BFX0VYQ0xfRldEIg5J</t>
  </si>
  <si>
    <t>UV9QRV9FWENMX0ZXRAIAAAAGSVFfTlRNBDYwMDADAAAACiI5LzcvMjAwMSIIOS83LzIwMDEAAAAABAAAAAAAAAAPIk5hc2RhcUdTOklOVEMiDU5hc2RhcUdTOklOVEMBAAAAECJJUV9QRV9FWENMX0ZXRCIOSVFfUEVfRVhDTF9GV0QCAAAABklRX05UTQQ2MDAwAwAAAAsiOC8zMS8yMDAxIgk4LzMxLzIwMDEAAAAABAAAAAAAAAAPIk5hc2RhcUdTOklOVEMiDU5hc2RhcUdTOklOVEMBAAAAECJJUV9QRV9FWENMX0ZXRCIOSVFfUEVfRVhDTF9GV0QCAAAABklRX05UTQQ2MDAwAwAAAAsiOC8yNC8yMDAxIgk4LzI0LzIwMDEAAAAABAAAAAAAAAAPIk5hc2RhcUdTOklOVEMiDU5hc2RhcUdTOklOVEMBAAAAECJJUV9QRV9FWENMX0ZXRCIOSVFfUEVfRVhDTF9GV0QCAAAABklRX05UTQQ2MDAwAwAAAAsiOC8xNy8yMDAxIgk4LzE3LzIwMDEAAAAABAAAAAAAAAAPIk5hc2RhcUdTOklOVEMiDU5hc2RhcUdTOklOVEMBAAAAECJJUV9QRV9FWENMX0ZXRCIOSVFfUEVfRVhDTF9GV0QCAAAABklRX05UTQQ2MDAwAwAAAAsiOC8xMC8yMDAxIgk4LzEwLzIwMDEAAAAABAAAAAAAAAAPIk5hc2RhcUdTOklOVEMiDU5hc2RhcUdTOklOVEMBAAAAECJJUV9QRV9FWENMX0ZXRCIOSVFfUEVfRVhDTF9GV0QCAAAABklRX05UTQQ2MDAwAwAAAAoiOC8zLzIwMDEiCDgvMy8yMDAxAAAAAAQAAAAAAAAADyJOYXNkYXFHUzpJTlRDIg1O</t>
  </si>
  <si>
    <t>YXNkYXFHUzpJTlRDAQAAABAiSVFfUEVfRVhDTF9GV0QiDklRX1BFX0VYQ0xfRldEAgAAAAZJUV9OVE0ENjAwMAMAAAALIjcvMjcvMjAwMSIJNy8yNy8yMDAxAAAAAAQAAAAAAAAADyJOYXNkYXFHUzpJTlRDIg1OYXNkYXFHUzpJTlRDAQAAABAiSVFfUEVfRVhDTF9GV0QiDklRX1BFX0VYQ0xfRldEAgAAAAZJUV9OVE0ENjAwMAMAAAALIjcvMjAvMjAwMSIJNy8yMC8yMDAxAAAAAAQAAAAAAAAADyJOYXNkYXFHUzpJTlRDIg1OYXNkYXFHUzpJTlRDAQAAABAiSVFfUEVfRVhDTF9GV0QiDklRX1BFX0VYQ0xfRldEAgAAAAZJUV9OVE0ENjAwMAMAAAALIjcvMTMvMjAwMSIJNy8xMy8yMDAxAAAAAAQAAAAAAAAADyJOYXNkYXFHUzpJTlRDIg1OYXNkYXFHUzpJTlRDAQAAABAiSVFfUEVfRVhDTF9GV0QiDklRX1BFX0VYQ0xfRldEAgAAAAZJUV9OVE0ENjAwMAMAAAAKIjcvNi8yMDAxIgg3LzYvMjAwMQAAAAAEAAAAAAAAAA8iTmFzZGFxR1M6SU5UQyINTmFzZGFxR1M6SU5UQwEAAAAQIklRX1BFX0VYQ0xfRldEIg5JUV9QRV9FWENMX0ZXRAIAAAAGSVFfTlRNBDYwMDADAAAACyI2LzI5LzIwMDEiCTYvMjkvMjAwMQAAAAAEAAAAAAAAAA8iTmFzZGFxR1M6SU5UQyINTmFzZGFxR1M6SU5UQwEAAAAQIklRX1BFX0VYQ0xfRldEIg5JUV9QRV9FWENMX0ZXRAIAAAAGSVFfTlRNBDYwMDADAAAACyI2LzIyLzIwMDEiCTYv</t>
  </si>
  <si>
    <t>MjIvMjAwMQAAAAAEAAAAAAAAAA8iTmFzZGFxR1M6SU5UQyINTmFzZGFxR1M6SU5UQwEAAAAQIklRX1BFX0VYQ0xfRldEIg5JUV9QRV9FWENMX0ZXRAIAAAAGSVFfTlRNBDYwMDADAAAACyI2LzE1LzIwMDEiCTYvMTUvMjAwMQAAAAAEAAAAAAAAAA8iTmFzZGFxR1M6SU5UQyINTmFzZGFxR1M6SU5UQwEAAAAQIklRX1BFX0VYQ0xfRldEIg5JUV9QRV9FWENMX0ZXRAIAAAAGSVFfTlRNBDYwMDADAAAACiI2LzgvMjAwMSIINi84LzIwMDEAAAAABAAAAAAAAAAPIk5hc2RhcUdTOklOVEMiDU5hc2RhcUdTOklOVEMBAAAAECJJUV9QRV9FWENMX0ZXRCIOSVFfUEVfRVhDTF9GV0QCAAAABklRX05UTQQ2MDAwAwAAAAoiNi8xLzIwMDEiCDYvMS8yMDAxAAAAAAQAAAAAAAAADyJOYXNkYXFHUzpJTlRDIg1OYXNkYXFHUzpJTlRDAQAAABAiSVFfUEVfRVhDTF9GV0QiDklRX1BFX0VYQ0xfRldEAgAAAAZJUV9OVE0ENjAwMAMAAAALIjUvMjUvMjAwMSIJNS8yNS8yMDAxAAAAAAQAAAAAAAAADyJOYXNkYXFHUzpJTlRDIg1OYXNkYXFHUzpJTlRDAQAAABAiSVFfUEVfRVhDTF9GV0QiDklRX1BFX0VYQ0xfRldEAgAAAAZJUV9OVE0ENjAwMAMAAAALIjUvMTgvMjAwMSIJNS8xOC8yMDAxAAAAAAQAAAAAAAAADyJOYXNkYXFHUzpJTlRDIg1OYXNkYXFHUzpJTlRDAQAAABAiSVFfUEVfRVhDTF9GV0QiDklRX1BFX0VYQ0xfRldE</t>
  </si>
  <si>
    <t>AgAAAAZJUV9OVE0ENjAwMAMAAAALIjUvMTEvMjAwMSIJNS8xMS8yMDAxAAAAAAQAAAAAAAAADyJOYXNkYXFHUzpJTlRDIg1OYXNkYXFHUzpJTlRDAQAAABAiSVFfUEVfRVhDTF9GV0QiDklRX1BFX0VYQ0xfRldEAgAAAAZJUV9OVE0ENjAwMAMAAAAKIjUvNC8yMDAxIgg1LzQvMjAwMQAAAAAEAAAAAAAAAA8iTmFzZGFxR1M6SU5UQyINTmFzZGFxR1M6SU5UQwEAAAAQIklRX1BFX0VYQ0xfRldEIg5JUV9QRV9FWENMX0ZXRAIAAAAGSVFfTlRNBDYwMDADAAAACyI0LzI3LzIwMDEiCTQvMjcvMjAwMQAAAAAEAAAAAAAAAA8iTmFzZGFxR1M6SU5UQyINTmFzZGFxR1M6SU5UQwEAAAAQIklRX1BFX0VYQ0xfRldEIg5JUV9QRV9FWENMX0ZXRAIAAAAGSVFfTlRNBDYwMDADAAAACyI0LzIwLzIwMDEiCTQvMjAvMjAwMQAAAAAEAAAAAAAAAA8iTmFzZGFxR1M6SU5UQyINTmFzZGFxR1M6SU5UQwEAAAAQIklRX1BFX0VYQ0xfRldEIg5JUV9QRV9FWENMX0ZXRAIAAAAGSVFfTlRNBDYwMDADAAAACyI0LzEyLzIwMDEiCTQvMTIvMjAwMQAAAAAEAAAAAAAAAA8iTmFzZGFxR1M6SU5UQyINTmFzZGFxR1M6SU5UQwEAAAAQIklRX1BFX0VYQ0xfRldEIg5JUV9QRV9FWENMX0ZXRAIAAAAGSVFfTlRNBDYwMDADAAAACiI0LzYvMjAwMSIINC82LzIwMDEAAAAABAAAAAAAAAAPIk5hc2RhcUdTOklOVEMiDU5hc2RhcUdTOklOVEMB</t>
  </si>
  <si>
    <t>AAAAECJJUV9QRV9FWENMX0ZXRCIOSVFfUEVfRVhDTF9GV0QCAAAABklRX05UTQQ2MDAwAwAAAAsiMy8zMC8yMDAxIgkzLzMwLzIwMDEAAAAABAAAAAAAAAAPIk5hc2RhcUdTOklOVEMiDU5hc2RhcUdTOklOVEMBAAAAECJJUV9QRV9FWENMX0ZXRCIOSVFfUEVfRVhDTF9GV0QCAAAABklRX05UTQQ2MDAwAwAAAAsiMy8yMy8yMDAxIgkzLzIzLzIwMDEAAAAABAAAAAAAAAAPIk5hc2RhcUdTOklOVEMiDU5hc2RhcUdTOklOVEMBAAAAECJJUV9QRV9FWENMX0ZXRCIOSVFfUEVfRVhDTF9GV0QCAAAABklRX05UTQQ2MDAwAwAAAAsiMy8xNi8yMDAxIgkzLzE2LzIwMDEAAAAABAAAAAAAAAAPIk5hc2RhcUdTOklOVEMiDU5hc2RhcUdTOklOVEMBAAAAECJJUV9QRV9FWENMX0ZXRCIOSVFfUEVfRVhDTF9GV0QCAAAABklRX05UTQQ2MDAwAwAAAAoiMy85LzIwMDEiCDMvOS8yMDAxAAAAAAQAAAAAAAAADyJOYXNkYXFHUzpJTlRDIg1OYXNkYXFHUzpJTlRDAQAAABAiSVFfUEVfRVhDTF9GV0QiDklRX1BFX0VYQ0xfRldEAgAAAAZJUV9OVE0ENjAwMAMAAAAKIjMvMi8yMDAxIggzLzIvMjAwMQAAAAAEAAAAAAAAAA8iTmFzZGFxR1M6SU5UQyINTmFzZGFxR1M6SU5UQwEAAAAQIklRX1BFX0VYQ0xfRldEIg5JUV9QRV9FWENMX0ZXRAIAAAAGSVFfTlRNBDYwMDADAAAACyIyLzIzLzIwMDEiCTIvMjMvMjAwMQAAAAAEAAAA</t>
  </si>
  <si>
    <t>AAAAAA8iTmFzZGFxR1M6SU5UQyINTmFzZGFxR1M6SU5UQwEAAAAQIklRX1BFX0VYQ0xfRldEIg5JUV9QRV9FWENMX0ZXRAIAAAAGSVFfTlRNBDYwMDADAAAACyIyLzE2LzIwMDEiCTIvMTYvMjAwMQAAAAAEAAAAAAAAAA8iTmFzZGFxR1M6SU5UQyINTmFzZGFxR1M6SU5UQwEAAAAQIklRX1BFX0VYQ0xfRldEIg5JUV9QRV9FWENMX0ZXRAIAAAAGSVFfTlRNBDYwMDADAAAACiIyLzkvMjAwMSIIMi85LzIwMDEAAAAABAAAAAAAAAAPIk5hc2RhcUdTOklOVEMiDU5hc2RhcUdTOklOVEMBAAAAECJJUV9QRV9FWENMX0ZXRCIOSVFfUEVfRVhDTF9GV0QCAAAABklRX05UTQQ2MDAwAwAAAAoiMi8yLzIwMDEiCDIvMi8yMDAxAAAAAAQAAAAAAAAADyJOYXNkYXFHUzpJTlRDIg1OYXNkYXFHUzpJTlRDAQAAABAiSVFfUEVfRVhDTF9GV0QiDklRX1BFX0VYQ0xfRldEAgAAAAZJUV9OVE0ENjAwMAMAAAALIjEvMjYvMjAwMSIJMS8yNi8yMDAxAAAAAAQAAAAAAAAADyJOYXNkYXFHUzpJTlRDIg1OYXNkYXFHUzpJTlRDAQAAABAiSVFfUEVfRVhDTF9GV0QiDklRX1BFX0VYQ0xfRldEAgAAAAZJUV9OVE0ENjAwMAMAAAALIjEvMTkvMjAwMSIJMS8xOS8yMDAxAAAAAAQAAAAAAAAADyJOYXNkYXFHUzpJTlRDIg1OYXNkYXFHUzpJTlRDAQAAABAiSVFfUEVfRVhDTF9GV0QiDklRX1BFX0VYQ0xfRldEAgAAAAZJUV9OVE0ENjAw</t>
  </si>
  <si>
    <t>MAMAAAALIjEvMTIvMjAwMSIJMS8xMi8yMDAxAAAAAAQAAAAAAAAADyJOYXNkYXFHUzpJTlRDIg1OYXNkYXFHUzpJTlRDAQAAABAiSVFfUEVfRVhDTF9GV0QiDklRX1BFX0VYQ0xfRldEAgAAAAZJUV9OVE0ENjAwMAMAAAAKIjEvNS8yMDAxIggxLzUvMjAwMcsCsr2Tc9UIi4vKSZdz1Qg2Q0lRLk5BU0RBUUdTOklOVEMuSVFfVEVWX0VCSVREQV9GV0RfQ0lRLjYwMDAuMi8xOC8yMDExAQAAAIdSAAACAAAAEDQuODkzMjQ2NTg1Njg4NjIBDQAAAAUAAAABOQEAAAAHMjYyMTI5NQIAAAAEMTg4NgMAAAAGMTAwMzA4BAAAAAEyBgAAAAEwBwAAAAMxNjAIAAAAATAJAAAAATEKAAAAATALAAAACjU3NDg4MTUyMDIMAAAAAjEyDQAAAAkyLzE5LzIwMTG7Y1S7k3PVCEtGkK6Xc9UINENJUS5OYXNkYXFHUzpJTlRDLklRX1RFVl9UT1RBTF9SRVZfRldELjYwMDAuMS8zLzIwMTQBAAAAh1IAAAIAAAAQMi4zMTYxNjMzMjU5ODA1OQENAAAABQAAAAE5AQAAAAcyNjIxMjk1AgAAAAczODI5NzUzAwAAAAYxMDAzMDcEAAAAATIGAAAAATAHAAAAAzE2MAgAAAABMAkAAAABMQoAAAABMAsAAAAKODg2MjU0NTc0OAwAAAACMTINAAAACDEvNC8yMDE0qyW0vZNz1QjLaFhJl3PVCC1DSVEuXlNQWC5JUV9URVZfRUJJVERBX0ZXRF9DSVEuNjAwMC43LzIyLzIwMTUBAAAAm7goAAIAAAAIOS45MDg1MjgA27ivvZNz1QgrhDBLl3PVCC1D</t>
  </si>
  <si>
    <t>SVEuXlNQWC5JUV9URVZfVE9UQUxfUkVWX0ZXRC42MDAwLjEwLzI5LzIwMTQBAAAAm7goAAIAAAAIMS44NTM2ODYAm+tmuZNz1QiLUDZLl3PVCDRDSVEuTmFzZGFxR1M6SU5UQy5JUV9URVZfVE9UQUxfUkVWX0ZXRC42MDAwLjkvNy8yMDAxAQAAAIdSAAACAAAAEDYuMTIxNTQ4MzkzMzMxMDYBDQAAAAUAAAABOQEAAAAHMjYyMTI5NQIAAAAHMzQyMTE2MQMAAAAGMTAwMzA3BAAAAAEyBgAAAAEwBwAAAAMxNjAIAAAAATAJAAAAATEKAAAAATALAAAACjExNjkxNTI0NTUMAAAAAjEyDQAAAAg5LzgvMjAwMetJV7uTc9UIqzhTSZdz1QgmQ0lRLl5TUFguSVFfUEVfRVhDTF9GV0QuNjAwMC43LzIwLzIwMTYBAAAAm7goAAIAAAAJMTcuODkxNzQ3AOv+ubeTc9UIy9UlS5dz1QgrQ0lRLl5TUFguSVFfVEVWX1RPVEFMX1JFVl9GV0QuNjAwMC4zLzYvMjAxMwEAAACbuCgAAgAAAAgxLjU3MzI1OQDr/rm3k3PVCMs/PkuXc9UINENJUS5OYXNkYXFHUzpJTlRDLklRX1RFVl9UT1RBTF9SRVZfRldELjYwMDAuMS83LzIwMDUBAAAAh1IAAAIAAAAQMy41NjI2MTEyMDM2MjcyMQENAAAABQAAAAE5AQAAAAcyNjIxMjk1AgAAAAcxNzU3MTQ2AwAAAAYxMDAzMDcEAAAAATIGAAAAATAHAAAAAzE2MAgAAAABMAkAAAABMQoAAAABMAsAAAAKOTExMTA2MjUzNwwAAAACMTINAAAACDEvOC8yMDA1i19Wu5Nz1Qg7J1JJl3PVCC9DSVEu</t>
  </si>
  <si>
    <t>TkFTREFRR1M6SU5UQy5JUV9QRV9FWENMX0ZXRC42MDAwLjcvMjcvMjAwNwEAAACHUgAAAgAAABAxOS4yMDY5MTkwNjAwNTIyAQ0AAAAFAAAAATkBAAAABzI2MjEyOTUCAAAABzE3NTcxNTQDAAAABjEwMDMwOQQAAAABMgYAAAABMAcAAAADMTYwCAAAAAEwCQAAAAExCgAAAAEwCwAAAAsxMDMzNDIwNzQxNQwAAAACMTINAAAACTcvMjgvMjAwN0s7s72Tc9UIiz1aSZdz1QgvQ0lRLk5BU0RBUUdTOklOVEMuSVFfUEVfRVhDTF9GV0QuNjAwMC41LzIxLzIwMTABAAAAh1IAAAIAAAAQMTEuMDQ1ODA1MTU2MzgyMQENAAAABQAAAAE5AQAAAAcyNjIxMjk1AgAAAAcxNzU3MTYyAwAAAAYxMDAzMDkEAAAAATIGAAAAATAHAAAAAzE2MAgAAAABMAkAAAABMQoAAAABMAsAAAAKODg2Mzg0NDIwNwwAAAACMTINAAAACTUvMjIvMjAxMCvtsr2Tc9UI+91YSZdz1QgvQ0lRLk5BU0RBUUdTOklOVEMuSVFfUFJJQ0VfU0FMRVMuMjAwMC43LzIzLzIwMTQBAAAAh1IAAAIAAAAHMy4xODQ5NAEHAAAABQAAAAExAQAAAAoxNjg2ODc1ODczAwAAAAEwAgAAAAUzODk1OAQAAAABMAcAAAAJNy8yMy8yMDE0CAAAAAk3LzIzLzIwMTQLtlK7k3PVCDv+N0uXc9UIL0NJUS5OQVNEQVFHUzpJTlRDLklRX1BFX0VYQ0xfRldELjYwMDAuMS8yNy8yMDA2AQAAAIdSAAACAAAADzE1LjIzOTA5OTg1OTM1MwENAAAABQAAAAE5AQAAAAcyNjIxMjk1</t>
  </si>
  <si>
    <t>AgAAAAQxODgxAwAAAAYxMDAzMDkEAAAAATIGAAAAATAHAAAAAzE2MAgAAAABMAkAAAABMQoAAAABMAsAAAAHMTUxNjc2OAwAAAACMTINAAAACTEvMjgvMjAwNltis72Tc9UIiwhOSZdz1QgfQ0lRLl5TUFguSVFfUFRCVi4yMDAwLjkvMTMvMjAxNwEAAACbuCgAAgAAAAg4Ljc2NzI0MwBbOFW5k3PVCAuA+kqXc9UIL0NJUS5OQVNEQVFHUzpJTlRDLklRX1BFX0VYQ0xfRldELjYwMDAuOS8yMy8yMDA1AQAAAIdSAAACAAAAEDE2LjQyODU3MTQyODU3MTQBDQAAAAUAAAABOQEAAAAHMjYyMTI5NQIAAAAHMTc1NzE0OAMAAAAGMTAwMzA5BAAAAAEyBgAAAAEwBwAAAAMxNjAIAAAAATAJAAAAATEKAAAAATALAAAACjg4NjI0MTI0MjIMAAAAAjEyDQAAAAk5LzI0LzIwMDVribO9k3PVCFvmVEmXc9UIL0NJUS5OQVNEQVFHUzpJTlRDLklRX1BSSUNFX1NBTEVTLjIwMDAuMS8yNy8yMDEyAQAAAIdSAAACAAAACDIuNjAxNzY4AQcAAAAFAAAAATEBAAAACjE0OTA0NjQ0MDUDAAAAATACAAAABTM4OTU4BAAAAAEwBwAAAAkxLzI3LzIwMTIIAAAACTEvMjcvMjAxMtvXubeTc9UIi5dLSZdz1QgnQ0lRLk5BU0RBUUdTOklOVEMuSVFfUFRCVi4yMDAwLjUvNS8yMDE3AQAAAIdSAAACAAAACDMuOTc3ODI0AQcAAAAFAAAAATEBAAAACjE4MzgzNjAxMzIDAAAAATACAAAABjEwMDAyOQQAAAABMAcAAAAINS81LzIwMTcIAAAACDUv</t>
  </si>
  <si>
    <t>NS8yMDE3e51muZNz1QjbrVNJl3PVCCxDSVEuTkFTREFRR1M6SU5UQy5JUV9MQVNUU0FMRVBSSUNFLjgvMTMvMjAxNAEAAACHUgAAAgAAAAQzNC4xANvXubeTc9UIK9c3S5dz1QgfQ0lRLl5TUFguSVFfUFRCVi4yMDAwLjYvMTQvMjAxNwEAAACbuCgAAgAAAAg4LjcwMzUyNADLka+9k3PVCNuSDUuXc9UILUNJUS5OQVNEQVFHUzpJTlRDLklRX0xBU1RTQUxFUFJJQ0UuMTIvMjQvMjAxNAEAAACHUgAAAgAAAAUzNy40NAAb3VK7k3PVCCtmNUuXc9UII0NJUS5eU1BYLklRX0xBU1RTQUxFUFJJQ0UuMy8xOC8yMDE1AQAAAJu4KAACAAAAEDIwOTkuNTAwNzEzNjI5ODIA6/65t5Nz1QjbMTJLl3PVCDZDSVEuTmFzZGFxR1M6SU5UQy5JUV9URVZfRUJJVERBX0ZXRF9DSVEuNjAwMC41LzEzLzIwMDUBAAAAh1IAAAIAAAAQOC42NzEyMzg4NDg4NzE3OQENAAAABQAAAAE5AQAAAAcyNjIxMjk1AgAAAAcxNzU3MTQ3AwAAAAYxMDAzMDgEAAAAATIGAAAAATAHAAAAAzE2MAgAAAABMAkAAAABMQoAAAABMAsAAAAKMTE2OTEzMDI3OQwAAAACMTINAAAACTUvMTQvMjAwNYtfVruTc9UIe0qOrpdz1Qg1Q0lRLk5hc2RhcUdTOklOVEMuSVFfVEVWX1RPVEFMX1JFVl9GV0QuNjAwMC44LzEzLzIwMDQBAAAAh1IAAAIAAAAPMy4zMjM3MjcwMDQ5NjIzAQ0AAAAFAAAAATkBAAAABzI2MjEyOTUCAAAABzE3NTcxNDUDAAAABjEwMDMw</t>
  </si>
  <si>
    <t>NwQAAAABMgYAAAABMAcAAAADMTYwCAAAAAEwCQAAAAExCgAAAAEwCwAAAAoxMTY5MTI4NzY5DAAAAAIxMg0AAAAJOC8xNC8yMDA0uymxu5Nz1Qhb5lRJl3PVCDBDSVEuTkFTREFRR1M6SU5UQy5JUV9QUklDRV9TQUxFUy4yMDAwLjExLzE1LzIwMTMBAAAAh1IAAAIAAAAIMi4zMjcwMTMBBwAAAAUAAAABMQEAAAAKMTY0MjQ4Mzc5MgMAAAABMAIAAAAFMzg5NTgEAAAAATAHAAAACjExLzE1LzIwMTMIAAAACjExLzE1LzIwMTMLtlK7k3PVCNseVkmXc9UIL0NJUS5OQVNEQVFHUzpJTlRDLklRX1BFX0VYQ0xfRldELjYwMDAuMi8xNy8yMDE3AQAAAIdSAAACAAAAEDEzLjA2OTc0MTExMzA3NzYBDQAAAAUAAAABOQEAAAAHMjYyMTI5NQIAAAAKMTAwMDk0NDM4NwMAAAAGMTAwMzA5BAAAAAEyBgAAAAEwBwAAAAMxNjAIAAAAATAJAAAAATEKAAAAATALAAAACjk5OTg3OTIzMDMMAAAAAjEyDQAAAAkyLzE4LzIwMTfbKbK9k3PVCIs9WkmXc9UIL0NJUS5OQVNEQVFHUzpJTlRDLklRX1BFX0VYQ0xfRldELjYwMDAuMS8xMC8yMDE0AQAAAIdSAAACAAAAEDEzLjY2MTkwMzk5NzQzMTQBDQAAAAUAAAABOQEAAAAHMjYyMTI5NQIAAAAHMzgyOTc1MwMAAAAGMTAwMzA5BAAAAAEyBgAAAAEwBwAAAAMxNjAIAAAAATAJAAAAATEKAAAAATALAAAACjcwODY2MDI2MjkMAAAAAjEyDQAAAAkxLzExLzIwMTT7d7K9k3PVCGucUkmX</t>
  </si>
  <si>
    <t>c9UINkNJUS5OYXNkYXFHUzpJTlRDLklRX1RFVl9FQklUREFfRldEX0NJUS42MDAwLjYvMTUvMjAwNwEAAACHUgAAAgAAABA5LjgyOTczMjIxMTczMjczAQ0AAAAFAAAAATkBAAAABzI2MjEyOTUCAAAABzE3NTcxNTMDAAAABjEwMDMwOAQAAAABMgYAAAABMAcAAAADMTYwCAAAAAEwCQAAAAExCgAAAAEwCwAAAAoxMTY5MTM2ODMxDAAAAAIxMg0AAAAJNi8xNi8yMDA3m4ZWu5Nz1QhLRpCul3PVCCxDSVEuTkFTREFRR1M6SU5UQy5JUV9MQVNUU0FMRVBSSUNFLjgvMjgvMjAxMwEAAACHUgAAAgAAAAYyMi4yODUAW09muZNz1QhbLj1Ll3PVCB9DSVEuXlNQWC5JUV9QVEJWLjIwMDAuNS8yNy8yMDE1AQAAAJu4KAACAAAACDYuMjM4Mzc5AGtmsLuTc9UIe0cxS5dz1QgvQ0lRLk5BU0RBUUdTOklOVEMuSVFfUEVfRVhDTF9GV0QuNjAwMC4xLzE4LzIwMDgBAAAAh1IAAAIAAAAQMTMuNDk0MzE4MTgxODE4MgENAAAABQAAAAE5AQAAAAcyNjIxMjk1AgAAAAQxODgzAwAAAAYxMDAzMDkEAAAAATIGAAAAATAHAAAAAzE2MAgAAAABMAkAAAABMQoAAAABMAsAAAAHMTUzMzI0NgwAAAACMTINAAAACTEvMTkvMjAwOEs7s72Tc9UIK1NZSZdz1QgeQ0lRLl5TUFguSVFfUFRCVi4yMDAwLjQvMS8yMDE1AQAAAJu4KAACAAAACDUuODY1NTExAOtnUruTc9UI61gyS5dz1QgvQ0lRLk5BU0RBUUdTOklOVEMuSVFfUFJJQ0VfU0FM</t>
  </si>
  <si>
    <t>RVMuMjAwMC4xMS80LzIwMTYBAAAAh1IAAAIAAAAIMi43NDIyMzEBBwAAAAUAAAABMQEAAAAKMTgxNTU0NDQ1MAMAAAABMAIAAAAFMzg5NTgEAAAAATAHAAAACTExLzQvMjAxNggAAAAJMTEvNC8yMDE2+45Su5Nz1QhLMFdJl3PVCC1DSVEuTkFTREFRR1M6SU5UQy5JUV9MQVNUU0FMRVBSSUNFLjExLzE1LzIwMTcBAAAAh1IAAAIAAAAFNDUuNDYAy5GvvZNz1Qgbcu5Kl3PVCC9DSVEuTkFTREFRR1M6SU5UQy5JUV9QRV9FWENMX0ZXRC42MDAwLjIvMjEvMjAwMwEAAACHUgAAAgAAABAyNy4wNDg4MTAzNjgxNzMzAQ0AAAAFAAAAATkBAAAABzI2MjEyOTUCAAAABDE4NzgDAAAABjEwMDMwOQQAAAABMgYAAAABMAcAAAADMTYwCAAAAAEwCQAAAAExCgAAAAEwCwAAAAcxNTAwMzQ4DAAAAAIxMg0AAAAJMi8yMi8yMDAze7CzvZNz1QibL05Jl3PVCCNDSVEuXlNQWC5JUV9MQVNUU0FMRVBSSUNFLjEwLzQvMjAxNwEAAACbuCgAAgAAAA4yNTM3Ljc0MTI0MDAwNgBbT2a5k3PVCNu38kqXc9UINkNJUS5OQVNEQVFHUzpJTlRDLklRX1RFVl9UT1RBTF9SRVZfRldELjYwMDAuMTAvMjUvMjAxMwEAAACHUgAAAgAAABAyLjE2MjAwMDcxMjYyMDE1AQ0AAAAFAAAAATkBAAAABzI2MjEyOTUCAAAABzM4Mjk3NTMDAAAABjEwMDMwNwQAAAABMgYAAAABMAcAAAADMTYwCAAAAAEwCQAAAAExCgAAAAEwCwAAAAo4ODYyNTQ1NzI2</t>
  </si>
  <si>
    <t>DAAAAAIxMg0AAAAKMTAvMjYvMjAxMyubureTc9UIW8hZSZdz1QgjQ0lRLl5TUFguSVFfTEFTVFNBTEVQUklDRS4xLzEzLzIwMTYBAAAAm7goAAIAAAAQMTg5MC4yNzg5MTQ4MTc3NwArw1S5k3PVCCuiK0uXc9UINkNJUS5OYXNkYXFHUzpJTlRDLklRX1RFVl9FQklUREFfRldEX0NJUS42MDAwLjEvMjAvMjAxMgEAAACHUgAAAgAAABA1LjE4MzIyMTgwOTI5ODE2AQ0AAAAFAAAAATkBAAAABzI2MjEyOTUCAAAABDE4ODcDAAAABjEwMDMwOAQAAAABMgYAAAABMAcAAAADMTYwCAAAAAEwCQAAAAExCgAAAAEwCwAAAAo1NzQ4ODMxMzczDAAAAAIxMg0AAAAJMS8yMS8yMDEyy/tWu5Nz1Qh7u5Cul3PVCC5DSVEuTkFTREFRR1M6SU5UQy5JUV9QRV9FWENMX0ZXRC42MDAwLjQvNC8yMDAzAQAAAIdSAAACAAAAEDI4LjY2MzY1MTc5OTY3MzkBDQAAAAUAAAABOQEAAAAHMjYyMTI5NQIAAAAEMTg3OAMAAAAGMTAwMzA5BAAAAAEyBgAAAAEwBwAAAAMxNjAIAAAAATAJAAAAATEKAAAAATALAAAABzE1MDAzNzgMAAAAAjEyDQAAAAg0LzUvMjAwM3uws72Tc9UI+4pRSZdz1QgjQ0lRLl5TUFguSVFfTEFTVFNBTEVQUklDRS42LzE0LzIwMTcBAAAAm7goAAIAAAAQMjQzNy45MjA0ODEyNDk1NwDbqoi2k3PVCDubCUuXc9UINUNJUS5OYXNkYXFHUzpJTlRDLklRX1RFVl9UT1RBTF9SRVZfRldELjYwMDAuMy8xOS8yMDA0AQAA</t>
  </si>
  <si>
    <t>AIdSAAACAAAAEDQuNTI0ODg2MDEwNTU0NTgBDQAAAAUAAAABOQEAAAAHMjYyMTI5NQIAAAAEMTg3OQMAAAAGMTAwMzA3BAAAAAEyBgAAAAEwBwAAAAMxNjAIAAAAATAJAAAAATEKAAAAATALAAAACTM2MDY1OTgwMwwAAAACMTINAAAACTMvMjAvMjAwNOuXVrmTc9UIu31OSZdz1QgrQ0lRLk5BU0RBUUdTOklOVEMuSVFfTEFTVFNBTEVQUklDRS40LzUvMjAxNwEAAACHUgAAAgAAAAUzNi4yMgBLKGa5k3PVCFseFkuXc9UINkNJUS5OYXNkYXFHUzpJTlRDLklRX1RFVl9FQklUREFfRldEX0NJUS42MDAwLjkvMjgvMjAwMQEAAACHUgAAAgAAAA8xNC40OTgyMjQ0Mjk0NzMBDQAAAAUAAAABOQEAAAAHMjYyMTI5NQIAAAAHMzQyMTE2MQMAAAAGMTAwMzA4BAAAAAEyBgAAAAEwBwAAAAMxNjAIAAAAATAJAAAAATEKAAAAATALAAAACjExNjkxNTI1MjkMAAAAAjEyDQAAAAk5LzI5LzIwMDHrnrG7k3PVCCv4j66Xc9UILENJUS5eU1BYLklRX1RFVl9FQklUREFfRldEX0NJUS42MDAwLjUvOC8yMDEzAQAAAJu4KAACAAAACDguMjAwOTI2APv4iLaTc9UIm8o9S5dz1Qg3Q0lRLk5BU0RBUUdTOklOVEMuSVFfVEVWX0VCSVREQV9GV0RfQ0lRLjYwMDAuMTIvMTYvMjAwNQEAAACHUgAAAgAAABA4LjE2Nzc4ODQzMzA0MjY0AQ0AAAAFAAAAATkBAAAABzI2MjEyOTUCAAAABzE3NTcxNDkDAAAABjEwMDMwOAQAAAABMgYAAAAB</t>
  </si>
  <si>
    <t>MAcAAAADMTYwCAAAAAEwCQAAAAExCgAAAAEwCwAAAAo2ODgzNzAwNTI4DAAAAAIxMg0AAAAKMTIvMTcvMjAwNRtOVbuTc9UIOx+Qrpdz1QgwQ0lRLk5BU0RBUUdTOklOVEMuSVFfUEVfRVhDTF9GV0QuNjAwMC4xMS8xOS8yMDA0AQAAAIdSAAACAAAADzIyLjgzNTUzODc1MjM2MwENAAAABQAAAAE5AQAAAAcyNjIxMjk1AgAAAAcxNzU3MTQ2AwAAAAYxMDAzMDkEAAAAATIGAAAAATAHAAAAAzE2MAgAAAABMAkAAAABMQoAAAABMAsAAAAKNjczMDQwNzQyNQwAAAACMTINAAAACjExLzIwLzIwMDSL17O9k3PVCHtSUEmXc9UILENJUS5eU1BYLklRX1RFVl9UT1RBTF9SRVZfRldELjYwMDAuMS8xMC8yMDE4AQAAAJu4KAACAAAACDIuMzkxMjE5AOv+ubeTc9UI22KYSpdz1QgsQ0lRLk5BU0RBUUdTOklOVEMuSVFfTEFTVFNBTEVQUklDRS45LzI0LzIwMTQBAAAAh1IAAAIAAAAFMzQuNzUAO+pUuZNz1QjL7DZLl3PVCC9DSVEuTkFTREFRR1M6SU5UQy5JUV9QUklDRV9TQUxFUy4yMDAwLjMvMTUvMjAxMwEAAACHUgAAAgAAAAgyLjAwMjAxNQEHAAAABQAAAAExAQAAAAoxNTg4MTU3NDYzAwAAAAEwAgAAAAUzODk1OAQAAAABMAcAAAAJMy8xNS8yMDEzCAAAAAkzLzE1LzIwMTMLtlK7k3PVCAuUVkmXc9UILENJUS5eU1BYLklRX1RFVl9UT1RBTF9SRVZfRldELjYwMDAuNi8xNy8yMDE1AQAAAJu4KAACAAAACDIuMDU2</t>
  </si>
  <si>
    <t>MzI3AHuNsLuTc9UIW/kwS5dz1QgvQ0lRLk5BU0RBUUdTOklOVEMuSVFfUFJJQ0VfU0FMRVMuMjAwMC45LzE4LzIwMTMBAAAAh1IAAAIAAAAIMi4yNzEyNDIBBwAAAAUAAAABMQEAAAAKMTYyODQzNjg0OQMAAAABMAIAAAAFMzg5NTgEAAAAATAHAAAACTkvMTgvMjAxMwgAAAAJOS8xOC8yMDEzO/Gvu5Nz1QhLBz1Ll3PVCDVDSVEuTmFzZGFxR1M6SU5UQy5JUV9URVZfRUJJVERBX0ZXRF9DSVEuNjAwMC41LzIvMjAxNAEAAACHUgAAAgAAABA1LjcxMDgwODM2Njk3MzUzAQ0AAAAFAAAAATkBAAAABzI2MjEyOTUCAAAABzQ0NTY0MjcDAAAABjEwMDMwOAQAAAABMgYAAAABMAcAAAADMTYwCAAAAAEwCQAAAAExCgAAAAEwCwAAAAo4MTcwNzE1ODAxDAAAAAIxMg0AAAAINS8zLzIwMTR7OFa7k3PVCBvRj66Xc9UILkNJUS5OQVNEQVFHUzpJTlRDLklRX1BSSUNFX1NBTEVTLjIwMDAuMy82LzIwMTUBAAAAh1IAAAIAAAAIMi45MTE0NzYBBwAAAAUAAAABMQEAAAAKMTcxODg1OTI5MQMAAAABMAIAAAAFMzg5NTgEAAAAATAHAAAACDMvNi8yMDE1CAAAAAgzLzYvMjAxNUsRVbmTc9UIC0FPSZdz1QguQ0lRLk5BU0RBUUdTOklOVEMuSVFfUFJJQ0VfU0FMRVMuMjAwMC41LzQvMjAxNgEAAACHUgAAAgAAAAgyLjUxMjczOQEHAAAABQAAAAExAQAAAAoxNzg5MTkzMzQzAwAAAAEwAgAAAAUzODk1OAQAAAABMAcAAAAINS80</t>
  </si>
  <si>
    <t>LzIwMTYIAAAACDUvNC8yMDE2O+pUuZNz1QhrzSlLl3PVCC1DSVEuXlNQWC5JUV9URVZfRUJJVERBX0ZXRF9DSVEuNjAwMC42LzI5LzIwMTYBAAAAm7goAAIAAAAJMTAuMDM0MDkxAHuNsLuTc9UIC+MoS5dz1Qg1Q0lRLk5hc2RhcUdTOklOVEMuSVFfVEVWX1RPVEFMX1JFVl9GV0QuNjAwMC4xMS84LzIwMDIBAAAAh1IAAAIAAAAQNC4xNTExNTQ4Nzk0MjY4NQENAAAABQAAAAE5AQAAAAcyNjIxMjk1AgAAAAcxNzU3MTQwAwAAAAYxMDAzMDcEAAAAATIGAAAAATAHAAAAAzE2MAgAAAABMAkAAAABMQoAAAABMAsAAAAKMTE2OTEyNjEwOQwAAAACMTINAAAACTExLzkvMjAwMpvUVbmTc9UIyzNMSZdz1Qg3Q0lRLk5hc2RhcUdTOklOVEMuSVFfVEVWX0VCSVREQV9GV0RfQ0lRLjYwMDAuMTAvMTIvMjAwNwEAAACHUgAAAgAAABA5LjkyMzMxNTMyNjE1OTY5AQ0AAAAFAAAAATkBAAAABzI2MjEyOTUCAAAABzE3NTcxNTQDAAAABjEwMDMwOAQAAAABMgYAAAABMAcAAAADMTYwCAAAAAEwCQAAAAExCgAAAAEwCwAAAAo2NzMwODYzNjI2DAAAAAIxMg0AAAAKMTAvMTMvMjAwN9siV7uTc9UIq7+Orpdz1Qg1Q0lRLk5hc2RhcUdTOklOVEMuSVFfVEVWX0VCSVREQV9GV0RfQ0lRLjYwMDAuNC80LzIwMDgBAAAAh1IAAAIAAAAQNy4yOTg4NjEwMTc3ODMwMwENAAAABQAAAAE5AQAAAAcyNjIxMjk1AgAAAAQxODgzAwAAAAYx</t>
  </si>
  <si>
    <t>MDAzMDgEAAAAATIGAAAAATAHAAAAAzE2MAgAAAABMAkAAAABMQoAAAABMAsAAAAJMzYwNzAzMzE5DAAAAAIxMg0AAAAINC81LzIwMDi71Fa7k3PVCIvikK6Xc9UII0NJUS5eU1BYLklRX0xBU1RTQUxFUFJJQ0UuOC8xMi8yMDE1AQAAAJu4KAACAAAAEDIwODYuMDQ2NDM2NzQ1NTMAO+pUuZNz1Qi7ci9Ll3PVCChDSVEuTkFTREFRR1M6SU5UQy5JUV9QVEJWLjIwMDAuNi8yMi8yMDEyAQAAAIdSAAACAAAACDQuMzA2Nzc4AQcAAAAFAAAAATEBAAAACjE1NDUxNTY0MzgDAAAAATACAAAABjEwMDAyOQQAAAABMAcAAAAJNi8yMi8yMDEyCAAAAAk2LzIyLzIwMTI78a+7k3PVCEtOUkmXc9UIL0NJUS5OQVNEQVFHUzpJTlRDLklRX1BFX0VYQ0xfRldELjYwMDAuNS8yMy8yMDAzAQAAAIdSAAACAAAAEDI4Ljg2Mjk3Mzc2MDkzMjkBDQAAAAUAAAABOQEAAAAHMjYyMTI5NQIAAAAHMTc1NzE0MQMAAAAGMTAwMzA5BAAAAAEyBgAAAAEwBwAAAAMxNjAIAAAAATAJAAAAATEKAAAAATALAAAACjExNjkxNTQxMzMMAAAAAjEyDQAAAAk1LzI0LzIwMDN7sLO9k3PVCCsAUkmXc9UILENJUS5eU1BYLklRX1RFVl9FQklUREFfRldEX0NJUS42MDAwLjcvNS8yMDE3AQAAAJu4KAACAAAACTEwLjQ3MjEwMgDbuK+9k3PVCEvCCUuXc9UINUNJUS5OYXNkYXFHUzpJTlRDLklRX1RFVl9UT1RBTF9SRVZfRldELjYwMDAuMi8yMi8yMDEz</t>
  </si>
  <si>
    <t>AQAAAIdSAAACAAAADzEuNzgzNzI4MDM4OTkyMgENAAAABQAAAAE5AQAAAAcyNjIxMjk1AgAAAAczNjUyNjYwAwAAAAYxMDAzMDcEAAAAATIGAAAAATAHAAAAAzE2MAgAAAABMAkAAAABMQoAAAABMAsAAAAKNTc0ODg5NjMwNAwAAAACMTINAAAACTIvMjMvMjAxM/u+VrmTc9UICwVZSZdz1QgwQ0lRLk5BU0RBUUdTOklOVEMuSVFfUEVfRVhDTF9GV0QuNjAwMC4xMi8yMS8yMDA3AQAAAIdSAAACAAAAEDE4Ljc2MjYxMzk2MDYwOTYBDQAAAAUAAAABOQEAAAAHMjYyMTI5NQIAAAAHMTc1NzE1NQMAAAAGMTAwMzA5BAAAAAEyBgAAAAEwBwAAAAMxNjAIAAAAATAJAAAAATEKAAAAATALAAAACjkwOTA0MTIzMDEMAAAAAjEyDQAAAAoxMi8yMi8yMDA3SzuzvZNz1Qirx1BJl3PVCB9DSVEuXlNQWC5JUV9QVEJWLjIwMDAuOS8yMy8yMDE1AQAAAJu4KAACAAAACDUuOTQyMzgxAFs4VbmTc9UImyQvS5dz1QguQ0lRLk5BU0RBUUdTOklOVEMuSVFfUFJJQ0VfU0FMRVMuMjAwMC4yLzYvMjAxNQEAAACHUgAAAgAAAAgyLjkyMDY4NwEHAAAABQAAAAExAQAAAAoxNzE1MzI4NjQzAwAAAAEwAgAAAAUzODk1OAQAAAABMAcAAAAIMi82LzIwMTUIAAAACDIvNi8yMDE1q0OvvZNz1QibZFpJl3PVCCVDSVEuXlNQWC5JUV9QRV9FWENMX0ZXRC42MDAwLjgvMi8yMDE3AQAAAJu4KAACAAAACTE4LjE3ODQ0OAArBFO7k3PVCOsT/0qX</t>
  </si>
  <si>
    <t>c9UIL0NJUS5OQVNEQVFHUzpJTlRDLklRX1BSSUNFX1NBTEVTLjIwMDAuNi8xMC8yMDE1AQAAAIdSAAACAAAACDIuNzU3MjgzAQcAAAAFAAAAATEBAAAACjE3MzA3NjI3NTUDAAAAATACAAAABTM4OTU4BAAAAAEwBwAAAAk2LzEwLzIwMTUIAAAACTYvMTAvMjAxNfuOUruTc9UIayAxS5dz1QguQ0lRLk5BU0RBUUdTOklOVEMuSVFfUFJJQ0VfU0FMRVMuMjAwMC4yLzEvMjAxMwEAAACHUgAAAgAAAAgyLjAwMDE0MgEHAAAABQAAAAExAQAAAAoxNTg0NDg2MjYwAwAAAAEwAgAAAAUzODk1OAQAAAABMAcAAAAIMi8xLzIwMTMIAAAACDIvMS8yMDEzWzhVuZNz1QibL05Jl3PVCChDSVEuTkFTREFRR1M6SU5UQy5JUV9QVEJWLjIwMDAuNS8xMC8yMDEzAQAAAIdSAAACAAAACDMuNDAyMjYyAQcAAAAFAAAAATEBAAAACjE2MTQwNzQ5NDIDAAAAATACAAAABjEwMDAyOQQAAAABMAcAAAAJNS8xMC8yMDEzCAAAAAk1LzEwLzIwMTNbOFW5k3PVCJsvTkmXc9UIN0NJUS5OYXNkYXFHUzpJTlRDLklRX1RFVl9FQklUREFfRldEX0NJUS42MDAwLjExLzExLzIwMTYBAAAAh1IAAAIAAAAPNy4zMDY1Nzg3MDc0MDI2AQ0AAAAFAAAAATkBAAAABzI2MjEyOTUCAAAACDI3MDAzNjUzAwAAAAYxMDAzMDgEAAAAATIGAAAAATAHAAAAAzE2MAgAAAABMAkAAAABMQoAAAABMAsAAAAKOTg0MjQzOTkyNQwAAAACMTINAAAACjExLzEyLzIw</t>
  </si>
  <si>
    <t>MTarrVa7k3PVCFv8ja6Xc9UIJkNJUS5eU1BYLklRX1BFX0VYQ0xfRldELjYwMDAuNS8xOC8yMDE2AQAAAJu4KAACAAAACTE2Ljg2ODc4MQDbuK+9k3PVCEt/KUuXc9UINkNJUS5OYXNkYXFHUzpJTlRDLklRX1RFVl9UT1RBTF9SRVZfRldELjYwMDAuMTEvMjAvMjAxNQEAAACHUgAAAgAAABAyLjg0ODQxNjY4ODY3MzQzAQ0AAAAFAAAAATkBAAAABzI2MjEyOTUCAAAABzgwNjgyNjIDAAAABjEwMDMwNwQAAAABMgYAAAABMAcAAAADMTYwCAAAAAEwCQAAAAExCgAAAAEwCwAAAAo5MTU5Mjc3NDQzDAAAAAIxMg0AAAAKMTEvMjEvMjAxNQv9Z7mTc9UIa0lLSZdz1QgiQ0lRLl5TUFguSVFfTEFTVFNBTEVQUklDRS43LzMvMjAxMwEAAACbuCgAAgAAABAxNjE1LjQxMTE4MDM4NTEzAFs/sLuTc9UIa1U9S5dz1QgvQ0lRLk5BU0RBUUdTOklOVEMuSVFfUFJJQ0VfU0FMRVMuMjAwMC4xMS85LzIwMTIBAAAAh1IAAAIAAAAIMS45NDM2NTEBBwAAAAUAAAABMQEAAAAKMTU3Mzg4Nzc5NQMAAAABMAIAAAAFMzg5NTgEAAAAATAHAAAACTExLzkvMjAxMggAAAAJMTEvOS8yMDEyu2qvvZNz1QgrU1lJl3PVCDdDSVEuTkFTREFRR1M6SU5UQy5JUV9URVZfRUJJVERBX0ZXRF9DSVEuNjAwMC4xMS8yMi8yMDEzAQAAAIdSAAACAAAAEDUuNDcyMDU3MzM4MTM4NTEBDQAAAAUAAAABOQEAAAAHMjYyMTI5NQIAAAAHMzgyOTc1MwMA</t>
  </si>
  <si>
    <t>AAAGMTAwMzA4BAAAAAEyBgAAAAEwBwAAAAMxNjAIAAAAATAJAAAAATEKAAAAATALAAAACjc2MjAyODQxODgMAAAAAjEyDQAAAAoxMS8yMy8yMDEzi+5Tu5Nz1Qgb0Y+ul3PVCC1DSVEuXlNQWC5JUV9URVZfRUJJVERBX0ZXRF9DSVEuNjAwMC4xMC85LzIwMTMBAAAAm7goAAIAAAAIOC4yMDIxODMAm+tmuZNz1QhLBz1Ll3PVCDZDSVEuTmFzZGFxR1M6SU5UQy5JUV9URVZfRUJJVERBX0ZXRF9DSVEuNjAwMC40LzMwLzIwMTABAAAAh1IAAAIAAAAQNS42NDk4MTU1MzM5ODUzMQENAAAABQAAAAE5AQAAAAcyNjIxMjk1AgAAAAcxNzU3MTYyAwAAAAYxMDAzMDgEAAAAATIGAAAAATAHAAAAAzE2MAgAAAABMAkAAAABMQoAAAABMAsAAAAKODI2NzcwMDE4NAwAAAACMTINAAAACDUvMS8yMDEwuymxu5Nz1Qgb0Y+ul3PVCChDSVEuTkFTREFRR1M6SU5UQy5JUV9QVEJWLjIwMDAuMTEvNy8yMDE0AQAAAIdSAAACAAAACDMuOTY0NjU3AQcAAAAFAAAAATEBAAAACjE3MDM2ODE4OTQDAAAAATACAAAABjEwMDAyOQQAAAABMAcAAAAJMTEvNy8yMDE0CAAAAAkxMS83LzIwMTT7jlK7k3PVCDsJV0mXc9UILUNJUS5eU1BYLklRX1RFVl9FQklUREFfRldEX0NJUS42MDAwLjUvMjkvMjAxMwEAAACbuCgAAgAAAAg4LjI1MjkzNwCb62a5k3PVCIujPUuXc9UILUNJUS5eU1BYLklRX1RFVl9FQklUREFfRldEX0NJUS42MDAwLjIv</t>
  </si>
  <si>
    <t>MjUvMjAxNQEAAACbuCgAAgAAAAkxMC4yNTQ2NDQAqxJnuZNz1QhLQzNLl3PVCDdDSVEuTmFzZGFxR1M6SU5UQy5JUV9URVZfRUJJVERBX0ZXRF9DSVEuNjAwMC4xMi8yNy8yMDAyAQAAAIdSAAACAAAAEDkuODc2MDcwNjg5MDY0NDUBDQAAAAUAAAABOQEAAAAHMjYyMTI5NQIAAAAHMTc1NzE0MAMAAAAGMTAwMzA4BAAAAAEyBgAAAAEwBwAAAAMxNjAIAAAAATAJAAAAATEKAAAAATALAAAACjExNjkxMjY1NjQMAAAAAjEyDQAAAAoxMi8yOC8yMDAyy1Cxu5Nz1QgLqo+ul3PVCCNDSVEuXlNQWC5JUV9MQVNUU0FMRVBSSUNFLjEwLzkvMjAxMwEAAACbuCgAAgAAAA8xNjU2LjM5OTIwMzcyNDMAW09muZNz1Qg74DxLl3PVCDZDSVEuTkFTREFRR1M6SU5UQy5JUV9URVZfRUJJVERBX0ZXRF9DSVEuNjAwMC42LzIzLzIwMDYBAAAAh1IAAAIAAAAQOC4yNTE1NDk1MjE0NDAzMgENAAAABQAAAAE5AQAAAAcyNjIxMjk1AgAAAAcxNzU3MTUwAwAAAAYxMDAzMDgEAAAAATIGAAAAATAHAAAAAzE2MAgAAAABMAkAAAABMQoAAAABMAsAAAAKMTE2OTEzMzI0NQwAAAACMTINAAAACTYvMjQvMjAwNgsnVbuTc9UI+xGNrpdz1QguQ0lRLk5BU0RBUUdTOklOVEMuSVFfUEVfRVhDTF9GV0QuNjAwMC45LzkvMjAxMQEAAACHUgAAAgAAABA4LjM1MDk5NjE4NDgyNDA4AQ0AAAAFAAAAATkBAAAABzI2MjEyOTUCAAAABzE3NTcxNjYD</t>
  </si>
  <si>
    <t>AAAABjEwMDMwOQQAAAABMgYAAAABMAcAAAADMTYwCAAAAAEwCQAAAAExCgAAAAEwCwAAAAo4ODYzMzU5MjY4DAAAAAIxMg0AAAAJOS8xMC8yMDExG8ayvZNz1QiLeVBJl3PVCCZDSVEuXlNQWC5JUV9QRV9FWENMX0ZXRC42MDAwLjkvMjQvMjAxNAEAAACbuCgAAgAAAAkxNi4wODg4OTEAe4ZVuZNz1QirnjZLl3PVCCZDSVEuXlNQWC5JUV9QRV9FWENMX0ZXRC42MDAwLjEvMTQvMjAxNQEAAACbuCgAAgAAAAkxNi43NjcxNjQA27ivvZNz1Qi7VDRLl3PVCDdDSVEuTkFTREFRR1M6SU5UQy5JUV9URVZfRUJJVERBX0ZXRF9DSVEuNjAwMC4xMi8xNC8yMDA3AQAAAIdSAAACAAAAEDguNTA5OTY3NzkzODgwODQBDQAAAAUAAAABOQEAAAAHMjYyMTI5NQIAAAAHMTc1NzE1NQMAAAAGMTAwMzA4BAAAAAEyBgAAAAEwBwAAAAMxNjAIAAAAATAJAAAAATEKAAAAATALAAAACjExNjkxMzk1MzYMAAAAAjEyDQAAAAoxMi8xNS8yMDA3+/9Uu5Nz1Qgb0Y+ul3PVCDVDSVEuTmFzZGFxR1M6SU5UQy5JUV9URVZfRUJJVERBX0ZXRF9DSVEuNjAwMC40LzgvMjAxNgEAAACHUgAAAgAAABA2LjUxOTMxMjIzMjE2MzYyAQ0AAAAFAAAAATkBAAAABzI2MjEyOTUCAAAACjEwMDA5MTU0MDIDAAAABjEwMDMwOAQAAAABMgYAAAABMAcAAAADMTYwCAAAAAEwCQAAAAExCgAAAAEwCwAAAAo5Mzg2NjIwMDQxDAAAAAIxMg0AAAAINC85LzIw</t>
  </si>
  <si>
    <t>MTarJbS9k3PVCBtgja6Xc9UIL0NJUS5OQVNEQVFHUzpJTlRDLklRX1BFX0VYQ0xfRldELjYwMDAuNC8yMy8yMDA0AQAAAIdSAAACAAAAEDIxLjcyODQ5MjUwMTk3MzIBDQAAAAUAAAABOQEAAAAHMjYyMTI5NQIAAAAHMTc1NzE0NAMAAAAGMTAwMzA5BAAAAAEyBgAAAAEwBwAAAAMxNjAIAAAAATAJAAAAATEKAAAAATALAAAACjExNjkxNTYxNTIMAAAAAjEyDQAAAAk0LzI0LzIwMDRribO9k3PVCKtWTkmXc9UILkNJUS5OQVNEQVFHUzpJTlRDLklRX1BFX0VYQ0xfRldELjYwMDAuNy85LzIwMTABAAAAh1IAAAIAAAAPMTAuNzA4NDI4MTI1NDk2AQ0AAAAFAAAAATkBAAAABzI2MjEyOTUCAAAABzE3NTcxNjIDAAAABjEwMDMwOQQAAAABMgYAAAABMAcAAAADMTYwCAAAAAEwCQAAAAExCgAAAAEwCwAAAAo4MTcxNTczNDgzDAAAAAIxMg0AAAAJNy8xMC8yMDEwK+2yvZNz1Qj7bFZJl3PVCDVDSVEuTmFzZGFxR1M6SU5UQy5JUV9URVZfVE9UQUxfUkVWX0ZXRC42MDAwLjUvMjMvMjAwOAEAAACHUgAAAgAAAA8zLjAzMjc4NDY1MDAwNDgBDQAAAAUAAAABOQEAAAAHMjYyMTI5NQIAAAAHMTc1NzE1NgMAAAAGMTAwMzA3BAAAAAEyBgAAAAEwBwAAAAMxNjAIAAAAATAJAAAAATEKAAAAATALAAAACjg4NjM1MTE3OTQMAAAAAjEyDQAAAAk1LzI0LzIwMDir+1W5k3PVCFt1UkmXc9UII0NJUS5eU1BYLklRX0xBU1RTQUxF</t>
  </si>
  <si>
    <t>UFJJQ0UuNS8xNS8yMDEzAQAAAJu4KAACAAAAEDE2NTguNzg0NjYyMDc1MzEAG91Su5Nz1QiLoz1Ll3PVCClDSVEuTkFTREFRR1M6SU5UQy5JUV9QVEJWLjIwMDAuMTIvMTgvMjAxNQEAAACHUgAAAgAAAAgzLjgwOTM5OQEHAAAABQAAAAExAQAAAAoxNzYxNzA2ODI3AwAAAAEwAgAAAAYxMDAwMjkEAAAAATAHAAAACjEyLzE4LzIwMTUIAAAACjEyLzE4LzIwMTVbOFW5k3PVCJsvTkmXc9UILENJUS5eU1BYLklRX1RFVl9UT1RBTF9SRVZfRldELjYwMDAuMy8yNS8yMDE1AQAAAJu4KAACAAAACDIuMDE1MDc2AOvRiLaTc9UI61gyS5dz1Qg2Q0lRLk5BU0RBUUdTOklOVEMuSVFfVEVWX0VCSVREQV9GV0RfQ0lRLjYwMDAuOC8yMS8yMDA5AQAAAIdSAAACAAAAEDguMDEyMDY0OTc3NDM1ODgBDQAAAAUAAAABOQEAAAAHMjYyMTI5NQIAAAAHMTc1NzE2MAMAAAAGMTAwMzA4BAAAAAEyBgAAAAEwBwAAAAMxNjAIAAAAATAJAAAAATEKAAAAATALAAAACjgxNzI0MDMzNTEMAAAAAjEyDQAAAAk4LzIyLzIwMDnbsVS7k3PVCDsfkK6Xc9UINUNJUS5OQVNEQVFHUzpJTlRDLklRX1RFVl9FQklUREFfRldEX0NJUS42MDAwLjkvNS8yMDE0AQAAAIdSAAACAAAAEDYuODg1NDc5Njc0NjgxNjYBDQAAAAUAAAABOQEAAAAHMjYyMTI5NQIAAAAHNDQ1NjQyOAMAAAAGMTAwMzA4BAAAAAEyBgAAAAEwBwAAAAMxNjAIAAAAATAJAAAA</t>
  </si>
  <si>
    <t>ATEKAAAAATALAAAACjg2NDgxMDE2NzQMAAAAAjEyDQAAAAg5LzYvMjAxNHvHU7uTc9UIm5iOrpdz1QgsQ0lRLl5TUFguSVFfVEVWX1RPVEFMX1JFVl9GV0QuNjAwMC4xLzI5LzIwMTQBAAAAm7goAAIAAAAHMS43MTMxOAArBFO7k3PVCPtDPEuXc9UIN0NJUS5OQVNEQVFHUzpJTlRDLklRX1RFVl9FQklUREFfRldEX0NJUS42MDAwLjEyLzEyLzIwMDgBAAAAh1IAAAIAAAAQNi45MTc1NDUwMzY0MTI0MgENAAAABQAAAAE5AQAAAAcyNjIxMjk1AgAAAAcxNzU3MTU4AwAAAAYxMDAzMDgEAAAAATIGAAAAATAHAAAAAzE2MAgAAAABMAkAAAABMQoAAAABMAsAAAAKNjczMDg1ODQ0NwwAAAACMTINAAAACjEyLzEzLzIwMDjbsVS7k3PVCHu7kK6Xc9UIL0NJUS5OQVNEQVFHUzpJTlRDLklRX1BFX0VYQ0xfRldELjYwMDAuNy8xMS8yMDE0AQAAAIdSAAACAAAAEDE0LjY0NzI5MzE4MDIyMDMBDQAAAAUAAAABOQEAAAAHMjYyMTI5NQIAAAAHNDQ1NjQyNwMAAAAGMTAwMzA5BAAAAAEyBgAAAAEwBwAAAAMxNjAIAAAAATAJAAAAATEKAAAAATALAAAACjkwNTI3MDIyNjgMAAAAAjEyDQAAAAk3LzEyLzIwMTT7d7K9k3PVCLtfU0mXc9UIH0NJUS5eU1BYLklRX1BUQlYuMjAwMC42LzEyLzIwMTMBAAAAm7goAAIAAAAINC44NjMzNTYAWzhVuZNz1QiLoz1Ll3PVCDZDSVEuTmFzZGFxR1M6SU5UQy5JUV9URVZfRUJJVERBX0ZX</t>
  </si>
  <si>
    <t>RF9DSVEuNjAwMC43LzE2LzIwMTABAAAAh1IAAAIAAAAQNC41OTc1MzUyNzA1NzEwMgENAAAABQAAAAE5AQAAAAcyNjIxMjk1AgAAAAcxNzU3MTYzAwAAAAYxMDAzMDgEAAAAATIGAAAAATAHAAAAAzE2MAgAAAABMAkAAAABMQoAAAABMAsAAAAKNzA3MzcxODcwMAwAAAACMTINAAAACTcvMTcvMjAxMLvUVruTc9UIq7+Orpdz1Qg1Q0lRLk5hc2RhcUdTOklOVEMuSVFfVEVWX1RPVEFMX1JFVl9GV0QuNjAwMC4xLzMwLzIwMDQBAAAAh1IAAAIAAAAONS4yNzczODk3NDEyMzkBDQAAAAUAAAABOQEAAAAHMjYyMTI5NQIAAAAEMTg3OQMAAAAGMTAwMzA3BAAAAAEyBgAAAAEwBwAAAAMxNjAIAAAAATAJAAAAATEKAAAAATALAAAACTM2MDY1OTc2NgwAAAACMTINAAAACTEvMzEvMjAwNNtIvLeTc9UICyNUSZdz1Qg1Q0lRLk5hc2RhcUdTOklOVEMuSVFfVEVWX1RPVEFMX1JFVl9GV0QuNjAwMC43LzEzLzIwMDcBAAAAh1IAAAIAAAAQMy44MDY4NTI3ODcwMjY2MQENAAAABQAAAAE5AQAAAAcyNjIxMjk1AgAAAAcxNzU3MTUzAwAAAAYxMDAzMDcEAAAAATIGAAAAATAHAAAAAzE2MAgAAAABMAkAAAABMQoAAAABMAsAAAAKODg1MTk1OTkzMAwAAAACMTINAAAACTcvMTQvMjAwN+uXVrmTc9UIi3lQSZdz1QgvQ0lRLk5BU0RBUUdTOklOVEMuSVFfUEVfRVhDTF9GV0QuNjAwMC4yLzE4LzIwMTEBAAAAh1IAAAIAAAAQMTAu</t>
  </si>
  <si>
    <t>ODg5ODgxMzYyMjY4MQENAAAABQAAAAE5AQAAAAcyNjIxMjk1AgAAAAQxODg2AwAAAAYxMDAzMDkEAAAAATIGAAAAATAHAAAAAzE2MAgAAAABMAkAAAABMQoAAAABMAsAAAAKNTc0Nzg5MjQ3OAwAAAACMTINAAAACTIvMTkvMjAxMZv+s72Tc9UIC0FPSZdz1Qg1Q0lRLk5BU0RBUUdTOklOVEMuSVFfVEVWX0VCSVREQV9GV0RfQ0lRLjYwMDAuMi8zLzIwMDYBAAAAh1IAAAIAAAAQNy4yODAxMjM1ODQ5ODQwNQENAAAABQAAAAE5AQAAAAcyNjIxMjk1AgAAAAQxODgxAwAAAAYxMDAzMDgEAAAAATIGAAAAATAHAAAAAzE2MAgAAAABMAkAAAABMQoAAAABMAsAAAAJMzYwNjc1NTkwDAAAAAIxMg0AAAAIMi80LzIwMDYbTlW7k3PVCKu/jq6Xc9UILUNJUS5OQVNEQVFHUzpJTlRDLklRX0xBU1RTQUxFUFJJQ0UuMTIvMTQvMjAxNgEAAACHUgAAAgAAAAUzNi41NQBbT2a5k3PVCGuYHUuXc9UIMENJUS5OQVNEQVFHUzpJTlRDLklRX1BFX0VYQ0xfRldELjYwMDAuMTAvMTYvMjAwOQEAAACHUgAAAgAAABAxMy42NDUyNzY4OTQ5ODk1AQ0AAAAFAAAAATkBAAAABzI2MjEyOTUCAAAABzE3NTcxNjEDAAAABjEwMDMwOQQAAAABMgYAAAABMAcAAAADMTYwCAAAAAEwCQAAAAExCgAAAAEwCwAAAAo5MDkwMzc5Nzc2DAAAAAIxMg0AAAAKMTAvMTcvMjAwOTsUs72Tc9UIu0FYSZdz1QgfQ0lRLl5TUFguSVFfUFRCVi4yMDAwLjMv</t>
  </si>
  <si>
    <t>MTEvMjAxNQEAAACbuCgAAgAAAAg1Ljc2NzQ2OQDLka+9k3PVCBvOMkuXc9UINkNJUS5OYXNkYXFHUzpJTlRDLklRX1RFVl9FQklUREFfRldEX0NJUS42MDAwLjUvMTAvMjAwMgEAAACHUgAAAgAAABAxNC4xMjUzOTc1NjI4NjUxAQ0AAAAFAAAAATkBAAAABzI2MjEyOTUCAAAABzE3NTcxMzgDAAAABjEwMDMwOAQAAAABMgYAAAABMAcAAAADMTYwCAAAAAEwCQAAAAExCgAAAAEwCwAAAAoxMTY5MTI1NjM4DAAAAAIxMg0AAAAJNS8xMS8yMDAyuymxu5Nz1Qgr+I+ul3PVCDVDSVEuTmFzZGFxR1M6SU5UQy5JUV9URVZfVE9UQUxfUkVWX0ZXRC42MDAwLjkvMTYvMjAxNgEAAACHUgAAAgAAABAzLjExMjIwMTEzMTcwMzQzAQ0AAAAFAAAAATkBAAAABzI2MjEyOTUCAAAACDI3MDAzNjUyAwAAAAYxMDAzMDcEAAAAATIGAAAAATAHAAAAAzE2MAgAAAABMAkAAAABMQoAAAABMAsAAAAKOTcyNzI4NTU0NQwAAAACMTINAAAACTkvMTcvMjAxNpuGVruTc9UI67ZYSZdz1QglQ0lRLl5TUFguSVFfUEVfRVhDTF9GV0QuNjAwMC41LzMvMjAxNwEAAACbuCgAAgAAAAkxNy45MTQyNjMAe42wu5Nz1QgrxxBLl3PVCDVDSVEuTmFzZGFxR1M6SU5UQy5JUV9URVZfVE9UQUxfUkVWX0ZXRC42MDAwLjEvMTkvMjAwMQEAAACHUgAAAgAAABA2LjMxODM2OTgyMDQxMzI1AQ0AAAAFAAAAATkBAAAABzI2MjEyOTUCAAAABzMxNTEzMDED</t>
  </si>
  <si>
    <t>AAAABjEwMDMwNwQAAAABMgYAAAABMAcAAAADMTYwCAAAAAEwCQAAAAExCgAAAAEwCwAAAAkzNjEyMTI2NzUMAAAAAjEyDQAAAAkxLzIwLzIwMDG7TLS9k3PVCHtkykmXc9UINkNJUS5OYXNkYXFHUzpJTlRDLklRX1RFVl9FQklUREFfRldEX0NJUS42MDAwLjIvMTYvMjAwNwEAAACHUgAAAgAAABA4LjUwMTkyODg1ODQ2Mzg3AQ0AAAAFAAAAATkBAAAABzI2MjEyOTUCAAAABDE4ODIDAAAABjEwMDMwOAQAAAABMgYAAAABMAcAAAADMTYwCAAAAAEwCQAAAAExCgAAAAEwCwAAAAsxMDMzNDE3NjA4NAwAAAACMTINAAAACTIvMTcvMjAwN6sCsbuTc9UIa5SQrpdz1Qg2Q0lRLk5hc2RhcUdTOklOVEMuSVFfVEVWX0VCSVREQV9GV0RfQ0lRLjYwMDAuNi8zMC8yMDE3AQAAAIdSAAACAAAAEDYuNzcyNTI2Njk4MzA4OTYBDQAAAAUAAAABOQEAAAAHMjYyMTI5NQIAAAAIMjc1MDAxNzIDAAAABjEwMDMwOAQAAAABMgYAAAABMAcAAAADMTYwCAAAAAEwCQAAAAExCgAAAAEwCwAAAAsxMDI1NTY5Mjk5OQwAAAACMTINAAAACDcvMS8yMDE3+3BXu5Nz1QgbYI2ul3PVCC5DSVEuTkFTREFRR1M6SU5UQy5JUV9QRV9FWENMX0ZXRC42MDAwLjYvMS8yMDEyAQAAAIdSAAACAAAAEDkuMzcwNDU3MzQwOTM3MDUBDQAAAAUAAAABOQEAAAAHMjYyMTI5NQIAAAAHMTc1NzE2OAMAAAAGMTAwMzA5BAAAAAEyBgAAAAEwBwAAAAMxNjAI</t>
  </si>
  <si>
    <t>AAAAATAJAAAAATEKAAAAATALAAAACjg4NjM0MzQ5MDgMAAAAAjEyDQAAAAg2LzIvMjAxMhvGsr2Tc9UICyNUSZdz1QgsQ0lRLl5TUFguSVFfVEVWX0VCSVREQV9GV0RfQ0lRLjYwMDAuOS83LzIwMTYBAAAAm7goAAIAAAAJMTAuMjc1ODI3ANu4r72Tc9UIO3YkS5dz1QguQ0lRLl5TUFguSVFfVEVWX0VCSVREQV9GV0RfQ0lRLjYwMDAuMTIvMTcvMjAxNAEAAACbuCgAAgAAAAg5LjM0MjQxNAB7jbC7k3PVCCtmNUuXc9UINUNJUS5OYXNkYXFHUzpJTlRDLklRX1RFVl9UT1RBTF9SRVZfRldELjYwMDAuMy8yMS8yMDAzAQAAAIdSAAACAAAADzMuOTc4MTQ2MjIzOTU5NgENAAAABQAAAAE5AQAAAAcyNjIxMjk1AgAAAAQxODc4AwAAAAYxMDAzMDcEAAAAATIGAAAAATAHAAAAAzE2MAgAAAABMAkAAAABMQoAAAABMAsAAAAJMzYwNjU2NDQxDAAAAAIxMg0AAAAJMy8yMi8yMDAz+5a8t5Nz1Qjr8k5Jl3PVCDBDSVEuTkFTREFRR1M6SU5UQy5JUV9QRV9FWENMX0ZXRC42MDAwLjEyLzI3LzIwMDIBAAAAh1IAAAIAAAAQMjguODkzNTg3MDMzMTIxOQENAAAABQAAAAE5AQAAAAcyNjIxMjk1AgAAAAcxNzU3MTQwAwAAAAYxMDAzMDkEAAAAATIGAAAAATAHAAAAAzE2MAgAAAABMAkAAAABMQoAAAABMAsAAAAKODg1OTg4OTQ1NwwAAAACMTINAAAACjEyLzI4LzIwMDJ7sLO9k3PVCMtoWEmXc9UIJUNJUS5eU1BYLklRX1BF</t>
  </si>
  <si>
    <t>X0VYQ0xfRldELjYwMDAuNC8xLzIwMTUBAAAAm7goAAIAAAAJMTcuMzY4Mjc0AHuGVbmTc9UIywoyS5dz1QgvQ0lRLk5BU0RBUUdTOklOVEMuSVFfUEVfRVhDTF9GV0QuNjAwMC43LzE5LzIwMTMBAAAAh1IAAAIAAAAPMTEuNzUyMTA0MDU1MDg4AQ0AAAAFAAAAATkBAAAABzI2MjEyOTUCAAAABzM4Mjk3NTIDAAAABjEwMDMwOQQAAAABMgYAAAABMAcAAAADMTYwCAAAAAEwCQAAAAExCgAAAAEwCwAAAAo3MDMzMjY2Nzc1DAAAAAIxMg0AAAAJNy8yMC8yMDEzC5+yvZNz1QgrU1lJl3PVCDBDSVEuTkFTREFRR1M6SU5UQy5JUV9QRV9FWENMX0ZXRC42MDAwLjExLzIxLzIwMDMBAAAAh1IAAAIAAAAQMjkuMDUxNjg1MzkzMjU4NAENAAAABQAAAAE5AQAAAAcyNjIxMjk1AgAAAAcxNzU3MTQzAwAAAAYxMDAzMDkEAAAAATIGAAAAATAHAAAAAzE2MAgAAAABMAkAAAABMQoAAAABMAsAAAAKOTA5MDY4ODI2MQwAAAACMTINAAAACjExLzIyLzIwMDN7sLO9k3PVCKvlS0mXc9UINkNJUS5OYXNkYXFHUzpJTlRDLklRX1RFVl9FQklUREFfRldEX0NJUS42MDAwLjEvMTAvMjAxNAEAAACHUgAAAgAAABA1LjgyNzY1NzAxMDM3MDc3AQ0AAAAFAAAAATkBAAAABzI2MjEyOTUCAAAABzM4Mjk3NTMDAAAABjEwMDMwOAQAAAABMgYAAAABMAcAAAADMTYwCAAAAAEwCQAAAAExCgAAAAEwCwAAAAo3NjE4NjU3NTI2DAAAAAIxMg0A</t>
  </si>
  <si>
    <t>AAAJMS8xMS8yMDE0qyW0vZNz1QjLDY+ul3PVCDZDSVEuTkFTREFRR1M6SU5UQy5JUV9URVZfRUJJVERBX0ZXRF9DSVEuNjAwMC40LzIzLzIwMTABAAAAh1IAAAIAAAAQNS45ODM0OTEwODYxMjEwNwENAAAABQAAAAE5AQAAAAcyNjIxMjk1AgAAAAcxNzU3MTYyAwAAAAYxMDAzMDgEAAAAATIGAAAAATAHAAAAAzE2MAgAAAABMAkAAAABMQoAAAABMAsAAAAKODI2NzcwMDE4NAwAAAACMTINAAAACTQvMjQvMjAxMMuKVLuTc9UI6+qMrpdz1QgvQ0lRLk5BU0RBUUdTOklOVEMuSVFfUEVfRVhDTF9GV0QuNjAwMC4xMi8yLzIwMDUBAAAAh1IAAAIAAAAQMTcuOTUxNTcwNjgwNjI4MwENAAAABQAAAAE5AQAAAAcyNjIxMjk1AgAAAAcxNzU3MTQ5AwAAAAYxMDAzMDkEAAAAATIGAAAAATAHAAAAAzE2MAgAAAABMAkAAAABMQoAAAABMAsAAAAKNjg4MzY5Mjg1OQwAAAACMTINAAAACTEyLzMvMjAwNWuJs72Tc9UIyxVRSZdz1QgvQ0lRLk5BU0RBUUdTOklOVEMuSVFfUEVfRVhDTF9GV0QuNjAwMC4xMS80LzIwMDUBAAAAh1IAAAIAAAAQMTUuNjU5MjY4OTI5NTAzOQENAAAABQAAAAE5AQAAAAcyNjIxMjk1AgAAAAcxNzU3MTQ5AwAAAAYxMDAzMDkEAAAAATIGAAAAATAHAAAAAzE2MAgAAAABMAkAAAABMQoAAAABMAsAAAAKODg2MjQxMjQzMgwAAAACMTINAAAACTExLzUvMjAwNWuJs72Tc9UI69RTSZdz1Qg0Q0lRLk5h</t>
  </si>
  <si>
    <t>c2RhcUdTOklOVEMuSVFfVEVWX1RPVEFMX1JFVl9GV0QuNjAwMC41LzcvMjAxMAEAAACHUgAAAgAAABAyLjM5ODY1NDIxODIxNTU2AQ0AAAAFAAAAATkBAAAABzI2MjEyOTUCAAAABzE3NTcxNjIDAAAABjEwMDMwNwQAAAABMgYAAAABMAcAAAADMTYwCAAAAAEwCQAAAAExCgAAAAEwCwAAAAo4ODYzODQzODIyDAAAAAIxMg0AAAAINS84LzIwMTDLULG7k3PVCBv3TEmXc9UIHkNJUS5eU1BYLklRX1BUQlYuMjAwMC4zLzQvMjAxNQEAAACbuCgAAgAAAAg1LjkzNTY3MQDLka+9k3PVCCv1MkuXc9UIL0NJUS5OQVNEQVFHUzpJTlRDLklRX1BFX0VYQ0xfRldELjYwMDAuNS8yNC8yMDAyAQAAAIdSAAACAAAAEDM2Ljk4MDY0NTE2MTI5MDMBDQAAAAUAAAABOQEAAAAHMjYyMTI5NQIAAAAHMTc1NzEzOAMAAAAGMTAwMzA5BAAAAAEyBgAAAAEwBwAAAAMxNjAIAAAAATAJAAAAATEKAAAAATALAAAACjExNjkxNTI2NjUMAAAAAjEyDQAAAAk1LzI1LzIwMDJ7sLO9k3PVCIvMV0mXc9UIL0NJUS5OQVNEQVFHUzpJTlRDLklRX1BSSUNFX1NBTEVTLjIwMDAuNC8xOS8yMDEzAQAAAIdSAAACAAAACDIuMTA5MjkyAQcAAAAFAAAAATEBAAAACjE2MDM4OTc2MzUDAAAAATACAAAABTM4OTU4BAAAAAEwBwAAAAk0LzE5LzIwMTMIAAAACTQvMTkvMjAxM0sRVbmTc9UI28tOSZdz1QgtQ0lRLl5TUFguSVFfVEVWX0VCSVREQV9GV0Rf</t>
  </si>
  <si>
    <t>Q0lRLjYwMDAuMTIvMy8yMDE0AQAAAJu4KAACAAAACDkuNDQ3NTU5ACsEU7uTc9UIawI2S5dz1Qg2Q0lRLk5hc2RhcUdTOklOVEMuSVFfVEVWX1RPVEFMX1JFVl9GV0QuNjAwMC4xMS8xMC8yMDE3AQAAAIdSAAACAAAADzMuNTg2MjMxNDc3OTkyNQENAAAABQAAAAE5AQAAAAcyNjIxMjk1AgAAAAgyNzUwMDE3NAMAAAAGMTAwMzA3BAAAAAEyBgAAAAEwBwAAAAMxNjAIAAAAATAJAAAAATEKAAAAATALAAAACzEwNTM1OTYxNjAwDAAAAAIxMg0AAAAKMTEvMTEvMjAxN3uGVbmTc9UIaw1VSZdz1QgvQ0lRLk5BU0RBUUdTOklOVEMuSVFfUEVfRVhDTF9GV0QuNjAwMC45LzI0LzIwMDQBAAAAh1IAAAIAAAAQMTguMjUwMjI2NjU0NTc4NAENAAAABQAAAAE5AQAAAAcyNjIxMjk1AgAAAAcxNzU3MTQ1AwAAAAYxMDAzMDkEAAAAATIGAAAAATAHAAAAAzE2MAgAAAABMAkAAAABMQoAAAABMAsAAAAKMTE2OTE1NjcyMAwAAAACMTINAAAACTkvMjUvMjAwNGuJs72Tc9UIC0FPSZdz1QgvQ0lRLk5BU0RBUUdTOklOVEMuSVFfUFJJQ0VfU0FMRVMuMjAwMC4zLzMwLzIwMTYBAAAAh1IAAAIAAAAHMi44MDIxMQEHAAAABQAAAAExAQAAAAoxNzc1OTMzMTQwAwAAAAEwAgAAAAUzODk1OAQAAAABMAcAAAAJMy8zMC8yMDE2CAAAAAkzLzMwLzIwMTZbP7C7k3PVCMu3KkuXc9UIKUNJUS5OQVNEQVFHUzpJTlRDLklRX1BUQlYuMjAw</t>
  </si>
  <si>
    <t>MC4xMS8xOC8yMDE2AQAAAIdSAAACAAAACDQuMTY5NTc1AQcAAAAFAAAAATEBAAAACjE4MTU1NDQ0NTADAAAAATACAAAABjEwMDAyOQQAAAABMAcAAAAKMTEvMTgvMjAxNggAAAAKMTEvMTgvMjAxNnudZrmTc9UI261TSZdz1Qg2Q0lRLk5hc2RhcUdTOklOVEMuSVFfVEVWX0VCSVREQV9GV0RfQ0lRLjYwMDAuMi8xMy8yMDE4AQAAAIdSAAACAAAAEDguMTg1OTgxMTc3OTcyMDQBDQAAAAUAAAABOQEAAAAHMjYyMTI5NQIAAAAKMTAwMTUyODUyNwMAAAAGMTAwMzA4BAAAAAEyBgAAAAEwBwAAAAMxNjAIAAAAATAJAAAAATEKAAAAATALAAAACzEwNzM3Mjk0ODk2DAAAAAIxMg0AAAAJMi8xNC8yMDE4OytTu5Nz1Qjbw4yul3PVCDBDSVEuTkFTREFRR1M6SU5UQy5JUV9QRV9FWENMX0ZXRC42MDAwLjEwLzMwLzIwMDkBAAAAh1IAAAIAAAAQMTIuOTU2ODEwNjMxMjI5MgENAAAABQAAAAE5AQAAAAcyNjIxMjk1AgAAAAcxNzU3MTYxAwAAAAYxMDAzMDkEAAAAATIGAAAAATAHAAAAAzE2MAgAAAABMAkAAAABMQoAAAABMAsAAAAKOTA5MDM3OTc3NwwAAAACMTINAAAACjEwLzMxLzIwMDk7FLO9k3PVCHulV0mXc9UIMENJUS5OQVNEQVFHUzpJTlRDLklRX1BSSUNFX1NBTEVTLjIwMDAuMTAvMjYvMjAxNgEAAACHUgAAAgAAAAgyLjg0OTExNAEHAAAABQAAAAExAQAAAAoxODEzNTE0MzY0AwAAAAEwAgAAAAUzODk1OAQA</t>
  </si>
  <si>
    <t>AAABMAcAAAAKMTAvMjYvMjAxNggAAAAKMTAvMjYvMjAxNksRVbmTc9UI2xohS5dz1QguQ0lRLk5BU0RBUUdTOklOVEMuSVFfUFJJQ0VfU0FMRVMuMjAwMC4xLzMvMjAxNAEAAACHUgAAAgAAAAgyLjQ0NjU5MQEHAAAABQAAAAExAQAAAAoxNjQyNDgzNzkyAwAAAAEwAgAAAAUzODk1OAQAAAABMAcAAAAIMS8zLzIwMTQIAAAACDEvMy8yMDE0y7C5t5Nz1QgL0ExJl3PVCCNDSVEuXlNQWC5JUV9MQVNUU0FMRVBSSUNFLjkvMTEvMjAxMwEAAACbuCgAAgAAABAxNjg5LjEyODY5NzM0ODY2AFs/sLuTc9UISwc9S5dz1QgoQ0lRLk5BU0RBUUdTOklOVEMuSVFfRVBTX05PUk1fRVNULkZZMjAxNwEAAACHUgAAAgAAAAczLjI1MzIxAQ4AAAAFAAAAATMBAAAABzI2MjEyOTUCAAAACjEwMDA5NDQzODcDAAAABjEwMDE3MwQAAAABMgYAAAABMAcAAAADMTYwCAAAAAEwCQAAAAExCgAAAAEwCwAAAAsxMDY5MTI5ODgwMQwAAAABMQ0AAAAJMi8xNS8yMDE4EAAAAAoxMi8zMS8yMDE327ivvZNz1QiLuz9Kl3PVCDVDSVEuTmFzZGFxR1M6SU5UQy5JUV9URVZfRUJJVERBX0ZXRF9DSVEuNjAwMC4xLzYvMjAxMgEAAACHUgAAAgAAABA1LjE3NDI2MjYyMjEwMzA0AQ0AAAAFAAAAATkBAAAABzI2MjEyOTUCAAAABzE3NTcxNjcDAAAABjEwMDMwOAQAAAABMgYAAAABMAcAAAADMTYwCAAAAAEwCQAAAAExCgAAAAEwCwAAAAo4MTcx</t>
  </si>
  <si>
    <t>MTk3MzI2DAAAAAIxMg0AAAAIMS83LzIwMTKbhla7k3PVCMsNj66Xc9UINUNJUS5OYXNkYXFHUzpJTlRDLklRX1RFVl9UT1RBTF9SRVZfRldELjYwMDAuMTEvOS8yMDEyAQAAAIdSAAACAAAAEDEuODY2NTcxMTAwMjYwMTcBDQAAAAUAAAABOQEAAAAHMjYyMTI5NQIAAAAHMTc1NzE3MAMAAAAGMTAwMzA3BAAAAAEyBgAAAAEwBwAAAAMxNjAIAAAAATAJAAAAATEKAAAAATALAAAACjg4NjQ0MzUxMzYMAAAAAjEyDQAAAAoxMS8xMC8yMDEym/6zvZNz1QjL91VJl3PVCCxDSVEuXlNQWC5JUV9URVZfRUJJVERBX0ZXRF9DSVEuNjAwMC43LzMvMjAxMwEAAACbuCgAAgAAAAg4LjA4MzA3NABrZrC7k3PVCHt8PUuXc9UILkNJUS5OQVNEQVFHUzpJTlRDLklRX1BFX0VYQ0xfRldELjYwMDAuNC8xLzIwMTABAAAAh1IAAAIAAAAPMTMuNzMxMTQxOTEwOTUzAQ0AAAAFAAAAATkBAAAABzI2MjEyOTUCAAAABDE4ODUDAAAABjEwMDMwOQQAAAABMgYAAAABMAcAAAADMTYwCAAAAAEwCQAAAAExCgAAAAEwCwAAAAcxNTUxOTMzDAAAAAIxMg0AAAAINC8yLzIwMTAr7bK9k3PVCKvHUEmXc9UIL0NJUS5OQVNEQVFHUzpJTlRDLklRX1BFX0VYQ0xfRldELjYwMDAuMS8zMC8yMDA0AQAAAIdSAAACAAAAEDI0LjM3NDA3NjU4ODI2ODIBDQAAAAUAAAABOQEAAAAHMjYyMTI5NQIAAAAEMTg3OQMAAAAGMTAwMzA5BAAAAAEyBgAAAAEw</t>
  </si>
  <si>
    <t>BwAAAAMxNjAIAAAAATAJAAAAATEKAAAAATALAAAACjYzOTMxNjA5NjMMAAAAAjEyDQAAAAkxLzMxLzIwMDS7TLS9k3PVCGt+V0mXc9UINUNJUS5OYXNkYXFHUzpJTlRDLklRX1RFVl9UT1RBTF9SRVZfRldELjYwMDAuNC8yNS8yMDAzAQAAAIdSAAACAAAAEDMuNzUxNDk5MzEyNTU3NTEBDQAAAAUAAAABOQEAAAAHMjYyMTI5NQIAAAAHMTc1NzE0MQMAAAAGMTAwMzA3BAAAAAEyBgAAAAEwBwAAAAMxNjAIAAAAATAJAAAAATEKAAAAATALAAAACjkxMTEwNjc4MDUMAAAAAjEyDQAAAAk0LzI2LzIwMDOLrVW5k3PVCDtFTUmXc9UIL0NJUS5OQVNEQVFHUzpJTlRDLklRX1BFX0VYQ0xfRldELjYwMDAuNC8yMC8yMDAxAQAAAIdSAAACAAAAEDU3LjQwODM3MzE2MzM5MTgBDQAAAAUAAAABOQEAAAAHMjYyMTI5NQIAAAAHMzQyMTE2MAMAAAAGMTAwMzA5BAAAAAEyBgAAAAEwBwAAAAMxNjAIAAAAATAJAAAAATEKAAAAATALAAAACjExNjkxNzMxODIMAAAAAjEyDQAAAAk0LzIxLzIwMDGL17O9k3PVCMuGU0mXc9UIL0NJUS5OQVNEQVFHUzpJTlRDLklRX1BSSUNFX1NBTEVTLjIwMDAuOC8xMC8yMDEyAQAAAIdSAAACAAAABzIuNTAwODIBBwAAAAUAAAABMQEAAAAKMTU1NzIxNjI0NgMAAAABMAIAAAAFMzg5NTgEAAAAATAHAAAACTgvMTAvMjAxMggAAAAJOC8xMC8yMDEySxFVuZNz1QgLQU9Jl3PVCDRDSVEuTkFTREFR</t>
  </si>
  <si>
    <t>R1M6SU5UQy5JUV9URVZfVE9UQUxfUkVWX0ZXRC42MDAwLjIvNS8yMDEwAQAAAIdSAAACAAAAEDIuMzY4OTc0MzYwNzYxNjMBDQAAAAUAAAABOQEAAAAHMjYyMTI5NQIAAAAEMTg4NQMAAAAGMTAwMzA3BAAAAAEyBgAAAAEwBwAAAAMxNjAIAAAAATAJAAAAATEKAAAAATALAAAACTM2MDczNjE0OAwAAAACMTINAAAACDIvNi8yMDEwS+m6t5Nz1QjbrVNJl3PVCDVDSVEuTmFzZGFxR1M6SU5UQy5JUV9URVZfVE9UQUxfUkVWX0ZXRC42MDAwLjkvMjIvMjAwNgEAAACHUgAAAgAAABAyLjkyNDU4NjA0MzEyMTI0AQ0AAAAFAAAAATkBAAAABzI2MjEyOTUCAAAABzE3NTcxNTEDAAAABjEwMDMwNwQAAAABMgYAAAABMAcAAAADMTYwCAAAAAEwCQAAAAExCgAAAAEwCwAAAAo4ODU5MjEyMjI2DAAAAAIxMg0AAAAJOS8yMy8yMDA224dnuZNz1Qi70FVJl3PVCDZDSVEuTmFzZGFxR1M6SU5UQy5JUV9URVZfVE9UQUxfUkVWX0ZXRC42MDAwLjExLzIyLzIwMDIBAAAAh1IAAAIAAAAQNC42MTgyNDA1MDYzMDc4NgENAAAABQAAAAE5AQAAAAcyNjIxMjk1AgAAAAcxNzU3MTQwAwAAAAYxMDAzMDcEAAAAATIGAAAAATAHAAAAAzE2MAgAAAABMAkAAAABMQoAAAABMAsAAAAKMTE2OTEyNjExNAwAAAACMTINAAAACjExLzIzLzIwMDKLtLC7k3PVCCviVkmXc9UINkNJUS5OYXNkYXFHUzpJTlRDLklRX1RFVl9FQklUREFfRldEX0NJ</t>
  </si>
  <si>
    <t>US42MDAwLjEvMjEvMjAxMQEAAACHUgAAAgAAABA0LjU3MDE0MjIyODU4MTk4AQ0AAAAFAAAAATkBAAAABzI2MjEyOTUCAAAABDE4ODYDAAAABjEwMDMwOAQAAAABMgYAAAABMAcAAAADMTYwCAAAAAEwCQAAAAExCgAAAAEwCwAAAAo1NzQ4ODE1MTgxDAAAAAIxMg0AAAAJMS8yMi8yMDExezhWu5Nz1Qgrh42ul3PVCC9DSVEuTkFTREFRR1M6SU5UQy5JUV9QRV9FWENMX0ZXRC42MDAwLjUvMzEvMjAxMwEAAACHUgAAAgAAABAxMi42MzcyNzY4NDM4MDM3AQ0AAAAFAAAAATkBAAAABzI2MjEyOTUCAAAABzM4Mjk3NTEDAAAABjEwMDMwOQQAAAABMgYAAAABMAcAAAADMTYwCAAAAAEwCQAAAAExCgAAAAEwCwAAAAo3MDMzMjU4NjM1DAAAAAIxMg0AAAAINi8xLzIwMTMLn7K9k3PVCIvqUkmXc9UILENJUS5eU1BYLklRX1RFVl9FQklUREFfRldEX0NJUS42MDAwLjUvNC8yMDE2AQAAAJu4KAACAAAACDkuODk2NDIxABvdUruTc9UIa80pS5dz1QgvQ0lRLk5BU0RBUUdTOklOVEMuSVFfUFJJQ0VfU0FMRVMuMjAwMC4xLzI1LzIwMTMBAAAAh1IAAAIAAAAIMS45NjMxNDUBBwAAAAUAAAABMQEAAAAKMTU4NDQ4NjI2MAMAAAABMAIAAAAFMzg5NTgEAAAAATAHAAAACTEvMjUvMjAxMwgAAAAJMS8yNS8yMDEza3ZmuZNz1QhrDVVJl3PVCDVDSVEuTmFzZGFxR1M6SU5UQy5JUV9URVZfVE9UQUxfUkVWX0ZXRC42MDAwLjEy</t>
  </si>
  <si>
    <t>LzIvMjAxMQEAAACHUgAAAgAAABAyLjA2NDYxMzcwMDM1NDk4AQ0AAAAFAAAAATkBAAAABzI2MjEyOTUCAAAABzE3NTcxNjcDAAAABjEwMDMwNwQAAAABMgYAAAABMAcAAAADMTYwCAAAAAEwCQAAAAExCgAAAAEwCwAAAAo4ODY0NDI0NTg0DAAAAAIxMg0AAAAJMTIvMy8yMDExm/6zvZNz1QhLbE1Jl3PVCC5DSVEuTkFTREFRR1M6SU5UQy5JUV9QUklDRV9TQUxFUy4yMDAwLjMvNC8yMDExAQAAAIdSAAACAAAACDIuNzQ1NDczAQcAAAAFAAAAATEBAAAACjE0MzA2MjQ1MDkDAAAAATACAAAABTM4OTU4BAAAAAEwBwAAAAgzLzQvMjAxMQgAAAAIMy80LzIwMTHLsLm3k3PVCFuTTUmXc9UII0NJUS5eU1BYLklRX0xBU1RTQUxFUFJJQ0UuNi8yNS8yMDE0AQAAAJu4KAACAAAAEDE5NTkuNTMxMTExMjA4NDkA29e5t5Nz1QhbTDhLl3PVCDdDSVEuTkFTREFRR1M6SU5UQy5JUV9URVZfRUJJVERBX0ZXRF9DSVEuNjAwMC4xMS8yNC8yMDE3AQAAAIdSAAACAAAAEDguMjc5NjEzNzYyNjA2MzgBDQAAAAUAAAABOQEAAAAHMjYyMTI5NQIAAAAIMjc1MDAxNzQDAAAABjEwMDMwOAQAAAABMgYAAAABMAcAAAADMTYwCAAAAAEwCQAAAAExCgAAAAEwCwAAAAsxMDY1OTMyNjc1MgwAAAACMTINAAAACjExLzI1LzIwMTc7K1O7k3PVCItxjq6Xc9UINUNJUS5OYXNkYXFHUzpJTlRDLklRX1RFVl9UT1RBTF9SRVZfRldELjYwMDAu</t>
  </si>
  <si>
    <t>MTEvMy8yMDE3AQAAAIdSAAACAAAADzMuNjQyMzExODcyMzE1NQENAAAABQAAAAE5AQAAAAcyNjIxMjk1AgAAAAgyNzUwMDE3NAMAAAAGMTAwMzA3BAAAAAEyBgAAAAEwBwAAAAMxNjAIAAAAATAJAAAAATEKAAAAATALAAAACzEwNTM1OTYxNjAwDAAAAAIxMg0AAAAJMTEvNC8yMDE3O3JouZNz1Qjbj1hJl3PVCDVDSVEuTmFzZGFxR1M6SU5UQy5JUV9URVZfVE9UQUxfUkVWX0ZXRC42MDAwLjMvMjMvMjAwMQEAAACHUgAAAgAAABA2LjUyMTczODI0OTgwNTM0AQ0AAAAFAAAAATkBAAAABzI2MjEyOTUCAAAABzMxNTEzMDEDAAAABjEwMDMwNwQAAAABMgYAAAABMAcAAAADMTYwCAAAAAEwCQAAAAExCgAAAAEwCwAAAAkzNjEyMTI2ODgMAAAAAjEyDQAAAAkzLzI0LzIwMDGb/rO9k3PVCKtWTkmXc9UIMENJUS5OQVNEQVFHUzpJTlRDLklRX1BSSUNFX1NBTEVTLjIwMDAuMTIvMTMvMjAxNwEAAACHUgAAAgAAAAczLjI5MTA2AQcAAAAFAAAAATEBAAAACjE4NjI3NTgwNDMDAAAAATACAAAABTM4OTU4BAAAAAEwBwAAAAoxMi8xMy8yMDE3CAAAAAoxMi8xMy8yMDE3Sxiwu5Nz1QgroNhKl3PVCDRDSVEuTmFzZGFxR1M6SU5UQy5JUV9URVZfVE9UQUxfUkVWX0ZXRC42MDAwLjMvNy8yMDAzAQAAAIdSAAACAAAAEDMuMzY1OTM1NDMxNzY4MTMBDQAAAAUAAAABOQEAAAAHMjYyMTI5NQIAAAAEMTg3OAMAAAAGMTAwMzA3</t>
  </si>
  <si>
    <t>BAAAAAEyBgAAAAEwBwAAAAMxNjAIAAAAATAJAAAAATEKAAAAATALAAAACTM2MDY1NjQzOAwAAAACMTINAAAACDMvOC8yMDAz656xu5Nz1QjbWkxJl3PVCC9DSVEuTkFTREFRR1M6SU5UQy5JUV9QUklDRV9TQUxFUy4yMDAwLjkvMTQvMjAxNgEAAACHUgAAAgAAAAgyLjk3NTY3MwEHAAAABQAAAAExAQAAAAoxODAxMjk0NTAxAwAAAAEwAgAAAAUzODk1OAQAAAABMAcAAAAJOS8xNC8yMDE2CAAAAAk5LzE0LzIwMTarQ6+9k3PVCPvZI0uXc9UIH0NJUS5eU1BYLklRX1BUQlYuMjAwMC4xMi85LzIwMTUBAAAAm7goAAIAAAAINi41NzI0ODYA62dSu5Nz1Qjrdi1Ll3PVCC9DSVEuTkFTREFRR1M6SU5UQy5JUV9QRV9FWENMX0ZXRC42MDAwLjgvMzAvMjAwMgEAAACHUgAAAgAAABAyNS43NjUwNjk1NTE3Nzc0AQ0AAAAFAAAAATkBAAAABzI2MjEyOTUCAAAABzE3NTcxMzkDAAAABjEwMDMwOQQAAAABMgYAAAABMAcAAAADMTYwCAAAAAEwCQAAAAExCgAAAAEwCwAAAAo4ODYwMDc4NzAzDAAAAAIxMg0AAAAJOC8zMS8yMDAyi9ezvZNz1QgbaE9Jl3PVCDBDSVEuTkFTREFRR1M6SU5UQy5JUV9QRV9FWENMX0ZXRC42MDAwLjEwLzExLzIwMDIBAAAAh1IAAAIAAAAQMjUuMzY2NjY2NjY2NjY2NwENAAAABQAAAAE5AQAAAAcyNjIxMjk1AgAAAAcxNzU3MTM5AwAAAAYxMDAzMDkEAAAAATIGAAAAATAHAAAAAzE2MAgAAAAB</t>
  </si>
  <si>
    <t>MAkAAAABMQoAAAABMAsAAAAKODg1OTg5MDM1MgwAAAACMTINAAAACjEwLzEyLzIwMDJ7sLO9k3PVCMuGU0mXc9UIMENJUS5OQVNEQVFHUzpJTlRDLklRX1BFX0VYQ0xfRldELjYwMDAuMTEvMjMvMjAwMQEAAACHUgAAAgAAABA2My44MDQ0MzcxNDA1MDk0AQ0AAAAFAAAAATkBAAAABzI2MjEyOTUCAAAABzM0MjExNjIDAAAABjEwMDMwOQQAAAABMgYAAAABMAcAAAADMTYwCAAAAAEwCQAAAAExCgAAAAEwCwAAAAoxMTY5MTczNTM4DAAAAAIxMg0AAAAKMTEvMjQvMjAwMYvXs72Tc9UIGyxZSZdz1QgvQ0lRLk5BU0RBUUdTOklOVEMuSVFfUEVfRVhDTF9GV0QuNjAwMC41LzI5LzIwMTUBAAAAh1IAAAIAAAAPMTUuMjAzMzg4MzM0OTUxAQ0AAAAFAAAAATkBAAAABzI2MjEyOTUCAAAABzgwNjgyNjADAAAABjEwMDMwOQQAAAABMgYAAAABMAcAAAADMTYwCAAAAAEwCQAAAAExCgAAAAEwCwAAAAo4ODgyOTQyMDA3DAAAAAIxMg0AAAAJNS8zMC8yMDE1m/6zvZNz1QirOFNJl3PVCCJDSVEuXlNQWC5JUV9MQVNUU0FMRVBSSUNFLjkvNC8yMDEzAQAAAJu4KAACAAAAEDE2NTMuMDc2NDU2MDQ4MjEAWz+wu5Nz1QhLBz1Ll3PVCDBDSVEuTkFTREFRR1M6SU5UQy5JUV9QRV9FWENMX0ZXRC42MDAwLjEyLzEwLzIwMDQBAAAAh1IAAAIAAAAOMTkuNzcyMTI5NzEwNzgBDQAAAAUAAAABOQEAAAAHMjYyMTI5NQIAAAAHMTc1</t>
  </si>
  <si>
    <t>NzE0NgMAAAAGMTAwMzA5BAAAAAEyBgAAAAEwBwAAAAMxNjAIAAAAATAJAAAAATEKAAAAATALAAAACjY3MzA0MDc0MjYMAAAAAjEyDQAAAAoxMi8xMS8yMDA0a4mzvZNz1QiLPVpJl3PVCC5DSVEuTkFTREFRR1M6SU5UQy5JUV9QUklDRV9TQUxFUy4yMDAwLjIvNC8yMDExAQAAAIdSAAACAAAACDIuNzYwNzU0AQcAAAAFAAAAATEBAAAACjE0MTg5MjA5NzkDAAAAATACAAAABTM4OTU4BAAAAAEwBwAAAAgyLzQvMjAxMQgAAAAIMi80LzIwMTELtlK7k3PVCOtFVkmXc9UINUNJUS5OYXNkYXFHUzpJTlRDLklRX1RFVl9UT1RBTF9SRVZfRldELjYwMDAuOC8xNC8yMDA5AQAAAIdSAAACAAAADzIuNzY2OTIzODYxNzIzOQENAAAABQAAAAE5AQAAAAcyNjIxMjk1AgAAAAcxNzU3MTYwAwAAAAYxMDAzMDcEAAAAATIGAAAAATAHAAAAAzE2MAgAAAABMAkAAAABMQoAAAABMAsAAAAKODg2NDIxMTMzOQwAAAACMTINAAAACTgvMTUvMjAwOZuGVruTc9UIm6BQSZdz1Qg1Q0lRLk5hc2RhcUdTOklOVEMuSVFfVEVWX0VCSVREQV9GV0RfQ0lRLjYwMDAuNC83LzIwMTcBAAAAh1IAAAIAAAAQNy4yNzExNTQ0NTI4NzQ2OAENAAAABQAAAAE5AQAAAAcyNjIxMjk1AgAAAAoxMDAwOTQ0Mzg3AwAAAAYxMDAzMDgEAAAAATIGAAAAATAHAAAAAzE2MAgAAAABMAkAAAABMQoAAAABMAsAAAALMTAxMjQ0MTM0ODQMAAAAAjEyDQAAAAg0</t>
  </si>
  <si>
    <t>LzgvMjAxN6sltL2Tc9UIyw2Prpdz1QgvQ0lRLk5BU0RBUUdTOklOVEMuSVFfUEVfRVhDTF9GV0QuNjAwMC4xLzE0LzIwMDUBAAAAh1IAAAIAAAAQMTguNjY5OTEwNzg2Njk5MQENAAAABQAAAAE5AQAAAAcyNjIxMjk1AgAAAAQxODgwAwAAAAYxMDAzMDkEAAAAATIGAAAAATAHAAAAAzE2MAgAAAABMAkAAAABMQoAAAABMAsAAAAHMTUwOTA2MwwAAAACMTINAAAACTEvMTUvMjAwNWuJs72Tc9UIq1ZOSZdz1Qg0Q0lRLk5hc2RhcUdTOklOVEMuSVFfVEVWX1RPVEFMX1JFVl9GV0QuNjAwMC42LzQvMjAwNAEAAACHUgAAAgAAABA0LjczNjMxMzU0NDI2MTMxAQ0AAAAFAAAAATkBAAAABzI2MjEyOTUCAAAABzE3NTcxNDQDAAAABjEwMDMwNwQAAAABMgYAAAABMAcAAAADMTYwCAAAAAEwCQAAAAExCgAAAAEwCwAAAAoxMTY5MTI4MzgxDAAAAAIxMg0AAAAINi81LzIwMDSb27C7k3PVCLtBWEmXc9UILkNJUS5OQVNEQVFHUzpJTlRDLklRX1BFX0VYQ0xfRldELjYwMDAuMi82LzIwMDkBAAAAh1IAAAIAAAAQMzYuMDkyMzI1Nzg2NTMzNAENAAAABQAAAAE5AQAAAAcyNjIxMjk1AgAAAAQxODg0AwAAAAYxMDAzMDkEAAAAATIGAAAAATAHAAAAAzE2MAgAAAABMAkAAAABMQoAAAABMAsAAAAHMTU0MTQwMgwAAAACMTINAAAACDIvNy8yMDA5OxSzvZNz1QgbSlRJl3PVCC5DSVEuTkFTREFRR1M6SU5UQy5JUV9QRV9FWENM</t>
  </si>
  <si>
    <t>X0ZXRC42MDAwLjgvMi8yMDAyAQAAAIdSAAACAAAAEDI1LjIwMzYxOTkwOTUwMjMBDQAAAAUAAAABOQEAAAAHMjYyMTI5NQIAAAAHMTc1NzEzOQMAAAAGMTAwMzA5BAAAAAEyBgAAAAEwBwAAAAMxNjAIAAAAATAJAAAAATEKAAAAATALAAAACjkwOTA2ODgxMDEMAAAAAjEyDQAAAAg4LzMvMjAwMnuws72Tc9UIi1tVSZdz1QgmQ0lRLl5TUFguSVFfUEVfRVhDTF9GV0QuNjAwMC45LzE0LzIwMTYBAAAAm7goAAIAAAAJMTcuMTgyNDc5AJvrZrmTc9UIe6EiS5dz1QguQ0lRLk5BU0RBUUdTOklOVEMuSVFfUFJJQ0VfU0FMRVMuMjAwMC40LzgvMjAxNQEAAACHUgAAAgAAAAcyLjc0NjU2AQcAAAAFAAAAATEBAAAACjE3MTg4NTkyOTEDAAAAATACAAAABTM4OTU4BAAAAAEwBwAAAAg0LzgvMjAxNQgAAAAINC84LzIwMTXr0Yi2k3PVCNsxMkuXc9UINUNJUS5OYXNkYXFHUzpJTlRDLklRX1RFVl9UT1RBTF9SRVZfRldELjYwMDAuMi8yMi8yMDAyAQAAAIdSAAACAAAAEDYuNTE2MzI4MjkwNDI5MzcBDQAAAAUAAAABOQEAAAAHMjYyMTI5NQIAAAAEMTg3NwMAAAAGMTAwMzA3BAAAAAEyBgAAAAEwBwAAAAMxNjAIAAAAATAJAAAAATEKAAAAATALAAAACTM2MDY1NDYzNAwAAAACMTINAAAACTIvMjMvMjAwMvvVZ7mTc9UIiz1aSZdz1QgiQ0lRLl5TUFguSVFfTEFTVFNBTEVQUklDRS41LzMvMjAxNwEAAACbuCgAAgAAABAy</t>
  </si>
  <si>
    <t>Mzg4LjEzNDg5MzI5MzM3ACvDVLmTc9UIK8cQS5dz1Qg1Q0lRLk5hc2RhcUdTOklOVEMuSVFfVEVWX1RPVEFMX1JFVl9GV0QuNjAwMC41LzI0LzIwMTMBAAAAh1IAAAIAAAAQMi4xMTQ3ODIyMTc2NzYwNAENAAAABQAAAAE5AQAAAAcyNjIxMjk1AgAAAAczODI5NzUxAwAAAAYxMDAzMDcEAAAAATIGAAAAATAHAAAAAzE2MAgAAAABMAkAAAABMQoAAAABMAsAAAAKODg2MjUzOTk3MQwAAAACMTINAAAACTUvMjUvMjAxM5vbsLuTc9UIa7pNSZdz1QgpQ0lRLk5BU0RBUUdTOklOVEMuSVFfUFRCVi4yMDAwLjEyLzI2LzIwMTQBAAAAh1IAAAIAAAAINC40MzMzNzkBBwAAAAUAAAABMQEAAAAKMTcwMzY4MTg5NAMAAAABMAIAAAAGMTAwMDI5BAAAAAEwBwAAAAoxMi8yNi8yMDE0CAAAAAoxMi8yNi8yMDE0u2qvvZNz1QirGlhJl3PVCDVDSVEuTkFTREFRR1M6SU5UQy5JUV9URVZfRUJJVERBX0ZXRF9DSVEuNjAwMC42LzgvMjAxMgEAAACHUgAAAgAAABA0LjgyMDg2MDExMTM1NTM3AQ0AAAAFAAAAATkBAAAABzI2MjEyOTUCAAAABzE3NTcxNjgDAAAABjEwMDMwOAQAAAABMgYAAAABMAcAAAADMTYwCAAAAAEwCQAAAAExCgAAAAEwCwAAAAo2OTU1NDEyNTE2DAAAAAIxMg0AAAAINi85LzIwMTKbFVS7k3PVCCuHja6Xc9UIK0NJUS5OQVNEQVFHUzpJTlRDLklRX0xBU1RTQUxFUFJJQ0UuNS8zLzIwMTcBAAAAh1IAAAIA</t>
  </si>
  <si>
    <t>AAAFMzYuOTgA6/65t5Nz1QhLhhNLl3PVCDZDSVEuTkFTREFRR1M6SU5UQy5JUV9URVZfRUJJVERBX0ZXRF9DSVEuNjAwMC4xLzE0LzIwMDUBAAAAh1IAAAIAAAAQOC4zMjY1ODkzMDEwOTE4MgENAAAABQAAAAE5AQAAAAcyNjIxMjk1AgAAAAQxODgwAwAAAAYxMDAzMDgEAAAAATIGAAAAATAHAAAAAzE2MAgAAAABMAkAAAABMQoAAAABMAsAAAAJMzYwNjY4MTY3DAAAAAIxMg0AAAAJMS8xNS8yMDA1K3VVu5Nz1Qg7H5Cul3PVCCJDSVEuXlNQWC5JUV9MQVNUU0FMRVBSSUNFLjMvOS8yMDE2AQAAAJu4KAACAAAAEDE5ODkuMjY0OTk0NTA0MjUAWz+wu5Nz1QjLtypLl3PVCCdDSVEuTkFTREFRR1M6SU5UQy5JUV9QVEJWLjIwMDAuOS85LzIwMTYBAAAAh1IAAAIAAAAINC45OTM3NTEBBwAAAAUAAAABMQEAAAAKMTgwMTI5NDUwMQMAAAABMAIAAAAGMTAwMDI5BAAAAAEwBwAAAAg5LzkvMjAxNggAAAAIOS85LzIwMTb7jlK7k3PVCHulV0mXc9UIIkNJUS5eU1BYLklRX0xBU1RTQUxFUFJJQ0UuNC8xLzIwMTUBAAAAm7goAAIAAAAPMjA1OS42OTA4NzE5NTAzACvDVLmTc9UIywoyS5dz1QgeQ0lRLl5TUFguSVFfUFRCVi4yMDAwLjcvNi8yMDE2AQAAAJu4KAACAAAACDcuMTEwNzgzAFs4VbmTc9UI220oS5dz1QgfQ0lRLl5TUFguSVFfUFRCVi4yMDAwLjkvMjAvMjAxNwEAAACbuCgAAgAAAAg4LjgyOTU0NwCLxGa5</t>
  </si>
  <si>
    <t>k3PVCFvS+EqXc9UIMENJUS5OQVNEQVFHUzpJTlRDLklRX1BSSUNFX1NBTEVTLjIwMDAuMTEvMTAvMjAxNwEAAACHUgAAAgAAAAgzLjQ2MTE1NgEHAAAABQAAAAExAQAAAAoxODYyNzU4MDQzAwAAAAEwAgAAAAUzODk1OAQAAAABMAcAAAAKMTEvMTAvMjAxNwgAAAAKMTEvMTAvMjAxN3udZrmTc9UI261TSZdz1QgrQ0lRLk5BU0RBUUdTOklOVEMuSVFfTEFTVFNBTEVQUklDRS4yLzEvMjAxNwEAAACHUgAAAgAAAAUzNi41MgDLka+9k3PVCCuLGkuXc9UIIkNJUS5eU1BYLklRX0xBU1RTQUxFUFJJQ0UuNy81LzIwMTcBAAAAm7goAAIAAAAQMjQzMi41NDIzNDAyMjcwOADLka+9k3PVCLvxBUuXc9UINkNJUS5OQVNEQVFHUzpJTlRDLklRX1RFVl9FQklUREFfRldEX0NJUS42MDAwLjkvMzAvMjAxNgEAAACHUgAAAgAAABA4LjA5NDI2ODA4NTQ0NTY4AQ0AAAAFAAAAATkBAAAABzI2MjEyOTUCAAAACDI3MDAzNjUyAwAAAAYxMDAzMDgEAAAAATIGAAAAATAHAAAAAzE2MAgAAAABMAkAAAABMQoAAAABMAsAAAAKOTcyOTk5Njk0MQwAAAACMTINAAAACTEwLzEvMjAxNktSU7uTc9UI28OMrpdz1QgfQ0lRLl5TUFguSVFfUFRCVi4yMDAwLjUvMTAvMjAxNwEAAACbuCgAAgAAAAg4LjQ4MDY2MgCLxGa5k3PVCOubEkuXc9UINUNJUS5OYXNkYXFHUzpJTlRDLklRX1RFVl9UT1RBTF9SRVZfRldELjYwMDAuNy8xNy8yMDE1</t>
  </si>
  <si>
    <t>AQAAAIdSAAACAAAAEDIuNDQ5NDQxMjM1MDkxNzYBDQAAAAUAAAABOQEAAAAHMjYyMTI5NQIAAAAHODA2ODI2MQMAAAAGMTAwMzA3BAAAAAEyBgAAAAEwBwAAAAMxNjAIAAAAATAJAAAAATEKAAAAATALAAAACjg4OTQ2MDU0MjMMAAAAAjEyDQAAAAk3LzE4LzIwMTXrnrG7k3PVCPtsVkmXc9UIL0NJUS5OQVNEQVFHUzpJTlRDLklRX1BFX0VYQ0xfRldELjYwMDAuMTAvMi8yMDA5AQAAAIdSAAACAAAADzE2LjU0ODg5NjQ0OTQ0NgENAAAABQAAAAE5AQAAAAcyNjIxMjk1AgAAAAcxNzU3MTYwAwAAAAYxMDAzMDkEAAAAATIGAAAAATAHAAAAAzE2MAgAAAABMAkAAAABMQoAAAABMAsAAAAKODg2NDM5NTAyNAwAAAACMTINAAAACTEwLzMvMjAwOTsUs72Tc9UIO0VNSZdz1QgvQ0lRLk5BU0RBUUdTOklOVEMuSVFfUFJJQ0VfU0FMRVMuMjAwMC4xMC81LzIwMTIBAAAAh1IAAAIAAAAIMi4xMTAwNjcBBwAAAAUAAAABMQEAAAAKMTU1NzIxNjI0NgMAAAABMAIAAAAFMzg5NTgEAAAAATAHAAAACTEwLzUvMjAxMggAAAAJMTAvNS8yMDEya3ZmuZNz1QhrDVVJl3PVCDVDSVEuTmFzZGFxR1M6SU5UQy5JUV9URVZfVE9UQUxfUkVWX0ZXRC42MDAwLjQvMTcvMjAwOQEAAACHUgAAAgAAABAyLjUyMjcyOTY4NTMyMDM0AQ0AAAAFAAAAATkBAAAABzI2MjEyOTUCAAAABzE3NTcxNTkDAAAABjEwMDMwNwQAAAABMgYAAAABMAcA</t>
  </si>
  <si>
    <t>AAADMTYwCAAAAAEwCQAAAAExCgAAAAEwCwAAAAo0ODkzOTA0ODUxDAAAAAIxMg0AAAAJNC8xOC8yMDA5qyW0vZNz1QhLoVlJl3PVCC9DSVEuTkFTREFRR1M6SU5UQy5JUV9QRV9FWENMX0ZXRC42MDAwLjgvMzEvMjAwMQEAAACHUgAAAgAAABA1My45MTQ0MDQxNjUwNTk4AQ0AAAAFAAAAATkBAAAABzI2MjEyOTUCAAAABzM0MjExNjEDAAAABjEwMDMwOQQAAAABMgYAAAABMAcAAAADMTYwCAAAAAEwCQAAAAExCgAAAAEwCwAAAAoxMTY5MTczMzU5DAAAAAIxMg0AAAAIOS8xLzIwMDGL17O9k3PVCDuYVEmXc9UINkNJUS5OQVNEQVFHUzpJTlRDLklRX1RFVl9FQklUREFfRldEX0NJUS42MDAwLjcvMjYvMjAwMgEAAACHUgAAAgAAABAxMC4yNzU0MTk2NzMyMzQ0AQ0AAAAFAAAAATkBAAAABzI2MjEyOTUCAAAABzE3NTcxMzkDAAAABjEwMDMwOAQAAAABMgYAAAABMAcAAAADMTYwCAAAAAEwCQAAAAExCgAAAAEwCwAAAAoxMTY5MTI2MDQ3DAAAAAIxMg0AAAAJNy8yNy8yMDAyW+pVu5Nz1Qi75o6ul3PVCCxDSVEuTkFTREFRR1M6SU5UQy5JUV9MQVNUU0FMRVBSSUNFLjkvMjUvMjAxMwEAAACHUgAAAgAAAAQyMy43AMuRr72Tc9UISwc9S5dz1Qg1Q0lRLk5hc2RhcUdTOklOVEMuSVFfVEVWX1RPVEFMX1JFVl9GV0QuNjAwMC40LzI0LzIwMDkBAAAAh1IAAAIAAAAQMi41MjYzNTIyMDMxNzcxNwENAAAABQAAAAE5</t>
  </si>
  <si>
    <t>AQAAAAcyNjIxMjk1AgAAAAcxNzU3MTU5AwAAAAYxMDAzMDcEAAAAATIGAAAAATAHAAAAAzE2MAgAAAABMAkAAAABMQoAAAABMAsAAAAKODg2NDIyMDY4NAwAAAACMTINAAAACTQvMjUvMjAwOetvvLeTc9UIGyxZSZdz1QgoQ0lRLk5BU0RBUUdTOklOVEMuSVFfUFRCVi4yMDAwLjkvMjgvMjAxMgEAAACHUgAAAgAAAAgzLjQwNDA1NQEHAAAABQAAAAExAQAAAAoxNTU3MjE2MjQ2AwAAAAEwAgAAAAYxMDAwMjkEAAAAATAHAAAACTkvMjgvMjAxMggAAAAJOS8yOC8yMDEyq0OvvZNz1QiLPVpJl3PVCC5DSVEuTkFTREFRR1M6SU5UQy5JUV9QRV9FWENMX0ZXRC42MDAwLjQvMS8yMDE2AQAAAIdSAAACAAAAEDEzLjY5MTU3ODcyOTc0MjIBDQAAAAUAAAABOQEAAAAHMjYyMTI5NQIAAAAKMTAwMDkxNTQwMgMAAAAGMTAwMzA5BAAAAAEyBgAAAAEwBwAAAAMxNjAIAAAAATAJAAAAATEKAAAAATALAAAACjkzNzQyNzk5ODgMAAAAAjEyDQAAAAg0LzIvMjAxNrtMtL2Tc9UIy/dVSZdz1QgpQ0lRLk5BU0RBUUdTOklOVEMuSVFfRVBTX05PUk1fRVNULkZRMzIwMTcBAAAAh1IAAAIAAAAHMC44MDMxOAEOAAAABQAAAAEzAQAAAAcyNjIxMjk1AgAAAAoxMDAwOTQ0Mzg1AwAAAAYxMDAxNzMEAAAAATIGAAAAATAHAAAAAzE2MAgAAAABMAkAAAABMQoAAAABMAsAAAALMTA1MjgyODM5MjYMAAAAATINAAAACTIvMTUvMjAxOBAA</t>
  </si>
  <si>
    <t>AAAJOS8zMC8yMDE3a19VuZNz1Qh7lD9Kl3PVCDVDSVEuTmFzZGFxR1M6SU5UQy5JUV9URVZfVE9UQUxfUkVWX0ZXRC42MDAwLjEvMjUvMjAwOAEAAACHUgAAAgAAABAyLjU2MTk5Mjg1NzMzMjIxAQ0AAAAFAAAAATkBAAAABzI2MjEyOTUCAAAABDE4ODMDAAAABjEwMDMwNwQAAAABMgYAAAABMAcAAAADMTYwCAAAAAEwCQAAAAExCgAAAAEwCwAAAAkzNjA3MDAyMzEMAAAAAjEyDQAAAAkxLzI2LzIwMDiLtLC7k3PVCKtWTkmXc9UIL0NJUS5OQVNEQVFHUzpJTlRDLklRX1BSSUNFX1NBTEVTLjIwMDAuNy8xNy8yMDEzAQAAAIdSAAACAAAABTIuMjk1AQcAAAAFAAAAATEBAAAACjE2MjY0ODY2MjgDAAAAATACAAAABTM4OTU4BAAAAAEwBwAAAAk3LzE3LzIwMTMIAAAACTcvMTcvMjAxM6tDr72Tc9UIe3w9S5dz1Qg2Q0lRLk5hc2RhcUdTOklOVEMuSVFfVEVWX0VCSVREQV9GV0RfQ0lRLjYwMDAuMS8xNi8yMDE1AQAAAIdSAAACAAAAEDcuMDE4NDcwMjk1NTkyMzMBDQAAAAUAAAABOQEAAAAHMjYyMTI5NQIAAAAKMTAwMDA5NDA3MQMAAAAGMTAwMzA4BAAAAAEyBgAAAAEwBwAAAAMxNjAIAAAAATAJAAAAATEKAAAAATALAAAACjg1MTk0NjQ1ODkMAAAAAjEyDQAAAAkxLzE3LzIwMTXrSVe7k3PVCBtgja6Xc9UILENJUS5eU1BYLklRX1RFVl9FQklUREFfRldEX0NJUS42MDAwLjgvNi8yMDE0AQAAAJu4KAACAAAA</t>
  </si>
  <si>
    <t>CDguNzAzNjY1AOvRiLaTc9UIK9c3S5dz1QgkQ0lRLl5TUFguSVFfTEFTVFNBTEVQUklDRS4xMC8yMy8yMDEzAQAAAJu4KAACAAAADzE3NDYuMzc1MTQwMjk4MwALtlK7k3PVCCu5PEuXc9UIL0NJUS5OQVNEQVFHUzpJTlRDLklRX1BFX0VYQ0xfRldELjYwMDAuNi8xOC8yMDA0AQAAAIdSAAACAAAADjIxLjQ5MzAwMTU1NTIxAQ0AAAAFAAAAATkBAAAABzI2MjEyOTUCAAAABzE3NTcxNDQDAAAABjEwMDMwOQQAAAABMgYAAAABMAcAAAADMTYwCAAAAAEwCQAAAAExCgAAAAEwCwAAAAo4ODY0MTAwNjU2DAAAAAIxMg0AAAAJNi8xOS8yMDA0a4mzvZNz1QjrgUxJl3PVCDdDSVEuTmFzZGFxR1M6SU5UQy5JUV9URVZfRUJJVERBX0ZXRF9DSVEuNjAwMC4xMC8xMC8yMDAzAQAAAIdSAAACAAAAEDEzLjM5NTYzMTU3NTM2ODQBDQAAAAUAAAABOQEAAAAHMjYyMTI5NQIAAAAHMTc1NzE0MgMAAAAGMTAwMzA4BAAAAAEyBgAAAAEwBwAAAAMxNjAIAAAAATAJAAAAATEKAAAAATALAAAACjExNjkxMjc2ODYMAAAAAjEyDQAAAAoxMC8xMS8yMDAzq61Wu5Nz1QhLRpCul3PVCB9DSVEuXlNQWC5JUV9QVEJWLjIwMDAuMS8yMS8yMDE1AQAAAJu4KAACAAAACDUuNDE4OTE4AOtnUruTc9UIy3s0S5dz1QgvQ0lRLk5BU0RBUUdTOklOVEMuSVFfUFJJQ0VfU0FMRVMuMjAwMC4xLzI4LzIwMTEBAAAAh1IAAAIAAAAIMi43MzI3MzkB</t>
  </si>
  <si>
    <t>BwAAAAUAAAABMQEAAAAKMTQxODkyMDk3OQMAAAABMAIAAAAFMzg5NTgEAAAAATAHAAAACTEvMjgvMjAxMQgAAAAJMS8yOC8yMDExO+pUuZNz1QhL3U9Jl3PVCDZDSVEuTkFTREFRR1M6SU5UQy5JUV9URVZfRUJJVERBX0ZXRF9DSVEuNjAwMC4xLzI0LzIwMTgBAAAAh1IAAAIAAAAPOC40MTEzMzc0MTU3MTQ4AQ0AAAAFAAAAATkBAAAABzI2MjEyOTUCAAAACDI3NTAwMTc0AwAAAAYxMDAzMDgEAAAAATIGAAAAATAHAAAAAzE2MAgAAAABMAkAAAABMQoAAAABMAsAAAALMTA3MDIyMDU2NTQMAAAAAjEyDQAAAAkxLzI1LzIwMTjrSVe7k3PVCOtJV7uTc9UIK0NJUS5OQVNEQVFHUzpJTlRDLklRX0xBU1RTQUxFUFJJQ0UuMS8zLzIwMTgBAAAAh1IAAAIAAAAFNDUuMjYAG91Su5Nz1QiL1KNKl3PVCDZDSVEuTmFzZGFxR1M6SU5UQy5JUV9URVZfVE9UQUxfUkVWX0ZXRC42MDAwLjEyLzMxLzIwMTABAAAAh1IAAAIAAAAQMi4yNDA0ODYyOTY0MTU2MQENAAAABQAAAAE5AQAAAAcyNjIxMjk1AgAAAAcxNzU3MTY0AwAAAAYxMDAzMDcEAAAAATIGAAAAATAHAAAAAzE2MAgAAAABMAkAAAABMQoAAAABMAsAAAAKODg2NDQyMTExMgwAAAACMTINAAAACDEvMS8yMDEx23exu5Nz1Qgbu1ZJl3PVCC5DSVEuTkFTREFRR1M6SU5UQy5JUV9QUklDRV9TQUxFUy4yMDAwLjYvOS8yMDE3AQAAAIdSAAACAAAACDIuNzkyODk3AQcA</t>
  </si>
  <si>
    <t>AAAFAAAAATEBAAAACjE4MzgzNjAxMzIDAAAAATACAAAABTM4OTU4BAAAAAEwBwAAAAg2LzkvMjAxNwgAAAAINi85LzIwMTdbOFW5k3PVCHvhTUmXc9UINUNJUS5OYXNkYXFHUzpJTlRDLklRX1RFVl9FQklUREFfRldEX0NJUS42MDAwLjUvOS8yMDE0AQAAAIdSAAACAAAAEDUuNjg1OTQ1MzE5NDIxMTkBDQAAAAUAAAABOQEAAAAHMjYyMTI5NQIAAAAHNDQ1NjQyNwMAAAAGMTAwMzA4BAAAAAEyBgAAAAEwBwAAAAMxNjAIAAAAATAJAAAAATEKAAAAATALAAAACjgxNzA3MTU4MDEMAAAAAjEyDQAAAAk1LzEwLzIwMTTL+1a7k3PVCPuCj66Xc9UINkNJUS5OYXNkYXFHUzpJTlRDLklRX1RFVl9FQklUREFfRldEX0NJUS42MDAwLjEwLzcvMjAxNgEAAACHUgAAAgAAABA4LjExNzEyMzUzODU2NTE2AQ0AAAAFAAAAATkBAAAABzI2MjEyOTUCAAAACDI3MDAzNjUyAwAAAAYxMDAzMDgEAAAAATIGAAAAATAHAAAAAzE2MAgAAAABMAkAAAABMQoAAAABMAsAAAAKOTc1NTQ0Mzg3OAwAAAACMTINAAAACTEwLzgvMjAxNpv+s72Tc9UI61uPrpdz1Qg2Q0lRLk5hc2RhcUdTOklOVEMuSVFfVEVWX0VCSVREQV9GV0RfQ0lRLjYwMDAuNS8xOS8yMDE3AQAAAIdSAAACAAAAEDcuMDcyNzQ3ODc5MDcwMDgBDQAAAAUAAAABOQEAAAAHMjYyMTI5NQIAAAAIMjc1MDAxNzIDAAAABjEwMDMwOAQAAAABMgYAAAABMAcAAAADMTYwCAAA</t>
  </si>
  <si>
    <t>AAEwCQAAAAExCgAAAAEwCwAAAAsxMDE3NzgwMTU4MAwAAAACMTINAAAACTUvMjAvMjAxN4vXs72Tc9UI61uPrpdz1QguQ0lRLl5TUFguSVFfVEVWX0VCSVREQV9GV0RfQ0lRLjYwMDAuMTEvMzAvMjAxNgEAAACbuCgAAgAAAAg5Ljc5MTMxNwArBFO7k3PVCPv3HkuXc9UIJkNJUS5eU1BYLklRX1BFX0VYQ0xfRldELjYwMDAuMy8yNi8yMDE0AQAAAJu4KAACAAAACTE1LjcyMTkyNQBrX1W5k3PVCCtIOkuXc9UINUNJUS5OYXNkYXFHUzpJTlRDLklRX1RFVl9FQklUREFfRldEX0NJUS42MDAwLjEvNC8yMDA4AQAAAIdSAAACAAAAEDcuMDM1NDg5MzYxNzAyMTMBDQAAAAUAAAABOQEAAAAHMjYyMTI5NQIAAAAHMTc1NzE1NQMAAAAGMTAwMzA4BAAAAAEyBgAAAAEwBwAAAAMxNjAIAAAAATAJAAAAATEKAAAAATALAAAACjExNjkxMzk1MzgMAAAAAjEyDQAAAAgxLzUvMjAwOOtJV7uTc9UI+xGNrpdz1QgjQ0lRLl5TUFguSVFfTEFTVFNBTEVQUklDRS4xLzMxLzIwMTgBAAAAm7goAAIAAAAQMjgyMy44MDk5MzczNTUzNgA76lS5k3PVCHtkykmXc9UILENJUS5eU1BYLklRX1RFVl9UT1RBTF9SRVZfRldELjYwMDAuMTIvNC8yMDEzAQAAAJu4KAACAAAACDEuNzQ2Mzk0AGtmsLuTc9UIK7k8S5dz1Qg1Q0lRLk5hc2RhcUdTOklOVEMuSVFfVEVWX1RPVEFMX1JFVl9GV0QuNjAwMC42LzE4LzIwMDQBAAAAh1IAAAIAAAAQ</t>
  </si>
  <si>
    <t>NC42Mzg5NTk4NTk3MTExNgENAAAABQAAAAE5AQAAAAcyNjIxMjk1AgAAAAcxNzU3MTQ0AwAAAAYxMDAzMDcEAAAAATIGAAAAATAHAAAAAzE2MAgAAAABMAkAAAABMQoAAAABMAsAAAAKMTE2OTEyODM4NgwAAAACMTINAAAACTYvMTkvMjAwNJuGVruTc9UIWwRQSZdz1Qg3Q0lRLk5BU0RBUUdTOklOVEMuSVFfVEVWX0VCSVREQV9GV0RfQ0lRLjYwMDAuMTAvMjgvMjAxMQEAAACHUgAAAgAAABA0Ljg5MTcwMjAyODgwODY1AQ0AAAAFAAAAATkBAAAABzI2MjEyOTUCAAAABzE3NTcxNjcDAAAABjEwMDMwOAQAAAABMgYAAAABMAcAAAADMTYwCAAAAAEwCQAAAAExCgAAAAEwCwAAAAo4MTcwNzA4ODEyDAAAAAIxMg0AAAAKMTAvMjkvMjAxMas8VLuTc9UIK4eNrpdz1Qg1Q0lRLk5hc2RhcUdTOklOVEMuSVFfVEVWX1RPVEFMX1JFVl9GV0QuNjAwMC44LzE1LzIwMDMBAAAAh1IAAAIAAAAQNC45NjI4MDMxMzM5Mzg5NwENAAAABQAAAAE5AQAAAAcyNjIxMjk1AgAAAAcxNzU3MTQyAwAAAAYxMDAzMDcEAAAAATIGAAAAATAHAAAAAzE2MAgAAAABMAkAAAABMQoAAAABMAsAAAAKOTExMTA2MzI5MAwAAAACMTINAAAACTgvMTYvMjAwM9tIvLeTc9UIm6BQSZdz1Qg2Q0lRLk5hc2RhcUdTOklOVEMuSVFfVEVWX1RPVEFMX1JFVl9GV0QuNjAwMC4xMS8yMy8yMDEyAQAAAIdSAAACAAAAEDEuNzY3NzI0Njc4MDA4NTIBDQAA</t>
  </si>
  <si>
    <t>AAUAAAABOQEAAAAHMjYyMTI5NQIAAAAHMTc1NzE3MAMAAAAGMTAwMzA3BAAAAAEyBgAAAAEwBwAAAAMxNjAIAAAAATAJAAAAATEKAAAAATALAAAACjg4NjQ0MzQzNDYMAAAAAjEyDQAAAAoxMS8yNC8yMDEym/6zvZNz1QjL91VJl3PVCC5DSVEuTkFTREFRR1M6SU5UQy5JUV9QRV9FWENMX0ZXRC42MDAwLjYvNC8yMDA0AQAAAIdSAAACAAAAEDIxLjg5ODgzMjY4NDgyNDkBDQAAAAUAAAABOQEAAAAHMjYyMTI5NQIAAAAHMTc1NzE0NAMAAAAGMTAwMzA5BAAAAAEyBgAAAAEwBwAAAAMxNjAIAAAAATAJAAAAATEKAAAAATALAAAACjExNjkxNTYxODkMAAAAAjEyDQAAAAg2LzUvMjAwNGuJs72Tc9UIK3FUSZdz1QgsQ0lRLl5TUFguSVFfVEVWX1RPVEFMX1JFVl9GV0QuNjAwMC45LzI4LzIwMTYBAAAAm7goAAIAAAAIMi4wODI4NDQA6/65t5Nz1QirFiNLl3PVCDBDSVEuTkFTREFRR1M6SU5UQy5JUV9QUklDRV9TQUxFUy4yMDAwLjEwLzI4LzIwMTUBAAAAh1IAAAIAAAAIMi45OTEzOTUBBwAAAAUAAAABMQEAAAAKMTc2MTcwNjgyNwMAAAABMAIAAAAFMzg5NTgEAAAAATAHAAAACjEwLzI4LzIwMTUIAAAACjEwLzI4LzIwMTX7jlK7k3PVCGuvLkuXc9UINUNJUS5OYXNkYXFHUzpJTlRDLklRX1RFVl9UT1RBTF9SRVZfRldELjYwMDAuMS8yMi8yMDE2AQAAAIdSAAACAAAAEDIuMzQ0NzY2MzQ5NjkyODEBDQAAAAUA</t>
  </si>
  <si>
    <t>AAABOQEAAAAHMjYyMTI5NQIAAAAKMTAwMDkxNTQwMgMAAAAGMTAwMzA3BAAAAAEyBgAAAAEwBwAAAAMxNjAIAAAAATAJAAAAATEKAAAAATALAAAACjkyMzkyMzE4MTYMAAAAAjEyDQAAAAkxLzIzLzIwMTa7TLS9k3PVCKsaWEmXc9UII0NJUS5eU1BYLklRX0xBU1RTQUxFUFJJQ0UuMi8xNy8yMDE2AQAAAJu4KAACAAAAEDE5MjYuODI0OTk5NjgxMjQAC7ZSu5Nz1QjrBStLl3PVCChDSVEuTkFTREFRR1M6SU5UQy5JUV9QVEJWLjIwMDAuOC8xMC8yMDEyAQAAAIdSAAACAAAACDQuMDM4ODg4AQcAAAAFAAAAATEBAAAACjE1NTcyMTYyNDYDAAAAATACAAAABjEwMDAyOQQAAAABMAcAAAAJOC8xMC8yMDEyCAAAAAk4LzEwLzIwMTLbqoi2k3PVCFsiS0mXc9UIL0NJUS5OQVNEQVFHUzpJTlRDLklRX1BFX0VYQ0xfRldELjYwMDAuNy8yMi8yMDExAQAAAIdSAAACAAAAEDkuNTk0NzIzNTI0Mjg3NTUBDQAAAAUAAAABOQEAAAAHMjYyMTI5NQIAAAAHMTc1NzE2NgMAAAAGMTAwMzA5BAAAAAEyBgAAAAEwBwAAAAMxNjAIAAAAATAJAAAAATEKAAAAATALAAAACjg4NjMzNTkyNjAMAAAAAjEyDQAAAAk3LzIzLzIwMTEbxrK9k3PVCDsJV0mXc9UILkNJUS5OQVNEQVFHUzpJTlRDLklRX1BFX0VYQ0xfRldELjYwMDAuMy8zLzIwMTcBAAAAh1IAAAIAAAAQMTIuODUyMTM1OTk2MzYyNwENAAAABQAAAAE5AQAAAAcyNjIxMjk1</t>
  </si>
  <si>
    <t>AgAAAAoxMDAwOTQ0Mzg3AwAAAAYxMDAzMDkEAAAAATIGAAAAATAHAAAAAzE2MAgAAAABMAkAAAABMQoAAAABMAsAAAALMTAwMjk4MDkwMDEMAAAAAjEyDQAAAAgzLzQvMjAxN9spsr2Tc9UIm2RaSZdz1Qg2Q0lRLk5BU0RBUUdTOklOVEMuSVFfVEVWX0VCSVREQV9GV0RfQ0lRLjYwMDAuNS8yNS8yMDAxAQAAAIdSAAACAAAAEDIzLjI3Njk1ODAwNTQ1MjUBDQAAAAUAAAABOQEAAAAHMjYyMTI5NQIAAAAHMzQyMTE2MAMAAAAGMTAwMzA4BAAAAAEyBgAAAAEwBwAAAAMxNjAIAAAAATAJAAAAATEKAAAAATALAAAACjExNjkxNTI0MzIMAAAAAjEyDQAAAAk1LzI2LzIwMDFrEVa7k3PVCEvVja6Xc9UILkNJUS5eU1BYLklRX1RFVl9FQklUREFfRldEX0NJUS42MDAwLjExLzI5LzIwMTcBAAAAm7goAAIAAAAJMTAuNjUzMTgzAKsSZ7mTc9UIKyjsSpdz1QgpQ0lRLk5BU0RBUUdTOklOVEMuSVFfUFRCVi4yMDAwLjEwLzE0LzIwMTEBAAAAh1IAAAIAAAAIMy43NzcwNjYBBwAAAAUAAAABMQEAAAAKMTQ2NTYzMTA3MQMAAAABMAIAAAAGMTAwMDI5BAAAAAEwBwAAAAoxMC8xNC8yMDExCAAAAAoxMC8xNC8yMDEx69GItpNz1Qg71EpJl3PVCDZDSVEuTmFzZGFxR1M6SU5UQy5JUV9URVZfRUJJVERBX0ZXRF9DSVEuNjAwMC4xMi80LzIwMTUBAAAAh1IAAAIAAAAQNi44NzA0NzA1MTg1NzA0MQENAAAABQAAAAE5AQAAAAcy</t>
  </si>
  <si>
    <t>NjIxMjk1AgAAAAc4MDY4MjYyAwAAAAYxMDAzMDgEAAAAATIGAAAAATAHAAAAAzE2MAgAAAABMAkAAAABMQoAAAABMAsAAAAKOTE3MTA4NDU1OQwAAAACMTINAAAACTEyLzUvMjAxNetJV7uTc9UICzmNrpdz1QgvQ0lRLk5BU0RBUUdTOklOVEMuSVFfUEVfRVhDTF9GV0QuNjAwMC4yLzEwLzIwMTcBAAAAh1IAAAIAAAAPMTIuNjU4NzI2NjA1MTc2AQ0AAAAFAAAAATkBAAAABzI2MjEyOTUCAAAACjEwMDA5NDQzODcDAAAABjEwMDMwOQQAAAABMgYAAAABMAcAAAADMTYwCAAAAAEwCQAAAAExCgAAAAEwCwAAAAo5OTkxODk1MzE2DAAAAAIxMg0AAAAJMi8xMS8yMDE3i9ezvZNz1QhrDVVJl3PVCDZDSVEuTmFzZGFxR1M6SU5UQy5JUV9URVZfVE9UQUxfUkVWX0ZXRC42MDAwLjExLzEwLzIwMDYBAAAAh1IAAAIAAAAQMy4wNTY3OTA0NjY5NDcxMQENAAAABQAAAAE5AQAAAAcyNjIxMjk1AgAAAAcxNzU3MTUyAwAAAAYxMDAzMDcEAAAAATIGAAAAATAHAAAAAzE2MAgAAAABMAkAAAABMQoAAAABMAsAAAAKODg2MDQ5OTcyOQwAAAACMTINAAAACjExLzExLzIwMDab/rO9k3PVCBu7VkmXc9UIN0NJUS5OQVNEQVFHUzpJTlRDLklRX1RFVl9FQklUREFfRldEX0NJUS42MDAwLjEyLzE0LzIwMDEBAAAAh1IAAAIAAAAQMjIuNDAyOTg5MzE4NDE3MgENAAAABQAAAAE5AQAAAAcyNjIxMjk1AgAAAAczNDIxMTYyAwAAAAYx</t>
  </si>
  <si>
    <t>MDAzMDgEAAAAATIGAAAAATAHAAAAAzE2MAgAAAABMAkAAAABMQoAAAABMAsAAAAKODQwMTQyODMzMwwAAAACMTINAAAACjEyLzE1LzIwMDFb6lW7k3PVCLvmjq6Xc9UINkNJUS5OYXNkYXFHUzpJTlRDLklRX1RFVl9UT1RBTF9SRVZfRldELjYwMDAuMTEvMTgvMjAxMQEAAACHUgAAAgAAABAyLjAzMzYzNDk1MjM1NDE2AQ0AAAAFAAAAATkBAAAABzI2MjEyOTUCAAAABzE3NTcxNjcDAAAABjEwMDMwNwQAAAABMgYAAAABMAcAAAADMTYwCAAAAAEwCQAAAAExCgAAAAEwCwAAAAo4ODY0NDMxMDg5DAAAAAIxMg0AAAAKMTEvMTkvMjAxMasltL2Tc9UIK61KSZdz1QguQ0lRLk5BU0RBUUdTOklOVEMuSVFfUEVfRVhDTF9GV0QuNjAwMC40LzIvMjAwNAEAAACHUgAAAgAAABAyMi44OTkwMjI4MDEzMDI5AQ0AAAAFAAAAATkBAAAABzI2MjEyOTUCAAAABDE4NzkDAAAABjEwMDMwOQQAAAABMgYAAAABMAcAAAADMTYwCAAAAAEwCQAAAAExCgAAAAEwCwAAAAcxNTA0MDkzDAAAAAIxMg0AAAAINC8zLzIwMDRribO9k3PVCOtFVkmXc9UINUNJUS5OQVNEQVFHUzpJTlRDLklRX1RFVl9FQklUREFfRldEX0NJUS42MDAwLjgvMy8yMDA3AQAAAIdSAAACAAAADzkuMTcyODA0OTU5MDY3MwENAAAABQAAAAE5AQAAAAcyNjIxMjk1AgAAAAcxNzU3MTU0AwAAAAYxMDAzMDgEAAAAATIGAAAAATAHAAAAAzE2MAgAAAABMAkAAAAB</t>
  </si>
  <si>
    <t>MQoAAAABMAsAAAAKMTE2OTEzODEzNAwAAAACMTINAAAACDgvNC8yMDA3+/9Uu5Nz1Qj7go+ul3PVCB9DSVEuXlNQWC5JUV9QVEJWLjIwMDAuNS8yMC8yMDE1AQAAAJu4KAACAAAACDYuMjQ2NDQzAFs4VbmTc9UIm5UxS5dz1QgvQ0lRLk5BU0RBUUdTOklOVEMuSVFfUFJJQ0VfU0FMRVMuMjAwMC45LzI0LzIwMTQBAAAAh1IAAAIAAAAIMy4yMDgwMTkBBwAAAAUAAAABMQEAAAAKMTY4ODA4MDk5MgMAAAABMAIAAAAFMzg5NTgEAAAAATAHAAAACTkvMjQvMjAxNAgAAAAJOS8yNC8yMDE0a3ZmuZNz1QjL7DZLl3PVCC5DSVEuTkFTREFRR1M6SU5UQy5JUV9QRV9FWENMX0ZXRC42MDAwLjIvOC8yMDAyAQAAAIdSAAACAAAAEDQ3LjYxMzQ2OTk4NTM1ODcBDQAAAAUAAAABOQEAAAAHMjYyMTI5NQIAAAAEMTg3NwMAAAAGMTAwMzA5BAAAAAEyBgAAAAEwBwAAAAMxNjAIAAAAATAJAAAAATEKAAAAATALAAAABzE0OTc3ODgMAAAAAjEyDQAAAAgyLzkvMjAwMnuws72Tc9UIG2hPSZdz1Qg1Q0lRLk5hc2RhcUdTOklOVEMuSVFfVEVWX0VCSVREQV9GV0RfQ0lRLjYwMDAuMy8yLzIwMTIBAAAAh1IAAAIAAAAQNS4xODQ4ODg3ODI2MzA5MQENAAAABQAAAAE5AQAAAAcyNjIxMjk1AgAAAAQxODg3AwAAAAYxMDAzMDgEAAAAATIGAAAAATAHAAAAAzE2MAgAAAABMAkAAAABMQoAAAABMAsAAAAKNTc0ODgzMTM4MgwAAAACMTIN</t>
  </si>
  <si>
    <t>AAAACDMvMy8yMDEyu9RWu5Nz1QhbbZCul3PVCDRDSVEuTmFzZGFxR1M6SU5UQy5JUV9URVZfVE9UQUxfUkVWX0ZXRC42MDAwLjEvNy8yMDExAQAAAIdSAAACAAAAEDIuMTk3NTc4MTAwNTgyNzcBDQAAAAUAAAABOQEAAAAHMjYyMTI5NQIAAAAHMTc1NzE2NAMAAAAGMTAwMzA3BAAAAAEyBgAAAAEwBwAAAAMxNjAIAAAAATAJAAAAATEKAAAAATALAAAACjg4NjQ0MjExMTMMAAAAAjEyDQAAAAgxLzgvMjAxMetvvLeTc9UI28tOSZdz1QgpQ0lRLk5BU0RBUUdTOklOVEMuSVFfUFRCVi4yMDAwLjExLzE4LzIwMTEBAAAAh1IAAAIAAAAINC4wNzE0MDMBBwAAAAUAAAABMQEAAAAKMTQ4MDIxNTM4MQMAAAABMAIAAAAGMTAwMDI5BAAAAAEwBwAAAAoxMS8xOC8yMDExCAAAAAoxMS8xOC8yMDExWzhVuZNz1Qh74U1Jl3PVCCVDSVEuXlNQWC5JUV9QRV9FWENMX0ZXRC42MDAwLjMvNS8yMDE0AQAAAJu4KAACAAAACDE1Ljg2NjE1AOv+ubeTc9UIizI7S5dz1Qg2Q0lRLk5BU0RBUUdTOklOVEMuSVFfVEVWX0VCSVREQV9GV0RfQ0lRLjYwMDAuNC8yNC8yMDE1AQAAAIdSAAACAAAAEDYuMzY5MjA4MzY4ODM2ODEBDQAAAAUAAAABOQEAAAAHMjYyMTI5NQIAAAAHODA2ODI2MAMAAAAGMTAwMzA4BAAAAAEyBgAAAAEwBwAAAAMxNjAIAAAAATAJAAAAATEKAAAAATALAAAACjg4ODY5MDI4MjUMAAAAAjEyDQAAAAk0LzI1LzIw</t>
  </si>
  <si>
    <t>MTVroFO7k3PVCAs5ja6Xc9UINkNJUS5OQVNEQVFHUzpJTlRDLklRX1RFVl9FQklUREFfRldEX0NJUS42MDAwLjcvMjgvMjAwNgEAAACHUgAAAgAAABA4Ljc5MzY5NDQ2ODgzMjMxAQ0AAAAFAAAAATkBAAAABzI2MjEyOTUCAAAABzE3NTcxNTEDAAAABjEwMDMwOAQAAAABMgYAAAABMAcAAAADMTYwCAAAAAEwCQAAAAExCgAAAAEwCwAAAAoxMTY5MTM0NTU1DAAAAAIxMg0AAAAJNy8yOS8yMDA2CydVu5Nz1QgLqo+ul3PVCB9DSVEuXlNQWC5JUV9QVEJWLjIwMDAuMi8xOC8yMDE1AQAAAJu4KAACAAAACDUuNzUwODg3AGtmsLuTc9UIe7gzS5dz1QgmQ0lRLl5TUFguSVFfUEVfRVhDTF9GV0QuNjAwMC4zLzEzLzIwMTMBAAAAm7goAAIAAAAJMTMuOTMzNzM0AKsSZ7mTc9UIuxg+S5dz1QgsQ0lRLl5TUFguSVFfVEVWX0VCSVREQV9GV0RfQ0lRLjYwMDAuOS8yLzIwMTUBAAAAm7goAAIAAAAIOS4yNDI3MDEAa19VuZNz1Qi7ci9Ll3PVCDZDSVEuTmFzZGFxR1M6SU5UQy5JUV9URVZfRUJJVERBX0ZXRF9DSVEuNjAwMC4xLzEyLzIwMTgBAAAAh1IAAAIAAAAQOC4wMTc4OTk2NjIzNTE0OAENAAAABQAAAAE5AQAAAAcyNjIxMjk1AgAAAAgyNzUwMDE3NAMAAAAGMTAwMzA4BAAAAAEyBgAAAAEwBwAAAAMxNjAIAAAAATAJAAAAATEKAAAAATALAAAACzEwNzAyMjA1NjU0DAAAAAIxMg0AAAAJMS8xMy8yMDE4i19Wu5Nz</t>
  </si>
  <si>
    <t>1Qi75o6ul3PVCDVDSVEuTmFzZGFxR1M6SU5UQy5JUV9URVZfVE9UQUxfUkVWX0ZXRC42MDAwLjkvMjIvMjAxNwEAAACHUgAAAgAAABAyLjkxODMxNDgzMTEzMzIzAQ0AAAAFAAAAATkBAAAABzI2MjEyOTUCAAAACDI3NTAwMTczAwAAAAYxMDAzMDcEAAAAATIGAAAAATAHAAAAAzE2MAgAAAABMAkAAAABMQoAAAABMAsAAAALMTA1Mzg5NjE0ODUMAAAAAjEyDQAAAAk5LzIzLzIwMTeb27C7k3PVCPvdWEmXc9UINkNJUS5OQVNEQVFHUzpJTlRDLklRX1RFVl9FQklUREFfRldEX0NJUS42MDAwLjEvMTcvMjAwMwEAAACHUgAAAgAAABA4LjcwMzE1Njg5ODI5MTYxAQ0AAAAFAAAAATkBAAAABzI2MjEyOTUCAAAABDE4NzgDAAAABjEwMDMwOAQAAAABMgYAAAABMAcAAAADMTYwCAAAAAEwCQAAAAExCgAAAAEwCwAAAAkzNjA2NTkwNDEMAAAAAjEyDQAAAAkxLzE4LzIwMDNLw1W7k3PVCIvikK6Xc9UIMENJUS5OQVNEQVFHUzpJTlRDLklRX1BFX0VYQ0xfRldELjYwMDAuMTAvMjgvMjAwNQEAAACHUgAAAgAAABAxNS4yMjg0NTk1MzAwMjYxAQ0AAAAFAAAAATkBAAAABzI2MjEyOTUCAAAABzE3NTcxNDkDAAAABjEwMDMwOQQAAAABMgYAAAABMAcAAAADMTYwCAAAAAEwCQAAAAExCgAAAAEwCwAAAAo4ODYyNDEyNDMyDAAAAAIxMg0AAAAKMTAvMjkvMjAwNWuJs72Tc9UI+2xWSZdz1QgvQ0lRLk5BU0RBUUdTOklOVEMu</t>
  </si>
  <si>
    <t>SVFfUEVfRVhDTF9GV0QuNjAwMC40LzI1LzIwMDMBAAAAh1IAAAIAAAAQMjcuOTg1MzAzMTIzMDg2MwENAAAABQAAAAE5AQAAAAcyNjIxMjk1AgAAAAcxNzU3MTQxAwAAAAYxMDAzMDkEAAAAATIGAAAAATAHAAAAAzE2MAgAAAABMAkAAAABMQoAAAABMAsAAAAKOTA5MDY4ODE2NQwAAAACMTINAAAACTQvMjYvMjAwM3uws72Tc9UI+2xWSZdz1QgmQ0lRLl5TUFguSVFfUEVfRVhDTF9GV0QuNjAwMC4xLzI1LzIwMTcBAAAAm7goAAIAAAAJMTguMDA0Njk5AHuNsLuTc9UI28cZS5dz1QgiQ0lRLl5TUFguSVFfTEFTVFNBTEVQUklDRS4xLzcvMjAxNQEAAACbuCgAAgAAABAyMDI1LjkwMTA1MDU2MTcyAFs/sLuTc9UIy3s0S5dz1QguQ0lRLk5BU0RBUUdTOklOVEMuSVFfUEVfRVhDTF9GV0QuNjAwMC44LzUvMjAxMQEAAACHUgAAAgAAABA4LjY2OTAwMTc1MTMxMzQ5AQ0AAAAFAAAAATkBAAAABzI2MjEyOTUCAAAABzE3NTcxNjYDAAAABjEwMDMwOQQAAAABMgYAAAABMAcAAAADMTYwCAAAAAEwCQAAAAExCgAAAAEwCwAAAAo4ODYzMzU5MjYxDAAAAAIxMg0AAAAIOC82LzIwMTGb/rO9k3PVCGu6TUmXc9UINkNJUS5OYXNkYXFHUzpJTlRDLklRX1RFVl9FQklUREFfRldEX0NJUS42MDAwLjcvMjkvMjAxMQEAAACHUgAAAgAAABA0LjUxMDczMTU5NDM0MTczAQ0AAAAFAAAAATkBAAAABzI2MjEyOTUCAAAABzE3NTcx</t>
  </si>
  <si>
    <t>NjYDAAAABjEwMDMwOAQAAAABMgYAAAABMAcAAAADMTYwCAAAAAEwCQAAAAExCgAAAAEwCwAAAAo4MTcwNzA1NDEzDAAAAAIxMg0AAAAJNy8zMC8yMDExuymxu5Nz1Qj7go+ul3PVCC9DSVEuTkFTREFRR1M6SU5UQy5JUV9QUklDRV9TQUxFUy4yMDAwLjEvMTgvMjAxMwEAAACHUgAAAgAAAAgxLjk5MDMwNwEHAAAABQAAAAExAQAAAAoxNTg0NDg2MjYwAwAAAAEwAgAAAAUzODk1OAQAAAABMAcAAAAJMS8xOC8yMDEzCAAAAAkxLzE4LzIwMTP7jlK7k3PVCIvMV0mXc9UIK0NJUS5eU1BYLklRX1RFVl9UT1RBTF9SRVZfRldELjYwMDAuOC81LzIwMTUBAAAAm7goAAIAAAAIMi4wNDMyMDUA27ivvZNz1QgLNjBLl3PVCC5DSVEuTkFTREFRR1M6SU5UQy5JUV9QUklDRV9TQUxFUy4yMDAwLjYvMy8yMDE1AQAAAIdSAAACAAAACDIuODM2MTM3AQcAAAAFAAAAATEBAAAACjE3MzA3NjI3NTUDAAAAATACAAAABTM4OTU4BAAAAAEwBwAAAAg2LzMvMjAxNQgAAAAINi8zLzIwMTXLsLm3k3PVCHtHMUuXc9UINkNJUS5OYXNkYXFHUzpJTlRDLklRX1RFVl9FQklUREFfRldEX0NJUS42MDAwLjQvMjkvMjAxMQEAAACHUgAAAgAAABA0Ljk2NTE5Njc5NDQ3MDgyAQ0AAAAFAAAAATkBAAAABzI2MjEyOTUCAAAABzE3NTcxNjUDAAAABjEwMDMwOAQAAAABMgYAAAABMAcAAAADMTYwCAAAAAEwCQAAAAExCgAAAAEwCwAAAAo4MTcw</t>
  </si>
  <si>
    <t>NzA1MzE0DAAAAAIxMg0AAAAJNC8zMC8yMDExy/tWu5Nz1Qg7H5Cul3PVCC1DSVEuXlNQWC5JUV9URVZfRUJJVERBX0ZXRF9DSVEuNjAwMC43LzI0LzIwMTMBAAAAm7goAAIAAAAIOC4yMTc0NTcAKwRTu5Nz1QhrVT1Ll3PVCDVDSVEuTmFzZGFxR1M6SU5UQy5JUV9URVZfVE9UQUxfUkVWX0ZXRC42MDAwLjgvMTcvMjAwMQEAAACHUgAAAgAAABA2LjU3MTk3NTk2ODMwNzEyAQ0AAAAFAAAAATkBAAAABzI2MjEyOTUCAAAABzM0MjExNjEDAAAABjEwMDMwNwQAAAABMgYAAAABMAcAAAADMTYwCAAAAAEwCQAAAAExCgAAAAEwCwAAAAoxMTY5MTUyNDUwDAAAAAIxMg0AAAAJOC8xOC8yMDAxS5louZNz1QgrcVRJl3PVCDVDSVEuTmFzZGFxR1M6SU5UQy5JUV9URVZfRUJJVERBX0ZXRF9DSVEuNjAwMC4xLzQvMjAxMwEAAACHUgAAAgAAABA0Ljc4OTAzMDM4ODE0MzQ1AQ0AAAAFAAAAATkBAAAABzI2MjEyOTUCAAAABzE3NTcxNzADAAAABjEwMDMwOAQAAAABMgYAAAABMAcAAAADMTYwCAAAAAEwCQAAAAExCgAAAAEwCwAAAAo2OTU1NDA1OTc2DAAAAAIxMg0AAAAIMS81LzIwMTOb27C7k3PVCAs5ja6Xc9UINUNJUS5OYXNkYXFHUzpJTlRDLklRX1RFVl9UT1RBTF9SRVZfRldELjYwMDAuMy8yNy8yMDA5AQAAAIdSAAACAAAAEDIuNTc0NzEyNDQ0MDcxNzQBDQAAAAUAAAABOQEAAAAHMjYyMTI5NQIAAAAEMTg4NAMA</t>
  </si>
  <si>
    <t>AAAGMTAwMzA3BAAAAAEyBgAAAAEwBwAAAAMxNjAIAAAAATAJAAAAATEKAAAAATALAAAACTM2MDcxNTk3NwwAAAACMTINAAAACTMvMjgvMjAwOZv+s72Tc9UIi8xXSZdz1QgtQ0lRLl5TUFguSVFfVEVWX1RPVEFMX1JFVl9GV0QuNjAwMC4xMC8xOC8yMDE3AQAAAJu4KAACAAAACDIuMjc0NDkxAIvEZrmTc9UIi2X0Spdz1QgwQ0lRLk5BU0RBUUdTOklOVEMuSVFfUEVfRVhDTF9GV0QuNjAwMC4xMC8xMS8yMDEzAQAAAIdSAAACAAAAEDEyLjAxMTg4MDE2NTI4OTMBDQAAAAUAAAABOQEAAAAHMjYyMTI5NQIAAAAHMzgyOTc1MgMAAAAGMTAwMzA5BAAAAAEyBgAAAAEwBwAAAAMxNjAIAAAAATAJAAAAATEKAAAAATALAAAACjY5NTc2Mzc3ODYMAAAAAjEyDQAAAAoxMC8xMi8yMDEz+3eyvZNz1Qi70FVJl3PVCC5DSVEuTkFTREFRR1M6SU5UQy5JUV9QRV9FWENMX0ZXRC42MDAwLjMvOC8yMDAyAQAAAIdSAAACAAAAEDQ5Ljk1NjE0MDM1MDg3NzIBDQAAAAUAAAABOQEAAAAHMjYyMTI5NQIAAAAEMTg3NwMAAAAGMTAwMzA5BAAAAAEyBgAAAAEwBwAAAAMxNjAIAAAAATAJAAAAATEKAAAAATALAAAABzE0OTc3OTUMAAAAAjEyDQAAAAgzLzkvMjAwMnuws72Tc9UI+6hMSZdz1Qg2Q0lRLk5hc2RhcUdTOklOVEMuSVFfVEVWX0VCSVREQV9GV0RfQ0lRLjYwMDAuOS8xNS8yMDA2AQAAAIdSAAACAAAAEDEwLjY2NDUxMzE3</t>
  </si>
  <si>
    <t>NzUyMzYBDQAAAAUAAAABOQEAAAAHMjYyMTI5NQIAAAAHMTc1NzE1MQMAAAAGMTAwMzA4BAAAAAEyBgAAAAEwBwAAAAMxNjAIAAAAATAJAAAAATEKAAAAATALAAAACjExNjkxMzQ1NjAMAAAAAjEyDQAAAAk5LzE2LzIwMDbL+1a7k3PVCKu/jq6Xc9UIMENJUS5OQVNEQVFHUzpJTlRDLklRX1BFX0VYQ0xfRldELjYwMDAuMTEvMjcvMjAwOQEAAACHUgAAAgAAABAxMi45MjQzODc5MzQ1MzI3AQ0AAAAFAAAAATkBAAAABzI2MjEyOTUCAAAABzE3NTcxNjEDAAAABjEwMDMwOQQAAAABMgYAAAABMAcAAAADMTYwCAAAAAEwCQAAAAExCgAAAAEwCwAAAAo4ODYzNjEyNDA1DAAAAAIxMg0AAAAKMTEvMjgvMjAwOSvtsr2Tc9UIK3FUSZdz1QgsQ0lRLk5BU0RBUUdTOklOVEMuSVFfTEFTVFNBTEVQUklDRS40LzI3LzIwMTYBAAAAh1IAAAIAAAAFMzEuNzUAO+pUuZNz1Qh79ClLl3PVCDdDSVEuTkFTREFRR1M6SU5UQy5JUV9URVZfRUJJVERBX0ZXRF9DSVEuNjAwMC4xMC8xOC8yMDEzAQAAAIdSAAACAAAAEDUuNDExMjMyMzA3NzUwNzYBDQAAAAUAAAABOQEAAAAHMjYyMTI5NQIAAAAHMzgyOTc1MwMAAAAGMTAwMzA4BAAAAAEyBgAAAAEwBwAAAAMxNjAIAAAAATAJAAAAATEKAAAAATALAAAACjc2MTc1NzcyMTkMAAAAAjEyDQAAAAoxMC8xOS8yMDEzi+5Tu5Nz1Qhb/I2ul3PVCDdDSVEuTkFTREFRR1M6SU5UQy5JUV9U</t>
  </si>
  <si>
    <t>RVZfRUJJVERBX0ZXRF9DSVEuNjAwMC4xMS8yNy8yMDA5AQAAAIdSAAACAAAAEDYuMDA5MDkwNjU5NzQ3MTQBDQAAAAUAAAABOQEAAAAHMjYyMTI5NQIAAAAHMTc1NzE2MQMAAAAGMTAwMzA4BAAAAAEyBgAAAAEwBwAAAAMxNjAIAAAAATAJAAAAATEKAAAAATALAAAACjgxNzI0MDQwMDcMAAAAAjEyDQAAAAoxMS8yOC8yMDA5y4pUu5Nz1QhLRpCul3PVCDdDSVEuTkFTREFRR1M6SU5UQy5JUV9URVZfRUJJVERBX0ZXRF9DSVEuNjAwMC4xMC8yNC8yMDA4AQAAAIdSAAACAAAAEDQuNjU5NDczOTYxMDQ1OTgBDQAAAAUAAAABOQEAAAAHMjYyMTI5NQIAAAAHMTc1NzE1OAMAAAAGMTAwMzA4BAAAAAEyBgAAAAEwBwAAAAMxNjAIAAAAATAJAAAAATEKAAAAATALAAAACjY3MzA4NTg0NDQMAAAAAjEyDQAAAAoxMC8yNS8yMDA427FUu5Nz1Qj7go+ul3PVCCxDSVEuXlNQWC5JUV9URVZfVE9UQUxfUkVWX0ZXRC42MDAwLjMvMTIvMjAxNAEAAACbuCgAAgAAAAcxLjgyNDgzANu4r72Tc9UIq4A7S5dz1Qg2Q0lRLk5BU0RBUUdTOklOVEMuSVFfVEVWX0VCSVREQV9GV0RfQ0lRLjYwMDAuOS8yMC8yMDAyAQAAAIdSAAACAAAAEDguNDI3NjI3Mzk3NDY1MTQBDQAAAAUAAAABOQEAAAAHMjYyMTI5NQIAAAAHMTc1NzEzOQMAAAAGMTAwMzA4BAAAAAEyBgAAAAEwBwAAAAMxNjAIAAAAATAJAAAAATEKAAAAATALAAAACjExNjkx</t>
  </si>
  <si>
    <t>MjYwNDcMAAAAAjEyDQAAAAk5LzIxLzIwMDJb6lW7k3PVCLvmjq6Xc9UII0NJUS5eU1BYLklRX0xBU1RTQUxFUFJJQ0UuMy8yNy8yMDEzAQAAAJu4KAACAAAAEDE1NjIuODUyNzA4OTM3NjEAK8NUuZNz1Qir8T1Ll3PVCC9DSVEuTkFTREFRR1M6SU5UQy5JUV9QRV9FWENMX0ZXRC42MDAwLjYvMjkvMjAxMgEAAACHUgAAAgAAABA5Ljk2NDg1MTkyOTQwNDczAQ0AAAAFAAAAATkBAAAABzI2MjEyOTUCAAAABzE3NTcxNjgDAAAABjEwMDMwOQQAAAABMgYAAAABMAcAAAADMTYwCAAAAAEwCQAAAAExCgAAAAEwCwAAAAo4ODYzNDM2NDQzDAAAAAIxMg0AAAAJNi8zMC8yMDEyC5+yvZNz1Qgr4lZJl3PVCDVDSVEuTmFzZGFxR1M6SU5UQy5JUV9URVZfVE9UQUxfUkVWX0ZXRC42MDAwLjUvMTgvMjAwNwEAAACHUgAAAgAAABAzLjMxMTcwNDYyNjIyODgxAQ0AAAAFAAAAATkBAAAABzI2MjEyOTUCAAAABzE3NTcxNTMDAAAABjEwMDMwNwQAAAABMgYAAAABMAcAAAADMTYwCAAAAAEwCQAAAAExCgAAAAEwCwAAAAo5MTExMDUwODE5DAAAAAIxMg0AAAAJNS8xOS8yMDA3uzlnuZNz1Qj7+1NJl3PVCC5DSVEuTkFTREFRR1M6SU5UQy5JUV9QRV9FWENMX0ZXRC42MDAwLjgvMi8yMDEzAQAAAIdSAAACAAAAEDExLjg2OTk1MTk0NzY1MzYBDQAAAAUAAAABOQEAAAAHMjYyMTI5NQIAAAAHMzgyOTc1MgMAAAAGMTAwMzA5BAAA</t>
  </si>
  <si>
    <t>AAEyBgAAAAEwBwAAAAMxNjAIAAAAATAJAAAAATEKAAAAATALAAAACjcwMzMyNjcyNjIMAAAAAjEyDQAAAAg4LzMvMjAxMwufsr2Tc9UIy4ZTSZdz1QgnQ0lRLl5TUFguSVFfUEVfRVhDTF9GV0QuNjAwMC4xMS8zMC8yMDE2AQAAAJu4KAACAAAACTE3LjM0MjU4OAAb3VK7k3PVCCv8HEuXc9UINkNJUS5OYXNkYXFHUzpJTlRDLklRX1RFVl9UT1RBTF9SRVZfRldELjYwMDAuMTAvMTMvMjAxNwEAAACHUgAAAgAAABAzLjEwNDU0OTIxMTMyMzQyAQ0AAAAFAAAAATkBAAAABzI2MjEyOTUCAAAACDI3NTAwMTczAwAAAAYxMDAzMDcEAAAAATIGAAAAATAHAAAAAzE2MAgAAAABMAkAAAABMQoAAAABMAsAAAALMTA0ODUzOTY2ODAMAAAAAjEyDQAAAAoxMC8xNC8yMDE3u0y0vZNz1QhLTlJJl3PVCDZDSVEuTkFTREFRR1M6SU5UQy5JUV9URVZfRUJJVERBX0ZXRF9DSVEuNjAwMC43LzI3LzIwMTIBAAAAh1IAAAIAAAAPNC45MzM2MzIyNjYzODM0AQ0AAAAFAAAAATkBAAAABzI2MjEyOTUCAAAABzE3NTcxNjkDAAAABjEwMDMwOAQAAAABMgYAAAABMAcAAAADMTYwCAAAAAEwCQAAAAExCgAAAAEwCwAAAAo2OTU1NDAyNjA1DAAAAAIxMg0AAAAJNy8yOC8yMDEymxVUu5Nz1Qhb/I2ul3PVCDZDSVEuTkFTREFRR1M6SU5UQy5JUV9URVZfRUJJVERBX0ZXRF9DSVEuNjAwMC45LzEwLzIwMTABAAAAh1IAAAIAAAAQNC4yNzMy</t>
  </si>
  <si>
    <t>NTIyNTI1NTE0MgENAAAABQAAAAE5AQAAAAcyNjIxMjk1AgAAAAcxNzU3MTYzAwAAAAYxMDAzMDgEAAAAATIGAAAAATAHAAAAAzE2MAgAAAABMAkAAAABMQoAAAABMAsAAAAKNzA3MzcyMDY4MQwAAAACMTINAAAACTkvMTEvMjAxMLtjVLuTc9UIq7+Orpdz1Qg0Q0lRLk5hc2RhcUdTOklOVEMuSVFfVEVWX1RPVEFMX1JFVl9GV0QuNjAwMC40LzEvMjAxMAEAAACHUgAAAgAAABAyLjc2MjE3NjM4NjE0ODEzAQ0AAAAFAAAAATkBAAAABzI2MjEyOTUCAAAABDE4ODUDAAAABjEwMDMwNwQAAAABMgYAAAABMAcAAAADMTYwCAAAAAEwCQAAAAExCgAAAAEwCwAAAAkzNjA3MzYxNzAMAAAAAjEyDQAAAAg0LzIvMjAxMMtQsbuTc9UIC0FPSZdz1QguQ0lRLk5BU0RBUUdTOklOVEMuSVFfUEVfRVhDTF9GV0QuNjAwMC45LzUvMjAwOAEAAACHUgAAAgAAABAxNC43MjQ1ODM4MzkzOTQyAQ0AAAAFAAAAATkBAAAABzI2MjEyOTUCAAAABzE3NTcxNTcDAAAABjEwMDMwOQQAAAABMgYAAAABMAcAAAADMTYwCAAAAAEwCQAAAAExCgAAAAEwCwAAAAo4ODYwOTcwOTk5DAAAAAIxMg0AAAAIOS82LzIwMDg7FLO9k3PVCIt5UEmXc9UILENJUS5eU1BYLklRX1RFVl9UT1RBTF9SRVZfRldELjYwMDAuNi8yMi8yMDE2AQAAAJu4KAACAAAACDIuMDQ0MTM3AHuGVbmTc9UIKzEpS5dz1QgjQ0lRLl5TUFguSVFfTEFTVFNBTEVQUklDRS42</t>
  </si>
  <si>
    <t>LzI5LzIwMTYBAAAAm7goAAIAAAAQMjA3MC43NzEzMDY0NTEwMQArw1S5k3PVCGtcJ0uXc9UIKENJUS5OQVNEQVFHUzpJTlRDLklRX1BUQlYuMjAwMC45LzE1LzIwMTcBAAAAh1IAAAIAAAAIMy44MDgxMDgBBwAAAAUAAAABMQEAAAAKMTg1MDYxODY2NAMAAAABMAIAAAAGMTAwMDI5BAAAAAEwBwAAAAk5LzE1LzIwMTcIAAAACTkvMTUvMjAxNwu2UruTc9UIC5RWSZdz1QgmQ0lRLl5TUFguSVFfUEVfRVhDTF9GV0QuNjAwMC4xMi85LzIwMTUBAAAAm7goAAIAAAAJMTYuNzc5ODUzAHuGVbmTc9UIyygtS5dz1QgnQ0lRLk5BU0RBUUdTOklOVEMuSVFfUFRCVi4yMDAwLjEvOS8yMDE1AQAAAIdSAAACAAAACDQuMzQwMTA3AQcAAAAFAAAAATEBAAAACjE3MDM2ODE4OTQDAAAAATACAAAABjEwMDAyOQQAAAABMAcAAAAIMS85LzIwMTUIAAAACDEvOS8yMDE1Sxiwu5Nz1QgrAFJJl3PVCChDSVEuTkFTREFRR1M6SU5UQy5JUV9QVEJWLjIwMDAuNy8xOS8yMDEzAQAAAIdSAAACAAAACDMuMDAxMjU5AQcAAAAFAAAAATEBAAAACjE2MjY0ODY2MjgDAAAAATACAAAABjEwMDAyOQQAAAABMAcAAAAJNy8xOS8yMDEzCAAAAAk3LzE5LzIwMTP7jlK7k3PVCBu7VkmXc9UINUNJUS5OQVNEQVFHUzpJTlRDLklRX1RFVl9FQklUREFfRldEX0NJUS42MDAwLjUvNi8yMDExAQAAAIdSAAACAAAAEDQuOTkzMjk1NTczMDIxODIBDQAA</t>
  </si>
  <si>
    <t>AAUAAAABOQEAAAAHMjYyMTI5NQIAAAAHMTc1NzE2NQMAAAAGMTAwMzA4BAAAAAEyBgAAAAEwBwAAAAMxNjAIAAAAATAJAAAAATEKAAAAATALAAAACjgxNzA3MDUzMTUMAAAAAjEyDQAAAAg1LzcvMjAxMas8VLuTc9UIayOOrpdz1QgwQ0lRLk5BU0RBUUdTOklOVEMuSVFfUEVfRVhDTF9GV0QuNjAwMC4xMC8yOC8yMDE2AQAAAIdSAAACAAAAEDEyLjYyMzU0NjUxMTYyNzkBDQAAAAUAAAABOQEAAAAHMjYyMTI5NQIAAAAIMjcwMDM2NTMDAAAABjEwMDMwOQQAAAABMgYAAAABMAcAAAADMTYwCAAAAAEwCQAAAAExCgAAAAEwCwAAAAo5ODI5NDU2ODEwDAAAAAIxMg0AAAAKMTAvMjkvMjAxNtspsr2Tc9UIa+9ZSZdz1QgvQ0lRLk5BU0RBUUdTOklOVEMuSVFfUEVfRVhDTF9GV0QuNjAwMC43LzI4LzIwMTcBAAAAh1IAAAIAAAAQMTEuNjM3NzE3OTM5NDIxOQENAAAABQAAAAE5AQAAAAcyNjIxMjk1AgAAAAgyNzUwMDE3MwMAAAAGMTAwMzA5BAAAAAEyBgAAAAEwBwAAAAMxNjAIAAAAATAJAAAAATEKAAAAATALAAAACzEwMzU4NDUyNzA2DAAAAAIxMg0AAAAJNy8yOS8yMDE3ywKyvZNz1QhLTlJJl3PVCC1DSVEuXlNQWC5JUV9URVZfVE9UQUxfUkVWX0ZXRC42MDAwLjExLzIzLzIwMTYBAAAAm7goAAIAAAAIMi4wODI4NDQAa19VuZNz1QhLux9Ll3PVCCxDSVEuTkFTREFRR1M6SU5UQy5JUV9MQVNUU0FMRVBSSUNF</t>
  </si>
  <si>
    <t>LjQvMTIvMjAxNwEAAACHUgAAAgAAAAUzNS42MwDLka+9k3PVCBuCFUuXc9UIL0NJUS5OQVNEQVFHUzpJTlRDLklRX1BFX0VYQ0xfRldELjYwMDAuNi8xNi8yMDE3AQAAAIdSAAACAAAAEDEyLjMyNDk3ODk5NzQ3OTcBDQAAAAUAAAABOQEAAAAHMjYyMTI5NQIAAAAIMjc1MDAxNzIDAAAABjEwMDMwOQQAAAABMgYAAAABMAcAAAADMTYwCAAAAAEwCQAAAAExCgAAAAEwCwAAAAsxMDI0NzcxOTE5MwwAAAACMTINAAAACTYvMTcvMjAxN9spsr2Tc9UIexZaSZdz1QguQ0lRLk5BU0RBUUdTOklOVEMuSVFfUFJJQ0VfU0FMRVMuMjAwMC40LzkvMjAxMAEAAACHUgAAAgAAAAgzLjU2NzM1MQEHAAAABQAAAAExAQAAAAoxMzI4ODg4NzA0AwAAAAEwAgAAAAUzODk1OAQAAAABMAcAAAAINC85LzIwMTAIAAAACDQvOS8yMDEwe51muZNz1QgLI1RJl3PVCCxDSVEuXlNQWC5JUV9URVZfVE9UQUxfUkVWX0ZXRC42MDAwLjUvMTMvMjAxNQEAAACbuCgAAgAAAAgyLjA0NzQ5MQDbuK+9k3PVCLvjMUuXc9UIKENJUS5OQVNEQVFHUzpJTlRDLklRX1BUQlYuMjAwMC41LzMxLzIwMTMBAAAAh1IAAAIAAAAIMy4zNzE3MTEBBwAAAAUAAAABMQEAAAAKMTYxNDA3NDk0MgMAAAABMAIAAAAGMTAwMDI5BAAAAAEwBwAAAAk1LzMxLzIwMTMIAAAACTUvMzEvMjAxM9vXubeTc9UIm75LSZdz1QgiQ0lRLl5TUFguSVFfTEFTVFNBTEVQUklD</t>
  </si>
  <si>
    <t>RS4xLzMvMjAxOAEAAACbuCgAAgAAABAyNzEzLjA2MTAwNTk5NDc5ABvdUruTc9UI245nSpdz1Qg2Q0lRLk5hc2RhcUdTOklOVEMuSVFfVEVWX0VCSVREQV9GV0RfQ0lRLjYwMDAuNC8yNS8yMDA4AQAAAIdSAAACAAAAEDcuNDg3ODE2MTU2NjgxOTkBDQAAAAUAAAABOQEAAAAHMjYyMTI5NQIAAAAHMTc1NzE1NgMAAAAGMTAwMzA4BAAAAAEyBgAAAAEwBwAAAAMxNjAIAAAAATAJAAAAATEKAAAAATALAAAACjY3Mjc0ODk2NzcMAAAAAjEyDQAAAAk0LzI2LzIwMDi7KbG7k3PVCPsRja6Xc9UIH0NJUS5eU1BYLklRX1BUQlYuMjAwMC41LzEzLzIwMTUBAAAAm7goAAIAAAAINi4xNjM0NTUA62dSu5Nz1Qi74zFLl3PVCDZDSVEuTkFTREFRR1M6SU5UQy5JUV9URVZfRUJJVERBX0ZXRF9DSVEuNjAwMC40LzIxLzIwMTcBAAAAh1IAAAIAAAAPNy4zNzQ4NjA3MTk0MDUyAQ0AAAAFAAAAATkBAAAABzI2MjEyOTUCAAAACjEwMDA5NDQzODcDAAAABjEwMDMwOAQAAAABMgYAAAABMAcAAAADMTYwCAAAAAEwCQAAAAExCgAAAAEwCwAAAAsxMDExNDE3MTM0MwwAAAACMTINAAAACTQvMjIvMjAxN0tSU7uTc9UIS9WNrpdz1QgnQ0lRLk5BU0RBUUdTOklOVEMuSVFfUFRCVi4yMDAwLjgvOC8yMDE0AQAAAIdSAAACAAAACDMuNjcxOTQzAQcAAAAFAAAAATEBAAAACjE2ODgwODA5OTIDAAAAATACAAAABjEwMDAyOQQAAAABMAcA</t>
  </si>
  <si>
    <t>AAAIOC84LzIwMTQIAAAACDgvOC8yMDE0O/Gvu5Nz1Qh7w1JJl3PVCCNDSVEuXlNQWC5JUV9MQVNUU0FMRVBSSUNFLjkvMjcvMjAxNwEAAACbuCgAAgAAABAyNTA3LjA0MzI4MTE1ODE1AFtPZrmTc9UIS8nzSpdz1QgvQ0lRLk5BU0RBUUdTOklOVEMuSVFfUEVfRVhDTF9GV0QuNjAwMC4xMC83LzIwMTYBAAAAh1IAAAIAAAAQMTMuNzc4ODg2ODM5NTM1NgENAAAABQAAAAE5AQAAAAcyNjIxMjk1AgAAAAgyNzAwMzY1MgMAAAAGMTAwMzA5BAAAAAEyBgAAAAEwBwAAAAMxNjAIAAAAATAJAAAAATEKAAAAATALAAAACjk3NTE4MDk2NDMMAAAAAjEyDQAAAAkxMC84LzIwMTab/rO9k3PVCNuPWEmXc9UIL0NJUS5OQVNEQVFHUzpJTlRDLklRX1BSSUNFX1NBTEVTLjIwMDAuMTAvOC8yMDEwAQAAAIdSAAACAAAACDIuNjM1MjE0AQcAAAAFAAAAATEBAAAACjEzODk3MTA3NDQDAAAAATACAAAABTM4OTU4BAAAAAEwBwAAAAkxMC84LzIwMTAIAAAACTEwLzgvMjAxMDvxr7uTc9UIa5xSSZdz1Qg2Q0lRLk5BU0RBUUdTOklOVEMuSVFfVEVWX0VCSVREQV9GV0RfQ0lRLjYwMDAuMS8yMS8yMDA1AQAAAIdSAAACAAAAEDguMDgyMjU0NTg3NjUxODQBDQAAAAUAAAABOQEAAAAHMjYyMTI5NQIAAAAEMTg4MAMAAAAGMTAwMzA4BAAAAAEyBgAAAAEwBwAAAAMxNjAIAAAAATAJAAAAATEKAAAAATALAAAACTM2MDY2ODE2OQwAAAAC</t>
  </si>
  <si>
    <t>MTINAAAACTEvMjIvMjAwNSt1VbuTc9UIe0qOrpdz1Qg1Q0lRLk5BU0RBUUdTOklOVEMuSVFfVEVWX0VCSVREQV9GV0RfQ0lRLjYwMDAuNy83LzIwMTcBAAAAh1IAAAIAAAAQNi43ODU1NDk3NTkzNDc4MgENAAAABQAAAAE5AQAAAAcyNjIxMjk1AgAAAAgyNzUwMDE3MgMAAAAGMTAwMzA4BAAAAAEyBgAAAAEwBwAAAAMxNjAIAAAAATAJAAAAATEKAAAAATALAAAACzEwNTM4OTU0MjYyDAAAAAIxMg0AAAAINy84LzIwMTc7K1O7k3PVCNvDjK6Xc9UINkNJUS5OQVNEQVFHUzpJTlRDLklRX1RFVl9FQklUREFfRldEX0NJUS42MDAwLjEvMjMvMjAwOQEAAACHUgAAAgAAABA4LjA4NjQ5ODk3OTU1MzkyAQ0AAAAFAAAAATkBAAAABzI2MjEyOTUCAAAABDE4ODQDAAAABjEwMDMwOAQAAAABMgYAAAABMAcAAAADMTYwCAAAAAEwCQAAAAExCgAAAAEwCwAAAAkzNjA3MTk2NDAMAAAAAjEyDQAAAAkxLzI0LzIwMDnbsVS7k3PVCCuHja6Xc9UILkNJUS5OQVNEQVFHUzpJTlRDLklRX1BSSUNFX1NBTEVTLjIwMDAuMi81LzIwMTYBAAAAh1IAAAIAAAAIMi40ODc3MTkBBwAAAAUAAAABMQEAAAAKMTc3Mjk0MjgwNgMAAAABMAIAAAAFMzg5NTgEAAAAATAHAAAACDIvNS8yMDE2CAAAAAgyLzUvMjAxNgu2UruTc9UI60VWSZdz1Qg2Q0lRLk5BU0RBUUdTOklOVEMuSVFfVEVWX0VCSVREQV9GV0RfQ0lRLjYwMDAuNy8yNC8yMDE1</t>
  </si>
  <si>
    <t>AQAAAIdSAAACAAAAEDUuNjk1NzE3NjUxNDMyNTYBDQAAAAUAAAABOQEAAAAHMjYyMTI5NQIAAAAHODA2ODI2MQMAAAAGMTAwMzA4BAAAAAEyBgAAAAEwBwAAAAMxNjAIAAAAATAJAAAAATEKAAAAATALAAAACjg4OTk4NDIzNDYMAAAAAjEyDQAAAAk3LzI1LzIwMTVroFO7k3PVCBvRj66Xc9UINUNJUS5OYXNkYXFHUzpJTlRDLklRX1RFVl9FQklUREFfRldEX0NJUS42MDAwLjcvMy8yMDA4AQAAAIdSAAACAAAAEDYuODMzMjQxNDM2NjU4NDYBDQAAAAUAAAABOQEAAAAHMjYyMTI5NQIAAAAHMTc1NzE1NgMAAAAGMTAwMzA4BAAAAAEyBgAAAAEwBwAAAAMxNjAIAAAAATAJAAAAATEKAAAAATALAAAACjkxMTEwNjMxOTcMAAAAAjEyDQAAAAg3LzQvMjAwOKutVruTc9UI+4KPrpdz1QgvQ0lRLk5BU0RBUUdTOklOVEMuSVFfUEVfRVhDTF9GV0QuNjAwMC45LzE0LzIwMTIBAAAAh1IAAAIAAAAPMTAuODQyNTM1MDI4MzAxAQ0AAAAFAAAAATkBAAAABzI2MjEyOTUCAAAABzE3NTcxNjkDAAAABjEwMDMwOQQAAAABMgYAAAABMAcAAAADMTYwCAAAAAEwCQAAAAExCgAAAAEwCwAAAAo4ODYzNDM1NDMwDAAAAAIxMg0AAAAJOS8xNS8yMDEyC5+yvZNz1Qjbj1hJl3PVCC9DSVEuTkFTREFRR1M6SU5UQy5JUV9QRV9FWENMX0ZXRC42MDAwLjIvMTUvMjAwMgEAAACHUgAAAgAAABA0Ny4yNzY3MDU3MTAxMDI1AQ0AAAAFAAAA</t>
  </si>
  <si>
    <t>ATkBAAAABzI2MjEyOTUCAAAABDE4NzcDAAAABjEwMDMwOQQAAAABMgYAAAABMAcAAAADMTYwCAAAAAEwCQAAAAExCgAAAAEwCwAAAAcxNDk3Nzg4DAAAAAIxMg0AAAAJMi8xNi8yMDAye7CzvZNz1QibglVJl3PVCC9DSVEuTkFTREFRR1M6SU5UQy5JUV9QUklDRV9TQUxFUy4yMDAwLjEvMTUvMjAxNAEAAACHUgAAAgAAAAgyLjUzMTA1NAEHAAAABQAAAAExAQAAAAoxNjQyNDgzNzkyAwAAAAEwAgAAAAUzODk1OAQAAAABMAcAAAAJMS8xNS8yMDE0CAAAAAkxLzE1LzIwMTRLEVW5k3PVCAtrPEuXc9UII0NJUS5eU1BYLklRX0xBU1RTQUxFUFJJQ0UuNS8xMy8yMDE1AQAAAJu4KAACAAAAEDIwOTguNDc3NjQyNDcxNjcAy5GvvZNz1Qh7RzFLl3PVCDZDSVEuTmFzZGFxR1M6SU5UQy5JUV9URVZfRUJJVERBX0ZXRF9DSVEuNjAwMC4xMS85LzIwMDEBAAAAh1IAAAIAAAAQMTkuNDE0MDA0MjEyMjE3NQENAAAABQAAAAE5AQAAAAcyNjIxMjk1AgAAAAczNDIxMTYyAwAAAAYxMDAzMDgEAAAAATIGAAAAATAHAAAAAzE2MAgAAAABMAkAAAABMQoAAAABMAsAAAAKMTE2OTE1MjYyMwwAAAACMTINAAAACjExLzEwLzIwMDGrArG7k3PVCEvVja6Xc9UINUNJUS5OYXNkYXFHUzpJTlRDLklRX1RFVl9FQklUREFfRldEX0NJUS42MDAwLjIvOS8yMDE4AQAAAIdSAAACAAAAEDguMDk3NTI2MDcyMjc1ODIBDQAAAAUAAAABOQEA</t>
  </si>
  <si>
    <t>AAAHMjYyMTI5NQIAAAAKMTAwMTUyODUyNwMAAAAGMTAwMzA4BAAAAAEyBgAAAAEwBwAAAAMxNjAIAAAAATAJAAAAATEKAAAAATALAAAACzEwNzM3Mjk0ODk2DAAAAAIxMg0AAAAJMi8xMC8yMDE4OytTu5Nz1QgbYI2ul3PVCC9DSVEuTkFTREFRR1M6SU5UQy5JUV9QRV9FWENMX0ZXRC42MDAwLjMvMzEvMjAwNgEAAACHUgAAAgAAABAxOS4xMzQ3MDk5MzExNzAxAQ0AAAAFAAAAATkBAAAABzI2MjEyOTUCAAAABDE4ODEDAAAABjEwMDMwOQQAAAABMgYAAAABMAcAAAADMTYwCAAAAAEwCQAAAAExCgAAAAEwCwAAAAcxNTE2ODk3DAAAAAIxMg0AAAAINC8xLzIwMDZbYrO9k3PVCLtBWEmXc9UINkNJUS5OYXNkYXFHUzpJTlRDLklRX1RFVl9FQklUREFfRldEX0NJUS42MDAwLjEyLzcvMjAwNwEAAACHUgAAAgAAABA5LjAxMjEyNTYwMzg2NDczAQ0AAAAFAAAAATkBAAAABzI2MjEyOTUCAAAABzE3NTcxNTUDAAAABjEwMDMwOAQAAAABMgYAAAABMAcAAAADMTYwCAAAAAEwCQAAAAExCgAAAAEwCwAAAAoxMTY5MTM5NTM2DAAAAAIxMg0AAAAJMTIvOC8yMDA3q61Wu5Nz1Qirv46ul3PVCC9DSVEuTkFTREFRR1M6SU5UQy5JUV9QUklDRV9TQUxFUy4yMDAwLjEvMTMvMjAxNwEAAACHUgAAAgAAAAgzLjAwMTY4NwEHAAAABQAAAAExAQAAAAoxODE1NTQ0NDUwAwAAAAEwAgAAAAUzODk1OAQAAAABMAcAAAAJMS8xMy8y</t>
  </si>
  <si>
    <t>MDE3CAAAAAkxLzEzLzIwMTe7aq+9k3PVCKsaWEmXc9UINkNJUS5OQVNEQVFHUzpJTlRDLklRX1RFVl9FQklUREFfRldEX0NJUS42MDAwLjYvMjcvMjAwMwEAAACHUgAAAgAAABAxMC44MjUxNTg5MDIzOTYyAQ0AAAAFAAAAATkBAAAABzI2MjEyOTUCAAAABzE3NTcxNDEDAAAABjEwMDMwOAQAAAABMgYAAAABMAcAAAADMTYwCAAAAAEwCQAAAAExCgAAAAEwCwAAAAoxMTY5MTI2OTkwDAAAAAIxMg0AAAAJNi8yOC8yMDAzS8NVu5Nz1Qi75o6ul3PVCC9DSVEuTkFTREFRR1M6SU5UQy5JUV9QUklDRV9TQUxFUy4yMDAwLjMvMjAvMjAxMwEAAACHUgAAAgAAAAgxLjk4Mzc1MQEHAAAABQAAAAExAQAAAAoxNTg4MTU3NDYzAwAAAAEwAgAAAAUzODk1OAQAAAABMAcAAAAJMy8yMC8yMDEzCAAAAAkzLzIwLzIwMTPr0Yi2k3PVCLsYPkuXc9UINkNJUS5OQVNEQVFHUzpJTlRDLklRX1RFVl9FQklUREFfRldEX0NJUS42MDAwLjMvMjcvMjAwOQEAAACHUgAAAgAAABA5Ljc1MzU2NzQzNjMwMjY2AQ0AAAAFAAAAATkBAAAABzI2MjEyOTUCAAAABDE4ODQDAAAABjEwMDMwOAQAAAABMgYAAAABMAcAAAADMTYwCAAAAAEwCQAAAAExCgAAAAEwCwAAAAkzNjA3MTk2NDcMAAAAAjEyDQAAAAkzLzI4LzIwMDnbsVS7k3PVCPsRja6Xc9UINUNJUS5OYXNkYXFHUzpJTlRDLklRX1RFVl9UT1RBTF9SRVZfRldELjYwMDAuMS8xNC8y</t>
  </si>
  <si>
    <t>MDExAQAAAIdSAAACAAAAEDIuMDc2MzgwMzA0MTg4NjQBDQAAAAUAAAABOQEAAAAHMjYyMTI5NQIAAAAEMTg4NgMAAAAGMTAwMzA3BAAAAAEyBgAAAAEwBwAAAAMxNjAIAAAAATAJAAAAATEKAAAAATALAAAACjU3NDg4MTIxNDgMAAAAAjEyDQAAAAkxLzE1LzIwMTHbSLy3k3PVCPsZT0mXc9UIL0NJUS5OQVNEQVFHUzpJTlRDLklRX1BFX0VYQ0xfRldELjYwMDAuNS8zMC8yMDA4AQAAAIdSAAACAAAAEDE3LjM3MzcwNzA5MDM5MTIBDQAAAAUAAAABOQEAAAAHMjYyMTI5NQIAAAAHMTc1NzE1NgMAAAAGMTAwMzA5BAAAAAEyBgAAAAEwBwAAAAMxNjAIAAAAATAJAAAAATEKAAAAATALAAAACjg4NjM1MTA5ODYMAAAAAjEyDQAAAAk1LzMxLzIwMDhLO7O9k3PVCJvzV0mXc9UINUNJUS5OYXNkYXFHUzpJTlRDLklRX1RFVl9UT1RBTF9SRVZfRldELjYwMDAuNy8xMS8yMDE0AQAAAIdSAAACAAAAEDIuNzAxMTY5MzYxNzk2ODgBDQAAAAUAAAABOQEAAAAHMjYyMTI5NQIAAAAHNDQ1NjQyNwMAAAAGMTAwMzA3BAAAAAEyBgAAAAEwBwAAAAMxNjAIAAAAATAJAAAAATEKAAAAATALAAAACjg4NTk4Njc2OTMMAAAAAjEyDQAAAAk3LzEyLzIwMTS7+ru3k3PVCJtkWkmXc9UINkNJUS5OYXNkYXFHUzpJTlRDLklRX1RFVl9UT1RBTF9SRVZfRldELjYwMDAuMTEvMjUvMjAxNgEAAACHUgAAAgAAABAyLjkzNDY0NTc4MjM3Mzc3</t>
  </si>
  <si>
    <t>AQ0AAAAFAAAAATkBAAAABzI2MjEyOTUCAAAACDI3MDAzNjUzAwAAAAYxMDAzMDcEAAAAATIGAAAAATAHAAAAAzE2MAgAAAABMAkAAAABMQoAAAABMAsAAAAKOTg2MjgwMjA4MgwAAAACMTINAAAACjExLzI2LzIwMTbbd7G7k3PVCJuCVUmXc9UINUNJUS5OYXNkYXFHUzpJTlRDLklRX1RFVl9UT1RBTF9SRVZfRldELjYwMDAuNC8yMy8yMDA0AQAAAIdSAAACAAAAEDQuNjU4OTA4NTE4MDU5NDUBDQAAAAUAAAABOQEAAAAHMjYyMTI5NQIAAAAHMTc1NzE0NAMAAAAGMTAwMzA3BAAAAAEyBgAAAAEwBwAAAAMxNjAIAAAAATAJAAAAATEKAAAAATALAAAACjExNjkxMjgzMzgMAAAAAjEyDQAAAAk0LzI0LzIwMDTbd7G7k3PVCCsAUkmXc9UIL0NJUS5OQVNEQVFHUzpJTlRDLklRX1BFX0VYQ0xfRldELjYwMDAuMS8yMy8yMDA0AQAAAIdSAAACAAAAEDI1LjM1NjM4NzAxNDMzNTMBDQAAAAUAAAABOQEAAAAHMjYyMTI5NQIAAAAEMTg3OQMAAAAGMTAwMzA5BAAAAAEyBgAAAAEwBwAAAAMxNjAIAAAAATAJAAAAATEKAAAAATALAAAACjYzOTMxNjA5NjMMAAAAAjEyDQAAAAkxLzI0LzIwMDR7sLO9k3PVCFt1UkmXc9UILENJUS5eU1BYLklRX1RFVl9FQklUREFfRldEX0NJUS42MDAwLjIvNS8yMDE0AQAAAJu4KAACAAAACDguMzI4NDA0ACsEU7uTc9UI6xw8S5dz1QgsQ0lRLl5TUFguSVFfVEVWX1RPVEFMX1JFVl9GV0Qu</t>
  </si>
  <si>
    <t>NjAwMC4zLzI3LzIwMTMBAAAAm7goAAIAAAAIMS41OTEzMTYA6/65t5Nz1Qi7GD5Ll3PVCCNDSVEuXlNQWC5JUV9MQVNUU0FMRVBSSUNFLjgvMjMvMjAxNwEAAACbuCgAAgAAABAyNDQ0LjA0MzI0NTMzOTEzAMuRr72Tc9UI+1j6Spdz1QgnQ0lRLk5BU0RBUUdTOklOVEMuSVFfUFRCVi4yMDAwLjUvMS8yMDE1AQAAAIdSAAACAAAACDMuOTY3MTk3AQcAAAAFAAAAATEBAAAACjE3MzA3NjI3NTUDAAAAATACAAAABjEwMDAyOQQAAAABMAcAAAAINS8xLzIwMTUIAAAACDUvMS8yMDE129e5t5Nz1QiLl0tJl3PVCDZDSVEuTkFTREFRR1M6SU5UQy5JUV9URVZfRUJJVERBX0ZXRF9DSVEuNjAwMC44LzEwLzIwMDEBAAAAh1IAAAIAAAAQMjEuMDM3MzE5MjQ0ODkyMQENAAAABQAAAAE5AQAAAAcyNjIxMjk1AgAAAAczNDIxMTYxAwAAAAYxMDAzMDgEAAAAATIGAAAAATAHAAAAAzE2MAgAAAABMAkAAAABMQoAAAABMAsAAAAKMTE2OTE1MjUyNwwAAAACMTINAAAACTgvMTEvMjAwMWsRVruTc9UIa5SQrpdz1Qg2Q0lRLk5hc2RhcUdTOklOVEMuSVFfVEVWX1RPVEFMX1JFVl9GV0QuNjAwMC4xMC8xOS8yMDAxAQAAAIdSAAACAAAAEDUuNzk3OTEwOTk2NTg0MjgBDQAAAAUAAAABOQEAAAAHMjYyMTI5NQIAAAAHMzQyMTE2MgMAAAAGMTAwMzA3BAAAAAEyBgAAAAEwBwAAAAMxNjAIAAAAATAJAAAAATEKAAAAATALAAAACjEx</t>
  </si>
  <si>
    <t>NjkxNTI1NDgMAAAAAjEyDQAAAAoxMC8yMC8yMDAxq/tVuZNz1Qg7CVdJl3PVCDZDSVEuTkFTREFRR1M6SU5UQy5JUV9URVZfRUJJVERBX0ZXRF9DSVEuNjAwMC41LzIwLzIwMTEBAAAAh1IAAAIAAAAQNC45MDAxMDE3NjU2OTk3MwENAAAABQAAAAE5AQAAAAcyNjIxMjk1AgAAAAcxNzU3MTY1AwAAAAYxMDAzMDgEAAAAATIGAAAAATAHAAAAAzE2MAgAAAABMAkAAAABMQoAAAABMAsAAAAKODE3MDcwNTMxOAwAAAACMTINAAAACTUvMjEvMjAxMas8VLuTc9UI6+qMrpdz1Qg2Q0lRLk5hc2RhcUdTOklOVEMuSVFfVEVWX0VCSVREQV9GV0RfQ0lRLjYwMDAuMS8zMS8yMDE0AQAAAIdSAAACAAAAEDUuNTE3MTM1MDM5NjMyMTcBDQAAAAUAAAABOQEAAAAHMjYyMTI5NQIAAAAHNDQ1NjQyMQMAAAAGMTAwMzA4BAAAAAEyBgAAAAEwBwAAAAMxNjAIAAAAATAJAAAAATEKAAAAATALAAAACjY0OTc5MzMxODIMAAAAAjEyDQAAAAgyLzEvMjAxNNsiV7uTc9UIi3GOrpdz1Qg3Q0lRLk5hc2RhcUdTOklOVEMuSVFfVEVWX0VCSVREQV9GV0RfQ0lRLjYwMDAuMTAvMjEvMjAxNgEAAACHUgAAAgAAABA3LjM5MzI0NzcxMTk4MjUyAQ0AAAAFAAAAATkBAAAABzI2MjEyOTUCAAAACDI3MDAzNjUzAwAAAAYxMDAzMDgEAAAAATIGAAAAATAHAAAAAzE2MAgAAAABMAkAAAABMQoAAAABMAsAAAAKOTc3OTc5MzczMwwAAAACMTINAAAA</t>
  </si>
  <si>
    <t>CjEwLzIyLzIwMTb7cFe7k3PVCMsNj66Xc9UINENJUS5OQVNEQVFHUzpJTlRDLklRX1RFVl9UT1RBTF9SRVZfRldELjYwMDAuNy8zLzIwMTQBAAAAh1IAAAIAAAAQMi42OTMzODc3Mzc2NzgzNgENAAAABQAAAAE5AQAAAAcyNjIxMjk1AgAAAAc0NDU2NDI3AwAAAAYxMDAzMDcEAAAAATIGAAAAATAHAAAAAzE2MAgAAAABMAkAAAABMQoAAAABMAsAAAAKODg1OTgyMjI5MwwAAAACMTINAAAACDcvNC8yMDE0G3S6t5Nz1Qi77lBJl3PVCDVDSVEuTmFzZGFxR1M6SU5UQy5JUV9URVZfVE9UQUxfUkVWX0ZXRC42MDAwLjgvMjUvMjAxNwEAAACHUgAAAgAAABAyLjcyOTczNTE4Mzk1ODY3AQ0AAAAFAAAAATkBAAAABzI2MjEyOTUCAAAACDI3NTAwMTczAwAAAAYxMDAzMDcEAAAAATIGAAAAATAHAAAAAzE2MAgAAAABMAkAAAABMQoAAAABMAsAAAALMTA3MDAxNzMxMzEMAAAAAjEyDQAAAAk4LzI2LzIwMTeL17O9k3PVCEtOUkmXc9UINUNJUS5OYXNkYXFHUzpJTlRDLklRX1RFVl9UT1RBTF9SRVZfRldELjYwMDAuOC8yNC8yMDEyAQAAAIdSAAACAAAAEDIuMDM1MTEwNDYwOTM4MTkBDQAAAAUAAAABOQEAAAAHMjYyMTI5NQIAAAAHMTc1NzE2OQMAAAAGMTAwMzA3BAAAAAEyBgAAAAEwBwAAAAMxNjAIAAAAATAJAAAAATEKAAAAATALAAAACjg4NjQ0MzMxOTgMAAAAAjEyDQAAAAk4LzI1LzIwMTLL+1a7k3PVCBvZUUmX</t>
  </si>
  <si>
    <t>c9UILkNJUS5OQVNEQVFHUzpJTlRDLklRX1BFX0VYQ0xfRldELjYwMDAuMi84LzIwMTMBAAAAh1IAAAIAAAAQMTAuODM1Mjk4MzA2MDgxNwENAAAABQAAAAE5AQAAAAcyNjIxMjk1AgAAAAczNjUyNjYwAwAAAAYxMDAzMDkEAAAAATIGAAAAATAHAAAAAzE2MAgAAAABMAkAAAABMQoAAAABMAsAAAAKNTc0ODMwMjk5MQwAAAACMTINAAAACDIvOS8yMDEzC5+yvZNz1QiboFBJl3PVCChDSVEuTkFTREFRR1M6SU5UQy5JUV9QVEJWLjIwMDAuNy8xMS8yMDE0AQAAAIdSAAACAAAACDMuNjU5NDk5AQcAAAAFAAAAATEBAAAACjE2NzMzNzkzMjcDAAAAATACAAAABjEwMDAyOQQAAAABMAcAAAAJNy8xMS8yMDE0CAAAAAk3LzExLzIwMTR7nWa5k3PVCOvUU0mXc9UIJENJUS5eU1BYLklRX0xBU1RTQUxFUFJJQ0UuMTAvMjIvMjAxNAEAAACbuCgAAgAAAA8xOTI3LjExMDM1NzA1MDQAy5GvvZNz1QiLUDZLl3PVCCZDSVEuXlNQWC5JUV9QRV9FWENMX0ZXRC42MDAwLjMvMTUvMjAxNwEAAACbuCgAAgAAAAgxOC4zODI0OAD7+Ii2k3PVCFseFkuXc9UILkNJUS5OQVNEQVFHUzpJTlRDLklRX1BSSUNFX1NBTEVTLjIwMDAuOC85LzIwMTMBAAAAh1IAAAIAAAAIMi4xMzkxNDkBBwAAAAUAAAABMQEAAAAKMTYyODQzNjg0OQMAAAABMAIAAAAFMzg5NTgEAAAAATAHAAAACDgvOS8yMDEzCAAAAAg4LzkvMjAxM0sRVbmTc9UI+xlP</t>
  </si>
  <si>
    <t>SZdz1Qg2Q0lRLk5BU0RBUUdTOklOVEMuSVFfVEVWX0VCSVREQV9GV0RfQ0lRLjYwMDAuOS8yMy8yMDA1AQAAAIdSAAACAAAAEDcuNjM4NzUzNDQ2NDc5NTIBDQAAAAUAAAABOQEAAAAHMjYyMTI5NQIAAAAHMTc1NzE0OAMAAAAGMTAwMzA4BAAAAAEyBgAAAAEwBwAAAAMxNjAIAAAAATAJAAAAATEKAAAAATALAAAACjExNjkxMzA5NjcMAAAAAjEyDQAAAAk5LzI0LzIwMDUbTlW7k3PVCCv4j66Xc9UINUNJUS5OYXNkYXFHUzpJTlRDLklRX1RFVl9FQklUREFfRldEX0NJUS42MDAwLjUvMi8yMDAzAQAAAIdSAAACAAAAEDEwLjAyMjgxNzkzMzU0NjMBDQAAAAUAAAABOQEAAAAHMjYyMTI5NQIAAAAHMTc1NzE0MQMAAAAGMTAwMzA4BAAAAAEyBgAAAAEwBwAAAAMxNjAIAAAAATAJAAAAATEKAAAAATALAAAACjExNjkxMjY5ODAMAAAAAjEyDQAAAAg1LzMvMjAwM4u0sLuTc9UIu+aOrpdz1QgwQ0lRLk5BU0RBUUdTOklOVEMuSVFfUFJJQ0VfU0FMRVMuMjAwMC4xMi8xNy8yMDEwAQAAAIdSAAACAAAACDIuNzg2MDA4AQcAAAAFAAAAATEBAAAACjE0MDg1MTY1NDYDAAAAATACAAAABTM4OTU4BAAAAAEwBwAAAAoxMi8xNy8yMDEwCAAAAAoxMi8xNy8yMDEwy7C5t5Nz1QjrgUxJl3PVCCVDSVEuXlNQWC5JUV9QRV9FWENMX0ZXRC42MDAwLjkvNy8yMDE2AQAAAJu4KAACAAAACTE3LjYxODMzNwCrEme5k3PVCKsWI0uX</t>
  </si>
  <si>
    <t>c9UILENJUS5OQVNEQVFHUzpJTlRDLklRX0xBU1RTQUxFUFJJQ0UuMTEvNS8yMDE0AQAAAIdSAAACAAAABTMzLjc2AOv+ubeTc9UIi1A2S5dz1QgfQ0lRLl5TUFguSVFfUFRCVi4yMDAwLjExLzgvMjAxNwEAAACbuCgAAgAAAAg4Ljk3MzAzNABbP7C7k3PVCNtG8EqXc9UILkNJUS5OQVNEQVFHUzpJTlRDLklRX1BSSUNFX1NBTEVTLjIwMDAuMS83LzIwMTEBAAAAh1IAAAIAAAAHMi42ODIxNQEHAAAABQAAAAExAQAAAAoxNDA4NTE2NTQ2AwAAAAEwAgAAAAUzODk1OAQAAAABMAcAAAAIMS83LzIwMTEIAAAACDEvNy8yMDExO+pUuZNz1QhrK1BJl3PVCDZDSVEuTkFTREFRR1M6SU5UQy5JUV9URVZfRUJJVERBX0ZXRF9DSVEuNjAwMC40LzIwLzIwMTIBAAAAh1IAAAIAAAAQNS4wMjA0NjMyOTIxNzQ3MwENAAAABQAAAAE5AQAAAAcyNjIxMjk1AgAAAAcxNzU3MTY4AwAAAAYxMDAzMDgEAAAAATIGAAAAATAHAAAAAzE2MAgAAAABMAkAAAABMQoAAAABMAsAAAAKNjk1NTM5NzYxOQwAAAACMTINAAAACTQvMjEvMjAxMpsVVLuTc9UI6+qMrpdz1QgvQ0lRLk5BU0RBUUdTOklOVEMuSVFfUFJJQ0VfU0FMRVMuMjAwMC4xLzIzLzIwMTUBAAAAh1IAAAIAAAAHMy4xOTcwMQEHAAAABQAAAAExAQAAAAoxNzE1MzI4NjQzAwAAAAEwAgAAAAUzODk1OAQAAAABMAcAAAAJMS8yMy8yMDE1CAAAAAkxLzIzLzIwMTWLxGa5k3PV</t>
  </si>
  <si>
    <t>CKs4U0mXc9UINkNJUS5OQVNEQVFHUzpJTlRDLklRX1RFVl9FQklUREFfRldEX0NJUS42MDAwLjQvMjkvMjAxNgEAAACHUgAAAgAAABA3LjUxNDQ2OTcxMTUxODMyAQ0AAAAFAAAAATkBAAAABzI2MjEyOTUCAAAACDI3MDAzNjUxAwAAAAYxMDAzMDgEAAAAATIGAAAAATAHAAAAAzE2MAgAAAABMAkAAAABMQoAAAABMAsAAAAKOTQxMTY3MDEzMAwAAAACMTINAAAACTQvMzAvMjAxNlt5U7uTc9UIa5SQrpdz1QgkQ0lRLl5TUFguSVFfTEFTVFNBTEVQUklDRS4xMi8yMy8yMDE1AQAAAJu4KAACAAAADzIwNjQuMjkyMDQ5MzgzMwALtlK7k3PVCGs+LEuXc9UINUNJUS5OYXNkYXFHUzpJTlRDLklRX1RFVl9UT1RBTF9SRVZfRldELjYwMDAuMS8xOS8yMDE4AQAAAIdSAAACAAAAEDMuNTI4MTA0Mzc1NzEzMDYBDQAAAAUAAAABOQEAAAAHMjYyMTI5NQIAAAAIMjc1MDAxNzQDAAAABjEwMDMwNwQAAAABMgYAAAABMAcAAAADMTYwCAAAAAEwCQAAAAExCgAAAAEwCwAAAAsxMDY4MzI0MzI0OQwAAAACMTINAAAACTEvMjAvMjAxOJv+s72Tc9UIS2xNSZdz1Qg1Q0lRLk5hc2RhcUdTOklOVEMuSVFfVEVWX1RPVEFMX1JFVl9GV0QuNjAwMC40LzIxLzIwMDYBAAAAh1IAAAIAAAAQMi43OTI5MzQzMjYwMDIxOAENAAAABQAAAAE5AQAAAAcyNjIxMjk1AgAAAAcxNzU3MTUwAwAAAAYxMDAzMDcEAAAAATIGAAAAATAHAAAAAzE2</t>
  </si>
  <si>
    <t>MAgAAAABMAkAAAABMQoAAAABMAsAAAAKODg1OTIxMjIyNAwAAAACMTINAAAACTQvMjIvMjAwNqsltL2Tc9UIqzhTSZdz1Qg2Q0lRLk5hc2RhcUdTOklOVEMuSVFfVEVWX1RPVEFMX1JFVl9GV0QuNjAwMC4xMC8yMC8yMDE3AQAAAIdSAAACAAAAEDMuMTYwNjM3ODYyMzgyOTEBDQAAAAUAAAABOQEAAAAHMjYyMTI5NQIAAAAIMjc1MDAxNzMDAAAABjEwMDMwNwQAAAABMgYAAAABMAcAAAADMTYwCAAAAAEwCQAAAAExCgAAAAEwCwAAAAsxMDUwNTE2NzczMwwAAAACMTINAAAACjEwLzIxLzIwMTfLYGe5k3PVCJvzV0mXc9UILUNJUS5eU1BYLklRX1RFVl9UT1RBTF9SRVZfRldELjYwMDAuMTIvMTcvMjAxNAEAAACbuCgAAgAAAAYxLjkzODUA69GItpNz1Qg7jTVLl3PVCCNDSVEuXlNQWC5JUV9MQVNUU0FMRVBSSUNFLjgvMTYvMjAxNwEAAACbuCgAAgAAABAyNDY4LjEwNzI2MDExMDE1AMuRr72Tc9UIqwb8Spdz1QglQ0lRLl5TUFguSVFfUEVfRVhDTF9GV0QuNjAwMC4zLzgvMjAxNwEAAACbuCgAAgAAAAkxOC4yNTMxMDcA27ivvZNz1QibuhZLl3PVCCxDSVEuXlNQWC5JUV9URVZfRUJJVERBX0ZXRF9DSVEuNjAwMC43LzEvMjAxNQEAAACbuCgAAgAAAAg5Ljg2NDkxMgDbuK+9k3PVCDurMEuXc9UILUNJUS5eU1BYLklRX1RFVl9FQklUREFfRldEX0NJUS42MDAwLjExLzkvMjAxNgEAAACbuCgAAgAAAAg5Ljgx</t>
  </si>
  <si>
    <t>NDk1MQDr36+9k3PVCJt+IEuXc9UIL0NJUS5OQVNEQVFHUzpJTlRDLklRX1BSSUNFX1NBTEVTLjIwMDAuNC8xMy8yMDE3AQAAAIdSAAACAAAACDIuODA3NTU4AQcAAAAFAAAAATEBAAAACjE4MjgxNzQxMjIDAAAAATACAAAABTM4OTU4BAAAAAEwBwAAAAk0LzEzLzIwMTcIAAAACTQvMTMvMjAxN7tqr72Tc9UI+91YSZdz1QgmQ0lRLl5TUFguSVFfUEVfRVhDTF9GV0QuNjAwMC4xLzI3LzIwMTYBAAAAm7goAAIAAAAJMTUuODIxNDQ0ANu4r72Tc9UIC1QrS5dz1QguQ0lRLk5BU0RBUUdTOklOVEMuSVFfUFJJQ0VfU0FMRVMuMjAwMC4yLzMvMjAxMgEAAACHUgAAAgAAAAgyLjYwMjc0MQEHAAAABQAAAAExAQAAAAoxNDkwNDY0NDA1AwAAAAEwAgAAAAUzODk1OAQAAAABMAcAAAAIMi8zLzIwMTIIAAAACDIvMy8yMDEyy7C5t5Nz1Qhbk01Jl3PVCC5DSVEuTkFTREFRR1M6SU5UQy5JUV9QRV9FWENMX0ZXRC42MDAwLjgvNC8yMDE3AQAAAIdSAAACAAAAEDExLjkzOTIxODUyMzg3ODQBDQAAAAUAAAABOQEAAAAHMjYyMTI5NQIAAAAIMjc1MDAxNzMDAAAABjEwMDMwOQQAAAABMgYAAAABMAcAAAADMTYwCAAAAAEwCQAAAAExCgAAAAEwCwAAAAsxMDM3NzM4NzQ2MQwAAAACMTINAAAACDgvNS8yMDE3ywKyvZNz1QgLBVlJl3PVCCxDSVEuXlNQWC5JUV9URVZfVE9UQUxfUkVWX0ZXRC42MDAwLjIvMTcvMjAxNgEAAACb</t>
  </si>
  <si>
    <t>uCgAAgAAAAgxLjkxMjk1OADr/rm3k3PVCAtUK0uXc9UIH0NJUS5eU1BYLklRX1BUQlYuMjAwMC45LzI3LzIwMTcBAAAAm7goAAIAAAAIOC44MDY4NzkAi8RmuZNz1QjLcvdKl3PVCC5DSVEuTkFTREFRR1M6SU5UQy5JUV9QUklDRV9TQUxFUy4yMDAwLjEvNC8yMDE3AQAAAIdSAAACAAAACDIuOTcwNjgzAQcAAAAFAAAAATEBAAAACjE4MTU1NDQ0NTADAAAAATACAAAABTM4OTU4BAAAAAEwBwAAAAgxLzQvMjAxNwgAAAAIMS80LzIwMTdLEVW5k3PVCMsRHEuXc9UINUNJUS5OYXNkYXFHUzpJTlRDLklRX1RFVl9UT1RBTF9SRVZfRldELjYwMDAuNi8yNC8yMDExAQAAAIdSAAACAAAAEDEuOTE1NTE0OTcyMDQ3MTUBDQAAAAUAAAABOQEAAAAHMjYyMTI5NQIAAAAHMTc1NzE2NQMAAAAGMTAwMzA3BAAAAAEyBgAAAAEwBwAAAAMxNjAIAAAAATAJAAAAATEKAAAAATALAAAACjg4NjQ0Mjg5MTEMAAAAAjEyDQAAAAk2LzI1LzIwMTGL17O9k3PVCFvmVEmXc9UINUNJUS5OQVNEQVFHUzpJTlRDLklRX1RFVl9FQklUREFfRldEX0NJUS42MDAwLjYvMy8yMDExAQAAAIdSAAACAAAADzQuNTU4ODU5MTI4NzQ4MgENAAAABQAAAAE5AQAAAAcyNjIxMjk1AgAAAAcxNzU3MTY1AwAAAAYxMDAzMDgEAAAAATIGAAAAATAHAAAAAzE2MAgAAAABMAkAAAABMQoAAAABMAsAAAAKMTMyNjE1ODI3MgwAAAACMTINAAAACDYvNC8yMDEx</t>
  </si>
  <si>
    <t>qzxUu5Nz1QhbbZCul3PVCC5DSVEuXlNQWC5JUV9URVZfRUJJVERBX0ZXRF9DSVEuNjAwMC4xMC8yOC8yMDE1AQAAAJu4KAACAAAACDkuODA5MDEzAJvrZrmTc9UIa68uS5dz1Qg1Q0lRLk5BU0RBUUdTOklOVEMuSVFfVEVWX1RPVEFMX1JFVl9GV0QuNjAwMC45LzE1LzIwMDYBAAAAh1IAAAIAAAAQMi45OTQ0MzAzMDcyNjM3OAENAAAABQAAAAE5AQAAAAcyNjIxMjk1AgAAAAcxNzU3MTUxAwAAAAYxMDAzMDcEAAAAATIGAAAAATAHAAAAAzE2MAgAAAABMAkAAAABMQoAAAABMAsAAAAKODg1OTIxMjkxOAwAAAACMTINAAAACTkvMTYvMjAwNnteu7eTc9UI21pMSZdz1Qg2Q0lRLk5BU0RBUUdTOklOVEMuSVFfVEVWX0VCSVREQV9GV0RfQ0lRLjYwMDAuNS8xMC8yMDEzAQAAAIdSAAACAAAAEDUuNDY5NjgyNDg0MDQwNDgBDQAAAAUAAAABOQEAAAAHMjYyMTI5NQIAAAAHMzgyOTc1MQMAAAAGMTAwMzA4BAAAAAEyBgAAAAEwBwAAAAMxNjAIAAAAATAJAAAAATEKAAAAATALAAAACjY5NTU0MDQ1NjgMAAAAAjEyDQAAAAk1LzExLzIwMTOL7lO7k3PVCCuHja6Xc9UINUNJUS5OYXNkYXFHUzpJTlRDLklRX1RFVl9UT1RBTF9SRVZfRldELjYwMDAuMS8xOC8yMDA4AQAAAIdSAAACAAAAEDIuNDEyNjYxMjg5MDI4MTMBDQAAAAUAAAABOQEAAAAHMjYyMTI5NQIAAAAEMTg4MwMAAAAGMTAwMzA3BAAAAAEyBgAAAAEwBwAA</t>
  </si>
  <si>
    <t>AAMxNjAIAAAAATAJAAAAATEKAAAAATALAAAACTM2MDcwMDIyOQwAAAACMTINAAAACTEvMTkvMjAwOCtLaLmTc9UI+6hMSZdz1QgrQ0lRLl5TUFguSVFfVEVWX1RPVEFMX1JFVl9GV0QuNjAwMC40LzgvMjAxNQEAAACbuCgAAgAAAAgyLjA0MjE1NAB7hlW5k3PVCNsxMkuXc9UIKUNJUS5OQVNEQVFHUzpJTlRDLklRX1BUQlYuMjAwMC4xMC8xOS8yMDEyAQAAAIdSAAACAAAACDMuMTc4NDU3AQcAAAAFAAAAATEBAAAACjE1NzEzNDkxMjIDAAAAATACAAAABjEwMDAyOQQAAAABMAcAAAAKMTAvMTkvMjAxMggAAAAKMTAvMTkvMjAxMksRVbmTc9UIO7ZPSZdz1QgvQ0lRLk5BU0RBUUdTOklOVEMuSVFfUEVfRVhDTF9GV0QuNjAwMC4xLzE0LzIwMTEBAAAAh1IAAAIAAAAQMTAuMDk0NzIxODIwNDk3OAENAAAABQAAAAE5AQAAAAcyNjIxMjk1AgAAAAQxODg2AwAAAAYxMDAzMDkEAAAAATIGAAAAATAHAAAAAzE2MAgAAAABMAkAAAABMQoAAAABMAsAAAAKNTc0Nzg5MjQzNwwAAAACMTINAAAACTEvMTUvMjAxMZv+s72Tc9UIi8xXSZdz1QgsQ0lRLl5TUFguSVFfVEVWX0VCSVREQV9GV0RfQ0lRLjYwMDAuNi83LzIwMTcBAAAAm7goAAIAAAAJMTAuNTkwMTc1AHuGVbmTc9UIa/IOS5dz1QgsQ0lRLl5TUFguSVFfVEVWX1RPVEFMX1JFVl9GV0QuNjAwMC40LzE3LzIwMTMBAAAAm7goAAIAAAAIMS41NTg0NzIAa2awu5Nz</t>
  </si>
  <si>
    <t>1Qir8T1Ll3PVCDZDSVEuTkFTREFRR1M6SU5UQy5JUV9URVZfRUJJVERBX0ZXRF9DSVEuNjAwMC4xMC84LzIwMDQBAAAAh1IAAAIAAAAQNy40NTI2Nzc0OTU3MDAxMgENAAAABQAAAAE5AQAAAAcyNjIxMjk1AgAAAAcxNzU3MTQ1AwAAAAYxMDAzMDgEAAAAATIGAAAAATAHAAAAAzE2MAgAAAABMAkAAAABMQoAAAABMAsAAAAKNjg4MzY5Mjc0MgwAAAACMTINAAAACTEwLzkvMjAwNCt1VbuTc9UIO66Nrpdz1Qg1Q0lRLk5hc2RhcUdTOklOVEMuSVFfVEVWX1RPVEFMX1JFVl9GV0QuNjAwMC41LzE0LzIwMDQBAAAAh1IAAAIAAAAQNC41NjQ5MTQxMTY5OTU5NAENAAAABQAAAAE5AQAAAAcyNjIxMjk1AgAAAAcxNzU3MTQ0AwAAAAYxMDAzMDcEAAAAATIGAAAAATAHAAAAAzE2MAgAAAABMAkAAAABMQoAAAABMAsAAAAKMTE2OTEyODM0NgwAAAACMTINAAAACTUvMTUvMjAwNLtMtL2Tc9UIyxVRSZdz1QgvQ0lRLk5BU0RBUUdTOklOVEMuSVFfUFJJQ0VfU0FMRVMuMjAwMC41LzE3LzIwMTMBAAAAh1IAAAIAAAAIMi4yNTk2ODcBBwAAAAUAAAABMQEAAAAKMTYxNDA3NDk0MgMAAAABMAIAAAAFMzg5NTgEAAAAATAHAAAACTUvMTcvMjAxMwgAAAAJNS8xNy8yMDEzy7C5t5Nz1QhLbE1Jl3PVCDZDSVEuTmFzZGFxR1M6SU5UQy5JUV9URVZfRUJJVERBX0ZXRF9DSVEuNjAwMC4yLzIzLzIwMDcBAAAAh1IAAAIAAAAQOC4z</t>
  </si>
  <si>
    <t>MDA1ODkxMTA1MDkyNAENAAAABQAAAAE5AQAAAAcyNjIxMjk1AgAAAAQxODgyAwAAAAYxMDAzMDgEAAAAATIGAAAAATAHAAAAAzE2MAgAAAABMAkAAAABMQoAAAABMAsAAAALMTAzMzQxNzYwODQMAAAAAjEyDQAAAAkyLzI0LzIwMDfLULG7k3PVCEtGkK6Xc9UIL0NJUS5OQVNEQVFHUzpJTlRDLklRX1BFX0VYQ0xfRldELjYwMDAuNy8yOC8yMDA2AQAAAIdSAAACAAAAEDIxLjc0MTIxMDIzNjc4NTUBDQAAAAUAAAABOQEAAAAHMjYyMTI5NQIAAAAHMTc1NzE1MQMAAAAGMTAwMzA5BAAAAAEyBgAAAAEwBwAAAAMxNjAIAAAAATAJAAAAATEKAAAAATALAAAACjg4NjQyMTE4NDkMAAAAAjEyDQAAAAk3LzI5LzIwMDZbYrO9k3PVCDt6WUmXc9UIH0NJUS5eU1BYLklRX1BUQlYuMjAwMC43LzE2LzIwMTQBAAAAm7goAAIAAAAINS40OTIyMTcAWz+wu5Nz1QhbTDhLl3PVCDZDSVEuTmFzZGFxR1M6SU5UQy5JUV9URVZfRUJJVERBX0ZXRF9DSVEuNjAwMC4xMS8yLzIwMDEBAAAAh1IAAAIAAAAQMTguMjI3NzMyMjg1NzQ2NgENAAAABQAAAAE5AQAAAAcyNjIxMjk1AgAAAAczNDIxMTYyAwAAAAYxMDAzMDgEAAAAATIGAAAAATAHAAAAAzE2MAgAAAABMAkAAAABMQoAAAABMAsAAAAKMTE2OTE1MjYyMwwAAAACMTINAAAACTExLzMvMjAwMctQsbuTc9UIi3GOrpdz1Qg2Q0lRLk5BU0RBUUdTOklOVEMuSVFfVEVWX0VCSVRE</t>
  </si>
  <si>
    <t>QV9GV0RfQ0lRLjYwMDAuMTAvMy8yMDA4AQAAAIdSAAACAAAAEDUuNDM5MTEwMzA5MjE0MjEBDQAAAAUAAAABOQEAAAAHMjYyMTI5NQIAAAAHMTc1NzE1NwMAAAAGMTAwMzA4BAAAAAEyBgAAAAEwBwAAAAMxNjAIAAAAATAJAAAAATEKAAAAATALAAAACjkxMTEwNjMyMDAMAAAAAjEyDQAAAAkxMC80LzIwMDjr2FS7k3PVCCuHja6Xc9UILENJUS5eU1BYLklRX1RFVl9UT1RBTF9SRVZfRldELjYwMDAuOS8yNC8yMDE0AQAAAJu4KAACAAAACDEuODgyNzM2ACsEU7uTc9UIy+w2S5dz1QgoQ0lRLk5BU0RBUUdTOklOVEMuSVFfUFRCVi4yMDAwLjIvMTIvMjAxMAEAAACHUgAAAgAAAAgzLjAyNTg5NQEHAAAABQAAAAExAQAAAAoxMzA1MTY5MjU0AwAAAAEwAgAAAAYxMDAwMjkEAAAAATAHAAAACTIvMTIvMjAxMAgAAAAJMi8xMi8yMDEw+45Su5Nz1QhLMFdJl3PVCC9DSVEuTmFzZGFxR1M6SU5UQy5JUV9QRV9FWENMX0ZXRC42MDAwLjcvMjkvMjAxMQEAAACHUgAAAgAAABA5LjMxMTE1MDAyOTE4ODU2AQ0AAAAFAAAAATkBAAAABzI2MjEyOTUCAAAABzE3NTcxNjYDAAAABjEwMDMwOQQAAAABMgYAAAABMAcAAAADMTYwCAAAAAEwCQAAAAExCgAAAAEwCwAAAAo4ODYzMzU5MjYxDAAAAAIxMg0AAAAJNy8zMC8yMDExi9ezvZNz1QiL6lJJl3PVCDVDSVEuTmFzZGFxR1M6SU5UQy5JUV9URVZfVE9UQUxfUkVWX0ZXRC42</t>
  </si>
  <si>
    <t>MDAwLjEvMjAvMjAwNgEAAACHUgAAAgAAABAyLjkxOTY0NTkxOTM0NjM3AQ0AAAAFAAAAATkBAAAABzI2MjEyOTUCAAAABDE4ODEDAAAABjEwMDMwNwQAAAABMgYAAAABMAcAAAADMTYwCAAAAAEwCQAAAAExCgAAAAEwCwAAAAkzNjA2NzIyOTcMAAAAAjEyDQAAAAkxLzIxLzIwMDYbJGi5k3PVCMszTEmXc9UIL0NJUS5OQVNEQVFHUzpJTlRDLklRX1BSSUNFX1NBTEVTLjIwMDAuMy8xNi8yMDE2AQAAAIdSAAACAAAACDIuNzE0NzMxAQcAAAAFAAAAATEBAAAACjE3NzU5MzMxNDADAAAAATACAAAABTM4OTU4BAAAAAEwBwAAAAkzLzE2LzIwMTYIAAAACTMvMTYvMjAxNgu2UruTc9UI6wUrS5dz1Qg2Q0lRLk5hc2RhcUdTOklOVEMuSVFfVEVWX0VCSVREQV9GV0RfQ0lRLjYwMDAuMy8xMS8yMDA1AQAAAIdSAAACAAAAEDguNDUzMTM2MzEwMTgyNTUBDQAAAAUAAAABOQEAAAAHMjYyMTI5NQIAAAAEMTg4MAMAAAAGMTAwMzA4BAAAAAEyBgAAAAEwBwAAAAMxNjAIAAAAATAJAAAAATEKAAAAATALAAAACTM2MDY2ODE4MQwAAAACMTINAAAACTMvMTIvMjAwNdt3sbuTc9UIG9GPrpdz1QgsQ0lRLl5TUFguSVFfVEVWX1RPVEFMX1JFVl9GV0QuNjAwMC44LzEyLzIwMTUBAAAAm7goAAIAAAAIMi4wMzY4MzMAKwRTu5Nz1Qj7DjBLl3PVCC9DSVEuTkFTREFRR1M6SU5UQy5JUV9QUklDRV9TQUxFUy4yMDAwLjkvMjgvMjAx</t>
  </si>
  <si>
    <t>NgEAAACHUgAAAgAAAAgzLjEyNzcxNQEHAAAABQAAAAExAQAAAAoxODAxMjk0NTAxAwAAAAEwAgAAAAUzODk1OAQAAAABMAcAAAAJOS8yOC8yMDE2CAAAAAk5LzI4LzIwMTZLEVW5k3PVCJvvIkuXc9UINUNJUS5OYXNkYXFHUzpJTlRDLklRX1RFVl9FQklUREFfRldEX0NJUS42MDAwLjEvNS8yMDE4AQAAAIdSAAACAAAAEDguMjc3ODgwNTU2NjQ0NDMBDQAAAAUAAAABOQEAAAAHMjYyMTI5NQIAAAAIMjc1MDAxNzQDAAAABjEwMDMwOAQAAAABMgYAAAABMAcAAAADMTYwCAAAAAEwCQAAAAExCgAAAAEwCwAAAAsxMDcwMjIwNTY1NAwAAAACMTINAAAACDEvNi8yMDE4u0y0vZNz1QjLDY+ul3PVCCxDSVEuTkFTREFRR1M6SU5UQy5JUV9MQVNUU0FMRVBSSUNFLjQvMjkvMjAxNQEAAACHUgAAAgAAAAYzMi44ODUAy5GvvZNz1QjLCjJLl3PVCDZDSVEuTkFTREFRR1M6SU5UQy5JUV9URVZfRUJJVERBX0ZXRF9DSVEuNjAwMC4yLzE1LzIwMTMBAAAAh1IAAAIAAAAQNC43NTI2MDA3MDczMjg5NwENAAAABQAAAAE5AQAAAAcyNjIxMjk1AgAAAAczNjUyNjYwAwAAAAYxMDAzMDgEAAAAATIGAAAAATAHAAAAAzE2MAgAAAABMAkAAAABMQoAAAABMAsAAAAKNTQzODIwMDA2OQwAAAACMTINAAAACTIvMTYvMjAxM4vuU7uTc9UI+4KPrpdz1QgoQ0lRLk5BU0RBUUdTOklOVEMuSVFfUFRCVi4yMDAwLjkvMjMvMjAxMQEAAACH</t>
  </si>
  <si>
    <t>UgAAAgAAAAgzLjU2MTY5MwEHAAAABQAAAAExAQAAAAoxNDY1NjMxMDcxAwAAAAEwAgAAAAYxMDAwMjkEAAAAATAHAAAACTkvMjMvMjAxMQgAAAAJOS8yMy8yMDExq0OvvZNz1QhbyFlJl3PVCC5DSVEuTkFTREFRR1M6SU5UQy5JUV9QUklDRV9TQUxFUy4yMDAwLjgvNS8yMDExAQAAAIdSAAACAAAABzIuMzQ3NzcBBwAAAAUAAAABMQEAAAAKMTQ2MjM1NDE3MgMAAAABMAIAAAAFMzg5NTgEAAAAATAHAAAACDgvNS8yMDExCAAAAAg4LzUvMjAxMcuwubeTc9UIa7pNSZdz1QgvQ0lRLk5BU0RBUUdTOklOVEMuSVFfUEVfRVhDTF9GV0QuNjAwMC45LzI4LzIwMDEBAAAAh1IAAAIAAAAQNDIuNTEyNDc5MjAxMzMxMQENAAAABQAAAAE5AQAAAAcyNjIxMjk1AgAAAAczNDIxMTYxAwAAAAYxMDAzMDkEAAAAATIGAAAAATAHAAAAAzE2MAgAAAABMAkAAAABMQoAAAABMAsAAAAKMTE2OTE3MzM3MQwAAAACMTINAAAACTkvMjkvMjAwMYvXs72Tc9UIWwRQSZdz1QgoQ0lRLk5BU0RBUUdTOklOVEMuSVFfUFRCVi4yMDAwLjIvMTAvMjAxNwEAAACHUgAAAgAAAAgzLjkyNTAwOQEHAAAABQAAAAExAQAAAAoxODI1NTIyMTc2AwAAAAEwAgAAAAYxMDAwMjkEAAAAATAHAAAACTIvMTAvMjAxNwgAAAAJMi8xMC8yMDE3C7ZSu5Nz1QjL91VJl3PVCC9DSVEuTkFTREFRR1M6SU5UQy5JUV9QUklDRV9TQUxFUy4yMDAwLjgvMjMvMjAx</t>
  </si>
  <si>
    <t>NwEAAACHUgAAAgAAAAgyLjY1NDM1OQEHAAAABQAAAAExAQAAAAoxODUwNjE4NjY0AwAAAAEwAgAAAAUzODk1OAQAAAABMAcAAAAJOC8yMy8yMDE3CAAAAAk4LzIzLzIwMTdbOFW5k3PVCOsT/0qXc9UINUNJUS5OYXNkYXFHUzpJTlRDLklRX1RFVl9UT1RBTF9SRVZfRldELjYwMDAuNy8xMC8yMDA5AQAAAIdSAAACAAAAEDIuNTY3NjI4ODQ3OTM4MzEBDQAAAAUAAAABOQEAAAAHMjYyMTI5NQIAAAAHMTc1NzE1OQMAAAAGMTAwMzA3BAAAAAEyBgAAAAEwBwAAAAMxNjAIAAAAATAJAAAAATEKAAAAATALAAAACjgxNzE1NzYwMzIMAAAAAjEyDQAAAAk3LzExLzIwMDnbSLy3k3PVCJtkWkmXc9UIL0NJUS5OQVNEQVFHUzpJTlRDLklRX1BSSUNFX1NBTEVTLjIwMDAuNC8yNy8yMDEyAQAAAIdSAAACAAAACDIuNjk5OTAxAQcAAAAFAAAAATEBAAAACjE1NDIwMDAyMDMDAAAAATACAAAABTM4OTU4BAAAAAEwBwAAAAk0LzI3LzIwMTIIAAAACTQvMjcvMjAxMtvXubeTc9UIm75LSZdz1QgvQ0lRLk5BU0RBUUdTOklOVEMuSVFfUEVfRVhDTF9GV0QuNjAwMC4yLzE1LzIwMTMBAAAAh1IAAAIAAAAQMTAuODk0NjM0NDYzNDcyMQENAAAABQAAAAE5AQAAAAcyNjIxMjk1AgAAAAczNjUyNjYwAwAAAAYxMDAzMDkEAAAAATIGAAAAATAHAAAAAzE2MAgAAAABMAkAAAABMQoAAAABMAsAAAAKNTc0ODMwMjk5MQwAAAACMTINAAAA</t>
  </si>
  <si>
    <t>CTIvMTYvMjAxM7tMtL2Tc9UIS79USZdz1QgvQ0lRLk5BU0RBUUdTOklOVEMuSVFfUFJJQ0VfU0FMRVMuMjAwMC43LzE5LzIwMTMBAAAAh1IAAAIAAAAIMi4xODk1MTUBBwAAAAUAAAABMQEAAAAKMTYyNjQ4NjYyOAMAAAABMAIAAAAFMzg5NTgEAAAAATAHAAAACTcvMTkvMjAxMwgAAAAJNy8xOS8yMDEze51muZNz1QjLhlNJl3PVCDZDSVEuTmFzZGFxR1M6SU5UQy5JUV9URVZfVE9UQUxfUkVWX0ZXRC42MDAwLjExLzE3LzIwMDYBAAAAh1IAAAIAAAAQMy4yOTYwMDkyMTk2NzM2MQENAAAABQAAAAE5AQAAAAcyNjIxMjk1AgAAAAcxNzU3MTUyAwAAAAYxMDAzMDcEAAAAATIGAAAAATAHAAAAAzE2MAgAAAABMAkAAAABMQoAAAABMAsAAAAKODg1NTU0NjY4NAwAAAACMTINAAAACjExLzE4LzIwMDbrb7y3k3PVCPvdWEmXc9UINUNJUS5OQVNEQVFHUzpJTlRDLklRX1RFVl9FQklUREFfRldEX0NJUS42MDAwLjcvMi8yMDEwAQAAAIdSAAACAAAAEDQuNjg3MTYzNDc4NjU0NjkBDQAAAAUAAAABOQEAAAAHMjYyMTI5NQIAAAAHMTc1NzE2MgMAAAAGMTAwMzA4BAAAAAEyBgAAAAEwBwAAAAMxNjAIAAAAATAJAAAAATEKAAAAATALAAAACjgxNzI2MTQ1MDkMAAAAAjEyDQAAAAg3LzMvMjAxMLtjVLuTc9UIW22Qrpdz1Qg0Q0lRLk5hc2RhcUdTOklOVEMuSVFfVEVWX1RPVEFMX1JFVl9GV0QuNjAwMC43LzEvMjAwNQEA</t>
  </si>
  <si>
    <t>AACHUgAAAgAAABAzLjcxMjk2Nzk1OTg2ODU2AQ0AAAAFAAAAATkBAAAABzI2MjEyOTUCAAAABzE3NTcxNDcDAAAABjEwMDMwNwQAAAABMgYAAAABMAcAAAADMTYwCAAAAAEwCQAAAAExCgAAAAEwCwAAAAoxMTY5MTI5OTIyDAAAAAIxMg0AAAAINy8yLzIwMDWb27C7k3PVCNuPWEmXc9UILENJUS5eU1BYLklRX1RFVl9FQklUREFfRldEX0NJUS42MDAwLjkvOS8yMDE1AQAAAJu4KAACAAAACDkuMjg1NTY0AOvfr72Tc9UIq0svS5dz1QgsQ0lRLk5BU0RBUUdTOklOVEMuSVFfTEFTVFNBTEVQUklDRS4yLzI0LzIwMTYBAAAAh1IAAAIAAAAFMjkuMTkAK8NUuZNz1Qj7LCtLl3PVCDBDSVEuTkFTREFRR1M6SU5UQy5JUV9QUklDRV9TQUxFUy4yMDAwLjEyLzI1LzIwMTMBAAAAh1IAAAIAAAAIMi40MTMzNzUBBwAAAAUAAAABMQEAAAAKMTY0MjQ4Mzc5MgMAAAABMAIAAAAFMzg5NTgEAAAAATAHAAAACjEyLzI0LzIwMTMIAAAACjEyLzI0LzIwMTP7jlK7k3PVCBuSPEuXc9UINUNJUS5OYXNkYXFHUzpJTlRDLklRX1RFVl9UT1RBTF9SRVZfRldELjYwMDAuMTIvOC8yMDE3AQAAAIdSAAACAAAAEDMuNDIxMzg5OTk0NzE1NzMBDQAAAAUAAAABOQEAAAAHMjYyMTI5NQIAAAAIMjc1MDAxNzQDAAAABjEwMDMwNwQAAAABMgYAAAABMAcAAAADMTYwCAAAAAEwCQAAAAExCgAAAAEwCwAAAAsxMDYxNTkwMzM4OQwAAAACMTIN</t>
  </si>
  <si>
    <t>AAAACTEyLzkvMjAxN6utVruTc9UIS/tKSZdz1QgmQ0lRLl5TUFguSVFfUEVfRVhDTF9GV0QuNjAwMC4yLzE5LzIwMTQBAAAAm7goAAIAAAAJMTUuNTEzNjUyAJvrZrmTc9UIm1k7S5dz1Qg2Q0lRLk5hc2RhcUdTOklOVEMuSVFfVEVWX0VCSVREQV9GV0RfQ0lRLjYwMDAuNC8xMy8yMDA2AQAAAIdSAAACAAAAEDguMTYzNzM2NjM2MDYwMTUBDQAAAAUAAAABOQEAAAAHMjYyMTI5NQIAAAAEMTg4MQMAAAAGMTAwMzA4BAAAAAEyBgAAAAEwBwAAAAMxNjAIAAAAATAJAAAAATEKAAAAATALAAAACTM2MDY3NTYwNgwAAAACMTINAAAACTQvMTQvMjAwNqsltL2Tc9UIe0qOrpdz1QgvQ0lRLk5BU0RBUUdTOklOVEMuSVFfUEVfRVhDTF9GV0QuNjAwMC42LzI2LzIwMDkBAAAAh1IAAAIAAAAQMjYuNzc1MTQ3OTI4OTk0MQENAAAABQAAAAE5AQAAAAcyNjIxMjk1AgAAAAcxNzU3MTU5AwAAAAYxMDAzMDkEAAAAATIGAAAAATAHAAAAAzE2MAgAAAABMAkAAAABMQoAAAABMAsAAAAKODg2MzYxNDI1MwwAAAACMTINAAAACTYvMjcvMjAwOTsUs72Tc9UI6/JOSZdz1QgsQ0lRLk5BU0RBUUdTOklOVEMuSVFfTEFTVFNBTEVQUklDRS4xMi80LzIwMTMBAAAAh1IAAAIAAAAFMjMuNzQAG91Su5Nz1QgruTxLl3PVCDdDSVEuTkFTREFRR1M6SU5UQy5JUV9URVZfRUJJVERBX0ZXRF9DSVEuNjAwMC4xMS8yNy8yMDE1AQAAAIdSAAAC</t>
  </si>
  <si>
    <t>AAAAEDYuNzc3MDY2ODMwNTQ5NzMBDQAAAAUAAAABOQEAAAAHMjYyMTI5NQIAAAAHODA2ODI2MgMAAAAGMTAwMzA4BAAAAAEyBgAAAAEwBwAAAAMxNjAIAAAAATAJAAAAATEKAAAAATALAAAACjkxNzEwODQ1NTkMAAAAAjEyDQAAAAoxMS8yOC8yMDE1W3lTu5Nz1QibmI6ul3PVCCJDSVEuXlNQWC5JUV9MQVNUU0FMRVBSSUNFLjQvNi8yMDE2AQAAAJu4KAACAAAAEDIwNjYuNjY0ODE4OTQ2MTIAW09muZNz1Qh79ClLl3PVCC9DSVEuTkFTREFRR1M6SU5UQy5JUV9QRV9FWENMX0ZXRC42MDAwLjEvMjkvMjAxNgEAAACHUgAAAgAAABAxMy4xNTk5MDQyOTE2MDUyAQ0AAAAFAAAAATkBAAAABzI2MjEyOTUCAAAACjEwMDA5MTU0MDIDAAAABjEwMDMwOQQAAAABMgYAAAABMAcAAAADMTYwCAAAAAEwCQAAAAExCgAAAAEwCwAAAAo5MjM5MjMwOTA5DAAAAAIxMg0AAAAJMS8zMC8yMDE2qyW0vZNz1QirqVVJl3PVCCtDSVEuTkFTREFRR1M6SU5UQy5JUV9MQVNUU0FMRVBSSUNFLjQvNi8yMDE2AQAAAIdSAAACAAAABTMyLjA4AFs/sLuTc9UIq2kqS5dz1Qg2Q0lRLk5BU0RBUUdTOklOVEMuSVFfVEVWX0VCSVREQV9GV0RfQ0lRLjYwMDAuNS8yMS8yMDA0AQAAAIdSAAACAAAAEDkuNjgxMTM5NjQ4NjQwMzkBDQAAAAUAAAABOQEAAAAHMjYyMTI5NQIAAAAHMTc1NzE0NAMAAAAGMTAwMzA4BAAAAAEyBgAAAAEwBwAAAAMx</t>
  </si>
  <si>
    <t>NjAIAAAAATAJAAAAATEKAAAAATALAAAACjExNjkxMjg2ODkMAAAAAjEyDQAAAAk1LzIyLzIwMDQ7nFW7k3PVCEtGkK6Xc9UINkNJUS5OQVNEQVFHUzpJTlRDLklRX1RFVl9FQklUREFfRldEX0NJUS42MDAwLjkvMTkvMjAwMwEAAACHUgAAAgAAABAxMy4yODA0NTYyNDUzMjU0AQ0AAAAFAAAAATkBAAAABzI2MjEyOTUCAAAABzE3NTcxNDIDAAAABjEwMDMwOAQAAAABMgYAAAABMAcAAAADMTYwCAAAAAEwCQAAAAExCgAAAAEwCwAAAAoxMTY5MTI3NjgxDAAAAAIxMg0AAAAJOS8yMC8yMDAzO5xVu5Nz1QgLOY2ul3PVCCBDSVEuXlNQWC5JUV9QVEJWLjIwMDAuMTAvMzAvMjAxMwEAAACbuCgAAgAAAAg1LjEzMzI5MwCLxGa5k3PVCDvgPEuXc9UIJkNJUS5eU1BYLklRX1BFX0VYQ0xfRldELjYwMDAuNy8xMC8yMDEzAQAAAJu4KAACAAAACTE0LjY4OTU5OAD7Jbq3k3PVCGtVPUuXc9UIL0NJUS5OQVNEQVFHUzpJTlRDLklRX1BSSUNFX1NBTEVTLjIwMDAuNy8xMC8yMDEzAQAAAIdSAAACAAAACDIuMTg1NDI5AQcAAAAFAAAAATEBAAAACjE2MTQwNzQ5NDIDAAAAATACAAAABTM4OTU4BAAAAAEwBwAAAAk3LzEwLzIwMTMIAAAACTcvMTAvMjAxM9uqiLaTc9UIe3w9S5dz1Qg1Q0lRLk5hc2RhcUdTOklOVEMuSVFfVEVWX1RPVEFMX1JFVl9GV0QuNjAwMC4xLzI0LzIwMDMBAAAAh1IAAAIAAAAQMy4zMDA5OTc5NTI3</t>
  </si>
  <si>
    <t>NzYzMQENAAAABQAAAAE5AQAAAAcyNjIxMjk1AgAAAAQxODc4AwAAAAYxMDAzMDcEAAAAATIGAAAAATAHAAAAAzE2MAgAAAABMAkAAAABMQoAAAABMAsAAAAJMzYwNjU2NDE5DAAAAAIxMg0AAAAJMS8yNS8yMDAzqwKxu5Nz1QjLM0xJl3PVCC9DSVEuTkFTREFRR1M6SU5UQy5JUV9QRV9FWENMX0ZXRC42MDAwLjcvMTAvMjAxNQEAAACHUgAAAgAAAA8xMy4yODU2NjIyMzM1NTgBDQAAAAUAAAABOQEAAAAHMjYyMTI5NQIAAAAHODA2ODI2MAMAAAAGMTAwMzA5BAAAAAEyBgAAAAEwBwAAAAMxNjAIAAAAATAJAAAAATEKAAAAATALAAAACjg4ODI5NTc0NDgMAAAAAjEyDQAAAAk3LzExLzIwMTWb/rO9k3PVCGsNVUmXc9UILENJUS5eU1BYLklRX1RFVl9UT1RBTF9SRVZfRldELjYwMDAuMTIvMi8yMDE1AQAAAJu4KAACAAAACDIuMDM3NTYzACsEU7uTc9UI+50tS5dz1QgmQ0lRLl5TUFguSVFfUEVfRVhDTF9GV0QuNjAwMC4xLzExLzIwMTcBAAAAm7goAAIAAAAIMTcuOTY1ODIAqxJnuZNz1QgrixpLl3PVCDZDSVEuTmFzZGFxR1M6SU5UQy5JUV9URVZfRUJJVERBX0ZXRF9DSVEuNjAwMC4zLzMwLzIwMDEBAAAAh1IAAAMAAAAAAKutVruTc9UIS9WNrpdz1Qg1Q0lRLk5hc2RhcUdTOklOVEMuSVFfVEVWX1RPVEFMX1JFVl9GV0QuNjAwMC43LzIzLzIwMTABAAAAh1IAAAIAAAAPMi4yNTcwNTIwMTM0NzMxAQ0AAAAF</t>
  </si>
  <si>
    <t>AAAAATkBAAAABzI2MjEyOTUCAAAABzE3NTcxNjMDAAAABjEwMDMwNwQAAAABMgYAAAABMAcAAAADMTYwCAAAAAEwCQAAAAExCgAAAAEwCwAAAAo4ODYzNTExMzkzDAAAAAIxMg0AAAAJNy8yNC8yMDEw23exu5Nz1QjLM0xJl3PVCCxDSVEuXlNQWC5JUV9URVZfVE9UQUxfUkVWX0ZXRC42MDAwLjEvMTEvMjAxNwEAAACbuCgAAgAAAAgyLjE1MzAwNwDbuK+9k3PVCJucG0uXc9UIN0NJUS5OYXNkYXFHUzpJTlRDLklRX1RFVl9FQklUREFfRldEX0NJUS42MDAwLjEyLzEyLzIwMTQBAAAAh1IAAAIAAAAQNi45Mzc1MzMyODY0ODA1NgENAAAABQAAAAE5AQAAAAcyNjIxMjk1AgAAAAc0NDU2NDI5AwAAAAYxMDAzMDgEAAAAATIGAAAAATAHAAAAAzE2MAgAAAABMAkAAAABMQoAAAABMAsAAAAKODY0ODc5NjIzNgwAAAACMTINAAAACjEyLzEzLzIwMTSrrVa7k3PVCGuUkK6Xc9UIJ0NJUS5OQVNEQVFHUzpJTlRDLklRX1BUQlYuMjAwMC42LzQvMjAxMAEAAACHUgAAAgAAAAgzLjA4NDEyOAEHAAAABQAAAAExAQAAAAoxMzU3NjU5MTAxAwAAAAEwAgAAAAYxMDAwMjkEAAAAATAHAAAACDYvNC8yMDEwCAAAAAg2LzQvMjAxMNvXubeTc9UIm75LSZdz1QgtQ0lRLl5TUFguSVFfVEVWX0VCSVREQV9GV0RfQ0lRLjYwMDAuMTIvNy8yMDE2AQAAAJu4KAACAAAACDkuOTE5OTQyANu4r72Tc9UIqzQeS5dz1QgvQ0lRLk5BU0RB</t>
  </si>
  <si>
    <t>UUdTOklOVEMuSVFfUFJJQ0VfU0FMRVMuMjAwMC43LzE1LzIwMTUBAAAAh1IAAAIAAAAIMi41NzI2MzkBBwAAAAUAAAABMQEAAAAKMTc0NjEyMDQ3NgMAAAABMAIAAAAFMzg5NTgEAAAAATAHAAAACTcvMTUvMjAxNQgAAAAJNy8xNS8yMDE1+45Su5Nz1Qg7qzBLl3PVCC5DSVEuXlNQWC5JUV9URVZfRUJJVERBX0ZXRF9DSVEuNjAwMC4xMi8yMy8yMDE1AQAAAJu4KAACAAAACDkuODI1NTk0ANu4r72Tc9UI208tS5dz1QgoQ0lRLk5BU0RBUUdTOklOVEMuSVFfUFRCVi4yMDAwLjgvMzEvMjAxMgEAAACHUgAAAgAAAAgzLjczMDg2MwEHAAAABQAAAAExAQAAAAoxNTU3MjE2MjQ2AwAAAAEwAgAAAAYxMDAwMjkEAAAAATAHAAAACTgvMzEvMjAxMggAAAAJOC8zMS8yMDEyq0OvvZNz1QiLPVpJl3PVCC9DSVEuTkFTREFRR1M6SU5UQy5JUV9QUklDRV9TQUxFUy4yMDAwLjUvMjcvMjAxMQEAAACHUgAAAgAAAAgyLjY2MjkwNQEHAAAABQAAAAExAQAAAAoxNDUyNDc1ODcyAwAAAAEwAgAAAAUzODk1OAQAAAABMAcAAAAJNS8yNy8yMDExCAAAAAk1LzI3LzIwMTH7jlK7k3PVCEswV0mXc9UIL0NJUS5OQVNEQVFHUzpJTlRDLklRX1BFX0VYQ0xfRldELjYwMDAuMTAvOS8yMDE1AQAAAIdSAAACAAAAEDE0LjU2MTQzNTMwMjY0NTkBDQAAAAUAAAABOQEAAAAHMjYyMTI5NQIAAAAHODA2ODI2MQMAAAAGMTAwMzA5BAAAAAEy</t>
  </si>
  <si>
    <t>BgAAAAEwBwAAAAMxNjAIAAAAATAJAAAAATEKAAAAATALAAAACjkwNDk4MzA3OTMMAAAAAjEyDQAAAAoxMC8xMC8yMDE161CyvZNz1Qh7pVdJl3PVCDdDSVEuTkFTREFRR1M6SU5UQy5JUV9URVZfRUJJVERBX0ZXRF9DSVEuNjAwMC4xMS8xOS8yMDA0AQAAAIdSAAACAAAAEDEwLjEwMjQ2NzI2MDkyMjIBDQAAAAUAAAABOQEAAAAHMjYyMTI5NQIAAAAHMTc1NzE0NgMAAAAGMTAwMzA4BAAAAAEyBgAAAAEwBwAAAAMxNjAIAAAAATAJAAAAATEKAAAAATALAAAACjExNjkxMjk2ODYMAAAAAjEyDQAAAAoxMS8yMC8yMDA0K3VVu5Nz1QjrW4+ul3PVCC9DSVEuTkFTREFRR1M6SU5UQy5JUV9QUklDRV9TQUxFUy4yMDAwLjkvMjcvMjAxNwEAAACHUgAAAgAAAAgyLjg3NDkxNwEHAAAABQAAAAExAQAAAAoxODUwNjE4NjY0AwAAAAEwAgAAAAUzODk1OAQAAAABMAcAAAAJOS8yNy8yMDE3CAAAAAk5LzI3LzIwMTd7nWa5k3PVCMty90qXc9UIMENJUS5OQVNEQVFHUzpJTlRDLklRX1BSSUNFX1NBTEVTLjIwMDAuMTAvMjIvMjAxNAEAAACHUgAAAgAAAAgyLjkwNjM3MQEHAAAABQAAAAExAQAAAAoxNzAxOTAzNDk0AwAAAAEwAgAAAAUzODk1OAQAAAABMAcAAAAKMTAvMjIvMjAxNAgAAAAKMTAvMjIvMjAxNIvEZrmTc9UIm3c2S5dz1QgoQ0lRLk5BU0RBUUdTOklOVEMuSVFfUFRCVi4yMDAwLjYvMjEvMjAxMwEAAACHUgAA</t>
  </si>
  <si>
    <t>AgAAAAgzLjM1OTkwNwEHAAAABQAAAAExAQAAAAoxNjE0MDc0OTQyAwAAAAEwAgAAAAYxMDAwMjkEAAAAATAHAAAACTYvMjEvMjAxMwgAAAAJNi8yMS8yMDEz+45Su5Nz1Qh7pVdJl3PVCCxDSVEuXlNQWC5JUV9URVZfVE9UQUxfUkVWX0ZXRC42MDAwLjcvMzAvMjAxNAEAAACbuCgAAgAAAAgxLjg0NTYwMgB7hlW5k3PVCDv+N0uXc9UILUNJUS5eU1BYLklRX1RFVl9UT1RBTF9SRVZfRldELjYwMDAuMTIvMzAvMjAxNQEAAACbuCgAAgAAAAgyLjAzMzM4NAArBFO7k3PVCMsoLUuXc9UIJkNJUS5eU1BYLklRX1BFX0VYQ0xfRldELjYwMDAuNC8yMy8yMDE0AQAAAJu4KAACAAAACDE1LjY3MTY1AOv+ubeTc9UIy105S5dz1Qg3Q0lRLk5BU0RBUUdTOklOVEMuSVFfVEVWX0VCSVREQV9GV0RfQ0lRLjYwMDAuMTEvMjUvMjAwNQEAAACHUgAAAgAAABA4LjI4MTg1MzIxMzk3Mzg2AQ0AAAAFAAAAATkBAAAABzI2MjEyOTUCAAAABzE3NTcxNDkDAAAABjEwMDMwOAQAAAABMgYAAAABMAcAAAADMTYwCAAAAAEwCQAAAAExCgAAAAEwCwAAAAo2ODgzNzAwNTI3DAAAAAIxMg0AAAAKMTEvMjYvMjAwNRtOVbuTc9UIa5SQrpdz1QgvQ0lRLk5BU0RBUUdTOklOVEMuSVFfUFJJQ0VfU0FMRVMuMjAwMC40LzIxLzIwMTEBAAAAh1IAAAIAAAAIMi41NzI5ODMBBwAAAAUAAAABMQEAAAAKMTQ0Mzc2NzAwMQMAAAABMAIAAAAFMzg5</t>
  </si>
  <si>
    <t>NTgEAAAAATAHAAAACTQvMjEvMjAxMQgAAAAJNC8yMS8yMDExu2qvvZNz1Qjbj1hJl3PVCCxDSVEuXlNQWC5JUV9URVZfVE9UQUxfUkVWX0ZXRC42MDAwLjYvMjUvMjAxNAEAAACbuCgAAgAAAAgxLjg3NDQ3OQArBFO7k3PVCIvBOEuXc9UINkNJUS5OYXNkYXFHUzpJTlRDLklRX1RFVl9UT1RBTF9SRVZfRldELjYwMDAuMTIvMTAvMjAxMAEAAACHUgAAAgAAABAyLjM1MTQzMjI2MDg2NjA1AQ0AAAAFAAAAATkBAAAABzI2MjEyOTUCAAAABzE3NTcxNjQDAAAABjEwMDMwNwQAAAABMgYAAAABMAcAAAADMTYwCAAAAAEwCQAAAAExCgAAAAEwCwAAAAo4ODY0NDIxMTExDAAAAAIxMg0AAAAKMTIvMTEvMjAxMLvUVruTc9UIaytQSZdz1QgvQ0lRLk5BU0RBUUdTOklOVEMuSVFfUEVfRVhDTF9GV0QuNjAwMC44LzI0LzIwMTIBAAAAh1IAAAIAAAAQOS42Mjc0MjUyMTQ1MDEwNAENAAAABQAAAAE5AQAAAAcyNjIxMjk1AgAAAAcxNzU3MTY5AwAAAAYxMDAzMDkEAAAAATIGAAAAATAHAAAAAzE2MAgAAAABMAkAAAABMQoAAAABMAsAAAAKODg2MzQzNDQ2MwwAAAACMTINAAAACTgvMjUvMjAxMrtMtL2Tc9UI+91YSZdz1Qg2Q0lRLk5hc2RhcUdTOklOVEMuSVFfVEVWX0VCSVREQV9GV0RfQ0lRLjYwMDAuOS8xMS8yMDA5AQAAAIdSAAACAAAAEDcuMzQ4MzIyOTAwMjAxMzMBDQAAAAUAAAABOQEAAAAHMjYyMTI5NQIAAAAH</t>
  </si>
  <si>
    <t>MTc1NzE2MAMAAAAGMTAwMzA4BAAAAAEyBgAAAAEwBwAAAAMxNjAIAAAAATAJAAAAATEKAAAAATALAAAACjgxNzI0MDMzNjAMAAAAAjEyDQAAAAk5LzEyLzIwMDm7TLS9k3PVCOvqjK6Xc9UIKENJUS5OQVNEQVFHUzpJTlRDLklRX1BUQlYuMjAwMC40LzI5LzIwMTYBAAAAh1IAAAIAAAAINC4zMjA3NDcBBwAAAAUAAAABMQEAAAAKMTc4NjM2OTk3NAMAAAABMAIAAAAGMTAwMDI5BAAAAAEwBwAAAAk0LzI5LzIwMTYIAAAACTQvMjkvMjAxNnudZrmTc9UIy4ZTSZdz1QgsQ0lRLk5BU0RBUUdTOklOVEMuSVFfTEFTVFNBTEVQUklDRS45LzEzLzIwMTcBAAAAh1IAAAIAAAAFMzYuMzMAK8NUuZNz1QgLgPpKl3PVCCxDSVEuXlNQWC5JUV9URVZfRUJJVERBX0ZXRF9DSVEuNjAwMC45LzQvMjAxMwEAAACbuCgAAgAAAAg4LjE0OTExNwDbuK+9k3PVCFsuPUuXc9UIIkNJUS5eU1BYLklRX0xBU1RTQUxFUFJJQ0UuMy80LzIwMTUBAAAAm7goAAIAAAAQMjA5OC41MzMwNTM1ODAzNgAb3VK7k3PVCOtYMkuXc9UILkNJUS5OQVNEQVFHUzpJTlRDLklRX1BSSUNFX1NBTEVTLjIwMDAuMy84LzIwMTcBAAAAh1IAAAIAAAAIMi44MzcwMjgBBwAAAAUAAAABMQEAAAAKMTgyODE3NDEyMgMAAAABMAIAAAAFMzg5NTgEAAAAATAHAAAACDMvOC8yMDE3CAAAAAgzLzgvMjAxN2t2ZrmTc9UIW48YS5dz1QgwQ0lRLk5BU0RBUUdTOklO</t>
  </si>
  <si>
    <t>VEMuSVFfUFJJQ0VfU0FMRVMuMjAwMC4xMS8xOC8yMDE1AQAAAIdSAAACAAAACDIuODU3ODEyAQcAAAAFAAAAATEBAAAACjE3NjE3MDY4MjcDAAAAATACAAAABTM4OTU4BAAAAAEwBwAAAAoxMS8xOC8yMDE1CAAAAAoxMS8xOC8yMDE169GItpNz1QgrEy5Ll3PVCCdDSVEuXlNQWC5JUV9QRV9FWENMX0ZXRC42MDAwLjExLzIwLzIwMTMBAAAAm7goAAIAAAAJMTUuMjU5MDQzAPslureTc9UIG5I8S5dz1QgpQ0lRLk5BU0RBUUdTOklOVEMuSVFfUFRCVi4yMDAwLjEyLzMxLzIwMDkBAAAAh1IAAAIAAAAIMy4zNDc0NDQBBwAAAAUAAAABMQEAAAAKMTIzNzU3NzEyNQMAAAABMAIAAAAGMTAwMDI5BAAAAAEwBwAAAAoxMi8zMS8yMDA5CAAAAAoxMi8zMS8yMDA5SxFVuZNz1Qgrj09Jl3PVCC9DSVEuTkFTREFRR1M6SU5UQy5JUV9QUklDRV9TQUxFUy4yMDAwLjcvMjEvMjAxNwEAAACHUgAAAgAAAAgyLjcxNjI1MQEHAAAABQAAAAExAQAAAAoxODM4MzYwMTMyAwAAAAEwAgAAAAUzODk1OAQAAAABMAcAAAAJNy8yMS8yMDE3CAAAAAk3LzIxLzIwMTfLsLm3k3PVCCseTUmXc9UINkNJUS5OYXNkYXFHUzpJTlRDLklRX1RFVl9FQklUREFfRldEX0NJUS42MDAwLjQvMTIvMjAwMgEAAACHUgAAAgAAABAxNi43OTUyMzAzMzI0OTE1AQ0AAAAFAAAAATkBAAAABzI2MjEyOTUCAAAABDE4NzcDAAAABjEwMDMwOAQAAAABMgYA</t>
  </si>
  <si>
    <t>AAABMAcAAAADMTYwCAAAAAEwCQAAAAExCgAAAAEwCwAAAAkzNjA2NTYwNTQMAAAAAjEyDQAAAAk0LzEzLzIwMDLrnrG7k3PVCDsfkK6Xc9UINkNJUS5OQVNEQVFHUzpJTlRDLklRX1RFVl9FQklUREFfRldEX0NJUS42MDAwLjUvMTgvMjAwMQEAAACHUgAAAgAAABAyMi45ODk2ODE0ODU3MzQ0AQ0AAAAFAAAAATkBAAAABzI2MjEyOTUCAAAABzM0MjExNjADAAAABjEwMDMwOAQAAAABMgYAAAABMAcAAAADMTYwCAAAAAEwCQAAAAExCgAAAAEwCwAAAAoxMTY5MTUyNDMyDAAAAAIxMg0AAAAJNS8xOS8yMDAxaxFWu5Nz1QiLcY6ul3PVCDZDSVEuTkFTREFRR1M6SU5UQy5JUV9URVZfRUJJVERBX0ZXRF9DSVEuNjAwMC43LzE0LzIwMDYBAAAAh1IAAAIAAAAQOC4zMzM5NDQ2NzA4MTI3OAENAAAABQAAAAE5AQAAAAcyNjIxMjk1AgAAAAcxNzU3MTUwAwAAAAYxMDAzMDgEAAAAATIGAAAAATAHAAAAAzE2MAgAAAABMAkAAAABMQoAAAABMAsAAAAKNjg4MzY5NDUyNgwAAAACMTINAAAACTcvMTUvMjAwNgsnVbuTc9UIS0aQrpdz1QgtQ0lRLk5BU0RBUUdTOklOVEMuSVFfTEFTVFNBTEVQUklDRS4xMS8yNi8yMDE0AQAAAIdSAAACAAAABDM2LjkAy5GvvZNz1Qh7KTZLl3PVCDZDSVEuTmFzZGFxR1M6SU5UQy5JUV9URVZfVE9UQUxfUkVWX0ZXRC42MDAwLjEyLzExLzIwMTUBAAAAh1IAAAIAAAAQMi44MTM1MTI0NDcw</t>
  </si>
  <si>
    <t>OTYzMgENAAAABQAAAAE5AQAAAAcyNjIxMjk1AgAAAAc4MDY4MjYyAwAAAAYxMDAzMDcEAAAAATIGAAAAATAHAAAAAzE2MAgAAAABMAkAAAABMQoAAAABMAsAAAAKOTE4MjQwNTU3MQwAAAACMTINAAAACjEyLzEyLzIwMTWr+1W5k3PVCCtxVEmXc9UIJ0NJUS5eU1BYLklRX1BFX0VYQ0xfRldELjYwMDAuMTEvMjkvMjAxNwEAAACbuCgAAgAAAAkxOC43MDI5MzkAm+tmuZNz1Qg7P8VKl3PVCDVDSVEuTmFzZGFxR1M6SU5UQy5JUV9URVZfVE9UQUxfUkVWX0ZXRC42MDAwLjMvMTkvMjAxMAEAAACHUgAAAgAAABAyLjcxMTU1MDA0NDcyODU1AQ0AAAAFAAAAATkBAAAABzI2MjEyOTUCAAAABDE4ODUDAAAABjEwMDMwNwQAAAABMgYAAAABMAcAAAADMTYwCAAAAAEwCQAAAAExCgAAAAEwCwAAAAkzNjA3MzYxNjgMAAAAAjEyDQAAAAkzLzIwLzIwMTCb/rO9k3PVCFvmVEmXc9UIL0NJUS5OQVNEQVFHUzpJTlRDLklRX1BFX0VYQ0xfRldELjYwMDAuOS8xMy8yMDAyAQAAAIdSAAACAAAAEDI1Ljg1NDgzODcwOTY3NzQBDQAAAAUAAAABOQEAAAAHMjYyMTI5NQIAAAAHMTc1NzEzOQMAAAAGMTAwMzA5BAAAAAEyBgAAAAEwBwAAAAMxNjAIAAAAATAJAAAAATEKAAAAATALAAAACjExNjkxNTMxNjYMAAAAAjEyDQAAAAk5LzE0LzIwMDJ7sLO9k3PVCBvZUUmXc9UII0NJUS5eU1BYLklRX0xBU1RTQUxFUFJJQ0UuMTEvOS8y</t>
  </si>
  <si>
    <t>MDE2AQAAAJu4KAACAAAAEDIxNjMuMjU3OTAzNDIwMTgAW09muZNz1Qjr0B5Ll3PVCDBDSVEuTkFTREFRR1M6SU5UQy5JUV9QRV9FWENMX0ZXRC42MDAwLjExLzE5LzIwMTABAAAAh1IAAAIAAAAQMTEuMjA2ODUwODQwNDQ3NQENAAAABQAAAAE5AQAAAAcyNjIxMjk1AgAAAAcxNzU3MTY0AwAAAAYxMDAzMDkEAAAAATIGAAAAATAHAAAAAzE2MAgAAAABMAkAAAABMQoAAAABMAsAAAAKODg2Mzg0NTMyNQwAAAACMTINAAAACjExLzIwLzIwMTCL17O9k3PVCOvUU0mXc9UILkNJUS5OQVNEQVFHUzpJTlRDLklRX1BSSUNFX1NBTEVTLjIwMDAuNC82LzIwMTYBAAAAh1IAAAIAAAAIMi43NDgxNDEBBwAAAAUAAAABMQEAAAAKMTc3NTkzMzE0MAMAAAABMAIAAAAFMzg5NTgEAAAAATAHAAAACDQvNi8yMDE2CAAAAAg0LzYvMjAxNqtDr72Tc9UIm0IqS5dz1QguQ0lRLk5BU0RBUUdTOklOVEMuSVFfUEVfRVhDTF9GV0QuNjAwMC4xLzcvMjAxMQEAAACHUgAAAgAAABAxMC45MDQ2NzY0NDg4NTQ2AQ0AAAAFAAAAATkBAAAABzI2MjEyOTUCAAAABzE3NTcxNjQDAAAABjEwMDMwOQQAAAABMgYAAAABMAcAAAADMTYwCAAAAAEwCQAAAAExCgAAAAEwCwAAAAo4ODYzODQ2MDE2DAAAAAIxMg0AAAAIMS84LzIwMTEr7bK9k3PVCCtTWUmXc9UILENJUS5OQVNEQVFHUzpJTlRDLklRX0xBU1RTQUxFUFJJQ0UuNi8xMC8yMDE1AQAA</t>
  </si>
  <si>
    <t>AIdSAAACAAAABTMxLjgyAMuRr72Tc9UIayAxS5dz1QgrQ0lRLl5TUFguSVFfVEVWX1RPVEFMX1JFVl9GV0QuNjAwMC4yLzMvMjAxNgEAAACbuCgAAgAAAAgxLjkwMTQ5OQCb62a5k3PVCDvJK0uXc9UIL0NJUS5OQVNEQVFHUzpJTlRDLklRX1BFX0VYQ0xfRldELjYwMDAuOS8xMi8yMDA4AQAAAIdSAAACAAAAEDE0LjQ5OTQyNDYyNjAwNjkBDQAAAAUAAAABOQEAAAAHMjYyMTI5NQIAAAAHMTc1NzE1NwMAAAAGMTAwMzA5BAAAAAEyBgAAAAEwBwAAAAMxNjAIAAAAATAJAAAAATEKAAAAATALAAAACjg4NjQ0ODY1OTAMAAAAAjEyDQAAAAk5LzEzLzIwMDg7FLO9k3PVCGsNVUmXc9UIL0NJUS5OQVNEQVFHUzpJTlRDLklRX1BFX0VYQ0xfRldELjYwMDAuMS8zMS8yMDAzAQAAAIdSAAACAAAADjI1LjI2MjI3NzE0NDg4AQ0AAAAFAAAAATkBAAAABzI2MjEyOTUCAAAABDE4NzgDAAAABjEwMDMwOQQAAAABMgYAAAABMAcAAAADMTYwCAAAAAEwCQAAAAExCgAAAAEwCwAAAAcxNTAwMzQyDAAAAAIxMg0AAAAIMi8xLzIwMDN7sLO9k3PVCNuPWEmXc9UINkNJUS5OYXNkYXFHUzpJTlRDLklRX1RFVl9FQklUREFfRldEX0NJUS42MDAwLjQvMjYvMjAxMwEAAACHUgAAAgAAABA1LjEzNjc5MTA1MjM0NzQ3AQ0AAAAFAAAAATkBAAAABzI2MjEyOTUCAAAABzM4Mjk3NTEDAAAABjEwMDMwOAQAAAABMgYAAAABMAcAAAADMTYw</t>
  </si>
  <si>
    <t>CAAAAAEwCQAAAAExCgAAAAEwCwAAAAo2OTU1NDA0NTY3DAAAAAIxMg0AAAAJNC8yNy8yMDEzm4ZWu5Nz1QhL1Y2ul3PVCCZDSVEuXlNQWC5JUV9QRV9FWENMX0ZXRC42MDAwLjgvMjYvMjAxNQEAAACbuCgAAgAAAAkxNS45MjA2NTcAKwRTu5Nz1QibJC9Ll3PVCDVDSVEuTmFzZGFxR1M6SU5UQy5JUV9URVZfVE9UQUxfUkVWX0ZXRC42MDAwLjcvMjQvMjAwOQEAAACHUgAAAgAAABAyLjg1Mjk4OTg2NDczMDk5AQ0AAAAFAAAAATkBAAAABzI2MjEyOTUCAAAABzE3NTcxNjADAAAABjEwMDMwNwQAAAABMgYAAAABMAcAAAADMTYwCAAAAAEwCQAAAAExCgAAAAEwCwAAAAo4ODY0MjExMzM1DAAAAAIxMg0AAAAJNy8yNS8yMDA5656xu5Nz1QibZFpJl3PVCDRDSVEuTmFzZGFxR1M6SU5UQy5JUV9URVZfVE9UQUxfUkVWX0ZXRC42MDAwLjcvMi8yMDEwAQAAAIdSAAACAAAAEDIuMTMzNjA2MTM4NzIzNjYBDQAAAAUAAAABOQEAAAAHMjYyMTI5NQIAAAAHMTc1NzE2MgMAAAAGMTAwMzA3BAAAAAEyBgAAAAEwBwAAAAMxNjAIAAAAATAJAAAAATEKAAAAATALAAAACjkxMTEwNTA4ODUMAAAAAjEyDQAAAAg3LzMvMjAxMOtvvLeTc9UIS2xNSZdz1QgeQ0lRLl5TUFguSVFfUFRCVi4yMDAwLjEvMS8yMDE0AQAAAJu4KAACAAAACDUuNDMxMTEzAFs4VbmTc9UIG5I8S5dz1QguQ0lRLk5BU0RBUUdTOklOVEMuSVFfUEVfRVhD</t>
  </si>
  <si>
    <t>TF9GV0QuNjAwMC40LzgvMjAwNQEAAACHUgAAAgAAAA8xOC4wODIyOTgxMzY2NDYBDQAAAAUAAAABOQEAAAAHMjYyMTI5NQIAAAAEMTg4MAMAAAAGMTAwMzA5BAAAAAEyBgAAAAEwBwAAAAMxNjAIAAAAATAJAAAAATEKAAAAATALAAAABzE1MDkxMTcMAAAAAjEyDQAAAAg0LzkvMjAwNasltL2Tc9UIq1ZOSZdz1QgnQ0lRLk5BU0RBUUdTOklOVEMuSVFfUFRCVi4yMDAwLjMvOS8yMDEyAQAAAIdSAAACAAAACDQuNDUzNzY3AQcAAAAFAAAAATEBAAAACjE1MjM0MDM4NDkDAAAAATACAAAABjEwMDAyOQQAAAABMAcAAAAIMy85LzIwMTIIAAAACDMvOS8yMDEya3ZmuZNz1QhrDVVJl3PVCCdDSVEuXlNQWC5JUV9QRV9FWENMX0ZXRC42MDAwLjEwLzI4LzIwMTUBAAAAm7goAAIAAAAIMTcuMjUyMzkAqxJnuZNz1QgrEy5Ll3PVCDZDSVEuTmFzZGFxR1M6SU5UQy5JUV9URVZfVE9UQUxfUkVWX0ZXRC42MDAwLjEwLzI2LzIwMDcBAAAAh1IAAAIAAAAQMy40MTk5NjM2NzUyMjE1NAENAAAABQAAAAE5AQAAAAcyNjIxMjk1AgAAAAcxNzU3MTU1AwAAAAYxMDAzMDcEAAAAATIGAAAAATAHAAAAAzE2MAgAAAABMAkAAAABMQoAAAABMAsAAAALMTAzNzg1ODYyMzQMAAAAAjEyDQAAAAoxMC8yNy8yMDA3uzlnuZNz1QhLv1RJl3PVCDZDSVEuTkFTREFRR1M6SU5UQy5JUV9URVZfRUJJVERBX0ZXRF9DSVEuNjAwMC44LzE4LzIw</t>
  </si>
  <si>
    <t>MDYBAAAAh1IAAAIAAAAQMTAuMDI3NzY3Mjc5OTYwMgENAAAABQAAAAE5AQAAAAcyNjIxMjk1AgAAAAcxNzU3MTUxAwAAAAYxMDAzMDgEAAAAATIGAAAAATAHAAAAAzE2MAgAAAABMAkAAAABMQoAAAABMAsAAAAKMTE2OTEzNDU2MAwAAAACMTINAAAACTgvMTkvMjAwNgsnVbuTc9UI+xGNrpdz1QgfQ0lRLl5TUFguSVFfUFRCVi4yMDAwLjMvMjcvMjAxMwEAAACbuCgAAgAAAAg0Ljg5NjczOQDLka+9k3PVCLsYPkuXc9UIMENJUS5OQVNEQVFHUzpJTlRDLklRX1BSSUNFX1NBTEVTLjIwMDAuMTAvMTkvMjAxMgEAAACHUgAAAgAAAAgxLjk4NzEwMwEHAAAABQAAAAExAQAAAAoxNTcxMzQ5MTIyAwAAAAEwAgAAAAUzODk1OAQAAAABMAcAAAAKMTAvMTkvMjAxMggAAAAKMTAvMTkvMjAxMrtqr72Tc9UIK1NZSZdz1QgnQ0lRLk5BU0RBUUdTOklOVEMuSVFfUFRCVi4yMDAwLjcvNy8yMDE3AQAAAIdSAAACAAAACDMuNjYwMjAzAQcAAAAFAAAAATEBAAAACjE4MzgzNjAxMzIDAAAAATACAAAABjEwMDAyOQQAAAABMAcAAAAINy83LzIwMTcIAAAACDcvNy8yMDE3C7ZSu5Nz1QgLlFZJl3PVCDVDSVEuTmFzZGFxR1M6SU5UQy5JUV9URVZfVE9UQUxfUkVWX0ZXRC42MDAwLjExLzcvMjAwMwEAAACHUgAAAgAAABA2LjIzNzI3MTk5NTcwNzc1AQ0AAAAFAAAAATkBAAAABzI2MjEyOTUCAAAABzE3NTcxNDMDAAAABjEwMDMw</t>
  </si>
  <si>
    <t>NwQAAAABMgYAAAABMAcAAAADMTYwCAAAAAEwCQAAAAExCgAAAAEwCwAAAAo5MTExMDYzMzE5DAAAAAIxMg0AAAAJMTEvOC8yMDAz23exu5Nz1QirGlhJl3PVCDVDSVEuTmFzZGFxR1M6SU5UQy5JUV9URVZfVE9UQUxfUkVWX0ZXRC42MDAwLjkvMTUvMjAxNwEAAACHUgAAAgAAABAyLjkwNDY1OTY5MDQzNDU2AQ0AAAAFAAAAATkBAAAABzI2MjEyOTUCAAAACDI3NTAwMTczAwAAAAYxMDAzMDcEAAAAATIGAAAAATAHAAAAAzE2MAgAAAABMAkAAAABMQoAAAABMAsAAAALMTA1Mzg5NjE0ODUMAAAAAjEyDQAAAAk5LzE2LzIwMTfrb7y3k3PVCIs9WkmXc9UINUNJUS5OYXNkYXFHUzpJTlRDLklRX1RFVl9UT1RBTF9SRVZfRldELjYwMDAuOS8xNC8yMDEyAQAAAIdSAAACAAAAEDIuMDU5NTcyODQ0MTI2MTQBDQAAAAUAAAABOQEAAAAHMjYyMTI5NQIAAAAHMTc1NzE2OQMAAAAGMTAwMzA3BAAAAAEyBgAAAAEwBwAAAAMxNjAIAAAAATAJAAAAATEKAAAAATALAAAACjg4NjQ0MzM4NTEMAAAAAjEyDQAAAAk5LzE1LzIwMTLrb7y3k3PVCAuUVkmXc9UINUNJUS5OYXNkYXFHUzpJTlRDLklRX1RFVl9FQklUREFfRldEX0NJUS42MDAwLjYvMi8yMDE3AQAAAIdSAAACAAAADzcuMjQ3NDUzMDcwMjA5OAENAAAABQAAAAE5AQAAAAcyNjIxMjk1AgAAAAgyNzUwMDE3MgMAAAAGMTAwMzA4BAAAAAEyBgAAAAEwBwAAAAMxNjAI</t>
  </si>
  <si>
    <t>AAAAATAJAAAAATEKAAAAATALAAAACzEwMTc3ODAxNTgwDAAAAAIxMg0AAAAINi8zLzIwMTerJbS9k3PVCMsNj66Xc9UIK0NJUS5eU1BYLklRX1RFVl9UT1RBTF9SRVZfRldELjYwMDAuOC83LzIwMTMBAAAAm7goAAIAAAAIMS42OTAwNDQAKwRTu5Nz1QhrVT1Ll3PVCDVDSVEuTmFzZGFxR1M6SU5UQy5JUV9URVZfRUJJVERBX0ZXRF9DSVEuNjAwMC45LzEvMjAxNwEAAACHUgAAAgAAABA2LjY1ODQyNjY3MjM1NjkzAQ0AAAAFAAAAATkBAAAABzI2MjEyOTUCAAAACDI3NTAwMTczAwAAAAYxMDAzMDgEAAAAATIGAAAAATAHAAAAAzE2MAgAAAABMAkAAAABMQoAAAABMAsAAAALMTA0OTE1ODY0OTIMAAAAAjEyDQAAAAg5LzIvMjAxN+tJV7uTc9UI28OMrpdz1Qg2Q0lRLk5hc2RhcUdTOklOVEMuSVFfVEVWX0VCSVREQV9GV0RfQ0lRLjYwMDAuNS8yOS8yMDE1AQAAAIdSAAACAAAAEDYuOTQxNzE5ODA3ODgzMTkBDQAAAAUAAAABOQEAAAAHMjYyMTI5NQIAAAAHODA2ODI2MAMAAAAGMTAwMzA4BAAAAAEyBgAAAAEwBwAAAAMxNjAIAAAAATAJAAAAATEKAAAAATALAAAACjg4ODY5MDI4MjgMAAAAAjEyDQAAAAk1LzMwLzIwMTWLtLC7k3PVCFttkK6Xc9UILkNJUS5OQVNEQVFHUzpJTlRDLklRX1BSSUNFX1NBTEVTLjIwMDAuOS80LzIwMTMBAAAAh1IAAAIAAAAIMi4xNTEwMjgBBwAAAAUAAAABMQEAAAAKMTYyODQz</t>
  </si>
  <si>
    <t>Njg0OQMAAAABMAIAAAAFMzg5NTgEAAAAATAHAAAACDkvNC8yMDEzCAAAAAg5LzQvMjAxM0sYsLuTc9UIWy49S5dz1Qg0Q0lRLk5hc2RhcUdTOklOVEMuSVFfVEVWX1RPVEFMX1JFVl9GV0QuNjAwMC45LzkvMjAxNgEAAACHUgAAAgAAABAzLjAyMTYxMTQyNTg4MjE3AQ0AAAAFAAAAATkBAAAABzI2MjEyOTUCAAAACDI3MDAzNjUyAwAAAAYxMDAzMDcEAAAAATIGAAAAATAHAAAAAzE2MAgAAAABMAkAAAABMQoAAAABMAsAAAAKOTcyODY1MTU0OAwAAAACMTINAAAACTkvMTAvMjAxNqsltL2Tc9UI+xlPSZdz1Qg1Q0lRLk5hc2RhcUdTOklOVEMuSVFfVEVWX1RPVEFMX1JFVl9GV0QuNjAwMC40LzE4LzIwMDgBAAAAh1IAAAIAAAAQMi45MjE0ODI2OTIwNTcxMQENAAAABQAAAAE5AQAAAAcyNjIxMjk1AgAAAAcxNzU3MTU2AwAAAAYxMDAzMDcEAAAAATIGAAAAATAHAAAAAzE2MAgAAAABMAkAAAABMQoAAAABMAsAAAAKODg2MzUxMDYxOQwAAAACMTINAAAACTQvMTkvMjAwOMtQsbuTc9UIqzhTSZdz1Qg1Q0lRLk5BU0RBUUdTOklOVEMuSVFfVEVWX0VCSVREQV9GV0RfQ0lRLjYwMDAuMS81LzIwMDEBAAAAh1IAAAMAAAAAAGsRVruTc9UIW22Qrpdz1QgwQ0lRLk5BU0RBUUdTOklOVEMuSVFfUEVfRVhDTF9GV0QuNjAwMC4xMC8xNy8yMDA4AQAAAIdSAAACAAAAEDEyLjE2OTI3MDYyODg3NjUBDQAAAAUAAAABOQEA</t>
  </si>
  <si>
    <t>AAAHMjYyMTI5NQIAAAAHMTc1NzE1OAMAAAAGMTAwMzA5BAAAAAEyBgAAAAEwBwAAAAMxNjAIAAAAATAJAAAAATEKAAAAATALAAAACjg4NjQ0ODI4ODMMAAAAAjEyDQAAAAoxMC8xOC8yMDA4OxSzvZNz1Qgbu1ZJl3PVCDVDSVEuTmFzZGFxR1M6SU5UQy5JUV9URVZfVE9UQUxfUkVWX0ZXRC42MDAwLjYvMjEvMjAwMgEAAACHUgAAAgAAAA00LjE4MDI5MjI5MDg0AQ0AAAAFAAAAATkBAAAABzI2MjEyOTUCAAAABzE3NTcxMzgDAAAABjEwMDMwNwQAAAABMgYAAAABMAcAAAADMTYwCAAAAAEwCQAAAAExCgAAAAEwCwAAAAoxMTY5MTI1NDE1DAAAAAIxMg0AAAAJNi8yMi8yMDAyi19Wu5Nz1QjbPFFJl3PVCC5DSVEuTkFTREFRR1M6SU5UQy5JUV9QRV9FWENMX0ZXRC42MDAwLjEvMi8yMDA0AQAAAIdSAAACAAAAEDI3LjcxOTM1ODczMTI1MzIBDQAAAAUAAAABOQEAAAAHMjYyMTI5NQIAAAAHMTc1NzE0MwMAAAAGMTAwMzA5BAAAAAEyBgAAAAEwBwAAAAMxNjAIAAAAATAJAAAAATEKAAAAATALAAAACjkwOTA2ODgyODcMAAAAAjEyDQAAAAgxLzMvMjAwNHuws72Tc9UIi1tVSZdz1QguQ0lRLk5BU0RBUUdTOklOVEMuSVFfUFJJQ0VfU0FMRVMuMjAwMC4xLzYvMjAxNgEAAACHUgAAAgAAAAgyLjg1MDkxNwEHAAAABQAAAAExAQAAAAoxNzYxNzA2ODI3AwAAAAEwAgAAAAUzODk1OAQAAAABMAcAAAAIMS82LzIwMTYI</t>
  </si>
  <si>
    <t>AAAACDEvNi8yMDE2e51muZNz1Qir2ixLl3PVCClDSVEuTkFTREFRR1M6SU5UQy5JUV9FUFNfTk9STV9FU1QuRlExMjAxOAEAAACHUgAAAgAAAAcwLjcxNTkxAQ4AAAAFAAAAATMBAAAABzI2MjEyOTUCAAAACjEwMDE1Mjg1MjMDAAAABjEwMDE3MwQAAAABMgYAAAABMAcAAAADMTYwCAAAAAEwCQAAAAExCgAAAAEwCwAAAAsxMDcxODUxMTA3NAwAAAABMg0AAAAJMi8xNS8yMDE4EAAAAAkyLzE0LzIwMTiLxGa5k3PVCHuUP0qXc9UIN0NJUS5OYXNkYXFHUzpJTlRDLklRX1RFVl9FQklUREFfRldEX0NJUS42MDAwLjEyLzIwLzIwMTMBAAAAh1IAAAIAAAAQNS43MjY5Mjc1OTYwMjI2OQENAAAABQAAAAE5AQAAAAcyNjIxMjk1AgAAAAczODI5NzUzAwAAAAYxMDAzMDgEAAAAATIGAAAAATAHAAAAAzE2MAgAAAABMAkAAAABMQoAAAABMAsAAAAKODE3MTU5MTI0OQwAAAACMTINAAAACjEyLzIxLzIwMTPL+1a7k3PVCBtgja6Xc9UIL0NJUS5OYXNkYXFHUzpJTlRDLklRX1BFX0VYQ0xfRldELjYwMDAuMy8xOC8yMDE2AQAAAIdSAAACAAAAEDEzLjc5Mzg2MDI5NzA2NjEBDQAAAAUAAAABOQEAAAAHMjYyMTI5NQIAAAAKMTAwMDkxNTQwMgMAAAAGMTAwMzA5BAAAAAEyBgAAAAEwBwAAAAMxNjAIAAAAATAJAAAAATEKAAAAATALAAAACjkzNTU1MDg4OTgMAAAAAjEyDQAAAAkzLzE5LzIwMTaL17O9k3PVCIt5UEmXc9UI</t>
  </si>
  <si>
    <t>LENJUS5OQVNEQVFHUzpJTlRDLklRX0xBU1RTQUxFUFJJQ0UuNS8yNS8yMDE2AQAAAIdSAAACAAAABTMxLjM5AFs/sLuTc9UIW6YpS5dz1Qg1Q0lRLk5hc2RhcUdTOklOVEMuSVFfVEVWX0VCSVREQV9GV0RfQ0lRLjYwMDAuMS8yLzIwMTUBAAAAh1IAAAIAAAAQNi45NjM3NTE5NTM4MTc0MgENAAAABQAAAAE5AQAAAAcyNjIxMjk1AgAAAAc0NDU2NDI5AwAAAAYxMDAzMDgEAAAAATIGAAAAATAHAAAAAzE2MAgAAAABMAkAAAABMQoAAAABMAsAAAAKODY0ODc5NjIzNgwAAAACMTINAAAACDEvMy8yMDE1u0y0vZNz1QiLcY6ul3PVCCZDSVEuXlNQWC5JUV9QRV9FWENMX0ZXRC42MDAwLjUvMTUvMjAxMwEAAACbuCgAAgAAAAkxNC43MjM3MTQA27ivvZNz1QiLoz1Ll3PVCC9DSVEuTkFTREFRR1M6SU5UQy5JUV9QRV9FWENMX0ZXRC42MDAwLjcvMTIvMjAxMwEAAACHUgAAAgAAABAxMi40NzY1MDg2NjU2OTIyAQ0AAAAFAAAAATkBAAAABzI2MjEyOTUCAAAABzM4Mjk3NTEDAAAABjEwMDMwOQQAAAABMgYAAAABMAcAAAADMTYwCAAAAAEwCQAAAAExCgAAAAEwCwAAAAo4NDYzMTU1NDc4DAAAAAIxMg0AAAAJNy8xMy8yMDEzC5+yvZNz1Qh7FlpJl3PVCCNDSVEuXlNQWC5JUV9MQVNUU0FMRVBSSUNFLjMvMjUvMjAxNQEAAACbuCgAAgAAABAyMDYxLjA0NzQ4MDkyMjkyAFs/sLuTc9UIywoyS5dz1QgsQ0lRLl5TUFgu</t>
  </si>
  <si>
    <t>SVFfVEVWX1RPVEFMX1JFVl9GV0QuNjAwMC41LzE1LzIwMTMBAAAAm7goAAIAAAAIMS42NTkwMTcAa2awu5Nz1Qibyj1Ll3PVCC9DSVEuTkFTREFRR1M6SU5UQy5JUV9QRV9FWENMX0ZXRC42MDAwLjkvMjIvMjAxNwEAAACHUgAAAgAAABAxMi4yMTA1ODE2MjgyOTY1AQ0AAAAFAAAAATkBAAAABzI2MjEyOTUCAAAACDI3NTAwMTczAwAAAAYxMDAzMDkEAAAAATIGAAAAATAHAAAAAzE2MAgAAAABMAkAAAABMQoAAAABMAsAAAALMTA1Mzg5NTc1MTkMAAAAAjEyDQAAAAk5LzIzLzIwMTfLArK9k3PVCKsaWEmXc9UILENJUS5eU1BYLklRX1RFVl9UT1RBTF9SRVZfRldELjYwMDAuNy8yMi8yMDE1AQAAAJu4KAACAAAACDIuMDQzMzg3ANu4r72Tc9UIK4QwS5dz1QgvQ0lRLk5BU0RBUUdTOklOVEMuSVFfUEVfRVhDTF9GV0QuNjAwMC43LzExLzIwMDgBAAAAh1IAAAIAAAAPMTUuNDcyMjYzODY4MDY2AQ0AAAAFAAAAATkBAAAABzI2MjEyOTUCAAAABzE3NTcxNTYDAAAABjEwMDMwOQQAAAABMgYAAAABMAcAAAADMTYwCAAAAAEwCQAAAAExCgAAAAEwCwAAAAo4MjQ4NTE1MjIzDAAAAAIxMg0AAAAJNy8xMi8yMDA4SzuzvZNz1QjrRVZJl3PVCCJDSVEuXlNQWC5JUV9MQVNUU0FMRVBSSUNFLjEvNC8yMDE3AQAAAJu4KAACAAAAEDIyNzAuNzUyNTMwMDYyMDgA6/65t5Nz1QhbABtLl3PVCCxDSVEuXlNQWC5JUV9URVZf</t>
  </si>
  <si>
    <t>VE9UQUxfUkVWX0ZXRC42MDAwLjExLzEvMjAxNwEAAACbuCgAAgAAAAgyLjI0NTkwMwB7hlW5k3PVCFt/8UqXc9UINUNJUS5OYXNkYXFHUzpJTlRDLklRX1RFVl9UT1RBTF9SRVZfRldELjYwMDAuOC8xMS8yMDE3AQAAAIdSAAACAAAAEDIuODIwNjQ1OTA3NTc4NTkBDQAAAAUAAAABOQEAAAAHMjYyMTI5NQIAAAAIMjc1MDAxNzMDAAAABjEwMDMwNwQAAAABMgYAAAABMAcAAAADMTYwCAAAAAEwCQAAAAExCgAAAAEwCwAAAAsxMDY5ODk2NDA3MQwAAAACMTINAAAACTgvMTIvMjAxN5vUVbmTc9UIyzNMSZdz1QgvQ0lRLk5BU0RBUUdTOklOVEMuSVFfUEVfRVhDTF9GV0QuNjAwMC4yLzI0LzIwMDYBAAAAh1IAAAIAAAAQMTQuNDQ5OTY0NTEzODM5NgENAAAABQAAAAE5AQAAAAcyNjIxMjk1AgAAAAQxODgxAwAAAAYxMDAzMDkEAAAAATIGAAAAATAHAAAAAzE2MAgAAAABMAkAAAABMQoAAAABMAsAAAAHMTUxNjc4MAwAAAACMTINAAAACTIvMjUvMjAwNltis72Tc9UIi8xXSZdz1Qg1Q0lRLk5hc2RhcUdTOklOVEMuSVFfVEVWX0VCSVREQV9GV0RfQ0lRLjYwMDAuNi82LzIwMDgBAAAAh1IAAAIAAAAQNy41ODgyNzY5MDcyNDgzNwENAAAABQAAAAE5AQAAAAcyNjIxMjk1AgAAAAcxNzU3MTU2AwAAAAYxMDAzMDgEAAAAATIGAAAAATAHAAAAAzE2MAgAAAABMAkAAAABMQoAAAABMAsAAAAKNjcyNzQ4OTY3NwwAAAAC</t>
  </si>
  <si>
    <t>MTINAAAACDYvNy8yMDA4ezhWu5Nz1QhrI46ul3PVCC9DSVEuTkFTREFRR1M6SU5UQy5JUV9QRV9FWENMX0ZXRC42MDAwLjEvMjQvMjAxNAEAAACHUgAAAgAAABAxMy4zOTQzMDMyMzcwOTE2AQ0AAAAFAAAAATkBAAAABzI2MjEyOTUCAAAABzQ0NTY0MjEDAAAABjEwMDMwOQQAAAABMgYAAAABMAcAAAADMTYwCAAAAAEwCQAAAAExCgAAAAEwCwAAAAo2NTI4OTc5NTg5DAAAAAIxMg0AAAAJMS8yNS8yMDE0+3eyvZNz1QgrcVRJl3PVCC5DSVEuTkFTREFRR1M6SU5UQy5JUV9QRV9FWENMX0ZXRC42MDAwLjcvNy8yMDA2AQAAAIdSAAACAAAAEDIwLjYyOTA5ODU4ODQxODQBDQAAAAUAAAABOQEAAAAHMjYyMTI5NQIAAAAHMTc1NzE1MAMAAAAGMTAwMzA5BAAAAAEyBgAAAAEwBwAAAAMxNjAIAAAAATAJAAAAATEKAAAAATALAAAACjg4NjI5MTU5NTQMAAAAAjEyDQAAAAg3LzgvMjAwNpv+s72Tc9UIexZaSZdz1QgvQ0lRLk5hc2RhcUdTOklOVEMuSVFfUEVfRVhDTF9GV0QuNjAwMC42LzIyLzIwMDEBAAAAh1IAAAIAAAAQNTIuMjkwNDIwMDcyMjI5NgENAAAABQAAAAE5AQAAAAcyNjIxMjk1AgAAAAczNDIxMTYwAwAAAAYxMDAzMDkEAAAAATIGAAAAATAHAAAAAzE2MAgAAAABMAkAAAABMQoAAAABMAsAAAAKMTE2OTE3MzIwMwwAAAACMTINAAAACTYvMjMvMjAwMZv+s72Tc9UIKx5NSZdz1QgtQ0lRLl5TUFguSVFf</t>
  </si>
  <si>
    <t>VEVWX0VCSVREQV9GV0RfQ0lRLjYwMDAuMS8yNS8yMDE3AQAAAJu4KAACAAAACTEwLjE3MzM5NADr/rm3k3PVCFsAG0uXc9UIL0NJUS5OQVNEQVFHUzpJTlRDLklRX1BFX0VYQ0xfRldELjYwMDAuOC8xMC8yMDA3AQAAAIdSAAACAAAAEDE5LjUxODE1MDc0MDY4MDUBDQAAAAUAAAABOQEAAAAHMjYyMTI5NQIAAAAHMTc1NzE1NAMAAAAGMTAwMzA5BAAAAAEyBgAAAAEwBwAAAAMxNjAIAAAAATAJAAAAATEKAAAAATALAAAACzEwMzM0MjA3MTA1DAAAAAIxMg0AAAAJOC8xMS8yMDA3SzuzvZNz1QhLoVlJl3PVCChDSVEuTkFTREFRR1M6SU5UQy5JUV9QVEJWLjIwMDAuNi8yNC8yMDExAQAAAIdSAAACAAAACDMuNjAxNzMyAQcAAAAFAAAAATEBAAAACjE0NTI0NzU4NzIDAAAAATACAAAABjEwMDAyOQQAAAABMAcAAAAJNi8yNC8yMDExCAAAAAk2LzI0LzIwMTG7aq+9k3PVCLtBWEmXc9UIL0NJUS5OQVNEQVFHUzpJTlRDLklRX1BSSUNFX1NBTEVTLjIwMDAuMy8yNS8yMDExAQAAAIdSAAACAAAACDIuNTkzOTM3AQcAAAAFAAAAATEBAAAACjE0MzA2MjQ1MDkDAAAAATACAAAABTM4OTU4BAAAAAEwBwAAAAkzLzI1LzIwMTEIAAAACTMvMjUvMjAxMcuwubeTc9UIC9BMSZdz1Qg0Q0lRLk5hc2RhcUdTOklOVEMuSVFfVEVWX1RPVEFMX1JFVl9GV0QuNjAwMC45LzkvMjAwNQEAAACHUgAAAgAAABAzLjQ0NDI2NTEyNDc0</t>
  </si>
  <si>
    <t>ODkyAQ0AAAAFAAAAATkBAAAABzI2MjEyOTUCAAAABzE3NTcxNDgDAAAABjEwMDMwNwQAAAABMgYAAAABMAcAAAADMTYwCAAAAAEwCQAAAAExCgAAAAEwCwAAAAo2NzI2ODUyNTM0DAAAAAIxMg0AAAAJOS8xMC8yMDA1C/1nuZNz1QiLW1VJl3PVCC5DSVEuTkFTREFRR1M6SU5UQy5JUV9QUklDRV9TQUxFUy4yMDAwLjkvMi8yMDExAQAAAIdSAAACAAAACDIuMjE3OTAzAQcAAAAFAAAAATEBAAAACjE0NjU2MzEwNzEDAAAAATACAAAABTM4OTU4BAAAAAEwBwAAAAg5LzIvMjAxMQgAAAAIOS8yLzIwMTFLEVW5k3PVCBtoT0mXc9UIN0NJUS5OYXNkYXFHUzpJTlRDLklRX1RFVl9FQklUREFfRldEX0NJUS42MDAwLjEwLzI1LzIwMTMBAAAAh1IAAAIAAAAQNS40OTY4ODY0ODI3NzI4NgENAAAABQAAAAE5AQAAAAcyNjIxMjk1AgAAAAczODI5NzUzAwAAAAYxMDAzMDgEAAAAATIGAAAAATAHAAAAAzE2MAgAAAABMAkAAAABMQoAAAABMAsAAAAKNzYxNzU3NzIxOQwAAAACMTINAAAACjEwLzI2LzIwMTPbIle7k3PVCBtgja6Xc9UINUNJUS5OYXNkYXFHUzpJTlRDLklRX1RFVl9UT1RBTF9SRVZfRldELjYwMDAuNi8xMy8yMDAzAQAAAIdSAAACAAAAEDQuNDE1MzE5ODAxODkxMzcBDQAAAAUAAAABOQEAAAAHMjYyMTI5NQIAAAAHMTc1NzE0MQMAAAAGMTAwMzA3BAAAAAEyBgAAAAEwBwAAAAMxNjAIAAAAATAJAAAAATEK</t>
  </si>
  <si>
    <t>AAAAATALAAAACjExNjkxMjY2NTcMAAAAAjEyDQAAAAk2LzE0LzIwMDOb/rO9k3PVCAtBT0mXc9UINkNJUS5OQVNEQVFHUzpJTlRDLklRX1RFVl9FQklUREFfRldEX0NJUS42MDAwLjMvMjQvMjAwNgEAAACHUgAAAgAAABA4LjIzMzAzODEwMjYxODQxAQ0AAAAFAAAAATkBAAAABzI2MjEyOTUCAAAABDE4ODEDAAAABjEwMDMwOAQAAAABMgYAAAABMAcAAAADMTYwCAAAAAEwCQAAAAExCgAAAAEwCwAAAAkzNjA2NzU2MDYMAAAAAjEyDQAAAAkzLzI1LzIwMDYbTlW7k3PVCEtGkK6Xc9UIL0NJUS5OQVNEQVFHUzpJTlRDLklRX1BSSUNFX1NBTEVTLjIwMDAuMTAvNi8yMDE3AQAAAIdSAAACAAAACDMuMDM0OTc1AQcAAAAFAAAAATEBAAAACjE4NTA2MTg2NjQDAAAAATACAAAABTM4OTU4BAAAAAEwBwAAAAkxMC82LzIwMTcIAAAACTEwLzYvMjAxN6tDr72Tc9UIS6FZSZdz1QgvQ0lRLk5BU0RBUUdTOklOVEMuSVFfUFJJQ0VfU0FMRVMuMjAwMC4zLzIyLzIwMTcBAAAAh1IAAAIAAAAIMi44MTcxMTYBBwAAAAUAAAABMQEAAAAKMTgyODE3NDEyMgMAAAABMAIAAAAFMzg5NTgEAAAAATAHAAAACTMvMjIvMjAxNwgAAAAJMy8yMi8yMDE3u2qvvZNz1QjrfRdLl3PVCDVDSVEuTkFTREFRR1M6SU5UQy5JUV9URVZfRUJJVERBX0ZXRF9DSVEuNjAwMC45LzUvMjAwMwEAAACHUgAAAgAAABAxMy4wNTY0NzcxODc3MzM3AQ0A</t>
  </si>
  <si>
    <t>AAAFAAAAATkBAAAABzI2MjEyOTUCAAAABzE3NTcxNDIDAAAABjEwMDMwOAQAAAABMgYAAAABMAcAAAADMTYwCAAAAAEwCQAAAAExCgAAAAEwCwAAAAoxMTY5MTI3NjgxDAAAAAIxMg0AAAAIOS82LzIwMDM7nFW7k3PVCHtKjq6Xc9UIH0NJUS5eU1BYLklRX1BUQlYuMjAwMC41LzI0LzIwMTcBAAAAm7goAAIAAAAIOC41Mzg3MjIAy5GvvZNz1QhLFRFLl3PVCDRDSVEuTmFzZGFxR1M6SU5UQy5JUV9URVZfVE9UQUxfUkVWX0ZXRC42MDAwLjYvNS8yMDA5AQAAAIdSAAACAAAAEDIuNTcwNDM5MDkwOTA3NzgBDQAAAAUAAAABOQEAAAAHMjYyMTI5NQIAAAAHMTc1NzE1OQMAAAAGMTAwMzA3BAAAAAEyBgAAAAEwBwAAAAMxNjAIAAAAATAJAAAAATEKAAAAATALAAAACjg4NjQyMjA2OTMMAAAAAjEyDQAAAAg2LzYvMjAwOctJVrmTc9UIWyJLSZdz1Qg1Q0lRLk5hc2RhcUdTOklOVEMuSVFfVEVWX0VCSVREQV9GV0RfQ0lRLjYwMDAuMS82LzIwMDYBAAAAh1IAAAIAAAAQOC4xNDQxNDU0NTczODExOQENAAAABQAAAAE5AQAAAAcyNjIxMjk1AgAAAAcxNzU3MTQ5AwAAAAYxMDAzMDgEAAAAATIGAAAAATAHAAAAAzE2MAgAAAABMAkAAAABMQoAAAABMAsAAAAKNjg4MzcwMDUyOAwAAAACMTINAAAACDEvNy8yMDA2y/tWu5Nz1Qj7EY2ul3PVCDZDSVEuTmFzZGFxR1M6SU5UQy5JUV9URVZfVE9UQUxfUkVWX0ZXRC42MDAw</t>
  </si>
  <si>
    <t>LjEwLzMxLzIwMTQBAAAAh1IAAAIAAAAQMi44MjAwMzU2NTA3MTA1MgENAAAABQAAAAE5AQAAAAcyNjIxMjk1AgAAAAc0NDU2NDI5AwAAAAYxMDAzMDcEAAAAATIGAAAAATAHAAAAAzE2MAgAAAABMAkAAAABMQoAAAABMAsAAAAKODg2NDQ0MTczMwwAAAACMTINAAAACTExLzEvMjAxNJv+s72Tc9UIaytQSZdz1QgrQ0lRLk5BU0RBUUdTOklOVEMuSVFfTEFTVFNBTEVQUklDRS44LzcvMjAxMwEAAACHUgAAAgAAAAQyMi43AAu2UruTc9UIa1U9S5dz1QgsQ0lRLk5BU0RBUUdTOklOVEMuSVFfTEFTVFNBTEVQUklDRS41LzE3LzIwMTcBAAAAh1IAAAIAAAAFMzUuMDQASyhmuZNz1Qir/xFLl3PVCDRDSVEuTmFzZGFxR1M6SU5UQy5JUV9URVZfVE9UQUxfUkVWX0ZXRC42MDAwLjYvNi8yMDA4AQAAAIdSAAACAAAAEDIuOTY3MTY3NzgzNzQzOTYBDQAAAAUAAAABOQEAAAAHMjYyMTI5NQIAAAAHMTc1NzE1NgMAAAAGMTAwMzA3BAAAAAEyBgAAAAEwBwAAAAMxNjAIAAAAATAJAAAAATEKAAAAATALAAAACjIwMzcxNTMzOTcMAAAAAjEyDQAAAAg2LzcvMjAwOMshvLeTc9UIW1dXSZdz1QgwQ0lRLk5BU0RBUUdTOklOVEMuSVFfUEVfRVhDTF9GV0QuNjAwMC4xMi8xOS8yMDA4AQAAAIdSAAACAAAAEDE5Ljk0MTk5Njk2MTc0NTYBDQAAAAUAAAABOQEAAAAHMjYyMTI5NQIAAAAHMTc1NzE1OAMAAAAGMTAwMzA5BAAAAAEy</t>
  </si>
  <si>
    <t>BgAAAAEwBwAAAAMxNjAIAAAAATAJAAAAATEKAAAAATALAAAACjg4NjQ0ODM2MzUMAAAAAjEyDQAAAAoxMi8yMC8yMDA4OxSzvZNz1QhbdVJJl3PVCChDSVEuTkFTREFRR1M6SU5UQy5JUV9QVEJWLjIwMDAuMy8zMC8yMDEyAQAAAIdSAAACAAAACDQuNjI1Njk5AQcAAAAFAAAAATEBAAAACjE1MjM0MDM4NDkDAAAAATACAAAABjEwMDAyOQQAAAABMAcAAAAJMy8zMC8yMDEyCAAAAAkzLzMwLzIwMTK7aq+9k3PVCPvdWEmXc9UILkNJUS5OQVNEQVFHUzpJTlRDLklRX1BFX0VYQ0xfRldELjYwMDAuMi80LzIwMDUBAAAAh1IAAAIAAAAQMTguNTkzMzcxMDU5MDEzNwENAAAABQAAAAE5AQAAAAcyNjIxMjk1AgAAAAQxODgwAwAAAAYxMDAzMDkEAAAAATIGAAAAATAHAAAAAzE2MAgAAAABMAkAAAABMQoAAAABMAsAAAAHMTUwOTA2NgwAAAACMTINAAAACDIvNS8yMDA1a4mzvZNz1QjbrVNJl3PVCDVDSVEuTmFzZGFxR1M6SU5UQy5JUV9URVZfVE9UQUxfUkVWX0ZXRC42MDAwLjExLzYvMjAwOQEAAACHUgAAAgAAABAyLjQ1MTg4MzY4MTQ2NDcyAQ0AAAAFAAAAATkBAAAABzI2MjEyOTUCAAAABzE3NTcxNjEDAAAABjEwMDMwNwQAAAABMgYAAAABMAcAAAADMTYwCAAAAAEwCQAAAAExCgAAAAEwCwAAAAoxMTY5MTUwMTc1DAAAAAIxMg0AAAAJMTEvNy8yMDA5u0y0vZNz1QirqVVJl3PVCC9DSVEuTkFTREFRR1M6SU5U</t>
  </si>
  <si>
    <t>Qy5JUV9QRV9FWENMX0ZXRC42MDAwLjkvMjAvMjAwMgEAAACHUgAAAgAAABAyNC4yNjcxMDA5NzcxOTg3AQ0AAAAFAAAAATkBAAAABzI2MjEyOTUCAAAABzE3NTcxMzkDAAAABjEwMDMwOQQAAAABMgYAAAABMAcAAAADMTYwCAAAAAEwCQAAAAExCgAAAAEwCwAAAAoxMTY5MTUzMTcxDAAAAAIxMg0AAAAJOS8yMS8yMDAye7CzvZNz1QibZFpJl3PVCCtDSVEuTkFTREFRR1M6SU5UQy5JUV9MQVNUU0FMRVBSSUNFLjQvOS8yMDE0AQAAAIdSAAACAAAABTI2Ljk4AFs/sLuTc9UIS5Y6S5dz1QgrQ0lRLk5BU0RBUUdTOklOVEMuSVFfTEFTVFNBTEVQUklDRS41LzcvMjAxNAEAAACHUgAAAgAAAAUyNi4zNwAb3VK7k3PVCNuEOUuXc9UILkNJUS5eU1BYLklRX1RFVl9FQklUREFfRldEX0NJUS42MDAwLjEyLzE4LzIwMTMBAAAAm7goAAIAAAAIOC42ODMwNjkAqxJnuZNz1QgbkjxLl3PVCC1DSVEuXlNQWC5JUV9URVZfRUJJVERBX0ZXRF9DSVEuNjAwMC45LzE4LzIwMTMBAAAAm7goAAIAAAAIOC40NTA1NzcAe4ZVuZNz1QhLBz1Ll3PVCCxDSVEuXlNQWC5JUV9URVZfRUJJVERBX0ZXRF9DSVEuNjAwMC44LzUvMjAxNQEAAACbuCgAAgAAAAg5LjgxNjUzMQDr36+9k3PVCAs2MEuXc9UII0NJUS5eU1BYLklRX0xBU1RTQUxFUFJJQ0UuNi8xNy8yMDE1AQAAAJu4KAACAAAAEDIxMDAuNDQzNzIwOTAzMzcAy5GvvZNz1Qg7</t>
  </si>
  <si>
    <t>qzBLl3PVCC9DSVEuTkFTREFRR1M6SU5UQy5JUV9QRV9FWENMX0ZXRC42MDAwLjMvMTIvMjAwNAEAAACHUgAAAgAAABAyMi40NTc0MjA5MjQ1NzQyAQ0AAAAFAAAAATkBAAAABzI2MjEyOTUCAAAABDE4NzkDAAAABjEwMDMwOQQAAAABMgYAAAABMAcAAAADMTYwCAAAAAEwCQAAAAExCgAAAAEwCwAAAAcxNTA0MDg2DAAAAAIxMg0AAAAJMy8xMy8yMDA0a4mzvZNz1QhrDVVJl3PVCDdDSVEuTkFTREFRR1M6SU5UQy5JUV9URVZfRUJJVERBX0ZXRF9DSVEuNjAwMC4xMC8xNC8yMDA1AQAAAIdSAAACAAAAEDcuMjQwNzE3OTczMTgyMzIBDQAAAAUAAAABOQEAAAAHMjYyMTI5NQIAAAAHMTc1NzE0OAMAAAAGMTAwMzA4BAAAAAEyBgAAAAEwBwAAAAMxNjAIAAAAATAJAAAAATEKAAAAATALAAAACjExNjkxMzA5NjcMAAAAAjEyDQAAAAoxMC8xNS8yMDA1G05Vu5Nz1Qi75o6ul3PVCDBDSVEuTkFTREFRR1M6SU5UQy5JUV9QRV9FWENMX0ZXRC42MDAwLjEwLzMxLzIwMTQBAAAAh1IAAAIAAAAQMTQuMjQzODMyOTc3MzQyMgENAAAABQAAAAE5AQAAAAcyNjIxMjk1AgAAAAc0NDU2NDI5AwAAAAYxMDAzMDkEAAAAATIGAAAAATAHAAAAAzE2MAgAAAABMAkAAAABMQoAAAABMAsAAAAKODY0ODc5NDIzOQwAAAACMTINAAAACTExLzEvMjAxNLtMtL2Tc9UIe8NSSZdz1QgpQ0lRLk5BU0RBUUdTOklOVEMuSVFfUFRCVi4yMDAw</t>
  </si>
  <si>
    <t>LjExLzE1LzIwMTMBAAAAh1IAAAIAAAAIMy4wODMwNTYBBwAAAAUAAAABMQEAAAAKMTY0MjQ4Mzc5MgMAAAABMAIAAAAGMTAwMDI5BAAAAAEwBwAAAAoxMS8xNS8yMDEzCAAAAAoxMS8xNS8yMDEzy7C5t5Nz1Qj7qExJl3PVCCdDSVEuTkFTREFRR1M6SU5UQy5JUV9QVEJWLjIwMDAuOC83LzIwMTUBAAAAh1IAAAIAAAAIMy4yMzQ5NzkBBwAAAAUAAAABMQEAAAAKMTc0NzM1OTUxMgMAAAABMAIAAAAGMTAwMDI5BAAAAAEwBwAAAAg4LzcvMjAxNQgAAAAIOC83LzIwMTU76lS5k3PVCFsEUEmXc9UIK0NJUS5OQVNEQVFHUzpJTlRDLklRX0xBU1RTQUxFUFJJQ0UuNy82LzIwMTYBAAAAh1IAAAIAAAAFMzIuOTcAK8NUuZNz1QjLRihLl3PVCClDSVEuTkFTREFRR1M6SU5UQy5JUV9QVEJWLjIwMDAuMTEvMjQvMjAxNwEAAACHUgAAAgAAAAg2LjI1MzY5NQEHAAAABQAAAAExAQAAAAoxODYyNzU4MDQzAwAAAAEwAgAAAAYxMDAwMjkEAAAAATAHAAAACjExLzI0LzIwMTcIAAAACjExLzI0LzIwMTf7jlK7k3PVCFtXV0mXc9UILkNJUS5OQVNEQVFHUzpJTlRDLklRX1BFX0VYQ0xfRldELjYwMDAuNi8zLzIwMTEBAAAAh1IAAAIAAAAQOS41MjUyNzA2Nzg5OTg4MgENAAAABQAAAAE5AQAAAAcyNjIxMjk1AgAAAAcxNzU3MTY1AwAAAAYxMDAzMDkEAAAAATIGAAAAATAHAAAAAzE2MAgAAAABMAkAAAABMQoAAAABMAsAAAAK</t>
  </si>
  <si>
    <t>ODg2MzM2MjUxMAwAAAACMTINAAAACDYvNC8yMDExG8ayvZNz1Qjr1FNJl3PVCDdDSVEuTkFTREFRR1M6SU5UQy5JUV9URVZfRUJJVERBX0ZXRF9DSVEuNjAwMC4xMS8xNy8yMDA2AQAAAIdSAAACAAAAEDkuNTQxMzc0NzM5OTk1NTgBDQAAAAUAAAABOQEAAAAHMjYyMTI5NQIAAAAHMTc1NzE1MgMAAAAGMTAwMzA4BAAAAAEyBgAAAAEwBwAAAAMxNjAIAAAAATAJAAAAATEKAAAAATALAAAACjY4MzE0NDA2MTcMAAAAAjEyDQAAAAoxMS8xOC8yMDA2CydVu5Nz1Qg7H5Cul3PVCC9DSVEuTkFTREFRR1M6SU5UQy5JUV9QUklDRV9TQUxFUy4yMDAwLjIvMTIvMjAxNgEAAACHUgAAAgAAAAgyLjQ1MzQ1MgEHAAAABQAAAAExAQAAAAoxNzc1OTMzMTQwAwAAAAEwAgAAAAUzODk1OAQAAAABMAcAAAAJMi8xMi8yMDE2CAAAAAkyLzEyLzIwMTa7aq+9k3PVCMtoWEmXc9UINkNJUS5OYXNkYXFHUzpJTlRDLklRX1RFVl9FQklUREFfRldEX0NJUS42MDAwLjYvMTUvMjAxMgEAAACHUgAAAgAAABA0Ljk5OTAwODE1NjQxOTQ3AQ0AAAAFAAAAATkBAAAABzI2MjEyOTUCAAAABzE3NTcxNjgDAAAABjEwMDMwOAQAAAABMgYAAAABMAcAAAADMTYwCAAAAAEwCQAAAAExCgAAAAEwCwAAAAo2OTU1NDEyNTE2DAAAAAIxMg0AAAAJNi8xNi8yMDEyi19Wu5Nz1Qjr6oyul3PVCDZDSVEuTmFzZGFxR1M6SU5UQy5JUV9URVZfVE9UQUxf</t>
  </si>
  <si>
    <t>UkVWX0ZXRC42MDAwLjEyLzI2LzIwMDgBAAAAh1IAAAIAAAAPMi4wOTEzNDc0NDg2NjUyAQ0AAAAFAAAAATkBAAAABzI2MjEyOTUCAAAABzE3NTcxNTgDAAAABjEwMDMwNwQAAAABMgYAAAABMAcAAAADMTYwCAAAAAEwCQAAAAExCgAAAAEwCwAAAAo4MTcxNTc0NzY5DAAAAAIxMg0AAAAKMTIvMjcvMjAwOLv6u7eTc9UIK+JWSZdz1Qg0Q0lRLk5hc2RhcUdTOklOVEMuSVFfVEVWX1RPVEFMX1JFVl9GV0QuNjAwMC40LzMvMjAwOQEAAACHUgAAAgAAABAyLjY3MjQ2MTQ4NjI0NjE3AQ0AAAAFAAAAATkBAAAABzI2MjEyOTUCAAAABDE4ODQDAAAABjEwMDMwNwQAAAABMgYAAAABMAcAAAADMTYwCAAAAAEwCQAAAAExCgAAAAEwCwAAAAkzNjA3MTU5ODAMAAAAAjEyDQAAAAg0LzQvMjAwOasltL2Tc9UI+2xWSZdz1Qg1Q0lRLk5hc2RhcUdTOklOVEMuSVFfVEVWX1RPVEFMX1JFVl9GV0QuNjAwMC43LzEzLzIwMTIBAAAAh1IAAAIAAAAQMi4wNjYzODM3MzcyMjYyMwENAAAABQAAAAE5AQAAAAcyNjIxMjk1AgAAAAcxNzU3MTY4AwAAAAYxMDAzMDcEAAAAATIGAAAAATAHAAAAAzE2MAgAAAABMAkAAAABMQoAAAABMAsAAAAKODg2NDQzMzAwOAwAAAACMTINAAAACTcvMTQvMjAxMttIvLeTc9UIe1JQSZdz1Qg1Q0lRLk5hc2RhcUdTOklOVEMuSVFfVEVWX1RPVEFMX1JFVl9GV0QuNjAwMC45LzEzLzIwMTMBAAAAh1IA</t>
  </si>
  <si>
    <t>AAIAAAAQMi4wOTE2NTYxNzUzMTY1NAENAAAABQAAAAE5AQAAAAcyNjIxMjk1AgAAAAczODI5NzUyAwAAAAYxMDAzMDcEAAAAATIGAAAAATAHAAAAAzE2MAgAAAABMAkAAAABMQoAAAABMAsAAAAKODg2MDk4ODQwNAwAAAACMTINAAAACTkvMTQvMjAxM7tMtL2Tc9UIqxpYSZdz1QgsQ0lRLl5TUFguSVFfVEVWX1RPVEFMX1JFVl9GV0QuNjAwMC4xLzEzLzIwMTYBAAAAm7goAAIAAAAIMS44ODc0ODkA+yW6t5Nz1QhrPixLl3PVCCxDSVEuXlNQWC5JUV9URVZfVE9UQUxfUkVWX0ZXRC42MDAwLjEyLzcvMjAxNgEAAACbuCgAAgAAAAgyLjEwODM0NQDbuK+9k3PVCKs0HkuXc9UII0NJUS5eU1BYLklRX0xBU1RTQUxFUFJJQ0UuNi8yNi8yMDEzAQAAAJu4KAACAAAAEDE2MDMuMjU2ODY2ODYzMDYAK8NUuZNz1Qh7fD1Ll3PVCC5DSVEuTkFTREFRR1M6SU5UQy5JUV9QUklDRV9TQUxFUy4yMDAwLjYvNy8yMDE3AQAAAIdSAAACAAAACDIuODM1OTEzAQcAAAAFAAAAATEBAAAACjE4MzgzNjAxMzIDAAAAATACAAAABTM4OTU4BAAAAAEwBwAAAAg2LzcvMjAxNwgAAAAINi83LzIwMTd7nWa5k3PVCGvyDkuXc9UILENJUS5eU1BYLklRX1RFVl9UT1RBTF9SRVZfRldELjYwMDAuOC8yMy8yMDE3AQAAAJu4KAACAAAACDIuMjA1OTc5AGtfVbmTc9UI6xP/Spdz1Qg1Q0lRLk5hc2RhcUdTOklOVEMuSVFfVEVWX0VCSVREQV9G</t>
  </si>
  <si>
    <t>V0RfQ0lRLjYwMDAuMi83LzIwMTQBAAAAh1IAAAIAAAAQNS40Mzc0ODM0MjE5NjYxNAENAAAABQAAAAE5AQAAAAcyNjIxMjk1AgAAAAc0NDU2NDIxAwAAAAYxMDAzMDgEAAAAATIGAAAAATAHAAAAAzE2MAgAAAABMAkAAAABMQoAAAABMAsAAAAKNjQ5NzkzMzE4MgwAAAACMTINAAAACDIvOC8yMDE0m9uwu5Nz1Qhb/I2ul3PVCDZDSVEuTkFTREFRR1M6SU5UQy5JUV9URVZfRUJJVERBX0ZXRF9DSVEuNjAwMC4xMi80LzIwMDkBAAAAh1IAAAIAAAAQNi40ODA3NTQxNjgxMDI1MQENAAAABQAAAAE5AQAAAAcyNjIxMjk1AgAAAAcxNzU3MTYxAwAAAAYxMDAzMDgEAAAAATIGAAAAATAHAAAAAzE2MAgAAAABMAkAAAABMQoAAAABMAsAAAAKODE3MjQwNDAwNwwAAAACMTINAAAACTEyLzUvMjAwOcuKVLuTc9UIq7+Orpdz1QguQ0lRLk5BU0RBUUdTOklOVEMuSVFfUEVfRVhDTF9GV0QuNjAwMC43LzgvMjAwNQEAAACHUgAAAgAAABAxOC40ODIzODQ4MjM4NDgyAQ0AAAAFAAAAATkBAAAABzI2MjEyOTUCAAAABzE3NTcxNDcDAAAABjEwMDMwOQQAAAABMgYAAAABMAcAAAADMTYwCAAAAAEwCQAAAAExCgAAAAEwCwAAAAo4ODYzMzU5MDU2DAAAAAIxMg0AAAAINy85LzIwMDWrJbS9k3PVCCtxVEmXc9UIKUNJUS5OQVNEQVFHUzpJTlRDLklRX1BUQlYuMjAwMC4xMi8yMy8yMDE2AQAAAIdSAAACAAAACDQuNDEwNTYzAQcA</t>
  </si>
  <si>
    <t>AAAFAAAAATEBAAAACjE4MTU1NDQ0NTADAAAAATACAAAABjEwMDAyOQQAAAABMAcAAAAKMTIvMjMvMjAxNggAAAAKMTIvMjMvMjAxNtvXubeTc9UIm75LSZdz1QgtQ0lRLl5TUFguSVFfVEVWX0VCSVREQV9GV0RfQ0lRLjYwMDAuOC8xMC8yMDE2AQAAAJu4KAACAAAACTEwLjI1OTUxNQBrX1W5k3PVCNv8JUuXc9UILkNJUS5OQVNEQVFHUzpJTlRDLklRX1BFX0VYQ0xfRldELjYwMDAuMi81LzIwMTABAAAAh1IAAAIAAAAPMTIuMDM3NjE1MjI5MDk4AQ0AAAAFAAAAATkBAAAABzI2MjEyOTUCAAAABDE4ODUDAAAABjEwMDMwOQQAAAABMgYAAAABMAcAAAADMTYwCAAAAAEwCQAAAAExCgAAAAEwCwAAAAcxNTUxOTE5DAAAAAIxMg0AAAAIMi82LzIwMTCrJbS9k3PVCEtOUkmXc9UILENJUS5OQVNEQVFHUzpJTlRDLklRX0xBU1RTQUxFUFJJQ0UuNC8yMi8yMDE1AQAAAIdSAAACAAAABDMyLjcAy5GvvZNz1QjLCjJLl3PVCCRDSVEuXlNQWC5JUV9MQVNUU0FMRVBSSUNFLjEwLzE4LzIwMTcBAAAAm7goAAIAAAAQMjU2MS4yNjQ0NTI3MzI4NADr/rm3k3PVCOtt8EqXc9UIH0NJUS5eU1BYLklRX1BUQlYuMjAwMC45LzExLzIwMTMBAAAAm7goAAIAAAAINS4wOTc5OTgAa2awu5Nz1QhbLj1Ll3PVCCRDSVEuXlNQWC5JUV9MQVNUU0FMRVBSSUNFLjEyLzI4LzIwMTYBAAAAm7goAAIAAAAQMjI0OS45MjI2MTU3MjE0NwBb</t>
  </si>
  <si>
    <t>P7C7k3PVCHtOG0uXc9UINkNJUS5OQVNEQVFHUzpJTlRDLklRX1RFVl9FQklUREFfRldEX0NJUS42MDAwLjMvMjYvMjAwNAEAAACHUgAAAgAAAA85LjY3MTgwNDI3OTY0MjIBDQAAAAUAAAABOQEAAAAHMjYyMTI5NQIAAAAEMTg3OQMAAAAGMTAwMzA4BAAAAAEyBgAAAAEwBwAAAAMxNjAIAAAAATAJAAAAATEKAAAAATALAAAACTM2MDY2MzI5OQwAAAACMTINAAAACTMvMjcvMjAwNDucVbuTc9UI2zSPrpdz1QgtQ0lRLk5BU0RBUUdTOklOVEMuSVFfTEFTVFNBTEVQUklDRS4xMi8xNy8yMDE0AQAAAIdSAAACAAAABTM2LjI0AMuRr72Tc9UIK2Y1S5dz1Qg1Q0lRLk5BU0RBUUdTOklOVEMuSVFfVEVWX0VCSVREQV9GV0RfQ0lRLjYwMDAuOS83LzIwMDEBAAAAh1IAAAIAAAAQMTguMTMzNDYwODU0OTk3NwENAAAABQAAAAE5AQAAAAcyNjIxMjk1AgAAAAczNDIxMTYxAwAAAAYxMDAzMDgEAAAAATIGAAAAATAHAAAAAzE2MAgAAAABMAkAAAABMQoAAAABMAsAAAAKMTE2OTE1MjUyOAwAAAACMTINAAAACDkvOC8yMDAxaxFWu5Nz1QiLcY6ul3PVCC9DSVEuTkFTREFRR1M6SU5UQy5JUV9QRV9FWENMX0ZXRC42MDAwLjkvMjEvMjAwMQEAAACHUgAAAgAAABAzOC45OTc3NzczMjg3NTMzAQ0AAAAFAAAAATkBAAAABzI2MjEyOTUCAAAABzM0MjExNjEDAAAABjEwMDMwOQQAAAABMgYAAAABMAcAAAADMTYwCAAAAAEwCQAA</t>
  </si>
  <si>
    <t>AAExCgAAAAEwCwAAAAoxMTY5MTczMzY4DAAAAAIxMg0AAAAJOS8yMi8yMDAxi9ezvZNz1Qgr4lZJl3PVCC5DSVEuTkFTREFRR1M6SU5UQy5JUV9QRV9FWENMX0ZXRC42MDAwLjgvOC8yMDA4AQAAAIdSAAACAAAAEDE3LjI0NTU1MTYwMTQyMzUBDQAAAAUAAAABOQEAAAAHMjYyMTI5NQIAAAAHMTc1NzE1NwMAAAAGMTAwMzA5BAAAAAEyBgAAAAEwBwAAAAMxNjAIAAAAATAJAAAAATEKAAAAATALAAAACjg4NjQ0ODUxNjgMAAAAAjEyDQAAAAg4LzkvMjAwOKsltL2Tc9UIy4ZTSZdz1QgoQ0lRLk5BU0RBUUdTOklOVEMuSVFfUFRCVi4yMDAwLjEyLzcvMjAxMgEAAACHUgAAAgAAAAgzLjAwNDEwNQEHAAAABQAAAAExAQAAAAoxNTczODg3Nzk1AwAAAAEwAgAAAAYxMDAwMjkEAAAAATAHAAAACTEyLzcvMjAxMggAAAAJMTIvNy8yMDEyu2qvvZNz1QgbLFlJl3PVCCxDSVEuXlNQWC5JUV9URVZfVE9UQUxfUkVWX0ZXRC42MDAwLjMvMTgvMjAxNQEAAACbuCgAAgAAAAgyLjA1MTY3MQDr/rm3k3PVCAunMkuXc9UIMENJUS5OQVNEQVFHUzpJTlRDLklRX1BFX0VYQ0xfRldELjYwMDAuMTAvMjIvMjAxMAEAAACHUgAAAgAAABAxMC41Njc5NTc4MDI3NTk5AQ0AAAAFAAAAATkBAAAABzI2MjEyOTUCAAAABzE3NTcxNjQDAAAABjEwMDMwOQQAAAABMgYAAAABMAcAAAADMTYwCAAAAAEwCQAAAAExCgAAAAEwCwAAAAo4ODYz</t>
  </si>
  <si>
    <t>ODQ2ODYyDAAAAAIxMg0AAAAKMTAvMjMvMjAxMJv+s72Tc9UIW1dXSZdz1QgwQ0lRLk5BU0RBUUdTOklOVEMuSVFfUFJJQ0VfU0FMRVMuMjAwMC4xMC8yMy8yMDEzAQAAAIdSAAACAAAACDIuMjUyNTE1AQcAAAAFAAAAATEBAAAACjE2NDA5ODAzNDADAAAAATACAAAABTM4OTU4BAAAAAEwBwAAAAoxMC8yMy8yMDEzCAAAAAoxMC8yMy8yMDEzC7ZSu5Nz1Qg74DxLl3PVCDVDSVEuTmFzZGFxR1M6SU5UQy5JUV9URVZfVE9UQUxfUkVWX0ZXRC42MDAwLjYvMTEvMjAxMAEAAACHUgAAAgAAABAyLjMxNTQ0MTMyNTQ0MDU4AQ0AAAAFAAAAATkBAAAABzI2MjEyOTUCAAAABzE3NTcxNjIDAAAABjEwMDMwNwQAAAABMgYAAAABMAcAAAADMTYwCAAAAAEwCQAAAAExCgAAAAEwCwAAAAo4ODYzODQ0MTc3DAAAAAIxMg0AAAAJNi8xMi8yMDEwu/q7t5Nz1QhLv1RJl3PVCC9DSVEuTkFTREFRR1M6SU5UQy5JUV9QRV9FWENMX0ZXRC42MDAwLjQvMjEvMjAxNwEAAACHUgAAAgAAABAxMi45ODUxMDkzMTE1OTYxAQ0AAAAFAAAAATkBAAAABzI2MjEyOTUCAAAACjEwMDA5NDQzODcDAAAABjEwMDMwOQQAAAABMgYAAAABMAcAAAADMTYwCAAAAAEwCQAAAAExCgAAAAEwCwAAAAsxMDEwNzk5NzA2NAwAAAACMTINAAAACTQvMjIvMjAxN9spsr2Tc9UIO3pZSZdz1QgoQ0lRLk5BU0RBUUdTOklOVEMuSVFfUFRCVi4yMDAwLjcvMjUv</t>
  </si>
  <si>
    <t>MjAxNAEAAACHUgAAAgAAAAgzLjg1Nzc5MwEHAAAABQAAAAExAQAAAAoxNjg4MDgwOTkyAwAAAAEwAgAAAAYxMDAwMjkEAAAAATAHAAAACTcvMjUvMjAxNAgAAAAJNy8yNS8yMDE069GItpNz1Qg71EpJl3PVCC1DSVEuXlNQWC5JUV9URVZfRUJJVERBX0ZXRF9DSVEuNjAwMC4zLzE4LzIwMTUBAAAAm7goAAIAAAAJMTAuMTA5NzY0AJvrZrmTc9UIC6cyS5dz1QguQ0lRLk5BU0RBUUdTOklOVEMuSVFfUEVfRVhDTF9GV0QuNjAwMC42LzUvMjAwOQEAAACHUgAAAgAAABAyNi41OTA5NDcwNTE5NDU5AQ0AAAAFAAAAATkBAAAABzI2MjEyOTUCAAAABzE3NTcxNTkDAAAABjEwMDMwOQQAAAABMgYAAAABMAcAAAADMTYwCAAAAAEwCQAAAAExCgAAAAEwCwAAAAo4MjQ5NTMyNDk3DAAAAAIxMg0AAAAINi82LzIwMDk7FLO9k3PVCEu/VEmXc9UINUNJUS5OYXNkYXFHUzpJTlRDLklRX1RFVl9UT1RBTF9SRVZfRldELjYwMDAuNC8yNS8yMDA4AQAAAIdSAAACAAAAEDIuOTIxMTIwNDQ5MjE4NjYBDQAAAAUAAAABOQEAAAAHMjYyMTI5NQIAAAAHMTc1NzE1NgMAAAAGMTAwMzA3BAAAAAEyBgAAAAEwBwAAAAMxNjAIAAAAATAJAAAAATEKAAAAATALAAAACjg4NjM1MTA2MjAMAAAAAjEyDQAAAAk0LzI2LzIwMDibhla7k3PVCDt6WUmXc9UINUNJUS5OYXNkYXFHUzpJTlRDLklRX1RFVl9UT1RBTF9SRVZfRldELjYwMDAuOC8x</t>
  </si>
  <si>
    <t>OC8yMDA2AQAAAIdSAAACAAAAEDIuODEwMjQ5NTM3MTQ0MDgBDQAAAAUAAAABOQEAAAAHMjYyMTI5NQIAAAAHMTc1NzE1MQMAAAAGMTAwMzA3BAAAAAEyBgAAAAEwBwAAAAMxNjAIAAAAATAJAAAAATEKAAAAATALAAAACjU3NTIzMjYxNDYMAAAAAjEyDQAAAAk4LzE5LzIwMDaLX1a7k3PVCCviVkmXc9UINENJUS5OYXNkYXFHUzpJTlRDLklRX1RFVl9UT1RBTF9SRVZfRldELjYwMDAuNC80LzIwMTQBAAAAh1IAAAIAAAAQMi4zMjU1ODE1MTg2NTgzMQENAAAABQAAAAE5AQAAAAcyNjIxMjk1AgAAAAc0NDU2NDIxAwAAAAYxMDAzMDcEAAAAATIGAAAAATAHAAAAAzE2MAgAAAABMAkAAAABMQoAAAABMAsAAAAKNjQ5NzgyMjQ0NQwAAAACMTINAAAACDQvNS8yMDE0i19Wu5Nz1QhL+0pJl3PVCC1DSVEuXlNQWC5JUV9URVZfRUJJVERBX0ZXRF9DSVEuNjAwMC45LzIzLzIwMTUBAAAAm7goAAIAAAAIOS4yNjg3MDIAe42wu5Nz1QibJC9Ll3PVCDBDSVEuTkFTREFRR1M6SU5UQy5JUV9QRV9FWENMX0ZXRC42MDAwLjExLzIxLzIwMDgBAAAAh1IAAAIAAAAQMTYuNDcxOTE4NTgyNzM2NQENAAAABQAAAAE5AQAAAAcyNjIxMjk1AgAAAAcxNzU3MTU4AwAAAAYxMDAzMDkEAAAAATIGAAAAATAHAAAAAzE2MAgAAAABMAkAAAABMQoAAAABMAsAAAAKODg2NDQ4NjYyNQwAAAACMTINAAAACjExLzIyLzIwMDg7FLO9k3PVCHsW</t>
  </si>
  <si>
    <t>WkmXc9UINUNJUS5OYXNkYXFHUzpJTlRDLklRX1RFVl9UT1RBTF9SRVZfRldELjYwMDAuNy8xNS8yMDA1AQAAAIdSAAACAAAAEDQuMDMzMjAzMjMxMDkyNDkBDQAAAAUAAAABOQEAAAAHMjYyMTI5NQIAAAAHMTc1NzE0NwMAAAAGMTAwMzA3BAAAAAEyBgAAAAEwBwAAAAMxNjAIAAAAATAJAAAAATEKAAAAATALAAAACjExNjkxMjk5MjkMAAAAAjEyDQAAAAk3LzE2LzIwMDX7lry3k3PVCFvIWUmXc9UINUNJUS5OYXNkYXFHUzpJTlRDLklRX1RFVl9UT1RBTF9SRVZfRldELjYwMDAuOS8yMS8yMDEyAQAAAIdSAAACAAAADzIuMDM5MDgxOTgzNTYxNAENAAAABQAAAAE5AQAAAAcyNjIxMjk1AgAAAAcxNzU3MTY5AwAAAAYxMDAzMDcEAAAAATIGAAAAATAHAAAAAzE2MAgAAAABMAkAAAABMQoAAAABMAsAAAAKODg2NDQzNjM4MwwAAAACMTINAAAACTkvMjIvMjAxMsshvLeTc9UIG7tWSZdz1Qg0Q0lRLk5hc2RhcUdTOklOVEMuSVFfVEVWX1RPVEFMX1JFVl9GV0QuNjAwMC4yLzEvMjAxMwEAAACHUgAAAgAAABAxLjg3NDU3MDg1MTYzMjc0AQ0AAAAFAAAAATkBAAAABzI2MjEyOTUCAAAABzM2NTI2NjADAAAABjEwMDMwNwQAAAABMgYAAAABMAcAAAADMTYwCAAAAAEwCQAAAAExCgAAAAEwCwAAAAo1NzQ4ODk2MzAzDAAAAAIxMg0AAAAIMi8yLzIwMTOrJbS9k3PVCBtKVEmXc9UIMENJUS5OQVNEQVFHUzpJTlRDLklR</t>
  </si>
  <si>
    <t>X1BSSUNFX1NBTEVTLjIwMDAuMTIvMzEvMjAxNQEAAACHUgAAAgAAAAgyLjk2ODk4NwEHAAAABQAAAAExAQAAAAoxNzYxNzA2ODI3AwAAAAEwAgAAAAUzODk1OAQAAAABMAcAAAAKMTIvMzEvMjAxNQgAAAAKMTIvMzEvMjAxNfuOUruTc9UIG7tWSZdz1QguQ0lRLk5BU0RBUUdTOklOVEMuSVFfUEVfRVhDTF9GV0QuNjAwMC45LzEvMjAxNwEAAACHUgAAAgAAABAxMS41NDEyNDQ1NzMwODI1AQ0AAAAFAAAAATkBAAAABzI2MjEyOTUCAAAACDI3NTAwMTczAwAAAAYxMDAzMDkEAAAAATIGAAAAATAHAAAAAzE2MAgAAAABMAkAAAABMQoAAAABMAsAAAALMTA0MTU3NDEwMjgMAAAAAjEyDQAAAAg5LzIvMjAxN7tMtL2Tc9UIi1tVSZdz1QgwQ0lRLk5BU0RBUUdTOklOVEMuSVFfUEVfRVhDTF9GV0QuNjAwMC4xMi8yNy8yMDEzAQAAAIdSAAACAAAAEDEzLjY4ODM3NTU3NDgwNDgBDQAAAAUAAAABOQEAAAAHMjYyMTI5NQIAAAAHMzgyOTc1MwMAAAAGMTAwMzA5BAAAAAEyBgAAAAEwBwAAAAMxNjAIAAAAATAJAAAAATEKAAAAATALAAAACjcwMzMyNzQyMjEMAAAAAjEyDQAAAAoxMi8yOC8yMDEzu0y0vZNz1QhLTlJJl3PVCCxDSVEuXlNQWC5JUV9URVZfRUJJVERBX0ZXRF9DSVEuNjAwMC41LzEvMjAxMwEAAACbuCgAAgAAAAg3LjkxMjYzNAB7jbC7k3PVCKvxPUuXc9UILkNJUS5eU1BYLklRX1RFVl9FQklUREFfRldE</t>
  </si>
  <si>
    <t>X0NJUS42MDAwLjExLzI3LzIwMTMBAAAAm7goAAIAAAAIOC42NTA1OTgA6/65t5Nz1QgruTxLl3PVCB5DSVEuXlNQWC5JUV9QVEJWLjIwMDAuNS8xLzIwMTMBAAAAm7goAAIAAAAINC43NTI5MTQA29e5t5Nz1Qir8T1Ll3PVCCxDSVEuXlNQWC5JUV9URVZfRUJJVERBX0ZXRF9DSVEuNjAwMC44LzIvMjAxNwEAAACbuCgAAgAAAAkxMC40ODI4MzYAa2awu5Nz1QhrLgVLl3PVCChDSVEuTkFTREFRR1M6SU5UQy5JUV9QVEJWLjIwMDAuNy8zMC8yMDEwAQAAAIdSAAACAAAACDIuODI2MTY3AQcAAAAFAAAAATEBAAAACjEzODk3MTA3NDQDAAAAATACAAAABjEwMDAyOQQAAAABMAcAAAAJNy8zMC8yMDEwCAAAAAk3LzMwLzIwMTALtlK7k3PVCPtsVkmXc9UILkNJUS5OQVNEQVFHUzpJTlRDLklRX1BFX0VYQ0xfRldELjYwMDAuNS85LzIwMDMBAAAAh1IAAAIAAAAQMzAuMDIxNDY1ODA4MDM0MwENAAAABQAAAAE5AQAAAAcyNjIxMjk1AgAAAAcxNzU3MTQxAwAAAAYxMDAzMDkEAAAAATIGAAAAATAHAAAAAzE2MAgAAAABMAkAAAABMQoAAAABMAsAAAAKOTA5MDY4ODE2OAwAAAACMTINAAAACTUvMTAvMjAwM3uws72Tc9UI69RTSZdz1Qg1Q0lRLk5hc2RhcUdTOklOVEMuSVFfVEVWX1RPVEFMX1JFVl9GV0QuNjAwMC42LzI0LzIwMDUBAAAAh1IAAAIAAAAQMy43MDIxMTQwNTk0MzgxNwENAAAABQAAAAE5AQAAAAcyNjIx</t>
  </si>
  <si>
    <t>Mjk1AgAAAAcxNzU3MTQ3AwAAAAYxMDAzMDcEAAAAATIGAAAAATAHAAAAAzE2MAgAAAABMAkAAAABMQoAAAABMAsAAAAKMTE2OTEyOTkyMAwAAAACMTINAAAACTYvMjUvMjAwNZv+s72Tc9UIm2RaSZdz1QgvQ0lRLk5BU0RBUUdTOklOVEMuSVFfUEVfRVhDTF9GV0QuNjAwMC4xMC84LzIwMDQBAAAAh1IAAAIAAAAQMTguNzE1ODQ2OTk0NTM1NQENAAAABQAAAAE5AQAAAAcyNjIxMjk1AgAAAAcxNzU3MTQ1AwAAAAYxMDAzMDkEAAAAATIGAAAAATAHAAAAAzE2MAgAAAABMAkAAAABMQoAAAABMAsAAAAKNjcyNjg1NDM3NAwAAAACMTINAAAACTEwLzkvMjAwNGuJs72Tc9UIi3lQSZdz1Qg2Q0lRLk5BU0RBUUdTOklOVEMuSVFfVEVWX0VCSVREQV9GV0RfQ0lRLjYwMDAuNS8zMS8yMDEzAQAAAIdSAAACAAAAEDUuNDA5NjUyMDY0NTc5MTUBDQAAAAUAAAABOQEAAAAHMjYyMTI5NQIAAAAHMzgyOTc1MQMAAAAGMTAwMzA4BAAAAAEyBgAAAAEwBwAAAAMxNjAIAAAAATAJAAAAATEKAAAAATALAAAACjgxNzE1NzgyMjIMAAAAAjEyDQAAAAg2LzEvMjAxM4vuU7uTc9UIS0aQrpdz1QgwQ0lRLk5BU0RBUUdTOklOVEMuSVFfUFJJQ0VfU0FMRVMuMjAwMC4xMC8zMC8yMDE1AQAAAIdSAAACAAAABzIuOTE4MTQBBwAAAAUAAAABMQEAAAAKMTc2MTcwNjgyNwMAAAABMAIAAAAFMzg5NTgEAAAAATAHAAAACjEwLzMwLzIwMTUI</t>
  </si>
  <si>
    <t>AAAACjEwLzMwLzIwMTXLsLm3k3PVCFuTTUmXc9UILkNJUS5OQVNEQVFHUzpJTlRDLklRX1BSSUNFX1NBTEVTLjIwMDAuOC8xLzIwMTQBAAAAh1IAAAIAAAAHMy4xMTUyNAEHAAAABQAAAAExAQAAAAoxNjg4MDgwOTkyAwAAAAEwAgAAAAUzODk1OAQAAAABMAcAAAAIOC8xLzIwMTQIAAAACDgvMS8yMDE0O/Gvu5Nz1Qg7J1JJl3PVCDZDSVEuTmFzZGFxR1M6SU5UQy5JUV9URVZfRUJJVERBX0ZXRF9DSVEuNjAwMC45LzMwLzIwMDUBAAAAh1IAAAIAAAAQNy43MzIyMDUyNTMyNTM2NQENAAAABQAAAAE5AQAAAAcyNjIxMjk1AgAAAAcxNzU3MTQ4AwAAAAYxMDAzMDgEAAAAATIGAAAAATAHAAAAAzE2MAgAAAABMAkAAAABMQoAAAABMAsAAAAKMTE2OTEzMDk2NwwAAAACMTINAAAACTEwLzEvMjAwNZuGVruTc9UI+4KPrpdz1Qg2Q0lRLk5hc2RhcUdTOklOVEMuSVFfVEVWX1RPVEFMX1JFVl9GV0QuNjAwMC4xMi8xOS8yMDAzAQAAAIdSAAACAAAAEDUuNDg1NDc4MjYwNzkyNDEBDQAAAAUAAAABOQEAAAAHMjYyMTI5NQIAAAAHMTc1NzE0MwMAAAAGMTAwMzA3BAAAAAEyBgAAAAEwBwAAAAMxNjAIAAAAATAJAAAAATEKAAAAATALAAAACjkxMTEwNjI1MTkMAAAAAjEyDQAAAAoxMi8yMC8yMDAzi61VuZNz1QjLaFhJl3PVCDVDSVEuTmFzZGFxR1M6SU5UQy5JUV9URVZfVE9UQUxfUkVWX0ZXRC42MDAwLjEwLzMvMjAx</t>
  </si>
  <si>
    <t>NAEAAACHUgAAAgAAAA8yLjkxMjk0ODc0MzkyMzQBDQAAAAUAAAABOQEAAAAHMjYyMTI5NQIAAAAHNDQ1NjQyOAMAAAAGMTAwMzA3BAAAAAEyBgAAAAEwBwAAAAMxNjAIAAAAATAJAAAAATEKAAAAATALAAAACjg4NjQ0NDA1MjYMAAAAAjEyDQAAAAkxMC80LzIwMTS7TLS9k3PVCIt5UEmXc9UINUNJUS5OYXNkYXFHUzpJTlRDLklRX1RFVl9UT1RBTF9SRVZfRldELjYwMDAuNi8yMy8yMDE3AQAAAIdSAAACAAAAEDIuODMyMjI5NDUyOTUxMzcBDQAAAAUAAAABOQEAAAAHMjYyMTI5NQIAAAAIMjc1MDAxNzIDAAAABjEwMDMwNwQAAAABMgYAAAABMAcAAAADMTYwCAAAAAEwCQAAAAExCgAAAAEwCwAAAAsxMDI1NTY5Mjk5NQwAAAACMTINAAAACTYvMjQvMjAxN9tIvLeTc9UI60VWSZdz1QgvQ0lRLk5BU0RBUUdTOklOVEMuSVFfUFJJQ0VfU0FMRVMuMjAwMC44LzI3LzIwMTABAAAAh1IAAAIAAAAIMi40Nzk5NjMBBwAAAAUAAAABMQEAAAAKMTM4OTcxMDc0NAMAAAABMAIAAAAFMzg5NTgEAAAAATAHAAAACTgvMjcvMjAxMAgAAAAJOC8yNy8yMDEwa3ZmuZNz1Qh7NFVJl3PVCC9DSVEuTkFTREFRR1M6SU5UQy5JUV9QRV9FWENMX0ZXRC42MDAwLjcvMjAvMjAwNwEAAACHUgAAAgAAABAyMC4wMzEwMDUyMjE5MzIxAQ0AAAAFAAAAATkBAAAABzI2MjEyOTUCAAAABzE3NTcxNTQDAAAABjEwMDMwOQQAAAABMgYAAAAB</t>
  </si>
  <si>
    <t>MAcAAAADMTYwCAAAAAEwCQAAAAExCgAAAAEwCwAAAAsxMDMzNDIwNzQxNQwAAAACMTINAAAACTcvMjEvMjAwN5v+s72Tc9UI2zxRSZdz1QgvQ0lRLk5BU0RBUUdTOklOVEMuSVFfUFJJQ0VfU0FMRVMuMjAwMC45LzExLzIwMTMBAAAAh1IAAAIAAAAIMi4xNjc2NTgBBwAAAAUAAAABMQEAAAAKMTYyODQzNjg0OQMAAAABMAIAAAAFMzg5NTgEAAAAATAHAAAACTkvMTEvMjAxMwgAAAAJOS8xMS8yMDEzu2qvvZNz1QhbLj1Ll3PVCCNDSVEuXlNQWC5JUV9MQVNUU0FMRVBSSUNFLjcvMTIvMjAxNwEAAACbuCgAAgAAABAyNDQzLjI1MTE3NjY0MjA2AOv+ubeTc9UIay4FS5dz1QgvQ0lRLk5BU0RBUUdTOklOVEMuSVFfUEVfRVhDTF9GV0QuNjAwMC4xMC8yLzIwMTUBAAAAh1IAAAIAAAAQMTMuODE2NjgzMjcxNDQyOAENAAAABQAAAAE5AQAAAAcyNjIxMjk1AgAAAAc4MDY4MjYxAwAAAAYxMDAzMDkEAAAAATIGAAAAATAHAAAAAzE2MAgAAAABMAkAAAABMQoAAAABMAsAAAAKOTAzNDIxNjUwMAwAAAACMTINAAAACTEwLzMvMjAxNasltL2Tc9UI+/tTSZdz1QgsQ0lRLk5BU0RBUUdTOklOVEMuSVFfTEFTVFNBTEVQUklDRS45LzI4LzIwMTYBAAAAh1IAAAIAAAAFMzcuNDQA6/65t5Nz1QirFiNLl3PVCB9DSVEuXlNQWC5JUV9QVEJWLjIwMDAuNS8yMi8yMDEzAQAAAJu4KAACAAAACDUuMDE0MDAyANuqiLaTc9UIm8o9</t>
  </si>
  <si>
    <t>S5dz1QgvQ0lRLk5BU0RBUUdTOklOVEMuSVFfUFJJQ0VfU0FMRVMuMjAwMC43LzI2LzIwMTMBAAAAh1IAAAIAAAAIMi4yMTA0MjIBBwAAAAUAAAABMQEAAAAKMTYyNjQ4NjYyOAMAAAABMAIAAAAFMzg5NTgEAAAAATAHAAAACTcvMjYvMjAxMwgAAAAJNy8yNi8yMDEzy7C5t5Nz1Qhruk1Jl3PVCCdDSVEuTkFTREFRR1M6SU5UQy5JUV9QVEJWLjIwMDAuNC83LzIwMTcBAAAAh1IAAAIAAAAIMy45OTc0MTcBBwAAAAUAAAABMQEAAAAKMTgyODE3NDEyMgMAAAABMAIAAAAGMTAwMDI5BAAAAAEwBwAAAAg0LzcvMjAxNwgAAAAINC83LzIwMTdLGLC7k3PVCAuyUUmXc9UIL0NJUS5OQVNEQVFHUzpJTlRDLklRX1BSSUNFX1NBTEVTLjIwMDAuMi8xMi8yMDEwAQAAAIdSAAACAAAACDMuMjMxOTczAQcAAAAFAAAAATEBAAAACjEzMDUxNjkyNTQDAAAAATACAAAABTM4OTU4BAAAAAEwBwAAAAkyLzEyLzIwMTAIAAAACTIvMTIvMjAxMMuwubeTc9UIKx5NSZdz1Qg1Q0lRLk5hc2RhcUdTOklOVEMuSVFfVEVWX1RPVEFMX1JFVl9GV0QuNjAwMC40LzI0LzIwMTUBAAAAh1IAAAIAAAAQMi42NzQwMjI0MjkzMzExOAENAAAABQAAAAE5AQAAAAcyNjIxMjk1AgAAAAc4MDY4MjYwAwAAAAYxMDAzMDcEAAAAATIGAAAAATAHAAAAAzE2MAgAAAABMAkAAAABMQoAAAABMAsAAAAKODg4NjEwODQ4NwwAAAACMTINAAAACTQvMjUvMjAx</t>
  </si>
  <si>
    <t>NZv+s72Tc9UIG0pUSZdz1QgvQ0lRLk5BU0RBUUdTOklOVEMuSVFfUEVfRVhDTF9GV0QuNjAwMC45LzIyLzIwMDYBAAAAh1IAAAIAAAAQMjIuNjAwMTQyMjEzNzk0NwENAAAABQAAAAE5AQAAAAcyNjIxMjk1AgAAAAcxNzU3MTUxAwAAAAYxMDAzMDkEAAAAATIGAAAAATAHAAAAAzE2MAgAAAABMAkAAAABMQoAAAABMAsAAAAKODg2MjkxNjU5NAwAAAACMTINAAAACTkvMjMvMjAwNltis72Tc9UI67ZYSZdz1Qg1Q0lRLk5hc2RhcUdTOklOVEMuSVFfVEVWX1RPVEFMX1JFVl9GV0QuNjAwMC45LzI2LzIwMTQBAAAAh1IAAAIAAAAQMi45MzMyMzMyMDkwODE3NwENAAAABQAAAAE5AQAAAAcyNjIxMjk1AgAAAAc0NDU2NDI4AwAAAAYxMDAzMDcEAAAAATIGAAAAATAHAAAAAzE2MAgAAAABMAkAAAABMQoAAAABMAsAAAAKODg2NDQ0MDUyNQwAAAACMTINAAAACTkvMjcvMjAxNKsltL2Tc9UIW5NNSZdz1QgvQ0lRLk5BU0RBUUdTOklOVEMuSVFfUFJJQ0VfU0FMRVMuMjAwMC41LzEwLzIwMTMBAAAAh1IAAAIAAAAIMi4zMDI5MjYBBwAAAAUAAAABMQEAAAAKMTYxNDA3NDk0MgMAAAABMAIAAAAFMzg5NTgEAAAAATAHAAAACTUvMTAvMjAxMwgAAAAJNS8xMC8yMDEzu2qvvZNz1Qg7ellJl3PVCCxDSVEuXlNQWC5JUV9URVZfRUJJVERBX0ZXRF9DSVEuNjAwMC42LzQvMjAxNAEAAACbuCgAAgAAAAg4Ljk0NjUwOQCb62a5</t>
  </si>
  <si>
    <t>k3PVCLs2OUuXc9UINkNJUS5OYXNkYXFHUzpJTlRDLklRX1RFVl9UT1RBTF9SRVZfRldELjYwMDAuMTAvMTcvMjAwOAEAAACHUgAAAgAAABAxLjk1MTM2OTc1OTA0NTIzAQ0AAAAFAAAAATkBAAAABzI2MjEyOTUCAAAABzE3NTcxNTgDAAAABjEwMDMwNwQAAAABMgYAAAABMAcAAAADMTYwCAAAAAEwCQAAAAExCgAAAAEwCwAAAAo4ODYyMDI5MzgxDAAAAAIxMg0AAAAKMTAvMTgvMjAwOKsCsbuTc9UIO5hUSZdz1QgvQ0lRLk5BU0RBUUdTOklOVEMuSVFfUEVfRVhDTF9GV0QuNjAwMC42LzI1LzIwMTABAAAAh1IAAAIAAAAQMTAuNTk1ODQyNTg5NjU0MQENAAAABQAAAAE5AQAAAAcyNjIxMjk1AgAAAAcxNzU3MTYyAwAAAAYxMDAzMDkEAAAAATIGAAAAATAHAAAAAzE2MAgAAAABMAkAAAABMQoAAAABMAsAAAAKODg2Mzg0NjgwNwwAAAACMTINAAAACTYvMjYvMjAxMCvtsr2Tc9UIKwBSSZdz1Qg2Q0lRLk5hc2RhcUdTOklOVEMuSVFfVEVWX1RPVEFMX1JFVl9GV0QuNjAwMC4xMC8xNS8yMDA0AQAAAIdSAAACAAAAEDMuMzc5OTQwOTU4NTA3MjMBDQAAAAUAAAABOQEAAAAHMjYyMTI5NQIAAAAHMTc1NzE0NgMAAAAGMTAwMzA3BAAAAAEyBgAAAAEwBwAAAAMxNjAIAAAAATAJAAAAATEKAAAAATALAAAACjExNjkxMjkyOTEMAAAAAjEyDQAAAAoxMC8xNi8yMDA0C+ZWuZNz1QgbLFlJl3PVCCZDSVEuXlNQWC5JUV9Q</t>
  </si>
  <si>
    <t>RV9FWENMX0ZXRC42MDAwLjQvMTcvMjAxMwEAAACbuCgAAgAAAAkxMy44ODgwODEAi8RmuZNz1Qibyj1Ll3PVCCVDSVEuXlNQWC5JUV9QRV9FWENMX0ZXRC42MDAwLjEvNi8yMDE2AQAAAJu4KAACAAAACTE2LjQ1MTY5MQDbuK+9k3PVCEvwK0uXc9UIL0NJUS5OQVNEQVFHUzpJTlRDLklRX1BFX0VYQ0xfRldELjYwMDAuNS8xNi8yMDA4AQAAAIdSAAACAAAAEDE4LjY5NDM4NDIwNjk4NDIBDQAAAAUAAAABOQEAAAAHMjYyMTI5NQIAAAAHMTc1NzE1NgMAAAAGMTAwMzA5BAAAAAEyBgAAAAEwBwAAAAMxNjAIAAAAATAJAAAAATEKAAAAATALAAAACjgxNzE1Nzc3NTkMAAAAAjEyDQAAAAk1LzE3LzIwMDhLO7O9k3PVCDt6WUmXc9UINkNJUS5OYXNkYXFHUzpJTlRDLklRX1RFVl9FQklUREFfRldEX0NJUS42MDAwLjkvMTcvMjAxMAEAAACHUgAAAgAAABA0LjU2OTYyMDcxODE2NDQ1AQ0AAAAFAAAAATkBAAAABzI2MjEyOTUCAAAABzE3NTcxNjMDAAAABjEwMDMwOAQAAAABMgYAAAABMAcAAAADMTYwCAAAAAEwCQAAAAExCgAAAAEwCwAAAAo3MDczNzIwODk2DAAAAAIxMg0AAAAJOS8xOC8yMDEw+3BXu5Nz1QgLqo+ul3PVCDVDSVEuTmFzZGFxR1M6SU5UQy5JUV9URVZfVE9UQUxfUkVWX0ZXRC42MDAwLjcvMTUvMjAxNgEAAACHUgAAAgAAABAzLjA1Njk1ODU2NTYyMTA2AQ0AAAAFAAAAATkBAAAABzI2MjEyOTUC</t>
  </si>
  <si>
    <t>AAAACDI3MDAzNjUxAwAAAAYxMDAzMDcEAAAAATIGAAAAATAHAAAAAzE2MAgAAAABMAkAAAABMQoAAAABMAsAAAAKOTYyMjM0MzQ5NAwAAAACMTINAAAACTcvMTYvMjAxNsshvLeTc9UIu19TSZdz1QgoQ0lRLk5BU0RBUUdTOklOVEMuSVFfUFRCVi4yMDAwLjExLzkvMjAxMgEAAACHUgAAAgAAAAgzLjEwMDI0MgEHAAAABQAAAAExAQAAAAoxNTczODg3Nzk1AwAAAAEwAgAAAAYxMDAwMjkEAAAAATAHAAAACTExLzkvMjAxMggAAAAJMTEvOS8yMDEya3ZmuZNz1Qh7NFVJl3PVCDZDSVEuTkFTREFRR1M6SU5UQy5JUV9URVZfRUJJVERBX0ZXRF9DSVEuNjAwMC40LzE1LzIwMDUBAAAAh1IAAAIAAAAQNy42MTYzMzA2MTc0MDY2OQENAAAABQAAAAE5AQAAAAcyNjIxMjk1AgAAAAQxODgwAwAAAAYxMDAzMDgEAAAAATIGAAAAATAHAAAAAzE2MAgAAAABMAkAAAABMQoAAAABMAsAAAAJMzYwNjY4MTgyDAAAAAIxMg0AAAAJNC8xNi8yMDA1K3VVu5Nz1QhrlJCul3PVCDVDSVEuTmFzZGFxR1M6SU5UQy5JUV9URVZfVE9UQUxfUkVWX0ZXRC42MDAwLjMvMjYvMjAwNAEAAACHUgAAAgAAABA0LjY5MTQ2MjMzMjc3MzQxAQ0AAAAFAAAAATkBAAAABzI2MjEyOTUCAAAABDE4NzkDAAAABjEwMDMwNwQAAAABMgYAAAABMAcAAAADMTYwCAAAAAEwCQAAAAExCgAAAAEwCwAAAAkzNjA2NTk4MDMMAAAAAjEyDQAAAAkzLzI3LzIw</t>
  </si>
  <si>
    <t>MDSr+1W5k3PVCCutSkmXc9UIIENJUS5eU1BYLklRX1BUQlYuMjAwMC4xMi8yOC8yMDE2AQAAAJu4KAACAAAACDcuODM4Nzg3ALtqr72Tc9UIC64cS5dz1QgwQ0lRLk5BU0RBUUdTOklOVEMuSVFfUEVfRVhDTF9GV0QuNjAwMC4xMS8yNi8yMDA0AQAAAIdSAAACAAAAEDIxLjk1ODM3Mjc1MzA3NDcBDQAAAAUAAAABOQEAAAAHMjYyMTI5NQIAAAAHMTc1NzE0NgMAAAAGMTAwMzA5BAAAAAEyBgAAAAEwBwAAAAMxNjAIAAAAATAJAAAAATEKAAAAATALAAAACjExNjkxNTczNzUMAAAAAjEyDQAAAAoxMS8yNy8yMDA0a4mzvZNz1QiL6lJJl3PVCDVDSVEuTkFTREFRR1M6SU5UQy5JUV9URVZfRUJJVERBX0ZXRF9DSVEuNjAwMC43LzEvMjAwNQEAAACHUgAAAgAAAA84Ljg0OTA3MDI1ODQyNjgBDQAAAAUAAAABOQEAAAAHMjYyMTI5NQIAAAAHMTc1NzE0NwMAAAAGMTAwMzA4BAAAAAEyBgAAAAEwBwAAAAMxNjAIAAAAATAJAAAAATEKAAAAATALAAAACjExNjkxMzAyOTIMAAAAAjEyDQAAAAg3LzIvMjAwNRtOVbuTc9UIOx+Qrpdz1QgjQ0lRLl5TUFguSVFfTEFTVFNBTEVQUklDRS4yLzIyLzIwMTcBAAAAm7goAAIAAAAQMjM2Mi44MjE1MjU2MDE4NwBLKGa5k3PVCBvzF0uXc9UINkNJUS5OYXNkYXFHUzpJTlRDLklRX1RFVl9UT1RBTF9SRVZfRldELjYwMDAuMTAvMjQvMjAxNAEAAACHUgAAAgAAABAyLjgxOTA1Nzg4</t>
  </si>
  <si>
    <t>NDQ5NDU3AQ0AAAAFAAAAATkBAAAABzI2MjEyOTUCAAAABzQ0NTY0MjkDAAAABjEwMDMwNwQAAAABMgYAAAABMAcAAAADMTYwCAAAAAEwCQAAAAExCgAAAAEwCwAAAAo4ODY0NDQxNzMzDAAAAAIxMg0AAAAKMTAvMjUvMjAxNMtQsbuTc9UIqxpYSZdz1QgvQ0lRLk5BU0RBUUdTOklOVEMuSVFfUFJJQ0VfU0FMRVMuMjAwMC40LzIwLzIwMTIBAAAAh1IAAAIAAAAIMi42MjU2OTYBBwAAAAUAAAABMQEAAAAKMTU0MjAwMDIwMwMAAAABMAIAAAAFMzg5NTgEAAAAATAHAAAACTQvMjAvMjAxMggAAAAJNC8yMC8yMDEye51muZNz1Qi7X1NJl3PVCDZDSVEuTkFTREFRR1M6SU5UQy5JUV9URVZfRUJJVERBX0ZXRF9DSVEuNjAwMC4xLzI1LzIwMDIBAAAAh1IAAAIAAAAQMjAuMjYyOTAyODA2MTU2NwENAAAABQAAAAE5AQAAAAcyNjIxMjk1AgAAAAQxODc3AwAAAAYxMDAzMDgEAAAAATIGAAAAATAHAAAAAzE2MAgAAAABMAkAAAABMQoAAAABMAsAAAAJMzYwNjU2MDUxDAAAAAIxMg0AAAAJMS8yNi8yMDAyW+pVu5Nz1QgLqo+ul3PVCCxDSVEuTkFTREFRR1M6SU5UQy5JUV9MQVNUU0FMRVBSSUNFLjMvMjkvMjAxNwEAAACHUgAAAgAAAAUzNS41NwDLka+9k3PVCKvhFkuXc9UIL0NJUS5OQVNEQVFHUzpJTlRDLklRX1BSSUNFX1NBTEVTLjIwMDAuMS8yOS8yMDE0AQAAAIdSAAACAAAACDIuMzI3MTUzAQcAAAAFAAAAATEB</t>
  </si>
  <si>
    <t>AAAACjE2NTM4MTkzMzQDAAAAATACAAAABTM4OTU4BAAAAAEwBwAAAAkxLzI5LzIwMTQIAAAACTEvMjkvMjAxNAu2UruTc9UI+0M8S5dz1Qg0Q0lRLk5hc2RhcUdTOklOVEMuSVFfVEVWX1RPVEFMX1JFVl9GV0QuNjAwMC42LzEvMjAwMQEAAACHUgAAAgAAABA2LjU3ODU5NDExNzUyMDkzAQ0AAAAFAAAAATkBAAAABzI2MjEyOTUCAAAABzM0MjExNjADAAAABjEwMDMwNwQAAAABMgYAAAABMAcAAAADMTYwCAAAAAEwCQAAAAExCgAAAAEwCwAAAAoxMTY5MTUyMzU3DAAAAAIxMg0AAAAINi8yLzIwMDGb27C7k3PVCCtTWUmXc9UIL0NJUS5OQVNEQVFHUzpJTlRDLklRX1BSSUNFX1NBTEVTLjIwMDAuNC8yNS8yMDE0AQAAAIdSAAACAAAACDIuNDcwNzQ5AQcAAAAFAAAAATEBAAAACjE2NzMzNzkzMjcDAAAAATACAAAABTM4OTU4BAAAAAEwBwAAAAk0LzI1LzIwMTQIAAAACTQvMjUvMjAxNGt2ZrmTc9UIaw1VSZdz1QgtQ0lRLl5TUFguSVFfVEVWX0VCSVREQV9GV0RfQ0lRLjYwMDAuNy8yNy8yMDE2AQAAAJu4KAACAAAACTEwLjIyMjQ5MgDbuK+9k3PVCCvAJkuXc9UIJkNJUS5eU1BYLklRX1BFX0VYQ0xfRldELjYwMDAuNi8yMS8yMDE3AQAAAJu4KAACAAAACDE4LjMwMjE3ANu4r72Tc9UIy4kIS5dz1QgvQ0lRLk5BU0RBUUdTOklOVEMuSVFfUEVfRVhDTF9GV0QuNjAwMC4xMC81LzIwMDcBAAAAh1IAAAIAAAAQ</t>
  </si>
  <si>
    <t>MjAuMDgxNzczODYzODE1MQENAAAABQAAAAE5AQAAAAcyNjIxMjk1AgAAAAcxNzU3MTU0AwAAAAYxMDAzMDkEAAAAATIGAAAAATAHAAAAAzE2MAgAAAABMAkAAAABMQoAAAABMAsAAAAKODg2MzM2MDkzMgwAAAACMTINAAAACTEwLzYvMjAwN0s7s72Tc9UIWwRQSZdz1Qg1Q0lRLk5hc2RhcUdTOklOVEMuSVFfVEVWX0VCSVREQV9GV0RfQ0lRLjYwMDAuMS84LzIwMTABAAAAh1IAAAIAAAAQNi43ODkzOTE0NTI3ODQ5NAENAAAABQAAAAE5AQAAAAcyNjIxMjk1AgAAAAcxNzU3MTYxAwAAAAYxMDAzMDgEAAAAATIGAAAAATAHAAAAAzE2MAgAAAABMAkAAAABMQoAAAABMAsAAAAKODE3MjM5ODc5MQwAAAACMTINAAAACDEvOS8yMDEwuymxu5Nz1Qgb0Y+ul3PVCB5DSVEuXlNQWC5JUV9QVEJWLjIwMDAuNi83LzIwMTcBAAAAm7goAAIAAAAIOC42ODc5NDcAWzhVuZNz1Qhr8g5Ll3PVCCRDSVEuXlNQWC5JUV9MQVNUU0FMRVBSSUNFLjEwLzI2LzIwMTYBAAAAm7goAAIAAAAQMjEzOS40MjY5NzM5NDUwMQDr/rm3k3PVCGsJIEuXc9UINUNJUS5OQVNEQVFHUzpJTlRDLklRX1RFVl9FQklUREFfRldEX0NJUS42MDAwLjUvOS8yMDAzAQAAAIdSAAACAAAAEDEwLjI5MTE5Mzg4MzcxNzEBDQAAAAUAAAABOQEAAAAHMjYyMTI5NQIAAAAHMTc1NzE0MQMAAAAGMTAwMzA4BAAAAAEyBgAAAAEwBwAAAAMxNjAIAAAAATAJAAAA</t>
  </si>
  <si>
    <t>ATEKAAAAATALAAAACjExNjkxMjY5ODAMAAAAAjEyDQAAAAk1LzEwLzIwMDNLw1W7k3PVCDsfkK6Xc9UINUNJUS5OYXNkYXFHUzpJTlRDLklRX1RFVl9UT1RBTF9SRVZfRldELjYwMDAuNC8xOS8yMDEzAQAAAIdSAAACAAAAEDEuOTcwMzE0MzM5NDk0NzUBDQAAAAUAAAABOQEAAAAHMjYyMTI5NQIAAAAHMzgyOTc1MQMAAAAGMTAwMzA3BAAAAAEyBgAAAAEwBwAAAAMxNjAIAAAAATAJAAAAATEKAAAAATALAAAACjg4NjI1Mzk5NjkMAAAAAjEyDQAAAAk0LzIwLzIwMTOL17O9k3PVCMtoWEmXc9UINENJUS5OYXNkYXFHUzpJTlRDLklRX1RFVl9UT1RBTF9SRVZfRldELjYwMDAuNS82LzIwMDUBAAAAh1IAAAIAAAAPMy41NDMwNjY2MzAxOTgyAQ0AAAAFAAAAATkBAAAABzI2MjEyOTUCAAAABzE3NTcxNDcDAAAABjEwMDMwNwQAAAABMgYAAAABMAcAAAADMTYwCAAAAAEwCQAAAAExCgAAAAEwCwAAAAo1OTI3NjMyODg4DAAAAAIxMg0AAAAINS83LzIwMDXrrme5k3PVCAsjVEmXc9UINENJUS5OYXNkYXFHUzpJTlRDLklRX1RFVl9UT1RBTF9SRVZfRldELjYwMDAuOS8xLzIwMTcBAAAAh1IAAAIAAAAQMi43NjE2MTg1OTY2NTIyMwENAAAABQAAAAE5AQAAAAcyNjIxMjk1AgAAAAgyNzUwMDE3MwMAAAAGMTAwMzA3BAAAAAEyBgAAAAEwBwAAAAMxNjAIAAAAATAJAAAAATEKAAAAATALAAAACzEwNzAwMTczMTMxDAAA</t>
  </si>
  <si>
    <t>AAIxMg0AAAAIOS8yLzIwMTerJbS9k3PVCFsEUEmXc9UIL0NJUS5OQVNEQVFHUzpJTlRDLklRX1BSSUNFX1NBTEVTLjIwMDAuMTAvNy8yMDE1AQAAAIdSAAACAAAACDIuODAwMDk1AQcAAAAFAAAAATEBAAAACjE3NDczNTk1MTIDAAAAATACAAAABTM4OTU4BAAAAAEwBwAAAAkxMC83LzIwMTUIAAAACTEwLzcvMjAxNfuOUruTc9UImyQvS5dz1Qg2Q0lRLk5hc2RhcUdTOklOVEMuSVFfVEVWX1RPVEFMX1JFVl9GV0QuNjAwMC4xMi8xOC8yMDA5AQAAAIdSAAACAAAAEDIuNTQ5NzUzODA4MTgyNjEBDQAAAAUAAAABOQEAAAAHMjYyMTI5NQIAAAAHMTc1NzE2MQMAAAAGMTAwMzA3BAAAAAEyBgAAAAEwBwAAAAMxNjAIAAAAATAJAAAAATEKAAAAATALAAAACjExNjkxNTAyMDEMAAAAAjEyDQAAAAoxMi8xOS8yMDA5m9uwu5Nz1QibvktJl3PVCCxDSVEuTkFTREFRR1M6SU5UQy5JUV9MQVNUU0FMRVBSSUNFLjMvMTEvMjAxNQEAAACHUgAAAgAAAAUzMi4zMwBbP7C7k3PVCBvOMkuXc9UILkNJUS5OQVNEQVFHUzpJTlRDLklRX1BSSUNFX1NBTEVTLjIwMDAuOS83LzIwMTYBAAAAh1IAAAIAAAAIMy4wNDU4NDYBBwAAAAUAAAABMQEAAAAKMTgwMTI5NDUwMQMAAAABMAIAAAAFMzg5NTgEAAAAATAHAAAACDkvNy8yMDE2CAAAAAg5LzcvMjAxNksRVbmTc9UIO3YkS5dz1Qg2Q0lRLk5hc2RhcUdTOklOVEMuSVFfVEVWX1RP</t>
  </si>
  <si>
    <t>VEFMX1JFVl9GV0QuNjAwMC4xMS8yNS8yMDA1AQAAAIdSAAACAAAAEDMuNTk3NDc0NTUxNTI5OTUBDQAAAAUAAAABOQEAAAAHMjYyMTI5NQIAAAAHMTc1NzE0OQMAAAAGMTAwMzA3BAAAAAEyBgAAAAEwBwAAAAMxNjAIAAAAATAJAAAAATEKAAAAATALAAAACjExNjkxMzE0NTUMAAAAAjEyDQAAAAoxMS8yNi8yMDA1i61VuZNz1QibvktJl3PVCC9DSVEuTkFTREFRR1M6SU5UQy5JUV9QRV9FWENMX0ZXRC42MDAwLjgvMjIvMjAxNAEAAACHUgAAAgAAABAxNS4xNjAzMjQ1NTQxNzE5AQ0AAAAFAAAAATkBAAAABzI2MjEyOTUCAAAABzQ0NTY0MjgDAAAABjEwMDMwOQQAAAABMgYAAAABMAcAAAADMTYwCAAAAAEwCQAAAAExCgAAAAEwCwAAAAo4Nzk4MTcyOTg2DAAAAAIxMg0AAAAJOC8yMy8yMDE0+3eyvZNz1QjbPFFJl3PVCC9DSVEuTkFTREFRR1M6SU5UQy5JUV9QRV9FWENMX0ZXRC42MDAwLjIvMjAvMjAwOQEAAACHUgAAAgAAABAzMS44NjA3ODk3ODg1OTE5AQ0AAAAFAAAAATkBAAAABzI2MjEyOTUCAAAABDE4ODQDAAAABjEwMDMwOQQAAAABMgYAAAABMAcAAAADMTYwCAAAAAEwCQAAAAExCgAAAAEwCwAAAAcxNTQxNDA2DAAAAAIxMg0AAAAJMi8yMS8yMDA5u0y0vZNz1QhbyFlJl3PVCC9DSVEuTkFTREFRR1M6SU5UQy5JUV9QUklDRV9TQUxFUy4yMDAwLjUvMjAvMjAxMQEAAACHUgAAAgAAAAgyLjc4NDAw</t>
  </si>
  <si>
    <t>MQEHAAAABQAAAAExAQAAAAoxNDUyNDc1ODcyAwAAAAEwAgAAAAUzODk1OAQAAAABMAcAAAAJNS8yMC8yMDExCAAAAAk1LzIwLzIwMTFrdma5k3PVCCtxVEmXc9UINUNJUS5OYXNkYXFHUzpJTlRDLklRX1RFVl9UT1RBTF9SRVZfRldELjYwMDAuMTAvMy8yMDAzAQAAAIdSAAACAAAAEDUuNjgwNzc4NTQ1NTcwNDkBDQAAAAUAAAABOQEAAAAHMjYyMTI5NQIAAAAHMTc1NzE0MgMAAAAGMTAwMzA3BAAAAAEyBgAAAAEwBwAAAAMxNjAIAAAAATAJAAAAATEKAAAAATALAAAACjkxMTEwNjI1MDAMAAAAAjEyDQAAAAkxMC80LzIwMDPrb7y3k3PVCJugUEmXc9UILENJUS5eU1BYLklRX1RFVl9FQklUREFfRldEX0NJUS42MDAwLjIvOC8yMDE3AQAAAJu4KAACAAAACTEwLjA0ODU3OABrX1W5k3PVCAs9GkuXc9UIL0NJUS5OQVNEQVFHUzpJTlRDLklRX1BSSUNFX1NBTEVTLjIwMDAuNi8xOC8yMDEwAQAAAIdSAAACAAAACDMuMTAwMzQ3AQcAAAAFAAAAATEBAAAACjEzNTc2NTkxMDEDAAAAATACAAAABTM4OTU4BAAAAAEwBwAAAAk2LzE4LzIwMTAIAAAACTYvMTgvMjAxMLtqr72Tc9UIy2hYSZdz1QgsQ0lRLl5TUFguSVFfVEVWX1RPVEFMX1JFVl9GV0QuNjAwMC44LzE5LzIwMTUBAAAAm7goAAIAAAAIMi4wMzE2MjgAe42wu5Nz1Qjr5y9Ll3PVCChDSVEuTkFTREFRR1M6SU5UQy5JUV9QVEJWLjIwMDAuMi8yOC8yMDE0</t>
  </si>
  <si>
    <t>AQAAAIdSAAACAAAACDIuODg3Mzk3AQcAAAAFAAAAATEBAAAACjE2NTgzNDI3ODADAAAAATACAAAABjEwMDAyOQQAAAABMAcAAAAJMi8yOC8yMDE0CAAAAAkyLzI4LzIwMTTb17m3k3PVCHtwS0mXc9UIMENJUS5OQVNEQVFHUzpJTlRDLklRX1BFX0VYQ0xfRldELjYwMDAuMTIvMTIvMjAwOAEAAACHUgAAAgAAAA4xOS43MDg3MTE5MTg3NgENAAAABQAAAAE5AQAAAAcyNjIxMjk1AgAAAAcxNzU3MTU4AwAAAAYxMDAzMDkEAAAAATIGAAAAATAHAAAAAzE2MAgAAAABMAkAAAABMQoAAAABMAsAAAAKODg2NDQ4MzYzMAwAAAACMTINAAAACjEyLzEzLzIwMDg7FLO9k3PVCPv7U0mXc9UIMENJUS5OQVNEQVFHUzpJTlRDLklRX1BFX0VYQ0xfRldELjYwMDAuMTIvMTEvMjAwOQEAAACHUgAAAgAAABAxMy40OTc5MzEyMjE1OTY3AQ0AAAAFAAAAATkBAAAABzI2MjEyOTUCAAAABzE3NTcxNjEDAAAABjEwMDMwOQQAAAABMgYAAAABMAcAAAADMTYwCAAAAAEwCQAAAAExCgAAAAEwCwAAAAo5MDkwMzc5NzkzDAAAAAIxMg0AAAAKMTIvMTIvMjAwOasltL2Tc9UIqxpYSZdz1Qg2Q0lRLk5BU0RBUUdTOklOVEMuSVFfVEVWX0VCSVREQV9GV0RfQ0lRLjYwMDAuNC8yMi8yMDE2AQAAAIdSAAACAAAAEDcuODI5MzIxMDY0NTQyNzUBDQAAAAUAAAABOQEAAAAHMjYyMTI5NQIAAAAIMjcwMDM2NTEDAAAABjEwMDMwOAQAAAABMgYA</t>
  </si>
  <si>
    <t>AAABMAcAAAADMTYwCAAAAAEwCQAAAAExCgAAAAEwCwAAAAo5NDExNjcwMTMwDAAAAAIxMg0AAAAJNC8yMy8yMDE2W3lTu5Nz1Qh7u5Cul3PVCCtDSVEuXlNQWC5JUV9URVZfVE9UQUxfUkVWX0ZXRC42MDAwLjMvOC8yMDE3AQAAAJu4KAACAAAACDIuMjA0MDg2AGtmsLuTc9UIW48YS5dz1QgkQ0lRLl5TUFguSVFfTEFTVFNBTEVQUklDRS4xMi8yNy8yMDE3AQAAAJu4KAACAAAAEDI2ODIuNjE5OTIzMjA0MjMAO+pUuZNz1QiLNX9Kl3PVCC9DSVEuTkFTREFRR1M6SU5UQy5JUV9QUklDRV9TQUxFUy4yMDAwLjMvMTkvMjAxNAEAAACHUgAAAgAAAAgyLjM1OTIxMwEHAAAABQAAAAExAQAAAAoxNjU4MzQyNzgwAwAAAAEwAgAAAAUzODk1OAQAAAABMAcAAAAJMy8xOS8yMDE0CAAAAAkzLzE5LzIwMTSLxGa5k3PVCJtZO0uXc9UII0NJUS5eU1BYLklRX0xBU1RTQUxFUFJJQ0UuMy8xMS8yMDE1AQAAAJu4KAACAAAAEDIwNDAuMjM1MTk3NjkxMzYAK8NUuZNz1QjrWDJLl3PVCDVDSVEuTkFTREFRR1M6SU5UQy5JUV9URVZfRUJJVERBX0ZXRF9DSVEuNjAwMC40LzYvMjAwMQEAAACHUgAAAwAAAAAAaxFWu5Nz1QgLOY2ul3PVCC5DSVEuTkFTREFRR1M6SU5UQy5JUV9QRV9FWENMX0ZXRC42MDAwLjIvOS8yMDA3AQAAAIdSAAACAAAADzE5LjM5ODIyMTU5OTA4NQENAAAABQAAAAE5AQAAAAcyNjIxMjk1AgAAAAQxODgy</t>
  </si>
  <si>
    <t>AwAAAAYxMDAzMDkEAAAAATIGAAAAATAHAAAAAzE2MAgAAAABMAkAAAABMQoAAAABMAsAAAALMTAzNzg1MjI4MzMMAAAAAjEyDQAAAAkyLzEwLzIwMDdbYrO9k3PVCFvIWUmXc9UIKENJUS5OQVNEQVFHUzpJTlRDLklRX1BUQlYuMjAwMC41LzI1LzIwMTIBAAAAh1IAAAIAAAAINC4xMTU3MDMBBwAAAAUAAAABMQEAAAAKMTU0NTE1NjQzOAMAAAABMAIAAAAGMTAwMDI5BAAAAAEwBwAAAAk1LzI1LzIwMTIIAAAACTUvMjUvMjAxMmt2ZrmTc9UIW+ZUSZdz1QgvQ0lRLk5BU0RBUUdTOklOVEMuSVFfUFJJQ0VfU0FMRVMuMjAwMC40LzE3LzIwMTUBAAAAh1IAAAIAAAAIMi44MTM2MDcBBwAAAAUAAAABMQEAAAAKMTcyODIxNDMxNAMAAAABMAIAAAAFMzg5NTgEAAAAATAHAAAACTQvMTcvMjAxNQgAAAAJNC8xNy8yMDE1u2qvvZNz1QgLBVlJl3PVCCxDSVEuTkFTREFRR1M6SU5UQy5JUV9MQVNUU0FMRVBSSUNFLjQvMTkvMjAxNwEAAACHUgAAAgAAAAUzNS45MQBbT2a5k3PVCMu+FEuXc9UINkNJUS5OQVNEQVFHUzpJTlRDLklRX1RFVl9FQklUREFfRldEX0NJUS42MDAwLjMvMjYvMjAxMAEAAACHUgAAAgAAAA82LjQ5MDkzNjY3MDMwNTgBDQAAAAUAAAABOQEAAAAHMjYyMTI5NQIAAAAEMTg4NQMAAAAGMTAwMzA4BAAAAAEyBgAAAAEwBwAAAAMxNjAIAAAAATAJAAAAATEKAAAAATALAAAACTM2MDc0MDU2NAwAAAAC</t>
  </si>
  <si>
    <t>MTINAAAACTMvMjcvMjAxMMuKVLuTc9UIq7+Orpdz1QgvQ0lRLk5BU0RBUUdTOklOVEMuSVFfUEVfRVhDTF9GV0QuNjAwMC42LzE1LzIwMTIBAAAAh1IAAAIAAAAPMTAuMTkwNDY1NTQxMDE5AQ0AAAAFAAAAATkBAAAABzI2MjEyOTUCAAAABzE3NTcxNjgDAAAABjEwMDMwOQQAAAABMgYAAAABMAcAAAADMTYwCAAAAAEwCQAAAAExCgAAAAEwCwAAAAo4ODYzNDM0OTA4DAAAAAIxMg0AAAAJNi8xNi8yMDEyC5+yvZNz1Qgb2VFJl3PVCDBDSVEuTkFTREFRR1M6SU5UQy5JUV9QUklDRV9TQUxFUy4yMDAwLjEwLzI1LzIwMTcBAAAAh1IAAAIAAAAIMy4xMjMwNDUBBwAAAAUAAAABMQEAAAAKMTg1MDYxODY2NAMAAAABMAIAAAAFMzg5NTgEAAAAATAHAAAACjEwLzI1LzIwMTcIAAAACjEwLzI1LzIwMTe7aq+9k3PVCNu38kqXc9UILUNJUS5eU1BYLklRX1RFVl9FQklUREFfRldEX0NJUS42MDAwLjIvMTEvMjAxNQEAAACbuCgAAgAAAAg5LjkwNzk1MQDr/rm3k3PVCKstNEuXc9UIL0NJUS5OQVNEQVFHUzpJTlRDLklRX1BSSUNFX1NBTEVTLjIwMDAuMS8xNy8yMDE0AQAAAIdSAAACAAAACDIuNDM3NDc2AQcAAAAFAAAAATEBAAAACjE2NTM4MTkzMzQDAAAAATACAAAABTM4OTU4BAAAAAEwBwAAAAkxLzE3LzIwMTQIAAAACTEvMTcvMjAxNPuOUruTc9UIa35XSZdz1QgrQ0lRLl5TUFguSVFfVEVWX1RPVEFMX1JFVl9G</t>
  </si>
  <si>
    <t>V0QuNjAwMC44LzMvMjAxNgEAAACbuCgAAgAAAAgyLjA2NTMwNADbuK+9k3PVCPtKJkuXc9UINUNJUS5OQVNEQVFHUzpJTlRDLklRX1RFVl9FQklUREFfRldEX0NJUS42MDAwLjUvNy8yMDA0AQAAAIdSAAACAAAAEDkuMDYyODQ0NjE3Njg1MTMBDQAAAAUAAAABOQEAAAAHMjYyMTI5NQIAAAAHMTc1NzE0NAMAAAAGMTAwMzA4BAAAAAEyBgAAAAEwBwAAAAMxNjAIAAAAATAJAAAAATEKAAAAATALAAAACjExNjkxMjg2ODYMAAAAAjEyDQAAAAg1LzgvMjAwNDucVbuTc9UI61uPrpdz1QgtQ0lRLk5BU0RBUUdTOklOVEMuSVFfTEFTVFNBTEVQUklDRS4xMC8xNi8yMDEzAQAAAIdSAAACAAAABjIzLjY5NQArw1S5k3PVCDvgPEuXc9UILkNJUS5OQVNEQVFHUzpJTlRDLklRX1BSSUNFX1NBTEVTLjIwMDAuNi80LzIwMTABAAAAh1IAAAIAAAAIMy4wMzQ0MjgBBwAAAAUAAAABMQEAAAAKMTM1NzY1OTEwMQMAAAABMAIAAAAFMzg5NTgEAAAAATAHAAAACDYvNC8yMDEwCAAAAAg2LzQvMjAxMPuOUruTc9UIa35XSZdz1QgvQ0lRLk5BU0RBUUdTOklOVEMuSVFfUEVfRVhDTF9GV0QuNjAwMC4xMi85LzIwMDUBAAAAh1IAAAIAAAAQMTYuODgwMjU4ODk5Njc2NAENAAAABQAAAAE5AQAAAAcyNjIxMjk1AgAAAAcxNzU3MTQ5AwAAAAYxMDAzMDkEAAAAATIGAAAAATAHAAAAAzE2MAgAAAABMAkAAAABMQoAAAABMAsAAAAKMTE2</t>
  </si>
  <si>
    <t>OTE2MDY2OQwAAAACMTINAAAACjEyLzEwLzIwMDVribO9k3PVCHvDUkmXc9UINkNJUS5OYXNkYXFHUzpJTlRDLklRX1RFVl9FQklUREFfRldEX0NJUS42MDAwLjkvMjYvMjAwMwEAAACHUgAAAgAAABAxMi4wNTM1Njk2MDQzODEzAQ0AAAAFAAAAATkBAAAABzI2MjEyOTUCAAAABzE3NTcxNDIDAAAABjEwMDMwOAQAAAABMgYAAAABMAcAAAADMTYwCAAAAAEwCQAAAAExCgAAAAEwCwAAAAoxMTY5MTI3Njg0DAAAAAIxMg0AAAAJOS8yNy8yMDAzi19Wu5Nz1Qh7u5Cul3PVCDdDSVEuTkFTREFRR1M6SU5UQy5JUV9URVZfRUJJVERBX0ZXRF9DSVEuNjAwMC4xMi8zMC8yMDE2AQAAAIdSAAACAAAAEDcuNzIwNDg1OTYyOTU1MTIBDQAAAAUAAAABOQEAAAAHMjYyMTI5NQIAAAAIMjcwMDM2NTMDAAAABjEwMDMwOAQAAAABMgYAAAABMAcAAAADMTYwCAAAAAEwCQAAAAExCgAAAAEwCwAAAAo5ODkwODYxNTY1DAAAAAIxMg0AAAAKMTIvMzEvMjAxNktSU7uTc9UIi3GOrpdz1QgtQ0lRLl5TUFguSVFfVEVWX0VCSVREQV9GV0RfQ0lRLjYwMDAuOC8yOC8yMDEzAQAAAJu4KAACAAAACDguMDcyMDk0AGtfVbmTc9UIWy49S5dz1QgkQ0lRLl5TUFguSVFfTEFTVFNBTEVQUklDRS4xMS8xMy8yMDEzAQAAAJu4KAACAAAAEDE3ODIuMDAzNjc2MjE5MjkA6/65t5Nz1QgruTxLl3PVCCtDSVEuTkFTREFRR1M6SU5UQy5JUV9MQVNU</t>
  </si>
  <si>
    <t>U0FMRVBSSUNFLjEvNC8yMDE3AQAAAIdSAAACAAAABTM2LjQxAMuRr72Tc9UIyxEcS5dz1QgvQ0lRLk5BU0RBUUdTOklOVEMuSVFfUEVfRVhDTF9GV0QuNjAwMC41LzI4LzIwMTABAAAAh1IAAAIAAAAQMTEuMzE2NTY4MDQ3MzM3MwENAAAABQAAAAE5AQAAAAcyNjIxMjk1AgAAAAcxNzU3MTYyAwAAAAYxMDAzMDkEAAAAATIGAAAAATAHAAAAAzE2MAgAAAABMAkAAAABMQoAAAABMAsAAAAKODg2Mzg0NDIwNwwAAAACMTINAAAACTUvMjkvMjAxMCvtsr2Tc9UIK+JWSZdz1QgtQ0lRLk5BU0RBUUdTOklOVEMuSVFfTEFTVFNBTEVQUklDRS4xMC8zMC8yMDEzAQAAAIdSAAACAAAABjI0LjQ5NQBbP7C7k3PVCDvgPEuXc9UINUNJUS5OYXNkYXFHUzpJTlRDLklRX1RFVl9UT1RBTF9SRVZfRldELjYwMDAuNS8yOS8yMDE1AQAAAIdSAAACAAAAEDIuODY5ODY1MDU1NTE4MTMBDQAAAAUAAAABOQEAAAAHMjYyMTI5NQIAAAAHODA2ODI2MAMAAAAGMTAwMzA3BAAAAAEyBgAAAAEwBwAAAAMxNjAIAAAAATAJAAAAATEKAAAAATALAAAACjg4ODYxMDg0OTIMAAAAAjEyDQAAAAk1LzMwLzIwMTWrJbS9k3PVCBssWUmXc9UILUNJUS5eU1BYLklRX1RFVl9FQklUREFfRldEX0NJUS42MDAwLjkvMjAvMjAxNwEAAACbuCgAAgAAAAkxMC41ODA5MjEA69+vvZNz1Qhb0vhKl3PVCCdDSVEuTkFTREFRR1M6SU5UQy5JUV9QVEJWLjIw</t>
  </si>
  <si>
    <t>MDAuNS82LzIwMTEBAAAAh1IAAAIAAAAINC4wMzU4ODMBBwAAAAUAAAABMQEAAAAKMTQ0Mzc2NzAwMQMAAAABMAIAAAAGMTAwMDI5BAAAAAEwBwAAAAg1LzYvMjAxMQgAAAAINS82LzIwMTH7jlK7k3PVCBu7VkmXc9UIMENJUS5OQVNEQVFHUzpJTlRDLklRX1BFX0VYQ0xfRldELjYwMDAuMTIvMzEvMjAwOQEAAACHUgAAAgAAABAxMy45MjY4MTU5NDc1Njk2AQ0AAAAFAAAAATkBAAAABzI2MjEyOTUCAAAABzE3NTcxNjEDAAAABjEwMDMwOQQAAAABMgYAAAABMAcAAAADMTYwCAAAAAEwCQAAAAExCgAAAAEwCwAAAAo5MDkwMzc5ODAyDAAAAAIxMg0AAAAIMS8xLzIwMTAr7bK9k3PVCAsFWUmXc9UINUNJUS5OYXNkYXFHUzpJTlRDLklRX1RFVl9UT1RBTF9SRVZfRldELjYwMDAuNS8xNC8yMDEwAQAAAIdSAAACAAAAEDIuNDczNDMxNjM2NDIzMTcBDQAAAAUAAAABOQEAAAAHMjYyMTI5NQIAAAAHMTc1NzE2MgMAAAAGMTAwMzA3BAAAAAEyBgAAAAEwBwAAAAMxNjAIAAAAATAJAAAAATEKAAAAATALAAAACjg4NjM4NDQxNzUMAAAAAjEyDQAAAAk1LzE1LzIwMTC7OWe5k3PVCBssWUmXc9UII0NJUS5eU1BYLklRX0xBU1RTQUxFUFJJQ0UuNS8yMS8yMDE0AQAAAJu4KAACAAAAEDE4ODguMDMwMjk2NDUwMjMAG91Su5Nz1QirDzlLl3PVCDVDSVEuTmFzZGFxR1M6SU5UQy5JUV9URVZfVE9UQUxfUkVWX0ZXRC42MDAw</t>
  </si>
  <si>
    <t>LjUvMjUvMjAwNwEAAACHUgAAAgAAABAzLjIzNDY1MTI0MDAxMDQ2AQ0AAAAFAAAAATkBAAAABzI2MjEyOTUCAAAABzE3NTcxNTMDAAAABjEwMDMwNwQAAAABMgYAAAABMAcAAAADMTYwCAAAAAEwCQAAAAExCgAAAAEwCwAAAAsxMDM3ODU4NTczMwwAAAACMTINAAAACTUvMjYvMjAwN/u+VrmTc9UI+91YSZdz1QgvQ0lRLk5BU0RBUUdTOklOVEMuSVFfUEVfRVhDTF9GV0QuNjAwMC4yLzE3LzIwMTIBAAAAh1IAAAIAAAAQMTAuODY1ODk3MjgwMTUxMgENAAAABQAAAAE5AQAAAAcyNjIxMjk1AgAAAAQxODg3AwAAAAYxMDAzMDkEAAAAATIGAAAAATAHAAAAAzE2MAgAAAABMAkAAAABMQoAAAABMAsAAAAKNzYxNjIwMTk3OQwAAAACMTINAAAACTIvMTgvMjAxMhvGsr2Tc9UI+2xWSZdz1QguQ0lRLk5BU0RBUUdTOklOVEMuSVFfUFJJQ0VfU0FMRVMuMjAwMC43LzUvMjAxNwEAAACHUgAAAgAAAAgyLjY4NTc0OQEHAAAABQAAAAExAQAAAAoxODM4MzYwMTMyAwAAAAEwAgAAAAUzODk1OAQAAAABMAcAAAAINy81LzIwMTcIAAAACDcvNS8yMDE3q0OvvZNz1QhLwglLl3PVCDVDSVEuTmFzZGFxR1M6SU5UQy5JUV9URVZfVE9UQUxfUkVWX0ZXRC42MDAwLjkvMTgvMjAwOQEAAACHUgAAAgAAABAyLjc1NzU0MTI1MjIxMzk3AQ0AAAAFAAAAATkBAAAABzI2MjEyOTUCAAAABzE3NTcxNjADAAAABjEwMDMwNwQAAAABMgYA</t>
  </si>
  <si>
    <t>AAABMAcAAAADMTYwCAAAAAEwCQAAAAExCgAAAAEwCwAAAAo4ODU5ODA4OTIxDAAAAAIxMg0AAAAJOS8xOS8yMDA5yyG8t5Nz1QgrHk1Jl3PVCDVDSVEuTmFzZGFxR1M6SU5UQy5JUV9URVZfVE9UQUxfUkVWX0ZXRC42MDAwLjQvMjkvMjAwNQEAAACHUgAAAgAAABAzLjM5NzM4Njg0NzE0NjE1AQ0AAAAFAAAAATkBAAAABzI2MjEyOTUCAAAABzE3NTcxNDcDAAAABjEwMDMwNwQAAAABMgYAAAABMAcAAAADMTYwCAAAAAEwCQAAAAExCgAAAAEwCwAAAAoxMTY5MTI5ODY2DAAAAAIxMg0AAAAJNC8zMC8yMDA1665nuZNz1Qj7+1NJl3PVCCZDSVEuXlNQWC5JUV9QRV9FWENMX0ZXRC42MDAwLjgvMTkvMjAxNQEAAACbuCgAAgAAAAkxNy4wMzY3NzUAa19VuZNz1QirSy9Ll3PVCC9DSVEuTkFTREFRR1M6SU5UQy5JUV9QUklDRV9TQUxFUy4yMDAwLjYvMjIvMjAxMgEAAACHUgAAAgAAAAgyLjU2MjQzMgEHAAAABQAAAAExAQAAAAoxNTQ1MTU2NDM4AwAAAAEwAgAAAAUzODk1OAQAAAABMAcAAAAJNi8yMi8yMDEyCAAAAAk2LzIyLzIwMTJ7nWa5k3PVCOvUU0mXc9UINENJUS5OYXNkYXFHUzpJTlRDLklRX1RFVl9UT1RBTF9SRVZfRldELjYwMDAuMi8zLzIwMTIBAAAAh1IAAAIAAAAQMi4yNzg3NDAwODkyMzE2NAENAAAABQAAAAE5AQAAAAcyNjIxMjk1AgAAAAQxODg3AwAAAAYxMDAzMDcEAAAAATIGAAAAATAHAAAA</t>
  </si>
  <si>
    <t>AzE2MAgAAAABMAkAAAABMQoAAAABMAsAAAAKNTc0ODgyNzYzMQwAAAACMTINAAAACDIvNC8yMDEy2yJXu5Nz1Qj73VhJl3PVCC9DSVEuTkFTREFRR1M6SU5UQy5JUV9QRV9FWENMX0ZXRC42MDAwLjgvMjUvMjAwNgEAAACHUgAAAgAAABAyMi43NjU1OTg2NTA5Mjc1AQ0AAAAFAAAAATkBAAAABzI2MjEyOTUCAAAABzE3NTcxNTEDAAAABjEwMDMwOQQAAAABMgYAAAABMAcAAAADMTYwCAAAAAEwCQAAAAExCgAAAAEwCwAAAAo4ODYyOTE2NTg1DAAAAAIxMg0AAAAJOC8yNi8yMDA2W2KzvZNz1QgrU1lJl3PVCC5DSVEuTkFTREFRR1M6SU5UQy5JUV9QRV9FWENMX0ZXRC42MDAwLjEvOS8yMDA0AQAAAIdSAAACAAAAEDI5LjU3NTEzNDk0Njg5MTkBDQAAAAUAAAABOQEAAAAHMjYyMTI5NQIAAAAHMTc1NzE0MwMAAAAGMTAwMzA5BAAAAAEyBgAAAAEwBwAAAAMxNjAIAAAAATAJAAAAATEKAAAAATALAAAACjkwOTA2ODgyOTIMAAAAAjEyDQAAAAkxLzEwLzIwMDR7sLO9k3PVCMuGU0mXc9UIMENJUS5OQVNEQVFHUzpJTlRDLklRX1BSSUNFX1NBTEVTLjIwMDAuMTIvMTgvMjAxMwEAAACHUgAAAgAAAAgyLjM4NjgwMgEHAAAABQAAAAExAQAAAAoxNjQyNDgzNzkyAwAAAAEwAgAAAAUzODk1OAQAAAABMAcAAAAKMTIvMTgvMjAxMwgAAAAKMTIvMTgvMjAxM7tqr72Tc9UIG5I8S5dz1Qg2Q0lRLk5BU0RBUUdTOklOVEMu</t>
  </si>
  <si>
    <t>SVFfVEVWX0VCSVREQV9GV0RfQ0lRLjYwMDAuNS8xMy8yMDE2AQAAAIdSAAACAAAAEDcuMzcxNjU0MzAyMTg0NTcBDQAAAAUAAAABOQEAAAAHMjYyMTI5NQIAAAAIMjcwMDM2NTEDAAAABjEwMDMwOAQAAAABMgYAAAABMAcAAAADMTYwCAAAAAEwCQAAAAExCgAAAAEwCwAAAAo5NDczNDg4NDkxDAAAAAIxMg0AAAAJNS8xNC8yMDE2W3lTu5Nz1QiLcY6ul3PVCC1DSVEuXlNQWC5JUV9URVZfRUJJVERBX0ZXRF9DSVEuNjAwMC40LzI2LzIwMTcBAAAAm7goAAIAAAAJMTAuMzM2OTE1AHuNsLuTc9UIiyIUS5dz1QgmQ0lRLl5TUFguSVFfUEVfRVhDTF9GV0QuNjAwMC4zLzE2LzIwMTYBAAAAm7goAAIAAAAJMTcuMDQ0NzE2AJvrZrmTc9UIq2kqS5dz1QgfQ0lRLl5TUFguSVFfUFRCVi4yMDAwLjMvMTgvMjAxNQEAAACbuCgAAgAAAAg1LjkzOTg3OQBbOFW5k3PVCAunMkuXc9UINUNJUS5OYXNkYXFHUzpJTlRDLklRX1RFVl9UT1RBTF9SRVZfRldELjYwMDAuNC8xNS8yMDE2AQAAAIdSAAACAAAAEDIuNDkwMDA4NzMxMTA1NTIBDQAAAAUAAAABOQEAAAAHMjYyMTI5NQIAAAAKMTAwMDkxNTQwMgMAAAAGMTAwMzA3BAAAAAEyBgAAAAEwBwAAAAMxNjAIAAAAATAJAAAAATEKAAAAATALAAAACjk0MDA3MTYwMDMMAAAAAjEyDQAAAAk0LzE2LzIwMTabhla7k3PVCEtsTUmXc9UILkNJUS5OQVNEQVFHUzpJTlRDLklRX1BS</t>
  </si>
  <si>
    <t>SUNFX1NBTEVTLjIwMDAuNS8zLzIwMTcBAAAAh1IAAAIAAAAIMi44OTIyMjQBBwAAAAUAAAABMQEAAAAKMTgzODM2MDEzMgMAAAABMAIAAAAFMzg5NTgEAAAAATAHAAAACDUvMy8yMDE3CAAAAAg1LzMvMjAxN2t2ZrmTc9UIS4YTS5dz1QgsQ0lRLk5BU0RBUUdTOklOVEMuSVFfTEFTVFNBTEVQUklDRS4xMS8xLzIwMTcBAAAAh1IAAAIAAAAFNDYuNzEA26qItpNz1Qhbf/FKl3PVCClDSVEuTkFTREFRR1M6SU5UQy5JUV9QVEJWLjIwMDAuMTIvMjgvMjAxMgEAAACHUgAAAgAAAAgzLjAxNTI4NAEHAAAABQAAAAExAQAAAAoxNTczODg3Nzk1AwAAAAEwAgAAAAYxMDAwMjkEAAAAATAHAAAACjEyLzI4LzIwMTIIAAAACjEyLzI4LzIwMTLLsLm3k3PVCEtsTUmXc9UIMENJUS5OQVNEQVFHUzpJTlRDLklRX1BFX0VYQ0xfRldELjYwMDAuMTAvMjkvMjAxMAEAAACHUgAAAgAAABAxMC42ODU5MjQ0MjU3MzE1AQ0AAAAFAAAAATkBAAAABzI2MjEyOTUCAAAABzE3NTcxNjQDAAAABjEwMDMwOQQAAAABMgYAAAABMAcAAAADMTYwCAAAAAEwCQAAAAExCgAAAAEwCwAAAAo4ODYzODQ2ODY0DAAAAAIxMg0AAAAKMTAvMzAvMjAxMCvtsr2Tc9UIa+9ZSZdz1Qg2Q0lRLk5hc2RhcUdTOklOVEMuSVFfVEVWX0VCSVREQV9GV0RfQ0lRLjYwMDAuNi8xNi8yMDE3AQAAAIdSAAACAAAAEDcuMDUwNzUyNjM3OTAyMTMBDQAAAAUAAAAB</t>
  </si>
  <si>
    <t>OQEAAAAHMjYyMTI5NQIAAAAIMjc1MDAxNzIDAAAABjEwMDMwOAQAAAABMgYAAAABMAcAAAADMTYwCAAAAAEwCQAAAAExCgAAAAEwCwAAAAsxMDI0NzcxOTE2OQwAAAACMTINAAAACTYvMTcvMjAxN8tQsbuTc9UIi3GOrpdz1QgfQ0lRLl5TUFguSVFfUFRCVi4yMDAwLjQvMTMvMjAxNgEAAACbuCgAAgAAAAg3LjAwOTk2MQBbOFW5k3PVCJtCKkuXc9UII0NJUS5eU1BYLklRX0xBU1RTQUxFUFJJQ0UuMS8xNC8yMDE1AQAAAJu4KAACAAAAEDIwMTEuMjcyODk3NzI4NjkAK8NUuZNz1Qi7VDRLl3PVCCZDSVEuXlNQWC5JUV9QRV9FWENMX0ZXRC42MDAwLjcvMTUvMjAxNQEAAACbuCgAAgAAAAkxNy40OTI1NzYA27ivvZNz1QgLNjBLl3PVCC9DSVEuTkFTREFRR1M6SU5UQy5JUV9QUklDRV9TQUxFUy4yMDAwLjUvMTMvMjAxMQEAAACHUgAAAgAAAAgyLjgwNjc4MQEHAAAABQAAAAExAQAAAAoxNDUyNDc1ODcyAwAAAAEwAgAAAAUzODk1OAQAAAABMAcAAAAJNS8xMy8yMDExCAAAAAk1LzEzLzIwMTE76lS5k3PVCEvdT0mXc9UILUNJUS5eU1BYLklRX1RFVl9FQklUREFfRldEX0NJUS42MDAwLjkvMTYvMjAxNQEAAACbuCgAAgAAAAg5LjUxMzA3MQBrX1W5k3PVCKtLL0uXc9UIN0NJUS5OYXNkYXFHUzpJTlRDLklRX1RFVl9FQklUREFfRldEX0NJUS42MDAwLjEwLzEzLzIwMTcBAAAAh1IAAAIAAAAQNy40OTY3MDYy</t>
  </si>
  <si>
    <t>OTg0MzQyNgENAAAABQAAAAE5AQAAAAcyNjIxMjk1AgAAAAgyNzUwMDE3MwMAAAAGMTAwMzA4BAAAAAEyBgAAAAEwBwAAAAMxNjAIAAAAATAJAAAAATEKAAAAATALAAAACzEwNjk4NDI5NzU3DAAAAAIxMg0AAAAKMTAvMTQvMjAxN4tfVruTc9UIS9WNrpdz1QgjQ0lRLl5TUFguSVFfTEFTVFNBTEVQUklDRS43LzE5LzIwMTcBAAAAm7goAAIAAAAQMjQ3My44Mjc3ODUyNzM3OQALtlK7k3PVCMunA0uXc9UIK0NJUS5OQVNEQVFHUzpJTlRDLklRX0xBU1RTQUxFUFJJQ0UuNC8yLzIwMTQBAAAAh1IAAAIAAAAFMjUuODkAG91Su5Nz1Qh7CztLl3PVCCZDSVEuXlNQWC5JUV9QRV9FWENMX0ZXRC42MDAwLjExLzEvMjAxNwEAAACbuCgAAgAAAAkxOC41NzM0MjcAa19VuZNz1QibOe1Kl3PVCCxDSVEuXlNQWC5JUV9URVZfVE9UQUxfUkVWX0ZXRC42MDAwLjUvMTEvMjAxNgEAAACbuCgAAgAAAAgyLjAzNDEzOAAb3VK7k3PVCFumKUuXc9UILUNJUS5eU1BYLklRX1RFVl9UT1RBTF9SRVZfRldELjYwMDAuMTAvMjgvMjAxNQEAAACbuCgAAgAAAAgyLjAzNzQzMwCb62a5k3PVCGuvLkuXc9UIN0NJUS5OQVNEQVFHUzpJTlRDLklRX1RFVl9FQklUREFfRldEX0NJUS42MDAwLjEyLzE5LzIwMDgBAAAAh1IAAAIAAAAQNi43NTIzMjY1NjE5MDExMQENAAAABQAAAAE5AQAAAAcyNjIxMjk1AgAAAAcxNzU3MTU4AwAAAAYxMDAz</t>
  </si>
  <si>
    <t>MDgEAAAAATIGAAAAATAHAAAAAzE2MAgAAAABMAkAAAABMQoAAAABMAsAAAAKNjczMDg1ODQ0NwwAAAACMTINAAAACjEyLzIwLzIwMDjbsVS7k3PVCFttkK6Xc9UIH0NJUS5eU1BYLklRX1BUQlYuMjAwMC41LzExLzIwMTYBAAAAm7goAAIAAAAINi45ODc5MjgAa2awu5Nz1QhrzSlLl3PVCDBDSVEuTkFTREFRR1M6SU5UQy5JUV9QRV9FWENMX0ZXRC42MDAwLjEwLzIxLzIwMTEBAAAAh1IAAAIAAAAQOS4yNzYyMDE1MDU1MDA4NwENAAAABQAAAAE5AQAAAAcyNjIxMjk1AgAAAAcxNzU3MTY3AwAAAAYxMDAzMDkEAAAAATIGAAAAATAHAAAAAzE2MAgAAAABMAkAAAABMQoAAAABMAsAAAAKODg2NDQzMTExNAwAAAACMTINAAAACjEwLzIyLzIwMTEbxrK9k3PVCOu2WEmXc9UINkNJUS5OYXNkYXFHUzpJTlRDLklRX1RFVl9FQklUREFfRldEX0NJUS42MDAwLjkvMjgvMjAxMgEAAACHUgAAAgAAABA0LjkyMDA4MTc3MzY4NjU2AQ0AAAAFAAAAATkBAAAABzI2MjEyOTUCAAAABzE3NTcxNjkDAAAABjEwMDMwOAQAAAABMgYAAAABMAcAAAADMTYwCAAAAAEwCQAAAAExCgAAAAEwCwAAAAo4Mzk5NTUwMjcwDAAAAAIxMg0AAAAJOS8yOS8yMDEym/6zvZNz1Qgrh42ul3PVCClDSVEuTkFTREFRR1M6SU5UQy5JUV9QVEJWLjIwMDAuMTIvMTYvMjAxMQEAAACHUgAAAgAAAAgzLjg5MzcyOQEHAAAABQAAAAExAQAAAAoxNDgw</t>
  </si>
  <si>
    <t>MjE1MzgxAwAAAAEwAgAAAAYxMDAwMjkEAAAAATAHAAAACjEyLzE2LzIwMTEIAAAACjEyLzE2LzIwMTHr0Yi2k3PVCCutSkmXc9UILkNJUS5OQVNEQVFHUzpJTlRDLklRX1BFX0VYQ0xfRldELjYwMDAuNy8xLzIwMDUBAAAAh1IAAAIAAAAQMTcuODY3NjExOTcwODIyOAENAAAABQAAAAE5AQAAAAcyNjIxMjk1AgAAAAcxNzU3MTQ3AwAAAAYxMDAzMDkEAAAAATIGAAAAATAHAAAAAzE2MAgAAAABMAkAAAABMQoAAAABMAsAAAAKODg2MjgwMDI3OAwAAAACMTINAAAACDcvMi8yMDA1u0y0vZNz1Qh7FlpJl3PVCB9DSVEuXlNQWC5JUV9QVEJWLjIwMDAuMS8xMy8yMDE2AQAAAJu4KAACAAAACDYuMTI1OTc0AGtmsLuTc9UIaz4sS5dz1QgsQ0lRLk5BU0RBUUdTOklOVEMuSVFfTEFTVFNBTEVQUklDRS45LzI3LzIwMTcBAAAAh1IAAAIAAAAFMzcuNTQAWz+wu5Nz1QjLcvdKl3PVCDVDSVEuTmFzZGFxR1M6SU5UQy5JUV9URVZfRUJJVERBX0ZXRF9DSVEuNjAwMC4yLzgvMjAwMgEAAACHUgAAAgAAAA8xOS41MzI0MDk0ODY0NTkBDQAAAAUAAAABOQEAAAAHMjYyMTI5NQIAAAAEMTg3NwMAAAAGMTAwMzA4BAAAAAEyBgAAAAEwBwAAAAMxNjAIAAAAATAJAAAAATEKAAAAATALAAAACTM2MDY1NjA1MQwAAAACMTINAAAACDIvOS8yMDAyqwKxu5Nz1Qi75o6ul3PVCDdDSVEuTkFTREFRR1M6SU5UQy5JUV9URVZfRUJJVERB</t>
  </si>
  <si>
    <t>X0ZXRF9DSVEuNjAwMC4xMC8zMS8yMDA4AQAAAIdSAAACAAAAEDUuMjQ3MDY3NjU4NTM4NjIBDQAAAAUAAAABOQEAAAAHMjYyMTI5NQIAAAAHMTc1NzE1OAMAAAAGMTAwMzA4BAAAAAEyBgAAAAEwBwAAAAMxNjAIAAAAATAJAAAAATEKAAAAATALAAAACjY3MzA4NTg0NDQMAAAAAjEyDQAAAAkxMS8xLzIwMDjbsVS7k3PVCNs0j66Xc9UIMENJUS5OQVNEQVFHUzpJTlRDLklRX1BFX0VYQ0xfRldELjYwMDAuMTIvMTcvMjAwNAEAAACHUgAAAgAAAA8xOS44NjkxMDk5NDc2NDQBDQAAAAUAAAABOQEAAAAHMjYyMTI5NQIAAAAHMTc1NzE0NgMAAAAGMTAwMzA5BAAAAAEyBgAAAAEwBwAAAAMxNjAIAAAAATAJAAAAATEKAAAAATALAAAACjExNjkxNTc0MjMMAAAAAjEyDQAAAAoxMi8xOC8yMDA0a4mzvZNz1Qj7+1NJl3PVCChDSVEuTkFTREFRR1M6SU5UQy5JUV9QVEJWLjIwMDAuNC8xNS8yMDExAQAAAIdSAAACAAAACDIuNDcxNDk3AQcAAAAFAAAAATEBAAAACjE0MzA2MjQ1MDkDAAAAATACAAAABjEwMDAyOQQAAAABMAcAAAAJNC8xNS8yMDExCAAAAAk0LzE1LzIwMTFLEVW5k3PVCPsZT0mXc9UINkNJUS5OYXNkYXFHUzpJTlRDLklRX1RFVl9FQklUREFfRldEX0NJUS42MDAwLjEvMTgvMjAxMwEAAACHUgAAAgAAABA0Ljc4MTI1MTM5MjU1Nzc1AQ0AAAAFAAAAATkBAAAABzI2MjEyOTUCAAAABzM2NTI2NjADAAAA</t>
  </si>
  <si>
    <t>BjEwMDMwOAQAAAABMgYAAAABMAcAAAADMTYwCAAAAAEwCQAAAAExCgAAAAEwCwAAAAo1NDM4MjAwMDY1DAAAAAIxMg0AAAAJMS8xOS8yMDEz60lXu5Nz1Qgrh42ul3PVCCxDSVEuXlNQWC5JUV9URVZfVE9UQUxfUkVWX0ZXRC42MDAwLjkvMjEvMjAxNgEAAACbuCgAAgAAAAgyLjA3NDg3NgD7Jbq3k3PVCMtkI0uXc9UIMENJUS5OQVNEQVFHUzpJTlRDLklRX1BSSUNFX1NBTEVTLjIwMDAuMTIvMTIvMjAxNAEAAACHUgAAAgAAAAgzLjI2MjU3NQEHAAAABQAAAAExAQAAAAoxNzAzNjgxODk0AwAAAAEwAgAAAAUzODk1OAQAAAABMAcAAAAKMTIvMTIvMjAxNAgAAAAKMTIvMTIvMjAxNOvRiLaTc9UIO9RKSZdz1Qg2Q0lRLk5hc2RhcUdTOklOVEMuSVFfVEVWX0VCSVREQV9GV0RfQ0lRLjYwMDAuNC8yNi8yMDAyAQAAAIdSAAACAAAAEDE0LjcxODA3NjE5NjkxMTIBDQAAAAUAAAABOQEAAAAHMjYyMTI5NQIAAAAHMTc1NzEzOAMAAAAGMTAwMzA4BAAAAAEyBgAAAAEwBwAAAAMxNjAIAAAAATAJAAAAATEKAAAAATALAAAACjExNjkxMjU2MzgMAAAAAjEyDQAAAAk0LzI3LzIwMDLrnrG7k3PVCEvVja6Xc9UIKENJUS5OQVNEQVFHUzpJTlRDLklRX1BUQlYuMjAwMC43LzIyLzIwMTYBAAAAh1IAAAIAAAAINC44ODQ4NzcBBwAAAAUAAAABMQEAAAAKMTc5OTk0NjIwOAMAAAABMAIAAAAGMTAwMDI5BAAAAAEwBwAAAAk3</t>
  </si>
  <si>
    <t>LzIyLzIwMTYIAAAACTcvMjIvMjAxNuvRiLaTc9UIO9RKSZdz1QglQ0lRLl5TUFguSVFfUEVfRVhDTF9GV0QuNjAwMC4xLzQvMjAxNwEAAACbuCgAAgAAAAkxNy44ODEzNDEA27ivvZNz1QhbABtLl3PVCC9DSVEuTkFTREFRR1M6SU5UQy5JUV9QUklDRV9TQUxFUy4yMDAwLjEyLzYvMjAxNwEAAACHUgAAAgAAAAgzLjI5OTQxMwEHAAAABQAAAAExAQAAAAoxODYyNzU4MDQzAwAAAAEwAgAAAAUzODk1OAQAAAABMAcAAAAJMTIvNi8yMDE3CAAAAAkxMi82LzIwMTcLtlK7k3PVCOup5kqXc9UIH0NJUS5eU1BYLklRX1BUQlYuMjAwMC4xLzI4LzIwMTUBAAAAm7goAAIAAAAINS40MDAxODUAWz+wu5Nz1QjLezRLl3PVCDRDSVEuTmFzZGFxR1M6SU5UQy5JUV9URVZfVE9UQUxfUkVWX0ZXRC42MDAwLjcvMy8yMDA4AQAAAIdSAAACAAAADzIuNjQ2Nzc2MjI4Njc1MwENAAAABQAAAAE5AQAAAAcyNjIxMjk1AgAAAAcxNzU3MTU2AwAAAAYxMDAzMDcEAAAAATIGAAAAATAHAAAAAzE2MAgAAAABMAkAAAABMQoAAAABMAsAAAAKODI0ODUxMjQ0MwwAAAACMTINAAAACDcvNC8yMDA4u/q7t5Nz1Qhb5lRJl3PVCDZDSVEuTkFTREFRR1M6SU5UQy5JUV9URVZfRUJJVERBX0ZXRF9DSVEuNjAwMC4zLzE5LzIwMTABAAAAh1IAAAIAAAAQNi40Mjc0NTY3NjY1OTU3NgENAAAABQAAAAE5AQAAAAcyNjIxMjk1AgAAAAQxODg1AwAA</t>
  </si>
  <si>
    <t>AAYxMDAzMDgEAAAAATIGAAAAATAHAAAAAzE2MAgAAAABMAkAAAABMQoAAAABMAsAAAAJMzYwNzQwNTYyDAAAAAIxMg0AAAAJMy8yMC8yMDEwy4pUu5Nz1QhLRpCul3PVCChDSVEuTkFTREFRR1M6SU5UQy5JUV9QVEJWLjIwMDAuOC8yNi8yMDExAQAAAIdSAAACAAAACDMuMTc3NTU3AQcAAAAFAAAAATEBAAAACjE0NjU2MzEwNzEDAAAAATACAAAABjEwMDAyOQQAAAABMAcAAAAJOC8yNi8yMDExCAAAAAk4LzI2LzIwMTFrdma5k3PVCCtxVEmXc9UIJkNJUS5eU1BYLklRX1BFX0VYQ0xfRldELjYwMDAuMy8yMy8yMDE2AQAAAJu4KAACAAAACTE3LjE3MDY3MgDbuK+9k3PVCJtCKkuXc9UILENJUS5OQVNEQVFHUzpJTlRDLklRX0xBU1RTQUxFUFJJQ0UuMi8xOC8yMDE1AQAAAIdSAAACAAAABjM0LjI2NQArw1S5k3PVCHu4M0uXc9UINUNJUS5OYXNkYXFHUzpJTlRDLklRX1RFVl9FQklUREFfRldEX0NJUS42MDAwLjkvMS8yMDA2AQAAAIdSAAACAAAAEDEwLjg3Njc2MTgxMDA0NDgBDQAAAAUAAAABOQEAAAAHMjYyMTI5NQIAAAAHMTc1NzE1MQMAAAAGMTAwMzA4BAAAAAEyBgAAAAEwBwAAAAMxNjAIAAAAATAJAAAAATEKAAAAATALAAAACjExNjkxMzQ1NjAMAAAAAjEyDQAAAAg5LzIvMjAwNns4VruTc9UI+4KPrpdz1QgvQ0lRLk5BU0RBUUdTOklOVEMuSVFfUEVfRVhDTF9GV0QuNjAwMC4zLzE1LzIwMDIBAAAA</t>
  </si>
  <si>
    <t>h1IAAAIAAAAQNDYuNjc2NDg1Mjk0MTE3NgENAAAABQAAAAE5AQAAAAcyNjIxMjk1AgAAAAQxODc3AwAAAAYxMDAzMDkEAAAAATIGAAAAATAHAAAAAzE2MAgAAAABMAkAAAABMQoAAAABMAsAAAAHMTQ5Nzc5NgwAAAACMTINAAAACTMvMTYvMjAwMnuws72Tc9UIu9BVSZdz1QgsQ0lRLl5TUFguSVFfVEVWX0VCSVREQV9GV0RfQ0lRLjYwMDAuNy85LzIwMTQBAAAAm7goAAIAAAAIOS4xMjY3MzQAe4ZVuZNz1QhbTDhLl3PVCC1DSVEuXlNQWC5JUV9URVZfRUJJVERBX0ZXRF9DSVEuNjAwMC44LzE3LzIwMTYBAAAAm7goAAIAAAAJMTAuMjYyMjk4AHuNsLuTc9UIq4clS5dz1Qg1Q0lRLk5hc2RhcUdTOklOVEMuSVFfVEVWX0VCSVREQV9GV0RfQ0lRLjYwMDAuMy84LzIwMDIBAAAAh1IAAAIAAAAQMjAuNDkzNTA1NjE3OTg1OQENAAAABQAAAAE5AQAAAAcyNjIxMjk1AgAAAAQxODc3AwAAAAYxMDAzMDgEAAAAATIGAAAAATAHAAAAAzE2MAgAAAABMAkAAAABMQoAAAABMAsAAAAJMzYwNjU2MDUzDAAAAAIxMg0AAAAIMy85LzIwMDKL17O9k3PVCAs5ja6Xc9UIN0NJUS5OYXNkYXFHUzpJTlRDLklRX1RFVl9FQklUREFfRldEX0NJUS42MDAwLjExLzExLzIwMDUBAAAAh1IAAAIAAAAQNy43MjA5ODgzOTA5MTExOAENAAAABQAAAAE5AQAAAAcyNjIxMjk1AgAAAAcxNzU3MTQ5AwAAAAYxMDAzMDgEAAAAATIGAAAAATAH</t>
  </si>
  <si>
    <t>AAAAAzE2MAgAAAABMAkAAAABMQoAAAABMAsAAAAKMTE2OTEzMTc3MQwAAAACMTINAAAACjExLzEyLzIwMDXbIle7k3PVCPsRja6Xc9UILkNJUS5OQVNEQVFHUzpJTlRDLklRX1BFX0VYQ0xfRldELjYwMDAuNC83LzIwMTcBAAAAh1IAAAIAAAAQMTIuODk3MTk4MjY4OTE4OQENAAAABQAAAAE5AQAAAAcyNjIxMjk1AgAAAAoxMDAwOTQ0Mzg3AwAAAAYxMDAzMDkEAAAAATIGAAAAATAHAAAAAzE2MAgAAAABMAkAAAABMQoAAAABMAsAAAALMTAwOTA3NzIzMjAMAAAAAjEyDQAAAAg0LzgvMjAxN9spsr2Tc9UIW1dXSZdz1QgvQ0lRLk5BU0RBUUdTOklOVEMuSVFfUEVfRVhDTF9GV0QuNjAwMC42LzE2LzIwMDYBAAAAh1IAAAIAAAAQMTkuOTY3MjY2Nzc1Nzc3NAENAAAABQAAAAE5AQAAAAcyNjIxMjk1AgAAAAcxNzU3MTUwAwAAAAYxMDAzMDkEAAAAATIGAAAAATAHAAAAAzE2MAgAAAABMAkAAAABMQoAAAABMAsAAAAKMTE2OTE2MTY0MgwAAAACMTINAAAACTYvMTcvMjAwNpv+s72Tc9UIi+pSSZdz1QgnQ0lRLl5TUFguSVFfUEVfRVhDTF9GV0QuNjAwMC4xMi8yNS8yMDEzAQAAAJu4KAACAAAACTE1LjgxMDc3NADr0Yi2k3PVCAtrPEuXc9UILENJUS5OQVNEQVFHUzpJTlRDLklRX0xBU1RTQUxFUFJJQ0UuOC8yMy8yMDE3AQAAAIdSAAACAAAABTM0LjY2AMuRr72Tc9UI6xP/Spdz1Qg3Q0lRLk5hc2RhcUdTOklO</t>
  </si>
  <si>
    <t>VEMuSVFfVEVWX0VCSVREQV9GV0RfQ0lRLjYwMDAuMTAvMjMvMjAxNQEAAACHUgAAAgAAABA2Ljk5NTc4MTUyMjAxMzc4AQ0AAAAFAAAAATkBAAAABzI2MjEyOTUCAAAABzgwNjgyNjIDAAAABjEwMDMwOAQAAAABMgYAAAABMAcAAAADMTYwCAAAAAEwCQAAAAExCgAAAAEwCwAAAAo5MjA3NDYyNjI5DAAAAAIxMg0AAAAKMTAvMjQvMjAxNZuGVruTc9UIG2CNrpdz1QgsQ0lRLk5BU0RBUUdTOklOVEMuSVFfTEFTVFNBTEVQUklDRS44LzE5LzIwMTUBAAAAh1IAAAIAAAAFMjguMzYAW09muZNz1Qjr5y9Ll3PVCC9DSVEuTkFTREFRR1M6SU5UQy5JUV9QRV9FWENMX0ZXRC42MDAwLjMvMjAvMjAwOAEAAACHUgAAAgAAABAxNi40NjQ3OTkzOTQzOTgyAQ0AAAAFAAAAATkBAAAABzI2MjEyOTUCAAAABDE4ODMDAAAABjEwMDMwOQQAAAABMgYAAAABMAcAAAADMTYwCAAAAAEwCQAAAAExCgAAAAEwCwAAAAcxNTMzMjk0DAAAAAIxMg0AAAAJMy8yMS8yMDA4SzuzvZNz1QhLMFdJl3PVCC9DSVEuTkFTREFRR1M6SU5UQy5JUV9QUklDRV9TQUxFUy4yMDAwLjcvMTYvMjAxNAEAAACHUgAAAgAAAAgzLjE5ODc4NwEHAAAABQAAAAExAQAAAAoxNjg2ODc1ODczAwAAAAEwAgAAAAUzODk1OAQAAAABMAcAAAAJNy8xNi8yMDE0CAAAAAk3LzE2LzIwMTSrQ6+9k3PVCFtMOEuXc9UINkNJUS5OQVNEQVFHUzpJTlRDLklRX1RFVl9F</t>
  </si>
  <si>
    <t>QklUREFfRldEX0NJUS42MDAwLjUvMjcvMjAwNQEAAACHUgAAAgAAABA5LjUyODU1Nzc0MDkwNjIzAQ0AAAAFAAAAATkBAAAABzI2MjEyOTUCAAAABzE3NTcxNDcDAAAABjEwMDMwOAQAAAABMgYAAAABMAcAAAADMTYwCAAAAAEwCQAAAAExCgAAAAEwCwAAAAoxMTY5MTMwMjc5DAAAAAIxMg0AAAAJNS8yOC8yMDA1G05Vu5Nz1Qj7EY2ul3PVCChDSVEuTkFTREFRR1M6SU5UQy5JUV9QVEJWLjIwMDAuMS8yMi8yMDEwAQAAAIdSAAACAAAACDIuOTQ4ODc4AQcAAAAFAAAAATEBAAAACjEzMDUxNjkyNTQDAAAAATACAAAABjEwMDAyOQQAAAABMAcAAAAJMS8yMi8yMDEwCAAAAAkxLzIyLzIwMTDr0Yi2k3PVCEv7SkmXc9UINUNJUS5OYXNkYXFHUzpJTlRDLklRX1RFVl9UT1RBTF9SRVZfRldELjYwMDAuMS8xOC8yMDEzAQAAAIdSAAACAAAAEDEuODYzMTQwMTI4OTY0MjQBDQAAAAUAAAABOQEAAAAHMjYyMTI5NQIAAAAHMzY1MjY2MAMAAAAGMTAwMzA3BAAAAAEyBgAAAAEwBwAAAAMxNjAIAAAAATAJAAAAATEKAAAAATALAAAACjU3NDg4OTYyOTcMAAAAAjEyDQAAAAkxLzE5LzIwMTPLYGe5k3PVCKtWTkmXc9UIL0NJUS5OQVNEQVFHUzpJTlRDLklRX1BSSUNFX1NBTEVTLjIwMDAuMS8yOS8yMDE2AQAAAIdSAAACAAAACDIuNjU3MzM2AQcAAAAFAAAAATEBAAAACjE3NzI5NDI4MDYDAAAAATACAAAABTM4OTU4BAAA</t>
  </si>
  <si>
    <t>AAEwBwAAAAkxLzI5LzIwMTYIAAAACTEvMjkvMjAxNsuwubeTc9UI21pMSZdz1QgvQ0lRLk5BU0RBUUdTOklOVEMuSVFfUFJJQ0VfU0FMRVMuMjAwMC42LzI0LzIwMTYBAAAAh1IAAAIAAAAIMi42NTU4NDMBBwAAAAUAAAABMQEAAAAKMTc4OTE5MzM0MwMAAAABMAIAAAAFMzg5NTgEAAAAATAHAAAACTYvMjQvMjAxNggAAAAJNi8yNC8yMDE2WzhVuZNz1QibL05Jl3PVCCNDSVEuXlNQWC5JUV9MQVNUU0FMRVBSSUNFLjUvMjkvMjAxMwEAAACbuCgAAgAAABAxNjQ4LjM2MzI5NTQzODY2AMuRr72Tc9UIi6M9S5dz1QgeQ0lRLl5TUFguSVFfUFRCVi4yMDAwLjkvNy8yMDE2AQAAAJu4KAACAAAACDcuNDk1NjY4AMuRr72Tc9UIO3YkS5dz1QgtQ0lRLk5BU0RBUUdTOklOVEMuSVFfTEFTVFNBTEVQUklDRS4xMi8yMC8yMDE3AQAAAIdSAAACAAAABTQ3LjU2AFs/sLuTc9UIS2bFSpdz1Qg2Q0lRLk5hc2RhcUdTOklOVEMuSVFfVEVWX0VCSVREQV9GV0RfQ0lRLjYwMDAuOS8xMS8yMDE1AQAAAIdSAAACAAAAEDUuOTcxMDk5NTY4OTUxOTQBDQAAAAUAAAABOQEAAAAHMjYyMTI5NQIAAAAHODA2ODI2MQMAAAAGMTAwMzA4BAAAAAEyBgAAAAEwBwAAAAMxNjAIAAAAATAJAAAAATEKAAAAATALAAAACjkwMDM1MDE0MTYMAAAAAjEyDQAAAAk5LzEyLzIwMTX7cFe7k3PVCMsNj66Xc9UILkNJUS5OQVNEQVFHUzpJTlRDLklR</t>
  </si>
  <si>
    <t>X1BFX0VYQ0xfRldELjYwMDAuMS80LzIwMDgBAAAAh1IAAAIAAAAQMTUuNzYyNzU5MDA0MzEwOQENAAAABQAAAAE5AQAAAAcyNjIxMjk1AgAAAAcxNzU3MTU1AwAAAAYxMDAzMDkEAAAAATIGAAAAATAHAAAAAzE2MAgAAAABMAkAAAABMQoAAAABMAsAAAAKODg2NDQ4NTEzOAwAAAACMTINAAAACDEvNS8yMDA4SzuzvZNz1Qh7w1JJl3PVCChDSVEuTkFTREFRR1M6SU5UQy5JUV9QVEJWLjIwMDAuOC8xOS8yMDE2AQAAAIdSAAACAAAABzQuOTY1NTcBBwAAAAUAAAABMQEAAAAKMTgwMTI5NDUwMQMAAAABMAIAAAAGMTAwMDI5BAAAAAEwBwAAAAk4LzE5LzIwMTYIAAAACTgvMTkvMjAxNmt2ZrmTc9UIO5hUSZdz1Qg1Q0lRLk5hc2RhcUdTOklOVEMuSVFfVEVWX0VCSVREQV9GV0RfQ0lRLjYwMDAuMy8xLzIwMTMBAAAAh1IAAAIAAAAQNC43MTk3Mjc2MDUzMDE0MgENAAAABQAAAAE5AQAAAAcyNjIxMjk1AgAAAAczNjUyNjYwAwAAAAYxMDAzMDgEAAAAATIGAAAAATAHAAAAAzE2MAgAAAABMAkAAAABMQoAAAABMAsAAAAKNTQzODIwMDA3MAwAAAACMTINAAAACDMvMi8yMDEzu9RWu5Nz1QiLcY6ul3PVCC5DSVEuTkFTREFRR1M6SU5UQy5JUV9QRV9FWENMX0ZXRC42MDAwLjMvOC8yMDEzAQAAAIdSAAACAAAAEDExLjE3NDUxNTA2MzMyOTIBDQAAAAUAAAABOQEAAAAHMjYyMTI5NQIAAAAHMzY1MjY2MAMAAAAGMTAw</t>
  </si>
  <si>
    <t>MzA5BAAAAAEyBgAAAAEwBwAAAAMxNjAIAAAAATAJAAAAATEKAAAAATALAAAACjU3NDgzMDI5OTUMAAAAAjEyDQAAAAgzLzkvMjAxMwufsr2Tc9UI249YSZdz1QgoQ0lRLk5BU0RBUUdTOklOVEMuSVFfUFRCVi4yMDAwLjEvMjAvMjAxNwEAAACHUgAAAgAAAAg0LjQwNjk4NAEHAAAABQAAAAExAQAAAAoxODE1NTQ0NDUwAwAAAAEwAgAAAAYxMDAwMjkEAAAAATAHAAAACTEvMjAvMjAxNwgAAAAJMS8yMC8yMDE329e5t5Nz1Qi7DExJl3PVCDVDSVEuTmFzZGFxR1M6SU5UQy5JUV9URVZfVE9UQUxfUkVWX0ZXRC42MDAwLjkvMTEvMjAxNQEAAACHUgAAAgAAABAyLjQ1NTgxNjY1ODk2MzEzAQ0AAAAFAAAAATkBAAAABzI2MjEyOTUCAAAABzgwNjgyNjEDAAAABjEwMDMwNwQAAAABMgYAAAABMAcAAAADMTYwCAAAAAEwCQAAAAExCgAAAAEwCwAAAAo5MDA5NDQ0ODU4DAAAAAIxMg0AAAAJOS8xMi8yMDE165dWuZNz1Qi77lBJl3PVCCxDSVEuXlNQWC5JUV9URVZfVE9UQUxfUkVWX0ZXRC42MDAwLjgvMjgvMjAxMwEAAACbuCgAAgAAAAgxLjYzODYwNwDr/rm3k3PVCFsuPUuXc9UINkNJUS5OYXNkYXFHUzpJTlRDLklRX1RFVl9FQklUREFfRldEX0NJUS42MDAwLjEvMjgvMjAxMQEAAACHUgAAAgAAABA0LjczOTQ0ODcwMTA5MTYxAQ0AAAAFAAAAATkBAAAABzI2MjEyOTUCAAAABDE4ODYDAAAABjEwMDMwOAQAAAAB</t>
  </si>
  <si>
    <t>MgYAAAABMAcAAAADMTYwCAAAAAEwCQAAAAExCgAAAAEwCwAAAAo1NzQ4ODE1MTgxDAAAAAIxMg0AAAAJMS8yOS8yMDExy1Cxu5Nz1Qjr6oyul3PVCCZDSVEuXlNQWC5JUV9QRV9FWENMX0ZXRC42MDAwLjExLzkvMjAxNgEAAACbuCgAAgAAAAkxNy4xMTMxNTMA6/65t5Nz1Qj79x5Ll3PVCDVDSVEuTmFzZGFxR1M6SU5UQy5JUV9URVZfVE9UQUxfUkVWX0ZXRC42MDAwLjUvMjAvMjAxNgEAAACHUgAAAgAAABAyLjY1NTE1Njc1ODc3NDk4AQ0AAAAFAAAAATkBAAAABzI2MjEyOTUCAAAACDI3MDAzNjUxAwAAAAYxMDAzMDcEAAAAATIGAAAAATAHAAAAAzE2MAgAAAABMAkAAAABMQoAAAABMAsAAAAKOTQ5NTk1MDY0OQwAAAACMTINAAAACTUvMjEvMjAxNttIvLeTc9UIy2hYSZdz1QgjQ0lRLl5TUFguSVFfTEFTVFNBTEVQUklDRS44LzIwLzIwMTQBAAAAm7goAAIAAAAQMTk4Ni41MDU5NjEyMTIxMwAb3VK7k3PVCAuJN0uXc9UINkNJUS5OQVNEQVFHUzpJTlRDLklRX1RFVl9FQklUREFfRldEX0NJUS42MDAwLjExLzEvMjAwMgEAAACHUgAAAgAAAA8xMS4zNjQ5Njk3OTI4MDcBDQAAAAUAAAABOQEAAAAHMjYyMTI5NQIAAAAHMTc1NzE0MAMAAAAGMTAwMzA4BAAAAAEyBgAAAAEwBwAAAAMxNjAIAAAAATAJAAAAATEKAAAAATALAAAACjExNjkxMjY1NjAMAAAAAjEyDQAAAAkxMS8yLzIwMDJLw1W7k3PVCGuUkK6X</t>
  </si>
  <si>
    <t>c9UIL0NJUS5OQVNEQVFHUzpJTlRDLklRX1BSSUNFX1NBTEVTLjIwMDAuMi8xNy8yMDEyAQAAAIdSAAACAAAACDIuNjY0MDYyAQcAAAAFAAAAATEBAAAACjE0OTA0NjQ0MDUDAAAAATACAAAABTM4OTU4BAAAAAEwBwAAAAkyLzE3LzIwMTIIAAAACTIvMTcvMjAxMksYsLuTc9UIyxVRSZdz1QgsQ0lRLk5BU0RBUUdTOklOVEMuSVFfTEFTVFNBTEVQUklDRS41LzIxLzIwMTQBAAAAh1IAAAIAAAAEMjYuMgDLka+9k3PVCLs2OUuXc9UINUNJUS5OQVNEQVFHUzpJTlRDLklRX1RFVl9FQklUREFfRldEX0NJUS42MDAwLjEvNi8yMDE3AQAAAIdSAAACAAAAEDcuNzYyNzE1Mjc2NzcyODQBDQAAAAUAAAABOQEAAAAHMjYyMTI5NQIAAAAIMjcwMDM2NTMDAAAABjEwMDMwOAQAAAABMgYAAAABMAcAAAADMTYwCAAAAAEwCQAAAAExCgAAAAEwCwAAAAo5ODkwODYxNTY1DAAAAAIxMg0AAAAIMS83LzIwMTdLUlO7k3PVCFv8ja6Xc9UIMENJUS5OQVNEQVFHUzpJTlRDLklRX1BFX0VYQ0xfRldELjYwMDAuMTAvMTMvMjAxNwEAAACHUgAAAgAAAA8xMy4wMTE2NzY3MjUyNjkBDQAAAAUAAAABOQEAAAAHMjYyMTI5NQIAAAAIMjc1MDAxNzMDAAAABjEwMDMwOQQAAAABMgYAAAABMAcAAAADMTYwCAAAAAEwCQAAAAExCgAAAAEwCwAAAAsxMDQ4NTQwMzM2NwwAAAACMTINAAAACjEwLzE0LzIwMTfLArK9k3PVCJugUEmXc9UILkNJ</t>
  </si>
  <si>
    <t>US5OQVNEQVFHUzpJTlRDLklRX1BSSUNFX1NBTEVTLjIwMDAuNy8zLzIwMTMBAAAAh1IAAAIAAAAIMi4yMzM1NTYBBwAAAAUAAAABMQEAAAAKMTYxNDA3NDk0MgMAAAABMAIAAAAFMzg5NTgEAAAAATAHAAAACDcvMy8yMDEzCAAAAAg3LzMvMjAxM9uqiLaTc9UIe3w9S5dz1QgvQ0lRLk5BU0RBUUdTOklOVEMuSVFfUFJJQ0VfU0FMRVMuMjAwMC45LzI1LzIwMTMBAAAAh1IAAAIAAAAIMi4yNTIyMzYBBwAAAAUAAAABMQEAAAAKMTYyODQzNjg0OQMAAAABMAIAAAAFMzg5NTgEAAAAATAHAAAACTkvMjUvMjAxMwgAAAAJOS8yNS8yMDEze51muZNz1QhLBz1Ll3PVCDVDSVEuTmFzZGFxR1M6SU5UQy5JUV9URVZfRUJJVERBX0ZXRF9DSVEuNjAwMC4zLzcvMjAwMwEAAACHUgAAAgAAABA4LjY5NjgxMDE1MjAwNjIxAQ0AAAAFAAAAATkBAAAABzI2MjEyOTUCAAAABDE4NzgDAAAABjEwMDMwOAQAAAABMgYAAAABMAcAAAADMTYwCAAAAAEwCQAAAAExCgAAAAEwCwAAAAkzNjA2NTkwNDMMAAAAAjEyDQAAAAgzLzgvMjAwM6utVruTc9UIu+aOrpdz1QguQ0lRLk5BU0RBUUdTOklOVEMuSVFfUEVfRVhDTF9GV0QuNjAwMC43LzMvMjAxNAEAAACHUgAAAgAAABAxNC42NTgyNTY0NDg4Nzk3AQ0AAAAFAAAAATkBAAAABzI2MjEyOTUCAAAABzQ0NTY0MjcDAAAABjEwMDMwOQQAAAABMgYAAAABMAcAAAADMTYwCAAAAAEwCQAA</t>
  </si>
  <si>
    <t>AAExCgAAAAEwCwAAAAo3MzQ4NTYwMDkwDAAAAAIxMg0AAAAINy80LzIwMTT7d7K9k3PVCDsnUkmXc9UINkNJUS5OQVNEQVFHUzpJTlRDLklRX1RFVl9FQklUREFfRldEX0NJUS42MDAwLjcvMjAvMjAwNwEAAACHUgAAAgAAABA5LjMxNjQ0ODE0MDU5MjEyAQ0AAAAFAAAAATkBAAAABzI2MjEyOTUCAAAABzE3NTcxNTQDAAAABjEwMDMwOAQAAAABMgYAAAABMAcAAAADMTYwCAAAAAEwCQAAAAExCgAAAAEwCwAAAAoxMTY5MTM4MTI4DAAAAAIxMg0AAAAJNy8yMS8yMDA3+/9Uu5Nz1Qj7EY2ul3PVCCdDSVEuTkFTREFRR1M6SU5UQy5JUV9QVEJWLjIwMDAuOC80LzIwMTcBAAAAh1IAAAIAAAAIMy43MzYwNjMBBwAAAAUAAAABMQEAAAAKMTg1MDYxODY2NAMAAAABMAIAAAAGMTAwMDI5BAAAAAEwBwAAAAg4LzQvMjAxNwgAAAAIOC80LzIwMTe7aq+9k3PVCOu2WEmXc9UIJ0NJUS5eU1BYLklRX1BFX0VYQ0xfRldELjYwMDAuMTEvMTkvMjAxNAEAAACbuCgAAgAAAAkxNi40MDkxODkAKwRTu5Nz1Qhb2zVLl3PVCC9DSVEuTkFTREFRR1M6SU5UQy5JUV9QRV9FWENMX0ZXRC42MDAwLjMvMjMvMjAwMQEAAACHUgAAAgAAABA0My4xMTExODc1ODY5NzA1AQ0AAAAFAAAAATkBAAAABzI2MjEyOTUCAAAABzMxNTEzMDEDAAAABjEwMDMwOQQAAAABMgYAAAABMAcAAAADMTYwCAAAAAEwCQAAAAExCgAAAAEwCwAAAAkzMTE1</t>
  </si>
  <si>
    <t>NTA4OTEMAAAAAjEyDQAAAAkzLzI0LzIwMDG7TLS9k3PVCPv7U0mXc9UINENJUS5OYXNkYXFHUzpJTlRDLklRX1RFVl9UT1RBTF9SRVZfRldELjYwMDAuMi81LzIwMTYBAAAAh1IAAAIAAAAQMi4yNzQ3MDIxNjQ2MjcwMQENAAAABQAAAAE5AQAAAAcyNjIxMjk1AgAAAAoxMDAwOTE1NDAyAwAAAAYxMDAzMDcEAAAAATIGAAAAATAHAAAAAzE2MAgAAAABMAkAAAABMQoAAAABMAsAAAAKOTI3MTYwNDk4OAwAAAACMTINAAAACDIvNi8yMDE2m/6zvZNz1QgLI1RJl3PVCDVDSVEuTmFzZGFxR1M6SU5UQy5JUV9URVZfVE9UQUxfUkVWX0ZXRC42MDAwLjgvMjkvMjAxNAEAAACHUgAAAgAAAA8yLjk5NTM0Nzk2NDU1NzMBDQAAAAUAAAABOQEAAAAHMjYyMTI5NQIAAAAHNDQ1NjQyOAMAAAAGMTAwMzA3BAAAAAEyBgAAAAEwBwAAAAMxNjAIAAAAATAJAAAAATEKAAAAATALAAAACjg4NjAxOTM4MjUMAAAAAjEyDQAAAAk4LzMwLzIwMTSL17O9k3PVCMtoWEmXc9UIL0NJUS5OQVNEQVFHUzpJTlRDLklRX1BSSUNFX1NBTEVTLjIwMDAuMTIvOS8yMDExAQAAAIdSAAACAAAACDIuNjA3MTM4AQcAAAAFAAAAATEBAAAACjE0ODAyMTUzODEDAAAAATACAAAABTM4OTU4BAAAAAEwBwAAAAkxMi85LzIwMTEIAAAACTEyLzkvMjAxMdvXubeTc9UIyzNMSZdz1Qg1Q0lRLk5BU0RBUUdTOklOVEMuSVFfVEVWX1RPVEFMX1JFVl9GV0Qu</t>
  </si>
  <si>
    <t>NjAwMC4yLzEzLzIwMDQBAAAAh1IAAAIAAAAQNS4yMDk4MTYzMDE0MzEwNQENAAAABQAAAAE5AQAAAAcyNjIxMjk1AgAAAAQxODc5AwAAAAYxMDAzMDcEAAAAATIGAAAAATAHAAAAAzE2MAgAAAABMAkAAAABMQoAAAABMAsAAAAJMzYwNjU5NzcyDAAAAAIxMg0AAAAJMi8xNC8yMDA0i4W7t5Nz1QgrHk1Jl3PVCDVDSVEuTmFzZGFxR1M6SU5UQy5JUV9URVZfVE9UQUxfUkVWX0ZXRC42MDAwLjQvMjgvMjAxNwEAAACHUgAAAgAAABAyLjk4NjY0OTM0MDE2NDg1AQ0AAAAFAAAAATkBAAAABzI2MjEyOTUCAAAACDI3NTAwMTcyAwAAAAYxMDAzMDcEAAAAATIGAAAAATAHAAAAAzE2MAgAAAABMAkAAAABMQoAAAABMAsAAAALMTAxNDY5MDA1MTQMAAAAAjEyDQAAAAk0LzI5LzIwMTe7Ila5k3PVCIt5UEmXc9UINUNJUS5OYXNkYXFHUzpJTlRDLklRX1RFVl9UT1RBTF9SRVZfRldELjYwMDAuNC8xMy8yMDEyAQAAAIdSAAACAAAAEDIuMzQ3NzA4ODAxOTUyNjcBDQAAAAUAAAABOQEAAAAHMjYyMTI5NQIAAAAEMTg4NwMAAAAGMTAwMzA3BAAAAAEyBgAAAAEwBwAAAAMxNjAIAAAAATAJAAAAATEKAAAAATALAAAACjU3NDg4Mjc2NDgMAAAAAjEyDQAAAAk0LzE0LzIwMTLrl1a5k3PVCNvLTkmXc9UILkNJUS5OQVNEQVFHUzpJTlRDLklRX1BFX0VYQ0xfRldELjYwMDAuNS8xLzIwMDkBAAAAh1IAAAIAAAAQMjcuMDYyNjQ5</t>
  </si>
  <si>
    <t>Nzc3NDczNQENAAAABQAAAAE5AQAAAAcyNjIxMjk1AgAAAAcxNzU3MTU5AwAAAAYxMDAzMDkEAAAAATIGAAAAATAHAAAAAzE2MAgAAAABMAkAAAABMQoAAAABMAsAAAAKODg2MzYxMzM0NAwAAAACMTINAAAACDUvMi8yMDA5OxSzvZNz1Qirx1BJl3PVCCdDSVEuTkFTREFRR1M6SU5UQy5JUV9QVEJWLjIwMDAuNy8yLzIwMTABAAAAh1IAAAIAAAAIMi44MjcxNzgBBwAAAAUAAAABMQEAAAAKMTM1NzY1OTEwMQMAAAABMAIAAAAGMTAwMDI5BAAAAAEwBwAAAAg3LzIvMjAxMAgAAAAINy8yLzIwMTB7nWa5k3PVCLtfU0mXc9UIL0NJUS5OQVNEQVFHUzpJTlRDLklRX1BFX0VYQ0xfRldELjYwMDAuNi8yNy8yMDE0AQAAAIdSAAACAAAAEDE0LjU0MTYwNzg5ODQ0ODUBDQAAAAUAAAABOQEAAAAHMjYyMTI5NQIAAAAHNDQ1NjQyNwMAAAAGMTAwMzA5BAAAAAEyBgAAAAEwBwAAAAMxNjAIAAAAATAJAAAAATEKAAAAATALAAAACjczNDg1NjAwODkMAAAAAjEyDQAAAAk2LzI4LzIwMTT7d7K9k3PVCKupVUmXc9UILkNJUS5OQVNEQVFHUzpJTlRDLklRX1BFX0VYQ0xfRldELjYwMDAuNS8yLzIwMDgBAAAAh1IAAAIAAAAQMTcuNjM2NDk5NjI2MDI4NAENAAAABQAAAAE5AQAAAAcyNjIxMjk1AgAAAAcxNzU3MTU2AwAAAAYxMDAzMDkEAAAAATIGAAAAATAHAAAAAzE2MAgAAAABMAkAAAABMQoAAAABMAsAAAAKODE3MjUxNDI3</t>
  </si>
  <si>
    <t>MAwAAAACMTINAAAACDUvMy8yMDA4SzuzvZNz1QhbBFBJl3PVCB9DSVEuXlNQWC5JUV9QVEJWLjIwMDAuNC8yNi8yMDE3AQAAAJu4KAACAAAACDguMzUwNDIzAOtnUruTc9UIiyIUS5dz1QgnQ0lRLk5BU0RBUUdTOklOVEMuSVFfUFRCVi4yMDAwLjYvMy8yMDExAQAAAIdSAAACAAAACDMuNjkxNzc1AQcAAAAFAAAAATEBAAAACjE0NTI0NzU4NzIDAAAAATACAAAABjEwMDAyOQQAAAABMAcAAAAINi8zLzIwMTEIAAAACDYvMy8yMDExSxFVuZNz1QgLQU9Jl3PVCB9DSVEuXlNQWC5JUV9QVEJWLjIwMDAuMTIvMi8yMDE1AQAAAJu4KAACAAAACDYuNjY5MDI4AMuRr72Tc9UI+50tS5dz1QgvQ0lRLk5BU0RBUUdTOklOVEMuSVFfUEVfRVhDTF9GV0QuNjAwMC43LzI3LzIwMTIBAAAAh1IAAAIAAAAQMTAuMDI3MzYxMzYyNjcyOQENAAAABQAAAAE5AQAAAAcyNjIxMjk1AgAAAAcxNzU3MTY5AwAAAAYxMDAzMDkEAAAAATIGAAAAATAHAAAAAzE2MAgAAAABMAkAAAABMQoAAAABMAsAAAAKODg2MzQzNDkyOAwAAAACMTINAAAACTcvMjgvMjAxMgufsr2Tc9UI+91YSZdz1QggQ0lRLl5TUFguSVFfUFRCVi4yMDAwLjEwLzExLzIwMTcBAAAAm7goAAIAAAAIOC45NzYzNzkAy5GvvZNz1Qj7dvVKl3PVCC5DSVEuXlNQWC5JUV9URVZfRUJJVERBX0ZXRF9DSVEuNjAwMC4xMS8yNS8yMDE1AQAAAJu4KAACAAAACDkuODkzMTc3</t>
  </si>
  <si>
    <t>AGtmsLuTc9UIC8UtS5dz1QgjQ0lRLl5TUFguSVFfTEFTVFNBTEVQUklDRS41LzI0LzIwMTcBAAAAm7goAAIAAAAQMjQwNC4zODcwMjE2OTc3OAA76lS5k3PVCNuSDUuXc9UIIkNJUS5eU1BYLklRX0xBU1RTQUxFUFJJQ0UuNS80LzIwMTYBAAAAm7goAAIAAAAQMjA1MS4xMjEyNjE5NzkyNgDb17m3k3PVCFumKUuXc9UIKENJUS5OQVNEQVFHUzpJTlRDLklRX0VQU19OT1JNX0VTVC5GWTIwMTYBAAAAh1IAAAIAAAAHMi42ODAzOAEOAAAABQAAAAEzAQAAAAcyNjIxMjk1AgAAAAoxMDAwOTE1NDAyAwAAAAYxMDAxNzMEAAAAATIGAAAAATAHAAAAAzE2MAgAAAABMAkAAAABMQoAAAABMAsAAAAKOTk0ODg2MjM3NAwAAAABMQ0AAAAJMi8xNS8yMDE4EAAAAAoxMi8zMS8yMDE2a2awu5Nz1Qh7lD9Kl3PVCC9DSVEuTkFTREFRR1M6SU5UQy5JUV9QUklDRV9TQUxFUy4yMDAwLjcvMjIvMjAxNgEAAACHUgAAAgAAAAgyLjg5NTQ3NQEHAAAABQAAAAExAQAAAAoxNzk5OTQ2MjA4AwAAAAEwAgAAAAUzODk1OAQAAAABMAcAAAAJNy8yMi8yMDE2CAAAAAk3LzIyLzIwMTZrdma5k3PVCDuYVEmXc9UINkNJUS5OYXNkYXFHUzpJTlRDLklRX1RFVl9UT1RBTF9SRVZfRldELjYwMDAuMTEvMTMvMjAwOQEAAACHUgAAAgAAAA8yLjU4MDI1OTYyMjA5ODUBDQAAAAUAAAABOQEAAAAHMjYyMTI5NQIAAAAHMTc1NzE2MQMAAAAGMTAw</t>
  </si>
  <si>
    <t>MzA3BAAAAAEyBgAAAAEwBwAAAAMxNjAIAAAAATAJAAAAATEKAAAAATALAAAACjExNjkxNTAxODYMAAAAAjEyDQAAAAoxMS8xNC8yMDA5665nuZNz1QhbV1dJl3PVCDVDSVEuTmFzZGFxR1M6SU5UQy5JUV9URVZfVE9UQUxfUkVWX0ZXRC42MDAwLjUvMjAvMjAwNQEAAACHUgAAAgAAABAzLjgzNTYxMzUwNTUzMTYzAQ0AAAAFAAAAATkBAAAABzI2MjEyOTUCAAAABzE3NTcxNDcDAAAABjEwMDMwNwQAAAABMgYAAAABMAcAAAADMTYwCAAAAAEwCQAAAAExCgAAAAEwCwAAAAo1ODg3Nzc2NDQ4DAAAAAIxMg0AAAAJNS8yMS8yMDA160lXu5Nz1QhLv1RJl3PVCChDSVEuTkFTREFRR1M6SU5UQy5JUV9QVEJWLjIwMDAuOS8xMC8yMDEwAQAAAIdSAAACAAAABzIuNDY1MzUBBwAAAAUAAAABMQEAAAAKMTM4OTcxMDc0NAMAAAABMAIAAAAGMTAwMDI5BAAAAAEwBwAAAAk5LzEwLzIwMTAIAAAACTkvMTAvMjAxMMuwubeTc9UIC9BMSZdz1QgvQ0lRLk5BU0RBUUdTOklOVEMuSVFfUEVfRVhDTF9GV0QuNjAwMC45LzI2LzIwMDMBAAAAh1IAAAIAAAAQMjguNjE3OTAzMjQyNzMyNwENAAAABQAAAAE5AQAAAAcyNjIxMjk1AgAAAAcxNzU3MTQyAwAAAAYxMDAzMDkEAAAAATIGAAAAATAHAAAAAzE2MAgAAAABMAkAAAABMQoAAAABMAsAAAAKMTE2OTE1NDc1NAwAAAACMTINAAAACTkvMjcvMjAwM3uws72Tc9UIm6BQSZdz1Qgt</t>
  </si>
  <si>
    <t>Q0lRLl5TUFguSVFfVEVWX0VCSVREQV9GV0RfQ0lRLjYwMDAuNy8yMC8yMDE2AQAAAJu4KAACAAAACTEwLjM2OTQxMgBrX1W5k3PVCFs1J0uXc9UILENJUS5OQVNEQVFHUzpJTlRDLklRX0xBU1RTQUxFUFJJQ0UuNS8xMy8yMDE1AQAAAIdSAAACAAAABTMyLjY0AMuRr72Tc9UIu+MxS5dz1QgwQ0lRLk5BU0RBUUdTOklOVEMuSVFfUEVfRVhDTF9GV0QuNjAwMC4xMC8yMS8yMDE2AQAAAIdSAAACAAAAEDEyLjc3MjUyOTA2OTc2NzQBDQAAAAUAAAABOQEAAAAHMjYyMTI5NQIAAAAIMjcwMDM2NTMDAAAABjEwMDMwOQQAAAABMgYAAAABMAcAAAADMTYwCAAAAAEwCQAAAAExCgAAAAEwCwAAAAo5ODI5NDU2ODEwDAAAAAIxMg0AAAAKMTAvMjIvMjAxNtspsr2Tc9UIC5RWSZdz1QgsQ0lRLk5BU0RBUUdTOklOVEMuSVFfTEFTVFNBTEVQUklDRS4xLzE4LzIwMTcBAAAAh1IAAAIAAAAFMzYuNzYAy5GvvZNz1Qh7ThtLl3PVCChDSVEuTkFTREFRR1M6SU5UQy5JUV9QVEJWLjIwMDAuOS8yNi8yMDE0AQAAAIdSAAACAAAACDMuODU4OTE5AQcAAAAFAAAAATEBAAAACjE2ODgwODA5OTIDAAAAATACAAAABjEwMDAyOQQAAAABMAcAAAAJOS8yNi8yMDE0CAAAAAk5LzI2LzIwMTT7jlK7k3PVCJvzV0mXc9UII0NJUS5eU1BYLklRX0xBU1RTQUxFUFJJQ0UuMy8yNi8yMDE0AQAAAJu4KAACAAAAEDE4NTIuNTYxMTY4NTkyOTQA</t>
  </si>
  <si>
    <t>y5GvvZNz1QgrSDpLl3PVCDZDSVEuTmFzZGFxR1M6SU5UQy5JUV9URVZfRUJJVERBX0ZXRF9DSVEuNjAwMC44LzIwLzIwMTABAAAAh1IAAAIAAAAQNC4wOTYwODg0NDM2ODY2OQENAAAABQAAAAE5AQAAAAcyNjIxMjk1AgAAAAcxNzU3MTYzAwAAAAYxMDAzMDgEAAAAATIGAAAAATAHAAAAAzE2MAgAAAABMAkAAAABMQoAAAABMAsAAAAKNzA3MzcyMDY4MAwAAAACMTINAAAACTgvMjEvMjAxMOtJV7uTc9UIG9GPrpdz1Qg1Q0lRLk5hc2RhcUdTOklOVEMuSVFfVEVWX1RPVEFMX1JFVl9GV0QuNjAwMC4zLzEwLzIwMDYBAAAAh1IAAAIAAAAQMi43ODQwNjI3MDk4MzU2MwENAAAABQAAAAE5AQAAAAcyNjIxMjk1AgAAAAQxODgxAwAAAAYxMDAzMDcEAAAAATIGAAAAATAHAAAAAzE2MAgAAAABMAkAAAABMQoAAAABMAsAAAAJMzYwNjcyMzYyDAAAAAIxMg0AAAAJMy8xMS8yMDA2uymxu5Nz1Qi77lBJl3PVCCZDSVEuXlNQWC5JUV9QRV9FWENMX0ZXRC42MDAwLjQvMTMvMjAxNgEAAACbuCgAAgAAAAkxNy42MTQ2NzEAe42wu5Nz1QhrzSlLl3PVCC5DSVEuTkFTREFRR1M6SU5UQy5JUV9QRV9FWENMX0ZXRC42MDAwLjMvMS8yMDAyAQAAAIdSAAACAAAAEDQ1LjI5MjM5NzY2MDgxODcBDQAAAAUAAAABOQEAAAAHMjYyMTI5NQIAAAAEMTg3NwMAAAAGMTAwMzA5BAAAAAEyBgAAAAEwBwAAAAMxNjAIAAAAATAJAAAAATEK</t>
  </si>
  <si>
    <t>AAAAATALAAAABzE0OTc3OTAMAAAAAjEyDQAAAAgzLzIvMjAwMnuws72Tc9UI+2xWSZdz1QgvQ0lRLk5BU0RBUUdTOklOVEMuSVFfUFJJQ0VfU0FMRVMuMjAwMC42LzI5LzIwMTIBAAAAh1IAAAIAAAAIMi41MzUzMTkBBwAAAAUAAAABMQEAAAAKMTU0NTE1NjQzOAMAAAABMAIAAAAFMzg5NTgEAAAAATAHAAAACTYvMjkvMjAxMggAAAAJNi8yOS8yMDEySxiwu5Nz1QgrAFJJl3PVCDVDSVEuTkFTREFRR1M6SU5UQy5JUV9URVZfRUJJVERBX0ZXRF9DSVEuNjAwMC42LzYvMjAxNAEAAACHUgAAAgAAABA2LjEwODYxNzEyNzgxMTAxAQ0AAAAFAAAAATkBAAAABzI2MjEyOTUCAAAABzQ0NTY0MjcDAAAABjEwMDMwOAQAAAABMgYAAAABMAcAAAADMTYwCAAAAAEwCQAAAAExCgAAAAEwCwAAAAo4MTcwNzE1ODAxDAAAAAIxMg0AAAAINi83LzIwMTR7x1O7k3PVCBtgja6Xc9UIJkNJUS5eU1BYLklRX1BFX0VYQ0xfRldELjYwMDAuNC8xNS8yMDE1AQAAAJu4KAACAAAACDE3Ljc5MjU0ACsEU7uTc9UIu+MxS5dz1QgtQ0lRLk5BU0RBUUdTOklOVEMuSVFfTEFTVFNBTEVQUklDRS4xMS8yMy8yMDE2AQAAAIdSAAACAAAABDM1LjIAy5GvvZNz1QhLux9Ll3PVCDBDSVEuTkFTREFRR1M6SU5UQy5JUV9QUklDRV9TQUxFUy4yMDAwLjEwLzExLzIwMTcBAAAAh1IAAAIAAAAIMy4wMDk3MDMBBwAAAAUAAAABMQEAAAAKMTg1MDYx</t>
  </si>
  <si>
    <t>ODY2NAMAAAABMAIAAAAFMzg5NTgEAAAAATAHAAAACjEwLzExLzIwMTcIAAAACjEwLzExLzIwMTdrdma5k3PVCPt29UqXc9UINkNJUS5OQVNEQVFHUzpJTlRDLklRX1RFVl9FQklUREFfRldEX0NJUS42MDAwLjEvMzAvMjAwOQEAAACHUgAAAgAAABA3LjkyOTczMDc4OTI4NTg5AQ0AAAAFAAAAATkBAAAABzI2MjEyOTUCAAAABDE4ODQDAAAABjEwMDMwOAQAAAABMgYAAAABMAcAAAADMTYwCAAAAAEwCQAAAAExCgAAAAEwCwAAAAkzNjA3MTk2NDAMAAAAAjEyDQAAAAkxLzMxLzIwMDnbsVS7k3PVCPsRja6Xc9UIKENJUS5OQVNEQVFHUzpJTlRDLklRX1BUQlYuMjAwMC43LzE4LzIwMTQBAAAAh1IAAAIAAAAIMy44MjExNTkBBwAAAAUAAAABMQEAAAAKMTY4Njg3NTg3MwMAAAABMAIAAAAGMTAwMDI5BAAAAAEwBwAAAAk3LzE4LzIwMTQIAAAACTcvMTgvMjAxNEsYsLuTc9UIm6BQSZdz1QgvQ0lRLk5BU0RBUUdTOklOVEMuSVFfUFJJQ0VfU0FMRVMuMjAwMC45LzMwLzIwMTEBAAAAh1IAAAIAAAAIMi40MDkzMTYBBwAAAAUAAAABMQEAAAAKMTQ2NTYzMTA3MQMAAAABMAIAAAAFMzg5NTgEAAAAATAHAAAACTkvMzAvMjAxMQgAAAAJOS8zMC8yMDEx+45Su5Nz1QgLlFZJl3PVCC9DSVEuTkFTREFRR1M6SU5UQy5JUV9QRV9FWENMX0ZXRC42MDAwLjExLzkvMjAxMgEAAACHUgAAAgAAABAxMC41NTE0MTI3NzMyOTY4</t>
  </si>
  <si>
    <t>AQ0AAAAFAAAAATkBAAAABzI2MjEyOTUCAAAABzE3NTcxNzADAAAABjEwMDMwOQQAAAABMgYAAAABMAcAAAADMTYwCAAAAAEwCQAAAAExCgAAAAEwCwAAAAo4ODYzNDM0NjI1DAAAAAIxMg0AAAAKMTEvMTAvMjAxMgufsr2Tc9UImxFTSZdz1QgnQ0lRLk5BU0RBUUdTOklOVEMuSVFfUkVWRU5VRV9FU1QuRlkyMDE2AQAAAIdSAAACAAAACzU4ODU0LjI1OTUxAQ4AAAAFAAAAATMBAAAAATACAAAACjEwMDA5MTU0MDIDAAAABjEwMDE4MAQAAAABMgYAAAABMAcAAAADMTYwCAAAAAEwCQAAAAExCgAAAAEwCwAAAAo5OTUxNTQ0MTQ0DAAAAAExDQAAAAkyLzE1LzIwMTgQAAAACjEyLzMxLzIwMTaLxGa5k3PVCHuUP0qXc9UINUNJUS5OYXNkYXFHUzpJTlRDLklRX1RFVl9UT1RBTF9SRVZfRldELjYwMDAuMi8xOC8yMDExAQAAAIdSAAACAAAAEDIuMDQxNDQyMjYxMTY4NzMBDQAAAAUAAAABOQEAAAAHMjYyMTI5NQIAAAAEMTg4NgMAAAAGMTAwMzA3BAAAAAEyBgAAAAEwBwAAAAMxNjAIAAAAATAJAAAAATEKAAAAATALAAAACjU3NDg4MTIxOTQMAAAAAjEyDQAAAAkyLzE5LzIwMTGLrVW5k3PVCPsZT0mXc9UIN0NJUS5OQVNEQVFHUzpJTlRDLklRX1RFVl9FQklUREFfRldEX0NJUS42MDAwLjEwLzIxLzIwMTEBAAAAh1IAAAIAAAAQNC42OTM0OTUzNjcwOTg4MwENAAAABQAAAAE5AQAAAAcyNjIxMjk1AgAAAAcxNzU3</t>
  </si>
  <si>
    <t>MTY3AwAAAAYxMDAzMDgEAAAAATIGAAAAATAHAAAAAzE2MAgAAAABMAkAAAABMQoAAAABMAsAAAAKODE3MDcwODgxMgwAAAACMTINAAAACjEwLzIyLzIwMTGrPFS7k3PVCGsjjq6Xc9UILENJUS5OQVNEQVFHUzpJTlRDLklRX0xBU1RTQUxFUFJJQ0UuMTEvNi8yMDEzAQAAAIdSAAACAAAABjI0LjI0NQBbT2a5k3PVCDvgPEuXc9UINkNJUS5OYXNkYXFHUzpJTlRDLklRX1RFVl9UT1RBTF9SRVZfRldELjYwMDAuMTIvMjIvMjAxNwEAAACHUgAAAgAAABAzLjY2ODIzMDE0NTc0ODA4AQ0AAAAFAAAAATkBAAAABzI2MjEyOTUCAAAACDI3NTAwMTc0AwAAAAYxMDAzMDcEAAAAATIGAAAAATAHAAAAAzE2MAgAAAABMAkAAAABMQoAAAABMAsAAAALMTA3MzQyODMxNTUMAAAAAjEyDQAAAAoxMi8yMy8yMDE3q61Wu5Nz1QiLeVBJl3PVCDZDSVEuTkFTREFRR1M6SU5UQy5JUV9URVZfRUJJVERBX0ZXRF9DSVEuNjAwMC43LzIzLzIwMTABAAAAh1IAAAIAAAAQNC43NjczNTQ1NjQ0NTMxNQENAAAABQAAAAE5AQAAAAcyNjIxMjk1AgAAAAcxNzU3MTYzAwAAAAYxMDAzMDgEAAAAATIGAAAAATAHAAAAAzE2MAgAAAABMAkAAAABMQoAAAABMAsAAAAKNzA3MzcxODcwMAwAAAACMTINAAAACTcvMjQvMjAxMLtjVLuTc9UIOx+Qrpdz1QgtQ0lRLl5TUFguSVFfVEVWX0VCSVREQV9GV0RfQ0lRLjYwMDAuMi8xMC8yMDE2AQAAAJu4</t>
  </si>
  <si>
    <t>KAACAAAACDkuMTA5MzUzANu4r72Tc9UIC1QrS5dz1Qg1Q0lRLk5BU0RBUUdTOklOVEMuSVFfVEVWX0VCSVREQV9GV0RfQ0lRLjYwMDAuNC8zLzIwMDkBAAAAh1IAAAIAAAAQMTAuMTMyMzI4NTY2NDcyNwENAAAABQAAAAE5AQAAAAcyNjIxMjk1AgAAAAQxODg0AwAAAAYxMDAzMDgEAAAAATIGAAAAATAHAAAAAzE2MAgAAAABMAkAAAABMQoAAAABMAsAAAAJMzYwNzE5NjQ5DAAAAAIxMg0AAAAINC80LzIwMDnbsVS7k3PVCHu7kK6Xc9UIJkNJUS5eU1BYLklRX1BFX0VYQ0xfRldELjYwMDAuOS8yNS8yMDEzAQAAAJu4KAACAAAACTE0Ljc3NjExNADbuK+9k3PVCDvgPEuXc9UILkNJUS5eU1BYLklRX1RFVl9FQklUREFfRldEX0NJUS42MDAwLjEyLzIxLzIwMTYBAAAAm7goAAIAAAAJMTAuMDM4NTA5AGtfVbmTc9UIOyMdS5dz1Qg0Q0lRLk5hc2RhcUdTOklOVEMuSVFfVEVWX1RPVEFMX1JFVl9GV0QuNjAwMC42LzgvMjAwMQEAAACHUgAAAgAAABA3LjExNjE5MjcwNjEzMDc1AQ0AAAAFAAAAATkBAAAABzI2MjEyOTUCAAAABzM0MjExNjADAAAABjEwMDMwNwQAAAABMgYAAAABMAcAAAADMTYwCAAAAAEwCQAAAAExCgAAAAEwCwAAAAoxMTY5MTUyMzU5DAAAAAIxMg0AAAAINi85LzIwMDHbSLy3k3PVCIuXS0mXc9UIH0NJUS5eU1BYLklRX1BUQlYuMjAwMC4zLzI5LzIwMTcBAAAAm7goAAIAAAAIOC42MjQ3MTkA</t>
  </si>
  <si>
    <t>62dSu5Nz1Qir4RZLl3PVCCxDSVEuXlNQWC5JUV9URVZfVE9UQUxfUkVWX0ZXRC42MDAwLjIvMTkvMjAxNAEAAACbuCgAAgAAAAcxLjc2OTQ3AOv+ubeTc9UIy847S5dz1QgjQ0lRLl5TUFguSVFfTEFTVFNBTEVQUklDRS44LzIxLzIwMTMBAAAAm7goAAIAAAAQMTY0Mi44MDE2NjM3NzYxOAAb3VK7k3PVCFsuPUuXc9UIL0NJUS5OQVNEQVFHUzpJTlRDLklRX1BSSUNFX1NBTEVTLjIwMDAuMS8xMC8yMDE0AQAAAIdSAAACAAAACDIuNDIyODY1AQcAAAAFAAAAATEBAAAACjE2NDI0ODM3OTIDAAAAATACAAAABTM4OTU4BAAAAAEwBwAAAAkxLzEwLzIwMTQIAAAACTEvMTAvMjAxNPuOUruTc9UISzBXSZdz1Qg1Q0lRLk5hc2RhcUdTOklOVEMuSVFfVEVWX1RPVEFMX1JFVl9GV0QuNjAwMC43LzE4LzIwMTQBAAAAh1IAAAIAAAAQMi45MDI5MzcwMzk0NzUxNAENAAAABQAAAAE5AQAAAAcyNjIxMjk1AgAAAAc0NDU2NDI4AwAAAAYxMDAzMDcEAAAAATIGAAAAATAHAAAAAzE2MAgAAAABMAkAAAABMQoAAAABMAsAAAAKODg2MDE5Mjc1NQwAAAACMTINAAAACTcvMTkvMjAxNLsiVrmTc9UIK49PSZdz1QgvQ0lRLk5BU0RBUUdTOklOVEMuSVFfUEVfRVhDTF9GV0QuNjAwMC40LzEyLzIwMDIBAAAAh1IAAAIAAAAQNDIuMzczMTM0MzI4MzU4MgENAAAABQAAAAE5AQAAAAcyNjIxMjk1AgAAAAQxODc3AwAAAAYxMDAzMDkE</t>
  </si>
  <si>
    <t>AAAAATIGAAAAATAHAAAAAzE2MAgAAAABMAkAAAABMQoAAAABMAsAAAAHMTQ5NzgwMQwAAAACMTINAAAACTQvMTMvMjAwMnuws72Tc9UIW+ZUSZdz1Qg2Q0lRLk5BU0RBUUdTOklOVEMuSVFfVEVWX0VCSVREQV9GV0RfQ0lRLjYwMDAuNC8yMC8yMDA3AQAAAIdSAAACAAAAEDguODk1NzkwMzk0ODg2NjgBDQAAAAUAAAABOQEAAAAHMjYyMTI5NQIAAAAHMTc1NzE1MwMAAAAGMTAwMzA4BAAAAAEyBgAAAAEwBwAAAAMxNjAIAAAAATAJAAAAATEKAAAAATALAAAACjExNjkxMzY4MzEMAAAAAjEyDQAAAAk0LzIxLzIwMDf7/1S7k3PVCNs0j66Xc9UINUNJUS5OYXNkYXFHUzpJTlRDLklRX1RFVl9FQklUREFfRldEX0NJUS42MDAwLjYvNC8yMDA0AQAAAIdSAAACAAAAEDkuOTA0MjU1MTQzNjYxNjMBDQAAAAUAAAABOQEAAAAHMjYyMTI5NQIAAAAHMTc1NzE0NAMAAAAGMTAwMzA4BAAAAAEyBgAAAAEwBwAAAAMxNjAIAAAAATAJAAAAATEKAAAAATALAAAACjY4ODM2OTQ1MjEMAAAAAjEyDQAAAAg2LzUvMjAwNNt3sbuTc9UI61uPrpdz1Qg2Q0lRLk5BU0RBUUdTOklOVEMuSVFfVEVWX0VCSVREQV9GV0RfQ0lRLjYwMDAuNi8xOC8yMDEwAQAAAIdSAAACAAAAEDUuMzAzMTUwNzIwNDAwMjQBDQAAAAUAAAABOQEAAAAHMjYyMTI5NQIAAAAHMTc1NzE2MgMAAAAGMTAwMzA4BAAAAAEyBgAAAAEwBwAAAAMxNjAIAAAAATAJ</t>
  </si>
  <si>
    <t>AAAAATEKAAAAATALAAAACjgxNzE1NzI1NTQMAAAAAjEyDQAAAAk2LzE5LzIwMTC7Y1S7k3PVCOvqjK6Xc9UILUNJUS5eU1BYLklRX1RFVl9UT1RBTF9SRVZfRldELjYwMDAuMTIvMjgvMjAxNgEAAACbuCgAAgAAAAgyLjExOTc0MgDr/rm3k3PVCAuuHEuXc9UILkNJUS5OQVNEQVFHUzpJTlRDLklRX1BSSUNFX1NBTEVTLjIwMDAuMy81LzIwMTQBAAAAh1IAAAIAAAAHMi4zMTAxOAEHAAAABQAAAAExAQAAAAoxNjU4MzQyNzgwAwAAAAEwAgAAAAUzODk1OAQAAAABMAcAAAAIMy81LzIwMTQIAAAACDMvNS8yMDE0O/Gvu5Nz1QirgDtLl3PVCC5DSVEuTkFTREFRR1M6SU5UQy5JUV9QUklDRV9TQUxFUy4yMDAwLjUvNy8yMDEwAQAAAIdSAAACAAAACDMuMDg3MzA4AQcAAAAFAAAAATEBAAAACjEzNTc2NTkxMDEDAAAAATACAAAABTM4OTU4BAAAAAEwBwAAAAg1LzcvMjAxMAgAAAAINS83LzIwMTBLGLC7k3PVCBvZUUmXc9UII0NJUS5eU1BYLklRX0xBU1RTQUxFUFJJQ0UuMS8yNS8yMDE3AQAAAJu4KAACAAAAEDIyOTguMzY3NDAzMDk3ODcA29e5t5Nz1QjbxxlLl3PVCDVDSVEuTmFzZGFxR1M6SU5UQy5JUV9URVZfRUJJVERBX0ZXRF9DSVEuNjAwMC43LzgvMjAwNQEAAACHUgAAAgAAABA5LjI0ODQwOTkyMzA0NzUzAQ0AAAAFAAAAATkBAAAABzI2MjEyOTUCAAAABzE3NTcxNDcDAAAABjEwMDMwOAQAAAABMgYA</t>
  </si>
  <si>
    <t>AAABMAcAAAADMTYwCAAAAAEwCQAAAAExCgAAAAEwCwAAAAoxMTY5MTMwMjkyDAAAAAIxMg0AAAAINy85LzIwMDXrSVe7k3PVCHtKjq6Xc9UIKUNJUS5OQVNEQVFHUzpJTlRDLklRX1BUQlYuMjAwMC4xMS8xMS8yMDExAQAAAIdSAAACAAAACDQuMTY1MjY4AQcAAAAFAAAAATEBAAAACjE0ODAyMTUzODEDAAAAATACAAAABjEwMDAyOQQAAAABMAcAAAAKMTEvMTEvMjAxMQgAAAAKMTEvMTEvMjAxMUsYsLuTc9UIm6BQSZdz1QgvQ0lRLk5BU0RBUUdTOklOVEMuSVFfUFJJQ0VfU0FMRVMuMjAwMC42LzMwLzIwMTcBAAAAh1IAAAIAAAAIMi42Mzg4MjIBBwAAAAUAAAABMQEAAAAKMTgzODM2MDEzMgMAAAABMAIAAAAFMzg5NTgEAAAAATAHAAAACTYvMzAvMjAxNwgAAAAJNi8zMC8yMDE3Sxiwu5Nz1QjrY1FJl3PVCC5DSVEuTkFTREFRR1M6SU5UQy5JUV9QRV9FWENMX0ZXRC42MDAwLjMvNC8yMDE2AQAAAIdSAAACAAAAEDEyLjk3MTMzODU1MDY2NTcBDQAAAAUAAAABOQEAAAAHMjYyMTI5NQIAAAAKMTAwMDkxNTQwMgMAAAAGMTAwMzA5BAAAAAEyBgAAAAEwBwAAAAMxNjAIAAAAATAJAAAAATEKAAAAATALAAAACjkzMjYxNTQ2MDYMAAAAAjEyDQAAAAgzLzUvMjAxNutQsr2Tc9UIO5hUSZdz1QgtQ0lRLl5TUFguSVFfVEVWX0VCSVREQV9GV0RfQ0lRLjYwMDAuOS8yNy8yMDE3AQAAAJu4KAACAAAACTEwLjU1NjE4</t>
  </si>
  <si>
    <t>NwCb62a5k3PVCMty90qXc9UIL0NJUS5OQVNEQVFHUzpJTlRDLklRX1BFX0VYQ0xfRldELjYwMDAuNy8xNy8yMDA5AQAAAIdSAAACAAAAEDE5LjM2NzE0MDc5NTcxMjIBDQAAAAUAAAABOQEAAAAHMjYyMTI5NQIAAAAHMTc1NzE2MAMAAAAGMTAwMzA5BAAAAAEyBgAAAAEwBwAAAAMxNjAIAAAAATAJAAAAATEKAAAAATALAAAACjg4NjM2MTMzNTUMAAAAAjEyDQAAAAk3LzE4LzIwMDm7TLS9k3PVCFsEUEmXc9UIJkNJUS5eU1BYLklRX1BFX0VYQ0xfRldELjYwMDAuMi8yMi8yMDE3AQAAAJu4KAACAAAACTE4LjE4NTExMwBrX1W5k3PVCBvzF0uXc9UINkNJUS5OYXNkYXFHUzpJTlRDLklRX1RFVl9FQklUREFfRldEX0NJUS42MDAwLjEvMjYvMjAwNwEAAACHUgAAAgAAABA4LjM0NDE2NjUyNjk5OTE5AQ0AAAAFAAAAATkBAAAABzI2MjEyOTUCAAAABDE4ODIDAAAABjEwMDMwOAQAAAABMgYAAAABMAcAAAADMTYwCAAAAAEwCQAAAAExCgAAAAEwCwAAAAsxMDMzNDE3NjA2NwwAAAACMTINAAAACTEvMjcvMjAwN3s4VruTc9UIO66Nrpdz1QgvQ0lRLk5BU0RBUUdTOklOVEMuSVFfUEVfRVhDTF9GV0QuNjAwMC41LzIyLzIwMTUBAAAAh1IAAAIAAAAQMTQuNzU3Nzg2OTkzNzM1MQENAAAABQAAAAE5AQAAAAcyNjIxMjk1AgAAAAc4MDY4MjYwAwAAAAYxMDAzMDkEAAAAATIGAAAAATAHAAAAAzE2MAgAAAABMAkAAAAB</t>
  </si>
  <si>
    <t>MQoAAAABMAsAAAAKODg4Mjk0MjAwNwwAAAACMTINAAAACTUvMjMvMjAxNetQsr2Tc9UIa35XSZdz1QgtQ0lRLk5BU0RBUUdTOklOVEMuSVFfTEFTVFNBTEVQUklDRS4xMi8yMy8yMDE1AQAAAIdSAAACAAAAAjM1AFs/sLuTc9UI208tS5dz1QgvQ0lRLk5BU0RBUUdTOklOVEMuSVFfUEVfRVhDTF9GV0QuNjAwMC43LzI0LzIwMDkBAAAAh1IAAAIAAAAQMTkuODUyMzM3OTgxOTUyNAENAAAABQAAAAE5AQAAAAcyNjIxMjk1AgAAAAcxNzU3MTYwAwAAAAYxMDAzMDkEAAAAATIGAAAAATAHAAAAAzE2MAgAAAABMAkAAAABMQoAAAABMAsAAAAKODg2MzEyNDY3OAwAAAACMTINAAAACTcvMjUvMjAwOTsUs72Tc9UIi1tVSZdz1QgwQ0lRLk5BU0RBUUdTOklOVEMuSVFfUEVfRVhDTF9GV0QuNjAwMC4xMS8yOS8yMDAyAQAAAIdSAAACAAAAEDM5LjQ3MDY5OTQzMjg5MjIBDQAAAAUAAAABOQEAAAAHMjYyMTI5NQIAAAAHMTc1NzE0MAMAAAAGMTAwMzA5BAAAAAEyBgAAAAEwBwAAAAMxNjAIAAAAATAJAAAAATEKAAAAATALAAAACjkwOTA2ODgxMzMMAAAAAjEyDQAAAAoxMS8zMC8yMDAye7CzvZNz1QjbHlZJl3PVCCxDSVEuXlNQWC5JUV9URVZfRUJJVERBX0ZXRF9DSVEuNjAwMC4xLzEvMjAxNAEAAACbuCgAAgAAAAc4LjkxMTI2ANu4r72Tc9UIC2s8S5dz1QgvQ0lRLk5BU0RBUUdTOklOVEMuSVFfUEVfRVhDTF9GV0Qu</t>
  </si>
  <si>
    <t>NjAwMC40LzI2LzIwMTMBAAAAh1IAAAIAAAAQMTIuMTgyNDIzOTkwMDA0MgENAAAABQAAAAE5AQAAAAcyNjIxMjk1AgAAAAczODI5NzUxAwAAAAYxMDAzMDkEAAAAATIGAAAAATAHAAAAAzE2MAgAAAABMAkAAAABMQoAAAABMAsAAAAKNzAzMzI1ODYzNAwAAAACMTINAAAACTQvMjcvMjAxM7tMtL2Tc9UIa+9ZSZdz1Qg2Q0lRLk5hc2RhcUdTOklOVEMuSVFfVEVWX1RPVEFMX1JFVl9GV0QuNjAwMC4xMC8xMi8yMDAxAQAAAIdSAAACAAAAEDUuOTU3NTc1NTQ4NjUyNTYBDQAAAAUAAAABOQEAAAAHMjYyMTI5NQIAAAAHMzQyMTE2MQMAAAAGMTAwMzA3BAAAAAEyBgAAAAEwBwAAAAMxNjAIAAAAATAJAAAAATEKAAAAATALAAAACjExNjkxNTI0NjMMAAAAAjEyDQAAAAoxMC8xMy8yMDAxy1Cxu5Nz1QgrU1lJl3PVCDZDSVEuTmFzZGFxR1M6SU5UQy5JUV9URVZfRUJJVERBX0ZXRF9DSVEuNjAwMC45LzEwLzIwMDQBAAAAh1IAAAIAAAAQNy4zNzg3NTc4OTg2NTg1OAENAAAABQAAAAE5AQAAAAcyNjIxMjk1AgAAAAcxNzU3MTQ1AwAAAAYxMDAzMDgEAAAAATIGAAAAATAHAAAAAzE2MAgAAAABMAkAAAABMQoAAAABMAsAAAAKMTE2OTEyOTE0MgwAAAACMTINAAAACTkvMTEvMjAwNNsiV7uTc9UIS0aQrpdz1QgtQ0lRLl5TUFguSVFfVEVWX0VCSVREQV9GV0RfQ0lRLjYwMDAuMy8yNS8yMDE1AQAAAJu4KAACAAAACDku</t>
  </si>
  <si>
    <t>OTI0MDgzAGtmsLuTc9UI61gyS5dz1QgsQ0lRLk5BU0RBUUdTOklOVEMuSVFfTEFTVFNBTEVQUklDRS43LzMwLzIwMTQBAAAAh1IAAAIAAAAFMzQuMzUA27ivvZNz1Qg7/jdLl3PVCC5DSVEuTkFTREFRR1M6SU5UQy5JUV9QUklDRV9TQUxFUy4yMDAwLjcvOC8yMDE2AQAAAIdSAAACAAAACDIuODYyMDgxAQcAAAAFAAAAATEBAAAACjE3ODkxOTMzNDMDAAAAATACAAAABTM4OTU4BAAAAAEwBwAAAAg3LzgvMjAxNggAAAAINy84LzIwMTZLGLC7k3PVCCsAUkmXc9UILkNJUS5OQVNEQVFHUzpJTlRDLklRX1BSSUNFX1NBTEVTLjIwMDAuMi84LzIwMTcBAAAAh1IAAAIAAAAHMi44OTc1NgEHAAAABQAAAAExAQAAAAoxODI1NTIyMTc2AwAAAAEwAgAAAAUzODk1OAQAAAABMAcAAAAIMi84LzIwMTcIAAAACDIvOC8yMDE329e5t5Nz1QgLPRpLl3PVCC9DSVEuTkFTREFRR1M6SU5UQy5JUV9QRV9FWENMX0ZXRC42MDAwLjkvMjYvMjAxNAEAAACHUgAAAgAAABAxNC44MDU1MzE1NDcxMDQ2AQ0AAAAFAAAAATkBAAAABzI2MjEyOTUCAAAABzQ0NTY0MjgDAAAABjEwMDMwOQQAAAABMgYAAAABMAcAAAADMTYwCAAAAAEwCQAAAAExCgAAAAEwCwAAAAo4NTEwMjU5OTI5DAAAAAIxMg0AAAAJOS8yNy8yMDE0m/6zvZNz1QhbdVJJl3PVCDRDSVEuTmFzZGFxR1M6SU5UQy5JUV9URVZfVE9UQUxfUkVWX0ZXRC42MDAwLjgvMS8y</t>
  </si>
  <si>
    <t>MDAzAQAAAIdSAAACAAAAEDQuOTc4MzA0MTkzMTk4NTYBDQAAAAUAAAABOQEAAAAHMjYyMTI5NQIAAAAHMTc1NzE0MgMAAAAGMTAwMzA3BAAAAAEyBgAAAAEwBwAAAAMxNjAIAAAAATAJAAAAATEKAAAAATALAAAACjExNjkxMjcwNzMMAAAAAjEyDQAAAAg4LzIvMjAwM8tgZ7mTc9UIC7JRSZdz1QgvQ0lRLk5BU0RBUUdTOklOVEMuSVFfUFJJQ0VfU0FMRVMuMjAwMC4xLzMwLzIwMTUBAAAAh1IAAAIAAAAIMi44OTgzMTgBBwAAAAUAAAABMQEAAAAKMTcxNTMyODY0MwMAAAABMAIAAAAFMzg5NTgEAAAAATAHAAAACTEvMzAvMjAxNQgAAAAJMS8zMC8yMDE1O+pUuZNz1QhrK1BJl3PVCCNDSVEuXlNQWC5JUV9MQVNUU0FMRVBSSUNFLjMvMTMvMjAxMwEAAACbuCgAAgAAABAxNTU0LjUxODQxMjg2NzYyAFtPZrmTc9UIuxg+S5dz1QgsQ0lRLl5TUFguSVFfVEVWX1RPVEFMX1JFVl9GV0QuNjAwMC4yLzI1LzIwMTUBAAAAm7goAAIAAAAIMi4wNzUwOTYAm+tmuZNz1QhLQzNLl3PVCC9DSVEuTkFTREFRR1M6SU5UQy5JUV9QUklDRV9TQUxFUy4yMDAwLjEvMzEvMjAxOAEAAACHUgAAAgAAAAczLjYwNTg0AQcAAAAFAAAAATEBAAAACjE4NzIyMTQwOTkDAAAAATACAAAABTM4OTU4BAAAAAEwBwAAAAkxLzMxLzIwMTgIAAAACTEvMzEvMjAxONvXubeTc9UIu9ZOSpdz1Qg1Q0lRLk5hc2RhcUdTOklOVEMuSVFfVEVWX1RP</t>
  </si>
  <si>
    <t>VEFMX1JFVl9GV0QuNjAwMC44LzIwLzIwMTABAAAAh1IAAAIAAAAQMS45NDI1NTk0MjIyNzA2OQENAAAABQAAAAE5AQAAAAcyNjIxMjk1AgAAAAcxNzU3MTYzAwAAAAYxMDAzMDcEAAAAATIGAAAAATAHAAAAAzE2MAgAAAABMAkAAAABMQoAAAABMAsAAAAKODg2NDQyNjczMQwAAAACMTINAAAACTgvMjEvMjAxMNsiV7uTc9UIW3VSSZdz1Qg1Q0lRLk5hc2RhcUdTOklOVEMuSVFfVEVWX1RPVEFMX1JFVl9GV0QuNjAwMC4xMS80LzIwMDUBAAAAh1IAAAIAAAAQMy4xODUwNTgzMTU4NTYzNwENAAAABQAAAAE5AQAAAAcyNjIxMjk1AgAAAAcxNzU3MTQ5AwAAAAYxMDAzMDcEAAAAATIGAAAAATAHAAAAAzE2MAgAAAABMAkAAAABMQoAAAABMAsAAAAKMTE2OTEzMTQ1MgwAAAACMTINAAAACTExLzUvMjAwNfuWvLeTc9UI28tOSZdz1Qg0Q0lRLk5hc2RhcUdTOklOVEMuSVFfVEVWX1RPVEFMX1JFVl9GV0QuNjAwMC44LzUvMjAxNgEAAACHUgAAAgAAABAyLjk5NjE0MDM3MTY3OTg0AQ0AAAAFAAAAATkBAAAABzI2MjEyOTUCAAAACDI3MDAzNjUyAwAAAAYxMDAzMDcEAAAAATIGAAAAATAHAAAAAzE2MAgAAAABMAkAAAABMQoAAAABMAsAAAAKOTYzOTkzNDk5MgwAAAACMTINAAAACDgvNi8yMDE223BWuZNz1Qgb90xJl3PVCCZDSVEuXlNQWC5JUV9QRV9FWENMX0ZXRC42MDAwLjEwLzIvMjAxMwEAAACbuCgAAgAAAAkx</t>
  </si>
  <si>
    <t>NC44MDA1NTQAe42wu5Nz1Qg74DxLl3PVCCZDSVEuXlNQWC5JUV9QRV9FWENMX0ZXRC42MDAwLjgvMjQvMjAxNgEAAACbuCgAAgAAAAkxNy41MjM1ODYA27ivvZNz1QgLASRLl3PVCC1DSVEuXlNQWC5JUV9URVZfRUJJVERBX0ZXRF9DSVEuNjAwMC40LzE5LzIwMTcBAAAAm7goAAIAAAAJMTAuMjEzNTAyANu4r72Tc9UIy74US5dz1QgnQ0lRLk5BU0RBUUdTOklOVEMuSVFfUFRCVi4yMDAwLjEvMi8yMDE1AQAAAIdSAAACAAAABzQuMjkyODgBBwAAAAUAAAABMQEAAAAKMTcwMzY4MTg5NAMAAAABMAIAAAAGMTAwMDI5BAAAAAEwBwAAAAgxLzIvMjAxNQgAAAAIMS8yLzIwMTX7jlK7k3PVCCviVkmXc9UIMENJUS5OQVNEQVFHUzpJTlRDLklRX1BFX0VYQ0xfRldELjYwMDAuMTAvMTIvMjAwMQEAAACHUgAAAgAAABA1My45MzQwMzc1MDgwODM2AQ0AAAAFAAAAATkBAAAABzI2MjEyOTUCAAAABzM0MjExNjEDAAAABjEwMDMwOQQAAAABMgYAAAABMAcAAAADMTYwCAAAAAEwCQAAAAExCgAAAAEwCwAAAAoxMTY5MTczMzc4DAAAAAIxMg0AAAAKMTAvMTMvMjAwMYvXs72Tc9UIezRVSZdz1QgvQ0lRLk5BU0RBUUdTOklOVEMuSVFfUEVfRVhDTF9GV0QuNjAwMC45LzMwLzIwMTYBAAAAh1IAAAIAAAAQMTMuNjY2MTQ3Nzc1NDA0NgENAAAABQAAAAE5AQAAAAcyNjIxMjk1AgAAAAgyNzAwMzY1MgMAAAAGMTAwMzA5BAAA</t>
  </si>
  <si>
    <t>AAEyBgAAAAEwBwAAAAMxNjAIAAAAATAJAAAAATEKAAAAATALAAAACjk3MzA3MDE5NDMMAAAAAjEyDQAAAAkxMC8xLzIwMTbbKbK9k3PVCBssWUmXc9UINUNJUS5OQVNEQVFHUzpJTlRDLklRX1RFVl9FQklUREFfRldEX0NJUS42MDAwLjIvNS8yMDEwAQAAAIdSAAACAAAAEDUuNjI3OTI3NDc3NDgwMTIBDQAAAAUAAAABOQEAAAAHMjYyMTI5NQIAAAAEMTg4NQMAAAAGMTAwMzA4BAAAAAEyBgAAAAEwBwAAAAMxNjAIAAAAATAJAAAAATEKAAAAATALAAAACTM2MDc0MDU1OQwAAAACMTINAAAACDIvNi8yMDEwy4pUu5Nz1Qg7H5Cul3PVCDZDSVEuTkFTREFRR1M6SU5UQy5JUV9URVZfRUJJVERBX0ZXRF9DSVEuNjAwMC4xLzMwLzIwMDQBAAAAh1IAAAIAAAAQMTAuODMwOTg4NDE1MzI2NgENAAAABQAAAAE5AQAAAAcyNjIxMjk1AgAAAAQxODc5AwAAAAYxMDAzMDgEAAAAATIGAAAAATAHAAAAAzE2MAgAAAABMAkAAAABMQoAAAABMAsAAAAJMzYwNjYzMjkyDAAAAAIxMg0AAAAJMS8zMS8yMDA0O5xVu5Nz1QhLRpCul3PVCCdDSVEuTkFTREFRR1M6SU5UQy5JUV9QVEJWLjIwMDAuOC8yLzIwMTMBAAAAh1IAAAIAAAAIMy4wMjY1MjkBBwAAAAUAAAABMQEAAAAKMTYyODQzNjg0OQMAAAABMAIAAAAGMTAwMDI5BAAAAAEwBwAAAAg4LzIvMjAxMwgAAAAIOC8yLzIwMTPr0Yi2k3PVCCutSkmXc9UILUNJUS5OQVNEQVFH</t>
  </si>
  <si>
    <t>UzpJTlRDLklRX0xBU1RTQUxFUFJJQ0UuMTAvMTQvMjAxNQEAAACHUgAAAgAAAAQzMi44ADvqVLmTc9UIi/0uS5dz1QgoQ0lRLk5BU0RBUUdTOklOVEMuSVFfUFRCVi4yMDAwLjIvMjcvMjAxNQEAAACHUgAAAgAAAAgzLjg5MjQ3NQEHAAAABQAAAAExAQAAAAoxNzE4ODU5MjkxAwAAAAEwAgAAAAYxMDAwMjkEAAAAATAHAAAACTIvMjcvMjAxNQgAAAAJMi8yNy8yMDE1u2qvvZNz1Qi7QVhJl3PVCC9DSVEuTkFTREFRR1M6SU5UQy5JUV9QRV9FWENMX0ZXRC42MDAwLjYvMTMvMjAxNAEAAACHUgAAAgAAABAxNC4wODE2NTE4OTUxNTM3AQ0AAAAFAAAAATkBAAAABzI2MjEyOTUCAAAABzQ0NTY0MjcDAAAABjEwMDMwOQQAAAABMgYAAAABMAcAAAADMTYwCAAAAAEwCQAAAAExCgAAAAEwCwAAAAo3Mjg4NDYzOTI2DAAAAAIxMg0AAAAJNi8xNC8yMDE0+3eyvZNz1Qg7RU1Jl3PVCDVDSVEuTmFzZGFxR1M6SU5UQy5JUV9URVZfVE9UQUxfUkVWX0ZXRC42MDAwLjkvMTYvMjAxMQEAAACHUgAAAgAAABAxLjkyNDgxMTMxODcyMDkxAQ0AAAAFAAAAATkBAAAABzI2MjEyOTUCAAAABzE3NTcxNjYDAAAABjEwMDMwNwQAAAABMgYAAAABMAcAAAADMTYwCAAAAAEwCQAAAAExCgAAAAEwCwAAAAo4ODY0NDMxMzU2DAAAAAIxMg0AAAAJOS8xNy8yMDExezhWu5Nz1QirOFNJl3PVCCtDSVEuTkFTREFRR1M6SU5UQy5JUV9MQVNU</t>
  </si>
  <si>
    <t>U0FMRVBSSUNFLjcvNS8yMDE3AQAAAIdSAAACAAAABTM0LjM0ADvqVLmTc9UIW+kJS5dz1QgwQ0lRLk5BU0RBUUdTOklOVEMuSVFfUEVfRVhDTF9GV0QuNjAwMC4xMi8xOC8yMDA5AQAAAIdSAAACAAAAEDEzLjM0NDY2MzQ5NDIyMTYBDQAAAAUAAAABOQEAAAAHMjYyMTI5NQIAAAAHMTc1NzE2MQMAAAAGMTAwMzA5BAAAAAEyBgAAAAEwBwAAAAMxNjAIAAAAATAJAAAAATEKAAAAATALAAAACjkwOTAzNzk3OTgMAAAAAjEyDQAAAAoxMi8xOS8yMDA5K+2yvZNz1QgLslFJl3PVCB9DSVEuXlNQWC5JUV9QVEJWLjIwMDAuNi8yMS8yMDE3AQAAAJu4KAACAAAABzguNzg0MDgAWzhVuZNz1QhrgQxLl3PVCC5DSVEuTkFTREFRR1M6SU5UQy5JUV9QUklDRV9TQUxFUy4yMDAwLjYvOC8yMDE2AQAAAIdSAAACAAAACDIuNjg0NDY0AQcAAAAFAAAAATEBAAAACjE3ODkxOTMzNDMDAAAAATACAAAABTM4OTU4BAAAAAEwBwAAAAg2LzgvMjAxNggAAAAINi84LzIwMTa7aq+9k3PVCEt/KUuXc9UINUNJUS5OYXNkYXFHUzpJTlRDLklRX1RFVl9UT1RBTF9SRVZfRldELjYwMDAuMTEvNy8yMDA4AQAAAIdSAAACAAAAEDEuODE1OTU2NzY5NjAxNTcBDQAAAAUAAAABOQEAAAAHMjYyMTI5NQIAAAAHMTc1NzE1OAMAAAAGMTAwMzA3BAAAAAEyBgAAAAEwBwAAAAMxNjAIAAAAATAJAAAAATEKAAAAATALAAAACjg4NjIwMjkzODQMAAAA</t>
  </si>
  <si>
    <t>AjEyDQAAAAkxMS84LzIwMDjL+1a7k3PVCBvZUUmXc9UINUNJUS5OYXNkYXFHUzpJTlRDLklRX1RFVl9UT1RBTF9SRVZfRldELjYwMDAuMi8yMS8yMDAzAQAAAIdSAAACAAAADzMuNTE4NjM1NzQ5NzcwOQENAAAABQAAAAE5AQAAAAcyNjIxMjk1AgAAAAQxODc4AwAAAAYxMDAzMDcEAAAAATIGAAAAATAHAAAAAzE2MAgAAAABMAkAAAABMQoAAAABMAsAAAAJMzYwNjU2NDIyDAAAAAIxMg0AAAAJMi8yMi8yMDAzqwKxu5Nz1Qj7GU9Jl3PVCDVDSVEuTmFzZGFxR1M6SU5UQy5JUV9URVZfVE9UQUxfUkVWX0ZXRC42MDAwLjQvMjkvMjAxMQEAAACHUgAAAgAAABAyLjE0MzIxNDI2MTAzOTg1AQ0AAAAFAAAAATkBAAAABzI2MjEyOTUCAAAABzE3NTcxNjUDAAAABjEwMDMwNwQAAAABMgYAAAABMAcAAAADMTYwCAAAAAEwCQAAAAExCgAAAAEwCwAAAAo4ODY0NDI4OTEwDAAAAAIxMg0AAAAJNC8zMC8yMDExuyJWuZNz1QgLQU9Jl3PVCC9DSVEuTkFTREFRR1M6SU5UQy5JUV9QRV9FWENMX0ZXRC42MDAwLjQvMTUvMjAwNQEAAACHUgAAAgAAABAxNy4yMDA2MjIwODM5ODEzAQ0AAAAFAAAAATkBAAAABzI2MjEyOTUCAAAABDE4ODADAAAABjEwMDMwOQQAAAABMgYAAAABMAcAAAADMTYwCAAAAAEwCQAAAAExCgAAAAEwCwAAAAcxNTA5MTE5DAAAAAIxMg0AAAAJNC8xNi8yMDA1a4mzvZNz1Qj7ilFJl3PVCDVDSVEuTmFz</t>
  </si>
  <si>
    <t>ZGFxR1M6SU5UQy5JUV9URVZfRUJJVERBX0ZXRF9DSVEuNjAwMC40LzgvMjAxMQEAAACHUgAAAgAAABA0LjI4NDc0MDMwMTI5MzEyAQ0AAAAFAAAAATkBAAAABzI2MjEyOTUCAAAABDE4ODYDAAAABjEwMDMwOAQAAAABMgYAAAABMAcAAAADMTYwCAAAAAEwCQAAAAExCgAAAAEwCwAAAAo1NzQ4ODE1MjE0DAAAAAIxMg0AAAAINC85LzIwMTH7xbG7k3PVCPuCj66Xc9UIJENJUS5eU1BYLklRX0xBU1RTQUxFUFJJQ0UuMTIvMTEvMjAxMwEAAACbuCgAAgAAABAxNzgyLjIyMTc1NjAxMjg4AMuRr72Tc9UIC2s8S5dz1Qg3Q0lRLk5hc2RhcUdTOklOVEMuSVFfVEVWX0VCSVREQV9GV0RfQ0lRLjYwMDAuMTIvMjgvMjAxMgEAAACHUgAAAgAAABA0LjU3MTgxMTYwNDgxMjk5AQ0AAAAFAAAAATkBAAAABzI2MjEyOTUCAAAABzE3NTcxNzADAAAABjEwMDMwOAQAAAABMgYAAAABMAcAAAADMTYwCAAAAAEwCQAAAAExCgAAAAEwCwAAAAo2OTU1NDA1OTc2DAAAAAIxMg0AAAAKMTIvMjkvMjAxMstQsbuTc9UIm5iOrpdz1Qg2Q0lRLk5hc2RhcUdTOklOVEMuSVFfVEVWX0VCSVREQV9GV0RfQ0lRLjYwMDAuOC8yMy8yMDAyAQAAAIdSAAACAAAAEDEwLjMzMzkwNjYwNjM0ODQBDQAAAAUAAAABOQEAAAAHMjYyMTI5NQIAAAAHMTc1NzEzOQMAAAAGMTAwMzA4BAAAAAEyBgAAAAEwBwAAAAMxNjAIAAAAATAJAAAAATEKAAAAATAL</t>
  </si>
  <si>
    <t>AAAACjExNjkxMjYwNDcMAAAAAjEyDQAAAAk4LzI0LzIwMDLbd7G7k3PVCAs5ja6Xc9UIKUNJUS5OQVNEQVFHUzpJTlRDLklRX1BUQlYuMjAwMC4xMS8xOS8yMDEwAQAAAIdSAAACAAAABzIuNzc2NDQBBwAAAAUAAAABMQEAAAAKMTQwODUxNjU0NgMAAAABMAIAAAAGMTAwMDI5BAAAAAEwBwAAAAoxMS8xOS8yMDEwCAAAAAoxMS8xOS8yMDEwy7C5t5Nz1Qhruk1Jl3PVCB5DSVEuXlNQWC5JUV9QVEJWLjIwMDAuMS8zLzIwMTgBAAAAm7goAAIAAAAIOS42NzI3NTEA62dSu5Nz1QiL1KNKl3PVCC9DSVEuTkFTREFRR1M6SU5UQy5JUV9QRV9FWENMX0ZXRC42MDAwLjMvMTYvMjAwNwEAAACHUgAAAgAAAA8xNy42NTQ0ODgyOTY0MTEBDQAAAAUAAAABOQEAAAAHMjYyMTI5NQIAAAAEMTg4MgMAAAAGMTAwMzA5BAAAAAEyBgAAAAEwBwAAAAMxNjAIAAAAATAJAAAAATEKAAAAATALAAAABzE1MjU2MDEMAAAAAjEyDQAAAAkzLzE3LzIwMDdbYrO9k3PVCEvdT0mXc9UILUNJUS5OQVNEQVFHUzpJTlRDLklRX0xBU1RTQUxFUFJJQ0UuMTIvMTMvMjAxNwEAAACHUgAAAgAAAAU0My4zNADLka+9k3PVCCug2EqXc9UINkNJUS5OYXNkYXFHUzpJTlRDLklRX1RFVl9UT1RBTF9SRVZfRldELjYwMDAuMTAvMTgvMjAxMwEAAACHUgAAAgAAABAyLjEyOTQ4MDU5OTYxNjc4AQ0AAAAFAAAAATkBAAAABzI2MjEyOTUCAAAABzM4Mjk3</t>
  </si>
  <si>
    <t>NTMDAAAABjEwMDMwNwQAAAABMgYAAAABMAcAAAADMTYwCAAAAAEwCQAAAAExCgAAAAEwCwAAAAo4ODYyNTQ1NzI0DAAAAAIxMg0AAAAKMTAvMTkvMjAxM9siV7uTc9UIKwBSSZdz1QgvQ0lRLk5BU0RBUUdTOklOVEMuSVFfUFJJQ0VfU0FMRVMuMjAwMC43LzIyLzIwMTEBAAAAh1IAAAIAAAAIMi42MTIwMjEBBwAAAAUAAAABMQEAAAAKMTQ2MjM1NDE3MgMAAAABMAIAAAAFMzg5NTgEAAAAATAHAAAACTcvMjIvMjAxMQgAAAAJNy8yMi8yMDEx29e5t5Nz1QiLl0tJl3PVCC9DSVEuTkFTREFRR1M6SU5UQy5JUV9QRV9FWENMX0ZXRC42MDAwLjUvMTAvMjAwMgEAAACHUgAAAgAAABAzNC44OTY2Mjc5MDY5NzY3AQ0AAAAFAAAAATkBAAAABzI2MjEyOTUCAAAABzE3NTcxMzgDAAAABjEwMDMwOQQAAAABMgYAAAABMAcAAAADMTYwCAAAAAEwCQAAAAExCgAAAAEwCwAAAAo4ODYwNTA2NTc0DAAAAAIxMg0AAAAJNS8xMS8yMDAye7CzvZNz1QhLMFdJl3PVCDZDSVEuTkFTREFRR1M6SU5UQy5JUV9URVZfRUJJVERBX0ZXRF9DSVEuNjAwMC43LzI1LzIwMDMBAAAAh1IAAAIAAAAPMTIuMTYzOTA1NzEzMDE1AQ0AAAAFAAAAATkBAAAABzI2MjEyOTUCAAAABzE3NTcxNDIDAAAABjEwMDMwOAQAAAABMgYAAAABMAcAAAADMTYwCAAAAAEwCQAAAAExCgAAAAEwCwAAAAoxMTY5MTI3Njc1DAAAAAIxMg0AAAAJNy8yNi8yMDAz</t>
  </si>
  <si>
    <t>S8NVu5Nz1QgLOY2ul3PVCCxDSVEuXlNQWC5JUV9URVZfVE9UQUxfUkVWX0ZXRC42MDAwLjQvMTAvMjAxMwEAAACbuCgAAgAAAAgxLjYxNTY0MQDr/rm3k3PVCKvxPUuXc9UIKENJUS5OQVNEQVFHUzpJTlRDLklRX1BUQlYuMjAwMC43LzE2LzIwMTABAAAAh1IAAAIAAAAHMi44MjcyMwEHAAAABQAAAAExAQAAAAoxMzg2NzIxMDUyAwAAAAEwAgAAAAYxMDAwMjkEAAAAATAHAAAACTcvMTYvMjAxMAgAAAAJNy8xNi8yMDEwSxFVuZNz1Qjr8k5Jl3PVCC1DSVEuXlNQWC5JUV9URVZfRUJJVERBX0ZXRF9DSVEuNjAwMC43LzIzLzIwMTQBAAAAm7goAAIAAAAIOS4wMTExMjgA6/65t5Nz1Qg7/jdLl3PVCDRDSVEuTmFzZGFxR1M6SU5UQy5JUV9URVZfVE9UQUxfUkVWX0ZXRC42MDAwLjQvMS8yMDE2AQAAAIdSAAACAAAAEDIuNTYwNDI0NzAyMjkwNjEBDQAAAAUAAAABOQEAAAAHMjYyMTI5NQIAAAAKMTAwMDkxNTQwMgMAAAAGMTAwMzA3BAAAAAEyBgAAAAEwBwAAAAMxNjAIAAAAATAJAAAAATEKAAAAATALAAAACjkzNzQyODEzOTYMAAAAAjEyDQAAAAg0LzIvMjAxNqsltL2Tc9UIq6lVSZdz1QgvQ0lRLk5BU0RBUUdTOklOVEMuSVFfUFJJQ0VfU0FMRVMuMjAwMC4xLzIwLzIwMTIBAAAAh1IAAAIAAAAGMi41Njc3AQcAAAAFAAAAATEBAAAACjE0OTA0NjQ0MDUDAAAAATACAAAABTM4OTU4BAAAAAEwBwAAAAkxLzIw</t>
  </si>
  <si>
    <t>LzIwMTIIAAAACTEvMjAvMjAxMmt2ZrmTc9UIW+ZUSZdz1Qg1Q0lRLk5hc2RhcUdTOklOVEMuSVFfVEVWX1RPVEFMX1JFVl9GV0QuNjAwMC4zLzEwLzIwMTcBAAAAh1IAAAIAAAAQMi45NjU3MDg3OTA4ODI1MQENAAAABQAAAAE5AQAAAAcyNjIxMjk1AgAAAAoxMDAwOTQ0Mzg3AwAAAAYxMDAzMDcEAAAAATIGAAAAATAHAAAAAzE2MAgAAAABMAkAAAABMQoAAAABMAsAAAALMTAwMjk4MTAyNTgMAAAAAjEyDQAAAAkzLzExLzIwMTc7cmi5k3PVCHulV0mXc9UINUNJUS5OYXNkYXFHUzpJTlRDLklRX1RFVl9UT1RBTF9SRVZfRldELjYwMDAuOC8xOS8yMDExAQAAAIdSAAACAAAAEDEuNjUwODkxMzMxMjU3NjcBDQAAAAUAAAABOQEAAAAHMjYyMTI5NQIAAAAHMTc1NzE2NgMAAAAGMTAwMzA3BAAAAAEyBgAAAAEwBwAAAAMxNjAIAAAAATAJAAAAATEKAAAAATALAAAACjg4NjQ0MzEzNDUMAAAAAjEyDQAAAAk4LzIwLzIwMTEbJGi5k3PVCPuoTEmXc9UILkNJUS5OQVNEQVFHUzpJTlRDLklRX1BSSUNFX1NBTEVTLjIwMDAuNS84LzIwMTMBAAAAh1IAAAIAAAAIMi4yNzk0MjYBBwAAAAUAAAABMQEAAAAKMTYxNDA3NDk0MgMAAAABMAIAAAAFMzg5NTgEAAAAATAHAAAACDUvOC8yMDEzCAAAAAg1LzgvMjAxM2t2ZrmTc9UIm8o9S5dz1Qg1Q0lRLk5hc2RhcUdTOklOVEMuSVFfVEVWX1RPVEFMX1JFVl9GV0QuNjAwMC45</t>
  </si>
  <si>
    <t>LzI1LzIwMTUBAAAAh1IAAAIAAAAQMi4zOTk3OTUwMzE5NTUyMwENAAAABQAAAAE5AQAAAAcyNjIxMjk1AgAAAAc4MDY4MjYxAwAAAAYxMDAzMDcEAAAAATIGAAAAATAHAAAAAzE2MAgAAAABMAkAAAABMQoAAAABMAsAAAAKOTAyNjM0MDc1NQwAAAACMTINAAAACTkvMjYvMjAxNbsiVrmTc9UIC9BMSZdz1QgvQ0lRLk5BU0RBUUdTOklOVEMuSVFfUEVfRVhDTF9GV0QuNjAwMC4xMi83LzIwMTIBAAAAh1IAAAIAAAAQMTAuMzI1ODM2MzY0NTY3OQENAAAABQAAAAE5AQAAAAcyNjIxMjk1AgAAAAcxNzU3MTcwAwAAAAYxMDAzMDkEAAAAATIGAAAAATAHAAAAAzE2MAgAAAABMAkAAAABMQoAAAABMAsAAAAKODg2MzQzNDYyOQwAAAACMTINAAAACTEyLzgvMjAxMgufsr2Tc9UIS6FZSZdz1QguQ0lRLk5BU0RBUUdTOklOVEMuSVFfUEVfRVhDTF9GV0QuNjAwMC4zLzIvMjAxMgEAAACHUgAAAgAAABAxMC42MTg1NzE3NDk4MjU0AQ0AAAAFAAAAATkBAAAABzI2MjEyOTUCAAAABDE4ODcDAAAABjEwMDMwOQQAAAABMgYAAAABMAcAAAADMTYwCAAAAAEwCQAAAAExCgAAAAEwCwAAAAo3NjE2MjAxOTgxDAAAAAIxMg0AAAAIMy8zLzIwMTKb/rO9k3PVCBssWUmXc9UINUNJUS5OYXNkYXFHUzpJTlRDLklRX1RFVl9UT1RBTF9SRVZfRldELjYwMDAuNC8xMC8yMDE1AQAAAIdSAAACAAAAEDIuNzA4MTk1NDI4Njg3NTQBDQAA</t>
  </si>
  <si>
    <t>AAUAAAABOQEAAAAHMjYyMTI5NQIAAAAKMTAwMDA5NDA3MQMAAAAGMTAwMzA3BAAAAAEyBgAAAAEwBwAAAAMxNjAIAAAAATAJAAAAATEKAAAAATALAAAACjg3MTI2MDYwMzIMAAAAAjEyDQAAAAk0LzExLzIwMTXbSLy3k3PVCCuPT0mXc9UIJkNJUS5eU1BYLklRX1BFX0VYQ0xfRldELjYwMDAuNy8yMi8yMDE1AQAAAJu4KAACAAAACTE3LjQ1MzY4NQDr/rm3k3PVCOvnL0uXc9UINUNJUS5OYXNkYXFHUzpJTlRDLklRX1RFVl9UT1RBTF9SRVZfRldELjYwMDAuOS8yMy8yMDE2AQAAAIdSAAACAAAAEDMuMDczNTgxMjEyOTMzNDUBDQAAAAUAAAABOQEAAAAHMjYyMTI5NQIAAAAIMjcwMDM2NTIDAAAABjEwMDMwNwQAAAABMgYAAAABMAcAAAADMTYwCAAAAAEwCQAAAAExCgAAAAEwCwAAAAo5NzQ2ODA1NDUzDAAAAAIxMg0AAAAJOS8yNC8yMDE224dnuZNz1QiLeVBJl3PVCC5DSVEuTkFTREFRR1M6SU5UQy5JUV9QUklDRV9TQUxFUy4yMDAwLjkvMy8yMDE0AQAAAIdSAAACAAAACDMuMTkxNDAyAQcAAAAFAAAAATEBAAAACjE2ODgwODA5OTIDAAAAATACAAAABTM4OTU4BAAAAAEwBwAAAAg5LzMvMjAxNAgAAAAIOS8zLzIwMTQ78a+7k3PVCAuJN0uXc9UIL0NJUS5OQVNEQVFHUzpJTlRDLklRX1BFX0VYQ0xfRldELjYwMDAuMy8xMi8yMDEwAQAAAIdSAAACAAAAEDEzLjA2OTY4NjU2MTAxOTUBDQAAAAUAAAABOQEA</t>
  </si>
  <si>
    <t>AAAHMjYyMTI5NQIAAAAEMTg4NQMAAAAGMTAwMzA5BAAAAAEyBgAAAAEwBwAAAAMxNjAIAAAAATAJAAAAATEKAAAAATALAAAABzE1NTE5MjgMAAAAAjEyDQAAAAkzLzEzLzIwMTAr7bK9k3PVCHulV0mXc9UIMENJUS5OQVNEQVFHUzpJTlRDLklRX1BFX0VYQ0xfRldELjYwMDAuMTAvMjkvMjAwNAEAAACHUgAAAgAAABAyMS4xNTk2OTU4MTc0OTA1AQ0AAAAFAAAAATkBAAAABzI2MjEyOTUCAAAABzE3NTcxNDYDAAAABjEwMDMwOQQAAAABMgYAAAABMAcAAAADMTYwCAAAAAEwCQAAAAExCgAAAAEwCwAAAAo2NzQ5MTYyNDQzDAAAAAIxMg0AAAAKMTAvMzAvMjAwNGuJs72Tc9UIi+pSSZdz1Qg1Q0lRLk5hc2RhcUdTOklOVEMuSVFfVEVWX1RPVEFMX1JFVl9GV0QuNjAwMC4yLzIzLzIwMDEBAAAAh1IAAAIAAAAQNS42NTA3MzQ4NTkzNDYzNwENAAAABQAAAAE5AQAAAAcyNjIxMjk1AgAAAAczMTUxMzAxAwAAAAYxMDAzMDcEAAAAATIGAAAAATAHAAAAAzE2MAgAAAABMAkAAAABMQoAAAABMAsAAAAJMzYxMjEyNjc4DAAAAAIxMg0AAAAJMi8yNC8yMDAxK0touZNz1Qhruk1Jl3PVCC9DSVEuTkFTREFRR1M6SU5UQy5JUV9QUklDRV9TQUxFUy4yMDAwLjgvMjgvMjAxMwEAAACHUgAAAgAAAAgyLjExNzc2NwEHAAAABQAAAAExAQAAAAoxNjI4NDM2ODQ5AwAAAAEwAgAAAAUzODk1OAQAAAABMAcAAAAJOC8yOC8yMDEz</t>
  </si>
  <si>
    <t>CAAAAAk4LzI4LzIwMTP7jlK7k3PVCFsuPUuXc9UIJkNJUS5eU1BYLklRX1BFX0VYQ0xfRldELjYwMDAuNi8yNi8yMDEzAQAAAJu4KAACAAAACTE0LjIxNTg1OQAb3VK7k3PVCHt8PUuXc9UIJ0NJUS5OQVNEQVFHUzpJTlRDLklRX1BUQlYuMjAwMC4zLzEvMjAxMwEAAACHUgAAAgAAAAYyLjk0ODkBBwAAAAUAAAABMQEAAAAKMTU4ODE1NzQ2MwMAAAABMAIAAAAGMTAwMDI5BAAAAAEwBwAAAAgzLzEvMjAxMwgAAAAIMy8xLzIwMTO7aq+9k3PVCMtoWEmXc9UINUNJUS5OYXNkYXFHUzpJTlRDLklRX1RFVl9UT1RBTF9SRVZfRldELjYwMDAuOC8xMi8yMDA1AQAAAIdSAAACAAAAEDMuNTk1Mzc4MjQ2NzkwMzIBDQAAAAUAAAABOQEAAAAHMjYyMTI5NQIAAAAHMTc1NzE0OAMAAAAGMTAwMzA3BAAAAAEyBgAAAAEwBwAAAAMxNjAIAAAAATAJAAAAATEKAAAAATALAAAACjExNjkxMzA3NTcMAAAAAjEyDQAAAAk4LzEzLzIwMDW7TLS9k3PVCDt6WUmXc9UIHkNJUS5eU1BYLklRX1BUQlYuMjAwMC41LzMvMjAxNwEAAACbuCgAAgAAAAg5LjA5Mzk1MgDb17m3k3PVCEuGE0uXc9UIKENJUS5OQVNEQVFHUzpJTlRDLklRX1BUQlYuMjAwMC43LzE3LzIwMTUBAAAAh1IAAAIAAAAIMy4zMDUyMzUBBwAAAAUAAAABMQEAAAAKMTc0NjEyMDQ3NgMAAAABMAIAAAAGMTAwMDI5BAAAAAEwBwAAAAk3LzE3LzIwMTUIAAAACTcvMTcv</t>
  </si>
  <si>
    <t>MjAxNfuOUruTc9UIG7tWSZdz1QgsQ0lRLl5TUFguSVFfVEVWX1RPVEFMX1JFVl9GV0QuNjAwMC45LzI1LzIwMTMBAAAAm7goAAIAAAAIMS42ODU3MjkA27ivvZNz1QhLBz1Ll3PVCDdDSVEuTkFTREFRR1M6SU5UQy5JUV9URVZfRUJJVERBX0ZXRF9DSVEuNjAwMC4xMC8yMi8yMDEwAQAAAIdSAAACAAAAEDQuNjYyNzIzODkxOTQ2ODYBDQAAAAUAAAABOQEAAAAHMjYyMTI5NQIAAAAHMTc1NzE2NAMAAAAGMTAwMzA4BAAAAAEyBgAAAAEwBwAAAAMxNjAIAAAAATAJAAAAATEKAAAAATALAAAACjcwNzM3MjE4MjUMAAAAAjEyDQAAAAoxMC8yMy8yMDEwu2NUu5Nz1QhbbZCul3PVCDVDSVEuTmFzZGFxR1M6SU5UQy5JUV9URVZfVE9UQUxfUkVWX0ZXRC42MDAwLjgvMzEvMjAxMgEAAACHUgAAAgAAABAyLjAzMjQxMTkxMjc3MDE0AQ0AAAAFAAAAATkBAAAABzI2MjEyOTUCAAAABzE3NTcxNjkDAAAABjEwMDMwNwQAAAABMgYAAAABMAcAAAADMTYwCAAAAAEwCQAAAAExCgAAAAEwCwAAAAo4ODY0NDMzMjAwDAAAAAIxMg0AAAAIOS8xLzIwMTK71Fa7k3PVCMv3VUmXc9UIMENJUS5OQVNEQVFHUzpJTlRDLklRX1BSSUNFX1NBTEVTLjIwMDAuMTIvMTYvMjAxMQEAAACHUgAAAgAAAAgyLjQyMTU4NAEHAAAABQAAAAExAQAAAAoxNDgwMjE1MzgxAwAAAAEwAgAAAAUzODk1OAQAAAABMAcAAAAKMTIvMTYvMjAxMQgAAAAK</t>
  </si>
  <si>
    <t>MTIvMTYvMjAxMUsYsLuTc9UIG9lRSZdz1QgjQ0lRLl5TUFguSVFfTEFTVFNBTEVQUklDRS4xMi8yLzIwMTUBAAAAm7goAAIAAAAQMjA3OS41MDYyMjA2OTY5MQBbT2a5k3PVCNtPLUuXc9UIH0NJUS5eU1BYLklRX1BUQlYuMjAwMC40LzI5LzIwMTUBAAAAm7goAAIAAAAFNS45NTIAu2qvvZNz1QjLCjJLl3PVCCNDSVEuXlNQWC5JUV9MQVNUU0FMRVBSSUNFLjcvMTYvMjAxNAEAAACbuCgAAgAAABAxOTgxLjU2NzIxOTIxNTY0AOv+ubeTc9UIK9c3S5dz1Qg2Q0lRLk5BU0RBUUdTOklOVEMuSVFfVEVWX0VCSVREQV9GV0RfQ0lRLjYwMDAuOC8xMi8yMDA1AQAAAIdSAAACAAAADzguMzA2NzYwODA2MDEzMQENAAAABQAAAAE5AQAAAAcyNjIxMjk1AgAAAAcxNzU3MTQ4AwAAAAYxMDAzMDgEAAAAATIGAAAAATAHAAAAAzE2MAgAAAABMAkAAAABMQoAAAABMAsAAAAKMTE2OTEzMDk2NwwAAAACMTINAAAACTgvMTMvMjAwNRtOVbuTc9UIS0aQrpdz1QgwQ0lRLk5BU0RBUUdTOklOVEMuSVFfUEVfRVhDTF9GV0QuNjAwMC4xMi8yOS8yMDA2AQAAAIdSAAACAAAAEDIwLjA4MzMwODUzOTEyNTMBDQAAAAUAAAABOQEAAAAHMjYyMTI5NQIAAAAHMTc1NzE1MgMAAAAGMTAwMzA5BAAAAAEyBgAAAAEwBwAAAAMxNjAIAAAAATAJAAAAATEKAAAAATALAAAACjg4NjAwNzg3MzMMAAAAAjEyDQAAAAoxMi8zMC8yMDA2W2KzvZNz</t>
  </si>
  <si>
    <t>1Qh7w1JJl3PVCDZDSVEuTkFTREFRR1M6SU5UQy5JUV9URVZfRUJJVERBX0ZXRF9DSVEuNjAwMC42LzI0LzIwMDUBAAAAh1IAAAIAAAAQOC44MDgwMTY2NDgwNDUyMwENAAAABQAAAAE5AQAAAAcyNjIxMjk1AgAAAAcxNzU3MTQ3AwAAAAYxMDAzMDgEAAAAATIGAAAAATAHAAAAAzE2MAgAAAABMAkAAAABMQoAAAABMAsAAAAKMTE2OTEzMDI5MgwAAAACMTINAAAACTYvMjUvMjAwNRtOVbuTc9UIu+aOrpdz1Qg1Q0lRLk5hc2RhcUdTOklOVEMuSVFfVEVWX1RPVEFMX1JFVl9GV0QuNjAwMC4zLzEzLzIwMDkBAAAAh1IAAAIAAAAQMi40NDgyNzg1MDYwODI0MwENAAAABQAAAAE5AQAAAAcyNjIxMjk1AgAAAAQxODg0AwAAAAYxMDAzMDcEAAAAATIGAAAAATAHAAAAAzE2MAgAAAABMAkAAAABMQoAAAABMAsAAAAJMzYwNzE1OTcwDAAAAAIxMg0AAAAJMy8xNC8yMDA5y/tWu5Nz1QhbV1dJl3PVCDVDSVEuTkFTREFRR1M6SU5UQy5JUV9URVZfVE9UQUxfUkVWX0ZXRC42MDAwLjYvMjEvMjAxMwEAAACHUgAAAgAAABAyLjE0MDA2MTMzNzYzNDE3AQ0AAAAFAAAAATkBAAAABzI2MjEyOTUCAAAABzM4Mjk3NTEDAAAABjEwMDMwNwQAAAABMgYAAAABMAcAAAADMTYwCAAAAAEwCQAAAAExCgAAAAEwCwAAAAo4ODYyNTM5OTc3DAAAAAIxMg0AAAAJNi8yMi8yMDEzK5u6t5Nz1QjrRVZJl3PVCC9DSVEuTkFTREFRR1M6SU5U</t>
  </si>
  <si>
    <t>Qy5JUV9QRV9FWENMX0ZXRC42MDAwLjExLzMvMjAwNgEAAACHUgAAAgAAABAyMC4zNDMxODU4NzU4MTgzAQ0AAAAFAAAAATkBAAAABzI2MjEyOTUCAAAABzE3NTcxNTIDAAAABjEwMDMwOQQAAAABMgYAAAABMAcAAAADMTYwCAAAAAEwCQAAAAExCgAAAAEwCwAAAAo5MDQzMTMyODk5DAAAAAIxMg0AAAAJMTEvNC8yMDA2W2KzvZNz1QhLoVlJl3PVCC5DSVEuXlNQWC5JUV9URVZfRUJJVERBX0ZXRF9DSVEuNjAwMC4xMC8xNi8yMDEzAQAAAJu4KAACAAAACDguMzE2MDA4AHuNsLuTc9UIO+A8S5dz1Qg1Q0lRLk5BU0RBUUdTOklOVEMuSVFfVEVWX1RPVEFMX1JFVl9GV0QuNjAwMC42LzE2LzIwMDYBAAAAh1IAAAIAAAAQMi42ODYzNDIwMTE3ODc3NAENAAAABQAAAAE5AQAAAAcyNjIxMjk1AgAAAAcxNzU3MTUwAwAAAAYxMDAzMDcEAAAAATIGAAAAATAHAAAAAzE2MAgAAAABMAkAAAABMQoAAAABMAsAAAAKODg2MDk4MDAwMAwAAAACMTINAAAACTYvMTcvMjAwNnteu7eTc9UIy/dVSZdz1Qg2Q0lRLk5hc2RhcUdTOklOVEMuSVFfVEVWX0VCSVREQV9GV0RfQ0lRLjYwMDAuMi8xNC8yMDE0AQAAAIdSAAACAAAAEDUuNTc0NDA5NzQ5MzU0MTUBDQAAAAUAAAABOQEAAAAHMjYyMTI5NQIAAAAHNDQ1NjQyMQMAAAAGMTAwMzA4BAAAAAEyBgAAAAEwBwAAAAMxNjAIAAAAATAJAAAAATEKAAAAATALAAAACjY0OTc5MzMx</t>
  </si>
  <si>
    <t>ODMMAAAAAjEyDQAAAAkyLzE1LzIwMTS7TLS9k3PVCBtgja6Xc9UIMENJUS5OQVNEQVFHUzpJTlRDLklRX1BFX0VYQ0xfRldELjYwMDAuMTEvMTMvMjAwOQEAAACHUgAAAgAAABAxMy40MjU0NTU1MzA3MTg3AQ0AAAAFAAAAATkBAAAABzI2MjEyOTUCAAAABzE3NTcxNjEDAAAABjEwMDMwOQQAAAABMgYAAAABMAcAAAADMTYwCAAAAAEwCQAAAAExCgAAAAEwCwAAAAo5MDkwMzc5Nzg5DAAAAAIxMg0AAAAKMTEvMTQvMjAwOSvtsr2Tc9UISzBXSZdz1QgjQ0lRLl5TUFguSVFfTEFTVFNBTEVQUklDRS4zLzE1LzIwMTcBAAAAm7goAAIAAAAQMjM4NS4yNjQ0NjUwNjk4NABbP7C7k3PVCFseFkuXc9UINUNJUS5OYXNkYXFHUzpJTlRDLklRX1RFVl9UT1RBTF9SRVZfRldELjYwMDAuMS8yNy8yMDA2AQAAAIdSAAACAAAAEDIuOTA2NTMxNjQxNDA5MDkBDQAAAAUAAAABOQEAAAAHMjYyMTI5NQIAAAAEMTg4MQMAAAAGMTAwMzA3BAAAAAEyBgAAAAEwBwAAAAMxNjAIAAAAATAJAAAAATEKAAAAATALAAAACTM2MDY3MjI5NwwAAAACMTINAAAACTEvMjgvMjAwNrv6u7eTc9UIm75LSZdz1QgmQ0lRLl5TUFguSVFfUEVfRVhDTF9GV0QuNjAwMC44LzEyLzIwMTUBAAAAm7goAAIAAAAJMTcuMDk5OTM0AHuNsLuTc9UIu3IvS5dz1QgwQ0lRLk5BU0RBUUdTOklOVEMuSVFfUEVfRVhDTF9GV0QuNjAwMC4xMi8xOS8yMDAzAQAA</t>
  </si>
  <si>
    <t>AIdSAAACAAAADjI2LjM5ODk2MzczMDU3AQ0AAAAFAAAAATkBAAAABzI2MjEyOTUCAAAABzE3NTcxNDMDAAAABjEwMDMwOQQAAAABMgYAAAABMAcAAAADMTYwCAAAAAEwCQAAAAExCgAAAAEwCwAAAAo4ODYwNTA2NTg2DAAAAAIxMg0AAAAKMTIvMjAvMjAwM3uws72Tc9UI64FMSZdz1Qg1Q0lRLk5hc2RhcUdTOklOVEMuSVFfVEVWX1RPVEFMX1JFVl9GV0QuNjAwMC4xMS85LzIwMDcBAAAAh1IAAAIAAAAQMy4zMTAxNzIyODM4NjU0NQENAAAABQAAAAE5AQAAAAcyNjIxMjk1AgAAAAcxNzU3MTU1AwAAAAYxMDAzMDcEAAAAATIGAAAAATAHAAAAAzE2MAgAAAABMAkAAAABMQoAAAABMAsAAAAKODg2NDMzMDExOAwAAAACMTINAAAACjExLzEwLzIwMDfrSVe7k3PVCNvLTkmXc9UIK0NJUS5eU1BYLklRX1RFVl9UT1RBTF9SRVZfRldELjYwMDAuMy80LzIwMTUBAAAAm7goAAIAAAAIMi4wNTQ0MTEAa19VuZNz1Qgr9TJLl3PVCDZDSVEuTmFzZGFxR1M6SU5UQy5JUV9URVZfVE9UQUxfUkVWX0ZXRC42MDAwLjEyLzE2LzIwMTYBAAAAh1IAAAIAAAAQMy4wMDA0NzMzMTY1MTE4OAENAAAABQAAAAE5AQAAAAcyNjIxMjk1AgAAAAgyNzAwMzY1MwMAAAAGMTAwMzA3BAAAAAEyBgAAAAEwBwAAAAMxNjAIAAAAATAJAAAAATEKAAAAATALAAAACjk4OTE3ODMyMjAMAAAAAjEyDQAAAAoxMi8xNy8yMDE2yyG8t5Nz1Qi77lBJ</t>
  </si>
  <si>
    <t>l3PVCCdDSVEuXlNQWC5JUV9QRV9FWENMX0ZXRC42MDAwLjEyLzIzLzIwMTUBAAAAm7goAAIAAAAJMTcuMDE5OTQxAGtmsLuTc9UIaz4sS5dz1Qg0Q0lRLk5hc2RhcUdTOklOVEMuSVFfVEVWX1RPVEFMX1JFVl9GV0QuNjAwMC44LzMvMjAxMgEAAACHUgAAAgAAABAyLjE0ODE0MzE1ODM0NTUxAQ0AAAAFAAAAATkBAAAABzI2MjEyOTUCAAAABzE3NTcxNjkDAAAABjEwMDMwNwQAAAABMgYAAAABMAcAAAADMTYwCAAAAAEwCQAAAAExCgAAAAEwCwAAAAo4ODY0NDMzMTk1DAAAAAIxMg0AAAAIOC80LzIwMTK7KbG7k3PVCOuBTEmXc9UIKENJUS5OQVNEQVFHUzpJTlRDLklRX1BUQlYuMjAwMC4xLzE1LzIwMTABAAAAh1IAAAIAAAAIMy4wODA2OTYBBwAAAAUAAAABMQEAAAAKMTMwNTE2OTI1NAMAAAABMAIAAAAGMTAwMDI5BAAAAAEwBwAAAAkxLzE1LzIwMTAIAAAACTEvMTUvMjAxMHudZrmTc9UICyNUSZdz1QgjQ0lRLl5TUFguSVFfTEFTVFNBTEVQUklDRS42LzE1LzIwMTYBAAAAm7goAAIAAAAQMjA3MS41MDIyODI3MTE3NQBbT2a5k3PVCMtGKEuXc9UIL0NJUS5OQVNEQVFHUzpJTlRDLklRX1BSSUNFX1NBTEVTLjIwMDAuMi8xOC8yMDExAQAAAIdSAAACAAAACDIuODE5MzMxAQcAAAAFAAAAATEBAAAACjE0MzA2MjQ1MDkDAAAAATACAAAABTM4OTU4BAAAAAEwBwAAAAkyLzE4LzIwMTEIAAAACTIvMTgvMjAx</t>
  </si>
  <si>
    <t>MfuOUruTc9UIi8xXSZdz1QguQ0lRLk5BU0RBUUdTOklOVEMuSVFfUEVfRVhDTF9GV0QuNjAwMC44LzMvMjAxMgEAAACHUgAAAgAAABAxMC4xMzc1ODk4NTg1NDUzAQ0AAAAFAAAAATkBAAAABzI2MjEyOTUCAAAABzE3NTcxNjkDAAAABjEwMDMwOQQAAAABMgYAAAABMAcAAAADMTYwCAAAAAEwCQAAAAExCgAAAAEwCwAAAAo4ODYzNDM0NDYzDAAAAAIxMg0AAAAIOC80LzIwMTKrJbS9k3PVCMv3VUmXc9UILkNJUS5OQVNEQVFHUzpJTlRDLklRX1BFX0VYQ0xfRldELjYwMDAuOC84LzIwMTQBAAAAh1IAAAIAAAAQMTQuMTQ3NDYzNDM3OTIwNAENAAAABQAAAAE5AQAAAAcyNjIxMjk1AgAAAAc0NDU2NDI4AwAAAAYxMDAzMDkEAAAAATIGAAAAATAHAAAAAzE2MAgAAAABMAkAAAABMQoAAAABMAsAAAAKODI3NDgxNTUyMAwAAAACMTINAAAACDgvOS8yMDE0qyW0vZNz1QgrAFJJl3PVCCtDSVEuXlNQWC5JUV9URVZfVE9UQUxfUkVWX0ZXRC42MDAwLjIvNC8yMDE1AQAAAJu4KAACAAAACDEuOTgyMjYxACsEU7uTc9UIu1Q0S5dz1QgrQ0lRLk5BU0RBUUdTOklOVEMuSVFfTEFTVFNBTEVQUklDRS43LzMvMjAxMwEAAACHUgAAAgAAAAYyMy43NjIAy5GvvZNz1Qh7fD1Ll3PVCC5DSVEuTkFTREFRR1M6SU5UQy5JUV9QRV9FWENMX0ZXRC42MDAwLjUvNy8yMDEwAQAAAIdSAAACAAAAEDExLjIxODE1MTE4OTcyNDIBDQAA</t>
  </si>
  <si>
    <t>AAUAAAABOQEAAAAHMjYyMTI5NQIAAAAHMTc1NzE2MgMAAAAGMTAwMzA5BAAAAAEyBgAAAAEwBwAAAAMxNjAIAAAAATAJAAAAATEKAAAAATALAAAACjg4NjM4NDM4MzcMAAAAAjEyDQAAAAg1LzgvMjAxMCvtsr2Tc9UIexZaSZdz1QgtQ0lRLl5TUFguSVFfVEVWX0VCSVREQV9GV0RfQ0lRLjYwMDAuNi8yOC8yMDE3AQAAAJu4KAACAAAABzEwLjQ2NzkAe4ZVuZNz1QjbIQtLl3PVCC9DSVEuTkFTREFRR1M6SU5UQy5JUV9QUklDRV9TQUxFUy4yMDAwLjgvMjIvMjAxNAEAAACHUgAAAgAAAAgzLjIyNTU1OQEHAAAABQAAAAExAQAAAAoxNjg4MDgwOTkyAwAAAAEwAgAAAAUzODk1OAQAAAABMAcAAAAJOC8yMi8yMDE0CAAAAAk4LzIyLzIwMTRLGLC7k3PVCNs8UUmXc9UINUNJUS5OYXNkYXFHUzpJTlRDLklRX1RFVl9UT1RBTF9SRVZfRldELjYwMDAuNS8yNy8yMDE2AQAAAIdSAAACAAAAEDIuNzcxNzU5MDk5MDQ3NDgBDQAAAAUAAAABOQEAAAAHMjYyMTI5NQIAAAAIMjcwMDM2NTEDAAAABjEwMDMwNwQAAAABMgYAAAABMAcAAAADMTYwCAAAAAEwCQAAAAExCgAAAAEwCwAAAAo5NDk1OTUwNjQ5DAAAAAIxMg0AAAAJNS8yOC8yMDE2i9ezvZNz1Qg7mFRJl3PVCDdDSVEuTmFzZGFxR1M6SU5UQy5JUV9URVZfRUJJVERBX0ZXRF9DSVEuNjAwMC4xMC8xMy8yMDA2AQAAAIdSAAACAAAAEDExLjI5ODc3MzM4Mzg1MDMB</t>
  </si>
  <si>
    <t>DQAAAAUAAAABOQEAAAAHMjYyMTI5NQIAAAAHMTc1NzE1MQMAAAAGMTAwMzA4BAAAAAEyBgAAAAEwBwAAAAMxNjAIAAAAATAJAAAAATEKAAAAATALAAAACjY4ODM2OTQxMzAMAAAAAjEyDQAAAAoxMC8xNC8yMDA2qwKxu5Nz1Qj7EY2ul3PVCC5DSVEuTkFTREFRR1M6SU5UQy5JUV9QRV9FWENMX0ZXRC42MDAwLjYvNi8yMDE0AQAAAIdSAAACAAAAEDE0LjQ3MDY0MjYyNTk4MjQBDQAAAAUAAAABOQEAAAAHMjYyMTI5NQIAAAAHNDQ1NjQyNwMAAAAGMTAwMzA5BAAAAAEyBgAAAAEwBwAAAAMxNjAIAAAAATAJAAAAATEKAAAAATALAAAACjgxNzA3MTY0MTQMAAAAAjEyDQAAAAg2LzcvMjAxNPt3sr2Tc9UIy4ZTSZdz1Qg2Q0lRLk5BU0RBUUdTOklOVEMuSVFfVEVWX0VCSVREQV9GV0RfQ0lRLjYwMDAuMTIvMi8yMDE2AQAAAIdSAAACAAAAEDcuMjY3MjQ2MDIzMDA5NTYBDQAAAAUAAAABOQEAAAAHMjYyMTI5NQIAAAAIMjcwMDM2NTMDAAAABjEwMDMwOAQAAAABMgYAAAABMAcAAAADMTYwCAAAAAEwCQAAAAExCgAAAAEwCwAAAAo5ODYwMDIwMjk5DAAAAAIxMg0AAAAJMTIvMy8yMDE2S1JTu5Nz1Qg7H5Cul3PVCC9DSVEuTkFTREFRR1M6SU5UQy5JUV9QUklDRV9TQUxFUy4yMDAwLjcvMTgvMjAxNAEAAACHUgAAAgAAAAgzLjExMTA4NgEHAAAABQAAAAExAQAAAAoxNjg2ODc1ODczAwAAAAEwAgAAAAUzODk1OAQA</t>
  </si>
  <si>
    <t>AAABMAcAAAAJNy8xOC8yMDE0CAAAAAk3LzE4LzIwMTRbOFW5k3PVCHvhTUmXc9UINUNJUS5OYXNkYXFHUzpJTlRDLklRX1RFVl9UT1RBTF9SRVZfRldELjYwMDAuMy8yMC8yMDE1AQAAAIdSAAACAAAAEDIuNjQ4NzQzMDU2NzY1MzUBDQAAAAUAAAABOQEAAAAHMjYyMTI5NQIAAAAKMTAwMDA5NDA3MQMAAAAGMTAwMzA3BAAAAAEyBgAAAAEwBwAAAAMxNjAIAAAAATAJAAAAATEKAAAAATALAAAACjg2NzkxODQzMDAMAAAAAjEyDQAAAAkzLzIxLzIwMTWr+1W5k3PVCGu6TUmXc9UINUNJUS5OYXNkYXFHUzpJTlRDLklRX1RFVl9UT1RBTF9SRVZfRldELjYwMDAuNi8xMy8yMDA4AQAAAIdSAAACAAAAEDIuOTMwNjQ0MDY5NjQ0MTgBDQAAAAUAAAABOQEAAAAHMjYyMTI5NQIAAAAHMTc1NzE1NgMAAAAGMTAwMzA3BAAAAAEyBgAAAAEwBwAAAAMxNjAIAAAAATAJAAAAATEKAAAAATALAAAACjg4NjM1MTE3OTcMAAAAAjEyDQAAAAk2LzE0LzIwMDjbh2e5k3PVCCuPT0mXc9UIH0NJUS5eU1BYLklRX1BUQlYuMjAwMC4yLzI0LzIwMTYBAAAAm7goAAIAAAAINi4zMDQ2ODkAa2awu5Nz1Qj7LCtLl3PVCDVDSVEuTmFzZGFxR1M6SU5UQy5JUV9URVZfRUJJVERBX0ZXRF9DSVEuNjAwMC43LzUvMjAwMgEAAACHUgAAAgAAABAxMC44OTk4MDgxNjU2NjQ1AQ0AAAAFAAAAATkBAAAABzI2MjEyOTUCAAAABzE3NTcxMzgDAAAA</t>
  </si>
  <si>
    <t>BjEwMDMwOAQAAAABMgYAAAABMAcAAAADMTYwCAAAAAEwCQAAAAExCgAAAAEwCwAAAAoxMTY5MTI1NjQyDAAAAAIxMg0AAAAINy82LzIwMDKbhla7k3PVCHu7kK6Xc9UILENJUS5OQVNEQVFHUzpJTlRDLklRX0xBU1RTQUxFUFJJQ0UuOS8xMS8yMDEzAQAAAIdSAAACAAAABTIyLjgxAFs/sLuTc9UIWy49S5dz1QgwQ0lRLk5BU0RBUUdTOklOVEMuSVFfUEVfRVhDTF9GV0QuNjAwMC4xMS8yMC8yMDE1AQAAAIdSAAACAAAAEDE0LjkyMjI4ODcxNTcxODgBDQAAAAUAAAABOQEAAAAHMjYyMTI5NQIAAAAHODA2ODI2MgMAAAAGMTAwMzA5BAAAAAEyBgAAAAEwBwAAAAMxNjAIAAAAATAJAAAAATEKAAAAATALAAAACjkxNTkyNzc0NTkMAAAAAjEyDQAAAAoxMS8yMS8yMDE161CyvZNz1QhL3U9Jl3PVCB5DSVEuXlNQWC5JUV9QVEJWLjIwMDAuNC8zLzIwMTMBAAAAm7goAAIAAAAINC44NzU5NjkAWzhVuZNz1Qi7GD5Ll3PVCCxDSVEuTkFTREFRR1M6SU5UQy5JUV9MQVNUU0FMRVBSSUNFLjIvMjUvMjAxNQEAAACHUgAAAgAAAAYzMy45NDUAG91Su5Nz1QhLQzNLl3PVCDZDSVEuTmFzZGFxR1M6SU5UQy5JUV9URVZfVE9UQUxfUkVWX0ZXRC42MDAwLjEwLzE2LzIwMDkBAAAAh1IAAAIAAAAQMi42NjU4MzI3Mzc5MDM2MgENAAAABQAAAAE5AQAAAAcyNjIxMjk1AgAAAAcxNzU3MTYxAwAAAAYxMDAzMDcEAAAAATIGAAAA</t>
  </si>
  <si>
    <t>ATAHAAAAAzE2MAgAAAABMAkAAAABMQoAAAABMAsAAAAKODg2NDIxMDgwMQwAAAACMTINAAAACjEwLzE3LzIwMDn7cFe7k3PVCLtBWEmXc9UII0NJUS5eU1BYLklRX0xBU1RTQUxFUFJJQ0UuMS8yNy8yMDE2AQAAAJu4KAACAAAAEDE4ODIuOTQ2MjY1MTgzMzYAG91Su5Nz1QgLVCtLl3PVCCtDSVEuTkFTREFRR1M6SU5UQy5JUV9MQVNUU0FMRVBSSUNFLjUvNC8yMDE2AQAAAIdSAAACAAAABTI5Ljg1ADvqVLmTc9UIa80pS5dz1QguQ0lRLk5BU0RBUUdTOklOVEMuSVFfUEVfRVhDTF9GV0QuNjAwMC40LzEvMjAxMQEAAACHUgAAAgAAABA5Ljc0NzgwMjc4OTg4ODM4AQ0AAAAFAAAAATkBAAAABzI2MjEyOTUCAAAABDE4ODYDAAAABjEwMDMwOQQAAAABMgYAAAABMAcAAAADMTYwCAAAAAEwCQAAAAExCgAAAAEwCwAAAAo1NzQ3ODkyNDkyDAAAAAIxMg0AAAAINC8yLzIwMTGrJbS9k3PVCDsJV0mXc9UII0NJUS5eU1BYLklRX0xBU1RTQUxFUFJJQ0UuNC8xOS8yMDE3AQAAAJu4KAACAAAAEDIzMzguMTY1OTg3NTkwMDQAy5GvvZNz1QjrmxJLl3PVCDBDSVEuTkFTREFRR1M6SU5UQy5JUV9QUklDRV9TQUxFUy4yMDAwLjEyLzIzLzIwMTYBAAAAh1IAAAIAAAAIMy4wMTYzNzMBBwAAAAUAAAABMQEAAAAKMTgxNTU0NDQ1MAMAAAABMAIAAAAFMzg5NTgEAAAAATAHAAAACjEyLzIzLzIwMTYIAAAACjEyLzIzLzIwMTaL</t>
  </si>
  <si>
    <t>xGa5k3PVCKs4U0mXc9UIIkNJUS5OQVNEQVFHUzpJTlRDLklRX0VQU19OT1JNX0VTVC4BAAAAh1IAAAIAAAAGMy41NjM4AQ4AAAAFAAAAAjExAQAAAAcyNjIxMjk1AgAAAAoxMDAxNTI4NTI3AwAAAAYxMDAxNzMEAAAAATIGAAAAATAHAAAAAzE2MAgAAAABMAkAAAABMQoAAAABMAsAAAALMTA3MDQ2MzQyMDYMAAAAAjEyDQAAAAkyLzE1LzIwMTgQAAAACTIvMTQvMjAxOMtz1HyWc9UIG5RhKZdz1QgmQ0lRLl5TUFguSVFfUEVfRVhDTF9GV0QuNjAwMC4xMC80LzIwMTcBAAAAm7goAAIAAAAJMTguNzA5NzE1ACsEU7uTc9UI27fySpdz1QglQ0lRLl5TUFguSVFfUEVfRVhDTF9GV0QuNjAwMC44LzcvMjAxMwEAAACbuCgAAgAAAAkxNC43NDczOTIA69GItpNz1QhbLj1Ll3PVCCxDSVEuTkFTREFRR1M6SU5UQy5JUV9MQVNUU0FMRVBSSUNFLjEvMjQvMjAxOAEAAACHUgAAAgAAAAU0NS41MQBbT2a5k3PVCDuXY0qXc9UIL0NJUS5OQVNEQVFHUzpJTlRDLklRX1BSSUNFX1NBTEVTLjIwMDAuNS8zMS8yMDE3AQAAAIdSAAACAAAACDIuODI0MTgxAQcAAAAFAAAAATEBAAAACjE4MzgzNjAxMzIDAAAAATACAAAABTM4OTU4BAAAAAEwBwAAAAk1LzMxLzIwMTcIAAAACTUvMzEvMjAxN2t2ZrmTc9UI6yoQS5dz1QguQ0lRLk5BU0RBUUdTOklOVEMuSVFfUFJJQ0VfU0FMRVMuMjAwMC40LzUvMjAxNwEAAACHUgAAAgAAAAgy</t>
  </si>
  <si>
    <t>Ljg4NDgxNgEHAAAABQAAAAExAQAAAAoxODI4MTc0MTIyAwAAAAEwAgAAAAUzODk1OAQAAAABMAcAAAAINC81LzIwMTcIAAAACDQvNS8yMDE3WzhVuZNz1QhbHhZLl3PVCB5DSVEuXlNQWC5JUV9QVEJWLjIwMDAuNC84LzIwMTUBAAAAm7goAAIAAAAHNS45MTEzMwBbP7C7k3PVCNsxMkuXc9UINkNJUS5OQVNEQVFHUzpJTlRDLklRX1RFVl9FQklUREFfRldEX0NJUS42MDAwLjEvMzEvMjAwMwEAAACHUgAAAgAAAA84LjMyMzAyMTY5MTk1NDYBDQAAAAUAAAABOQEAAAAHMjYyMTI5NQIAAAAEMTg3OAMAAAAGMTAwMzA4BAAAAAEyBgAAAAEwBwAAAAMxNjAIAAAAATAJAAAAATEKAAAAATALAAAACTM2MDY1OTA0MQwAAAACMTINAAAACDIvMS8yMDAzS8NVu5Nz1QhL1Y2ul3PVCC9DSVEuTkFTREFRR1M6SU5UQy5JUV9QRV9FWENMX0ZXRC42MDAwLjEvMTMvMjAwNgEAAACHUgAAAgAAABAxNi42NzA5NzYwODI3NDA4AQ0AAAAFAAAAATkBAAAABzI2MjEyOTUCAAAABzE3NTcxNDkDAAAABjEwMDMwOQQAAAABMgYAAAABMAcAAAADMTYwCAAAAAEwCQAAAAExCgAAAAEwCwAAAAo2OTY4ODUyNjA2DAAAAAIxMg0AAAAJMS8xNC8yMDA2qyW0vZNz1QhLoVlJl3PVCDRDSVEuTmFzZGFxR1M6SU5UQy5JUV9URVZfVE9UQUxfUkVWX0ZXRC42MDAwLjgvNS8yMDExAQAAAIdSAAACAAAAEDEuODE2MTIzNzc1MTQxNzEBDQAAAAUA</t>
  </si>
  <si>
    <t>AAABOQEAAAAHMjYyMTI5NQIAAAAHMTc1NzE2NgMAAAAGMTAwMzA3BAAAAAEyBgAAAAEwBwAAAAMxNjAIAAAAATAJAAAAATEKAAAAATALAAAACjg4NjQ0MzEzNDMMAAAAAjEyDQAAAAg4LzYvMjAxMasltL2Tc9UIe6VXSZdz1QgvQ0lRLk5BU0RBUUdTOklOVEMuSVFfUFJJQ0VfU0FMRVMuMjAwMC42LzEzLzIwMTQBAAAAh1IAAAIAAAAIMi44MTA0MDcBBwAAAAUAAAABMQEAAAAKMTY3MzM3OTMyNwMAAAABMAIAAAAFMzg5NTgEAAAAATAHAAAACTYvMTMvMjAxNAgAAAAJNi8xMy8yMDE0a3ZmuZNz1Qh7NFVJl3PVCB5DSVEuXlNQWC5JUV9QVEJWLjIwMDAuNi81LzIwMTMBAAAAm7goAAIAAAAGNC44NjY5ANvXubeTc9UIi6M9S5dz1QgmQ0lRLl5TUFguSVFfUEVfRVhDTF9GV0QuNjAwMC4zLzEyLzIwMTQBAAAAm7goAAIAAAAJMTUuODI1ODgzAOv+ubeTc9UIizI7S5dz1QgtQ0lRLl5TUFguSVFfVEVWX0VCSVREQV9GV0RfQ0lRLjYwMDAuMi8xMi8yMDE0AQAAAJu4KAACAAAACDguNjQ1MzcyAJvrZrmTc9UIy847S5dz1QguQ0lRLk5BU0RBUUdTOklOVEMuSVFfUEVfRVhDTF9GV0QuNjAwMC4yLzIvMjAwNwEAAACHUgAAAgAAABAxOS41OTUxNzQ1ODQ0MjE3AQ0AAAAFAAAAATkBAAAABzI2MjEyOTUCAAAABDE4ODIDAAAABjEwMDMwOQQAAAABMgYAAAABMAcAAAADMTYwCAAAAAEwCQAAAAExCgAAAAEwCwAAAAsx</t>
  </si>
  <si>
    <t>MDM3ODUyMjgzMQwAAAACMTINAAAACDIvMy8yMDA3W2KzvZNz1QjLhlNJl3PVCC9DSVEuTkFTREFRR1M6SU5UQy5JUV9QUklDRV9TQUxFUy4yMDAwLjEvMTQvMjAxNQEAAACHUgAAAgAAAAgzLjI3MzgzMwEHAAAABQAAAAExAQAAAAoxNzAzNjgxODk0AwAAAAEwAgAAAAUzODk1OAQAAAABMAcAAAAJMS8xNC8yMDE1CAAAAAkxLzE0LzIwMTX7jlK7k3PVCNuiNEuXc9UINkNJUS5OQVNEQVFHUzpJTlRDLklRX1RFVl9FQklUREFfRldEX0NJUS42MDAwLjYvMTIvMjAxNQEAAACHUgAAAgAAABA2LjE3NTk5MDg4ODAxMTMyAQ0AAAAFAAAAATkBAAAABzI2MjEyOTUCAAAABzgwNjgyNjADAAAABjEwMDMwOAQAAAABMgYAAAABMAcAAAADMTYwCAAAAAEwCQAAAAExCgAAAAEwCwAAAAo4ODg2OTAyODM0DAAAAAIxMg0AAAAJNi8xMy8yMDE1a6BTu5Nz1QibmI6ul3PVCCBDSVEuXlNQWC5JUV9QVEJWLjIwMDAuMTIvMTEvMjAxMwEAAACbuCgAAgAAAAg1LjIyMTAzMgBbOFW5k3PVCBuSPEuXc9UINUNJUS5OYXNkYXFHUzpJTlRDLklRX1RFVl9UT1RBTF9SRVZfRldELjYwMDAuOS8yNi8yMDA4AQAAAIdSAAACAAAAEDIuMzc3OTA1NTkwOTc1MzMBDQAAAAUAAAABOQEAAAAHMjYyMTI5NQIAAAAHMTc1NzE1NwMAAAAGMTAwMzA3BAAAAAEyBgAAAAEwBwAAAAMxNjAIAAAAATAJAAAAATEKAAAAATALAAAACjg4NjIwMjkzNjYM</t>
  </si>
  <si>
    <t>AAAAAjEyDQAAAAk5LzI3LzIwMDj71We5k3PVCCviVkmXc9UILENJUS5eU1BYLklRX1RFVl9UT1RBTF9SRVZfRldELjYwMDAuMS8yOC8yMDE1AQAAAJu4KAACAAAACDEuOTU4MDc0ANu4r72Tc9UIy3s0S5dz1QguQ0lRLk5BU0RBUUdTOklOVEMuSVFfUEVfRVhDTF9GV0QuNjAwMC4zLzIvMjAwNwEAAACHUgAAAgAAABAxNy43MTQyODU3MTQyODU3AQ0AAAAFAAAAATkBAAAABzI2MjEyOTUCAAAABDE4ODIDAAAABjEwMDMwOQQAAAABMgYAAAABMAcAAAADMTYwCAAAAAEwCQAAAAExCgAAAAEwCwAAAAsxMDM3ODUyMjgzNgwAAAACMTINAAAACDMvMy8yMDA3W2KzvZNz1Qgr4lZJl3PVCDZDSVEuTmFzZGFxR1M6SU5UQy5JUV9URVZfVE9UQUxfUkVWX0ZXRC42MDAwLjEyLzIxLzIwMTIBAAAAh1IAAAIAAAAQMS44NjU2MTQyMTIwMjQ4MQENAAAABQAAAAE5AQAAAAcyNjIxMjk1AgAAAAcxNzU3MTcwAwAAAAYxMDAzMDcEAAAAATIGAAAAATAHAAAAAzE2MAgAAAABMAkAAAABMQoAAAABMAsAAAAKODg2NDQzNTE0NAwAAAACMTINAAAACjEyLzIyLzIwMTKLX1a7k3PVCLt9TkmXc9UINkNJUS5OYXNkYXFHUzpJTlRDLklRX1RFVl9FQklUREFfRldEX0NJUS42MDAwLjgvMjgvMjAxNQEAAACHUgAAAgAAAA81Ljc2OTQyNzEzODk4MjQBDQAAAAUAAAABOQEAAAAHMjYyMTI5NQIAAAAHODA2ODI2MQMAAAAGMTAwMzA4BAAA</t>
  </si>
  <si>
    <t>AAEyBgAAAAEwBwAAAAMxNjAIAAAAATAJAAAAATEKAAAAATALAAAACjg4OTk4NDIzNDYMAAAAAjEyDQAAAAk4LzI5LzIwMTXrSVe7k3PVCBtgja6Xc9UILkNJUS5OQVNEQVFHUzpJTlRDLklRX1BFX0VYQ0xfRldELjYwMDAuNC80LzIwMDgBAAAAh1IAAAIAAAAQMTYuODg0NjQwOTIxNTEzOAENAAAABQAAAAE5AQAAAAcyNjIxMjk1AgAAAAQxODgzAwAAAAYxMDAzMDkEAAAAATIGAAAAATAHAAAAAzE2MAgAAAABMAkAAAABMQoAAAABMAsAAAAHMTUzMzMwNwwAAAACMTINAAAACDQvNS8yMDA4SzuzvZNz1QhbBFBJl3PVCDVDSVEuTmFzZGFxR1M6SU5UQy5JUV9URVZfRUJJVERBX0ZXRF9DSVEuNjAwMC4zLzMvMjAwNgEAAACHUgAAAgAAABA3Ljg2MjU3NjEwMzk4MDI3AQ0AAAAFAAAAATkBAAAABzI2MjEyOTUCAAAABDE4ODEDAAAABjEwMDMwOAQAAAABMgYAAAABMAcAAAADMTYwCAAAAAEwCQAAAAExCgAAAAEwCwAAAAkzNjA2NzU1OTkMAAAAAjEyDQAAAAgzLzQvMjAwNpv+s72Tc9UI+xGNrpdz1QgwQ0lRLk5BU0RBUUdTOklOVEMuSVFfUEVfRVhDTF9GV0QuNjAwMC4xMi8yMy8yMDEwAQAAAIdSAAACAAAADzEwLjk5NTYyMDc0NjA1NgENAAAABQAAAAE5AQAAAAcyNjIxMjk1AgAAAAcxNzU3MTY0AwAAAAYxMDAzMDkEAAAAATIGAAAAATAHAAAAAzE2MAgAAAABMAkAAAABMQoAAAABMAsAAAAKODg2Mzg0NTQ5</t>
  </si>
  <si>
    <t>OAwAAAACMTINAAAACjEyLzI0LzIwMTAr7bK9k3PVCEu/VEmXc9UIIENJUS5eU1BYLklRX1BUQlYuMjAwMC4xMS8xMS8yMDE1AQAAAJu4KAACAAAACDYuNjUzMjYyAFs4VbmTc9UIOzouS5dz1Qg1Q0lRLk5hc2RhcUdTOklOVEMuSVFfVEVWX1RPVEFMX1JFVl9GV0QuNjAwMC45LzIxLzIwMDcBAAAAh1IAAAIAAAAQMy42MTY0NzQ2NTEwNzQ1OAENAAAABQAAAAE5AQAAAAcyNjIxMjk1AgAAAAcxNzU3MTU0AwAAAAYxMDAzMDcEAAAAATIGAAAAATAHAAAAAzE2MAgAAAABMAkAAAABMQoAAAABMAsAAAALMTAzNzg1ODU1ODUMAAAAAjEyDQAAAAk5LzIyLzIwMDcL/We5k3PVCPuKUUmXc9UINkNJUS5OYXNkYXFHUzpJTlRDLklRX1RFVl9UT1RBTF9SRVZfRldELjYwMDAuMTIvMTkvMjAwOAEAAACHUgAAAgAAAA8yLjEzNTE2NTAxNjY3NTcBDQAAAAUAAAABOQEAAAAHMjYyMTI5NQIAAAAHMTc1NzE1OAMAAAAGMTAwMzA3BAAAAAEyBgAAAAEwBwAAAAMxNjAIAAAAATAJAAAAATEKAAAAATALAAAACjgxNzE1NzQ3NjkMAAAAAjEyDQAAAAoxMi8yMC8yMDA4qyW0vZNz1QhrfldJl3PVCCxDSVEuTkFTREFRR1M6SU5UQy5JUV9MQVNUU0FMRVBSSUNFLjIvMjAvMjAxMwEAAACHUgAAAgAAAAUyMC43MwDr/rm3k3PVCNtmPkuXc9UINkNJUS5OYXNkYXFHUzpJTlRDLklRX1RFVl9FQklUREFfRldEX0NJUS42MDAwLjEyLzYv</t>
  </si>
  <si>
    <t>MjAwMgEAAACHUgAAAgAAABAxMS40MDU5ODQ0MzgwNzc2AQ0AAAAFAAAAATkBAAAABzI2MjEyOTUCAAAABzE3NTcxNDADAAAABjEwMDMwOAQAAAABMgYAAAABMAcAAAADMTYwCAAAAAEwCQAAAAExCgAAAAEwCwAAAAoxMTY5MTI2NTY0DAAAAAIxMg0AAAAJMTIvNy8yMDAym9uwu5Nz1QhL1Y2ul3PVCC9DSVEuTkFTREFRR1M6SU5UQy5JUV9QRV9FWENMX0ZXRC42MDAwLjcvMTgvMjAwOAEAAACHUgAAAgAAABAxNS43MTc5NDUwNjkwMTk1AQ0AAAAFAAAAATkBAAAABzI2MjEyOTUCAAAABzE3NTcxNTcDAAAABjEwMDMwOQQAAAABMgYAAAABMAcAAAADMTYwCAAAAAEwCQAAAAExCgAAAAEwCwAAAAo4ODYzMTI0NjY3DAAAAAIxMg0AAAAJNy8xOS8yMDA4SzuzvZNz1QiLeVBJl3PVCDdDSVEuTmFzZGFxR1M6SU5UQy5JUV9URVZfRUJJVERBX0ZXRF9DSVEuNjAwMC4xMS8yMC8yMDA5AQAAAIdSAAACAAAAEDYuMDU0NTEwMTA4Njk5ODgBDQAAAAUAAAABOQEAAAAHMjYyMTI5NQIAAAAHMTc1NzE2MQMAAAAGMTAwMzA4BAAAAAEyBgAAAAEwBwAAAAMxNjAIAAAAATAJAAAAATEKAAAAATALAAAACjgxNzI0MDQwMDcMAAAAAjEyDQAAAAoxMS8yMS8yMDA5y1Cxu5Nz1QhbbZCul3PVCCxDSVEuTkFTREFRR1M6SU5UQy5JUV9MQVNUU0FMRVBSSUNFLjkvMzAvMjAxNQEAAACHUgAAAgAAAAUzMC4xNAAb3VK7k3PVCJskL0uX</t>
  </si>
  <si>
    <t>c9UII0NJUS5eU1BYLklRX0xBU1RTQUxFUFJJQ0UuOS8xNy8yMDE0AQAAAJu4KAACAAAAEDIwMDEuNTY1MTgxODMyODEA6/65t5Nz1Qi7xTZLl3PVCB5DSVEuXlNQWC5JUV9QVEJWLjIwMDAuMy84LzIwMTcBAAAAm7goAAIAAAAIOC43MTE1NDYAy5GvvZNz1QhbjxhLl3PVCDVDSVEuTkFTREFRR1M6SU5UQy5JUV9URVZfRUJJVERBX0ZXRF9DSVEuNjAwMC43LzEvMjAxNgEAAACHUgAAAgAAABA4LjAyMzk1NDU2NTcyNjgyAQ0AAAAFAAAAATkBAAAABzI2MjEyOTUCAAAACDI3MDAzNjUxAwAAAAYxMDAzMDgEAAAAATIGAAAAATAHAAAAAzE2MAgAAAABMAkAAAABMQoAAAABMAsAAAAKOTQ3MzQ4ODQ5MQwAAAACMTINAAAACDcvMi8yMDE2W3lTu5Nz1QjLDY+ul3PVCDZDSVEuTkFTREFRR1M6SU5UQy5JUV9URVZfRUJJVERBX0ZXRF9DSVEuNjAwMC4yLzE3LzIwMDYBAAAAh1IAAAIAAAAQNy4yNDY3MjUwMjU2NjgzOQENAAAABQAAAAE5AQAAAAcyNjIxMjk1AgAAAAQxODgxAwAAAAYxMDAzMDgEAAAAATIGAAAAATAHAAAAAzE2MAgAAAABMAkAAAABMQoAAAABMAsAAAAJMzYwNjc1NTkzDAAAAAIxMg0AAAAJMi8xOC8yMDA2G05Vu5Nz1Qh7So6ul3PVCDVDSVEuTmFzZGFxR1M6SU5UQy5JUV9URVZfVE9UQUxfUkVWX0ZXRC42MDAwLjcvMjAvMjAwMQEAAACHUgAAAgAAABA2Ljk3MTQ4OTY4ODI2Mzk5AQ0AAAAFAAAA</t>
  </si>
  <si>
    <t>ATkBAAAABzI2MjEyOTUCAAAABzM0MjExNjEDAAAABjEwMDMwNwQAAAABMgYAAAABMAcAAAADMTYwCAAAAAEwCQAAAAExCgAAAAEwCwAAAAoxMTY5MTUyNDQ4DAAAAAIxMg0AAAAJNy8yMS8yMDAx2yJXu5Nz1QjrtlhJl3PVCClDSVEuTkFTREFRR1M6SU5UQy5JUV9QVEJWLjIwMDAuMTEvMjcvMjAxNQEAAACHUgAAAgAAAAgzLjg3NjMyOQEHAAAABQAAAAExAQAAAAoxNzYxNzA2ODI3AwAAAAEwAgAAAAYxMDAwMjkEAAAAATAHAAAACjExLzI3LzIwMTUIAAAACjExLzI3LzIwMTVLGLC7k3PVCAuyUUmXc9UIL0NJUS5OQVNEQVFHUzpJTlRDLklRX1BFX0VYQ0xfRldELjYwMDAuMy8zMC8yMDAxAQAAAIdSAAACAAAAEDM5LjU1MjIwNTE1Mjg3MjYBDQAAAAUAAAABOQEAAAAHMjYyMTI5NQIAAAAHMzE1MTMwMQMAAAAGMTAwMzA5BAAAAAEyBgAAAAEwBwAAAAMxNjAIAAAAATAJAAAAATEKAAAAATALAAAACTMxMTU1MDg5NQwAAAACMTINAAAACTMvMzEvMjAwMYvXs72Tc9UIK1NZSZdz1QgvQ0lRLk5BU0RBUUdTOklOVEMuSVFfUFJJQ0VfU0FMRVMuMjAwMC4xMC85LzIwMTUBAAAAh1IAAAIAAAAIMi43ODQ5MzEBBwAAAAUAAAABMQEAAAAKMTc0NzM1OTUxMgMAAAABMAIAAAAFMzg5NTgEAAAAATAHAAAACTEwLzkvMjAxNQgAAAAJMTAvOS8yMDE1C7ZSu5Nz1QjL91VJl3PVCB9DSVEuXlNQWC5JUV9QVEJWLjIwMDAu</t>
  </si>
  <si>
    <t>MTEvNi8yMDEzAQAAAJu4KAACAAAACDUuMDkxODE1AFs4VbmTc9UIO+A8S5dz1QgoQ0lRLk5BU0RBUUdTOklOVEMuSVFfUFRCVi4yMDAwLjEvMTYvMjAxNQEAAACHUgAAAgAAAAg0LjI4NTk2MgEHAAAABQAAAAExAQAAAAoxNzE1MzI4NjQzAwAAAAEwAgAAAAYxMDAwMjkEAAAAATAHAAAACTEvMTYvMjAxNQgAAAAJMS8xNi8yMDE1a3ZmuZNz1QgbSlRJl3PVCC1DSVEuXlNQWC5JUV9URVZfRUJJVERBX0ZXRF9DSVEuNjAwMC4yLzI3LzIwMTMBAAAAm7goAAIAAAAHNy42Mzk3NQArBFO7k3PVCMs/PkuXc9UIL0NJUS5OQVNEQVFHUzpJTlRDLklRX1BFX0VYQ0xfRldELjYwMDAuNy8yMC8yMDEyAQAAAIdSAAACAAAAEDkuODM0Njc1NzEwMDQ2NjMBDQAAAAUAAAABOQEAAAAHMjYyMTI5NQIAAAAHMTc1NzE2OQMAAAAGMTAwMzA5BAAAAAEyBgAAAAEwBwAAAAMxNjAIAAAAATAJAAAAATEKAAAAATALAAAACjg4NjM0MzQ5MjgMAAAAAjEyDQAAAAk3LzIxLzIwMTILn7K9k3PVCHvhTUmXc9UILUNJUS5OQVNEQVFHUzpJTlRDLklRX0xBU1RTQUxFUFJJQ0UuMTEvMjcvMjAxMwEAAACHUgAAAgAAAAQyMy45AEsoZrmTc9UIK7k8S5dz1QgjQ0lRLl5TUFguSVFfTEFTVFNBTEVQUklDRS4yLzEyLzIwMTQBAAAAm7goAAIAAAAQMTgxOS4yNjQyNzU4NjkxMwBbP7C7k3PVCKuAO0uXc9UINENJUS5OYXNkYXFHUzpJTlRDLklR</t>
  </si>
  <si>
    <t>X1RFVl9UT1RBTF9SRVZfRldELjYwMDAuMS8zLzIwMDMBAAAAh1IAAAIAAAAQMy42NjExOTk3NjgxOTAyNwENAAAABQAAAAE5AQAAAAcyNjIxMjk1AgAAAAcxNzU3MTQwAwAAAAYxMDAzMDcEAAAAATIGAAAAATAHAAAAAzE2MAgAAAABMAkAAAABMQoAAAABMAsAAAAKMTE2OTEyNjE3OAwAAAACMTINAAAACDEvNC8yMDAz62+8t5Nz1QjLM0xJl3PVCDZDSVEuTkFTREFRR1M6SU5UQy5JUV9URVZfRUJJVERBX0ZXRF9DSVEuNjAwMC41LzE0LzIwMDQBAAAAh1IAAAIAAAAQOS4yNzYwNTMxMDQyMjQ0NQENAAAABQAAAAE5AQAAAAcyNjIxMjk1AgAAAAcxNzU3MTQ0AwAAAAYxMDAzMDgEAAAAATIGAAAAATAHAAAAAzE2MAgAAAABMAkAAAABMQoAAAABMAsAAAAKMTE2OTEyODY4NgwAAAACMTINAAAACTUvMTUvMjAwNDucVbuTc9UIa5SQrpdz1QgtQ0lRLl5TUFguSVFfVEVWX1RPVEFMX1JFVl9GV0QuNjAwMC4xMS8yNS8yMDE1AQAAAJu4KAACAAAACDIuMDUyMTIyANu4r72Tc9UIC8UtS5dz1QgvQ0lRLk5BU0RBUUdTOklOVEMuSVFfUEVfRVhDTF9GV0QuNjAwMC4zLzExLzIwMTYBAAAAh1IAAAIAAAAQMTMuNDkyMjcyNTMwMzEwOQENAAAABQAAAAE5AQAAAAcyNjIxMjk1AgAAAAoxMDAwOTE1NDAyAwAAAAYxMDAzMDkEAAAAATIGAAAAATAHAAAAAzE2MAgAAAABMAkAAAABMQoAAAABMAsAAAAKOTM0NTIyOTI1NgwA</t>
  </si>
  <si>
    <t>AAACMTINAAAACTMvMTIvMjAxNutQsr2Tc9UIq1ZOSZdz1Qg2Q0lRLk5hc2RhcUdTOklOVEMuSVFfVEVWX1RPVEFMX1JFVl9GV0QuNjAwMC4xMi8xNC8yMDA3AQAAAIdSAAACAAAADzMuNDY1NjM5NDM1NTIzNwENAAAABQAAAAE5AQAAAAcyNjIxMjk1AgAAAAcxNzU3MTU1AwAAAAYxMDAzMDcEAAAAATIGAAAAATAHAAAAAzE2MAgAAAABMAkAAAABMQoAAAABMAsAAAAKODg2NDMzMDEyNQwAAAACMTINAAAACjEyLzE1LzIwMDfrb7y3k3PVCEtsTUmXc9UIJENJUS5eU1BYLklRX0xBU1RTQUxFUFJJQ0UuMTEvMjUvMjAxNQEAAACbuCgAAgAAABAyMDg4Ljg3MjU3ODIxNjg1AFs/sLuTc9UI63YtS5dz1QgsQ0lRLk5BU0RBUUdTOklOVEMuSVFfTEFTVFNBTEVQUklDRS4zLzE5LzIwMTQBAAAAh1IAAAIAAAAFMjUuMDIA29e5t5Nz1QibWTtLl3PVCChDSVEuTkFTREFRR1M6SU5UQy5JUV9QVEJWLjIwMDAuMy8yMy8yMDEyAQAAAIdSAAACAAAACDQuNTg2MjEyAQcAAAAFAAAAATEBAAAACjE1MjM0MDM4NDkDAAAAATACAAAABjEwMDAyOQQAAAABMAcAAAAJMy8yMy8yMDEyCAAAAAkzLzIzLzIwMTI78a+7k3PVCGucUkmXc9UINENJUS5OYXNkYXFHUzpJTlRDLklRX1RFVl9UT1RBTF9SRVZfRldELjYwMDAuNS81LzIwMDYBAAAAh1IAAAIAAAAQMi44Njg2MTE3MTg5OTMyMgENAAAABQAAAAE5AQAAAAcyNjIxMjk1AgAA</t>
  </si>
  <si>
    <t>AAcxNzU3MTUwAwAAAAYxMDAzMDcEAAAAATIGAAAAATAHAAAAAzE2MAgAAAABMAkAAAABMQoAAAABMAsAAAAKODg2MDUzNjUxNAwAAAACMTINAAAACDUvNi8yMDA2m/6zvZNz1QhrSUtJl3PVCDVDSVEuTmFzZGFxR1M6SU5UQy5JUV9URVZfVE9UQUxfUkVWX0ZXRC42MDAwLjgvMTgvMjAxNwEAAACHUgAAAgAAABAyLjc1NTM2NTEwMDA4MDQzAQ0AAAAFAAAAATkBAAAABzI2MjEyOTUCAAAACDI3NTAwMTczAwAAAAYxMDAzMDcEAAAAATIGAAAAATAHAAAAAzE2MAgAAAABMAkAAAABMQoAAAABMAsAAAALMTA2OTg5NjQwNzEMAAAAAjEyDQAAAAk4LzE5LzIwMTe7+ru3k3PVCKvlS0mXc9UILENJUS5OQVNEQVFHUzpJTlRDLklRX0xBU1RTQUxFUFJJQ0UuOC8xNi8yMDE3AQAAAIdSAAACAAAABTM1LjgxABvdUruTc9UIuw8BS5dz1Qg1Q0lRLk5hc2RhcUdTOklOVEMuSVFfVEVWX1RPVEFMX1JFVl9GV0QuNjAwMC44LzI5LzIwMDMBAAAAh1IAAAIAAAAQNS41MzQyNzkxMDczOTI5OAENAAAABQAAAAE5AQAAAAcyNjIxMjk1AgAAAAcxNzU3MTQyAwAAAAYxMDAzMDcEAAAAATIGAAAAATAHAAAAAzE2MAgAAAABMAkAAAABMQoAAAABMAsAAAAKOTExMTA2MjQ5MwwAAAACMTINAAAACTgvMzAvMjAwM6sCsbuTc9UIW5NNSZdz1Qg0Q0lRLk5hc2RhcUdTOklOVEMuSVFfVEVWX1RPVEFMX1JFVl9GV0QuNjAwMC40LzkvMjAx</t>
  </si>
  <si>
    <t>MAEAAACHUgAAAgAAAA8yLjc4ODQ1MDk2MTMwNzQBDQAAAAUAAAABOQEAAAAHMjYyMTI5NQIAAAAEMTg4NQMAAAAGMTAwMzA3BAAAAAEyBgAAAAEwBwAAAAMxNjAIAAAAATAJAAAAATEKAAAAATALAAAACTM2MDczNjE5OQwAAAACMTINAAAACTQvMTAvMjAxMNtwVrmTc9UIa+9ZSZdz1QgvQ0lRLk5BU0RBUUdTOklOVEMuSVFfUEVfRVhDTF9GV0QuNjAwMC4yLzE2LzIwMDEBAAAAh1IAAAIAAAAPMzIuNjc1ODU1NTEzMzA4AQ0AAAAFAAAAATkBAAAABzI2MjEyOTUCAAAABzMxNTEzMDEDAAAABjEwMDMwOQQAAAABMgYAAAABMAcAAAADMTYwCAAAAAEwCQAAAAExCgAAAAEwCwAAAAkzMTE1NTA4NzUMAAAAAjEyDQAAAAkyLzE3LzIwMDGL17O9k3PVCGt+V0mXc9UINkNJUS5OQVNEQVFHUzpJTlRDLklRX1RFVl9FQklUREFfRldEX0NJUS42MDAwLjcvMjkvMjAxNgEAAACHUgAAAgAAABA3LjQ4NzQ5MTYyMjQwNzA0AQ0AAAAFAAAAATkBAAAABzI2MjEyOTUCAAAACDI3MDAzNjUyAwAAAAYxMDAzMDgEAAAAATIGAAAAATAHAAAAAzE2MAgAAAABMAkAAAABMQoAAAABMAsAAAAKOTYxNDczNjM3MQwAAAACMTINAAAACTcvMzAvMjAxNlt5U7uTc9UIG2CNrpdz1QguQ0lRLk5BU0RBUUdTOklOVEMuSVFfUEVfRVhDTF9GV0QuNjAwMC44LzEvMjAwMwEAAACHUgAAAgAAABAzMS4wNDIxODM2MjI4Mjg4AQ0AAAAFAAAAATkB</t>
  </si>
  <si>
    <t>AAAABzI2MjEyOTUCAAAABzE3NTcxNDIDAAAABjEwMDMwOQQAAAABMgYAAAABMAcAAAADMTYwCAAAAAEwCQAAAAExCgAAAAEwCwAAAAo2ODMxNDQxOTQ3DAAAAAIxMg0AAAAIOC8yLzIwMDN7sLO9k3PVCCseTUmXc9UIL0NJUS5OQVNEQVFHUzpJTlRDLklRX1BSSUNFX1NBTEVTLjIwMDAuNC8xMy8yMDE2AQAAAIdSAAACAAAACDIuNzUyNDI0AQcAAAAFAAAAATEBAAAACjE3NzU5MzMxNDADAAAAATACAAAABTM4OTU4BAAAAAEwBwAAAAk0LzEzLzIwMTYIAAAACTQvMTMvMjAxNls4VbmTc9UIm0IqS5dz1QgwQ0lRLk5BU0RBUUdTOklOVEMuSVFfUEVfRVhDTF9GV0QuNjAwMC4xMC8yNS8yMDEzAQAAAIdSAAACAAAAEDEyLjg0NTE3OTQxMzc5MTMBDQAAAAUAAAABOQEAAAAHMjYyMTI5NQIAAAAHMzgyOTc1MwMAAAAGMTAwMzA5BAAAAAEyBgAAAAEwBwAAAAMxNjAIAAAAATAJAAAAATEKAAAAATALAAAACjcwMzMyNzQyMjAMAAAAAjEyDQAAAAoxMC8yNi8yMDEz+3eyvZNz1Qj73VhJl3PVCDVDSVEuTmFzZGFxR1M6SU5UQy5JUV9URVZfVE9UQUxfUkVWX0ZXRC42MDAwLjIvMjcvMjAwOQEAAACHUgAAAgAAABAyLjA3Nzk5NzM1MjI5ODE0AQ0AAAAFAAAAATkBAAAABzI2MjEyOTUCAAAABDE4ODQDAAAABjEwMDMwNwQAAAABMgYAAAABMAcAAAADMTYwCAAAAAEwCQAAAAExCgAAAAEwCwAAAAkzNjA3MTU5NjkMAAAA</t>
  </si>
  <si>
    <t>AjEyDQAAAAkyLzI4LzIwMDnbcFa5k3PVCCutSkmXc9UINkNJUS5OYXNkYXFHUzpJTlRDLklRX1RFVl9UT1RBTF9SRVZfRldELjYwMDAuMTIvMTgvMjAxNQEAAACHUgAAAgAAABAyLjc4MDI2NjkwODg2MjkzAQ0AAAAFAAAAATkBAAAABzI2MjEyOTUCAAAABzgwNjgyNjIDAAAABjEwMDMwNwQAAAABMgYAAAABMAcAAAADMTYwCAAAAAEwCQAAAAExCgAAAAEwCwAAAAo5MTgyNDA1NTcxDAAAAAIxMg0AAAAKMTIvMTkvMjAxNasltL2Tc9UIK3FUSZdz1Qg1Q0lRLk5hc2RhcUdTOklOVEMuSVFfVEVWX0VCSVREQV9GV0RfQ0lRLjYwMDAuMi8yLzIwMTgBAAAAh1IAAAIAAAAQOC40NzkwOTcxMTY0NTU2MQENAAAABQAAAAE5AQAAAAcyNjIxMjk1AgAAAAoxMDAxNTI4NTI3AwAAAAYxMDAzMDgEAAAAATIGAAAAATAHAAAAAzE2MAgAAAABMAkAAAABMQoAAAABMAsAAAALMTA3MDYxODQzNDkMAAAAAjEyDQAAAAgyLzMvMjAxODsrU7uTc9UIS9WNrpdz1Qg3Q0lRLk5BU0RBUUdTOklOVEMuSVFfVEVWX0VCSVREQV9GV0RfQ0lRLjYwMDAuMTAvMjYvMjAxMgEAAACHUgAAAgAAABA0Ljk2NjAxMDE0OTgxNTk2AQ0AAAAFAAAAATkBAAAABzI2MjEyOTUCAAAABzE3NTcxNzADAAAABjEwMDMwOAQAAAABMgYAAAABMAcAAAADMTYwCAAAAAEwCQAAAAExCgAAAAEwCwAAAAo4MTcxNTc0MjM1DAAAAAIxMg0AAAAKMTAvMjcvMjAx</t>
  </si>
  <si>
    <t>MpsVVLuTc9UIC6qPrpdz1QgvQ0lRLk5BU0RBUUdTOklOVEMuSVFfUFJJQ0VfU0FMRVMuMjAwMC42LzI1LzIwMTABAAAAh1IAAAIAAAAIMi45MDIyMjkBBwAAAAUAAAABMQEAAAAKMTM1NzY1OTEwMQMAAAABMAIAAAAFMzg5NTgEAAAAATAHAAAACTYvMjUvMjAxMAgAAAAJNi8yNS8yMDEw+45Su5Nz1Qgr4lZJl3PVCDdDSVEuTkFTREFRR1M6SU5UQy5JUV9URVZfRUJJVERBX0ZXRF9DSVEuNjAwMC4xMC8yNy8yMDE3AQAAAIdSAAACAAAAEDguMjE4OTUxNTUzOTM4MDIBDQAAAAUAAAABOQEAAAAHMjYyMTI5NQIAAAAIMjc1MDAxNzQDAAAABjEwMDMwOAQAAAABMgYAAAABMAcAAAADMTYwCAAAAAEwCQAAAAExCgAAAAEwCwAAAAsxMDY1OTMyNjc1MgwAAAACMTINAAAACjEwLzI4LzIwMTc7K1O7k3PVCNvDjK6Xc9UINkNJUS5OYXNkYXFHUzpJTlRDLklRX1RFVl9UT1RBTF9SRVZfRldELjYwMDAuMTAvMjEvMjAxMQEAAACHUgAAAgAAABAyLjA3OTUzMDA4MDU5NTUzAQ0AAAAFAAAAATkBAAAABzI2MjEyOTUCAAAABzE3NTcxNjcDAAAABjEwMDMwNwQAAAABMgYAAAABMAcAAAADMTYwCAAAAAEwCQAAAAExCgAAAAEwCwAAAAo4ODY0NDMyNjMwDAAAAAIxMg0AAAAKMTAvMjIvMjAxMfvVZ7mTc9UIm4JVSZdz1Qg1Q0lRLk5hc2RhcUdTOklOVEMuSVFfVEVWX1RPVEFMX1JFVl9GV0QuNjAwMC42LzE0LzIwMTMBAAAA</t>
  </si>
  <si>
    <t>h1IAAAIAAAAQMi4yMDYyODgxMTg4MjgwOAENAAAABQAAAAE5AQAAAAcyNjIxMjk1AgAAAAczODI5NzUxAwAAAAYxMDAzMDcEAAAAATIGAAAAATAHAAAAAzE2MAgAAAABMAkAAAABMQoAAAABMAsAAAAKODg2MjUzOTk3NwwAAAACMTINAAAACTYvMTUvMjAxM6sltL2Tc9UIW3VSSZdz1QgmQ0lRLl5TUFguSVFfUEVfRVhDTF9GV0QuNjAwMC4xMS82LzIwMTMBAAAAm7goAAIAAAAJMTUuMTYzODc2ABvdUruTc9UIK7k8S5dz1QgwQ0lRLk5BU0RBUUdTOklOVEMuSVFfUFJJQ0VfU0FMRVMuMjAwMC4xMS8xOS8yMDEwAQAAAIdSAAACAAAACDIuNzQzODE2AQcAAAAFAAAAATEBAAAACjE0MDg1MTY1NDYDAAAAATACAAAABTM4OTU4BAAAAAEwBwAAAAoxMS8xOS8yMDEwCAAAAAoxMS8xOS8yMDEwy7C5t5Nz1Qg7RU1Jl3PVCDZDSVEuTmFzZGFxR1M6SU5UQy5JUV9URVZfRUJJVERBX0ZXRF9DSVEuNjAwMC4zLzExLzIwMTYBAAAAh1IAAAIAAAAQNi40MjM3NDk3MjA2NTkzNgENAAAABQAAAAE5AQAAAAcyNjIxMjk1AgAAAAoxMDAwOTE1NDAyAwAAAAYxMDAzMDgEAAAAATIGAAAAATAHAAAAAzE2MAgAAAABMAkAAAABMQoAAAABMAsAAAAKOTM0NTIyOTE4OQwAAAACMTINAAAACTMvMTIvMjAxNqsltL2Tc9UIyw2Prpdz1Qg1Q0lRLk5BU0RBUUdTOklOVEMuSVFfVEVWX0VCSVREQV9GV0RfQ0lRLjYwMDAuNC81LzIwMDIB</t>
  </si>
  <si>
    <t>AAAAh1IAAAIAAAAQMTcuODMyMjU5MDE0ODYwMQENAAAABQAAAAE5AQAAAAcyNjIxMjk1AgAAAAQxODc3AwAAAAYxMDAzMDgEAAAAATIGAAAAATAHAAAAAzE2MAgAAAABMAkAAAABMQoAAAABMAsAAAAJMzYwNjU2MDU0DAAAAAIxMg0AAAAINC82LzIwMDJb6lW7k3PVCLvmjq6Xc9UIMENJUS5OQVNEQVFHUzpJTlRDLklRX1BFX0VYQ0xfRldELjYwMDAuMTIvMTIvMjAxNAEAAACHUgAAAgAAABAxNS4yNzM4NTQxOTc0MTExAQ0AAAAFAAAAATkBAAAABzI2MjEyOTUCAAAABzQ0NTY0MjkDAAAABjEwMDMwOQQAAAABMgYAAAABMAcAAAADMTYwCAAAAAEwCQAAAAExCgAAAAEwCwAAAAo4NTg4NzIzMzgzDAAAAAIxMg0AAAAKMTIvMTMvMjAxNPt3sr2Tc9UI+/tTSZdz1Qg2Q0lRLk5BU0RBUUdTOklOVEMuSVFfVEVWX0VCSVREQV9GV0RfQ0lRLjYwMDAuMS8xNi8yMDA5AQAAAIdSAAACAAAAEDguNTk5MTMxMTA3MzA2NjEBDQAAAAUAAAABOQEAAAAHMjYyMTI5NQIAAAAEMTg4NAMAAAAGMTAwMzA4BAAAAAEyBgAAAAEwBwAAAAMxNjAIAAAAATAJAAAAATEKAAAAATALAAAACTM2MDcxOTYzOQwAAAACMTINAAAACTEvMTcvMjAwOduxVLuTc9UIayOOrpdz1QgvQ0lRLk5BU0RBUUdTOklOVEMuSVFfUEVfRVhDTF9GV0QuNjAwMC44LzI5LzIwMDgBAAAAh1IAAAIAAAAQMTYuMzE4MjMwNDY3MzU2NAENAAAABQAAAAE5AQAA</t>
  </si>
  <si>
    <t>AAcyNjIxMjk1AgAAAAcxNzU3MTU3AwAAAAYxMDAzMDkEAAAAATIGAAAAATAHAAAAAzE2MAgAAAABMAkAAAABMQoAAAABMAsAAAAKODg2NDQ4NTE2OQwAAAACMTINAAAACTgvMzAvMjAwODsUs72Tc9UI67ZYSZdz1Qg1Q0lRLk5hc2RhcUdTOklOVEMuSVFfVEVWX1RPVEFMX1JFVl9GV0QuNjAwMC4xMi8zLzIwMDQBAAAAh1IAAAIAAAAQMy43ODk0NDE1MDU1MDM3NgENAAAABQAAAAE5AQAAAAcyNjIxMjk1AgAAAAcxNzU3MTQ2AwAAAAYxMDAzMDcEAAAAATIGAAAAATAHAAAAAzE2MAgAAAABMAkAAAABMQoAAAABMAsAAAAKMTE2OTEyOTMzNwwAAAACMTINAAAACTEyLzQvMjAwNNtwVrmTc9UIe+FNSZdz1QgoQ0lRLk5BU0RBUUdTOklOVEMuSVFfUFRCVi4yMDAwLjEvMTEvMjAxMwEAAACHUgAAAgAAAAgzLjI3OTEwMgEHAAAABQAAAAExAQAAAAoxNTczODg3Nzk1AwAAAAEwAgAAAAYxMDAwMjkEAAAAATAHAAAACTEvMTEvMjAxMwgAAAAJMS8xMS8yMDEzu2qvvZNz1Qi7QVhJl3PVCC9DSVEuTkFTREFRR1M6SU5UQy5JUV9QUklDRV9TQUxFUy4yMDAwLjMvMTEvMjAxMQEAAACHUgAAAgAAAAgyLjY1NzYwOAEHAAAABQAAAAExAQAAAAoxNDMwNjI0NTA5AwAAAAEwAgAAAAUzODk1OAQAAAABMAcAAAAJMy8xMS8yMDExCAAAAAkzLzExLzIwMTHbqoi2k3PVCEv7SkmXc9UII0NJUS5OQVNEQVFHUzpJTlRDLklRX0xB</t>
  </si>
  <si>
    <t>U1RTQUxFUFJJQ0UuAQAAAIdSAAACAAAABTQ0LjY4AFvc1MKTc9UI2y5Sa5Zz1QgsQ0lRLk5BU0RBUUdTOklOVEMuSVFfTEFTVFNBTEVQUklDRS4xMS8yLzIwMTYBAAAAh1IAAAIAAAAEMzQuNgArw1S5k3PVCLvMIEuXc9UIKENJUS5OQVNEQVFHUzpJTlRDLklRX1BUQlYuMjAwMC4xMC83LzIwMTEBAAAAh1IAAAIAAAAIMy41ODI1ODgBBwAAAAUAAAABMQEAAAAKMTQ2NTYzMTA3MQMAAAABMAIAAAAGMTAwMDI5BAAAAAEwBwAAAAkxMC83LzIwMTEIAAAACTEwLzcvMjAxMWt2ZrmTc9UIezRVSZdz1Qg1Q0lRLk5hc2RhcUdTOklOVEMuSVFfVEVWX1RPVEFMX1JFVl9GV0QuNjAwMC45LzE5LzIwMDgBAAAAh1IAAAIAAAAQMi4zNzE5MjQyNjk5MzM0NQENAAAABQAAAAE5AQAAAAcyNjIxMjk1AgAAAAcxNzU3MTU3AwAAAAYxMDAzMDcEAAAAATIGAAAAATAHAAAAAzE2MAgAAAABMAkAAAABMQoAAAABMAsAAAAKODg2MjAyODg4MAwAAAACMTINAAAACTkvMjAvMjAwOEuZaLmTc9UIu9BVSZdz1QgvQ0lRLk5BU0RBUUdTOklOVEMuSVFfUEVfRVhDTF9GV0QuNjAwMC41LzE3LzIwMDIBAAAAh1IAAAIAAAAPNDAuMjU4MDY0NTE2MTI5AQ0AAAAFAAAAATkBAAAABzI2MjEyOTUCAAAABzE3NTcxMzgDAAAABjEwMDMwOQQAAAABMgYAAAABMAcAAAADMTYwCAAAAAEwCQAAAAExCgAAAAEwCwAAAAoxMTY5MTUyNjY1DAAAAAIx</t>
  </si>
  <si>
    <t>Mg0AAAAJNS8xOC8yMDAyqyW0vZNz1QgbSlRJl3PVCClDSVEuTkFTREFRR1M6SU5UQy5JUV9QVEJWLjIwMDAuMTEvMTYvMjAxMgEAAACHUgAAAgAAAAgzLjAwOTMyMgEHAAAABQAAAAExAQAAAAoxNTczODg3Nzk1AwAAAAEwAgAAAAYxMDAwMjkEAAAAATAHAAAACjExLzE2LzIwMTIIAAAACjExLzE2LzIwMTJLGLC7k3PVCBvZUUmXc9UILkNJUS5OYXNkYXFHUzpJTlRDLklRX1BFX0VYQ0xfRldELjYwMDAuMi85LzIwMTgBAAAAh1IAAAIAAAAQMTIuMzMyMzQxODgyMjYwNQENAAAABQAAAAE5AQAAAAcyNjIxMjk1AgAAAAoxMDAxNTI4NTI3AwAAAAYxMDAzMDkEAAAAATIGAAAAATAHAAAAAzE2MAgAAAABMAkAAAABMQoAAAABMAsAAAALMTA3MDQ2MzQyMDYMAAAAAjEyDQAAAAkyLzEwLzIwMTjLArK9k3PVCLtfU0mXc9UIL0NJUS5OQVNEQVFHUzpJTlRDLklRX1BFX0VYQ0xfRldELjYwMDAuMy8xMS8yMDA1AQAAAIdSAAACAAAAEDE4LjgxODA0MDQzNTQ1ODgBDQAAAAUAAAABOQEAAAAHMjYyMTI5NQIAAAAEMTg4MAMAAAAGMTAwMzA5BAAAAAEyBgAAAAEwBwAAAAMxNjAIAAAAATAJAAAAATEKAAAAATALAAAABzE1MDkxMTIMAAAAAjEyDQAAAAkzLzEyLzIwMDVribO9k3PVCAsjVEmXc9UIN0NJUS5OQVNEQVFHUzpJTlRDLklRX1RFVl9FQklUREFfRldEX0NJUS42MDAwLjEyLzEwLzIwMDQBAAAAh1IAAAIAAAAQ</t>
  </si>
  <si>
    <t>OC40MzI1NzYzMzg0MDA1MwENAAAABQAAAAE5AQAAAAcyNjIxMjk1AgAAAAcxNzU3MTQ2AwAAAAYxMDAzMDgEAAAAATIGAAAAATAHAAAAAzE2MAgAAAABMAkAAAABMQoAAAABMAsAAAAKMTE2OTEyOTY4OQwAAAACMTINAAAACjEyLzExLzIwMDQrdVW7k3PVCPsRja6Xc9UINkNJUS5OQVNEQVFHUzpJTlRDLklRX1RFVl9FQklUREFfRldEX0NJUS42MDAwLjExLzgvMjAwMgEAAACHUgAAAgAAABAxMS4yNjM1Njc4OTUyMjc3AQ0AAAAFAAAAATkBAAAABzI2MjEyOTUCAAAABzE3NTcxNDADAAAABjEwMDMwOAQAAAABMgYAAAABMAcAAAADMTYwCAAAAAEwCQAAAAExCgAAAAEwCwAAAAoxMTY5MTI2NTYwDAAAAAIxMg0AAAAJMTEvOS8yMDAyS8NVu5Nz1QhbbZCul3PVCDBDSVEuTkFTREFRR1M6SU5UQy5JUV9QUklDRV9TQUxFUy4yMDAwLjExLzI1LzIwMTYBAAAAh1IAAAIAAAAIMi44OTE1NDEBBwAAAAUAAAABMQEAAAAKMTgxNTU0NDQ1MAMAAAABMAIAAAAFMzg5NTgEAAAAATAHAAAACjExLzI1LzIwMTYIAAAACjExLzI1LzIwMTY76lS5k3PVCHtSUEmXc9UILkNJUS5OQVNEQVFHUzpJTlRDLklRX1BSSUNFX1NBTEVTLjIwMDAuNC85LzIwMTQBAAAAh1IAAAIAAAAIMi41NDQwMjcBBwAAAAUAAAABMQEAAAAKMTY1ODM0Mjc4MAMAAAABMAIAAAAFMzg5NTgEAAAAATAHAAAACDQvOS8yMDE0CAAAAAg0LzkvMjAxNEsY</t>
  </si>
  <si>
    <t>sLuTc9UIS5Y6S5dz1QgvQ0lRLk5BU0RBUUdTOklOVEMuSVFfUEVfRVhDTF9GV0QuNjAwMC44LzE3LzIwMDcBAAAAh1IAAAIAAAAPMTkuMjMzODkwNjAyMTc1AQ0AAAAFAAAAATkBAAAABzI2MjEyOTUCAAAABzE3NTcxNTQDAAAABjEwMDMwOQQAAAABMgYAAAABMAcAAAADMTYwCAAAAAEwCQAAAAExCgAAAAEwCwAAAAo4ODYzMzU4ODMzDAAAAAIxMg0AAAAJOC8xOC8yMDA3SzuzvZNz1QirqVVJl3PVCB5DSVEuXlNQWC5JUV9QVEJWLjIwMDAuNC81LzIwMTcBAAAAm7goAAIAAAAIOC42MDAxMjQAi8RmuZNz1QhbHhZLl3PVCC1DSVEuTkFTREFRR1M6SU5UQy5JUV9MQVNUU0FMRVBSSUNFLjEyLzI1LzIwMTMBAAAAh1IAAAIAAAAFMjUuNDMAW09muZNz1QgbkjxLl3PVCDVDSVEuTmFzZGFxR1M6SU5UQy5JUV9URVZfVE9UQUxfUkVWX0ZXRC42MDAwLjIvMTUvMjAwOAEAAACHUgAAAgAAABAyLjU3NjA4NzM3MDA1OTg1AQ0AAAAFAAAAATkBAAAABzI2MjEyOTUCAAAABDE4ODMDAAAABjEwMDMwNwQAAAABMgYAAAABMAcAAAADMTYwCAAAAAEwCQAAAAExCgAAAAEwCwAAAAkzNjA3MDAyMzMMAAAAAjEyDQAAAAkyLzE2LzIwMDhbwGi5k3PVCGucUkmXc9UIL0NJUS5OQVNEQVFHUzpJTlRDLklRX1BFX0VYQ0xfRldELjYwMDAuOC8xNi8yMDAyAQAAAIdSAAACAAAAEDI4LjU4MjMxNzA3MzE3MDcBDQAAAAUAAAABOQEA</t>
  </si>
  <si>
    <t>AAAHMjYyMTI5NQIAAAAHMTc1NzEzOQMAAAAGMTAwMzA5BAAAAAEyBgAAAAEwBwAAAAMxNjAIAAAAATAJAAAAATEKAAAAATALAAAACjkwOTA2ODgxMDMMAAAAAjEyDQAAAAk4LzE3LzIwMDJ7sLO9k3PVCCsAUkmXc9UINkNJUS5OYXNkYXFHUzpJTlRDLklRX1RFVl9FQklUREFfRldEX0NJUS42MDAwLjQvMjMvMjAwNAEAAACHUgAAAgAAABA5LjQ3ODQ0MjU5NDIyOTc0AQ0AAAAFAAAAATkBAAAABzI2MjEyOTUCAAAABzE3NTcxNDQDAAAABjEwMDMwOAQAAAABMgYAAAABMAcAAAADMTYwCAAAAAEwCQAAAAExCgAAAAEwCwAAAAoxMTY5MTI4Njg2DAAAAAIxMg0AAAAJNC8yNC8yMDA0656xu5Nz1Qg7ro2ul3PVCC5DSVEuTkFTREFRR1M6SU5UQy5JUV9QRV9FWENMX0ZXRC42MDAwLjcvNi8yMDAxAQAAAIdSAAACAAAAEDUzLjk4NzgyNzU3MzExMDUBDQAAAAUAAAABOQEAAAAHMjYyMTI5NQIAAAAHMzQyMTE2MAMAAAAGMTAwMzA5BAAAAAEyBgAAAAEwBwAAAAMxNjAIAAAAATAJAAAAATEKAAAAATALAAAACjExNjkxNzMyMDYMAAAAAjEyDQAAAAg3LzcvMjAwMasltL2Tc9UIu9BVSZdz1QgvQ0lRLk5BU0RBUUdTOklOVEMuSVFfUEVfRVhDTF9GV0QuNjAwMC42LzIzLzIwMDYBAAAAh1IAAAIAAAAQMTkuNjk3OTY0NTQzNjYzOAENAAAABQAAAAE5AQAAAAcyNjIxMjk1AgAAAAcxNzU3MTUwAwAAAAYxMDAzMDkEAAAA</t>
  </si>
  <si>
    <t>ATIGAAAAATAHAAAAAzE2MAgAAAABMAkAAAABMQoAAAABMAsAAAAKMTE2OTE2MTY0NAwAAAACMTINAAAACTYvMjQvMjAwNltis72Tc9UIW8hZSZdz1QgnQ0lRLk5BU0RBUUdTOklOVEMuSVFfUFRCVi4yMDAwLjkvOC8yMDE3AQAAAIdSAAACAAAABzMuNjIxODIBBwAAAAUAAAABMQEAAAAKMTg1MDYxODY2NAMAAAABMAIAAAAGMTAwMDI5BAAAAAEwBwAAAAg5LzgvMjAxNwgAAAAIOS84LzIwMTc78a+7k3PVCGucUkmXc9UIL0NJUS5OQVNEQVFHUzpJTlRDLklRX1BFX0VYQ0xfRldELjYwMDAuOS8xNy8yMDEwAQAAAIdSAAACAAAAEDEwLjEyODE0OTkwMzA3OTkBDQAAAAUAAAABOQEAAAAHMjYyMTI5NQIAAAAHMTc1NzE2MwMAAAAGMTAwMzA5BAAAAAEyBgAAAAEwBwAAAAMxNjAIAAAAATAJAAAAATEKAAAAATALAAAACjg4NjM4NDY4NDMMAAAAAjEyDQAAAAk5LzE4LzIwMTAr7bK9k3PVCEswV0mXc9UIH0NJUS5eU1BYLklRX1BUQlYuMjAwMC44LzIxLzIwMTMBAAAAm7goAAIAAAAINC45MzUwNjYA29e5t5Nz1QhrVT1Ll3PVCC9DSVEuTkFTREFRR1M6SU5UQy5JUV9QRV9FWENMX0ZXRC42MDAwLjExLzIvMjAwMQEAAACHUgAAAgAAABA1My41MzE0NDcxODA5NDg1AQ0AAAAFAAAAATkBAAAABzI2MjEyOTUCAAAABzM0MjExNjIDAAAABjEwMDMwOQQAAAABMgYAAAABMAcAAAADMTYwCAAAAAEwCQAAAAExCgAAAAEw</t>
  </si>
  <si>
    <t>CwAAAAo4ODYwMDc5MjQxDAAAAAIxMg0AAAAJMTEvMy8yMDAxqyW0vZNz1QjLFVFJl3PVCChDSVEuTkFTREFRR1M6SU5UQy5JUV9QVEJWLjIwMDAuMy8xNC8yMDE0AQAAAIdSAAACAAAACDIuODU3MDc3AQcAAAAFAAAAATEBAAAACjE2NTgzNDI3ODADAAAAATACAAAABjEwMDAyOQQAAAABMAcAAAAJMy8xNC8yMDE0CAAAAAkzLzE0LzIwMTSrQ6+9k3PVCJtkWkmXc9UINUNJUS5OYXNkYXFHUzpJTlRDLklRX1RFVl9UT1RBTF9SRVZfRldELjYwMDAuOC8yOC8yMDA5AQAAAIdSAAACAAAAEDIuODk0ODYxNDAxMTU5MTIBDQAAAAUAAAABOQEAAAAHMjYyMTI5NQIAAAAHMTc1NzE2MAMAAAAGMTAwMzA3BAAAAAEyBgAAAAEwBwAAAAMxNjAIAAAAATAJAAAAATEKAAAAATALAAAACjg4NjQyMTEzNTUMAAAAAjEyDQAAAAk4LzI5LzIwMDnLIby3k3PVCOvyTkmXc9UILUNJUS5eU1BYLklRX1RFVl9UT1RBTF9SRVZfRldELjYwMDAuMTAvMTYvMjAxMwEAAACbuCgAAgAAAAcxLjY4MTk2AOv+ubeTc9UISwc9S5dz1Qg3Q0lRLk5BU0RBUUdTOklOVEMuSVFfVEVWX0VCSVREQV9GV0RfQ0lRLjYwMDAuMTAvMzEvMjAwMwEAAACHUgAAAgAAABAxMi40NzAxMjQyNDY1Njg5AQ0AAAAFAAAAATkBAAAABzI2MjEyOTUCAAAABzE3NTcxNDMDAAAABjEwMDMwOAQAAAABMgYAAAABMAcAAAADMTYwCAAAAAEwCQAAAAExCgAAAAEwCwAA</t>
  </si>
  <si>
    <t>AAoxMTY5MTI4MjMzDAAAAAIxMg0AAAAJMTEvMS8yMDAzO5xVu5Nz1Qh7So6ul3PVCDZDSVEuTkFTREFRR1M6SU5UQy5JUV9URVZfRUJJVERBX0ZXRF9DSVEuNjAwMC45LzE2LzIwMTEBAAAAh1IAAAIAAAAQNC40NzM0MDM1NTc1Mzg5NAENAAAABQAAAAE5AQAAAAcyNjIxMjk1AgAAAAcxNzU3MTY2AwAAAAYxMDAzMDgEAAAAATIGAAAAATAHAAAAAzE2MAgAAAABMAkAAAABMQoAAAABMAsAAAAKODE3MDcxMTY5MAwAAAACMTINAAAACTkvMTcvMjAxMas8VLuTc9UIe7uQrpdz1Qg3Q0lRLk5hc2RhcUdTOklOVEMuSVFfVEVWX0VCSVREQV9GV0RfQ0lRLjYwMDAuMTIvMTgvMjAwOQEAAACHUgAAAgAAABA2LjIzMjE5MTIwNTk4Mzg0AQ0AAAAFAAAAATkBAAAABzI2MjEyOTUCAAAABzE3NTcxNjEDAAAABjEwMDMwOAQAAAABMgYAAAABMAcAAAADMTYwCAAAAAEwCQAAAAExCgAAAAEwCwAAAAo4MTcyNDA0MDA5DAAAAAIxMg0AAAAKMTIvMTkvMjAwObspsbuTc9UIayOOrpdz1QgoQ0lRLk5BU0RBUUdTOklOVEMuSVFfUFRCVi4yMDAwLjgvMjEvMjAxNQEAAACHUgAAAgAAAAgyLjk3NTEwNQEHAAAABQAAAAExAQAAAAoxNzQ3MzU5NTEyAwAAAAEwAgAAAAYxMDAwMjkEAAAAATAHAAAACTgvMjEvMjAxNQgAAAAJOC8yMS8yMDE1+45Su5Nz1Qgr4lZJl3PVCCxDSVEuTkFTREFRR1M6SU5UQy5JUV9MQVNUU0FMRVBSSUNF</t>
  </si>
  <si>
    <t>LjExLzkvMjAxNgEAAACHUgAAAgAAAAUzNC43NQDLka+9k3PVCJt+IEuXc9UILkNJUS5eU1BYLklRX1RFVl9FQklUREFfRldEX0NJUS42MDAwLjExLzE2LzIwMTYBAAAAm7goAAIAAAAIOS43Nzg4NjYA6/65t5Nz1Qh7MCBLl3PVCDVDSVEuTkFTREFRR1M6SU5UQy5JUV9URVZfRUJJVERBX0ZXRF9DSVEuNjAwMC41LzYvMjAxNgEAAACHUgAAAgAAABA3LjQ2NzYwMTEwOTM1NTI2AQ0AAAAFAAAAATkBAAAABzI2MjEyOTUCAAAACDI3MDAzNjUxAwAAAAYxMDAzMDgEAAAAATIGAAAAATAHAAAAAzE2MAgAAAABMAkAAAABMQoAAAABMAsAAAAKOTQxMTY3MDEzMAwAAAACMTINAAAACDUvNy8yMDE2W3lTu5Nz1QjLDY+ul3PVCC9DSVEuTkFTREFRR1M6SU5UQy5JUV9QRV9FWENMX0ZXRC42MDAwLjQvMjIvMjAxNgEAAACHUgAAAgAAABAxMi44Mjk5NzQ0NTM1OTA3AQ0AAAAFAAAAATkBAAAABzI2MjEyOTUCAAAACDI3MDAzNjUxAwAAAAYxMDAzMDkEAAAAATIGAAAAATAHAAAAAzE2MAgAAAABMAkAAAABMQoAAAABMAsAAAAKOTQyMTI0ODkyNwwAAAACMTINAAAACTQvMjMvMjAxNqsltL2Tc9UI249YSZdz1QgsQ0lRLl5TUFguSVFfVEVWX1RPVEFMX1JFVl9GV0QuNjAwMC44LzMxLzIwMTYBAAAAm7goAAIAAAAIMi4wNzMwNDIA27ivvZNz1QhbxCRLl3PVCCVDSVEuXlNQWC5JUV9QRV9FWENMX0ZXRC42MDAwLjEvOC8y</t>
  </si>
  <si>
    <t>MDE0AQAAAJu4KAACAAAACTE1Ljg0Mjg0NwCb62a5k3PVCPtDPEuXc9UIH0NJUS5eU1BYLklRX1BUQlYuMjAwMC40LzIzLzIwMTQBAAAAm7goAAIAAAAINS4yMzcxNjEA26qItpNz1QgL+jlLl3PVCCNDSVEuXlNQWC5JUV9MQVNUU0FMRVBSSUNFLjQvMTIvMjAxNwEAAACbuCgAAgAAABAyMzQ0LjkyNjMzMjM0MjAzAMuRr72Tc9UIKzgTS5dz1QgoQ0lRLk5BU0RBUUdTOklOVEMuSVFfUFRCVi4yMDAwLjIvMTkvMjAxMAEAAACHUgAAAgAAAAgzLjA4MzY1OAEHAAAABQAAAAExAQAAAAoxMzA1MTY5MjU0AwAAAAEwAgAAAAYxMDAwMjkEAAAAATAHAAAACTIvMTkvMjAxMAgAAAAJMi8xOS8yMDEw29e5t5Nz1QhrSUtJl3PVCC9DSVEuTkFTREFRR1M6SU5UQy5JUV9QUklDRV9TQUxFUy4yMDAwLjIvMjAvMjAxMwEAAACHUgAAAgAAAAgxLjk0MTYwMwEHAAAABQAAAAExAQAAAAoxNTg4MTU3NDYzAwAAAAEwAgAAAAUzODk1OAQAAAABMAcAAAAJMi8yMC8yMDEzCAAAAAkyLzIwLzIwMTP7jlK7k3PVCMs/PkuXc9UINUNJUS5OYXNkYXFHUzpJTlRDLklRX1RFVl9UT1RBTF9SRVZfRldELjYwMDAuMTIvMS8yMDA2AQAAAIdSAAACAAAAEDMuMTE2ODY0NTg2NTk5ODcBDQAAAAUAAAABOQEAAAAHMjYyMTI5NQIAAAAHMTc1NzE1MgMAAAAGMTAwMzA3BAAAAAEyBgAAAAEwBwAAAAMxNjAIAAAAATAJAAAAATEKAAAAATALAAAA</t>
  </si>
  <si>
    <t>Cjg4NjI2NjI3MzAMAAAAAjEyDQAAAAkxMi8yLzIwMDYrS2i5k3PVCFvIWUmXc9UIH0NJUS5eU1BYLklRX1BUQlYuMjAwMC4xMi82LzIwMTcBAAAAm7goAAIAAAAIOS4zNTE3NTkAi8RmuZNz1QjrqeZKl3PVCDVDSVEuTmFzZGFxR1M6SU5UQy5JUV9URVZfRUJJVERBX0ZXRF9DSVEuNjAwMC45LzgvMjAxNwEAAACHUgAAAgAAABA2LjY3NjcyOTcyMDk2MTI0AQ0AAAAFAAAAATkBAAAABzI2MjEyOTUCAAAACDI3NTAwMTczAwAAAAYxMDAzMDgEAAAAATIGAAAAATAHAAAAAzE2MAgAAAABMAkAAAABMQoAAAABMAsAAAALMTA0OTE1ODY0OTIMAAAAAjEyDQAAAAg5LzkvMjAxN4vXs72Tc9UIW22Qrpdz1QgvQ0lRLk5BU0RBUUdTOklOVEMuSVFfUEVfRVhDTF9GV0QuNjAwMC40LzI0LzIwMTUBAAAAh1IAAAIAAAAQMTQuMTMyMTU4NTkwMzA4NAENAAAABQAAAAE5AQAAAAcyNjIxMjk1AgAAAAc4MDY4MjYwAwAAAAYxMDAzMDkEAAAAATIGAAAAATAHAAAAAzE2MAgAAAABMAkAAAABMQoAAAABMAsAAAAKODg4Mjk0MTIwOQwAAAACMTINAAAACTQvMjUvMjAxNbtMtL2Tc9UIW3VSSZdz1QgsQ0lRLl5TUFguSVFfVEVWX1RPVEFMX1JFVl9GV0QuNjAwMC45LzEzLzIwMTcBAAAAm7goAAIAAAAIMi4yMzcxODQA69+vvZNz1QgLgPpKl3PVCC1DSVEuXlNQWC5JUV9URVZfRUJJVERBX0ZXRF9DSVEuNjAwMC43LzMwLzIwMTQB</t>
  </si>
  <si>
    <t>AAAAm7goAAIAAAAIOC45MzI0NjcAa19VuZNz1Qg7/jdLl3PVCC1DSVEuXlNQWC5JUV9URVZfRUJJVERBX0ZXRF9DSVEuNjAwMC40LzE2LzIwMTQBAAAAm7goAAIAAAAHOC43OTY4OABrZrC7k3PVCBshOkuXc9UIMENJUS5OQVNEQVFHUzpJTlRDLklRX1BSSUNFX1NBTEVTLjIwMDAuMTEvMTcvMjAxNwEAAACHUgAAAgAAAAgzLjM4OTAxNwEHAAAABQAAAAExAQAAAAoxODYyNzU4MDQzAwAAAAEwAgAAAAUzODk1OAQAAAABMAcAAAAKMTEvMTcvMjAxNwgAAAAKMTEvMTcvMjAxN/uOUruTc9UIG7tWSZdz1QgrQ0lRLl5TUFguSVFfVEVWX1RPVEFMX1JFVl9GV0QuNjAwMC42LzgvMjAxNgEAAACbuCgAAgAAAAgyLjA3MDUyNgBrX1W5k3PVCEt/KUuXc9UILENJUS5eU1BYLklRX1RFVl9UT1RBTF9SRVZfRldELjYwMDAuMi8yNy8yMDEzAQAAAJu4KAACAAAACDEuNTI0ODExAOvfr72Tc9UIyz8+S5dz1QgjQ0lRLl5TUFguSVFfTEFTVFNBTEVQUklDRS40LzMwLzIwMTQBAAAAm7goAAIAAAAQMTg4My45NTAxMzA0MjA2MQBbP7C7k3PVCLs2OUuXc9UIL0NJUS5OQVNEQVFHUzpJTlRDLklRX1BSSUNFX1NBTEVTLjIwMDAuMi8xMy8yMDE1AQAAAIdSAAACAAAABzMuMDE0MTEBBwAAAAUAAAABMQEAAAAKMTcxODg1OTI5MQMAAAABMAIAAAAFMzg5NTgEAAAAATAHAAAACTIvMTMvMjAxNQgAAAAJMi8xMy8yMDE1q0OvvZNz</t>
  </si>
  <si>
    <t>1Qh7FlpJl3PVCDBDSVEuTkFTREFRR1M6SU5UQy5JUV9QRV9FWENMX0ZXRC42MDAwLjExLzIyLzIwMTMBAAAAh1IAAAIAAAAQMTIuNzc0OTUzMTcwOTkyOAENAAAABQAAAAE5AQAAAAcyNjIxMjk1AgAAAAczODI5NzUzAwAAAAYxMDAzMDkEAAAAATIGAAAAATAHAAAAAzE2MAgAAAABMAkAAAABMQoAAAABMAsAAAAKNzAzMzI2NTUwNgwAAAACMTINAAAACjExLzIzLzIwMTP7d7K9k3PVCItbVUmXc9UIL0NJUS5OQVNEQVFHUzpJTlRDLklRX1BSSUNFX1NBTEVTLjIwMDAuNy8xMi8yMDE3AQAAAIdSAAACAAAABzIuNjc4NzEBBwAAAAUAAAABMQEAAAAKMTgzODM2MDEzMgMAAAABMAIAAAAFMzg5NTgEAAAAATAHAAAACTcvMTIvMjAxNwgAAAAJNy8xMi8yMDE3SxFVuZNz1Qj7/ghLl3PVCC1DSVEuXlNQWC5JUV9URVZfVE9UQUxfUkVWX0ZXRC42MDAwLjEwLzE1LzIwMTQBAAAAm7goAAIAAAAHMS43NDg5OADr/rm3k3PVCJt3NkuXc9UILENJUS5OQVNEQVFHUzpJTlRDLklRX0xBU1RTQUxFUFJJQ0UuOC8yMS8yMDEzAQAAAIdSAAACAAAABTIyLjE3AFs/sLuTc9UIa1U9S5dz1QgvQ0lRLk5BU0RBUUdTOklOVEMuSVFfUFJJQ0VfU0FMRVMuMjAwMC4xLzE1LzIwMTABAAAAh1IAAAIAAAAIMy4yOTA1MDYBBwAAAAUAAAABMQEAAAAKMTMwNTE2OTI1NAMAAAABMAIAAAAFMzg5NTgEAAAAATAHAAAACTEvMTUvMjAxMAgA</t>
  </si>
  <si>
    <t>AAAJMS8xNS8yMDEwi8RmuZNz1QibEVNJl3PVCDZDSVEuTkFTREFRR1M6SU5UQy5JUV9URVZfRUJJVERBX0ZXRF9DSVEuNjAwMC41LzIwLzIwMTYBAAAAh1IAAAIAAAAQNy40MjY3NzgyNjgxMTc3MgENAAAABQAAAAE5AQAAAAcyNjIxMjk1AgAAAAgyNzAwMzY1MQMAAAAGMTAwMzA4BAAAAAEyBgAAAAEwBwAAAAMxNjAIAAAAATAJAAAAATEKAAAAATALAAAACjk0NzM0ODg0OTEMAAAAAjEyDQAAAAk1LzIxLzIwMTZbeVO7k3PVCAs5ja6Xc9UINkNJUS5OYXNkYXFHUzpJTlRDLklRX1RFVl9FQklUREFfRldEX0NJUS42MDAwLjQvMjEvMjAwNgEAAACHUgAAAgAAABA5LjAzMzM0NzI3ODcxMDU4AQ0AAAAFAAAAATkBAAAABzI2MjEyOTUCAAAABzE3NTcxNTADAAAABjEwMDMwOAQAAAABMgYAAAABMAcAAAADMTYwCAAAAAEwCQAAAAExCgAAAAEwCwAAAAoxMTY5MTMzMjMyDAAAAAIxMg0AAAAJNC8yMi8yMDA2uymxu5Nz1Qg7ro2ul3PVCDZDSVEuTkFTREFRR1M6SU5UQy5JUV9URVZfRUJJVERBX0ZXRF9DSVEuNjAwMC42LzI2LzIwMDkBAAAAh1IAAAIAAAAQOC44MTE1NzEwMTI1ODA3NQENAAAABQAAAAE5AQAAAAcyNjIxMjk1AgAAAAcxNzU3MTU5AwAAAAYxMDAzMDgEAAAAATIGAAAAATAHAAAAAzE2MAgAAAABMAkAAAABMQoAAAABMAsAAAAKMTE2OTE0NTUxNwwAAAACMTINAAAACTYvMjcvMjAwOduxVLuTc9UI</t>
  </si>
  <si>
    <t>i+KQrpdz1Qg1Q0lRLk5hc2RhcUdTOklOVEMuSVFfVEVWX1RPVEFMX1JFVl9GV0QuNjAwMC40LzE3LzIwMTUBAAAAh1IAAAIAAAAQMi43MDY3MjEwMjgzODkyNAENAAAABQAAAAE5AQAAAAcyNjIxMjk1AgAAAAc4MDY4MjYwAwAAAAYxMDAzMDcEAAAAATIGAAAAATAHAAAAAzE2MAgAAAABMAkAAAABMQoAAAABMAsAAAAKODg4NjEwODQ4NwwAAAACMTINAAAACTQvMTgvMjAxNcshvLeTc9UIe3BLSZdz1QgwQ0lRLk5BU0RBUUdTOklOVEMuSVFfUFJJQ0VfU0FMRVMuMjAwMC4xMC8yOS8yMDE0AQAAAIdSAAACAAAACDMuMDU0OTc3AQcAAAAFAAAAATEBAAAACjE3MDM2ODE4OTQDAAAAATACAAAABTM4OTU4BAAAAAEwBwAAAAoxMC8yOS8yMDE0CAAAAAoxMC8yOS8yMDE0e51muZNz1QibdzZLl3PVCClDSVEuTkFTREFRR1M6SU5UQy5JUV9QVEJWLjIwMDAuMTAvMjUvMjAxMwEAAACHUgAAAgAAAAgzLjA1MjEyMwEHAAAABQAAAAExAQAAAAoxNjQwOTgwMzQwAwAAAAEwAgAAAAYxMDAwMjkEAAAAATAHAAAACjEwLzI1LzIwMTMIAAAACjEwLzI1LzIwMTP7jlK7k3PVCGt+V0mXc9UIL0NJUS5OQVNEQVFHUzpJTlRDLklRX1BFX0VYQ0xfRldELjYwMDAuNi8yMC8yMDAzAQAAAIdSAAACAAAAEDMxLjM1NjE4OTMyMDM4ODMBDQAAAAUAAAABOQEAAAAHMjYyMTI5NQIAAAAHMTc1NzE0MQMAAAAGMTAwMzA5BAAAAAEyBgAA</t>
  </si>
  <si>
    <t>AAEwBwAAAAMxNjAIAAAAATAJAAAAATEKAAAAATALAAAACjExNjkxNTQxNjQMAAAAAjEyDQAAAAk2LzIxLzIwMDN7sLO9k3PVCGsNVUmXc9UIL0NJUS5OQVNEQVFHUzpJTlRDLklRX1BFX0VYQ0xfRldELjYwMDAuMS8xMi8yMDAxAQAAAIdSAAACAAAAEDIyLjI2MjY0NzI2MjY0NzMBDQAAAAUAAAABOQEAAAAHMjYyMTI5NQIAAAAHMzQyMTE1OQMAAAAGMTAwMzA5BAAAAAEyBgAAAAEwBwAAAAMxNjAIAAAAATAJAAAAATEKAAAAATALAAAACjY4MzE0NDI0MDgMAAAAAjEyDQAAAAkxLzEzLzIwMDGL17O9k3PVCKuLWkmXc9UINkNJUS5OQVNEQVFHUzpJTlRDLklRX1RFVl9FQklUREFfRldEX0NJUS42MDAwLjEwLzgvMjAxMAEAAACHUgAAAgAAABA0Ljg0MTY3NDI5NjM3MDM0AQ0AAAAFAAAAATkBAAAABzI2MjEyOTUCAAAABzE3NTcxNjMDAAAABjEwMDMwOAQAAAABMgYAAAABMAcAAAADMTYwCAAAAAEwCQAAAAExCgAAAAEwCwAAAAo1NzUyMzMwMTMzDAAAAAIxMg0AAAAJMTAvOS8yMDEwu2NUu5Nz1Qjr6oyul3PVCDdDSVEuTkFTREFRR1M6SU5UQy5JUV9URVZfRUJJVERBX0ZXRF9DSVEuNjAwMC4xMC8xMi8yMDEyAQAAAIdSAAACAAAAEDQuNjgxMjc5MzQyMDY3NjEBDQAAAAUAAAABOQEAAAAHMjYyMTI5NQIAAAAHMTc1NzE2OQMAAAAGMTAwMzA4BAAAAAEyBgAAAAEwBwAAAAMxNjAIAAAAATAJAAAAATEKAAAA</t>
  </si>
  <si>
    <t>ATALAAAACjg0NjMxMzE1MDIMAAAAAjEyDQAAAAoxMC8xMy8yMDEymxVUu5Nz1Qj7go+ul3PVCC9DSVEuTkFTREFRR1M6SU5UQy5JUV9QUklDRV9TQUxFUy4yMDAwLjUvMTEvMjAxMgEAAACHUgAAAgAAAAcyLjYyODU1AQcAAAAFAAAAATEBAAAACjE1NDUxNTY0MzgDAAAAATACAAAABTM4OTU4BAAAAAEwBwAAAAk1LzExLzIwMTIIAAAACTUvMTEvMjAxMksYsLuTc9UIq8dQSZdz1QgtQ0lRLl5TUFguSVFfVEVWX0VCSVREQV9GV0RfQ0lRLjYwMDAuOS8xNC8yMDE2AQAAAJu4KAACAAAACDkuOTM3NzU4AOv+ubeTc9UI+9kjS5dz1QgsQ0lRLl5TUFguSVFfVEVWX1RPVEFMX1JFVl9GV0QuNjAwMC4xMS84LzIwMTcBAAAAm7goAAIAAAAHMi4yODc4OQB7jbC7k3PVCNtG8EqXc9UINkNJUS5OYXNkYXFHUzpJTlRDLklRX1RFVl9FQklUREFfRldEX0NJUS42MDAwLjEvMTUvMjAxNgEAAACHUgAAAgAAAA82LjAyNjg3ODg3OTg0NDIBDQAAAAUAAAABOQEAAAAHMjYyMTI5NQIAAAAKMTAwMDkxNTQwMgMAAAAGMTAwMzA4BAAAAAEyBgAAAAEwBwAAAAMxNjAIAAAAATAJAAAAATEKAAAAATALAAAACjkyMzI5ODc0MTgMAAAAAjEyDQAAAAkxLzE2LzIwMTaLtLC7k3PVCMsNj66Xc9UIK0NJUS5eU1BYLklRX1RFVl9UT1RBTF9SRVZfRldELjYwMDAuNS84LzIwMTMBAAAAm7goAAIAAAAHMS42MzYyOADr/rm3k3PVCJvKPUuX</t>
  </si>
  <si>
    <t>c9UIMENJUS5OQVNEQVFHUzpJTlRDLklRX1BSSUNFX1NBTEVTLjIwMDAuMTAvMzEvMjAxNAEAAACHUgAAAgAAAAgzLjA2MzA4MwEHAAAABQAAAAExAQAAAAoxNzAzNjgxODk0AwAAAAEwAgAAAAUzODk1OAQAAAABMAcAAAAKMTAvMzEvMjAxNAgAAAAKMTAvMzEvMjAxNFs/sLuTc9UIi3lQSZdz1QgvQ0lRLk5BU0RBUUdTOklOVEMuSVFfUFJJQ0VfU0FMRVMuMjAwMC45LzE3LzIwMTABAAAAh1IAAAIAAAAIMi41MzkzNjMBBwAAAAUAAAABMQEAAAAKMTM4OTcxMDc0NAMAAAABMAIAAAAFMzg5NTgEAAAAATAHAAAACTkvMTcvMjAxMAgAAAAJOS8xNy8yMDEw+45Su5Nz1QhbV1dJl3PVCB9DSVEuXlNQWC5JUV9QVEJWLjIwMDAuNy8xNy8yMDEzAQAAAJu4KAACAAAACDUuMDM2NzUyANvXubeTc9UIe3w9S5dz1Qg1Q0lRLk5hc2RhcUdTOklOVEMuSVFfVEVWX1RPVEFMX1JFVl9GV0QuNjAwMC44LzE5LzIwMDUBAAAAh1IAAAIAAAAQMy41MDAzMjgwMDQ3MjExNAENAAAABQAAAAE5AQAAAAcyNjIxMjk1AgAAAAcxNzU3MTQ4AwAAAAYxMDAzMDcEAAAAATIGAAAAATAHAAAAAzE2MAgAAAABMAkAAAABMQoAAAABMAsAAAAKMTE2OTEzMDc1OQwAAAACMTINAAAACTgvMjAvMjAwNbs5Z7mTc9UIu0FYSZdz1QgsQ0lRLk5BU0RBUUdTOklOVEMuSVFfTEFTVFNBTEVQUklDRS43LzI0LzIwMTMBAAAAh1IAAAIAAAAFMjIuOTMA</t>
  </si>
  <si>
    <t>SyhmuZNz1QhrVT1Ll3PVCDRDSVEuTkFTREFRR1M6SU5UQy5JUV9URVZfVE9UQUxfUkVWX0ZXRC42MDAwLjMvNS8yMDA0AQAAAIdSAAACAAAAEDQuOTgzNjI1OTA2ODYyODEBDQAAAAUAAAABOQEAAAAHMjYyMTI5NQIAAAAEMTg3OQMAAAAGMTAwMzA3BAAAAAEyBgAAAAEwBwAAAAMxNjAIAAAAATAJAAAAATEKAAAAATALAAAACTM2MDY1OTgwMgwAAAACMTINAAAACDMvNi8yMDA0i4W7t5Nz1Qg71EpJl3PVCDBDSVEuTkFTREFRR1M6SU5UQy5JUV9QUklDRV9TQUxFUy4yMDAwLjExLzIzLzIwMTIBAAAAh1IAAAIAAAAHMS44NDI3MwEHAAAABQAAAAExAQAAAAoxNTczODg3Nzk1AwAAAAEwAgAAAAUzODk1OAQAAAABMAcAAAAKMTEvMjMvMjAxMggAAAAKMTEvMjMvMjAxMksYsLuTc9UIG9lRSZdz1QgwQ0lRLk5BU0RBUUdTOklOVEMuSVFfUFJJQ0VfU0FMRVMuMjAwMC4xMS8yMi8yMDE3AQAAAIdSAAACAAAACDMuMzkwNTM2AQcAAAAFAAAAATEBAAAACjE4NjI3NTgwNDMDAAAAATACAAAABTM4OTU4BAAAAAEwBwAAAAoxMS8yMi8yMDE3CAAAAAoxMS8yMi8yMDE3C7ZSu5Nz1QirYO1Kl3PVCChDSVEuTkFTREFRR1M6SU5UQy5JUV9QVEJWLjIwMDAuNC8xMC8yMDE1AQAAAIdSAAACAAAACDMuNzM3OTQ3AQcAAAAFAAAAATEBAAAACjE3MTg4NTkyOTEDAAAAATACAAAABjEwMDAyOQQAAAABMAcAAAAJNC8xMC8yMDE1</t>
  </si>
  <si>
    <t>CAAAAAk0LzEwLzIwMTVLGLC7k3PVCPuKUUmXc9UIJ0NJUS5OQVNEQVFHUzpJTlRDLklRX1BUQlYuMjAwMC40LzEvMjAxNgEAAACHUgAAAgAAAAgzLjM0NjI3MwEHAAAABQAAAAExAQAAAAoxNzc1OTMzMTQwAwAAAAEwAgAAAAYxMDAwMjkEAAAAATAHAAAACDQvMS8yMDE2CAAAAAg0LzEvMjAxNsuwubeTc9UI+6hMSZdz1QgsQ0lRLl5TUFguSVFfVEVWX0VCSVREQV9GV0RfQ0lRLjYwMDAuOS8zLzIwMTQBAAAAm7goAAIAAAAIOS4wMjk3OTYAe42wu5Nz1QgLiTdLl3PVCDZDSVEuTmFzZGFxR1M6SU5UQy5JUV9URVZfRUJJVERBX0ZXRF9DSVEuNjAwMC41LzMwLzIwMDMBAAAAh1IAAAIAAAAQMTAuOTA2MjEzMDMwNjc2MwENAAAABQAAAAE5AQAAAAcyNjIxMjk1AgAAAAcxNzU3MTQxAwAAAAYxMDAzMDgEAAAAATIGAAAAATAHAAAAAzE2MAgAAAABMAkAAAABMQoAAAABMAsAAAAKMTE2OTEyNjk4MwwAAAACMTINAAAACTUvMzEvMjAwM9siV7uTc9UICzmNrpdz1QgvQ0lRLk5BU0RBUUdTOklOVEMuSVFfUEVfRVhDTF9GV0QuNjAwMC4xMi8yLzIwMTYBAAAAh1IAAAIAAAAOMTIuMzg2MjM1OTA0MTMBDQAAAAUAAAABOQEAAAAHMjYyMTI5NQIAAAAIMjcwMDM2NTMDAAAABjEwMDMwOQQAAAABMgYAAAABMAcAAAADMTYwCAAAAAEwCQAAAAExCgAAAAEwCwAAAAo5ODczODUwMTgxDAAAAAIxMg0AAAAJMTIvMy8yMDE2</t>
  </si>
  <si>
    <t>2ymyvZNz1Qirx1BJl3PVCChDSVEuTkFTREFRR1M6SU5UQy5JUV9QVEJWLjIwMDAuMi8xMS8yMDExAQAAAIdSAAACAAAACDIuNjc5Mjk2AQcAAAAFAAAAATEBAAAACjE0MTg5MjA5NzkDAAAAATACAAAABjEwMDAyOQQAAAABMAcAAAAJMi8xMS8yMDExCAAAAAkyLzExLzIwMTF7nWa5k3PVCAsjVEmXc9UIN0NJUS5OQVNEQVFHUzpJTlRDLklRX1RFVl9FQklUREFfRldEX0NJUS42MDAwLjEyLzI2LzIwMDgBAAAAh1IAAAIAAAAQNi42MTM3NTYyMjg0NDAwMgENAAAABQAAAAE5AQAAAAcyNjIxMjk1AgAAAAcxNzU3MTU4AwAAAAYxMDAzMDgEAAAAATIGAAAAATAHAAAAAzE2MAgAAAABMAkAAAABMQoAAAABMAsAAAAKNjczMDg1ODQ0NwwAAAACMTINAAAACjEyLzI3LzIwMDjbsVS7k3PVCEtGkK6Xc9UILENJUS5eU1BYLklRX1RFVl9UT1RBTF9SRVZfRldELjYwMDAuOS8yMy8yMDE1AQAAAJu4KAACAAAACDEuOTA4OTE0AHuNsLuTc9UImyQvS5dz1Qg0Q0lRLk5hc2RhcUdTOklOVEMuSVFfVEVWX1RPVEFMX1JFVl9GV0QuNjAwMC4yLzIvMjAxOAEAAACHUgAAAgAAABAzLjUyODU4NDUyNDU1MjU4AQ0AAAAFAAAAATkBAAAABzI2MjEyOTUCAAAACjEwMDE1Mjg1MjcDAAAABjEwMDMwNwQAAAABMgYAAAABMAcAAAADMTYwCAAAAAEwCQAAAAExCgAAAAEwCwAAAAsxMDcwNjE4NDMyNQwAAAACMTINAAAACDIvMy8yMDE4</t>
  </si>
  <si>
    <t>+yW6t5Nz1QjbHlZJl3PVCDBDSVEuTkFTREFRR1M6SU5UQy5JUV9QRV9FWENMX0ZXRC42MDAwLjExLzI1LzIwMDUBAAAAh1IAAAIAAAAQMTcuNTM0MzM2MTY3NDI5NwENAAAABQAAAAE5AQAAAAcyNjIxMjk1AgAAAAcxNzU3MTQ5AwAAAAYxMDAzMDkEAAAAATIGAAAAATAHAAAAAzE2MAgAAAABMAkAAAABMQoAAAABMAsAAAAKODg2MjM5ODk0MgwAAAACMTINAAAACjExLzI2LzIwMDVribO9k3PVCDuYVEmXc9UII0NJUS5eU1BYLklRX0xBU1RTQUxFUFJJQ0UuMTIvNC8yMDEzAQAAAJu4KAACAAAADzE3OTIuODA5OTg3MTc1MQDr/rm3k3PVCBuSPEuXc9UINUNJUS5OQVNEQVFHUzpJTlRDLklRX1RFVl9FQklUREFfRldEX0NJUS42MDAwLjcvMi8yMDA0AQAAAIdSAAACAAAAEDkuMjEyMDc2ODkzNjM3MzQBDQAAAAUAAAABOQEAAAAHMjYyMTI5NQIAAAAHMTc1NzE0NAMAAAAGMTAwMzA4BAAAAAEyBgAAAAEwBwAAAAMxNjAIAAAAATAJAAAAATEKAAAAATALAAAACjY4ODM2OTQ1MjEMAAAAAjEyDQAAAAg3LzMvMjAwNDucVbuTc9UIK/iPrpdz1QgrQ0lRLk5BU0RBUUdTOklOVEMuSVFfTEFTVFNBTEVQUklDRS4yLzUvMjAxNAEAAACHUgAAAgAAAAUyMy41MgBbP7C7k3PVCOscPEuXc9UINUNJUS5OYXNkYXFHUzpJTlRDLklRX1RFVl9UT1RBTF9SRVZfRldELjYwMDAuNy8xOC8yMDAzAQAAAIdSAAACAAAAEDQuOTAw</t>
  </si>
  <si>
    <t>MjQ0ODA1NjgwNDUBDQAAAAUAAAABOQEAAAAHMjYyMTI5NQIAAAAHMTc1NzE0MgMAAAAGMTAwMzA3BAAAAAEyBgAAAAEwBwAAAAMxNjAIAAAAATAJAAAAATEKAAAAATALAAAACjExNjkxMjcwNzEMAAAAAjEyDQAAAAk3LzE5LzIwMDOr+1W5k3PVCDvUSkmXc9UIKENJUS5OQVNEQVFHUzpJTlRDLklRX1BUQlYuMjAwMC45LzE3LzIwMTABAAAAh1IAAAIAAAAIMi41ODA1OTIBBwAAAAUAAAABMQEAAAAKMTM4OTcxMDc0NAMAAAABMAIAAAAGMTAwMDI5BAAAAAEwBwAAAAk5LzE3LzIwMTAIAAAACTkvMTcvMjAxMMuwubeTc9UIS2xNSZdz1Qg2Q0lRLk5BU0RBUUdTOklOVEMuSVFfVEVWX0VCSVREQV9GV0RfQ0lRLjYwMDAuMTIvOS8yMDA1AQAAAIdSAAACAAAAEDguMDY2NDYxMzk0NDkzNTUBDQAAAAUAAAABOQEAAAAHMjYyMTI5NQIAAAAHMTc1NzE0OQMAAAAGMTAwMzA4BAAAAAEyBgAAAAEwBwAAAAMxNjAIAAAAATAJAAAAATEKAAAAATALAAAACjY4ODM3MDA1MjgMAAAAAjEyDQAAAAoxMi8xMC8yMDA1G05Vu5Nz1Qirv46ul3PVCCtDSVEuXlNQWC5JUV9URVZfVE9UQUxfUkVWX0ZXRC42MDAwLjEvNy8yMDE1AQAAAJu4KAACAAAACDEuOTU1MjE5AGtfVbmTc9UI68k0S5dz1Qg0Q0lRLk5hc2RhcUdTOklOVEMuSVFfVEVWX1RPVEFMX1JFVl9GV0QuNjAwMC42LzMvMjAwNQEAAACHUgAAAgAAABAzLjk5Mjg5NzA0</t>
  </si>
  <si>
    <t>NTcxNjkyAQ0AAAAFAAAAATkBAAAABzI2MjEyOTUCAAAABzE3NTcxNDcDAAAABjEwMDMwNwQAAAABMgYAAAABMAcAAAADMTYwCAAAAAEwCQAAAAExCgAAAAEwCwAAAAoxMTY5MTI5ODgxDAAAAAIxMg0AAAAINi80LzIwMDWL17O9k3PVCEvdT0mXc9UINUNJUS5OYXNkYXFHUzpJTlRDLklRX1RFVl9UT1RBTF9SRVZfRldELjYwMDAuOS8yNy8yMDEzAQAAAIdSAAACAAAAEDIuMDQ5OTEzNjg1MDE0OTIBDQAAAAUAAAABOQEAAAAHMjYyMTI5NQIAAAAHMzgyOTc1MgMAAAAGMTAwMzA3BAAAAAEyBgAAAAEwBwAAAAMxNjAIAAAAATAJAAAAATEKAAAAATALAAAACjg4NjI1NDMzMTAMAAAAAjEyDQAAAAk5LzI4LzIwMTOrArG7k3PVCOu2WEmXc9UIIkNJUS5eU1BYLklRX0xBU1RTQUxFUFJJQ0UuOC8zLzIwMTYBAAAAm7goAAIAAAAQMjE2My43OTM2NzQzODE3NAA76lS5k3PVCIs5JUuXc9UIJ0NJUS5eU1BYLklRX1BFX0VYQ0xfRldELjYwMDAuMTIvMjgvMjAxNgEAAACbuCgAAgAAAAkxNy43NTA3MzIA27ivvZNz1Qh7ThtLl3PVCCZDSVEuXlNQWC5JUV9QRV9FWENMX0ZXRC42MDAwLjYvMjIvMjAxNgEAAACbuCgAAgAAAAkxNy4xOTk4NDcAKwRTu5Nz1Qir+CdLl3PVCDZDSVEuTmFzZGFxR1M6SU5UQy5JUV9URVZfRUJJVERBX0ZXRF9DSVEuNjAwMC44LzI3LzIwMTABAAAAh1IAAAIAAAAQNC4xMDEzMTMwNjM1NDU0</t>
  </si>
  <si>
    <t>OQENAAAABQAAAAE5AQAAAAcyNjIxMjk1AgAAAAcxNzU3MTYzAwAAAAYxMDAzMDgEAAAAATIGAAAAATAHAAAAAzE2MAgAAAABMAkAAAABMQoAAAABMAsAAAAKNzA3MzcyMDg5MwwAAAACMTINAAAACTgvMjgvMjAxMLvUVruTc9UI+4KPrpdz1QgmQ0lRLl5TUFguSVFfUEVfRVhDTF9GV0QuNjAwMC40LzE2LzIwMTQBAAAAm7goAAIAAAAJMTUuNzExMjU5ACsEU7uTc9UI24Q5S5dz1Qg0Q0lRLk5hc2RhcUdTOklOVEMuSVFfVEVWX1RPVEFMX1JFVl9GV0QuNjAwMC4yLzgvMjAxMwEAAACHUgAAAgAAABAxLjg0MTgyMjE4NTgzNTU4AQ0AAAAFAAAAATkBAAAABzI2MjEyOTUCAAAABzM2NTI2NjADAAAABjEwMDMwNwQAAAABMgYAAAABMAcAAAADMTYwCAAAAAEwCQAAAAExCgAAAAEwCwAAAAo1NzQ4ODk2MzA0DAAAAAIxMg0AAAAIMi85LzIwMTM7cmi5k3PVCHs0VUmXc9UINkNJUS5OQVNEQVFHUzpJTlRDLklRX1RFVl9FQklUREFfRldEX0NJUS42MDAwLjkvMTQvMjAwNwEAAACHUgAAAgAAABA5LjUxOTQ1MjQ1NDU3Mzg4AQ0AAAAFAAAAATkBAAAABzI2MjEyOTUCAAAABzE3NTcxNTQDAAAABjEwMDMwOAQAAAABMgYAAAABMAcAAAADMTYwCAAAAAEwCQAAAAExCgAAAAEwCwAAAAo2NzMwODU4NDMwDAAAAAIxMg0AAAAJOS8xNS8yMDA3+/9Uu5Nz1Qj7EY2ul3PVCC5DSVEuXlNQWC5JUV9URVZfRUJJVERBX0ZXRF9D</t>
  </si>
  <si>
    <t>SVEuNjAwMC4xMC8xOC8yMDE3AQAAAJu4KAACAAAACTEwLjYyMjExNwDbuK+9k3PVCItl9EqXc9UINENJUS5OYXNkYXFHUzpJTlRDLklRX1RFVl9UT1RBTF9SRVZfRldELjYwMDAuNS80LzIwMDEBAAAAh1IAAAIAAAAQNi45MjA1NTkwNjA1Njc5MwENAAAABQAAAAE5AQAAAAcyNjIxMjk1AgAAAAczNDIxMTYwAwAAAAYxMDAzMDcEAAAAATIGAAAAATAHAAAAAzE2MAgAAAABMAkAAAABMQoAAAABMAsAAAAKMTE2OTE1MjM1MQwAAAACMTINAAAACDUvNS8yMDAxi7Swu5Nz1QjrtlhJl3PVCCZDSVEuXlNQWC5JUV9QRV9FWENMX0ZXRC42MDAwLjYvMjQvMjAxNQEAAACbuCgAAgAAAAkxNy40OTI2NzEAa19VuZNz1Qg7qzBLl3PVCDVDSVEuTkFTREFRR1M6SU5UQy5JUV9URVZfRUJJVERBX0ZXRF9DSVEuNjAwMC40LzgvMjAwNAEAAACHUgAAAgAAABA5LjcwNDA2OTk5MTQxMTkyAQ0AAAAFAAAAATkBAAAABzI2MjEyOTUCAAAABDE4NzkDAAAABjEwMDMwOAQAAAABMgYAAAABMAcAAAADMTYwCAAAAAEwCQAAAAExCgAAAAEwCwAAAAkzNjA2NjMzMDIMAAAAAjEyDQAAAAg0LzkvMjAwNDucVbuTc9UIi+KQrpdz1Qg2Q0lRLk5BU0RBUUdTOklOVEMuSVFfVEVWX0VCSVREQV9GV0RfQ0lRLjYwMDAuMy8yMy8yMDA3AQAAAIdSAAACAAAADzcuNjY2NTk1NzMwMTMxMwENAAAABQAAAAE5AQAAAAcyNjIxMjk1AgAAAAQxODgy</t>
  </si>
  <si>
    <t>AwAAAAYxMDAzMDgEAAAAATIGAAAAATAHAAAAAzE2MAgAAAABMAkAAAABMQoAAAABMAsAAAALMTAzMzQxNzYwODQMAAAAAjEyDQAAAAkzLzI0LzIwMDf7/1S7k3PVCDuuja6Xc9UILUNJUS5eU1BYLklRX1RFVl9FQklUREFfRldEX0NJUS42MDAwLjUvMTgvMjAxNgEAAACbuCgAAgAAAAg5Ljg3MDM5NQDr/rm3k3PVCFumKUuXc9UII0NJUS5eU1BYLklRX0xBU1RTQUxFUFJJQ0UuMi8yNC8yMDE2AQAAAJu4KAACAAAAEDE5MjkuNzk3Njc1MjcxODYAWz+wu5Nz1QjrBStLl3PVCDVDSVEuTmFzZGFxR1M6SU5UQy5JUV9URVZfVE9UQUxfUkVWX0ZXRC42MDAwLjUvMTMvMjAxMQEAAACHUgAAAgAAABAyLjEzNjg4NTE1MTkzNDY5AQ0AAAAFAAAAATkBAAAABzI2MjEyOTUCAAAABzE3NTcxNjUDAAAABjEwMDMwNwQAAAABMgYAAAABMAcAAAADMTYwCAAAAAEwCQAAAAExCgAAAAEwCwAAAAo4ODYyNTQwODE4DAAAAAIxMg0AAAAJNS8xNC8yMDExu0y0vZNz1Qj7qExJl3PVCCNDSVEuXlNQWC5JUV9MQVNUU0FMRVBSSUNFLjgvMTAvMjAxNgEAAACbuCgAAgAAAA8yMTc1LjQ4NjUyMzU5OTIAW09muZNz1Qhr6yRLl3PVCC9DSVEuTkFTREFRR1M6SU5UQy5JUV9QUklDRV9TQUxFUy4yMDAwLjUvMzAvMjAxNAEAAACHUgAAAgAAAAgyLjU3MDQ4MgEHAAAABQAAAAExAQAAAAoxNjczMzc5MzI3AwAAAAEwAgAAAAUzODk1OAQA</t>
  </si>
  <si>
    <t>AAABMAcAAAAJNS8zMC8yMDE0CAAAAAk1LzMwLzIwMTS7aq+9k3PVCAsFWUmXc9UIL0NJUS5OYXNkYXFHUzpJTlRDLklRX1BFX0VYQ0xfRldELjYwMDAuNi8yOC8yMDEzAQAAAIdSAAACAAAAEDEyLjYwMzM4MTAxNDMwNDMBDQAAAAUAAAABOQEAAAAHMjYyMTI5NQIAAAAHMzgyOTc1MQMAAAAGMTAwMzA5BAAAAAEyBgAAAAEwBwAAAAMxNjAIAAAAATAJAAAAATEKAAAAATALAAAACjg0NjM4MTQ2OTMMAAAAAjEyDQAAAAk2LzI5LzIwMTOrJbS9k3PVCMv3VUmXc9UIMENJUS5OQVNEQVFHUzpJTlRDLklRX1BFX0VYQ0xfRldELjYwMDAuMTAvMjQvMjAxNAEAAACHUgAAAgAAAA8xMy44OTYyMTgxMTc4NTQBDQAAAAUAAAABOQEAAAAHMjYyMTI5NQIAAAAHNDQ1NjQyOQMAAAAGMTAwMzA5BAAAAAEyBgAAAAEwBwAAAAMxNjAIAAAAATAJAAAAATEKAAAAATALAAAACjg2NDg3OTQyMzkMAAAAAjEyDQAAAAoxMC8yNS8yMDE0+3eyvZNz1QhLMFdJl3PVCC5DSVEuXlNQWC5JUV9URVZfRUJJVERBX0ZXRF9DSVEuNjAwMC4xMC8xNC8yMDE1AQAAAJu4KAACAAAACDkuNDgzNDU0ANu4r72Tc9UIi/0uS5dz1Qg2Q0lRLk5hc2RhcUdTOklOVEMuSVFfVEVWX0VCSVREQV9GV0RfQ0lRLjYwMDAuMi8xMC8yMDA2AQAAAIdSAAACAAAAEDcuNTA2MTI2NDgyMjYzOTEBDQAAAAUAAAABOQEAAAAHMjYyMTI5NQIAAAAEMTg4MQMAAAAG</t>
  </si>
  <si>
    <t>MTAwMzA4BAAAAAEyBgAAAAEwBwAAAAMxNjAIAAAAATAJAAAAATEKAAAAATALAAAACTM2MDY3NTU5MQwAAAACMTINAAAACTIvMTEvMjAwNou0sLuTc9UI61uPrpdz1Qg2Q0lRLk5hc2RhcUdTOklOVEMuSVFfVEVWX1RPVEFMX1JFVl9GV0QuNjAwMC4xMS8yNi8yMDA0AQAAAIdSAAACAAAAEDMuNzk3MTA4ODQ3OTc5OTkBDQAAAAUAAAABOQEAAAAHMjYyMTI5NQIAAAAHMTc1NzE0NgMAAAAGMTAwMzA3BAAAAAEyBgAAAAEwBwAAAAMxNjAIAAAAATAJAAAAATEKAAAAATALAAAACjExNjkxMjkzMDMMAAAAAjEyDQAAAAoxMS8yNy8yMDA0y0lWuZNz1QgrAFJJl3PVCC9DSVEuTkFTREFRR1M6SU5UQy5JUV9QRV9FWENMX0ZXRC42MDAwLjEvMjUvMjAwMgEAAACHUgAAAgAAABA0OS41MjkzOTcwNTg4MjM1AQ0AAAAFAAAAATkBAAAABzI2MjEyOTUCAAAABDE4NzcDAAAABjEwMDMwOQQAAAABMgYAAAABMAcAAAADMTYwCAAAAAEwCQAAAAExCgAAAAEwCwAAAAcxNDk3Nzg2DAAAAAIxMg0AAAAJMS8yNi8yMDAye7CzvZNz1Qj7+1NJl3PVCC9DSVEuTkFTREFRR1M6SU5UQy5JUV9QUklDRV9TQUxFUy4yMDAwLjIvMTUvMjAxNwEAAACHUgAAAgAAAAgyLjg3MTI3NgEHAAAABQAAAAExAQAAAAoxODI1NTIyMTc2AwAAAAEwAgAAAAUzODk1OAQAAAABMAcAAAAJMi8xNS8yMDE3CAAAAAkyLzE1LzIwMTc78a+7k3PVCOvuGUuX</t>
  </si>
  <si>
    <t>c9UILkNJUS5OQVNEQVFHUzpJTlRDLklRX1BSSUNFX1NBTEVTLjIwMDAuNC8xLzIwMTABAAAAh1IAAAIAAAAHMy41NDIwNAEHAAAABQAAAAExAQAAAAoxMzI4ODg4NzA0AwAAAAEwAgAAAAUzODk1OAQAAAABMAcAAAAINC8xLzIwMTAIAAAACDQvMS8yMDEwy7C5t5Nz1Qgb90xJl3PVCCNDSVEuXlNQWC5JUV9MQVNUU0FMRVBSSUNFLjMvMjIvMjAxNwEAAACbuCgAAgAAABAyMzQ4LjQ0ODgzNTgyNTQzAMuRr72Tc9UIC1sVS5dz1QgtQ0lRLl5TUFguSVFfVEVWX0VCSVREQV9GV0RfQ0lRLjYwMDAuNi8xNC8yMDE3AQAAAJu4KAACAAAACTEwLjU1Njc4OAB7jbC7k3PVCNuSDUuXc9UINENJUS5OYXNkYXFHUzpJTlRDLklRX1RFVl9UT1RBTF9SRVZfRldELjYwMDAuOC8xLzIwMTQBAAAAh1IAAAIAAAAQMi44OTI4MzUyMzMyMDc5MQENAAAABQAAAAE5AQAAAAcyNjIxMjk1AgAAAAc0NDU2NDI4AwAAAAYxMDAzMDcEAAAAATIGAAAAATAHAAAAAzE2MAgAAAABMAkAAAABMQoAAAABMAsAAAAKODg1OTgyNTQ5MAwAAAACMTINAAAACDgvMi8yMDE0+3BXu5Nz1Qhbk01Jl3PVCCNDSVEuXlNQWC5JUV9MQVNUU0FMRVBSSUNFLjYvMjgvMjAxNwEAAACbuCgAAgAAABAyNDQwLjY5MDMyODk5MTA3AEsoZrmTc9UIW3gHS5dz1QgvQ0lRLk5BU0RBUUdTOklOVEMuSVFfUFJJQ0VfU0FMRVMuMjAwMC42LzE3LzIwMTEBAAAAh1IA</t>
  </si>
  <si>
    <t>AAIAAAAIMi41NDA2MTEBBwAAAAUAAAABMQEAAAAKMTQ1MjQ3NTg3MgMAAAABMAIAAAAFMzg5NTgEAAAAATAHAAAACTYvMTcvMjAxMQgAAAAJNi8xNy8yMDExy7C5t5Nz1QjbWkxJl3PVCC5DSVEuTkFTREFRR1M6SU5UQy5JUV9QRV9FWENMX0ZXRC42MDAwLjcvMi8yMDA5AQAAAIdSAAACAAAAEDI2Ljc5NDg3MTc5NDg3MTgBDQAAAAUAAAABOQEAAAAHMjYyMTI5NQIAAAAHMTc1NzE1OQMAAAAGMTAwMzA5BAAAAAEyBgAAAAEwBwAAAAMxNjAIAAAAATAJAAAAATEKAAAAATALAAAACjg4NjM2MTQyNTcMAAAAAjEyDQAAAAg3LzMvMjAwOTsUs72Tc9UIW3VSSZdz1QgtQ0lRLl5TUFguSVFfVEVWX0VCSVREQV9GV0RfQ0lRLjYwMDAuMTAvMS8yMDE0AQAAAJu4KAACAAAACDguNzU5NDUxAJvrZrmTc9UIy+w2S5dz1QgeQ0lRLl5TUFguSVFfUFRCVi4yMDAwLjYvMS8yMDE2AQAAAJu4KAACAAAACDcuMDMxNTcxAFs4VbmTc9UIW6YpS5dz1QguQ0lRLk5BU0RBUUdTOklOVEMuSVFfUFJJQ0VfU0FMRVMuMjAwMC4zLzEvMjAxMwEAAACHUgAAAgAAAAgxLjk2OTcwMgEHAAAABQAAAAExAQAAAAoxNTg4MTU3NDYzAwAAAAEwAgAAAAUzODk1OAQAAAABMAcAAAAIMy8xLzIwMTMIAAAACDMvMS8yMDEzSxFVuZNz1Qjr8k5Jl3PVCCdDSVEuTkFTREFRR1M6SU5UQy5JUV9QVEJWLjIwMDAuMS82LzIwMTcBAAAAh1IAAAIAAAAI</t>
  </si>
  <si>
    <t>NC4zNTIxMDYBBwAAAAUAAAABMQEAAAAKMTgxNTU0NDQ1MAMAAAABMAIAAAAGMTAwMDI5BAAAAAEwBwAAAAgxLzYvMjAxNwgAAAAIMS82LzIwMTe7aq+9k3PVCAsFWUmXc9UILkNJUS5OQVNEQVFHUzpJTlRDLklRX1BFX0VYQ0xfRldELjYwMDAuNi85LzIwMTcBAAAAh1IAAAIAAAAQMTIuNDk0MzE0NDA0Njc0NAENAAAABQAAAAE5AQAAAAcyNjIxMjk1AgAAAAgyNzUwMDE3MgMAAAAGMTAwMzA5BAAAAAEyBgAAAAEwBwAAAAMxNjAIAAAAATAJAAAAATEKAAAAATALAAAACzEwMTU3NTA5NTExDAAAAAIxMg0AAAAJNi8xMC8yMDE3i9ezvZNz1Qj7ilFJl3PVCDVDSVEuTmFzZGFxR1M6SU5UQy5JUV9URVZfVE9UQUxfUkVWX0ZXRC42MDAwLjkvMTAvMjAwMQEAAACHUgAAAgAAABA2LjE2NjQ5MTIwMTA4MDk3AQ0AAAAFAAAAATkBAAAABzI2MjEyOTUCAAAABzM0MjExNjEDAAAABjEwMDMwNwQAAAABMgYAAAABMAcAAAADMTYwCAAAAAEwCQAAAAExCgAAAAEwCwAAAAoxMTY5MTUyNDU2DAAAAAIxMg0AAAAJOS8xMS8yMDAxGyRouZNz1QiLl0tJl3PVCB9DSVEuXlNQWC5JUV9QVEJWLjIwMDAuMS8xOC8yMDE3AQAAAJu4KAACAAAACDcuNzI1Mjc0ANvXubeTc9UIe04bS5dz1QgvQ0lRLk5BU0RBUUdTOklOVEMuSVFfUFJJQ0VfU0FMRVMuMjAwMC44LzI2LzIwMTEBAAAAh1IAAAIAAAAIMi4yMzI1ODMBBwAAAAUAAAAB</t>
  </si>
  <si>
    <t>MQEAAAAKMTQ2NTYzMTA3MQMAAAABMAIAAAAFMzg5NTgEAAAAATAHAAAACTgvMjYvMjAxMQgAAAAJOC8yNi8yMDExC7ZSu5Nz1Qi70FVJl3PVCDZDSVEuTmFzZGFxR1M6SU5UQy5JUV9URVZfVE9UQUxfUkVWX0ZXRC42MDAwLjEyLzIzLzIwMDQBAAAAh1IAAAIAAAAQMy42OTcwODAwOTIxNzAxMgENAAAABQAAAAE5AQAAAAcyNjIxMjk1AgAAAAcxNzU3MTQ2AwAAAAYxMDAzMDcEAAAAATIGAAAAATAHAAAAAzE2MAgAAAABMAkAAAABMQoAAAABMAsAAAAKMTE2OTEyOTM1MAwAAAACMTINAAAACjEyLzI0LzIwMDSLX1a7k3PVCOvyTkmXc9UILENJUS5eU1BYLklRX1RFVl9UT1RBTF9SRVZfRldELjYwMDAuOC8yNC8yMDE2AQAAAJu4KAACAAAACDIuMDc1NzA4ACsEU7uTc9UIizklS5dz1QgvQ0lRLk5BU0RBUUdTOklOVEMuSVFfUEVfRVhDTF9GV0QuNjAwMC42LzEyLzIwMDkBAAAAh1IAAAIAAAAQMjcuNDM5NDM0NzI0MDkxNQENAAAABQAAAAE5AQAAAAcyNjIxMjk1AgAAAAcxNzU3MTU5AwAAAAYxMDAzMDkEAAAAATIGAAAAATAHAAAAAzE2MAgAAAABMAkAAAABMQoAAAABMAsAAAAKODg2MzEyMzE5MAwAAAACMTINAAAACTYvMTMvMjAwOTsUs72Tc9UISzBXSZdz1QgiQ0lRLl5TUFguSVFfTEFTVFNBTEVQUklDRS4zLzIvMjAxNgEAAACbuCgAAgAAABAxOTg2LjQ1NDc4NjQxNzEzANvXubeTc9UI294qS5dz1Qgs</t>
  </si>
  <si>
    <t>Q0lRLk5BU0RBUUdTOklOVEMuSVFfTEFTVFNBTEVQUklDRS40LzEzLzIwMTYBAAAAh1IAAAIAAAAFMzIuMTMA6/65t5Nz1QibQipLl3PVCDZDSVEuTmFzZGFxR1M6SU5UQy5JUV9URVZfVE9UQUxfUkVWX0ZXRC42MDAwLjExLzIxLzIwMDgBAAAAh1IAAAIAAAAQMS44NTc0MjkwMzA1MTc2NAENAAAABQAAAAE5AQAAAAcyNjIxMjk1AgAAAAcxNzU3MTU4AwAAAAYxMDAzMDcEAAAAATIGAAAAATAHAAAAAzE2MAgAAAABMAkAAAABMQoAAAABMAsAAAAKODg2MjAyOTQwNgwAAAACMTINAAAACjExLzIyLzIwMDgL5la5k3PVCIvqUkmXc9UIL0NJUS5OQVNEQVFHUzpJTlRDLklRX1BFX0VYQ0xfRldELjYwMDAuNi8xNy8yMDE2AQAAAIdSAAACAAAAEDEyLjg4Mzg1ODY2Njk5MTIBDQAAAAUAAAABOQEAAAAHMjYyMTI5NQIAAAAIMjcwMDM2NTEDAAAABjEwMDMwOQQAAAABMgYAAAABMAcAAAADMTYwCAAAAAEwCQAAAAExCgAAAAEwCwAAAAo5NTQzODQ3OTk2DAAAAAIxMg0AAAAJNi8xOC8yMDE22ymyvZNz1QjbrVNJl3PVCDVDSVEuTmFzZGFxR1M6SU5UQy5JUV9URVZfVE9UQUxfUkVWX0ZXRC42MDAwLjkvMTAvMjAxMAEAAACHUgAAAgAAAA8xLjkyMzA0NjE1NDkwMTMBDQAAAAUAAAABOQEAAAAHMjYyMTI5NQIAAAAHMTc1NzE2MwMAAAAGMTAwMzA3BAAAAAEyBgAAAAEwBwAAAAMxNjAIAAAAATAJAAAAATEKAAAAATAL</t>
  </si>
  <si>
    <t>AAAACjg4NjM1MTE2NDAMAAAAAjEyDQAAAAk5LzExLzIwMTC7KbG7k3PVCOtFVkmXc9UIKENJUS5OQVNEQVFHUzpJTlRDLklRX1BUQlYuMjAwMC42LzE0LzIwMTMBAAAAh1IAAAIAAAAIMy40NjA1ODYBBwAAAAUAAAABMQEAAAAKMTYxNDA3NDk0MgMAAAABMAIAAAAGMTAwMDI5BAAAAAEwBwAAAAk2LzE0LzIwMTMIAAAACTYvMTQvMjAxMzvxr7uTc9UIe8NSSZdz1QgvQ0lRLk5BU0RBUUdTOklOVEMuSVFfUEVfRVhDTF9GV0QuNjAwMC45LzI1LzIwMDkBAAAAh1IAAAIAAAAPMTYuOTk3MTkxOTk3MTkyAQ0AAAAFAAAAATkBAAAABzI2MjEyOTUCAAAABzE3NTcxNjADAAAABjEwMDMwOQQAAAABMgYAAAABMAcAAAADMTYwCAAAAAEwCQAAAAExCgAAAAEwCwAAAAo4ODY0Mzk1MDIxDAAAAAIxMg0AAAAJOS8yNi8yMDA5u0y0vZNz1QhLv1RJl3PVCCtDSVEuTkFTREFRR1M6SU5UQy5JUV9MQVNUU0FMRVBSSUNFLjcvMS8yMDE1AQAAAIdSAAACAAAABTMwLjE4AMuRr72Tc9UIO6swS5dz1Qg3Q0lRLk5BU0RBUUdTOklOVEMuSVFfVEVWX0VCSVREQV9GV0RfQ0lRLjYwMDAuMTAvMTQvMjAxNgEAAACHUgAAAgAAABA3LjkxNjQ0NzQ0NjQ1MDM4AQ0AAAAFAAAAATkBAAAABzI2MjEyOTUCAAAACDI3MDAzNjUyAwAAAAYxMDAzMDgEAAAAATIGAAAAATAHAAAAAzE2MAgAAAABMAkAAAABMQoAAAABMAsAAAAKOTc3MDk0MjQz</t>
  </si>
  <si>
    <t>MwwAAAACMTINAAAACjEwLzE1LzIwMTZLUlO7k3PVCMsNj66Xc9UIH0NJUS5eU1BYLklRX1BUQlYuMjAwMC42LzE5LzIwMTMBAAAAm7goAAIAAAAINC45MTA2NjUAy5GvvZNz1QiLoz1Ll3PVCDVDSVEuTkFTREFRR1M6SU5UQy5JUV9URVZfVE9UQUxfUkVWX0ZXRC42MDAwLjUvMTUvMjAwOQEAAACHUgAAAgAAAA8yLjQ0MDMyNzk2NTc5NDEBDQAAAAUAAAABOQEAAAAHMjYyMTI5NQIAAAAHMTc1NzE1OQMAAAAGMTAwMzA3BAAAAAEyBgAAAAEwBwAAAAMxNjAIAAAAATAJAAAAATEKAAAAATALAAAACjgxNzE1Njk2OTYMAAAAAjEyDQAAAAk1LzE2LzIwMDlbELu3k3PVCKvlS0mXc9UII0NJUS5eU1BYLklRX0xBU1RTQUxFUFJJQ0UuNy8yMC8yMDE2AQAAAJu4KAACAAAAEDIxNzMuMDE3MjEyMDc0NjEAy5GvvZNz1QjL1SVLl3PVCDVDSVEuTmFzZGFxR1M6SU5UQy5JUV9URVZfVE9UQUxfUkVWX0ZXRC42MDAwLjIvMjEvMjAxNAEAAACHUgAAAgAAAA8yLjE2MjY3OTQ0MjgzODIBDQAAAAUAAAABOQEAAAAHMjYyMTI5NQIAAAAHNDQ1NjQyMQMAAAAGMTAwMzA3BAAAAAEyBgAAAAEwBwAAAAMxNjAIAAAAATAJAAAAATEKAAAAATALAAAACjY0OTc4MjI0MzcMAAAAAjEyDQAAAAkyLzIyLzIwMTS7Ila5k3PVCLtBWEmXc9UINkNJUS5OQVNEQVFHUzpJTlRDLklRX1RFVl9FQklUREFfRldEX0NJUS42MDAwLjUvMTYvMjAw</t>
  </si>
  <si>
    <t>OAEAAACHUgAAAgAAABA4LjM1MDI5OTEwMjQyOTI0AQ0AAAAFAAAAATkBAAAABzI2MjEyOTUCAAAABzE3NTcxNTYDAAAABjEwMDMwOAQAAAABMgYAAAABMAcAAAADMTYwCAAAAAEwCQAAAAExCgAAAAEwCwAAAAo2NzI3NDg5Njc3DAAAAAIxMg0AAAAJNS8xNy8yMDA469hUu5Nz1QhLRpCul3PVCDVDSVEuTkFTREFRR1M6SU5UQy5JUV9URVZfRUJJVERBX0ZXRF9DSVEuNjAwMC40LzUvMjAxMgEAAACHUgAAAgAAABA1LjQyMzgxNDY2MzYxNjQ1AQ0AAAAFAAAAATkBAAAABzI2MjEyOTUCAAAABDE4ODcDAAAABjEwMDMwOAQAAAABMgYAAAABMAcAAAADMTYwCAAAAAEwCQAAAAExCgAAAAEwCwAAAAo1NzQ4ODMxMzg2DAAAAAIxMg0AAAAINC82LzIwMTKbFVS7k3PVCGsjjq6Xc9UINkNJUS5OQVNEQVFHUzpJTlRDLklRX1RFVl9FQklUREFfRldEX0NJUS42MDAwLjcvMjUvMjAxNAEAAACHUgAAAgAAABA2Ljc0MTQyNjg0NzIxMzI2AQ0AAAAFAAAAATkBAAAABzI2MjEyOTUCAAAABzQ0NTY0MjgDAAAABjEwMDMwOAQAAAABMgYAAAABMAcAAAADMTYwCAAAAAEwCQAAAAExCgAAAAEwCwAAAAo4NjQ4Nzk0NTA1DAAAAAIxMg0AAAAJNy8yNi8yMDE0e8dTu5Nz1Qhb/I2ul3PVCDZDSVEuTmFzZGFxR1M6SU5UQy5JUV9URVZfRUJJVERBX0ZXRF9DSVEuNjAwMC41LzE1LzIwMDkBAAAAh1IAAAIAAAAQOC4zODYwOTk2NjYw</t>
  </si>
  <si>
    <t>MTEyNAENAAAABQAAAAE5AQAAAAcyNjIxMjk1AgAAAAcxNzU3MTU5AwAAAAYxMDAzMDgEAAAAATIGAAAAATAHAAAAAzE2MAgAAAABMAkAAAABMQoAAAABMAsAAAAKODE3MjQwMzMzMAwAAAACMTINAAAACTUvMTYvMjAwOasltL2Tc9UIK4eNrpdz1Qg2Q0lRLk5BU0RBUUdTOklOVEMuSVFfVEVWX0VCSVREQV9GV0RfQ0lRLjYwMDAuOC8xNC8yMDA5AQAAAIdSAAACAAAAEDcuOTU1NTkzNjk4NDY3OTYBDQAAAAUAAAABOQEAAAAHMjYyMTI5NQIAAAAHMTc1NzE2MAMAAAAGMTAwMzA4BAAAAAEyBgAAAAEwBwAAAAMxNjAIAAAAATAJAAAAATEKAAAAATALAAAACjgxNzI0MDMzNTEMAAAAAjEyDQAAAAk4LzE1LzIwMDnbsVS7k3PVCKu/jq6Xc9UIJENJUS5eU1BYLklRX0xBU1RTQUxFUFJJQ0UuMTAvMjkvMjAxNAEAAACbuCgAAgAAABAxOTgyLjMwMzAyMDY3MDQyABvdUruTc9UIeyk2S5dz1QguQ0lRLk5BU0RBUUdTOklOVEMuSVFfUEVfRVhDTF9GV0QuNjAwMC42LzYvMjAwMwEAAACHUgAAAgAAABAzMy4xOTA5NzAxMDM3MjE4AQ0AAAAFAAAAATkBAAAABzI2MjEyOTUCAAAABzE3NTcxNDEDAAAABjEwMDMwOQQAAAABMgYAAAABMAcAAAADMTYwCAAAAAEwCQAAAAExCgAAAAEwCwAAAAo5MDkwNjg4MTgwDAAAAAIxMg0AAAAINi83LzIwMDN7sLO9k3PVCDsnUkmXc9UIK0NJUS5OQVNEQVFHUzpJTlRDLklRX0xBU1RT</t>
  </si>
  <si>
    <t>QUxFUFJJQ0UuNi83LzIwMTcBAAAAh1IAAAIAAAAFMzYuMjYAy5GvvZNz1Qhr8g5Ll3PVCC1DSVEuXlNQWC5JUV9URVZfRUJJVERBX0ZXRF9DSVEuNjAwMC4xLzE0LzIwMTUBAAAAm7goAAIAAAAIOS40NjI0OTgAqxJnuZNz1QjbojRLl3PVCChDSVEuTkFTREFRR1M6SU5UQy5JUV9SRVZFTlVFX0VTVC5GUTQyMDE3AQAAAIdSAAACAAAACzE2MzM1LjczNzIzAQ4AAAAFAAAAATMBAAAAATACAAAACjEwMDA5NDQzODYDAAAABjEwMDE4MAQAAAABMgYAAAABMAcAAAADMTYwCAAAAAEwCQAAAAExCgAAAAEwCwAAAAsxMDY5MTI2MzIyMAwAAAABMg0AAAAJMi8xNS8yMDE4EAAAAAoxMi8zMS8yMDE327ivvZNz1Qh7lD9Kl3PVCClDSVEuTkFTREFRR1M6SU5UQy5JUV9QVEJWLjIwMDAuMTIvMjQvMjAxNQEAAACHUgAAAgAAAAgzLjkzNDgyMwEHAAAABQAAAAExAQAAAAoxNzYxNzA2ODI3AwAAAAEwAgAAAAYxMDAwMjkEAAAAATAHAAAACjEyLzI0LzIwMTUIAAAACjEyLzI0LzIwMTX7jlK7k3PVCGt+V0mXc9UIL0NJUS5OQVNEQVFHUzpJTlRDLklRX1BFX0VYQ0xfRldELjYwMDAuMS8xNy8yMDAzAQAAAIdSAAACAAAAEDI2LjMyNDY5MjY5MDYyODUBDQAAAAUAAAABOQEAAAAHMjYyMTI5NQIAAAAEMTg3OAMAAAAGMTAwMzA5BAAAAAEyBgAAAAEwBwAAAAMxNjAIAAAAATAJAAAAATEKAAAAATALAAAABzE1MDAzNDEMAAAA</t>
  </si>
  <si>
    <t>AjEyDQAAAAkxLzE4LzIwMDO7TLS9k3PVCPtsVkmXc9UINUNJUS5OYXNkYXFHUzpJTlRDLklRX1RFVl9UT1RBTF9SRVZfRldELjYwMDAuMTEvNC8yMDE2AQAAAIdSAAACAAAAEDIuNzkzNDQ1NDY5MjkxMTkBDQAAAAUAAAABOQEAAAAHMjYyMTI5NQIAAAAIMjcwMDM2NTMDAAAABjEwMDMwNwQAAAABMgYAAAABMAcAAAADMTYwCAAAAAEwCQAAAAExCgAAAAEwCwAAAAo5ODEzMzgxMTMxDAAAAAIxMg0AAAAJMTEvNS8yMDE2qxJnuZNz1QgLBVlJl3PVCDZDSVEuTmFzZGFxR1M6SU5UQy5JUV9URVZfRUJJVERBX0ZXRF9DSVEuNjAwMC4zLzE4LzIwMTEBAAAAh1IAAAIAAAAQNC4zMjAwMTU2MTQzNDkwMQENAAAABQAAAAE5AQAAAAcyNjIxMjk1AgAAAAQxODg2AwAAAAYxMDAzMDgEAAAAATIGAAAAATAHAAAAAzE2MAgAAAABMAkAAAABMQoAAAABMAsAAAAKNTc0ODgxNTIwNwwAAAACMTINAAAACTMvMTkvMjAxMasCsbuTc9UIK4eNrpdz1QgfQ0lRLl5TUFguSVFfUFRCVi4yMDAwLjMvMzAvMjAxNgEAAACbuCgAAgAAAAg2Ljk2NTEwMgCLxGa5k3PVCMu3KkuXc9UINUNJUS5OYXNkYXFHUzpJTlRDLklRX1RFVl9UT1RBTF9SRVZfRldELjYwMDAuNi8yMi8yMDAxAQAAAIdSAAACAAAAEDYuMzY5NTk1MzMzMDA1NTgBDQAAAAUAAAABOQEAAAAHMjYyMTI5NQIAAAAHMzQyMTE2MAMAAAAGMTAwMzA3BAAAAAEyBgAAAAEw</t>
  </si>
  <si>
    <t>BwAAAAMxNjAIAAAAATAJAAAAATEKAAAAATALAAAACjExNjkxNTIzNjEMAAAAAjEyDQAAAAk2LzIzLzIwMDHbSLy3k3PVCFt1UkmXc9UILkNJUS5OQVNEQVFHUzpJTlRDLklRX1BSSUNFX1NBTEVTLjIwMDAuNy82LzIwMTYBAAAAh1IAAAIAAAAIMi43NzUzNzcBBwAAAAUAAAABMQEAAAAKMTc4OTE5MzM0MwMAAAABMAIAAAAFMzg5NTgEAAAAATAHAAAACDcvNi8yMDE2CAAAAAg3LzYvMjAxNrtqr72Tc9UIy0YoS5dz1QgvQ0lRLk5BU0RBUUdTOklOVEMuSVFfUEVfRVhDTF9GV0QuNjAwMC4xMi81LzIwMDMBAAAAh1IAAAIAAAAQMjcuNTcwMjEzODYyNDA2NgENAAAABQAAAAE5AQAAAAcyNjIxMjk1AgAAAAcxNzU3MTQzAwAAAAYxMDAzMDkEAAAAATIGAAAAATAHAAAAAzE2MAgAAAABMAkAAAABMQoAAAABMAsAAAAKODg2MDUwMDE0NAwAAAACMTINAAAACTEyLzYvMjAwM3uws72Tc9UIK1NZSZdz1QgsQ0lRLk5BU0RBUUdTOklOVEMuSVFfTEFTVFNBTEVQUklDRS4zLzI2LzIwMTQBAAAAh1IAAAIAAAAHMjUuMzc3MgDLka+9k3PVCIsyO0uXc9UILkNJUS5OQVNEQVFHUzpJTlRDLklRX1BFX0VYQ0xfRldELjYwMDAuOS83LzIwMDEBAAAAh1IAAAIAAAAQNTEuMzg5NDQwMjU0MDY5MQENAAAABQAAAAE5AQAAAAcyNjIxMjk1AgAAAAczNDIxMTYxAwAAAAYxMDAzMDkEAAAAATIGAAAAATAHAAAAAzE2MAgAAAABMAkA</t>
  </si>
  <si>
    <t>AAABMQoAAAABMAsAAAAKMTE2OTE3MzM2NwwAAAACMTINAAAACDkvOC8yMDAxi9ezvZNz1QgrAFJJl3PVCC1DSVEuXlNQWC5JUV9URVZfRUJJVERBX0ZXRF9DSVEuNjAwMC45LzI4LzIwMTYBAAAAm7goAAIAAAAIMTAuMTM2OTMAKwRTu5Nz1Qib7yJLl3PVCDVDSVEuTkFTREFRR1M6SU5UQy5JUV9URVZfRUJJVERBX0ZXRF9DSVEuNjAwMC4xLzgvMjAxNgEAAACHUgAAAgAAABA2LjI0NjgzMjE0NjcxNTQ0AQ0AAAAFAAAAATkBAAAABzI2MjEyOTUCAAAABzgwNjgyNjIDAAAABjEwMDMwOAQAAAABMgYAAAABMAcAAAADMTYwCAAAAAEwCQAAAAExCgAAAAEwCwAAAAo5MjE2NjExMjk4DAAAAAIxMg0AAAAIMS85LzIwMTZbeVO7k3PVCBvRj66Xc9UILENJUS5eU1BYLklRX1RFVl9FQklUREFfRldEX0NJUS42MDAwLjMvNS8yMDE0AQAAAJu4KAACAAAACDguOTY5OTE1AOv+ubeTc9UIq4A7S5dz1QgrQ0lRLl5TUFguSVFfVEVWX1RPVEFMX1JFVl9GV0QuNjAwMC40LzEvMjAxNQEAAACbuCgAAgAAAAgyLjAxNDA1OAB7hlW5k3PVCOtYMkuXc9UIJ0NJUS5eU1BYLklRX1BFX0VYQ0xfRldELjYwMDAuMTIvMzEvMjAxNAEAAACbuCgAAgAAAAgxNi45MTU1NQB7jbC7k3PVCMt7NEuXc9UIJ0NJUS5OQVNEQVFHUzpJTlRDLklRX1BUQlYuMjAwMC42LzEvMjAxMgEAAACHUgAAAgAAAAg0LjAxOTc2NgEHAAAABQAAAAExAQAA</t>
  </si>
  <si>
    <t>AAoxNTQ1MTU2NDM4AwAAAAEwAgAAAAYxMDAwMjkEAAAAATAHAAAACDYvMS8yMDEyCAAAAAg2LzEvMjAxMovEZrmTc9UImxFTSZdz1QgvQ0lRLk5BU0RBUUdTOklOVEMuSVFfUEVfRVhDTF9GV0QuNjAwMC4xMi84LzIwMDYBAAAAh1IAAAIAAAAQMjAuNTQwMzI1Nzg0NjY0MwENAAAABQAAAAE5AQAAAAcyNjIxMjk1AgAAAAcxNzU3MTUyAwAAAAYxMDAzMDkEAAAAATIGAAAAATAHAAAAAzE2MAgAAAABMAkAAAABMQoAAAABMAsAAAAKODg2MzM1OTA2MgwAAAACMTINAAAACTEyLzkvMjAwNltis72Tc9UIG0pUSZdz1QgvQ0lRLk5BU0RBUUdTOklOVEMuSVFfUFJJQ0VfU0FMRVMuMjAwMC4zLzIzLzIwMTIBAAAAh1IAAAIAAAAIMi43MTMyMTcBBwAAAAUAAAABMQEAAAAKMTUyMzQwMzg0OQMAAAABMAIAAAAFMzg5NTgEAAAAATAHAAAACTMvMjMvMjAxMggAAAAJMy8yMy8yMDEyy7C5t5Nz1QgL0ExJl3PVCCZDSVEuXlNQWC5JUV9QRV9FWENMX0ZXRC42MDAwLjcvMjYvMjAxNwEAAACbuCgAAgAAAAkxOC40MzAyOTMAe42wu5Nz1QjrhAFLl3PVCDBDSVEuTkFTREFRR1M6SU5UQy5JUV9QUklDRV9TQUxFUy4yMDAwLjEwLzI5LzIwMTABAAAAh1IAAAIAAAAIMi42MDI5NTgBBwAAAAUAAAABMQEAAAAKMTQwMTQwMTk0MQMAAAABMAIAAAAFMzg5NTgEAAAAATAHAAAACjEwLzI5LzIwMTAIAAAACjEwLzI5LzIwMTA76lS5</t>
  </si>
  <si>
    <t>k3PVCFsEUEmXc9UINkNJUS5OQVNEQVFHUzpJTlRDLklRX1RFVl9FQklUREFfRldEX0NJUS42MDAwLjEvMTMvMjAxMgEAAACHUgAAAgAAABA1LjE1MDIzMzgzNjIyNTAxAQ0AAAAFAAAAATkBAAAABzI2MjEyOTUCAAAABzE3NTcxNjcDAAAABjEwMDMwOAQAAAABMgYAAAABMAcAAAADMTYwCAAAAAEwCQAAAAExCgAAAAEwCwAAAAo4MTcxMTk3MzI2DAAAAAIxMg0AAAAJMS8xNC8yMDEyqzxUu5Nz1QgLqo+ul3PVCDBDSVEuTkFTREFRR1M6SU5UQy5JUV9QUklDRV9TQUxFUy4yMDAwLjEwLzI0LzIwMTQBAAAAh1IAAAIAAAAHMi45ODgzMwEHAAAABQAAAAExAQAAAAoxNzAxOTAzNDk0AwAAAAEwAgAAAAUzODk1OAQAAAABMAcAAAAKMTAvMjQvMjAxNAgAAAAKMTAvMjQvMjAxNMuwubeTc9UIO0VNSZdz1QgeQ0lRLl5TUFguSVFfUFRCVi4yMDAwLjgvMy8yMDE2AQAAAJu4KAACAAAACDcuMTQ5MDU0AOtnUruTc9UI+0omS5dz1Qg2Q0lRLk5hc2RhcUdTOklOVEMuSVFfVEVWX0VCSVREQV9GV0RfQ0lRLjYwMDAuNi8xNC8yMDEzAQAAAIdSAAACAAAAEDUuNTU2ODk4ODcwMTk0NjYBDQAAAAUAAAABOQEAAAAHMjYyMTI5NQIAAAAHMzgyOTc1MQMAAAAGMTAwMzA4BAAAAAEyBgAAAAEwBwAAAAMxNjAIAAAAATAJAAAAATEKAAAAATALAAAACjgyNDk1Mzc4OTAMAAAAAjEyDQAAAAk2LzE1LzIwMTO7TLS9k3PVCJuYjq6X</t>
  </si>
  <si>
    <t>c9UINkNJUS5OQVNEQVFHUzpJTlRDLklRX1RFVl9FQklUREFfRldEX0NJUS42MDAwLjgvMzAvMjAxMwEAAACHUgAAAgAAABA0Ljg4Mzc2OTQ0NzMzNzQ3AQ0AAAAFAAAAATkBAAAABzI2MjEyOTUCAAAABzM4Mjk3NTIDAAAABjEwMDMwOAQAAAABMgYAAAABMAcAAAADMTYwCAAAAAEwCQAAAAExCgAAAAEwCwAAAAo3NjE2NjM3MjMzDAAAAAIxMg0AAAAJOC8zMS8yMDEzi+5Tu5Nz1QgbYI2ul3PVCC5DSVEuTkFTREFRR1M6SU5UQy5JUV9QUklDRV9TQUxFUy4yMDAwLjEvOC8yMDEwAQAAAIdSAAACAAAABzMuNTM3MTEBBwAAAAUAAAABMQEAAAAKMTIzNzU3NzEyNQMAAAABMAIAAAAFMzg5NTgEAAAAATAHAAAACDEvOC8yMDEwCAAAAAgxLzgvMjAxMOvRiLaTc9UIG4ZKSZdz1Qg1Q0lRLk5hc2RhcUdTOklOVEMuSVFfVEVWX1RPVEFMX1JFVl9GV0QuNjAwMC4yLzEzLzIwMTUBAAAAh1IAAAIAAAAQMi43ODU3Nzk5MjE4OTY4MgENAAAABQAAAAE5AQAAAAcyNjIxMjk1AgAAAAoxMDAwMDk0MDcxAwAAAAYxMDAzMDcEAAAAATIGAAAAATAHAAAAAzE2MAgAAAABMAkAAAABMQoAAAABMAsAAAAKODYwNDU2MjU3NAwAAAACMTINAAAACTIvMTQvMjAxNdtwVrmTc9UIa5xSSZdz1QggQ0lRLl5TUFguSVFfUFRCVi4yMDAwLjExLzEzLzIwMTMBAAAAm7goAAIAAAAINS4yMTMwMTUAWzhVuZNz1QgruTxLl3PVCDZDSVEuTkFT</t>
  </si>
  <si>
    <t>REFRR1M6SU5UQy5JUV9URVZfRUJJVERBX0ZXRF9DSVEuNjAwMC43LzE3LzIwMTUBAAAAh1IAAAIAAAAQNS45ODMyOTg0MTE5MDU0NwENAAAABQAAAAE5AQAAAAcyNjIxMjk1AgAAAAc4MDY4MjYxAwAAAAYxMDAzMDgEAAAAATIGAAAAATAHAAAAAzE2MAgAAAABMAkAAAABMQoAAAABMAsAAAAKODg5OTg0MjM0NgwAAAACMTINAAAACTcvMTgvMjAxNWugU7uTc9UIK/iPrpdz1QgmQ0lRLl5TUFguSVFfUEVfRVhDTF9GV0QuNjAwMC4zLzMwLzIwMTYBAAAAm7goAAIAAAAJMTcuNDE3MDU1AJvrZrmTc9UIm0IqS5dz1QgvQ0lRLk5BU0RBUUdTOklOVEMuSVFfUEVfRVhDTF9GV0QuNjAwMC40LzE3LzIwMTQBAAAAh1IAAAIAAAAPMTMuOTE4NzcyODQxOTIxAQ0AAAAFAAAAATkBAAAABzI2MjEyOTUCAAAABzQ0NTY0MjcDAAAABjEwMDMwOQQAAAABMgYAAAABMAcAAAADMTYwCAAAAAEwCQAAAAExCgAAAAEwCwAAAAo4NjMwMDk4NTE4DAAAAAIxMg0AAAAJNC8xOC8yMDE0+3eyvZNz1Qib81dJl3PVCCZDSVEuXlNQWC5JUV9QRV9FWENMX0ZXRC42MDAwLjExLzIvMjAxNgEAAACbuCgAAgAAAAkxNi42MTQ4NDEA6/65t5Nz1QhLux9Ll3PVCDZDSVEuTkFTREFRR1M6SU5UQy5JUV9URVZfRUJJVERBX0ZXRF9DSVEuNjAwMC4xMC8zLzIwMTQBAAAAh1IAAAIAAAAQNi42NjQxODYyMTczMDgzOQENAAAABQAAAAE5AQAAAAcy</t>
  </si>
  <si>
    <t>NjIxMjk1AgAAAAc0NDU2NDI4AwAAAAYxMDAzMDgEAAAAATIGAAAAATAHAAAAAzE2MAgAAAABMAkAAAABMQoAAAABMAsAAAAKODYzMDEwMDM0MQwAAAACMTINAAAACTEwLzQvMjAxNHvHU7uTc9UI6+qMrpdz1QgiQ0lRLl5TUFguSVFfTEFTVFNBTEVQUklDRS41LzEvMjAxMwEAAACbuCgAAgAAABAxNTgyLjcwMzg2MzMzOTc5ACvDVLmTc9UIm8o9S5dz1Qg0Q0lRLk5hc2RhcUdTOklOVEMuSVFfVEVWX1RPVEFMX1JFVl9GV0QuNjAwMC4zLzgvMjAwMgEAAACHUgAAAgAAAA83LjU4ODI4MTE1NTAyMTEBDQAAAAUAAAABOQEAAAAHMjYyMTI5NQIAAAAEMTg3NwMAAAAGMTAwMzA3BAAAAAEyBgAAAAEwBwAAAAMxNjAIAAAAATAJAAAAATEKAAAAATALAAAACTM2MDY1NDYzNwwAAAACMTINAAAACDMvOS8yMDAyK0touZNz1Qg7ellJl3PVCC1DSVEuXlNQWC5JUV9URVZfRUJJVERBX0ZXRF9DSVEuNjAwMC4yLzIwLzIwMTMBAAAAm7goAAIAAAAHNy42MzgwNQDbuK+9k3PVCMs/PkuXc9UILUNJUS5OQVNEQVFHUzpJTlRDLklRX0xBU1RTQUxFUFJJQ0UuMTEvMjAvMjAxMwEAAACHUgAAAgAAAAUyNC41NgBbP7C7k3PVCCu5PEuXc9UILENJUS5eU1BYLklRX1RFVl9FQklUREFfRldEX0NJUS42MDAwLjMvMi8yMDE2AQAAAJu4KAACAAAACDkuODExMTQxACsEU7uTc9UI+ywrS5dz1QgvQ0lRLk5BU0RBUUdTOklOVEMuSVFf</t>
  </si>
  <si>
    <t>UEVfRVhDTF9GV0QuNjAwMC43LzI1LzIwMDgBAAAAh1IAAAIAAAAQMTUuNjYxMDIxNzczMTYwNwENAAAABQAAAAE5AQAAAAcyNjIxMjk1AgAAAAcxNzU3MTU3AwAAAAYxMDAzMDkEAAAAATIGAAAAATAHAAAAAzE2MAgAAAABMAkAAAABMQoAAAABMAsAAAAKODg2MzEyNDY2NwwAAAACMTINAAAACTcvMjYvMjAwOEs7s72Tc9UIW1dXSZdz1QgmQ0lRLl5TUFguSVFfUEVfRVhDTF9GV0QuNjAwMC41LzE0LzIwMTQBAAAAm7goAAIAAAAJMTUuNTU0MDcxANu4r72Tc9UIuzY5S5dz1QgpQ0lRLk5BU0RBUUdTOklOVEMuSVFfUFRCVi4yMDAwLjExLzI2LzIwMTABAAAAh1IAAAIAAAAHMi44MDMzNwEHAAAABQAAAAExAQAAAAoxNDA4NTE2NTQ2AwAAAAEwAgAAAAYxMDAwMjkEAAAAATAHAAAACjExLzI2LzIwMTAIAAAACjExLzI2LzIwMTBbOFW5k3PVCLt9TkmXc9UILUNJUS5eU1BYLklRX1RFVl9FQklUREFfRldEX0NJUS42MDAwLjYvMTIvMjAxMwEAAACbuCgAAgAAAAg4LjA2MTU5MQBrZrC7k3PVCIujPUuXc9UINkNJUS5OYXNkYXFHUzpJTlRDLklRX1RFVl9FQklUREFfRldEX0NJUS42MDAwLjEvMTUvMjAxMAEAAACHUgAAAgAAABA2LjAyODU1OTQ3MjU1NjUzAQ0AAAAFAAAAATkBAAAABzI2MjEyOTUCAAAABDE4ODUDAAAABjEwMDMwOAQAAAABMgYAAAABMAcAAAADMTYwCAAAAAEwCQAAAAExCgAAAAEwCwAAAAkz</t>
  </si>
  <si>
    <t>NjA3NDA1NTcMAAAAAjEyDQAAAAkxLzE2LzIwMTC7TLS9k3PVCPuCj66Xc9UILUNJUS5OQVNEQVFHUzpJTlRDLklRX0xBU1RTQUxFUFJJQ0UuMTEvMjUvMjAxNQEAAACHUgAAAgAAAAUzNC40NQAb3VK7k3PVCAvFLUuXc9UINkNJUS5OYXNkYXFHUzpJTlRDLklRX1RFVl9UT1RBTF9SRVZfRldELjYwMDAuMTIvMTIvMjAxNAEAAACHUgAAAgAAABAyLjk5NTIyMzM3ODkxNzM1AQ0AAAAFAAAAATkBAAAABzI2MjEyOTUCAAAABzQ0NTY0MjkDAAAABjEwMDMwNwQAAAABMgYAAAABMAcAAAADMTYwCAAAAAEwCQAAAAExCgAAAAEwCwAAAAo4ODY0NDM3NzkyDAAAAAIxMg0AAAAKMTIvMTMvMjAxNMshvLeTc9UIK+JWSZdz1QgvQ0lRLk5BU0RBUUdTOklOVEMuSVFfUFJJQ0VfU0FMRVMuMjAwMC42LzExLzIwMTABAAAAh1IAAAIAAAAIMi45OTAyNDEBBwAAAAUAAAABMQEAAAAKMTM1NzY1OTEwMQMAAAABMAIAAAAFMzg5NTgEAAAAATAHAAAACTYvMTEvMjAxMAgAAAAJNi8xMS8yMDEwy7C5t5Nz1QgL0ExJl3PVCDZDSVEuTkFTREFRR1M6SU5UQy5JUV9URVZfRUJJVERBX0ZXRF9DSVEuNjAwMC41LzMwLzIwMDgBAAAAh1IAAAIAAAAQNy42ODkyNTAyOTYzMTQyOAENAAAABQAAAAE5AQAAAAcyNjIxMjk1AgAAAAcxNzU3MTU2AwAAAAYxMDAzMDgEAAAAATIGAAAAATAHAAAAAzE2MAgAAAABMAkAAAABMQoAAAABMAsAAAAK</t>
  </si>
  <si>
    <t>NjcyNzQ4OTY3NwwAAAACMTINAAAACTUvMzEvMjAwOOvYVLuTc9UIC6qPrpdz1QgfQ0lRLl5TUFguSVFfUFRCVi4yMDAwLjgvMTMvMjAxNAEAAACbuCgAAgAAAAc1LjI0MzA0AFs4VbmTc9UIK9c3S5dz1QgoQ0lRLk5BU0RBUUdTOklOVEMuSVFfUFRCVi4yMDAwLjUvMTkvMjAxNwEAAACHUgAAAgAAAAgzLjgyNDQxNQEHAAAABQAAAAExAQAAAAoxODM4MzYwMTMyAwAAAAEwAgAAAAYxMDAwMjkEAAAAATAHAAAACTUvMTkvMjAxNwgAAAAJNS8xOS8yMDE3y7C5t5Nz1QgL0ExJl3PVCC9DSVEuTkFTREFRR1M6SU5UQy5JUV9QRV9FWENMX0ZXRC42MDAwLjEyLzcvMjAwMQEAAACHUgAAAgAAABA2Mi40NTc3NDE0NTA1ODI1AQ0AAAAFAAAAATkBAAAABzI2MjEyOTUCAAAABzM0MjExNjIDAAAABjEwMDMwOQQAAAABMgYAAAABMAcAAAADMTYwCAAAAAEwCQAAAAExCgAAAAEwCwAAAAo4ODYwMDc5MjQ0DAAAAAIxMg0AAAAJMTIvOC8yMDAxm/6zvZNz1QibZFpJl3PVCB9DSVEuXlNQWC5JUV9QVEJWLjIwMDAuMTEvOS8yMDE2AQAAAJu4KAACAAAACDcuMTk2MTgxALtqr72Tc9UIm34gS5dz1Qg1Q0lRLk5hc2RhcUdTOklOVEMuSVFfVEVWX1RPVEFMX1JFVl9GV0QuNjAwMC4yLzE2LzIwMDEBAAAAh1IAAAIAAAAQNi41NDQ4NDU0Nzg2MDU1NgENAAAABQAAAAE5AQAAAAcyNjIxMjk1AgAAAAczMTUxMzAxAwAAAAYxMDAz</t>
  </si>
  <si>
    <t>MDcEAAAAATIGAAAAATAHAAAAAzE2MAgAAAABMAkAAAABMQoAAAABMAsAAAAJMzYxMjEyNjc4DAAAAAIxMg0AAAAJMi8xNy8yMDAxK0touZNz1QhL+0pJl3PVCC5DSVEuTkFTREFRR1M6SU5UQy5JUV9QRV9FWENMX0ZXRC42MDAwLjkvNS8yMDAzAQAAAIdSAAACAAAAEDMwLjQ3NDQ3MTkyNDQyNDIBDQAAAAUAAAABOQEAAAAHMjYyMTI5NQIAAAAHMTc1NzE0MgMAAAAGMTAwMzA5BAAAAAEyBgAAAAEwBwAAAAMxNjAIAAAAATAJAAAAATEKAAAAATALAAAACjkwOTA2ODgyMzAMAAAAAjEyDQAAAAg5LzYvMjAwM3uws72Tc9UIe+FNSZdz1QgtQ0lRLl5TUFguSVFfVEVWX0VCSVREQV9GV0RfQ0lRLjYwMDAuOC8yMS8yMDEzAQAAAJu4KAACAAAACDguMDc4NzUzANu4r72Tc9UIWy49S5dz1Qg1Q0lRLk5hc2RhcUdTOklOVEMuSVFfVEVWX1RPVEFMX1JFVl9GV0QuNjAwMC40LzI4LzIwMDYBAAAAh1IAAAIAAAAQMi45Mzg0OTQ5OTgzMTI2OQENAAAABQAAAAE5AQAAAAcyNjIxMjk1AgAAAAcxNzU3MTUwAwAAAAYxMDAzMDcEAAAAATIGAAAAATAHAAAAAzE2MAgAAAABMAkAAAABMQoAAAABMAsAAAAKODg2MDUzNTEyMQwAAAACMTINAAAACTQvMjkvMjAwNqsltL2Tc9UI2zxRSZdz1Qg0Q0lRLk5hc2RhcUdTOklOVEMuSVFfVEVWX1RPVEFMX1JFVl9GV0QuNjAwMC4zLzIvMjAwNwEAAACHUgAAAgAAABAyLjY5ODA3ODY0</t>
  </si>
  <si>
    <t>NTU3MjgxAQ0AAAAFAAAAATkBAAAABzI2MjEyOTUCAAAABDE4ODIDAAAABjEwMDMwNwQAAAABMgYAAAABMAcAAAADMTYwCAAAAAEwCQAAAAExCgAAAAEwCwAAAAsxMDM3ODUxMzQ2OQwAAAACMTINAAAACDMvMy8yMDA323exu5Nz1QiboFBJl3PVCCNDSVEuXlNQWC5JUV9MQVNUU0FMRVBSSUNFLjUvMTgvMjAxNgEAAACbuCgAAgAAABAyMDQ3LjYyNzIzMDU5Njk4ABvdUruTc9UIS38pS5dz1Qg2Q0lRLk5hc2RhcUdTOklOVEMuSVFfVEVWX0VCSVREQV9GV0RfQ0lRLjYwMDAuNC8yOC8yMDE3AQAAAIdSAAACAAAAEDcuMjQyNDIxMTYzNDY3NzgBDQAAAAUAAAABOQEAAAAHMjYyMTI5NQIAAAAIMjc1MDAxNzIDAAAABjEwMDMwOAQAAAABMgYAAAABMAcAAAADMTYwCAAAAAEwCQAAAAExCgAAAAEwCwAAAAsxMDM5OTEzOTU1MQwAAAACMTINAAAACTQvMjkvMjAxN4u0sLuTc9UIW/yNrpdz1Qg2Q0lRLk5hc2RhcUdTOklOVEMuSVFfVEVWX1RPVEFMX1JFVl9GV0QuNjAwMC4xMS8zMC8yMDA3AQAAAIdSAAACAAAAEDMuNDQwNjc4MDU0MjgyMjgBDQAAAAUAAAABOQEAAAAHMjYyMTI5NQIAAAAHMTc1NzE1NQMAAAAGMTAwMzA3BAAAAAEyBgAAAAEwBwAAAAMxNjAIAAAAATAJAAAAATEKAAAAATALAAAACjg4NjQzMjg5NTUMAAAAAjEyDQAAAAkxMi8xLzIwMDer+1W5k3PVCLvQVUmXc9UIH0NJUS5eU1BYLklRX1BUQlYu</t>
  </si>
  <si>
    <t>MjAwMC44LzMxLzIwMTYBAAAAm7goAAIAAAAINy40MTM5OTcAy5GvvZNz1QhbxCRLl3PVCDRDSVEuTmFzZGFxR1M6SU5UQy5JUV9URVZfVE9UQUxfUkVWX0ZXRC42MDAwLjIvOC8yMDAyAQAAAIdSAAACAAAADzcuMjE1NDIxNDE1MzY3MQENAAAABQAAAAE5AQAAAAcyNjIxMjk1AgAAAAQxODc3AwAAAAYxMDAzMDcEAAAAATIGAAAAATAHAAAAAzE2MAgAAAABMAkAAAABMQoAAAABMAsAAAAJMzYwNjU0NjMzDAAAAAIxMg0AAAAIMi85LzIwMDLrb7y3k3PVCEv7SkmXc9UIL0NJUS5OQVNEQVFHUzpJTlRDLklRX1BFX0VYQ0xfRldELjYwMDAuNi8xOS8yMDA5AQAAAIdSAAACAAAAEDI2LjYzODkzNTEwODE1MzEBDQAAAAUAAAABOQEAAAAHMjYyMTI5NQIAAAAHMTc1NzE1OQMAAAAGMTAwMzA5BAAAAAEyBgAAAAEwBwAAAAMxNjAIAAAAATAJAAAAATEKAAAAATALAAAACjg4NjM2MTMwNDgMAAAAAjEyDQAAAAk2LzIwLzIwMDmb/rO9k3PVCKvHUEmXc9UINkNJUS5OQVNEQVFHUzpJTlRDLklRX1RFVl9FQklUREFfRldEX0NJUS42MDAwLjEwLzEvMjAwNAEAAACHUgAAAgAAABA3LjU3NTc0NDQzMTk2NTQ0AQ0AAAAFAAAAATkBAAAABzI2MjEyOTUCAAAABzE3NTcxNDUDAAAABjEwMDMwOAQAAAABMgYAAAABMAcAAAADMTYwCAAAAAEwCQAAAAExCgAAAAEwCwAAAAoxMTY5MTI5MTQ3DAAAAAIxMg0AAAAJMTAvMi8yMDA0</t>
  </si>
  <si>
    <t>K3VVu5Nz1Qh7So6ul3PVCDVDSVEuTkFTREFRR1M6SU5UQy5JUV9URVZfVE9UQUxfUkVWX0ZXRC42MDAwLjIvMTAvMjAwNgEAAACHUgAAAgAAABAyLjg1NDA0NjcyOTIwOTk4AQ0AAAAFAAAAATkBAAAABzI2MjEyOTUCAAAABDE4ODEDAAAABjEwMDMwNwQAAAABMgYAAAABMAcAAAADMTYwCAAAAAEwCQAAAAExCgAAAAEwCwAAAAkzNjA2NzIzMDEMAAAAAjEyDQAAAAkyLzExLzIwMDZ7Xru3k3PVCAsjVEmXc9UILkNJUS5OQVNEQVFHUzpJTlRDLklRX1BFX0VYQ0xfRldELjYwMDAuNC85LzIwMTABAAAAh1IAAAIAAAAQMTMuODA5OTU1NDE2MTk3MQENAAAABQAAAAE5AQAAAAcyNjIxMjk1AgAAAAQxODg1AwAAAAYxMDAzMDkEAAAAATIGAAAAATAHAAAAAzE2MAgAAAABMAkAAAABMQoAAAABMAsAAAAHMTU1MTkzOAwAAAACMTINAAAACTQvMTAvMjAxMCvtsr2Tc9UI67ZYSZdz1Qg1Q0lRLk5hc2RhcUdTOklOVEMuSVFfVEVWX1RPVEFMX1JFVl9GV0QuNjAwMC40LzIzLzIwMTABAAAAh1IAAAIAAAAQMi43Mjg3MTA0NTQxNzA3MgENAAAABQAAAAE5AQAAAAcyNjIxMjk1AgAAAAcxNzU3MTYyAwAAAAYxMDAzMDcEAAAAATIGAAAAATAHAAAAAzE2MAgAAAABMAkAAAABMQoAAAABMAsAAAAKODg2Mzg0NDE2OAwAAAACMTINAAAACTQvMjQvMjAxMKsltL2Tc9UI2zxRSZdz1QgkQ0lRLl5TUFguSVFfTEFTVFNBTEVQUklD</t>
  </si>
  <si>
    <t>RS4xMS8zMC8yMDE2AQAAAJu4KAACAAAADjIxOTguODEwNDQ5MDg4ADvqVLmTc9UIK/wcS5dz1QglQ0lRLl5TUFguSVFfUEVfRVhDTF9GV0QuNjAwMC4zLzkvMjAxNgEAAACbuCgAAgAAAAgxNi43MDg1NwAb3VK7k3PVCMu3KkuXc9UIKENJUS5OQVNEQVFHUzpJTlRDLklRX1BUQlYuMjAwMC43LzEzLzIwMTIBAAAAh1IAAAIAAAAINC4wMzczNTQBBwAAAAUAAAABMQEAAAAKMTU0NTE1NjQzOAMAAAABMAIAAAAGMTAwMDI5BAAAAAEwBwAAAAk3LzEzLzIwMTIIAAAACTcvMTMvMjAxMksYsLuTc9UI2zxRSZdz1QgtQ0lRLl5TUFguSVFfVEVWX0VCSVREQV9GV0RfQ0lRLjYwMDAuMTEvOC8yMDE3AQAAAJu4KAACAAAACTEwLjYyOTMxMwDbuK+9k3PVCNtG8EqXc9UIJkNJUS5eU1BYLklRX1BFX0VYQ0xfRldELjYwMDAuMTIvMi8yMDE1AQAAAJu4KAACAAAACTE3LjAzMjUzOAB7jbC7k3PVCNtPLUuXc9UIL0NJUS5OQVNEQVFHUzpJTlRDLklRX1BSSUNFX1NBTEVTLjIwMDAuMTEvMi8yMDE2AQAAAIdSAAACAAAACDIuODIzMDA1AQcAAAAFAAAAATEBAAAACjE4MTU1NDQ0NTADAAAAATACAAAABTM4OTU4BAAAAAEwBwAAAAkxMS8yLzIwMTYIAAAACTExLzIvMjAxNrtqr72Tc9UIu8wgS5dz1Qg0Q0lRLk5hc2RhcUdTOklOVEMuSVFfVEVWX1RPVEFMX1JFVl9GV0QuNjAwMC4yLzIvMjAwNwEAAACHUgAAAgAAABAzLjAw</t>
  </si>
  <si>
    <t>MzE5OTIzMjI1ODIxAQ0AAAAFAAAAATkBAAAABzI2MjEyOTUCAAAABDE4ODIDAAAABjEwMDMwNwQAAAABMgYAAAABMAcAAAADMTYwCAAAAAEwCQAAAAExCgAAAAEwCwAAAAkzNjA2ODU0NjAMAAAAAjEyDQAAAAgyLzMvMjAwN5v+s72Tc9UI+/tTSZdz1Qg3Q0lRLk5BU0RBUUdTOklOVEMuSVFfVEVWX0VCSVREQV9GV0RfQ0lRLjYwMDAuMTAvMjQvMjAxNAEAAACHUgAAAgAAABA2LjUxMDQ2NjA0MDgyMTgzAQ0AAAAFAAAAATkBAAAABzI2MjEyOTUCAAAABzQ0NTY0MjkDAAAABjEwMDMwOAQAAAABMgYAAAABMAcAAAADMTYwCAAAAAEwCQAAAAExCgAAAAEwCwAAAAo4NjQ4Nzk2MjMyDAAAAAIxMg0AAAAKMTAvMjUvMjAxNHvHU7uTc9UIyw2Prpdz1QgsQ0lRLl5TUFguSVFfVEVWX0VCSVREQV9GV0RfQ0lRLjYwMDAuOC8zLzIwMTYBAAAAm7goAAIAAAAJMTAuMjEwNjEyAHuNsLuTc9UI+0omS5dz1QgmQ0lRLl5TUFguSVFfUEVfRVhDTF9GV0QuNjAwMC4yLzEyLzIwMTQBAAAAm7goAAIAAAAJMTUuNDM2MjQ0AOv+ubeTc9UIq4A7S5dz1QgtQ0lRLl5TUFguSVFfVEVWX1RPVEFMX1JFVl9GV0QuNjAwMC4xMC8xMi8yMDE2AQAAAJu4KAACAAAACDIuMDU1MDA2AOvRiLaTc9UISywiS5dz1QguQ0lRLk5BU0RBUUdTOklOVEMuSVFfUEVfRVhDTF9GV0QuNjAwMC4yLzYvMjAxNQEAAACHUgAAAgAAABAxNC4wMzE1OTA1</t>
  </si>
  <si>
    <t>NzAwMjk0AQ0AAAAFAAAAATkBAAAABzI2MjEyOTUCAAAACjEwMDAwOTQwNzEDAAAABjEwMDMwOQQAAAABMgYAAAABMAcAAAADMTYwCAAAAAEwCQAAAAExCgAAAAEwCwAAAAo4NTc1MjYxNDY3DAAAAAIxMg0AAAAIMi83LzIwMTXrULK9k3PVCMsVUUmXc9UIH0NJUS5eU1BYLklRX1BUQlYuMjAwMC40LzMwLzIwMTQBAAAAm7goAAIAAAAINS4yMDcxMjkA62dSu5Nz1Qj70jlLl3PVCDVDSVEuTmFzZGFxR1M6SU5UQy5JUV9URVZfVE9UQUxfUkVWX0ZXRC42MDAwLjUvMTAvMjAxMwEAAACHUgAAAgAAAA8yLjE2NzQ3ODgxOTY5NzEBDQAAAAUAAAABOQEAAAAHMjYyMTI5NQIAAAAHMzgyOTc1MQMAAAAGMTAwMzA3BAAAAAEyBgAAAAEwBwAAAAMxNjAIAAAAATAJAAAAATEKAAAAATALAAAACjg4NjI1Mzk5NzEMAAAAAjEyDQAAAAk1LzExLzIwMTOrJbS9k3PVCIs9WkmXc9UINUNJUS5OYXNkYXFHUzpJTlRDLklRX1RFVl9UT1RBTF9SRVZfRldELjYwMDAuMTIvNy8yMDAxAQAAAIdSAAACAAAAEDcuODIzNTY3MjE3NTU4NjkBDQAAAAUAAAABOQEAAAAHMjYyMTI5NQIAAAAHMzQyMTE2MgMAAAAGMTAwMzA3BAAAAAEyBgAAAAEwBwAAAAMxNjAIAAAAATAJAAAAATEKAAAAATALAAAACjExNjkxNTI1NTkMAAAAAjEyDQAAAAkxMi84LzIwMDGb27C7k3PVCLvQVUmXc9UILENJUS5OQVNEQVFHUzpJTlRDLklRX0xBU1RTQUxF</t>
  </si>
  <si>
    <t>UFJJQ0UuOC8zMC8yMDE3AQAAAIdSAAACAAAABTM0Ljg5AMuRr72Tc9UIGxj9Spdz1QgvQ0lRLk5BU0RBUUdTOklOVEMuSVFfUEVfRVhDTF9GV0QuNjAwMC4xLzI1LzIwMTMBAAAAh1IAAAIAAAAPMTAuODE5OTYzMjQ1MTYzAQ0AAAAFAAAAATkBAAAABzI2MjEyOTUCAAAABzM2NTI2NjADAAAABjEwMDMwOQQAAAABMgYAAAABMAcAAAADMTYwCAAAAAEwCQAAAAExCgAAAAEwCwAAAAo1NzQ4MzAyOTkwDAAAAAIxMg0AAAAJMS8yNi8yMDEzC5+yvZNz1Qh7NFVJl3PVCDVDSVEuTmFzZGFxR1M6SU5UQy5JUV9URVZfRUJJVERBX0ZXRF9DSVEuNjAwMC4yLzkvMjAwMQEAAACHUgAAAwAAAAAAy1Cxu5Nz1QgLOY2ul3PVCCtDSVEuXlNQWC5JUV9URVZfVE9UQUxfUkVWX0ZXRC42MDAwLjQvOS8yMDE0AQAAAJu4KAACAAAACDEuODI4NTc3AGtfVbmTc9UIW706S5dz1QgoQ0lRLk5BU0RBUUdTOklOVEMuSVFfUFRCVi4yMDAwLjEvMjcvMjAxNwEAAACHUgAAAgAAAAg0LjIxODIxOAEHAAAABQAAAAExAQAAAAoxODI1NTIyMTc2AwAAAAEwAgAAAAYxMDAwMjkEAAAAATAHAAAACTEvMjcvMjAxNwgAAAAJMS8yNy8yMDE3O/Gvu5Nz1Qh7w1JJl3PVCCtDSVEuXlNQWC5JUV9URVZfVE9UQUxfUkVWX0ZXRC42MDAwLjMvMS8yMDE3AQAAAJu4KAACAAAACDIuMjIwMzk0AKsSZ7mTc9UIiwQZS5dz1QgpQ0lRLk5BU0RBUUdTOklO</t>
  </si>
  <si>
    <t>VEMuSVFfUFRCVi4yMDAwLjEwLzE4LzIwMTMBAAAAh1IAAAIAAAAIMy4wMDY3ODUBBwAAAAUAAAABMQEAAAAKMTY0MDk4MDM0MAMAAAABMAIAAAAGMTAwMDI5BAAAAAEwBwAAAAoxMC8xOC8yMDEzCAAAAAoxMC8xOC8yMDEzu2qvvZNz1Qjbj1hJl3PVCCxDSVEuTkFTREFRR1M6SU5UQy5JUV9MQVNUU0FMRVBSSUNFLjcvMTkvMjAxNwEAAACHUgAAAgAAAAUzNC41NgAb3VK7k3PVCFt4B0uXc9UINkNJUS5OYXNkYXFHUzpJTlRDLklRX1RFVl9UT1RBTF9SRVZfRldELjYwMDAuMTAvMjcvMjAxNwEAAACHUgAAAgAAABAzLjQ5OTQwMzcyNDk2MTEyAQ0AAAAFAAAAATkBAAAABzI2MjEyOTUCAAAACDI3NTAwMTc0AwAAAAYxMDAzMDcEAAAAATIGAAAAATAHAAAAAzE2MAgAAAABMAkAAAABMQoAAAABMAsAAAALMTA3MzQ0NTE0MTcMAAAAAjEyDQAAAAoxMC8yOC8yMDE3u/q7t5Nz1Qirx1BJl3PVCC9DSVEuTkFTREFRR1M6SU5UQy5JUV9QRV9FWENMX0ZXRC42MDAwLjgvMTUvMjAxNAEAAACHUgAAAgAAAA8xNC44MjQ5MzgxNzUxOTIBDQAAAAUAAAABOQEAAAAHMjYyMTI5NQIAAAAHNDQ1NjQyOAMAAAAGMTAwMzA5BAAAAAEyBgAAAAEwBwAAAAMxNjAIAAAAATAJAAAAATEKAAAAATALAAAACjgxNTI4Nzc0MzAMAAAAAjEyDQAAAAk4LzE2LzIwMTT7d7K9k3PVCPvdWEmXc9UINkNJUS5OYXNkYXFHUzpJTlRDLklRX1RF</t>
  </si>
  <si>
    <t>Vl9UT1RBTF9SRVZfRldELjYwMDAuMTIvMTMvMjAwMgEAAACHUgAAAgAAABAzLjkxNDg1MzgwNjA1MDYxAQ0AAAAFAAAAATkBAAAABzI2MjEyOTUCAAAABzE3NTcxNDADAAAABjEwMDMwNwQAAAABMgYAAAABMAcAAAADMTYwCAAAAAEwCQAAAAExCgAAAAEwCwAAAAoxMTY5MTI2MTc2DAAAAAIxMg0AAAAKMTIvMTQvMjAwMutvvLeTc9UIa5xSSZdz1QguQ0lRLk5BU0RBUUdTOklOVEMuSVFfUEVfRVhDTF9GV0QuNjAwMC4zLzYvMjAxNQEAAACHUgAAAgAAAA8xMy45NzA3OTU2MDcxMzQBDQAAAAUAAAABOQEAAAAHMjYyMTI5NQIAAAAKMTAwMDA5NDA3MQMAAAAGMTAwMzA5BAAAAAEyBgAAAAEwBwAAAAMxNjAIAAAAATAJAAAAATEKAAAAATALAAAACjg2NDY1NDA4NTcMAAAAAjEyDQAAAAgzLzcvMjAxNetQsr2Tc9UIO3pZSZdz1QgjQ0lRLl5TUFguSVFfTEFTVFNBTEVQUklDRS41LzI3LzIwMTUBAAAAm7goAAIAAAAQMjEyMy40NzU4Njg3OTUwMgBbP7C7k3PVCEvSMEuXc9UIL0NJUS5OQVNEQVFHUzpJTlRDLklRX1BSSUNFX1NBTEVTLjIwMDAuNi8xNy8yMDE2AQAAAIdSAAACAAAACDIuNjczNTIxAQcAAAAFAAAAATEBAAAACjE3ODkxOTMzNDMDAAAAATACAAAABTM4OTU4BAAAAAEwBwAAAAk2LzE3LzIwMTYIAAAACTYvMTcvMjAxNjvxr7uTc9UIe8NSSZdz1QgpQ0lRLk5BU0RBUUdTOklOVEMuSVFfUFRCVi4y</t>
  </si>
  <si>
    <t>MDAwLjExLzE0LzIwMTQBAAAAh1IAAAIAAAAINC4wMDgzNDEBBwAAAAUAAAABMQEAAAAKMTcwMzY4MTg5NAMAAAABMAIAAAAGMTAwMDI5BAAAAAEwBwAAAAoxMS8xNC8yMDE0CAAAAAoxMS8xNC8yMDE0a3ZmuZNz1Qh7NFVJl3PVCDVDSVEuTmFzZGFxR1M6SU5UQy5JUV9URVZfVE9UQUxfUkVWX0ZXRC42MDAwLjQvMjcvMjAwNwEAAACHUgAAAgAAABAzLjE2MDgzMDg3OTcxMTY4AQ0AAAAFAAAAATkBAAAABzI2MjEyOTUCAAAABzE3NTcxNTMDAAAABjEwMDMwNwQAAAABMgYAAAABMAcAAAADMTYwCAAAAAEwCQAAAAExCgAAAAEwCwAAAAsxMDM3ODU4NDA5NgwAAAACMTINAAAACTQvMjgvMjAwNxskaLmTc9UI+/tTSZdz1QgvQ0lRLk5BU0RBUUdTOklOVEMuSVFfUEVfRVhDTF9GV0QuNjAwMC44LzEwLzIwMTIBAAAAh1IAAAIAAAAQMTAuMzg4ODA3Mjk2OTAwNAENAAAABQAAAAE5AQAAAAcyNjIxMjk1AgAAAAcxNzU3MTY5AwAAAAYxMDAzMDkEAAAAATIGAAAAATAHAAAAAzE2MAgAAAABMAkAAAABMQoAAAABMAsAAAAKODg2MzQzNDQ2MwwAAAACMTINAAAACTgvMTEvMjAxMgufsr2Tc9UICyNUSZdz1QguQ0lRLk5BU0RBUUdTOklOVEMuSVFfUEVfRVhDTF9GV0QuNjAwMC4zLzEvMjAxMwEAAACHUgAAAgAAABAxMC44NjIyMTA1NjA1Njg2AQ0AAAAFAAAAATkBAAAABzI2MjEyOTUCAAAABzM2NTI2NjADAAAABjEw</t>
  </si>
  <si>
    <t>MDMwOQQAAAABMgYAAAABMAcAAAADMTYwCAAAAAEwCQAAAAExCgAAAAEwCwAAAAo1NzQ4MzAyOTkzDAAAAAIxMg0AAAAIMy8yLzIwMTOb/rO9k3PVCFsiS0mXc9UILUNJUS5OQVNEQVFHUzpJTlRDLklRX0xBU1RTQUxFUFJJQ0UuMTIvMjEvMjAxNgEAAACHUgAAAgAAAAUzNi45OADLka+9k3PVCDsjHUuXc9UIL0NJUS5OQVNEQVFHUzpJTlRDLklRX1BSSUNFX1NBTEVTLjIwMDAuNS8xMi8yMDE3AQAAAIdSAAACAAAACDIuNzc4ODE5AQcAAAAFAAAAATEBAAAACjE4MzgzNjAxMzIDAAAAATACAAAABTM4OTU4BAAAAAEwBwAAAAk1LzEyLzIwMTcIAAAACTUvMTIvMjAxN3udZrmTc9UICyNUSZdz1QgsQ0lRLl5TUFguSVFfVEVWX1RPVEFMX1JFVl9GV0QuNjAwMC41LzI4LzIwMTQBAAAAm7goAAIAAAAIMS44MzE0MTUAe42wu5Nz1Qi7NjlLl3PVCC9DSVEuTkFTREFRR1M6SU5UQy5JUV9QUklDRV9TQUxFUy4yMDAwLjMvMTcvMjAxNwEAAACHUgAAAgAAAAgyLjgwOTE1MQEHAAAABQAAAAExAQAAAAoxODI4MTc0MTIyAwAAAAEwAgAAAAUzODk1OAQAAAABMAcAAAAJMy8xNy8yMDE3CAAAAAkzLzE3LzIwMTfb17m3k3PVCLsMTEmXc9UIL0NJUS5OQVNEQVFHUzpJTlRDLklRX1BSSUNFX1NBTEVTLjIwMDAuMTAvMS8yMDEwAQAAAIdSAAACAAAACDIuNjA4MjE0AQcAAAAFAAAAATEBAAAACjEzODk3MTA3NDQDAAAAATAC</t>
  </si>
  <si>
    <t>AAAABTM4OTU4BAAAAAEwBwAAAAkxMC8xLzIwMTAIAAAACTEwLzEvMjAxMGt2ZrmTc9UIS79USZdz1Qg1Q0lRLk5hc2RhcUdTOklOVEMuSVFfVEVWX1RPVEFMX1JFVl9GV0QuNjAwMC44LzE2LzIwMDIBAAAAh1IAAAIAAAAQNC4xNTM1NTY3MDUzMTkzOQENAAAABQAAAAE5AQAAAAcyNjIxMjk1AgAAAAcxNzU3MTM5AwAAAAYxMDAzMDcEAAAAATIGAAAAATAHAAAAAzE2MAgAAAABMAkAAAABMQoAAAABMAsAAAAKMTE2OTEyNTY5OAwAAAACMTINAAAACTgvMTcvMjAwMkuZaLmTc9UIy4ZTSZdz1QgsQ0lRLl5TUFguSVFfVEVWX1RPVEFMX1JFVl9GV0QuNjAwMC4zLzE2LzIwMTYBAAAAm7goAAIAAAAIMi4wMzE3NzQAa2awu5Nz1QjrBStLl3PVCDZDSVEuTmFzZGFxR1M6SU5UQy5JUV9URVZfRUJJVERBX0ZXRF9DSVEuNjAwMC40LzI3LzIwMDEBAAAAh1IAAAIAAAAPMjAuNzQ5MjQ0NjE3NzQ1AQ0AAAAFAAAAATkBAAAABzI2MjEyOTUCAAAABzM0MjExNjADAAAABjEwMDMwOAQAAAABMgYAAAABMAcAAAADMTYwCAAAAAEwCQAAAAExCgAAAAEwCwAAAAoxMTY5MTUyNDMxDAAAAAIxMg0AAAAJNC8yOC8yMDAxqyW0vZNz1QhbbZCul3PVCCxDSVEuXlNQWC5JUV9URVZfVE9UQUxfUkVWX0ZXRC42MDAwLjgvMTAvMjAxNgEAAACbuCgAAgAAAAcyLjA3Njk0AHuGVbmTc9UI2/wlS5dz1QgvQ0lRLk5BU0RBUUdTOklOVEMu</t>
  </si>
  <si>
    <t>SVFfUEVfRVhDTF9GV0QuNjAwMC40LzE3LzIwMDMBAAAAh1IAAAIAAAAPMjguNjgxMjE3MzM3ODQyAQ0AAAAFAAAAATkBAAAABzI2MjEyOTUCAAAABzE3NTcxNDEDAAAABjEwMDMwOQQAAAABMgYAAAABMAcAAAADMTYwCAAAAAEwCQAAAAExCgAAAAEwCwAAAAoxMTY5MTU0MTA2DAAAAAIxMg0AAAAJNC8xOC8yMDAze7CzvZNz1QgLlFZJl3PVCC9DSVEuTkFTREFRR1M6SU5UQy5JUV9QUklDRV9TQUxFUy4yMDAwLjIvMjUvMjAxMQEAAACHUgAAAgAAAAgyLjc4MzY3NgEHAAAABQAAAAExAQAAAAoxNDMwNjI0NTA5AwAAAAEwAgAAAAUzODk1OAQAAAABMAcAAAAJMi8yNS8yMDExCAAAAAkyLzI1LzIwMTH7jlK7k3PVCCviVkmXc9UILUNJUS5eU1BYLklRX1RFVl9UT1RBTF9SRVZfRldELjYwMDAuMTEvMTgvMjAxNQEAAACbuCgAAgAAAAgyLjA0MTg5NQArBFO7k3PVCCsTLkuXc9UILENJUS5OQVNEQVFHUzpJTlRDLklRX0xBU1RTQUxFUFJJQ0UuOC8yNi8yMDE1AQAAAIdSAAACAAAABDI3LjMAy5GvvZNz1QjbwC9Ll3PVCC9DSVEuTkFTREFRR1M6SU5UQy5JUV9QRV9FWENMX0ZXRC42MDAwLjMvMTgvMjAxMQEAAACHUgAAAgAAABA5LjgyNTY3MTk3MTQ0NDkxAQ0AAAAFAAAAATkBAAAABzI2MjEyOTUCAAAABDE4ODYDAAAABjEwMDMwOQQAAAABMgYAAAABMAcAAAADMTYwCAAAAAEwCQAAAAExCgAAAAEwCwAAAAo1</t>
  </si>
  <si>
    <t>NzQ3ODkyNDg3DAAAAAIxMg0AAAAJMy8xOS8yMDExG8ayvZNz1Qgbu1ZJl3PVCCBDSVEuXlNQWC5JUV9QVEJWLjIwMDAuMTEvMTUvMjAxNwEAAACbuCgAAgAAAAg5LjEzMjE3OACLxGa5k3PVCBty7kqXc9UILkNJUS5OQVNEQVFHUzpJTlRDLklRX1BFX0VYQ0xfRldELjYwMDAuMi8xLzIwMDgBAAAAh1IAAAIAAAAPMTUuNDk0NTkwNzQ3MzMxAQ0AAAAFAAAAATkBAAAABzI2MjEyOTUCAAAABDE4ODMDAAAABjEwMDMwOQQAAAABMgYAAAABMAcAAAADMTYwCAAAAAEwCQAAAAExCgAAAAEwCwAAAAcxNTMzMjUwDAAAAAIxMg0AAAAIMi8yLzIwMDhLO7O9k3PVCOvUU0mXc9UIN0NJUS5OYXNkYXFHUzpJTlRDLklRX1RFVl9FQklUREFfRldEX0NJUS42MDAwLjEyLzI4LzIwMDEBAAAAh1IAAAIAAAAQMjEuNjgwNDkxNDYzNjEwNwENAAAABQAAAAE5AQAAAAcyNjIxMjk1AgAAAAczNDIxMTYyAwAAAAYxMDAzMDgEAAAAATIGAAAAATAHAAAAAzE2MAgAAAABMAkAAAABMQoAAAABMAsAAAAKODQwMTQyODMzMwwAAAACMTINAAAACjEyLzI5LzIwMDGLtLC7k3PVCItxjq6Xc9UINUNJUS5OYXNkYXFHUzpJTlRDLklRX1RFVl9FQklUREFfRldEX0NJUS42MDAwLjQvMS8yMDEwAQAAAIdSAAACAAAAEDYuNDE4NjAwMjY1ODE1NTkBDQAAAAUAAAABOQEAAAAHMjYyMTI5NQIAAAAEMTg4NQMAAAAGMTAwMzA4BAAAAAEyBgAAAAEw</t>
  </si>
  <si>
    <t>BwAAAAMxNjAIAAAAATAJAAAAATEKAAAAATALAAAACTM2MDc0MDU2OQwAAAACMTINAAAACDQvMi8yMDEwy/tWu5Nz1QjrW4+ul3PVCClDSVEuTkFTREFRR1M6SU5UQy5JUV9QVEJWLjIwMDAuMTIvMzEvMjAxNQEAAACHUgAAAgAAAAgzLjg3NTIwNQEHAAAABQAAAAExAQAAAAoxNzYxNzA2ODI3AwAAAAEwAgAAAAYxMDAwMjkEAAAAATAHAAAACjEyLzMxLzIwMTUIAAAACjEyLzMxLzIwMTVrdma5k3PVCGsNVUmXc9UINkNJUS5OYXNkYXFHUzpJTlRDLklRX1RFVl9FQklUREFfRldEX0NJUS42MDAwLjkvMTIvMjAxNAEAAACHUgAAAgAAABA2LjgwODk0ODQ5MTY5NjQ4AQ0AAAAFAAAAATkBAAAABzI2MjEyOTUCAAAABzQ0NTY0MjgDAAAABjEwMDMwOAQAAAABMgYAAAABMAcAAAADMTYwCAAAAAEwCQAAAAExCgAAAAEwCwAAAAo4NjQ4MTAxNjc0DAAAAAIxMg0AAAAJOS8xMy8yMDE0m/6zvZNz1QhL1Y2ul3PVCDVDSVEuTmFzZGFxR1M6SU5UQy5JUV9URVZfVE9UQUxfUkVWX0ZXRC42MDAwLjYvMTcvMjAxMQEAAACHUgAAAgAAABAxLjkxNDUyNjM1OTA5Njk2AQ0AAAAFAAAAATkBAAAABzI2MjEyOTUCAAAABzE3NTcxNjUDAAAABjEwMDMwNwQAAAABMgYAAAABMAcAAAADMTYwCAAAAAEwCQAAAAExCgAAAAEwCwAAAAo4ODY0NDI4OTExDAAAAAIxMg0AAAAJNi8xOC8yMDExq61Wu5Nz1QhrnFJJl3PVCDZDSVEuTmFz</t>
  </si>
  <si>
    <t>ZGFxR1M6SU5UQy5JUV9URVZfRUJJVERBX0ZXRF9DSVEuNjAwMC41LzE2LzIwMDMBAAAAh1IAAAIAAAAQMTAuMTUyNjM5MDc0NTU0NgENAAAABQAAAAE5AQAAAAcyNjIxMjk1AgAAAAcxNzU3MTQxAwAAAAYxMDAzMDgEAAAAATIGAAAAATAHAAAAAzE2MAgAAAABMAkAAAABMQoAAAABMAsAAAAKMTE2OTEyNjk4MwwAAAACMTINAAAACTUvMTcvMjAwM6sltL2Tc9UIe0qOrpdz1QgoQ0lRLk5BU0RBUUdTOklOVEMuSVFfUFRCVi4yMDAwLjkvMTEvMjAxNQEAAACHUgAAAgAAAAgzLjMwMTA2NwEHAAAABQAAAAExAQAAAAoxNzQ3MzU5NTEyAwAAAAEwAgAAAAYxMDAwMjkEAAAAATAHAAAACTkvMTEvMjAxNQgAAAAJOS8xMS8yMDE1Sxiwu5Nz1QjbPFFJl3PVCDBDSVEuTkFTREFRR1M6SU5UQy5JUV9QUklDRV9TQUxFUy4yMDAwLjEwLzE0LzIwMTYBAAAAh1IAAAIAAAAHMy4xMjg1NQEHAAAABQAAAAExAQAAAAoxODAxMjk0NTAxAwAAAAEwAgAAAAUzODk1OAQAAAABMAcAAAAKMTAvMTQvMjAxNggAAAAKMTAvMTQvMjAxNvuOUruTc9UIOwlXSZdz1QgvQ0lRLk5BU0RBUUdTOklOVEMuSVFfUFJJQ0VfU0FMRVMuMjAwMC40LzI4LzIwMTcBAAAAh1IAAAIAAAAHMi44MjczMQEHAAAABQAAAAExAQAAAAoxODM4MzYwMTMyAwAAAAEwAgAAAAUzODk1OAQAAAABMAcAAAAJNC8yOC8yMDE3CAAAAAk0LzI4LzIwMTfLsLm3k3PV</t>
  </si>
  <si>
    <t>CNtaTEmXc9UIKENJUS5OQVNEQVFHUzpJTlRDLklRX1BUQlYuMjAwMC40LzE3LzIwMTQBAAAAh1IAAAIAAAAIMy4xNjQ0ODUBBwAAAAUAAAABMQEAAAAKMTY2OTAyNDU2MgMAAAABMAIAAAAGMTAwMDI5BAAAAAEwBwAAAAk0LzE3LzIwMTQIAAAACTQvMTcvMjAxNKtDr72Tc9UIiz1aSZdz1QgoQ0lRLk5BU0RBUUdTOklOVEMuSVFfUFRCVi4yMDAwLjMvMTcvMjAxNwEAAACHUgAAAgAAAAgzLjkxMzA5NwEHAAAABQAAAAExAQAAAAoxODI4MTc0MTIyAwAAAAEwAgAAAAYxMDAwMjkEAAAAATAHAAAACTMvMTcvMjAxNwgAAAAJMy8xNy8yMDE3W09muZNz1QiLW1VJl3PVCC9DSVEuTkFTREFRR1M6SU5UQy5JUV9QRV9FWENMX0ZXRC42MDAwLjkvMjMvMjAxMQEAAACHUgAAAgAAABA5LjM0OTgxNjQ2MzQ0MDM2AQ0AAAAFAAAAATkBAAAABzI2MjEyOTUCAAAABzE3NTcxNjYDAAAABjEwMDMwOQQAAAABMgYAAAABMAcAAAADMTYwCAAAAAEwCQAAAAExCgAAAAEwCwAAAAo4ODYzMzU5Mjc0DAAAAAIxMg0AAAAJOS8yNC8yMDExG8ayvZNz1QhrnFJJl3PVCCNDSVEuXlNQWC5JUV9MQVNUU0FMRVBSSUNFLjMvMTYvMjAxNgEAAACbuCgAAgAAABAyMDI3LjIxNzM5MzMxNjE0ACvDVLmTc9UIq2kqS5dz1Qg2Q0lRLk5BU0RBUUdTOklOVEMuSVFfVEVWX0VCSVREQV9GV0RfQ0lRLjYwMDAuNS8yNi8yMDA2AQAAAIdSAAACAAAA</t>
  </si>
  <si>
    <t>EDguNTUxMDI0MTIyNjI3MzEBDQAAAAUAAAABOQEAAAAHMjYyMTI5NQIAAAAHMTc1NzE1MAMAAAAGMTAwMzA4BAAAAAEyBgAAAAEwBwAAAAMxNjAIAAAAATAJAAAAATEKAAAAATALAAAACjExNjkxMzMyMzIMAAAAAjEyDQAAAAk1LzI3LzIwMDYLJ1W7k3PVCKu/jq6Xc9UII0NJUS5eU1BYLklRX0xBU1RTQUxFUFJJQ0UuNC8yNy8yMDE2AQAAAJu4KAACAAAAEDIwOTUuMTU0MzkzNjE0ODEAW09muZNz1QhbpilLl3PVCChDSVEuTkFTREFRR1M6SU5UQy5JUV9QVEJWLjIwMDAuOC8yMy8yMDEzAQAAAIdSAAACAAAACDIuOTI0ODYzAQcAAAAFAAAAATEBAAAACjE2Mjg0MzY4NDkDAAAAATACAAAABjEwMDAyOQQAAAABMAcAAAAJOC8yMy8yMDEzCAAAAAk4LzIzLzIwMTO7aq+9k3PVCPvdWEmXc9UINkNJUS5OQVNEQVFHUzpJTlRDLklRX1RFVl9FQklUREFfRldEX0NJUS42MDAwLjYvMjUvMjAxMAEAAACHUgAAAgAAABA0LjkxOTUyNDE3MjUzNTc4AQ0AAAAFAAAAATkBAAAABzI2MjEyOTUCAAAABzE3NTcxNjIDAAAABjEwMDMwOAQAAAABMgYAAAABMAcAAAADMTYwCAAAAAEwCQAAAAExCgAAAAEwCwAAAAo4MTcxNTcyNTU0DAAAAAIxMg0AAAAJNi8yNi8yMDEwu2NUu5Nz1Qh7u5Cul3PVCCdDSVEuTkFTREFRR1M6SU5UQy5JUV9QVEJWLjIwMDAuMi81LzIwMTABAAAAh1IAAAIAAAAIMi44ODM3MDkBBwAAAAUAAAAB</t>
  </si>
  <si>
    <t>MQEAAAAKMTMwNTE2OTI1NAMAAAABMAIAAAAGMTAwMDI5BAAAAAEwBwAAAAgyLzUvMjAxMAgAAAAIMi81LzIwMTDLsLm3k3PVCNtaTEmXc9UINUNJUS5OYXNkYXFHUzpJTlRDLklRX1RFVl9UT1RBTF9SRVZfRldELjYwMDAuMTAvMi8yMDA5AQAAAIdSAAACAAAAEDIuNjY1MTk1NDIzNzIyNTgBDQAAAAUAAAABOQEAAAAHMjYyMTI5NQIAAAAHMTc1NzE2MAMAAAAGMTAwMzA3BAAAAAEyBgAAAAEwBwAAAAMxNjAIAAAAATAJAAAAATEKAAAAATALAAAACjg4NjQyMTA3NzQMAAAAAjEyDQAAAAkxMC8zLzIwMDmrArG7k3PVCNvLTkmXc9UILENJUS5eU1BYLklRX1RFVl9FQklUREFfRldEX0NJUS42MDAwLjEvMy8yMDE4AQAAAJu4KAACAAAACTEwLjkwOTExNgB7hlW5k3PVCIvUo0qXc9UINUNJUS5OQVNEQVFHUzpJTlRDLklRX1RFVl9FQklUREFfRldEX0NJUS42MDAwLjkvMi8yMDExAQAAAIdSAAACAAAAEDMuOTcwMjA0MTYzODEwMDYBDQAAAAUAAAABOQEAAAAHMjYyMTI5NQIAAAAHMTc1NzE2NgMAAAAGMTAwMzA4BAAAAAEyBgAAAAEwBwAAAAMxNjAIAAAAATAJAAAAATEKAAAAATALAAAACjEzNjAyNTI5MTUMAAAAAjEyDQAAAAg5LzMvMjAxMas8VLuTc9UIK4eNrpdz1QgsQ0lRLk5BU0RBUUdTOklOVEMuSVFfTEFTVFNBTEVQUklDRS41LzI4LzIwMTQBAAAAh1IAAAIAAAAFMjYuODgAWz+wu5Nz1Qi7NjlLl3PV</t>
  </si>
  <si>
    <t>CCNDSVEuXlNQWC5JUV9MQVNUU0FMRVBSSUNFLjkvMjMvMjAxNQEAAACbuCgAAgAAABAxOTM4Ljc1OTI4NjQ1Nzk3AFs/sLuTc9UIi/0uS5dz1Qg1Q0lRLk5BU0RBUUdTOklOVEMuSVFfVEVWX0VCSVREQV9GV0RfQ0lRLjYwMDAuMi82LzIwMDQBAAAAh1IAAAIAAAAPMTAuOTY5MTQzNjY5NzI2AQ0AAAAFAAAAATkBAAAABzI2MjEyOTUCAAAABDE4NzkDAAAABjEwMDMwOAQAAAABMgYAAAABMAcAAAADMTYwCAAAAAEwCQAAAAExCgAAAAEwCwAAAAkzNjA2NjMyOTIMAAAAAjEyDQAAAAgyLzcvMjAwNDucVbuTc9UIu+aOrpdz1QgoQ0lRLk5BU0RBUUdTOklOVEMuSVFfUFRCVi4yMDAwLjYvMTAvMjAxMQEAAACHUgAAAgAAAAgzLjYzMjMxMwEHAAAABQAAAAExAQAAAAoxNDUyNDc1ODcyAwAAAAEwAgAAAAYxMDAwMjkEAAAAATAHAAAACTYvMTAvMjAxMQgAAAAJNi8xMC8yMDExO/Gvu5Nz1QhrnFJJl3PVCC9DSVEuTkFTREFRR1M6SU5UQy5JUV9QUklDRV9TQUxFUy4yMDAwLjIvMjYvMjAxNgEAAACHUgAAAgAAAAgyLjU1MjgyNAEHAAAABQAAAAExAQAAAAoxNzc1OTMzMTQwAwAAAAEwAgAAAAUzODk1OAQAAAABMAcAAAAJMi8yNi8yMDE2CAAAAAkyLzI2LzIwMTarQ6+9k3PVCGvvWUmXc9UIL0NJUS5OQVNEQVFHUzpJTlRDLklRX1BSSUNFX1NBTEVTLjIwMDAuNS8yNS8yMDE2AQAAAIdSAAACAAAACDIuNjQyMzc0</t>
  </si>
  <si>
    <t>AQcAAAAFAAAAATEBAAAACjE3ODkxOTMzNDMDAAAAATACAAAABTM4OTU4BAAAAAEwBwAAAAk1LzI1LzIwMTYIAAAACTUvMjUvMjAxNqtDr72Tc9UIW6YpS5dz1QgtQ0lRLl5TUFguSVFfVEVWX1RPVEFMX1JFVl9GV0QuNjAwMC4xMi8xMy8yMDE3AQAAAJu4KAACAAAACDIuMzMyNTI3AGtmsLuTc9UIK6DYSpdz1QgwQ0lRLk5BU0RBUUdTOklOVEMuSVFfUEVfRVhDTF9GV0QuNjAwMC4xMC8zMC8yMDE1AQAAAIdSAAACAAAAEDE0LjY3OTYxNTAxNzc3NTEBDQAAAAUAAAABOQEAAAAHMjYyMTI5NQIAAAAHODA2ODI2MgMAAAAGMTAwMzA5BAAAAAEyBgAAAAEwBwAAAAMxNjAIAAAAATAJAAAAATEKAAAAATALAAAACjkxMDUzODUyMTkMAAAAAjEyDQAAAAoxMC8zMS8yMDE161CyvZNz1QhLTlJJl3PVCDBDSVEuTkFTREFRR1M6SU5UQy5JUV9QUklDRV9TQUxFUy4yMDAwLjExLzI2LzIwMTABAAAAh1IAAAIAAAAHMi43NzA0MwEHAAAABQAAAAExAQAAAAoxNDA4NTE2NTQ2AwAAAAEwAgAAAAUzODk1OAQAAAABMAcAAAAKMTEvMjYvMjAxMAgAAAAKMTEvMjYvMjAxMDvqVLmTc9UIS91PSZdz1QgjQ0lRLl5TUFguSVFfTEFTVFNBTEVQUklDRS41LzE3LzIwMTcBAAAAm7goAAIAAAAPMjM1Ny4wMzIxNjcyMDM4ABvdUruTc9UIi0APS5dz1Qg1Q0lRLk5hc2RhcUdTOklOVEMuSVFfVEVWX1RPVEFMX1JFVl9GV0QuNjAwMC4x</t>
  </si>
  <si>
    <t>MC8xLzIwMDQBAAAAh1IAAAIAAAAQMy40MDkwNjk4MTMzOTg0NwENAAAABQAAAAE5AQAAAAcyNjIxMjk1AgAAAAcxNzU3MTQ1AwAAAAYxMDAzMDcEAAAAATIGAAAAATAHAAAAAzE2MAgAAAABMAkAAAABMQoAAAABMAsAAAAKMTE2OTEyODgyOQwAAAACMTINAAAACTEwLzIvMjAwNOuesbuTc9UIm75LSZdz1QgkQ0lRLl5TUFguSVFfTEFTVFNBTEVQUklDRS4xMi8xNC8yMDE2AQAAAJu4KAACAAAAEDIyNTMuMjc4NjI2MDc2NjEASyhmuZNz1QjLERxLl3PVCC9DSVEuTkFTREFRR1M6SU5UQy5JUV9QRV9FWENMX0ZXRC42MDAwLjUvMTgvMjAwMQEAAACHUgAAAgAAABA1MS44MTk4MDE4MDE4MDE4AQ0AAAAFAAAAATkBAAAABzI2MjEyOTUCAAAABzM0MjExNjADAAAABjEwMDMwOQQAAAABMgYAAAABMAcAAAADMTYwCAAAAAEwCQAAAAExCgAAAAEwCwAAAAoxMTY5MTczMTkwDAAAAAIxMg0AAAAJNS8xOS8yMDAxi9ezvZNz1Qgr4lZJl3PVCDVDSVEuTmFzZGFxR1M6SU5UQy5JUV9URVZfVE9UQUxfUkVWX0ZXRC42MDAwLjIvMTIvMjAxMAEAAACHUgAAAgAAABAyLjQ5ODIyNTM2MzE3OTg5AQ0AAAAFAAAAATkBAAAABzI2MjEyOTUCAAAABDE4ODUDAAAABjEwMDMwNwQAAAABMgYAAAABMAcAAAADMTYwCAAAAAEwCQAAAAExCgAAAAEwCwAAAAkzNjA3MzYxNTEMAAAAAjEyDQAAAAkyLzEzLzIwMTDbSLy3k3PVCJsRU0mX</t>
  </si>
  <si>
    <t>c9UIJ0NJUS5OQVNEQVFHUzpJTlRDLklRX1BUQlYuMjAwMC40LzIvMjAxNQEAAACHUgAAAgAAAAgzLjYwNjgzMgEHAAAABQAAAAExAQAAAAoxNzE4ODU5MjkxAwAAAAEwAgAAAAYxMDAwMjkEAAAAATAHAAAACDQvMi8yMDE1CAAAAAg0LzIvMjAxNTvqVLmTc9UIWwRQSZdz1Qg1Q0lRLk5BU0RBUUdTOklOVEMuSVFfVEVWX0VCSVREQV9GV0RfQ0lRLjYwMDAuMS85LzIwMDkBAAAAh1IAAAIAAAAQNy43MDI2ODQ4NjQwNzg3NgENAAAABQAAAAE5AQAAAAcyNjIxMjk1AgAAAAcxNzU3MTU4AwAAAAYxMDAzMDgEAAAAATIGAAAAATAHAAAAAzE2MAgAAAABMAkAAAABMQoAAAABMAsAAAAKNjgzMTQ0MDYxOQwAAAACMTINAAAACTEvMTAvMjAwOduxVLuTc9UI61uPrpdz1QgoQ0lRLk5BU0RBUUdTOklOVEMuSVFfUFRCVi4yMDAwLjEvMTMvMjAxMgEAAACHUgAAAgAAAAg0LjIxMzg3NwEHAAAABQAAAAExAQAAAAoxNDgwMjE1MzgxAwAAAAEwAgAAAAYxMDAwMjkEAAAAATAHAAAACTEvMTMvMjAxMggAAAAJMS8xMy8yMDEy+45Su5Nz1QhbV1dJl3PVCC9DSVEuTkFTREFRR1M6SU5UQy5JUV9QRV9FWENMX0ZXRC42MDAwLjEvMTYvMjAwNAEAAACHUgAAAgAAABAyNi4zMzY4NjE5OTc3MjU5AQ0AAAAFAAAAATkBAAAABzI2MjEyOTUCAAAABDE4NzkDAAAABjEwMDMwOQQAAAABMgYAAAABMAcAAAADMTYwCAAAAAEwCQAAAAEx</t>
  </si>
  <si>
    <t>CgAAAAEwCwAAAAo2MzkzMTYwOTYyDAAAAAIxMg0AAAAJMS8xNy8yMDA0e7CzvZNz1QgLBVlJl3PVCDZDSVEuTmFzZGFxR1M6SU5UQy5JUV9URVZfRUJJVERBX0ZXRF9DSVEuNjAwMC4xMS80LzIwMDUBAAAAh1IAAAIAAAAQNy4zMzcxNjg3NDEzNDgzNgENAAAABQAAAAE5AQAAAAcyNjIxMjk1AgAAAAcxNzU3MTQ5AwAAAAYxMDAzMDgEAAAAATIGAAAAATAHAAAAAzE2MAgAAAABMAkAAAABMQoAAAABMAsAAAAKMTE2OTEzMTc3MQwAAAACMTINAAAACTExLzUvMjAwNasltL2Tc9UIO66Nrpdz1QgvQ0lRLk5BU0RBUUdTOklOVEMuSVFfUEVfRVhDTF9GV0QuNjAwMC4zLzI4LzIwMTMBAAAAh1IAAAIAAAAPMTEuMzYxNTY2ODM5OTM5AQ0AAAAFAAAAATkBAAAABzI2MjEyOTUCAAAABzM2NTI2NjADAAAABjEwMDMwOQQAAAABMgYAAAABMAcAAAADMTYwCAAAAAEwCQAAAAExCgAAAAEwCwAAAAo1NzQ4MzAzMDA0DAAAAAIxMg0AAAAJMy8yOS8yMDEzqyW0vZNz1Qi70FVJl3PVCC9DSVEuTkFTREFRR1M6SU5UQy5JUV9QUklDRV9TQUxFUy4yMDAwLjEvMjQvMjAxOAEAAACHUgAAAgAAAAgzLjQ1NTg0MQEHAAAABQAAAAExAQAAAAoxODYyNzU4MDQzAwAAAAEwAgAAAAUzODk1OAQAAAABMAcAAAAJMS8yNC8yMDE4CAAAAAkxLzI0LzIwMTiLxGa5k3PVCDuXY0qXc9UIL0NJUS5OQVNEQVFHUzpJTlRDLklRX1BFX0VYQ0xf</t>
  </si>
  <si>
    <t>RldELjYwMDAuMy8yMi8yMDAyAQAAAIdSAAACAAAADzQ1LjExNzk5NDEwMDI5NQENAAAABQAAAAE5AQAAAAcyNjIxMjk1AgAAAAQxODc3AwAAAAYxMDAzMDkEAAAAATIGAAAAATAHAAAAAzE2MAgAAAABMAkAAAABMQoAAAABMAsAAAAHMTQ5Nzc5NwwAAAACMTINAAAACTMvMjMvMjAwMnuws72Tc9UICyNUSZdz1QguQ0lRLk5BU0RBUUdTOklOVEMuSVFfUEVfRVhDTF9GV0QuNjAwMC42LzMvMjAxNgEAAACHUgAAAgAAABAxMi44Mjc1ODYyMDY4OTY2AQ0AAAAFAAAAATkBAAAABzI2MjEyOTUCAAAACDI3MDAzNjUxAwAAAAYxMDAzMDkEAAAAATIGAAAAATAHAAAAAzE2MAgAAAABMAkAAAABMQoAAAABMAsAAAAKOTQ5NTk1MTM4MQwAAAACMTINAAAACDYvNC8yMDE2qyW0vZNz1Qhb5lRJl3PVCDZDSVEuTkFTREFRR1M6SU5UQy5JUV9URVZfRUJJVERBX0ZXRF9DSVEuNjAwMC4xLzExLzIwMTMBAAAAh1IAAAIAAAAQNS4wMTk1MTIwNTA1ODQyMwENAAAABQAAAAE5AQAAAAcyNjIxMjk1AgAAAAcxNzU3MTcwAwAAAAYxMDAzMDgEAAAAATIGAAAAATAHAAAAAzE2MAgAAAABMAkAAAABMQoAAAABMAsAAAAKNjk1NTM5OTY5MgwAAAACMTINAAAACTEvMTIvMjAxM5sVVLuTc9UIW/yNrpdz1QgvQ0lRLk5BU0RBUUdTOklOVEMuSVFfUEVfRVhDTF9GV0QuNjAwMC42LzE0LzIwMTMBAAAAh1IAAAIAAAAPMTIuOTYyMjg4Njg2</t>
  </si>
  <si>
    <t>NjA2AQ0AAAAFAAAAATkBAAAABzI2MjEyOTUCAAAABzM4Mjk3NTEDAAAABjEwMDMwOQQAAAABMgYAAAABMAcAAAADMTYwCAAAAAEwCQAAAAExCgAAAAEwCwAAAAo2OTU2NzE3MzMyDAAAAAIxMg0AAAAJNi8xNS8yMDEzC5+yvZNz1Qhr71lJl3PVCDVDSVEuTmFzZGFxR1M6SU5UQy5JUV9URVZfVE9UQUxfUkVWX0ZXRC42MDAwLjExLzIvMjAwNwEAAACHUgAAAgAAABAzLjU0NDk1MjUwODA4MjI2AQ0AAAAFAAAAATkBAAAABzI2MjEyOTUCAAAABzE3NTcxNTUDAAAABjEwMDMwNwQAAAABMgYAAAABMAcAAAADMTYwCAAAAAEwCQAAAAExCgAAAAEwCwAAAAo4ODY0MzMwMTE4DAAAAAIxMg0AAAAJMTEvMy8yMDA320i8t5Nz1QhLv1RJl3PVCChDSVEuTkFTREFRR1M6SU5UQy5JUV9QVEJWLjIwMDAuMy8yNy8yMDE1AQAAAIdSAAACAAAACDMuNzQ2MTQxAQcAAAAFAAAAATEBAAAACjE3MTg4NTkyOTEDAAAAATACAAAABjEwMDAyOQQAAAABMAcAAAAJMy8yNy8yMDE1CAAAAAkzLzI3LzIwMTXLsLm3k3PVCHvhTUmXc9UIKENJUS5OQVNEQVFHUzpJTlRDLklRX1BUQlYuMjAwMC42LzE3LzIwMTYBAAAAh1IAAAIAAAAINC41MjYxNzQBBwAAAAUAAAABMQEAAAAKMTc4OTE5MzM0MwMAAAABMAIAAAAGMTAwMDI5BAAAAAEwBwAAAAk2LzE3LzIwMTYIAAAACTYvMTcvMjAxNksYsLuTc9UIKwBSSZdz1Qg1Q0lRLk5hc2RhcUdT</t>
  </si>
  <si>
    <t>OklOVEMuSVFfVEVWX1RPVEFMX1JFVl9GV0QuNjAwMC4xMi8zLzIwMTABAAAAh1IAAAIAAAAQMi4zMjYwNjI3MzQ4MTY0OQENAAAABQAAAAE5AQAAAAcyNjIxMjk1AgAAAAcxNzU3MTY0AwAAAAYxMDAzMDcEAAAAATIGAAAAATAHAAAAAzE2MAgAAAABMAkAAAABMQoAAAABMAsAAAAKODg2NDQyMTEwOQwAAAACMTINAAAACTEyLzQvMjAxMLv6u7eTc9UIm6BQSZdz1Qg2Q0lRLk5BU0RBUUdTOklOVEMuSVFfVEVWX0VCSVREQV9GV0RfQ0lRLjYwMDAuMi8xOS8yMDEwAQAAAIdSAAACAAAAEDYuMDY1ODAwNDYxNDg2MTgBDQAAAAUAAAABOQEAAAAHMjYyMTI5NQIAAAAEMTg4NQMAAAAGMTAwMzA4BAAAAAEyBgAAAAEwBwAAAAMxNjAIAAAAATAJAAAAATEKAAAAATALAAAACTM2MDc0MDU1OQwAAAACMTINAAAACTIvMjAvMjAxMMuKVLuTc9UIK4eNrpdz1QgrQ0lRLl5TUFguSVFfVEVWX1RPVEFMX1JFVl9GV0QuNjAwMC44LzIvMjAxNwEAAACbuCgAAgAAAAgyLjIzMDYzNAAb3VK7k3PVCGsuBUuXc9UIMENJUS5OQVNEQVFHUzpJTlRDLklRX1BSSUNFX1NBTEVTLjIwMDAuMTAvMTgvMjAxNwEAAACHUgAAAgAAAAgzLjA4MjQ1NwEHAAAABQAAAAExAQAAAAoxODUwNjE4NjY0AwAAAAEwAgAAAAUzODk1OAQAAAABMAcAAAAKMTAvMTgvMjAxNwgAAAAKMTAvMTgvMjAxN9vXubeTc9UIi2X0Spdz1QgvQ0lRLk5BU0RBUUdT</t>
  </si>
  <si>
    <t>OklOVEMuSVFfUEVfRVhDTF9GV0QuNjAwMC45LzEyLzIwMDMBAAAAh1IAAAIAAAAQMjkuOTk4OTQxNDYyODk4MwENAAAABQAAAAE5AQAAAAcyNjIxMjk1AgAAAAcxNzU3MTQyAwAAAAYxMDAzMDkEAAAAATIGAAAAATAHAAAAAzE2MAgAAAABMAkAAAABMQoAAAABMAsAAAAKOTA5MDY4ODIzMQwAAAACMTINAAAACTkvMTMvMjAwM4vXs72Tc9UIK1NZSZdz1QgjQ0lRLl5TUFguSVFfTEFTVFNBTEVQUklDRS4xMS84LzIwMTcBAAAAm7goAAIAAAAQMjU5NC4zNzUyMDkxNDg3OAALtlK7k3PVCBsB7EqXc9UILkNJUS5OQVNEQVFHUzpJTlRDLklRX1BSSUNFX1NBTEVTLjIwMDAuOS8xLzIwMTcBAAAAh1IAAAIAAAAIMi42ODcyODkBBwAAAAUAAAABMQEAAAAKMTg1MDYxODY2NAMAAAABMAIAAAAFMzg5NTgEAAAAATAHAAAACDkvMS8yMDE3CAAAAAg5LzEvMjAxN+vRiLaTc9UIO9RKSZdz1Qg1Q0lRLk5hc2RhcUdTOklOVEMuSVFfVEVWX1RPVEFMX1JFVl9GV0QuNjAwMC43LzIzLzIwMDQBAAAAh1IAAAIAAAAQMy41NDcxMjUxMTIwNDE1MQENAAAABQAAAAE5AQAAAAcyNjIxMjk1AgAAAAcxNzU3MTQ1AwAAAAYxMDAzMDcEAAAAATIGAAAAATAHAAAAAzE2MAgAAAABMAkAAAABMQoAAAABMAsAAAAKMTE2OTEyODc2NgwAAAACMTINAAAACTcvMjQvMjAwNNuHZ7mTc9UIO0VNSZdz1QgtQ0lRLl5TUFguSVFfVEVWX1RPVEFM</t>
  </si>
  <si>
    <t>X1JFVl9GV0QuNjAwMC4xMi8yMS8yMDE2AQAAAJu4KAACAAAACDIuMTMyOTc3AOv+ubeTc9UIOyMdS5dz1QgvQ0lRLk5BU0RBUUdTOklOVEMuSVFfUEVfRVhDTF9GV0QuNjAwMC45LzE2LzIwMTYBAAAAh1IAAAIAAAAQMTMuOTE5MzczMzE0MTE4OQENAAAABQAAAAE5AQAAAAcyNjIxMjk1AgAAAAgyNzAwMzY1MgMAAAAGMTAwMzA5BAAAAAEyBgAAAAEwBwAAAAMxNjAIAAAAATAJAAAAATEKAAAAATALAAAACjk3MjcyODU1NjEMAAAAAjEyDQAAAAk5LzE3LzIwMTa7TLS9k3PVCHulV0mXc9UIKENJUS5OQVNEQVFHUzpJTlRDLklRX1BUQlYuMjAwMC43LzE1LzIwMTYBAAAAh1IAAAIAAAAINC45OTc4ODgBBwAAAAUAAAABMQEAAAAKMTc4OTE5MzM0MwMAAAABMAIAAAAGMTAwMDI5BAAAAAEwBwAAAAk3LzE1LzIwMTYIAAAACTcvMTUvMjAxNnudZrmTc9UI261TSZdz1Qg3Q0lRLk5hc2RhcUdTOklOVEMuSVFfVEVWX0VCSVREQV9GV0RfQ0lRLjYwMDAuMTAvMzEvMjAxNAEAAACHUgAAAgAAABA2LjUxMjcyNDE0MDUxNTI4AQ0AAAAFAAAAATkBAAAABzI2MjEyOTUCAAAABzQ0NTY0MjkDAAAABjEwMDMwOAQAAAABMgYAAAABMAcAAAADMTYwCAAAAAEwCQAAAAExCgAAAAEwCwAAAAo4NjQ4Nzk2MjMyDAAAAAIxMg0AAAAJMTEvMS8yMDE0i9ezvZNz1QibmI6ul3PVCDBDSVEuTkFTREFRR1M6SU5UQy5JUV9QUklDRV9T</t>
  </si>
  <si>
    <t>QUxFUy4yMDAwLjExLzIxLzIwMTQBAAAAh1IAAAIAAAAIMy4yMDUzODUBBwAAAAUAAAABMQEAAAAKMTcwMzY4MTg5NAMAAAABMAIAAAAFMzg5NTgEAAAAATAHAAAACjExLzIxLzIwMTQIAAAACjExLzIxLzIwMTRLEVW5k3PVCAtBT0mXc9UILkNJUS5OQVNEQVFHUzpJTlRDLklRX1BSSUNFX1NBTEVTLjIwMDAuMS8xLzIwMTQBAAAAh1IAAAIAAAAIMi40NjMxOTkBBwAAAAUAAAABMQEAAAAKMTY0MjQ4Mzc5MgMAAAABMAIAAAAFMzg5NTgEAAAAATAHAAAACjEyLzMxLzIwMTMIAAAACjEyLzMxLzIwMTPr0Yi2k3PVCBuSPEuXc9UII0NJUS5eU1BYLklRX0xBU1RTQUxFUFJJQ0UuOS8xMy8yMDE3AQAAAJu4KAACAAAAEDI0OTguMzcwODE1NDYwMDQAy5GvvZNz1QhriPZKl3PVCCdDSVEuXlNQWC5JUV9QRV9FWENMX0ZXRC42MDAwLjEwLzE0LzIwMTUBAAAAm7goAAIAAAAJMTYuNjE0MzgyAGtmsLuTc9UIS2EuS5dz1Qg2Q0lRLk5hc2RhcUdTOklOVEMuSVFfVEVWX0VCSVREQV9GV0RfQ0lRLjYwMDAuMTEvNi8yMDE1AQAAAIdSAAACAAAAEDYuNzA4NDAzMzkyMTE2MjUBDQAAAAUAAAABOQEAAAAHMjYyMTI5NQIAAAAHODA2ODI2MgMAAAAGMTAwMzA4BAAAAAEyBgAAAAEwBwAAAAMxNjAIAAAAATAJAAAAATEKAAAAATALAAAACjkxMDUyMTEzNjIMAAAAAjEyDQAAAAkxMS83LzIwMTXL+1a7k3PVCFttkK6Xc9UIL0NJ</t>
  </si>
  <si>
    <t>US5OQVNEQVFHUzpJTlRDLklRX1BFX0VYQ0xfRldELjYwMDAuNS8xOC8yMDEyAQAAAIdSAAACAAAAEDkuNjE2Mzc3NzIwMzk4MzgBDQAAAAUAAAABOQEAAAAHMjYyMTI5NQIAAAAHMTc1NzE2OAMAAAAGMTAwMzA5BAAAAAEyBgAAAAEwBwAAAAMxNjAIAAAAATAJAAAAATEKAAAAATALAAAACjg4NjU1MzM4ODIMAAAAAjEyDQAAAAk1LzE5LzIwMTKL17O9k3PVCAuUVkmXc9UIL0NJUS5OQVNEQVFHUzpJTlRDLklRX1BFX0VYQ0xfRldELjYwMDAuMS8xMi8yMDE4AQAAAIdSAAACAAAAEDEzLjMzODY4MDMyMjA1MzIBDQAAAAUAAAABOQEAAAAHMjYyMTI5NQIAAAAIMjc1MDAxNzQDAAAABjEwMDMwOQQAAAABMgYAAAABMAcAAAADMTYwCAAAAAEwCQAAAAExCgAAAAEwCwAAAAsxMDY2NzY1NzUxOAwAAAACMTINAAAACTEvMTMvMjAxOJv+s72Tc9UIiz1aSZdz1QgwQ0lRLk5BU0RBUUdTOklOVEMuSVFfUFJJQ0VfU0FMRVMuMjAwMC4xMC8xMi8yMDEyAQAAAIdSAAACAAAACDEuOTk4NDUxAQcAAAAFAAAAATEBAAAACjE1NTcyMTYyNDYDAAAAATACAAAABTM4OTU4BAAAAAEwBwAAAAoxMC8xMi8yMDEyCAAAAAoxMC8xMi8yMDEy29e5t5Nz1QjbWkxJl3PVCClDSVEuTkFTREFRR1M6SU5UQy5JUV9QVEJWLjIwMDAuMTAvMTMvMjAxNwEAAACHUgAAAgAAAAc0LjA4MjkxAQcAAAAFAAAAATEBAAAACjE4NTA2MTg2NjQDAAAA</t>
  </si>
  <si>
    <t>ATACAAAABjEwMDAyOQQAAAABMAcAAAAKMTAvMTMvMjAxNwgAAAAKMTAvMTMvMjAxN0sRVbmTc9UIK49PSZdz1Qg1Q0lRLk5hc2RhcUdTOklOVEMuSVFfVEVWX0VCSVREQV9GV0RfQ0lRLjYwMDAuNC8xLzIwMDUBAAAAh1IAAAIAAAAQNy45NjQxNjQ0NzY3ODIzMQENAAAABQAAAAE5AQAAAAcyNjIxMjk1AgAAAAQxODgwAwAAAAYxMDAzMDgEAAAAATIGAAAAATAHAAAAAzE2MAgAAAABMAkAAAABMQoAAAABMAsAAAAJMzYwNjY4MTgyDAAAAAIxMg0AAAAINC8yLzIwMDXbIle7k3PVCPsRja6Xc9UILUNJUS5OQVNEQVFHUzpJTlRDLklRX0xBU1RTQUxFUFJJQ0UuMTEvMTkvMjAxNAEAAACHUgAAAgAAAAUzNC4zNQDr/rm3k3PVCItQNkuXc9UII0NJUS5eU1BYLklRX0xBU1RTQUxFUFJJQ0UuOC8zMS8yMDE2AQAAAJu4KAACAAAAEDIxNzAuOTQ2OTU3NjkyNDUAy5GvvZNz1QjLZCNLl3PVCC1DSVEuXlNQWC5JUV9URVZfRUJJVERBX0ZXRF9DSVEuNjAwMC41LzI3LzIwMTUBAAAAm7goAAIAAAAJMTAuMDk4OTM5AHuGVbmTc9UIe0cxS5dz1Qg2Q0lRLk5BU0RBUUdTOklOVEMuSVFfVEVWX0VCSVREQV9GV0RfQ0lRLjYwMDAuMS8xMi8yMDA3AQAAAIdSAAACAAAAEDkuNzcwNzU1NDMyNTU4MDUBDQAAAAUAAAABOQEAAAAHMjYyMTI5NQIAAAAHMTc1NzE1MgMAAAAGMTAwMzA4BAAAAAEyBgAAAAEwBwAAAAMxNjAIAAAA</t>
  </si>
  <si>
    <t>ATAJAAAAATEKAAAAATALAAAACjY4ODM2OTQ1MjkMAAAAAjEyDQAAAAkxLzEzLzIwMDcLJ1W7k3PVCIvikK6Xc9UINUNJUS5OYXNkYXFHUzpJTlRDLklRX1RFVl9FQklUREFfRldEX0NJUS42MDAwLjgvMS8yMDAzAQAAAIdSAAACAAAAEDEyLjIyMjAyNTYzMzc2ODYBDQAAAAUAAAABOQEAAAAHMjYyMTI5NQIAAAAHMTc1NzE0MgMAAAAGMTAwMzA4BAAAAAEyBgAAAAEwBwAAAAMxNjAIAAAAATAJAAAAATEKAAAAATALAAAACjExNjkxMjc2NzUMAAAAAjEyDQAAAAg4LzIvMjAwM4u0sLuTc9UIK/iPrpdz1QguQ0lRLk5BU0RBUUdTOklOVEMuSVFfUEVfRVhDTF9GV0QuNjAwMC41LzgvMjAxNQEAAACHUgAAAgAAAA8xNC40Mzc4OTA2NTkzODkBDQAAAAUAAAABOQEAAAAHMjYyMTI5NQIAAAAHODA2ODI2MAMAAAAGMTAwMzA5BAAAAAEyBgAAAAEwBwAAAAMxNjAIAAAAATAJAAAAATEKAAAAATALAAAACjkwODg2OTI1ODIMAAAAAjEyDQAAAAg1LzkvMjAxNetQsr2Tc9UIm2RaSZdz1QgvQ0lRLk5BU0RBUUdTOklOVEMuSVFfUEVfRVhDTF9GV0QuNjAwMC41LzEzLzIwMTYBAAAAh1IAAAIAAAAQMTIuMTE3NjUxODI1MTQyOAENAAAABQAAAAE5AQAAAAcyNjIxMjk1AgAAAAgyNzAwMzY1MQMAAAAGMTAwMzA5BAAAAAEyBgAAAAEwBwAAAAMxNjAIAAAAATAJAAAAATEKAAAAATALAAAACjk0Mzg2NzQ1OTIMAAAAAjEyDQAA</t>
  </si>
  <si>
    <t>AAk1LzE0LzIwMTbbKbK9k3PVCPvdWEmXc9UILUNJUS5eU1BYLklRX1RFVl9FQklUREFfRldEX0NJUS42MDAwLjgvMTkvMjAxNQEAAACbuCgAAgAAAAg5Ljc0MDY5MgDbuK+9k3PVCOvnL0uXc9UIKENJUS5OQVNEQVFHUzpJTlRDLklRX1BUQlYuMjAwMC44LzI1LzIwMTcBAAAAh1IAAAIAAAAGMy41NjgzAQcAAAAFAAAAATEBAAAACjE4NTA2MTg2NjQDAAAAATACAAAABjEwMDAyOQQAAAABMAcAAAAJOC8yNS8yMDE3CAAAAAk4LzI1LzIwMTc78a+7k3PVCHvDUkmXc9UINkNJUS5OYXNkYXFHUzpJTlRDLklRX1RFVl9UT1RBTF9SRVZfRldELjYwMDAuMTIvMTMvMjAxMwEAAACHUgAAAgAAABAyLjE3Njc0MzA1NjA2MTUyAQ0AAAAFAAAAATkBAAAABzI2MjEyOTUCAAAABzM4Mjk3NTMDAAAABjEwMDMwNwQAAAABMgYAAAABMAcAAAADMTYwCAAAAAEwCQAAAAExCgAAAAEwCwAAAAo4ODYyNTQzOTE4DAAAAAIxMg0AAAAKMTIvMTQvMjAxM7tMtL2Tc9UIqxpYSZdz1QgvQ0lRLk5BU0RBUUdTOklOVEMuSVFfUFJJQ0VfU0FMRVMuMjAwMC4xLzI3LzIwMTcBAAAAh1IAAAIAAAAIMy4wMjQ5OTUBBwAAAAUAAAABMQEAAAAKMTgyNTUyMjE3NgMAAAABMAIAAAAFMzg5NTgEAAAAATAHAAAACTEvMjcvMjAxNwgAAAAJMS8yNy8yMDE3+45Su5Nz1Qib81dJl3PVCDVDSVEuTmFzZGFxR1M6SU5UQy5JUV9URVZfVE9UQUxfUkVW</t>
  </si>
  <si>
    <t>X0ZXRC42MDAwLjYvMjkvMjAwNwEAAACHUgAAAgAAABAzLjQ3Mzc1MjM2NTE5NTMzAQ0AAAAFAAAAATkBAAAABzI2MjEyOTUCAAAABzE3NTcxNTMDAAAABjEwMDMwNwQAAAABMgYAAAABMAcAAAADMTYwCAAAAAEwCQAAAAExCgAAAAEwCwAAAAo4ODUxOTU5OTIzDAAAAAIxMg0AAAAJNi8zMC8yMDA3y2BnuZNz1QirVk5Jl3PVCC9DSVEuTkFTREFRR1M6SU5UQy5JUV9QRV9FWENMX0ZXRC42MDAwLjUvMjEvMjAwNAEAAACHUgAAAgAAABAyMS43NDQyNzc4MjE2MjU5AQ0AAAAFAAAAATkBAAAABzI2MjEyOTUCAAAABzE3NTcxNDQDAAAABjEwMDMwOQQAAAABMgYAAAABMAcAAAADMTYwCAAAAAEwCQAAAAExCgAAAAEwCwAAAAoxMTY5MTU2MTU5DAAAAAIxMg0AAAAJNS8yMi8yMDA0a4mzvZNz1Qhr71lJl3PVCCBDSVEuXlNQWC5JUV9QVEJWLjIwMDAuMTAvMjYvMjAxNgEAAACbuCgAAgAAAAg3LjI1MTY1OQBbP7C7k3PVCNsaIUuXc9UILUNJUS5eU1BYLklRX1RFVl9UT1RBTF9SRVZfRldELjYwMDAuMTEvMTMvMjAxMwEAAACbuCgAAgAAAAgxLjczNDUxMQDbuK+9k3PVCCu5PEuXc9UILkNJUS5OQVNEQVFHUzpJTlRDLklRX1BFX0VYQ0xfRldELjYwMDAuNS80LzIwMDcBAAAAh1IAAAIAAAAQMTkuNzQyMTc5NzUyOTk3NAENAAAABQAAAAE5AQAAAAcyNjIxMjk1AgAAAAcxNzU3MTUzAwAAAAYxMDAzMDkEAAAAATIG</t>
  </si>
  <si>
    <t>AAAAATAHAAAAAzE2MAgAAAABMAkAAAABMQoAAAABMAsAAAALMTA2MzkzNjgwOTEMAAAAAjEyDQAAAAg1LzUvMjAwN0s7s72Tc9UIu9BVSZdz1Qg1Q0lRLk5hc2RhcUdTOklOVEMuSVFfVEVWX1RPVEFMX1JFVl9GV0QuNjAwMC42LzI4LzIwMDIBAAAAh1IAAAIAAAAQNC4wNzYzMTQwNzUxNjU2NgENAAAABQAAAAE5AQAAAAcyNjIxMjk1AgAAAAcxNzU3MTM4AwAAAAYxMDAzMDcEAAAAATIGAAAAATAHAAAAAzE2MAgAAAABMAkAAAABMQoAAAABMAsAAAAKMTE2OTEyNTQxOAwAAAACMTINAAAACTYvMjkvMjAwMqsSZ7mTc9UIC9BMSZdz1QglQ0lRLl5TUFguSVFfUEVfRVhDTF9GV0QuNjAwMC41LzgvMjAxMwEAAACbuCgAAgAAAAkxNC40ODg0MzMA+yW6t5Nz1Qibyj1Ll3PVCDVDSVEuTmFzZGFxR1M6SU5UQy5JUV9URVZfVE9UQUxfUkVWX0ZXRC42MDAwLjMvMTcvMjAwNgEAAACHUgAAAgAAAA8yLjczODk4ODI3MzMyMDUBDQAAAAUAAAABOQEAAAAHMjYyMTI5NQIAAAAEMTg4MQMAAAAGMTAwMzA3BAAAAAEyBgAAAAEwBwAAAAMxNjAIAAAAATAJAAAAATEKAAAAATALAAAACTM2MDY3MjM2MwwAAAACMTINAAAACTMvMTgvMjAwNgv9Z7mTc9UIG/dMSZdz1QgsQ0lRLk5BU0RBUUdTOklOVEMuSVFfTEFTVFNBTEVQUklDRS42LzE3LzIwMTUBAAAAh1IAAAIAAAAFMzEuOTUAW09muZNz1Qhb+TBLl3PVCDVDSVEuTmFz</t>
  </si>
  <si>
    <t>ZGFxR1M6SU5UQy5JUV9URVZfVE9UQUxfUkVWX0ZXRC42MDAwLjMvMzAvMjAwNwEAAACHUgAAAgAAABAyLjY5ODIyMzc2OTIyMzM3AQ0AAAAFAAAAATkBAAAABzI2MjEyOTUCAAAABDE4ODIDAAAABjEwMDMwNwQAAAABMgYAAAABMAcAAAADMTYwCAAAAAEwCQAAAAExCgAAAAEwCwAAAAkzNjA2ODU0NjcMAAAAAjEyDQAAAAkzLzMxLzIwMDfLSVa5k3PVCHs0VUmXc9UIL0NJUS5OQVNEQVFHUzpJTlRDLklRX1BFX0VYQ0xfRldELjYwMDAuOC8yNy8yMDEwAQAAAIdSAAACAAAAEDkuNDA4OTMyNTk1Nzc5NTUBDQAAAAUAAAABOQEAAAAHMjYyMTI5NQIAAAAHMTc1NzE2MwMAAAAGMTAwMzA5BAAAAAEyBgAAAAEwBwAAAAMxNjAIAAAAATAJAAAAATEKAAAAATALAAAACjg4NjM4NDQ4NzIMAAAAAjEyDQAAAAk4LzI4LzIwMTAr7bK9k3PVCFvIWUmXc9UIMENJUS5OQVNEQVFHUzpJTlRDLklRX1BFX0VYQ0xfRldELjYwMDAuMTEvMTcvMjAwNgEAAACHUgAAAgAAABAyMS45MTM3MzMyNjcyMjg2AQ0AAAAFAAAAATkBAAAABzI2MjEyOTUCAAAABzE3NTcxNTIDAAAABjEwMDMwOQQAAAABMgYAAAABMAcAAAADMTYwCAAAAAEwCQAAAAExCgAAAAEwCwAAAAo4ODYwNTAwMTYxDAAAAAIxMg0AAAAKMTEvMTgvMjAwNltis72Tc9UIGyxZSZdz1QgwQ0lRLk5BU0RBUUdTOklOVEMuSVFfUEVfRVhDTF9GV0QuNjAwMC4xMS8zMC8y</t>
  </si>
  <si>
    <t>MDA3AQAAAIdSAAACAAAADzE4LjI5NDA1MTYyNzM4NQENAAAABQAAAAE5AQAAAAcyNjIxMjk1AgAAAAcxNzU3MTU1AwAAAAYxMDAzMDkEAAAAATIGAAAAATAHAAAAAzE2MAgAAAABMAkAAAABMQoAAAABMAsAAAAKODg2NDQ4NTEzMQwAAAACMTINAAAACTEyLzEvMjAwN0s7s72Tc9UIa+9ZSZdz1QgsQ0lRLk5BU0RBUUdTOklOVEMuSVFfTEFTVFNBTEVQUklDRS4xLzE3LzIwMTgBAAAAh1IAAAIAAAAFNDQuMzkAW09muZNz1QgLboBKl3PVCC5DSVEuTkFTREFRR1M6SU5UQy5JUV9QUklDRV9TQUxFUy4yMDAwLjIvNy8yMDE0AQAAAIdSAAACAAAACDIuMjgyMzY0AQcAAAAFAAAAATEBAAAACjE2NTM4MTkzMzQDAAAAATACAAAABTM4OTU4BAAAAAEwBwAAAAgyLzcvMjAxNAgAAAAIMi83LzIwMTRrdma5k3PVCDuYVEmXc9UIIENJUS5eU1BYLklRX1BUQlYuMjAwMC4xMS8xOS8yMDE0AQAAAJu4KAACAAAACDUuNTM4NjEzAGtmsLuTc9UIeyk2S5dz1QgvQ0lRLk5BU0RBUUdTOklOVEMuSVFfUEVfRVhDTF9GV0QuNjAwMC44LzEyLzIwMDUBAAAAh1IAAAIAAAAOMTcuMzg5MjkyNzk1NzcBDQAAAAUAAAABOQEAAAAHMjYyMTI5NQIAAAAHMTc1NzE0OAMAAAAGMTAwMzA5BAAAAAEyBgAAAAEwBwAAAAMxNjAIAAAAATAJAAAAATEKAAAAATALAAAACjg4NjI0MTIzOTkMAAAAAjEyDQAAAAk4LzEzLzIwMDVribO9k3PVCFtX</t>
  </si>
  <si>
    <t>V0mXc9UINUNJUS5OYXNkYXFHUzpJTlRDLklRX1RFVl9UT1RBTF9SRVZfRldELjYwMDAuOC8yNy8yMDEwAQAAAIdSAAACAAAAEDEuOTM2MjY3MTA4MzE4NzYBDQAAAAUAAAABOQEAAAAHMjYyMTI5NQIAAAAHMTc1NzE2MwMAAAAGMTAwMzA3BAAAAAEyBgAAAAEwBwAAAAMxNjAIAAAAATAJAAAAATEKAAAAATALAAAACjg4NjM1MTE2OTUMAAAAAjEyDQAAAAk4LzI4LzIwMTDrrme5k3PVCIt5UEmXc9UIMENJUS5OQVNEQVFHUzpJTlRDLklRX1BFX0VYQ0xfRldELjYwMDAuMTAvMjYvMjAxMgEAAACHUgAAAgAAABAxMS4xMzQ3ODQxNTI1ODk3AQ0AAAAFAAAAATkBAAAABzI2MjEyOTUCAAAABzE3NTcxNzADAAAABjEwMDMwOQQAAAABMgYAAAABMAcAAAADMTYwCAAAAAEwCQAAAAExCgAAAAEwCwAAAAo4ODYzNDM0NjI1DAAAAAIxMg0AAAAKMTAvMjcvMjAxMgufsr2Tc9UIe6VXSZdz1QgwQ0lRLk5BU0RBUUdTOklOVEMuSVFfUFJJQ0VfU0FMRVMuMjAwMC4xMS8xMy8yMDE1AQAAAIdSAAACAAAABzIuNzY3MzIBBwAAAAUAAAABMQEAAAAKMTc2MTcwNjgyNwMAAAABMAIAAAAFMzg5NTgEAAAAATAHAAAACjExLzEzLzIwMTUIAAAACjExLzEzLzIwMTVLGLC7k3PVCJugUEmXc9UIL0NJUS5OQVNEQVFHUzpJTlRDLklRX1BFX0VYQ0xfRldELjYwMDAuMi8xMS8yMDExAQAAAIdSAAACAAAAEDEwLjcwMzA3ODExODY5NzkB</t>
  </si>
  <si>
    <t>DQAAAAUAAAABOQEAAAAHMjYyMTI5NQIAAAAEMTg4NgMAAAAGMTAwMzA5BAAAAAEyBgAAAAEwBwAAAAMxNjAIAAAAATAJAAAAATEKAAAAATALAAAACjU3NDc4OTI0NzcMAAAAAjEyDQAAAAkyLzEyLzIwMTEr7bK9k3PVCHtSUEmXc9UIL0NJUS5OQVNEQVFHUzpJTlRDLklRX1BSSUNFX1NBTEVTLjIwMDAuNi8xMC8yMDExAQAAAIdSAAACAAAACDIuNTYzMzkxAQcAAAAFAAAAATEBAAAACjE0NTI0NzU4NzIDAAAAATACAAAABTM4OTU4BAAAAAEwBwAAAAk2LzEwLzIwMTEIAAAACTYvMTAvMjAxMbtqr72Tc9UIO3pZSZdz1Qg2Q0lRLk5BU0RBUUdTOklOVEMuSVFfVEVWX0VCSVREQV9GV0RfQ0lRLjYwMDAuOS8xOS8yMDA4AQAAAIdSAAACAAAAEDYuMDM2NTczMDY2MDQ3NjkBDQAAAAUAAAABOQEAAAAHMjYyMTI5NQIAAAAHMTc1NzE1NwMAAAAGMTAwMzA4BAAAAAEyBgAAAAEwBwAAAAMxNjAIAAAAATAJAAAAATEKAAAAATALAAAACjkxMTEwNjMxOTkMAAAAAjEyDQAAAAk5LzIwLzIwMDjr2FS7k3PVCDsfkK6Xc9UIL0NJUS5OQVNEQVFHUzpJTlRDLklRX1BFX0VYQ0xfRldELjYwMDAuMTEvNy8yMDE0AQAAAIdSAAACAAAAEDE0LjA2MTM4NzcxNDA4MjMBDQAAAAUAAAABOQEAAAAHMjYyMTI5NQIAAAAHNDQ1NjQyOQMAAAAGMTAwMzA5BAAAAAEyBgAAAAEwBwAAAAMxNjAIAAAAATAJAAAAATEKAAAAATALAAAACjg1</t>
  </si>
  <si>
    <t>MTEzNjMyNTIMAAAAAjEyDQAAAAkxMS84LzIwMTT7d7K9k3PVCPuKUUmXc9UIL0NJUS5OQVNEQVFHUzpJTlRDLklRX1BFX0VYQ0xfRldELjYwMDAuOS8xOC8yMDE1AQAAAIdSAAACAAAAEDEzLjE0OTY2Njk1MzY0NTQBDQAAAAUAAAABOQEAAAAHMjYyMTI5NQIAAAAHODA2ODI2MQMAAAAGMTAwMzA5BAAAAAEyBgAAAAEwBwAAAAMxNjAIAAAAATAJAAAAATEKAAAAATALAAAACjkwMTUxNjcyMDYMAAAAAjEyDQAAAAk5LzE5LzIwMTXrULK9k3PVCKupVUmXc9UIKENJUS5OQVNEQVFHUzpJTlRDLklRX1BUQlYuMjAwMC45LzE0LzIwMTIBAAAAh1IAAAIAAAAIMy41MTE0ODkBBwAAAAUAAAABMQEAAAAKMTU1NzIxNjI0NgMAAAABMAIAAAAGMTAwMDI5BAAAAAEwBwAAAAk5LzE0LzIwMTIIAAAACTkvMTQvMjAxMsuwubeTc9UIO0VNSZdz1QguQ0lRLk5BU0RBUUdTOklOVEMuSVFfUFJJQ0VfU0FMRVMuMjAwMC4yLzEvMjAxNwEAAACHUgAAAgAAAAcyLjkwODcxAQcAAAAFAAAAATEBAAAACjE4MjU1MjIxNzYDAAAAATACAAAABTM4OTU4BAAAAAEwBwAAAAgyLzEvMjAxNwgAAAAIMi8xLzIwMTfb17m3k3PVCCuLGkuXc9UIL0NJUS5OQVNEQVFHUzpJTlRDLklRX1BFX0VYQ0xfRldELjYwMDAuNi8xMC8yMDA0AQAAAIdSAAACAAAAEDIyLjI4NzkzNzc0MzE5MDcBDQAAAAUAAAABOQEAAAAHMjYyMTI5NQIAAAAHMTc1NzE0</t>
  </si>
  <si>
    <t>NAMAAAAGMTAwMzA5BAAAAAEyBgAAAAEwBwAAAAMxNjAIAAAAATAJAAAAATEKAAAAATALAAAACjg4NjQxMDA2NTUMAAAAAjEyDQAAAAk2LzExLzIwMDRribO9k3PVCGsrUEmXc9UINkNJUS5OYXNkYXFHUzpJTlRDLklRX1RFVl9FQklUREFfRldEX0NJUS42MDAwLjUvMzEvMjAwMgEAAACHUgAAAgAAABAxNC4wNzkyNjQ4NzQ5NDU4AQ0AAAAFAAAAATkBAAAABzI2MjEyOTUCAAAABzE3NTcxMzgDAAAABjEwMDMwOAQAAAABMgYAAAABMAcAAAADMTYwCAAAAAEwCQAAAAExCgAAAAEwCwAAAAo4NDYzMTIyMzg3DAAAAAIxMg0AAAAINi8xLzIwMDKrrVa7k3PVCLvmjq6Xc9UIL0NJUS5OQVNEQVFHUzpJTlRDLklRX1BFX0VYQ0xfRldELjYwMDAuMTIvMS8yMDA2AQAAAIdSAAACAAAAEDIwLjc4ODYzNzI2NjU4NzIBDQAAAAUAAAABOQEAAAAHMjYyMTI5NQIAAAAHMTc1NzE1MgMAAAAGMTAwMzA5BAAAAAEyBgAAAAEwBwAAAAMxNjAIAAAAATAJAAAAATEKAAAAATALAAAACjg4NjMzNTkwNjIMAAAAAjEyDQAAAAkxMi8yLzIwMDZbYrO9k3PVCLvQVUmXc9UINkNJUS5OYXNkYXFHUzpJTlRDLklRX1RFVl9FQklUREFfRldEX0NJUS42MDAwLjIvMjEvMjAxNAEAAACHUgAAAgAAABA1LjQ5NDczMzI2OTc0ODMyAQ0AAAAFAAAAATkBAAAABzI2MjEyOTUCAAAABzQ0NTY0MjEDAAAABjEwMDMwOAQAAAABMgYAAAABMAcAAAAD</t>
  </si>
  <si>
    <t>MTYwCAAAAAEwCQAAAAExCgAAAAEwCwAAAAo2NDk3OTMzMTgzDAAAAAIxMg0AAAAJMi8yMi8yMDE0m/6zvZNz1Qjr6oyul3PVCDRDSVEuTmFzZGFxR1M6SU5UQy5JUV9URVZfVE9UQUxfUkVWX0ZXRC42MDAwLjkvNy8yMDEyAQAAAIdSAAACAAAAEDIuMTI1NTA0MzA3NjQ5MzUBDQAAAAUAAAABOQEAAAAHMjYyMTI5NQIAAAAHMTc1NzE2OQMAAAAGMTAwMzA3BAAAAAEyBgAAAAEwBwAAAAMxNjAIAAAAATAJAAAAATEKAAAAATALAAAACjg4NjQ0MzMyMzMMAAAAAjEyDQAAAAg5LzgvMjAxMpvbsLuTc9UIW3VSSZdz1Qg2Q0lRLk5BU0RBUUdTOklOVEMuSVFfVEVWX0VCSVREQV9GV0RfQ0lRLjYwMDAuNC8yOC8yMDA2AQAAAIdSAAACAAAAEDkuNDk3OTE2Mzg4MTE4NTQBDQAAAAUAAAABOQEAAAAHMjYyMTI5NQIAAAAHMTc1NzE1MAMAAAAGMTAwMzA4BAAAAAEyBgAAAAEwBwAAAAMxNjAIAAAAATAJAAAAATEKAAAAATALAAAACjExNjkxMzMyMzIMAAAAAjEyDQAAAAk0LzI5LzIwMDYLJ1W7k3PVCPsRja6Xc9UILkNJUS5OQVNEQVFHUzpJTlRDLklRX1BFX0VYQ0xfRldELjYwMDAuOS8zLzIwMDQBAAAAh1IAAAIAAAAQMTguMTQ0Nzk2MzgwMDkwNQENAAAABQAAAAE5AQAAAAcyNjIxMjk1AgAAAAcxNzU3MTQ1AwAAAAYxMDAzMDkEAAAAATIGAAAAATAHAAAAAzE2MAgAAAABMAkAAAABMQoAAAABMAsAAAAKMTE2OTE1</t>
  </si>
  <si>
    <t>NjcxNAwAAAACMTINAAAACDkvNC8yMDA0a4mzvZNz1Qh74U1Jl3PVCCtDSVEuTkFTREFRR1M6SU5UQy5JUV9MQVNUU0FMRVBSSUNFLjUvMS8yMDEzAQAAAIdSAAACAAAABTIzLjk5AFs/sLuTc9UIq/E9S5dz1QgvQ0lRLk5BU0RBUUdTOklOVEMuSVFfUFJJQ0VfU0FMRVMuMjAwMC4xMS85LzIwMTYBAAAAh1IAAAIAAAAIMi44MzUyNDQBBwAAAAUAAAABMQEAAAAKMTgxNTU0NDQ1MAMAAAABMAIAAAAFMzg5NTgEAAAAATAHAAAACTExLzkvMjAxNggAAAAJMTEvOS8yMDE2a3ZmuZNz1QibfiBLl3PVCC9DSVEuTkFTREFRR1M6SU5UQy5JUV9QUklDRV9TQUxFUy4yMDAwLjEvMjkvMjAxMAEAAACHUgAAAgAAAAgzLjA2OTAyOQEHAAAABQAAAAExAQAAAAoxMzA1MTY5MjU0AwAAAAEwAgAAAAUzODk1OAQAAAABMAcAAAAJMS8yOS8yMDEwCAAAAAkxLzI5LzIwMTCrQ6+9k3PVCFvIWUmXc9UINUNJUS5OYXNkYXFHUzpJTlRDLklRX1RFVl9UT1RBTF9SRVZfRldELjYwMDAuNi8xNi8yMDE3AQAAAIdSAAACAAAAEDIuOTEyMzI0NzY0Mjg3MTkBDQAAAAUAAAABOQEAAAAHMjYyMTI5NQIAAAAIMjc1MDAxNzIDAAAABjEwMDMwNwQAAAABMgYAAAABMAcAAAADMTYwCAAAAAEwCQAAAAExCgAAAAEwCwAAAAsxMDI0NzcxOTE2NQwAAAACMTINAAAACTYvMTcvMjAxN6v7VbmTc9UIOwlXSZdz1QguQ0lRLk5BU0RBUUdTOklOVEMu</t>
  </si>
  <si>
    <t>SVFfUEVfRVhDTF9GV0QuNjAwMC40LzQvMjAxNAEAAACHUgAAAgAAABAxNC4xNDA5OTkxNjc1NDA2AQ0AAAAFAAAAATkBAAAABzI2MjEyOTUCAAAABzQ0NTY0MjEDAAAABjEwMDMwOQQAAAABMgYAAAABMAcAAAADMTYwCAAAAAEwCQAAAAExCgAAAAEwCwAAAAo2NTI4OTc5NjAyDAAAAAIxMg0AAAAINC81LzIwMTSrJbS9k3PVCIvqUkmXc9UIL0NJUS5OQVNEQVFHUzpJTlRDLklRX1BSSUNFX1NBTEVTLjIwMDAuNC8yOS8yMDE1AQAAAIdSAAACAAAACDIuODQ5NTY4AQcAAAAFAAAAATEBAAAACjE3MzA3NjI3NTUDAAAAATACAAAABTM4OTU4BAAAAAEwBwAAAAk0LzI5LzIwMTUIAAAACTQvMjkvMjAxNfuOUruTc9UIywoyS5dz1QgwQ0lRLk5BU0RBUUdTOklOVEMuSVFfUFJJQ0VfU0FMRVMuMjAwMC4xMC8xNC8yMDExAQAAAIdSAAACAAAACDIuNjUzODA0AQcAAAAFAAAAATEBAAAACjE0NjU2MzEwNzEDAAAAATACAAAABTM4OTU4BAAAAAEwBwAAAAoxMC8xNC8yMDExCAAAAAoxMC8xNC8yMDExO+pUuZNz1QhrK1BJl3PVCDVDSVEuTmFzZGFxR1M6SU5UQy5JUV9URVZfVE9UQUxfUkVWX0ZXRC42MDAwLjEyLzkvMjAwNQEAAACHUgAAAgAAABAzLjQ5MTIxNjU3NDI2NDUzAQ0AAAAFAAAAATkBAAAABzI2MjEyOTUCAAAABzE3NTcxNDkDAAAABjEwMDMwNwQAAAABMgYAAAABMAcAAAADMTYwCAAAAAEwCQAAAAExCgAA</t>
  </si>
  <si>
    <t>AAEwCwAAAAo2NzI5MzA4MTA1DAAAAAIxMg0AAAAKMTIvMTAvMjAwNdtIvLeTc9UIm/NXSZdz1QgfQ0lRLl5TUFguSVFfUFRCVi4yMDAwLjExLzUvMjAxNAEAAACbuCgAAgAAAAg1LjM2MDU2MgDrZ1K7k3PVCItQNkuXc9UINkNJUS5OQVNEQVFHUzpJTlRDLklRX1RFVl9FQklUREFfRldEX0NJUS42MDAwLjYvMjIvMjAwNwEAAACHUgAAAgAAABA5LjU5OTIzNTk0MDE5NzYzAQ0AAAAFAAAAATkBAAAABzI2MjEyOTUCAAAABzE3NTcxNTMDAAAABjEwMDMwOAQAAAABMgYAAAABMAcAAAADMTYwCAAAAAEwCQAAAAExCgAAAAEwCwAAAAoxMTY5MTM2ODMxDAAAAAIxMg0AAAAJNi8yMy8yMDA3+/9Uu5Nz1Qirv46ul3PVCDZDSVEuTkFTREFRR1M6SU5UQy5JUV9URVZfRUJJVERBX0ZXRF9DSVEuNjAwMC4xMS83LzIwMDMBAAAAh1IAAAIAAAAQMTIuODc0NTYzMzEzNzEyOAENAAAABQAAAAE5AQAAAAcyNjIxMjk1AgAAAAcxNzU3MTQzAwAAAAYxMDAzMDgEAAAAATIGAAAAATAHAAAAAzE2MAgAAAABMAkAAAABMQoAAAABMAsAAAAKMTE2OTEyODIzMwwAAAACMTINAAAACTExLzgvMjAwMzucVbuTc9UIO66Nrpdz1QgvQ0lRLk5BU0RBUUdTOklOVEMuSVFfUEVfRVhDTF9GV0QuNjAwMC41LzEzLzIwMDUBAAAAh1IAAAIAAAAQMTguNjAxODk1NzM0NTk3MgENAAAABQAAAAE5AQAAAAcyNjIxMjk1AgAAAAcxNzU3MTQ3AwAA</t>
  </si>
  <si>
    <t>AAYxMDAzMDkEAAAAATIGAAAAATAHAAAAAzE2MAgAAAABMAkAAAABMQoAAAABMAsAAAAKODg2MjgwMDQ5NwwAAAACMTINAAAACTUvMTQvMjAwNWuJs72Tc9UIaw1VSZdz1QgvQ0lRLk5BU0RBUUdTOklOVEMuSVFfUFJJQ0VfU0FMRVMuMjAwMC40LzMwLzIwMTABAAAAh1IAAAIAAAAIMy4zMDg5NjkBBwAAAAUAAAABMQEAAAAKMTM1MjcwNjYwNgMAAAABMAIAAAAFMzg5NTgEAAAAATAHAAAACTQvMzAvMjAxMAgAAAAJNC8zMC8yMDEw69GItpNz1QgrrUpJl3PVCCxDSVEuTkFTREFRR1M6SU5UQy5JUV9MQVNUU0FMRVBSSUNFLjYvMjUvMjAxNAEAAACHUgAAAgAAAAUzMC44OAAb3VK7k3PVCIvBOEuXc9UIMENJUS5OQVNEQVFHUzpJTlRDLklRX1BFX0VYQ0xfRldELjYwMDAuMTAvMTUvMjAxMAEAAACHUgAAAgAAAA8xMC4yOTMwMjA3Nzc4MzcBDQAAAAUAAAABOQEAAAAHMjYyMTI5NQIAAAAHMTc1NzE2NAMAAAAGMTAwMzA5BAAAAAEyBgAAAAEwBwAAAAMxNjAIAAAAATAJAAAAATEKAAAAATALAAAACjg4NjM4NDY4NjAMAAAAAjEyDQAAAAoxMC8xNi8yMDEwK+2yvZNz1Qj7ilFJl3PVCC5DSVEuTkFTREFRR1M6SU5UQy5JUV9QRV9FWENMX0ZXRC42MDAwLjYvMi8yMDA2AQAAAIdSAAACAAAADzE5LjM4NTM2NzkyODU0MQENAAAABQAAAAE5AQAAAAcyNjIxMjk1AgAAAAcxNzU3MTUwAwAAAAYxMDAzMDkEAAAAATIG</t>
  </si>
  <si>
    <t>AAAAATAHAAAAAzE2MAgAAAABMAkAAAABMQoAAAABMAsAAAAKODg2MjkxNTk0MgwAAAACMTINAAAACDYvMy8yMDA2m/6zvZNz1QjLhlNJl3PVCC9DSVEuTkFTREFRR1M6SU5UQy5JUV9QUklDRV9TQUxFUy4yMDAwLjEwLzcvMjAxNgEAAACHUgAAAgAAAAgzLjE4Mjg1MQEHAAAABQAAAAExAQAAAAoxODAxMjk0NTAxAwAAAAEwAgAAAAUzODk1OAQAAAABMAcAAAAJMTAvNy8yMDE2CAAAAAkxMC83LzIwMTZLEVW5k3PVCAtBT0mXc9UILUNJUS5eU1BYLklRX1RFVl9FQklUREFfRldEX0NJUS42MDAwLjExLzQvMjAxNQEAAACbuCgAAgAAAAg5Ljk2MjY4MwArBFO7k3PVCFuILkuXc9UII0NJUS5eU1BYLklRX0xBU1RTQUxFUFJJQ0UuOC8xNC8yMDEzAQAAAJu4KAACAAAAEDE2ODUuMzg4NDU4MzAwNTEAy5GvvZNz1QhbLj1Ll3PVCDdDSVEuTmFzZGFxR1M6SU5UQy5JUV9URVZfRUJJVERBX0ZXRF9DSVEuNjAwMC4xMS8yMy8yMDAxAQAAAIdSAAACAAAAEDIxLjczOTUwNjY4MDI2NjkBDQAAAAUAAAABOQEAAAAHMjYyMTI5NQIAAAAHMzQyMTE2MgMAAAAGMTAwMzA4BAAAAAEyBgAAAAEwBwAAAAMxNjAIAAAAATAJAAAAATEKAAAAATALAAAACjExNjkxNTI2MjMMAAAAAjEyDQAAAAoxMS8yNC8yMDAx656xu5Nz1QjrW4+ul3PVCCxDSVEuXlNQWC5JUV9URVZfVE9UQUxfUkVWX0ZXRC42MDAwLjMvMjIvMjAxNwEAAACb</t>
  </si>
  <si>
    <t>uCgAAgAAAAgyLjE5MjA2OACrEme5k3PVCOt9F0uXc9UIL0NJUS5OQVNEQVFHUzpJTlRDLklRX1BFX0VYQ0xfRldELjYwMDAuMy8yMC8yMDA5AQAAAIdSAAACAAAAEDM2Ljg3Mzg5ODgxNzAxNDgBDQAAAAUAAAABOQEAAAAHMjYyMTI5NQIAAAAEMTg4NAMAAAAGMTAwMzA5BAAAAAEyBgAAAAEwBwAAAAMxNjAIAAAAATAJAAAAATEKAAAAATALAAAABzE1NDE0MjEMAAAAAjEyDQAAAAkzLzIxLzIwMDm7TLS9k3PVCGvvWUmXc9UINUNJUS5OYXNkYXFHUzpJTlRDLklRX1RFVl9UT1RBTF9SRVZfRldELjYwMDAuMi8xOS8yMDEwAQAAAIdSAAACAAAAEDIuNTUxNTExMDA2MDI4NzMBDQAAAAUAAAABOQEAAAAHMjYyMTI5NQIAAAAEMTg4NQMAAAAGMTAwMzA3BAAAAAEyBgAAAAEwBwAAAAMxNjAIAAAAATAJAAAAATEKAAAAATALAAAACTM2MDczNjE1NAwAAAACMTINAAAACTIvMjAvMjAxMNsiV7uTc9UIWwRQSZdz1QgvQ0lRLk5BU0RBUUdTOklOVEMuSVFfUFJJQ0VfU0FMRVMuMjAwMC40LzIzLzIwMTQBAAAAh1IAAAIAAAAIMi41MTY4NTIBBwAAAAUAAAABMQEAAAAKMTY2OTAyNDU2MgMAAAABMAIAAAAFMzg5NTgEAAAAATAHAAAACTQvMjMvMjAxNAgAAAAJNC8yMy8yMDE0WzhVuZNz1QgL+jlLl3PVCDZDSVEuTmFzZGFxR1M6SU5UQy5JUV9URVZfVE9UQUxfUkVWX0ZXRC42MDAwLjEyLzIzLzIwMTEBAAAAh1IAAAIA</t>
  </si>
  <si>
    <t>AAAQMi4xNTQwOTg1NTQ1NzA0NQENAAAABQAAAAE5AQAAAAcyNjIxMjk1AgAAAAcxNzU3MTY3AwAAAAYxMDAzMDcEAAAAATIGAAAAATAHAAAAAzE2MAgAAAABMAkAAAABMQoAAAABMAsAAAAKODg2NDQzMTA5NgwAAAACMTINAAAACjEyLzI0LzIwMTE7cmi5k3PVCGvvWUmXc9UINUNJUS5OQVNEQVFHUzpJTlRDLklRX1RFVl9FQklUREFfRldEX0NJUS42MDAwLjgvNi8yMDA0AQAAAIdSAAACAAAAEDcuOTAzMTM1MjE0ODk3NjUBDQAAAAUAAAABOQEAAAAHMjYyMTI5NQIAAAAHMTc1NzE0NQMAAAAGMTAwMzA4BAAAAAEyBgAAAAEwBwAAAAMxNjAIAAAAATAJAAAAATEKAAAAATALAAAACjExNjkxMjkxMzQMAAAAAjEyDQAAAAg4LzcvMjAwNCt1VbuTc9UIe0qOrpdz1QgrQ0lRLk5BU0RBUUdTOklOVEMuSVFfTEFTVFNBTEVQUklDRS40LzgvMjAxNQEAAACHUgAAAgAAAAUzMS4zMQA76lS5k3PVCNsxMkuXc9UILENJUS5OQVNEQVFHUzpJTlRDLklRX0xBU1RTQUxFUFJJQ0UuNi8yOS8yMDE2AQAAAIdSAAACAAAABTMxLjkzAFs/sLuTc9UIC+MoS5dz1QgrQ0lRLk5BU0RBUUdTOklOVEMuSVFfTEFTVFNBTEVQUklDRS42LzQvMjAxNAEAAACHUgAAAgAAAAQyNy42AFs/sLuTc9UIuzY5S5dz1QgnQ0lRLl5TUFguSVFfUEVfRVhDTF9GV0QuNjAwMC4xMi8xMC8yMDE0AQAAAJu4KAACAAAACTE2LjQ0NTg1MgBrX1W5k3PV</t>
  </si>
  <si>
    <t>CAsYNUuXc9UILkNJUS5OQVNEQVFHUzpJTlRDLklRX1BFX0VYQ0xfRldELjYwMDAuOC82LzIwMTABAAAAh1IAAAIAAAAQOS44MDY3MTUxMDY2MTUzOAENAAAABQAAAAE5AQAAAAcyNjIxMjk1AgAAAAcxNzU3MTYzAwAAAAYxMDAzMDkEAAAAATIGAAAAATAHAAAAAzE2MAgAAAABMAkAAAABMQoAAAABMAsAAAAKODg2Mzg0NDg1OAwAAAACMTINAAAACDgvNy8yMDEwm/6zvZNz1Qj7GU9Jl3PVCCxDSVEuXlNQWC5JUV9URVZfRUJJVERBX0ZXRF9DSVEuNjAwMC43LzgvMjAxNQEAAACbuCgAAgAAAAc5Ljc0MTc2AKsSZ7mTc9UIO6swS5dz1QgfQ0lRLl5TUFguSVFfUFRCVi4yMDAwLjkvMjUvMjAxMwEAAACbuCgAAgAAAAg1LjExMzc3MQDb17m3k3PVCEsHPUuXc9UINkNJUS5OYXNkYXFHUzpJTlRDLklRX1RFVl9UT1RBTF9SRVZfRldELjYwMDAuMTAvMjIvMjAwNAEAAACHUgAAAgAAABAzLjUwOTM4MjQwNzU4MTY3AQ0AAAAFAAAAATkBAAAABzI2MjEyOTUCAAAABzE3NTcxNDYDAAAABjEwMDMwNwQAAAABMgYAAAABMAcAAAADMTYwCAAAAAEwCQAAAAExCgAAAAEwCwAAAAoxMTY5MTI5MjkzDAAAAAIxMg0AAAAKMTAvMjMvMjAwNIutVbmTc9UIm6BQSZdz1Qg3Q0lRLk5BU0RBUUdTOklOVEMuSVFfVEVWX0VCSVREQV9GV0RfQ0lRLjYwMDAuMTAvMTUvMjAwNAEAAACHUgAAAgAAABA4LjQ0NjYyMzgwOTgxNDYxAQ0A</t>
  </si>
  <si>
    <t>AAAFAAAAATkBAAAABzI2MjEyOTUCAAAABzE3NTcxNDYDAAAABjEwMDMwOAQAAAABMgYAAAABMAcAAAADMTYwCAAAAAEwCQAAAAExCgAAAAEwCwAAAAoxMTY5MTI5NjgyDAAAAAIxMg0AAAAKMTAvMTYvMjAwNCt1VbuTc9UI+xGNrpdz1QgsQ0lRLl5TUFguSVFfVEVWX1RPVEFMX1JFVl9GV0QuNjAwMC4yLzI0LzIwMTYBAAAAm7goAAIAAAAIMS45MzU2NDgAm+tmuZNz1Qj7LCtLl3PVCCdDSVEuTkFTREFRR1M6SU5UQy5JUV9QVEJWLjIwMDAuNy8zLzIwMTQBAAAAh1IAAAIAAAAIMy42NDY2MTcBBwAAAAUAAAABMQEAAAAKMTY3MzM3OTMyNwMAAAABMAIAAAAGMTAwMDI5BAAAAAEwBwAAAAg3LzMvMjAxNAgAAAAINy8zLzIwMTRLEVW5k3PVCPsZT0mXc9UINkNJUS5OQVNEQVFHUzpJTlRDLklRX1RFVl9FQklUREFfRldEX0NJUS42MDAwLjEwLzUvMjAxMgEAAACHUgAAAgAAABA0LjkyNTg0MDczMzY4MzI2AQ0AAAAFAAAAATkBAAAABzI2MjEyOTUCAAAABzE3NTcxNjkDAAAABjEwMDMwOAQAAAABMgYAAAABMAcAAAADMTYwCAAAAAEwCQAAAAExCgAAAAEwCwAAAAo4Mzk5NTUwMjcwDAAAAAIxMg0AAAAJMTAvNi8yMDEymxVUu5Nz1Qjr6oyul3PVCDVDSVEuTkFTREFRR1M6SU5UQy5JUV9URVZfRUJJVERBX0ZXRF9DSVEuNjAwMC44LzUvMjAxMQEAAACHUgAAAgAAAA80LjE3Mjg2MDk4NjY1ODUBDQAAAAUAAAAB</t>
  </si>
  <si>
    <t>OQEAAAAHMjYyMTI5NQIAAAAHMTc1NzE2NgMAAAAGMTAwMzA4BAAAAAEyBgAAAAEwBwAAAAMxNjAIAAAAATAJAAAAATEKAAAAATALAAAACjgxNzA3MDU0MTMMAAAAAjEyDQAAAAg4LzYvMjAxMas8VLuTc9UIyw2Prpdz1QgoQ0lRLk5BU0RBUUdTOklOVEMuSVFfUFRCVi4yMDAwLjQvMjQvMjAxNQEAAACHUgAAAgAAAAgzLjgwNzMyNgEHAAAABQAAAAExAQAAAAoxNzI4MjE0MzE0AwAAAAEwAgAAAAYxMDAwMjkEAAAAATAHAAAACTQvMjQvMjAxNQgAAAAJNC8yNC8yMDE1O/Gvu5Nz1Qg7J1JJl3PVCC5DSVEuTkFTREFRR1M6SU5UQy5JUV9QRV9FWENMX0ZXRC42MDAwLjYvOC8yMDAxAQAAAIdSAAACAAAAEDU3LjA3MTA4Mjk5MjE4NDYBDQAAAAUAAAABOQEAAAAHMjYyMTI5NQIAAAAHMzQyMTE2MAMAAAAGMTAwMzA5BAAAAAEyBgAAAAEwBwAAAAMxNjAIAAAAATAJAAAAATEKAAAAATALAAAACjExNjkxNzMyMDAMAAAAAjEyDQAAAAg2LzkvMjAwMasltL2Tc9UIm6BQSZdz1QgsQ0lRLk5BU0RBUUdTOklOVEMuSVFfTEFTVFNBTEVQUklDRS43LzEwLzIwMTMBAAAAh1IAAAIAAAAFMjMuMjUAK8NUuZNz1Qh7fD1Ll3PVCC9DSVEuTkFTREFRR1M6SU5UQy5JUV9QRV9FWENMX0ZXRC42MDAwLjMvMjgvMjAwMgEAAACHUgAAAgAAABA0NS4zODgwNTk3MDE0OTI1AQ0AAAAFAAAAATkBAAAABzI2MjEyOTUCAAAABDE4NzcD</t>
  </si>
  <si>
    <t>AAAABjEwMDMwOQQAAAABMgYAAAABMAcAAAADMTYwCAAAAAEwCQAAAAExCgAAAAEwCwAAAAcxNDk3Nzk5DAAAAAIxMg0AAAAJMy8yOS8yMDAye7CzvZNz1QiL6lJJl3PVCCZDSVEuXlNQWC5JUV9QRV9FWENMX0ZXRC42MDAwLjcvMTMvMjAxNgEAAACbuCgAAgAAAAkxNy44MTQzOTkAa19VuZNz1Qj7SiZLl3PVCCxDSVEuTkFTREFRR1M6SU5UQy5JUV9MQVNUU0FMRVBSSUNFLjcvMTMvMjAxNgEAAACHUgAAAgAAAAUzNS4wMQArw1S5k3PVCJvRJ0uXc9UIMENJUS5OQVNEQVFHUzpJTlRDLklRX1BFX0VYQ0xfRldELjYwMDAuMTAvMTgvMjAwMgEAAACHUgAAAgAAABAyNy44NjEyNzE2NzYzMDA2AQ0AAAAFAAAAATkBAAAABzI2MjEyOTUCAAAABzE3NTcxNDADAAAABjEwMDMwOQQAAAABMgYAAAABMAcAAAADMTYwCAAAAAEwCQAAAAExCgAAAAEwCwAAAAo4ODU5ODg5NDEyDAAAAAIxMg0AAAAKMTAvMTkvMjAwMrtMtL2Tc9UI2zxRSZdz1QgsQ0lRLl5TUFguSVFfVEVWX1RPVEFMX1JFVl9GV0QuNjAwMC4xMi82LzIwMTcBAAAAm7goAAIAAAAHMi4zMDY5OABrZrC7k3PVCOup5kqXc9UIK0NJUS5eU1BYLklRX1RFVl9UT1RBTF9SRVZfRldELjYwMDAuNC8zLzIwMTMBAAAAm7goAAIAAAAIMS41ODQ1NTgAm+tmuZNz1Qir8T1Ll3PVCClDSVEuTkFTREFRR1M6SU5UQy5JUV9QVEJWLjIwMDAuMTAvMjEvMjAxMQEAAACH</t>
  </si>
  <si>
    <t>UgAAAgAAAAg0LjA4NzYzNAEHAAAABQAAAAExAQAAAAoxNDc3NDY4NTE3AwAAAAEwAgAAAAYxMDAwMjkEAAAAATAHAAAACjEwLzIxLzIwMTEIAAAACjEwLzIxLzIwMTFrdma5k3PVCFvmVEmXc9UIK0NJUS5eU1BYLklRX1RFVl9UT1RBTF9SRVZfRldELjYwMDAuNy8yLzIwMTQBAAAAm7goAAIAAAAIMS44OTE2MjcAa2awu5Nz1QhrczhLl3PVCDVDSVEuTkFTREFRR1M6SU5UQy5JUV9URVZfRUJJVERBX0ZXRF9DSVEuNjAwMC41LzUvMjAxNwEAAACHUgAAAgAAABA3LjM3MDEzMjY0OTM2MDAzAQ0AAAAFAAAAATkBAAAABzI2MjEyOTUCAAAACDI3NTAwMTcyAwAAAAYxMDAzMDgEAAAAATIGAAAAATAHAAAAAzE2MAgAAAABMAkAAAABMQoAAAABMAsAAAALMTAzOTkxMzk1NTEMAAAAAjEyDQAAAAg1LzYvMjAxN0tSU7uTc9UIG2CNrpdz1QgvQ0lRLk5BU0RBUUdTOklOVEMuSVFfUEVfRVhDTF9GV0QuNjAwMC45LzE5LzIwMDgBAAAAh1IAAAIAAAAQMTMuOTI0NjkyMjUxOTkxMwENAAAABQAAAAE5AQAAAAcyNjIxMjk1AgAAAAcxNzU3MTU3AwAAAAYxMDAzMDkEAAAAATIGAAAAATAHAAAAAzE2MAgAAAABMAkAAAABMQoAAAABMAsAAAAKODg2MDk3MTAxMAwAAAACMTINAAAACTkvMjAvMjAwODsUs72Tc9UIq6lVSZdz1Qg1Q0lRLk5BU0RBUUdTOklOVEMuSVFfVEVWX0VCSVREQV9GV0RfQ0lRLjYwMDAuMy83LzIwMTQB</t>
  </si>
  <si>
    <t>AAAAh1IAAAIAAAAQNS41MjU2MjQ3MjI0NTQ0MQENAAAABQAAAAE5AQAAAAcyNjIxMjk1AgAAAAc0NDU2NDIxAwAAAAYxMDAzMDgEAAAAATIGAAAAATAHAAAAAzE2MAgAAAABMAkAAAABMQoAAAABMAsAAAAKNjQ5NzkzMzE4NQwAAAACMTINAAAACDMvOC8yMDE0e8dTu5Nz1QhbbZCul3PVCC9DSVEuTkFTREFRR1M6SU5UQy5JUV9QRV9FWENMX0ZXRC42MDAwLjMvMTMvMjAxNQEAAACHUgAAAgAAABAxNC4zMDkyNDI0ODQ1MjQ5AQ0AAAAFAAAAATkBAAAABzI2MjEyOTUCAAAACjEwMDAwOTQwNzEDAAAABjEwMDMwOQQAAAABMgYAAAABMAcAAAADMTYwCAAAAAEwCQAAAAExCgAAAAEwCwAAAAo4NjY3Nzc3NjMyDAAAAAIxMg0AAAAJMy8xNC8yMDE1m/6zvZNz1QhrfldJl3PVCChDSVEuTkFTREFRR1M6SU5UQy5JUV9QVEJWLjIwMDAuNC8yMi8yMDE2AQAAAIdSAAACAAAACDQuNTE0ODA5AQcAAAAFAAAAATEBAAAACjE3ODYzNjk5NzQDAAAAATACAAAABjEwMDAyOQQAAAABMAcAAAAJNC8yMi8yMDE2CAAAAAk0LzIyLzIwMTY78a+7k3PVCIvqUkmXc9UIL0NJUS5OQVNEQVFHUzpJTlRDLklRX1BSSUNFX1NBTEVTLjIwMDAuOC8xMi8yMDE2AQAAAIdSAAACAAAACDIuODg3OTU3AQcAAAAFAAAAATEBAAAACjE4MDEyOTQ1MDEDAAAAATACAAAABTM4OTU4BAAAAAEwBwAAAAk4LzEyLzIwMTYIAAAACTgvMTIvMjAxNuvR</t>
  </si>
  <si>
    <t>iLaTc9UIS/tKSZdz1QgoQ0lRLk5BU0RBUUdTOklOVEMuSVFfUFRCVi4yMDAwLjMvMjgvMjAxNAEAAACHUgAAAgAAAAgyLjk4NzY4NgEHAAAABQAAAAExAQAAAAoxNjU4MzQyNzgwAwAAAAEwAgAAAAYxMDAwMjkEAAAAATAHAAAACTMvMjgvMjAxNAgAAAAJMy8yOC8yMDE0O/Gvu5Nz1Qg7J1JJl3PVCC5DSVEuTkFTREFRR1M6SU5UQy5JUV9QRV9FWENMX0ZXRC42MDAwLjcvOS8yMDA0AQAAAIdSAAACAAAAEDIwLjY0NDkxMDY0NDkxMDYBDQAAAAUAAAABOQEAAAAHMjYyMTI5NQIAAAAHMTc1NzE0NAMAAAAGMTAwMzA5BAAAAAEyBgAAAAEwBwAAAAMxNjAIAAAAATAJAAAAATEKAAAAATALAAAACjg4NjQxMDA4NTUMAAAAAjEyDQAAAAk3LzEwLzIwMDSrJbS9k3PVCBvZUUmXc9UIL0NJUS5OQVNEQVFHUzpJTlRDLklRX1BFX0VYQ0xfRldELjYwMDAuNS8xMS8yMDA3AQAAAIdSAAACAAAAEDIwLjA4NDczODEyMzE0MDcBDQAAAAUAAAABOQEAAAAHMjYyMTI5NQIAAAAHMTc1NzE1MwMAAAAGMTAwMzA5BAAAAAEyBgAAAAEwBwAAAAMxNjAIAAAAATAJAAAAATEKAAAAATALAAAACzEwNjM5MzY4MDkxDAAAAAIxMg0AAAAJNS8xMi8yMDA3SzuzvZNz1QgrcVRJl3PVCC1DSVEuTkFTREFRR1M6SU5UQy5JUV9MQVNUU0FMRVBSSUNFLjEyLzMwLzIwMTUBAAAAh1IAAAIAAAAFMzQuOTkAWz+wu5Nz1QjbTy1Ll3PVCCxDSVEu</t>
  </si>
  <si>
    <t>XlNQWC5JUV9URVZfVE9UQUxfUkVWX0ZXRC42MDAwLjkvMTcvMjAxNAEAAACbuCgAAgAAAAgxLjg4MjA2NgArBFO7k3PVCOs6N0uXc9UIMENJUS5OQVNEQVFHUzpJTlRDLklRX1BSSUNFX1NBTEVTLjIwMDAuMTAvMjYvMjAxMgEAAACHUgAAAgAAAAgyLjA1MTExMgEHAAAABQAAAAExAQAAAAoxNTcxMzQ5MTIyAwAAAAEwAgAAAAUzODk1OAQAAAABMAcAAAAKMTAvMjYvMjAxMggAAAAKMTAvMjYvMjAxMjvqVLmTc9UIS91PSZdz1QgsQ0lRLk5BU0RBUUdTOklOVEMuSVFfTEFTVFNBTEVQUklDRS41LzI5LzIwMTMBAAAAh1IAAAIAAAAFMjQuMjcAy5GvvZNz1QiLoz1Ll3PVCDVDSVEuTmFzZGFxR1M6SU5UQy5JUV9URVZfVE9UQUxfUkVWX0ZXRC42MDAwLjgvMjkvMjAwOAEAAACHUgAAAgAAABAyLjg1MTYyNTkwODUyNjU0AQ0AAAAFAAAAATkBAAAABzI2MjEyOTUCAAAABzE3NTcxNTcDAAAABjEwMDMwNwQAAAABMgYAAAABMAcAAAADMTYwCAAAAAEwCQAAAAExCgAAAAEwCwAAAAo4ODYyMDI5MzYzDAAAAAIxMg0AAAAJOC8zMC8yMDA460lXu5Nz1QjrRVZJl3PVCDVDSVEuTmFzZGFxR1M6SU5UQy5JUV9URVZfVE9UQUxfUkVWX0ZXRC42MDAwLjYvMjkvMjAxMgEAAACHUgAAAgAAABAyLjE2NjgxMjIwNjY5NjQyAQ0AAAAFAAAAATkBAAAABzI2MjEyOTUCAAAABzE3NTcxNjgDAAAABjEwMDMwNwQAAAABMgYAAAAB</t>
  </si>
  <si>
    <t>MAcAAAADMTYwCAAAAAEwCQAAAAExCgAAAAEwCwAAAAoxNDE2NDc4MTU2DAAAAAIxMg0AAAAJNi8zMC8yMDEyu9RWu5Nz1Qj7ilFJl3PVCDBDSVEuTmFzZGFxR1M6SU5UQy5JUV9QRV9FWENMX0ZXRC42MDAwLjEyLzIyLzIwMTcBAAAAh1IAAAIAAAAQMTQuNDIyOTI4NDQxMjczNwENAAAABQAAAAE5AQAAAAcyNjIxMjk1AgAAAAgyNzUwMDE3NAMAAAAGMTAwMzA5BAAAAAEyBgAAAAEwBwAAAAMxNjAIAAAAATAJAAAAATEKAAAAATALAAAACzEwNzM0Mjg0Njc1DAAAAAIxMg0AAAAKMTIvMjMvMjAxN5v+s72Tc9UIOwlXSZdz1QgvQ0lRLk5BU0RBUUdTOklOVEMuSVFfUEVfRVhDTF9GV0QuNjAwMC43LzExLzIwMDMBAAAAh1IAAAIAAAAQMzQuODkzODM5NzEyOTE4NwENAAAABQAAAAE5AQAAAAcyNjIxMjk1AgAAAAcxNzU3MTQxAwAAAAYxMDAzMDkEAAAAATIGAAAAATAHAAAAAzE2MAgAAAABMAkAAAABMQoAAAABMAsAAAAKNjgzMTQ0MTkzNwwAAAACMTINAAAACTcvMTIvMjAwM3uws72Tc9UImy9OSZdz1QgsQ0lRLl5TUFguSVFfVEVWX0VCSVREQV9GV0RfQ0lRLjYwMDAuOC83LzIwMTMBAAAAm7goAAIAAAAIOC4yOTMzOTkAqxJnuZNz1QhrVT1Ll3PVCDVDSVEuTmFzZGFxR1M6SU5UQy5JUV9URVZfVE9UQUxfUkVWX0ZXRC42MDAwLjQvMjAvMjAwNwEAAACHUgAAAgAAAA8zLjIwMjc0MjQwODYyOTUBDQAAAAUA</t>
  </si>
  <si>
    <t>AAABOQEAAAAHMjYyMTI5NQIAAAAHMTc1NzE1MwMAAAAGMTAwMzA3BAAAAAEyBgAAAAEwBwAAAAMxNjAIAAAAATAJAAAAATEKAAAAATALAAAACjkxMTEwNTA4MTgMAAAAAjEyDQAAAAk0LzIxLzIwMDerrVa7k3PVCAtBT0mXc9UIKENJUS5OQVNEQVFHUzpJTlRDLklRX1BUQlYuMjAwMC4xLzI5LzIwMTABAAAAh1IAAAIAAAAIMi44NzMzNDEBBwAAAAUAAAABMQEAAAAKMTMwNTE2OTI1NAMAAAABMAIAAAAGMTAwMDI5BAAAAAEwBwAAAAkxLzI5LzIwMTAIAAAACTEvMjkvMjAxMDvxr7uTc9UIi+pSSZdz1QgmQ0lRLl5TUFguSVFfUEVfRVhDTF9GV0QuNjAwMC42LzEwLzIwMTUBAAAAm7goAAIAAAAJMTcuNDMyMTA5ACsEU7uTc9UIO6swS5dz1Qg3Q0lRLk5hc2RhcUdTOklOVEMuSVFfVEVWX0VCSVREQV9GV0RfQ0lRLjYwMDAuMTAvMjkvMjAwNAEAAACHUgAAAgAAABA5LjIwOTc4NjYyNDQ0Mjg1AQ0AAAAFAAAAATkBAAAABzI2MjEyOTUCAAAABzE3NTcxNDYDAAAABjEwMDMwOAQAAAABMgYAAAABMAcAAAADMTYwCAAAAAEwCQAAAAExCgAAAAEwCwAAAAoxMTY5MTI5NjgyDAAAAAIxMg0AAAAKMTAvMzAvMjAwNOtJV7uTc9UI+4KPrpdz1QgfQ0lRLl5TUFguSVFfUFRCVi4yMDAwLjEwLzUvMjAxNgEAAACbuCgAAgAAAAg3LjYwODMwNwBbOFW5k3PVCHuhIkuXc9UIN0NJUS5OYXNkYXFHUzpJTlRDLklRX1RFVl9F</t>
  </si>
  <si>
    <t>QklUREFfRldEX0NJUS42MDAwLjExLzIxLzIwMDMBAAAAh1IAAAIAAAAPMTIuMjQ0OTU0MDAyODEzAQ0AAAAFAAAAATkBAAAABzI2MjEyOTUCAAAABzE3NTcxNDMDAAAABjEwMDMwOAQAAAABMgYAAAABMAcAAAADMTYwCAAAAAEwCQAAAAExCgAAAAEwCwAAAAoxMTY5MTI4MjMzDAAAAAIxMg0AAAAKMTEvMjIvMjAwM8v7VruTc9UIK/iPrpdz1QgoQ0lRLk5BU0RBUUdTOklOVEMuSVFfUFRCVi4yMDAwLjUvMTYvMjAxNAEAAACHUgAAAgAAAAgzLjAyMzYyNAEHAAAABQAAAAExAQAAAAoxNjczMzc5MzI3AwAAAAEwAgAAAAYxMDAwMjkEAAAAATAHAAAACTUvMTYvMjAxNAgAAAAJNS8xNi8yMDE0y7C5t5Nz1Qhbk01Jl3PVCC9DSVEuTkFTREFRR1M6SU5UQy5JUV9QUklDRV9TQUxFUy4yMDAwLjgvMTAvMjAxNgEAAACHUgAAAgAAAAgyLjg4NDYxNQEHAAAABQAAAAExAQAAAAoxODAxMjk0NTAxAwAAAAEwAgAAAAUzODk1OAQAAAABMAcAAAAJOC8xMC8yMDE2CAAAAAk4LzEwLzIwMTa7aq+9k3PVCNv8JUuXc9UIMENJUS5OQVNEQVFHUzpJTlRDLklRX1BFX0VYQ0xfRldELjYwMDAuMTAvMTcvMjAwMwEAAACHUgAAAgAAABAyOC45NjYxNDgyMTU5MTk1AQ0AAAAFAAAAATkBAAAABzI2MjEyOTUCAAAABzE3NTcxNDMDAAAABjEwMDMwOQQAAAABMgYAAAABMAcAAAADMTYwCAAAAAEwCQAAAAExCgAAAAEwCwAAAAo5MDkw</t>
  </si>
  <si>
    <t>Njg4MjU3DAAAAAIxMg0AAAAKMTAvMTgvMjAwM4vXs72Tc9UIS91PSZdz1QgvQ0lRLk5BU0RBUUdTOklOVEMuSVFfUFJJQ0VfU0FMRVMuMjAwMC45LzI2LzIwMTQBAAAAh1IAAAIAAAAIMy4xNjI3ODQBBwAAAAUAAAABMQEAAAAKMTY4ODA4MDk5MgMAAAABMAIAAAAFMzg5NTgEAAAAATAHAAAACTkvMjYvMjAxNAgAAAAJOS8yNi8yMDE0SxFVuZNz1Qg7tk9Jl3PVCChDSVEuTkFTREFRR1M6SU5UQy5JUV9QVEJWLjIwMDAuNy8yNC8yMDE1AQAAAIdSAAACAAAACDMuMTQ3MDk1AQcAAAAFAAAAATEBAAAACjE3NDYxMjA0NzYDAAAAATACAAAABjEwMDAyOQQAAAABMAcAAAAJNy8yNC8yMDE1CAAAAAk3LzI0LzIwMTX7jlK7k3PVCCviVkmXc9UIN0NJUS5OYXNkYXFHUzpJTlRDLklRX1RFVl9FQklUREFfRldEX0NJUS42MDAwLjEyLzE4LzIwMTUBAAAAh1IAAAIAAAAQNi42NzkzNDMyNzEwNTYyMgENAAAABQAAAAE5AQAAAAcyNjIxMjk1AgAAAAc4MDY4MjYyAwAAAAYxMDAzMDgEAAAAATIGAAAAATAHAAAAAzE2MAgAAAABMAkAAAABMQoAAAABMAsAAAAKOTE3ODczMjA1NgwAAAACMTINAAAACjEyLzE5LzIwMTXrnrG7k3PVCBtgja6Xc9UINUNJUS5OYXNkYXFHUzpJTlRDLklRX1RFVl9FQklUREFfRldEX0NJUS42MDAwLjkvMi8yMDA1AQAAAIdSAAACAAAAEDcuOTUwMjU5NDY5MDU5OTUBDQAAAAUAAAABOQEAAAAH</t>
  </si>
  <si>
    <t>MjYyMTI5NQIAAAAHMTc1NzE0OAMAAAAGMTAwMzA4BAAAAAEyBgAAAAEwBwAAAAMxNjAIAAAAATAJAAAAATEKAAAAATALAAAACjExNjkxMzA5NjcMAAAAAjEyDQAAAAg5LzMvMjAwNdt3sbuTc9UIe0qOrpdz1Qg2Q0lRLk5hc2RhcUdTOklOVEMuSVFfVEVWX0VCSVREQV9GV0RfQ0lRLjYwMDAuNi8yOS8yMDAxAQAAAIdSAAACAAAAEDIzLjQwMzY4MTc0Mjc3OTMBDQAAAAUAAAABOQEAAAAHMjYyMTI5NQIAAAAHMzQyMTE2MAMAAAAGMTAwMzA4BAAAAAEyBgAAAAEwBwAAAAMxNjAIAAAAATAJAAAAATEKAAAAATALAAAACjExNjkxNTI0MzIMAAAAAjEyDQAAAAk2LzMwLzIwMDGb/rO9k3PVCLvmjq6Xc9UINENJUS5OYXNkYXFHUzpJTlRDLklRX1RFVl9UT1RBTF9SRVZfRldELjYwMDAuNy83LzIwMDYBAAAAh1IAAAIAAAAPMi43NDU5ODE0NTQ5MTYyAQ0AAAAFAAAAATkBAAAABzI2MjEyOTUCAAAABzE3NTcxNTADAAAABjEwMDMwNwQAAAABMgYAAAABMAcAAAADMTYwCAAAAAEwCQAAAAExCgAAAAEwCwAAAAo4ODYwOTcwOTY3DAAAAAIxMg0AAAAINy84LzIwMDarJbS9k3PVCEv7SkmXc9UIL0NJUS5OQVNEQVFHUzpJTlRDLklRX1BSSUNFX1NBTEVTLjIwMDAuMi8xMS8yMDE1AQAAAIdSAAACAAAACDIuOTQzMDU2AQcAAAAFAAAAATEBAAAACjE3MTUzMjg2NDMDAAAAATACAAAABTM4OTU4BAAAAAEwBwAAAAkyLzEx</t>
  </si>
  <si>
    <t>LzIwMTUIAAAACTIvMTEvMjAxNUsYsLuTc9UIqy00S5dz1QgvQ0lRLk5BU0RBUUdTOklOVEMuSVFfUEVfRVhDTF9GV0QuNjAwMC45LzE2LzIwMTEBAAAAh1IAAAIAAAAQOS4yNjUzNTA4NzcxOTI5OAENAAAABQAAAAE5AQAAAAcyNjIxMjk1AgAAAAcxNzU3MTY2AwAAAAYxMDAzMDkEAAAAATIGAAAAATAHAAAAAzE2MAgAAAABMAkAAAABMQoAAAABMAsAAAAKODg2MzM1OTI3MgwAAAACMTINAAAACTkvMTcvMjAxMRvGsr2Tc9UIG7tWSZdz1QguQ0lRLk5BU0RBUUdTOklOVEMuSVFfUFJJQ0VfU0FMRVMuMjAwMC42LzIvMjAxNwEAAACHUgAAAgAAAAgyLjg0MDYwNgEHAAAABQAAAAExAQAAAAoxODM4MzYwMTMyAwAAAAEwAgAAAAUzODk1OAQAAAABMAcAAAAINi8yLzIwMTcIAAAACDYvMi8yMDE3WzhVuZNz1QibL05Jl3PVCDBDSVEuTkFTREFRR1M6SU5UQy5JUV9QRV9FWENMX0ZXRC42MDAwLjExLzI1LzIwMTYBAAAAh1IAAAIAAAAPMTIuODUxMjg5MTE3NzQzAQ0AAAAFAAAAATkBAAAABzI2MjEyOTUCAAAACDI3MDAzNjUzAwAAAAYxMDAzMDkEAAAAATIGAAAAATAHAAAAAzE2MAgAAAABMAkAAAABMQoAAAABMAsAAAAKOTg2MDAyMDI5MQwAAAACMTINAAAACjExLzI2LzIwMTbbKbK9k3PVCIvMV0mXc9UINkNJUS5OQVNEQVFHUzpJTlRDLklRX1RFVl9FQklUREFfRldEX0NJUS42MDAwLjIvMTkvMjAxNgEAAACH</t>
  </si>
  <si>
    <t>UgAAAgAAABA1Ljc5NzQ2NjQwODk4MDM1AQ0AAAAFAAAAATkBAAAABzI2MjEyOTUCAAAACjEwMDA5MTU0MDIDAAAABjEwMDMwOAQAAAABMgYAAAABMAcAAAADMTYwCAAAAAEwCQAAAAExCgAAAAEwCwAAAAo5Mjk4MTY4MjkyDAAAAAIxMg0AAAAJMi8yMC8yMDE2W3lTu5Nz1Qjbw4yul3PVCDVDSVEuTmFzZGFxR1M6SU5UQy5JUV9URVZfVE9UQUxfUkVWX0ZXRC42MDAwLjgvMjQvMjAwNwEAAACHUgAAAgAAABAzLjUyMTIxMzQ1MzUwODU0AQ0AAAAFAAAAATkBAAAABzI2MjEyOTUCAAAABzE3NTcxNTQDAAAABjEwMDMwNwQAAAABMgYAAAABMAcAAAADMTYwCAAAAAEwCQAAAAExCgAAAAEwCwAAAAo4ODY0MzI5Mjg5DAAAAAIxMg0AAAAJOC8yNS8yMDA3uymxu5Nz1QhbBFBJl3PVCC1DSVEuXlNQWC5JUV9URVZfRUJJVERBX0ZXRF9DSVEuNjAwMC4xMC80LzIwMTcBAAAAm7goAAIAAAAJMTAuNjQ4ODEyAGtmsLuTc9UISzr2Spdz1Qg2Q0lRLk5BU0RBUUdTOklOVEMuSVFfVEVWX0VCSVREQV9GV0RfQ0lRLjYwMDAuMS8yMy8yMDA0AQAAAIdSAAACAAAAEDExLjMwNzY3NTkwOTI3ODgBDQAAAAUAAAABOQEAAAAHMjYyMTI5NQIAAAAEMTg3OQMAAAAGMTAwMzA4BAAAAAEyBgAAAAEwBwAAAAMxNjAIAAAAATAJAAAAATEKAAAAATALAAAACTM2MDY2MzI5MQwAAAACMTINAAAACTEvMjQvMjAwNDucVbuTc9UIa5SQrpdz</t>
  </si>
  <si>
    <t>1Qg1Q0lRLk5BU0RBUUdTOklOVEMuSVFfVEVWX0VCSVREQV9GV0RfQ0lRLjYwMDAuMy81LzIwMDQBAAAAh1IAAAIAAAAQMTAuMjc3NTk0MzkyMTk3OQENAAAABQAAAAE5AQAAAAcyNjIxMjk1AgAAAAQxODc5AwAAAAYxMDAzMDgEAAAAATIGAAAAATAHAAAAAzE2MAgAAAABMAkAAAABMQoAAAABMAsAAAAJMzYwNjYzMjk5DAAAAAIxMg0AAAAIMy82LzIwMDQ7nFW7k3PVCAs5ja6Xc9UIJkNJUS5eU1BYLklRX1BFX0VYQ0xfRldELjYwMDAuMy8yNS8yMDE1AQAAAJu4KAACAAAACTE3LjM2MzI2OAB7jbC7k3PVCMsKMkuXc9UIJkNJUS5eU1BYLklRX1BFX0VYQ0xfRldELjYwMDAuNi8xOS8yMDEzAQAAAJu4KAACAAAACTE0LjQyOTUxMgBrX1W5k3PVCHt8PUuXc9UIL0NJUS5OQVNEQVFHUzpJTlRDLklRX1BFX0VYQ0xfRldELjYwMDAuNi8xNS8yMDA3AQAAAIdSAAACAAAAEDIxLjg4MzE4MTM2Njc5NjEBDQAAAAUAAAABOQEAAAAHMjYyMTI5NQIAAAAHMTc1NzE1MwMAAAAGMTAwMzA5BAAAAAEyBgAAAAEwBwAAAAMxNjAIAAAAATAJAAAAATEKAAAAATALAAAACjg4NjMzNTkwODEMAAAAAjEyDQAAAAk2LzE2LzIwMDdLO7O9k3PVCPuKUUmXc9UILkNJUS5OQVNEQVFHUzpJTlRDLklRX1BSSUNFX1NBTEVTLjIwMDAuNi80LzIwMTQBAAAAh1IAAAIAAAAIMi41OTY4MjcBBwAAAAUAAAABMQEAAAAKMTY3MzM3OTMyNwMA</t>
  </si>
  <si>
    <t>AAABMAIAAAAFMzg5NTgEAAAAATAHAAAACDYvNC8yMDE0CAAAAAg2LzQvMjAxNEsYsLuTc9UIuzY5S5dz1QgvQ0lRLk5BU0RBUUdTOklOVEMuSVFfUFJJQ0VfU0FMRVMuMjAwMC45LzE0LzIwMTIBAAAAh1IAAAIAAAAIMi4xNzQyNjIBBwAAAAUAAAABMQEAAAAKMTU1NzIxNjI0NgMAAAABMAIAAAAFMzg5NTgEAAAAATAHAAAACTkvMTQvMjAxMggAAAAJOS8xNC8yMDEyu2qvvZNz1Qi7QVhJl3PVCDRDSVEuTmFzZGFxR1M6SU5UQy5JUV9URVZfVE9UQUxfUkVWX0ZXRC42MDAwLjYvNi8yMDAzAQAAAIdSAAACAAAAEDQuNTA1NDI1MjAwMTczMjMBDQAAAAUAAAABOQEAAAAHMjYyMTI5NQIAAAAHMTc1NzE0MQMAAAAGMTAwMzA3BAAAAAEyBgAAAAEwBwAAAAMxNjAIAAAAATAJAAAAATEKAAAAATALAAAACjkxMTEwNjc4MTUMAAAAAjEyDQAAAAg2LzcvMjAwM7v6u7eTc9UIq1ZOSZdz1QgvQ0lRLk5BU0RBUUdTOklOVEMuSVFfUEVfRVhDTF9GV0QuNjAwMC4xLzIzLzIwMTUBAAAAh1IAAAIAAAAQMTUuMzU5MTAyNTE3NjM2OQENAAAABQAAAAE5AQAAAAcyNjIxMjk1AgAAAAoxMDAwMDk0MDcxAwAAAAYxMDAzMDkEAAAAATIGAAAAATAHAAAAAzE2MAgAAAABMAkAAAABMQoAAAABMAsAAAAKODUyOTIxMzM5OAwAAAACMTINAAAACTEvMjQvMjAxNbtMtL2Tc9UIi8xXSZdz1QgvQ0lRLk5BU0RBUUdTOklOVEMuSVFfUFJJ</t>
  </si>
  <si>
    <t>Q0VfU0FMRVMuMjAwMC4zLzEwLzIwMTcBAAAAh1IAAAIAAAAIMi44NjAxMjUBBwAAAAUAAAABMQEAAAAKMTgyODE3NDEyMgMAAAABMAIAAAAFMzg5NTgEAAAAATAHAAAACTMvMTAvMjAxNwgAAAAJMy8xMC8yMDE3q0OvvZNz1QhLoVlJl3PVCDZDSVEuTmFzZGFxR1M6SU5UQy5JUV9URVZfVE9UQUxfUkVWX0ZXRC42MDAwLjEyLzE1LzIwMTcBAAAAh1IAAAIAAAAQMy41MTAzNDczNzEyODM1NwENAAAABQAAAAE5AQAAAAcyNjIxMjk1AgAAAAgyNzUwMDE3NAMAAAAGMTAwMzA3BAAAAAEyBgAAAAEwBwAAAAMxNjAIAAAAATAJAAAAATEKAAAAATALAAAACzEwNzM0MjgzMTU1DAAAAAIxMg0AAAAKMTIvMTYvMjAxN7siVrmTc9UIe+FNSZdz1Qg2Q0lRLk5hc2RhcUdTOklOVEMuSVFfVEVWX0VCSVREQV9GV0RfQ0lRLjYwMDAuMTIvMi8yMDExAQAAAIdSAAACAAAAEDQuNjY2MDY5OTk3NzM2ODkBDQAAAAUAAAABOQEAAAAHMjYyMTI5NQIAAAAHMTc1NzE2NwMAAAAGMTAwMzA4BAAAAAEyBgAAAAEwBwAAAAMxNjAIAAAAATAJAAAAATEKAAAAATALAAAACjgxNzE1NzQxNjkMAAAAAjEyDQAAAAkxMi8zLzIwMTGL17O9k3PVCJuYjq6Xc9UINENJUS5OYXNkYXFHUzpJTlRDLklRX1RFVl9UT1RBTF9SRVZfRldELjYwMDAuMS82LzIwMDYBAAAAh1IAAAIAAAAQMy41MjkyNjM3MTcwMzU0NQENAAAABQAAAAE5AQAAAAcyNjIx</t>
  </si>
  <si>
    <t>Mjk1AgAAAAcxNzU3MTQ5AwAAAAYxMDAzMDcEAAAAATIGAAAAATAHAAAAAzE2MAgAAAABMAkAAAABMQoAAAABMAsAAAAKMTE2OTEzMTQ5MAwAAAACMTINAAAACDEvNy8yMDA262+8t5Nz1QibL05Jl3PVCC1DSVEuTkFTREFRR1M6SU5UQy5JUV9MQVNUU0FMRVBSSUNFLjEyLzEwLzIwMTQBAAAAh1IAAAIAAAAFMzYuNDIAy5GvvZNz1QhLtDVLl3PVCChDSVEuTkFTREFRR1M6SU5UQy5JUV9QVEJWLjIwMDAuMTAvNS8yMDEyAQAAAIdSAAACAAAACDMuNDA3ODEyAQcAAAAFAAAAATEBAAAACjE1NTcyMTYyNDYDAAAAATACAAAABjEwMDAyOQQAAAABMAcAAAAJMTAvNS8yMDEyCAAAAAkxMC81LzIwMTLb17m3k3PVCKvlS0mXc9UINUNJUS5OYXNkYXFHUzpJTlRDLklRX1RFVl9UT1RBTF9SRVZfRldELjYwMDAuNi8yNS8yMDA0AQAAAIdSAAACAAAAEDQuNjYxMDA3NzQ3NjMzMjkBDQAAAAUAAAABOQEAAAAHMjYyMTI5NQIAAAAHMTc1NzE0NAMAAAAGMTAwMzA3BAAAAAEyBgAAAAEwBwAAAAMxNjAIAAAAATAJAAAAATEKAAAAATALAAAACjExNjkxMjgzODkMAAAAAjEyDQAAAAk2LzI2LzIwMDRLmWi5k3PVCDsnUkmXc9UIL0NJUS5OQVNEQVFHUzpJTlRDLklRX1BSSUNFX1NBTEVTLjIwMDAuMi8yMS8yMDE0AQAAAIdSAAACAAAACDIuMzAyNjM3AQcAAAAFAAAAATEBAAAACjE2NTgzNDI3ODADAAAAATACAAAABTM4OTU4</t>
  </si>
  <si>
    <t>BAAAAAEwBwAAAAkyLzIxLzIwMTQIAAAACTIvMjEvMjAxNEsYsLuTc9UIG9lRSZdz1Qg1Q0lRLk5hc2RhcUdTOklOVEMuSVFfVEVWX1RPVEFMX1JFVl9GV0QuNjAwMC44LzI4LzIwMTUBAAAAh1IAAAIAAAAQMi4zNjkxMTEyNTEyODQxMwENAAAABQAAAAE5AQAAAAcyNjIxMjk1AgAAAAc4MDY4MjYxAwAAAAYxMDAzMDcEAAAAATIGAAAAATAHAAAAAzE2MAgAAAABMAkAAAABMQoAAAABMAsAAAAKODk4ODkwNjg1NAwAAAACMTINAAAACTgvMjkvMjAxNasCsbuTc9UIW8hZSZdz1QguQ0lRLk5BU0RBUUdTOklOVEMuSVFfUFJJQ0VfU0FMRVMuMjAwMC40LzIvMjAxNAEAAACHUgAAAgAAAAgyLjQ0MTI0OAEHAAAABQAAAAExAQAAAAoxNjU4MzQyNzgwAwAAAAEwAgAAAAUzODk1OAQAAAABMAcAAAAINC8yLzIwMTQIAAAACDQvMi8yMDE0W09muZNz1Qh7CztLl3PVCDdDSVEuTkFTREFRR1M6SU5UQy5JUV9URVZfRUJJVERBX0ZXRF9DSVEuNjAwMC4xMS8xNC8yMDAzAQAAAIdSAAACAAAAEDEyLjQzOTkyOTc4OTQxNDMBDQAAAAUAAAABOQEAAAAHMjYyMTI5NQIAAAAHMTc1NzE0MwMAAAAGMTAwMzA4BAAAAAEyBgAAAAEwBwAAAAMxNjAIAAAAATAJAAAAATEKAAAAATALAAAACjExNjkxMjgyMzMMAAAAAjEyDQAAAAoxMS8xNS8yMDAzO5xVu5Nz1QgLOY2ul3PVCB5DSVEuXlNQWC5JUV9QVEJWLjIwMDAuMi8zLzIwMTYB</t>
  </si>
  <si>
    <t>AAAAm7goAAIAAAAINi4wMjE0NzYAi8RmuZNz1Qg7yStLl3PVCC5DSVEuTkFTREFRR1M6SU5UQy5JUV9QUklDRV9TQUxFUy4yMDAwLjQvOC8yMDExAQAAAIdSAAACAAAACDIuNTQ5MzY4AQcAAAAFAAAAATEBAAAACjE0MzA2MjQ1MDkDAAAAATACAAAABTM4OTU4BAAAAAEwBwAAAAg0LzgvMjAxMQgAAAAINC84LzIwMTF7nWa5k3PVCPv7U0mXc9UINUNJUS5OQVNEQVFHUzpJTlRDLklRX1RFVl9FQklUREFfRldEX0NJUS42MDAwLjYvNy8yMDAyAQAAAIdSAAACAAAAEDEyLjM3ODEwMDE2ODc5MjMBDQAAAAUAAAABOQEAAAAHMjYyMTI5NQIAAAAHMTc1NzEzOAMAAAAGMTAwMzA4BAAAAAEyBgAAAAEwBwAAAAMxNjAIAAAAATAJAAAAATEKAAAAATALAAAACjExNjkxMjU2NDIMAAAAAjEyDQAAAAg2LzgvMjAwMlvqVbuTc9UI61uPrpdz1Qg2Q0lRLk5hc2RhcUdTOklOVEMuSVFfVEVWX0VCSVREQV9GV0RfQ0lRLjYwMDAuOC8zMC8yMDAyAQAAAIdSAAACAAAAEDkuNTMwMjc5MDk2NzIxMTMBDQAAAAUAAAABOQEAAAAHMjYyMTI5NQIAAAAHMTc1NzEzOQMAAAAGMTAwMzA4BAAAAAEyBgAAAAEwBwAAAAMxNjAIAAAAATAJAAAAATEKAAAAATALAAAACjExNjkxMjYwNDcMAAAAAjEyDQAAAAk4LzMxLzIwMDK71Fa7k3PVCCv4j66Xc9UINkNJUS5OQVNEQVFHUzpJTlRDLklRX1RFVl9FQklUREFfRldEX0NJUS42MDAwLjUv</t>
  </si>
  <si>
    <t>MTIvMjAwNgEAAACHUgAAAgAAABA4Ljk2MjQ3OTQ1OTMyMTkxAQ0AAAAFAAAAATkBAAAABzI2MjEyOTUCAAAABzE3NTcxNTADAAAABjEwMDMwOAQAAAABMgYAAAABMAcAAAADMTYwCAAAAAEwCQAAAAExCgAAAAEwCwAAAAoxMTY5MTMzMjMyDAAAAAIxMg0AAAAJNS8xMy8yMDA2CydVu5Nz1Qj7go+ul3PVCDZDSVEuTmFzZGFxR1M6SU5UQy5JUV9URVZfRUJJVERBX0ZXRF9DSVEuNjAwMC4xMi8xLzIwMTcBAAAAh1IAAAIAAAAQOC4yNjc0ODEzMjA4NzI3MQENAAAABQAAAAE5AQAAAAcyNjIxMjk1AgAAAAgyNzUwMDE3NAMAAAAGMTAwMzA4BAAAAAEyBgAAAAEwBwAAAAMxNjAIAAAAATAJAAAAATEKAAAAATALAAAACzEwNjU5MzI2NzUyDAAAAAIxMg0AAAAJMTIvMi8yMDE3u9RWu5Nz1QgLOY2ul3PVCBpDSVEuXlNQWC5JUV9MQVNUU0FMRVBSSUNFLgEAAACbuCgAAgAAAAcyNjgzLjI2AFvc1MKTc9UI6yfTNZdz1QgvQ0lRLk5BU0RBUUdTOklOVEMuSVFfUEVfRVhDTF9GV0QuNjAwMC43LzEzLzIwMDEBAAAAh1IAAAIAAAAQNTcuMjk3Mzk5ODg2MTI2NAENAAAABQAAAAE5AQAAAAcyNjIxMjk1AgAAAAczNDIxMTYwAwAAAAYxMDAzMDkEAAAAATIGAAAAATAHAAAAAzE2MAgAAAABMAkAAAABMQoAAAABMAsAAAAKMTE2OTE3MzIwNwwAAAACMTINAAAACTcvMTQvMjAwMYvXs72Tc9UIW8hZSZdz1QgwQ0lRLk5BU0RB</t>
  </si>
  <si>
    <t>UUdTOklOVEMuSVFfUEVfRVhDTF9GV0QuNjAwMC4xMC8yNS8yMDAyAQAAAIdSAAACAAAAEDMxLjk2NTMxNzkxOTA3NTEBDQAAAAUAAAABOQEAAAAHMjYyMTI5NQIAAAAHMTc1NzE0MAMAAAAGMTAwMzA5BAAAAAEyBgAAAAEwBwAAAAMxNjAIAAAAATAJAAAAATEKAAAAATALAAAACjg4NTk4ODk0MTIMAAAAAjEyDQAAAAoxMC8yNi8yMDAye7CzvZNz1Qh7FlpJl3PVCCxDSVEuXlNQWC5JUV9URVZfVE9UQUxfUkVWX0ZXRC42MDAwLjcvMjcvMjAxNgEAAACbuCgAAgAAAAgyLjA3NTE1MwB7jbC7k3PVCDvnJkuXc9UINUNJUS5OYXNkYXFHUzpJTlRDLklRX1RFVl9UT1RBTF9SRVZfRldELjYwMDAuNC8yNS8yMDE0AQAAAIdSAAACAAAAEDIuMzQzNDcyMTgzNDE2NTQBDQAAAAUAAAABOQEAAAAHMjYyMTI5NQIAAAAHNDQ1NjQyNwMAAAAGMTAwMzA3BAAAAAEyBgAAAAEwBwAAAAMxNjAIAAAAATAJAAAAATEKAAAAATALAAAACjg4NjQ0Mzk1MTQMAAAAAjEyDQAAAAk0LzI2LzIwMTS7KbG7k3PVCIvMV0mXc9UIYkNJUVJBTkdFLk5BU0RBUUdTOklOVEMuSVFfVEVWX0VCSVREQV9GV0RfQ0lRLjYwMDAuMjAwMS8wMS8wMS4yLzIxLzIwMTguLkRFU0MuVy4uLkZPUldBUkQgRVYvRUJJVERBAwAAAIdSAAB+AwAAAAAAAAQAAAAAAAAADyJOYXNkYXFHUzpJTlRDIg1OYXNkYXFHUzpJTlRDAQAAABciSVFfVEVWX0VCSVREQV9G</t>
  </si>
  <si>
    <t>V0RfQ0lRIhVJUV9URVZfRUJJVERBX0ZXRF9DSVECAAAABklRX05UTQQ2MDAwAwAAAAsiMi8xMy8yMDE4IgkyLzEzLzIwMTgAAAAABAAAAAAAAAAPIk5hc2RhcUdTOklOVEMiDU5hc2RhcUdTOklOVEMBAAAAFyJJUV9URVZfRUJJVERBX0ZXRF9DSVEiFUlRX1RFVl9FQklUREFfRldEX0NJUQIAAAAGSVFfTlRNBDYwMDADAAAACiIyLzkvMjAxOCIIMi85LzIwMTgAAAAABAAAAAAAAAAPIk5hc2RhcUdTOklOVEMiDU5hc2RhcUdTOklOVEMBAAAAFyJJUV9URVZfRUJJVERBX0ZXRF9DSVEiFUlRX1RFVl9FQklUREFfRldEX0NJUQIAAAAGSVFfTlRNBDYwMDADAAAACiIyLzIvMjAxOCIIMi8yLzIwMTgAAAAABAAAAAAAAAAPIk5hc2RhcUdTOklOVEMiDU5hc2RhcUdTOklOVEMBAAAAFyJJUV9URVZfRUJJVERBX0ZXRF9DSVEiFUlRX1RFVl9FQklUREFfRldEX0NJUQIAAAAGSVFfTlRNBDYwMDADAAAACyIxLzI2LzIwMTgiCTEvMjYvMjAxOAAAAAAEAAAAAAAAAA8iTmFzZGFxR1M6SU5UQyINTmFzZGFxR1M6SU5UQwEAAAAXIklRX1RFVl9FQklUREFfRldEX0NJUSIVSVFfVEVWX0VCSVREQV9GV0RfQ0lRAgAAAAZJUV9OVE0ENjAwMAMAAAALIjEvMTkvMjAxOCIJMS8xOS8yMDE4AAAAAAQAAAAAAAAADyJOYXNkYXFHUzpJTlRDIg1OYXNkYXFHUzpJTlRDAQAAABciSVFfVEVWX0VCSVREQV9GV0RfQ0lRIhVJUV9URVZf</t>
  </si>
  <si>
    <t>RUJJVERBX0ZXRF9DSVECAAAABklRX05UTQQ2MDAwAwAAAAsiMS8xMi8yMDE4IgkxLzEyLzIwMTgAAAAABAAAAAAAAAAPIk5hc2RhcUdTOklOVEMiDU5hc2RhcUdTOklOVEMBAAAAFyJJUV9URVZfRUJJVERBX0ZXRF9DSVEiFUlRX1RFVl9FQklUREFfRldEX0NJUQIAAAAGSVFfTlRNBDYwMDADAAAACiIxLzUvMjAxOCIIMS81LzIwMTgAAAAABAAAAAAAAAAPIk5hc2RhcUdTOklOVEMiDU5hc2RhcUdTOklOVEMBAAAAFyJJUV9URVZfRUJJVERBX0ZXRF9DSVEiFUlRX1RFVl9FQklUREFfRldEX0NJUQIAAAAGSVFfTlRNBDYwMDADAAAADCIxMi8yOS8yMDE3IgoxMi8yOS8yMDE3AAAAAAQAAAAAAAAADyJOYXNkYXFHUzpJTlRDIg1OYXNkYXFHUzpJTlRDAQAAABciSVFfVEVWX0VCSVREQV9GV0RfQ0lRIhVJUV9URVZfRUJJVERBX0ZXRF9DSVECAAAABklRX05UTQQ2MDAwAwAAAAwiMTIvMjIvMjAxNyIKMTIvMjIvMjAxNwAAAAAEAAAAAAAAAA8iTmFzZGFxR1M6SU5UQyINTmFzZGFxR1M6SU5UQwEAAAAXIklRX1RFVl9FQklUREFfRldEX0NJUSIVSVFfVEVWX0VCSVREQV9GV0RfQ0lRAgAAAAZJUV9OVE0ENjAwMAMAAAAMIjEyLzE1LzIwMTciCjEyLzE1LzIwMTcAAAAABAAAAAAAAAAPIk5hc2RhcUdTOklOVEMiDU5hc2RhcUdTOklOVEMBAAAAFyJJUV9URVZfRUJJVERBX0ZXRF9DSVEiFUlRX1RFVl9FQklUREFf</t>
  </si>
  <si>
    <t>RldEX0NJUQIAAAAGSVFfTlRNBDYwMDADAAAACyIxMi84LzIwMTciCTEyLzgvMjAxNwAAAAAEAAAAAAAAAA8iTmFzZGFxR1M6SU5UQyINTmFzZGFxR1M6SU5UQwEAAAAXIklRX1RFVl9FQklUREFfRldEX0NJUSIVSVFfVEVWX0VCSVREQV9GV0RfQ0lRAgAAAAZJUV9OVE0ENjAwMAMAAAALIjEyLzEvMjAxNyIJMTIvMS8yMDE3AAAAAAQAAAAAAAAADyJOYXNkYXFHUzpJTlRDIg1OYXNkYXFHUzpJTlRDAQAAABciSVFfVEVWX0VCSVREQV9GV0RfQ0lRIhVJUV9URVZfRUJJVERBX0ZXRF9DSVECAAAABklRX05UTQQ2MDAwAwAAAAwiMTEvMjQvMjAxNyIKMTEvMjQvMjAxNwAAAAAEAAAAAAAAAA8iTmFzZGFxR1M6SU5UQyINTmFzZGFxR1M6SU5UQwEAAAAXIklRX1RFVl9FQklUREFfRldEX0NJUSIVSVFfVEVWX0VCSVREQV9GV0RfQ0lRAgAAAAZJUV9OVE0ENjAwMAMAAAAMIjExLzE3LzIwMTciCjExLzE3LzIwMTcAAAAABAAAAAAAAAAPIk5hc2RhcUdTOklOVEMiDU5hc2RhcUdTOklOVEMBAAAAFyJJUV9URVZfRUJJVERBX0ZXRF9DSVEiFUlRX1RFVl9FQklUREFfRldEX0NJUQIAAAAGSVFfTlRNBDYwMDADAAAADCIxMS8xMC8yMDE3IgoxMS8xMC8yMDE3AAAAAAQAAAAAAAAADyJOYXNkYXFHUzpJTlRDIg1OYXNkYXFHUzpJTlRDAQAAABciSVFfVEVWX0VCSVREQV9GV0RfQ0lRIhVJUV9URVZfRUJJVERBX0ZXRF9D</t>
  </si>
  <si>
    <t>SVECAAAABklRX05UTQQ2MDAwAwAAAAsiMTEvMy8yMDE3IgkxMS8zLzIwMTcAAAAABAAAAAAAAAAPIk5hc2RhcUdTOklOVEMiDU5hc2RhcUdTOklOVEMBAAAAFyJJUV9URVZfRUJJVERBX0ZXRF9DSVEiFUlRX1RFVl9FQklUREFfRldEX0NJUQIAAAAGSVFfTlRNBDYwMDADAAAADCIxMC8yNy8yMDE3IgoxMC8yNy8yMDE3AAAAAAQAAAAAAAAADyJOYXNkYXFHUzpJTlRDIg1OYXNkYXFHUzpJTlRDAQAAABciSVFfVEVWX0VCSVREQV9GV0RfQ0lRIhVJUV9URVZfRUJJVERBX0ZXRF9DSVECAAAABklRX05UTQQ2MDAwAwAAAAwiMTAvMjAvMjAxNyIKMTAvMjAvMjAxNwAAAAAEAAAAAAAAAA8iTmFzZGFxR1M6SU5UQyINTmFzZGFxR1M6SU5UQwEAAAAXIklRX1RFVl9FQklUREFfRldEX0NJUSIVSVFfVEVWX0VCSVREQV9GV0RfQ0lRAgAAAAZJUV9OVE0ENjAwMAMAAAAMIjEwLzEzLzIwMTciCjEwLzEzLzIwMTcAAAAABAAAAAAAAAAPIk5hc2RhcUdTOklOVEMiDU5hc2RhcUdTOklOVEMBAAAAFyJJUV9URVZfRUJJVERBX0ZXRF9DSVEiFUlRX1RFVl9FQklUREFfRldEX0NJUQIAAAAGSVFfTlRNBDYwMDADAAAACyIxMC82LzIwMTciCTEwLzYvMjAxNwAAAAAEAAAAAAAAAA8iTmFzZGFxR1M6SU5UQyINTmFzZGFxR1M6SU5UQwEAAAAXIklRX1RFVl9FQklUREFfRldEX0NJUSIVSVFfVEVWX0VCSVREQV9GV0RfQ0lRAgAA</t>
  </si>
  <si>
    <t>AAZJUV9OVE0ENjAwMAMAAAALIjkvMjkvMjAxNyIJOS8yOS8yMDE3AAAAAAQAAAAAAAAADyJOYXNkYXFHUzpJTlRDIg1OYXNkYXFHUzpJTlRDAQAAABciSVFfVEVWX0VCSVREQV9GV0RfQ0lRIhVJUV9URVZfRUJJVERBX0ZXRF9DSVECAAAABklRX05UTQQ2MDAwAwAAAAsiOS8yMi8yMDE3Igk5LzIyLzIwMTcAAAAABAAAAAAAAAAPIk5hc2RhcUdTOklOVEMiDU5hc2RhcUdTOklOVEMBAAAAFyJJUV9URVZfRUJJVERBX0ZXRF9DSVEiFUlRX1RFVl9FQklUREFfRldEX0NJUQIAAAAGSVFfTlRNBDYwMDADAAAACyI5LzE1LzIwMTciCTkvMTUvMjAxNwAAAAAEAAAAAAAAAA8iTmFzZGFxR1M6SU5UQyINTmFzZGFxR1M6SU5UQwEAAAAXIklRX1RFVl9FQklUREFfRldEX0NJUSIVSVFfVEVWX0VCSVREQV9GV0RfQ0lRAgAAAAZJUV9OVE0ENjAwMAMAAAAKIjkvOC8yMDE3Igg5LzgvMjAxNwAAAAAEAAAAAAAAAA8iTmFzZGFxR1M6SU5UQyINTmFzZGFxR1M6SU5UQwEAAAAXIklRX1RFVl9FQklUREFfRldEX0NJUSIVSVFfVEVWX0VCSVREQV9GV0RfQ0lRAgAAAAZJUV9OVE0ENjAwMAMAAAAKIjkvMS8yMDE3Igg5LzEvMjAxNwAAAAAEAAAAAAAAAA8iTmFzZGFxR1M6SU5UQyINTmFzZGFxR1M6SU5UQwEAAAAXIklRX1RFVl9FQklUREFfRldEX0NJUSIVSVFfVEVWX0VCSVREQV9GV0RfQ0lRAgAAAAZJUV9OVE0ENjAwMAMA</t>
  </si>
  <si>
    <t>AAALIjgvMjUvMjAxNyIJOC8yNS8yMDE3AAAAAAQAAAAAAAAADyJOYXNkYXFHUzpJTlRDIg1OYXNkYXFHUzpJTlRDAQAAABciSVFfVEVWX0VCSVREQV9GV0RfQ0lRIhVJUV9URVZfRUJJVERBX0ZXRF9DSVECAAAABklRX05UTQQ2MDAwAwAAAAsiOC8xOC8yMDE3Igk4LzE4LzIwMTcAAAAABAAAAAAAAAAPIk5hc2RhcUdTOklOVEMiDU5hc2RhcUdTOklOVEMBAAAAFyJJUV9URVZfRUJJVERBX0ZXRF9DSVEiFUlRX1RFVl9FQklUREFfRldEX0NJUQIAAAAGSVFfTlRNBDYwMDADAAAACyI4LzExLzIwMTciCTgvMTEvMjAxNwAAAAAEAAAAAAAAAA8iTmFzZGFxR1M6SU5UQyINTmFzZGFxR1M6SU5UQwEAAAAXIklRX1RFVl9FQklUREFfRldEX0NJUSIVSVFfVEVWX0VCSVREQV9GV0RfQ0lRAgAAAAZJUV9OVE0ENjAwMAMAAAAKIjgvNC8yMDE3Igg4LzQvMjAxNwAAAAAEAAAAAAAAAA8iTmFzZGFxR1M6SU5UQyINTmFzZGFxR1M6SU5UQwEAAAAXIklRX1RFVl9FQklUREFfRldEX0NJUSIVSVFfVEVWX0VCSVREQV9GV0RfQ0lRAgAAAAZJUV9OVE0ENjAwMAMAAAALIjcvMjgvMjAxNyIJNy8yOC8yMDE3AAAAAAQAAAAAAAAADyJOYXNkYXFHUzpJTlRDIg1OYXNkYXFHUzpJTlRDAQAAABciSVFfVEVWX0VCSVREQV9GV0RfQ0lRIhVJUV9URVZfRUJJVERBX0ZXRF9DSVECAAAABklRX05UTQQ2MDAwAwAAAAsiNy8yMS8yMDE3</t>
  </si>
  <si>
    <t>Igk3LzIxLzIwMTcAAAAABAAAAAAAAAAPIk5hc2RhcUdTOklOVEMiDU5hc2RhcUdTOklOVEMBAAAAFyJJUV9URVZfRUJJVERBX0ZXRF9DSVEiFUlRX1RFVl9FQklUREFfRldEX0NJUQIAAAAGSVFfTlRNBDYwMDADAAAACyI3LzE0LzIwMTciCTcvMTQvMjAxNwAAAAAEAAAAAAAAAA8iTmFzZGFxR1M6SU5UQyINTmFzZGFxR1M6SU5UQwEAAAAXIklRX1RFVl9FQklUREFfRldEX0NJUSIVSVFfVEVWX0VCSVREQV9GV0RfQ0lRAgAAAAZJUV9OVE0ENjAwMAMAAAAKIjcvNy8yMDE3Igg3LzcvMjAxNwAAAAAEAAAAAAAAAA8iTmFzZGFxR1M6SU5UQyINTmFzZGFxR1M6SU5UQwEAAAAXIklRX1RFVl9FQklUREFfRldEX0NJUSIVSVFfVEVWX0VCSVREQV9GV0RfQ0lRAgAAAAZJUV9OVE0ENjAwMAMAAAALIjYvMzAvMjAxNyIJNi8zMC8yMDE3AAAAAAQAAAAAAAAADyJOYXNkYXFHUzpJTlRDIg1OYXNkYXFHUzpJTlRDAQAAABciSVFfVEVWX0VCSVREQV9GV0RfQ0lRIhVJUV9URVZfRUJJVERBX0ZXRF9DSVECAAAABklRX05UTQQ2MDAwAwAAAAsiNi8yMy8yMDE3Igk2LzIzLzIwMTcAAAAABAAAAAAAAAAPIk5hc2RhcUdTOklOVEMiDU5hc2RhcUdTOklOVEMBAAAAFyJJUV9URVZfRUJJVERBX0ZXRF9DSVEiFUlRX1RFVl9FQklUREFfRldEX0NJUQIAAAAGSVFfTlRNBDYwMDADAAAACyI2LzE2LzIwMTciCTYvMTYvMjAxNwAA</t>
  </si>
  <si>
    <t>AAAEAAAAAAAAAA8iTmFzZGFxR1M6SU5UQyINTmFzZGFxR1M6SU5UQwEAAAAXIklRX1RFVl9FQklUREFfRldEX0NJUSIVSVFfVEVWX0VCSVREQV9GV0RfQ0lRAgAAAAZJUV9OVE0ENjAwMAMAAAAKIjYvOS8yMDE3Igg2LzkvMjAxNwAAAAAEAAAAAAAAAA8iTmFzZGFxR1M6SU5UQyINTmFzZGFxR1M6SU5UQwEAAAAXIklRX1RFVl9FQklUREFfRldEX0NJUSIVSVFfVEVWX0VCSVREQV9GV0RfQ0lRAgAAAAZJUV9OVE0ENjAwMAMAAAAKIjYvMi8yMDE3Igg2LzIvMjAxNwAAAAAEAAAAAAAAAA8iTmFzZGFxR1M6SU5UQyINTmFzZGFxR1M6SU5UQwEAAAAXIklRX1RFVl9FQklUREFfRldEX0NJUSIVSVFfVEVWX0VCSVREQV9GV0RfQ0lRAgAAAAZJUV9OVE0ENjAwMAMAAAALIjUvMjYvMjAxNyIJNS8yNi8yMDE3AAAAAAQAAAAAAAAADyJOYXNkYXFHUzpJTlRDIg1OYXNkYXFHUzpJTlRDAQAAABciSVFfVEVWX0VCSVREQV9GV0RfQ0lRIhVJUV9URVZfRUJJVERBX0ZXRF9DSVECAAAABklRX05UTQQ2MDAwAwAAAAsiNS8xOS8yMDE3Igk1LzE5LzIwMTcAAAAABAAAAAAAAAAPIk5hc2RhcUdTOklOVEMiDU5hc2RhcUdTOklOVEMBAAAAFyJJUV9URVZfRUJJVERBX0ZXRF9DSVEiFUlRX1RFVl9FQklUREFfRldEX0NJUQIAAAAGSVFfTlRNBDYwMDADAAAACyI1LzEyLzIwMTciCTUvMTIvMjAxNwAAAAAEAAAAAAAAAA8iTmFz</t>
  </si>
  <si>
    <t>ZGFxR1M6SU5UQyINTmFzZGFxR1M6SU5UQwEAAAAXIklRX1RFVl9FQklUREFfRldEX0NJUSIVSVFfVEVWX0VCSVREQV9GV0RfQ0lRAgAAAAZJUV9OVE0ENjAwMAMAAAAKIjUvNS8yMDE3Igg1LzUvMjAxNwAAAAAEAAAAAAAAAA8iTmFzZGFxR1M6SU5UQyINTmFzZGFxR1M6SU5UQwEAAAAXIklRX1RFVl9FQklUREFfRldEX0NJUSIVSVFfVEVWX0VCSVREQV9GV0RfQ0lRAgAAAAZJUV9OVE0ENjAwMAMAAAALIjQvMjgvMjAxNyIJNC8yOC8yMDE3AAAAAAQAAAAAAAAADyJOYXNkYXFHUzpJTlRDIg1OYXNkYXFHUzpJTlRDAQAAABciSVFfVEVWX0VCSVREQV9GV0RfQ0lRIhVJUV9URVZfRUJJVERBX0ZXRF9DSVECAAAABklRX05UTQQ2MDAwAwAAAAsiNC8yMS8yMDE3Igk0LzIxLzIwMTcAAAAABAAAAAAAAAAPIk5hc2RhcUdTOklOVEMiDU5hc2RhcUdTOklOVEMBAAAAFyJJUV9URVZfRUJJVERBX0ZXRF9DSVEiFUlRX1RFVl9FQklUREFfRldEX0NJUQIAAAAGSVFfTlRNBDYwMDADAAAACyI0LzEzLzIwMTciCTQvMTMvMjAxNwAAAAAEAAAAAAAAAA8iTmFzZGFxR1M6SU5UQyINTmFzZGFxR1M6SU5UQwEAAAAXIklRX1RFVl9FQklUREFfRldEX0NJUSIVSVFfVEVWX0VCSVREQV9GV0RfQ0lRAgAAAAZJUV9OVE0ENjAwMAMAAAAKIjQvNy8yMDE3Igg0LzcvMjAxNwAAAAAEAAAAAAAAAA8iTmFzZGFxR1M6SU5UQyINTmFz</t>
  </si>
  <si>
    <t>ZGFxR1M6SU5UQwEAAAAXIklRX1RFVl9FQklUREFfRldEX0NJUSIVSVFfVEVWX0VCSVREQV9GV0RfQ0lRAgAAAAZJUV9OVE0ENjAwMAMAAAALIjMvMzEvMjAxNyIJMy8zMS8yMDE3AAAAAAQAAAAAAAAADyJOYXNkYXFHUzpJTlRDIg1OYXNkYXFHUzpJTlRDAQAAABciSVFfVEVWX0VCSVREQV9GV0RfQ0lRIhVJUV9URVZfRUJJVERBX0ZXRF9DSVECAAAABklRX05UTQQ2MDAwAwAAAAsiMy8yNC8yMDE3IgkzLzI0LzIwMTcAAAAABAAAAAAAAAAPIk5hc2RhcUdTOklOVEMiDU5hc2RhcUdTOklOVEMBAAAAFyJJUV9URVZfRUJJVERBX0ZXRF9DSVEiFUlRX1RFVl9FQklUREFfRldEX0NJUQIAAAAGSVFfTlRNBDYwMDADAAAACyIzLzE3LzIwMTciCTMvMTcvMjAxNwAAAAAEAAAAAAAAAA8iTmFzZGFxR1M6SU5UQyINTmFzZGFxR1M6SU5UQwEAAAAXIklRX1RFVl9FQklUREFfRldEX0NJUSIVSVFfVEVWX0VCSVREQV9GV0RfQ0lRAgAAAAZJUV9OVE0ENjAwMAMAAAALIjMvMTAvMjAxNyIJMy8xMC8yMDE3AAAAAAQAAAAAAAAADyJOYXNkYXFHUzpJTlRDIg1OYXNkYXFHUzpJTlRDAQAAABciSVFfVEVWX0VCSVREQV9GV0RfQ0lRIhVJUV9URVZfRUJJVERBX0ZXRF9DSVECAAAABklRX05UTQQ2MDAwAwAAAAoiMy8zLzIwMTciCDMvMy8yMDE3AAAAAAQAAAAAAAAADyJOYXNkYXFHUzpJTlRDIg1OYXNkYXFHUzpJTlRDAQAA</t>
  </si>
  <si>
    <t>ABciSVFfVEVWX0VCSVREQV9GV0RfQ0lRIhVJUV9URVZfRUJJVERBX0ZXRF9DSVECAAAABklRX05UTQQ2MDAwAwAAAAsiMi8yNC8yMDE3IgkyLzI0LzIwMTcAAAAABAAAAAAAAAAPIk5hc2RhcUdTOklOVEMiDU5hc2RhcUdTOklOVEMBAAAAFyJJUV9URVZfRUJJVERBX0ZXRF9DSVEiFUlRX1RFVl9FQklUREFfRldEX0NJUQIAAAAGSVFfTlRNBDYwMDADAAAACyIyLzE3LzIwMTciCTIvMTcvMjAxNwAAAAAEAAAAAAAAAA8iTmFzZGFxR1M6SU5UQyINTmFzZGFxR1M6SU5UQwEAAAAXIklRX1RFVl9FQklUREFfRldEX0NJUSIVSVFfVEVWX0VCSVREQV9GV0RfQ0lRAgAAAAZJUV9OVE0ENjAwMAMAAAALIjIvMTAvMjAxNyIJMi8xMC8yMDE3AAAAAAQAAAAAAAAADyJOYXNkYXFHUzpJTlRDIg1OYXNkYXFHUzpJTlRDAQAAABciSVFfVEVWX0VCSVREQV9GV0RfQ0lRIhVJUV9URVZfRUJJVERBX0ZXRF9DSVECAAAABklRX05UTQQ2MDAwAwAAAAoiMi8zLzIwMTciCDIvMy8yMDE3AAAAAAQAAAAAAAAADyJOYXNkYXFHUzpJTlRDIg1OYXNkYXFHUzpJTlRDAQAAABciSVFfVEVWX0VCSVREQV9GV0RfQ0lRIhVJUV9URVZfRUJJVERBX0ZXRF9DSVECAAAABklRX05UTQQ2MDAwAwAAAAsiMS8yNy8yMDE3IgkxLzI3LzIwMTcAAAAABAAAAAAAAAAPIk5hc2RhcUdTOklOVEMiDU5hc2RhcUdTOklOVEMBAAAAFyJJUV9URVZfRUJJ</t>
  </si>
  <si>
    <t>VERBX0ZXRF9DSVEiFUlRX1RFVl9FQklUREFfRldEX0NJUQIAAAAGSVFfTlRNBDYwMDADAAAACyIxLzIwLzIwMTciCTEvMjAvMjAxNwAAAAAEAAAAAAAAAA8iTmFzZGFxR1M6SU5UQyINTmFzZGFxR1M6SU5UQwEAAAAXIklRX1RFVl9FQklUREFfRldEX0NJUSIVSVFfVEVWX0VCSVREQV9GV0RfQ0lRAgAAAAZJUV9OVE0ENjAwMAMAAAALIjEvMTMvMjAxNyIJMS8xMy8yMDE3AAAAAAQAAAAAAAAADyJOYXNkYXFHUzpJTlRDIg1OYXNkYXFHUzpJTlRDAQAAABciSVFfVEVWX0VCSVREQV9GV0RfQ0lRIhVJUV9URVZfRUJJVERBX0ZXRF9DSVECAAAABklRX05UTQQ2MDAwAwAAAAoiMS82LzIwMTciCDEvNi8yMDE3AAAAAAQAAAAAAAAADyJOYXNkYXFHUzpJTlRDIg1OYXNkYXFHUzpJTlRDAQAAABciSVFfVEVWX0VCSVREQV9GV0RfQ0lRIhVJUV9URVZfRUJJVERBX0ZXRF9DSVECAAAABklRX05UTQQ2MDAwAwAAAAwiMTIvMzAvMjAxNiIKMTIvMzAvMjAxNgAAAAAEAAAAAAAAAA8iTmFzZGFxR1M6SU5UQyINTmFzZGFxR1M6SU5UQwEAAAAXIklRX1RFVl9FQklUREFfRldEX0NJUSIVSVFfVEVWX0VCSVREQV9GV0RfQ0lRAgAAAAZJUV9OVE0ENjAwMAMAAAAMIjEyLzIzLzIwMTYiCjEyLzIzLzIwMTYAAAAABAAAAAAAAAAPIk5hc2RhcUdTOklOVEMiDU5hc2RhcUdTOklOVEMBAAAAFyJJUV9URVZfRUJJVERBX0ZXRF9D</t>
  </si>
  <si>
    <t>SVEiFUlRX1RFVl9FQklUREFfRldEX0NJUQIAAAAGSVFfTlRNBDYwMDADAAAADCIxMi8xNi8yMDE2IgoxMi8xNi8yMDE2AAAAAAQAAAAAAAAADyJOYXNkYXFHUzpJTlRDIg1OYXNkYXFHUzpJTlRDAQAAABciSVFfVEVWX0VCSVREQV9GV0RfQ0lRIhVJUV9URVZfRUJJVERBX0ZXRF9DSVECAAAABklRX05UTQQ2MDAwAwAAAAsiMTIvOS8yMDE2IgkxMi85LzIwMTYAAAAABAAAAAAAAAAPIk5hc2RhcUdTOklOVEMiDU5hc2RhcUdTOklOVEMBAAAAFyJJUV9URVZfRUJJVERBX0ZXRF9DSVEiFUlRX1RFVl9FQklUREFfRldEX0NJUQIAAAAGSVFfTlRNBDYwMDADAAAACyIxMi8yLzIwMTYiCTEyLzIvMjAxNgAAAAAEAAAAAAAAAA8iTmFzZGFxR1M6SU5UQyINTmFzZGFxR1M6SU5UQwEAAAAXIklRX1RFVl9FQklUREFfRldEX0NJUSIVSVFfVEVWX0VCSVREQV9GV0RfQ0lRAgAAAAZJUV9OVE0ENjAwMAMAAAAMIjExLzI1LzIwMTYiCjExLzI1LzIwMTYAAAAABAAAAAAAAAAPIk5hc2RhcUdTOklOVEMiDU5hc2RhcUdTOklOVEMBAAAAFyJJUV9URVZfRUJJVERBX0ZXRF9DSVEiFUlRX1RFVl9FQklUREFfRldEX0NJUQIAAAAGSVFfTlRNBDYwMDADAAAADCIxMS8xOC8yMDE2IgoxMS8xOC8yMDE2AAAAAAQAAAAAAAAADyJOYXNkYXFHUzpJTlRDIg1OYXNkYXFHUzpJTlRDAQAAABciSVFfVEVWX0VCSVREQV9GV0RfQ0lRIhVJ</t>
  </si>
  <si>
    <t>UV9URVZfRUJJVERBX0ZXRF9DSVECAAAABklRX05UTQQ2MDAwAwAAAAwiMTEvMTEvMjAxNiIKMTEvMTEvMjAxNgAAAAAEAAAAAAAAAA8iTmFzZGFxR1M6SU5UQyINTmFzZGFxR1M6SU5UQwEAAAAXIklRX1RFVl9FQklUREFfRldEX0NJUSIVSVFfVEVWX0VCSVREQV9GV0RfQ0lRAgAAAAZJUV9OVE0ENjAwMAMAAAALIjExLzQvMjAxNiIJMTEvNC8yMDE2AAAAAAQAAAAAAAAADyJOYXNkYXFHUzpJTlRDIg1OYXNkYXFHUzpJTlRDAQAAABciSVFfVEVWX0VCSVREQV9GV0RfQ0lRIhVJUV9URVZfRUJJVERBX0ZXRF9DSVECAAAABklRX05UTQQ2MDAwAwAAAAwiMTAvMjgvMjAxNiIKMTAvMjgvMjAxNgAAAAAEAAAAAAAAAA8iTmFzZGFxR1M6SU5UQyINTmFzZGFxR1M6SU5UQwEAAAAXIklRX1RFVl9FQklUREFfRldEX0NJUSIVSVFfVEVWX0VCSVREQV9GV0RfQ0lRAgAAAAZJUV9OVE0ENjAwMAMAAAAMIjEwLzIxLzIwMTYiCjEwLzIxLzIwMTYAAAAABAAAAAAAAAAPIk5hc2RhcUdTOklOVEMiDU5hc2RhcUdTOklOVEMBAAAAFyJJUV9URVZfRUJJVERBX0ZXRF9DSVEiFUlRX1RFVl9FQklUREFfRldEX0NJUQIAAAAGSVFfTlRNBDYwMDADAAAADCIxMC8xNC8yMDE2IgoxMC8xNC8yMDE2AAAAAAQAAAAAAAAADyJOYXNkYXFHUzpJTlRDIg1OYXNkYXFHUzpJTlRDAQAAABciSVFfVEVWX0VCSVREQV9GV0RfQ0lRIhVJUV9U</t>
  </si>
  <si>
    <t>RVZfRUJJVERBX0ZXRF9DSVECAAAABklRX05UTQQ2MDAwAwAAAAsiMTAvNy8yMDE2IgkxMC83LzIwMTYAAAAABAAAAAAAAAAPIk5hc2RhcUdTOklOVEMiDU5hc2RhcUdTOklOVEMBAAAAFyJJUV9URVZfRUJJVERBX0ZXRF9DSVEiFUlRX1RFVl9FQklUREFfRldEX0NJUQIAAAAGSVFfTlRNBDYwMDADAAAACyI5LzMwLzIwMTYiCTkvMzAvMjAxNgAAAAAEAAAAAAAAAA8iTmFzZGFxR1M6SU5UQyINTmFzZGFxR1M6SU5UQwEAAAAXIklRX1RFVl9FQklUREFfRldEX0NJUSIVSVFfVEVWX0VCSVREQV9GV0RfQ0lRAgAAAAZJUV9OVE0ENjAwMAMAAAALIjkvMjMvMjAxNiIJOS8yMy8yMDE2AAAAAAQAAAAAAAAADyJOYXNkYXFHUzpJTlRDIg1OYXNkYXFHUzpJTlRDAQAAABciSVFfVEVWX0VCSVREQV9GV0RfQ0lRIhVJUV9URVZfRUJJVERBX0ZXRF9DSVECAAAABklRX05UTQQ2MDAwAwAAAAsiOS8xNi8yMDE2Igk5LzE2LzIwMTYAAAAABAAAAAAAAAAPIk5hc2RhcUdTOklOVEMiDU5hc2RhcUdTOklOVEMBAAAAFyJJUV9URVZfRUJJVERBX0ZXRF9DSVEiFUlRX1RFVl9FQklUREFfRldEX0NJUQIAAAAGSVFfTlRNBDYwMDADAAAACiI5LzkvMjAxNiIIOS85LzIwMTYAAAAABAAAAAAAAAAPIk5hc2RhcUdTOklOVEMiDU5hc2RhcUdTOklOVEMBAAAAFyJJUV9URVZfRUJJVERBX0ZXRF9DSVEiFUlRX1RFVl9FQklUREFfRldE</t>
  </si>
  <si>
    <t>X0NJUQIAAAAGSVFfTlRNBDYwMDADAAAACiI5LzIvMjAxNiIIOS8yLzIwMTYAAAAABAAAAAAAAAAPIk5hc2RhcUdTOklOVEMiDU5hc2RhcUdTOklOVEMBAAAAFyJJUV9URVZfRUJJVERBX0ZXRF9DSVEiFUlRX1RFVl9FQklUREFfRldEX0NJUQIAAAAGSVFfTlRNBDYwMDADAAAACyI4LzI2LzIwMTYiCTgvMjYvMjAxNgAAAAAEAAAAAAAAAA8iTmFzZGFxR1M6SU5UQyINTmFzZGFxR1M6SU5UQwEAAAAXIklRX1RFVl9FQklUREFfRldEX0NJUSIVSVFfVEVWX0VCSVREQV9GV0RfQ0lRAgAAAAZJUV9OVE0ENjAwMAMAAAALIjgvMTkvMjAxNiIJOC8xOS8yMDE2AAAAAAQAAAAAAAAADyJOYXNkYXFHUzpJTlRDIg1OYXNkYXFHUzpJTlRDAQAAABciSVFfVEVWX0VCSVREQV9GV0RfQ0lRIhVJUV9URVZfRUJJVERBX0ZXRF9DSVECAAAABklRX05UTQQ2MDAwAwAAAAsiOC8xMi8yMDE2Igk4LzEyLzIwMTYAAAAABAAAAAAAAAAPIk5hc2RhcUdTOklOVEMiDU5hc2RhcUdTOklOVEMBAAAAFyJJUV9URVZfRUJJVERBX0ZXRF9DSVEiFUlRX1RFVl9FQklUREFfRldEX0NJUQIAAAAGSVFfTlRNBDYwMDADAAAACiI4LzUvMjAxNiIIOC81LzIwMTYAAAAABAAAAAAAAAAPIk5hc2RhcUdTOklOVEMiDU5hc2RhcUdTOklOVEMBAAAAFyJJUV9URVZfRUJJVERBX0ZXRF9DSVEiFUlRX1RFVl9FQklUREFfRldEX0NJUQIAAAAGSVFfTlRN</t>
  </si>
  <si>
    <t>BDYwMDADAAAACyI3LzI5LzIwMTYiCTcvMjkvMjAxNgAAAAAEAAAAAAAAAA8iTmFzZGFxR1M6SU5UQyINTmFzZGFxR1M6SU5UQwEAAAAXIklRX1RFVl9FQklUREFfRldEX0NJUSIVSVFfVEVWX0VCSVREQV9GV0RfQ0lRAgAAAAZJUV9OVE0ENjAwMAMAAAALIjcvMjIvMjAxNiIJNy8yMi8yMDE2AAAAAAQAAAAAAAAADyJOYXNkYXFHUzpJTlRDIg1OYXNkYXFHUzpJTlRDAQAAABciSVFfVEVWX0VCSVREQV9GV0RfQ0lRIhVJUV9URVZfRUJJVERBX0ZXRF9DSVECAAAABklRX05UTQQ2MDAwAwAAAAsiNy8xNS8yMDE2Igk3LzE1LzIwMTYAAAAABAAAAAAAAAAPIk5hc2RhcUdTOklOVEMiDU5hc2RhcUdTOklOVEMBAAAAFyJJUV9URVZfRUJJVERBX0ZXRF9DSVEiFUlRX1RFVl9FQklUREFfRldEX0NJUQIAAAAGSVFfTlRNBDYwMDADAAAACiI3LzgvMjAxNiIINy84LzIwMTYAAAAABAAAAAAAAAAPIk5hc2RhcUdTOklOVEMiDU5hc2RhcUdTOklOVEMBAAAAFyJJUV9URVZfRUJJVERBX0ZXRF9DSVEiFUlRX1RFVl9FQklUREFfRldEX0NJUQIAAAAGSVFfTlRNBDYwMDADAAAACiI3LzEvMjAxNiIINy8xLzIwMTYAAAAABAAAAAAAAAAPIk5hc2RhcUdTOklOVEMiDU5hc2RhcUdTOklOVEMBAAAAFyJJUV9URVZfRUJJVERBX0ZXRF9DSVEiFUlRX1RFVl9FQklUREFfRldEX0NJUQIAAAAGSVFfTlRNBDYwMDADAAAACyI2LzI0</t>
  </si>
  <si>
    <t>LzIwMTYiCTYvMjQvMjAxNgAAAAAEAAAAAAAAAA8iTmFzZGFxR1M6SU5UQyINTmFzZGFxR1M6SU5UQwEAAAAXIklRX1RFVl9FQklUREFfRldEX0NJUSIVSVFfVEVWX0VCSVREQV9GV0RfQ0lRAgAAAAZJUV9OVE0ENjAwMAMAAAALIjYvMTcvMjAxNiIJNi8xNy8yMDE2AAAAAAQAAAAAAAAADyJOYXNkYXFHUzpJTlRDIg1OYXNkYXFHUzpJTlRDAQAAABciSVFfVEVWX0VCSVREQV9GV0RfQ0lRIhVJUV9URVZfRUJJVERBX0ZXRF9DSVECAAAABklRX05UTQQ2MDAwAwAAAAsiNi8xMC8yMDE2Igk2LzEwLzIwMTYAAAAABAAAAAAAAAAPIk5hc2RhcUdTOklOVEMiDU5hc2RhcUdTOklOVEMBAAAAFyJJUV9URVZfRUJJVERBX0ZXRF9DSVEiFUlRX1RFVl9FQklUREFfRldEX0NJUQIAAAAGSVFfTlRNBDYwMDADAAAACiI2LzMvMjAxNiIINi8zLzIwMTYAAAAABAAAAAAAAAAPIk5hc2RhcUdTOklOVEMiDU5hc2RhcUdTOklOVEMBAAAAFyJJUV9URVZfRUJJVERBX0ZXRF9DSVEiFUlRX1RFVl9FQklUREFfRldEX0NJUQIAAAAGSVFfTlRNBDYwMDADAAAACyI1LzI3LzIwMTYiCTUvMjcvMjAxNgAAAAAEAAAAAAAAAA8iTmFzZGFxR1M6SU5UQyINTmFzZGFxR1M6SU5UQwEAAAAXIklRX1RFVl9FQklUREFfRldEX0NJUSIVSVFfVEVWX0VCSVREQV9GV0RfQ0lRAgAAAAZJUV9OVE0ENjAwMAMAAAALIjUvMjAvMjAxNiIJNS8yMC8y</t>
  </si>
  <si>
    <t>MDE2AAAAAAQAAAAAAAAADyJOYXNkYXFHUzpJTlRDIg1OYXNkYXFHUzpJTlRDAQAAABciSVFfVEVWX0VCSVREQV9GV0RfQ0lRIhVJUV9URVZfRUJJVERBX0ZXRF9DSVECAAAABklRX05UTQQ2MDAwAwAAAAsiNS8xMy8yMDE2Igk1LzEzLzIwMTYAAAAABAAAAAAAAAAPIk5hc2RhcUdTOklOVEMiDU5hc2RhcUdTOklOVEMBAAAAFyJJUV9URVZfRUJJVERBX0ZXRF9DSVEiFUlRX1RFVl9FQklUREFfRldEX0NJUQIAAAAGSVFfTlRNBDYwMDADAAAACiI1LzYvMjAxNiIINS82LzIwMTYAAAAABAAAAAAAAAAPIk5hc2RhcUdTOklOVEMiDU5hc2RhcUdTOklOVEMBAAAAFyJJUV9URVZfRUJJVERBX0ZXRF9DSVEiFUlRX1RFVl9FQklUREFfRldEX0NJUQIAAAAGSVFfTlRNBDYwMDADAAAACyI0LzI5LzIwMTYiCTQvMjkvMjAxNgAAAAAEAAAAAAAAAA8iTmFzZGFxR1M6SU5UQyINTmFzZGFxR1M6SU5UQwEAAAAXIklRX1RFVl9FQklUREFfRldEX0NJUSIVSVFfVEVWX0VCSVREQV9GV0RfQ0lRAgAAAAZJUV9OVE0ENjAwMAMAAAALIjQvMjIvMjAxNiIJNC8yMi8yMDE2AAAAAAQAAAAAAAAADyJOYXNkYXFHUzpJTlRDIg1OYXNkYXFHUzpJTlRDAQAAABciSVFfVEVWX0VCSVREQV9GV0RfQ0lRIhVJUV9URVZfRUJJVERBX0ZXRF9DSVECAAAABklRX05UTQQ2MDAwAwAAAAsiNC8xNS8yMDE2Igk0LzE1LzIwMTYAAAAABAAAAAAA</t>
  </si>
  <si>
    <t>AAAPIk5hc2RhcUdTOklOVEMiDU5hc2RhcUdTOklOVEMBAAAAFyJJUV9URVZfRUJJVERBX0ZXRF9DSVEiFUlRX1RFVl9FQklUREFfRldEX0NJUQIAAAAGSVFfTlRNBDYwMDADAAAACiI0LzgvMjAxNiIINC84LzIwMTYAAAAABAAAAAAAAAAPIk5hc2RhcUdTOklOVEMiDU5hc2RhcUdTOklOVEMBAAAAFyJJUV9URVZfRUJJVERBX0ZXRF9DSVEiFUlRX1RFVl9FQklUREFfRldEX0NJUQIAAAAGSVFfTlRNBDYwMDADAAAACiI0LzEvMjAxNiIINC8xLzIwMTYAAAAABAAAAAAAAAAPIk5hc2RhcUdTOklOVEMiDU5hc2RhcUdTOklOVEMBAAAAFyJJUV9URVZfRUJJVERBX0ZXRF9DSVEiFUlRX1RFVl9FQklUREFfRldEX0NJUQIAAAAGSVFfTlRNBDYwMDADAAAACyIzLzI0LzIwMTYiCTMvMjQvMjAxNgAAAAAEAAAAAAAAAA8iTmFzZGFxR1M6SU5UQyINTmFzZGFxR1M6SU5UQwEAAAAXIklRX1RFVl9FQklUREFfRldEX0NJUSIVSVFfVEVWX0VCSVREQV9GV0RfQ0lRAgAAAAZJUV9OVE0ENjAwMAMAAAALIjMvMTgvMjAxNiIJMy8xOC8yMDE2AAAAAAQAAAAAAAAADyJOYXNkYXFHUzpJTlRDIg1OYXNkYXFHUzpJTlRDAQAAABciSVFfVEVWX0VCSVREQV9GV0RfQ0lRIhVJUV9URVZfRUJJVERBX0ZXRF9DSVECAAAABklRX05UTQQ2MDAwAwAAAAsiMy8xMS8yMDE2IgkzLzExLzIwMTYAAAAABAAAAAAAAAAPIk5hc2RhcUdTOklO</t>
  </si>
  <si>
    <t>VEMiDU5hc2RhcUdTOklOVEMBAAAAFyJJUV9URVZfRUJJVERBX0ZXRF9DSVEiFUlRX1RFVl9FQklUREFfRldEX0NJUQIAAAAGSVFfTlRNBDYwMDADAAAACiIzLzQvMjAxNiIIMy80LzIwMTYAAAAABAAAAAAAAAAPIk5hc2RhcUdTOklOVEMiDU5hc2RhcUdTOklOVEMBAAAAFyJJUV9URVZfRUJJVERBX0ZXRF9DSVEiFUlRX1RFVl9FQklUREFfRldEX0NJUQIAAAAGSVFfTlRNBDYwMDADAAAACyIyLzI2LzIwMTYiCTIvMjYvMjAxNgAAAAAEAAAAAAAAAA8iTmFzZGFxR1M6SU5UQyINTmFzZGFxR1M6SU5UQwEAAAAXIklRX1RFVl9FQklUREFfRldEX0NJUSIVSVFfVEVWX0VCSVREQV9GV0RfQ0lRAgAAAAZJUV9OVE0ENjAwMAMAAAALIjIvMTkvMjAxNiIJMi8xOS8yMDE2AAAAAAQAAAAAAAAADyJOYXNkYXFHUzpJTlRDIg1OYXNkYXFHUzpJTlRDAQAAABciSVFfVEVWX0VCSVREQV9GV0RfQ0lRIhVJUV9URVZfRUJJVERBX0ZXRF9DSVECAAAABklRX05UTQQ2MDAwAwAAAAsiMi8xMi8yMDE2IgkyLzEyLzIwMTYAAAAABAAAAAAAAAAPIk5hc2RhcUdTOklOVEMiDU5hc2RhcUdTOklOVEMBAAAAFyJJUV9URVZfRUJJVERBX0ZXRF9DSVEiFUlRX1RFVl9FQklUREFfRldEX0NJUQIAAAAGSVFfTlRNBDYwMDADAAAACiIyLzUvMjAxNiIIMi81LzIwMTYAAAAABAAAAAAAAAAPIk5hc2RhcUdTOklOVEMiDU5hc2RhcUdTOklO</t>
  </si>
  <si>
    <t>VEMBAAAAFyJJUV9URVZfRUJJVERBX0ZXRF9DSVEiFUlRX1RFVl9FQklUREFfRldEX0NJUQIAAAAGSVFfTlRNBDYwMDADAAAACyIxLzI5LzIwMTYiCTEvMjkvMjAxNgAAAAAEAAAAAAAAAA8iTmFzZGFxR1M6SU5UQyINTmFzZGFxR1M6SU5UQwEAAAAXIklRX1RFVl9FQklUREFfRldEX0NJUSIVSVFfVEVWX0VCSVREQV9GV0RfQ0lRAgAAAAZJUV9OVE0ENjAwMAMAAAALIjEvMjIvMjAxNiIJMS8yMi8yMDE2AAAAAAQAAAAAAAAADyJOYXNkYXFHUzpJTlRDIg1OYXNkYXFHUzpJTlRDAQAAABciSVFfVEVWX0VCSVREQV9GV0RfQ0lRIhVJUV9URVZfRUJJVERBX0ZXRF9DSVECAAAABklRX05UTQQ2MDAwAwAAAAsiMS8xNS8yMDE2IgkxLzE1LzIwMTYAAAAABAAAAAAAAAAPIk5hc2RhcUdTOklOVEMiDU5hc2RhcUdTOklOVEMBAAAAFyJJUV9URVZfRUJJVERBX0ZXRF9DSVEiFUlRX1RFVl9FQklUREFfRldEX0NJUQIAAAAGSVFfTlRNBDYwMDADAAAACiIxLzgvMjAxNiIIMS84LzIwMTYAAAAABAAAAAAAAAAPIk5hc2RhcUdTOklOVEMiDU5hc2RhcUdTOklOVEMBAAAAFyJJUV9URVZfRUJJVERBX0ZXRF9DSVEiFUlRX1RFVl9FQklUREFfRldEX0NJUQIAAAAGSVFfTlRNBDYwMDADAAAADCIxMi8zMS8yMDE1IgoxMi8zMS8yMDE1AAAAAAQAAAAAAAAADyJOYXNkYXFHUzpJTlRDIg1OYXNkYXFHUzpJTlRDAQAAABciSVFf</t>
  </si>
  <si>
    <t>VEVWX0VCSVREQV9GV0RfQ0lRIhVJUV9URVZfRUJJVERBX0ZXRF9DSVECAAAABklRX05UTQQ2MDAwAwAAAAwiMTIvMjQvMjAxNSIKMTIvMjQvMjAxNQAAAAAEAAAAAAAAAA8iTmFzZGFxR1M6SU5UQyINTmFzZGFxR1M6SU5UQwEAAAAXIklRX1RFVl9FQklUREFfRldEX0NJUSIVSVFfVEVWX0VCSVREQV9GV0RfQ0lRAgAAAAZJUV9OVE0ENjAwMAMAAAAMIjEyLzE4LzIwMTUiCjEyLzE4LzIwMTUAAAAABAAAAAAAAAAPIk5hc2RhcUdTOklOVEMiDU5hc2RhcUdTOklOVEMBAAAAFyJJUV9URVZfRUJJVERBX0ZXRF9DSVEiFUlRX1RFVl9FQklUREFfRldEX0NJUQIAAAAGSVFfTlRNBDYwMDADAAAADCIxMi8xMS8yMDE1IgoxMi8xMS8yMDE1AAAAAAQAAAAAAAAADyJOYXNkYXFHUzpJTlRDIg1OYXNkYXFHUzpJTlRDAQAAABciSVFfVEVWX0VCSVREQV9GV0RfQ0lRIhVJUV9URVZfRUJJVERBX0ZXRF9DSVECAAAABklRX05UTQQ2MDAwAwAAAAsiMTIvNC8yMDE1IgkxMi80LzIwMTUAAAAABAAAAAAAAAAPIk5hc2RhcUdTOklOVEMiDU5hc2RhcUdTOklOVEMBAAAAFyJJUV9URVZfRUJJVERBX0ZXRF9DSVEiFUlRX1RFVl9FQklUREFfRldEX0NJUQIAAAAGSVFfTlRNBDYwMDADAAAADCIxMS8yNy8yMDE1IgoxMS8yNy8yMDE1AAAAAAQAAAAAAAAADyJOYXNkYXFHUzpJTlRDIg1OYXNkYXFHUzpJTlRDAQAAABciSVFfVEVW</t>
  </si>
  <si>
    <t>X0VCSVREQV9GV0RfQ0lRIhVJUV9URVZfRUJJVERBX0ZXRF9DSVECAAAABklRX05UTQQ2MDAwAwAAAAwiMTEvMjAvMjAxNSIKMTEvMjAvMjAxNQAAAAAEAAAAAAAAAA8iTmFzZGFxR1M6SU5UQyINTmFzZGFxR1M6SU5UQwEAAAAXIklRX1RFVl9FQklUREFfRldEX0NJUSIVSVFfVEVWX0VCSVREQV9GV0RfQ0lRAgAAAAZJUV9OVE0ENjAwMAMAAAAMIjExLzEzLzIwMTUiCjExLzEzLzIwMTUAAAAABAAAAAAAAAAPIk5hc2RhcUdTOklOVEMiDU5hc2RhcUdTOklOVEMBAAAAFyJJUV9URVZfRUJJVERBX0ZXRF9DSVEiFUlRX1RFVl9FQklUREFfRldEX0NJUQIAAAAGSVFfTlRNBDYwMDADAAAACyIxMS82LzIwMTUiCTExLzYvMjAxNQAAAAAEAAAAAAAAAA8iTmFzZGFxR1M6SU5UQyINTmFzZGFxR1M6SU5UQwEAAAAXIklRX1RFVl9FQklUREFfRldEX0NJUSIVSVFfVEVWX0VCSVREQV9GV0RfQ0lRAgAAAAZJUV9OVE0ENjAwMAMAAAAMIjEwLzMwLzIwMTUiCjEwLzMwLzIwMTUAAAAABAAAAAAAAAAPIk5hc2RhcUdTOklOVEMiDU5hc2RhcUdTOklOVEMBAAAAFyJJUV9URVZfRUJJVERBX0ZXRF9DSVEiFUlRX1RFVl9FQklUREFfRldEX0NJUQIAAAAGSVFfTlRNBDYwMDADAAAADCIxMC8yMy8yMDE1IgoxMC8yMy8yMDE1AAAAAAQAAAAAAAAADyJOYXNkYXFHUzpJTlRDIg1OYXNkYXFHUzpJTlRDAQAAABciSVFfVEVWX0VC</t>
  </si>
  <si>
    <t>SVREQV9GV0RfQ0lRIhVJUV9URVZfRUJJVERBX0ZXRF9DSVECAAAABklRX05UTQQ2MDAwAwAAAAwiMTAvMTYvMjAxNSIKMTAvMTYvMjAxNQAAAAAEAAAAAAAAAA8iTmFzZGFxR1M6SU5UQyINTmFzZGFxR1M6SU5UQwEAAAAXIklRX1RFVl9FQklUREFfRldEX0NJUSIVSVFfVEVWX0VCSVREQV9GV0RfQ0lRAgAAAAZJUV9OVE0ENjAwMAMAAAALIjEwLzkvMjAxNSIJMTAvOS8yMDE1AAAAAAQAAAAAAAAADyJOYXNkYXFHUzpJTlRDIg1OYXNkYXFHUzpJTlRDAQAAABciSVFfVEVWX0VCSVREQV9GV0RfQ0lRIhVJUV9URVZfRUJJVERBX0ZXRF9DSVECAAAABklRX05UTQQ2MDAwAwAAAAsiMTAvMi8yMDE1IgkxMC8yLzIwMTUAAAAABAAAAAAAAAAPIk5hc2RhcUdTOklOVEMiDU5hc2RhcUdTOklOVEMBAAAAFyJJUV9URVZfRUJJVERBX0ZXRF9DSVEiFUlRX1RFVl9FQklUREFfRldEX0NJUQIAAAAGSVFfTlRNBDYwMDADAAAACyI5LzI1LzIwMTUiCTkvMjUvMjAxNQAAAAAEAAAAAAAAAA8iTmFzZGFxR1M6SU5UQyINTmFzZGFxR1M6SU5UQwEAAAAXIklRX1RFVl9FQklUREFfRldEX0NJUSIVSVFfVEVWX0VCSVREQV9GV0RfQ0lRAgAAAAZJUV9OVE0ENjAwMAMAAAALIjkvMTgvMjAxNSIJOS8xOC8yMDE1AAAAAAQAAAAAAAAADyJOYXNkYXFHUzpJTlRDIg1OYXNkYXFHUzpJTlRDAQAAABciSVFfVEVWX0VCSVREQV9GV0Rf</t>
  </si>
  <si>
    <t>Q0lRIhVJUV9URVZfRUJJVERBX0ZXRF9DSVECAAAABklRX05UTQQ2MDAwAwAAAAsiOS8xMS8yMDE1Igk5LzExLzIwMTUAAAAABAAAAAAAAAAPIk5hc2RhcUdTOklOVEMiDU5hc2RhcUdTOklOVEMBAAAAFyJJUV9URVZfRUJJVERBX0ZXRF9DSVEiFUlRX1RFVl9FQklUREFfRldEX0NJUQIAAAAGSVFfTlRNBDYwMDADAAAACiI5LzQvMjAxNSIIOS80LzIwMTUAAAAABAAAAAAAAAAPIk5hc2RhcUdTOklOVEMiDU5hc2RhcUdTOklOVEMBAAAAFyJJUV9URVZfRUJJVERBX0ZXRF9DSVEiFUlRX1RFVl9FQklUREFfRldEX0NJUQIAAAAGSVFfTlRNBDYwMDADAAAACyI4LzI4LzIwMTUiCTgvMjgvMjAxNQAAAAAEAAAAAAAAAA8iTmFzZGFxR1M6SU5UQyINTmFzZGFxR1M6SU5UQwEAAAAXIklRX1RFVl9FQklUREFfRldEX0NJUSIVSVFfVEVWX0VCSVREQV9GV0RfQ0lRAgAAAAZJUV9OVE0ENjAwMAMAAAALIjgvMjEvMjAxNSIJOC8yMS8yMDE1AAAAAAQAAAAAAAAADyJOYXNkYXFHUzpJTlRDIg1OYXNkYXFHUzpJTlRDAQAAABciSVFfVEVWX0VCSVREQV9GV0RfQ0lRIhVJUV9URVZfRUJJVERBX0ZXRF9DSVECAAAABklRX05UTQQ2MDAwAwAAAAsiOC8xNC8yMDE1Igk4LzE0LzIwMTUAAAAABAAAAAAAAAAPIk5hc2RhcUdTOklOVEMiDU5hc2RhcUdTOklOVEMBAAAAFyJJUV9URVZfRUJJVERBX0ZXRF9DSVEiFUlRX1RFVl9F</t>
  </si>
  <si>
    <t>QklUREFfRldEX0NJUQIAAAAGSVFfTlRNBDYwMDADAAAACiI4LzcvMjAxNSIIOC83LzIwMTUAAAAABAAAAAAAAAAPIk5hc2RhcUdTOklOVEMiDU5hc2RhcUdTOklOVEMBAAAAFyJJUV9URVZfRUJJVERBX0ZXRF9DSVEiFUlRX1RFVl9FQklUREFfRldEX0NJUQIAAAAGSVFfTlRNBDYwMDADAAAACyI3LzMxLzIwMTUiCTcvMzEvMjAxNQAAAAAEAAAAAAAAAA8iTmFzZGFxR1M6SU5UQyINTmFzZGFxR1M6SU5UQwEAAAAXIklRX1RFVl9FQklUREFfRldEX0NJUSIVSVFfVEVWX0VCSVREQV9GV0RfQ0lRAgAAAAZJUV9OVE0ENjAwMAMAAAALIjcvMjQvMjAxNSIJNy8yNC8yMDE1AAAAAAQAAAAAAAAADyJOYXNkYXFHUzpJTlRDIg1OYXNkYXFHUzpJTlRDAQAAABciSVFfVEVWX0VCSVREQV9GV0RfQ0lRIhVJUV9URVZfRUJJVERBX0ZXRF9DSVECAAAABklRX05UTQQ2MDAwAwAAAAsiNy8xNy8yMDE1Igk3LzE3LzIwMTUAAAAABAAAAAAAAAAPIk5hc2RhcUdTOklOVEMiDU5hc2RhcUdTOklOVEMBAAAAFyJJUV9URVZfRUJJVERBX0ZXRF9DSVEiFUlRX1RFVl9FQklUREFfRldEX0NJUQIAAAAGSVFfTlRNBDYwMDADAAAACyI3LzEwLzIwMTUiCTcvMTAvMjAxNQAAAAAEAAAAAAAAAA8iTmFzZGFxR1M6SU5UQyINTmFzZGFxR1M6SU5UQwEAAAAXIklRX1RFVl9FQklUREFfRldEX0NJUSIVSVFfVEVWX0VCSVREQV9GV0RfQ0lR</t>
  </si>
  <si>
    <t>AgAAAAZJUV9OVE0ENjAwMAMAAAAKIjcvMi8yMDE1Igg3LzIvMjAxNQAAAAAEAAAAAAAAAA8iTmFzZGFxR1M6SU5UQyINTmFzZGFxR1M6SU5UQwEAAAAXIklRX1RFVl9FQklUREFfRldEX0NJUSIVSVFfVEVWX0VCSVREQV9GV0RfQ0lRAgAAAAZJUV9OVE0ENjAwMAMAAAALIjYvMjYvMjAxNSIJNi8yNi8yMDE1AAAAAAQAAAAAAAAADyJOYXNkYXFHUzpJTlRDIg1OYXNkYXFHUzpJTlRDAQAAABciSVFfVEVWX0VCSVREQV9GV0RfQ0lRIhVJUV9URVZfRUJJVERBX0ZXRF9DSVECAAAABklRX05UTQQ2MDAwAwAAAAsiNi8xOS8yMDE1Igk2LzE5LzIwMTUAAAAABAAAAAAAAAAPIk5hc2RhcUdTOklOVEMiDU5hc2RhcUdTOklOVEMBAAAAFyJJUV9URVZfRUJJVERBX0ZXRF9DSVEiFUlRX1RFVl9FQklUREFfRldEX0NJUQIAAAAGSVFfTlRNBDYwMDADAAAACyI2LzEyLzIwMTUiCTYvMTIvMjAxNQAAAAAEAAAAAAAAAA8iTmFzZGFxR1M6SU5UQyINTmFzZGFxR1M6SU5UQwEAAAAXIklRX1RFVl9FQklUREFfRldEX0NJUSIVSVFfVEVWX0VCSVREQV9GV0RfQ0lRAgAAAAZJUV9OVE0ENjAwMAMAAAAKIjYvNS8yMDE1Igg2LzUvMjAxNQAAAAAEAAAAAAAAAA8iTmFzZGFxR1M6SU5UQyINTmFzZGFxR1M6SU5UQwEAAAAXIklRX1RFVl9FQklUREFfRldEX0NJUSIVSVFfVEVWX0VCSVREQV9GV0RfQ0lRAgAAAAZJUV9OVE0ENjAw</t>
  </si>
  <si>
    <t>MAMAAAALIjUvMjkvMjAxNSIJNS8yOS8yMDE1AAAAAAQAAAAAAAAADyJOYXNkYXFHUzpJTlRDIg1OYXNkYXFHUzpJTlRDAQAAABciSVFfVEVWX0VCSVREQV9GV0RfQ0lRIhVJUV9URVZfRUJJVERBX0ZXRF9DSVECAAAABklRX05UTQQ2MDAwAwAAAAsiNS8yMi8yMDE1Igk1LzIyLzIwMTUAAAAABAAAAAAAAAAPIk5hc2RhcUdTOklOVEMiDU5hc2RhcUdTOklOVEMBAAAAFyJJUV9URVZfRUJJVERBX0ZXRF9DSVEiFUlRX1RFVl9FQklUREFfRldEX0NJUQIAAAAGSVFfTlRNBDYwMDADAAAACyI1LzE1LzIwMTUiCTUvMTUvMjAxNQAAAAAEAAAAAAAAAA8iTmFzZGFxR1M6SU5UQyINTmFzZGFxR1M6SU5UQwEAAAAXIklRX1RFVl9FQklUREFfRldEX0NJUSIVSVFfVEVWX0VCSVREQV9GV0RfQ0lRAgAAAAZJUV9OVE0ENjAwMAMAAAAKIjUvOC8yMDE1Igg1LzgvMjAxNQAAAAAEAAAAAAAAAA8iTmFzZGFxR1M6SU5UQyINTmFzZGFxR1M6SU5UQwEAAAAXIklRX1RFVl9FQklUREFfRldEX0NJUSIVSVFfVEVWX0VCSVREQV9GV0RfQ0lRAgAAAAZJUV9OVE0ENjAwMAMAAAAKIjUvMS8yMDE1Igg1LzEvMjAxNQAAAAAEAAAAAAAAAA8iTmFzZGFxR1M6SU5UQyINTmFzZGFxR1M6SU5UQwEAAAAXIklRX1RFVl9FQklUREFfRldEX0NJUSIVSVFfVEVWX0VCSVREQV9GV0RfQ0lRAgAAAAZJUV9OVE0ENjAwMAMAAAALIjQvMjQvMjAx</t>
  </si>
  <si>
    <t>NSIJNC8yNC8yMDE1AAAAAAQAAAAAAAAADyJOYXNkYXFHUzpJTlRDIg1OYXNkYXFHUzpJTlRDAQAAABciSVFfVEVWX0VCSVREQV9GV0RfQ0lRIhVJUV9URVZfRUJJVERBX0ZXRF9DSVECAAAABklRX05UTQQ2MDAwAwAAAAsiNC8xNy8yMDE1Igk0LzE3LzIwMTUAAAAABAAAAAAAAAAPIk5hc2RhcUdTOklOVEMiDU5hc2RhcUdTOklOVEMBAAAAFyJJUV9URVZfRUJJVERBX0ZXRF9DSVEiFUlRX1RFVl9FQklUREFfRldEX0NJUQIAAAAGSVFfTlRNBDYwMDADAAAACyI0LzEwLzIwMTUiCTQvMTAvMjAxNQAAAAAEAAAAAAAAAA8iTmFzZGFxR1M6SU5UQyINTmFzZGFxR1M6SU5UQwEAAAAXIklRX1RFVl9FQklUREFfRldEX0NJUSIVSVFfVEVWX0VCSVREQV9GV0RfQ0lRAgAAAAZJUV9OVE0ENjAwMAMAAAAKIjQvMi8yMDE1Igg0LzIvMjAxNQAAAAAEAAAAAAAAAA8iTmFzZGFxR1M6SU5UQyINTmFzZGFxR1M6SU5UQwEAAAAXIklRX1RFVl9FQklUREFfRldEX0NJUSIVSVFfVEVWX0VCSVREQV9GV0RfQ0lRAgAAAAZJUV9OVE0ENjAwMAMAAAALIjMvMjcvMjAxNSIJMy8yNy8yMDE1AAAAAAQAAAAAAAAADyJOYXNkYXFHUzpJTlRDIg1OYXNkYXFHUzpJTlRDAQAAABciSVFfVEVWX0VCSVREQV9GV0RfQ0lRIhVJUV9URVZfRUJJVERBX0ZXRF9DSVECAAAABklRX05UTQQ2MDAwAwAAAAsiMy8yMC8yMDE1IgkzLzIwLzIwMTUA</t>
  </si>
  <si>
    <t>AAAABAAAAAAAAAAPIk5hc2RhcUdTOklOVEMiDU5hc2RhcUdTOklOVEMBAAAAFyJJUV9URVZfRUJJVERBX0ZXRF9DSVEiFUlRX1RFVl9FQklUREFfRldEX0NJUQIAAAAGSVFfTlRNBDYwMDADAAAACyIzLzEzLzIwMTUiCTMvMTMvMjAxNQAAAAAEAAAAAAAAAA8iTmFzZGFxR1M6SU5UQyINTmFzZGFxR1M6SU5UQwEAAAAXIklRX1RFVl9FQklUREFfRldEX0NJUSIVSVFfVEVWX0VCSVREQV9GV0RfQ0lRAgAAAAZJUV9OVE0ENjAwMAMAAAAKIjMvNi8yMDE1IggzLzYvMjAxNQAAAAAEAAAAAAAAAA8iTmFzZGFxR1M6SU5UQyINTmFzZGFxR1M6SU5UQwEAAAAXIklRX1RFVl9FQklUREFfRldEX0NJUSIVSVFfVEVWX0VCSVREQV9GV0RfQ0lRAgAAAAZJUV9OVE0ENjAwMAMAAAALIjIvMjcvMjAxNSIJMi8yNy8yMDE1AAAAAAQAAAAAAAAADyJOYXNkYXFHUzpJTlRDIg1OYXNkYXFHUzpJTlRDAQAAABciSVFfVEVWX0VCSVREQV9GV0RfQ0lRIhVJUV9URVZfRUJJVERBX0ZXRF9DSVECAAAABklRX05UTQQ2MDAwAwAAAAsiMi8yMC8yMDE1IgkyLzIwLzIwMTUAAAAABAAAAAAAAAAPIk5hc2RhcUdTOklOVEMiDU5hc2RhcUdTOklOVEMBAAAAFyJJUV9URVZfRUJJVERBX0ZXRF9DSVEiFUlRX1RFVl9FQklUREFfRldEX0NJUQIAAAAGSVFfTlRNBDYwMDADAAAACyIyLzEzLzIwMTUiCTIvMTMvMjAxNQAAAAAEAAAAAAAAAA8i</t>
  </si>
  <si>
    <t>TmFzZGFxR1M6SU5UQyINTmFzZGFxR1M6SU5UQwEAAAAXIklRX1RFVl9FQklUREFfRldEX0NJUSIVSVFfVEVWX0VCSVREQV9GV0RfQ0lRAgAAAAZJUV9OVE0ENjAwMAMAAAAKIjIvNi8yMDE1IggyLzYvMjAxNQAAAAAEAAAAAAAAAA8iTmFzZGFxR1M6SU5UQyINTmFzZGFxR1M6SU5UQwEAAAAXIklRX1RFVl9FQklUREFfRldEX0NJUSIVSVFfVEVWX0VCSVREQV9GV0RfQ0lRAgAAAAZJUV9OVE0ENjAwMAMAAAALIjEvMzAvMjAxNSIJMS8zMC8yMDE1AAAAAAQAAAAAAAAADyJOYXNkYXFHUzpJTlRDIg1OYXNkYXFHUzpJTlRDAQAAABciSVFfVEVWX0VCSVREQV9GV0RfQ0lRIhVJUV9URVZfRUJJVERBX0ZXRF9DSVECAAAABklRX05UTQQ2MDAwAwAAAAsiMS8yMy8yMDE1IgkxLzIzLzIwMTUAAAAABAAAAAAAAAAPIk5hc2RhcUdTOklOVEMiDU5hc2RhcUdTOklOVEMBAAAAFyJJUV9URVZfRUJJVERBX0ZXRF9DSVEiFUlRX1RFVl9FQklUREFfRldEX0NJUQIAAAAGSVFfTlRNBDYwMDADAAAACyIxLzE2LzIwMTUiCTEvMTYvMjAxNQAAAAAEAAAAAAAAAA8iTmFzZGFxR1M6SU5UQyINTmFzZGFxR1M6SU5UQwEAAAAXIklRX1RFVl9FQklUREFfRldEX0NJUSIVSVFfVEVWX0VCSVREQV9GV0RfQ0lRAgAAAAZJUV9OVE0ENjAwMAMAAAAKIjEvOS8yMDE1IggxLzkvMjAxNQAAAAAEAAAAAAAAAA8iTmFzZGFxR1M6SU5UQyIN</t>
  </si>
  <si>
    <t>TmFzZGFxR1M6SU5UQwEAAAAXIklRX1RFVl9FQklUREFfRldEX0NJUSIVSVFfVEVWX0VCSVREQV9GV0RfQ0lRAgAAAAZJUV9OVE0ENjAwMAMAAAAKIjEvMi8yMDE1IggxLzIvMjAxNQAAAAAEAAAAAAAAAA8iTmFzZGFxR1M6SU5UQyINTmFzZGFxR1M6SU5UQwEAAAAXIklRX1RFVl9FQklUREFfRldEX0NJUSIVSVFfVEVWX0VCSVREQV9GV0RfQ0lRAgAAAAZJUV9OVE0ENjAwMAMAAAAMIjEyLzI2LzIwMTQiCjEyLzI2LzIwMTQAAAAABAAAAAAAAAAPIk5hc2RhcUdTOklOVEMiDU5hc2RhcUdTOklOVEMBAAAAFyJJUV9URVZfRUJJVERBX0ZXRF9DSVEiFUlRX1RFVl9FQklUREFfRldEX0NJUQIAAAAGSVFfTlRNBDYwMDADAAAADCIxMi8xOS8yMDE0IgoxMi8xOS8yMDE0AAAAAAQAAAAAAAAADyJOYXNkYXFHUzpJTlRDIg1OYXNkYXFHUzpJTlRDAQAAABciSVFfVEVWX0VCSVREQV9GV0RfQ0lRIhVJUV9URVZfRUJJVERBX0ZXRF9DSVECAAAABklRX05UTQQ2MDAwAwAAAAwiMTIvMTIvMjAxNCIKMTIvMTIvMjAxNAAAAAAEAAAAAAAAAA8iTmFzZGFxR1M6SU5UQyINTmFzZGFxR1M6SU5UQwEAAAAXIklRX1RFVl9FQklUREFfRldEX0NJUSIVSVFfVEVWX0VCSVREQV9GV0RfQ0lRAgAAAAZJUV9OVE0ENjAwMAMAAAALIjEyLzUvMjAxNCIJMTIvNS8yMDE0AAAAAAQAAAAAAAAADyJOYXNkYXFHUzpJTlRDIg1OYXNkYXFH</t>
  </si>
  <si>
    <t>UzpJTlRDAQAAABciSVFfVEVWX0VCSVREQV9GV0RfQ0lRIhVJUV9URVZfRUJJVERBX0ZXRF9DSVECAAAABklRX05UTQQ2MDAwAwAAAAwiMTEvMjgvMjAxNCIKMTEvMjgvMjAxNAAAAAAEAAAAAAAAAA8iTmFzZGFxR1M6SU5UQyINTmFzZGFxR1M6SU5UQwEAAAAXIklRX1RFVl9FQklUREFfRldEX0NJUSIVSVFfVEVWX0VCSVREQV9GV0RfQ0lRAgAAAAZJUV9OVE0ENjAwMAMAAAAMIjExLzIxLzIwMTQiCjExLzIxLzIwMTQAAAAABAAAAAAAAAAPIk5hc2RhcUdTOklOVEMiDU5hc2RhcUdTOklOVEMBAAAAFyJJUV9URVZfRUJJVERBX0ZXRF9DSVEiFUlRX1RFVl9FQklUREFfRldEX0NJUQIAAAAGSVFfTlRNBDYwMDADAAAADCIxMS8xNC8yMDE0IgoxMS8xNC8yMDE0AAAAAAQAAAAAAAAADyJOYXNkYXFHUzpJTlRDIg1OYXNkYXFHUzpJTlRDAQAAABciSVFfVEVWX0VCSVREQV9GV0RfQ0lRIhVJUV9URVZfRUJJVERBX0ZXRF9DSVECAAAABklRX05UTQQ2MDAwAwAAAAsiMTEvNy8yMDE0IgkxMS83LzIwMTQAAAAABAAAAAAAAAAPIk5hc2RhcUdTOklOVEMiDU5hc2RhcUdTOklOVEMBAAAAFyJJUV9URVZfRUJJVERBX0ZXRF9DSVEiFUlRX1RFVl9FQklUREFfRldEX0NJUQIAAAAGSVFfTlRNBDYwMDADAAAADCIxMC8zMS8yMDE0IgoxMC8zMS8yMDE0AAAAAAQAAAAAAAAADyJOYXNkYXFHUzpJTlRDIg1OYXNkYXFHUzpJ</t>
  </si>
  <si>
    <t>TlRDAQAAABciSVFfVEVWX0VCSVREQV9GV0RfQ0lRIhVJUV9URVZfRUJJVERBX0ZXRF9DSVECAAAABklRX05UTQQ2MDAwAwAAAAwiMTAvMjQvMjAxNCIKMTAvMjQvMjAxNAAAAAAEAAAAAAAAAA8iTmFzZGFxR1M6SU5UQyINTmFzZGFxR1M6SU5UQwEAAAAXIklRX1RFVl9FQklUREFfRldEX0NJUSIVSVFfVEVWX0VCSVREQV9GV0RfQ0lRAgAAAAZJUV9OVE0ENjAwMAMAAAAMIjEwLzE3LzIwMTQiCjEwLzE3LzIwMTQAAAAABAAAAAAAAAAPIk5hc2RhcUdTOklOVEMiDU5hc2RhcUdTOklOVEMBAAAAFyJJUV9URVZfRUJJVERBX0ZXRF9DSVEiFUlRX1RFVl9FQklUREFfRldEX0NJUQIAAAAGSVFfTlRNBDYwMDADAAAADCIxMC8xMC8yMDE0IgoxMC8xMC8yMDE0AAAAAAQAAAAAAAAADyJOYXNkYXFHUzpJTlRDIg1OYXNkYXFHUzpJTlRDAQAAABciSVFfVEVWX0VCSVREQV9GV0RfQ0lRIhVJUV9URVZfRUJJVERBX0ZXRF9DSVECAAAABklRX05UTQQ2MDAwAwAAAAsiMTAvMy8yMDE0IgkxMC8zLzIwMTQAAAAABAAAAAAAAAAPIk5hc2RhcUdTOklOVEMiDU5hc2RhcUdTOklOVEMBAAAAFyJJUV9URVZfRUJJVERBX0ZXRF9DSVEiFUlRX1RFVl9FQklUREFfRldEX0NJUQIAAAAGSVFfTlRNBDYwMDADAAAACyI5LzI2LzIwMTQiCTkvMjYvMjAxNAAAAAAEAAAAAAAAAA8iTmFzZGFxR1M6SU5UQyINTmFzZGFxR1M6SU5UQwEA</t>
  </si>
  <si>
    <t>AAAXIklRX1RFVl9FQklUREFfRldEX0NJUSIVSVFfVEVWX0VCSVREQV9GV0RfQ0lRAgAAAAZJUV9OVE0ENjAwMAMAAAALIjkvMTkvMjAxNCIJOS8xOS8yMDE0AAAAAAQAAAAAAAAADyJOYXNkYXFHUzpJTlRDIg1OYXNkYXFHUzpJTlRDAQAAABciSVFfVEVWX0VCSVREQV9GV0RfQ0lRIhVJUV9URVZfRUJJVERBX0ZXRF9DSVECAAAABklRX05UTQQ2MDAwAwAAAAsiOS8xMi8yMDE0Igk5LzEyLzIwMTQAAAAABAAAAAAAAAAPIk5hc2RhcUdTOklOVEMiDU5hc2RhcUdTOklOVEMBAAAAFyJJUV9URVZfRUJJVERBX0ZXRF9DSVEiFUlRX1RFVl9FQklUREFfRldEX0NJUQIAAAAGSVFfTlRNBDYwMDADAAAACiI5LzUvMjAxNCIIOS81LzIwMTQAAAAABAAAAAAAAAAPIk5hc2RhcUdTOklOVEMiDU5hc2RhcUdTOklOVEMBAAAAFyJJUV9URVZfRUJJVERBX0ZXRF9DSVEiFUlRX1RFVl9FQklUREFfRldEX0NJUQIAAAAGSVFfTlRNBDYwMDADAAAACyI4LzI5LzIwMTQiCTgvMjkvMjAxNAAAAAAEAAAAAAAAAA8iTmFzZGFxR1M6SU5UQyINTmFzZGFxR1M6SU5UQwEAAAAXIklRX1RFVl9FQklUREFfRldEX0NJUSIVSVFfVEVWX0VCSVREQV9GV0RfQ0lRAgAAAAZJUV9OVE0ENjAwMAMAAAALIjgvMjIvMjAxNCIJOC8yMi8yMDE0AAAAAAQAAAAAAAAADyJOYXNkYXFHUzpJTlRDIg1OYXNkYXFHUzpJTlRDAQAAABciSVFfVEVWX0VC</t>
  </si>
  <si>
    <t>SVREQV9GV0RfQ0lRIhVJUV9URVZfRUJJVERBX0ZXRF9DSVECAAAABklRX05UTQQ2MDAwAwAAAAsiOC8xNS8yMDE0Igk4LzE1LzIwMTQAAAAABAAAAAAAAAAPIk5hc2RhcUdTOklOVEMiDU5hc2RhcUdTOklOVEMBAAAAFyJJUV9URVZfRUJJVERBX0ZXRF9DSVEiFUlRX1RFVl9FQklUREFfRldEX0NJUQIAAAAGSVFfTlRNBDYwMDADAAAACiI4LzgvMjAxNCIIOC84LzIwMTQAAAAABAAAAAAAAAAPIk5hc2RhcUdTOklOVEMiDU5hc2RhcUdTOklOVEMBAAAAFyJJUV9URVZfRUJJVERBX0ZXRF9DSVEiFUlRX1RFVl9FQklUREFfRldEX0NJUQIAAAAGSVFfTlRNBDYwMDADAAAACiI4LzEvMjAxNCIIOC8xLzIwMTQAAAAABAAAAAAAAAAPIk5hc2RhcUdTOklOVEMiDU5hc2RhcUdTOklOVEMBAAAAFyJJUV9URVZfRUJJVERBX0ZXRF9DSVEiFUlRX1RFVl9FQklUREFfRldEX0NJUQIAAAAGSVFfTlRNBDYwMDADAAAACyI3LzI1LzIwMTQiCTcvMjUvMjAxNAAAAAAEAAAAAAAAAA8iTmFzZGFxR1M6SU5UQyINTmFzZGFxR1M6SU5UQwEAAAAXIklRX1RFVl9FQklUREFfRldEX0NJUSIVSVFfVEVWX0VCSVREQV9GV0RfQ0lRAgAAAAZJUV9OVE0ENjAwMAMAAAALIjcvMTgvMjAxNCIJNy8xOC8yMDE0AAAAAAQAAAAAAAAADyJOYXNkYXFHUzpJTlRDIg1OYXNkYXFHUzpJTlRDAQAAABciSVFfVEVWX0VCSVREQV9GV0RfQ0lRIhVJ</t>
  </si>
  <si>
    <t>UV9URVZfRUJJVERBX0ZXRF9DSVECAAAABklRX05UTQQ2MDAwAwAAAAsiNy8xMS8yMDE0Igk3LzExLzIwMTQAAAAABAAAAAAAAAAPIk5hc2RhcUdTOklOVEMiDU5hc2RhcUdTOklOVEMBAAAAFyJJUV9URVZfRUJJVERBX0ZXRF9DSVEiFUlRX1RFVl9FQklUREFfRldEX0NJUQIAAAAGSVFfTlRNBDYwMDADAAAACiI3LzMvMjAxNCIINy8zLzIwMTQAAAAABAAAAAAAAAAPIk5hc2RhcUdTOklOVEMiDU5hc2RhcUdTOklOVEMBAAAAFyJJUV9URVZfRUJJVERBX0ZXRF9DSVEiFUlRX1RFVl9FQklUREFfRldEX0NJUQIAAAAGSVFfTlRNBDYwMDADAAAACyI2LzI3LzIwMTQiCTYvMjcvMjAxNAAAAAAEAAAAAAAAAA8iTmFzZGFxR1M6SU5UQyINTmFzZGFxR1M6SU5UQwEAAAAXIklRX1RFVl9FQklUREFfRldEX0NJUSIVSVFfVEVWX0VCSVREQV9GV0RfQ0lRAgAAAAZJUV9OVE0ENjAwMAMAAAALIjYvMjAvMjAxNCIJNi8yMC8yMDE0AAAAAAQAAAAAAAAADyJOYXNkYXFHUzpJTlRDIg1OYXNkYXFHUzpJTlRDAQAAABciSVFfVEVWX0VCSVREQV9GV0RfQ0lRIhVJUV9URVZfRUJJVERBX0ZXRF9DSVECAAAABklRX05UTQQ2MDAwAwAAAAsiNi8xMy8yMDE0Igk2LzEzLzIwMTQAAAAABAAAAAAAAAAPIk5hc2RhcUdTOklOVEMiDU5hc2RhcUdTOklOVEMBAAAAFyJJUV9URVZfRUJJVERBX0ZXRF9DSVEiFUlRX1RFVl9FQklUREFf</t>
  </si>
  <si>
    <t>RldEX0NJUQIAAAAGSVFfTlRNBDYwMDADAAAACiI2LzYvMjAxNCIINi82LzIwMTQAAAAABAAAAAAAAAAPIk5hc2RhcUdTOklOVEMiDU5hc2RhcUdTOklOVEMBAAAAFyJJUV9URVZfRUJJVERBX0ZXRF9DSVEiFUlRX1RFVl9FQklUREFfRldEX0NJUQIAAAAGSVFfTlRNBDYwMDADAAAACyI1LzMwLzIwMTQiCTUvMzAvMjAxNAAAAAAEAAAAAAAAAA8iTmFzZGFxR1M6SU5UQyINTmFzZGFxR1M6SU5UQwEAAAAXIklRX1RFVl9FQklUREFfRldEX0NJUSIVSVFfVEVWX0VCSVREQV9GV0RfQ0lRAgAAAAZJUV9OVE0ENjAwMAMAAAALIjUvMjMvMjAxNCIJNS8yMy8yMDE0AAAAAAQAAAAAAAAADyJOYXNkYXFHUzpJTlRDIg1OYXNkYXFHUzpJTlRDAQAAABciSVFfVEVWX0VCSVREQV9GV0RfQ0lRIhVJUV9URVZfRUJJVERBX0ZXRF9DSVECAAAABklRX05UTQQ2MDAwAwAAAAsiNS8xNi8yMDE0Igk1LzE2LzIwMTQAAAAABAAAAAAAAAAPIk5hc2RhcUdTOklOVEMiDU5hc2RhcUdTOklOVEMBAAAAFyJJUV9URVZfRUJJVERBX0ZXRF9DSVEiFUlRX1RFVl9FQklUREFfRldEX0NJUQIAAAAGSVFfTlRNBDYwMDADAAAACiI1LzkvMjAxNCIINS85LzIwMTQAAAAABAAAAAAAAAAPIk5hc2RhcUdTOklOVEMiDU5hc2RhcUdTOklOVEMBAAAAFyJJUV9URVZfRUJJVERBX0ZXRF9DSVEiFUlRX1RFVl9FQklUREFfRldEX0NJUQIAAAAGSVFf</t>
  </si>
  <si>
    <t>TlRNBDYwMDADAAAACiI1LzIvMjAxNCIINS8yLzIwMTQAAAAABAAAAAAAAAAPIk5hc2RhcUdTOklOVEMiDU5hc2RhcUdTOklOVEMBAAAAFyJJUV9URVZfRUJJVERBX0ZXRF9DSVEiFUlRX1RFVl9FQklUREFfRldEX0NJUQIAAAAGSVFfTlRNBDYwMDADAAAACyI0LzI1LzIwMTQiCTQvMjUvMjAxNAAAAAAEAAAAAAAAAA8iTmFzZGFxR1M6SU5UQyINTmFzZGFxR1M6SU5UQwEAAAAXIklRX1RFVl9FQklUREFfRldEX0NJUSIVSVFfVEVWX0VCSVREQV9GV0RfQ0lRAgAAAAZJUV9OVE0ENjAwMAMAAAALIjQvMTcvMjAxNCIJNC8xNy8yMDE0AAAAAAQAAAAAAAAADyJOYXNkYXFHUzpJTlRDIg1OYXNkYXFHUzpJTlRDAQAAABciSVFfVEVWX0VCSVREQV9GV0RfQ0lRIhVJUV9URVZfRUJJVERBX0ZXRF9DSVECAAAABklRX05UTQQ2MDAwAwAAAAsiNC8xMS8yMDE0Igk0LzExLzIwMTQAAAAABAAAAAAAAAAPIk5hc2RhcUdTOklOVEMiDU5hc2RhcUdTOklOVEMBAAAAFyJJUV9URVZfRUJJVERBX0ZXRF9DSVEiFUlRX1RFVl9FQklUREFfRldEX0NJUQIAAAAGSVFfTlRNBDYwMDADAAAACiI0LzQvMjAxNCIINC80LzIwMTQAAAAABAAAAAAAAAAPIk5hc2RhcUdTOklOVEMiDU5hc2RhcUdTOklOVEMBAAAAFyJJUV9URVZfRUJJVERBX0ZXRF9DSVEiFUlRX1RFVl9FQklUREFfRldEX0NJUQIAAAAGSVFfTlRNBDYwMDADAAAACyIz</t>
  </si>
  <si>
    <t>LzI4LzIwMTQiCTMvMjgvMjAxNAAAAAAEAAAAAAAAAA8iTmFzZGFxR1M6SU5UQyINTmFzZGFxR1M6SU5UQwEAAAAXIklRX1RFVl9FQklUREFfRldEX0NJUSIVSVFfVEVWX0VCSVREQV9GV0RfQ0lRAgAAAAZJUV9OVE0ENjAwMAMAAAALIjMvMjEvMjAxNCIJMy8yMS8yMDE0AAAAAAQAAAAAAAAADyJOYXNkYXFHUzpJTlRDIg1OYXNkYXFHUzpJTlRDAQAAABciSVFfVEVWX0VCSVREQV9GV0RfQ0lRIhVJUV9URVZfRUJJVERBX0ZXRF9DSVECAAAABklRX05UTQQ2MDAwAwAAAAsiMy8xNC8yMDE0IgkzLzE0LzIwMTQAAAAABAAAAAAAAAAPIk5hc2RhcUdTOklOVEMiDU5hc2RhcUdTOklOVEMBAAAAFyJJUV9URVZfRUJJVERBX0ZXRF9DSVEiFUlRX1RFVl9FQklUREFfRldEX0NJUQIAAAAGSVFfTlRNBDYwMDADAAAACiIzLzcvMjAxNCIIMy83LzIwMTQAAAAABAAAAAAAAAAPIk5hc2RhcUdTOklOVEMiDU5hc2RhcUdTOklOVEMBAAAAFyJJUV9URVZfRUJJVERBX0ZXRF9DSVEiFUlRX1RFVl9FQklUREFfRldEX0NJUQIAAAAGSVFfTlRNBDYwMDADAAAACyIyLzI4LzIwMTQiCTIvMjgvMjAxNAAAAAAEAAAAAAAAAA8iTmFzZGFxR1M6SU5UQyINTmFzZGFxR1M6SU5UQwEAAAAXIklRX1RFVl9FQklUREFfRldEX0NJUSIVSVFfVEVWX0VCSVREQV9GV0RfQ0lRAgAAAAZJUV9OVE0ENjAwMAMAAAALIjIvMjEvMjAxNCIJMi8y</t>
  </si>
  <si>
    <t>MS8yMDE0AAAAAAQAAAAAAAAADyJOYXNkYXFHUzpJTlRDIg1OYXNkYXFHUzpJTlRDAQAAABciSVFfVEVWX0VCSVREQV9GV0RfQ0lRIhVJUV9URVZfRUJJVERBX0ZXRF9DSVECAAAABklRX05UTQQ2MDAwAwAAAAsiMi8xNC8yMDE0IgkyLzE0LzIwMTQAAAAABAAAAAAAAAAPIk5hc2RhcUdTOklOVEMiDU5hc2RhcUdTOklOVEMBAAAAFyJJUV9URVZfRUJJVERBX0ZXRF9DSVEiFUlRX1RFVl9FQklUREFfRldEX0NJUQIAAAAGSVFfTlRNBDYwMDADAAAACiIyLzcvMjAxNCIIMi83LzIwMTQAAAAABAAAAAAAAAAPIk5hc2RhcUdTOklOVEMiDU5hc2RhcUdTOklOVEMBAAAAFyJJUV9URVZfRUJJVERBX0ZXRF9DSVEiFUlRX1RFVl9FQklUREFfRldEX0NJUQIAAAAGSVFfTlRNBDYwMDADAAAACyIxLzMxLzIwMTQiCTEvMzEvMjAxNAAAAAAEAAAAAAAAAA8iTmFzZGFxR1M6SU5UQyINTmFzZGFxR1M6SU5UQwEAAAAXIklRX1RFVl9FQklUREFfRldEX0NJUSIVSVFfVEVWX0VCSVREQV9GV0RfQ0lRAgAAAAZJUV9OVE0ENjAwMAMAAAALIjEvMjQvMjAxNCIJMS8yNC8yMDE0AAAAAAQAAAAAAAAADyJOYXNkYXFHUzpJTlRDIg1OYXNkYXFHUzpJTlRDAQAAABciSVFfVEVWX0VCSVREQV9GV0RfQ0lRIhVJUV9URVZfRUJJVERBX0ZXRF9DSVECAAAABklRX05UTQQ2MDAwAwAAAAsiMS8xNy8yMDE0IgkxLzE3LzIwMTQAAAAABAAA</t>
  </si>
  <si>
    <t>AAAAAAAPIk5hc2RhcUdTOklOVEMiDU5hc2RhcUdTOklOVEMBAAAAFyJJUV9URVZfRUJJVERBX0ZXRF9DSVEiFUlRX1RFVl9FQklUREFfRldEX0NJUQIAAAAGSVFfTlRNBDYwMDADAAAACyIxLzEwLzIwMTQiCTEvMTAvMjAxNAAAAAAEAAAAAAAAAA8iTmFzZGFxR1M6SU5UQyINTmFzZGFxR1M6SU5UQwEAAAAXIklRX1RFVl9FQklUREFfRldEX0NJUSIVSVFfVEVWX0VCSVREQV9GV0RfQ0lRAgAAAAZJUV9OVE0ENjAwMAMAAAAKIjEvMy8yMDE0IggxLzMvMjAxNAAAAAAEAAAAAAAAAA8iTmFzZGFxR1M6SU5UQyINTmFzZGFxR1M6SU5UQwEAAAAXIklRX1RFVl9FQklUREFfRldEX0NJUSIVSVFfVEVWX0VCSVREQV9GV0RfQ0lRAgAAAAZJUV9OVE0ENjAwMAMAAAAMIjEyLzI3LzIwMTMiCjEyLzI3LzIwMTMAAAAABAAAAAAAAAAPIk5hc2RhcUdTOklOVEMiDU5hc2RhcUdTOklOVEMBAAAAFyJJUV9URVZfRUJJVERBX0ZXRF9DSVEiFUlRX1RFVl9FQklUREFfRldEX0NJUQIAAAAGSVFfTlRNBDYwMDADAAAADCIxMi8yMC8yMDEzIgoxMi8yMC8yMDEzAAAAAAQAAAAAAAAADyJOYXNkYXFHUzpJTlRDIg1OYXNkYXFHUzpJTlRDAQAAABciSVFfVEVWX0VCSVREQV9GV0RfQ0lRIhVJUV9URVZfRUJJVERBX0ZXRF9DSVECAAAABklRX05UTQQ2MDAwAwAAAAwiMTIvMTMvMjAxMyIKMTIvMTMvMjAxMwAAAAAEAAAAAAAAAA8i</t>
  </si>
  <si>
    <t>TmFzZGFxR1M6SU5UQyINTmFzZGFxR1M6SU5UQwEAAAAXIklRX1RFVl9FQklUREFfRldEX0NJUSIVSVFfVEVWX0VCSVREQV9GV0RfQ0lRAgAAAAZJUV9OVE0ENjAwMAMAAAALIjEyLzYvMjAxMyIJMTIvNi8yMDEzAAAAAAQAAAAAAAAADyJOYXNkYXFHUzpJTlRDIg1OYXNkYXFHUzpJTlRDAQAAABciSVFfVEVWX0VCSVREQV9GV0RfQ0lRIhVJUV9URVZfRUJJVERBX0ZXRF9DSVECAAAABklRX05UTQQ2MDAwAwAAAAwiMTEvMjkvMjAxMyIKMTEvMjkvMjAxMwAAAAAEAAAAAAAAAA8iTmFzZGFxR1M6SU5UQyINTmFzZGFxR1M6SU5UQwEAAAAXIklRX1RFVl9FQklUREFfRldEX0NJUSIVSVFfVEVWX0VCSVREQV9GV0RfQ0lRAgAAAAZJUV9OVE0ENjAwMAMAAAAMIjExLzIyLzIwMTMiCjExLzIyLzIwMTMAAAAABAAAAAAAAAAPIk5hc2RhcUdTOklOVEMiDU5hc2RhcUdTOklOVEMBAAAAFyJJUV9URVZfRUJJVERBX0ZXRF9DSVEiFUlRX1RFVl9FQklUREFfRldEX0NJUQIAAAAGSVFfTlRNBDYwMDADAAAADCIxMS8xNS8yMDEzIgoxMS8xNS8yMDEzAAAAAAQAAAAAAAAADyJOYXNkYXFHUzpJTlRDIg1OYXNkYXFHUzpJTlRDAQAAABciSVFfVEVWX0VCSVREQV9GV0RfQ0lRIhVJUV9URVZfRUJJVERBX0ZXRF9DSVECAAAABklRX05UTQQ2MDAwAwAAAAsiMTEvOC8yMDEzIgkxMS84LzIwMTMAAAAABAAAAAAAAAAPIk5hc2Rh</t>
  </si>
  <si>
    <t>cUdTOklOVEMiDU5hc2RhcUdTOklOVEMBAAAAFyJJUV9URVZfRUJJVERBX0ZXRF9DSVEiFUlRX1RFVl9FQklUREFfRldEX0NJUQIAAAAGSVFfTlRNBDYwMDADAAAACyIxMS8xLzIwMTMiCTExLzEvMjAxMwAAAAAEAAAAAAAAAA8iTmFzZGFxR1M6SU5UQyINTmFzZGFxR1M6SU5UQwEAAAAXIklRX1RFVl9FQklUREFfRldEX0NJUSIVSVFfVEVWX0VCSVREQV9GV0RfQ0lRAgAAAAZJUV9OVE0ENjAwMAMAAAAMIjEwLzI1LzIwMTMiCjEwLzI1LzIwMTMAAAAABAAAAAAAAAAPIk5hc2RhcUdTOklOVEMiDU5hc2RhcUdTOklOVEMBAAAAFyJJUV9URVZfRUJJVERBX0ZXRF9DSVEiFUlRX1RFVl9FQklUREFfRldEX0NJUQIAAAAGSVFfTlRNBDYwMDADAAAADCIxMC8xOC8yMDEzIgoxMC8xOC8yMDEzAAAAAAQAAAAAAAAADyJOYXNkYXFHUzpJTlRDIg1OYXNkYXFHUzpJTlRDAQAAABciSVFfVEVWX0VCSVREQV9GV0RfQ0lRIhVJUV9URVZfRUJJVERBX0ZXRF9DSVECAAAABklRX05UTQQ2MDAwAwAAAAwiMTAvMTEvMjAxMyIKMTAvMTEvMjAxMwAAAAAEAAAAAAAAAA8iTmFzZGFxR1M6SU5UQyINTmFzZGFxR1M6SU5UQwEAAAAXIklRX1RFVl9FQklUREFfRldEX0NJUSIVSVFfVEVWX0VCSVREQV9GV0RfQ0lRAgAAAAZJUV9OVE0ENjAwMAMAAAALIjEwLzQvMjAxMyIJMTAvNC8yMDEzAAAAAAQAAAAAAAAADyJOYXNkYXFHUzpJ</t>
  </si>
  <si>
    <t>TlRDIg1OYXNkYXFHUzpJTlRDAQAAABciSVFfVEVWX0VCSVREQV9GV0RfQ0lRIhVJUV9URVZfRUJJVERBX0ZXRF9DSVECAAAABklRX05UTQQ2MDAwAwAAAAsiOS8yNy8yMDEzIgk5LzI3LzIwMTMAAAAABAAAAAAAAAAPIk5hc2RhcUdTOklOVEMiDU5hc2RhcUdTOklOVEMBAAAAFyJJUV9URVZfRUJJVERBX0ZXRF9DSVEiFUlRX1RFVl9FQklUREFfRldEX0NJUQIAAAAGSVFfTlRNBDYwMDADAAAACyI5LzIwLzIwMTMiCTkvMjAvMjAxMwAAAAAEAAAAAAAAAA8iTmFzZGFxR1M6SU5UQyINTmFzZGFxR1M6SU5UQwEAAAAXIklRX1RFVl9FQklUREFfRldEX0NJUSIVSVFfVEVWX0VCSVREQV9GV0RfQ0lRAgAAAAZJUV9OVE0ENjAwMAMAAAALIjkvMTMvMjAxMyIJOS8xMy8yMDEzAAAAAAQAAAAAAAAADyJOYXNkYXFHUzpJTlRDIg1OYXNkYXFHUzpJTlRDAQAAABciSVFfVEVWX0VCSVREQV9GV0RfQ0lRIhVJUV9URVZfRUJJVERBX0ZXRF9DSVECAAAABklRX05UTQQ2MDAwAwAAAAoiOS82LzIwMTMiCDkvNi8yMDEzAAAAAAQAAAAAAAAADyJOYXNkYXFHUzpJTlRDIg1OYXNkYXFHUzpJTlRDAQAAABciSVFfVEVWX0VCSVREQV9GV0RfQ0lRIhVJUV9URVZfRUJJVERBX0ZXRF9DSVECAAAABklRX05UTQQ2MDAwAwAAAAsiOC8zMC8yMDEzIgk4LzMwLzIwMTMAAAAABAAAAAAAAAAPIk5hc2RhcUdTOklOVEMiDU5hc2RhcUdT</t>
  </si>
  <si>
    <t>OklOVEMBAAAAFyJJUV9URVZfRUJJVERBX0ZXRF9DSVEiFUlRX1RFVl9FQklUREFfRldEX0NJUQIAAAAGSVFfTlRNBDYwMDADAAAACyI4LzIzLzIwMTMiCTgvMjMvMjAxMwAAAAAEAAAAAAAAAA8iTmFzZGFxR1M6SU5UQyINTmFzZGFxR1M6SU5UQwEAAAAXIklRX1RFVl9FQklUREFfRldEX0NJUSIVSVFfVEVWX0VCSVREQV9GV0RfQ0lRAgAAAAZJUV9OVE0ENjAwMAMAAAALIjgvMTYvMjAxMyIJOC8xNi8yMDEzAAAAAAQAAAAAAAAADyJOYXNkYXFHUzpJTlRDIg1OYXNkYXFHUzpJTlRDAQAAABciSVFfVEVWX0VCSVREQV9GV0RfQ0lRIhVJUV9URVZfRUJJVERBX0ZXRF9DSVECAAAABklRX05UTQQ2MDAwAwAAAAoiOC85LzIwMTMiCDgvOS8yMDEzAAAAAAQAAAAAAAAADyJOYXNkYXFHUzpJTlRDIg1OYXNkYXFHUzpJTlRDAQAAABciSVFfVEVWX0VCSVREQV9GV0RfQ0lRIhVJUV9URVZfRUJJVERBX0ZXRF9DSVECAAAABklRX05UTQQ2MDAwAwAAAAoiOC8yLzIwMTMiCDgvMi8yMDEzAAAAAAQAAAAAAAAADyJOYXNkYXFHUzpJTlRDIg1OYXNkYXFHUzpJTlRDAQAAABciSVFfVEVWX0VCSVREQV9GV0RfQ0lRIhVJUV9URVZfRUJJVERBX0ZXRF9DSVECAAAABklRX05UTQQ2MDAwAwAAAAsiNy8yNi8yMDEzIgk3LzI2LzIwMTMAAAAABAAAAAAAAAAPIk5hc2RhcUdTOklOVEMiDU5hc2RhcUdTOklOVEMBAAAAFyJJUV9U</t>
  </si>
  <si>
    <t>RVZfRUJJVERBX0ZXRF9DSVEiFUlRX1RFVl9FQklUREFfRldEX0NJUQIAAAAGSVFfTlRNBDYwMDADAAAACyI3LzE5LzIwMTMiCTcvMTkvMjAxMwAAAAAEAAAAAAAAAA8iTmFzZGFxR1M6SU5UQyINTmFzZGFxR1M6SU5UQwEAAAAXIklRX1RFVl9FQklUREFfRldEX0NJUSIVSVFfVEVWX0VCSVREQV9GV0RfQ0lRAgAAAAZJUV9OVE0ENjAwMAMAAAALIjcvMTIvMjAxMyIJNy8xMi8yMDEzAAAAAAQAAAAAAAAADyJOYXNkYXFHUzpJTlRDIg1OYXNkYXFHUzpJTlRDAQAAABciSVFfVEVWX0VCSVREQV9GV0RfQ0lRIhVJUV9URVZfRUJJVERBX0ZXRF9DSVECAAAABklRX05UTQQ2MDAwAwAAAAoiNy81LzIwMTMiCDcvNS8yMDEzAAAAAAQAAAAAAAAADyJOYXNkYXFHUzpJTlRDIg1OYXNkYXFHUzpJTlRDAQAAABciSVFfVEVWX0VCSVREQV9GV0RfQ0lRIhVJUV9URVZfRUJJVERBX0ZXRF9DSVECAAAABklRX05UTQQ2MDAwAwAAAAsiNi8yOC8yMDEzIgk2LzI4LzIwMTMAAAAABAAAAAAAAAAPIk5hc2RhcUdTOklOVEMiDU5hc2RhcUdTOklOVEMBAAAAFyJJUV9URVZfRUJJVERBX0ZXRF9DSVEiFUlRX1RFVl9FQklUREFfRldEX0NJUQIAAAAGSVFfTlRNBDYwMDADAAAACyI2LzIxLzIwMTMiCTYvMjEvMjAxMwAAAAAEAAAAAAAAAA8iTmFzZGFxR1M6SU5UQyINTmFzZGFxR1M6SU5UQwEAAAAXIklRX1RFVl9FQklUREFfRldE</t>
  </si>
  <si>
    <t>X0NJUSIVSVFfVEVWX0VCSVREQV9GV0RfQ0lRAgAAAAZJUV9OVE0ENjAwMAMAAAALIjYvMTQvMjAxMyIJNi8xNC8yMDEzAAAAAAQAAAAAAAAADyJOYXNkYXFHUzpJTlRDIg1OYXNkYXFHUzpJTlRDAQAAABciSVFfVEVWX0VCSVREQV9GV0RfQ0lRIhVJUV9URVZfRUJJVERBX0ZXRF9DSVECAAAABklRX05UTQQ2MDAwAwAAAAoiNi83LzIwMTMiCDYvNy8yMDEzAAAAAAQAAAAAAAAADyJOYXNkYXFHUzpJTlRDIg1OYXNkYXFHUzpJTlRDAQAAABciSVFfVEVWX0VCSVREQV9GV0RfQ0lRIhVJUV9URVZfRUJJVERBX0ZXRF9DSVECAAAABklRX05UTQQ2MDAwAwAAAAsiNS8zMS8yMDEzIgk1LzMxLzIwMTMAAAAABAAAAAAAAAAPIk5hc2RhcUdTOklOVEMiDU5hc2RhcUdTOklOVEMBAAAAFyJJUV9URVZfRUJJVERBX0ZXRF9DSVEiFUlRX1RFVl9FQklUREFfRldEX0NJUQIAAAAGSVFfTlRNBDYwMDADAAAACyI1LzI0LzIwMTMiCTUvMjQvMjAxMwAAAAAEAAAAAAAAAA8iTmFzZGFxR1M6SU5UQyINTmFzZGFxR1M6SU5UQwEAAAAXIklRX1RFVl9FQklUREFfRldEX0NJUSIVSVFfVEVWX0VCSVREQV9GV0RfQ0lRAgAAAAZJUV9OVE0ENjAwMAMAAAALIjUvMTcvMjAxMyIJNS8xNy8yMDEzAAAAAAQAAAAAAAAADyJOYXNkYXFHUzpJTlRDIg1OYXNkYXFHUzpJTlRDAQAAABciSVFfVEVWX0VCSVREQV9GV0RfQ0lRIhVJUV9URVZf</t>
  </si>
  <si>
    <t>RUJJVERBX0ZXRF9DSVECAAAABklRX05UTQQ2MDAwAwAAAAsiNS8xMC8yMDEzIgk1LzEwLzIwMTMAAAAABAAAAAAAAAAPIk5hc2RhcUdTOklOVEMiDU5hc2RhcUdTOklOVEMBAAAAFyJJUV9URVZfRUJJVERBX0ZXRF9DSVEiFUlRX1RFVl9FQklUREFfRldEX0NJUQIAAAAGSVFfTlRNBDYwMDADAAAACiI1LzMvMjAxMyIINS8zLzIwMTMAAAAABAAAAAAAAAAPIk5hc2RhcUdTOklOVEMiDU5hc2RhcUdTOklOVEMBAAAAFyJJUV9URVZfRUJJVERBX0ZXRF9DSVEiFUlRX1RFVl9FQklUREFfRldEX0NJUQIAAAAGSVFfTlRNBDYwMDADAAAACyI0LzI2LzIwMTMiCTQvMjYvMjAxMwAAAAAEAAAAAAAAAA8iTmFzZGFxR1M6SU5UQyINTmFzZGFxR1M6SU5UQwEAAAAXIklRX1RFVl9FQklUREFfRldEX0NJUSIVSVFfVEVWX0VCSVREQV9GV0RfQ0lRAgAAAAZJUV9OVE0ENjAwMAMAAAALIjQvMTkvMjAxMyIJNC8xOS8yMDEzAAAAAAQAAAAAAAAADyJOYXNkYXFHUzpJTlRDIg1OYXNkYXFHUzpJTlRDAQAAABciSVFfVEVWX0VCSVREQV9GV0RfQ0lRIhVJUV9URVZfRUJJVERBX0ZXRF9DSVECAAAABklRX05UTQQ2MDAwAwAAAAsiNC8xMi8yMDEzIgk0LzEyLzIwMTMAAAAABAAAAAAAAAAPIk5hc2RhcUdTOklOVEMiDU5hc2RhcUdTOklOVEMBAAAAFyJJUV9URVZfRUJJVERBX0ZXRF9DSVEiFUlRX1RFVl9FQklUREFfRldEX0NJ</t>
  </si>
  <si>
    <t>UQIAAAAGSVFfTlRNBDYwMDADAAAACiI0LzUvMjAxMyIINC81LzIwMTMAAAAABAAAAAAAAAAPIk5hc2RhcUdTOklOVEMiDU5hc2RhcUdTOklOVEMBAAAAFyJJUV9URVZfRUJJVERBX0ZXRF9DSVEiFUlRX1RFVl9FQklUREFfRldEX0NJUQIAAAAGSVFfTlRNBDYwMDADAAAACyIzLzI4LzIwMTMiCTMvMjgvMjAxMwAAAAAEAAAAAAAAAA8iTmFzZGFxR1M6SU5UQyINTmFzZGFxR1M6SU5UQwEAAAAXIklRX1RFVl9FQklUREFfRldEX0NJUSIVSVFfVEVWX0VCSVREQV9GV0RfQ0lRAgAAAAZJUV9OVE0ENjAwMAMAAAALIjMvMjIvMjAxMyIJMy8yMi8yMDEzAAAAAAQAAAAAAAAADyJOYXNkYXFHUzpJTlRDIg1OYXNkYXFHUzpJTlRDAQAAABciSVFfVEVWX0VCSVREQV9GV0RfQ0lRIhVJUV9URVZfRUJJVERBX0ZXRF9DSVECAAAABklRX05UTQQ2MDAwAwAAAAsiMy8xNS8yMDEzIgkzLzE1LzIwMTMAAAAABAAAAAAAAAAPIk5hc2RhcUdTOklOVEMiDU5hc2RhcUdTOklOVEMBAAAAFyJJUV9URVZfRUJJVERBX0ZXRF9DSVEiFUlRX1RFVl9FQklUREFfRldEX0NJUQIAAAAGSVFfTlRNBDYwMDADAAAACiIzLzgvMjAxMyIIMy84LzIwMTMAAAAABAAAAAAAAAAPIk5hc2RhcUdTOklOVEMiDU5hc2RhcUdTOklOVEMBAAAAFyJJUV9URVZfRUJJVERBX0ZXRF9DSVEiFUlRX1RFVl9FQklUREFfRldEX0NJUQIAAAAGSVFfTlRNBDYw</t>
  </si>
  <si>
    <t>MDADAAAACiIzLzEvMjAxMyIIMy8xLzIwMTMAAAAABAAAAAAAAAAPIk5hc2RhcUdTOklOVEMiDU5hc2RhcUdTOklOVEMBAAAAFyJJUV9URVZfRUJJVERBX0ZXRF9DSVEiFUlRX1RFVl9FQklUREFfRldEX0NJUQIAAAAGSVFfTlRNBDYwMDADAAAACyIyLzIyLzIwMTMiCTIvMjIvMjAxMwAAAAAEAAAAAAAAAA8iTmFzZGFxR1M6SU5UQyINTmFzZGFxR1M6SU5UQwEAAAAXIklRX1RFVl9FQklUREFfRldEX0NJUSIVSVFfVEVWX0VCSVREQV9GV0RfQ0lRAgAAAAZJUV9OVE0ENjAwMAMAAAALIjIvMTUvMjAxMyIJMi8xNS8yMDEzAAAAAAQAAAAAAAAADyJOYXNkYXFHUzpJTlRDIg1OYXNkYXFHUzpJTlRDAQAAABciSVFfVEVWX0VCSVREQV9GV0RfQ0lRIhVJUV9URVZfRUJJVERBX0ZXRF9DSVECAAAABklRX05UTQQ2MDAwAwAAAAoiMi84LzIwMTMiCDIvOC8yMDEzAAAAAAQAAAAAAAAADyJOYXNkYXFHUzpJTlRDIg1OYXNkYXFHUzpJTlRDAQAAABciSVFfVEVWX0VCSVREQV9GV0RfQ0lRIhVJUV9URVZfRUJJVERBX0ZXRF9DSVECAAAABklRX05UTQQ2MDAwAwAAAAoiMi8xLzIwMTMiCDIvMS8yMDEzAAAAAAQAAAAAAAAADyJOYXNkYXFHUzpJTlRDIg1OYXNkYXFHUzpJTlRDAQAAABciSVFfVEVWX0VCSVREQV9GV0RfQ0lRIhVJUV9URVZfRUJJVERBX0ZXRF9DSVECAAAABklRX05UTQQ2MDAwAwAAAAsiMS8yNS8yMDEz</t>
  </si>
  <si>
    <t>IgkxLzI1LzIwMTMAAAAABAAAAAAAAAAPIk5hc2RhcUdTOklOVEMiDU5hc2RhcUdTOklOVEMBAAAAFyJJUV9URVZfRUJJVERBX0ZXRF9DSVEiFUlRX1RFVl9FQklUREFfRldEX0NJUQIAAAAGSVFfTlRNBDYwMDADAAAACyIxLzE4LzIwMTMiCTEvMTgvMjAxMwAAAAAEAAAAAAAAAA8iTmFzZGFxR1M6SU5UQyINTmFzZGFxR1M6SU5UQwEAAAAXIklRX1RFVl9FQklUREFfRldEX0NJUSIVSVFfVEVWX0VCSVREQV9GV0RfQ0lRAgAAAAZJUV9OVE0ENjAwMAMAAAALIjEvMTEvMjAxMyIJMS8xMS8yMDEzAAAAAAQAAAAAAAAADyJOYXNkYXFHUzpJTlRDIg1OYXNkYXFHUzpJTlRDAQAAABciSVFfVEVWX0VCSVREQV9GV0RfQ0lRIhVJUV9URVZfRUJJVERBX0ZXRF9DSVECAAAABklRX05UTQQ2MDAwAwAAAAoiMS80LzIwMTMiCDEvNC8yMDEzAAAAAAQAAAAAAAAADyJOYXNkYXFHUzpJTlRDIg1OYXNkYXFHUzpJTlRDAQAAABciSVFfVEVWX0VCSVREQV9GV0RfQ0lRIhVJUV9URVZfRUJJVERBX0ZXRF9DSVECAAAABklRX05UTQQ2MDAwAwAAAAwiMTIvMjgvMjAxMiIKMTIvMjgvMjAxMgAAAAAEAAAAAAAAAA8iTmFzZGFxR1M6SU5UQyINTmFzZGFxR1M6SU5UQwEAAAAXIklRX1RFVl9FQklUREFfRldEX0NJUSIVSVFfVEVWX0VCSVREQV9GV0RfQ0lRAgAAAAZJUV9OVE0ENjAwMAMAAAAMIjEyLzIxLzIwMTIiCjEyLzIxLzIw</t>
  </si>
  <si>
    <t>MTIAAAAABAAAAAAAAAAPIk5hc2RhcUdTOklOVEMiDU5hc2RhcUdTOklOVEMBAAAAFyJJUV9URVZfRUJJVERBX0ZXRF9DSVEiFUlRX1RFVl9FQklUREFfRldEX0NJUQIAAAAGSVFfTlRNBDYwMDADAAAADCIxMi8xNC8yMDEyIgoxMi8xNC8yMDEyAAAAAAQAAAAAAAAADyJOYXNkYXFHUzpJTlRDIg1OYXNkYXFHUzpJTlRDAQAAABciSVFfVEVWX0VCSVREQV9GV0RfQ0lRIhVJUV9URVZfRUJJVERBX0ZXRF9DSVECAAAABklRX05UTQQ2MDAwAwAAAAsiMTIvNy8yMDEyIgkxMi83LzIwMTIAAAAABAAAAAAAAAAPIk5hc2RhcUdTOklOVEMiDU5hc2RhcUdTOklOVEMBAAAAFyJJUV9URVZfRUJJVERBX0ZXRF9DSVEiFUlRX1RFVl9FQklUREFfRldEX0NJUQIAAAAGSVFfTlRNBDYwMDADAAAADCIxMS8zMC8yMDEyIgoxMS8zMC8yMDEyAAAAAAQAAAAAAAAADyJOYXNkYXFHUzpJTlRDIg1OYXNkYXFHUzpJTlRDAQAAABciSVFfVEVWX0VCSVREQV9GV0RfQ0lRIhVJUV9URVZfRUJJVERBX0ZXRF9DSVECAAAABklRX05UTQQ2MDAwAwAAAAwiMTEvMjMvMjAxMiIKMTEvMjMvMjAxMgAAAAAEAAAAAAAAAA8iTmFzZGFxR1M6SU5UQyINTmFzZGFxR1M6SU5UQwEAAAAXIklRX1RFVl9FQklUREFfRldEX0NJUSIVSVFfVEVWX0VCSVREQV9GV0RfQ0lRAgAAAAZJUV9OVE0ENjAwMAMAAAAMIjExLzE2LzIwMTIiCjExLzE2LzIwMTIA</t>
  </si>
  <si>
    <t>AAAABAAAAAAAAAAPIk5hc2RhcUdTOklOVEMiDU5hc2RhcUdTOklOVEMBAAAAFyJJUV9URVZfRUJJVERBX0ZXRF9DSVEiFUlRX1RFVl9FQklUREFfRldEX0NJUQIAAAAGSVFfTlRNBDYwMDADAAAACyIxMS85LzIwMTIiCTExLzkvMjAxMgAAAAAEAAAAAAAAAA8iTmFzZGFxR1M6SU5UQyINTmFzZGFxR1M6SU5UQwEAAAAXIklRX1RFVl9FQklUREFfRldEX0NJUSIVSVFfVEVWX0VCSVREQV9GV0RfQ0lRAgAAAAZJUV9OVE0ENjAwMAMAAAALIjExLzIvMjAxMiIJMTEvMi8yMDEyAAAAAAQAAAAAAAAADyJOYXNkYXFHUzpJTlRDIg1OYXNkYXFHUzpJTlRDAQAAABciSVFfVEVWX0VCSVREQV9GV0RfQ0lRIhVJUV9URVZfRUJJVERBX0ZXRF9DSVECAAAABklRX05UTQQ2MDAwAwAAAAwiMTAvMjYvMjAxMiIKMTAvMjYvMjAxMgAAAAAEAAAAAAAAAA8iTmFzZGFxR1M6SU5UQyINTmFzZGFxR1M6SU5UQwEAAAAXIklRX1RFVl9FQklUREFfRldEX0NJUSIVSVFfVEVWX0VCSVREQV9GV0RfQ0lRAgAAAAZJUV9OVE0ENjAwMAMAAAAMIjEwLzE5LzIwMTIiCjEwLzE5LzIwMTIAAAAABAAAAAAAAAAPIk5hc2RhcUdTOklOVEMiDU5hc2RhcUdTOklOVEMBAAAAFyJJUV9URVZfRUJJVERBX0ZXRF9DSVEiFUlRX1RFVl9FQklUREFfRldEX0NJUQIAAAAGSVFfTlRNBDYwMDADAAAADCIxMC8xMi8yMDEyIgoxMC8xMi8yMDEyAAAAAAQA</t>
  </si>
  <si>
    <t>AAAAAAAADyJOYXNkYXFHUzpJTlRDIg1OYXNkYXFHUzpJTlRDAQAAABciSVFfVEVWX0VCSVREQV9GV0RfQ0lRIhVJUV9URVZfRUJJVERBX0ZXRF9DSVECAAAABklRX05UTQQ2MDAwAwAAAAsiMTAvNS8yMDEyIgkxMC81LzIwMTIAAAAABAAAAAAAAAAPIk5hc2RhcUdTOklOVEMiDU5hc2RhcUdTOklOVEMBAAAAFyJJUV9URVZfRUJJVERBX0ZXRF9DSVEiFUlRX1RFVl9FQklUREFfRldEX0NJUQIAAAAGSVFfTlRNBDYwMDADAAAACyI5LzI4LzIwMTIiCTkvMjgvMjAxMgAAAAAEAAAAAAAAAA8iTmFzZGFxR1M6SU5UQyINTmFzZGFxR1M6SU5UQwEAAAAXIklRX1RFVl9FQklUREFfRldEX0NJUSIVSVFfVEVWX0VCSVREQV9GV0RfQ0lRAgAAAAZJUV9OVE0ENjAwMAMAAAALIjkvMjEvMjAxMiIJOS8yMS8yMDEyAAAAAAQAAAAAAAAADyJOYXNkYXFHUzpJTlRDIg1OYXNkYXFHUzpJTlRDAQAAABciSVFfVEVWX0VCSVREQV9GV0RfQ0lRIhVJUV9URVZfRUJJVERBX0ZXRF9DSVECAAAABklRX05UTQQ2MDAwAwAAAAsiOS8xNC8yMDEyIgk5LzE0LzIwMTIAAAAABAAAAAAAAAAPIk5hc2RhcUdTOklOVEMiDU5hc2RhcUdTOklOVEMBAAAAFyJJUV9URVZfRUJJVERBX0ZXRF9DSVEiFUlRX1RFVl9FQklUREFfRldEX0NJUQIAAAAGSVFfTlRNBDYwMDADAAAACiI5LzcvMjAxMiIIOS83LzIwMTIAAAAABAAAAAAAAAAPIk5hc2Rh</t>
  </si>
  <si>
    <t>cUdTOklOVEMiDU5hc2RhcUdTOklOVEMBAAAAFyJJUV9URVZfRUJJVERBX0ZXRF9DSVEiFUlRX1RFVl9FQklUREFfRldEX0NJUQIAAAAGSVFfTlRNBDYwMDADAAAACyI4LzMxLzIwMTIiCTgvMzEvMjAxMgAAAAAEAAAAAAAAAA8iTmFzZGFxR1M6SU5UQyINTmFzZGFxR1M6SU5UQwEAAAAXIklRX1RFVl9FQklUREFfRldEX0NJUSIVSVFfVEVWX0VCSVREQV9GV0RfQ0lRAgAAAAZJUV9OVE0ENjAwMAMAAAALIjgvMjQvMjAxMiIJOC8yNC8yMDEyAAAAAAQAAAAAAAAADyJOYXNkYXFHUzpJTlRDIg1OYXNkYXFHUzpJTlRDAQAAABciSVFfVEVWX0VCSVREQV9GV0RfQ0lRIhVJUV9URVZfRUJJVERBX0ZXRF9DSVECAAAABklRX05UTQQ2MDAwAwAAAAsiOC8xNy8yMDEyIgk4LzE3LzIwMTIAAAAABAAAAAAAAAAPIk5hc2RhcUdTOklOVEMiDU5hc2RhcUdTOklOVEMBAAAAFyJJUV9URVZfRUJJVERBX0ZXRF9DSVEiFUlRX1RFVl9FQklUREFfRldEX0NJUQIAAAAGSVFfTlRNBDYwMDADAAAACyI4LzEwLzIwMTIiCTgvMTAvMjAxMgAAAAAEAAAAAAAAAA8iTmFzZGFxR1M6SU5UQyINTmFzZGFxR1M6SU5UQwEAAAAXIklRX1RFVl9FQklUREFfRldEX0NJUSIVSVFfVEVWX0VCSVREQV9GV0RfQ0lRAgAAAAZJUV9OVE0ENjAwMAMAAAAKIjgvMy8yMDEyIgg4LzMvMjAxMgAAAAAEAAAAAAAAAA8iTmFzZGFxR1M6SU5UQyINTmFz</t>
  </si>
  <si>
    <t>ZGFxR1M6SU5UQwEAAAAXIklRX1RFVl9FQklUREFfRldEX0NJUSIVSVFfVEVWX0VCSVREQV9GV0RfQ0lRAgAAAAZJUV9OVE0ENjAwMAMAAAALIjcvMjcvMjAxMiIJNy8yNy8yMDEyAAAAAAQAAAAAAAAADyJOYXNkYXFHUzpJTlRDIg1OYXNkYXFHUzpJTlRDAQAAABciSVFfVEVWX0VCSVREQV9GV0RfQ0lRIhVJUV9URVZfRUJJVERBX0ZXRF9DSVECAAAABklRX05UTQQ2MDAwAwAAAAsiNy8yMC8yMDEyIgk3LzIwLzIwMTIAAAAABAAAAAAAAAAPIk5hc2RhcUdTOklOVEMiDU5hc2RhcUdTOklOVEMBAAAAFyJJUV9URVZfRUJJVERBX0ZXRF9DSVEiFUlRX1RFVl9FQklUREFfRldEX0NJUQIAAAAGSVFfTlRNBDYwMDADAAAACyI3LzEzLzIwMTIiCTcvMTMvMjAxMgAAAAAEAAAAAAAAAA8iTmFzZGFxR1M6SU5UQyINTmFzZGFxR1M6SU5UQwEAAAAXIklRX1RFVl9FQklUREFfRldEX0NJUSIVSVFfVEVWX0VCSVREQV9GV0RfQ0lRAgAAAAZJUV9OVE0ENjAwMAMAAAAKIjcvNi8yMDEyIgg3LzYvMjAxMgAAAAAEAAAAAAAAAA8iTmFzZGFxR1M6SU5UQyINTmFzZGFxR1M6SU5UQwEAAAAXIklRX1RFVl9FQklUREFfRldEX0NJUSIVSVFfVEVWX0VCSVREQV9GV0RfQ0lRAgAAAAZJUV9OVE0ENjAwMAMAAAALIjYvMjkvMjAxMiIJNi8yOS8yMDEyAAAAAAQAAAAAAAAADyJOYXNkYXFHUzpJTlRDIg1OYXNkYXFHUzpJTlRDAQAA</t>
  </si>
  <si>
    <t>ABciSVFfVEVWX0VCSVREQV9GV0RfQ0lRIhVJUV9URVZfRUJJVERBX0ZXRF9DSVECAAAABklRX05UTQQ2MDAwAwAAAAsiNi8yMi8yMDEyIgk2LzIyLzIwMTIAAAAABAAAAAAAAAAPIk5hc2RhcUdTOklOVEMiDU5hc2RhcUdTOklOVEMBAAAAFyJJUV9URVZfRUJJVERBX0ZXRF9DSVEiFUlRX1RFVl9FQklUREFfRldEX0NJUQIAAAAGSVFfTlRNBDYwMDADAAAACyI2LzE1LzIwMTIiCTYvMTUvMjAxMgAAAAAEAAAAAAAAAA8iTmFzZGFxR1M6SU5UQyINTmFzZGFxR1M6SU5UQwEAAAAXIklRX1RFVl9FQklUREFfRldEX0NJUSIVSVFfVEVWX0VCSVREQV9GV0RfQ0lRAgAAAAZJUV9OVE0ENjAwMAMAAAAKIjYvOC8yMDEyIgg2LzgvMjAxMgAAAAAEAAAAAAAAAA8iTmFzZGFxR1M6SU5UQyINTmFzZGFxR1M6SU5UQwEAAAAXIklRX1RFVl9FQklUREFfRldEX0NJUSIVSVFfVEVWX0VCSVREQV9GV0RfQ0lRAgAAAAZJUV9OVE0ENjAwMAMAAAAKIjYvMS8yMDEyIgg2LzEvMjAxMgAAAAAEAAAAAAAAAA8iTmFzZGFxR1M6SU5UQyINTmFzZGFxR1M6SU5UQwEAAAAXIklRX1RFVl9FQklUREFfRldEX0NJUSIVSVFfVEVWX0VCSVREQV9GV0RfQ0lRAgAAAAZJUV9OVE0ENjAwMAMAAAALIjUvMjUvMjAxMiIJNS8yNS8yMDEyAAAAAAQAAAAAAAAADyJOYXNkYXFHUzpJTlRDIg1OYXNkYXFHUzpJTlRDAQAAABciSVFfVEVWX0VCSVRE</t>
  </si>
  <si>
    <t>QV9GV0RfQ0lRIhVJUV9URVZfRUJJVERBX0ZXRF9DSVECAAAABklRX05UTQQ2MDAwAwAAAAsiNS8xOC8yMDEyIgk1LzE4LzIwMTIAAAAABAAAAAAAAAAPIk5hc2RhcUdTOklOVEMiDU5hc2RhcUdTOklOVEMBAAAAFyJJUV9URVZfRUJJVERBX0ZXRF9DSVEiFUlRX1RFVl9FQklUREFfRldEX0NJUQIAAAAGSVFfTlRNBDYwMDADAAAACyI1LzExLzIwMTIiCTUvMTEvMjAxMgAAAAAEAAAAAAAAAA8iTmFzZGFxR1M6SU5UQyINTmFzZGFxR1M6SU5UQwEAAAAXIklRX1RFVl9FQklUREFfRldEX0NJUSIVSVFfVEVWX0VCSVREQV9GV0RfQ0lRAgAAAAZJUV9OVE0ENjAwMAMAAAAKIjUvNC8yMDEyIgg1LzQvMjAxMgAAAAAEAAAAAAAAAA8iTmFzZGFxR1M6SU5UQyINTmFzZGFxR1M6SU5UQwEAAAAXIklRX1RFVl9FQklUREFfRldEX0NJUSIVSVFfVEVWX0VCSVREQV9GV0RfQ0lRAgAAAAZJUV9OVE0ENjAwMAMAAAALIjQvMjcvMjAxMiIJNC8yNy8yMDEyAAAAAAQAAAAAAAAADyJOYXNkYXFHUzpJTlRDIg1OYXNkYXFHUzpJTlRDAQAAABciSVFfVEVWX0VCSVREQV9GV0RfQ0lRIhVJUV9URVZfRUJJVERBX0ZXRF9DSVECAAAABklRX05UTQQ2MDAwAwAAAAsiNC8yMC8yMDEyIgk0LzIwLzIwMTIAAAAABAAAAAAAAAAPIk5hc2RhcUdTOklOVEMiDU5hc2RhcUdTOklOVEMBAAAAFyJJUV9URVZfRUJJVERBX0ZXRF9DSVEiFUlR</t>
  </si>
  <si>
    <t>X1RFVl9FQklUREFfRldEX0NJUQIAAAAGSVFfTlRNBDYwMDADAAAACyI0LzEzLzIwMTIiCTQvMTMvMjAxMgAAAAAEAAAAAAAAAA8iTmFzZGFxR1M6SU5UQyINTmFzZGFxR1M6SU5UQwEAAAAXIklRX1RFVl9FQklUREFfRldEX0NJUSIVSVFfVEVWX0VCSVREQV9GV0RfQ0lRAgAAAAZJUV9OVE0ENjAwMAMAAAAKIjQvNS8yMDEyIgg0LzUvMjAxMgAAAAAEAAAAAAAAAA8iTmFzZGFxR1M6SU5UQyINTmFzZGFxR1M6SU5UQwEAAAAXIklRX1RFVl9FQklUREFfRldEX0NJUSIVSVFfVEVWX0VCSVREQV9GV0RfQ0lRAgAAAAZJUV9OVE0ENjAwMAMAAAALIjMvMzAvMjAxMiIJMy8zMC8yMDEyAAAAAAQAAAAAAAAADyJOYXNkYXFHUzpJTlRDIg1OYXNkYXFHUzpJTlRDAQAAABciSVFfVEVWX0VCSVREQV9GV0RfQ0lRIhVJUV9URVZfRUJJVERBX0ZXRF9DSVECAAAABklRX05UTQQ2MDAwAwAAAAsiMy8yMy8yMDEyIgkzLzIzLzIwMTIAAAAABAAAAAAAAAAPIk5hc2RhcUdTOklOVEMiDU5hc2RhcUdTOklOVEMBAAAAFyJJUV9URVZfRUJJVERBX0ZXRF9DSVEiFUlRX1RFVl9FQklUREFfRldEX0NJUQIAAAAGSVFfTlRNBDYwMDADAAAACyIzLzE2LzIwMTIiCTMvMTYvMjAxMgAAAAAEAAAAAAAAAA8iTmFzZGFxR1M6SU5UQyINTmFzZGFxR1M6SU5UQwEAAAAXIklRX1RFVl9FQklUREFfRldEX0NJUSIVSVFfVEVWX0VCSVREQV9G</t>
  </si>
  <si>
    <t>V0RfQ0lRAgAAAAZJUV9OVE0ENjAwMAMAAAAKIjMvOS8yMDEyIggzLzkvMjAxMgAAAAAEAAAAAAAAAA8iTmFzZGFxR1M6SU5UQyINTmFzZGFxR1M6SU5UQwEAAAAXIklRX1RFVl9FQklUREFfRldEX0NJUSIVSVFfVEVWX0VCSVREQV9GV0RfQ0lRAgAAAAZJUV9OVE0ENjAwMAMAAAAKIjMvMi8yMDEyIggzLzIvMjAxMgAAAAAEAAAAAAAAAA8iTmFzZGFxR1M6SU5UQyINTmFzZGFxR1M6SU5UQwEAAAAXIklRX1RFVl9FQklUREFfRldEX0NJUSIVSVFfVEVWX0VCSVREQV9GV0RfQ0lRAgAAAAZJUV9OVE0ENjAwMAMAAAALIjIvMjQvMjAxMiIJMi8yNC8yMDEyAAAAAAQAAAAAAAAADyJOYXNkYXFHUzpJTlRDIg1OYXNkYXFHUzpJTlRDAQAAABciSVFfVEVWX0VCSVREQV9GV0RfQ0lRIhVJUV9URVZfRUJJVERBX0ZXRF9DSVECAAAABklRX05UTQQ2MDAwAwAAAAsiMi8xNy8yMDEyIgkyLzE3LzIwMTIAAAAABAAAAAAAAAAPIk5hc2RhcUdTOklOVEMiDU5hc2RhcUdTOklOVEMBAAAAFyJJUV9URVZfRUJJVERBX0ZXRF9DSVEiFUlRX1RFVl9FQklUREFfRldEX0NJUQIAAAAGSVFfTlRNBDYwMDADAAAACyIyLzEwLzIwMTIiCTIvMTAvMjAxMgAAAAAEAAAAAAAAAA8iTmFzZGFxR1M6SU5UQyINTmFzZGFxR1M6SU5UQwEAAAAXIklRX1RFVl9FQklUREFfRldEX0NJUSIVSVFfVEVWX0VCSVREQV9GV0RfQ0lRAgAAAAZJUV9O</t>
  </si>
  <si>
    <t>VE0ENjAwMAMAAAAKIjIvMy8yMDEyIggyLzMvMjAxMgAAAAAEAAAAAAAAAA8iTmFzZGFxR1M6SU5UQyINTmFzZGFxR1M6SU5UQwEAAAAXIklRX1RFVl9FQklUREFfRldEX0NJUSIVSVFfVEVWX0VCSVREQV9GV0RfQ0lRAgAAAAZJUV9OVE0ENjAwMAMAAAALIjEvMjcvMjAxMiIJMS8yNy8yMDEyAAAAAAQAAAAAAAAADyJOYXNkYXFHUzpJTlRDIg1OYXNkYXFHUzpJTlRDAQAAABciSVFfVEVWX0VCSVREQV9GV0RfQ0lRIhVJUV9URVZfRUJJVERBX0ZXRF9DSVECAAAABklRX05UTQQ2MDAwAwAAAAsiMS8yMC8yMDEyIgkxLzIwLzIwMTIAAAAABAAAAAAAAAAPIk5hc2RhcUdTOklOVEMiDU5hc2RhcUdTOklOVEMBAAAAFyJJUV9URVZfRUJJVERBX0ZXRF9DSVEiFUlRX1RFVl9FQklUREFfRldEX0NJUQIAAAAGSVFfTlRNBDYwMDADAAAACyIxLzEzLzIwMTIiCTEvMTMvMjAxMgAAAAAEAAAAAAAAAA8iTmFzZGFxR1M6SU5UQyINTmFzZGFxR1M6SU5UQwEAAAAXIklRX1RFVl9FQklUREFfRldEX0NJUSIVSVFfVEVWX0VCSVREQV9GV0RfQ0lRAgAAAAZJUV9OVE0ENjAwMAMAAAAKIjEvNi8yMDEyIggxLzYvMjAxMgAAAAAEAAAAAAAAAA8iTmFzZGFxR1M6SU5UQyINTmFzZGFxR1M6SU5UQwEAAAAXIklRX1RFVl9FQklUREFfRldEX0NJUSIVSVFfVEVWX0VCSVREQV9GV0RfQ0lRAgAAAAZJUV9OVE0ENjAwMAMAAAAMIjEy</t>
  </si>
  <si>
    <t>LzMwLzIwMTEiCjEyLzMwLzIwMTEAAAAABAAAAAAAAAAPIk5hc2RhcUdTOklOVEMiDU5hc2RhcUdTOklOVEMBAAAAFyJJUV9URVZfRUJJVERBX0ZXRF9DSVEiFUlRX1RFVl9FQklUREFfRldEX0NJUQIAAAAGSVFfTlRNBDYwMDADAAAADCIxMi8yMy8yMDExIgoxMi8yMy8yMDExAAAAAAQAAAAAAAAADyJOYXNkYXFHUzpJTlRDIg1OYXNkYXFHUzpJTlRDAQAAABciSVFfVEVWX0VCSVREQV9GV0RfQ0lRIhVJUV9URVZfRUJJVERBX0ZXRF9DSVECAAAABklRX05UTQQ2MDAwAwAAAAwiMTIvMTYvMjAxMSIKMTIvMTYvMjAxMQAAAAAEAAAAAAAAAA8iTmFzZGFxR1M6SU5UQyINTmFzZGFxR1M6SU5UQwEAAAAXIklRX1RFVl9FQklUREFfRldEX0NJUSIVSVFfVEVWX0VCSVREQV9GV0RfQ0lRAgAAAAZJUV9OVE0ENjAwMAMAAAALIjEyLzkvMjAxMSIJMTIvOS8yMDExAAAAAAQAAAAAAAAADyJOYXNkYXFHUzpJTlRDIg1OYXNkYXFHUzpJTlRDAQAAABciSVFfVEVWX0VCSVREQV9GV0RfQ0lRIhVJUV9URVZfRUJJVERBX0ZXRF9DSVECAAAABklRX05UTQQ2MDAwAwAAAAsiMTIvMi8yMDExIgkxMi8yLzIwMTEAAAAABAAAAAAAAAAPIk5hc2RhcUdTOklOVEMiDU5hc2RhcUdTOklOVEMBAAAAFyJJUV9URVZfRUJJVERBX0ZXRF9DSVEiFUlRX1RFVl9FQklUREFfRldEX0NJUQIAAAAGSVFfTlRNBDYwMDADAAAADCIxMS8yNS8y</t>
  </si>
  <si>
    <t>MDExIgoxMS8yNS8yMDExAAAAAAQAAAAAAAAADyJOYXNkYXFHUzpJTlRDIg1OYXNkYXFHUzpJTlRDAQAAABciSVFfVEVWX0VCSVREQV9GV0RfQ0lRIhVJUV9URVZfRUJJVERBX0ZXRF9DSVECAAAABklRX05UTQQ2MDAwAwAAAAwiMTEvMTgvMjAxMSIKMTEvMTgvMjAxMQAAAAAEAAAAAAAAAA8iTmFzZGFxR1M6SU5UQyINTmFzZGFxR1M6SU5UQwEAAAAXIklRX1RFVl9FQklUREFfRldEX0NJUSIVSVFfVEVWX0VCSVREQV9GV0RfQ0lRAgAAAAZJUV9OVE0ENjAwMAMAAAAMIjExLzExLzIwMTEiCjExLzExLzIwMTEAAAAABAAAAAAAAAAPIk5hc2RhcUdTOklOVEMiDU5hc2RhcUdTOklOVEMBAAAAFyJJUV9URVZfRUJJVERBX0ZXRF9DSVEiFUlRX1RFVl9FQklUREFfRldEX0NJUQIAAAAGSVFfTlRNBDYwMDADAAAACyIxMS80LzIwMTEiCTExLzQvMjAxMQAAAAAEAAAAAAAAAA8iTmFzZGFxR1M6SU5UQyINTmFzZGFxR1M6SU5UQwEAAAAXIklRX1RFVl9FQklUREFfRldEX0NJUSIVSVFfVEVWX0VCSVREQV9GV0RfQ0lRAgAAAAZJUV9OVE0ENjAwMAMAAAAMIjEwLzI4LzIwMTEiCjEwLzI4LzIwMTEAAAAABAAAAAAAAAAPIk5hc2RhcUdTOklOVEMiDU5hc2RhcUdTOklOVEMBAAAAFyJJUV9URVZfRUJJVERBX0ZXRF9DSVEiFUlRX1RFVl9FQklUREFfRldEX0NJUQIAAAAGSVFfTlRNBDYwMDADAAAADCIxMC8yMS8yMDEx</t>
  </si>
  <si>
    <t>IgoxMC8yMS8yMDExAAAAAAQAAAAAAAAADyJOYXNkYXFHUzpJTlRDIg1OYXNkYXFHUzpJTlRDAQAAABciSVFfVEVWX0VCSVREQV9GV0RfQ0lRIhVJUV9URVZfRUJJVERBX0ZXRF9DSVECAAAABklRX05UTQQ2MDAwAwAAAAwiMTAvMTQvMjAxMSIKMTAvMTQvMjAxMQAAAAAEAAAAAAAAAA8iTmFzZGFxR1M6SU5UQyINTmFzZGFxR1M6SU5UQwEAAAAXIklRX1RFVl9FQklUREFfRldEX0NJUSIVSVFfVEVWX0VCSVREQV9GV0RfQ0lRAgAAAAZJUV9OVE0ENjAwMAMAAAALIjEwLzcvMjAxMSIJMTAvNy8yMDExAAAAAAQAAAAAAAAADyJOYXNkYXFHUzpJTlRDIg1OYXNkYXFHUzpJTlRDAQAAABciSVFfVEVWX0VCSVREQV9GV0RfQ0lRIhVJUV9URVZfRUJJVERBX0ZXRF9DSVECAAAABklRX05UTQQ2MDAwAwAAAAsiOS8zMC8yMDExIgk5LzMwLzIwMTEAAAAABAAAAAAAAAAPIk5hc2RhcUdTOklOVEMiDU5hc2RhcUdTOklOVEMBAAAAFyJJUV9URVZfRUJJVERBX0ZXRF9DSVEiFUlRX1RFVl9FQklUREFfRldEX0NJUQIAAAAGSVFfTlRNBDYwMDADAAAACyI5LzIzLzIwMTEiCTkvMjMvMjAxMQAAAAAEAAAAAAAAAA8iTmFzZGFxR1M6SU5UQyINTmFzZGFxR1M6SU5UQwEAAAAXIklRX1RFVl9FQklUREFfRldEX0NJUSIVSVFfVEVWX0VCSVREQV9GV0RfQ0lRAgAAAAZJUV9OVE0ENjAwMAMAAAALIjkvMTYvMjAxMSIJOS8xNi8y</t>
  </si>
  <si>
    <t>MDExAAAAAAQAAAAAAAAADyJOYXNkYXFHUzpJTlRDIg1OYXNkYXFHUzpJTlRDAQAAABciSVFfVEVWX0VCSVREQV9GV0RfQ0lRIhVJUV9URVZfRUJJVERBX0ZXRF9DSVECAAAABklRX05UTQQ2MDAwAwAAAAoiOS85LzIwMTEiCDkvOS8yMDExAAAAAAQAAAAAAAAADyJOYXNkYXFHUzpJTlRDIg1OYXNkYXFHUzpJTlRDAQAAABciSVFfVEVWX0VCSVREQV9GV0RfQ0lRIhVJUV9URVZfRUJJVERBX0ZXRF9DSVECAAAABklRX05UTQQ2MDAwAwAAAAoiOS8yLzIwMTEiCDkvMi8yMDExAAAAAAQAAAAAAAAADyJOYXNkYXFHUzpJTlRDIg1OYXNkYXFHUzpJTlRDAQAAABciSVFfVEVWX0VCSVREQV9GV0RfQ0lRIhVJUV9URVZfRUJJVERBX0ZXRF9DSVECAAAABklRX05UTQQ2MDAwAwAAAAsiOC8yNi8yMDExIgk4LzI2LzIwMTEAAAAABAAAAAAAAAAPIk5hc2RhcUdTOklOVEMiDU5hc2RhcUdTOklOVEMBAAAAFyJJUV9URVZfRUJJVERBX0ZXRF9DSVEiFUlRX1RFVl9FQklUREFfRldEX0NJUQIAAAAGSVFfTlRNBDYwMDADAAAACyI4LzE5LzIwMTEiCTgvMTkvMjAxMQAAAAAEAAAAAAAAAA8iTmFzZGFxR1M6SU5UQyINTmFzZGFxR1M6SU5UQwEAAAAXIklRX1RFVl9FQklUREFfRldEX0NJUSIVSVFfVEVWX0VCSVREQV9GV0RfQ0lRAgAAAAZJUV9OVE0ENjAwMAMAAAALIjgvMTIvMjAxMSIJOC8xMi8yMDExAAAAAAQAAAAAAAAA</t>
  </si>
  <si>
    <t>DyJOYXNkYXFHUzpJTlRDIg1OYXNkYXFHUzpJTlRDAQAAABciSVFfVEVWX0VCSVREQV9GV0RfQ0lRIhVJUV9URVZfRUJJVERBX0ZXRF9DSVECAAAABklRX05UTQQ2MDAwAwAAAAoiOC81LzIwMTEiCDgvNS8yMDExAAAAAAQAAAAAAAAADyJOYXNkYXFHUzpJTlRDIg1OYXNkYXFHUzpJTlRDAQAAABciSVFfVEVWX0VCSVREQV9GV0RfQ0lRIhVJUV9URVZfRUJJVERBX0ZXRF9DSVECAAAABklRX05UTQQ2MDAwAwAAAAsiNy8yOS8yMDExIgk3LzI5LzIwMTEAAAAABAAAAAAAAAAPIk5hc2RhcUdTOklOVEMiDU5hc2RhcUdTOklOVEMBAAAAFyJJUV9URVZfRUJJVERBX0ZXRF9DSVEiFUlRX1RFVl9FQklUREFfRldEX0NJUQIAAAAGSVFfTlRNBDYwMDADAAAACyI3LzIyLzIwMTEiCTcvMjIvMjAxMQAAAAAEAAAAAAAAAA8iTmFzZGFxR1M6SU5UQyINTmFzZGFxR1M6SU5UQwEAAAAXIklRX1RFVl9FQklUREFfRldEX0NJUSIVSVFfVEVWX0VCSVREQV9GV0RfQ0lRAgAAAAZJUV9OVE0ENjAwMAMAAAALIjcvMTUvMjAxMSIJNy8xNS8yMDExAAAAAAQAAAAAAAAADyJOYXNkYXFHUzpJTlRDIg1OYXNkYXFHUzpJTlRDAQAAABciSVFfVEVWX0VCSVREQV9GV0RfQ0lRIhVJUV9URVZfRUJJVERBX0ZXRF9DSVECAAAABklRX05UTQQ2MDAwAwAAAAoiNy84LzIwMTEiCDcvOC8yMDExAAAAAAQAAAAAAAAADyJOYXNkYXFHUzpJTlRD</t>
  </si>
  <si>
    <t>Ig1OYXNkYXFHUzpJTlRDAQAAABciSVFfVEVWX0VCSVREQV9GV0RfQ0lRIhVJUV9URVZfRUJJVERBX0ZXRF9DSVECAAAABklRX05UTQQ2MDAwAwAAAAoiNy8xLzIwMTEiCDcvMS8yMDExAAAAAAQAAAAAAAAADyJOYXNkYXFHUzpJTlRDIg1OYXNkYXFHUzpJTlRDAQAAABciSVFfVEVWX0VCSVREQV9GV0RfQ0lRIhVJUV9URVZfRUJJVERBX0ZXRF9DSVECAAAABklRX05UTQQ2MDAwAwAAAAsiNi8yNC8yMDExIgk2LzI0LzIwMTEAAAAABAAAAAAAAAAPIk5hc2RhcUdTOklOVEMiDU5hc2RhcUdTOklOVEMBAAAAFyJJUV9URVZfRUJJVERBX0ZXRF9DSVEiFUlRX1RFVl9FQklUREFfRldEX0NJUQIAAAAGSVFfTlRNBDYwMDADAAAACyI2LzE3LzIwMTEiCTYvMTcvMjAxMQAAAAAEAAAAAAAAAA8iTmFzZGFxR1M6SU5UQyINTmFzZGFxR1M6SU5UQwEAAAAXIklRX1RFVl9FQklUREFfRldEX0NJUSIVSVFfVEVWX0VCSVREQV9GV0RfQ0lRAgAAAAZJUV9OVE0ENjAwMAMAAAALIjYvMTAvMjAxMSIJNi8xMC8yMDExAAAAAAQAAAAAAAAADyJOYXNkYXFHUzpJTlRDIg1OYXNkYXFHUzpJTlRDAQAAABciSVFfVEVWX0VCSVREQV9GV0RfQ0lRIhVJUV9URVZfRUJJVERBX0ZXRF9DSVECAAAABklRX05UTQQ2MDAwAwAAAAoiNi8zLzIwMTEiCDYvMy8yMDExAAAAAAQAAAAAAAAADyJOYXNkYXFHUzpJTlRDIg1OYXNkYXFHUzpJTlRD</t>
  </si>
  <si>
    <t>AQAAABciSVFfVEVWX0VCSVREQV9GV0RfQ0lRIhVJUV9URVZfRUJJVERBX0ZXRF9DSVECAAAABklRX05UTQQ2MDAwAwAAAAsiNS8yNy8yMDExIgk1LzI3LzIwMTEAAAAABAAAAAAAAAAPIk5hc2RhcUdTOklOVEMiDU5hc2RhcUdTOklOVEMBAAAAFyJJUV9URVZfRUJJVERBX0ZXRF9DSVEiFUlRX1RFVl9FQklUREFfRldEX0NJUQIAAAAGSVFfTlRNBDYwMDADAAAACyI1LzIwLzIwMTEiCTUvMjAvMjAxMQAAAAAEAAAAAAAAAA8iTmFzZGFxR1M6SU5UQyINTmFzZGFxR1M6SU5UQwEAAAAXIklRX1RFVl9FQklUREFfRldEX0NJUSIVSVFfVEVWX0VCSVREQV9GV0RfQ0lRAgAAAAZJUV9OVE0ENjAwMAMAAAALIjUvMTMvMjAxMSIJNS8xMy8yMDExAAAAAAQAAAAAAAAADyJOYXNkYXFHUzpJTlRDIg1OYXNkYXFHUzpJTlRDAQAAABciSVFfVEVWX0VCSVREQV9GV0RfQ0lRIhVJUV9URVZfRUJJVERBX0ZXRF9DSVECAAAABklRX05UTQQ2MDAwAwAAAAoiNS82LzIwMTEiCDUvNi8yMDExAAAAAAQAAAAAAAAADyJOYXNkYXFHUzpJTlRDIg1OYXNkYXFHUzpJTlRDAQAAABciSVFfVEVWX0VCSVREQV9GV0RfQ0lRIhVJUV9URVZfRUJJVERBX0ZXRF9DSVECAAAABklRX05UTQQ2MDAwAwAAAAsiNC8yOS8yMDExIgk0LzI5LzIwMTEAAAAABAAAAAAAAAAPIk5hc2RhcUdTOklOVEMiDU5hc2RhcUdTOklOVEMBAAAAFyJJUV9URVZf</t>
  </si>
  <si>
    <t>RUJJVERBX0ZXRF9DSVEiFUlRX1RFVl9FQklUREFfRldEX0NJUQIAAAAGSVFfTlRNBDYwMDADAAAACyI0LzIxLzIwMTEiCTQvMjEvMjAxMQAAAAAEAAAAAAAAAA8iTmFzZGFxR1M6SU5UQyINTmFzZGFxR1M6SU5UQwEAAAAXIklRX1RFVl9FQklUREFfRldEX0NJUSIVSVFfVEVWX0VCSVREQV9GV0RfQ0lRAgAAAAZJUV9OVE0ENjAwMAMAAAALIjQvMTUvMjAxMSIJNC8xNS8yMDExAAAAAAQAAAAAAAAADyJOYXNkYXFHUzpJTlRDIg1OYXNkYXFHUzpJTlRDAQAAABciSVFfVEVWX0VCSVREQV9GV0RfQ0lRIhVJUV9URVZfRUJJVERBX0ZXRF9DSVECAAAABklRX05UTQQ2MDAwAwAAAAoiNC84LzIwMTEiCDQvOC8yMDExAAAAAAQAAAAAAAAADyJOYXNkYXFHUzpJTlRDIg1OYXNkYXFHUzpJTlRDAQAAABciSVFfVEVWX0VCSVREQV9GV0RfQ0lRIhVJUV9URVZfRUJJVERBX0ZXRF9DSVECAAAABklRX05UTQQ2MDAwAwAAAAoiNC8xLzIwMTEiCDQvMS8yMDExAAAAAAQAAAAAAAAADyJOYXNkYXFHUzpJTlRDIg1OYXNkYXFHUzpJTlRDAQAAABciSVFfVEVWX0VCSVREQV9GV0RfQ0lRIhVJUV9URVZfRUJJVERBX0ZXRF9DSVECAAAABklRX05UTQQ2MDAwAwAAAAsiMy8yNS8yMDExIgkzLzI1LzIwMTEAAAAABAAAAAAAAAAPIk5hc2RhcUdTOklOVEMiDU5hc2RhcUdTOklOVEMBAAAAFyJJUV9URVZfRUJJVERBX0ZXRF9DSVEi</t>
  </si>
  <si>
    <t>FUlRX1RFVl9FQklUREFfRldEX0NJUQIAAAAGSVFfTlRNBDYwMDADAAAACyIzLzE4LzIwMTEiCTMvMTgvMjAxMQAAAAAEAAAAAAAAAA8iTmFzZGFxR1M6SU5UQyINTmFzZGFxR1M6SU5UQwEAAAAXIklRX1RFVl9FQklUREFfRldEX0NJUSIVSVFfVEVWX0VCSVREQV9GV0RfQ0lRAgAAAAZJUV9OVE0ENjAwMAMAAAALIjMvMTEvMjAxMSIJMy8xMS8yMDExAAAAAAQAAAAAAAAADyJOYXNkYXFHUzpJTlRDIg1OYXNkYXFHUzpJTlRDAQAAABciSVFfVEVWX0VCSVREQV9GV0RfQ0lRIhVJUV9URVZfRUJJVERBX0ZXRF9DSVECAAAABklRX05UTQQ2MDAwAwAAAAoiMy80LzIwMTEiCDMvNC8yMDExAAAAAAQAAAAAAAAADyJOYXNkYXFHUzpJTlRDIg1OYXNkYXFHUzpJTlRDAQAAABciSVFfVEVWX0VCSVREQV9GV0RfQ0lRIhVJUV9URVZfRUJJVERBX0ZXRF9DSVECAAAABklRX05UTQQ2MDAwAwAAAAsiMi8yNS8yMDExIgkyLzI1LzIwMTEAAAAABAAAAAAAAAAPIk5hc2RhcUdTOklOVEMiDU5hc2RhcUdTOklOVEMBAAAAFyJJUV9URVZfRUJJVERBX0ZXRF9DSVEiFUlRX1RFVl9FQklUREFfRldEX0NJUQIAAAAGSVFfTlRNBDYwMDADAAAACyIyLzE4LzIwMTEiCTIvMTgvMjAxMQAAAAAEAAAAAAAAAA8iTmFzZGFxR1M6SU5UQyINTmFzZGFxR1M6SU5UQwEAAAAXIklRX1RFVl9FQklUREFfRldEX0NJUSIVSVFfVEVWX0VCSVRE</t>
  </si>
  <si>
    <t>QV9GV0RfQ0lRAgAAAAZJUV9OVE0ENjAwMAMAAAALIjIvMTEvMjAxMSIJMi8xMS8yMDExAAAAAAQAAAAAAAAADyJOYXNkYXFHUzpJTlRDIg1OYXNkYXFHUzpJTlRDAQAAABciSVFfVEVWX0VCSVREQV9GV0RfQ0lRIhVJUV9URVZfRUJJVERBX0ZXRF9DSVECAAAABklRX05UTQQ2MDAwAwAAAAoiMi80LzIwMTEiCDIvNC8yMDExAAAAAAQAAAAAAAAADyJOYXNkYXFHUzpJTlRDIg1OYXNkYXFHUzpJTlRDAQAAABciSVFfVEVWX0VCSVREQV9GV0RfQ0lRIhVJUV9URVZfRUJJVERBX0ZXRF9DSVECAAAABklRX05UTQQ2MDAwAwAAAAsiMS8yOC8yMDExIgkxLzI4LzIwMTEAAAAABAAAAAAAAAAPIk5hc2RhcUdTOklOVEMiDU5hc2RhcUdTOklOVEMBAAAAFyJJUV9URVZfRUJJVERBX0ZXRF9DSVEiFUlRX1RFVl9FQklUREFfRldEX0NJUQIAAAAGSVFfTlRNBDYwMDADAAAACyIxLzIxLzIwMTEiCTEvMjEvMjAxMQAAAAAEAAAAAAAAAA8iTmFzZGFxR1M6SU5UQyINTmFzZGFxR1M6SU5UQwEAAAAXIklRX1RFVl9FQklUREFfRldEX0NJUSIVSVFfVEVWX0VCSVREQV9GV0RfQ0lRAgAAAAZJUV9OVE0ENjAwMAMAAAALIjEvMTQvMjAxMSIJMS8xNC8yMDExAAAAAAQAAAAAAAAADyJOYXNkYXFHUzpJTlRDIg1OYXNkYXFHUzpJTlRDAQAAABciSVFfVEVWX0VCSVREQV9GV0RfQ0lRIhVJUV9URVZfRUJJVERBX0ZXRF9DSVECAAAA</t>
  </si>
  <si>
    <t>BklRX05UTQQ2MDAwAwAAAAoiMS83LzIwMTEiCDEvNy8yMDExAAAAAAQAAAAAAAAADyJOYXNkYXFHUzpJTlRDIg1OYXNkYXFHUzpJTlRDAQAAABciSVFfVEVWX0VCSVREQV9GV0RfQ0lRIhVJUV9URVZfRUJJVERBX0ZXRF9DSVECAAAABklRX05UTQQ2MDAwAwAAAAwiMTIvMzEvMjAxMCIKMTIvMzEvMjAxMAAAAAAEAAAAAAAAAA8iTmFzZGFxR1M6SU5UQyINTmFzZGFxR1M6SU5UQwEAAAAXIklRX1RFVl9FQklUREFfRldEX0NJUSIVSVFfVEVWX0VCSVREQV9GV0RfQ0lRAgAAAAZJUV9OVE0ENjAwMAMAAAAMIjEyLzIzLzIwMTAiCjEyLzIzLzIwMTAAAAAABAAAAAAAAAAPIk5hc2RhcUdTOklOVEMiDU5hc2RhcUdTOklOVEMBAAAAFyJJUV9URVZfRUJJVERBX0ZXRF9DSVEiFUlRX1RFVl9FQklUREFfRldEX0NJUQIAAAAGSVFfTlRNBDYwMDADAAAADCIxMi8xNy8yMDEwIgoxMi8xNy8yMDEwAAAAAAQAAAAAAAAADyJOYXNkYXFHUzpJTlRDIg1OYXNkYXFHUzpJTlRDAQAAABciSVFfVEVWX0VCSVREQV9GV0RfQ0lRIhVJUV9URVZfRUJJVERBX0ZXRF9DSVECAAAABklRX05UTQQ2MDAwAwAAAAwiMTIvMTAvMjAxMCIKMTIvMTAvMjAxMAAAAAAEAAAAAAAAAA8iTmFzZGFxR1M6SU5UQyINTmFzZGFxR1M6SU5UQwEAAAAXIklRX1RFVl9FQklUREFfRldEX0NJUSIVSVFfVEVWX0VCSVREQV9GV0RfQ0lRAgAAAAZJUV9O</t>
  </si>
  <si>
    <t>VE0ENjAwMAMAAAALIjEyLzMvMjAxMCIJMTIvMy8yMDEwAAAAAAQAAAAAAAAADyJOYXNkYXFHUzpJTlRDIg1OYXNkYXFHUzpJTlRDAQAAABciSVFfVEVWX0VCSVREQV9GV0RfQ0lRIhVJUV9URVZfRUJJVERBX0ZXRF9DSVECAAAABklRX05UTQQ2MDAwAwAAAAwiMTEvMjYvMjAxMCIKMTEvMjYvMjAxMAAAAAAEAAAAAAAAAA8iTmFzZGFxR1M6SU5UQyINTmFzZGFxR1M6SU5UQwEAAAAXIklRX1RFVl9FQklUREFfRldEX0NJUSIVSVFfVEVWX0VCSVREQV9GV0RfQ0lRAgAAAAZJUV9OVE0ENjAwMAMAAAAMIjExLzE5LzIwMTAiCjExLzE5LzIwMTAAAAAABAAAAAAAAAAPIk5hc2RhcUdTOklOVEMiDU5hc2RhcUdTOklOVEMBAAAAFyJJUV9URVZfRUJJVERBX0ZXRF9DSVEiFUlRX1RFVl9FQklUREFfRldEX0NJUQIAAAAGSVFfTlRNBDYwMDADAAAADCIxMS8xMi8yMDEwIgoxMS8xMi8yMDEwAAAAAAQAAAAAAAAADyJOYXNkYXFHUzpJTlRDIg1OYXNkYXFHUzpJTlRDAQAAABciSVFfVEVWX0VCSVREQV9GV0RfQ0lRIhVJUV9URVZfRUJJVERBX0ZXRF9DSVECAAAABklRX05UTQQ2MDAwAwAAAAsiMTEvNS8yMDEwIgkxMS81LzIwMTAAAAAABAAAAAAAAAAPIk5hc2RhcUdTOklOVEMiDU5hc2RhcUdTOklOVEMBAAAAFyJJUV9URVZfRUJJVERBX0ZXRF9DSVEiFUlRX1RFVl9FQklUREFfRldEX0NJUQIAAAAGSVFfTlRNBDYw</t>
  </si>
  <si>
    <t>MDADAAAADCIxMC8yOS8yMDEwIgoxMC8yOS8yMDEwAAAAAAQAAAAAAAAADyJOYXNkYXFHUzpJTlRDIg1OYXNkYXFHUzpJTlRDAQAAABciSVFfVEVWX0VCSVREQV9GV0RfQ0lRIhVJUV9URVZfRUJJVERBX0ZXRF9DSVECAAAABklRX05UTQQ2MDAwAwAAAAwiMTAvMjIvMjAxMCIKMTAvMjIvMjAxMAAAAAAEAAAAAAAAAA8iTmFzZGFxR1M6SU5UQyINTmFzZGFxR1M6SU5UQwEAAAAXIklRX1RFVl9FQklUREFfRldEX0NJUSIVSVFfVEVWX0VCSVREQV9GV0RfQ0lRAgAAAAZJUV9OVE0ENjAwMAMAAAAMIjEwLzE1LzIwMTAiCjEwLzE1LzIwMTAAAAAABAAAAAAAAAAPIk5hc2RhcUdTOklOVEMiDU5hc2RhcUdTOklOVEMBAAAAFyJJUV9URVZfRUJJVERBX0ZXRF9DSVEiFUlRX1RFVl9FQklUREFfRldEX0NJUQIAAAAGSVFfTlRNBDYwMDADAAAACyIxMC84LzIwMTAiCTEwLzgvMjAxMAAAAAAEAAAAAAAAAA8iTmFzZGFxR1M6SU5UQyINTmFzZGFxR1M6SU5UQwEAAAAXIklRX1RFVl9FQklUREFfRldEX0NJUSIVSVFfVEVWX0VCSVREQV9GV0RfQ0lRAgAAAAZJUV9OVE0ENjAwMAMAAAALIjEwLzEvMjAxMCIJMTAvMS8yMDEwAAAAAAQAAAAAAAAADyJOYXNkYXFHUzpJTlRDIg1OYXNkYXFHUzpJTlRDAQAAABciSVFfVEVWX0VCSVREQV9GV0RfQ0lRIhVJUV9URVZfRUJJVERBX0ZXRF9DSVECAAAABklRX05UTQQ2MDAwAwAA</t>
  </si>
  <si>
    <t>AAsiOS8yNC8yMDEwIgk5LzI0LzIwMTAAAAAABAAAAAAAAAAPIk5hc2RhcUdTOklOVEMiDU5hc2RhcUdTOklOVEMBAAAAFyJJUV9URVZfRUJJVERBX0ZXRF9DSVEiFUlRX1RFVl9FQklUREFfRldEX0NJUQIAAAAGSVFfTlRNBDYwMDADAAAACyI5LzE3LzIwMTAiCTkvMTcvMjAxMAAAAAAEAAAAAAAAAA8iTmFzZGFxR1M6SU5UQyINTmFzZGFxR1M6SU5UQwEAAAAXIklRX1RFVl9FQklUREFfRldEX0NJUSIVSVFfVEVWX0VCSVREQV9GV0RfQ0lRAgAAAAZJUV9OVE0ENjAwMAMAAAALIjkvMTAvMjAxMCIJOS8xMC8yMDEwAAAAAAQAAAAAAAAADyJOYXNkYXFHUzpJTlRDIg1OYXNkYXFHUzpJTlRDAQAAABciSVFfVEVWX0VCSVREQV9GV0RfQ0lRIhVJUV9URVZfRUJJVERBX0ZXRF9DSVECAAAABklRX05UTQQ2MDAwAwAAAAoiOS8zLzIwMTAiCDkvMy8yMDEwAAAAAAQAAAAAAAAADyJOYXNkYXFHUzpJTlRDIg1OYXNkYXFHUzpJTlRDAQAAABciSVFfVEVWX0VCSVREQV9GV0RfQ0lRIhVJUV9URVZfRUJJVERBX0ZXRF9DSVECAAAABklRX05UTQQ2MDAwAwAAAAsiOC8yNy8yMDEwIgk4LzI3LzIwMTAAAAAABAAAAAAAAAAPIk5hc2RhcUdTOklOVEMiDU5hc2RhcUdTOklOVEMBAAAAFyJJUV9URVZfRUJJVERBX0ZXRF9DSVEiFUlRX1RFVl9FQklUREFfRldEX0NJUQIAAAAGSVFfTlRNBDYwMDADAAAACyI4LzIwLzIwMTAi</t>
  </si>
  <si>
    <t>CTgvMjAvMjAxMAAAAAAEAAAAAAAAAA8iTmFzZGFxR1M6SU5UQyINTmFzZGFxR1M6SU5UQwEAAAAXIklRX1RFVl9FQklUREFfRldEX0NJUSIVSVFfVEVWX0VCSVREQV9GV0RfQ0lRAgAAAAZJUV9OVE0ENjAwMAMAAAALIjgvMTMvMjAxMCIJOC8xMy8yMDEwAAAAAAQAAAAAAAAADyJOYXNkYXFHUzpJTlRDIg1OYXNkYXFHUzpJTlRDAQAAABciSVFfVEVWX0VCSVREQV9GV0RfQ0lRIhVJUV9URVZfRUJJVERBX0ZXRF9DSVECAAAABklRX05UTQQ2MDAwAwAAAAoiOC82LzIwMTAiCDgvNi8yMDEwAAAAAAQAAAAAAAAADyJOYXNkYXFHUzpJTlRDIg1OYXNkYXFHUzpJTlRDAQAAABciSVFfVEVWX0VCSVREQV9GV0RfQ0lRIhVJUV9URVZfRUJJVERBX0ZXRF9DSVECAAAABklRX05UTQQ2MDAwAwAAAAsiNy8zMC8yMDEwIgk3LzMwLzIwMTAAAAAABAAAAAAAAAAPIk5hc2RhcUdTOklOVEMiDU5hc2RhcUdTOklOVEMBAAAAFyJJUV9URVZfRUJJVERBX0ZXRF9DSVEiFUlRX1RFVl9FQklUREFfRldEX0NJUQIAAAAGSVFfTlRNBDYwMDADAAAACyI3LzIzLzIwMTAiCTcvMjMvMjAxMAAAAAAEAAAAAAAAAA8iTmFzZGFxR1M6SU5UQyINTmFzZGFxR1M6SU5UQwEAAAAXIklRX1RFVl9FQklUREFfRldEX0NJUSIVSVFfVEVWX0VCSVREQV9GV0RfQ0lRAgAAAAZJUV9OVE0ENjAwMAMAAAALIjcvMTYvMjAxMCIJNy8xNi8yMDEwAAAA</t>
  </si>
  <si>
    <t>AAQAAAAAAAAADyJOYXNkYXFHUzpJTlRDIg1OYXNkYXFHUzpJTlRDAQAAABciSVFfVEVWX0VCSVREQV9GV0RfQ0lRIhVJUV9URVZfRUJJVERBX0ZXRF9DSVECAAAABklRX05UTQQ2MDAwAwAAAAoiNy85LzIwMTAiCDcvOS8yMDEwAAAAAAQAAAAAAAAADyJOYXNkYXFHUzpJTlRDIg1OYXNkYXFHUzpJTlRDAQAAABciSVFfVEVWX0VCSVREQV9GV0RfQ0lRIhVJUV9URVZfRUJJVERBX0ZXRF9DSVECAAAABklRX05UTQQ2MDAwAwAAAAoiNy8yLzIwMTAiCDcvMi8yMDEwAAAAAAQAAAAAAAAADyJOYXNkYXFHUzpJTlRDIg1OYXNkYXFHUzpJTlRDAQAAABciSVFfVEVWX0VCSVREQV9GV0RfQ0lRIhVJUV9URVZfRUJJVERBX0ZXRF9DSVECAAAABklRX05UTQQ2MDAwAwAAAAsiNi8yNS8yMDEwIgk2LzI1LzIwMTAAAAAABAAAAAAAAAAPIk5hc2RhcUdTOklOVEMiDU5hc2RhcUdTOklOVEMBAAAAFyJJUV9URVZfRUJJVERBX0ZXRF9DSVEiFUlRX1RFVl9FQklUREFfRldEX0NJUQIAAAAGSVFfTlRNBDYwMDADAAAACyI2LzE4LzIwMTAiCTYvMTgvMjAxMAAAAAAEAAAAAAAAAA8iTmFzZGFxR1M6SU5UQyINTmFzZGFxR1M6SU5UQwEAAAAXIklRX1RFVl9FQklUREFfRldEX0NJUSIVSVFfVEVWX0VCSVREQV9GV0RfQ0lRAgAAAAZJUV9OVE0ENjAwMAMAAAALIjYvMTEvMjAxMCIJNi8xMS8yMDEwAAAAAAQAAAAAAAAADyJOYXNk</t>
  </si>
  <si>
    <t>YXFHUzpJTlRDIg1OYXNkYXFHUzpJTlRDAQAAABciSVFfVEVWX0VCSVREQV9GV0RfQ0lRIhVJUV9URVZfRUJJVERBX0ZXRF9DSVECAAAABklRX05UTQQ2MDAwAwAAAAoiNi80LzIwMTAiCDYvNC8yMDEwAAAAAAQAAAAAAAAADyJOYXNkYXFHUzpJTlRDIg1OYXNkYXFHUzpJTlRDAQAAABciSVFfVEVWX0VCSVREQV9GV0RfQ0lRIhVJUV9URVZfRUJJVERBX0ZXRF9DSVECAAAABklRX05UTQQ2MDAwAwAAAAsiNS8yOC8yMDEwIgk1LzI4LzIwMTAAAAAABAAAAAAAAAAPIk5hc2RhcUdTOklOVEMiDU5hc2RhcUdTOklOVEMBAAAAFyJJUV9URVZfRUJJVERBX0ZXRF9DSVEiFUlRX1RFVl9FQklUREFfRldEX0NJUQIAAAAGSVFfTlRNBDYwMDADAAAACyI1LzIxLzIwMTAiCTUvMjEvMjAxMAAAAAAEAAAAAAAAAA8iTmFzZGFxR1M6SU5UQyINTmFzZGFxR1M6SU5UQwEAAAAXIklRX1RFVl9FQklUREFfRldEX0NJUSIVSVFfVEVWX0VCSVREQV9GV0RfQ0lRAgAAAAZJUV9OVE0ENjAwMAMAAAALIjUvMTQvMjAxMCIJNS8xNC8yMDEwAAAAAAQAAAAAAAAADyJOYXNkYXFHUzpJTlRDIg1OYXNkYXFHUzpJTlRDAQAAABciSVFfVEVWX0VCSVREQV9GV0RfQ0lRIhVJUV9URVZfRUJJVERBX0ZXRF9DSVECAAAABklRX05UTQQ2MDAwAwAAAAoiNS83LzIwMTAiCDUvNy8yMDEwAAAAAAQAAAAAAAAADyJOYXNkYXFHUzpJTlRDIg1OYXNk</t>
  </si>
  <si>
    <t>YXFHUzpJTlRDAQAAABciSVFfVEVWX0VCSVREQV9GV0RfQ0lRIhVJUV9URVZfRUJJVERBX0ZXRF9DSVECAAAABklRX05UTQQ2MDAwAwAAAAsiNC8zMC8yMDEwIgk0LzMwLzIwMTAAAAAABAAAAAAAAAAPIk5hc2RhcUdTOklOVEMiDU5hc2RhcUdTOklOVEMBAAAAFyJJUV9URVZfRUJJVERBX0ZXRF9DSVEiFUlRX1RFVl9FQklUREFfRldEX0NJUQIAAAAGSVFfTlRNBDYwMDADAAAACyI0LzIzLzIwMTAiCTQvMjMvMjAxMAAAAAAEAAAAAAAAAA8iTmFzZGFxR1M6SU5UQyINTmFzZGFxR1M6SU5UQwEAAAAXIklRX1RFVl9FQklUREFfRldEX0NJUSIVSVFfVEVWX0VCSVREQV9GV0RfQ0lRAgAAAAZJUV9OVE0ENjAwMAMAAAALIjQvMTYvMjAxMCIJNC8xNi8yMDEwAAAAAAQAAAAAAAAADyJOYXNkYXFHUzpJTlRDIg1OYXNkYXFHUzpJTlRDAQAAABciSVFfVEVWX0VCSVREQV9GV0RfQ0lRIhVJUV9URVZfRUJJVERBX0ZXRF9DSVECAAAABklRX05UTQQ2MDAwAwAAAAoiNC85LzIwMTAiCDQvOS8yMDEwAAAAAAQAAAAAAAAADyJOYXNkYXFHUzpJTlRDIg1OYXNkYXFHUzpJTlRDAQAAABciSVFfVEVWX0VCSVREQV9GV0RfQ0lRIhVJUV9URVZfRUJJVERBX0ZXRF9DSVECAAAABklRX05UTQQ2MDAwAwAAAAoiNC8xLzIwMTAiCDQvMS8yMDEwAAAAAAQAAAAAAAAADyJOYXNkYXFHUzpJTlRDIg1OYXNkYXFHUzpJTlRDAQAAABci</t>
  </si>
  <si>
    <t>SVFfVEVWX0VCSVREQV9GV0RfQ0lRIhVJUV9URVZfRUJJVERBX0ZXRF9DSVECAAAABklRX05UTQQ2MDAwAwAAAAsiMy8yNi8yMDEwIgkzLzI2LzIwMTAAAAAABAAAAAAAAAAPIk5hc2RhcUdTOklOVEMiDU5hc2RhcUdTOklOVEMBAAAAFyJJUV9URVZfRUJJVERBX0ZXRF9DSVEiFUlRX1RFVl9FQklUREFfRldEX0NJUQIAAAAGSVFfTlRNBDYwMDADAAAACyIzLzE5LzIwMTAiCTMvMTkvMjAxMAAAAAAEAAAAAAAAAA8iTmFzZGFxR1M6SU5UQyINTmFzZGFxR1M6SU5UQwEAAAAXIklRX1RFVl9FQklUREFfRldEX0NJUSIVSVFfVEVWX0VCSVREQV9GV0RfQ0lRAgAAAAZJUV9OVE0ENjAwMAMAAAALIjMvMTIvMjAxMCIJMy8xMi8yMDEwAAAAAAQAAAAAAAAADyJOYXNkYXFHUzpJTlRDIg1OYXNkYXFHUzpJTlRDAQAAABciSVFfVEVWX0VCSVREQV9GV0RfQ0lRIhVJUV9URVZfRUJJVERBX0ZXRF9DSVECAAAABklRX05UTQQ2MDAwAwAAAAoiMy81LzIwMTAiCDMvNS8yMDEwAAAAAAQAAAAAAAAADyJOYXNkYXFHUzpJTlRDIg1OYXNkYXFHUzpJTlRDAQAAABciSVFfVEVWX0VCSVREQV9GV0RfQ0lRIhVJUV9URVZfRUJJVERBX0ZXRF9DSVECAAAABklRX05UTQQ2MDAwAwAAAAsiMi8yNi8yMDEwIgkyLzI2LzIwMTAAAAAABAAAAAAAAAAPIk5hc2RhcUdTOklOVEMiDU5hc2RhcUdTOklOVEMBAAAAFyJJUV9URVZfRUJJVERB</t>
  </si>
  <si>
    <t>X0ZXRF9DSVEiFUlRX1RFVl9FQklUREFfRldEX0NJUQIAAAAGSVFfTlRNBDYwMDADAAAACyIyLzE5LzIwMTAiCTIvMTkvMjAxMAAAAAAEAAAAAAAAAA8iTmFzZGFxR1M6SU5UQyINTmFzZGFxR1M6SU5UQwEAAAAXIklRX1RFVl9FQklUREFfRldEX0NJUSIVSVFfVEVWX0VCSVREQV9GV0RfQ0lRAgAAAAZJUV9OVE0ENjAwMAMAAAALIjIvMTIvMjAxMCIJMi8xMi8yMDEwAAAAAAQAAAAAAAAADyJOYXNkYXFHUzpJTlRDIg1OYXNkYXFHUzpJTlRDAQAAABciSVFfVEVWX0VCSVREQV9GV0RfQ0lRIhVJUV9URVZfRUJJVERBX0ZXRF9DSVECAAAABklRX05UTQQ2MDAwAwAAAAoiMi81LzIwMTAiCDIvNS8yMDEwAAAAAAQAAAAAAAAADyJOYXNkYXFHUzpJTlRDIg1OYXNkYXFHUzpJTlRDAQAAABciSVFfVEVWX0VCSVREQV9GV0RfQ0lRIhVJUV9URVZfRUJJVERBX0ZXRF9DSVECAAAABklRX05UTQQ2MDAwAwAAAAsiMS8yOS8yMDEwIgkxLzI5LzIwMTAAAAAABAAAAAAAAAAPIk5hc2RhcUdTOklOVEMiDU5hc2RhcUdTOklOVEMBAAAAFyJJUV9URVZfRUJJVERBX0ZXRF9DSVEiFUlRX1RFVl9FQklUREFfRldEX0NJUQIAAAAGSVFfTlRNBDYwMDADAAAACyIxLzIyLzIwMTAiCTEvMjIvMjAxMAAAAAAEAAAAAAAAAA8iTmFzZGFxR1M6SU5UQyINTmFzZGFxR1M6SU5UQwEAAAAXIklRX1RFVl9FQklUREFfRldEX0NJUSIVSVFf</t>
  </si>
  <si>
    <t>VEVWX0VCSVREQV9GV0RfQ0lRAgAAAAZJUV9OVE0ENjAwMAMAAAALIjEvMTUvMjAxMCIJMS8xNS8yMDEwAAAAAAQAAAAAAAAADyJOYXNkYXFHUzpJTlRDIg1OYXNkYXFHUzpJTlRDAQAAABciSVFfVEVWX0VCSVREQV9GV0RfQ0lRIhVJUV9URVZfRUJJVERBX0ZXRF9DSVECAAAABklRX05UTQQ2MDAwAwAAAAoiMS84LzIwMTAiCDEvOC8yMDEwAAAAAAQAAAAAAAAADyJOYXNkYXFHUzpJTlRDIg1OYXNkYXFHUzpJTlRDAQAAABciSVFfVEVWX0VCSVREQV9GV0RfQ0lRIhVJUV9URVZfRUJJVERBX0ZXRF9DSVECAAAABklRX05UTQQ2MDAwAwAAAAwiMTIvMzEvMjAwOSIKMTIvMzEvMjAwOQAAAAAEAAAAAAAAAA8iTmFzZGFxR1M6SU5UQyINTmFzZGFxR1M6SU5UQwEAAAAXIklRX1RFVl9FQklUREFfRldEX0NJUSIVSVFfVEVWX0VCSVREQV9GV0RfQ0lRAgAAAAZJUV9OVE0ENjAwMAMAAAAMIjEyLzI0LzIwMDkiCjEyLzI0LzIwMDkAAAAABAAAAAAAAAAPIk5hc2RhcUdTOklOVEMiDU5hc2RhcUdTOklOVEMBAAAAFyJJUV9URVZfRUJJVERBX0ZXRF9DSVEiFUlRX1RFVl9FQklUREFfRldEX0NJUQIAAAAGSVFfTlRNBDYwMDADAAAADCIxMi8xOC8yMDA5IgoxMi8xOC8yMDA5AAAAAAQAAAAAAAAADyJOYXNkYXFHUzpJTlRDIg1OYXNkYXFHUzpJTlRDAQAAABciSVFfVEVWX0VCSVREQV9GV0RfQ0lRIhVJUV9URVZfRUJJ</t>
  </si>
  <si>
    <t>VERBX0ZXRF9DSVECAAAABklRX05UTQQ2MDAwAwAAAAwiMTIvMTEvMjAwOSIKMTIvMTEvMjAwOQAAAAAEAAAAAAAAAA8iTmFzZGFxR1M6SU5UQyINTmFzZGFxR1M6SU5UQwEAAAAXIklRX1RFVl9FQklUREFfRldEX0NJUSIVSVFfVEVWX0VCSVREQV9GV0RfQ0lRAgAAAAZJUV9OVE0ENjAwMAMAAAALIjEyLzQvMjAwOSIJMTIvNC8yMDA5AAAAAAQAAAAAAAAADyJOYXNkYXFHUzpJTlRDIg1OYXNkYXFHUzpJTlRDAQAAABciSVFfVEVWX0VCSVREQV9GV0RfQ0lRIhVJUV9URVZfRUJJVERBX0ZXRF9DSVECAAAABklRX05UTQQ2MDAwAwAAAAwiMTEvMjcvMjAwOSIKMTEvMjcvMjAwOQAAAAAEAAAAAAAAAA8iTmFzZGFxR1M6SU5UQyINTmFzZGFxR1M6SU5UQwEAAAAXIklRX1RFVl9FQklUREFfRldEX0NJUSIVSVFfVEVWX0VCSVREQV9GV0RfQ0lRAgAAAAZJUV9OVE0ENjAwMAMAAAAMIjExLzIwLzIwMDkiCjExLzIwLzIwMDkAAAAABAAAAAAAAAAPIk5hc2RhcUdTOklOVEMiDU5hc2RhcUdTOklOVEMBAAAAFyJJUV9URVZfRUJJVERBX0ZXRF9DSVEiFUlRX1RFVl9FQklUREFfRldEX0NJUQIAAAAGSVFfTlRNBDYwMDADAAAADCIxMS8xMy8yMDA5IgoxMS8xMy8yMDA5AAAAAAQAAAAAAAAADyJOYXNkYXFHUzpJTlRDIg1OYXNkYXFHUzpJTlRDAQAAABciSVFfVEVWX0VCSVREQV9GV0RfQ0lRIhVJUV9URVZfRUJJVERB</t>
  </si>
  <si>
    <t>X0ZXRF9DSVECAAAABklRX05UTQQ2MDAwAwAAAAsiMTEvNi8yMDA5IgkxMS82LzIwMDkAAAAABAAAAAAAAAAPIk5hc2RhcUdTOklOVEMiDU5hc2RhcUdTOklOVEMBAAAAFyJJUV9URVZfRUJJVERBX0ZXRF9DSVEiFUlRX1RFVl9FQklUREFfRldEX0NJUQIAAAAGSVFfTlRNBDYwMDADAAAADCIxMC8zMC8yMDA5IgoxMC8zMC8yMDA5AAAAAAQAAAAAAAAADyJOYXNkYXFHUzpJTlRDIg1OYXNkYXFHUzpJTlRDAQAAABciSVFfVEVWX0VCSVREQV9GV0RfQ0lRIhVJUV9URVZfRUJJVERBX0ZXRF9DSVECAAAABklRX05UTQQ2MDAwAwAAAAwiMTAvMjMvMjAwOSIKMTAvMjMvMjAwOQAAAAAEAAAAAAAAAA8iTmFzZGFxR1M6SU5UQyINTmFzZGFxR1M6SU5UQwEAAAAXIklRX1RFVl9FQklUREFfRldEX0NJUSIVSVFfVEVWX0VCSVREQV9GV0RfQ0lRAgAAAAZJUV9OVE0ENjAwMAMAAAAMIjEwLzE2LzIwMDkiCjEwLzE2LzIwMDkAAAAABAAAAAAAAAAPIk5hc2RhcUdTOklOVEMiDU5hc2RhcUdTOklOVEMBAAAAFyJJUV9URVZfRUJJVERBX0ZXRF9DSVEiFUlRX1RFVl9FQklUREFfRldEX0NJUQIAAAAGSVFfTlRNBDYwMDADAAAACyIxMC85LzIwMDkiCTEwLzkvMjAwOQAAAAAEAAAAAAAAAA8iTmFzZGFxR1M6SU5UQyINTmFzZGFxR1M6SU5UQwEAAAAXIklRX1RFVl9FQklUREFfRldEX0NJUSIVSVFfVEVWX0VCSVREQV9GV0Rf</t>
  </si>
  <si>
    <t>Q0lRAgAAAAZJUV9OVE0ENjAwMAMAAAALIjEwLzIvMjAwOSIJMTAvMi8yMDA5AAAAAAQAAAAAAAAADyJOYXNkYXFHUzpJTlRDIg1OYXNkYXFHUzpJTlRDAQAAABciSVFfVEVWX0VCSVREQV9GV0RfQ0lRIhVJUV9URVZfRUJJVERBX0ZXRF9DSVECAAAABklRX05UTQQ2MDAwAwAAAAsiOS8yNS8yMDA5Igk5LzI1LzIwMDkAAAAABAAAAAAAAAAPIk5hc2RhcUdTOklOVEMiDU5hc2RhcUdTOklOVEMBAAAAFyJJUV9URVZfRUJJVERBX0ZXRF9DSVEiFUlRX1RFVl9FQklUREFfRldEX0NJUQIAAAAGSVFfTlRNBDYwMDADAAAACyI5LzE4LzIwMDkiCTkvMTgvMjAwOQAAAAAEAAAAAAAAAA8iTmFzZGFxR1M6SU5UQyINTmFzZGFxR1M6SU5UQwEAAAAXIklRX1RFVl9FQklUREFfRldEX0NJUSIVSVFfVEVWX0VCSVREQV9GV0RfQ0lRAgAAAAZJUV9OVE0ENjAwMAMAAAALIjkvMTEvMjAwOSIJOS8xMS8yMDA5AAAAAAQAAAAAAAAADyJOYXNkYXFHUzpJTlRDIg1OYXNkYXFHUzpJTlRDAQAAABciSVFfVEVWX0VCSVREQV9GV0RfQ0lRIhVJUV9URVZfRUJJVERBX0ZXRF9DSVECAAAABklRX05UTQQ2MDAwAwAAAAoiOS80LzIwMDkiCDkvNC8yMDA5AAAAAAQAAAAAAAAADyJOYXNkYXFHUzpJTlRDIg1OYXNkYXFHUzpJTlRDAQAAABciSVFfVEVWX0VCSVREQV9GV0RfQ0lRIhVJUV9URVZfRUJJVERBX0ZXRF9DSVECAAAABklRX05U</t>
  </si>
  <si>
    <t>TQQ2MDAwAwAAAAsiOC8yOC8yMDA5Igk4LzI4LzIwMDkAAAAABAAAAAAAAAAPIk5hc2RhcUdTOklOVEMiDU5hc2RhcUdTOklOVEMBAAAAFyJJUV9URVZfRUJJVERBX0ZXRF9DSVEiFUlRX1RFVl9FQklUREFfRldEX0NJUQIAAAAGSVFfTlRNBDYwMDADAAAACyI4LzIxLzIwMDkiCTgvMjEvMjAwOQAAAAAEAAAAAAAAAA8iTmFzZGFxR1M6SU5UQyINTmFzZGFxR1M6SU5UQwEAAAAXIklRX1RFVl9FQklUREFfRldEX0NJUSIVSVFfVEVWX0VCSVREQV9GV0RfQ0lRAgAAAAZJUV9OVE0ENjAwMAMAAAALIjgvMTQvMjAwOSIJOC8xNC8yMDA5AAAAAAQAAAAAAAAADyJOYXNkYXFHUzpJTlRDIg1OYXNkYXFHUzpJTlRDAQAAABciSVFfVEVWX0VCSVREQV9GV0RfQ0lRIhVJUV9URVZfRUJJVERBX0ZXRF9DSVECAAAABklRX05UTQQ2MDAwAwAAAAoiOC83LzIwMDkiCDgvNy8yMDA5AAAAAAQAAAAAAAAADyJOYXNkYXFHUzpJTlRDIg1OYXNkYXFHUzpJTlRDAQAAABciSVFfVEVWX0VCSVREQV9GV0RfQ0lRIhVJUV9URVZfRUJJVERBX0ZXRF9DSVECAAAABklRX05UTQQ2MDAwAwAAAAsiNy8zMS8yMDA5Igk3LzMxLzIwMDkAAAAABAAAAAAAAAAPIk5hc2RhcUdTOklOVEMiDU5hc2RhcUdTOklOVEMBAAAAFyJJUV9URVZfRUJJVERBX0ZXRF9DSVEiFUlRX1RFVl9FQklUREFfRldEX0NJUQIAAAAGSVFfTlRNBDYwMDADAAAACyI3</t>
  </si>
  <si>
    <t>LzI0LzIwMDkiCTcvMjQvMjAwOQAAAAAEAAAAAAAAAA8iTmFzZGFxR1M6SU5UQyINTmFzZGFxR1M6SU5UQwEAAAAXIklRX1RFVl9FQklUREFfRldEX0NJUSIVSVFfVEVWX0VCSVREQV9GV0RfQ0lRAgAAAAZJUV9OVE0ENjAwMAMAAAALIjcvMTcvMjAwOSIJNy8xNy8yMDA5AAAAAAQAAAAAAAAADyJOYXNkYXFHUzpJTlRDIg1OYXNkYXFHUzpJTlRDAQAAABciSVFfVEVWX0VCSVREQV9GV0RfQ0lRIhVJUV9URVZfRUJJVERBX0ZXRF9DSVECAAAABklRX05UTQQ2MDAwAwAAAAsiNy8xMC8yMDA5Igk3LzEwLzIwMDkAAAAABAAAAAAAAAAPIk5hc2RhcUdTOklOVEMiDU5hc2RhcUdTOklOVEMBAAAAFyJJUV9URVZfRUJJVERBX0ZXRF9DSVEiFUlRX1RFVl9FQklUREFfRldEX0NJUQIAAAAGSVFfTlRNBDYwMDADAAAACiI3LzIvMjAwOSIINy8yLzIwMDkAAAAABAAAAAAAAAAPIk5hc2RhcUdTOklOVEMiDU5hc2RhcUdTOklOVEMBAAAAFyJJUV9URVZfRUJJVERBX0ZXRF9DSVEiFUlRX1RFVl9FQklUREFfRldEX0NJUQIAAAAGSVFfTlRNBDYwMDADAAAACyI2LzI2LzIwMDkiCTYvMjYvMjAwOQAAAAAEAAAAAAAAAA8iTmFzZGFxR1M6SU5UQyINTmFzZGFxR1M6SU5UQwEAAAAXIklRX1RFVl9FQklUREFfRldEX0NJUSIVSVFfVEVWX0VCSVREQV9GV0RfQ0lRAgAAAAZJUV9OVE0ENjAwMAMAAAALIjYvMTkvMjAwOSIJNi8x</t>
  </si>
  <si>
    <t>OS8yMDA5AAAAAAQAAAAAAAAADyJOYXNkYXFHUzpJTlRDIg1OYXNkYXFHUzpJTlRDAQAAABciSVFfVEVWX0VCSVREQV9GV0RfQ0lRIhVJUV9URVZfRUJJVERBX0ZXRF9DSVECAAAABklRX05UTQQ2MDAwAwAAAAsiNi8xMi8yMDA5Igk2LzEyLzIwMDkAAAAABAAAAAAAAAAPIk5hc2RhcUdTOklOVEMiDU5hc2RhcUdTOklOVEMBAAAAFyJJUV9URVZfRUJJVERBX0ZXRF9DSVEiFUlRX1RFVl9FQklUREFfRldEX0NJUQIAAAAGSVFfTlRNBDYwMDADAAAACiI2LzUvMjAwOSIINi81LzIwMDkAAAAABAAAAAAAAAAPIk5hc2RhcUdTOklOVEMiDU5hc2RhcUdTOklOVEMBAAAAFyJJUV9URVZfRUJJVERBX0ZXRF9DSVEiFUlRX1RFVl9FQklUREFfRldEX0NJUQIAAAAGSVFfTlRNBDYwMDADAAAACyI1LzI5LzIwMDkiCTUvMjkvMjAwOQAAAAAEAAAAAAAAAA8iTmFzZGFxR1M6SU5UQyINTmFzZGFxR1M6SU5UQwEAAAAXIklRX1RFVl9FQklUREFfRldEX0NJUSIVSVFfVEVWX0VCSVREQV9GV0RfQ0lRAgAAAAZJUV9OVE0ENjAwMAMAAAALIjUvMjIvMjAwOSIJNS8yMi8yMDA5AAAAAAQAAAAAAAAADyJOYXNkYXFHUzpJTlRDIg1OYXNkYXFHUzpJTlRDAQAAABciSVFfVEVWX0VCSVREQV9GV0RfQ0lRIhVJUV9URVZfRUJJVERBX0ZXRF9DSVECAAAABklRX05UTQQ2MDAwAwAAAAsiNS8xNS8yMDA5Igk1LzE1LzIwMDkAAAAABAAA</t>
  </si>
  <si>
    <t>AAAAAAAPIk5hc2RhcUdTOklOVEMiDU5hc2RhcUdTOklOVEMBAAAAFyJJUV9URVZfRUJJVERBX0ZXRF9DSVEiFUlRX1RFVl9FQklUREFfRldEX0NJUQIAAAAGSVFfTlRNBDYwMDADAAAACiI1LzgvMjAwOSIINS84LzIwMDkAAAAABAAAAAAAAAAPIk5hc2RhcUdTOklOVEMiDU5hc2RhcUdTOklOVEMBAAAAFyJJUV9URVZfRUJJVERBX0ZXRF9DSVEiFUlRX1RFVl9FQklUREFfRldEX0NJUQIAAAAGSVFfTlRNBDYwMDADAAAACiI1LzEvMjAwOSIINS8xLzIwMDkAAAAABAAAAAAAAAAPIk5hc2RhcUdTOklOVEMiDU5hc2RhcUdTOklOVEMBAAAAFyJJUV9URVZfRUJJVERBX0ZXRF9DSVEiFUlRX1RFVl9FQklUREFfRldEX0NJUQIAAAAGSVFfTlRNBDYwMDADAAAACyI0LzI0LzIwMDkiCTQvMjQvMjAwOQAAAAAEAAAAAAAAAA8iTmFzZGFxR1M6SU5UQyINTmFzZGFxR1M6SU5UQwEAAAAXIklRX1RFVl9FQklUREFfRldEX0NJUSIVSVFfVEVWX0VCSVREQV9GV0RfQ0lRAgAAAAZJUV9OVE0ENjAwMAMAAAALIjQvMTcvMjAwOSIJNC8xNy8yMDA5AAAAAAQAAAAAAAAADyJOYXNkYXFHUzpJTlRDIg1OYXNkYXFHUzpJTlRDAQAAABciSVFfVEVWX0VCSVREQV9GV0RfQ0lRIhVJUV9URVZfRUJJVERBX0ZXRF9DSVECAAAABklRX05UTQQ2MDAwAwAAAAoiNC85LzIwMDkiCDQvOS8yMDA5AAAAAAQAAAAAAAAADyJOYXNkYXFHUzpJ</t>
  </si>
  <si>
    <t>TlRDIg1OYXNkYXFHUzpJTlRDAQAAABciSVFfVEVWX0VCSVREQV9GV0RfQ0lRIhVJUV9URVZfRUJJVERBX0ZXRF9DSVECAAAABklRX05UTQQ2MDAwAwAAAAoiNC8zLzIwMDkiCDQvMy8yMDA5AAAAAAQAAAAAAAAADyJOYXNkYXFHUzpJTlRDIg1OYXNkYXFHUzpJTlRDAQAAABciSVFfVEVWX0VCSVREQV9GV0RfQ0lRIhVJUV9URVZfRUJJVERBX0ZXRF9DSVECAAAABklRX05UTQQ2MDAwAwAAAAsiMy8yNy8yMDA5IgkzLzI3LzIwMDkAAAAABAAAAAAAAAAPIk5hc2RhcUdTOklOVEMiDU5hc2RhcUdTOklOVEMBAAAAFyJJUV9URVZfRUJJVERBX0ZXRF9DSVEiFUlRX1RFVl9FQklUREFfRldEX0NJUQIAAAAGSVFfTlRNBDYwMDADAAAACyIzLzIwLzIwMDkiCTMvMjAvMjAwOQAAAAAEAAAAAAAAAA8iTmFzZGFxR1M6SU5UQyINTmFzZGFxR1M6SU5UQwEAAAAXIklRX1RFVl9FQklUREFfRldEX0NJUSIVSVFfVEVWX0VCSVREQV9GV0RfQ0lRAgAAAAZJUV9OVE0ENjAwMAMAAAALIjMvMTMvMjAwOSIJMy8xMy8yMDA5AAAAAAQAAAAAAAAADyJOYXNkYXFHUzpJTlRDIg1OYXNkYXFHUzpJTlRDAQAAABciSVFfVEVWX0VCSVREQV9GV0RfQ0lRIhVJUV9URVZfRUJJVERBX0ZXRF9DSVECAAAABklRX05UTQQ2MDAwAwAAAAoiMy82LzIwMDkiCDMvNi8yMDA5AAAAAAQAAAAAAAAADyJOYXNkYXFHUzpJTlRDIg1OYXNkYXFHUzpJ</t>
  </si>
  <si>
    <t>TlRDAQAAABciSVFfVEVWX0VCSVREQV9GV0RfQ0lRIhVJUV9URVZfRUJJVERBX0ZXRF9DSVECAAAABklRX05UTQQ2MDAwAwAAAAsiMi8yNy8yMDA5IgkyLzI3LzIwMDkAAAAABAAAAAAAAAAPIk5hc2RhcUdTOklOVEMiDU5hc2RhcUdTOklOVEMBAAAAFyJJUV9URVZfRUJJVERBX0ZXRF9DSVEiFUlRX1RFVl9FQklUREFfRldEX0NJUQIAAAAGSVFfTlRNBDYwMDADAAAACyIyLzIwLzIwMDkiCTIvMjAvMjAwOQAAAAAEAAAAAAAAAA8iTmFzZGFxR1M6SU5UQyINTmFzZGFxR1M6SU5UQwEAAAAXIklRX1RFVl9FQklUREFfRldEX0NJUSIVSVFfVEVWX0VCSVREQV9GV0RfQ0lRAgAAAAZJUV9OVE0ENjAwMAMAAAALIjIvMTMvMjAwOSIJMi8xMy8yMDA5AAAAAAQAAAAAAAAADyJOYXNkYXFHUzpJTlRDIg1OYXNkYXFHUzpJTlRDAQAAABciSVFfVEVWX0VCSVREQV9GV0RfQ0lRIhVJUV9URVZfRUJJVERBX0ZXRF9DSVECAAAABklRX05UTQQ2MDAwAwAAAAoiMi82LzIwMDkiCDIvNi8yMDA5AAAAAAQAAAAAAAAADyJOYXNkYXFHUzpJTlRDIg1OYXNkYXFHUzpJTlRDAQAAABciSVFfVEVWX0VCSVREQV9GV0RfQ0lRIhVJUV9URVZfRUJJVERBX0ZXRF9DSVECAAAABklRX05UTQQ2MDAwAwAAAAsiMS8zMC8yMDA5IgkxLzMwLzIwMDkAAAAABAAAAAAAAAAPIk5hc2RhcUdTOklOVEMiDU5hc2RhcUdTOklOVEMBAAAAFyJJUV9U</t>
  </si>
  <si>
    <t>RVZfRUJJVERBX0ZXRF9DSVEiFUlRX1RFVl9FQklUREFfRldEX0NJUQIAAAAGSVFfTlRNBDYwMDADAAAACyIxLzIzLzIwMDkiCTEvMjMvMjAwOQAAAAAEAAAAAAAAAA8iTmFzZGFxR1M6SU5UQyINTmFzZGFxR1M6SU5UQwEAAAAXIklRX1RFVl9FQklUREFfRldEX0NJUSIVSVFfVEVWX0VCSVREQV9GV0RfQ0lRAgAAAAZJUV9OVE0ENjAwMAMAAAALIjEvMTYvMjAwOSIJMS8xNi8yMDA5AAAAAAQAAAAAAAAADyJOYXNkYXFHUzpJTlRDIg1OYXNkYXFHUzpJTlRDAQAAABciSVFfVEVWX0VCSVREQV9GV0RfQ0lRIhVJUV9URVZfRUJJVERBX0ZXRF9DSVECAAAABklRX05UTQQ2MDAwAwAAAAoiMS85LzIwMDkiCDEvOS8yMDA5AAAAAAQAAAAAAAAADyJOYXNkYXFHUzpJTlRDIg1OYXNkYXFHUzpJTlRDAQAAABciSVFfVEVWX0VCSVREQV9GV0RfQ0lRIhVJUV9URVZfRUJJVERBX0ZXRF9DSVECAAAABklRX05UTQQ2MDAwAwAAAAoiMS8yLzIwMDkiCDEvMi8yMDA5AAAAAAQAAAAAAAAADyJOYXNkYXFHUzpJTlRDIg1OYXNkYXFHUzpJTlRDAQAAABciSVFfVEVWX0VCSVREQV9GV0RfQ0lRIhVJUV9URVZfRUJJVERBX0ZXRF9DSVECAAAABklRX05UTQQ2MDAwAwAAAAwiMTIvMjYvMjAwOCIKMTIvMjYvMjAwOAAAAAAEAAAAAAAAAA8iTmFzZGFxR1M6SU5UQyINTmFzZGFxR1M6SU5UQwEAAAAXIklRX1RFVl9FQklUREFfRldE</t>
  </si>
  <si>
    <t>X0NJUSIVSVFfVEVWX0VCSVREQV9GV0RfQ0lRAgAAAAZJUV9OVE0ENjAwMAMAAAAMIjEyLzE5LzIwMDgiCjEyLzE5LzIwMDgAAAAABAAAAAAAAAAPIk5hc2RhcUdTOklOVEMiDU5hc2RhcUdTOklOVEMBAAAAFyJJUV9URVZfRUJJVERBX0ZXRF9DSVEiFUlRX1RFVl9FQklUREFfRldEX0NJUQIAAAAGSVFfTlRNBDYwMDADAAAADCIxMi8xMi8yMDA4IgoxMi8xMi8yMDA4AAAAAAQAAAAAAAAADyJOYXNkYXFHUzpJTlRDIg1OYXNkYXFHUzpJTlRDAQAAABciSVFfVEVWX0VCSVREQV9GV0RfQ0lRIhVJUV9URVZfRUJJVERBX0ZXRF9DSVECAAAABklRX05UTQQ2MDAwAwAAAAsiMTIvNS8yMDA4IgkxMi81LzIwMDgAAAAABAAAAAAAAAAPIk5hc2RhcUdTOklOVEMiDU5hc2RhcUdTOklOVEMBAAAAFyJJUV9URVZfRUJJVERBX0ZXRF9DSVEiFUlRX1RFVl9FQklUREFfRldEX0NJUQIAAAAGSVFfTlRNBDYwMDADAAAADCIxMS8yOC8yMDA4IgoxMS8yOC8yMDA4AAAAAAQAAAAAAAAADyJOYXNkYXFHUzpJTlRDIg1OYXNkYXFHUzpJTlRDAQAAABciSVFfVEVWX0VCSVREQV9GV0RfQ0lRIhVJUV9URVZfRUJJVERBX0ZXRF9DSVECAAAABklRX05UTQQ2MDAwAwAAAAwiMTEvMjEvMjAwOCIKMTEvMjEvMjAwOAAAAAAEAAAAAAAAAA8iTmFzZGFxR1M6SU5UQyINTmFzZGFxR1M6SU5UQwEAAAAXIklRX1RFVl9FQklUREFfRldEX0NJ</t>
  </si>
  <si>
    <t>USIVSVFfVEVWX0VCSVREQV9GV0RfQ0lRAgAAAAZJUV9OVE0ENjAwMAMAAAAMIjExLzE0LzIwMDgiCjExLzE0LzIwMDgAAAAABAAAAAAAAAAPIk5hc2RhcUdTOklOVEMiDU5hc2RhcUdTOklOVEMBAAAAFyJJUV9URVZfRUJJVERBX0ZXRF9DSVEiFUlRX1RFVl9FQklUREFfRldEX0NJUQIAAAAGSVFfTlRNBDYwMDADAAAACyIxMS83LzIwMDgiCTExLzcvMjAwOAAAAAAEAAAAAAAAAA8iTmFzZGFxR1M6SU5UQyINTmFzZGFxR1M6SU5UQwEAAAAXIklRX1RFVl9FQklUREFfRldEX0NJUSIVSVFfVEVWX0VCSVREQV9GV0RfQ0lRAgAAAAZJUV9OVE0ENjAwMAMAAAAMIjEwLzMxLzIwMDgiCjEwLzMxLzIwMDgAAAAABAAAAAAAAAAPIk5hc2RhcUdTOklOVEMiDU5hc2RhcUdTOklOVEMBAAAAFyJJUV9URVZfRUJJVERBX0ZXRF9DSVEiFUlRX1RFVl9FQklUREFfRldEX0NJUQIAAAAGSVFfTlRNBDYwMDADAAAADCIxMC8yNC8yMDA4IgoxMC8yNC8yMDA4AAAAAAQAAAAAAAAADyJOYXNkYXFHUzpJTlRDIg1OYXNkYXFHUzpJTlRDAQAAABciSVFfVEVWX0VCSVREQV9GV0RfQ0lRIhVJUV9URVZfRUJJVERBX0ZXRF9DSVECAAAABklRX05UTQQ2MDAwAwAAAAwiMTAvMTcvMjAwOCIKMTAvMTcvMjAwOAAAAAAEAAAAAAAAAA8iTmFzZGFxR1M6SU5UQyINTmFzZGFxR1M6SU5UQwEAAAAXIklRX1RFVl9FQklUREFfRldEX0NJUSIV</t>
  </si>
  <si>
    <t>SVFfVEVWX0VCSVREQV9GV0RfQ0lRAgAAAAZJUV9OVE0ENjAwMAMAAAAMIjEwLzEwLzIwMDgiCjEwLzEwLzIwMDgAAAAABAAAAAAAAAAPIk5hc2RhcUdTOklOVEMiDU5hc2RhcUdTOklOVEMBAAAAFyJJUV9URVZfRUJJVERBX0ZXRF9DSVEiFUlRX1RFVl9FQklUREFfRldEX0NJUQIAAAAGSVFfTlRNBDYwMDADAAAACyIxMC8zLzIwMDgiCTEwLzMvMjAwOAAAAAAEAAAAAAAAAA8iTmFzZGFxR1M6SU5UQyINTmFzZGFxR1M6SU5UQwEAAAAXIklRX1RFVl9FQklUREFfRldEX0NJUSIVSVFfVEVWX0VCSVREQV9GV0RfQ0lRAgAAAAZJUV9OVE0ENjAwMAMAAAALIjkvMjYvMjAwOCIJOS8yNi8yMDA4AAAAAAQAAAAAAAAADyJOYXNkYXFHUzpJTlRDIg1OYXNkYXFHUzpJTlRDAQAAABciSVFfVEVWX0VCSVREQV9GV0RfQ0lRIhVJUV9URVZfRUJJVERBX0ZXRF9DSVECAAAABklRX05UTQQ2MDAwAwAAAAsiOS8xOS8yMDA4Igk5LzE5LzIwMDgAAAAABAAAAAAAAAAPIk5hc2RhcUdTOklOVEMiDU5hc2RhcUdTOklOVEMBAAAAFyJJUV9URVZfRUJJVERBX0ZXRF9DSVEiFUlRX1RFVl9FQklUREFfRldEX0NJUQIAAAAGSVFfTlRNBDYwMDADAAAACyI5LzEyLzIwMDgiCTkvMTIvMjAwOAAAAAAEAAAAAAAAAA8iTmFzZGFxR1M6SU5UQyINTmFzZGFxR1M6SU5UQwEAAAAXIklRX1RFVl9FQklUREFfRldEX0NJUSIVSVFfVEVWX0VC</t>
  </si>
  <si>
    <t>SVREQV9GV0RfQ0lRAgAAAAZJUV9OVE0ENjAwMAMAAAAKIjkvNS8yMDA4Igg5LzUvMjAwOAAAAAAEAAAAAAAAAA8iTmFzZGFxR1M6SU5UQyINTmFzZGFxR1M6SU5UQwEAAAAXIklRX1RFVl9FQklUREFfRldEX0NJUSIVSVFfVEVWX0VCSVREQV9GV0RfQ0lRAgAAAAZJUV9OVE0ENjAwMAMAAAALIjgvMjkvMjAwOCIJOC8yOS8yMDA4AAAAAAQAAAAAAAAADyJOYXNkYXFHUzpJTlRDIg1OYXNkYXFHUzpJTlRDAQAAABciSVFfVEVWX0VCSVREQV9GV0RfQ0lRIhVJUV9URVZfRUJJVERBX0ZXRF9DSVECAAAABklRX05UTQQ2MDAwAwAAAAsiOC8yMi8yMDA4Igk4LzIyLzIwMDgAAAAABAAAAAAAAAAPIk5hc2RhcUdTOklOVEMiDU5hc2RhcUdTOklOVEMBAAAAFyJJUV9URVZfRUJJVERBX0ZXRF9DSVEiFUlRX1RFVl9FQklUREFfRldEX0NJUQIAAAAGSVFfTlRNBDYwMDADAAAACyI4LzE1LzIwMDgiCTgvMTUvMjAwOAAAAAAEAAAAAAAAAA8iTmFzZGFxR1M6SU5UQyINTmFzZGFxR1M6SU5UQwEAAAAXIklRX1RFVl9FQklUREFfRldEX0NJUSIVSVFfVEVWX0VCSVREQV9GV0RfQ0lRAgAAAAZJUV9OVE0ENjAwMAMAAAAKIjgvOC8yMDA4Igg4LzgvMjAwOAAAAAAEAAAAAAAAAA8iTmFzZGFxR1M6SU5UQyINTmFzZGFxR1M6SU5UQwEAAAAXIklRX1RFVl9FQklUREFfRldEX0NJUSIVSVFfVEVWX0VCSVREQV9GV0RfQ0lRAgAA</t>
  </si>
  <si>
    <t>AAZJUV9OVE0ENjAwMAMAAAAKIjgvMS8yMDA4Igg4LzEvMjAwOAAAAAAEAAAAAAAAAA8iTmFzZGFxR1M6SU5UQyINTmFzZGFxR1M6SU5UQwEAAAAXIklRX1RFVl9FQklUREFfRldEX0NJUSIVSVFfVEVWX0VCSVREQV9GV0RfQ0lRAgAAAAZJUV9OVE0ENjAwMAMAAAALIjcvMjUvMjAwOCIJNy8yNS8yMDA4AAAAAAQAAAAAAAAADyJOYXNkYXFHUzpJTlRDIg1OYXNkYXFHUzpJTlRDAQAAABciSVFfVEVWX0VCSVREQV9GV0RfQ0lRIhVJUV9URVZfRUJJVERBX0ZXRF9DSVECAAAABklRX05UTQQ2MDAwAwAAAAsiNy8xOC8yMDA4Igk3LzE4LzIwMDgAAAAABAAAAAAAAAAPIk5hc2RhcUdTOklOVEMiDU5hc2RhcUdTOklOVEMBAAAAFyJJUV9URVZfRUJJVERBX0ZXRF9DSVEiFUlRX1RFVl9FQklUREFfRldEX0NJUQIAAAAGSVFfTlRNBDYwMDADAAAACyI3LzExLzIwMDgiCTcvMTEvMjAwOAAAAAAEAAAAAAAAAA8iTmFzZGFxR1M6SU5UQyINTmFzZGFxR1M6SU5UQwEAAAAXIklRX1RFVl9FQklUREFfRldEX0NJUSIVSVFfVEVWX0VCSVREQV9GV0RfQ0lRAgAAAAZJUV9OVE0ENjAwMAMAAAAKIjcvMy8yMDA4Igg3LzMvMjAwOAAAAAAEAAAAAAAAAA8iTmFzZGFxR1M6SU5UQyINTmFzZGFxR1M6SU5UQwEAAAAXIklRX1RFVl9FQklUREFfRldEX0NJUSIVSVFfVEVWX0VCSVREQV9GV0RfQ0lRAgAAAAZJUV9OVE0ENjAwMAMA</t>
  </si>
  <si>
    <t>AAALIjYvMjcvMjAwOCIJNi8yNy8yMDA4AAAAAAQAAAAAAAAADyJOYXNkYXFHUzpJTlRDIg1OYXNkYXFHUzpJTlRDAQAAABciSVFfVEVWX0VCSVREQV9GV0RfQ0lRIhVJUV9URVZfRUJJVERBX0ZXRF9DSVECAAAABklRX05UTQQ2MDAwAwAAAAsiNi8yMC8yMDA4Igk2LzIwLzIwMDgAAAAABAAAAAAAAAAPIk5hc2RhcUdTOklOVEMiDU5hc2RhcUdTOklOVEMBAAAAFyJJUV9URVZfRUJJVERBX0ZXRF9DSVEiFUlRX1RFVl9FQklUREFfRldEX0NJUQIAAAAGSVFfTlRNBDYwMDADAAAACyI2LzEzLzIwMDgiCTYvMTMvMjAwOAAAAAAEAAAAAAAAAA8iTmFzZGFxR1M6SU5UQyINTmFzZGFxR1M6SU5UQwEAAAAXIklRX1RFVl9FQklUREFfRldEX0NJUSIVSVFfVEVWX0VCSVREQV9GV0RfQ0lRAgAAAAZJUV9OVE0ENjAwMAMAAAAKIjYvNi8yMDA4Igg2LzYvMjAwOAAAAAAEAAAAAAAAAA8iTmFzZGFxR1M6SU5UQyINTmFzZGFxR1M6SU5UQwEAAAAXIklRX1RFVl9FQklUREFfRldEX0NJUSIVSVFfVEVWX0VCSVREQV9GV0RfQ0lRAgAAAAZJUV9OVE0ENjAwMAMAAAALIjUvMzAvMjAwOCIJNS8zMC8yMDA4AAAAAAQAAAAAAAAADyJOYXNkYXFHUzpJTlRDIg1OYXNkYXFHUzpJTlRDAQAAABciSVFfVEVWX0VCSVREQV9GV0RfQ0lRIhVJUV9URVZfRUJJVERBX0ZXRF9DSVECAAAABklRX05UTQQ2MDAwAwAAAAsiNS8yMy8yMDA4</t>
  </si>
  <si>
    <t>Igk1LzIzLzIwMDgAAAAABAAAAAAAAAAPIk5hc2RhcUdTOklOVEMiDU5hc2RhcUdTOklOVEMBAAAAFyJJUV9URVZfRUJJVERBX0ZXRF9DSVEiFUlRX1RFVl9FQklUREFfRldEX0NJUQIAAAAGSVFfTlRNBDYwMDADAAAACyI1LzE2LzIwMDgiCTUvMTYvMjAwOAAAAAAEAAAAAAAAAA8iTmFzZGFxR1M6SU5UQyINTmFzZGFxR1M6SU5UQwEAAAAXIklRX1RFVl9FQklUREFfRldEX0NJUSIVSVFfVEVWX0VCSVREQV9GV0RfQ0lRAgAAAAZJUV9OVE0ENjAwMAMAAAAKIjUvOS8yMDA4Igg1LzkvMjAwOAAAAAAEAAAAAAAAAA8iTmFzZGFxR1M6SU5UQyINTmFzZGFxR1M6SU5UQwEAAAAXIklRX1RFVl9FQklUREFfRldEX0NJUSIVSVFfVEVWX0VCSVREQV9GV0RfQ0lRAgAAAAZJUV9OVE0ENjAwMAMAAAAKIjUvMi8yMDA4Igg1LzIvMjAwOAAAAAAEAAAAAAAAAA8iTmFzZGFxR1M6SU5UQyINTmFzZGFxR1M6SU5UQwEAAAAXIklRX1RFVl9FQklUREFfRldEX0NJUSIVSVFfVEVWX0VCSVREQV9GV0RfQ0lRAgAAAAZJUV9OVE0ENjAwMAMAAAALIjQvMjUvMjAwOCIJNC8yNS8yMDA4AAAAAAQAAAAAAAAADyJOYXNkYXFHUzpJTlRDIg1OYXNkYXFHUzpJTlRDAQAAABciSVFfVEVWX0VCSVREQV9GV0RfQ0lRIhVJUV9URVZfRUJJVERBX0ZXRF9DSVECAAAABklRX05UTQQ2MDAwAwAAAAsiNC8xOC8yMDA4Igk0LzE4LzIwMDgAAAAA</t>
  </si>
  <si>
    <t>BAAAAAAAAAAPIk5hc2RhcUdTOklOVEMiDU5hc2RhcUdTOklOVEMBAAAAFyJJUV9URVZfRUJJVERBX0ZXRF9DSVEiFUlRX1RFVl9FQklUREFfRldEX0NJUQIAAAAGSVFfTlRNBDYwMDADAAAACyI0LzExLzIwMDgiCTQvMTEvMjAwOAAAAAAEAAAAAAAAAA8iTmFzZGFxR1M6SU5UQyINTmFzZGFxR1M6SU5UQwEAAAAXIklRX1RFVl9FQklUREFfRldEX0NJUSIVSVFfVEVWX0VCSVREQV9GV0RfQ0lRAgAAAAZJUV9OVE0ENjAwMAMAAAAKIjQvNC8yMDA4Igg0LzQvMjAwOAAAAAAEAAAAAAAAAA8iTmFzZGFxR1M6SU5UQyINTmFzZGFxR1M6SU5UQwEAAAAXIklRX1RFVl9FQklUREFfRldEX0NJUSIVSVFfVEVWX0VCSVREQV9GV0RfQ0lRAgAAAAZJUV9OVE0ENjAwMAMAAAALIjMvMjgvMjAwOCIJMy8yOC8yMDA4AAAAAAQAAAAAAAAADyJOYXNkYXFHUzpJTlRDIg1OYXNkYXFHUzpJTlRDAQAAABciSVFfVEVWX0VCSVREQV9GV0RfQ0lRIhVJUV9URVZfRUJJVERBX0ZXRF9DSVECAAAABklRX05UTQQ2MDAwAwAAAAsiMy8yMC8yMDA4IgkzLzIwLzIwMDgAAAAABAAAAAAAAAAPIk5hc2RhcUdTOklOVEMiDU5hc2RhcUdTOklOVEMBAAAAFyJJUV9URVZfRUJJVERBX0ZXRF9DSVEiFUlRX1RFVl9FQklUREFfRldEX0NJUQIAAAAGSVFfTlRNBDYwMDADAAAACyIzLzE0LzIwMDgiCTMvMTQvMjAwOAAAAAAEAAAAAAAAAA8iTmFz</t>
  </si>
  <si>
    <t>ZGFxR1M6SU5UQyINTmFzZGFxR1M6SU5UQwEAAAAXIklRX1RFVl9FQklUREFfRldEX0NJUSIVSVFfVEVWX0VCSVREQV9GV0RfQ0lRAgAAAAZJUV9OVE0ENjAwMAMAAAAKIjMvNy8yMDA4IggzLzcvMjAwOAAAAAAEAAAAAAAAAA8iTmFzZGFxR1M6SU5UQyINTmFzZGFxR1M6SU5UQwEAAAAXIklRX1RFVl9FQklUREFfRldEX0NJUSIVSVFfVEVWX0VCSVREQV9GV0RfQ0lRAgAAAAZJUV9OVE0ENjAwMAMAAAALIjIvMjkvMjAwOCIJMi8yOS8yMDA4AAAAAAQAAAAAAAAADyJOYXNkYXFHUzpJTlRDIg1OYXNkYXFHUzpJTlRDAQAAABciSVFfVEVWX0VCSVREQV9GV0RfQ0lRIhVJUV9URVZfRUJJVERBX0ZXRF9DSVECAAAABklRX05UTQQ2MDAwAwAAAAsiMi8yMi8yMDA4IgkyLzIyLzIwMDgAAAAABAAAAAAAAAAPIk5hc2RhcUdTOklOVEMiDU5hc2RhcUdTOklOVEMBAAAAFyJJUV9URVZfRUJJVERBX0ZXRF9DSVEiFUlRX1RFVl9FQklUREFfRldEX0NJUQIAAAAGSVFfTlRNBDYwMDADAAAACyIyLzE1LzIwMDgiCTIvMTUvMjAwOAAAAAAEAAAAAAAAAA8iTmFzZGFxR1M6SU5UQyINTmFzZGFxR1M6SU5UQwEAAAAXIklRX1RFVl9FQklUREFfRldEX0NJUSIVSVFfVEVWX0VCSVREQV9GV0RfQ0lRAgAAAAZJUV9OVE0ENjAwMAMAAAAKIjIvOC8yMDA4IggyLzgvMjAwOAAAAAAEAAAAAAAAAA8iTmFzZGFxR1M6SU5UQyINTmFz</t>
  </si>
  <si>
    <t>ZGFxR1M6SU5UQwEAAAAXIklRX1RFVl9FQklUREFfRldEX0NJUSIVSVFfVEVWX0VCSVREQV9GV0RfQ0lRAgAAAAZJUV9OVE0ENjAwMAMAAAAKIjIvMS8yMDA4IggyLzEvMjAwOAAAAAAEAAAAAAAAAA8iTmFzZGFxR1M6SU5UQyINTmFzZGFxR1M6SU5UQwEAAAAXIklRX1RFVl9FQklUREFfRldEX0NJUSIVSVFfVEVWX0VCSVREQV9GV0RfQ0lRAgAAAAZJUV9OVE0ENjAwMAMAAAALIjEvMjUvMjAwOCIJMS8yNS8yMDA4AAAAAAQAAAAAAAAADyJOYXNkYXFHUzpJTlRDIg1OYXNkYXFHUzpJTlRDAQAAABciSVFfVEVWX0VCSVREQV9GV0RfQ0lRIhVJUV9URVZfRUJJVERBX0ZXRF9DSVECAAAABklRX05UTQQ2MDAwAwAAAAsiMS8xOC8yMDA4IgkxLzE4LzIwMDgAAAAABAAAAAAAAAAPIk5hc2RhcUdTOklOVEMiDU5hc2RhcUdTOklOVEMBAAAAFyJJUV9URVZfRUJJVERBX0ZXRF9DSVEiFUlRX1RFVl9FQklUREFfRldEX0NJUQIAAAAGSVFfTlRNBDYwMDADAAAACyIxLzExLzIwMDgiCTEvMTEvMjAwOAAAAAAEAAAAAAAAAA8iTmFzZGFxR1M6SU5UQyINTmFzZGFxR1M6SU5UQwEAAAAXIklRX1RFVl9FQklUREFfRldEX0NJUSIVSVFfVEVWX0VCSVREQV9GV0RfQ0lRAgAAAAZJUV9OVE0ENjAwMAMAAAAKIjEvNC8yMDA4IggxLzQvMjAwOAAAAAAEAAAAAAAAAA8iTmFzZGFxR1M6SU5UQyINTmFzZGFxR1M6SU5UQwEAAAAX</t>
  </si>
  <si>
    <t>IklRX1RFVl9FQklUREFfRldEX0NJUSIVSVFfVEVWX0VCSVREQV9GV0RfQ0lRAgAAAAZJUV9OVE0ENjAwMAMAAAAMIjEyLzI4LzIwMDciCjEyLzI4LzIwMDcAAAAABAAAAAAAAAAPIk5hc2RhcUdTOklOVEMiDU5hc2RhcUdTOklOVEMBAAAAFyJJUV9URVZfRUJJVERBX0ZXRF9DSVEiFUlRX1RFVl9FQklUREFfRldEX0NJUQIAAAAGSVFfTlRNBDYwMDADAAAADCIxMi8yMS8yMDA3IgoxMi8yMS8yMDA3AAAAAAQAAAAAAAAADyJOYXNkYXFHUzpJTlRDIg1OYXNkYXFHUzpJTlRDAQAAABciSVFfVEVWX0VCSVREQV9GV0RfQ0lRIhVJUV9URVZfRUJJVERBX0ZXRF9DSVECAAAABklRX05UTQQ2MDAwAwAAAAwiMTIvMTQvMjAwNyIKMTIvMTQvMjAwNwAAAAAEAAAAAAAAAA8iTmFzZGFxR1M6SU5UQyINTmFzZGFxR1M6SU5UQwEAAAAXIklRX1RFVl9FQklUREFfRldEX0NJUSIVSVFfVEVWX0VCSVREQV9GV0RfQ0lRAgAAAAZJUV9OVE0ENjAwMAMAAAALIjEyLzcvMjAwNyIJMTIvNy8yMDA3AAAAAAQAAAAAAAAADyJOYXNkYXFHUzpJTlRDIg1OYXNkYXFHUzpJTlRDAQAAABciSVFfVEVWX0VCSVREQV9GV0RfQ0lRIhVJUV9URVZfRUJJVERBX0ZXRF9DSVECAAAABklRX05UTQQ2MDAwAwAAAAwiMTEvMzAvMjAwNyIKMTEvMzAvMjAwNwAAAAAEAAAAAAAAAA8iTmFzZGFxR1M6SU5UQyINTmFzZGFxR1M6SU5UQwEAAAAXIklR</t>
  </si>
  <si>
    <t>X1RFVl9FQklUREFfRldEX0NJUSIVSVFfVEVWX0VCSVREQV9GV0RfQ0lRAgAAAAZJUV9OVE0ENjAwMAMAAAAMIjExLzIzLzIwMDciCjExLzIzLzIwMDcAAAAABAAAAAAAAAAPIk5hc2RhcUdTOklOVEMiDU5hc2RhcUdTOklOVEMBAAAAFyJJUV9URVZfRUJJVERBX0ZXRF9DSVEiFUlRX1RFVl9FQklUREFfRldEX0NJUQIAAAAGSVFfTlRNBDYwMDADAAAADCIxMS8xNi8yMDA3IgoxMS8xNi8yMDA3AAAAAAQAAAAAAAAADyJOYXNkYXFHUzpJTlRDIg1OYXNkYXFHUzpJTlRDAQAAABciSVFfVEVWX0VCSVREQV9GV0RfQ0lRIhVJUV9URVZfRUJJVERBX0ZXRF9DSVECAAAABklRX05UTQQ2MDAwAwAAAAsiMTEvOS8yMDA3IgkxMS85LzIwMDcAAAAABAAAAAAAAAAPIk5hc2RhcUdTOklOVEMiDU5hc2RhcUdTOklOVEMBAAAAFyJJUV9URVZfRUJJVERBX0ZXRF9DSVEiFUlRX1RFVl9FQklUREFfRldEX0NJUQIAAAAGSVFfTlRNBDYwMDADAAAACyIxMS8yLzIwMDciCTExLzIvMjAwNwAAAAAEAAAAAAAAAA8iTmFzZGFxR1M6SU5UQyINTmFzZGFxR1M6SU5UQwEAAAAXIklRX1RFVl9FQklUREFfRldEX0NJUSIVSVFfVEVWX0VCSVREQV9GV0RfQ0lRAgAAAAZJUV9OVE0ENjAwMAMAAAAMIjEwLzI2LzIwMDciCjEwLzI2LzIwMDcAAAAABAAAAAAAAAAPIk5hc2RhcUdTOklOVEMiDU5hc2RhcUdTOklOVEMBAAAAFyJJUV9URVZf</t>
  </si>
  <si>
    <t>RUJJVERBX0ZXRF9DSVEiFUlRX1RFVl9FQklUREFfRldEX0NJUQIAAAAGSVFfTlRNBDYwMDADAAAADCIxMC8xOS8yMDA3IgoxMC8xOS8yMDA3AAAAAAQAAAAAAAAADyJOYXNkYXFHUzpJTlRDIg1OYXNkYXFHUzpJTlRDAQAAABciSVFfVEVWX0VCSVREQV9GV0RfQ0lRIhVJUV9URVZfRUJJVERBX0ZXRF9DSVECAAAABklRX05UTQQ2MDAwAwAAAAwiMTAvMTIvMjAwNyIKMTAvMTIvMjAwNwAAAAAEAAAAAAAAAA8iTmFzZGFxR1M6SU5UQyINTmFzZGFxR1M6SU5UQwEAAAAXIklRX1RFVl9FQklUREFfRldEX0NJUSIVSVFfVEVWX0VCSVREQV9GV0RfQ0lRAgAAAAZJUV9OVE0ENjAwMAMAAAALIjEwLzUvMjAwNyIJMTAvNS8yMDA3AAAAAAQAAAAAAAAADyJOYXNkYXFHUzpJTlRDIg1OYXNkYXFHUzpJTlRDAQAAABciSVFfVEVWX0VCSVREQV9GV0RfQ0lRIhVJUV9URVZfRUJJVERBX0ZXRF9DSVECAAAABklRX05UTQQ2MDAwAwAAAAsiOS8yOC8yMDA3Igk5LzI4LzIwMDcAAAAABAAAAAAAAAAPIk5hc2RhcUdTOklOVEMiDU5hc2RhcUdTOklOVEMBAAAAFyJJUV9URVZfRUJJVERBX0ZXRF9DSVEiFUlRX1RFVl9FQklUREFfRldEX0NJUQIAAAAGSVFfTlRNBDYwMDADAAAACyI5LzIxLzIwMDciCTkvMjEvMjAwNwAAAAAEAAAAAAAAAA8iTmFzZGFxR1M6SU5UQyINTmFzZGFxR1M6SU5UQwEAAAAXIklRX1RFVl9FQklUREFf</t>
  </si>
  <si>
    <t>RldEX0NJUSIVSVFfVEVWX0VCSVREQV9GV0RfQ0lRAgAAAAZJUV9OVE0ENjAwMAMAAAALIjkvMTQvMjAwNyIJOS8xNC8yMDA3AAAAAAQAAAAAAAAADyJOYXNkYXFHUzpJTlRDIg1OYXNkYXFHUzpJTlRDAQAAABciSVFfVEVWX0VCSVREQV9GV0RfQ0lRIhVJUV9URVZfRUJJVERBX0ZXRF9DSVECAAAABklRX05UTQQ2MDAwAwAAAAoiOS83LzIwMDciCDkvNy8yMDA3AAAAAAQAAAAAAAAADyJOYXNkYXFHUzpJTlRDIg1OYXNkYXFHUzpJTlRDAQAAABciSVFfVEVWX0VCSVREQV9GV0RfQ0lRIhVJUV9URVZfRUJJVERBX0ZXRF9DSVECAAAABklRX05UTQQ2MDAwAwAAAAsiOC8zMS8yMDA3Igk4LzMxLzIwMDcAAAAABAAAAAAAAAAPIk5hc2RhcUdTOklOVEMiDU5hc2RhcUdTOklOVEMBAAAAFyJJUV9URVZfRUJJVERBX0ZXRF9DSVEiFUlRX1RFVl9FQklUREFfRldEX0NJUQIAAAAGSVFfTlRNBDYwMDADAAAACyI4LzI0LzIwMDciCTgvMjQvMjAwNwAAAAAEAAAAAAAAAA8iTmFzZGFxR1M6SU5UQyINTmFzZGFxR1M6SU5UQwEAAAAXIklRX1RFVl9FQklUREFfRldEX0NJUSIVSVFfVEVWX0VCSVREQV9GV0RfQ0lRAgAAAAZJUV9OVE0ENjAwMAMAAAALIjgvMTcvMjAwNyIJOC8xNy8yMDA3AAAAAAQAAAAAAAAADyJOYXNkYXFHUzpJTlRDIg1OYXNkYXFHUzpJTlRDAQAAABciSVFfVEVWX0VCSVREQV9GV0RfQ0lRIhVJUV9U</t>
  </si>
  <si>
    <t>RVZfRUJJVERBX0ZXRF9DSVECAAAABklRX05UTQQ2MDAwAwAAAAsiOC8xMC8yMDA3Igk4LzEwLzIwMDcAAAAABAAAAAAAAAAPIk5hc2RhcUdTOklOVEMiDU5hc2RhcUdTOklOVEMBAAAAFyJJUV9URVZfRUJJVERBX0ZXRF9DSVEiFUlRX1RFVl9FQklUREFfRldEX0NJUQIAAAAGSVFfTlRNBDYwMDADAAAACiI4LzMvMjAwNyIIOC8zLzIwMDcAAAAABAAAAAAAAAAPIk5hc2RhcUdTOklOVEMiDU5hc2RhcUdTOklOVEMBAAAAFyJJUV9URVZfRUJJVERBX0ZXRF9DSVEiFUlRX1RFVl9FQklUREFfRldEX0NJUQIAAAAGSVFfTlRNBDYwMDADAAAACyI3LzI3LzIwMDciCTcvMjcvMjAwNwAAAAAEAAAAAAAAAA8iTmFzZGFxR1M6SU5UQyINTmFzZGFxR1M6SU5UQwEAAAAXIklRX1RFVl9FQklUREFfRldEX0NJUSIVSVFfVEVWX0VCSVREQV9GV0RfQ0lRAgAAAAZJUV9OVE0ENjAwMAMAAAALIjcvMjAvMjAwNyIJNy8yMC8yMDA3AAAAAAQAAAAAAAAADyJOYXNkYXFHUzpJTlRDIg1OYXNkYXFHUzpJTlRDAQAAABciSVFfVEVWX0VCSVREQV9GV0RfQ0lRIhVJUV9URVZfRUJJVERBX0ZXRF9DSVECAAAABklRX05UTQQ2MDAwAwAAAAsiNy8xMy8yMDA3Igk3LzEzLzIwMDcAAAAABAAAAAAAAAAPIk5hc2RhcUdTOklOVEMiDU5hc2RhcUdTOklOVEMBAAAAFyJJUV9URVZfRUJJVERBX0ZXRF9DSVEiFUlRX1RFVl9FQklUREFfRldE</t>
  </si>
  <si>
    <t>X0NJUQIAAAAGSVFfTlRNBDYwMDADAAAACiI3LzYvMjAwNyIINy82LzIwMDcAAAAABAAAAAAAAAAPIk5hc2RhcUdTOklOVEMiDU5hc2RhcUdTOklOVEMBAAAAFyJJUV9URVZfRUJJVERBX0ZXRF9DSVEiFUlRX1RFVl9FQklUREFfRldEX0NJUQIAAAAGSVFfTlRNBDYwMDADAAAACyI2LzI5LzIwMDciCTYvMjkvMjAwNwAAAAAEAAAAAAAAAA8iTmFzZGFxR1M6SU5UQyINTmFzZGFxR1M6SU5UQwEAAAAXIklRX1RFVl9FQklUREFfRldEX0NJUSIVSVFfVEVWX0VCSVREQV9GV0RfQ0lRAgAAAAZJUV9OVE0ENjAwMAMAAAALIjYvMjIvMjAwNyIJNi8yMi8yMDA3AAAAAAQAAAAAAAAADyJOYXNkYXFHUzpJTlRDIg1OYXNkYXFHUzpJTlRDAQAAABciSVFfVEVWX0VCSVREQV9GV0RfQ0lRIhVJUV9URVZfRUJJVERBX0ZXRF9DSVECAAAABklRX05UTQQ2MDAwAwAAAAsiNi8xNS8yMDA3Igk2LzE1LzIwMDcAAAAABAAAAAAAAAAPIk5hc2RhcUdTOklOVEMiDU5hc2RhcUdTOklOVEMBAAAAFyJJUV9URVZfRUJJVERBX0ZXRF9DSVEiFUlRX1RFVl9FQklUREFfRldEX0NJUQIAAAAGSVFfTlRNBDYwMDADAAAACiI2LzgvMjAwNyIINi84LzIwMDcAAAAABAAAAAAAAAAPIk5hc2RhcUdTOklOVEMiDU5hc2RhcUdTOklOVEMBAAAAFyJJUV9URVZfRUJJVERBX0ZXRF9DSVEiFUlRX1RFVl9FQklUREFfRldEX0NJUQIAAAAGSVFfTlRN</t>
  </si>
  <si>
    <t>BDYwMDADAAAACiI2LzEvMjAwNyIINi8xLzIwMDcAAAAABAAAAAAAAAAPIk5hc2RhcUdTOklOVEMiDU5hc2RhcUdTOklOVEMBAAAAFyJJUV9URVZfRUJJVERBX0ZXRF9DSVEiFUlRX1RFVl9FQklUREFfRldEX0NJUQIAAAAGSVFfTlRNBDYwMDADAAAACyI1LzI1LzIwMDciCTUvMjUvMjAwNwAAAAAEAAAAAAAAAA8iTmFzZGFxR1M6SU5UQyINTmFzZGFxR1M6SU5UQwEAAAAXIklRX1RFVl9FQklUREFfRldEX0NJUSIVSVFfVEVWX0VCSVREQV9GV0RfQ0lRAgAAAAZJUV9OVE0ENjAwMAMAAAALIjUvMTgvMjAwNyIJNS8xOC8yMDA3AAAAAAQAAAAAAAAADyJOYXNkYXFHUzpJTlRDIg1OYXNkYXFHUzpJTlRDAQAAABciSVFfVEVWX0VCSVREQV9GV0RfQ0lRIhVJUV9URVZfRUJJVERBX0ZXRF9DSVECAAAABklRX05UTQQ2MDAwAwAAAAsiNS8xMS8yMDA3Igk1LzExLzIwMDcAAAAABAAAAAAAAAAPIk5hc2RhcUdTOklOVEMiDU5hc2RhcUdTOklOVEMBAAAAFyJJUV9URVZfRUJJVERBX0ZXRF9DSVEiFUlRX1RFVl9FQklUREFfRldEX0NJUQIAAAAGSVFfTlRNBDYwMDADAAAACiI1LzQvMjAwNyIINS80LzIwMDcAAAAABAAAAAAAAAAPIk5hc2RhcUdTOklOVEMiDU5hc2RhcUdTOklOVEMBAAAAFyJJUV9URVZfRUJJVERBX0ZXRF9DSVEiFUlRX1RFVl9FQklUREFfRldEX0NJUQIAAAAGSVFfTlRNBDYwMDADAAAACyI0LzI3</t>
  </si>
  <si>
    <t>LzIwMDciCTQvMjcvMjAwNwAAAAAEAAAAAAAAAA8iTmFzZGFxR1M6SU5UQyINTmFzZGFxR1M6SU5UQwEAAAAXIklRX1RFVl9FQklUREFfRldEX0NJUSIVSVFfVEVWX0VCSVREQV9GV0RfQ0lRAgAAAAZJUV9OVE0ENjAwMAMAAAALIjQvMjAvMjAwNyIJNC8yMC8yMDA3AAAAAAQAAAAAAAAADyJOYXNkYXFHUzpJTlRDIg1OYXNkYXFHUzpJTlRDAQAAABciSVFfVEVWX0VCSVREQV9GV0RfQ0lRIhVJUV9URVZfRUJJVERBX0ZXRF9DSVECAAAABklRX05UTQQ2MDAwAwAAAAsiNC8xMy8yMDA3Igk0LzEzLzIwMDcAAAAABAAAAAAAAAAPIk5hc2RhcUdTOklOVEMiDU5hc2RhcUdTOklOVEMBAAAAFyJJUV9URVZfRUJJVERBX0ZXRF9DSVEiFUlRX1RFVl9FQklUREFfRldEX0NJUQIAAAAGSVFfTlRNBDYwMDADAAAACiI0LzUvMjAwNyIINC81LzIwMDcAAAAABAAAAAAAAAAPIk5hc2RhcUdTOklOVEMiDU5hc2RhcUdTOklOVEMBAAAAFyJJUV9URVZfRUJJVERBX0ZXRF9DSVEiFUlRX1RFVl9FQklUREFfRldEX0NJUQIAAAAGSVFfTlRNBDYwMDADAAAACyIzLzMwLzIwMDciCTMvMzAvMjAwNwAAAAAEAAAAAAAAAA8iTmFzZGFxR1M6SU5UQyINTmFzZGFxR1M6SU5UQwEAAAAXIklRX1RFVl9FQklUREFfRldEX0NJUSIVSVFfVEVWX0VCSVREQV9GV0RfQ0lRAgAAAAZJUV9OVE0ENjAwMAMAAAALIjMvMjMvMjAwNyIJMy8yMy8y</t>
  </si>
  <si>
    <t>MDA3AAAAAAQAAAAAAAAADyJOYXNkYXFHUzpJTlRDIg1OYXNkYXFHUzpJTlRDAQAAABciSVFfVEVWX0VCSVREQV9GV0RfQ0lRIhVJUV9URVZfRUJJVERBX0ZXRF9DSVECAAAABklRX05UTQQ2MDAwAwAAAAsiMy8xNi8yMDA3IgkzLzE2LzIwMDcAAAAABAAAAAAAAAAPIk5hc2RhcUdTOklOVEMiDU5hc2RhcUdTOklOVEMBAAAAFyJJUV9URVZfRUJJVERBX0ZXRF9DSVEiFUlRX1RFVl9FQklUREFfRldEX0NJUQIAAAAGSVFfTlRNBDYwMDADAAAACiIzLzkvMjAwNyIIMy85LzIwMDcAAAAABAAAAAAAAAAPIk5hc2RhcUdTOklOVEMiDU5hc2RhcUdTOklOVEMBAAAAFyJJUV9URVZfRUJJVERBX0ZXRF9DSVEiFUlRX1RFVl9FQklUREFfRldEX0NJUQIAAAAGSVFfTlRNBDYwMDADAAAACiIzLzIvMjAwNyIIMy8yLzIwMDcAAAAABAAAAAAAAAAPIk5hc2RhcUdTOklOVEMiDU5hc2RhcUdTOklOVEMBAAAAFyJJUV9URVZfRUJJVERBX0ZXRF9DSVEiFUlRX1RFVl9FQklUREFfRldEX0NJUQIAAAAGSVFfTlRNBDYwMDADAAAACyIyLzIzLzIwMDciCTIvMjMvMjAwNwAAAAAEAAAAAAAAAA8iTmFzZGFxR1M6SU5UQyINTmFzZGFxR1M6SU5UQwEAAAAXIklRX1RFVl9FQklUREFfRldEX0NJUSIVSVFfVEVWX0VCSVREQV9GV0RfQ0lRAgAAAAZJUV9OVE0ENjAwMAMAAAALIjIvMTYvMjAwNyIJMi8xNi8yMDA3AAAAAAQAAAAAAAAA</t>
  </si>
  <si>
    <t>DyJOYXNkYXFHUzpJTlRDIg1OYXNkYXFHUzpJTlRDAQAAABciSVFfVEVWX0VCSVREQV9GV0RfQ0lRIhVJUV9URVZfRUJJVERBX0ZXRF9DSVECAAAABklRX05UTQQ2MDAwAwAAAAoiMi85LzIwMDciCDIvOS8yMDA3AAAAAAQAAAAAAAAADyJOYXNkYXFHUzpJTlRDIg1OYXNkYXFHUzpJTlRDAQAAABciSVFfVEVWX0VCSVREQV9GV0RfQ0lRIhVJUV9URVZfRUJJVERBX0ZXRF9DSVECAAAABklRX05UTQQ2MDAwAwAAAAoiMi8yLzIwMDciCDIvMi8yMDA3AAAAAAQAAAAAAAAADyJOYXNkYXFHUzpJTlRDIg1OYXNkYXFHUzpJTlRDAQAAABciSVFfVEVWX0VCSVREQV9GV0RfQ0lRIhVJUV9URVZfRUJJVERBX0ZXRF9DSVECAAAABklRX05UTQQ2MDAwAwAAAAsiMS8yNi8yMDA3IgkxLzI2LzIwMDcAAAAABAAAAAAAAAAPIk5hc2RhcUdTOklOVEMiDU5hc2RhcUdTOklOVEMBAAAAFyJJUV9URVZfRUJJVERBX0ZXRF9DSVEiFUlRX1RFVl9FQklUREFfRldEX0NJUQIAAAAGSVFfTlRNBDYwMDADAAAACyIxLzE5LzIwMDciCTEvMTkvMjAwNwAAAAAEAAAAAAAAAA8iTmFzZGFxR1M6SU5UQyINTmFzZGFxR1M6SU5UQwEAAAAXIklRX1RFVl9FQklUREFfRldEX0NJUSIVSVFfVEVWX0VCSVREQV9GV0RfQ0lRAgAAAAZJUV9OVE0ENjAwMAMAAAALIjEvMTIvMjAwNyIJMS8xMi8yMDA3AAAAAAQAAAAAAAAADyJOYXNkYXFHUzpJTlRD</t>
  </si>
  <si>
    <t>Ig1OYXNkYXFHUzpJTlRDAQAAABciSVFfVEVWX0VCSVREQV9GV0RfQ0lRIhVJUV9URVZfRUJJVERBX0ZXRF9DSVECAAAABklRX05UTQQ2MDAwAwAAAAoiMS81LzIwMDciCDEvNS8yMDA3AAAAAAQAAAAAAAAADyJOYXNkYXFHUzpJTlRDIg1OYXNkYXFHUzpJTlRDAQAAABciSVFfVEVWX0VCSVREQV9GV0RfQ0lRIhVJUV9URVZfRUJJVERBX0ZXRF9DSVECAAAABklRX05UTQQ2MDAwAwAAAAwiMTIvMjkvMjAwNiIKMTIvMjkvMjAwNgAAAAAEAAAAAAAAAA8iTmFzZGFxR1M6SU5UQyINTmFzZGFxR1M6SU5UQwEAAAAXIklRX1RFVl9FQklUREFfRldEX0NJUSIVSVFfVEVWX0VCSVREQV9GV0RfQ0lRAgAAAAZJUV9OVE0ENjAwMAMAAAAMIjEyLzIyLzIwMDYiCjEyLzIyLzIwMDYAAAAABAAAAAAAAAAPIk5hc2RhcUdTOklOVEMiDU5hc2RhcUdTOklOVEMBAAAAFyJJUV9URVZfRUJJVERBX0ZXRF9DSVEiFUlRX1RFVl9FQklUREFfRldEX0NJUQIAAAAGSVFfTlRNBDYwMDADAAAADCIxMi8xNS8yMDA2IgoxMi8xNS8yMDA2AAAAAAQAAAAAAAAADyJOYXNkYXFHUzpJTlRDIg1OYXNkYXFHUzpJTlRDAQAAABciSVFfVEVWX0VCSVREQV9GV0RfQ0lRIhVJUV9URVZfRUJJVERBX0ZXRF9DSVECAAAABklRX05UTQQ2MDAwAwAAAAsiMTIvOC8yMDA2IgkxMi84LzIwMDYAAAAABAAAAAAAAAAPIk5hc2RhcUdTOklOVEMiDU5hc2Rh</t>
  </si>
  <si>
    <t>cUdTOklOVEMBAAAAFyJJUV9URVZfRUJJVERBX0ZXRF9DSVEiFUlRX1RFVl9FQklUREFfRldEX0NJUQIAAAAGSVFfTlRNBDYwMDADAAAACyIxMi8xLzIwMDYiCTEyLzEvMjAwNgAAAAAEAAAAAAAAAA8iTmFzZGFxR1M6SU5UQyINTmFzZGFxR1M6SU5UQwEAAAAXIklRX1RFVl9FQklUREFfRldEX0NJUSIVSVFfVEVWX0VCSVREQV9GV0RfQ0lRAgAAAAZJUV9OVE0ENjAwMAMAAAAMIjExLzI0LzIwMDYiCjExLzI0LzIwMDYAAAAABAAAAAAAAAAPIk5hc2RhcUdTOklOVEMiDU5hc2RhcUdTOklOVEMBAAAAFyJJUV9URVZfRUJJVERBX0ZXRF9DSVEiFUlRX1RFVl9FQklUREFfRldEX0NJUQIAAAAGSVFfTlRNBDYwMDADAAAADCIxMS8xNy8yMDA2IgoxMS8xNy8yMDA2AAAAAAQAAAAAAAAADyJOYXNkYXFHUzpJTlRDIg1OYXNkYXFHUzpJTlRDAQAAABciSVFfVEVWX0VCSVREQV9GV0RfQ0lRIhVJUV9URVZfRUJJVERBX0ZXRF9DSVECAAAABklRX05UTQQ2MDAwAwAAAAwiMTEvMTAvMjAwNiIKMTEvMTAvMjAwNgAAAAAEAAAAAAAAAA8iTmFzZGFxR1M6SU5UQyINTmFzZGFxR1M6SU5UQwEAAAAXIklRX1RFVl9FQklUREFfRldEX0NJUSIVSVFfVEVWX0VCSVREQV9GV0RfQ0lRAgAAAAZJUV9OVE0ENjAwMAMAAAALIjExLzMvMjAwNiIJMTEvMy8yMDA2AAAAAAQAAAAAAAAADyJOYXNkYXFHUzpJTlRDIg1OYXNkYXFHUzpJ</t>
  </si>
  <si>
    <t>TlRDAQAAABciSVFfVEVWX0VCSVREQV9GV0RfQ0lRIhVJUV9URVZfRUJJVERBX0ZXRF9DSVECAAAABklRX05UTQQ2MDAwAwAAAAwiMTAvMjcvMjAwNiIKMTAvMjcvMjAwNgAAAAAEAAAAAAAAAA8iTmFzZGFxR1M6SU5UQyINTmFzZGFxR1M6SU5UQwEAAAAXIklRX1RFVl9FQklUREFfRldEX0NJUSIVSVFfVEVWX0VCSVREQV9GV0RfQ0lRAgAAAAZJUV9OVE0ENjAwMAMAAAAMIjEwLzIwLzIwMDYiCjEwLzIwLzIwMDYAAAAABAAAAAAAAAAPIk5hc2RhcUdTOklOVEMiDU5hc2RhcUdTOklOVEMBAAAAFyJJUV9URVZfRUJJVERBX0ZXRF9DSVEiFUlRX1RFVl9FQklUREFfRldEX0NJUQIAAAAGSVFfTlRNBDYwMDADAAAADCIxMC8xMy8yMDA2IgoxMC8xMy8yMDA2AAAAAAQAAAAAAAAADyJOYXNkYXFHUzpJTlRDIg1OYXNkYXFHUzpJTlRDAQAAABciSVFfVEVWX0VCSVREQV9GV0RfQ0lRIhVJUV9URVZfRUJJVERBX0ZXRF9DSVECAAAABklRX05UTQQ2MDAwAwAAAAsiMTAvNi8yMDA2IgkxMC82LzIwMDYAAAAABAAAAAAAAAAPIk5hc2RhcUdTOklOVEMiDU5hc2RhcUdTOklOVEMBAAAAFyJJUV9URVZfRUJJVERBX0ZXRF9DSVEiFUlRX1RFVl9FQklUREFfRldEX0NJUQIAAAAGSVFfTlRNBDYwMDADAAAACyI5LzI5LzIwMDYiCTkvMjkvMjAwNgAAAAAEAAAAAAAAAA8iTmFzZGFxR1M6SU5UQyINTmFzZGFxR1M6SU5UQwEA</t>
  </si>
  <si>
    <t>AAAXIklRX1RFVl9FQklUREFfRldEX0NJUSIVSVFfVEVWX0VCSVREQV9GV0RfQ0lRAgAAAAZJUV9OVE0ENjAwMAMAAAALIjkvMjIvMjAwNiIJOS8yMi8yMDA2AAAAAAQAAAAAAAAADyJOYXNkYXFHUzpJTlRDIg1OYXNkYXFHUzpJTlRDAQAAABciSVFfVEVWX0VCSVREQV9GV0RfQ0lRIhVJUV9URVZfRUJJVERBX0ZXRF9DSVECAAAABklRX05UTQQ2MDAwAwAAAAsiOS8xNS8yMDA2Igk5LzE1LzIwMDYAAAAABAAAAAAAAAAPIk5hc2RhcUdTOklOVEMiDU5hc2RhcUdTOklOVEMBAAAAFyJJUV9URVZfRUJJVERBX0ZXRF9DSVEiFUlRX1RFVl9FQklUREFfRldEX0NJUQIAAAAGSVFfTlRNBDYwMDADAAAACiI5LzgvMjAwNiIIOS84LzIwMDYAAAAABAAAAAAAAAAPIk5hc2RhcUdTOklOVEMiDU5hc2RhcUdTOklOVEMBAAAAFyJJUV9URVZfRUJJVERBX0ZXRF9DSVEiFUlRX1RFVl9FQklUREFfRldEX0NJUQIAAAAGSVFfTlRNBDYwMDADAAAACiI5LzEvMjAwNiIIOS8xLzIwMDYAAAAABAAAAAAAAAAPIk5hc2RhcUdTOklOVEMiDU5hc2RhcUdTOklOVEMBAAAAFyJJUV9URVZfRUJJVERBX0ZXRF9DSVEiFUlRX1RFVl9FQklUREFfRldEX0NJUQIAAAAGSVFfTlRNBDYwMDADAAAACyI4LzI1LzIwMDYiCTgvMjUvMjAwNgAAAAAEAAAAAAAAAA8iTmFzZGFxR1M6SU5UQyINTmFzZGFxR1M6SU5UQwEAAAAXIklRX1RFVl9FQklU</t>
  </si>
  <si>
    <t>REFfRldEX0NJUSIVSVFfVEVWX0VCSVREQV9GV0RfQ0lRAgAAAAZJUV9OVE0ENjAwMAMAAAALIjgvMTgvMjAwNiIJOC8xOC8yMDA2AAAAAAQAAAAAAAAADyJOYXNkYXFHUzpJTlRDIg1OYXNkYXFHUzpJTlRDAQAAABciSVFfVEVWX0VCSVREQV9GV0RfQ0lRIhVJUV9URVZfRUJJVERBX0ZXRF9DSVECAAAABklRX05UTQQ2MDAwAwAAAAsiOC8xMS8yMDA2Igk4LzExLzIwMDYAAAAABAAAAAAAAAAPIk5hc2RhcUdTOklOVEMiDU5hc2RhcUdTOklOVEMBAAAAFyJJUV9URVZfRUJJVERBX0ZXRF9DSVEiFUlRX1RFVl9FQklUREFfRldEX0NJUQIAAAAGSVFfTlRNBDYwMDADAAAACiI4LzQvMjAwNiIIOC80LzIwMDYAAAAABAAAAAAAAAAPIk5hc2RhcUdTOklOVEMiDU5hc2RhcUdTOklOVEMBAAAAFyJJUV9URVZfRUJJVERBX0ZXRF9DSVEiFUlRX1RFVl9FQklUREFfRldEX0NJUQIAAAAGSVFfTlRNBDYwMDADAAAACyI3LzI4LzIwMDYiCTcvMjgvMjAwNgAAAAAEAAAAAAAAAA8iTmFzZGFxR1M6SU5UQyINTmFzZGFxR1M6SU5UQwEAAAAXIklRX1RFVl9FQklUREFfRldEX0NJUSIVSVFfVEVWX0VCSVREQV9GV0RfQ0lRAgAAAAZJUV9OVE0ENjAwMAMAAAALIjcvMjEvMjAwNiIJNy8yMS8yMDA2AAAAAAQAAAAAAAAADyJOYXNkYXFHUzpJTlRDIg1OYXNkYXFHUzpJTlRDAQAAABciSVFfVEVWX0VCSVREQV9GV0RfQ0lRIhVJ</t>
  </si>
  <si>
    <t>UV9URVZfRUJJVERBX0ZXRF9DSVECAAAABklRX05UTQQ2MDAwAwAAAAsiNy8xNC8yMDA2Igk3LzE0LzIwMDYAAAAABAAAAAAAAAAPIk5hc2RhcUdTOklOVEMiDU5hc2RhcUdTOklOVEMBAAAAFyJJUV9URVZfRUJJVERBX0ZXRF9DSVEiFUlRX1RFVl9FQklUREFfRldEX0NJUQIAAAAGSVFfTlRNBDYwMDADAAAACiI3LzcvMjAwNiIINy83LzIwMDYAAAAABAAAAAAAAAAPIk5hc2RhcUdTOklOVEMiDU5hc2RhcUdTOklOVEMBAAAAFyJJUV9URVZfRUJJVERBX0ZXRF9DSVEiFUlRX1RFVl9FQklUREFfRldEX0NJUQIAAAAGSVFfTlRNBDYwMDADAAAACyI2LzMwLzIwMDYiCTYvMzAvMjAwNgAAAAAEAAAAAAAAAA8iTmFzZGFxR1M6SU5UQyINTmFzZGFxR1M6SU5UQwEAAAAXIklRX1RFVl9FQklUREFfRldEX0NJUSIVSVFfVEVWX0VCSVREQV9GV0RfQ0lRAgAAAAZJUV9OVE0ENjAwMAMAAAALIjYvMjMvMjAwNiIJNi8yMy8yMDA2AAAAAAQAAAAAAAAADyJOYXNkYXFHUzpJTlRDIg1OYXNkYXFHUzpJTlRDAQAAABciSVFfVEVWX0VCSVREQV9GV0RfQ0lRIhVJUV9URVZfRUJJVERBX0ZXRF9DSVECAAAABklRX05UTQQ2MDAwAwAAAAsiNi8xNi8yMDA2Igk2LzE2LzIwMDYAAAAABAAAAAAAAAAPIk5hc2RhcUdTOklOVEMiDU5hc2RhcUdTOklOVEMBAAAAFyJJUV9URVZfRUJJVERBX0ZXRF9DSVEiFUlRX1RFVl9FQklUREFf</t>
  </si>
  <si>
    <t>RldEX0NJUQIAAAAGSVFfTlRNBDYwMDADAAAACiI2LzkvMjAwNiIINi85LzIwMDYAAAAABAAAAAAAAAAPIk5hc2RhcUdTOklOVEMiDU5hc2RhcUdTOklOVEMBAAAAFyJJUV9URVZfRUJJVERBX0ZXRF9DSVEiFUlRX1RFVl9FQklUREFfRldEX0NJUQIAAAAGSVFfTlRNBDYwMDADAAAACiI2LzIvMjAwNiIINi8yLzIwMDYAAAAABAAAAAAAAAAPIk5hc2RhcUdTOklOVEMiDU5hc2RhcUdTOklOVEMBAAAAFyJJUV9URVZfRUJJVERBX0ZXRF9DSVEiFUlRX1RFVl9FQklUREFfRldEX0NJUQIAAAAGSVFfTlRNBDYwMDADAAAACyI1LzI2LzIwMDYiCTUvMjYvMjAwNgAAAAAEAAAAAAAAAA8iTmFzZGFxR1M6SU5UQyINTmFzZGFxR1M6SU5UQwEAAAAXIklRX1RFVl9FQklUREFfRldEX0NJUSIVSVFfVEVWX0VCSVREQV9GV0RfQ0lRAgAAAAZJUV9OVE0ENjAwMAMAAAALIjUvMTkvMjAwNiIJNS8xOS8yMDA2AAAAAAQAAAAAAAAADyJOYXNkYXFHUzpJTlRDIg1OYXNkYXFHUzpJTlRDAQAAABciSVFfVEVWX0VCSVREQV9GV0RfQ0lRIhVJUV9URVZfRUJJVERBX0ZXRF9DSVECAAAABklRX05UTQQ2MDAwAwAAAAsiNS8xMi8yMDA2Igk1LzEyLzIwMDYAAAAABAAAAAAAAAAPIk5hc2RhcUdTOklOVEMiDU5hc2RhcUdTOklOVEMBAAAAFyJJUV9URVZfRUJJVERBX0ZXRF9DSVEiFUlRX1RFVl9FQklUREFfRldEX0NJUQIAAAAGSVFf</t>
  </si>
  <si>
    <t>TlRNBDYwMDADAAAACiI1LzUvMjAwNiIINS81LzIwMDYAAAAABAAAAAAAAAAPIk5hc2RhcUdTOklOVEMiDU5hc2RhcUdTOklOVEMBAAAAFyJJUV9URVZfRUJJVERBX0ZXRF9DSVEiFUlRX1RFVl9FQklUREFfRldEX0NJUQIAAAAGSVFfTlRNBDYwMDADAAAACyI0LzI4LzIwMDYiCTQvMjgvMjAwNgAAAAAEAAAAAAAAAA8iTmFzZGFxR1M6SU5UQyINTmFzZGFxR1M6SU5UQwEAAAAXIklRX1RFVl9FQklUREFfRldEX0NJUSIVSVFfVEVWX0VCSVREQV9GV0RfQ0lRAgAAAAZJUV9OVE0ENjAwMAMAAAALIjQvMjEvMjAwNiIJNC8yMS8yMDA2AAAAAAQAAAAAAAAADyJOYXNkYXFHUzpJTlRDIg1OYXNkYXFHUzpJTlRDAQAAABciSVFfVEVWX0VCSVREQV9GV0RfQ0lRIhVJUV9URVZfRUJJVERBX0ZXRF9DSVECAAAABklRX05UTQQ2MDAwAwAAAAsiNC8xMy8yMDA2Igk0LzEzLzIwMDYAAAAABAAAAAAAAAAPIk5hc2RhcUdTOklOVEMiDU5hc2RhcUdTOklOVEMBAAAAFyJJUV9URVZfRUJJVERBX0ZXRF9DSVEiFUlRX1RFVl9FQklUREFfRldEX0NJUQIAAAAGSVFfTlRNBDYwMDADAAAACiI0LzcvMjAwNiIINC83LzIwMDYAAAAABAAAAAAAAAAPIk5hc2RhcUdTOklOVEMiDU5hc2RhcUdTOklOVEMBAAAAFyJJUV9URVZfRUJJVERBX0ZXRF9DSVEiFUlRX1RFVl9FQklUREFfRldEX0NJUQIAAAAGSVFfTlRNBDYwMDADAAAACyIz</t>
  </si>
  <si>
    <t>LzMxLzIwMDYiCTMvMzEvMjAwNgAAAAAEAAAAAAAAAA8iTmFzZGFxR1M6SU5UQyINTmFzZGFxR1M6SU5UQwEAAAAXIklRX1RFVl9FQklUREFfRldEX0NJUSIVSVFfVEVWX0VCSVREQV9GV0RfQ0lRAgAAAAZJUV9OVE0ENjAwMAMAAAALIjMvMjQvMjAwNiIJMy8yNC8yMDA2AAAAAAQAAAAAAAAADyJOYXNkYXFHUzpJTlRDIg1OYXNkYXFHUzpJTlRDAQAAABciSVFfVEVWX0VCSVREQV9GV0RfQ0lRIhVJUV9URVZfRUJJVERBX0ZXRF9DSVECAAAABklRX05UTQQ2MDAwAwAAAAsiMy8xNy8yMDA2IgkzLzE3LzIwMDYAAAAABAAAAAAAAAAPIk5hc2RhcUdTOklOVEMiDU5hc2RhcUdTOklOVEMBAAAAFyJJUV9URVZfRUJJVERBX0ZXRF9DSVEiFUlRX1RFVl9FQklUREFfRldEX0NJUQIAAAAGSVFfTlRNBDYwMDADAAAACyIzLzEwLzIwMDYiCTMvMTAvMjAwNgAAAAAEAAAAAAAAAA8iTmFzZGFxR1M6SU5UQyINTmFzZGFxR1M6SU5UQwEAAAAXIklRX1RFVl9FQklUREFfRldEX0NJUSIVSVFfVEVWX0VCSVREQV9GV0RfQ0lRAgAAAAZJUV9OVE0ENjAwMAMAAAAKIjMvMy8yMDA2IggzLzMvMjAwNgAAAAAEAAAAAAAAAA8iTmFzZGFxR1M6SU5UQyINTmFzZGFxR1M6SU5UQwEAAAAXIklRX1RFVl9FQklUREFfRldEX0NJUSIVSVFfVEVWX0VCSVREQV9GV0RfQ0lRAgAAAAZJUV9OVE0ENjAwMAMAAAALIjIvMjQvMjAwNiIJMi8y</t>
  </si>
  <si>
    <t>NC8yMDA2AAAAAAQAAAAAAAAADyJOYXNkYXFHUzpJTlRDIg1OYXNkYXFHUzpJTlRDAQAAABciSVFfVEVWX0VCSVREQV9GV0RfQ0lRIhVJUV9URVZfRUJJVERBX0ZXRF9DSVECAAAABklRX05UTQQ2MDAwAwAAAAsiMi8xNy8yMDA2IgkyLzE3LzIwMDYAAAAABAAAAAAAAAAPIk5hc2RhcUdTOklOVEMiDU5hc2RhcUdTOklOVEMBAAAAFyJJUV9URVZfRUJJVERBX0ZXRF9DSVEiFUlRX1RFVl9FQklUREFfRldEX0NJUQIAAAAGSVFfTlRNBDYwMDADAAAACyIyLzEwLzIwMDYiCTIvMTAvMjAwNgAAAAAEAAAAAAAAAA8iTmFzZGFxR1M6SU5UQyINTmFzZGFxR1M6SU5UQwEAAAAXIklRX1RFVl9FQklUREFfRldEX0NJUSIVSVFfVEVWX0VCSVREQV9GV0RfQ0lRAgAAAAZJUV9OVE0ENjAwMAMAAAAKIjIvMy8yMDA2IggyLzMvMjAwNgAAAAAEAAAAAAAAAA8iTmFzZGFxR1M6SU5UQyINTmFzZGFxR1M6SU5UQwEAAAAXIklRX1RFVl9FQklUREFfRldEX0NJUSIVSVFfVEVWX0VCSVREQV9GV0RfQ0lRAgAAAAZJUV9OVE0ENjAwMAMAAAALIjEvMjcvMjAwNiIJMS8yNy8yMDA2AAAAAAQAAAAAAAAADyJOYXNkYXFHUzpJTlRDIg1OYXNkYXFHUzpJTlRDAQAAABciSVFfVEVWX0VCSVREQV9GV0RfQ0lRIhVJUV9URVZfRUJJVERBX0ZXRF9DSVECAAAABklRX05UTQQ2MDAwAwAAAAsiMS8yMC8yMDA2IgkxLzIwLzIwMDYAAAAABAAA</t>
  </si>
  <si>
    <t>AAAAAAAPIk5hc2RhcUdTOklOVEMiDU5hc2RhcUdTOklOVEMBAAAAFyJJUV9URVZfRUJJVERBX0ZXRF9DSVEiFUlRX1RFVl9FQklUREFfRldEX0NJUQIAAAAGSVFfTlRNBDYwMDADAAAACyIxLzEzLzIwMDYiCTEvMTMvMjAwNgAAAAAEAAAAAAAAAA8iTmFzZGFxR1M6SU5UQyINTmFzZGFxR1M6SU5UQwEAAAAXIklRX1RFVl9FQklUREFfRldEX0NJUSIVSVFfVEVWX0VCSVREQV9GV0RfQ0lRAgAAAAZJUV9OVE0ENjAwMAMAAAAKIjEvNi8yMDA2IggxLzYvMjAwNgAAAAAEAAAAAAAAAA8iTmFzZGFxR1M6SU5UQyINTmFzZGFxR1M6SU5UQwEAAAAXIklRX1RFVl9FQklUREFfRldEX0NJUSIVSVFfVEVWX0VCSVREQV9GV0RfQ0lRAgAAAAZJUV9OVE0ENjAwMAMAAAAMIjEyLzMwLzIwMDUiCjEyLzMwLzIwMDUAAAAABAAAAAAAAAAPIk5hc2RhcUdTOklOVEMiDU5hc2RhcUdTOklOVEMBAAAAFyJJUV9URVZfRUJJVERBX0ZXRF9DSVEiFUlRX1RFVl9FQklUREFfRldEX0NJUQIAAAAGSVFfTlRNBDYwMDADAAAADCIxMi8yMy8yMDA1IgoxMi8yMy8yMDA1AAAAAAQAAAAAAAAADyJOYXNkYXFHUzpJTlRDIg1OYXNkYXFHUzpJTlRDAQAAABciSVFfVEVWX0VCSVREQV9GV0RfQ0lRIhVJUV9URVZfRUJJVERBX0ZXRF9DSVECAAAABklRX05UTQQ2MDAwAwAAAAwiMTIvMTYvMjAwNSIKMTIvMTYvMjAwNQAAAAAEAAAAAAAAAA8i</t>
  </si>
  <si>
    <t>TmFzZGFxR1M6SU5UQyINTmFzZGFxR1M6SU5UQwEAAAAXIklRX1RFVl9FQklUREFfRldEX0NJUSIVSVFfVEVWX0VCSVREQV9GV0RfQ0lRAgAAAAZJUV9OVE0ENjAwMAMAAAALIjEyLzkvMjAwNSIJMTIvOS8yMDA1AAAAAAQAAAAAAAAADyJOYXNkYXFHUzpJTlRDIg1OYXNkYXFHUzpJTlRDAQAAABciSVFfVEVWX0VCSVREQV9GV0RfQ0lRIhVJUV9URVZfRUJJVERBX0ZXRF9DSVECAAAABklRX05UTQQ2MDAwAwAAAAsiMTIvMi8yMDA1IgkxMi8yLzIwMDUAAAAABAAAAAAAAAAPIk5hc2RhcUdTOklOVEMiDU5hc2RhcUdTOklOVEMBAAAAFyJJUV9URVZfRUJJVERBX0ZXRF9DSVEiFUlRX1RFVl9FQklUREFfRldEX0NJUQIAAAAGSVFfTlRNBDYwMDADAAAADCIxMS8yNS8yMDA1IgoxMS8yNS8yMDA1AAAAAAQAAAAAAAAADyJOYXNkYXFHUzpJTlRDIg1OYXNkYXFHUzpJTlRDAQAAABciSVFfVEVWX0VCSVREQV9GV0RfQ0lRIhVJUV9URVZfRUJJVERBX0ZXRF9DSVECAAAABklRX05UTQQ2MDAwAwAAAAwiMTEvMTgvMjAwNSIKMTEvMTgvMjAwNQAAAAAEAAAAAAAAAA8iTmFzZGFxR1M6SU5UQyINTmFzZGFxR1M6SU5UQwEAAAAXIklRX1RFVl9FQklUREFfRldEX0NJUSIVSVFfVEVWX0VCSVREQV9GV0RfQ0lRAgAAAAZJUV9OVE0ENjAwMAMAAAAMIjExLzExLzIwMDUiCjExLzExLzIwMDUAAAAABAAAAAAAAAAPIk5hc2Rh</t>
  </si>
  <si>
    <t>cUdTOklOVEMiDU5hc2RhcUdTOklOVEMBAAAAFyJJUV9URVZfRUJJVERBX0ZXRF9DSVEiFUlRX1RFVl9FQklUREFfRldEX0NJUQIAAAAGSVFfTlRNBDYwMDADAAAACyIxMS80LzIwMDUiCTExLzQvMjAwNQAAAAAEAAAAAAAAAA8iTmFzZGFxR1M6SU5UQyINTmFzZGFxR1M6SU5UQwEAAAAXIklRX1RFVl9FQklUREFfRldEX0NJUSIVSVFfVEVWX0VCSVREQV9GV0RfQ0lRAgAAAAZJUV9OVE0ENjAwMAMAAAAMIjEwLzI4LzIwMDUiCjEwLzI4LzIwMDUAAAAABAAAAAAAAAAPIk5hc2RhcUdTOklOVEMiDU5hc2RhcUdTOklOVEMBAAAAFyJJUV9URVZfRUJJVERBX0ZXRF9DSVEiFUlRX1RFVl9FQklUREFfRldEX0NJUQIAAAAGSVFfTlRNBDYwMDADAAAADCIxMC8yMS8yMDA1IgoxMC8yMS8yMDA1AAAAAAQAAAAAAAAADyJOYXNkYXFHUzpJTlRDIg1OYXNkYXFHUzpJTlRDAQAAABciSVFfVEVWX0VCSVREQV9GV0RfQ0lRIhVJUV9URVZfRUJJVERBX0ZXRF9DSVECAAAABklRX05UTQQ2MDAwAwAAAAwiMTAvMTQvMjAwNSIKMTAvMTQvMjAwNQAAAAAEAAAAAAAAAA8iTmFzZGFxR1M6SU5UQyINTmFzZGFxR1M6SU5UQwEAAAAXIklRX1RFVl9FQklUREFfRldEX0NJUSIVSVFfVEVWX0VCSVREQV9GV0RfQ0lRAgAAAAZJUV9OVE0ENjAwMAMAAAALIjEwLzcvMjAwNSIJMTAvNy8yMDA1AAAAAAQAAAAAAAAADyJOYXNkYXFHUzpJ</t>
  </si>
  <si>
    <t>TlRDIg1OYXNkYXFHUzpJTlRDAQAAABciSVFfVEVWX0VCSVREQV9GV0RfQ0lRIhVJUV9URVZfRUJJVERBX0ZXRF9DSVECAAAABklRX05UTQQ2MDAwAwAAAAsiOS8zMC8yMDA1Igk5LzMwLzIwMDUAAAAABAAAAAAAAAAPIk5hc2RhcUdTOklOVEMiDU5hc2RhcUdTOklOVEMBAAAAFyJJUV9URVZfRUJJVERBX0ZXRF9DSVEiFUlRX1RFVl9FQklUREFfRldEX0NJUQIAAAAGSVFfTlRNBDYwMDADAAAACyI5LzIzLzIwMDUiCTkvMjMvMjAwNQAAAAAEAAAAAAAAAA8iTmFzZGFxR1M6SU5UQyINTmFzZGFxR1M6SU5UQwEAAAAXIklRX1RFVl9FQklUREFfRldEX0NJUSIVSVFfVEVWX0VCSVREQV9GV0RfQ0lRAgAAAAZJUV9OVE0ENjAwMAMAAAALIjkvMTYvMjAwNSIJOS8xNi8yMDA1AAAAAAQAAAAAAAAADyJOYXNkYXFHUzpJTlRDIg1OYXNkYXFHUzpJTlRDAQAAABciSVFfVEVWX0VCSVREQV9GV0RfQ0lRIhVJUV9URVZfRUJJVERBX0ZXRF9DSVECAAAABklRX05UTQQ2MDAwAwAAAAoiOS85LzIwMDUiCDkvOS8yMDA1AAAAAAQAAAAAAAAADyJOYXNkYXFHUzpJTlRDIg1OYXNkYXFHUzpJTlRDAQAAABciSVFfVEVWX0VCSVREQV9GV0RfQ0lRIhVJUV9URVZfRUJJVERBX0ZXRF9DSVECAAAABklRX05UTQQ2MDAwAwAAAAoiOS8yLzIwMDUiCDkvMi8yMDA1AAAAAAQAAAAAAAAADyJOYXNkYXFHUzpJTlRDIg1OYXNkYXFHUzpJ</t>
  </si>
  <si>
    <t>TlRDAQAAABciSVFfVEVWX0VCSVREQV9GV0RfQ0lRIhVJUV9URVZfRUJJVERBX0ZXRF9DSVECAAAABklRX05UTQQ2MDAwAwAAAAsiOC8yNi8yMDA1Igk4LzI2LzIwMDUAAAAABAAAAAAAAAAPIk5hc2RhcUdTOklOVEMiDU5hc2RhcUdTOklOVEMBAAAAFyJJUV9URVZfRUJJVERBX0ZXRF9DSVEiFUlRX1RFVl9FQklUREFfRldEX0NJUQIAAAAGSVFfTlRNBDYwMDADAAAACyI4LzE5LzIwMDUiCTgvMTkvMjAwNQAAAAAEAAAAAAAAAA8iTmFzZGFxR1M6SU5UQyINTmFzZGFxR1M6SU5UQwEAAAAXIklRX1RFVl9FQklUREFfRldEX0NJUSIVSVFfVEVWX0VCSVREQV9GV0RfQ0lRAgAAAAZJUV9OVE0ENjAwMAMAAAALIjgvMTIvMjAwNSIJOC8xMi8yMDA1AAAAAAQAAAAAAAAADyJOYXNkYXFHUzpJTlRDIg1OYXNkYXFHUzpJTlRDAQAAABciSVFfVEVWX0VCSVREQV9GV0RfQ0lRIhVJUV9URVZfRUJJVERBX0ZXRF9DSVECAAAABklRX05UTQQ2MDAwAwAAAAoiOC81LzIwMDUiCDgvNS8yMDA1AAAAAAQAAAAAAAAADyJOYXNkYXFHUzpJTlRDIg1OYXNkYXFHUzpJTlRDAQAAABciSVFfVEVWX0VCSVREQV9GV0RfQ0lRIhVJUV9URVZfRUJJVERBX0ZXRF9DSVECAAAABklRX05UTQQ2MDAwAwAAAAsiNy8yOS8yMDA1Igk3LzI5LzIwMDUAAAAABAAAAAAAAAAPIk5hc2RhcUdTOklOVEMiDU5hc2RhcUdTOklOVEMBAAAAFyJJUV9U</t>
  </si>
  <si>
    <t>RVZfRUJJVERBX0ZXRF9DSVEiFUlRX1RFVl9FQklUREFfRldEX0NJUQIAAAAGSVFfTlRNBDYwMDADAAAACyI3LzIyLzIwMDUiCTcvMjIvMjAwNQAAAAAEAAAAAAAAAA8iTmFzZGFxR1M6SU5UQyINTmFzZGFxR1M6SU5UQwEAAAAXIklRX1RFVl9FQklUREFfRldEX0NJUSIVSVFfVEVWX0VCSVREQV9GV0RfQ0lRAgAAAAZJUV9OVE0ENjAwMAMAAAALIjcvMTUvMjAwNSIJNy8xNS8yMDA1AAAAAAQAAAAAAAAADyJOYXNkYXFHUzpJTlRDIg1OYXNkYXFHUzpJTlRDAQAAABciSVFfVEVWX0VCSVREQV9GV0RfQ0lRIhVJUV9URVZfRUJJVERBX0ZXRF9DSVECAAAABklRX05UTQQ2MDAwAwAAAAoiNy84LzIwMDUiCDcvOC8yMDA1AAAAAAQAAAAAAAAADyJOYXNkYXFHUzpJTlRDIg1OYXNkYXFHUzpJTlRDAQAAABciSVFfVEVWX0VCSVREQV9GV0RfQ0lRIhVJUV9URVZfRUJJVERBX0ZXRF9DSVECAAAABklRX05UTQQ2MDAwAwAAAAoiNy8xLzIwMDUiCDcvMS8yMDA1AAAAAAQAAAAAAAAADyJOYXNkYXFHUzpJTlRDIg1OYXNkYXFHUzpJTlRDAQAAABciSVFfVEVWX0VCSVREQV9GV0RfQ0lRIhVJUV9URVZfRUJJVERBX0ZXRF9DSVECAAAABklRX05UTQQ2MDAwAwAAAAsiNi8yNC8yMDA1Igk2LzI0LzIwMDUAAAAABAAAAAAAAAAPIk5hc2RhcUdTOklOVEMiDU5hc2RhcUdTOklOVEMBAAAAFyJJUV9URVZfRUJJVERBX0ZXRF9D</t>
  </si>
  <si>
    <t>SVEiFUlRX1RFVl9FQklUREFfRldEX0NJUQIAAAAGSVFfTlRNBDYwMDADAAAACyI2LzE3LzIwMDUiCTYvMTcvMjAwNQAAAAAEAAAAAAAAAA8iTmFzZGFxR1M6SU5UQyINTmFzZGFxR1M6SU5UQwEAAAAXIklRX1RFVl9FQklUREFfRldEX0NJUSIVSVFfVEVWX0VCSVREQV9GV0RfQ0lRAgAAAAZJUV9OVE0ENjAwMAMAAAALIjYvMTAvMjAwNSIJNi8xMC8yMDA1AAAAAAQAAAAAAAAADyJOYXNkYXFHUzpJTlRDIg1OYXNkYXFHUzpJTlRDAQAAABciSVFfVEVWX0VCSVREQV9GV0RfQ0lRIhVJUV9URVZfRUJJVERBX0ZXRF9DSVECAAAABklRX05UTQQ2MDAwAwAAAAoiNi8zLzIwMDUiCDYvMy8yMDA1AAAAAAQAAAAAAAAADyJOYXNkYXFHUzpJTlRDIg1OYXNkYXFHUzpJTlRDAQAAABciSVFfVEVWX0VCSVREQV9GV0RfQ0lRIhVJUV9URVZfRUJJVERBX0ZXRF9DSVECAAAABklRX05UTQQ2MDAwAwAAAAsiNS8yNy8yMDA1Igk1LzI3LzIwMDUAAAAABAAAAAAAAAAPIk5hc2RhcUdTOklOVEMiDU5hc2RhcUdTOklOVEMBAAAAFyJJUV9URVZfRUJJVERBX0ZXRF9DSVEiFUlRX1RFVl9FQklUREFfRldEX0NJUQIAAAAGSVFfTlRNBDYwMDADAAAACyI1LzIwLzIwMDUiCTUvMjAvMjAwNQAAAAAEAAAAAAAAAA8iTmFzZGFxR1M6SU5UQyINTmFzZGFxR1M6SU5UQwEAAAAXIklRX1RFVl9FQklUREFfRldEX0NJUSIVSVFfVEVWX0VC</t>
  </si>
  <si>
    <t>SVREQV9GV0RfQ0lRAgAAAAZJUV9OVE0ENjAwMAMAAAALIjUvMTMvMjAwNSIJNS8xMy8yMDA1AAAAAAQAAAAAAAAADyJOYXNkYXFHUzpJTlRDIg1OYXNkYXFHUzpJTlRDAQAAABciSVFfVEVWX0VCSVREQV9GV0RfQ0lRIhVJUV9URVZfRUJJVERBX0ZXRF9DSVECAAAABklRX05UTQQ2MDAwAwAAAAoiNS82LzIwMDUiCDUvNi8yMDA1AAAAAAQAAAAAAAAADyJOYXNkYXFHUzpJTlRDIg1OYXNkYXFHUzpJTlRDAQAAABciSVFfVEVWX0VCSVREQV9GV0RfQ0lRIhVJUV9URVZfRUJJVERBX0ZXRF9DSVECAAAABklRX05UTQQ2MDAwAwAAAAsiNC8yOS8yMDA1Igk0LzI5LzIwMDUAAAAABAAAAAAAAAAPIk5hc2RhcUdTOklOVEMiDU5hc2RhcUdTOklOVEMBAAAAFyJJUV9URVZfRUJJVERBX0ZXRF9DSVEiFUlRX1RFVl9FQklUREFfRldEX0NJUQIAAAAGSVFfTlRNBDYwMDADAAAACyI0LzIyLzIwMDUiCTQvMjIvMjAwNQAAAAAEAAAAAAAAAA8iTmFzZGFxR1M6SU5UQyINTmFzZGFxR1M6SU5UQwEAAAAXIklRX1RFVl9FQklUREFfRldEX0NJUSIVSVFfVEVWX0VCSVREQV9GV0RfQ0lRAgAAAAZJUV9OVE0ENjAwMAMAAAALIjQvMTUvMjAwNSIJNC8xNS8yMDA1AAAAAAQAAAAAAAAADyJOYXNkYXFHUzpJTlRDIg1OYXNkYXFHUzpJTlRDAQAAABciSVFfVEVWX0VCSVREQV9GV0RfQ0lRIhVJUV9URVZfRUJJVERBX0ZXRF9DSVEC</t>
  </si>
  <si>
    <t>AAAABklRX05UTQQ2MDAwAwAAAAoiNC84LzIwMDUiCDQvOC8yMDA1AAAAAAQAAAAAAAAADyJOYXNkYXFHUzpJTlRDIg1OYXNkYXFHUzpJTlRDAQAAABciSVFfVEVWX0VCSVREQV9GV0RfQ0lRIhVJUV9URVZfRUJJVERBX0ZXRF9DSVECAAAABklRX05UTQQ2MDAwAwAAAAoiNC8xLzIwMDUiCDQvMS8yMDA1AAAAAAQAAAAAAAAADyJOYXNkYXFHUzpJTlRDIg1OYXNkYXFHUzpJTlRDAQAAABciSVFfVEVWX0VCSVREQV9GV0RfQ0lRIhVJUV9URVZfRUJJVERBX0ZXRF9DSVECAAAABklRX05UTQQ2MDAwAwAAAAsiMy8yNC8yMDA1IgkzLzI0LzIwMDUAAAAABAAAAAAAAAAPIk5hc2RhcUdTOklOVEMiDU5hc2RhcUdTOklOVEMBAAAAFyJJUV9URVZfRUJJVERBX0ZXRF9DSVEiFUlRX1RFVl9FQklUREFfRldEX0NJUQIAAAAGSVFfTlRNBDYwMDADAAAACyIzLzE4LzIwMDUiCTMvMTgvMjAwNQAAAAAEAAAAAAAAAA8iTmFzZGFxR1M6SU5UQyINTmFzZGFxR1M6SU5UQwEAAAAXIklRX1RFVl9FQklUREFfRldEX0NJUSIVSVFfVEVWX0VCSVREQV9GV0RfQ0lRAgAAAAZJUV9OVE0ENjAwMAMAAAALIjMvMTEvMjAwNSIJMy8xMS8yMDA1AAAAAAQAAAAAAAAADyJOYXNkYXFHUzpJTlRDIg1OYXNkYXFHUzpJTlRDAQAAABciSVFfVEVWX0VCSVREQV9GV0RfQ0lRIhVJUV9URVZfRUJJVERBX0ZXRF9DSVECAAAABklRX05UTQQ2MDAw</t>
  </si>
  <si>
    <t>AwAAAAoiMy80LzIwMDUiCDMvNC8yMDA1AAAAAAQAAAAAAAAADyJOYXNkYXFHUzpJTlRDIg1OYXNkYXFHUzpJTlRDAQAAABciSVFfVEVWX0VCSVREQV9GV0RfQ0lRIhVJUV9URVZfRUJJVERBX0ZXRF9DSVECAAAABklRX05UTQQ2MDAwAwAAAAsiMi8yNS8yMDA1IgkyLzI1LzIwMDUAAAAABAAAAAAAAAAPIk5hc2RhcUdTOklOVEMiDU5hc2RhcUdTOklOVEMBAAAAFyJJUV9URVZfRUJJVERBX0ZXRF9DSVEiFUlRX1RFVl9FQklUREFfRldEX0NJUQIAAAAGSVFfTlRNBDYwMDADAAAACyIyLzE4LzIwMDUiCTIvMTgvMjAwNQAAAAAEAAAAAAAAAA8iTmFzZGFxR1M6SU5UQyINTmFzZGFxR1M6SU5UQwEAAAAXIklRX1RFVl9FQklUREFfRldEX0NJUSIVSVFfVEVWX0VCSVREQV9GV0RfQ0lRAgAAAAZJUV9OVE0ENjAwMAMAAAALIjIvMTEvMjAwNSIJMi8xMS8yMDA1AAAAAAQAAAAAAAAADyJOYXNkYXFHUzpJTlRDIg1OYXNkYXFHUzpJTlRDAQAAABciSVFfVEVWX0VCSVREQV9GV0RfQ0lRIhVJUV9URVZfRUJJVERBX0ZXRF9DSVECAAAABklRX05UTQQ2MDAwAwAAAAoiMi80LzIwMDUiCDIvNC8yMDA1AAAAAAQAAAAAAAAADyJOYXNkYXFHUzpJTlRDIg1OYXNkYXFHUzpJTlRDAQAAABciSVFfVEVWX0VCSVREQV9GV0RfQ0lRIhVJUV9URVZfRUJJVERBX0ZXRF9DSVECAAAABklRX05UTQQ2MDAwAwAAAAsiMS8yOC8yMDA1</t>
  </si>
  <si>
    <t>IgkxLzI4LzIwMDUAAAAABAAAAAAAAAAPIk5hc2RhcUdTOklOVEMiDU5hc2RhcUdTOklOVEMBAAAAFyJJUV9URVZfRUJJVERBX0ZXRF9DSVEiFUlRX1RFVl9FQklUREFfRldEX0NJUQIAAAAGSVFfTlRNBDYwMDADAAAACyIxLzIxLzIwMDUiCTEvMjEvMjAwNQAAAAAEAAAAAAAAAA8iTmFzZGFxR1M6SU5UQyINTmFzZGFxR1M6SU5UQwEAAAAXIklRX1RFVl9FQklUREFfRldEX0NJUSIVSVFfVEVWX0VCSVREQV9GV0RfQ0lRAgAAAAZJUV9OVE0ENjAwMAMAAAALIjEvMTQvMjAwNSIJMS8xNC8yMDA1AAAAAAQAAAAAAAAADyJOYXNkYXFHUzpJTlRDIg1OYXNkYXFHUzpJTlRDAQAAABciSVFfVEVWX0VCSVREQV9GV0RfQ0lRIhVJUV9URVZfRUJJVERBX0ZXRF9DSVECAAAABklRX05UTQQ2MDAwAwAAAAoiMS83LzIwMDUiCDEvNy8yMDA1AAAAAAQAAAAAAAAADyJOYXNkYXFHUzpJTlRDIg1OYXNkYXFHUzpJTlRDAQAAABciSVFfVEVWX0VCSVREQV9GV0RfQ0lRIhVJUV9URVZfRUJJVERBX0ZXRF9DSVECAAAABklRX05UTQQ2MDAwAwAAAAwiMTIvMzEvMjAwNCIKMTIvMzEvMjAwNAAAAAAEAAAAAAAAAA8iTmFzZGFxR1M6SU5UQyINTmFzZGFxR1M6SU5UQwEAAAAXIklRX1RFVl9FQklUREFfRldEX0NJUSIVSVFfVEVWX0VCSVREQV9GV0RfQ0lRAgAAAAZJUV9OVE0ENjAwMAMAAAAMIjEyLzIzLzIwMDQiCjEyLzIzLzIw</t>
  </si>
  <si>
    <t>MDQAAAAABAAAAAAAAAAPIk5hc2RhcUdTOklOVEMiDU5hc2RhcUdTOklOVEMBAAAAFyJJUV9URVZfRUJJVERBX0ZXRF9DSVEiFUlRX1RFVl9FQklUREFfRldEX0NJUQIAAAAGSVFfTlRNBDYwMDADAAAADCIxMi8xNy8yMDA0IgoxMi8xNy8yMDA0AAAAAAQAAAAAAAAADyJOYXNkYXFHUzpJTlRDIg1OYXNkYXFHUzpJTlRDAQAAABciSVFfVEVWX0VCSVREQV9GV0RfQ0lRIhVJUV9URVZfRUJJVERBX0ZXRF9DSVECAAAABklRX05UTQQ2MDAwAwAAAAwiMTIvMTAvMjAwNCIKMTIvMTAvMjAwNAAAAAAEAAAAAAAAAA8iTmFzZGFxR1M6SU5UQyINTmFzZGFxR1M6SU5UQwEAAAAXIklRX1RFVl9FQklUREFfRldEX0NJUSIVSVFfVEVWX0VCSVREQV9GV0RfQ0lRAgAAAAZJUV9OVE0ENjAwMAMAAAALIjEyLzMvMjAwNCIJMTIvMy8yMDA0AAAAAAQAAAAAAAAADyJOYXNkYXFHUzpJTlRDIg1OYXNkYXFHUzpJTlRDAQAAABciSVFfVEVWX0VCSVREQV9GV0RfQ0lRIhVJUV9URVZfRUJJVERBX0ZXRF9DSVECAAAABklRX05UTQQ2MDAwAwAAAAwiMTEvMjYvMjAwNCIKMTEvMjYvMjAwNAAAAAAEAAAAAAAAAA8iTmFzZGFxR1M6SU5UQyINTmFzZGFxR1M6SU5UQwEAAAAXIklRX1RFVl9FQklUREFfRldEX0NJUSIVSVFfVEVWX0VCSVREQV9GV0RfQ0lRAgAAAAZJUV9OVE0ENjAwMAMAAAAMIjExLzE5LzIwMDQiCjExLzE5LzIwMDQA</t>
  </si>
  <si>
    <t>AAAABAAAAAAAAAAPIk5hc2RhcUdTOklOVEMiDU5hc2RhcUdTOklOVEMBAAAAFyJJUV9URVZfRUJJVERBX0ZXRF9DSVEiFUlRX1RFVl9FQklUREFfRldEX0NJUQIAAAAGSVFfTlRNBDYwMDADAAAADCIxMS8xMi8yMDA0IgoxMS8xMi8yMDA0AAAAAAQAAAAAAAAADyJOYXNkYXFHUzpJTlRDIg1OYXNkYXFHUzpJTlRDAQAAABciSVFfVEVWX0VCSVREQV9GV0RfQ0lRIhVJUV9URVZfRUJJVERBX0ZXRF9DSVECAAAABklRX05UTQQ2MDAwAwAAAAsiMTEvNS8yMDA0IgkxMS81LzIwMDQAAAAABAAAAAAAAAAPIk5hc2RhcUdTOklOVEMiDU5hc2RhcUdTOklOVEMBAAAAFyJJUV9URVZfRUJJVERBX0ZXRF9DSVEiFUlRX1RFVl9FQklUREFfRldEX0NJUQIAAAAGSVFfTlRNBDYwMDADAAAADCIxMC8yOS8yMDA0IgoxMC8yOS8yMDA0AAAAAAQAAAAAAAAADyJOYXNkYXFHUzpJTlRDIg1OYXNkYXFHUzpJTlRDAQAAABciSVFfVEVWX0VCSVREQV9GV0RfQ0lRIhVJUV9URVZfRUJJVERBX0ZXRF9DSVECAAAABklRX05UTQQ2MDAwAwAAAAwiMTAvMjIvMjAwNCIKMTAvMjIvMjAwNAAAAAAEAAAAAAAAAA8iTmFzZGFxR1M6SU5UQyINTmFzZGFxR1M6SU5UQwEAAAAXIklRX1RFVl9FQklUREFfRldEX0NJUSIVSVFfVEVWX0VCSVREQV9GV0RfQ0lRAgAAAAZJUV9OVE0ENjAwMAMAAAAMIjEwLzE1LzIwMDQiCjEwLzE1LzIwMDQAAAAA</t>
  </si>
  <si>
    <t>BAAAAAAAAAAPIk5hc2RhcUdTOklOVEMiDU5hc2RhcUdTOklOVEMBAAAAFyJJUV9URVZfRUJJVERBX0ZXRF9DSVEiFUlRX1RFVl9FQklUREFfRldEX0NJUQIAAAAGSVFfTlRNBDYwMDADAAAACyIxMC84LzIwMDQiCTEwLzgvMjAwNAAAAAAEAAAAAAAAAA8iTmFzZGFxR1M6SU5UQyINTmFzZGFxR1M6SU5UQwEAAAAXIklRX1RFVl9FQklUREFfRldEX0NJUSIVSVFfVEVWX0VCSVREQV9GV0RfQ0lRAgAAAAZJUV9OVE0ENjAwMAMAAAALIjEwLzEvMjAwNCIJMTAvMS8yMDA0AAAAAAQAAAAAAAAADyJOYXNkYXFHUzpJTlRDIg1OYXNkYXFHUzpJTlRDAQAAABciSVFfVEVWX0VCSVREQV9GV0RfQ0lRIhVJUV9URVZfRUJJVERBX0ZXRF9DSVECAAAABklRX05UTQQ2MDAwAwAAAAsiOS8yNC8yMDA0Igk5LzI0LzIwMDQAAAAABAAAAAAAAAAPIk5hc2RhcUdTOklOVEMiDU5hc2RhcUdTOklOVEMBAAAAFyJJUV9URVZfRUJJVERBX0ZXRF9DSVEiFUlRX1RFVl9FQklUREFfRldEX0NJUQIAAAAGSVFfTlRNBDYwMDADAAAACyI5LzE3LzIwMDQiCTkvMTcvMjAwNAAAAAAEAAAAAAAAAA8iTmFzZGFxR1M6SU5UQyINTmFzZGFxR1M6SU5UQwEAAAAXIklRX1RFVl9FQklUREFfRldEX0NJUSIVSVFfVEVWX0VCSVREQV9GV0RfQ0lRAgAAAAZJUV9OVE0ENjAwMAMAAAALIjkvMTAvMjAwNCIJOS8xMC8yMDA0AAAAAAQAAAAAAAAADyJO</t>
  </si>
  <si>
    <t>YXNkYXFHUzpJTlRDIg1OYXNkYXFHUzpJTlRDAQAAABciSVFfVEVWX0VCSVREQV9GV0RfQ0lRIhVJUV9URVZfRUJJVERBX0ZXRF9DSVECAAAABklRX05UTQQ2MDAwAwAAAAoiOS8zLzIwMDQiCDkvMy8yMDA0AAAAAAQAAAAAAAAADyJOYXNkYXFHUzpJTlRDIg1OYXNkYXFHUzpJTlRDAQAAABciSVFfVEVWX0VCSVREQV9GV0RfQ0lRIhVJUV9URVZfRUJJVERBX0ZXRF9DSVECAAAABklRX05UTQQ2MDAwAwAAAAsiOC8yNy8yMDA0Igk4LzI3LzIwMDQAAAAABAAAAAAAAAAPIk5hc2RhcUdTOklOVEMiDU5hc2RhcUdTOklOVEMBAAAAFyJJUV9URVZfRUJJVERBX0ZXRF9DSVEiFUlRX1RFVl9FQklUREFfRldEX0NJUQIAAAAGSVFfTlRNBDYwMDADAAAACyI4LzIwLzIwMDQiCTgvMjAvMjAwNAAAAAAEAAAAAAAAAA8iTmFzZGFxR1M6SU5UQyINTmFzZGFxR1M6SU5UQwEAAAAXIklRX1RFVl9FQklUREFfRldEX0NJUSIVSVFfVEVWX0VCSVREQV9GV0RfQ0lRAgAAAAZJUV9OVE0ENjAwMAMAAAALIjgvMTMvMjAwNCIJOC8xMy8yMDA0AAAAAAQAAAAAAAAADyJOYXNkYXFHUzpJTlRDIg1OYXNkYXFHUzpJTlRDAQAAABciSVFfVEVWX0VCSVREQV9GV0RfQ0lRIhVJUV9URVZfRUJJVERBX0ZXRF9DSVECAAAABklRX05UTQQ2MDAwAwAAAAoiOC82LzIwMDQiCDgvNi8yMDA0AAAAAAQAAAAAAAAADyJOYXNkYXFHUzpJTlRDIg1O</t>
  </si>
  <si>
    <t>YXNkYXFHUzpJTlRDAQAAABciSVFfVEVWX0VCSVREQV9GV0RfQ0lRIhVJUV9URVZfRUJJVERBX0ZXRF9DSVECAAAABklRX05UTQQ2MDAwAwAAAAsiNy8zMC8yMDA0Igk3LzMwLzIwMDQAAAAABAAAAAAAAAAPIk5hc2RhcUdTOklOVEMiDU5hc2RhcUdTOklOVEMBAAAAFyJJUV9URVZfRUJJVERBX0ZXRF9DSVEiFUlRX1RFVl9FQklUREFfRldEX0NJUQIAAAAGSVFfTlRNBDYwMDADAAAACyI3LzIzLzIwMDQiCTcvMjMvMjAwNAAAAAAEAAAAAAAAAA8iTmFzZGFxR1M6SU5UQyINTmFzZGFxR1M6SU5UQwEAAAAXIklRX1RFVl9FQklUREFfRldEX0NJUSIVSVFfVEVWX0VCSVREQV9GV0RfQ0lRAgAAAAZJUV9OVE0ENjAwMAMAAAALIjcvMTYvMjAwNCIJNy8xNi8yMDA0AAAAAAQAAAAAAAAADyJOYXNkYXFHUzpJTlRDIg1OYXNkYXFHUzpJTlRDAQAAABciSVFfVEVWX0VCSVREQV9GV0RfQ0lRIhVJUV9URVZfRUJJVERBX0ZXRF9DSVECAAAABklRX05UTQQ2MDAwAwAAAAoiNy85LzIwMDQiCDcvOS8yMDA0AAAAAAQAAAAAAAAADyJOYXNkYXFHUzpJTlRDIg1OYXNkYXFHUzpJTlRDAQAAABciSVFfVEVWX0VCSVREQV9GV0RfQ0lRIhVJUV9URVZfRUJJVERBX0ZXRF9DSVECAAAABklRX05UTQQ2MDAwAwAAAAoiNy8yLzIwMDQiCDcvMi8yMDA0AAAAAAQAAAAAAAAADyJOYXNkYXFHUzpJTlRDIg1OYXNkYXFHUzpJTlRDAQAA</t>
  </si>
  <si>
    <t>ABciSVFfVEVWX0VCSVREQV9GV0RfQ0lRIhVJUV9URVZfRUJJVERBX0ZXRF9DSVECAAAABklRX05UTQQ2MDAwAwAAAAsiNi8yNS8yMDA0Igk2LzI1LzIwMDQAAAAABAAAAAAAAAAPIk5hc2RhcUdTOklOVEMiDU5hc2RhcUdTOklOVEMBAAAAFyJJUV9URVZfRUJJVERBX0ZXRF9DSVEiFUlRX1RFVl9FQklUREFfRldEX0NJUQIAAAAGSVFfTlRNBDYwMDADAAAACyI2LzE4LzIwMDQiCTYvMTgvMjAwNAAAAAAEAAAAAAAAAA8iTmFzZGFxR1M6SU5UQyINTmFzZGFxR1M6SU5UQwEAAAAXIklRX1RFVl9FQklUREFfRldEX0NJUSIVSVFfVEVWX0VCSVREQV9GV0RfQ0lRAgAAAAZJUV9OVE0ENjAwMAMAAAALIjYvMTAvMjAwNCIJNi8xMC8yMDA0AAAAAAQAAAAAAAAADyJOYXNkYXFHUzpJTlRDIg1OYXNkYXFHUzpJTlRDAQAAABciSVFfVEVWX0VCSVREQV9GV0RfQ0lRIhVJUV9URVZfRUJJVERBX0ZXRF9DSVECAAAABklRX05UTQQ2MDAwAwAAAAoiNi80LzIwMDQiCDYvNC8yMDA0AAAAAAQAAAAAAAAADyJOYXNkYXFHUzpJTlRDIg1OYXNkYXFHUzpJTlRDAQAAABciSVFfVEVWX0VCSVREQV9GV0RfQ0lRIhVJUV9URVZfRUJJVERBX0ZXRF9DSVECAAAABklRX05UTQQ2MDAwAwAAAAsiNS8yOC8yMDA0Igk1LzI4LzIwMDQAAAAABAAAAAAAAAAPIk5hc2RhcUdTOklOVEMiDU5hc2RhcUdTOklOVEMBAAAAFyJJUV9URVZfRUJJ</t>
  </si>
  <si>
    <t>VERBX0ZXRF9DSVEiFUlRX1RFVl9FQklUREFfRldEX0NJUQIAAAAGSVFfTlRNBDYwMDADAAAACyI1LzIxLzIwMDQiCTUvMjEvMjAwNAAAAAAEAAAAAAAAAA8iTmFzZGFxR1M6SU5UQyINTmFzZGFxR1M6SU5UQwEAAAAXIklRX1RFVl9FQklUREFfRldEX0NJUSIVSVFfVEVWX0VCSVREQV9GV0RfQ0lRAgAAAAZJUV9OVE0ENjAwMAMAAAALIjUvMTQvMjAwNCIJNS8xNC8yMDA0AAAAAAQAAAAAAAAADyJOYXNkYXFHUzpJTlRDIg1OYXNkYXFHUzpJTlRDAQAAABciSVFfVEVWX0VCSVREQV9GV0RfQ0lRIhVJUV9URVZfRUJJVERBX0ZXRF9DSVECAAAABklRX05UTQQ2MDAwAwAAAAoiNS83LzIwMDQiCDUvNy8yMDA0AAAAAAQAAAAAAAAADyJOYXNkYXFHUzpJTlRDIg1OYXNkYXFHUzpJTlRDAQAAABciSVFfVEVWX0VCSVREQV9GV0RfQ0lRIhVJUV9URVZfRUJJVERBX0ZXRF9DSVECAAAABklRX05UTQQ2MDAwAwAAAAsiNC8zMC8yMDA0Igk0LzMwLzIwMDQAAAAABAAAAAAAAAAPIk5hc2RhcUdTOklOVEMiDU5hc2RhcUdTOklOVEMBAAAAFyJJUV9URVZfRUJJVERBX0ZXRF9DSVEiFUlRX1RFVl9FQklUREFfRldEX0NJUQIAAAAGSVFfTlRNBDYwMDADAAAACyI0LzIzLzIwMDQiCTQvMjMvMjAwNAAAAAAEAAAAAAAAAA8iTmFzZGFxR1M6SU5UQyINTmFzZGFxR1M6SU5UQwEAAAAXIklRX1RFVl9FQklUREFfRldEX0NJUSIV</t>
  </si>
  <si>
    <t>SVFfVEVWX0VCSVREQV9GV0RfQ0lRAgAAAAZJUV9OVE0ENjAwMAMAAAALIjQvMTYvMjAwNCIJNC8xNi8yMDA0AAAAAAQAAAAAAAAADyJOYXNkYXFHUzpJTlRDIg1OYXNkYXFHUzpJTlRDAQAAABciSVFfVEVWX0VCSVREQV9GV0RfQ0lRIhVJUV9URVZfRUJJVERBX0ZXRF9DSVECAAAABklRX05UTQQ2MDAwAwAAAAoiNC84LzIwMDQiCDQvOC8yMDA0AAAAAAQAAAAAAAAADyJOYXNkYXFHUzpJTlRDIg1OYXNkYXFHUzpJTlRDAQAAABciSVFfVEVWX0VCSVREQV9GV0RfQ0lRIhVJUV9URVZfRUJJVERBX0ZXRF9DSVECAAAABklRX05UTQQ2MDAwAwAAAAoiNC8yLzIwMDQiCDQvMi8yMDA0AAAAAAQAAAAAAAAADyJOYXNkYXFHUzpJTlRDIg1OYXNkYXFHUzpJTlRDAQAAABciSVFfVEVWX0VCSVREQV9GV0RfQ0lRIhVJUV9URVZfRUJJVERBX0ZXRF9DSVECAAAABklRX05UTQQ2MDAwAwAAAAsiMy8yNi8yMDA0IgkzLzI2LzIwMDQAAAAABAAAAAAAAAAPIk5hc2RhcUdTOklOVEMiDU5hc2RhcUdTOklOVEMBAAAAFyJJUV9URVZfRUJJVERBX0ZXRF9DSVEiFUlRX1RFVl9FQklUREFfRldEX0NJUQIAAAAGSVFfTlRNBDYwMDADAAAACyIzLzE5LzIwMDQiCTMvMTkvMjAwNAAAAAAEAAAAAAAAAA8iTmFzZGFxR1M6SU5UQyINTmFzZGFxR1M6SU5UQwEAAAAXIklRX1RFVl9FQklUREFfRldEX0NJUSIVSVFfVEVWX0VCSVREQV9G</t>
  </si>
  <si>
    <t>V0RfQ0lRAgAAAAZJUV9OVE0ENjAwMAMAAAALIjMvMTIvMjAwNCIJMy8xMi8yMDA0AAAAAAQAAAAAAAAADyJOYXNkYXFHUzpJTlRDIg1OYXNkYXFHUzpJTlRDAQAAABciSVFfVEVWX0VCSVREQV9GV0RfQ0lRIhVJUV9URVZfRUJJVERBX0ZXRF9DSVECAAAABklRX05UTQQ2MDAwAwAAAAoiMy81LzIwMDQiCDMvNS8yMDA0AAAAAAQAAAAAAAAADyJOYXNkYXFHUzpJTlRDIg1OYXNkYXFHUzpJTlRDAQAAABciSVFfVEVWX0VCSVREQV9GV0RfQ0lRIhVJUV9URVZfRUJJVERBX0ZXRF9DSVECAAAABklRX05UTQQ2MDAwAwAAAAsiMi8yNy8yMDA0IgkyLzI3LzIwMDQAAAAABAAAAAAAAAAPIk5hc2RhcUdTOklOVEMiDU5hc2RhcUdTOklOVEMBAAAAFyJJUV9URVZfRUJJVERBX0ZXRF9DSVEiFUlRX1RFVl9FQklUREFfRldEX0NJUQIAAAAGSVFfTlRNBDYwMDADAAAACyIyLzIwLzIwMDQiCTIvMjAvMjAwNAAAAAAEAAAAAAAAAA8iTmFzZGFxR1M6SU5UQyINTmFzZGFxR1M6SU5UQwEAAAAXIklRX1RFVl9FQklUREFfRldEX0NJUSIVSVFfVEVWX0VCSVREQV9GV0RfQ0lRAgAAAAZJUV9OVE0ENjAwMAMAAAALIjIvMTMvMjAwNCIJMi8xMy8yMDA0AAAAAAQAAAAAAAAADyJOYXNkYXFHUzpJTlRDIg1OYXNkYXFHUzpJTlRDAQAAABciSVFfVEVWX0VCSVREQV9GV0RfQ0lRIhVJUV9URVZfRUJJVERBX0ZXRF9DSVECAAAABklR</t>
  </si>
  <si>
    <t>X05UTQQ2MDAwAwAAAAoiMi82LzIwMDQiCDIvNi8yMDA0AAAAAAQAAAAAAAAADyJOYXNkYXFHUzpJTlRDIg1OYXNkYXFHUzpJTlRDAQAAABciSVFfVEVWX0VCSVREQV9GV0RfQ0lRIhVJUV9URVZfRUJJVERBX0ZXRF9DSVECAAAABklRX05UTQQ2MDAwAwAAAAsiMS8zMC8yMDA0IgkxLzMwLzIwMDQAAAAABAAAAAAAAAAPIk5hc2RhcUdTOklOVEMiDU5hc2RhcUdTOklOVEMBAAAAFyJJUV9URVZfRUJJVERBX0ZXRF9DSVEiFUlRX1RFVl9FQklUREFfRldEX0NJUQIAAAAGSVFfTlRNBDYwMDADAAAACyIxLzIzLzIwMDQiCTEvMjMvMjAwNAAAAAAEAAAAAAAAAA8iTmFzZGFxR1M6SU5UQyINTmFzZGFxR1M6SU5UQwEAAAAXIklRX1RFVl9FQklUREFfRldEX0NJUSIVSVFfVEVWX0VCSVREQV9GV0RfQ0lRAgAAAAZJUV9OVE0ENjAwMAMAAAALIjEvMTYvMjAwNCIJMS8xNi8yMDA0AAAAAAQAAAAAAAAADyJOYXNkYXFHUzpJTlRDIg1OYXNkYXFHUzpJTlRDAQAAABciSVFfVEVWX0VCSVREQV9GV0RfQ0lRIhVJUV9URVZfRUJJVERBX0ZXRF9DSVECAAAABklRX05UTQQ2MDAwAwAAAAoiMS85LzIwMDQiCDEvOS8yMDA0AAAAAAQAAAAAAAAADyJOYXNkYXFHUzpJTlRDIg1OYXNkYXFHUzpJTlRDAQAAABciSVFfVEVWX0VCSVREQV9GV0RfQ0lRIhVJUV9URVZfRUJJVERBX0ZXRF9DSVECAAAABklRX05UTQQ2MDAwAwAAAAoi</t>
  </si>
  <si>
    <t>MS8yLzIwMDQiCDEvMi8yMDA0AAAAAAQAAAAAAAAADyJOYXNkYXFHUzpJTlRDIg1OYXNkYXFHUzpJTlRDAQAAABciSVFfVEVWX0VCSVREQV9GV0RfQ0lRIhVJUV9URVZfRUJJVERBX0ZXRF9DSVECAAAABklRX05UTQQ2MDAwAwAAAAwiMTIvMjYvMjAwMyIKMTIvMjYvMjAwMwAAAAAEAAAAAAAAAA8iTmFzZGFxR1M6SU5UQyINTmFzZGFxR1M6SU5UQwEAAAAXIklRX1RFVl9FQklUREFfRldEX0NJUSIVSVFfVEVWX0VCSVREQV9GV0RfQ0lRAgAAAAZJUV9OVE0ENjAwMAMAAAAMIjEyLzE5LzIwMDMiCjEyLzE5LzIwMDMAAAAABAAAAAAAAAAPIk5hc2RhcUdTOklOVEMiDU5hc2RhcUdTOklOVEMBAAAAFyJJUV9URVZfRUJJVERBX0ZXRF9DSVEiFUlRX1RFVl9FQklUREFfRldEX0NJUQIAAAAGSVFfTlRNBDYwMDADAAAADCIxMi8xMi8yMDAzIgoxMi8xMi8yMDAzAAAAAAQAAAAAAAAADyJOYXNkYXFHUzpJTlRDIg1OYXNkYXFHUzpJTlRDAQAAABciSVFfVEVWX0VCSVREQV9GV0RfQ0lRIhVJUV9URVZfRUJJVERBX0ZXRF9DSVECAAAABklRX05UTQQ2MDAwAwAAAAsiMTIvNS8yMDAzIgkxMi81LzIwMDMAAAAABAAAAAAAAAAPIk5hc2RhcUdTOklOVEMiDU5hc2RhcUdTOklOVEMBAAAAFyJJUV9URVZfRUJJVERBX0ZXRF9DSVEiFUlRX1RFVl9FQklUREFfRldEX0NJUQIAAAAGSVFfTlRNBDYwMDADAAAADCIxMS8yOC8y</t>
  </si>
  <si>
    <t>MDAzIgoxMS8yOC8yMDAzAAAAAAQAAAAAAAAADyJOYXNkYXFHUzpJTlRDIg1OYXNkYXFHUzpJTlRDAQAAABciSVFfVEVWX0VCSVREQV9GV0RfQ0lRIhVJUV9URVZfRUJJVERBX0ZXRF9DSVECAAAABklRX05UTQQ2MDAwAwAAAAwiMTEvMjEvMjAwMyIKMTEvMjEvMjAwMwAAAAAEAAAAAAAAAA8iTmFzZGFxR1M6SU5UQyINTmFzZGFxR1M6SU5UQwEAAAAXIklRX1RFVl9FQklUREFfRldEX0NJUSIVSVFfVEVWX0VCSVREQV9GV0RfQ0lRAgAAAAZJUV9OVE0ENjAwMAMAAAAMIjExLzE0LzIwMDMiCjExLzE0LzIwMDMAAAAABAAAAAAAAAAPIk5hc2RhcUdTOklOVEMiDU5hc2RhcUdTOklOVEMBAAAAFyJJUV9URVZfRUJJVERBX0ZXRF9DSVEiFUlRX1RFVl9FQklUREFfRldEX0NJUQIAAAAGSVFfTlRNBDYwMDADAAAACyIxMS83LzIwMDMiCTExLzcvMjAwMwAAAAAEAAAAAAAAAA8iTmFzZGFxR1M6SU5UQyINTmFzZGFxR1M6SU5UQwEAAAAXIklRX1RFVl9FQklUREFfRldEX0NJUSIVSVFfVEVWX0VCSVREQV9GV0RfQ0lRAgAAAAZJUV9OVE0ENjAwMAMAAAAMIjEwLzMxLzIwMDMiCjEwLzMxLzIwMDMAAAAABAAAAAAAAAAPIk5hc2RhcUdTOklOVEMiDU5hc2RhcUdTOklOVEMBAAAAFyJJUV9URVZfRUJJVERBX0ZXRF9DSVEiFUlRX1RFVl9FQklUREFfRldEX0NJUQIAAAAGSVFfTlRNBDYwMDADAAAADCIxMC8yNC8yMDAz</t>
  </si>
  <si>
    <t>IgoxMC8yNC8yMDAzAAAAAAQAAAAAAAAADyJOYXNkYXFHUzpJTlRDIg1OYXNkYXFHUzpJTlRDAQAAABciSVFfVEVWX0VCSVREQV9GV0RfQ0lRIhVJUV9URVZfRUJJVERBX0ZXRF9DSVECAAAABklRX05UTQQ2MDAwAwAAAAwiMTAvMTcvMjAwMyIKMTAvMTcvMjAwMwAAAAAEAAAAAAAAAA8iTmFzZGFxR1M6SU5UQyINTmFzZGFxR1M6SU5UQwEAAAAXIklRX1RFVl9FQklUREFfRldEX0NJUSIVSVFfVEVWX0VCSVREQV9GV0RfQ0lRAgAAAAZJUV9OVE0ENjAwMAMAAAAMIjEwLzEwLzIwMDMiCjEwLzEwLzIwMDMAAAAABAAAAAAAAAAPIk5hc2RhcUdTOklOVEMiDU5hc2RhcUdTOklOVEMBAAAAFyJJUV9URVZfRUJJVERBX0ZXRF9DSVEiFUlRX1RFVl9FQklUREFfRldEX0NJUQIAAAAGSVFfTlRNBDYwMDADAAAACyIxMC8zLzIwMDMiCTEwLzMvMjAwMwAAAAAEAAAAAAAAAA8iTmFzZGFxR1M6SU5UQyINTmFzZGFxR1M6SU5UQwEAAAAXIklRX1RFVl9FQklUREFfRldEX0NJUSIVSVFfVEVWX0VCSVREQV9GV0RfQ0lRAgAAAAZJUV9OVE0ENjAwMAMAAAALIjkvMjYvMjAwMyIJOS8yNi8yMDAzAAAAAAQAAAAAAAAADyJOYXNkYXFHUzpJTlRDIg1OYXNkYXFHUzpJTlRDAQAAABciSVFfVEVWX0VCSVREQV9GV0RfQ0lRIhVJUV9URVZfRUJJVERBX0ZXRF9DSVECAAAABklRX05UTQQ2MDAwAwAAAAsiOS8xOS8yMDAzIgk5LzE5</t>
  </si>
  <si>
    <t>LzIwMDMAAAAABAAAAAAAAAAPIk5hc2RhcUdTOklOVEMiDU5hc2RhcUdTOklOVEMBAAAAFyJJUV9URVZfRUJJVERBX0ZXRF9DSVEiFUlRX1RFVl9FQklUREFfRldEX0NJUQIAAAAGSVFfTlRNBDYwMDADAAAACyI5LzEyLzIwMDMiCTkvMTIvMjAwMwAAAAAEAAAAAAAAAA8iTmFzZGFxR1M6SU5UQyINTmFzZGFxR1M6SU5UQwEAAAAXIklRX1RFVl9FQklUREFfRldEX0NJUSIVSVFfVEVWX0VCSVREQV9GV0RfQ0lRAgAAAAZJUV9OVE0ENjAwMAMAAAAKIjkvNS8yMDAzIgg5LzUvMjAwMwAAAAAEAAAAAAAAAA8iTmFzZGFxR1M6SU5UQyINTmFzZGFxR1M6SU5UQwEAAAAXIklRX1RFVl9FQklUREFfRldEX0NJUSIVSVFfVEVWX0VCSVREQV9GV0RfQ0lRAgAAAAZJUV9OVE0ENjAwMAMAAAALIjgvMjkvMjAwMyIJOC8yOS8yMDAzAAAAAAQAAAAAAAAADyJOYXNkYXFHUzpJTlRDIg1OYXNkYXFHUzpJTlRDAQAAABciSVFfVEVWX0VCSVREQV9GV0RfQ0lRIhVJUV9URVZfRUJJVERBX0ZXRF9DSVECAAAABklRX05UTQQ2MDAwAwAAAAsiOC8yMi8yMDAzIgk4LzIyLzIwMDMAAAAABAAAAAAAAAAPIk5hc2RhcUdTOklOVEMiDU5hc2RhcUdTOklOVEMBAAAAFyJJUV9URVZfRUJJVERBX0ZXRF9DSVEiFUlRX1RFVl9FQklUREFfRldEX0NJUQIAAAAGSVFfTlRNBDYwMDADAAAACyI4LzE1LzIwMDMiCTgvMTUvMjAwMwAAAAAEAAAA</t>
  </si>
  <si>
    <t>AAAAAA8iTmFzZGFxR1M6SU5UQyINTmFzZGFxR1M6SU5UQwEAAAAXIklRX1RFVl9FQklUREFfRldEX0NJUSIVSVFfVEVWX0VCSVREQV9GV0RfQ0lRAgAAAAZJUV9OVE0ENjAwMAMAAAAKIjgvOC8yMDAzIgg4LzgvMjAwMwAAAAAEAAAAAAAAAA8iTmFzZGFxR1M6SU5UQyINTmFzZGFxR1M6SU5UQwEAAAAXIklRX1RFVl9FQklUREFfRldEX0NJUSIVSVFfVEVWX0VCSVREQV9GV0RfQ0lRAgAAAAZJUV9OVE0ENjAwMAMAAAAKIjgvMS8yMDAzIgg4LzEvMjAwMwAAAAAEAAAAAAAAAA8iTmFzZGFxR1M6SU5UQyINTmFzZGFxR1M6SU5UQwEAAAAXIklRX1RFVl9FQklUREFfRldEX0NJUSIVSVFfVEVWX0VCSVREQV9GV0RfQ0lRAgAAAAZJUV9OVE0ENjAwMAMAAAALIjcvMjUvMjAwMyIJNy8yNS8yMDAzAAAAAAQAAAAAAAAADyJOYXNkYXFHUzpJTlRDIg1OYXNkYXFHUzpJTlRDAQAAABciSVFfVEVWX0VCSVREQV9GV0RfQ0lRIhVJUV9URVZfRUJJVERBX0ZXRF9DSVECAAAABklRX05UTQQ2MDAwAwAAAAsiNy8xOC8yMDAzIgk3LzE4LzIwMDMAAAAABAAAAAAAAAAPIk5hc2RhcUdTOklOVEMiDU5hc2RhcUdTOklOVEMBAAAAFyJJUV9URVZfRUJJVERBX0ZXRF9DSVEiFUlRX1RFVl9FQklUREFfRldEX0NJUQIAAAAGSVFfTlRNBDYwMDADAAAACyI3LzExLzIwMDMiCTcvMTEvMjAwMwAAAAAEAAAAAAAAAA8iTmFzZGFxR1M6</t>
  </si>
  <si>
    <t>SU5UQyINTmFzZGFxR1M6SU5UQwEAAAAXIklRX1RFVl9FQklUREFfRldEX0NJUSIVSVFfVEVWX0VCSVREQV9GV0RfQ0lRAgAAAAZJUV9OVE0ENjAwMAMAAAAKIjcvMy8yMDAzIgg3LzMvMjAwMwAAAAAEAAAAAAAAAA8iTmFzZGFxR1M6SU5UQyINTmFzZGFxR1M6SU5UQwEAAAAXIklRX1RFVl9FQklUREFfRldEX0NJUSIVSVFfVEVWX0VCSVREQV9GV0RfQ0lRAgAAAAZJUV9OVE0ENjAwMAMAAAALIjYvMjcvMjAwMyIJNi8yNy8yMDAzAAAAAAQAAAAAAAAADyJOYXNkYXFHUzpJTlRDIg1OYXNkYXFHUzpJTlRDAQAAABciSVFfVEVWX0VCSVREQV9GV0RfQ0lRIhVJUV9URVZfRUJJVERBX0ZXRF9DSVECAAAABklRX05UTQQ2MDAwAwAAAAsiNi8yMC8yMDAzIgk2LzIwLzIwMDMAAAAABAAAAAAAAAAPIk5hc2RhcUdTOklOVEMiDU5hc2RhcUdTOklOVEMBAAAAFyJJUV9URVZfRUJJVERBX0ZXRF9DSVEiFUlRX1RFVl9FQklUREFfRldEX0NJUQIAAAAGSVFfTlRNBDYwMDADAAAACyI2LzEzLzIwMDMiCTYvMTMvMjAwMwAAAAAEAAAAAAAAAA8iTmFzZGFxR1M6SU5UQyINTmFzZGFxR1M6SU5UQwEAAAAXIklRX1RFVl9FQklUREFfRldEX0NJUSIVSVFfVEVWX0VCSVREQV9GV0RfQ0lRAgAAAAZJUV9OVE0ENjAwMAMAAAAKIjYvNi8yMDAzIgg2LzYvMjAwMwAAAAAEAAAAAAAAAA8iTmFzZGFxR1M6SU5UQyINTmFzZGFxR1M6</t>
  </si>
  <si>
    <t>SU5UQwEAAAAXIklRX1RFVl9FQklUREFfRldEX0NJUSIVSVFfVEVWX0VCSVREQV9GV0RfQ0lRAgAAAAZJUV9OVE0ENjAwMAMAAAALIjUvMzAvMjAwMyIJNS8zMC8yMDAzAAAAAAQAAAAAAAAADyJOYXNkYXFHUzpJTlRDIg1OYXNkYXFHUzpJTlRDAQAAABciSVFfVEVWX0VCSVREQV9GV0RfQ0lRIhVJUV9URVZfRUJJVERBX0ZXRF9DSVECAAAABklRX05UTQQ2MDAwAwAAAAsiNS8yMy8yMDAzIgk1LzIzLzIwMDMAAAAABAAAAAAAAAAPIk5hc2RhcUdTOklOVEMiDU5hc2RhcUdTOklOVEMBAAAAFyJJUV9URVZfRUJJVERBX0ZXRF9DSVEiFUlRX1RFVl9FQklUREFfRldEX0NJUQIAAAAGSVFfTlRNBDYwMDADAAAACyI1LzE2LzIwMDMiCTUvMTYvMjAwMwAAAAAEAAAAAAAAAA8iTmFzZGFxR1M6SU5UQyINTmFzZGFxR1M6SU5UQwEAAAAXIklRX1RFVl9FQklUREFfRldEX0NJUSIVSVFfVEVWX0VCSVREQV9GV0RfQ0lRAgAAAAZJUV9OVE0ENjAwMAMAAAAKIjUvOS8yMDAzIgg1LzkvMjAwMwAAAAAEAAAAAAAAAA8iTmFzZGFxR1M6SU5UQyINTmFzZGFxR1M6SU5UQwEAAAAXIklRX1RFVl9FQklUREFfRldEX0NJUSIVSVFfVEVWX0VCSVREQV9GV0RfQ0lRAgAAAAZJUV9OVE0ENjAwMAMAAAAKIjUvMi8yMDAzIgg1LzIvMjAwMwAAAAAEAAAAAAAAAA8iTmFzZGFxR1M6SU5UQyINTmFzZGFxR1M6SU5UQwEAAAAXIklRX1RF</t>
  </si>
  <si>
    <t>Vl9FQklUREFfRldEX0NJUSIVSVFfVEVWX0VCSVREQV9GV0RfQ0lRAgAAAAZJUV9OVE0ENjAwMAMAAAALIjQvMjUvMjAwMyIJNC8yNS8yMDAzAAAAAAQAAAAAAAAADyJOYXNkYXFHUzpJTlRDIg1OYXNkYXFHUzpJTlRDAQAAABciSVFfVEVWX0VCSVREQV9GV0RfQ0lRIhVJUV9URVZfRUJJVERBX0ZXRF9DSVECAAAABklRX05UTQQ2MDAwAwAAAAsiNC8xNy8yMDAzIgk0LzE3LzIwMDMAAAAABAAAAAAAAAAPIk5hc2RhcUdTOklOVEMiDU5hc2RhcUdTOklOVEMBAAAAFyJJUV9URVZfRUJJVERBX0ZXRF9DSVEiFUlRX1RFVl9FQklUREFfRldEX0NJUQIAAAAGSVFfTlRNBDYwMDADAAAACyI0LzExLzIwMDMiCTQvMTEvMjAwMwAAAAAEAAAAAAAAAA8iTmFzZGFxR1M6SU5UQyINTmFzZGFxR1M6SU5UQwEAAAAXIklRX1RFVl9FQklUREFfRldEX0NJUSIVSVFfVEVWX0VCSVREQV9GV0RfQ0lRAgAAAAZJUV9OVE0ENjAwMAMAAAAKIjQvNC8yMDAzIgg0LzQvMjAwMwAAAAAEAAAAAAAAAA8iTmFzZGFxR1M6SU5UQyINTmFzZGFxR1M6SU5UQwEAAAAXIklRX1RFVl9FQklUREFfRldEX0NJUSIVSVFfVEVWX0VCSVREQV9GV0RfQ0lRAgAAAAZJUV9OVE0ENjAwMAMAAAALIjMvMjgvMjAwMyIJMy8yOC8yMDAzAAAAAAQAAAAAAAAADyJOYXNkYXFHUzpJTlRDIg1OYXNkYXFHUzpJTlRDAQAAABciSVFfVEVWX0VCSVREQV9GV0Rf</t>
  </si>
  <si>
    <t>Q0lRIhVJUV9URVZfRUJJVERBX0ZXRF9DSVECAAAABklRX05UTQQ2MDAwAwAAAAsiMy8yMS8yMDAzIgkzLzIxLzIwMDMAAAAABAAAAAAAAAAPIk5hc2RhcUdTOklOVEMiDU5hc2RhcUdTOklOVEMBAAAAFyJJUV9URVZfRUJJVERBX0ZXRF9DSVEiFUlRX1RFVl9FQklUREFfRldEX0NJUQIAAAAGSVFfTlRNBDYwMDADAAAACyIzLzE0LzIwMDMiCTMvMTQvMjAwMwAAAAAEAAAAAAAAAA8iTmFzZGFxR1M6SU5UQyINTmFzZGFxR1M6SU5UQwEAAAAXIklRX1RFVl9FQklUREFfRldEX0NJUSIVSVFfVEVWX0VCSVREQV9GV0RfQ0lRAgAAAAZJUV9OVE0ENjAwMAMAAAAKIjMvNy8yMDAzIggzLzcvMjAwMwAAAAAEAAAAAAAAAA8iTmFzZGFxR1M6SU5UQyINTmFzZGFxR1M6SU5UQwEAAAAXIklRX1RFVl9FQklUREFfRldEX0NJUSIVSVFfVEVWX0VCSVREQV9GV0RfQ0lRAgAAAAZJUV9OVE0ENjAwMAMAAAALIjIvMjgvMjAwMyIJMi8yOC8yMDAzAAAAAAQAAAAAAAAADyJOYXNkYXFHUzpJTlRDIg1OYXNkYXFHUzpJTlRDAQAAABciSVFfVEVWX0VCSVREQV9GV0RfQ0lRIhVJUV9URVZfRUJJVERBX0ZXRF9DSVECAAAABklRX05UTQQ2MDAwAwAAAAsiMi8yMS8yMDAzIgkyLzIxLzIwMDMAAAAABAAAAAAAAAAPIk5hc2RhcUdTOklOVEMiDU5hc2RhcUdTOklOVEMBAAAAFyJJUV9URVZfRUJJVERBX0ZXRF9DSVEiFUlRX1RFVl9F</t>
  </si>
  <si>
    <t>QklUREFfRldEX0NJUQIAAAAGSVFfTlRNBDYwMDADAAAACyIyLzE0LzIwMDMiCTIvMTQvMjAwMwAAAAAEAAAAAAAAAA8iTmFzZGFxR1M6SU5UQyINTmFzZGFxR1M6SU5UQwEAAAAXIklRX1RFVl9FQklUREFfRldEX0NJUSIVSVFfVEVWX0VCSVREQV9GV0RfQ0lRAgAAAAZJUV9OVE0ENjAwMAMAAAAKIjIvNy8yMDAzIggyLzcvMjAwMwAAAAAEAAAAAAAAAA8iTmFzZGFxR1M6SU5UQyINTmFzZGFxR1M6SU5UQwEAAAAXIklRX1RFVl9FQklUREFfRldEX0NJUSIVSVFfVEVWX0VCSVREQV9GV0RfQ0lRAgAAAAZJUV9OVE0ENjAwMAMAAAALIjEvMzEvMjAwMyIJMS8zMS8yMDAzAAAAAAQAAAAAAAAADyJOYXNkYXFHUzpJTlRDIg1OYXNkYXFHUzpJTlRDAQAAABciSVFfVEVWX0VCSVREQV9GV0RfQ0lRIhVJUV9URVZfRUJJVERBX0ZXRF9DSVECAAAABklRX05UTQQ2MDAwAwAAAAsiMS8yNC8yMDAzIgkxLzI0LzIwMDMAAAAABAAAAAAAAAAPIk5hc2RhcUdTOklOVEMiDU5hc2RhcUdTOklOVEMBAAAAFyJJUV9URVZfRUJJVERBX0ZXRF9DSVEiFUlRX1RFVl9FQklUREFfRldEX0NJUQIAAAAGSVFfTlRNBDYwMDADAAAACyIxLzE3LzIwMDMiCTEvMTcvMjAwMwAAAAAEAAAAAAAAAA8iTmFzZGFxR1M6SU5UQyINTmFzZGFxR1M6SU5UQwEAAAAXIklRX1RFVl9FQklUREFfRldEX0NJUSIVSVFfVEVWX0VCSVREQV9GV0RfQ0lR</t>
  </si>
  <si>
    <t>AgAAAAZJUV9OVE0ENjAwMAMAAAALIjEvMTAvMjAwMyIJMS8xMC8yMDAzAAAAAAQAAAAAAAAADyJOYXNkYXFHUzpJTlRDIg1OYXNkYXFHUzpJTlRDAQAAABciSVFfVEVWX0VCSVREQV9GV0RfQ0lRIhVJUV9URVZfRUJJVERBX0ZXRF9DSVECAAAABklRX05UTQQ2MDAwAwAAAAoiMS8zLzIwMDMiCDEvMy8yMDAzAAAAAAQAAAAAAAAADyJOYXNkYXFHUzpJTlRDIg1OYXNkYXFHUzpJTlRDAQAAABciSVFfVEVWX0VCSVREQV9GV0RfQ0lRIhVJUV9URVZfRUJJVERBX0ZXRF9DSVECAAAABklRX05UTQQ2MDAwAwAAAAwiMTIvMjcvMjAwMiIKMTIvMjcvMjAwMgAAAAAEAAAAAAAAAA8iTmFzZGFxR1M6SU5UQyINTmFzZGFxR1M6SU5UQwEAAAAXIklRX1RFVl9FQklUREFfRldEX0NJUSIVSVFfVEVWX0VCSVREQV9GV0RfQ0lRAgAAAAZJUV9OVE0ENjAwMAMAAAAMIjEyLzIwLzIwMDIiCjEyLzIwLzIwMDIAAAAABAAAAAAAAAAPIk5hc2RhcUdTOklOVEMiDU5hc2RhcUdTOklOVEMBAAAAFyJJUV9URVZfRUJJVERBX0ZXRF9DSVEiFUlRX1RFVl9FQklUREFfRldEX0NJUQIAAAAGSVFfTlRNBDYwMDADAAAADCIxMi8xMy8yMDAyIgoxMi8xMy8yMDAyAAAAAAQAAAAAAAAADyJOYXNkYXFHUzpJTlRDIg1OYXNkYXFHUzpJTlRDAQAAABciSVFfVEVWX0VCSVREQV9GV0RfQ0lRIhVJUV9URVZfRUJJVERBX0ZXRF9DSVECAAAABklR</t>
  </si>
  <si>
    <t>X05UTQQ2MDAwAwAAAAsiMTIvNi8yMDAyIgkxMi82LzIwMDIAAAAABAAAAAAAAAAPIk5hc2RhcUdTOklOVEMiDU5hc2RhcUdTOklOVEMBAAAAFyJJUV9URVZfRUJJVERBX0ZXRF9DSVEiFUlRX1RFVl9FQklUREFfRldEX0NJUQIAAAAGSVFfTlRNBDYwMDADAAAADCIxMS8yOS8yMDAyIgoxMS8yOS8yMDAyAAAAAAQAAAAAAAAADyJOYXNkYXFHUzpJTlRDIg1OYXNkYXFHUzpJTlRDAQAAABciSVFfVEVWX0VCSVREQV9GV0RfQ0lRIhVJUV9URVZfRUJJVERBX0ZXRF9DSVECAAAABklRX05UTQQ2MDAwAwAAAAwiMTEvMjIvMjAwMiIKMTEvMjIvMjAwMgAAAAAEAAAAAAAAAA8iTmFzZGFxR1M6SU5UQyINTmFzZGFxR1M6SU5UQwEAAAAXIklRX1RFVl9FQklUREFfRldEX0NJUSIVSVFfVEVWX0VCSVREQV9GV0RfQ0lRAgAAAAZJUV9OVE0ENjAwMAMAAAAMIjExLzE1LzIwMDIiCjExLzE1LzIwMDIAAAAABAAAAAAAAAAPIk5hc2RhcUdTOklOVEMiDU5hc2RhcUdTOklOVEMBAAAAFyJJUV9URVZfRUJJVERBX0ZXRF9DSVEiFUlRX1RFVl9FQklUREFfRldEX0NJUQIAAAAGSVFfTlRNBDYwMDADAAAACyIxMS84LzIwMDIiCTExLzgvMjAwMgAAAAAEAAAAAAAAAA8iTmFzZGFxR1M6SU5UQyINTmFzZGFxR1M6SU5UQwEAAAAXIklRX1RFVl9FQklUREFfRldEX0NJUSIVSVFfVEVWX0VCSVREQV9GV0RfQ0lRAgAAAAZJUV9OVE0E</t>
  </si>
  <si>
    <t>NjAwMAMAAAALIjExLzEvMjAwMiIJMTEvMS8yMDAyAAAAAAQAAAAAAAAADyJOYXNkYXFHUzpJTlRDIg1OYXNkYXFHUzpJTlRDAQAAABciSVFfVEVWX0VCSVREQV9GV0RfQ0lRIhVJUV9URVZfRUJJVERBX0ZXRF9DSVECAAAABklRX05UTQQ2MDAwAwAAAAwiMTAvMjUvMjAwMiIKMTAvMjUvMjAwMgAAAAAEAAAAAAAAAA8iTmFzZGFxR1M6SU5UQyINTmFzZGFxR1M6SU5UQwEAAAAXIklRX1RFVl9FQklUREFfRldEX0NJUSIVSVFfVEVWX0VCSVREQV9GV0RfQ0lRAgAAAAZJUV9OVE0ENjAwMAMAAAAMIjEwLzE4LzIwMDIiCjEwLzE4LzIwMDIAAAAABAAAAAAAAAAPIk5hc2RhcUdTOklOVEMiDU5hc2RhcUdTOklOVEMBAAAAFyJJUV9URVZfRUJJVERBX0ZXRF9DSVEiFUlRX1RFVl9FQklUREFfRldEX0NJUQIAAAAGSVFfTlRNBDYwMDADAAAADCIxMC8xMS8yMDAyIgoxMC8xMS8yMDAyAAAAAAQAAAAAAAAADyJOYXNkYXFHUzpJTlRDIg1OYXNkYXFHUzpJTlRDAQAAABciSVFfVEVWX0VCSVREQV9GV0RfQ0lRIhVJUV9URVZfRUJJVERBX0ZXRF9DSVECAAAABklRX05UTQQ2MDAwAwAAAAsiMTAvNC8yMDAyIgkxMC80LzIwMDIAAAAABAAAAAAAAAAPIk5hc2RhcUdTOklOVEMiDU5hc2RhcUdTOklOVEMBAAAAFyJJUV9URVZfRUJJVERBX0ZXRF9DSVEiFUlRX1RFVl9FQklUREFfRldEX0NJUQIAAAAGSVFfTlRNBDYwMDAD</t>
  </si>
  <si>
    <t>AAAACyI5LzI3LzIwMDIiCTkvMjcvMjAwMgAAAAAEAAAAAAAAAA8iTmFzZGFxR1M6SU5UQyINTmFzZGFxR1M6SU5UQwEAAAAXIklRX1RFVl9FQklUREFfRldEX0NJUSIVSVFfVEVWX0VCSVREQV9GV0RfQ0lRAgAAAAZJUV9OVE0ENjAwMAMAAAALIjkvMjAvMjAwMiIJOS8yMC8yMDAyAAAAAAQAAAAAAAAADyJOYXNkYXFHUzpJTlRDIg1OYXNkYXFHUzpJTlRDAQAAABciSVFfVEVWX0VCSVREQV9GV0RfQ0lRIhVJUV9URVZfRUJJVERBX0ZXRF9DSVECAAAABklRX05UTQQ2MDAwAwAAAAsiOS8xMy8yMDAyIgk5LzEzLzIwMDIAAAAABAAAAAAAAAAPIk5hc2RhcUdTOklOVEMiDU5hc2RhcUdTOklOVEMBAAAAFyJJUV9URVZfRUJJVERBX0ZXRF9DSVEiFUlRX1RFVl9FQklUREFfRldEX0NJUQIAAAAGSVFfTlRNBDYwMDADAAAACiI5LzYvMjAwMiIIOS82LzIwMDIAAAAABAAAAAAAAAAPIk5hc2RhcUdTOklOVEMiDU5hc2RhcUdTOklOVEMBAAAAFyJJUV9URVZfRUJJVERBX0ZXRF9DSVEiFUlRX1RFVl9FQklUREFfRldEX0NJUQIAAAAGSVFfTlRNBDYwMDADAAAACyI4LzMwLzIwMDIiCTgvMzAvMjAwMgAAAAAEAAAAAAAAAA8iTmFzZGFxR1M6SU5UQyINTmFzZGFxR1M6SU5UQwEAAAAXIklRX1RFVl9FQklUREFfRldEX0NJUSIVSVFfVEVWX0VCSVREQV9GV0RfQ0lRAgAAAAZJUV9OVE0ENjAwMAMAAAALIjgvMjMvMjAw</t>
  </si>
  <si>
    <t>MiIJOC8yMy8yMDAyAAAAAAQAAAAAAAAADyJOYXNkYXFHUzpJTlRDIg1OYXNkYXFHUzpJTlRDAQAAABciSVFfVEVWX0VCSVREQV9GV0RfQ0lRIhVJUV9URVZfRUJJVERBX0ZXRF9DSVECAAAABklRX05UTQQ2MDAwAwAAAAsiOC8xNi8yMDAyIgk4LzE2LzIwMDIAAAAABAAAAAAAAAAPIk5hc2RhcUdTOklOVEMiDU5hc2RhcUdTOklOVEMBAAAAFyJJUV9URVZfRUJJVERBX0ZXRF9DSVEiFUlRX1RFVl9FQklUREFfRldEX0NJUQIAAAAGSVFfTlRNBDYwMDADAAAACiI4LzkvMjAwMiIIOC85LzIwMDIAAAAABAAAAAAAAAAPIk5hc2RhcUdTOklOVEMiDU5hc2RhcUdTOklOVEMBAAAAFyJJUV9URVZfRUJJVERBX0ZXRF9DSVEiFUlRX1RFVl9FQklUREFfRldEX0NJUQIAAAAGSVFfTlRNBDYwMDADAAAACiI4LzIvMjAwMiIIOC8yLzIwMDIAAAAABAAAAAAAAAAPIk5hc2RhcUdTOklOVEMiDU5hc2RhcUdTOklOVEMBAAAAFyJJUV9URVZfRUJJVERBX0ZXRF9DSVEiFUlRX1RFVl9FQklUREFfRldEX0NJUQIAAAAGSVFfTlRNBDYwMDADAAAACyI3LzI2LzIwMDIiCTcvMjYvMjAwMgAAAAAEAAAAAAAAAA8iTmFzZGFxR1M6SU5UQyINTmFzZGFxR1M6SU5UQwEAAAAXIklRX1RFVl9FQklUREFfRldEX0NJUSIVSVFfVEVWX0VCSVREQV9GV0RfQ0lRAgAAAAZJUV9OVE0ENjAwMAMAAAALIjcvMTkvMjAwMiIJNy8xOS8yMDAyAAAA</t>
  </si>
  <si>
    <t>AAQAAAAAAAAADyJOYXNkYXFHUzpJTlRDIg1OYXNkYXFHUzpJTlRDAQAAABciSVFfVEVWX0VCSVREQV9GV0RfQ0lRIhVJUV9URVZfRUJJVERBX0ZXRF9DSVECAAAABklRX05UTQQ2MDAwAwAAAAsiNy8xMi8yMDAyIgk3LzEyLzIwMDIAAAAABAAAAAAAAAAPIk5hc2RhcUdTOklOVEMiDU5hc2RhcUdTOklOVEMBAAAAFyJJUV9URVZfRUJJVERBX0ZXRF9DSVEiFUlRX1RFVl9FQklUREFfRldEX0NJUQIAAAAGSVFfTlRNBDYwMDADAAAACiI3LzUvMjAwMiIINy81LzIwMDIAAAAABAAAAAAAAAAPIk5hc2RhcUdTOklOVEMiDU5hc2RhcUdTOklOVEMBAAAAFyJJUV9URVZfRUJJVERBX0ZXRF9DSVEiFUlRX1RFVl9FQklUREFfRldEX0NJUQIAAAAGSVFfTlRNBDYwMDADAAAACyI2LzI4LzIwMDIiCTYvMjgvMjAwMgAAAAAEAAAAAAAAAA8iTmFzZGFxR1M6SU5UQyINTmFzZGFxR1M6SU5UQwEAAAAXIklRX1RFVl9FQklUREFfRldEX0NJUSIVSVFfVEVWX0VCSVREQV9GV0RfQ0lRAgAAAAZJUV9OVE0ENjAwMAMAAAALIjYvMjEvMjAwMiIJNi8yMS8yMDAyAAAAAAQAAAAAAAAADyJOYXNkYXFHUzpJTlRDIg1OYXNkYXFHUzpJTlRDAQAAABciSVFfVEVWX0VCSVREQV9GV0RfQ0lRIhVJUV9URVZfRUJJVERBX0ZXRF9DSVECAAAABklRX05UTQQ2MDAwAwAAAAsiNi8xNC8yMDAyIgk2LzE0LzIwMDIAAAAABAAAAAAAAAAPIk5h</t>
  </si>
  <si>
    <t>c2RhcUdTOklOVEMiDU5hc2RhcUdTOklOVEMBAAAAFyJJUV9URVZfRUJJVERBX0ZXRF9DSVEiFUlRX1RFVl9FQklUREFfRldEX0NJUQIAAAAGSVFfTlRNBDYwMDADAAAACiI2LzcvMjAwMiIINi83LzIwMDIAAAAABAAAAAAAAAAPIk5hc2RhcUdTOklOVEMiDU5hc2RhcUdTOklOVEMBAAAAFyJJUV9URVZfRUJJVERBX0ZXRF9DSVEiFUlRX1RFVl9FQklUREFfRldEX0NJUQIAAAAGSVFfTlRNBDYwMDADAAAACyI1LzMxLzIwMDIiCTUvMzEvMjAwMgAAAAAEAAAAAAAAAA8iTmFzZGFxR1M6SU5UQyINTmFzZGFxR1M6SU5UQwEAAAAXIklRX1RFVl9FQklUREFfRldEX0NJUSIVSVFfVEVWX0VCSVREQV9GV0RfQ0lRAgAAAAZJUV9OVE0ENjAwMAMAAAALIjUvMjQvMjAwMiIJNS8yNC8yMDAyAAAAAAQAAAAAAAAADyJOYXNkYXFHUzpJTlRDIg1OYXNkYXFHUzpJTlRDAQAAABciSVFfVEVWX0VCSVREQV9GV0RfQ0lRIhVJUV9URVZfRUJJVERBX0ZXRF9DSVECAAAABklRX05UTQQ2MDAwAwAAAAsiNS8xNy8yMDAyIgk1LzE3LzIwMDIAAAAABAAAAAAAAAAPIk5hc2RhcUdTOklOVEMiDU5hc2RhcUdTOklOVEMBAAAAFyJJUV9URVZfRUJJVERBX0ZXRF9DSVEiFUlRX1RFVl9FQklUREFfRldEX0NJUQIAAAAGSVFfTlRNBDYwMDADAAAACyI1LzEwLzIwMDIiCTUvMTAvMjAwMgAAAAAEAAAAAAAAAA8iTmFzZGFxR1M6SU5UQyIN</t>
  </si>
  <si>
    <t>TmFzZGFxR1M6SU5UQwEAAAAXIklRX1RFVl9FQklUREFfRldEX0NJUSIVSVFfVEVWX0VCSVREQV9GV0RfQ0lRAgAAAAZJUV9OVE0ENjAwMAMAAAAKIjUvMy8yMDAyIgg1LzMvMjAwMgAAAAAEAAAAAAAAAA8iTmFzZGFxR1M6SU5UQyINTmFzZGFxR1M6SU5UQwEAAAAXIklRX1RFVl9FQklUREFfRldEX0NJUSIVSVFfVEVWX0VCSVREQV9GV0RfQ0lRAgAAAAZJUV9OVE0ENjAwMAMAAAALIjQvMjYvMjAwMiIJNC8yNi8yMDAyAAAAAAQAAAAAAAAADyJOYXNkYXFHUzpJTlRDIg1OYXNkYXFHUzpJTlRDAQAAABciSVFfVEVWX0VCSVREQV9GV0RfQ0lRIhVJUV9URVZfRUJJVERBX0ZXRF9DSVECAAAABklRX05UTQQ2MDAwAwAAAAsiNC8xOS8yMDAyIgk0LzE5LzIwMDIAAAAABAAAAAAAAAAPIk5hc2RhcUdTOklOVEMiDU5hc2RhcUdTOklOVEMBAAAAFyJJUV9URVZfRUJJVERBX0ZXRF9DSVEiFUlRX1RFVl9FQklUREFfRldEX0NJUQIAAAAGSVFfTlRNBDYwMDADAAAACyI0LzEyLzIwMDIiCTQvMTIvMjAwMgAAAAAEAAAAAAAAAA8iTmFzZGFxR1M6SU5UQyINTmFzZGFxR1M6SU5UQwEAAAAXIklRX1RFVl9FQklUREFfRldEX0NJUSIVSVFfVEVWX0VCSVREQV9GV0RfQ0lRAgAAAAZJUV9OVE0ENjAwMAMAAAAKIjQvNS8yMDAyIgg0LzUvMjAwMgAAAAAEAAAAAAAAAA8iTmFzZGFxR1M6SU5UQyINTmFzZGFxR1M6SU5UQwEA</t>
  </si>
  <si>
    <t>AAAXIklRX1RFVl9FQklUREFfRldEX0NJUSIVSVFfVEVWX0VCSVREQV9GV0RfQ0lRAgAAAAZJUV9OVE0ENjAwMAMAAAALIjMvMjgvMjAwMiIJMy8yOC8yMDAyAAAAAAQAAAAAAAAADyJOYXNkYXFHUzpJTlRDIg1OYXNkYXFHUzpJTlRDAQAAABciSVFfVEVWX0VCSVREQV9GV0RfQ0lRIhVJUV9URVZfRUJJVERBX0ZXRF9DSVECAAAABklRX05UTQQ2MDAwAwAAAAsiMy8yMi8yMDAyIgkzLzIyLzIwMDIAAAAABAAAAAAAAAAPIk5hc2RhcUdTOklOVEMiDU5hc2RhcUdTOklOVEMBAAAAFyJJUV9URVZfRUJJVERBX0ZXRF9DSVEiFUlRX1RFVl9FQklUREFfRldEX0NJUQIAAAAGSVFfTlRNBDYwMDADAAAACyIzLzE1LzIwMDIiCTMvMTUvMjAwMgAAAAAEAAAAAAAAAA8iTmFzZGFxR1M6SU5UQyINTmFzZGFxR1M6SU5UQwEAAAAXIklRX1RFVl9FQklUREFfRldEX0NJUSIVSVFfVEVWX0VCSVREQV9GV0RfQ0lRAgAAAAZJUV9OVE0ENjAwMAMAAAAKIjMvOC8yMDAyIggzLzgvMjAwMgAAAAAEAAAAAAAAAA8iTmFzZGFxR1M6SU5UQyINTmFzZGFxR1M6SU5UQwEAAAAXIklRX1RFVl9FQklUREFfRldEX0NJUSIVSVFfVEVWX0VCSVREQV9GV0RfQ0lRAgAAAAZJUV9OVE0ENjAwMAMAAAAKIjMvMS8yMDAyIggzLzEvMjAwMgAAAAAEAAAAAAAAAA8iTmFzZGFxR1M6SU5UQyINTmFzZGFxR1M6SU5UQwEAAAAXIklRX1RFVl9FQklU</t>
  </si>
  <si>
    <t>REFfRldEX0NJUSIVSVFfVEVWX0VCSVREQV9GV0RfQ0lRAgAAAAZJUV9OVE0ENjAwMAMAAAALIjIvMjIvMjAwMiIJMi8yMi8yMDAyAAAAAAQAAAAAAAAADyJOYXNkYXFHUzpJTlRDIg1OYXNkYXFHUzpJTlRDAQAAABciSVFfVEVWX0VCSVREQV9GV0RfQ0lRIhVJUV9URVZfRUJJVERBX0ZXRF9DSVECAAAABklRX05UTQQ2MDAwAwAAAAsiMi8xNS8yMDAyIgkyLzE1LzIwMDIAAAAABAAAAAAAAAAPIk5hc2RhcUdTOklOVEMiDU5hc2RhcUdTOklOVEMBAAAAFyJJUV9URVZfRUJJVERBX0ZXRF9DSVEiFUlRX1RFVl9FQklUREFfRldEX0NJUQIAAAAGSVFfTlRNBDYwMDADAAAACiIyLzgvMjAwMiIIMi84LzIwMDIAAAAABAAAAAAAAAAPIk5hc2RhcUdTOklOVEMiDU5hc2RhcUdTOklOVEMBAAAAFyJJUV9URVZfRUJJVERBX0ZXRF9DSVEiFUlRX1RFVl9FQklUREFfRldEX0NJUQIAAAAGSVFfTlRNBDYwMDADAAAACiIyLzEvMjAwMiIIMi8xLzIwMDIAAAAABAAAAAAAAAAPIk5hc2RhcUdTOklOVEMiDU5hc2RhcUdTOklOVEMBAAAAFyJJUV9URVZfRUJJVERBX0ZXRF9DSVEiFUlRX1RFVl9FQklUREFfRldEX0NJUQIAAAAGSVFfTlRNBDYwMDADAAAACyIxLzI1LzIwMDIiCTEvMjUvMjAwMgAAAAAEAAAAAAAAAA8iTmFzZGFxR1M6SU5UQyINTmFzZGFxR1M6SU5UQwEAAAAXIklRX1RFVl9FQklUREFfRldEX0NJUSIVSVFf</t>
  </si>
  <si>
    <t>VEVWX0VCSVREQV9GV0RfQ0lRAgAAAAZJUV9OVE0ENjAwMAMAAAALIjEvMTgvMjAwMiIJMS8xOC8yMDAyAAAAAAQAAAAAAAAADyJOYXNkYXFHUzpJTlRDIg1OYXNkYXFHUzpJTlRDAQAAABciSVFfVEVWX0VCSVREQV9GV0RfQ0lRIhVJUV9URVZfRUJJVERBX0ZXRF9DSVECAAAABklRX05UTQQ2MDAwAwAAAAsiMS8xMS8yMDAyIgkxLzExLzIwMDIAAAAABAAAAAAAAAAPIk5hc2RhcUdTOklOVEMiDU5hc2RhcUdTOklOVEMBAAAAFyJJUV9URVZfRUJJVERBX0ZXRF9DSVEiFUlRX1RFVl9FQklUREFfRldEX0NJUQIAAAAGSVFfTlRNBDYwMDADAAAACiIxLzQvMjAwMiIIMS80LzIwMDIAAAAABAAAAAAAAAAPIk5hc2RhcUdTOklOVEMiDU5hc2RhcUdTOklOVEMBAAAAFyJJUV9URVZfRUJJVERBX0ZXRF9DSVEiFUlRX1RFVl9FQklUREFfRldEX0NJUQIAAAAGSVFfTlRNBDYwMDADAAAADCIxMi8yOC8yMDAxIgoxMi8yOC8yMDAxAAAAAAQAAAAAAAAADyJOYXNkYXFHUzpJTlRDIg1OYXNkYXFHUzpJTlRDAQAAABciSVFfVEVWX0VCSVREQV9GV0RfQ0lRIhVJUV9URVZfRUJJVERBX0ZXRF9DSVECAAAABklRX05UTQQ2MDAwAwAAAAwiMTIvMjEvMjAwMSIKMTIvMjEvMjAwMQAAAAAEAAAAAAAAAA8iTmFzZGFxR1M6SU5UQyINTmFzZGFxR1M6SU5UQwEAAAAXIklRX1RFVl9FQklUREFfRldEX0NJUSIVSVFfVEVWX0VCSVRE</t>
  </si>
  <si>
    <t>QV9GV0RfQ0lRAgAAAAZJUV9OVE0ENjAwMAMAAAAMIjEyLzE0LzIwMDEiCjEyLzE0LzIwMDEAAAAABAAAAAAAAAAPIk5hc2RhcUdTOklOVEMiDU5hc2RhcUdTOklOVEMBAAAAFyJJUV9URVZfRUJJVERBX0ZXRF9DSVEiFUlRX1RFVl9FQklUREFfRldEX0NJUQIAAAAGSVFfTlRNBDYwMDADAAAACyIxMi83LzIwMDEiCTEyLzcvMjAwMQAAAAAEAAAAAAAAAA8iTmFzZGFxR1M6SU5UQyINTmFzZGFxR1M6SU5UQwEAAAAXIklRX1RFVl9FQklUREFfRldEX0NJUSIVSVFfVEVWX0VCSVREQV9GV0RfQ0lRAgAAAAZJUV9OVE0ENjAwMAMAAAAMIjExLzMwLzIwMDEiCjExLzMwLzIwMDEAAAAABAAAAAAAAAAPIk5hc2RhcUdTOklOVEMiDU5hc2RhcUdTOklOVEMBAAAAFyJJUV9URVZfRUJJVERBX0ZXRF9DSVEiFUlRX1RFVl9FQklUREFfRldEX0NJUQIAAAAGSVFfTlRNBDYwMDADAAAADCIxMS8yMy8yMDAxIgoxMS8yMy8yMDAxAAAAAAQAAAAAAAAADyJOYXNkYXFHUzpJTlRDIg1OYXNkYXFHUzpJTlRDAQAAABciSVFfVEVWX0VCSVREQV9GV0RfQ0lRIhVJUV9URVZfRUJJVERBX0ZXRF9DSVECAAAABklRX05UTQQ2MDAwAwAAAAwiMTEvMTYvMjAwMSIKMTEvMTYvMjAwMQAAAAAEAAAAAAAAAA8iTmFzZGFxR1M6SU5UQyINTmFzZGFxR1M6SU5UQwEAAAAXIklRX1RFVl9FQklUREFfRldEX0NJUSIVSVFfVEVWX0VCSVREQV9G</t>
  </si>
  <si>
    <t>V0RfQ0lRAgAAAAZJUV9OVE0ENjAwMAMAAAALIjExLzkvMjAwMSIJMTEvOS8yMDAxAAAAAAQAAAAAAAAADyJOYXNkYXFHUzpJTlRDIg1OYXNkYXFHUzpJTlRDAQAAABciSVFfVEVWX0VCSVREQV9GV0RfQ0lRIhVJUV9URVZfRUJJVERBX0ZXRF9DSVECAAAABklRX05UTQQ2MDAwAwAAAAsiMTEvMi8yMDAxIgkxMS8yLzIwMDEAAAAABAAAAAAAAAAPIk5hc2RhcUdTOklOVEMiDU5hc2RhcUdTOklOVEMBAAAAFyJJUV9URVZfRUJJVERBX0ZXRF9DSVEiFUlRX1RFVl9FQklUREFfRldEX0NJUQIAAAAGSVFfTlRNBDYwMDADAAAADCIxMC8yNi8yMDAxIgoxMC8yNi8yMDAxAAAAAAQAAAAAAAAADyJOYXNkYXFHUzpJTlRDIg1OYXNkYXFHUzpJTlRDAQAAABciSVFfVEVWX0VCSVREQV9GV0RfQ0lRIhVJUV9URVZfRUJJVERBX0ZXRF9DSVECAAAABklRX05UTQQ2MDAwAwAAAAwiMTAvMTkvMjAwMSIKMTAvMTkvMjAwMQAAAAAEAAAAAAAAAA8iTmFzZGFxR1M6SU5UQyINTmFzZGFxR1M6SU5UQwEAAAAXIklRX1RFVl9FQklUREFfRldEX0NJUSIVSVFfVEVWX0VCSVREQV9GV0RfQ0lRAgAAAAZJUV9OVE0ENjAwMAMAAAAMIjEwLzEyLzIwMDEiCjEwLzEyLzIwMDEAAAAABAAAAAAAAAAPIk5hc2RhcUdTOklOVEMiDU5hc2RhcUdTOklOVEMBAAAAFyJJUV9URVZfRUJJVERBX0ZXRF9DSVEiFUlRX1RFVl9FQklUREFfRldEX0NJ</t>
  </si>
  <si>
    <t>UQIAAAAGSVFfTlRNBDYwMDADAAAACyIxMC81LzIwMDEiCTEwLzUvMjAwMQAAAAAEAAAAAAAAAA8iTmFzZGFxR1M6SU5UQyINTmFzZGFxR1M6SU5UQwEAAAAXIklRX1RFVl9FQklUREFfRldEX0NJUSIVSVFfVEVWX0VCSVREQV9GV0RfQ0lRAgAAAAZJUV9OVE0ENjAwMAMAAAALIjkvMjgvMjAwMSIJOS8yOC8yMDAxAAAAAAQAAAAAAAAADyJOYXNkYXFHUzpJTlRDIg1OYXNkYXFHUzpJTlRDAQAAABciSVFfVEVWX0VCSVREQV9GV0RfQ0lRIhVJUV9URVZfRUJJVERBX0ZXRF9DSVECAAAABklRX05UTQQ2MDAwAwAAAAsiOS8yMS8yMDAxIgk5LzIxLzIwMDEAAAAABAAAAAAAAAAPIk5hc2RhcUdTOklOVEMiDU5hc2RhcUdTOklOVEMBAAAAFyJJUV9URVZfRUJJVERBX0ZXRF9DSVEiFUlRX1RFVl9FQklUREFfRldEX0NJUQIAAAAGSVFfTlRNBDYwMDADAAAACyI5LzEwLzIwMDEiCTkvMTAvMjAwMQAAAAAEAAAAAAAAAA8iTmFzZGFxR1M6SU5UQyINTmFzZGFxR1M6SU5UQwEAAAAXIklRX1RFVl9FQklUREFfRldEX0NJUSIVSVFfVEVWX0VCSVREQV9GV0RfQ0lRAgAAAAZJUV9OVE0ENjAwMAMAAAAKIjkvNy8yMDAxIgg5LzcvMjAwMQAAAAAEAAAAAAAAAA8iTmFzZGFxR1M6SU5UQyINTmFzZGFxR1M6SU5UQwEAAAAXIklRX1RFVl9FQklUREFfRldEX0NJUSIVSVFfVEVWX0VCSVREQV9GV0RfQ0lRAgAAAAZJUV9OVE0E</t>
  </si>
  <si>
    <t>NjAwMAMAAAALIjgvMzEvMjAwMSIJOC8zMS8yMDAxAAAAAAQAAAAAAAAADyJOYXNkYXFHUzpJTlRDIg1OYXNkYXFHUzpJTlRDAQAAABciSVFfVEVWX0VCSVREQV9GV0RfQ0lRIhVJUV9URVZfRUJJVERBX0ZXRF9DSVECAAAABklRX05UTQQ2MDAwAwAAAAsiOC8yNC8yMDAxIgk4LzI0LzIwMDEAAAAABAAAAAAAAAAPIk5hc2RhcUdTOklOVEMiDU5hc2RhcUdTOklOVEMBAAAAFyJJUV9URVZfRUJJVERBX0ZXRF9DSVEiFUlRX1RFVl9FQklUREFfRldEX0NJUQIAAAAGSVFfTlRNBDYwMDADAAAACyI4LzE3LzIwMDEiCTgvMTcvMjAwMQAAAAAEAAAAAAAAAA8iTmFzZGFxR1M6SU5UQyINTmFzZGFxR1M6SU5UQwEAAAAXIklRX1RFVl9FQklUREFfRldEX0NJUSIVSVFfVEVWX0VCSVREQV9GV0RfQ0lRAgAAAAZJUV9OVE0ENjAwMAMAAAALIjgvMTAvMjAwMSIJOC8xMC8yMDAxAAAAAAQAAAAAAAAADyJOYXNkYXFHUzpJTlRDIg1OYXNkYXFHUzpJTlRDAQAAABciSVFfVEVWX0VCSVREQV9GV0RfQ0lRIhVJUV9URVZfRUJJVERBX0ZXRF9DSVECAAAABklRX05UTQQ2MDAwAwAAAAoiOC8zLzIwMDEiCDgvMy8yMDAxAAAAAAQAAAAAAAAADyJOYXNkYXFHUzpJTlRDIg1OYXNkYXFHUzpJTlRDAQAAABciSVFfVEVWX0VCSVREQV9GV0RfQ0lRIhVJUV9URVZfRUJJVERBX0ZXRF9DSVECAAAABklRX05UTQQ2MDAwAwAAAAsiNy8y</t>
  </si>
  <si>
    <t>Ny8yMDAxIgk3LzI3LzIwMDEAAAAABAAAAAAAAAAPIk5hc2RhcUdTOklOVEMiDU5hc2RhcUdTOklOVEMBAAAAFyJJUV9URVZfRUJJVERBX0ZXRF9DSVEiFUlRX1RFVl9FQklUREFfRldEX0NJUQIAAAAGSVFfTlRNBDYwMDADAAAACyI3LzIwLzIwMDEiCTcvMjAvMjAwMQAAAAAEAAAAAAAAAA8iTmFzZGFxR1M6SU5UQyINTmFzZGFxR1M6SU5UQwEAAAAXIklRX1RFVl9FQklUREFfRldEX0NJUSIVSVFfVEVWX0VCSVREQV9GV0RfQ0lRAgAAAAZJUV9OVE0ENjAwMAMAAAALIjcvMTMvMjAwMSIJNy8xMy8yMDAxAAAAAAQAAAAAAAAADyJOYXNkYXFHUzpJTlRDIg1OYXNkYXFHUzpJTlRDAQAAABciSVFfVEVWX0VCSVREQV9GV0RfQ0lRIhVJUV9URVZfRUJJVERBX0ZXRF9DSVECAAAABklRX05UTQQ2MDAwAwAAAAoiNy82LzIwMDEiCDcvNi8yMDAxAAAAAAQAAAAAAAAADyJOYXNkYXFHUzpJTlRDIg1OYXNkYXFHUzpJTlRDAQAAABciSVFfVEVWX0VCSVREQV9GV0RfQ0lRIhVJUV9URVZfRUJJVERBX0ZXRF9DSVECAAAABklRX05UTQQ2MDAwAwAAAAsiNi8yOS8yMDAxIgk2LzI5LzIwMDEAAAAABAAAAAAAAAAPIk5hc2RhcUdTOklOVEMiDU5hc2RhcUdTOklOVEMBAAAAFyJJUV9URVZfRUJJVERBX0ZXRF9DSVEiFUlRX1RFVl9FQklUREFfRldEX0NJUQIAAAAGSVFfTlRNBDYwMDADAAAACyI2LzIyLzIwMDEiCTYvMjIv</t>
  </si>
  <si>
    <t>MjAwMQAAAAAEAAAAAAAAAA8iTmFzZGFxR1M6SU5UQyINTmFzZGFxR1M6SU5UQwEAAAAXIklRX1RFVl9FQklUREFfRldEX0NJUSIVSVFfVEVWX0VCSVREQV9GV0RfQ0lRAgAAAAZJUV9OVE0ENjAwMAMAAAALIjYvMTUvMjAwMSIJNi8xNS8yMDAxAAAAAAQAAAAAAAAADyJOYXNkYXFHUzpJTlRDIg1OYXNkYXFHUzpJTlRDAQAAABciSVFfVEVWX0VCSVREQV9GV0RfQ0lRIhVJUV9URVZfRUJJVERBX0ZXRF9DSVECAAAABklRX05UTQQ2MDAwAwAAAAoiNi84LzIwMDEiCDYvOC8yMDAxAAAAAAQAAAAAAAAADyJOYXNkYXFHUzpJTlRDIg1OYXNkYXFHUzpJTlRDAQAAABciSVFfVEVWX0VCSVREQV9GV0RfQ0lRIhVJUV9URVZfRUJJVERBX0ZXRF9DSVECAAAABklRX05UTQQ2MDAwAwAAAAoiNi8xLzIwMDEiCDYvMS8yMDAxAAAAAAQAAAAAAAAADyJOYXNkYXFHUzpJTlRDIg1OYXNkYXFHUzpJTlRDAQAAABciSVFfVEVWX0VCSVREQV9GV0RfQ0lRIhVJUV9URVZfRUJJVERBX0ZXRF9DSVECAAAABklRX05UTQQ2MDAwAwAAAAsiNS8yNS8yMDAxIgk1LzI1LzIwMDEAAAAABAAAAAAAAAAPIk5hc2RhcUdTOklOVEMiDU5hc2RhcUdTOklOVEMBAAAAFyJJUV9URVZfRUJJVERBX0ZXRF9DSVEiFUlRX1RFVl9FQklUREFfRldEX0NJUQIAAAAGSVFfTlRNBDYwMDADAAAACyI1LzE4LzIwMDEiCTUvMTgvMjAwMQAAAAAEAAAAAAAA</t>
  </si>
  <si>
    <t>AA8iTmFzZGFxR1M6SU5UQyINTmFzZGFxR1M6SU5UQwEAAAAXIklRX1RFVl9FQklUREFfRldEX0NJUSIVSVFfVEVWX0VCSVREQV9GV0RfQ0lRAgAAAAZJUV9OVE0ENjAwMAMAAAALIjUvMTEvMjAwMSIJNS8xMS8yMDAxAAAAAAQAAAAAAAAADyJOYXNkYXFHUzpJTlRDIg1OYXNkYXFHUzpJTlRDAQAAABciSVFfVEVWX0VCSVREQV9GV0RfQ0lRIhVJUV9URVZfRUJJVERBX0ZXRF9DSVECAAAABklRX05UTQQ2MDAwAwAAAAoiNS80LzIwMDEiCDUvNC8yMDAxAAAAAAQAAAAAAAAADyJOYXNkYXFHUzpJTlRDIg1OYXNkYXFHUzpJTlRDAQAAABciSVFfVEVWX0VCSVREQV9GV0RfQ0lRIhVJUV9URVZfRUJJVERBX0ZXRF9DSVECAAAABklRX05UTQQ2MDAwAwAAAAsiNC8yNy8yMDAxIgk0LzI3LzIwMDEAAAAABAAAAAAAAAAPIk5hc2RhcUdTOklOVEMiDU5hc2RhcUdTOklOVEMBAAAAFyJJUV9URVZfRUJJVERBX0ZXRF9DSVEiFUlRX1RFVl9FQklUREFfRldEX0NJUQIAAAAGSVFfTlRNBDYwMDADAAAACyI0LzIwLzIwMDEiCTQvMjAvMjAwMQAAAAAEAAAAAAAAAA8iTmFzZGFxR1M6SU5UQyINTmFzZGFxR1M6SU5UQwEAAAAXIklRX1RFVl9FQklUREFfRldEX0NJUSIVSVFfVEVWX0VCSVREQV9GV0RfQ0lRAgAAAAZJUV9OVE0ENjAwMAMAAAALIjQvMTIvMjAwMSIJNC8xMi8yMDAxAAAAAAQAAAAAAAAADyJOYXNkYXFHUzpJ</t>
  </si>
  <si>
    <t>TlRDIg1OYXNkYXFHUzpJTlRDAQAAABciSVFfVEVWX0VCSVREQV9GV0RfQ0lRIhVJUV9URVZfRUJJVERBX0ZXRF9DSVECAAAABklRX05UTQQ2MDAwAwAAAAoiNC82LzIwMDEiCDQvNi8yMDAxAAAAAAQAAAAAAAAADyJOYXNkYXFHUzpJTlRDIg1OYXNkYXFHUzpJTlRDAQAAABciSVFfVEVWX0VCSVREQV9GV0RfQ0lRIhVJUV9URVZfRUJJVERBX0ZXRF9DSVECAAAABklRX05UTQQ2MDAwAwAAAAsiMy8zMC8yMDAxIgkzLzMwLzIwMDEAAAAABAAAAAAAAAAPIk5hc2RhcUdTOklOVEMiDU5hc2RhcUdTOklOVEMBAAAAFyJJUV9URVZfRUJJVERBX0ZXRF9DSVEiFUlRX1RFVl9FQklUREFfRldEX0NJUQIAAAAGSVFfTlRNBDYwMDADAAAACyIzLzIzLzIwMDEiCTMvMjMvMjAwMQAAAAAEAAAAAAAAAA8iTmFzZGFxR1M6SU5UQyINTmFzZGFxR1M6SU5UQwEAAAAXIklRX1RFVl9FQklUREFfRldEX0NJUSIVSVFfVEVWX0VCSVREQV9GV0RfQ0lRAgAAAAZJUV9OVE0ENjAwMAMAAAALIjMvMTYvMjAwMSIJMy8xNi8yMDAxAAAAAAQAAAAAAAAADyJOYXNkYXFHUzpJTlRDIg1OYXNkYXFHUzpJTlRDAQAAABciSVFfVEVWX0VCSVREQV9GV0RfQ0lRIhVJUV9URVZfRUJJVERBX0ZXRF9DSVECAAAABklRX05UTQQ2MDAwAwAAAAoiMy85LzIwMDEiCDMvOS8yMDAxAAAAAAQAAAAAAAAADyJOYXNkYXFHUzpJTlRDIg1OYXNkYXFHUzpJ</t>
  </si>
  <si>
    <t>TlRDAQAAABciSVFfVEVWX0VCSVREQV9GV0RfQ0lRIhVJUV9URVZfRUJJVERBX0ZXRF9DSVECAAAABklRX05UTQQ2MDAwAwAAAAoiMy8yLzIwMDEiCDMvMi8yMDAxAAAAAAQAAAAAAAAADyJOYXNkYXFHUzpJTlRDIg1OYXNkYXFHUzpJTlRDAQAAABciSVFfVEVWX0VCSVREQV9GV0RfQ0lRIhVJUV9URVZfRUJJVERBX0ZXRF9DSVECAAAABklRX05UTQQ2MDAwAwAAAAsiMi8yMy8yMDAxIgkyLzIzLzIwMDEAAAAABAAAAAAAAAAPIk5hc2RhcUdTOklOVEMiDU5hc2RhcUdTOklOVEMBAAAAFyJJUV9URVZfRUJJVERBX0ZXRF9DSVEiFUlRX1RFVl9FQklUREFfRldEX0NJUQIAAAAGSVFfTlRNBDYwMDADAAAACyIyLzE2LzIwMDEiCTIvMTYvMjAwMQAAAAAEAAAAAAAAAA8iTmFzZGFxR1M6SU5UQyINTmFzZGFxR1M6SU5UQwEAAAAXIklRX1RFVl9FQklUREFfRldEX0NJUSIVSVFfVEVWX0VCSVREQV9GV0RfQ0lRAgAAAAZJUV9OVE0ENjAwMAMAAAAKIjIvOS8yMDAxIggyLzkvMjAwMQAAAAAEAAAAAAAAAA8iTmFzZGFxR1M6SU5UQyINTmFzZGFxR1M6SU5UQwEAAAAXIklRX1RFVl9FQklUREFfRldEX0NJUSIVSVFfVEVWX0VCSVREQV9GV0RfQ0lRAgAAAAZJUV9OVE0ENjAwMAMAAAAKIjIvMi8yMDAxIggyLzIvMjAwMQAAAAAEAAAAAAAAAA8iTmFzZGFxR1M6SU5UQyINTmFzZGFxR1M6SU5UQwEAAAAXIklRX1RFVl9F</t>
  </si>
  <si>
    <t>QklUREFfRldEX0NJUSIVSVFfVEVWX0VCSVREQV9GV0RfQ0lRAgAAAAZJUV9OVE0ENjAwMAMAAAALIjEvMjYvMjAwMSIJMS8yNi8yMDAxAAAAAAQAAAAAAAAADyJOYXNkYXFHUzpJTlRDIg1OYXNkYXFHUzpJTlRDAQAAABciSVFfVEVWX0VCSVREQV9GV0RfQ0lRIhVJUV9URVZfRUJJVERBX0ZXRF9DSVECAAAABklRX05UTQQ2MDAwAwAAAAsiMS8xOS8yMDAxIgkxLzE5LzIwMDEAAAAABAAAAAAAAAAPIk5hc2RhcUdTOklOVEMiDU5hc2RhcUdTOklOVEMBAAAAFyJJUV9URVZfRUJJVERBX0ZXRF9DSVEiFUlRX1RFVl9FQklUREFfRldEX0NJUQIAAAAGSVFfTlRNBDYwMDADAAAACyIxLzEyLzIwMDEiCTEvMTIvMjAwMQAAAAAEAAAAAAAAAA8iTmFzZGFxR1M6SU5UQyINTmFzZGFxR1M6SU5UQwEAAAAXIklRX1RFVl9FQklUREFfRldEX0NJUSIVSVFfVEVWX0VCSVREQV9GV0RfQ0lRAgAAAAZJUV9OVE0ENjAwMAMAAAAKIjEvNS8yMDAxIggxLzUvMjAwMSsEU7uTc9UIS4NeSZdz1Qg1Q0lRLk5BU0RBUUdTOklOVEMuSVFfVEVWX0VCSVREQV9GV0RfQ0lRLjYwMDAuNy82LzIwMDcBAAAAh1IAAAIAAAAQMTAuMDE3NTQzOTg4NTM5MQENAAAABQAAAAE5AQAAAAcyNjIxMjk1AgAAAAcxNzU3MTUzAwAAAAYxMDAzMDgEAAAAATIGAAAAATAHAAAAAzE2MAgAAAABMAkAAAABMQoAAAABMAsAAAAKMTE2OTEzNjgzMQwAAAAC</t>
  </si>
  <si>
    <t>MTINAAAACDcvNy8yMDA3+/9Uu5Nz1QhrI46ul3PVCDZDSVEuTkFTREFRR1M6SU5UQy5JUV9URVZfRUJJVERBX0ZXRF9DSVEuNjAwMC4xMC85LzIwMDkBAAAAh1IAAAIAAAAQNy41OTk3ODgyNjM3NTYxMwENAAAABQAAAAE5AQAAAAcyNjIxMjk1AgAAAAcxNzU3MTYwAwAAAAYxMDAzMDgEAAAAATIGAAAAATAHAAAAAzE2MAgAAAABMAkAAAABMQoAAAABMAsAAAAKODE3MjQwMzM2MgwAAAACMTINAAAACjEwLzEwLzIwMDnLilS7k3PVCKu/jq6Xc9UINkNJUS5OYXNkYXFHUzpJTlRDLklRX1RFVl9UT1RBTF9SRVZfRldELjYwMDAuMTAvMTEvMjAxMwEAAACHUgAAAgAAABAyLjA4NjM4NjgxMjEyODUyAQ0AAAAFAAAAATkBAAAABzI2MjEyOTUCAAAABzM4Mjk3NTIDAAAABjEwMDMwNwQAAAABMgYAAAABMAcAAAADMTYwCAAAAAEwCQAAAAExCgAAAAEwCwAAAAo4ODYyNTQwNTU0DAAAAAIxMg0AAAAKMTAvMTIvMjAxM6v7VbmTc9UI60VWSZdz1QhVQ0lRUkFOR0UuTkFTREFRR1M6SU5UQy5JUV9QUklDRV9TQUxFUy4yMDAwLjIwMTAvMDEvMDEuMi8yMS8yMDE4Li5ERVNDLlcuLi5MVE0gUC9TQUxFUwUAAAAAAAAACAAAABYoRXhjZWVkcyA4IFllYXIgTGltaXQpK8NUuZNz1Qh7ZMpJl3PVCC9DSVEuTkFTREFRR1M6SU5UQy5JUV9QRV9FWENMX0ZXRC42MDAwLjEyLzEvMjAxNwEAAACHUgAAAgAAABAxMy43OTczNjI4</t>
  </si>
  <si>
    <t>MTM4MjIxAQ0AAAAFAAAAATkBAAAABzI2MjEyOTUCAAAACDI3NTAwMTc0AwAAAAYxMDAzMDkEAAAAATIGAAAAATAHAAAAAzE2MAgAAAABMAkAAAABMQoAAAABMAsAAAALMTA2OTgzNjExMzYMAAAAAjEyDQAAAAkxMi8yLzIwMTfLArK9k3PVCHvDUkmXc9UIJ0NJUS5OQVNEQVFHUzpJTlRDLklRX1BUQlYuMjAwMC43LzkvMjAxMAEAAACHUgAAAgAAAAgyLjk4MDMxNwEHAAAABQAAAAExAQAAAAoxMzU3NjU5MTAxAwAAAAEwAgAAAAYxMDAwMjkEAAAAATAHAAAACDcvOS8yMDEwCAAAAAg3LzkvMjAxMNvXubeTc9UIuwxMSZdz1Qg1Q0lRLk5hc2RhcUdTOklOVEMuSVFfVEVWX1RPVEFMX1JFVl9GV0QuNjAwMC45LzI5LzIwMTcBAAAAh1IAAAIAAAAQMi45ODY2NjY1NTQzODU4NAENAAAABQAAAAE5AQAAAAcyNjIxMjk1AgAAAAgyNzUwMDE3MwMAAAAGMTAwMzA3BAAAAAEyBgAAAAEwBwAAAAMxNjAIAAAAATAJAAAAATEKAAAAATALAAAACzEwNDY0NDQ3NzA2DAAAAAIxMg0AAAAJOS8zMC8yMDE3ezhWu5Nz1QgrHk1Jl3PVCC9DSVEuTkFTREFRR1M6SU5UQy5JUV9QRV9FWENMX0ZXRC42MDAwLjgvMTcvMjAxMgEAAACHUgAAAgAAABAxMC4xNzYyMzg2OTUyMTUzAQ0AAAAFAAAAATkBAAAABzI2MjEyOTUCAAAABzE3NTcxNjkDAAAABjEwMDMwOQQAAAABMgYAAAABMAcAAAADMTYwCAAAAAEwCQAAAAExCgAAAAEwCwAA</t>
  </si>
  <si>
    <t>AAo4ODYzNDM0NDYzDAAAAAIxMg0AAAAJOC8xOC8yMDEyC5+yvZNz1Qg7CVdJl3PVCDZDSVEuTmFzZGFxR1M6SU5UQy5JUV9URVZfRUJJVERBX0ZXRF9DSVEuNjAwMC4xLzI3LzIwMTcBAAAAh1IAAAIAAAAQNy43MDQwODAzMTcxNjU5NAENAAAABQAAAAE5AQAAAAcyNjIxMjk1AgAAAAoxMDAwOTQ0Mzg3AwAAAAYxMDAzMDgEAAAAATIGAAAAATAHAAAAAzE2MAgAAAABMAkAAAABMQoAAAABMAsAAAAKOTk1ODg4OTU1NQwAAAACMTINAAAACTEvMjgvMjAxN6utVruTc9UIW22Qrpdz1QgtQ0lRLl5TUFguSVFfVEVWX0VCSVREQV9GV0RfQ0lRLjYwMDAuMS8yNC8yMDE4AQAAAJu4KAACAAAACTExLjM2NDk4NQBrX1W5k3PVCDuXY0qXc9UINUNJUS5OYXNkYXFHUzpJTlRDLklRX1RFVl9FQklUREFfRldEX0NJUS42MDAwLjMvOS8yMDAxAQAAAIdSAAADAAAAAAD7cFe7k3PVCLvmjq6Xc9UILENJUS5eU1BYLklRX1RFVl9UT1RBTF9SRVZfRldELjYwMDAuNC8xMi8yMDE3AQAAAJu4KAACAAAACDIuMTg4NjU0ACsEU7uTc9UIG4IVS5dz1Qg1Q0lRLk5hc2RhcUdTOklOVEMuSVFfVEVWX1RPVEFMX1JFVl9GV0QuNjAwMC43LzI1LzIwMDMBAAAAh1IAAAIAAAAQNC45NTQwNDE5MTg1MzkwOAENAAAABQAAAAE5AQAAAAcyNjIxMjk1AgAAAAcxNzU3MTQyAwAAAAYxMDAzMDcEAAAAATIGAAAAATAHAAAAAzE2MAgAAAABMAkA</t>
  </si>
  <si>
    <t>AAABMQoAAAABMAsAAAAKMTE2OTEyNzA3MQwAAAACMTINAAAACTcvMjYvMjAwM+uesbuTc9UIWyJLSZdz1QgoQ0lRLk5BU0RBUUdTOklOVEMuSVFfUFRCVi4yMDAwLjUvMzAvMjAxNAEAAACHUgAAAgAAAAczLjE5OTI4AQcAAAAFAAAAATEBAAAACjE2NzMzNzkzMjcDAAAAATACAAAABjEwMDAyOQQAAAABMAcAAAAJNS8zMC8yMDE0CAAAAAk1LzMwLzIwMTRLEVW5k3PVCCuPT0mXc9UIKENJUS5OQVNEQVFHUzpJTlRDLklRX1BUQlYuMjAwMC4xLzIxLzIwMTEBAAAAh1IAAAIAAAAIMi41NjM1NTUBBwAAAAUAAAABMQEAAAAKMTQxODkyMDk3OQMAAAABMAIAAAAGMTAwMDI5BAAAAAEwBwAAAAkxLzIxLzIwMTEIAAAACTEvMjEvMjAxMbtqr72Tc9UIy2hYSZdz1QgvQ0lRLk5BU0RBUUdTOklOVEMuSVFfUFJJQ0VfU0FMRVMuMjAwMC4yLzE5LzIwMTYBAAAAh1IAAAIAAAAIMi40NTk0NDkBBwAAAAUAAAABMQEAAAAKMTc3NTkzMzE0MAMAAAABMAIAAAAFMzg5NTgEAAAAATAHAAAACTIvMTkvMjAxNggAAAAJMi8xOS8yMDE2C7ZSu5Nz1QjrRVZJl3PVCDBDSVEuTkFTREFRR1M6SU5UQy5JUV9QRV9FWENMX0ZXRC42MDAwLjEyLzI4LzIwMDEBAAAAh1IAAAIAAAAQNjAuNTU1OTkxNzM1NTM3MgENAAAABQAAAAE5AQAAAAcyNjIxMjk1AgAAAAczNDIxMTYyAwAAAAYxMDAzMDkEAAAAATIGAAAAATAHAAAAAzE2MAgAAAAB</t>
  </si>
  <si>
    <t>MAkAAAABMQoAAAABMAsAAAAKNzExNTg0MTc1MwwAAAACMTINAAAACjEyLzI5LzIwMDGrJbS9k3PVCCtTWUmXc9UILkNJUS5OQVNEQVFHUzpJTlRDLklRX1BFX0VYQ0xfRldELjYwMDAuMS82LzIwMDYBAAAAh1IAAAIAAAAQMTcuMDI5MTI2MjEzNTkyMgENAAAABQAAAAE5AQAAAAcyNjIxMjk1AgAAAAcxNzU3MTQ5AwAAAAYxMDAzMDkEAAAAATIGAAAAATAHAAAAAzE2MAgAAAABMAkAAAABMQoAAAABMAsAAAAKMTE2OTE2MDY3NwwAAAACMTINAAAACDEvNy8yMDA2a4mzvZNz1QhrnFJJl3PVCC9DSVEuTkFTREFRR1M6SU5UQy5JUV9QUklDRV9TQUxFUy4yMDAwLjcvMjMvMjAxMAEAAACHUgAAAgAAAAgyLjkyODE2NQEHAAAABQAAAAExAQAAAAoxMzg2NzIxMDUyAwAAAAEwAgAAAAUzODk1OAQAAAABMAcAAAAJNy8yMy8yMDEwCAAAAAk3LzIzLzIwMTB7nWa5k3PVCAsjVEmXc9UINUNJUS5OYXNkYXFHUzpJTlRDLklRX1RFVl9UT1RBTF9SRVZfRldELjYwMDAuNi8xNy8yMDA1AQAAAIdSAAACAAAAEDMuODYyMTE3OTM4MjgzMTEBDQAAAAUAAAABOQEAAAAHMjYyMTI5NQIAAAAHMTc1NzE0NwMAAAAGMTAwMzA3BAAAAAEyBgAAAAEwBwAAAAMxNjAIAAAAATAJAAAAATEKAAAAATALAAAACjExNjkxMjk5MjAMAAAAAjEyDQAAAAk2LzE4LzIwMDX7vla5k3PVCOvyTkmXc9UIN0NJUS5OQVNEQVFHUzpJTlRDLklRX1RF</t>
  </si>
  <si>
    <t>Vl9FQklUREFfRldEX0NJUS42MDAwLjExLzE2LzIwMTIBAAAAh1IAAAIAAAAPNC41MzI0NjA1ODUyODQyAQ0AAAAFAAAAATkBAAAABzI2MjEyOTUCAAAABzE3NTcxNzADAAAABjEwMDMwOAQAAAABMgYAAAABMAcAAAADMTYwCAAAAAEwCQAAAAExCgAAAAEwCwAAAAo4MTcxNTc0MjM1DAAAAAIxMg0AAAAKMTEvMTcvMjAxMpsVVLuTc9UIW/yNrpdz1QgvQ0lRLk5BU0RBUUdTOklOVEMuSVFfUEVfRVhDTF9GV0QuNjAwMC4xMC80LzIwMDIBAAAAh1IAAAIAAAAQMjIuNTg2NDkwOTM5MDQ0NQENAAAABQAAAAE5AQAAAAcyNjIxMjk1AgAAAAcxNzU3MTM5AwAAAAYxMDAzMDkEAAAAATIGAAAAATAHAAAAAzE2MAgAAAABMAkAAAABMQoAAAABMAsAAAAKOTA5MDY4ODExMgwAAAACMTINAAAACTEwLzUvMjAwMovXs72Tc9UIm4JVSZdz1Qg1Q0lRLk5BU0RBUUdTOklOVEMuSVFfVEVWX0VCSVREQV9GV0RfQ0lRLjYwMDAuNy84LzIwMTYBAAAAh1IAAAIAAAAPOC4zMDczMTc2MTA4Mjc4AQ0AAAAFAAAAATkBAAAABzI2MjEyOTUCAAAACDI3MDAzNjUxAwAAAAYxMDAzMDgEAAAAATIGAAAAATAHAAAAAzE2MAgAAAABMAkAAAABMQoAAAABMAsAAAAKOTU4MzkxMTU4OQwAAAACMTINAAAACDcvOS8yMDE2W3lTu5Nz1QiLcY6ul3PVCDVDSVEuTmFzZGFxR1M6SU5UQy5JUV9URVZfVE9UQUxfUkVWX0ZXRC42MDAwLjcvMTgvMjAw</t>
  </si>
  <si>
    <t>OAEAAACHUgAAAgAAABAyLjgwMjc1MzQyNzM3ODQ4AQ0AAAAFAAAAATkBAAAABzI2MjEyOTUCAAAABzE3NTcxNTcDAAAABjEwMDMwNwQAAAABMgYAAAABMAcAAAADMTYwCAAAAAEwCQAAAAExCgAAAAEwCwAAAAo4ODYyMDI4ODc0DAAAAAIxMg0AAAAJNy8xOS8yMDA4y0lWuZNz1QjL91VJl3PVCDVDSVEuTkFTREFRR1M6SU5UQy5JUV9URVZfRUJJVERBX0ZXRF9DSVEuNjAwMC41LzMvMjAxMwEAAACHUgAAAgAAABA1LjI4NzI1NDU1NzkzNDIyAQ0AAAAFAAAAATkBAAAABzI2MjEyOTUCAAAABzM4Mjk3NTEDAAAABjEwMDMwOAQAAAABMgYAAAABMAcAAAADMTYwCAAAAAEwCQAAAAExCgAAAAEwCwAAAAo2OTU1NDA0NTY3DAAAAAIxMg0AAAAINS80LzIwMTOL7lO7k3PVCFv8ja6Xc9UIL0NJUS5OQVNEQVFHUzpJTlRDLklRX1BSSUNFX1NBTEVTLjIwMDAuOS8xOC8yMDE1AQAAAIdSAAACAAAACDIuNTE0NTgzAQcAAAAFAAAAATEBAAAACjE3NDczNTk1MTIDAAAAATACAAAABTM4OTU4BAAAAAEwBwAAAAk5LzE4LzIwMTUIAAAACTkvMTgvMjAxNUsYsLuTc9UIKwBSSZdz1QgwQ0lRLk5BU0RBUUdTOklOVEMuSVFfUFJJQ0VfU0FMRVMuMjAwMC4xMS8yNi8yMDE0AQAAAIdSAAACAAAACDMuMzIzMzY5AQcAAAAFAAAAATEBAAAACjE3MDM2ODE4OTQDAAAAATACAAAABTM4OTU4BAAAAAEwBwAAAAoxMS8yNi8yMDE0CAAA</t>
  </si>
  <si>
    <t>AAoxMS8yNi8yMDE0y7C5t5Nz1Qh7KTZLl3PVCC9DSVEuTkFTREFRR1M6SU5UQy5JUV9QRV9FWENMX0ZXRC42MDAwLjEwLzgvMjAxMAEAAACHUgAAAgAAABAxMC41ODYyNTczODkyMjk0AQ0AAAAFAAAAATkBAAAABzI2MjEyOTUCAAAABzE3NTcxNjMDAAAABjEwMDMwOQQAAAABMgYAAAABMAcAAAADMTYwCAAAAAEwCQAAAAExCgAAAAEwCwAAAAo4ODYzODQ1MDgyDAAAAAIxMg0AAAAJMTAvOS8yMDEwm/6zvZNz1QjL91VJl3PVCDZDSVEuTkFTREFRR1M6SU5UQy5JUV9URVZfRUJJVERBX0ZXRF9DSVEuNjAwMC45LzEwLzIwMDEBAAAAh1IAAAIAAAAQMTguMjY2NTkxOTgzMzc5MwENAAAABQAAAAE5AQAAAAcyNjIxMjk1AgAAAAczNDIxMTYxAwAAAAYxMDAzMDgEAAAAATIGAAAAATAHAAAAAzE2MAgAAAABMAkAAAABMQoAAAABMAsAAAAKMTE2OTE1MjUyOAwAAAACMTINAAAACTkvMTEvMjAwMWsRVruTc9UIS9WNrpdz1Qg3Q0lRLk5BU0RBUUdTOklOVEMuSVFfVEVWX0VCSVREQV9GV0RfQ0lRLjYwMDAuMTAvMTIvMjAwMQEAAACHUgAAAgAAABAxNy45ODA0NjU2NTA5NjI0AQ0AAAAFAAAAATkBAAAABzI2MjEyOTUCAAAABzM0MjExNjEDAAAABjEwMDMwOAQAAAABMgYAAAABMAcAAAADMTYwCAAAAAEwCQAAAAExCgAAAAEwCwAAAAoxMTY5MTUyNTI5DAAAAAIxMg0AAAAKMTAvMTMvMjAwMWsRVruTc9UI2zSPrpdz</t>
  </si>
  <si>
    <t>1Qg2Q0lRLk5BU0RBUUdTOklOVEMuSVFfVEVWX0VCSVREQV9GV0RfQ0lRLjYwMDAuOS8yOS8yMDA2AQAAAIdSAAACAAAADzExLjI3MjU3NjgyNzQ0OQENAAAABQAAAAE5AQAAAAcyNjIxMjk1AgAAAAcxNzU3MTUxAwAAAAYxMDAzMDgEAAAAATIGAAAAATAHAAAAAzE2MAgAAAABMAkAAAABMQoAAAABMAsAAAAKMTE2OTEzNDU2MAwAAAACMTINAAAACTkvMzAvMjAwNgsnVbuTc9UIe0qOrpdz1Qg1Q0lRLk5BU0RBUUdTOklOVEMuSVFfVEVWX0VCSVREQV9GV0RfQ0lRLjYwMDAuNC8xLzIwMTEBAAAAh1IAAAIAAAAQNC4yNjc3MDIwMDkwOTQ5NgENAAAABQAAAAE5AQAAAAcyNjIxMjk1AgAAAAQxODg2AwAAAAYxMDAzMDgEAAAAATIGAAAAATAHAAAAAzE2MAgAAAABMAkAAAABMQoAAAABMAsAAAAKNTc0ODgxNTIwOAwAAAACMTINAAAACDQvMi8yMDExu2NUu5Nz1Qgb0Y+ul3PVCC5DSVEuTkFTREFRR1M6SU5UQy5JUV9QRV9FWENMX0ZXRC42MDAwLjIvMS8yMDAyAQAAAIdSAAACAAAAEDUwLjc2MTM0Njk5ODUzNTkBDQAAAAUAAAABOQEAAAAHMjYyMTI5NQIAAAAEMTg3NwMAAAAGMTAwMzA5BAAAAAEyBgAAAAEwBwAAAAMxNjAIAAAAATAJAAAAATEKAAAAATALAAAABzE0OTc3ODgMAAAAAjEyDQAAAAgyLzIvMjAwMnuws72Tc9UIaytQSZdz1QgkQ0lRLl5TUFguSVFfTEFTVFNBTEVQUklDRS4xMC8xMS8yMDE3AQAA</t>
  </si>
  <si>
    <t>AJu4KAACAAAAEDI1NTUuMjQwNzg4Njg0NjQAWz+wu5Nz1QhrpvFKl3PVCCdDSVEuTkFTREFRR1M6SU5UQy5JUV9QVEJWLjIwMDAuNy84LzIwMTEBAAAAh1IAAAIAAAAHMy45MjI4MwEHAAAABQAAAAExAQAAAAoxNDUyNDc1ODcyAwAAAAEwAgAAAAYxMDAwMjkEAAAAATAHAAAACDcvOC8yMDExCAAAAAg3LzgvMjAxMUsYsLuTc9UIu+5QSZdz1Qg1Q0lRLk5hc2RhcUdTOklOVEMuSVFfVEVWX1RPVEFMX1JFVl9GV0QuNjAwMC40LzI2LzIwMTMBAAAAh1IAAAIAAAAQMi4wNTc2MjUyMTgwNjc2OQENAAAABQAAAAE5AQAAAAcyNjIxMjk1AgAAAAczODI5NzUxAwAAAAYxMDAzMDcEAAAAATIGAAAAATAHAAAAAzE2MAgAAAABMAkAAAABMQoAAAABMAsAAAAKODg2MjUzOTk2OQwAAAACMTINAAAACTQvMjcvMjAxM7v6u7eTc9UIG7tWSZdz1QgvQ0lRLk5BU0RBUUdTOklOVEMuSVFfUFJJQ0VfU0FMRVMuMjAwMC4xLzI4LzIwMTUBAAAAh1IAAAIAAAAIMi45NjI3OTMBBwAAAAUAAAABMQEAAAAKMTcxNTMyODY0MwMAAAABMAIAAAAFMzg5NTgEAAAAATAHAAAACTEvMjgvMjAxNQgAAAAJMS8yOC8yMDE1u2qvvZNz1QjLezRLl3PVCDRDSVEuTmFzZGFxR1M6SU5UQy5JUV9URVZfVE9UQUxfUkVWX0ZXRC42MDAwLjEvNC8yMDA4AQAAAIdSAAACAAAAEDIuOTQ4MTE0NjY3MTY2MDEBDQAAAAUAAAABOQEAAAAHMjYyMTI5NQIA</t>
  </si>
  <si>
    <t>AAAHMTc1NzE1NQMAAAAGMTAwMzA3BAAAAAEyBgAAAAEwBwAAAAMxNjAIAAAAATAJAAAAATEKAAAAATALAAAACjg4NjQzMzAxMjgMAAAAAjEyDQAAAAgxLzUvMjAwOOuXVrmTc9UIq+VLSZdz1QggQ0lRLl5TUFguSVFfUFRCVi4yMDAwLjExLzIyLzIwMTcBAAAAm7goAAIAAAAIOS4yNTk0MjUAi8RmuZNz1QirYO1Kl3PVCDBDSVEuTkFTREFRR1M6SU5UQy5JUV9QUklDRV9TQUxFUy4yMDAwLjExLzMwLzIwMTYBAAAAh1IAAAIAAAAIMi44MzExNjQBBwAAAAUAAAABMQEAAAAKMTgxNTU0NDQ1MAMAAAABMAIAAAAFMzg5NTgEAAAAATAHAAAACjExLzMwLzIwMTYIAAAACjExLzMwLzIwMTaLxGa5k3PVCPv3HkuXc9UINkNJUS5OYXNkYXFHUzpJTlRDLklRX1RFVl9FQklUREFfRldEX0NJUS42MDAwLjIvMjEvMjAwMwEAAACHUgAAAgAAABA4Ljk2NDQ5OTg1MjY0ODMxAQ0AAAAFAAAAATkBAAAABzI2MjEyOTUCAAAABDE4NzgDAAAABjEwMDMwOAQAAAABMgYAAAABMAcAAAADMTYwCAAAAAEwCQAAAAExCgAAAAEwCwAAAAkzNjA2NTkwNDEMAAAAAjEyDQAAAAkyLzIyLzIwMDOrJbS9k3PVCGuUkK6Xc9UIL0NJUS5OQVNEQVFHUzpJTlRDLklRX1BSSUNFX1NBTEVTLjIwMDAuOS8yMy8yMDE2AQAAAIdSAAACAAAABzMuMTA2ODMBBwAAAAUAAAABMQEAAAAKMTgwMTI5NDUwMQMAAAABMAIAAAAFMzg5NTgEAAAAATAHAAAA</t>
  </si>
  <si>
    <t>CTkvMjMvMjAxNggAAAAJOS8yMy8yMDE269GItpNz1QgrrUpJl3PVCC5DSVEuTkFTREFRR1M6SU5UQy5JUV9QRV9FWENMX0ZXRC42MDAwLjgvOS8yMDEzAQAAAIdSAAACAAAAEDExLjUwOTM1Njc4NDk0NzMBDQAAAAUAAAABOQEAAAAHMjYyMTI5NQIAAAAHMzgyOTc1MgMAAAAGMTAwMzA5BAAAAAEyBgAAAAEwBwAAAAMxNjAIAAAAATAJAAAAATEKAAAAATALAAAACjY5NTc2Mzc3NzAMAAAAAjEyDQAAAAk4LzEwLzIwMTMLn7K9k3PVCOvUU0mXc9UINUNJUS5OYXNkYXFHUzpJTlRDLklRX1RFVl9UT1RBTF9SRVZfRldELjYwMDAuNC8yMC8yMDEyAQAAAIdSAAACAAAAEDIuMjI5MjY1ODk4MTg1NTIBDQAAAAUAAAABOQEAAAAHMjYyMTI5NQIAAAAHMTc1NzE2OAMAAAAGMTAwMzA3BAAAAAEyBgAAAAEwBwAAAAMxNjAIAAAAATAJAAAAATEKAAAAATALAAAACjE0MTY0NzgxMzYMAAAAAjEyDQAAAAk0LzIxLzIwMTKr+1W5k3PVCEswV0mXc9UIL0NJUS5OQVNEQVFHUzpJTlRDLklRX1BSSUNFX1NBTEVTLjIwMDAuMS8xMS8yMDEzAQAAAIdSAAACAAAACDIuMDU1Nzg1AQcAAAAFAAAAATEBAAAACjE1NzM4ODc3OTUDAAAAATACAAAABTM4OTU4BAAAAAEwBwAAAAkxLzExLzIwMTMIAAAACTEvMTEvMjAxM6tDr72Tc9UIm2RaSZdz1QgfQ0lRLl5TUFguSVFfUFRCVi4yMDAwLjcvMjYvMjAxNwEAAACbuCgAAgAAAAg4LjQ4</t>
  </si>
  <si>
    <t>MzgyMgCLxGa5k3PVCNs/BkuXc9UIH0NJUS5eU1BYLklRX1BUQlYuMjAwMC44LzE2LzIwMTcBAAAAm7goAAIAAAAIOC42MjUyNzYA29e5t5Nz1Qi7DwFLl3PVCC5DSVEuTkFTREFRR1M6SU5UQy5JUV9QUklDRV9TQUxFUy4yMDAwLjkvNi8yMDE3AQAAAIdSAAACAAAABjIuNzM4NgEHAAAABQAAAAExAQAAAAoxODUwNjE4NjY0AwAAAAEwAgAAAAUzODk1OAQAAAABMAcAAAAIOS82LzIwMTcIAAAACDkvNi8yMDE3WzhVuZNz1QirBvxKl3PVCC9DSVEuTkFTREFRR1M6SU5UQy5JUV9QRV9FWENMX0ZXRC42MDAwLjYvMjUvMjAwNAEAAACHUgAAAgAAABAyMS41NjgzMjI5ODEzNjY1AQ0AAAAFAAAAATkBAAAABzI2MjEyOTUCAAAABzE3NTcxNDQDAAAABjEwMDMwOQQAAAABMgYAAAABMAcAAAADMTYwCAAAAAEwCQAAAAExCgAAAAEwCwAAAAo4ODY0MDk5NzI3DAAAAAIxMg0AAAAJNi8yNi8yMDA0a4mzvZNz1QjL91VJl3PVCCxDSVEuTkFTREFRR1M6SU5UQy5JUV9MQVNUU0FMRVBSSUNFLjcvMjkvMjAxNQEAAACHUgAAAgAAAAUyOS4wMQBbP7C7k3PVCBtdMEuXc9UINkNJUS5OYXNkYXFHUzpJTlRDLklRX1RFVl9UT1RBTF9SRVZfRldELjYwMDAuMTEvMTUvMjAwMgEAAACHUgAAAgAAABA0LjMxMzE2ODcxMDUzNTQ0AQ0AAAAFAAAAATkBAAAABzI2MjEyOTUCAAAABzE3NTcxNDADAAAABjEwMDMwNwQAAAABMgYAAAAB</t>
  </si>
  <si>
    <t>MAcAAAADMTYwCAAAAAEwCQAAAAExCgAAAAEwCwAAAAoxMTY5MTI2MTEwDAAAAAIxMg0AAAAKMTEvMTYvMjAwMutJV7uTc9UIi8xXSZdz1Qg2Q0lRLk5hc2RhcUdTOklOVEMuSVFfVEVWX0VCSVREQV9GV0RfQ0lRLjYwMDAuNi8yMi8yMDAxAQAAAIdSAAACAAAAEDIxLjkzMzU3OTkzNDE2ODQBDQAAAAUAAAABOQEAAAAHMjYyMTI5NQIAAAAHMzQyMTE2MAMAAAAGMTAwMzA4BAAAAAEyBgAAAAEwBwAAAAMxNjAIAAAAATAJAAAAATEKAAAAATALAAAACjExNjkxNTI0MzIMAAAAAjEyDQAAAAk2LzIzLzIwMDGrrVa7k3PVCNs0j66Xc9UINUNJUS5OYXNkYXFHUzpJTlRDLklRX1RFVl9FQklUREFfRldEX0NJUS42MDAwLjEvMi8yMDA0AQAAAIdSAAACAAAAEDExLjU3MjkyNTU1MjQ2MDEBDQAAAAUAAAABOQEAAAAHMjYyMTI5NQIAAAAHMTc1NzE0MwMAAAAGMTAwMzA4BAAAAAEyBgAAAAEwBwAAAAMxNjAIAAAAATAJAAAAATEKAAAAATALAAAACjY4ODM3MDA1MjQMAAAAAjEyDQAAAAgxLzMvMjAwNKsltL2Tc9UIO66Nrpdz1QgvQ0lRLk5BU0RBUUdTOklOVEMuSVFfUEVfRVhDTF9GV0QuNjAwMC41LzI3LzIwMTEBAAAAh1IAAAIAAAAQOS43MzU2NzcwMjYyNTY5NgENAAAABQAAAAE5AQAAAAcyNjIxMjk1AgAAAAcxNzU3MTY1AwAAAAYxMDAzMDkEAAAAATIGAAAAATAHAAAAAzE2MAgAAAABMAkAAAABMQoAAAABMAsA</t>
  </si>
  <si>
    <t>AAAKODg2MzM2MjUxMAwAAAACMTINAAAACTUvMjgvMjAxMRvGsr2Tc9UIiz1aSZdz1QgwQ0lRLk5BU0RBUUdTOklOVEMuSVFfUEVfRVhDTF9GV0QuNjAwMC4xMi8xNS8yMDE3AQAAAIdSAAACAAAAEDEzLjc2MjAwNjIzODYxMTQBDQAAAAUAAAABOQEAAAAHMjYyMTI5NQIAAAAIMjc1MDAxNzQDAAAABjEwMDMwOQQAAAABMgYAAAABMAcAAAADMTYwCAAAAAEwCQAAAAExCgAAAAEwCwAAAAsxMDczNDI4NDY3NQwAAAACMTINAAAACjEyLzE2LzIwMTeL17O9k3PVCGvvWUmXc9UII0NJUS5eU1BYLklRX0xBU1RTQUxFUFJJQ0UuMTIvOS8yMDE1AQAAAJu4KAACAAAADzIwNDcuNjIzMTkwNzUwOQA76lS5k3PVCMsoLUuXc9UIKUNJUS5OQVNEQVFHUzpJTlRDLklRX1BUQlYuMjAwMC4xMC8yOC8yMDE2AQAAAIdSAAACAAAACDQuMTQwMTQ5AQcAAAAFAAAAATEBAAAACjE4MTM1MTQzNjQDAAAAATACAAAABjEwMDAyOQQAAAABMAcAAAAKMTAvMjgvMjAxNggAAAAKMTAvMjgvMjAxNjvxr7uTc9UIe8NSSZdz1QgtQ0lRLl5TUFguSVFfVEVWX1RPVEFMX1JFVl9GV0QuNjAwMC4xMC8yMS8yMDE1AQAAAJu4KAACAAAACDEuOTc2NDYxAGtfVbmTc9UIe9YuS5dz1QguQ0lRLk5BU0RBUUdTOklOVEMuSVFfUFJJQ0VfU0FMRVMuMjAwMC40LzQvMjAxNAEAAACHUgAAAgAAAAgyLjQ2NjcwNwEHAAAABQAAAAExAQAAAAoxNjU4MzQy</t>
  </si>
  <si>
    <t>NzgwAwAAAAEwAgAAAAUzODk1OAQAAAABMAcAAAAINC80LzIwMTQIAAAACDQvNC8yMDE0u2qvvZNz1Qjbj1hJl3PVCChDSVEuTkFTREFRR1M6SU5UQy5JUV9QVEJWLjIwMDAuNS8yNC8yMDEzAQAAAIdSAAACAAAACDMuMzIyMTM1AQcAAAAFAAAAATEBAAAACjE2MTQwNzQ5NDIDAAAAATACAAAABjEwMDAyOQQAAAABMAcAAAAJNS8yNC8yMDEzCAAAAAk1LzI0LzIwMTM78a+7k3PVCEtOUkmXc9UIL0NJUS5OQVNEQVFHUzpJTlRDLklRX1BSSUNFX1NBTEVTLjIwMDAuNS8yMi8yMDE1AQAAAIdSAAACAAAACDIuODk4NTI3AQcAAAAFAAAAATEBAAAACjE3MzA3NjI3NTUDAAAAATACAAAABTM4OTU4BAAAAAEwBwAAAAk1LzIyLzIwMTUIAAAACTUvMjIvMjAxNbtqr72Tc9UI+91YSZdz1QgfQ0lRLl5TUFguSVFfUFRCVi4yMDAwLjEwLzgvMjAxNAEAAACbuCgAAgAAAAg1LjMzMTY0OABbOFW5k3PVCLvFNkuXc9UIL0NJUS5OQVNEQVFHUzpJTlRDLklRX1BFX0VYQ0xfRldELjYwMDAuNi8xMy8yMDA4AQAAAIdSAAACAAAAEDE2Ljk5MDMyNzY1OTg5MzUBDQAAAAUAAAABOQEAAAAHMjYyMTI5NQIAAAAHMTc1NzE1NgMAAAAGMTAwMzA5BAAAAAEyBgAAAAEwBwAAAAMxNjAIAAAAATAJAAAAATEKAAAAATALAAAACjgxNzI1MjcwODcMAAAAAjEyDQAAAAk2LzE0LzIwMDhLO7O9k3PVCPtsVkmXc9UINUNJUS5OYXNkYXFHUzpJ</t>
  </si>
  <si>
    <t>TlRDLklRX1RFVl9UT1RBTF9SRVZfRldELjYwMDAuNy8xMy8yMDAxAQAAAIdSAAACAAAAEDcuMDM4NzIyMjg3MTQ3MjgBDQAAAAUAAAABOQEAAAAHMjYyMTI5NQIAAAAHMzQyMTE2MAMAAAAGMTAwMzA3BAAAAAEyBgAAAAEwBwAAAAMxNjAIAAAAATAJAAAAATEKAAAAATALAAAACjExNjkxNTIzNjQMAAAAAjEyDQAAAAk3LzE0LzIwMDH7xbG7k3PVCNtaTEmXc9UILUNJUS5eU1BYLklRX1RFVl9FQklUREFfRldEX0NJUS42MDAwLjUvMjAvMjAxNQEAAACbuCgAAgAAAAkxMC4xMTY0MTkA27ivvZNz1QiblTFLl3PVCC5DSVEuTkFTREFRR1M6SU5UQy5JUV9QUklDRV9TQUxFUy4yMDAwLjMvOS8yMDEyAQAAAIdSAAACAAAACDIuNjM0ODYyAQcAAAAFAAAAATEBAAAACjE1MjM0MDM4NDkDAAAAATACAAAABTM4OTU4BAAAAAEwBwAAAAgzLzkvMjAxMggAAAAIMy85LzIwMTK7aq+9k3PVCOu2WEmXc9UIL0NJUS5OQVNEQVFHUzpJTlRDLklRX1BSSUNFX1NBTEVTLjIwMDAuMS8xOC8yMDE3AQAAAIdSAAACAAAACDIuOTk5MjM5AQcAAAAFAAAAATEBAAAACjE4MTU1NDQ0NTADAAAAATACAAAABTM4OTU4BAAAAAEwBwAAAAkxLzE4LzIwMTcIAAAACTEvMTgvMjAxN/uOUruTc9UIe04bS5dz1QgvQ0lRLk5BU0RBUUdTOklOVEMuSVFfUFJJQ0VfU0FMRVMuMjAwMC4xLzIwLzIwMTcBAAAAh1IAAAIAAAAIMy4wMTM5MjUBBwAA</t>
  </si>
  <si>
    <t>AAUAAAABMQEAAAAKMTgxNTU0NDQ1MAMAAAABMAIAAAAFMzg5NTgEAAAAATAHAAAACTEvMjAvMjAxNwgAAAAJMS8yMC8yMDE3y7C5t5Nz1Qhbk01Jl3PVCC1DSVEuXlNQWC5JUV9URVZfRUJJVERBX0ZXRF9DSVEuNjAwMC4xMC8yLzIwMTMBAAAAm7goAAIAAAAIOC4zNTI0MjQA6/65t5Nz1QhLBz1Ll3PVCC5DSVEuTkFTREFRR1M6SU5UQy5JUV9QUklDRV9TQUxFUy4yMDAwLjYvMy8yMDExAQAAAIdSAAACAAAACDIuNjA1MzU1AQcAAAAFAAAAATEBAAAACjE0NTI0NzU4NzIDAAAAATACAAAABTM4OTU4BAAAAAEwBwAAAAg2LzMvMjAxMQgAAAAINi8zLzIwMTFbOFW5k3PVCJsvTkmXc9UINUNJUS5OQVNEQVFHUzpJTlRDLklRX1RFVl9FQklUREFfRldEX0NJUS42MDAwLjQvOS8yMDEwAQAAAIdSAAACAAAAEDYuNDQ2MTE1MjY4NTQ3NDcBDQAAAAUAAAABOQEAAAAHMjYyMTI5NQIAAAAEMTg4NQMAAAAGMTAwMzA4BAAAAAEyBgAAAAEwBwAAAAMxNjAIAAAAATAJAAAAATEKAAAAATALAAAACTM2MDc0MDU3NwwAAAACMTINAAAACTQvMTAvMjAxMMuKVLuTc9UIayOOrpdz1QgvQ0lRLk5BU0RBUUdTOklOVEMuSVFfUEVfRVhDTF9GV0QuNjAwMC43LzIxLzIwMTcBAAAAh1IAAAIAAAAQMTIuMTUyNzA0ODc3ODc4MQENAAAABQAAAAE5AQAAAAcyNjIxMjk1AgAAAAgyNzUwMDE3MgMAAAAGMTAwMzA5BAAAAAEyBgAAAAEw</t>
  </si>
  <si>
    <t>BwAAAAMxNjAIAAAAATAJAAAAATEKAAAAATALAAAACzEwMzAyODM0Njc2DAAAAAIxMg0AAAAJNy8yMi8yMDE3ywKyvZNz1QibZFpJl3PVCC1DSVEuXlNQWC5JUV9URVZfVE9UQUxfUkVWX0ZXRC42MDAwLjEyLzI1LzIwMTMBAAAAm7goAAIAAAAIMS43OTc0NjUAKwRTu5Nz1QgbkjxLl3PVCDVDSVEuTkFTREFRR1M6SU5UQy5JUV9URVZfRUJJVERBX0ZXRF9DSVEuNjAwMC4yLzMvMjAxMgEAAACHUgAAAgAAABA1LjI2NzQyMTE2MzA0OTU1AQ0AAAAFAAAAATkBAAAABzI2MjEyOTUCAAAABDE4ODcDAAAABjEwMDMwOAQAAAABMgYAAAABMAcAAAADMTYwCAAAAAEwCQAAAAExCgAAAAEwCwAAAAo1NzQ4ODMxMzc1DAAAAAIxMg0AAAAIMi80LzIwMTKrPFS7k3PVCItxjq6Xc9UIL0NJUS5OQVNEQVFHUzpJTlRDLklRX1BSSUNFX1NBTEVTLjIwMDAuNC8xMC8yMDE1AQAAAIdSAAACAAAACDIuODAwOTQ3AQcAAAAFAAAAATEBAAAACjE3MTg4NTkyOTEDAAAAATACAAAABTM4OTU4BAAAAAEwBwAAAAk0LzEwLzIwMTUIAAAACTQvMTAvMjAxNatDr72Tc9UIS6FZSZdz1QgsQ0lRLl5TUFguSVFfVEVWX1RPVEFMX1JFVl9GV0QuNjAwMC4yLzEyLzIwMTQBAAAAm7goAAIAAAAIMS43NTc0OTMA6/65t5Nz1QjLzjtLl3PVCDVDSVEuTmFzZGFxR1M6SU5UQy5JUV9URVZfVE9UQUxfUkVWX0ZXRC42MDAwLjUvMTIvMjAwNgEAAACH</t>
  </si>
  <si>
    <t>UgAAAgAAABAyLjc3NDU3ODYwNjYyMjE1AQ0AAAAFAAAAATkBAAAABzI2MjEyOTUCAAAABzE3NTcxNTADAAAABjEwMDMwNwQAAAABMgYAAAABMAcAAAADMTYwCAAAAAEwCQAAAAExCgAAAAEwCwAAAAoxMTY5MTMyODg1DAAAAAIxMg0AAAAJNS8xMy8yMDA2i19Wu5Nz1QgrU1lJl3PVCCxDSVEuTkFTREFRR1M6SU5UQy5JUV9MQVNUU0FMRVBSSUNFLjQvMjYvMjAxNwEAAACHUgAAAgAAAAUzNi45MwDLka+9k3PVCIsiFEuXc9UIJ0NJUS5eU1BYLklRX1BFX0VYQ0xfRldELjYwMDAuMTIvMTgvMjAxMwEAAACbuCgAAgAAAAkxNS41MjA3MjgAKwRTu5Nz1QgLazxLl3PVCB5DSVEuXlNQWC5JUV9QVEJWLjIwMDAuOS85LzIwMTUBAAAAm7goAAIAAAAINS45NTA1MjMAWzhVuZNz1QirSy9Ll3PVCDZDSVEuTkFTREFRR1M6SU5UQy5JUV9URVZfRUJJVERBX0ZXRF9DSVEuNjAwMC42LzEyLzIwMDkBAAAAh1IAAAIAAAAQOS4wMjIwODczNzE1OTM2MgENAAAABQAAAAE5AQAAAAcyNjIxMjk1AgAAAAcxNzU3MTU5AwAAAAYxMDAzMDgEAAAAATIGAAAAATAHAAAAAzE2MAgAAAABMAkAAAABMQoAAAABMAsAAAAKMTE2OTE0NTUxMgwAAAACMTINAAAACTYvMTMvMjAwOduxVLuTc9UI2zSPrpdz1QgvQ0lRLk5BU0RBUUdTOklOVEMuSVFfUEVfRVhDTF9GV0QuNjAwMC45LzExLzIwMDkBAAAAh1IAAAIAAAAQMTcuMTI2MDUzMzcw</t>
  </si>
  <si>
    <t>Nzg2NQENAAAABQAAAAE5AQAAAAcyNjIxMjk1AgAAAAcxNzU3MTYwAwAAAAYxMDAzMDkEAAAAATIGAAAAATAHAAAAAzE2MAgAAAABMAkAAAABMQoAAAABMAsAAAAKODg2NDM5NTAxNAwAAAACMTINAAAACTkvMTIvMjAwOTsUs72Tc9UIS6FZSZdz1Qg3Q0lRLk5BU0RBUUdTOklOVEMuSVFfVEVWX0VCSVREQV9GV0RfQ0lRLjYwMDAuMTAvMTkvMjAwNwEAAACHUgAAAgAAABA4Ljg4NzI4ODgyMjM5MjYyAQ0AAAAFAAAAATkBAAAABzI2MjEyOTUCAAAABzE3NTcxNTUDAAAABjEwMDMwOAQAAAABMgYAAAABMAcAAAADMTYwCAAAAAEwCQAAAAExCgAAAAEwCwAAAAoxMTY5MTM5NTMxDAAAAAIxMg0AAAAKMTAvMjAvMjAwN/v/VLuTc9UIOx+Qrpdz1Qg1Q0lRLk5hc2RhcUdTOklOVEMuSVFfVEVWX0VCSVREQV9GV0RfQ0lRLjYwMDAuMS83LzIwMTEBAAAAh1IAAAIAAAAQNC44MDc0ODA3NTA4MDMxMgENAAAABQAAAAE5AQAAAAcyNjIxMjk1AgAAAAcxNzU3MTY0AwAAAAYxMDAzMDgEAAAAATIGAAAAATAHAAAAAzE2MAgAAAABMAkAAAABMQoAAAABMAsAAAAKODg2NTY4MzUyNgwAAAACMTINAAAACDEvOC8yMDExuymxu5Nz1Qh7u5Cul3PVCDZDSVEuTkFTREFRR1M6SU5UQy5JUV9URVZfRUJJVERBX0ZXRF9DSVEuNjAwMC4yLzI1LzIwMTEBAAAAh1IAAAIAAAAQNC44MTk0MDIxNTk5ODEzNgENAAAABQAAAAE5AQAAAAcy</t>
  </si>
  <si>
    <t>NjIxMjk1AgAAAAQxODg2AwAAAAYxMDAzMDgEAAAAATIGAAAAATAHAAAAAzE2MAgAAAABMAkAAAABMQoAAAABMAsAAAAKNTc0ODgxNTIwMgwAAAACMTINAAAACTIvMjYvMjAxMbtjVLuTc9UIm5iOrpdz1QgnQ0lRLl5TUFguSVFfUEVfRVhDTF9GV0QuNjAwMC4xMC8xNi8yMDEzAQAAAJu4KAACAAAACTE1LjAxODAxNADr/rm3k3PVCDvgPEuXc9UILkNJUS5OQVNEQVFHUzpJTlRDLklRX1BSSUNFX1NBTEVTLjIwMDAuNy8yLzIwMTUBAAAAh1IAAAIAAAAIMi42NDc2NjgBBwAAAAUAAAABMQEAAAAKMTczMDc2Mjc1NQMAAAABMAIAAAAFMzg5NTgEAAAAATAHAAAACDcvMi8yMDE1CAAAAAg3LzIvMjAxNdvXubeTc9UIyzNMSZdz1Qg3Q0lRLk5BU0RBUUdTOklOVEMuSVFfVEVWX0VCSVREQV9GV0RfQ0lRLjYwMDAuMTAvMzAvMjAxNQEAAACHUgAAAgAAABA2LjcxMjM2NzY0ODIxOTIyAQ0AAAAFAAAAATkBAAAABzI2MjEyOTUCAAAABzgwNjgyNjIDAAAABjEwMDMwOAQAAAABMgYAAAABMAcAAAADMTYwCAAAAAEwCQAAAAExCgAAAAEwCwAAAAo5MTA1MjExMzYyDAAAAAIxMg0AAAAKMTAvMzEvMjAxNVt5U7uTc9UI28OMrpdz1QgvQ0lRLk5BU0RBUUdTOklOVEMuSVFfUEVfRVhDTF9GV0QuNjAwMC44LzI0LzIwMDcBAAAAh1IAAAIAAAAQMjAuMTE4NDg3MjU4NTYxOQENAAAABQAAAAE5AQAAAAcyNjIxMjk1AgAAAAcx</t>
  </si>
  <si>
    <t>NzU3MTU0AwAAAAYxMDAzMDkEAAAAATIGAAAAATAHAAAAAzE2MAgAAAABMAkAAAABMQoAAAABMAsAAAAKODg2MzM1ODgzMwwAAAACMTINAAAACTgvMjUvMjAwN0s7s72Tc9UI28tOSZdz1Qg2Q0lRLk5BU0RBUUdTOklOVEMuSVFfVEVWX0VCSVREQV9GV0RfQ0lRLjYwMDAuOS8xNi8yMDE2AQAAAIdSAAACAAAAEDguMjI4MDU4NTQ5ODA3NjcBDQAAAAUAAAABOQEAAAAHMjYyMTI5NQIAAAAIMjcwMDM2NTIDAAAABjEwMDMwOAQAAAABMgYAAAABMAcAAAADMTYwCAAAAAEwCQAAAAExCgAAAAEwCwAAAAo5NzI3MjY4ODEwDAAAAAIxMg0AAAAJOS8xNy8yMDE2S1JTu5Nz1Qhb/I2ul3PVCC9DSVEuTkFTREFRR1M6SU5UQy5JUV9QRV9FWENMX0ZXRC42MDAwLjQvMTkvMjAwMgEAAACHUgAAAgAAABAzOC45MzkyMTA4NjY3NTI5AQ0AAAAFAAAAATkBAAAABzI2MjEyOTUCAAAABzE3NTcxMzgDAAAABjEwMDMwOQQAAAABMgYAAAABMAcAAAADMTYwCAAAAAEwCQAAAAExCgAAAAEwCwAAAAoxMTY5MTUyNjU1DAAAAAIxMg0AAAAJNC8yMC8yMDAye7CzvZNz1Qi77lBJl3PVCC9DSVEuTmFzZGFxR1M6SU5UQy5JUV9QRV9FWENMX0ZXRC42MDAwLjIvMTMvMjAxOAEAAACHUgAAAgAAABAxMi40NzU0NDc1NTU5Nzk2AQ0AAAAFAAAAATkBAAAABzI2MjEyOTUCAAAACjEwMDE1Mjg1MjcDAAAABjEwMDMwOQQAAAABMgYAAAABMAcA</t>
  </si>
  <si>
    <t>AAADMTYwCAAAAAEwCQAAAAExCgAAAAEwCwAAAAsxMDcwNDYzNDIwNgwAAAACMTINAAAACTIvMTQvMjAxOMsCsr2Tc9UIi+pSSZdz1Qg2Q0lRLk5BU0RBUUdTOklOVEMuSVFfVEVWX0VCSVREQV9GV0RfQ0lRLjYwMDAuMy8xNy8yMDE3AQAAAIdSAAACAAAAEDcuMTUyODI5MjYxNjg3NzgBDQAAAAUAAAABOQEAAAAHMjYyMTI5NQIAAAAKMTAwMDk0NDM4NwMAAAAGMTAwMzA4BAAAAAEyBgAAAAEwBwAAAAMxNjAIAAAAATAJAAAAATEKAAAAATALAAAACzEwMDUyODA3MDg4DAAAAAIxMg0AAAAJMy8xOC8yMDE3S1JTu5Nz1Qjbw4yul3PVCCVDSVEuXlNQWC5JUV9QRV9FWENMX0ZXRC42MDAwLjcvOC8yMDE1AQAAAJu4KAACAAAACTE3LjAwODI2MgArBFO7k3PVCBtdMEuXc9UIH0NJUS5eU1BYLklRX1BUQlYuMjAwMC4zLzE5LzIwMTQBAAAAm7goAAIAAAAHNS4yNzUzNwDrZ1K7k3PVCJtZO0uXc9UILENJUS5eU1BYLklRX1RFVl9FQklUREFfRldEX0NJUS42MDAwLjMvMS8yMDE3AQAAAJu4KAACAAAACTEwLjQ3ODA5NQBrX1W5k3PVCIsEGUuXc9UINkNJUS5OYXNkYXFHUzpJTlRDLklRX1RFVl9UT1RBTF9SRVZfRldELjYwMDAuMTEvMjMvMjAwMQEAAACHUgAAAgAAABA3LjUzNjY3OTIyMTUwNzQzAQ0AAAAFAAAAATkBAAAABzI2MjEyOTUCAAAABzM0MjExNjIDAAAABjEwMDMwNwQAAAABMgYAAAABMAcAAAADMTYw</t>
  </si>
  <si>
    <t>CAAAAAEwCQAAAAExCgAAAAEwCwAAAAoxMTY5MTUyNTUxDAAAAAIxMg0AAAAKMTEvMjQvMjAwMfu+VrmTc9UImxFTSZdz1Qg2Q0lRLk5hc2RhcUdTOklOVEMuSVFfVEVWX1RPVEFMX1JFVl9GV0QuNjAwMC4xMC8xMS8yMDAyAQAAAIdSAAACAAAAEDMuNDI4Nzg3MjUzNTAzMDgBDQAAAAUAAAABOQEAAAAHMjYyMTI5NQIAAAAHMTc1NzEzOQMAAAAGMTAwMzA3BAAAAAEyBgAAAAEwBwAAAAMxNjAIAAAAATAJAAAAATEKAAAAATALAAAACjExNjkxMjU3NTYMAAAAAjEyDQAAAAoxMC8xMi8yMDAyy2BnuZNz1QhrDVVJl3PVCDRDSVEuTmFzZGFxR1M6SU5UQy5JUV9URVZfVE9UQUxfUkVWX0ZXRC42MDAwLjcvNi8yMDAxAQAAAIdSAAACAAAAEDYuNjE1NTcyMzA2OTI5MTkBDQAAAAUAAAABOQEAAAAHMjYyMTI5NQIAAAAHMzQyMTE2MAMAAAAGMTAwMzA3BAAAAAEyBgAAAAEwBwAAAAMxNjAIAAAAATAJAAAAATEKAAAAATALAAAACjExNjkxNTIzNjMMAAAAAjEyDQAAAAg3LzcvMjAwMXs4VruTc9UIW3VSSZdz1Qg2Q0lRLk5BU0RBUUdTOklOVEMuSVFfVEVWX0VCSVREQV9GV0RfQ0lRLjYwMDAuNi8xNy8yMDE2AQAAAIdSAAACAAAAEDcuNzk2NTY4MjA2MjUyNTkBDQAAAAUAAAABOQEAAAAHMjYyMTI5NQIAAAAIMjcwMDM2NTEDAAAABjEwMDMwOAQAAAABMgYAAAABMAcAAAADMTYwCAAAAAEwCQAAAAExCgAAAAEwCwAA</t>
  </si>
  <si>
    <t>AAo5NDczNDg4NDkxDAAAAAIxMg0AAAAJNi8xOC8yMDE2W3lTu5Nz1QhbbZCul3PVCB9DSVEuXlNQWC5JUV9QVEJWLjIwMDAuNC8xMi8yMDE3AQAAAJu4KAACAAAACDguNTcxMjQ2AIvEZrmTc9UIG4IVS5dz1QgjQ0lRLl5TUFguSVFfTEFTVFNBTEVQUklDRS40LzIzLzIwMTQBAAAAm7goAAIAAAAQMTg3NS4zODc3MDcwMzIyNgBbP7C7k3PVCMtdOUuXc9UINkNJUS5OQVNEQVFHUzpJTlRDLklRX1RFVl9FQklUREFfRldEX0NJUS42MDAwLjgvMzEvMjAwNwEAAACHUgAAAgAAABA5Ljk3NDE4MzEwOTk4NTU4AQ0AAAAFAAAAATkBAAAABzI2MjEyOTUCAAAABzE3NTcxNTQDAAAABjEwMDMwOAQAAAABMgYAAAABMAcAAAADMTYwCAAAAAEwCQAAAAExCgAAAAEwCwAAAAo2NzMwODU5MjI0DAAAAAIxMg0AAAAIOS8xLzIwMDf7/1S7k3PVCGsjjq6Xc9UINUNJUS5OYXNkYXFHUzpJTlRDLklRX1RFVl9UT1RBTF9SRVZfRldELjYwMDAuOS8yOS8yMDA2AQAAAIdSAAACAAAAEDMuMTYzODQxOTIxNDU0NzkBDQAAAAUAAAABOQEAAAAHMjYyMTI5NQIAAAAHMTc1NzE1MQMAAAAGMTAwMzA3BAAAAAEyBgAAAAEwBwAAAAMxNjAIAAAAATAJAAAAATEKAAAAATALAAAACjg4NjA1MDYzOTgMAAAAAjEyDQAAAAk5LzMwLzIwMDbrl1a5k3PVCCtTWUmXc9UIL0NJUS5OQVNEQVFHUzpJTlRDLklRX1BSSUNFX1NBTEVTLjIwMDAuNC8z</t>
  </si>
  <si>
    <t>MC8yMDE0AQAAAIdSAAACAAAACDIuNTExMjA3AQcAAAAFAAAAATEBAAAACjE2NzMzNzkzMjcDAAAAATACAAAABTM4OTU4BAAAAAEwBwAAAAk0LzMwLzIwMTQIAAAACTQvMzAvMjAxNKtDr72Tc9UI+9I5S5dz1Qg2Q0lRLk5hc2RhcUdTOklOVEMuSVFfVEVWX0VCSVREQV9GV0RfQ0lRLjYwMDAuNS8yOC8yMDEwAQAAAIdSAAACAAAAEDUuMzMyOTMxODQ1NjQyODkBDQAAAAUAAAABOQEAAAAHMjYyMTI5NQIAAAAHMTc1NzE2MgMAAAAGMTAwMzA4BAAAAAEyBgAAAAEwBwAAAAMxNjAIAAAAATAJAAAAATEKAAAAATALAAAACjU3MTU2NDg4NzYMAAAAAjEyDQAAAAk1LzI5LzIwMTC71Fa7k3PVCHu7kK6Xc9UILENJUS5eU1BYLklRX1RFVl9UT1RBTF9SRVZfRldELjYwMDAuOC8yNi8yMDE1AQAAAJu4KAACAAAACDEuOTAzMTM4ABvdUruTc9UI28AvS5dz1Qg2Q0lRLk5hc2RhcUdTOklOVEMuSVFfVEVWX0VCSVREQV9GV0RfQ0lRLjYwMDAuOS8xOC8yMDE1AQAAAIdSAAACAAAAEDUuODc5MzA1MjAzOTc5MjQBDQAAAAUAAAABOQEAAAAHMjYyMTI5NQIAAAAHODA2ODI2MQMAAAAGMTAwMzA4BAAAAAEyBgAAAAEwBwAAAAMxNjAIAAAAATAJAAAAATEKAAAAATALAAAACjkwMDM1MDE0MTYMAAAAAjEyDQAAAAk5LzE5LzIwMTWrJbS9k3PVCAuqj66Xc9UIMENJUS5OQVNEQVFHUzpJTlRDLklRX1BFX0VYQ0xfRldELjYwMDAu</t>
  </si>
  <si>
    <t>MTIvMzEvMjAxNQEAAACHUgAAAgAAABAxNC44NDIxMDA3MjgxMDMxAQ0AAAAFAAAAATkBAAAABzI2MjEyOTUCAAAABzgwNjgyNjIDAAAABjEwMDMwOQQAAAABMgYAAAABMAcAAAADMTYwCAAAAAEwCQAAAAExCgAAAAEwCwAAAAo5MjA3MjQ2OTc1DAAAAAIxMg0AAAAIMS8xLzIwMTarJbS9k3PVCOtFVkmXc9UIKENJUS5OQVNEQVFHUzpJTlRDLklRX1JFVkVOVUVfRVNULkZRMTIwMTcBAAAAh1IAAAIAAAALMTQ4MDQuMjcwNjQBDgAAAAUAAAABMwEAAAABMAIAAAAKMTAwMDk0NDM4MwMAAAAGMTAwMTgwBAAAAAEyBgAAAAEwBwAAAAMxNjAIAAAAATAJAAAAATEKAAAAATALAAAACzEwMTQyMjQ5ODM5DAAAAAEyDQAAAAkyLzE1LzIwMTgQAAAACTMvMzEvMjAxN2tmsLuTc9UIS4NeSZdz1Qg1Q0lRLk5hc2RhcUdTOklOVEMuSVFfVEVWX1RPVEFMX1JFVl9GV0QuNjAwMC4zLzIyLzIwMDIBAAAAh1IAAAIAAAAQNi43Nzc1NDE0OTA2OTEzMQENAAAABQAAAAE5AQAAAAcyNjIxMjk1AgAAAAQxODc3AwAAAAYxMDAzMDcEAAAAATIGAAAAATAHAAAAAzE2MAgAAAABMAkAAAABMQoAAAABMAsAAAAJMzYwNjU0NjQwDAAAAAIxMg0AAAAJMy8yMy8yMDAym9RVuZNz1QhLTlJJl3PVCCxDSVEuTkFTREFRR1M6SU5UQy5JUV9MQVNUU0FMRVBSSUNFLjEvMjgvMjAxNQEAAACHUgAAAgAAAAYzMy43NzUAWz+wu5Nz1QjLezRLl3PV</t>
  </si>
  <si>
    <t>CC5DSVEuTkFTREFRR1M6SU5UQy5JUV9QUklDRV9TQUxFUy4yMDAwLjYvNS8yMDEzAQAAAIdSAAACAAAACDIuMzIxNzI1AQcAAAAFAAAAATEBAAAACjE2MTQwNzQ5NDIDAAAAATACAAAABTM4OTU4BAAAAAEwBwAAAAg2LzUvMjAxMwgAAAAINi81LzIwMTNLEVW5k3PVCIujPUuXc9UINkNJUS5OYXNkYXFHUzpJTlRDLklRX1RFVl9FQklUREFfRldEX0NJUS42MDAwLjMvMTAvMjAwNgEAAACHUgAAAgAAABA4LjM1NDIwNjE4MTAzMTg4AQ0AAAAFAAAAATkBAAAABzI2MjEyOTUCAAAABDE4ODEDAAAABjEwMDMwOAQAAAABMgYAAAABMAcAAAADMTYwCAAAAAEwCQAAAAExCgAAAAEwCwAAAAkzNjA2NzU2MDQMAAAAAjEyDQAAAAkzLzExLzIwMDbL+1a7k3PVCHu7kK6Xc9UINUNJUS5OYXNkYXFHUzpJTlRDLklRX1RFVl9UT1RBTF9SRVZfRldELjYwMDAuMy8yMy8yMDA3AQAAAIdSAAACAAAAEDIuNzA3OTY3NjgyNzUwODMBDQAAAAUAAAABOQEAAAAHMjYyMTI5NQIAAAAEMTg4MgMAAAAGMTAwMzA3BAAAAAEyBgAAAAEwBwAAAAMxNjAIAAAAATAJAAAAATEKAAAAATALAAAACzEwMzc4NTEzNDY1DAAAAAIxMg0AAAAJMy8yNC8yMDA3i9ezvZNz1QjLFVFJl3PVCDdDSVEuTmFzZGFxR1M6SU5UQy5JUV9URVZfRUJJVERBX0ZXRF9DSVEuNjAwMC4xMS8zMC8yMDEyAQAAAIdSAAACAAAAEDQuNDEzMTgyNjQ3NDI3MDkBDQAA</t>
  </si>
  <si>
    <t>AAUAAAABOQEAAAAHMjYyMTI5NQIAAAAHMTc1NzE3MAMAAAAGMTAwMzA4BAAAAAEyBgAAAAEwBwAAAAMxNjAIAAAAATAJAAAAATEKAAAAATALAAAACjY5NTU0MDU5NzUMAAAAAjEyDQAAAAkxMi8xLzIwMTKrJbS9k3PVCOvqjK6Xc9UIMENJUS5OQVNEQVFHUzpJTlRDLklRX1BSSUNFX1NBTEVTLjIwMDAuMTIvMTAvMjAxNAEAAACHUgAAAgAAAAgzLjI4MDEzOAEHAAAABQAAAAExAQAAAAoxNzAzNjgxODk0AwAAAAEwAgAAAAUzODk1OAQAAAABMAcAAAAKMTIvMTAvMjAxNAgAAAAKMTIvMTAvMjAxNPuOUruTc9UIS7Q1S5dz1Qg2Q0lRLk5hc2RhcUdTOklOVEMuSVFfVEVWX1RPVEFMX1JFVl9GV0QuNjAwMC4xMC8yNC8yMDAzAQAAAIdSAAACAAAAEDUuNjc0MTg0NDgwMjY2NTUBDQAAAAUAAAABOQEAAAAHMjYyMTI5NQIAAAAHMTc1NzE0MwMAAAAGMTAwMzA3BAAAAAEyBgAAAAEwBwAAAAMxNjAIAAAAATAJAAAAATEKAAAAATALAAAACjkxMTEwNjMzMTkMAAAAAjEyDQAAAAoxMC8yNS8yMDAzi9ezvZNz1Qir5UtJl3PVCDRDSVEuTmFzZGFxR1M6SU5UQy5JUV9URVZfVE9UQUxfUkVWX0ZXRC42MDAwLjQvOC8yMDExAQAAAIdSAAACAAAAEDEuNzcyNzUwMjI0NDE4MTEBDQAAAAUAAAABOQEAAAAHMjYyMTI5NQIAAAAEMTg4NgMAAAAGMTAwMzA3BAAAAAEyBgAAAAEwBwAAAAMxNjAIAAAAATAJAAAAATEKAAAAATAL</t>
  </si>
  <si>
    <t>AAAACjU3NDg4MTIyMTkMAAAAAjEyDQAAAAg0LzkvMjAxMctJVrmTc9UIG2hPSZdz1QgsQ0lRLl5TUFguSVFfVEVWX1RPVEFMX1JFVl9GV0QuNjAwMC44LzIxLzIwMTMBAAAAm7goAAIAAAAIMS42NDY2OTIAm+tmuZNz1QhbLj1Ll3PVCDBDSVEuTkFTREFRR1M6SU5UQy5JUV9QRV9FWENMX0ZXRC42MDAwLjExLzIzLzIwMDcBAAAAh1IAAAIAAAAPMTcuNjUxMjAwNDUwNjA5AQ0AAAAFAAAAATkBAAAABzI2MjEyOTUCAAAABzE3NTcxNTUDAAAABjEwMDMwOQQAAAABMgYAAAABMAcAAAADMTYwCAAAAAEwCQAAAAExCgAAAAEwCwAAAAo4ODY0NDg1MTI4DAAAAAIxMg0AAAAKMTEvMjQvMjAwN0s7s72Tc9UIm2RaSZdz1QgvQ0lRLk5BU0RBUUdTOklOVEMuSVFfUEVfRVhDTF9GV0QuNjAwMC4xMC82LzIwMTcBAAAAh1IAAAIAAAAQMTMuMDA1ODA4ODAxODExNgENAAAABQAAAAE5AQAAAAcyNjIxMjk1AgAAAAgyNzUwMDE3MwMAAAAGMTAwMzA5BAAAAAEyBgAAAAEwBwAAAAMxNjAIAAAAATAJAAAAATEKAAAAATALAAAACzEwNDgwNTkxNTk1DAAAAAIxMg0AAAAJMTAvNy8yMDE3ywKyvZNz1QjrRVZJl3PVCDVDSVEuTmFzZGFxR1M6SU5UQy5JUV9URVZfVE9UQUxfUkVWX0ZXRC42MDAwLjIvMTEvMjAwNQEAAACHUgAAAgAAABAzLjY1NjA4NDkwNzk0ODcxAQ0AAAAFAAAAATkBAAAABzI2MjEyOTUCAAAABDE4ODADAAAA</t>
  </si>
  <si>
    <t>BjEwMDMwNwQAAAABMgYAAAABMAcAAAADMTYwCAAAAAEwCQAAAAExCgAAAAEwCwAAAAkzNjA2NjQ0NjUMAAAAAjEyDQAAAAkyLzEyLzIwMDWLX1a7k3PVCCuPT0mXc9UINkNJUS5OYXNkYXFHUzpJTlRDLklRX1RFVl9FQklUREFfRldEX0NJUS42MDAwLjgvMTkvMjAxMQEAAACHUgAAAgAAABAzLjg1NDYxNzg3NTkzMDE3AQ0AAAAFAAAAATkBAAAABzI2MjEyOTUCAAAABzE3NTcxNjYDAAAABjEwMDMwOAQAAAABMgYAAAABMAcAAAADMTYwCAAAAAEwCQAAAAExCgAAAAEwCwAAAAo4MTcwNzA1NDE0DAAAAAIxMg0AAAAJOC8yMC8yMDExm/6zvZNz1QjrW4+ul3PVCCNDSVEuXlNQWC5JUV9MQVNUU0FMRVBSSUNFLjIvMjAvMjAxMwEAAACbuCgAAgAAABAxNTExLjk1NDM3NjkzMDUyACvDVLmTc9UIuxg+S5dz1Qg1Q0lRLk5BU0RBUUdTOklOVEMuSVFfVEVWX0VCSVREQV9GV0RfQ0lRLjYwMDAuNS83LzIwMTABAAAAh1IAAAIAAAAPNS4yOTc4NjE4NzE4NzA5AQ0AAAAFAAAAATkBAAAABzI2MjEyOTUCAAAABzE3NTcxNjIDAAAABjEwMDMwOAQAAAABMgYAAAABMAcAAAADMTYwCAAAAAEwCQAAAAExCgAAAAEwCwAAAAo1NzIxMTQwODQ5DAAAAAIxMg0AAAAINS84LzIwMTDLilS7k3PVCPuCj66Xc9UILENJUS5eU1BYLklRX1RFVl9UT1RBTF9SRVZfRldELjYwMDAuMS8yMS8yMDE1AQAAAJu4KAACAAAABzEuOTgyMjYA</t>
  </si>
  <si>
    <t>a2awu5Nz1QjbojRLl3PVCDRDSVEuTmFzZGFxR1M6SU5UQy5JUV9URVZfVE9UQUxfUkVWX0ZXRC42MDAwLjEvOS8yMDA5AQAAAIdSAAACAAAAEDIuMjcxMDc1MzkyMzI1ODcBDQAAAAUAAAABOQEAAAAHMjYyMTI5NQIAAAAHMTc1NzE1OAMAAAAGMTAwMzA3BAAAAAEyBgAAAAEwBwAAAAMxNjAIAAAAATAJAAAAATEKAAAAATALAAAACjgxNzI1MTc0MjEMAAAAAjEyDQAAAAkxLzEwLzIwMDmL17O9k3PVCPvdWEmXc9UIL0NJUS5OQVNEQVFHUzpJTlRDLklRX1BSSUNFX1NBTEVTLjIwMDAuMTEvNi8yMDE1AQAAAIdSAAACAAAACDIuOTE2NDE2AQcAAAAFAAAAATEBAAAACjE3NjE3MDY4MjcDAAAAATACAAAABTM4OTU4BAAAAAEwBwAAAAkxMS82LzIwMTUIAAAACTExLzYvMjAxNfuOUruTc9UIW1dXSZdz1QgrQ0lRLk5BU0RBUUdTOklOVEMuSVFfTEFTVFNBTEVQUklDRS45LzYvMjAxNwEAAACHUgAAAgAAAAUzNS43NgDLka+9k3PVCKsG/EqXc9UILENJUS5eU1BYLklRX1RFVl9UT1RBTF9SRVZfRldELjYwMDAuNC8xOS8yMDE3AQAAAJu4KAACAAAACDIuMTM5MDY0ANu4r72Tc9UIy74US5dz1QgpQ0lRLk5BU0RBUUdTOklOVEMuSVFfUFRCVi4yMDAwLjEwLzMxLzIwMTQBAAAAh1IAAAIAAAAINC4wMTU0MjUBBwAAAAUAAAABMQEAAAAKMTcwMzY4MTg5NAMAAAABMAIAAAAGMTAwMDI5BAAAAAEwBwAAAAoxMC8zMS8y</t>
  </si>
  <si>
    <t>MDE0CAAAAAoxMC8zMS8yMDE0u2qvvZNz1QgrU1lJl3PVCDZDSVEuTkFTREFRR1M6SU5UQy5JUV9URVZfRUJJVERBX0ZXRF9DSVEuNjAwMC4zLzE0LzIwMDMBAAAAh1IAAAIAAAAPOS4yMzM0Mzk1Mzk4NzMxAQ0AAAAFAAAAATkBAAAABzI2MjEyOTUCAAAABDE4NzgDAAAABjEwMDMwOAQAAAABMgYAAAABMAcAAAADMTYwCAAAAAEwCQAAAAExCgAAAAEwCwAAAAkzNjA2NTkwNDMMAAAAAjEyDQAAAAkzLzE1LzIwMDNLw1W7k3PVCDsfkK6Xc9UINkNJUS5OYXNkYXFHUzpJTlRDLklRX1RFVl9UT1RBTF9SRVZfRldELjYwMDAuMTAvMzAvMjAwOQEAAACHUgAAAgAAABAyLjUxMTY2MjU5ODQ1NDYzAQ0AAAAFAAAAATkBAAAABzI2MjEyOTUCAAAABzE3NTcxNjEDAAAABjEwMDMwNwQAAAABMgYAAAABMAcAAAADMTYwCAAAAAEwCQAAAAExCgAAAAEwCwAAAAoxMTY5MTUwMTcyDAAAAAIxMg0AAAAKMTAvMzEvMjAwOcv7VruTc9UI2zxRSZdz1QgwQ0lRLk5BU0RBUUdTOklOVEMuSVFfUFJJQ0VfU0FMRVMuMjAwMC4xMi8yMy8yMDEwAQAAAIdSAAACAAAACDIuNzA1NTE4AQcAAAAFAAAAATEBAAAACjE0MDg1MTY1NDYDAAAAATACAAAABTM4OTU4BAAAAAEwBwAAAAoxMi8yMy8yMDEwCAAAAAoxMi8yMy8yMDEwy7C5t5Nz1QgrHk1Jl3PVCC9DSVEuTkFTREFRR1M6SU5UQy5JUV9QRV9FWENMX0ZXRC42MDAwLjkvMjcvMjAx</t>
  </si>
  <si>
    <t>MwEAAACHUgAAAgAAABAxMS43ODk0NTIwODI5MDU4AQ0AAAAFAAAAATkBAAAABzI2MjEyOTUCAAAABzM4Mjk3NTIDAAAABjEwMDMwOQQAAAABMgYAAAABMAcAAAADMTYwCAAAAAEwCQAAAAExCgAAAAEwCwAAAAo2OTU1NDAzNzkyDAAAAAIxMg0AAAAJOS8yOC8yMDEz+3eyvZNz1QjL91VJl3PVCC5DSVEuTkFTREFRR1M6SU5UQy5JUV9QRV9FWENMX0ZXRC42MDAwLjgvOS8yMDAyAQAAAIdSAAACAAAAEDI2LjkzODE1OTg3OTMzNjQBDQAAAAUAAAABOQEAAAAHMjYyMTI5NQIAAAAHMTc1NzEzOQMAAAAGMTAwMzA5BAAAAAEyBgAAAAEwBwAAAAMxNjAIAAAAATAJAAAAATEKAAAAATALAAAACjkwOTA2ODgxMDEMAAAAAjEyDQAAAAk4LzEwLzIwMDJ7sLO9k3PVCKvHUEmXc9UINUNJUS5OYXNkYXFHUzpJTlRDLklRX1RFVl9UT1RBTF9SRVZfRldELjYwMDAuMTEvNi8yMDE1AQAAAIdSAAACAAAAEDIuNzkxNTY5NjQ5MTE1NjIBDQAAAAUAAAABOQEAAAAHMjYyMTI5NQIAAAAHODA2ODI2MgMAAAAGMTAwMzA3BAAAAAEyBgAAAAEwBwAAAAMxNjAIAAAAATAJAAAAATEKAAAAATALAAAACjkxNTg0NDE2MjEMAAAAAjEyDQAAAAkxMS83LzIwMTWbhla7k3PVCEuhWUmXc9UILENJUS5OQVNEQVFHUzpJTlRDLklRX0xBU1RTQUxFUFJJQ0UuOC8zMS8yMDE2AQAAAIdSAAACAAAABTM1Ljg5AFtPZrmTc9UIW8QkS5dz1QgoQ0lR</t>
  </si>
  <si>
    <t>Lk5BU0RBUUdTOklOVEMuSVFfUFRCVi4yMDAwLjkvMTIvMjAxNAEAAACHUgAAAgAAAAgzLjg5OTQ2OAEHAAAABQAAAAExAQAAAAoxNjg4MDgwOTkyAwAAAAEwAgAAAAYxMDAwMjkEAAAAATAHAAAACTkvMTIvMjAxNAgAAAAJOS8xMi8yMDE0y7C5t5Nz1QgL0ExJl3PVCC9DSVEuTkFTREFRR1M6SU5UQy5JUV9QRV9FWENMX0ZXRC42MDAwLjMvMjUvMjAxMQEAAACHUgAAAgAAABAxMC4wNDU5NjM4NjAxNzUyAQ0AAAAFAAAAATkBAAAABzI2MjEyOTUCAAAABDE4ODYDAAAABjEwMDMwOQQAAAABMgYAAAABMAcAAAADMTYwCAAAAAEwCQAAAAExCgAAAAEwCwAAAAo1NzQ3ODkyNDg5DAAAAAIxMg0AAAAJMy8yNi8yMDExG8ayvZNz1QjLFVFJl3PVCDdDSVEuTmFzZGFxR1M6SU5UQy5JUV9URVZfRUJJVERBX0ZXRF9DSVEuNjAwMC4xMS8xMC8yMDE3AQAAAIdSAAACAAAAEDguNDIzNDY5ODU3NDQ4NDgBDQAAAAUAAAABOQEAAAAHMjYyMTI5NQIAAAAIMjc1MDAxNzQDAAAABjEwMDMwOAQAAAABMgYAAAABMAcAAAADMTYwCAAAAAEwCQAAAAExCgAAAAEwCwAAAAsxMDY1OTMyNjc1MgwAAAACMTINAAAACjExLzExLzIwMTeb/rO9k3PVCBvRj66Xc9UILkNJUS5OQVNEQVFHUzpJTlRDLklRX1BSSUNFX1NBTEVTLjIwMDAuMy80LzIwMTYBAAAAh1IAAAIAAAAIMi42MjM5MjYBBwAAAAUAAAABMQEAAAAKMTc3NTkzMzE0MAMA</t>
  </si>
  <si>
    <t>AAABMAIAAAAFMzg5NTgEAAAAATAHAAAACDMvNC8yMDE2CAAAAAgzLzQvMjAxNovEZrmTc9UImxFTSZdz1QgtQ0lRLl5TUFguSVFfVEVWX0VCSVREQV9GV0RfQ0lRLjYwMDAuOS8zMC8yMDE1AQAAAJu4KAACAAAACDkuMTgwNjQxANu4r72Tc9UImyQvS5dz1QgtQ0lRLl5TUFguSVFfVEVWX1RPVEFMX1JFVl9GV0QuNjAwMC4xMC8zMC8yMDEzAQAAAJu4KAACAAAACDEuNzE4Njk2AGtmsLuTc9UIO+A8S5dz1QgsQ0lRLk5BU0RBUUdTOklOVEMuSVFfTEFTVFNBTEVQUklDRS45LzIwLzIwMTcBAAAAh1IAAAIAAAAFMzcuMDcAy5GvvZNz1Qhb0vhKl3PVCC1DSVEuXlNQWC5JUV9URVZfRUJJVERBX0ZXRF9DSVEuNjAwMC40LzE1LzIwMTUBAAAAm7goAAIAAAAJMTAuMDg1MDU2ACsEU7uTc9UI2zEyS5dz1Qg0Q0lRLk5hc2RhcUdTOklOVEMuSVFfVEVWX1RPVEFMX1JFVl9GV0QuNjAwMC44LzIvMjAxMwEAAACHUgAAAgAAABAyLjA2NTczMDE0MTIyMjc3AQ0AAAAFAAAAATkBAAAABzI2MjEyOTUCAAAABzM4Mjk3NTIDAAAABjEwMDMwNwQAAAABMgYAAAABMAcAAAADMTYwCAAAAAEwCQAAAAExCgAAAAEwCwAAAAo4ODYyNTQzMzAyDAAAAAIxMg0AAAAIOC8zLzIwMTNbwGi5k3PVCDt6WUmXc9UINUNJUS5OYXNkYXFHUzpJTlRDLklRX1RFVl9UT1RBTF9SRVZfRldELjYwMDAuMS8xNi8yMDA0AQAAAIdSAAACAAAAEDUu</t>
  </si>
  <si>
    <t>Njk5NjkxMjEzOTc0MDkBDQAAAAUAAAABOQEAAAAHMjYyMTI5NQIAAAAEMTg3OQMAAAAGMTAwMzA3BAAAAAEyBgAAAAEwBwAAAAMxNjAIAAAAATAJAAAAATEKAAAAATALAAAACTM2MDY1OTc2NAwAAAACMTINAAAACTEvMTcvMjAwNIvXs72Tc9UIa5xSSZdz1QgvQ0lRLk5BU0RBUUdTOklOVEMuSVFfUFJJQ0VfU0FMRVMuMjAwMC42LzE0LzIwMTcBAAAAh1IAAAIAAAAIMi43Nzg4MTkBBwAAAAUAAAABMQEAAAAKMTgzODM2MDEzMgMAAAABMAIAAAAFMzg5NTgEAAAAATAHAAAACTYvMTQvMjAxNwgAAAAJNi8xNC8yMDE3u2qvvZNz1Qjbkg1Ll3PVCChDSVEuTkFTREFRR1M6SU5UQy5JUV9QVEJWLjIwMDAuNi8xMy8yMDE0AQAAAIdSAAACAAAACDMuNDk3ODk1AQcAAAAFAAAAATEBAAAACjE2NzMzNzkzMjcDAAAAATACAAAABjEwMDAyOQQAAAABMAcAAAAJNi8xMy8yMDE0CAAAAAk2LzEzLzIwMTR7nWa5k3PVCAsjVEmXc9UINENJUS5OYXNkYXFHUzpJTlRDLklRX1RFVl9UT1RBTF9SRVZfRldELjYwMDAuMi82LzIwMDQBAAAAh1IAAAIAAAAQNS4zNDQ3MDU3Njk1MDA0OAENAAAABQAAAAE5AQAAAAcyNjIxMjk1AgAAAAQxODc5AwAAAAYxMDAzMDcEAAAAATIGAAAAATAHAAAAAzE2MAgAAAABMAkAAAABMQoAAAABMAsAAAAJMzYwNjU5NzY2DAAAAAIxMg0AAAAIMi83LzIwMDTbcFa5k3PVCJtkWkmXc9UIL0NJUS5O</t>
  </si>
  <si>
    <t>QVNEQVFHUzpJTlRDLklRX1BFX0VYQ0xfRldELjYwMDAuMi8yNy8yMDE1AQAAAIdSAAACAAAAEDEzLjk5MzUxODc5MTI5NjcBDQAAAAUAAAABOQEAAAAHMjYyMTI5NQIAAAAKMTAwMDA5NDA3MQMAAAAGMTAwMzA5BAAAAAEyBgAAAAEwBwAAAAMxNjAIAAAAATAJAAAAATEKAAAAATALAAAACjg2MzA5ODA3MjYMAAAAAjEyDQAAAAkyLzI4LzIwMTWL17O9k3PVCKs4U0mXc9UIKUNJUS5OQVNEQVFHUzpJTlRDLklRX1BUQlYuMjAwMC4xMC8yNy8yMDE3AQAAAIdSAAACAAAACDYuMjA0NzgzAQcAAAAFAAAAATEBAAAACjE4NjI3NTgwNDMDAAAAATACAAAABjEwMDAyOQQAAAABMAcAAAAKMTAvMjcvMjAxNwgAAAAKMTAvMjcvMjAxN7tqr72Tc9UIqxpYSZdz1Qg1Q0lRLk5hc2RhcUdTOklOVEMuSVFfVEVWX1RPVEFMX1JFVl9GV0QuNjAwMC42LzMwLzIwMTcBAAAAh1IAAAIAAAAQMi43OTY4NjE0Nzk0NjA1OQENAAAABQAAAAE5AQAAAAcyNjIxMjk1AgAAAAgyNzUwMDE3MgMAAAAGMTAwMzA3BAAAAAEyBgAAAAEwBwAAAAMxNjAIAAAAATAJAAAAATEKAAAAATALAAAACzEwMjcxODA0MjI1DAAAAAIxMg0AAAAINy8xLzIwMTeb27C7k3PVCDsJV0mXc9UIIkNJUS5eU1BYLklRX0xBU1RTQUxFUFJJQ0UuNy84LzIwMTUBAAAAm7goAAIAAAAQMjA0Ni42ODQwMzM0NTI3MwBbP7C7k3PVCBtdMEuXc9UIL0NJUS5OQVNEQVFH</t>
  </si>
  <si>
    <t>UzpJTlRDLklRX1BSSUNFX1NBTEVTLjIwMDAuNy8xNy8yMDE1AQAAAIdSAAACAAAACDIuNTUzNTc2AQcAAAAFAAAAATEBAAAACjE3NDYxMjA0NzYDAAAAATACAAAABTM4OTU4BAAAAAEwBwAAAAk3LzE3LzIwMTUIAAAACTcvMTcvMjAxNUsYsLuTc9UIC7JRSZdz1QgvQ0lRLk5BU0RBUUdTOklOVEMuSVFfUEVfRVhDTF9GV0QuNjAwMC45LzEyLzIwMTQBAAAAh1IAAAIAAAAQMTQuOTY0OTg2NTk5ODA5OAENAAAABQAAAAE5AQAAAAcyNjIxMjk1AgAAAAc0NDU2NDI4AwAAAAYxMDAzMDkEAAAAATIGAAAAATAHAAAAAzE2MAgAAAABMAkAAAABMQoAAAABMAsAAAAKODY0ODIwMTc4OAwAAAACMTINAAAACTkvMTMvMjAxNJv+s72Tc9UIG0pUSZdz1QgsQ0lRLl5TUFguSVFfVEVWX1RPVEFMX1JFVl9GV0QuNjAwMC43LzE2LzIwMTQBAAAAm7goAAIAAAAIMS44NjQ1MDMA6/65t5Nz1QhbTDhLl3PVCCBDSVEuXlNQWC5JUV9QVEJWLjIwMDAuMTAvMjgvMjAxNQEAAACbuCgAAgAAAAg2LjM4MjY3OADb17m3k3PVCGuvLkuXc9UIL0NJUS5OQVNEQVFHUzpJTlRDLklRX1BSSUNFX1NBTEVTLjIwMDAuOS8yNC8yMDEwAQAAAIdSAAACAAAACDIuNjIyMDUxAQcAAAAFAAAAATEBAAAACjEzODk3MTA3NDQDAAAAATACAAAABTM4OTU4BAAAAAEwBwAAAAk5LzI0LzIwMTAIAAAACTkvMjQvMjAxMDvxr7uTc9UIe8NSSZdz1Qg0Q0lR</t>
  </si>
  <si>
    <t>Lk5hc2RhcUdTOklOVEMuSVFfVEVWX1RPVEFMX1JFVl9GV0QuNjAwMC41LzIvMjAwMwEAAACHUgAAAgAAABAzLjkyODk4NjM0NzQ1NzgxAQ0AAAAFAAAAATkBAAAABzI2MjEyOTUCAAAABzE3NTcxNDEDAAAABjEwMDMwNwQAAAABMgYAAAABMAcAAAADMTYwCAAAAAEwCQAAAAExCgAAAAEwCwAAAAo5MTExMDY3ODA2DAAAAAIxMg0AAAAINS8zLzIwMDOb/rO9k3PVCCseTUmXc9UIHkNJUS5eU1BYLklRX1BUQlYuMjAwMC4xLzQvMjAxNwEAAACbuCgAAgAAAAg3LjczMzE1NwDb17m3k3PVCMsRHEuXc9UIL0NJUS5OQVNEQVFHUzpJTlRDLklRX1BSSUNFX1NBTEVTLjIwMDAuMS8xMy8yMDEyAQAAAIdSAAACAAAACDIuNjIwNjg5AQcAAAAFAAAAATEBAAAACjE0ODAyMTUzODEDAAAAATACAAAABTM4OTU4BAAAAAEwBwAAAAkxLzEzLzIwMTIIAAAACTEvMTMvMjAxMtvXubeTc9UIi5dLSZdz1QggQ0lRLl5TUFguSVFfUFRCVi4yMDAwLjExLzE2LzIwMTYBAAAAm7goAAIAAAAINy41Mjg2MDgAu2qvvZNz1Qh7MCBLl3PVCB5DSVEuXlNQWC5JUV9QVEJWLjIwMDAuNy81LzIwMTcBAAAAm7goAAIAAAAIOC43Njg1MDgAWz+wu5Nz1QhLwglLl3PVCC5DSVEuTkFTREFRR1M6SU5UQy5JUV9QUklDRV9TQUxFUy4yMDAwLjgvOS8yMDE3AQAAAIdSAAACAAAACDIuODAyMTY0AQcAAAAFAAAAATEBAAAACjE4NTA2MTg2NjQDAAAA</t>
  </si>
  <si>
    <t>ATACAAAABTM4OTU4BAAAAAEwBwAAAAg4LzkvMjAxNwgAAAAIOC85LzIwMTcLtlK7k3PVCKtZA0uXc9UILENJUS5OQVNEQVFHUzpJTlRDLklRX0xBU1RTQUxFUFJJQ0UuNy8xNy8yMDEzAQAAAIdSAAACAAAABTI0LjE1AOv+ubeTc9UIe3w9S5dz1QgoQ0lRLk5BU0RBUUdTOklOVEMuSVFfUFRCVi4yMDAwLjkvMjcvMjAxMwEAAACHUgAAAgAAAAgyLjk5NTI0NwEHAAAABQAAAAExAQAAAAoxNjI4NDM2ODQ5AwAAAAEwAgAAAAYxMDAwMjkEAAAAATAHAAAACTkvMjcvMjAxMwgAAAAJOS8yNy8yMDEzC7ZSu5Nz1QjL91VJl3PVCDVDSVEuTmFzZGFxR1M6SU5UQy5JUV9URVZfVE9UQUxfUkVWX0ZXRC42MDAwLjUvMzEvMjAwMgEAAACHUgAAAgAAABA1Ljk1OTEyMTE0MjA4Nzg5AQ0AAAAFAAAAATkBAAAABzI2MjEyOTUCAAAABzE3NTcxMzgDAAAABjEwMDMwNwQAAAABMgYAAAABMAcAAAADMTYwCAAAAAEwCQAAAAExCgAAAAEwCwAAAAoxMTY5MTI1MzgxDAAAAAIxMg0AAAAINi8xLzIwMDLLULG7k3PVCDsJV0mXc9UINENJUS5OYXNkYXFHUzpJTlRDLklRX1RFVl9UT1RBTF9SRVZfRldELjYwMDAuMi8xLzIwMDgBAAAAh1IAAAIAAAAQMi44MTU3MDMzMzA2NzU0MQENAAAABQAAAAE5AQAAAAcyNjIxMjk1AgAAAAQxODgzAwAAAAYxMDAzMDcEAAAAATIGAAAAATAHAAAAAzE2MAgAAAABMAkAAAABMQoAAAABMAsAAAAJ</t>
  </si>
  <si>
    <t>MzYwNzAwMjMzDAAAAAIxMg0AAAAIMi8yLzIwMDjbh2e5k3PVCPtsVkmXc9UINkNJUS5OYXNkYXFHUzpJTlRDLklRX1RFVl9FQklUREFfRldEX0NJUS42MDAwLjMvMjMvMjAxMgEAAACHUgAAAgAAABA1LjM2NzgxNTUyNDU0NjI2AQ0AAAAFAAAAATkBAAAABzI2MjEyOTUCAAAABDE4ODcDAAAABjEwMDMwOAQAAAABMgYAAAABMAcAAAADMTYwCAAAAAEwCQAAAAExCgAAAAEwCwAAAAo1NzQ4ODMxMzg0DAAAAAIxMg0AAAAJMy8yNC8yMDEym/6zvZNz1QibmI6ul3PVCChDSVEuTkFTREFRR1M6SU5UQy5JUV9QVEJWLjIwMDAuOC8xOC8yMDE3AQAAAIdSAAACAAAACDMuNjAzMjk0AQcAAAAFAAAAATEBAAAACjE4NTA2MTg2NjQDAAAAATACAAAABjEwMDAyOQQAAAABMAcAAAAJOC8xOC8yMDE3CAAAAAk4LzE4LzIwMTf7jlK7k3PVCBu7VkmXc9UILkNJUS5OQVNEQVFHUzpJTlRDLklRX1BSSUNFX1NBTEVTLjIwMDAuNS83LzIwMTQBAAAAh1IAAAIAAAAIMi40ODEwOTkBBwAAAAUAAAABMQEAAAAKMTY3MzM3OTMyNwMAAAABMAIAAAAFMzg5NTgEAAAAATAHAAAACDUvNy8yMDE0CAAAAAg1LzcvMjAxNEsRVbmTc9UI24Q5S5dz1QgmQ0lRLl5TUFguSVFfUEVfRVhDTF9GV0QuNjAwMC44LzIwLzIwMTQBAAAAm7goAAIAAAAJMTUuOTI1MDIzAOv+ubeTc9UIC4k3S5dz1QguQ0lRLk5BU0RBUUdTOklOVEMuSVFfUEVfRVhD</t>
  </si>
  <si>
    <t>TF9GV0QuNjAwMC4zLzkvMjAxMgEAAACHUgAAAgAAABAxMC42NjY4MDMyNjg5OTg5AQ0AAAAFAAAAATkBAAAABzI2MjEyOTUCAAAABDE4ODcDAAAABjEwMDMwOQQAAAABMgYAAAABMAcAAAADMTYwCAAAAAEwCQAAAAExCgAAAAEwCwAAAAo3NjE2MjAxOTgyDAAAAAIxMg0AAAAJMy8xMC8yMDEyG8ayvZNz1QhL3U9Jl3PVCC5DSVEuTkFTREFRR1M6SU5UQy5JUV9QRV9FWENMX0ZXRC42MDAwLjUvMy8yMDAyAQAAAIdSAAACAAAAEDM0LjIyNjgwNDEyMzcxMTMBDQAAAAUAAAABOQEAAAAHMjYyMTI5NQIAAAAHMTc1NzEzOAMAAAAGMTAwMzA5BAAAAAEyBgAAAAEwBwAAAAMxNjAIAAAAATAJAAAAATEKAAAAATALAAAACjg4NjA1MDIwMTUMAAAAAjEyDQAAAAg1LzQvMjAwMnuws72Tc9UIu31OSZdz1QgoQ0lRLk5BU0RBUUdTOklOVEMuSVFfUFRCVi4yMDAwLjQvMjYvMjAxMwEAAACHUgAAAgAAAAgzLjI0OTUwNwEHAAAABQAAAAExAQAAAAoxNjAzODk3NjM1AwAAAAEwAgAAAAYxMDAwMjkEAAAAATAHAAAACTQvMjYvMjAxMwgAAAAJNC8yNi8yMDEzSxiwu5Nz1QjrY1FJl3PVCDdDSVEuTmFzZGFxR1M6SU5UQy5JUV9URVZfRUJJVERBX0ZXRF9DSVEuNjAwMC4xMi8zMS8yMDEwAQAAAIdSAAACAAAAEDQuOTA5ODQ5ODI4MTY1NTIBDQAAAAUAAAABOQEAAAAHMjYyMTI5NQIAAAAHMTc1NzE2NAMAAAAGMTAwMzA4BAAA</t>
  </si>
  <si>
    <t>AAEyBgAAAAEwBwAAAAMxNjAIAAAAATAJAAAAATEKAAAAATALAAAACjg4NjU2ODM1MjYMAAAAAjEyDQAAAAgxLzEvMjAxMasltL2Tc9UIq7+Orpdz1QguQ0lRLk5BU0RBUUdTOklOVEMuSVFfUEVfRVhDTF9GV0QuNjAwMC41LzYvMjAxNgEAAACHUgAAAgAAABAxMi4xNzAzMTk2NTMyMDI2AQ0AAAAFAAAAATkBAAAABzI2MjEyOTUCAAAACDI3MDAzNjUxAwAAAAYxMDAzMDkEAAAAATIGAAAAATAHAAAAAzE2MAgAAAABMAkAAAABMQoAAAABMAsAAAAKOTQzODY3NDU5MgwAAAACMTINAAAACDUvNy8yMDE2u0y0vZNz1Qi7X1NJl3PVCC9DSVEuTkFTREFRR1M6SU5UQy5JUV9QRV9FWENMX0ZXRC42MDAwLjgvMjYvMjAxNgEAAACHUgAAAgAAABAxMy40NzA4NjkxNDk5NTIyAQ0AAAAFAAAAATkBAAAABzI2MjEyOTUCAAAACDI3MDAzNjUyAwAAAAYxMDAzMDkEAAAAATIGAAAAATAHAAAAAzE2MAgAAAABMAkAAAABMQoAAAABMAsAAAAKOTY4NzY0MTI4MgwAAAACMTINAAAACTgvMjcvMjAxNtspsr2Tc9UIG0pUSZdz1QgtQ0lRLl5TUFguSVFfVEVWX0VCSVREQV9GV0RfQ0lRLjYwMDAuNy8xMC8yMDEzAQAAAJu4KAACAAAACDguMjQ4NTc0APslureTc9UIe3w9S5dz1QgvQ0lRLk5BU0RBUUdTOklOVEMuSVFfUEVfRVhDTF9GV0QuNjAwMC44LzE0LzIwMDkBAAAAh1IAAAIAAAAQMTkuMTQ5MTUzMjM0MDMzOQENAAAABQAA</t>
  </si>
  <si>
    <t>AAE5AQAAAAcyNjIxMjk1AgAAAAcxNzU3MTYwAwAAAAYxMDAzMDkEAAAAATIGAAAAATAHAAAAAzE2MAgAAAABMAkAAAABMQoAAAABMAsAAAAKODg2NDM5NDk4MAwAAAACMTINAAAACTgvMTUvMjAwOTsUs72Tc9UIe8NSSZdz1Qg1Q0lRLk5hc2RhcUdTOklOVEMuSVFfVEVWX1RPVEFMX1JFVl9GV0QuNjAwMC4xMC83LzIwMDUBAAAAh1IAAAIAAAAQMy4yMjg0MDk1MTM4MTY0MgENAAAABQAAAAE5AQAAAAcyNjIxMjk1AgAAAAcxNzU3MTQ4AwAAAAYxMDAzMDcEAAAAATIGAAAAATAHAAAAAzE2MAgAAAABMAkAAAABMQoAAAABMAsAAAAKNjcyOTMwODEwMAwAAAACMTINAAAACTEwLzgvMjAwNZvbsLuTc9UIu19TSZdz1Qg0Q0lRLk5hc2RhcUdTOklOVEMuSVFfVEVWX1RPVEFMX1JFVl9GV0QuNjAwMC40LzQvMjAwOAEAAACHUgAAAgAAABAyLjc5ODM0ODE0NzI1MDcyAQ0AAAAFAAAAATkBAAAABzI2MjEyOTUCAAAABDE4ODMDAAAABjEwMDMwNwQAAAABMgYAAAABMAcAAAADMTYwCAAAAAEwCQAAAAExCgAAAAEwCwAAAAkzNjA3MDAyNTcMAAAAAjEyDQAAAAg0LzUvMjAwOJv+s72Tc9UIS79USZdz1Qg0Q0lRLk5hc2RhcUdTOklOVEMuSVFfVEVWX1RPVEFMX1JFVl9GV0QuNjAwMC4zLzEvMjAxMwEAAACHUgAAAgAAABAxLjgzOTU3MTE2MTM0MDYxAQ0AAAAFAAAAATkBAAAABzI2MjEyOTUCAAAABzM2NTI2NjADAAAA</t>
  </si>
  <si>
    <t>BjEwMDMwNwQAAAABMgYAAAABMAcAAAADMTYwCAAAAAEwCQAAAAExCgAAAAEwCwAAAAo1NzQ4ODk2MzA1DAAAAAIxMg0AAAAIMy8yLzIwMTOb/rO9k3PVCMuGU0mXc9UIJkNJUS5eU1BYLklRX1BFX0VYQ0xfRldELjYwMDAuMTEvOC8yMDE3AQAAAJu4KAACAAAACTE4LjQ4MjkwMgB7hlW5k3PVCBsB7EqXc9UINUNJUS5OYXNkYXFHUzpJTlRDLklRX1RFVl9UT1RBTF9SRVZfRldELjYwMDAuOS8xMi8yMDAzAQAAAIdSAAACAAAAEDUuNDMzMTY5MjMyMzY5NTQBDQAAAAUAAAABOQEAAAAHMjYyMTI5NQIAAAAHMTc1NzE0MgMAAAAGMTAwMzA3BAAAAAEyBgAAAAEwBwAAAAMxNjAIAAAAATAJAAAAATEKAAAAATALAAAACjExNjkxMjcxNjAMAAAAAjEyDQAAAAk5LzEzLzIwMDPrnrG7k3PVCOu2WEmXc9UILENJUS5eU1BYLklRX1RFVl9UT1RBTF9SRVZfRldELjYwMDAuOC8yMC8yMDE0AQAAAJu4KAACAAAACDEuODY4OTE2AHuNsLuTc9UIG7A3S5dz1QgfQ0lRLl5TUFguSVFfUFRCVi4yMDAwLjUvMjkvMjAxMwEAAACbuCgAAgAAAAg0Ljk4NzcxOADLka+9k3PVCIujPUuXc9UINkNJUS5OQVNEQVFHUzpJTlRDLklRX1RFVl9FQklUREFfRldEX0NJUS42MDAwLjEvMzAvMjAxNQEAAACHUgAAAgAAABA2LjM2MDU4ODMwNDIyNTQ2AQ0AAAAFAAAAATkBAAAABzI2MjEyOTUCAAAACjEwMDAwOTQwNzEDAAAABjEwMDMwOAQA</t>
  </si>
  <si>
    <t>AAABMgYAAAABMAcAAAADMTYwCAAAAAEwCQAAAAExCgAAAAEwCwAAAAo4NTQ4MzkzNTkwDAAAAAIxMg0AAAAJMS8zMS8yMDE1a6BTu5Nz1Qg7H5Cul3PVCDRDSVEuTkFTREFRR1M6SU5UQy5JUV9URVZfVE9UQUxfUkVWX0ZXRC42MDAwLjcvMy8yMDAzAQAAAIdSAAACAAAAEDQuNDg2NjY2NzIwMTg5MzEBDQAAAAUAAAABOQEAAAAHMjYyMTI5NQIAAAAHMTc1NzE0MQMAAAAGMTAwMzA3BAAAAAEyBgAAAAEwBwAAAAMxNjAIAAAAATAJAAAAATEKAAAAATALAAAACjkxMTEwNjMyODAMAAAAAjEyDQAAAAg3LzQvMjAwM5usu7eTc9UIW8hZSZdz1Qg1Q0lRLk5hc2RhcUdTOklOVEMuSVFfVEVWX1RPVEFMX1JFVl9GV0QuNjAwMC42LzEwLzIwMDUBAAAAh1IAAAIAAAAQMy44NDExNzgwMjI0NjExNAENAAAABQAAAAE5AQAAAAcyNjIxMjk1AgAAAAcxNzU3MTQ3AwAAAAYxMDAzMDcEAAAAATIGAAAAATAHAAAAAzE2MAgAAAABMAkAAAABMQoAAAABMAsAAAAKMTE2OTEyOTkxOQwAAAACMTINAAAACTYvMTEvMjAwNbtMtL2Tc9UIu9BVSZdz1QgvQ0lRLk5BU0RBUUdTOklOVEMuSVFfUEVfRVhDTF9GV0QuNjAwMC4yLzIyLzIwMDgBAAAAh1IAAAIAAAAQMTQuMTA2NzYxNTY1ODM2MwENAAAABQAAAAE5AQAAAAcyNjIxMjk1AgAAAAQxODgzAwAAAAYxMDAzMDkEAAAAATIGAAAAATAHAAAAAzE2MAgAAAABMAkAAAABMQoAAAAB</t>
  </si>
  <si>
    <t>MAsAAAAHMTUzMzI1MAwAAAACMTINAAAACTIvMjMvMjAwOEs7s72Tc9UIG7tWSZdz1QguQ0lRLk5BU0RBUUdTOklOVEMuSVFfUFJJQ0VfU0FMRVMuMjAwMC4xLzQvMjAxMwEAAACHUgAAAgAAAAgxLjk3NzI5MQEHAAAABQAAAAExAQAAAAoxNTczODg3Nzk1AwAAAAEwAgAAAAUzODk1OAQAAAABMAcAAAAIMS80LzIwMTMIAAAACDEvNC8yMDEzu2qvvZNz1QjLaFhJl3PVCC9DSVEuTkFTREFRR1M6SU5UQy5JUV9QUklDRV9TQUxFUy4yMDAwLjcvMjUvMjAxNAEAAACHUgAAAgAAAAgzLjE2MTg2MQEHAAAABQAAAAExAQAAAAoxNjg4MDgwOTkyAwAAAAEwAgAAAAUzODk1OAQAAAABMAcAAAAJNy8yNS8yMDE0CAAAAAk3LzI1LzIwMTSrQ6+9k3PVCHsWWkmXc9UINUNJUS5OYXNkYXFHUzpJTlRDLklRX1RFVl9UT1RBTF9SRVZfRldELjYwMDAuNi8xNS8yMDAxAQAAAIdSAAACAAAAEDYuMzg1NTIzNzU5OTYxMTIBDQAAAAUAAAABOQEAAAAHMjYyMTI5NQIAAAAHMzQyMTE2MAMAAAAGMTAwMzA3BAAAAAEyBgAAAAEwBwAAAAMxNjAIAAAAATAJAAAAATEKAAAAATALAAAACjExNjkxNTIzNTkMAAAAAjEyDQAAAAk2LzE2LzIwMDGb27C7k3PVCAuyUUmXc9UINUNJUS5OYXNkYXFHUzpJTlRDLklRX1RFVl9UT1RBTF9SRVZfRldELjYwMDAuMTAvMy8yMDA4AQAAAIdSAAACAAAAEDIuMTI2MjczMTAyMDQzODYBDQAAAAUAAAAB</t>
  </si>
  <si>
    <t>OQEAAAAHMjYyMTI5NQIAAAAHMTc1NzE1NwMAAAAGMTAwMzA3BAAAAAEyBgAAAAEwBwAAAAMxNjAIAAAAATAJAAAAATEKAAAAATALAAAACjg4NjIwMjg4ODUMAAAAAjEyDQAAAAkxMC80LzIwMDiL17O9k3PVCNseVkmXc9UIKENJUS5OQVNEQVFHUzpJTlRDLklRX1BUQlYuMjAwMC41LzIwLzIwMTEBAAAAh1IAAAIAAAAIMy45NDQ5MTYBBwAAAAUAAAABMQEAAAAKMTQ1MjQ3NTg3MgMAAAABMAIAAAAGMTAwMDI5BAAAAAEwBwAAAAk1LzIwLzIwMTEIAAAACTUvMjAvMjAxMVs4VbmTc9UIiwhOSZdz1Qg3Q0lRLk5hc2RhcUdTOklOVEMuSVFfVEVWX0VCSVREQV9GV0RfQ0lRLjYwMDAuMTAvMjQvMjAwMwEAAACHUgAAAgAAABAxMS43MTIyNzUzOTc4MjYyAQ0AAAAFAAAAATkBAAAABzI2MjEyOTUCAAAABzE3NTcxNDMDAAAABjEwMDMwOAQAAAABMgYAAAABMAcAAAADMTYwCAAAAAEwCQAAAAExCgAAAAEwCwAAAAoxMTY5MTI4MjMzDAAAAAIxMg0AAAAKMTAvMjUvMjAwM6utVruTc9UIC6qPrpdz1Qg1Q0lRLk5hc2RhcUdTOklOVEMuSVFfVEVWX1RPVEFMX1JFVl9GV0QuNjAwMC44LzIyLzIwMTQBAAAAh1IAAAIAAAAQMi45OTcxMDQzMzE4MTk2NAENAAAABQAAAAE5AQAAAAcyNjIxMjk1AgAAAAc0NDU2NDI4AwAAAAYxMDAzMDcEAAAAATIGAAAAATAHAAAAAzE2MAgAAAABMAkAAAABMQoAAAABMAsAAAAKODg2MDE5</t>
  </si>
  <si>
    <t>MzgyNQwAAAACMTINAAAACTgvMjMvMjAxNMv7VruTc9UIq6lVSZdz1QgoQ0lRLk5BU0RBUUdTOklOVEMuSVFfUFRCVi4yMDAwLjExLzQvMjAxNgEAAACHUgAAAgAAAAg0LjAwOTcxMgEHAAAABQAAAAExAQAAAAoxODE1NTQ0NDUwAwAAAAEwAgAAAAYxMDAwMjkEAAAAATAHAAAACTExLzQvMjAxNggAAAAJMTEvNC8yMDE2a3ZmuZNz1Qh7NFVJl3PVCCdDSVEuTkFTREFRR1M6SU5UQy5JUV9QVEJWLjIwMDAuNS8zLzIwMTMBAAAAh1IAAAIAAAAIMy4zMjcyNzMBBwAAAAUAAAABMQEAAAAKMTYxNDA3NDk0MgMAAAABMAIAAAAGMTAwMDI5BAAAAAEwBwAAAAg1LzMvMjAxMwgAAAAINS8zLzIwMTPrZ1K7k3PVCKsaWEmXc9UINkNJUS5OQVNEQVFHUzpJTlRDLklRX1RFVl9FQklUREFfRldEX0NJUS42MDAwLjIvMjYvMjAxMAEAAACHUgAAAgAAAA81Ljk4MTkwNDAyODI5NDMBDQAAAAUAAAABOQEAAAAHMjYyMTI5NQIAAAAEMTg4NQMAAAAGMTAwMzA4BAAAAAEyBgAAAAEwBwAAAAMxNjAIAAAAATAJAAAAATEKAAAAATALAAAACTM2MDc0MDU1OQwAAAACMTINAAAACTIvMjcvMjAxMMuKVLuTc9UI6+qMrpdz1Qg2Q0lRLk5hc2RhcUdTOklOVEMuSVFfVEVWX0VCSVREQV9GV0RfQ0lRLjYwMDAuNy8yOS8yMDA1AQAAAIdSAAACAAAAEDguODY2Nzg0OTIxODgyMjIBDQAAAAUAAAABOQEAAAAHMjYyMTI5NQIAAAAHMTc1NzE0</t>
  </si>
  <si>
    <t>OAMAAAAGMTAwMzA4BAAAAAEyBgAAAAEwBwAAAAMxNjAIAAAAATAJAAAAATEKAAAAATALAAAACjExNjkxMzA5NjQMAAAAAjEyDQAAAAk3LzMwLzIwMDX7cFe7k3PVCHu7kK6Xc9UIJENJUS5eU1BYLklRX0xBU1RTQUxFUFJJQ0UuMTAvMjUvMjAxNwEAAACbuCgAAgAAABAyNTU3LjE1MDk4NDU4NzMyABvdUruTc9UIO8DuSpdz1QgtQ0lRLl5TUFguSVFfVEVWX0VCSVREQV9GV0RfQ0lRLjYwMDAuNC8yMy8yMDE0AQAAAJu4KAACAAAACDguNzcwMDQxAOv+ubeTc9UIC/o5S5dz1Qg2Q0lRLk5BU0RBUUdTOklOVEMuSVFfVEVWX0VCSVREQV9GV0RfQ0lRLjYwMDAuMi8yNC8yMDE3AQAAAIdSAAACAAAAEDcuMzk0NjE5ODkyOTQ4MjYBDQAAAAUAAAABOQEAAAAHMjYyMTI5NQIAAAAKMTAwMDk0NDM4NwMAAAAGMTAwMzA4BAAAAAEyBgAAAAEwBwAAAAMxNjAIAAAAATAJAAAAATEKAAAAATALAAAACzEwMDE4MTM3NDkyDAAAAAIxMg0AAAAJMi8yNS8yMDE3S1JTu5Nz1QgLOY2ul3PVCCtDSVEuTkFTREFRR1M6SU5UQy5JUV9MQVNUU0FMRVBSSUNFLjEvMS8yMDE0AQAAAIdSAAACAAAABjI1Ljk1NQALtlK7k3PVCAtrPEuXc9UINkNJUS5OQVNEQVFHUzpJTlRDLklRX1RFVl9FQklUREFfRldEX0NJUS42MDAwLjEvMjQvMjAxNAEAAACHUgAAAgAAABA1LjU3ODY5MTI1MDkzODkyAQ0AAAAFAAAAATkBAAAABzI2MjEyOTUC</t>
  </si>
  <si>
    <t>AAAABzQ0NTY0MjEDAAAABjEwMDMwOAQAAAABMgYAAAABMAcAAAADMTYwCAAAAAEwCQAAAAExCgAAAAEwCwAAAAo2NDk3OTMzMTgxDAAAAAIxMg0AAAAJMS8yNS8yMDE0e8dTu5Nz1QibmI6ul3PVCC1DSVEuXlNQWC5JUV9URVZfRUJJVERBX0ZXRF9DSVEuNjAwMC41LzExLzIwMTYBAAAAm7goAAIAAAAIOS45OTg3OTkAa2awu5Nz1QhbpilLl3PVCDdDSVEuTkFTREFRR1M6SU5UQy5JUV9URVZfRUJJVERBX0ZXRF9DSVEuNjAwMC4xMC8yOC8yMDE2AQAAAIdSAAACAAAAEDcuMzExODMxNjY2ODg4MDgBDQAAAAUAAAABOQEAAAAHMjYyMTI5NQIAAAAIMjcwMDM2NTMDAAAABjEwMDMwOAQAAAABMgYAAAABMAcAAAADMTYwCAAAAAEwCQAAAAExCgAAAAEwCwAAAAo5Nzc5NzkzNzMzDAAAAAIxMg0AAAAKMTAvMjkvMjAxNktSU7uTc9UIi3GOrpdz1QgnQ0lRLk5BU0RBUUdTOklOVEMuSVFfUFRCVi4yMDAwLjkvMS8yMDE3AQAAAIdSAAACAAAACDMuNjExNTI4AQcAAAAFAAAAATEBAAAACjE4NTA2MTg2NjQDAAAAATACAAAABjEwMDAyOQQAAAABMAcAAAAIOS8xLzIwMTcIAAAACDkvMS8yMDE3O/Gvu5Nz1QhLTlJJl3PVCDVDSVEuTmFzZGFxR1M6SU5UQy5JUV9URVZfVE9UQUxfUkVWX0ZXRC42MDAwLjkvMTcvMjAxMAEAAACHUgAAAgAAABAyLjAzODI0NTY3MDQxNDA2AQ0AAAAFAAAAATkBAAAABzI2MjEyOTUCAAAA</t>
  </si>
  <si>
    <t>BzE3NTcxNjMDAAAABjEwMDMwNwQAAAABMgYAAAABMAcAAAADMTYwCAAAAAEwCQAAAAExCgAAAAEwCwAAAAo4ODYzNTExNzEyDAAAAAIxMg0AAAAJOS8xOC8yMDEwu/q7t5Nz1QhLv1RJl3PVCC1DSVEuXlNQWC5JUV9URVZfRUJJVERBX0ZXRF9DSVEuNjAwMC4xLzEzLzIwMTYBAAAAm7goAAIAAAAIOS4yMDM2NTQAe42wu5Nz1QhrPixLl3PVCCNDSVEuXlNQWC5JUV9MQVNUU0FMRVBSSUNFLjUvMjUvMjAxNgEAAACbuCgAAgAAABAyMDkwLjU0MzAwMzkyMDY4AMuRr72Tc9UIO1gpS5dz1Qg1Q0lRLk5hc2RhcUdTOklOVEMuSVFfVEVWX1RPVEFMX1JFVl9GV0QuNjAwMC4zLzI4LzIwMTQBAAAAh1IAAAIAAAAQMi4yNzM2NTQ0MjA1Nzg5NwENAAAABQAAAAE5AQAAAAcyNjIxMjk1AgAAAAc0NDU2NDIxAwAAAAYxMDAzMDcEAAAAATIGAAAAATAHAAAAAzE2MAgAAAABMAkAAAABMQoAAAABMAsAAAAKNjQ5NzgyMjQ0NAwAAAACMTINAAAACTMvMjkvMjAxNJvbsLuTc9UIq1ZOSZdz1Qg3Q0lRLk5BU0RBUUdTOklOVEMuSVFfVEVWX0VCSVREQV9GV0RfQ0lRLjYwMDAuMTEvMTkvMjAxMAEAAACHUgAAAgAAABA0Ljk3Mzk5NDIyNDg1NzQxAQ0AAAAFAAAAATkBAAAABzI2MjEyOTUCAAAABzE3NTcxNjQDAAAABjEwMDMwOAQAAAABMgYAAAABMAcAAAADMTYwCAAAAAEwCQAAAAExCgAAAAEwCwAAAAo3MDczNzIyMDczDAAA</t>
  </si>
  <si>
    <t>AAIxMg0AAAAKMTEvMjAvMjAxMLtjVLuTc9UIayOOrpdz1Qg2Q0lRLk5BU0RBUUdTOklOVEMuSVFfVEVWX0VCSVREQV9GV0RfQ0lRLjYwMDAuOS8yMi8yMDE3AQAAAIdSAAACAAAAEDcuMDQwOTYwMzg4MTg2OTgBDQAAAAUAAAABOQEAAAAHMjYyMTI5NQIAAAAIMjc1MDAxNzMDAAAABjEwMDMwOAQAAAABMgYAAAABMAcAAAADMTYwCAAAAAEwCQAAAAExCgAAAAEwCwAAAAsxMDQ5MTU4NjQ5MgwAAAACMTINAAAACTkvMjMvMjAxNzsrU7uTc9UIyw2Prpdz1QgtQ0lRLl5TUFguSVFfVEVWX0VCSVREQV9GV0RfQ0lRLjYwMDAuNy8xNS8yMDE1AQAAAJu4KAACAAAACDkuOTk2ODAyAPslureTc9UIO6swS5dz1QguQ0lRLk5BU0RBUUdTOklOVEMuSVFfUFJJQ0VfU0FMRVMuMjAwMC4zLzIvMjAxMgEAAACHUgAAAgAAAAgyLjYxOTc3NQEHAAAABQAAAAExAQAAAAoxNTIzNDAzODQ5AwAAAAEwAgAAAAUzODk1OAQAAAABMAcAAAAIMy8yLzIwMTIIAAAACDMvMi8yMDEyu2qvvZNz1QjLaFhJl3PVCCdDSVEuXlNQWC5JUV9QRV9FWENMX0ZXRC42MDAwLjEwLzMwLzIwMTMBAAAAm7goAAIAAAAJMTUuMTg0NzYxAHuNsLuTc9UIK7k8S5dz1QguQ0lRLk5BU0RBUUdTOklOVEMuSVFfUFJJQ0VfU0FMRVMuMjAwMC4zLzMvMjAxNwEAAACHUgAAAgAAAAgyLjg1OTMyOQEHAAAABQAAAAExAQAAAAoxODI4MTc0MTIyAwAAAAEwAgAA</t>
  </si>
  <si>
    <t>AAUzODk1OAQAAAABMAcAAAAIMy8zLzIwMTcIAAAACDMvMy8yMDE3q0OvvZNz1Qhr71lJl3PVCDZDSVEuTmFzZGFxR1M6SU5UQy5JUV9URVZfRUJJVERBX0ZXRF9DSVEuNjAwMC42LzE3LzIwMTEBAAAAh1IAAAIAAAAQNC40Mzk0MzMxOTMyMjY0NwENAAAABQAAAAE5AQAAAAcyNjIxMjk1AgAAAAcxNzU3MTY1AwAAAAYxMDAzMDgEAAAAATIGAAAAATAHAAAAAzE2MAgAAAABMAkAAAABMQoAAAABMAsAAAAKMTMyNjE1ODI3MwwAAAACMTINAAAACTYvMTgvMjAxMXuNsLuTc9UIm5iOrpdz1QgeQ0lRLl5TUFguSVFfUFRCVi4yMDAwLjMvMi8yMDE2AQAAAJu4KAACAAAACDYuNjU3NjYzAIvEZrmTc9UI+ywrS5dz1QgvQ0lRLk5BU0RBUUdTOklOVEMuSVFfUFJJQ0VfU0FMRVMuMjAwMC4zLzE2LzIwMTIBAAAAh1IAAAIAAAAIMi42OTkxMDMBBwAAAAUAAAABMQEAAAAKMTUyMzQwMzg0OQMAAAABMAIAAAAFMzg5NTgEAAAAATAHAAAACTMvMTYvMjAxMggAAAAJMy8xNi8yMDEyO+pUuZNz1QhbBFBJl3PVCC5DSVEuXlNQWC5JUV9URVZfRUJJVERBX0ZXRF9DSVEuNjAwMC4xMS8yMi8yMDE3AQAAAJu4KAACAAAACTEwLjYwNzgwOQDbuK+9k3PVCKtg7UqXc9UIMENJUS5OQVNEQVFHUzpJTlRDLklRX1BFX0VYQ0xfRldELjYwMDAuMTEvMjgvMjAxNAEAAACHUgAAAgAAABAxNS43MDYwMzM2NDY3NTEzAQ0AAAAFAAAAATkB</t>
  </si>
  <si>
    <t>AAAABzI2MjEyOTUCAAAABzQ0NTY0MjkDAAAABjEwMDMwOQQAAAABMgYAAAABMAcAAAADMTYwCAAAAAEwCQAAAAExCgAAAAEwCwAAAAo4NjQ4Nzk2MjQ0DAAAAAIxMg0AAAAKMTEvMjkvMjAxNPt3sr2Tc9UIa5xSSZdz1QgoQ0lRLk5BU0RBUUdTOklOVEMuSVFfUFRCVi4yMDAwLjgvMjgvMjAxNQEAAACHUgAAAgAAAAgzLjE4MzQ1MgEHAAAABQAAAAExAQAAAAoxNzQ3MzU5NTEyAwAAAAEwAgAAAAYxMDAwMjkEAAAAATAHAAAACTgvMjgvMjAxNQgAAAAJOC8yOC8yMDE1q0OvvZNz1QiLPVpJl3PVCDRDSVEuTmFzZGFxR1M6SU5UQy5JUV9URVZfVE9UQUxfUkVWX0ZXRC42MDAwLjMvNi8yMDE1AQAAAIdSAAACAAAAEDIuNjg5ODc3ODI0MzQ3NzUBDQAAAAUAAAABOQEAAAAHMjYyMTI5NQIAAAAKMTAwMDA5NDA3MQMAAAAGMTAwMzA3BAAAAAEyBgAAAAEwBwAAAAMxNjAIAAAAATAJAAAAATEKAAAAATALAAAACjg2NDY1NDEwODUMAAAAAjEyDQAAAAgzLzcvMjAxNeuuZ7mTc9UI28tOSZdz1Qg2Q0lRLk5BU0RBUUdTOklOVEMuSVFfVEVWX0VCSVREQV9GV0RfQ0lRLjYwMDAuNy8xOC8yMDA4AQAAAIdSAAACAAAAEDcuMTg2OTgxMzI5NzE4NDEBDQAAAAUAAAABOQEAAAAHMjYyMTI5NQIAAAAHMTc1NzE1NwMAAAAGMTAwMzA4BAAAAAEyBgAAAAEwBwAAAAMxNjAIAAAAATAJAAAAATEKAAAAATALAAAACjY3MzEzNjQz</t>
  </si>
  <si>
    <t>NDEMAAAAAjEyDQAAAAk3LzE5LzIwMDjr2FS7k3PVCKu/jq6Xc9UINENJUS5OYXNkYXFHUzpJTlRDLklRX1RFVl9UT1RBTF9SRVZfRldELjYwMDAuNS85LzIwMDMBAAAAh1IAAAIAAAAQNC4wMjkyMzE4MjM3Mjc1NgENAAAABQAAAAE5AQAAAAcyNjIxMjk1AgAAAAcxNzU3MTQxAwAAAAYxMDAzMDcEAAAAATIGAAAAATAHAAAAAzE2MAgAAAABMAkAAAABMQoAAAABMAsAAAAKMTE2OTEyNjYxNgwAAAACMTINAAAACTUvMTAvMjAwM0uZaLmTc9UIi8xXSZdz1QgmQ0lRLl5TUFguSVFfUEVfRVhDTF9GV0QuNjAwMC4yLzEwLzIwMTYBAAAAm7goAAIAAAAJMTUuNTA2NTc1AGtfVbmTc9UI+ywrS5dz1QguQ0lRLk5BU0RBUUdTOklOVEMuSVFfUFJJQ0VfU0FMRVMuMjAwMC43LzEvMjAxNQEAAACHUgAAAgAAAAgyLjYxNTE3MwEHAAAABQAAAAExAQAAAAoxNzMwNzYyNzU1AwAAAAEwAgAAAAUzODk1OAQAAAABMAcAAAAINy8xLzIwMTUIAAAACDcvMS8yMDE1u2qvvZNz1Qg7qzBLl3PVCCJDSVEuXlNQWC5JUV9MQVNUU0FMRVBSSUNFLjMvMS8yMDE3AQAAAJu4KAACAAAAEDIzOTUuOTU3MTQyMDYzNjIAWz+wu5Nz1QjrfRdLl3PVCDRDSVEuTmFzZGFxR1M6SU5UQy5JUV9URVZfVE9UQUxfUkVWX0ZXRC42MDAwLjgvOC8yMDE0AQAAAIdSAAACAAAAEDIuNzkxNjA4MDk5NDYzMjEBDQAAAAUAAAABOQEAAAAHMjYyMTI5NQIA</t>
  </si>
  <si>
    <t>AAAHNDQ1NjQyOAMAAAAGMTAwMzA3BAAAAAEyBgAAAAEwBwAAAAMxNjAIAAAAATAJAAAAATEKAAAAATALAAAACjg4NTk4NDIxMjIMAAAAAjEyDQAAAAg4LzkvMjAxNLtMtL2Tc9UIC0FPSZdz1QgkQ0lRLl5TUFguSVFfTEFTVFNBTEVQUklDRS4xMi8yNS8yMDEzAQAAAJu4KAACAAAAEDE4MzMuMzIzMjk4MDUxMzMAG91Su5Nz1QgLazxLl3PVCB5DSVEuXlNQWC5JUV9QVEJWLjIwMDAuNi84LzIwMTYBAAAAm7goAAIAAAAHNy4xNzg5MwDb17m3k3PVCEt/KUuXc9UIL0NJUS5OQVNEQVFHUzpJTlRDLklRX1BFX0VYQ0xfRldELjYwMDAuNS8xNC8yMDEwAQAAAIdSAAACAAAAEDExLjU3ODk0NzM2ODQyMTEBDQAAAAUAAAABOQEAAAAHMjYyMTI5NQIAAAAHMTc1NzE2MgMAAAAGMTAwMzA5BAAAAAEyBgAAAAEwBwAAAAMxNjAIAAAAATAJAAAAATEKAAAAATALAAAACjg4NjM4NDQyMDYMAAAAAjEyDQAAAAk1LzE1LzIwMTAr7bK9k3PVCCtxVEmXc9UILENJUS5eU1BYLklRX1RFVl9UT1RBTF9SRVZfRldELjYwMDAuMS8yMC8yMDE2AQAAAJu4KAACAAAABzEuODUxNzMA+yW6t5Nz1QhL8CtLl3PVCChDSVEuTkFTREFRR1M6SU5UQy5JUV9QVEJWLjIwMDAuNS8yNy8yMDE2AQAAAIdSAAACAAAACDQuNDk5MDk3AQcAAAAFAAAAATEBAAAACjE3ODkxOTMzNDMDAAAAATACAAAABjEwMDAyOQQAAAABMAcAAAAJNS8yNy8yMDE2</t>
  </si>
  <si>
    <t>CAAAAAk1LzI3LzIwMTYLtlK7k3PVCMv3VUmXc9UIL0NJUS5OQVNEQVFHUzpJTlRDLklRX1BFX0VYQ0xfRldELjYwMDAuNi8yMC8yMDE0AQAAAIdSAAACAAAAEDE0LjIzNTg4MTk2NDc0MDMBDQAAAAUAAAABOQEAAAAHMjYyMTI5NQIAAAAHNDQ1NjQyNwMAAAAGMTAwMzA5BAAAAAEyBgAAAAEwBwAAAAMxNjAIAAAAATAJAAAAATEKAAAAATALAAAACjg1MTc2MzIyMTQMAAAAAjEyDQAAAAk2LzIxLzIwMTT7d7K9k3PVCHtSUEmXc9UIL0NJUS5OQVNEQVFHUzpJTlRDLklRX1BFX0VYQ0xfRldELjYwMDAuOC8xMi8yMDE2AQAAAIdSAAACAAAAEDEzLjIwNjc1NDI3ODcyODYBDQAAAAUAAAABOQEAAAAHMjYyMTI5NQIAAAAIMjcwMDM2NTIDAAAABjEwMDMwOQQAAAABMgYAAAABMAcAAAADMTYwCAAAAAEwCQAAAAExCgAAAAEwCwAAAAo5NjUwMTUwMzE4DAAAAAIxMg0AAAAJOC8xMy8yMDE2qyW0vZNz1QiLzFdJl3PVCDVDSVEuTmFzZGFxR1M6SU5UQy5JUV9URVZfVE9UQUxfUkVWX0ZXRC42MDAwLjMvMTIvMjAwNAEAAACHUgAAAgAAABA0Ljc0Nzg3ODQ0MDQ1NDY2AQ0AAAAFAAAAATkBAAAABzI2MjEyOTUCAAAABDE4NzkDAAAABjEwMDMwNwQAAAABMgYAAAABMAcAAAADMTYwCAAAAAEwCQAAAAExCgAAAAEwCwAAAAkzNjA2NTk4MDIMAAAAAjEyDQAAAAkzLzEzLzIwMDRLmWi5k3PVCKs4U0mXc9UINENJUS5OYXNk</t>
  </si>
  <si>
    <t>YXFHUzpJTlRDLklRX1RFVl9UT1RBTF9SRVZfRldELjYwMDAuMi82LzIwMTUBAAAAh1IAAAIAAAAPMi43NTkwMzAyMzIyNjM4AQ0AAAAFAAAAATkBAAAABzI2MjEyOTUCAAAACjEwMDAwOTQwNzEDAAAABjEwMDMwNwQAAAABMgYAAAABMAcAAAADMTYwCAAAAAEwCQAAAAExCgAAAAEwCwAAAAo4NTg1MTQwNTk0DAAAAAIxMg0AAAAIMi83LzIwMTXrb7y3k3PVCGt+V0mXc9UINUNJUS5OYXNkYXFHUzpJTlRDLklRX1RFVl9UT1RBTF9SRVZfRldELjYwMDAuNS8xOC8yMDAxAQAAAIdSAAACAAAAEDYuNTQyMzcxMjQ2MTk2MjUBDQAAAAUAAAABOQEAAAAHMjYyMTI5NQIAAAAHMzQyMTE2MAMAAAAGMTAwMzA3BAAAAAEyBgAAAAEwBwAAAAMxNjAIAAAAATAJAAAAATEKAAAAATALAAAACjExNjkxNTIzNTQMAAAAAjEyDQAAAAk1LzE5LzIwMDH7lry3k3PVCKsaWEmXc9UILENJUS5OQVNEQVFHUzpJTlRDLklRX0xBU1RTQUxFUFJJQ0UuMS8zMS8yMDE4AQAAAIdSAAACAAAABTQ4LjE0ACvDVLmTc9UIu9ZOSpdz1Qg1Q0lRLk5hc2RhcUdTOklOVEMuSVFfVEVWX1RPVEFMX1JFVl9GV0QuNjAwMC40LzExLzIwMTQBAAAAh1IAAAIAAAAQMi4zMjYzNjM0MDgzOTE1NwENAAAABQAAAAE5AQAAAAcyNjIxMjk1AgAAAAc0NDU2NDIxAwAAAAYxMDAzMDcEAAAAATIGAAAAATAHAAAAAzE2MAgAAAABMAkAAAABMQoAAAABMAsAAAAK</t>
  </si>
  <si>
    <t>NjQ5NzgyMjQ0OQwAAAACMTINAAAACTQvMTIvMjAxNNtIvLeTc9UI+91YSZdz1QgwQ0lRLk5BU0RBUUdTOklOVEMuSVFfUEVfRVhDTF9GV0QuNjAwMC4xMS8xMi8yMDA0AQAAAIdSAAACAAAAEDIyLjUxOTAxMTQwNjg0NDEBDQAAAAUAAAABOQEAAAAHMjYyMTI5NQIAAAAHMTc1NzE0NgMAAAAGMTAwMzA5BAAAAAEyBgAAAAEwBwAAAAMxNjAIAAAAATAJAAAAATEKAAAAATALAAAACjY3MzA0MTMzNjAMAAAAAjEyDQAAAAoxMS8xMy8yMDA0a4mzvZNz1QgbLFlJl3PVCCxDSVEuTkFTREFRR1M6SU5UQy5JUV9MQVNUU0FMRVBSSUNFLjEwLzQvMjAxNwEAAACHUgAAAgAAAAUzOS4zNADbqoi2k3PVCFth9kqXc9UILENJUS5eU1BYLklRX1RFVl9FQklUREFfRldEX0NJUS42MDAwLjUvNi8yMDE1AQAAAJu4KAACAAAACDkuODc3MTcyAOv+ubeTc9UIu+MxS5dz1Qg1Q0lRLk5hc2RhcUdTOklOVEMuSVFfVEVWX1RPVEFMX1JFVl9GV0QuNjAwMC44LzIzLzIwMDIBAAAAh1IAAAIAAAAQMy45ODg3NjY0MTAyNjM1NgENAAAABQAAAAE5AQAAAAcyNjIxMjk1AgAAAAcxNzU3MTM5AwAAAAYxMDAzMDcEAAAAATIGAAAAATAHAAAAAzE2MAgAAAABMAkAAAABMQoAAAABMAsAAAAKMTE2OTEyNTcxMAwAAAACMTINAAAACTgvMjQvMjAwMrspsbuTc9UI28tOSZdz1QgnQ0lRLk5BU0RBUUdTOklOVEMuSVFfUFRCVi4yMDAwLjQvMS8y</t>
  </si>
  <si>
    <t>MDEwAQAAAIdSAAACAAAACDMuMzk3MjUxAQcAAAAFAAAAATEBAAAACjEzMjg4ODg3MDQDAAAAATACAAAABjEwMDAyOQQAAAABMAcAAAAINC8xLzIwMTAIAAAACDQvMS8yMDEw29e5t5Nz1QibvktJl3PVCClDSVEuTkFTREFRR1M6SU5UQy5JUV9QVEJWLjIwMDAuMTIvMTAvMjAxMAEAAACHUgAAAgAAAAgyLjg3ODI0OQEHAAAABQAAAAExAQAAAAoxNDA4NTE2NTQ2AwAAAAEwAgAAAAYxMDAwMjkEAAAAATAHAAAACjEyLzEwLzIwMTAIAAAACjEyLzEwLzIwMTBLGLC7k3PVCMsVUUmXc9UIHkNJUS5eU1BYLklRX1BUQlYuMjAwMC43LzMvMjAxMwEAAACbuCgAAgAAAAg0Ljg2Mzc4OADrZ1K7k3PVCHt8PUuXc9UIKENJUS5OQVNEQVFHUzpJTlRDLklRX1BUQlYuMjAwMC43LzI5LzIwMTYBAAAAh1IAAAIAAAAINC45MTMwNjQBBwAAAAUAAAABMQEAAAAKMTc5OTk0NjIwOAMAAAABMAIAAAAGMTAwMDI5BAAAAAEwBwAAAAk3LzI5LzIwMTYIAAAACTcvMjkvMjAxNksYsLuTc9UIG9lRSZdz1QgvQ0lRLk5BU0RBUUdTOklOVEMuSVFfUFJJQ0VfU0FMRVMuMjAwMC45LzE2LzIwMTUBAAAAh1IAAAIAAAAIMi41Nzk1NzEBBwAAAAUAAAABMQEAAAAKMTc0NzM1OTUxMgMAAAABMAIAAAAFMzg5NTgEAAAAATAHAAAACTkvMTYvMjAxNQgAAAAJOS8xNi8yMDE1a3ZmuZNz1QirSy9Ll3PVCDVDSVEuTmFzZGFxR1M6SU5UQy5JUV9U</t>
  </si>
  <si>
    <t>RVZfVE9UQUxfUkVWX0ZXRC42MDAwLjIvMjgvMjAxNAEAAACHUgAAAgAAABAyLjE5NDMyMjkzOTAzNjY2AQ0AAAAFAAAAATkBAAAABzI2MjEyOTUCAAAABzQ0NTY0MjEDAAAABjEwMDMwNwQAAAABMgYAAAABMAcAAAADMTYwCAAAAAEwCQAAAAExCgAAAAEwCwAAAAo2NDk3ODIyNDM5DAAAAAIxMg0AAAAIMy8xLzIwMTS7KbG7k3PVCBuGSkmXc9UIKENJUS5OQVNEQVFHUzpJTlRDLklRX1JFVkVOVUVfRVNULkZRMzIwMTcBAAAAh1IAAAIAAAALMTU3MjUuMDY1MTUBDgAAAAUAAAABMwEAAAABMAIAAAAKMTAwMDk0NDM4NQMAAAAGMTAwMTgwBAAAAAEyBgAAAAEwBwAAAAMxNjAIAAAAATAJAAAAATEKAAAAATALAAAACzEwNTA4Nzc0NjE0DAAAAAEyDQAAAAkyLzE1LzIwMTgQAAAACTkvMzAvMjAxN2tmsLuTc9UIe5Q/Spdz1Qg1Q0lRLk5hc2RhcUdTOklOVEMuSVFfVEVWX1RPVEFMX1JFVl9GV0QuNjAwMC4xMC8xLzIwMTABAAAAh1IAAAIAAAAQMi4xMDg3NDg5MzI3NDE1NAENAAAABQAAAAE5AQAAAAcyNjIxMjk1AgAAAAcxNzU3MTYzAwAAAAYxMDAzMDcEAAAAATIGAAAAATAHAAAAAzE2MAgAAAABMAkAAAABMQoAAAABMAsAAAAKODg2MzUxMTY0NQwAAAACMTINAAAACTEwLzIvMjAxMOtvvLeTc9UIC7JRSZdz1QgnQ0lRLk5BU0RBUUdTOklOVEMuSVFfUFRCVi4yMDAwLjEvOC8yMDE2AQAAAIdSAAACAAAABzMu</t>
  </si>
  <si>
    <t>NTQ0NDkBBwAAAAUAAAABMQEAAAAKMTc2MTcwNjgyNwMAAAABMAIAAAAGMTAwMDI5BAAAAAEwBwAAAAgxLzgvMjAxNggAAAAIMS84LzIwMTbLsLm3k3PVCHvhTUmXc9UILkNJUS5OQVNEQVFHUzpJTlRDLklRX1BSSUNFX1NBTEVTLjIwMDAuOS81LzIwMTQBAAAAh1IAAAIAAAAIMy4yMzEwOTgBBwAAAAUAAAABMQEAAAAKMTY4ODA4MDk5MgMAAAABMAIAAAAFMzg5NTgEAAAAATAHAAAACDkvNS8yMDE0CAAAAAg5LzUvMjAxNOvRiLaTc9UIK61KSZdz1QgvQ0lRLk5BU0RBUUdTOklOVEMuSVFfUEVfRVhDTF9GV0QuNjAwMC4xLzEwLzIwMDMBAAAAh1IAAAIAAAAQMzAuNjUyODI0MjEyNTYzOAENAAAABQAAAAE5AQAAAAcyNjIxMjk1AgAAAAcxNzU3MTQwAwAAAAYxMDAzMDkEAAAAATIGAAAAATAHAAAAAzE2MAgAAAABMAkAAAABMQoAAAABMAsAAAAKOTA5MDY4ODE0OAwAAAACMTINAAAACTEvMTEvMjAwM7tMtL2Tc9UIa5xSSZdz1QgvQ0lRLk5BU0RBUUdTOklOVEMuSVFfUEVfRVhDTF9GV0QuNjAwMC40LzI5LzIwMDUBAAAAh1IAAAIAAAAQMTcuNDkzNDkyMDA0NDYyNgENAAAABQAAAAE5AQAAAAcyNjIxMjk1AgAAAAcxNzU3MTQ3AwAAAAYxMDAzMDkEAAAAATIGAAAAATAHAAAAAzE2MAgAAAABMAkAAAABMQoAAAABMAsAAAAKODg2MjgwMDQ5MwwAAAACMTINAAAACTQvMzAvMjAwNWuJs72Tc9UI67ZYSZdz1Qgv</t>
  </si>
  <si>
    <t>Q0lRLk5BU0RBUUdTOklOVEMuSVFfUEVfRVhDTF9GV0QuNjAwMC4xMS84LzIwMTMBAAAAh1IAAAIAAAAQMTIuNzY4MzI1NjQ3OTU2OAENAAAABQAAAAE5AQAAAAcyNjIxMjk1AgAAAAczODI5NzUzAwAAAAYxMDAzMDkEAAAAATIGAAAAATAHAAAAAzE2MAgAAAABMAkAAAABMQoAAAABMAsAAAAKNzAzMzI3NDIyMAwAAAACMTINAAAACTExLzkvMjAxM7tMtL2Tc9UIqxpYSZdz1QgvQ0lRLk5BU0RBUUdTOklOVEMuSVFfUEVfRVhDTF9GV0QuNjAwMC40LzI3LzIwMDcBAAAAh1IAAAIAAAAQMTkuNjk5MTUzMzA1NzEwNwENAAAABQAAAAE5AQAAAAcyNjIxMjk1AgAAAAcxNzU3MTUzAwAAAAYxMDAzMDkEAAAAATIGAAAAATAHAAAAAzE2MAgAAAABMAkAAAABMQoAAAABMAsAAAALMTAzMzQyMDY5MDgMAAAAAjEyDQAAAAk0LzI4LzIwMDdLO7O9k3PVCHtSUEmXc9UIN0NJUS5OYXNkYXFHUzpJTlRDLklRX1RFVl9FQklUREFfRldEX0NJUS42MDAwLjExLzE0LzIwMTQBAAAAh1IAAAIAAAAQNi41Mjc1ODI3OTYwNjc1NAENAAAABQAAAAE5AQAAAAcyNjIxMjk1AgAAAAc0NDU2NDI5AwAAAAYxMDAzMDgEAAAAATIGAAAAATAHAAAAAzE2MAgAAAABMAkAAAABMQoAAAABMAsAAAAKODY0ODc5NjIzNAwAAAACMTINAAAACjExLzE1LzIwMTSb/rO9k3PVCFv8ja6Xc9UIKENJUS5OQVNEQVFHUzpJTlRDLklRX1BUQlYuMjAwMC42</t>
  </si>
  <si>
    <t>LzI3LzIwMTQBAAAAh1IAAAIAAAAIMy42MjIwMjUBBwAAAAUAAAABMQEAAAAKMTY3MzM3OTMyNwMAAAABMAIAAAAGMTAwMDI5BAAAAAEwBwAAAAk2LzI3LzIwMTQIAAAACTYvMjcvMjAxNHudZrmTc9UIu19TSZdz1Qg1Q0lRLk5BU0RBUUdTOklOVEMuSVFfVEVWX0VCSVREQV9GV0RfQ0lRLjYwMDAuNS8xLzIwMTUBAAAAh1IAAAIAAAAQNi43MjExMzQ3MTg5NzAyNQENAAAABQAAAAE5AQAAAAcyNjIxMjk1AgAAAAc4MDY4MjYwAwAAAAYxMDAzMDgEAAAAATIGAAAAATAHAAAAAzE2MAgAAAABMAkAAAABMQoAAAABMAsAAAAKODg4NjkwMjgyNgwAAAACMTINAAAACDUvMi8yMDE1a6BTu5Nz1Qhb/I2ul3PVCC9DSVEuTkFTREFRR1M6SU5UQy5JUV9QUklDRV9TQUxFUy4yMDAwLjYvMTIvMjAxMwEAAACHUgAAAgAAAAgyLjI5OTE2NgEHAAAABQAAAAExAQAAAAoxNjE0MDc0OTQyAwAAAAEwAgAAAAUzODk1OAQAAAABMAcAAAAJNi8xMi8yMDEzCAAAAAk2LzEyLzIwMTOrQ6+9k3PVCIujPUuXc9UII0NJUS5eU1BYLklRX0xBU1RTQUxFUFJJQ0UuOS8yMS8yMDE2AQAAAJu4KAACAAAAEDIxNjMuMTE3NTkwNzg4MjQAK8NUuZNz1Qg7BSJLl3PVCDRDSVEuTmFzZGFxR1M6SU5UQy5JUV9URVZfVE9UQUxfUkVWX0ZXRC42MDAwLjgvMi8yMDAyAQAAAIdSAAACAAAAEDMuNjc4NTYxMDgwMjg3MTEBDQAAAAUAAAABOQEAAAAH</t>
  </si>
  <si>
    <t>MjYyMTI5NQIAAAAHMTc1NzEzOQMAAAAGMTAwMzA3BAAAAAEyBgAAAAEwBwAAAAMxNjAIAAAAATAJAAAAATEKAAAAATALAAAACjExNjkxMjU2OTgMAAAAAjEyDQAAAAg4LzMvMjAwMttwVrmTc9UIS79USZdz1QgvQ0lRLk5BU0RBUUdTOklOVEMuSVFfUFJJQ0VfU0FMRVMuMjAwMC41LzI3LzIwMTUBAAAAh1IAAAIAAAAIMi45MjEwNTcBBwAAAAUAAAABMQEAAAAKMTczMDc2Mjc1NQMAAAABMAIAAAAFMzg5NTgEAAAAATAHAAAACTUvMjcvMjAxNQgAAAAJNS8yNy8yMDE1O+pUuZNz1Qh7RzFLl3PVCDZDSVEuTkFTREFRR1M6SU5UQy5JUV9URVZfRUJJVERBX0ZXRF9DSVEuNjAwMC42LzIwLzIwMTQBAAAAh1IAAAIAAAAPNi4xNzE1NTgzNzkzOTk3AQ0AAAAFAAAAATkBAAAABzI2MjEyOTUCAAAABzQ0NTY0MjcDAAAABjEwMDMwOAQAAAABMgYAAAABMAcAAAADMTYwCAAAAAEwCQAAAAExCgAAAAEwCwAAAAo4NTE3NjMzMjkzDAAAAAIxMg0AAAAJNi8yMS8yMDE0e8dTu5Nz1QjLDY+ul3PVCDRDSVEuTmFzZGFxR1M6SU5UQy5JUV9URVZfVE9UQUxfUkVWX0ZXRC42MDAwLjgvOS8yMDAyAQAAAIdSAAACAAAAEDMuOTU0Mjg4MDQyMTM3MzkBDQAAAAUAAAABOQEAAAAHMjYyMTI5NQIAAAAHMTc1NzEzOQMAAAAGMTAwMzA3BAAAAAEyBgAAAAEwBwAAAAMxNjAIAAAAATAJAAAAATEKAAAAATALAAAACjExNjkxMjU2OTgM</t>
  </si>
  <si>
    <t>AAAAAjEyDQAAAAk4LzEwLzIwMDL7lry3k3PVCGt+V0mXc9UINkNJUS5OYXNkYXFHUzpJTlRDLklRX1RFVl9UT1RBTF9SRVZfRldELjYwMDAuMTIvMjcvMjAxMwEAAACHUgAAAgAAABAyLjI5ODk5NDU1OTI1NTU3AQ0AAAAFAAAAATkBAAAABzI2MjEyOTUCAAAABzM4Mjk3NTMDAAAABjEwMDMwNwQAAAABMgYAAAABMAcAAAADMTYwCAAAAAEwCQAAAAExCgAAAAEwCwAAAAo4ODYyNTQ1NzQ3DAAAAAIxMg0AAAAKMTIvMjgvMjAxM8tgZ7mTc9UIu9BVSZdz1QgoQ0lRLk5BU0RBUUdTOklOVEMuSVFfUFRCVi4yMDAwLjgvMjAvMjAxMAEAAACHUgAAAgAAAAgyLjU5NDMxMQEHAAAABQAAAAExAQAAAAoxMzg5NzEwNzQ0AwAAAAEwAgAAAAYxMDAwMjkEAAAAATAHAAAACTgvMjAvMjAxMAgAAAAJOC8yMC8yMDEwy7C5t5Nz1Qhbk01Jl3PVCDBDSVEuTkFTREFRR1M6SU5UQy5JUV9QUklDRV9TQUxFUy4yMDAwLjEyLzE2LzIwMTYBAAAAh1IAAAIAAAAIMi45NjI1MjQBBwAAAAUAAAABMQEAAAAKMTgxNTU0NDQ1MAMAAAABMAIAAAAFMzg5NTgEAAAAATAHAAAACjEyLzE2LzIwMTYIAAAACjEyLzE2LzIwMTY76lS5k3PVCEvdT0mXc9UINUNJUS5OYXNkYXFHUzpJTlRDLklRX1RFVl9UT1RBTF9SRVZfRldELjYwMDAuMi8yMC8yMDE1AQAAAIdSAAACAAAAEDIuNzg5ODUwNTQ0MjYwMTIBDQAAAAUAAAABOQEAAAAHMjYyMTI5</t>
  </si>
  <si>
    <t>NQIAAAAKMTAwMDA5NDA3MQMAAAAGMTAwMzA3BAAAAAEyBgAAAAEwBwAAAAMxNjAIAAAAATAJAAAAATEKAAAAATALAAAACjg2MDQ1NjI1NzQMAAAAAjEyDQAAAAkyLzIxLzIwMTWb/rO9k3PVCNseVkmXc9UILENJUS5eU1BYLklRX1RFVl9UT1RBTF9SRVZfRldELjYwMDAuMi8xOC8yMDE1AQAAAJu4KAACAAAACDIuMDM1NjA0ACsEU7uTc9UIe7gzS5dz1QgjQ0lRLl5TUFguSVFfTEFTVFNBTEVQUklDRS4yLzE5LzIwMTQBAAAAm7goAAIAAAAQMTgyOC43NDY3OTU2NTI5MwA76lS5k3PVCJtZO0uXc9UILkNJUS5OQVNEQVFHUzpJTlRDLklRX1BSSUNFX1NBTEVTLjIwMDAuMi81LzIwMTQBAAAAh1IAAAIAAAAIMi4yMTc3NzMBBwAAAAUAAAABMQEAAAAKMTY1MzgxOTMzNAMAAAABMAIAAAAFMzg5NTgEAAAAATAHAAAACDIvNS8yMDE0CAAAAAgyLzUvMjAxNLtqr72Tc9UI2/U7S5dz1QgrQ0lRLl5TUFguSVFfVEVWX1RPVEFMX1JFVl9GV0QuNjAwMC41LzEvMjAxMwEAAACbuCgAAgAAAAgxLjU3NzcwNgArBFO7k3PVCJvKPUuXc9UILENJUS5OQVNEQVFHUzpJTlRDLklRX0xBU1RTQUxFUFJJQ0UuMy8yNS8yMDE1AQAAAIdSAAACAAAABTI5Ljg5AOv+ubeTc9UI61gyS5dz1QglQ0lRLl5TUFguSVFfUEVfRVhDTF9GV0QuNjAwMC41LzcvMjAxNAEAAACbuCgAAgAAAAkxNS40Nzk4MTgAKwRTu5Nz1Qi7NjlLl3PVCDVD</t>
  </si>
  <si>
    <t>SVEuTmFzZGFxR1M6SU5UQy5JUV9URVZfRUJJVERBX0ZXRF9DSVEuNjAwMC43LzkvMjAwNAEAAACHUgAAAgAAABA5LjMwMzg1NzQzNTA3NzAzAQ0AAAAFAAAAATkBAAAABzI2MjEyOTUCAAAABzE3NTcxNDQDAAAABjEwMDMwOAQAAAABMgYAAAABMAcAAAADMTYwCAAAAAEwCQAAAAExCgAAAAEwCwAAAAo2ODgzNjk0NTIxDAAAAAIxMg0AAAAJNy8xMC8yMDA0e42wu5Nz1Qj7go+ul3PVCC9DSVEuTkFTREFRR1M6SU5UQy5JUV9QUklDRV9TQUxFUy4yMDAwLjEvMTUvMjAxNgEAAACHUgAAAgAAAAgyLjU0OTM5OAEHAAAABQAAAAExAQAAAAoxNzcyOTQyODA2AwAAAAEwAgAAAAUzODk1OAQAAAABMAcAAAAJMS8xNS8yMDE2CAAAAAkxLzE1LzIwMTZbOFW5k3PVCMukTkmXc9UIK0NJUS5eU1BYLklRX1RFVl9UT1RBTF9SRVZfRldELjYwMDAuNS82LzIwMTUBAAAAm7goAAIAAAAIMi4wMTc2NTIAqxJnuZNz1Qi74zFLl3PVCDZDSVEuTkFTREFRR1M6SU5UQy5JUV9URVZfRUJJVERBX0ZXRF9DSVEuNjAwMC41LzExLzIwMTIBAAAAh1IAAAIAAAAQNS4wNTQ1NTk2OTczNTM0MwENAAAABQAAAAE5AQAAAAcyNjIxMjk1AgAAAAcxNzU3MTY4AwAAAAYxMDAzMDgEAAAAATIGAAAAATAHAAAAAzE2MAgAAAABMAkAAAABMQoAAAABMAsAAAAKNjk1NTQxMjUxNgwAAAACMTINAAAACTUvMTIvMjAxMpsVVLuTc9UIyw2Prpdz1Qgj</t>
  </si>
  <si>
    <t>Q0lRLl5TUFguSVFfTEFTVFNBTEVQUklDRS4xLzExLzIwMTcBAAAAm7goAAIAAAAQMjI3NS4zMTU4NzgyNjc5NwDb17m3k3PVCCuLGkuXc9UILUNJUS5OQVNEQVFHUzpJTlRDLklRX0xBU1RTQUxFUFJJQ0UuMTEvMzAvMjAxNgEAAACHUgAAAgAAAAQzNC43ACvDVLmTc9UI+/ceS5dz1QgvQ0lRLk5BU0RBUUdTOklOVEMuSVFfUEVfRVhDTF9GV0QuNjAwMC44LzIwLzIwMDQBAAAAh1IAAAIAAAAPMTYuOTAzODMxMTE4MDYxAQ0AAAAFAAAAATkBAAAABzI2MjEyOTUCAAAABzE3NTcxNDUDAAAABjEwMDMwOQQAAAABMgYAAAABMAcAAAADMTYwCAAAAAEwCQAAAAExCgAAAAEwCwAAAAoxMTY5MTU2NjUyDAAAAAIxMg0AAAAJOC8yMS8yMDA0a4mzvZNz1Qjr8k5Jl3PVCDBDSVEuTkFTREFRR1M6SU5UQy5JUV9QUklDRV9TQUxFUy4yMDAwLjEyLzIzLzIwMTUBAAAAh1IAAAIAAAAIMy4wMTYzODgBBwAAAAUAAAABMQEAAAAKMTc2MTcwNjgyNwMAAAABMAIAAAAFMzg5NTgEAAAAATAHAAAACjEyLzIzLzIwMTUIAAAACjEyLzIzLzIwMTXLsLm3k3PVCNtPLUuXc9UIJ0NJUS5OQVNEQVFHUzpJTlRDLklRX1BUQlYuMjAwMC4xLzcvMjAxMQEAAACHUgAAAgAAAAcyLjcxNDA0AQcAAAAFAAAAATEBAAAACjE0MDg1MTY1NDYDAAAAATACAAAABjEwMDAyOQQAAAABMAcAAAAIMS83LzIwMTEIAAAACDEvNy8yMDExa3ZmuZNz1Qgr</t>
  </si>
  <si>
    <t>cVRJl3PVCCRDSVEuXlNQWC5JUV9MQVNUU0FMRVBSSUNFLjExLzIzLzIwMTYBAAAAm7goAAIAAAAQMjIwNC43MjI5NDAwODEwNQALtlK7k3PVCFtxHUuXc9UIMENJUS5OQVNEQVFHUzpJTlRDLklRX1BSSUNFX1NBTEVTLjIwMDAuMTIvMzEvMjAwOQEAAACHUgAAAgAAAAgzLjQ2NDA5MgEHAAAABQAAAAExAQAAAAoxMjM3NTc3MTI1AwAAAAEwAgAAAAUzODk1OAQAAAABMAcAAAAKMTIvMzEvMjAwOQgAAAAKMTIvMzEvMjAwOXudZrmTc9UIu19TSZdz1Qg2Q0lRLk5BU0RBUUdTOklOVEMuSVFfVEVWX0VCSVREQV9GV0RfQ0lRLjYwMDAuMS8yMi8yMDE2AQAAAIdSAAACAAAADzYuMDYwOTM0OTYyNDg4OAENAAAABQAAAAE5AQAAAAcyNjIxMjk1AgAAAAoxMDAwOTE1NDAyAwAAAAYxMDAzMDgEAAAAATIGAAAAATAHAAAAAzE2MAgAAAABMAkAAAABMQoAAAABMAsAAAAKOTIzMjk4NzQxOAwAAAACMTINAAAACTEvMjMvMjAxNlt5U7uTc9UIm5iOrpdz1Qg1Q0lRLk5hc2RhcUdTOklOVEMuSVFfVEVWX1RPVEFMX1JFVl9GV0QuNjAwMC4zLzI4LzIwMDMBAAAAh1IAAAIAAAAQMy41OTA1MDc3MTg3NzAyMQENAAAABQAAAAE5AQAAAAcyNjIxMjk1AgAAAAQxODc4AwAAAAYxMDAzMDcEAAAAATIGAAAAATAHAAAAAzE2MAgAAAABMAkAAAABMQoAAAABMAsAAAAJMzYwNjU2NDQzDAAAAAIxMg0AAAAJMy8yOS8yMDAzS5louZNz</t>
  </si>
  <si>
    <t>1QiboFBJl3PVCC9DSVEuTkFTREFRR1M6SU5UQy5JUV9QRV9FWENMX0ZXRC42MDAwLjUvMjMvMjAxNAEAAACHUgAAAgAAABAxMy41MzYzNzgxNDczNjYzAQ0AAAAFAAAAATkBAAAABzI2MjEyOTUCAAAABzQ0NTY0MjcDAAAABjEwMDMwOQQAAAABMgYAAAABMAcAAAADMTYwCAAAAAEwCQAAAAExCgAAAAEwCwAAAAo4MTcwNzE2NDEzDAAAAAIxMg0AAAAJNS8yNC8yMDE0+3eyvZNz1Qj7bFZJl3PVCDZDSVEuTkFTREFRR1M6SU5UQy5JUV9URVZfRUJJVERBX0ZXRF9DSVEuNjAwMC4xLzI3LzIwMDYBAAAAh1IAAAIAAAAQNy42MzYxNTE3MTczMzg4NQENAAAABQAAAAE5AQAAAAcyNjIxMjk1AgAAAAQxODgxAwAAAAYxMDAzMDgEAAAAATIGAAAAATAHAAAAAzE2MAgAAAABMAkAAAABMQoAAAABMAsAAAAJMzYwNjc1NTkwDAAAAAIxMg0AAAAJMS8yOC8yMDA2G05Vu5Nz1QjbNI+ul3PVCC9DSVEuTkFTREFRR1M6SU5UQy5JUV9QRV9FWENMX0ZXRC42MDAwLjUvMjAvMjAxMQEAAACHUgAAAgAAABAxMC4xNzg0MDcwNDg2MTI2AQ0AAAAFAAAAATkBAAAABzI2MjEyOTUCAAAABzE3NTcxNjUDAAAABjEwMDMwOQQAAAABMgYAAAABMAcAAAADMTYwCAAAAAEwCQAAAAExCgAAAAEwCwAAAAo4ODYzMzYyNTEwDAAAAAIxMg0AAAAJNS8yMS8yMDExG8ayvZNz1QjLhlNJl3PVCC1DSVEuXlNQWC5JUV9URVZfRUJJVERBX0ZXRF9D</t>
  </si>
  <si>
    <t>SVEuNjAwMC44LzEzLzIwMTQBAAAAm7goAAIAAAAIOC44MzE0NjEAe4ZVuZNz1Qgr1zdLl3PVCDVDSVEuTkFTREFRR1M6SU5UQy5JUV9URVZfRUJJVERBX0ZXRF9DSVEuNjAwMC41LzIvMjAwOAEAAACHUgAAAgAAABA3LjgzNDUzNTc0ODIwNzY4AQ0AAAAFAAAAATkBAAAABzI2MjEyOTUCAAAABzE3NTcxNTYDAAAABjEwMDMwOAQAAAABMgYAAAABMAcAAAADMTYwCAAAAAEwCQAAAAExCgAAAAEwCwAAAAo2NzI3NDg5Njc3DAAAAAIxMg0AAAAINS8zLzIwMDjr2FS7k3PVCHu7kK6Xc9UIIENJUS5eU1BYLklRX1BUQlYuMjAwMC4xMC8xNS8yMDE0AQAAAJu4KAACAAAACDUuMDI3MzUzAIvEZrmTc9UIm3c2S5dz1QguQ0lRLk5BU0RBUUdTOklOVEMuSVFfUEVfRVhDTF9GV0QuNjAwMC45LzYvMjAwMgEAAACHUgAAAgAAABAyNi4wMzUzMTMwMDE2MDUxAQ0AAAAFAAAAATkBAAAABzI2MjEyOTUCAAAABzE3NTcxMzkDAAAABjEwMDMwOQQAAAABMgYAAAABMAcAAAADMTYwCAAAAAEwCQAAAAExCgAAAAEwCwAAAAo5MDkwNjg4MTA5DAAAAAIxMg0AAAAIOS83LzIwMDJ7sLO9k3PVCGsrUEmXc9UINkNJUS5OYXNkYXFHUzpJTlRDLklRX1RFVl9FQklUREFfRldEX0NJUS42MDAwLjUvMjAvMjAwNQEAAACHUgAAAgAAAA85LjEzMDQyNDQwMTc4NDgBDQAAAAUAAAABOQEAAAAHMjYyMTI5NQIAAAAHMTc1NzE0NwMAAAAGMTAw</t>
  </si>
  <si>
    <t>MzA4BAAAAAEyBgAAAAEwBwAAAAMxNjAIAAAAATAJAAAAATEKAAAAATALAAAACjExNjkxMzAyNzkMAAAAAjEyDQAAAAk1LzIxLzIwMDW7TLS9k3PVCDuuja6Xc9UILkNJUS5OQVNEQVFHUzpJTlRDLklRX1BSSUNFX1NBTEVTLjIwMDAuOC82LzIwMTABAAAAh1IAAAIAAAAIMi43ODc3NjUBBwAAAAUAAAABMQEAAAAKMTM4OTcxMDc0NAMAAAABMAIAAAAFMzg5NTgEAAAAATAHAAAACDgvNi8yMDEwCAAAAAg4LzYvMjAxMAu2UruTc9UIy/dVSZdz1QgwQ0lRLk5BU0RBUUdTOklOVEMuSVFfUEVfRVhDTF9GV0QuNjAwMC4xMS8yOC8yMDAzAQAAAIdSAAACAAAAEDMwLjA2MTg0NDU4MTg3NjgBDQAAAAUAAAABOQEAAAAHMjYyMTI5NQIAAAAHMTc1NzE0MwMAAAAGMTAwMzA5BAAAAAEyBgAAAAEwBwAAAAMxNjAIAAAAATAJAAAAATEKAAAAATALAAAACjExNjkxNTU0MzQMAAAAAjEyDQAAAAoxMS8yOS8yMDAze7CzvZNz1QgLlFZJl3PVCC1DSVEuXlNQWC5JUV9URVZfRUJJVERBX0ZXRF9DSVEuNjAwMC4yLzI2LzIwMTQBAAAAm7goAAIAAAAIOC44MTQ4ODYAKwRTu5Nz1QirgDtLl3PVCDRDSVEuTmFzZGFxR1M6SU5UQy5JUV9URVZfVE9UQUxfUkVWX0ZXRC42MDAwLjEvMi8yMDA0AQAAAIdSAAACAAAAEDUuNzkyNjQwMDM5NTU5NDQBDQAAAAUAAAABOQEAAAAHMjYyMTI5NQIAAAAHMTc1NzE0MwMAAAAGMTAwMzA3BAAA</t>
  </si>
  <si>
    <t>AAEyBgAAAAEwBwAAAAMxNjAIAAAAATAJAAAAATEKAAAAATALAAAACjExNjkxMjc4NTYMAAAAAjEyDQAAAAgxLzMvMjAwNHuNsLuTc9UIu0FYSZdz1QgtQ0lRLl5TUFguSVFfVEVWX0VCSVREQV9GV0RfQ0lRLjYwMDAuNy8yOS8yMDE1AQAAAJu4KAACAAAACDkuODMzNjcyAHuGVbmTc9UIG10wS5dz1QgfQ0lRLl5TUFguSVFfUFRCVi4yMDAwLjcvMjkvMjAxNQEAAACbuCgAAgAAAAg2LjI1Nzc0MwDb17m3k3PVCBtdMEuXc9UILkNJUS5OQVNEQVFHUzpJTlRDLklRX1BSSUNFX1NBTEVTLjIwMDAuOS85LzIwMTUBAAAAh1IAAAIAAAAIMi41MzM2NDYBBwAAAAUAAAABMQEAAAAKMTc0NzM1OTUxMgMAAAABMAIAAAAFMzg5NTgEAAAAATAHAAAACDkvOS8yMDE1CAAAAAg5LzkvMjAxNbtqr72Tc9UIq0svS5dz1QgsQ0lRLl5TUFguSVFfVEVWX1RPVEFMX1JFVl9GV0QuNjAwMC4zLzI2LzIwMTQBAAAAm7goAAIAAAAIMS44MTI5NDUAa19VuZNz1QiLMjtLl3PVCC1DSVEuTkFTREFRR1M6SU5UQy5JUV9MQVNUU0FMRVBSSUNFLjExLzI5LzIwMTcBAAAAh1IAAAIAAAAFNDMuOTUAG91Su5Nz1QgrKOxKl3PVCB5DSVEuXlNQWC5JUV9QVEJWLjIwMDAuMS82LzIwMTYBAAAAm7goAAIAAAAINi40NDkxNjkAWzhVuZNz1Qir2ixLl3PVCCNDSVEuXlNQWC5JUV9MQVNUU0FMRVBSSUNFLjEwLzEvMjAxNAEAAACbuCgAAgAAABAx</t>
  </si>
  <si>
    <t>OTQ2LjE2MDgyOTI2OTM4ADvqVLmTc9UIm3c2S5dz1Qg2Q0lRLk5hc2RhcUdTOklOVEMuSVFfVEVWX0VCSVREQV9GV0RfQ0lRLjYwMDAuMi8xMy8yMDE1AQAAAIdSAAACAAAAEDYuNDY4NTM5MDU0ODY1NDUBDQAAAAUAAAABOQEAAAAHMjYyMTI5NQIAAAAKMTAwMDA5NDA3MQMAAAAGMTAwMzA4BAAAAAEyBgAAAAEwBwAAAAMxNjAIAAAAATAJAAAAATEKAAAAATALAAAACjg2MDQ1NjI1ODAMAAAAAjEyDQAAAAkyLzE0LzIwMTXrSVe7k3PVCBvRj66Xc9UINUNJUS5OYXNkYXFHUzpJTlRDLklRX1RFVl9FQklUREFfRldEX0NJUS42MDAwLjIvNC8yMDExAQAAAIdSAAACAAAAEDQuODU3NTIzODkwNjE5NjMBDQAAAAUAAAABOQEAAAAHMjYyMTI5NQIAAAAEMTg4NgMAAAAGMTAwMzA4BAAAAAEyBgAAAAEwBwAAAAMxNjAIAAAAATAJAAAAATEKAAAAATALAAAACjU3NDg4MTUxOTkMAAAAAjEyDQAAAAgyLzUvMjAxMbvUVruTc9UIe7uQrpdz1Qg2Q0lRLk5hc2RhcUdTOklOVEMuSVFfVEVWX1RPVEFMX1JFVl9GV0QuNjAwMC4xMC8xOS8yMDA3AQAAAIdSAAACAAAAEDMuNDcyMzQ4OTk2Njg1NDgBDQAAAAUAAAABOQEAAAAHMjYyMTI5NQIAAAAHMTc1NzE1NQMAAAAGMTAwMzA3BAAAAAEyBgAAAAEwBwAAAAMxNjAIAAAAATAJAAAAATEKAAAAATALAAAACjg4NjQzMzAxMTYMAAAAAjEyDQAAAAoxMC8yMC8yMDA323BWuZNz</t>
  </si>
  <si>
    <t>1QhLbE1Jl3PVCC9DSVEuTkFTREFRR1M6SU5UQy5JUV9QRV9FWENMX0ZXRC42MDAwLjEvMTgvMjAxMwEAAACHUgAAAgAAAA8xMC45MzY5MjA5ODY1MzYBDQAAAAUAAAABOQEAAAAHMjYyMTI5NQIAAAAHMzY1MjY2MAMAAAAGMTAwMzA5BAAAAAEyBgAAAAEwBwAAAAMxNjAIAAAAATAJAAAAATEKAAAAATALAAAACjU3NDgzMDI5ODIMAAAAAjEyDQAAAAkxLzE5LzIwMTMLn7K9k3PVCAsFWUmXc9UINUNJUS5OYXNkYXFHUzpJTlRDLklRX1RFVl9UT1RBTF9SRVZfRldELjYwMDAuMTEvNS8yMDA0AQAAAIdSAAACAAAAEDMuODMwMzkzMzE1NDEyNzkBDQAAAAUAAAABOQEAAAAHMjYyMTI5NQIAAAAHMTc1NzE0NgMAAAAGMTAwMzA3BAAAAAEyBgAAAAEwBwAAAAMxNjAIAAAAATAJAAAAATEKAAAAATALAAAACjExNjkxMjkyOTQMAAAAAjEyDQAAAAkxMS82LzIwMDSrArG7k3PVCIsITkmXc9UIJENJUS5eU1BYLklRX0xBU1RTQUxFUFJJQ0UuMTEvMTkvMjAxNAEAAACbuCgAAgAAAA8yMDQ4LjcyMDk2NDA0OTkAC7ZSu5Nz1Qhb2zVLl3PVCB9DSVEuXlNQWC5JUV9QVEJWLjIwMDAuMS8zMS8yMDE4AQAAAJu4KAACAAAACDkuNTgzMDA5AFs/sLuTc9UIq69OSpdz1QgeQ0lRLl5TUFguSVFfUFRCVi4yMDAwLjkvMy8yMDE0AQAAAJu4KAACAAAACDUuNDEwMjEzAFs/sLuTc9UIC4k3S5dz1QgwQ0lRLk5BU0RBUUdTOklOVEMu</t>
  </si>
  <si>
    <t>SVFfUEVfRVhDTF9GV0QuNjAwMC4xMi8yNi8yMDA4AQAAAIdSAAACAAAAEDE5LjU4MjkzMDUzNDQ1NjYBDQAAAAUAAAABOQEAAAAHMjYyMTI5NQIAAAAHMTc1NzE1OAMAAAAGMTAwMzA5BAAAAAEyBgAAAAEwBwAAAAMxNjAIAAAAATAJAAAAATEKAAAAATALAAAACjg4NjQ0ODM2MzUMAAAAAjEyDQAAAAoxMi8yNy8yMDA4OxSzvZNz1Qib81dJl3PVCB9DSVEuXlNQWC5JUV9QVEJWLjIwMDAuOC8zMC8yMDE3AQAAAJu4KAACAAAABzguNjA2NjYAWz+wu5Nz1QgbGP1Kl3PVCChDSVEuTkFTREFRR1M6SU5UQy5JUV9QVEJWLjIwMDAuMTEvMi8yMDEyAQAAAIdSAAACAAAACDMuMjg4MDQ1AQcAAAAFAAAAATEBAAAACjE1NzM4ODc3OTUDAAAAATACAAAABjEwMDAyOQQAAAABMAcAAAAJMTEvMi8yMDEyCAAAAAkxMS8yLzIwMTI78a+7k3PVCEtOUkmXc9UILUNJUS5OQVNEQVFHUzpJTlRDLklRX0xBU1RTQUxFUFJJQ0UuMTAvMTUvMjAxNAEAAACHUgAAAgAAAAYzMS4yNzUAC7ZSu5Nz1QibdzZLl3PVCDVDSVEuTkFTREFRR1M6SU5UQy5JUV9URVZfRUJJVERBX0ZXRF9DSVEuNjAwMC4zLzQvMjAxMQEAAACHUgAAAgAAABA0LjczODcyODkxNjQzMzI4AQ0AAAAFAAAAATkBAAAABzI2MjEyOTUCAAAABDE4ODYDAAAABjEwMDMwOAQAAAABMgYAAAABMAcAAAADMTYwCAAAAAEwCQAAAAExCgAAAAEwCwAAAAo1NzQ4ODE1MjA1</t>
  </si>
  <si>
    <t>DAAAAAIxMg0AAAAIMy81LzIwMTG7Y1S7k3PVCOtbj66Xc9UILENJUS5OQVNEQVFHUzpJTlRDLklRX0xBU1RTQUxFUFJJQ0UuMy8yMC8yMDEzAQAAAIdSAAACAAAABTIxLjE4ADvqVLmTc9UIuxg+S5dz1Qg0Q0lRLk5hc2RhcUdTOklOVEMuSVFfVEVWX1RPVEFMX1JFVl9GV0QuNjAwMC4zLzkvMjAwMQEAAACHUgAAAgAAABA2LjY0NzIyODczMTQzMTcyAQ0AAAAFAAAAATkBAAAABzI2MjEyOTUCAAAABzMxNTEzMDEDAAAABjEwMDMwNwQAAAABMgYAAAABMAcAAAADMTYwCAAAAAEwCQAAAAExCgAAAAEwCwAAAAkzNjEyMTI2ODQMAAAAAjEyDQAAAAkzLzEwLzIwMDGrJbS9k3PVCOvUU0mXc9UINUNJUS5OYXNkYXFHUzpJTlRDLklRX1RFVl9UT1RBTF9SRVZfRldELjYwMDAuNC8xNy8yMDE0AQAAAIdSAAACAAAADzIuNDEyMTk2MDk0NDQzNAENAAAABQAAAAE5AQAAAAcyNjIxMjk1AgAAAAc0NDU2NDI3AwAAAAYxMDAzMDcEAAAAATIGAAAAATAHAAAAAzE2MAgAAAABMAkAAAABMQoAAAABMAsAAAAKODg1OTg2MzM4NQwAAAACMTINAAAACTQvMTgvMjAxNPvVZ7mTc9UIS05SSZdz1QgnQ0lRLk5BU0RBUUdTOklOVEMuSVFfUFRCVi4yMDAwLjUvNy8yMDEwAQAAAIdSAAACAAAACDMuMTM3ODc0AQcAAAAFAAAAATEBAAAACjEzNTc2NTkxMDEDAAAAATACAAAABjEwMDAyOQQAAAABMAcAAAAINS83LzIwMTAIAAAACDUv</t>
  </si>
  <si>
    <t>Ny8yMDEwC7ZSu5Nz1QgLlFZJl3PVCC5DSVEuTkFTREFRR1M6SU5UQy5JUV9QUklDRV9TQUxFUy4yMDAwLjUvMS8yMDE1AQAAAIdSAAACAAAACDIuODk1OTI3AQcAAAAFAAAAATEBAAAACjE3MzA3NjI3NTUDAAAAATACAAAABTM4OTU4BAAAAAEwBwAAAAg1LzEvMjAxNQgAAAAINS8xLzIwMTVbOFW5k3PVCJsvTkmXc9UINUNJUS5OYXNkYXFHUzpJTlRDLklRX1RFVl9FQklUREFfRldEX0NJUS42MDAwLjcvMi8yMDA5AQAAAIdSAAACAAAAEDkuMDcwODYyMDQ2MDgxODQBDQAAAAUAAAABOQEAAAAHMjYyMTI5NQIAAAAHMTc1NzE1OQMAAAAGMTAwMzA4BAAAAAEyBgAAAAEwBwAAAAMxNjAIAAAAATAJAAAAATEKAAAAATALAAAACjExNjkxNDU1MTcMAAAAAjEyDQAAAAg3LzMvMjAwOYtfVruTc9UIayOOrpdz1Qg3Q0lRLk5hc2RhcUdTOklOVEMuSVFfVEVWX0VCSVREQV9GV0RfQ0lRLjYwMDAuMTEvMjkvMjAxMwEAAACHUgAAAgAAAA41LjQ2NDg0NDcyNDE2OQENAAAABQAAAAE5AQAAAAcyNjIxMjk1AgAAAAczODI5NzUzAwAAAAYxMDAzMDgEAAAAATIGAAAAATAHAAAAAzE2MAgAAAABMAkAAAABMQoAAAABMAsAAAAKNzYyMDI4NDE4OAwAAAACMTINAAAACjExLzMwLzIwMTPbd7G7k3PVCJuYjq6Xc9UINkNJUS5OQVNEQVFHUzpJTlRDLklRX1RFVl9FQklUREFfRldEX0NJUS42MDAwLjIvMjIvMjAxMwEAAACHUgAA</t>
  </si>
  <si>
    <t>AgAAABA0LjU3NjQ0NzAyMjI5NzI2AQ0AAAAFAAAAATkBAAAABzI2MjEyOTUCAAAABzM2NTI2NjADAAAABjEwMDMwOAQAAAABMgYAAAABMAcAAAADMTYwCAAAAAEwCQAAAAExCgAAAAEwCwAAAAo1NDM4MjAwMDY5DAAAAAIxMg0AAAAJMi8yMy8yMDEzi+5Tu5Nz1QibmI6ul3PVCC9DSVEuTkFTREFRR1M6SU5UQy5JUV9QRV9FWENMX0ZXRC42MDAwLjQvMjMvMjAxMAEAAACHUgAAAgAAABAxMi43MTIxNzgwOTc0MDM2AQ0AAAAFAAAAATkBAAAABzI2MjEyOTUCAAAABzE3NTcxNjIDAAAABjEwMDMwOQQAAAABMgYAAAABMAcAAAADMTYwCAAAAAEwCQAAAAExCgAAAAEwCwAAAAo4ODYzODQ0MTk4DAAAAAIxMg0AAAAJNC8yNC8yMDEwK+2yvZNz1Qjr1FNJl3PVCC1DSVEuXlNQWC5JUV9URVZfRUJJVERBX0ZXRF9DSVEuNjAwMC45LzI0LzIwMTQBAAAAm7goAAIAAAAIOC45NjgyNDUAa19VuZNz1QjL7DZLl3PVCDRDSVEuTmFzZGFxR1M6SU5UQy5JUV9URVZfVE9UQUxfUkVWX0ZXRC42MDAwLjYvMi8yMDE3AQAAAIdSAAACAAAAEDIuOTk5MzU5Nzk4NDczMzMBDQAAAAUAAAABOQEAAAAHMjYyMTI5NQIAAAAIMjc1MDAxNzIDAAAABjEwMDMwNwQAAAABMgYAAAABMAcAAAADMTYwCAAAAAEwCQAAAAExCgAAAAEwCwAAAAsxMDIyMDI4Mzc3MwwAAAACMTINAAAACDYvMy8yMDE3y/tWu5Nz1Qi7QVhJl3PVCCxDSVEuTkFT</t>
  </si>
  <si>
    <t>REFRR1M6SU5UQy5JUV9MQVNUU0FMRVBSSUNFLjcvMTYvMjAxNAEAAACHUgAAAgAAAAUzNC42NQBbP7C7k3PVCFtMOEuXc9UILENJUS5eU1BYLklRX1RFVl9UT1RBTF9SRVZfRldELjYwMDAuNS8yNC8yMDE3AQAAAJu4KAACAAAACDIuMjA0NTQ5AGtfVbmTc9UISxURS5dz1QgjQ0lRLl5TUFguSVFfTEFTVFNBTEVQUklDRS42LzIxLzIwMTcBAAAAm7goAAIAAAAQMjQzNS42MTE2ODUwNTk5MwBbP7C7k3PVCMuJCEuXc9UINUNJUS5OQVNEQVFHUzpJTlRDLklRX1RFVl9UT1RBTF9SRVZfRldELjYwMDAuMi8yMi8yMDA4AQAAAIdSAAACAAAAEDIuNTA1MzUzNTkwMjY1MDEBDQAAAAUAAAABOQEAAAAHMjYyMTI5NQIAAAAEMTg4MwMAAAAGMTAwMzA3BAAAAAEyBgAAAAEwBwAAAAMxNjAIAAAAATAJAAAAATEKAAAAATALAAAACTM2MDcwMDIzMwwAAAACMTINAAAACTIvMjMvMjAwOGs3u7eTc9UIW+ZUSZdz1QgpQ0lRLk5BU0RBUUdTOklOVEMuSVFfUFRCVi4yMDAwLjEwLzE1LzIwMTABAAAAh1IAAAIAAAAIMi40OTIzOTgBBwAAAAUAAAABMQEAAAAKMTQwMTQwMTk0MQMAAAABMAIAAAAGMTAwMDI5BAAAAAEwBwAAAAoxMC8xNS8yMDEwCAAAAAoxMC8xNS8yMDEw69GItpNz1QgrrUpJl3PVCC9DSVEuTkFTREFRR1M6SU5UQy5JUV9QRV9FWENMX0ZXRC42MDAwLjExLzcvMjAwOAEAAACHUgAAAgAAABAxMS42ODcxNzA0</t>
  </si>
  <si>
    <t>NzQ1MTY3AQ0AAAAFAAAAATkBAAAABzI2MjEyOTUCAAAABzE3NTcxNTgDAAAABjEwMDMwOQQAAAABMgYAAAABMAcAAAADMTYwCAAAAAEwCQAAAAExCgAAAAEwCwAAAAo4ODY0NDgyODg1DAAAAAIxMg0AAAAJMTEvOC8yMDA4OxSzvZNz1Qi7X1NJl3PVCC1DSVEuXlNQWC5JUV9URVZfRUJJVERBX0ZXRF9DSVEuNjAwMC4zLzI3LzIwMTMBAAAAm7goAAIAAAAINy45OTAyMTIAa2awu5Nz1Qi7GD5Ll3PVCCtDSVEuXlNQWC5JUV9URVZfVE9UQUxfUkVWX0ZXRC42MDAwLjMvMi8yMDE2AQAAAJu4KAACAAAACDEuOTkzOTM2AHuGVbmTc9UI+ywrS5dz1QgjQ0lRLl5TUFguSVFfTEFTVFNBTEVQUklDRS40LzE3LzIwMTMBAAAAm7goAAIAAAAQMTU1Mi4wMTQ4OTYxODY4NADLka+9k3PVCJvKPUuXc9UINkNJUS5OQVNEQVFHUzpJTlRDLklRX1RFVl9FQklUREFfRldEX0NJUS42MDAwLjMvMTIvMjAwNAEAAACHUgAAAgAAABA5Ljc5MTQxODg4Nzg1Mzg0AQ0AAAAFAAAAATkBAAAABzI2MjEyOTUCAAAABDE4NzkDAAAABjEwMDMwOAQAAAABMgYAAAABMAcAAAADMTYwCAAAAAEwCQAAAAExCgAAAAEwCwAAAAkzNjA2NjMyOTkMAAAAAjEyDQAAAAkzLzEzLzIwMDQ7nFW7k3PVCCv4j66Xc9UIKENJUS5OQVNEQVFHUzpJTlRDLklRX1BUQlYuMjAwMC40LzIzLzIwMTABAAAAh1IAAAIAAAAIMy40NTcwNjMBBwAAAAUAAAABMQEA</t>
  </si>
  <si>
    <t>AAAKMTM1MjcwNjYwNgMAAAABMAIAAAAGMTAwMDI5BAAAAAEwBwAAAAk0LzIzLzIwMTAIAAAACTQvMjMvMjAxMMuwubeTc9UI21pMSZdz1Qg2Q0lRLk5hc2RhcUdTOklOVEMuSVFfVEVWX0VCSVREQV9GV0RfQ0lRLjYwMDAuOC8yMi8yMDAzAQAAAIdSAAACAAAAEDEyLjgwMTUzNDkwMTY1ODMBDQAAAAUAAAABOQEAAAAHMjYyMTI5NQIAAAAHMTc1NzE0MgMAAAAGMTAwMzA4BAAAAAEyBgAAAAEwBwAAAAMxNjAIAAAAATAJAAAAATEKAAAAATALAAAACjExNjkxMjc2NzcMAAAAAjEyDQAAAAk4LzIzLzIwMDOrJbS9k3PVCLvmjq6Xc9UINUNJUS5OQVNEQVFHUzpJTlRDLklRX1RFVl9FQklUREFfRldEX0NJUS42MDAwLjYvNC8yMDEwAQAAAIdSAAACAAAAEDUuMTk5MDcyNzg5MTI1MDEBDQAAAAUAAAABOQEAAAAHMjYyMTI5NQIAAAAHMTc1NzE2MgMAAAAGMTAwMzA4BAAAAAEyBgAAAAEwBwAAAAMxNjAIAAAAATAJAAAAATEKAAAAATALAAAACjU3MTU2NDg4NzYMAAAAAjEyDQAAAAg2LzUvMjAxMMuKVLuTc9UIayOOrpdz1QgmQ0lRLl5TUFguSVFfUEVfRVhDTF9GV0QuNjAwMC4yLzExLzIwMTUBAAAAm7goAAIAAAAJMTcuMzc5NTI1AJvrZrmTc9UIK/UyS5dz1Qg0Q0lRLk5hc2RhcUdTOklOVEMuSVFfVEVWX1RPVEFMX1JFVl9GV0QuNjAwMC42LzkvMjAxNwEAAACHUgAAAgAAABAyLjk1MTQyMDU3NzU3MjkxAQ0A</t>
  </si>
  <si>
    <t>AAAFAAAAATkBAAAABzI2MjEyOTUCAAAACDI3NTAwMTcyAwAAAAYxMDAzMDcEAAAAATIGAAAAATAHAAAAAzE2MAgAAAABMAkAAAABMQoAAAABMAsAAAALMTAyMjAyODM3NzMMAAAAAjEyDQAAAAk2LzEwLzIwMTerrVa7k3PVCLvuUEmXc9UINkNJUS5OYXNkYXFHUzpJTlRDLklRX1RFVl9UT1RBTF9SRVZfRldELjYwMDAuMTEvMjYvMjAxMAEAAACHUgAAAgAAABAyLjI4NDUwNzg0MzQ3MTU5AQ0AAAAFAAAAATkBAAAABzI2MjEyOTUCAAAABzE3NTcxNjQDAAAABjEwMDMwNwQAAAABMgYAAAABMAcAAAADMTYwCAAAAAEwCQAAAAExCgAAAAEwCwAAAAo4ODY0NDIxMTA3DAAAAAIxMg0AAAAKMTEvMjcvMjAxMOuesbuTc9UIy4ZTSZdz1Qg1Q0lRLk5BU0RBUUdTOklOVEMuSVFfVEVWX0VCSVREQV9GV0RfQ0lRLjYwMDAuNi8zLzIwMDUBAAAAh1IAAAIAAAAQOS40MDE1MTYyMzQxOTQzOQENAAAABQAAAAE5AQAAAAcyNjIxMjk1AgAAAAcxNzU3MTQ3AwAAAAYxMDAzMDgEAAAAATIGAAAAATAHAAAAAzE2MAgAAAABMAkAAAABMQoAAAABMAsAAAAKMTE2OTEzMDI4MgwAAAACMTINAAAACDYvNC8yMDA1G05Vu5Nz1Qgr+I+ul3PVCC5DSVEuTmFzZGFxR1M6SU5UQy5JUV9QRV9FWENMX0ZXRC42MDAwLjIvMi8yMDE4AQAAAIdSAAACAAAAEDEyLjk0OTY2MDQ3NDc3NDEBDQAAAAUAAAABOQEAAAAHMjYyMTI5NQIAAAAKMTAw</t>
  </si>
  <si>
    <t>MTUyODUyNwMAAAAGMTAwMzA5BAAAAAEyBgAAAAEwBwAAAAMxNjAIAAAAATAJAAAAATEKAAAAATALAAAACzEwNzA0NjM0MjA2DAAAAAIxMg0AAAAIMi8zLzIwMTjLArK9k3PVCGvvWUmXc9UIL0NJUS5OQVNEQVFHUzpJTlRDLklRX1BFX0VYQ0xfRldELjYwMDAuNy8zMC8yMDEwAQAAAIdSAAACAAAAEDkuODA1Nzg4MjcxMTM0ODEBDQAAAAUAAAABOQEAAAAHMjYyMTI5NQIAAAAHMTc1NzE2MwMAAAAGMTAwMzA5BAAAAAEyBgAAAAEwBwAAAAMxNjAIAAAAATAJAAAAATEKAAAAATALAAAACjg4NjM4NDUwNDgMAAAAAjEyDQAAAAk3LzMxLzIwMTCb/rO9k3PVCItbVUmXc9UIL0NJUS5OQVNEQVFHUzpJTlRDLklRX1BFX0VYQ0xfRldELjYwMDAuNC8xNS8yMDExAQAAAIdSAAACAAAAEDkuODIzNTI0NzMwNDEyNjQBDQAAAAUAAAABOQEAAAAHMjYyMTI5NQIAAAAEMTg4NgMAAAAGMTAwMzA5BAAAAAEyBgAAAAEwBwAAAAMxNjAIAAAAATAJAAAAATEKAAAAATALAAAACjU3NDc4OTI1MDQMAAAAAjEyDQAAAAk0LzE2LzIwMTEbxrK9k3PVCEu/VEmXc9UIK0NJUS5eU1BYLklRX1RFVl9UT1RBTF9SRVZfRldELjYwMDAuOS83LzIwMTYBAAAAm7goAAIAAAAIMi4wOTA1OTIAa2awu5Nz1Qg7diRLl3PVCDRDSVEuTmFzZGFxR1M6SU5UQy5JUV9URVZfVE9UQUxfUkVWX0ZXRC42MDAwLjcvMi8yMDA0AQAAAIdSAAACAAAAEDQu</t>
  </si>
  <si>
    <t>Mzk2NTAyMzQ1ODc5MTIBDQAAAAUAAAABOQEAAAAHMjYyMTI5NQIAAAAHMTc1NzE0NAMAAAAGMTAwMzA3BAAAAAEyBgAAAAEwBwAAAAMxNjAIAAAAATAJAAAAATEKAAAAATALAAAACjExNjkxMjgzOTAMAAAAAjEyDQAAAAg3LzMvMjAwNMshvLeTc9UIe+FNSZdz1Qg1Q0lRLk5hc2RhcUdTOklOVEMuSVFfVEVWX1RPVEFMX1JFVl9GV0QuNjAwMC4yLzE3LzIwMDYBAAAAh1IAAAIAAAAQMi43NTk2NjIxNjU3NDYxMQENAAAABQAAAAE5AQAAAAcyNjIxMjk1AgAAAAQxODgxAwAAAAYxMDAzMDcEAAAAATIGAAAAATAHAAAAAzE2MAgAAAABMAkAAAABMQoAAAABMAsAAAAJMzYwNjcyMzA1DAAAAAIxMg0AAAAJMi8xOC8yMDA223exu5Nz1Qhruk1Jl3PVCChDSVEuTkFTREFRR1M6SU5UQy5JUV9QVEJWLjIwMDAuOS8xNi8yMDExAQAAAIdSAAACAAAACDMuNTMxMTU1AQcAAAAFAAAAATEBAAAACjE0NjU2MzEwNzEDAAAAATACAAAABjEwMDAyOQQAAAABMAcAAAAJOS8xNi8yMDExCAAAAAk5LzE2LzIwMTE76lS5k3PVCGsrUEmXc9UILENJUS5OQVNEQVFHUzpJTlRDLklRX0xBU1RTQUxFUFJJQ0UuMTAvMi8yMDEzAQAAAIdSAAACAAAABjIyLjg4NQDr/rm3k3PVCEsHPUuXc9UIL0NJUS5OQVNEQVFHUzpJTlRDLklRX1BFX0VYQ0xfRldELjYwMDAuMy8yMS8yMDE0AQAAAIdSAAACAAAAEDEzLjYwNDA4MTc2NTAxNzUBDQAA</t>
  </si>
  <si>
    <t>AAUAAAABOQEAAAAHMjYyMTI5NQIAAAAHNDQ1NjQyMQMAAAAGMTAwMzA5BAAAAAEyBgAAAAEwBwAAAAMxNjAIAAAAATAJAAAAATEKAAAAATALAAAACjY1Mjg5Nzk2MDAMAAAAAjEyDQAAAAkzLzIyLzIwMTSrJbS9k3PVCHsWWkmXc9UINUNJUS5OYXNkYXFHUzpJTlRDLklRX1RFVl9UT1RBTF9SRVZfRldELjYwMDAuOC8yMy8yMDEzAQAAAIdSAAACAAAAEDEuOTkzMTk2MDYyMjIwOTQBDQAAAAUAAAABOQEAAAAHMjYyMTI5NQIAAAAHMzgyOTc1MgMAAAAGMTAwMzA3BAAAAAEyBgAAAAEwBwAAAAMxNjAIAAAAATAJAAAAATEKAAAAATALAAAACjg4NjI1NDA1NTIMAAAAAjEyDQAAAAk4LzI0LzIwMTN7OFa7k3PVCJsRU0mXc9UIKENJUS5OQVNEQVFHUzpJTlRDLklRX1BUQlYuMjAwMC4zLzI2LzIwMTABAAAAh1IAAAIAAAAIMy4zNzQ0OTIBBwAAAAUAAAABMQEAAAAKMTMyODg4ODcwNAMAAAABMAIAAAAGMTAwMDI5BAAAAAEwBwAAAAkzLzI2LzIwMTAIAAAACTMvMjYvMjAxMNvXubeTc9UIq+VLSZdz1QgoQ0lRLk5BU0RBUUdTOklOVEMuSVFfUFRCVi4yMDAwLjEvMTAvMjAxNAEAAACHUgAAAgAAAAczLjIxMDA1AQcAAAAFAAAAATEBAAAACjE2NDI0ODM3OTIDAAAAATACAAAABjEwMDAyOQQAAAABMAcAAAAJMS8xMC8yMDE0CAAAAAkxLzEwLzIwMTT7jlK7k3PVCAuUVkmXc9UINUNJUS5OYXNkYXFHUzpJTlRDLklR</t>
  </si>
  <si>
    <t>X1RFVl9FQklUREFfRldEX0NJUS42MDAwLjMvMy8yMDE3AQAAAIdSAAACAAAAEDcuMjc1MjI1NjUzNjY3MzQBDQAAAAUAAAABOQEAAAAHMjYyMTI5NQIAAAAKMTAwMDk0NDM4NwMAAAAGMTAwMzA4BAAAAAEyBgAAAAEwBwAAAAMxNjAIAAAAATAJAAAAATEKAAAAATALAAAACzEwMDI5ODEwMzA2DAAAAAIxMg0AAAAIMy80LzIwMTd7OFa7k3PVCFv8ja6Xc9UILkNJUS5OQVNEQVFHUzpJTlRDLklRX1BSSUNFX1NBTEVTLjIwMDAuNi8xLzIwMTYBAAAAh1IAAAIAAAAIMi42NjUxMDMBBwAAAAUAAAABMQEAAAAKMTc4OTE5MzM0MwMAAAABMAIAAAAFMzg5NTgEAAAAATAHAAAACDYvMS8yMDE2CAAAAAg2LzEvMjAxNrtqr72Tc9UIW6YpS5dz1QgpQ0lRLk5BU0RBUUdTOklOVEMuSVFfUFRCVi4yMDAwLjEwLzEwLzIwMTQBAAAAh1IAAAIAAAAIMy41OTQyMjQBBwAAAAUAAAABMQEAAAAKMTY4ODA4MDk5MgMAAAABMAIAAAAGMTAwMDI5BAAAAAEwBwAAAAoxMC8xMC8yMDE0CAAAAAoxMC8xMC8yMDE0WzhVuZNz1QiLCE5Jl3PVCDVDSVEuTmFzZGFxR1M6SU5UQy5JUV9URVZfRUJJVERBX0ZXRF9DSVEuNjAwMC4zLzcvMjAwOAEAAACHUgAAAgAAABA2LjY5MjcyNDY2NzY3NTk1AQ0AAAAFAAAAATkBAAAABzI2MjEyOTUCAAAABDE4ODMDAAAABjEwMDMwOAQAAAABMgYAAAABMAcAAAADMTYwCAAAAAEwCQAAAAExCgAAAAEw</t>
  </si>
  <si>
    <t>CwAAAAkzNjA3MDMzMTcMAAAAAjEyDQAAAAgzLzgvMjAwOLspsbuTc9UIG9GPrpdz1Qg2Q0lRLk5hc2RhcUdTOklOVEMuSVFfVEVWX1RPVEFMX1JFVl9GV0QuNjAwMC4xMC8yMS8yMDE2AQAAAIdSAAACAAAAEDIuOTA1NjgzOTI0MTAyMDgBDQAAAAUAAAABOQEAAAAHMjYyMTI5NQIAAAAIMjcwMDM2NTMDAAAABjEwMDMwNwQAAAABMgYAAAABMAcAAAADMTYwCAAAAAEwCQAAAAExCgAAAAEwCwAAAAo5ODEzMzgxMTMxDAAAAAIxMg0AAAAKMTAvMjIvMjAxNrtMtL2Tc9UIexZaSZdz1QgoQ0lRLk5BU0RBUUdTOklOVEMuSVFfUFRCVi4yMDAwLjMvMjQvMjAxNwEAAACHUgAAAgAAAAgzLjkwMDg5MwEHAAAABQAAAAExAQAAAAoxODI4MTc0MTIyAwAAAAEwAgAAAAYxMDAwMjkEAAAAATAHAAAACTMvMjQvMjAxNwgAAAAJMy8yNC8yMDE3O+pUuZNz1Qh7UlBJl3PVCDVDSVEuTmFzZGFxR1M6SU5UQy5JUV9URVZfVE9UQUxfUkVWX0ZXRC42MDAwLjkvMTAvMjAwNAEAAACHUgAAAgAAABAzLjM1NDQwNTg3MjExNTM5AQ0AAAAFAAAAATkBAAAABzI2MjEyOTUCAAAABzE3NTcxNDUDAAAABjEwMDMwNwQAAAABMgYAAAABMAcAAAADMTYwCAAAAAEwCQAAAAExCgAAAAEwCwAAAAoxMTY5MTI4ODI1DAAAAAIxMg0AAAAJOS8xMS8yMDA0+5a8t5Nz1QgbLFlJl3PVCCdDSVEuXlNQWC5JUV9QRV9FWENMX0ZXRC42MDAwLjEwLzE5</t>
  </si>
  <si>
    <t>LzIwMTYBAAAAm7goAAIAAAAIMTcuMzAwMzgAm+tmuZNz1QibfiBLl3PVCDZDSVEuTkFTREFRR1M6SU5UQy5JUV9URVZfRUJJVERBX0ZXRF9DSVEuNjAwMC4zLzExLzIwMTEBAAAAh1IAAAIAAAAQNC41Njg1MDc3NTU3MjEyMwENAAAABQAAAAE5AQAAAAcyNjIxMjk1AgAAAAQxODg2AwAAAAYxMDAzMDgEAAAAATIGAAAAATAHAAAAAzE2MAgAAAABMAkAAAABMQoAAAABMAsAAAAKNTc0ODgxNTIwNgwAAAACMTINAAAACTMvMTIvMjAxMbtjVLuTc9UIayOOrpdz1Qg1Q0lRLk5hc2RhcUdTOklOVEMuSVFfVEVWX1RPVEFMX1JFVl9GV0QuNjAwMC4xLzEyLzIwMDEBAAAAh1IAAAIAAAAQNS44MTEwNDExMjYwNDkwNAENAAAABQAAAAE5AQAAAAcyNjIxMjk1AgAAAAczNDIxMTU5AwAAAAYxMDAzMDcEAAAAATIGAAAAATAHAAAAAzE2MAgAAAABMAkAAAABMQoAAAABMAsAAAAKMTE2OTE1MjI3NQwAAAACMTINAAAACTEvMTMvMjAwMXs4VruTc9UIe2TKSZdz1QgmQ0lRLl5TUFguSVFfUEVfRVhDTF9GV0QuNjAwMC43LzIzLzIwMTQBAAAAm7goAAIAAAAJMTYuMTAxODg4AHuGVbmTc9UIK9c3S5dz1QgoQ0lRLk5BU0RBUUdTOklOVEMuSVFfUFRCVi4yMDAwLjQvMzAvMjAxMAEAAACHUgAAAgAAAAgzLjI4NDQ5NwEHAAAABQAAAAExAQAAAAoxMzUyNzA2NjA2AwAAAAEwAgAAAAYxMDAwMjkEAAAAATAHAAAACTQvMzAvMjAx</t>
  </si>
  <si>
    <t>MAgAAAAJNC8zMC8yMDEwC7ZSu5Nz1QjrRVZJl3PVCC5DSVEuTkFTREFRR1M6SU5UQy5JUV9QUklDRV9TQUxFUy4yMDAwLjkvMi8yMDE1AQAAAIdSAAACAAAABzIuNDc4MTkBBwAAAAUAAAABMQEAAAAKMTc0NzM1OTUxMgMAAAABMAIAAAAFMzg5NTgEAAAAATAHAAAACDkvMi8yMDE1CAAAAAg5LzIvMjAxNevRiLaTc9UIu3IvS5dz1Qg1Q0lRLk5BU0RBUUdTOklOVEMuSVFfVEVWX0VCSVREQV9GV0RfQ0lRLjYwMDAuNC84LzIwMDUBAAAAh1IAAAIAAAAQOC4wNzM1OTUzNTM4ODkyNQENAAAABQAAAAE5AQAAAAcyNjIxMjk1AgAAAAQxODgwAwAAAAYxMDAzMDgEAAAAATIGAAAAATAHAAAAAzE2MAgAAAABMAkAAAABMQoAAAABMAsAAAAJMzYwNjY4MTgyDAAAAAIxMg0AAAAINC85LzIwMDUrdVW7k3PVCHu7kK6Xc9UIL0NJUS5OQVNEQVFHUzpJTlRDLklRX1BFX0VYQ0xfRldELjYwMDAuMi8yMC8yMDE1AQAAAIdSAAACAAAAEDE0LjQ4NjQwODIwNDMzMzcBDQAAAAUAAAABOQEAAAAHMjYyMTI5NQIAAAAKMTAwMDA5NDA3MQMAAAAGMTAwMzA5BAAAAAEyBgAAAAEwBwAAAAMxNjAIAAAAATAJAAAAATEKAAAAATALAAAACjg2MDQ1NjI0MTAMAAAAAjEyDQAAAAkyLzIxLzIwMTXrULK9k3PVCIvqUkmXc9UINkNJUS5OQVNEQVFHUzpJTlRDLklRX1RFVl9FQklUREFfRldEX0NJUS42MDAwLjIvMjIvMjAwOAEAAACHUgAA</t>
  </si>
  <si>
    <t>AgAAABA2LjQ3MDU5OTMwMDI0MDA3AQ0AAAAFAAAAATkBAAAABzI2MjEyOTUCAAAABDE4ODMDAAAABjEwMDMwOAQAAAABMgYAAAABMAcAAAADMTYwCAAAAAEwCQAAAAExCgAAAAEwCwAAAAkzNjA3MDMzMDgMAAAAAjEyDQAAAAkyLzIzLzIwMDjr2FS7k3PVCDuuja6Xc9UILUNJUS5eU1BYLklRX1RFVl9FQklUREFfRldEX0NJUS42MDAwLjEvMjgvMjAxNQEAAACbuCgAAgAAAAg5LjU3OTM0MQCb62a5k3PVCMt7NEuXc9UINUNJUS5OYXNkYXFHUzpJTlRDLklRX1RFVl9UT1RBTF9SRVZfRldELjYwMDAuMS8yMC8yMDEyAQAAAIdSAAACAAAAEDIuMjQ0ODI2NjUxMDgwOTMBDQAAAAUAAAABOQEAAAAHMjYyMTI5NQIAAAAEMTg4NwMAAAAGMTAwMzA3BAAAAAEyBgAAAAEwBwAAAAMxNjAIAAAAATAJAAAAATEKAAAAATALAAAACjU3NDg4Mjc2MjkMAAAAAjEyDQAAAAkxLzIxLzIwMTKLtLC7k3PVCBuGSkmXc9UIMENJUS5OQVNEQVFHUzpJTlRDLklRX1BFX0VYQ0xfRldELjYwMDAuMTAvMTQvMjAxNgEAAACHUgAAAgAAABAxMy41MTM1MTM1MTM1MTM1AQ0AAAAFAAAAATkBAAAABzI2MjEyOTUCAAAACDI3MDAzNjUyAwAAAAYxMDAzMDkEAAAAATIGAAAAATAHAAAAAzE2MAgAAAABMAkAAAABMQoAAAABMAsAAAAKOTc3MDk0NDcxNwwAAAACMTINAAAACjEwLzE1LzIwMTa7TLS9k3PVCJvzV0mXc9UIL0NJUS5OQVNEQVFH</t>
  </si>
  <si>
    <t>UzpJTlRDLklRX1BSSUNFX1NBTEVTLjIwMDAuMy8xMS8yMDE2AQAAAIdSAAACAAAACDIuNzIwNzI4AQcAAAAFAAAAATEBAAAACjE3NzU5MzMxNDADAAAAATACAAAABTM4OTU4BAAAAAEwBwAAAAkzLzExLzIwMTYIAAAACTMvMTEvMjAxNtvXubeTc9UIuwxMSZdz1Qg1Q0lRLk5hc2RhcUdTOklOVEMuSVFfVEVWX1RPVEFMX1JFVl9GV0QuNjAwMC4xLzMxLzIwMTQBAAAAh1IAAAIAAAAQMi4xNzAzNDkyMDM4MDkyMwENAAAABQAAAAE5AQAAAAcyNjIxMjk1AgAAAAc0NDU2NDIxAwAAAAYxMDAzMDcEAAAAATIGAAAAATAHAAAAAzE2MAgAAAABMAkAAAABMQoAAAABMAsAAAAKNjQ5NzgyMjQzMgwAAAACMTINAAAACDIvMS8yMDE0u0y0vZNz1Qj7ilFJl3PVCChDSVEuTkFTREFRR1M6SU5UQy5JUV9SRVZFTlVFX0VTVC5GUTMyMDE4AQAAAIdSAAACAAAACzE2ODg2LjYxOTYzAQ4AAAAFAAAAATMBAAAAATACAAAACjEwMDE1Mjg1MjUDAAAABjEwMDE4MAQAAAABMgYAAAABMAcAAAADMTYwCAAAAAEwCQAAAAExCgAAAAEwCwAAAAsxMDczNzI5NDYzMgwAAAABMg0AAAAJMi8xNS8yMDE4EAAAAAkyLzE0LzIwMTgb3VK7k3PVCHuUP0qXc9UILENJUS5eU1BYLklRX1RFVl9FQklUREFfRldEX0NJUS42MDAwLjgvOS8yMDE3AQAAAJu4KAACAAAACTEwLjQ4NjI2NQB7jbC7k3PVCKtZA0uXc9UINUNJUS5OYXNkYXFHUzpJTlRD</t>
  </si>
  <si>
    <t>LklRX1RFVl9UT1RBTF9SRVZfRldELjYwMDAuMS8yOS8yMDE2AQAAAIdSAAACAAAAEDIuNDMyMjAxMjQ5MTY4MDUBDQAAAAUAAAABOQEAAAAHMjYyMTI5NQIAAAAKMTAwMDkxNTQwMgMAAAAGMTAwMzA3BAAAAAEyBgAAAAEwBwAAAAMxNjAIAAAAATAJAAAAATEKAAAAATALAAAACjkyMzkyMzE4MTYMAAAAAjEyDQAAAAkxLzMwLzIwMTa7TLS9k3PVCMtoWEmXc9UIKENJUS5OQVNEQVFHUzpJTlRDLklRX1BUQlYuMjAwMC4xMC83LzIwMTYBAAAAh1IAAAIAAAAINS4zNjg1NjQBBwAAAAUAAAABMQEAAAAKMTgwMTI5NDUwMQMAAAABMAIAAAAGMTAwMDI5BAAAAAEwBwAAAAkxMC83LzIwMTYIAAAACTEwLzcvMjAxNvuOUruTc9UIOwlXSZdz1QgsQ0lRLl5TUFguSVFfVEVWX1RPVEFMX1JFVl9GV0QuNjAwMC41LzI5LzIwMTMBAAAAm7goAAIAAAAHMS42NjAyNQCrEme5k3PVCIujPUuXc9UINUNJUS5OYXNkYXFHUzpJTlRDLklRX1RFVl9UT1RBTF9SRVZfRldELjYwMDAuMy8xNy8yMDE3AQAAAIdSAAACAAAAEDIuOTE1MjgzODAyMDExMzEBDQAAAAUAAAABOQEAAAAHMjYyMTI5NQIAAAAKMTAwMDk0NDM4NwMAAAAGMTAwMzA3BAAAAAEyBgAAAAEwBwAAAAMxNjAIAAAAATAJAAAAATEKAAAAATALAAAACzEwMDYwNTg0NzI0DAAAAAIxMg0AAAAJMy8xOC8yMDE3+9VnuZNz1Qi7fU5Jl3PVCC5DSVEuXlNQWC5JUV9URVZf</t>
  </si>
  <si>
    <t>RUJJVERBX0ZXRF9DSVEuNjAwMC4xMS8xOC8yMDE1AQAAAJu4KAACAAAACDkuODE3NTgxACsEU7uTc9UIKxMuS5dz1QgfQ0lRLl5TUFguSVFfUFRCVi4yMDAwLjIvMTIvMjAxNAEAAACbuCgAAgAAAAg1LjEwNjM3NwC7aq+9k3PVCMvOO0uXc9UINkNJUS5OQVNEQVFHUzpJTlRDLklRX1RFVl9FQklUREFfRldEX0NJUS42MDAwLjMvMjgvMjAwMwEAAACHUgAAAgAAAA85LjI2MzMxMTI3MDM3MDIBDQAAAAUAAAABOQEAAAAHMjYyMTI5NQIAAAAEMTg3OAMAAAAGMTAwMzA4BAAAAAEyBgAAAAEwBwAAAAMxNjAIAAAAATAJAAAAATEKAAAAATALAAAACTM2MDY1OTA0MwwAAAACMTINAAAACTMvMjkvMjAwM0vDVbuTc9UIS9WNrpdz1Qg0Q0lRLk5hc2RhcUdTOklOVEMuSVFfVEVWX1RPVEFMX1JFVl9GV0QuNjAwMC44LzkvMjAxMwEAAACHUgAAAgAAABAyLjAwMDM5Mjc3MTkzNzU3AQ0AAAAFAAAAATkBAAAABzI2MjEyOTUCAAAABzM4Mjk3NTIDAAAABjEwMDMwNwQAAAABMgYAAAABMAcAAAADMTYwCAAAAAEwCQAAAAExCgAAAAEwCwAAAAo4ODYyNTQzMzAyDAAAAAIxMg0AAAAJOC8xMC8yMDEzq/tVuZNz1QgrcVRJl3PVCDZDSVEuTkFTREFRR1M6SU5UQy5JUV9URVZfRUJJVERBX0ZXRF9DSVEuNjAwMC40LzE3LzIwMDkBAAAAh1IAAAIAAAAQOC42MDA5Nzg1NjQ3MDk3OQENAAAABQAAAAE5AQAAAAcyNjIxMjk1AgAA</t>
  </si>
  <si>
    <t>AAcxNzU3MTU5AwAAAAYxMDAzMDgEAAAAATIGAAAAATAHAAAAAzE2MAgAAAABMAkAAAABMQoAAAABMAsAAAAKMTE2OTE0NTQ5OQwAAAACMTINAAAACTQvMTgvMjAwOduxVLuTc9UIS0aQrpdz1QgvQ0lRLk5BU0RBUUdTOklOVEMuSVFfUEVfRVhDTF9GV0QuNjAwMC40LzE2LzIwMDQBAAAAh1IAAAIAAAAQMjAuODc2MDg1MjQwNzI2MQENAAAABQAAAAE5AQAAAAcyNjIxMjk1AgAAAAcxNzU3MTQ0AwAAAAYxMDAzMDkEAAAAATIGAAAAATAHAAAAAzE2MAgAAAABMAkAAAABMQoAAAABMAsAAAAKMTE2OTE1NjE1MgwAAAACMTINAAAACTQvMTcvMjAwNGuJs72Tc9UIW8hZSZdz1QgvQ0lRLk5BU0RBUUdTOklOVEMuSVFfUFJJQ0VfU0FMRVMuMjAwMC4yLzI0LzIwMTIBAAAAh1IAAAIAAAAIMi41OTg4NDgBBwAAAAUAAAABMQEAAAAKMTUyMzQwMzg0OQMAAAABMAIAAAAFMzg5NTgEAAAAATAHAAAACTIvMjQvMjAxMggAAAAJMi8yNC8yMDEy+45Su5Nz1Qib81dJl3PVCDZDSVEuTkFTREFRR1M6SU5UQy5JUV9URVZfRUJJVERBX0ZXRF9DSVEuNjAwMC42LzMwLzIwMDYBAAAAh1IAAAIAAAAQOC43NDIwODM3Mzc0MDM1NQENAAAABQAAAAE5AQAAAAcyNjIxMjk1AgAAAAcxNzU3MTUwAwAAAAYxMDAzMDgEAAAAATIGAAAAATAHAAAAAzE2MAgAAAABMAkAAAABMQoAAAABMAsAAAAKMTE2OTEzMzI0NQwAAAACMTINAAAACDcv</t>
  </si>
  <si>
    <t>MS8yMDA2CydVu5Nz1Qh7u5Cul3PVCC9DSVEuTkFTREFRR1M6SU5UQy5JUV9QUklDRV9TQUxFUy4yMDAwLjUvMjYvMjAxNwEAAACHUgAAAgAAAAgyLjgzNTkxMwEHAAAABQAAAAExAQAAAAoxODM4MzYwMTMyAwAAAAEwAgAAAAUzODk1OAQAAAABMAcAAAAJNS8yNi8yMDE3CAAAAAk1LzI2LzIwMTdLGLC7k3PVCJugUEmXc9UIMENJUS5OQVNEQVFHUzpJTlRDLklRX1BFX0VYQ0xfRldELjYwMDAuMTIvMjAvMjAwMgEAAACHUgAAAgAAABAyOS45NjgyODc1MjY0MjcxAQ0AAAAFAAAAATkBAAAABzI2MjEyOTUCAAAABzE3NTcxNDADAAAABjEwMDMwOQQAAAABMgYAAAABMAcAAAADMTYwCAAAAAEwCQAAAAExCgAAAAEwCwAAAAo4ODU5ODg5NDU3DAAAAAIxMg0AAAAKMTIvMjEvMjAwMnuws72Tc9UIi+pSSZdz1QguQ0lRLk5BU0RBUUdTOklOVEMuSVFfUEVfRVhDTF9GV0QuNjAwMC4xLzkvMjAxNQEAAACHUgAAAgAAABAxNS41NDA3MTE5MzAzMjg5AQ0AAAAFAAAAATkBAAAABzI2MjEyOTUCAAAABzQ0NTY0MjkDAAAABjEwMDMwOQQAAAABMgYAAAABMAcAAAADMTYwCAAAAAEwCQAAAAExCgAAAAEwCwAAAAo4NTE4ODEyODAwDAAAAAIxMg0AAAAJMS8xMC8yMDE161CyvZNz1QirqVVJl3PVCC9DSVEuTkFTREFRR1M6SU5UQy5JUV9QUklDRV9TQUxFUy4yMDAwLjgvMjAvMjAxNAEAAACHUgAAAgAAAAczLjE4NDk0AQcA</t>
  </si>
  <si>
    <t>AAAFAAAAATEBAAAACjE2ODgwODA5OTIDAAAAATACAAAABTM4OTU4BAAAAAEwBwAAAAk4LzIwLzIwMTQIAAAACTgvMjAvMjAxNKtDr72Tc9UIG7A3S5dz1Qg1Q0lRLk5BU0RBUUdTOklOVEMuSVFfVEVWX0VCSVREQV9GV0RfQ0lRLjYwMDAuNi8xLzIwMDcBAAAAh1IAAAIAAAAQOS4wMjcyNjM3MTA4MzI3NQENAAAABQAAAAE5AQAAAAcyNjIxMjk1AgAAAAcxNzU3MTUzAwAAAAYxMDAzMDgEAAAAATIGAAAAATAHAAAAAzE2MAgAAAABMAkAAAABMQoAAAABMAsAAAAKMTE2OTEzNjgzMQwAAAACMTINAAAACDYvMi8yMDA3+/9Uu5Nz1Qh7u5Cul3PVCChDSVEuTkFTREFRR1M6SU5UQy5JUV9QVEJWLjIwMDAuMi8xNy8yMDEyAQAAAIdSAAACAAAACDQuNTY1MjY5AQcAAAAFAAAAATEBAAAACjE0OTA0NjQ0MDUDAAAAATACAAAABjEwMDAyOQQAAAABMAcAAAAJMi8xNy8yMDEyCAAAAAkyLzE3LzIwMTJLGLC7k3PVCMsVUUmXc9UIN0NJUS5OQVNEQVFHUzpJTlRDLklRX1RFVl9FQklUREFfRldEX0NJUS42MDAwLjExLzI2LzIwMDQBAAAAh1IAAAIAAAAQOS42NjE3NzU0MzAxMDE2MQENAAAABQAAAAE5AQAAAAcyNjIxMjk1AgAAAAcxNzU3MTQ2AwAAAAYxMDAzMDgEAAAAATIGAAAAATAHAAAAAzE2MAgAAAABMAkAAAABMQoAAAABMAsAAAAKMTE2OTEyOTY4NgwAAAACMTINAAAACjExLzI3LzIwMDQrdVW7k3PVCHtKjq6X</t>
  </si>
  <si>
    <t>c9UIJ0NJUS5OQVNEQVFHUzpJTlRDLklRX1JFVkVOVUVfRVNULkZZMjAxOAEAAACHUgAAAgAAAAs2NDgzOS44ODA4MQEOAAAABQAAAAEzAQAAAAEwAgAAAAoxMDAxNTI4NTI3AwAAAAYxMDAxODAEAAAAATIGAAAAATAHAAAAAzE2MAgAAAABMAkAAAABMQoAAAABMAsAAAALMTA3MzcyOTQ4NzIMAAAAATENAAAACTIvMTUvMjAxOBAAAAAJMi8xNC8yMDE427ivvZNz1QiLuz9Kl3PVCC1DSVEuXlNQWC5JUV9URVZfRUJJVERBX0ZXRF9DSVEuNjAwMC42LzI0LzIwMTUBAAAAm7goAAIAAAAJMTAuMDQ3ODg4ANu4r72Tc9UIS9IwS5dz1QguQ0lRLk5BU0RBUUdTOklOVEMuSVFfUEVfRVhDTF9GV0QuNjAwMC4zLzUvMjAwNAEAAACHUgAAAgAAABAyMy40NzkzMTg3MzQ3OTMyAQ0AAAAFAAAAATkBAAAABzI2MjEyOTUCAAAABDE4NzkDAAAABjEwMDMwOQQAAAABMgYAAAABMAcAAAADMTYwCAAAAAEwCQAAAAExCgAAAAEwCwAAAAcxNTA0MDg2DAAAAAIxMg0AAAAIMy82LzIwMDRribO9k3PVCHulV0mXc9UIL0NJUS5OQVNEQVFHUzpJTlRDLklRX1BFX0VYQ0xfRldELjYwMDAuMTIvNS8yMDE0AQAAAIdSAAACAAAAEDE1Ljg4MTc4MjUzNzIwNjUBDQAAAAUAAAABOQEAAAAHMjYyMTI5NQIAAAAHNDQ1NjQyOQMAAAAGMTAwMzA5BAAAAAEyBgAAAAEwBwAAAAMxNjAIAAAAATAJAAAAATEKAAAAATALAAAACjg1MTAxNjMzMDQM</t>
  </si>
  <si>
    <t>AAAAAjEyDQAAAAkxMi82LzIwMTT7d7K9k3PVCHulV0mXc9UINUNJUS5OYXNkYXFHUzpJTlRDLklRX1RFVl9UT1RBTF9SRVZfRldELjYwMDAuMTIvNS8yMDA4AQAAAIdSAAACAAAADzEuOTA4NTIxOTgxODAzNwENAAAABQAAAAE5AQAAAAcyNjIxMjk1AgAAAAcxNzU3MTU4AwAAAAYxMDAzMDcEAAAAATIGAAAAATAHAAAAAzE2MAgAAAABMAkAAAABMQoAAAABMAsAAAAKODg2MjAyOTQwOQwAAAACMTINAAAACTEyLzYvMjAwOLvUVruTc9UIW8hZSZdz1QgoQ0lRLk5BU0RBUUdTOklOVEMuSVFfUFRCVi4yMDAwLjYvMzAvMjAxNwEAAACHUgAAAgAAAAgzLjY0NTA3OAEHAAAABQAAAAExAQAAAAoxODM4MzYwMTMyAwAAAAEwAgAAAAYxMDAwMjkEAAAAATAHAAAACTYvMzAvMjAxNwgAAAAJNi8zMC8yMDE3e51muZNz1QgLI1RJl3PVCC9DSVEuTkFTREFRR1M6SU5UQy5JUV9QRV9FWENMX0ZXRC42MDAwLjEvMjQvMjAwMwEAAACHUgAAAgAAABAyNS41MDM2MzY0ODA2NTkxAQ0AAAAFAAAAATkBAAAABzI2MjEyOTUCAAAABDE4NzgDAAAABjEwMDMwOQQAAAABMgYAAAABMAcAAAADMTYwCAAAAAEwCQAAAAExCgAAAAEwCwAAAAcxNTAwMzQyDAAAAAIxMg0AAAAJMS8yNS8yMDAze7CzvZNz1QhbdVJJl3PVCDVDSVEuTmFzZGFxR1M6SU5UQy5JUV9URVZfVE9UQUxfUkVWX0ZXRC42MDAwLjkvMzAvMjAxNgEAAACHUgAAAgAA</t>
  </si>
  <si>
    <t>ABAzLjExNzEzMTAwODcwNDAzAQ0AAAAFAAAAATkBAAAABzI2MjEyOTUCAAAACDI3MDAzNjUyAwAAAAYxMDAzMDcEAAAAATIGAAAAATAHAAAAAzE2MAgAAAABMAkAAAABMQoAAAABMAsAAAAKOTc0NjgwNTQ1MwwAAAACMTINAAAACTEwLzEvMjAxNpv+s72Tc9UIGyxZSZdz1Qg3Q0lRLk5BU0RBUUdTOklOVEMuSVFfVEVWX0VCSVREQV9GV0RfQ0lRLjYwMDAuMTAvMjcvMjAwNgEAAACHUgAAAgAAABA5LjQ0NDc2NDQwMjAyNzgzAQ0AAAAFAAAAATkBAAAABzI2MjEyOTUCAAAABzE3NTcxNTIDAAAABjEwMDMwOAQAAAABMgYAAAABMAcAAAADMTYwCAAAAAEwCQAAAAExCgAAAAEwCwAAAAoxMTY5MTM1NzI5DAAAAAIxMg0AAAAKMTAvMjgvMjAwNgsnVbuTc9UIa5SQrpdz1QgvQ0lRLk5BU0RBUUdTOklOVEMuSVFfUEVfRVhDTF9GV0QuNjAwMC4xMC8xLzIwMDQBAAAAh1IAAAIAAAAQMTguOTU0NTQ1NDU0NTQ1NQENAAAABQAAAAE5AQAAAAcyNjIxMjk1AgAAAAcxNzU3MTQ1AwAAAAYxMDAzMDkEAAAAATIGAAAAATAHAAAAAzE2MAgAAAABMAkAAAABMQoAAAABMAsAAAAKMTE2OTE1NjcyMgwAAAACMTINAAAACTEwLzIvMjAwNGuJs72Tc9UIS2xNSZdz1QgtQ0lRLl5TUFguSVFfVEVWX0VCSVREQV9GV0RfQ0lRLjYwMDAuNC8xNy8yMDEzAQAAAJu4KAACAAAACDcuODA5NzI1AOv+ubeTc9UIq/E9S5dz1QgvQ0lRLk5B</t>
  </si>
  <si>
    <t>U0RBUUdTOklOVEMuSVFfUFJJQ0VfU0FMRVMuMjAwMC44LzEzLzIwMTABAAAAh1IAAAIAAAAIMi41ODUyNjQBBwAAAAUAAAABMQEAAAAKMTM4OTcxMDc0NAMAAAABMAIAAAAFMzg5NTgEAAAAATAHAAAACTgvMTMvMjAxMAgAAAAJOC8xMy8yMDEw29e5t5Nz1QjbWkxJl3PVCCRDSVEuXlNQWC5JUV9MQVNUU0FMRVBSSUNFLjEyLzE4LzIwMTMBAAAAm7goAAIAAAAQMTgxMC42NDgzMzQ4NDQ2NADb17m3k3PVCAtrPEuXc9UINkNJUS5OYXNkYXFHUzpJTlRDLklRX1RFVl9FQklUREFfRldEX0NJUS42MDAwLjEwLzMvMjAwMwEAAACHUgAAAgAAABAxMy4xNjUxMTQzMDUyMTEyAQ0AAAAFAAAAATkBAAAABzI2MjEyOTUCAAAABzE3NTcxNDIDAAAABjEwMDMwOAQAAAABMgYAAAABMAcAAAADMTYwCAAAAAEwCQAAAAExCgAAAAEwCwAAAAoxMTY5MTI3Njg0DAAAAAIxMg0AAAAJMTAvNC8yMDAzi7Swu5Nz1QhrlJCul3PVCDZDSVEuTmFzZGFxR1M6SU5UQy5JUV9URVZfVE9UQUxfUkVWX0ZXRC42MDAwLjExLzExLzIwMDUBAAAAh1IAAAIAAAAPMy4zNTExNDc2NTYwNjI3AQ0AAAAFAAAAATkBAAAABzI2MjEyOTUCAAAABzE3NTcxNDkDAAAABjEwMDMwNwQAAAABMgYAAAABMAcAAAADMTYwCAAAAAEwCQAAAAExCgAAAAEwCwAAAAoxMTY5MTMxNDUzDAAAAAIxMg0AAAAKMTEvMTIvMjAwNdt3sbuTc9UIW+ZUSZdz1QgpQ0lR</t>
  </si>
  <si>
    <t>Lk5BU0RBUUdTOklOVEMuSVFfUFRCVi4yMDAwLjExLzMwLzIwMTIBAAAAh1IAAAIAAAAIMi45MTYxNjUBBwAAAAUAAAABMQEAAAAKMTU3Mzg4Nzc5NQMAAAABMAIAAAAGMTAwMDI5BAAAAAEwBwAAAAoxMS8zMC8yMDEyCAAAAAoxMS8zMC8yMDEyC7ZSu5Nz1QirqVVJl3PVCDBDSVEuTkFTREFRR1M6SU5UQy5JUV9QRV9FWENMX0ZXRC42MDAwLjEwLzE0LzIwMDUBAAAAh1IAAAIAAAAQMTUuNjMyNTcwNjU5NDg4NgENAAAABQAAAAE5AQAAAAcyNjIxMjk1AgAAAAcxNzU3MTQ4AwAAAAYxMDAzMDkEAAAAATIGAAAAATAHAAAAAzE2MAgAAAABMAkAAAABMQoAAAABMAsAAAAKODg2MjM5ODkzNgwAAAACMTINAAAACjEwLzE1LzIwMDVribO9k3PVCIvMV0mXc9UIL0NJUS5OQVNEQVFHUzpJTlRDLklRX1BFX0VYQ0xfRldELjYwMDAuNC8yNy8yMDAxAQAAAIdSAAACAAAAEDUzLjQyNTM2NzMyMTY0OTkBDQAAAAUAAAABOQEAAAAHMjYyMTI5NQIAAAAHMzQyMTE2MAMAAAAGMTAwMzA5BAAAAAEyBgAAAAEwBwAAAAMxNjAIAAAAATAJAAAAATEKAAAAATALAAAACjExNjkxNzMxODIMAAAAAjEyDQAAAAk0LzI4LzIwMDGL17O9k3PVCHs0VUmXc9UIHkNJUS5eU1BYLklRX1BUQlYuMjAwMC4xLzgvMjAxNAEAAACbuCgAAgAAAAg1LjQwMDUzNgBbOFW5k3PVCAtrPEuXc9UILkNJUS5OQVNEQVFHUzpJTlRDLklRX1BSSUNFX1NB</t>
  </si>
  <si>
    <t>TEVTLjIwMDAuOC82LzIwMTQBAAAAh1IAAAIAAAAIMy4wMzIxNTUBBwAAAAUAAAABMQEAAAAKMTY4ODA4MDk5MgMAAAABMAIAAAAFMzg5NTgEAAAAATAHAAAACDgvNi8yMDE0CAAAAAg4LzYvMjAxNLtqr72Tc9UIK9c3S5dz1QgrQ0lRLk5BU0RBUUdTOklOVEMuSVFfTEFTVFNBTEVQUklDRS4xLzgvMjAxNAEAAACHUgAAAgAAAAUyNS40MwDLka+9k3PVCAtrPEuXc9UIMENJUS5OQVNEQVFHUzpJTlRDLklRX1BFX0VYQ0xfRldELjYwMDAuMTAvMTkvMjAxMgEAAACHUgAAAgAAABAxMC43ODcyOTc3MjIzMTUyAQ0AAAAFAAAAATkBAAAABzI2MjEyOTUCAAAABzE3NTcxNzADAAAABjEwMDMwOQQAAAABMgYAAAABMAcAAAADMTYwCAAAAAEwCQAAAAExCgAAAAEwCwAAAAo4ODYzNDM0NjI1DAAAAAIxMg0AAAAKMTAvMjAvMjAxMgufsr2Tc9UIOwlXSZdz1QgoQ0lRLk5BU0RBUUdTOklOVEMuSVFfUFRCVi4yMDAwLjYvMTUvMjAxMgEAAACHUgAAAgAAAAg0LjM3MTUzNQEHAAAABQAAAAExAQAAAAoxNTQ1MTU2NDM4AwAAAAEwAgAAAAYxMDAwMjkEAAAAATAHAAAACTYvMTUvMjAxMggAAAAJNi8xNS8yMDEyO+pUuZNz1QhbBFBJl3PVCDZDSVEuTmFzZGFxR1M6SU5UQy5JUV9URVZfRUJJVERBX0ZXRF9DSVEuNjAwMC45LzI1LzIwMTUBAAAAh1IAAAIAAAAQNS44MjUzNzU3NDk1Mzk1MQENAAAABQAAAAE5AQAAAAcyNjIx</t>
  </si>
  <si>
    <t>Mjk1AgAAAAc4MDY4MjYxAwAAAAYxMDAzMDgEAAAAATIGAAAAATAHAAAAAzE2MAgAAAABMAkAAAABMQoAAAABMAsAAAAKOTAyMjY5MDQ0NgwAAAACMTINAAAACTkvMjYvMjAxNbspsbuTc9UIa5SQrpdz1QgtQ0lRLl5TUFguSVFfVEVWX0VCSVREQV9GV0RfQ0lRLjYwMDAuNy8xMi8yMDE3AQAAAJu4KAACAAAACTEwLjUzOTM4OQB7hlW5k3PVCPv+CEuXc9UILkNJUS5OQVNEQVFHUzpJTlRDLklRX1BSSUNFX1NBTEVTLjIwMDAuOS84LzIwMTcBAAAAh1IAAAIAAAAIMi42OTQ5NDgBBwAAAAUAAAABMQEAAAAKMTg1MDYxODY2NAMAAAABMAIAAAAFMzg5NTgEAAAAATAHAAAACDkvOC8yMDE3CAAAAAg5LzgvMjAxN0sRVbmTc9UIO7ZPSZdz1QgvQ0lRLk5BU0RBUUdTOklOVEMuSVFfUEVfRVhDTF9GV0QuNjAwMC43LzE1LzIwMTEBAAAAh1IAAAIAAAAQOS44MTcwMDA5MjE1NzgwOQENAAAABQAAAAE5AQAAAAcyNjIxMjk1AgAAAAcxNzU3MTY1AwAAAAYxMDAzMDkEAAAAATIGAAAAATAHAAAAAzE2MAgAAAABMAkAAAABMQoAAAABMAsAAAAKODg2NDQyODkxOQwAAAACMTINAAAACTcvMTYvMjAxMRvGsr2Tc9UIG0pUSZdz1QggQ0lRLl5TUFguSVFfUFRCVi4yMDAwLjEyLzI0LzIwMTQBAAAAm7goAAIAAAAINS42ODE1MjUAi8RmuZNz1QgrZjVLl3PVCC9DSVEuTkFTREFRR1M6SU5UQy5JUV9QUklDRV9TQUxFUy4yMDAw</t>
  </si>
  <si>
    <t>LjQvMjQvMjAxMwEAAACHUgAAAgAAAAgyLjIyMzk2OAEHAAAABQAAAAExAQAAAAoxNjAzODk3NjM1AwAAAAEwAgAAAAUzODk1OAQAAAABMAcAAAAJNC8yNC8yMDEzCAAAAAk0LzI0LzIwMTNLGLC7k3PVCKvxPUuXc9UIN0NJUS5OQVNEQVFHUzpJTlRDLklRX1RFVl9FQklUREFfRldEX0NJUS42MDAwLjExLzIxLzIwMTQBAAAAh1IAAAIAAAAQNi44MTU0NDg2MTc3Njc5NAENAAAABQAAAAE5AQAAAAcyNjIxMjk1AgAAAAc0NDU2NDI5AwAAAAYxMDAzMDgEAAAAATIGAAAAATAHAAAAAzE2MAgAAAABMAkAAAABMQoAAAABMAsAAAAKODY0ODEwMjM2NgwAAAACMTINAAAACjExLzIyLzIwMTRroFO7k3PVCBtgja6Xc9UIL0NJUS5OQVNEQVFHUzpJTlRDLklRX1BFX0VYQ0xfRldELjYwMDAuNS8zMC8yMDAzAQAAAIdSAAACAAAAEDMyLjAxMTA3MDExMDcwMTEBDQAAAAUAAAABOQEAAAAHMjYyMTI5NQIAAAAHMTc1NzE0MQMAAAAGMTAwMzA5BAAAAAEyBgAAAAEwBwAAAAMxNjAIAAAAATAJAAAAATEKAAAAATALAAAACjExNjkxNTQxMzQMAAAAAjEyDQAAAAk1LzMxLzIwMDN7sLO9k3PVCEu/VEmXc9UIL0NJUS5OQVNEQVFHUzpJTlRDLklRX1BFX0VYQ0xfRldELjYwMDAuNy8xNC8yMDA2AQAAAIdSAAACAAAAEDIwLjEwMTE4MDQzODQ0ODYBDQAAAAUAAAABOQEAAAAHMjYyMTI5NQIAAAAHMTc1NzE1MAMAAAAGMTAwMzA5</t>
  </si>
  <si>
    <t>BAAAAAEyBgAAAAEwBwAAAAMxNjAIAAAAATAJAAAAATEKAAAAATALAAAACjkwNDMxMzI4ODQMAAAAAjEyDQAAAAk3LzE1LzIwMDa7TLS9k3PVCCuPT0mXc9UIL0NJUS5OQVNEQVFHUzpJTlRDLklRX1BSSUNFX1NBTEVTLjIwMDAuNC8xNS8yMDE1AQAAAIdSAAACAAAACDIuODQ0ODAyAQcAAAAFAAAAATEBAAAACjE3MjgyMTQzMTQDAAAAATACAAAABTM4OTU4BAAAAAEwBwAAAAk0LzE1LzIwMTUIAAAACTQvMTUvMjAxNTvxr7uTc9UI2zEyS5dz1Qg1Q0lRLk5BU0RBUUdTOklOVEMuSVFfVEVWX0VCSVREQV9GV0RfQ0lRLjYwMDAuMi83LzIwMDMBAAAAh1IAAAIAAAAQNy45MzY5NDY4NzMwMTg1NwENAAAABQAAAAE5AQAAAAcyNjIxMjk1AgAAAAQxODc4AwAAAAYxMDAzMDgEAAAAATIGAAAAATAHAAAAAzE2MAgAAAABMAkAAAABMQoAAAABMAsAAAAJMzYwNjU5MDQxDAAAAAIxMg0AAAAIMi84LzIwMDNLw1W7k3PVCAs5ja6Xc9UINkNJUS5OQVNEQVFHUzpJTlRDLklRX1RFVl9FQklUREFfRldEX0NJUS42MDAwLjkvMTcvMjAwNAEAAACHUgAAAgAAABA3LjM4NjkxMjEzMTc1MTA1AQ0AAAAFAAAAATkBAAAABzI2MjEyOTUCAAAABzE3NTcxNDUDAAAABjEwMDMwOAQAAAABMgYAAAABMAcAAAADMTYwCAAAAAEwCQAAAAExCgAAAAEwCwAAAAoxMTY5MTI5MTQyDAAAAAIxMg0AAAAJOS8xOC8yMDA0K3VVu5Nz1Qi75o6u</t>
  </si>
  <si>
    <t>l3PVCDVDSVEuTmFzZGFxR1M6SU5UQy5JUV9URVZfVE9UQUxfUkVWX0ZXRC42MDAwLjMvMjcvMjAxNQEAAACHUgAAAgAAAA8yLjcwNTEzNjI0NDI0ODgBDQAAAAUAAAABOQEAAAAHMjYyMTI5NQIAAAAKMTAwMDA5NDA3MQMAAAAGMTAwMzA3BAAAAAEyBgAAAAEwBwAAAAMxNjAIAAAAATAJAAAAATEKAAAAATALAAAACjg2OTY1ODQxMjYMAAAAAjEyDQAAAAkzLzI4LzIwMTX7lry3k3PVCEu/VEmXc9UILENJUS5eU1BYLklRX1RFVl9UT1RBTF9SRVZfRldELjYwMDAuNS8zMS8yMDE3AQAAAJu4KAACAAAACDIuMjA4Nzc4AGtmsLuTc9UI6yoQS5dz1Qg2Q0lRLk5hc2RhcUdTOklOVEMuSVFfVEVWX0VCSVREQV9GV0RfQ0lRLjYwMDAuMTEvOC8yMDEzAQAAAIdSAAACAAAAEDUuNDU1NjA1Nzg1NzA0NzUBDQAAAAUAAAABOQEAAAAHMjYyMTI5NQIAAAAHMzgyOTc1MwMAAAAGMTAwMzA4BAAAAAEyBgAAAAEwBwAAAAMxNjAIAAAAATAJAAAAATEKAAAAATALAAAACjc2MTc1NzcyMTkMAAAAAjEyDQAAAAkxMS85LzIwMTPLULG7k3PVCEtGkK6Xc9UIN0NJUS5OQVNEQVFHUzpJTlRDLklRX1RFVl9FQklUREFfRldEX0NJUS42MDAwLjExLzI0LzIwMDYBAAAAh1IAAAIAAAAQOS4zMTAzNzk3OTk1MTEwNwENAAAABQAAAAE5AQAAAAcyNjIxMjk1AgAAAAcxNzU3MTUyAwAAAAYxMDAzMDgEAAAAATIGAAAAATAHAAAAAzE2MAgA</t>
  </si>
  <si>
    <t>AAABMAkAAAABMQoAAAABMAsAAAAKNjgzMTQ0MDYxNwwAAAACMTINAAAACjExLzI1LzIwMDYLJ1W7k3PVCHtKjq6Xc9UIKENJUS5OQVNEQVFHUzpJTlRDLklRX1BUQlYuMjAwMC41LzEzLzIwMTEBAAAAh1IAAAIAAAAIMy45NzcxOTYBBwAAAAUAAAABMQEAAAAKMTQ1MjQ3NTg3MgMAAAABMAIAAAAGMTAwMDI5BAAAAAEwBwAAAAk1LzEzLzIwMTEIAAAACTUvMTMvMjAxMcuwubeTc9UIa7pNSZdz1QgfQ0lRLl5TUFguSVFfUFRCVi4yMDAwLjUvMzEvMjAxNwEAAACbuCgAAgAAAAg4LjYyMjI0MgDbqoi2k3PVCOsqEEuXc9UIMENJUS5OQVNEQVFHUzpJTlRDLklRX1BFX0VYQ0xfRldELjYwMDAuMTEvMjcvMjAxNQEAAACHUgAAAgAAABAxNC44NDY0MDkwMzAyMDEyAQ0AAAAFAAAAATkBAAAABzI2MjEyOTUCAAAABzgwNjgyNjIDAAAABjEwMDMwOQQAAAABMgYAAAABMAcAAAADMTYwCAAAAAEwCQAAAAExCgAAAAEwCwAAAAo5MTY1MTcxODY4DAAAAAIxMg0AAAAKMTEvMjgvMjAxNetQsr2Tc9UIS79USZdz1QgsQ0lRLl5TUFguSVFfVEVWX1RPVEFMX1JFVl9GV0QuNjAwMC41LzIyLzIwMTMBAAAAm7goAAIAAAAIMS42NTkxOTIA6/65t5Nz1Qibyj1Ll3PVCCNDSVEuXlNQWC5JUV9MQVNUU0FMRVBSSUNFLjYvMTgvMjAxNAEAAACbuCgAAgAAABAxOTU2Ljk4NDExNDA0MTQyAOv+ubeTc9UIa3M4S5dz1QgsQ0lRLl5T</t>
  </si>
  <si>
    <t>UFguSVFfVEVWX1RPVEFMX1JFVl9GV0QuNjAwMC4xLzE0LzIwMTUBAAAAm7goAAIAAAAIMS45NDUyNzgAe42wu5Nz1QjbojRLl3PVCDZDSVEuTkFTREFRR1M6SU5UQy5JUV9URVZfRUJJVERBX0ZXRF9DSVEuNjAwMC42LzEzLzIwMTQBAAAAh1IAAAIAAAAQNi4xMDU1NTY5MzI4MzcwNQENAAAABQAAAAE5AQAAAAcyNjIxMjk1AgAAAAc0NDU2NDI3AwAAAAYxMDAzMDgEAAAAATIGAAAAATAHAAAAAzE2MAgAAAABMAkAAAABMQoAAAABMAsAAAAKODE2OTYxNjE2OAwAAAACMTINAAAACTYvMTQvMjAxNHvHU7uTc9UI6+qMrpdz1Qg1Q0lRLk5BU0RBUUdTOklOVEMuSVFfVEVWX0VCSVREQV9GV0RfQ0lRLjYwMDAuMy80LzIwMTYBAAAAh1IAAAIAAAAQNi4xOTUzNDM3Mjc5MjE2MgENAAAABQAAAAE5AQAAAAcyNjIxMjk1AgAAAAoxMDAwOTE1NDAyAwAAAAYxMDAzMDgEAAAAATIGAAAAATAHAAAAAzE2MAgAAAABMAkAAAABMQoAAAABMAsAAAAKOTMzMzA1MDk2NAwAAAACMTINAAAACDMvNS8yMDE2W3lTu5Nz1QjLDY+ul3PVCCdDSVEuXlNQWC5JUV9QRV9FWENMX0ZXRC42MDAwLjExLzE1LzIwMTcBAAAAm7goAAIAAAAIMTguNDE0MjgA6/65t5Nz1Qi7NOZKl3PVCCxDSVEuXlNQWC5JUV9URVZfVE9UQUxfUkVWX0ZXRC42MDAwLjcvMTkvMjAxNwEAAACbuCgAAgAAAAgyLjIzNzMwOQBrX1W5k3PVCFt4B0uXc9UILUNJ</t>
  </si>
  <si>
    <t>US5eU1BYLklRX1RFVl9FQklUREFfRldEX0NJUS42MDAwLjgvMzAvMjAxNwEAAACbuCgAAgAAAAkxMC40NzUzMDMA27ivvZNz1QgbGP1Kl3PVCClDSVEuTkFTREFRR1M6SU5UQy5JUV9QVEJWLjIwMDAuMTAvMTEvMjAxMwEAAACHUgAAAgAAAAgzLjAzMTA5MQEHAAAABQAAAAExAQAAAAoxNjI4NDM2ODQ5AwAAAAEwAgAAAAYxMDAwMjkEAAAAATAHAAAACjEwLzExLzIwMTMIAAAACjEwLzExLzIwMTP7jlK7k3PVCBu7VkmXc9UIMENJUS5OQVNEQVFHUzpJTlRDLklRX1BSSUNFX1NBTEVTLjIwMDAuMTEvMjkvMjAxMwEAAACHUgAAAgAAAAgyLjI2MjQ3OQEHAAAABQAAAAExAQAAAAoxNjQyNDgzNzkyAwAAAAEwAgAAAAUzODk1OAQAAAABMAcAAAAKMTEvMjkvMjAxMwgAAAAKMTEvMjkvMjAxM0sRVbmTc9UIK49PSZdz1QguQ0lRLk5BU0RBUUdTOklOVEMuSVFfUEVfRVhDTF9GV0QuNjAwMC41LzEvMjAxNQEAAACHUgAAAgAAABAxNC43MjI0NjY5NjAzNTI0AQ0AAAAFAAAAATkBAAAABzI2MjEyOTUCAAAABzgwNjgyNjADAAAABjEwMDMwOQQAAAABMgYAAAABMAcAAAADMTYwCAAAAAEwCQAAAAExCgAAAAEwCwAAAAo4ODgyOTQxMjA5DAAAAAIxMg0AAAAINS8yLzIwMTXrULK9k3PVCIsITkmXc9UILENJUS5eU1BYLklRX1RFVl9UT1RBTF9SRVZfRldELjYwMDAuOS8xNC8yMDE2AQAAAJu4KAACAAAACDIuMDM2MjMx</t>
  </si>
  <si>
    <t>ACsEU7uTc9UI+9kjS5dz1QgvQ0lRLk5BU0RBUUdTOklOVEMuSVFfUEVfRVhDTF9GV0QuNjAwMC4xLzI2LzIwMDEBAAAAh1IAAAIAAAAQMzQuMjY0NTY1NDI1MDIzOQENAAAABQAAAAE5AQAAAAcyNjIxMjk1AgAAAAczMTUxMzAxAwAAAAYxMDAzMDkEAAAAATIGAAAAATAHAAAAAzE2MAgAAAABMAkAAAABMQoAAAABMAsAAAAJMzExNTUwODcyDAAAAAIxMg0AAAAJMS8yNy8yMDAxi9ezvZNz1Qib81dJl3PVCC9DSVEuTkFTREFRR1M6SU5UQy5JUV9QRV9FWENMX0ZXRC42MDAwLjYvMjcvMjAwOAEAAACHUgAAAgAAABAxNi4xMDgyMzc3NjMyODYxAQ0AAAAFAAAAATkBAAAABzI2MjEyOTUCAAAABzE3NTcxNTYDAAAABjEwMDMwOQQAAAABMgYAAAABMAcAAAADMTYwCAAAAAEwCQAAAAExCgAAAAEwCwAAAAo4MTcxNTc3NzY4DAAAAAIxMg0AAAAJNi8yOC8yMDA4SzuzvZNz1Qhr71lJl3PVCCxDSVEuTkFTREFRR1M6SU5UQy5JUV9MQVNUU0FMRVBSSUNFLjEvMTAvMjAxOAEAAACHUgAAAgAAAAQ0Mi41AOv+ubeTc9UI22KYSpdz1QgvQ0lRLk5BU0RBUUdTOklOVEMuSVFfUEVfRVhDTF9GV0QuNjAwMC41LzExLzIwMTIBAAAAh1IAAAIAAAAPMTAuMTg1Nzk5NjAxODU4AQ0AAAAFAAAAATkBAAAABzI2MjEyOTUCAAAABzE3NTcxNjgDAAAABjEwMDMwOQQAAAABMgYAAAABMAcAAAADMTYwCAAAAAEwCQAAAAExCgAAAAEw</t>
  </si>
  <si>
    <t>CwAAAAo4ODYzNDM0OTA2DAAAAAIxMg0AAAAJNS8xMi8yMDEyG8ayvZNz1QhbyFlJl3PVCClDSVEuTkFTREFRR1M6SU5UQy5JUV9QVEJWLjIwMDAuMTAvMTYvMjAxNQEAAACHUgAAAgAAAAgzLjcyOTk1NQEHAAAABQAAAAExAQAAAAoxNzYwMDE2MDU4AwAAAAEwAgAAAAYxMDAwMjkEAAAAATAHAAAACjEwLzE2LzIwMTUIAAAACjEwLzE2LzIwMTXLsLm3k3PVCAvQTEmXc9UINUNJUS5OYXNkYXFHUzpJTlRDLklRX1RFVl9UT1RBTF9SRVZfRldELjYwMDAuOC8yNi8yMDExAQAAAIdSAAACAAAAEDEuNzA4MzEzMDYwMzQ3NzgBDQAAAAUAAAABOQEAAAAHMjYyMTI5NQIAAAAHMTc1NzE2NgMAAAAGMTAwMzA3BAAAAAEyBgAAAAEwBwAAAAMxNjAIAAAAATAJAAAAATEKAAAAATALAAAACjg4NjQ0MzEzNDcMAAAAAjEyDQAAAAk4LzI3LzIwMTFLmWi5k3PVCBssWUmXc9UIJkNJUS5eU1BYLklRX1BFX0VYQ0xfRldELjYwMDAuOS8yNy8yMDE3AQAAAJu4KAACAAAACTE4LjQzMjc3MgBrZrC7k3PVCEvJ80qXc9UIL0NJUS5OQVNEQVFHUzpJTlRDLklRX1BFX0VYQ0xfRldELjYwMDAuMi8xOC8yMDA1AQAAAIdSAAACAAAAEDE5LjQ2NTE1Mzk3MDgyNjYBDQAAAAUAAAABOQEAAAAHMjYyMTI5NQIAAAAEMTg4MAMAAAAGMTAwMzA5BAAAAAEyBgAAAAEwBwAAAAMxNjAIAAAAATAJAAAAATEKAAAAATALAAAABzE1MDkwNjkMAAAA</t>
  </si>
  <si>
    <t>AjEyDQAAAAkyLzE5LzIwMDVribO9k3PVCLvQVUmXc9UIJUNJUS5eU1BYLklRX1BFX0VYQ0xfRldELjYwMDAuOC81LzIwMTUBAAAAm7goAAIAAAAJMTcuMjAyODc5AOv+ubeTc9UI28AvS5dz1QgvQ0lRLk5BU0RBUUdTOklOVEMuSVFfUFJJQ0VfU0FMRVMuMjAwMC43LzI2LzIwMTcBAAAAh1IAAAIAAAAIMi43MTc4MTUBBwAAAAUAAAABMQEAAAAKMTgzODM2MDEzMgMAAAABMAIAAAAFMzg5NTgEAAAAATAHAAAACTcvMjYvMjAxNwgAAAAJNy8yNi8yMDE3O/Gvu5Nz1QjbPwZLl3PVCC1DSVEuXlNQWC5JUV9URVZfRUJJVERBX0ZXRF9DSVEuNjAwMC4xLzE3LzIwMTgBAAAAm7goAAIAAAAJMTEuMjA1ODQxAGtfVbmTc9UIC26ASpdz1QgjQ0lRLl5TUFguSVFfTEFTVFNBTEVQUklDRS45LzE2LzIwMTUBAAAAm7goAAIAAAAQMTk5NS4zMTA3MDg2NDk1NADLka+9k3PVCIv9LkuXc9UILUNJUS5eU1BYLklRX1RFVl9FQklUREFfRldEX0NJUS42MDAwLjUvMTUvMjAxMwEAAACbuCgAAgAAAAc4LjMwMTQ2AOv+ubeTc9UIm8o9S5dz1QgvQ0lRLk5BU0RBUUdTOklOVEMuSVFfUFJJQ0VfU0FMRVMuMjAwMC40LzEyLzIwMTMBAAAAh1IAAAIAAAAIMi4wMzAxMTMBBwAAAAUAAAABMQEAAAAKMTU4ODE1NzQ2MwMAAAABMAIAAAAFMzg5NTgEAAAAATAHAAAACTQvMTIvMjAxMwgAAAAJNC8xMi8yMDEz+45Su5Nz1Qh7pVdJl3PV</t>
  </si>
  <si>
    <t>CC9DSVEuTkFTREFRR1M6SU5UQy5JUV9QRV9FWENMX0ZXRC42MDAwLjcvMTYvMjAwNAEAAACHUgAAAgAAAA8xNy43NDM5NTAwMzkwMzIBDQAAAAUAAAABOQEAAAAHMjYyMTI5NQIAAAAHMTc1NzE0NQMAAAAGMTAwMzA5BAAAAAEyBgAAAAEwBwAAAAMxNjAIAAAAATAJAAAAATEKAAAAATALAAAACjExNjkxNTY2NDYMAAAAAjEyDQAAAAk3LzE3LzIwMDRribO9k3PVCHs0VUmXc9UINUNJUS5OYXNkYXFHUzpJTlRDLklRX1RFVl9UT1RBTF9SRVZfRldELjYwMDAuMi8yNS8yMDA1AQAAAIdSAAACAAAAEDMuNTc5NzEwNDAyMDA2MjgBDQAAAAUAAAABOQEAAAAHMjYyMTI5NQIAAAAEMTg4MAMAAAAGMTAwMzA3BAAAAAEyBgAAAAEwBwAAAAMxNjAIAAAAATAJAAAAATEKAAAAATALAAAACTM2MDY2NDQ2NgwAAAACMTINAAAACTIvMjYvMjAwNbvUVruTc9UIKwBSSZdz1Qg3Q0lRLk5BU0RBUUdTOklOVEMuSVFfVEVWX0VCSVREQV9GV0RfQ0lRLjYwMDAuMTEvMjgvMjAwMwEAAACHUgAAAgAAABAxMi43NDA1MTc0NjA0MjQ1AQ0AAAAFAAAAATkBAAAABzI2MjEyOTUCAAAABzE3NTcxNDMDAAAABjEwMDMwOAQAAAABMgYAAAABMAcAAAADMTYwCAAAAAEwCQAAAAExCgAAAAEwCwAAAAoxMTY5MTI4MjMzDAAAAAIxMg0AAAAKMTEvMjkvMjAwMzucVbuTc9UI+4KPrpdz1QgvQ0lRLk5BU0RBUUdTOklOVEMuSVFfUEVfRVhDTF9G</t>
  </si>
  <si>
    <t>V0QuNjAwMC4xMS80LzIwMTEBAAAAh1IAAAIAAAAQOS4xNzA2MjYxODMwMjYyMwENAAAABQAAAAE5AQAAAAcyNjIxMjk1AgAAAAcxNzU3MTY3AwAAAAYxMDAzMDkEAAAAATIGAAAAATAHAAAAAzE2MAgAAAABMAkAAAABMQoAAAABMAsAAAAKODg2NDQzMTExNwwAAAACMTINAAAACTExLzUvMjAxMRvGsr2Tc9UISzBXSZdz1QguQ0lRLk5BU0RBUUdTOklOVEMuSVFfUEVfRVhDTF9GV0QuNjAwMC44LzEvMjAwOAEAAACHUgAAAgAAABAxNS45MDc0NzMzMDk2MDg1AQ0AAAAFAAAAATkBAAAABzI2MjEyOTUCAAAABzE3NTcxNTcDAAAABjEwMDMwOQQAAAABMgYAAAABMAcAAAADMTYwCAAAAAEwCQAAAAExCgAAAAEwCwAAAAo4ODY0NDg1MTY4DAAAAAIxMg0AAAAIOC8yLzIwMDi7TLS9k3PVCHs0VUmXc9UIKENJUS5OQVNEQVFHUzpJTlRDLklRX1BUQlYuMjAwMC45LzE2LzIwMTYBAAAAh1IAAAIAAAAINS4zMDc5NzQBBwAAAAUAAAABMQEAAAAKMTgwMTI5NDUwMQMAAAABMAIAAAAGMTAwMDI5BAAAAAEwBwAAAAk5LzE2LzIwMTYIAAAACTkvMTYvMjAxNksYsLuTc9UIG9lRSZdz1QgsQ0lRLk5BU0RBUUdTOklOVEMuSVFfTEFTVFNBTEVQUklDRS4zLzE4LzIwMTUBAAAAh1IAAAIAAAAFMzAuODkA6/65t5Nz1QgLpzJLl3PVCChDSVEuTkFTREFRR1M6SU5UQy5JUV9QVEJWLjIwMDAuMy8yMi8yMDEzAQAAAIdSAAACAAAA</t>
  </si>
  <si>
    <t>CDIuOTkwOTY3AQcAAAAFAAAAATEBAAAACjE1ODgxNTc0NjMDAAAAATACAAAABjEwMDAyOQQAAAABMAcAAAAJMy8yMi8yMDEzCAAAAAkzLzIyLzIwMTOrQ6+9k3PVCEuhWUmXc9UIL0NJUS5OQVNEQVFHUzpJTlRDLklRX1BFX0VYQ0xfRldELjYwMDAuNC8xMS8yMDAzAQAAAIdSAAACAAAAEDI4LjMxMDgxMDgxMDgxMDgBDQAAAAUAAAABOQEAAAAHMjYyMTI5NQIAAAAEMTg3OAMAAAAGMTAwMzA5BAAAAAEyBgAAAAEwBwAAAAMxNjAIAAAAATAJAAAAATEKAAAAATALAAAABzE1MDAzODUMAAAAAjEyDQAAAAk0LzEyLzIwMDOb/rO9k3PVCKtWTkmXc9UIKENJUS5OQVNEQVFHUzpJTlRDLklRX1BUQlYuMjAwMC45LzE4LzIwMTUBAAAAh1IAAAIAAAAIMy4yNTA2NjEBBwAAAAUAAAABMQEAAAAKMTc0NzM1OTUxMgMAAAABMAIAAAAGMTAwMDI5BAAAAAEwBwAAAAk5LzE4LzIwMTUIAAAACTkvMTgvMjAxNcuwubeTc9UIO0VNSZdz1QgtQ0lRLl5TUFguSVFfVEVWX0VCSVREQV9GV0RfQ0lRLjYwMDAuOS8yNS8yMDEzAQAAAJu4KAACAAAACDguMzM2NTU3AGtfVbmTc9UISwc9S5dz1Qg1Q0lRLk5hc2RhcUdTOklOVEMuSVFfVEVWX1RPVEFMX1JFVl9GV0QuNjAwMC42LzIwLzIwMDMBAAAAh1IAAAIAAAAQNC4yNTc4MTg0MTk4NTQ3NQENAAAABQAAAAE5AQAAAAcyNjIxMjk1AgAAAAcxNzU3MTQxAwAAAAYxMDAzMDcEAAAA</t>
  </si>
  <si>
    <t>ATIGAAAAATAHAAAAAzE2MAgAAAABMAkAAAABMQoAAAABMAsAAAAKMTE2OTEyNjY2MQwAAAACMTINAAAACTYvMjEvMjAwM3s4VruTc9UI2zxRSZdz1QgkQ0lRLl5TUFguSVFfTEFTVFNBTEVQUklDRS4xMi8yMS8yMDE2AQAAAJu4KAACAAAAEDIyNjUuMTc5OTE4NTQ1MDgAK8NUuZNz1QirwxtLl3PVCDZDSVEuTmFzZGFxR1M6SU5UQy5JUV9URVZfVE9UQUxfUkVWX0ZXRC42MDAwLjEyLzI5LzIwMTcBAAAAh1IAAAIAAAAQMy42MjcwOTYwMzU5NTQ3OAENAAAABQAAAAE5AQAAAAcyNjIxMjk1AgAAAAgyNzUwMDE3NAMAAAAGMTAwMzA3BAAAAAEyBgAAAAEwBwAAAAMxNjAIAAAAATAJAAAAATEKAAAAATALAAAACzEwNjU1NDY1MzYyDAAAAAIxMg0AAAAKMTIvMzAvMjAxN7v6u7eTc9UISzBXSZdz1Qg1Q0lRLk5hc2RhcUdTOklOVEMuSVFfVEVWX1RPVEFMX1JFVl9GV0QuNjAwMC4zLzE2LzIwMDEBAAAAh1IAAAIAAAAQNi4yOTQ1ODU2NzU4MzE5MgENAAAABQAAAAE5AQAAAAcyNjIxMjk1AgAAAAczMTUxMzAxAwAAAAYxMDAzMDcEAAAAATIGAAAAATAHAAAAAzE2MAgAAAABMAkAAAABMQoAAAABMAsAAAAJMzYxMjEyNjg4DAAAAAIxMg0AAAAJMy8xNy8yMDAxq/tVuZNz1QjbrVNJl3PVCDZDSVEuTmFzZGFxR1M6SU5UQy5JUV9URVZfVE9UQUxfUkVWX0ZXRC42MDAwLjEyLzE5LzIwMTQBAAAAh1IAAAIAAAAQMy4w</t>
  </si>
  <si>
    <t>MDgzODcyMTg4ODg1MwENAAAABQAAAAE5AQAAAAcyNjIxMjk1AgAAAAc0NDU2NDI5AwAAAAYxMDAzMDcEAAAAATIGAAAAATAHAAAAAzE2MAgAAAABMAkAAAABMQoAAAABMAsAAAAKODg2NDQzNzc5NAwAAAACMTINAAAACjEyLzIwLzIwMTTrnrG7k3PVCJsvTkmXc9UILENJUS5OQVNEQVFHUzpJTlRDLklRX0xBU1RTQUxFUFJJQ0UuNC8yNC8yMDEzAQAAAIdSAAACAAAABTIzLjY2AEsoZrmTc9UIq/E9S5dz1Qg3Q0lRLk5hc2RhcUdTOklOVEMuSVFfVEVWX0VCSVREQV9GV0RfQ0lRLjYwMDAuMTIvMjQvMjAxNQEAAACHUgAAAgAAABA2Ljg5OTIzMDc0MjY5MzkyAQ0AAAAFAAAAATkBAAAABzI2MjEyOTUCAAAABzgwNjgyNjIDAAAABjEwMDMwOAQAAAABMgYAAAABMAcAAAADMTYwCAAAAAEwCQAAAAExCgAAAAEwCwAAAAo5MTc4NzMyMDU2DAAAAAIxMg0AAAAKMTIvMjUvMjAxNbvUVruTc9UI28OMrpdz1QguQ0lRLk5BU0RBUUdTOklOVEMuSVFfUEVfRVhDTF9GV0QuNjAwMC4xLzMvMjAwMwEAAACHUgAAAgAAABAyOS4wODg5OTA1MDI5ODk4AQ0AAAAFAAAAATkBAAAABzI2MjEyOTUCAAAABzE3NTcxNDADAAAABjEwMDMwOQQAAAABMgYAAAABMAcAAAADMTYwCAAAAAEwCQAAAAExCgAAAAEwCwAAAAo5MDkwNjg4MTQ3DAAAAAIxMg0AAAAIMS80LzIwMDN7sLO9k3PVCMsVUUmXc9UIMENJUS5OYXNkYXFHUzpJTlRD</t>
  </si>
  <si>
    <t>LklRX1BFX0VYQ0xfRldELjYwMDAuMTEvMTYvMjAwMQEAAACHUgAAAgAAABA2Mi45MjExMTc1MDIwNTQyAQ0AAAAFAAAAATkBAAAABzI2MjEyOTUCAAAABzM0MjExNjIDAAAABjEwMDMwOQQAAAABMgYAAAABMAcAAAADMTYwCAAAAAEwCQAAAAExCgAAAAEwCwAAAAoxMTY5MTczNTM4DAAAAAIxMg0AAAAKMTEvMTcvMjAwMbtMtL2Tc9UIK3FUSZdz1Qg2Q0lRLk5hc2RhcUdTOklOVEMuSVFfVEVWX0VCSVREQV9GV0RfQ0lRLjYwMDAuNi8yMS8yMDAyAQAAAIdSAAACAAAAEDEwLjQxMzA2MTQ2OTY5NzQBDQAAAAUAAAABOQEAAAAHMjYyMTI5NQIAAAAHMTc1NzEzOAMAAAAGMTAwMzA4BAAAAAEyBgAAAAEwBwAAAAMxNjAIAAAAATAJAAAAATEKAAAAATALAAAACjExNjkxMjU2NDIMAAAAAjEyDQAAAAk2LzIyLzIwMDK71Fa7k3PVCEvVja6Xc9UINUNJUS5OYXNkYXFHUzpJTlRDLklRX1RFVl9FQklUREFfRldEX0NJUS42MDAwLjcvMi8yMDE1AQAAAIdSAAACAAAAEDUuOTg0OTk5NzM1MzkzMDIBDQAAAAUAAAABOQEAAAAHMjYyMTI5NQIAAAAHODA2ODI2MAMAAAAGMTAwMzA4BAAAAAEyBgAAAAEwBwAAAAMxNjAIAAAAATAJAAAAATEKAAAAATALAAAACjg4ODY5MDI4MzYMAAAAAjEyDQAAAAg3LzMvMjAxNZv+s72Tc9UIG2CNrpdz1Qg1Q0lRLk5hc2RhcUdTOklOVEMuSVFfVEVWX1RPVEFMX1JFVl9GV0QuNjAwMC41</t>
  </si>
  <si>
    <t>LzIyLzIwMDkBAAAAh1IAAAIAAAAQMi40MTYxNTQ4MzU4Nzg4OAENAAAABQAAAAE5AQAAAAcyNjIxMjk1AgAAAAcxNzU3MTU5AwAAAAYxMDAzMDcEAAAAATIGAAAAATAHAAAAAzE2MAgAAAABMAkAAAABMQoAAAABMAsAAAAKNDg5MzkwNDg2MgwAAAACMTINAAAACTUvMjMvMjAwOZv+s72Tc9UIu9BVSZdz1QgtQ0lRLl5TUFguSVFfVEVWX0VCSVREQV9GV0RfQ0lRLjYwMDAuOC8yMC8yMDE0AQAAAJu4KAACAAAACDguOTkzNDM0ACsEU7uTc9UIG7A3S5dz1QglQ0lRLl5TUFguSVFfUEVfRVhDTF9GV0QuNjAwMC42LzQvMjAxNAEAAACbuCgAAgAAAAkxNS44NzcyODgAKwRTu5Nz1Qh7mjhLl3PVCB9DSVEuXlNQWC5JUV9QVEJWLjIwMDAuNi8xOC8yMDE0AQAAAJu4KAACAAAACDUuNDYzMjkyAIvEZrmTc9UIm+g4S5dz1QgvQ0lRLk5BU0RBUUdTOklOVEMuSVFfUEVfRVhDTF9GV0QuNjAwMC41LzMwLzIwMTQBAAAAh1IAAAIAAAAQMTQuMDY3MjQ2Nzk0NzA2OAENAAAABQAAAAE5AQAAAAcyNjIxMjk1AgAAAAc0NDU2NDI3AwAAAAYxMDAzMDkEAAAAATIGAAAAATAHAAAAAzE2MAgAAAABMAkAAAABMQoAAAABMAsAAAAKODE3MDcxNjQxMwwAAAACMTINAAAACTUvMzEvMjAxNPt3sr2Tc9UISzBXSZdz1QgnQ0lRLk5BU0RBUUdTOklOVEMuSVFfUFRCVi4yMDAwLjQvMS8yMDExAQAAAIdSAAACAAAACDIuNDY3NzQyAQcA</t>
  </si>
  <si>
    <t>AAAFAAAAATEBAAAACjE0MzA2MjQ1MDkDAAAAATACAAAABjEwMDAyOQQAAAABMAcAAAAINC8xLzIwMTEIAAAACDQvMS8yMDExO+pUuZNz1QhrK1BJl3PVCDZDSVEuTkFTREFRR1M6SU5UQy5JUV9URVZfVE9UQUxfUkVWX0ZXRC42MDAwLjEyLzMwLzIwMTEBAAAAh1IAAAIAAAAQMi4xMzk5NDk3ODk0MDc1NAENAAAABQAAAAE5AQAAAAcyNjIxMjk1AgAAAAcxNzU3MTY3AwAAAAYxMDAzMDcEAAAAATIGAAAAATAHAAAAAzE2MAgAAAABMAkAAAABMQoAAAABMAsAAAAKODg2NDQzMTA5NgwAAAACMTINAAAACjEyLzMxLzIwMTE7wrq3k3PVCBu7VkmXc9UIMENJUS5OQVNEQVFHUzpJTlRDLklRX1BFX0VYQ0xfRldELjYwMDAuMTIvMjAvMjAxMwEAAACHUgAAAgAAABAxMy4zOTY5NjI4OTE2NjkzAQ0AAAAFAAAAATkBAAAABzI2MjEyOTUCAAAABzM4Mjk3NTMDAAAABjEwMDMwOQQAAAABMgYAAAABMAcAAAADMTYwCAAAAAEwCQAAAAExCgAAAAEwCwAAAAo3MDMzMjc0MjIxDAAAAAIxMg0AAAAKMTIvMjEvMjAxM/t3sr2Tc9UIS79USZdz1QgvQ0lRLk5BU0RBUUdTOklOVEMuSVFfUEVfRVhDTF9GV0QuNjAwMC45LzI4LzIwMTIBAAAAh1IAAAIAAAAQMTAuNTI3NDE2MzU2ODc3MwENAAAABQAAAAE5AQAAAAcyNjIxMjk1AgAAAAcxNzU3MTY5AwAAAAYxMDAzMDkEAAAAATIGAAAAATAHAAAAAzE2MAgAAAABMAkAAAABMQoA</t>
  </si>
  <si>
    <t>AAABMAsAAAAKODg2MzQzNTQzMQwAAAACMTINAAAACTkvMjkvMjAxMgufsr2Tc9UIu9BVSZdz1QguQ0lRLk5BU0RBUUdTOklOVEMuSVFfUEVfRVhDTF9GV0QuNjAwMC4yLzgvMjAwOAEAAACHUgAAAgAAABAxNC40MjcwNDYyNjMzNDUyAQ0AAAAFAAAAATkBAAAABzI2MjEyOTUCAAAABDE4ODMDAAAABjEwMDMwOQQAAAABMgYAAAABMAcAAAADMTYwCAAAAAEwCQAAAAExCgAAAAEwCwAAAAcxNTMzMjUwDAAAAAIxMg0AAAAIMi85LzIwMDhLO7O9k3PVCIsITkmXc9UINkNJUS5OQVNEQVFHUzpJTlRDLklRX1RFVl9FQklUREFfRldEX0NJUS42MDAwLjMvMjgvMjAwOAEAAACHUgAAAgAAABA2Ljk2MzcxMDUzNzk2MjI1AQ0AAAAFAAAAATkBAAAABzI2MjEyOTUCAAAABDE4ODMDAAAABjEwMDMwOAQAAAABMgYAAAABMAcAAAADMTYwCAAAAAEwCQAAAAExCgAAAAEwCwAAAAkzNjA3MDMzMTcMAAAAAjEyDQAAAAkzLzI5LzIwMDjr2FS7k3PVCKu/jq6Xc9UIHkNJUS5eU1BYLklRX1BUQlYuMjAwMC43LzEvMjAxNQEAAACbuCgAAgAAAAg2LjE2MjUxMgCLxGa5k3PVCDurMEuXc9UIH0NJUS5eU1BYLklRX1BUQlYuMjAwMC42LzI0LzIwMTUBAAAAm7goAAIAAAAINi4yNTIwNTQAWzhVuZNz1QhL0jBLl3PVCChDSVEuTkFTREFRR1M6SU5UQy5JUV9QVEJWLjIwMDAuMy8yMS8yMDE0AQAAAIdSAAACAAAACDIuOTM1MjA5AQcA</t>
  </si>
  <si>
    <t>AAAFAAAAATEBAAAACjE2NTgzNDI3ODADAAAAATACAAAABjEwMDAyOQQAAAABMAcAAAAJMy8yMS8yMDE0CAAAAAkzLzIxLzIwMTRbP7C7k3PVCIt5UEmXc9UINUNJUS5OYXNkYXFHUzpJTlRDLklRX1RFVl9UT1RBTF9SRVZfRldELjYwMDAuMTIvMi8yMDA1AQAAAIdSAAACAAAAEDMuNjg2MjYwMzg4MDM1ODMBDQAAAAUAAAABOQEAAAAHMjYyMTI5NQIAAAAHMTc1NzE0OQMAAAAGMTAwMzA3BAAAAAEyBgAAAAEwBwAAAAMxNjAIAAAAATAJAAAAATEKAAAAATALAAAACjExNjkxMzE0NjIMAAAAAjEyDQAAAAkxMi8zLzIwMDWrArG7k3PVCMsVUUmXc9UINkNJUS5OQVNEQVFHUzpJTlRDLklRX1RFVl9FQklUREFfRldEX0NJUS42MDAwLjYvMTMvMjAwOAEAAACHUgAAAgAAABA3LjU2NjAyNjgwMTQyMDAzAQ0AAAAFAAAAATkBAAAABzI2MjEyOTUCAAAABzE3NTcxNTYDAAAABjEwMDMwOAQAAAABMgYAAAABMAcAAAADMTYwCAAAAAEwCQAAAAExCgAAAAEwCwAAAAo5MTExMDYzMTk3DAAAAAIxMg0AAAAJNi8xNC8yMDA469hUu5Nz1Qg7ro2ul3PVCB9DSVEuXlNQWC5JUV9QVEJWLjIwMDAuNC8xNi8yMDE0AQAAAJu4KAACAAAABzUuMjQ0MTIA62dSu5Nz1QgbITpLl3PVCDZDSVEuTkFTREFRR1M6SU5UQy5JUV9URVZfRUJJVERBX0ZXRF9DSVEuNjAwMC4yLzI0LzIwMDYBAAAAh1IAAAIAAAAQNy4yODMxNTcwNTE5NTAy</t>
  </si>
  <si>
    <t>MwENAAAABQAAAAE5AQAAAAcyNjIxMjk1AgAAAAQxODgxAwAAAAYxMDAzMDgEAAAAATIGAAAAATAHAAAAAzE2MAgAAAABMAkAAAABMQoAAAABMAsAAAAJMzYwNjc1NTk1DAAAAAIxMg0AAAAJMi8yNS8yMDA2G05Vu5Nz1Qg7ro2ul3PVCDZDSVEuTkFTREFRR1M6SU5UQy5JUV9URVZfRUJJVERBX0ZXRF9DSVEuNjAwMC40LzI5LzIwMDUBAAAAh1IAAAIAAAAQOC4wMTkyNDg4NTk0OTY2OAENAAAABQAAAAE5AQAAAAcyNjIxMjk1AgAAAAcxNzU3MTQ3AwAAAAYxMDAzMDgEAAAAATIGAAAAATAHAAAAAzE2MAgAAAABMAkAAAABMQoAAAABMAsAAAAKMTE2OTEzMDI3NgwAAAACMTINAAAACTQvMzAvMjAwNSt1VbuTc9UIu+aOrpdz1Qg2Q0lRLk5hc2RhcUdTOklOVEMuSVFfVEVWX0VCSVREQV9GV0RfQ0lRLjYwMDAuNi8xOS8yMDA5AQAAAIdSAAACAAAADzguODM3MTE3OTI5OTE0MwENAAAABQAAAAE5AQAAAAcyNjIxMjk1AgAAAAcxNzU3MTU5AwAAAAYxMDAzMDgEAAAAATIGAAAAATAHAAAAAzE2MAgAAAABMAkAAAABMQoAAAABMAsAAAAKMTE2OTE0NTUxMgwAAAACMTINAAAACTYvMjAvMjAwOasltL2Tc9UIq7+Orpdz1QgtQ0lRLl5TUFguSVFfVEVWX1RPVEFMX1JFVl9GV0QuNjAwMC4xMi8xNC8yMDE2AQAAAJu4KAACAAAACDIuMTIzMTQxAOv+ubeTc9UIa5gdS5dz1QguQ0lRLk5BU0RBUUdTOklOVEMuSVFfUFJJ</t>
  </si>
  <si>
    <t>Q0VfU0FMRVMuMjAwMC45LzcvMjAxMgEAAACHUgAAAgAAAAgyLjI1MDU1MgEHAAAABQAAAAExAQAAAAoxNTU3MjE2MjQ2AwAAAAEwAgAAAAUzODk1OAQAAAABMAcAAAAIOS83LzIwMTIIAAAACDkvNy8yMDEy69GItpNz1Qg71EpJl3PVCB9DSVEuXlNQWC5JUV9QVEJWLjIwMDAuNi8yMi8yMDE2AQAAAJu4KAACAAAACDcuMDY4OTY3AGtmsLuTc9UIKzEpS5dz1QgsQ0lRLk5BU0RBUUdTOklOVEMuSVFfTEFTVFNBTEVQUklDRS4xMi8zLzIwMTQBAAAAh1IAAAIAAAAFMzcuNDMAC7ZSu5Nz1QhrAjZLl3PVCCdDSVEuXlNQWC5JUV9QRV9FWENMX0ZXRC42MDAwLjExLzEzLzIwMTMBAAAAm7goAAIAAAAJMTUuMjY0NTM3AGtmsLuTc9UIK7k8S5dz1QgkQ0lRLl5TUFguSVFfTEFTVFNBTEVQUklDRS4xMi8xMy8yMDE3AQAAAJu4KAACAAAAEDI2NjIuODQ1MTg4MjYzNzkAy5GvvZNz1Qg7EaNKl3PVCDRDSVEuTmFzZGFxR1M6SU5UQy5JUV9URVZfVE9UQUxfUkVWX0ZXRC42MDAwLjYvNS8yMDE1AQAAAIdSAAACAAAAEDIuNjQ1MzIyMTY1MjM3MDEBDQAAAAUAAAABOQEAAAAHMjYyMTI5NQIAAAAHODA2ODI2MAMAAAAGMTAwMzA3BAAAAAEyBgAAAAEwBwAAAAMxNjAIAAAAATAJAAAAATEKAAAAATALAAAACjg4ODYxMDg0MTAMAAAAAjEyDQAAAAg2LzYvMjAxNctgZ7mTc9UIm4JVSZdz1QgvQ0lRLk5BU0RBUUdTOklOVEMu</t>
  </si>
  <si>
    <t>SVFfUFJJQ0VfU0FMRVMuMjAwMC4zLzI0LzIwMTYBAAAAh1IAAAIAAAAIMi43MzEwMDgBBwAAAAUAAAABMQEAAAAKMTc3NTkzMzE0MAMAAAABMAIAAAAFMzg5NTgEAAAAATAHAAAACTMvMjQvMjAxNggAAAAJMy8yNC8yMDE2O+pUuZNz1QhrK1BJl3PVCC5DSVEuTkFTREFRR1M6SU5UQy5JUV9QRV9FWENMX0ZXRC42MDAwLjgvNy8yMDA5AQAAAIdSAAACAAAADzE4Ljg3MzY5OTI0NTA1MgENAAAABQAAAAE5AQAAAAcyNjIxMjk1AgAAAAcxNzU3MTYwAwAAAAYxMDAzMDkEAAAAATIGAAAAATAHAAAAAzE2MAgAAAABMAkAAAABMQoAAAABMAsAAAAKODg2MzYxMzY4OAwAAAACMTINAAAACDgvOC8yMDA5OxSzvZNz1QirGlhJl3PVCCxDSVEuTkFTREFRR1M6SU5UQy5JUV9MQVNUU0FMRVBSSUNFLjMvMzAvMjAxNgEAAACHUgAAAgAAAAUzMi43MQArw1S5k3PVCMu3KkuXc9UINENJUS5OYXNkYXFHUzpJTlRDLklRX1RFVl9UT1RBTF9SRVZfRldELjYwMDAuMS84LzIwMTABAAAAh1IAAAIAAAAQMi43MDg5NjAzMjgxMzI5MgENAAAABQAAAAE5AQAAAAcyNjIxMjk1AgAAAAcxNzU3MTYxAwAAAAYxMDAzMDcEAAAAATIGAAAAATAHAAAAAzE2MAgAAAABMAkAAAABMQoAAAABMAsAAAAKODg2NDIxMDgxMAwAAAACMTINAAAACDEvOS8yMDEwm4ZWu5Nz1QhbdVJJl3PVCDZDSVEuTmFzZGFxR1M6SU5UQy5JUV9URVZfRUJJVERB</t>
  </si>
  <si>
    <t>X0ZXRF9DSVEuNjAwMC45LzIxLzIwMDcBAAAAh1IAAAIAAAAQMTAuMDU1MTkzMzc4MjI1NwENAAAABQAAAAE5AQAAAAcyNjIxMjk1AgAAAAcxNzU3MTU0AwAAAAYxMDAzMDgEAAAAATIGAAAAATAHAAAAAzE2MAgAAAABMAkAAAABMQoAAAABMAsAAAAKNjczMDg2MzYyNgwAAAACMTINAAAACTkvMjIvMjAwN/twV7uTc9UIe7uQrpdz1QgvQ0lRLk5BU0RBUUdTOklOVEMuSVFfUEVfRVhDTF9GV0QuNjAwMC4yLzEzLzIwMDkBAAAAh1IAAAIAAAAQMzQuNjAzMTExMjg4MzkyNQENAAAABQAAAAE5AQAAAAcyNjIxMjk1AgAAAAQxODg0AwAAAAYxMDAzMDkEAAAAATIGAAAAATAHAAAAAzE2MAgAAAABMAkAAAABMQoAAAABMAsAAAAHMTU0MTQwNQwAAAACMTINAAAACTIvMTQvMjAwOTsUs72Tc9UIuwxMSZdz1QgmQ0lRLl5TUFguSVFfUEVfRVhDTF9GV0QuNjAwMC4xMS80LzIwMTUBAAAAm7goAAIAAAAJMTcuMjEzNDg0APv4iLaTc9UIC8UtS5dz1QguQ0lRLk5BU0RBUUdTOklOVEMuSVFfUEVfRVhDTF9GV0QuNjAwMC40LzUvMjAxMwEAAACHUgAAAgAAABAxMS4wMDAxNTIzNDIxMjg5AQ0AAAAFAAAAATkBAAAABzI2MjEyOTUCAAAABzM2NTI2NjADAAAABjEwMDMwOQQAAAABMgYAAAABMAcAAAADMTYwCAAAAAEwCQAAAAExCgAAAAEwCwAAAAo1NzQ4MzAzMDEwDAAAAAIxMg0AAAAINC82LzIwMTOb/rO9k3PVCCviVkmX</t>
  </si>
  <si>
    <t>c9UIJkNJUS5eU1BYLklRX1BFX0VYQ0xfRldELjYwMDAuOC8xNi8yMDE3AQAAAJu4KAACAAAACTE4LjA2NjAxNwCb62a5k3PVCKsG/EqXc9UIKENJUS5OQVNEQVFHUzpJTlRDLklRX1BUQlYuMjAwMC40LzIxLzIwMTcBAAAAh1IAAAIAAAAINC4wMjk1OTIBBwAAAAUAAAABMQEAAAAKMTgyODE3NDEyMgMAAAABMAIAAAAGMTAwMDI5BAAAAAEwBwAAAAk0LzIxLzIwMTcIAAAACTQvMjEvMjAxN9vXubeTc9UIa0lLSZdz1QgvQ0lRLk5BU0RBUUdTOklOVEMuSVFfUEVfRVhDTF9GV0QuNjAwMC4xMC80LzIwMTMBAAAAh1IAAAIAAAAQMTEuNzIwMjc1NDA4NDg4MwENAAAABQAAAAE5AQAAAAcyNjIxMjk1AgAAAAczODI5NzUyAwAAAAYxMDAzMDkEAAAAATIGAAAAATAHAAAAAzE2MAgAAAABMAkAAAABMQoAAAABMAsAAAAKNzA2MDg3MTU4NgwAAAACMTINAAAACTEwLzUvMjAxM6sltL2Tc9UIaw1VSZdz1QgsQ0lRLl5TUFguSVFfVEVWX0VCSVREQV9GV0RfQ0lRLjYwMDAuMy85LzIwMTYBAAAAm7goAAIAAAAHOS44Mjk3MQCrEme5k3PVCOsFK0uXc9UIIENJUS5eU1BYLklRX1BUQlYuMjAwMC4xMi8zMS8yMDE0AQAAAJu4KAACAAAACDUuNjE5ODg5AGtmsLuTc9UIGz81S5dz1QgjQ0lRLl5TUFguSVFfTEFTVFNBTEVQUklDRS4xMS8xLzIwMTcBAAAAm7goAAIAAAAQMjU3OS4zNTU4NDk4OTMzNgBLKGa5k3PVCJs57UqX</t>
  </si>
  <si>
    <t>c9UIJ0NJUS5eU1BYLklRX1BFX0VYQ0xfRldELjYwMDAuMTIvMjcvMjAxNwEAAACbuCgAAgAAAAkxOC45ODE1MDgA6/65t5Nz1QiLNX9Kl3PVCDBDSVEuTkFTREFRR1M6SU5UQy5JUV9QUklDRV9TQUxFUy4yMDAwLjEwLzI1LzIwMTMBAAAAh1IAAAIAAAAIMi4yOTk5NjYBBwAAAAUAAAABMQEAAAAKMTY0MDk4MDM0MAMAAAABMAIAAAAFMzg5NTgEAAAAATAHAAAACjEwLzI1LzIwMTMIAAAACjEwLzI1LzIwMTO7aq+9k3PVCMtoWEmXc9UINUNJUS5OYXNkYXFHUzpJTlRDLklRX1RFVl9FQklUREFfRldEX0NJUS42MDAwLjQvNC8yMDE0AQAAAIdSAAACAAAAEDUuOTAwODk0NDE4OTkwODIBDQAAAAUAAAABOQEAAAAHMjYyMTI5NQIAAAAHNDQ1NjQyMQMAAAAGMTAwMzA4BAAAAAEyBgAAAAEwBwAAAAMxNjAIAAAAATAJAAAAATEKAAAAATALAAAACjY0OTc5MzMxODYMAAAAAjEyDQAAAAg0LzUvMjAxNJv+s72Tc9UIW/yNrpdz1QgmQ0lRLl5TUFguSVFfUEVfRVhDTF9GV0QuNjAwMC4xMC8xLzIwMTQBAAAAm7goAAIAAAAJMTUuNjgwMjk3AOvfr72Tc9UIm3c2S5dz1Qg2Q0lRLk5BU0RBUUdTOklOVEMuSVFfVEVWX0VCSVREQV9GV0RfQ0lRLjYwMDAuMy8xMy8yMDA5AQAAAIdSAAACAAAADzkuNDI2Mjk4ODY4MzU0OQENAAAABQAAAAE5AQAAAAcyNjIxMjk1AgAAAAQxODg0AwAAAAYxMDAzMDgEAAAAATIGAAAAATAH</t>
  </si>
  <si>
    <t>AAAAAzE2MAgAAAABMAkAAAABMQoAAAABMAsAAAAJMzYwNzE5NjQ0DAAAAAIxMg0AAAAJMy8xNC8yMDA527FUu5Nz1QhrI46ul3PVCDRDSVEuTmFzZGFxR1M6SU5UQy5JUV9URVZfVE9UQUxfUkVWX0ZXRC42MDAwLjkvMi8yMDExAQAAAIdSAAACAAAAEDEuNjk3NjUwNzA2MjM2NzIBDQAAAAUAAAABOQEAAAAHMjYyMTI5NQIAAAAHMTc1NzE2NgMAAAAGMTAwMzA3BAAAAAEyBgAAAAEwBwAAAAMxNjAIAAAAATAJAAAAATEKAAAAATALAAAACjg4NjQ0MzAyMjkMAAAAAjEyDQAAAAg5LzMvMjAxMbsiVrmTc9UIK1NZSZdz1Qg2Q0lRLk5BU0RBUUdTOklOVEMuSVFfVEVWX0VCSVREQV9GV0RfQ0lRLjYwMDAuNS8yNC8yMDEzAQAAAIdSAAACAAAAEDUuMzM2NzAxNDAwOTM4ODkBDQAAAAUAAAABOQEAAAAHMjYyMTI5NQIAAAAHMzgyOTc1MQMAAAAGMTAwMzA4BAAAAAEyBgAAAAEwBwAAAAMxNjAIAAAAATAJAAAAATEKAAAAATALAAAACjY5NTU0MDQ1NjgMAAAAAjEyDQAAAAk1LzI1LzIwMTOL7lO7k3PVCFttkK6Xc9UILENJUS5eU1BYLklRX1RFVl9UT1RBTF9SRVZfRldELjYwMDAuMi8yMi8yMDE3AQAAAJu4KAACAAAACDIuMTc5MTQ0AGtfVbmTc9UIu3kZS5dz1QgsQ0lRLk5BU0RBUUdTOklOVEMuSVFfTEFTVFNBTEVQUklDRS40LzE2LzIwMTQBAAAAh1IAAAIAAAAFMjYuOTMAW09muZNz1QgbITpLl3PVCC9DSVEu</t>
  </si>
  <si>
    <t>TkFTREFRR1M6SU5UQy5JUV9QRV9FWENMX0ZXRC42MDAwLjcvMTQvMjAxNwEAAACHUgAAAgAAABAxMi4xMzUyMDg5MDE5NTI2AQ0AAAAFAAAAATkBAAAABzI2MjEyOTUCAAAACDI3NTAwMTcyAwAAAAYxMDAzMDkEAAAAATIGAAAAATAHAAAAAzE2MAgAAAABMAkAAAABMQoAAAABMAsAAAALMTAzMDI4MzQ2NzYMAAAAAjEyDQAAAAk3LzE1LzIwMTerJbS9k3PVCHs0VUmXc9UILENJUS5eU1BYLklRX1RFVl9UT1RBTF9SRVZfRldELjYwMDAuMTEvMi8yMDE2AQAAAJu4KAACAAAACDEuOTc0ODIyANu4r72Tc9UIu8wgS5dz1QgnQ0lRLk5BU0RBUUdTOklOVEMuSVFfUFRCVi4yMDAwLjIvNC8yMDExAQAAAIdSAAACAAAACDIuNjY5NDQ2AQcAAAAFAAAAATEBAAAACjE0MTg5MjA5NzkDAAAAATACAAAABjEwMDAyOQQAAAABMAcAAAAIMi80LzIwMTEIAAAACDIvNC8yMDExu2qvvZNz1QgbLFlJl3PVCC9DSVEuTkFTREFRR1M6SU5UQy5JUV9QRV9FWENMX0ZXRC42MDAwLjkvMTEvMjAxNQEAAACHUgAAAgAAABAxMy4zNTA1NDgxNTYyMDE5AQ0AAAAFAAAAATkBAAAABzI2MjEyOTUCAAAABzgwNjgyNjEDAAAABjEwMDMwOQQAAAABMgYAAAABMAcAAAADMTYwCAAAAAEwCQAAAAExCgAAAAEwCwAAAAo5MDA5NDQ0ODkwDAAAAAIxMg0AAAAJOS8xMi8yMDE161CyvZNz1QgLlFZJl3PVCC5DSVEuTkFTREFRR1M6SU5UQy5JUV9Q</t>
  </si>
  <si>
    <t>UklDRV9TQUxFUy4yMDAwLjEvMy8yMDE4AQAAAIdSAAACAAAACDMuNDM2ODU3AQcAAAAFAAAAATEBAAAACjE4NjI3NTgwNDMDAAAAATACAAAABTM4OTU4BAAAAAEwBwAAAAgxLzMvMjAxOAgAAAAIMS8zLzIwMTi7aq+9k3PVCIvUo0qXc9UILENJUS5OQVNEQVFHUzpJTlRDLklRX0xBU1RTQUxFUFJJQ0UuOC8yNy8yMDE0AQAAAIdSAAACAAAABTM0Ljc5AOv+ubeTc9UIG7A3S5dz1Qg1Q0lRLk5BU0RBUUdTOklOVEMuSVFfVEVWX0VCSVREQV9GV0RfQ0lRLjYwMDAuNi8xLzIwMDEBAAAAh1IAAAIAAAAQMjIuOTcyODAwNzU4NTcxMwENAAAABQAAAAE5AQAAAAcyNjIxMjk1AgAAAAczNDIxMTYwAwAAAAYxMDAzMDgEAAAAATIGAAAAATAHAAAAAzE2MAgAAAABMAkAAAABMQoAAAABMAsAAAAKMTE2OTE1MjQzMgwAAAACMTINAAAACDYvMi8yMDAxaxFWu5Nz1QgLOY2ul3PVCCxDSVEuTkFTREFRR1M6SU5UQy5JUV9MQVNUU0FMRVBSSUNFLjExLzgvMjAxNwEAAACHUgAAAgAAAAQ0Ni43AMuRr72Tc9UI20bwSpdz1QgtQ0lRLl5TUFguSVFfVEVWX0VCSVREQV9GV0RfQ0lRLjYwMDAuMS8xMS8yMDE3AQAAAJu4KAACAAAACTEwLjEzMjA5MQAb3VK7k3PVCJucG0uXc9UIL0NJUS5OQVNEQVFHUzpJTlRDLklRX1BSSUNFX1NBTEVTLjIwMDAuOC8yNi8yMDE2AQAAAIdSAAACAAAACDIuOTQ1NTk5AQcAAAAFAAAAATEBAAAA</t>
  </si>
  <si>
    <t>CjE4MDEyOTQ1MDEDAAAAATACAAAABTM4OTU4BAAAAAEwBwAAAAk4LzI2LzIwMTYIAAAACTgvMjYvMjAxNvuOUruTc9UIa35XSZdz1QgrQ0lRLk5BU0RBUUdTOklOVEMuSVFfTEFTVFNBTEVQUklDRS41LzgvMjAxMwEAAACHUgAAAgAAAAUyNC4yNQDbqoi2k3PVCJvKPUuXc9UINUNJUS5OYXNkYXFHUzpJTlRDLklRX1RFVl9UT1RBTF9SRVZfRldELjYwMDAuNS8yMy8yMDE0AQAAAIdSAAACAAAAEDIuMzQ1ODY5NDE0ODIyMzUBDQAAAAUAAAABOQEAAAAHMjYyMTI5NQIAAAAHNDQ1NjQyNwMAAAAGMTAwMzA3BAAAAAEyBgAAAAEwBwAAAAMxNjAIAAAAATAJAAAAATEKAAAAATALAAAACjkwNzE5OTQwNjkMAAAAAjEyDQAAAAk1LzI0LzIwMTSrArG7k3PVCKvHUEmXc9UII0NJUS5eU1BYLklRX0xBU1RTQUxFUFJJQ0UuNC8xMy8yMDE2AQAAAJu4KAACAAAADzIwODIuNDIwNjQyMjkyMgDLka+9k3PVCGvNKUuXc9UIMENJUS5OQVNEQVFHUzpJTlRDLklRX1BFX0VYQ0xfRldELjYwMDAuMTAvMTAvMjAwMwEAAACHUgAAAgAAAA8zMS41ODkzMjgzNTA0NjIBDQAAAAUAAAABOQEAAAAHMjYyMTI5NQIAAAAHMTc1NzE0MgMAAAAGMTAwMzA5BAAAAAEyBgAAAAEwBwAAAAMxNjAIAAAAATAJAAAAATEKAAAAATALAAAACjg4NjA1MzU0MTQMAAAAAjEyDQAAAAoxMC8xMS8yMDAze7CzvZNz1Qi70FVJl3PVCDZDSVEuTmFzZGFx</t>
  </si>
  <si>
    <t>R1M6SU5UQy5JUV9URVZfRUJJVERBX0ZXRF9DSVEuNjAwMC4zLzI4LzIwMTMBAAAAh1IAAAIAAAAQNC45NDU2NjM4NzY3NDg4OAENAAAABQAAAAE5AQAAAAcyNjIxMjk1AgAAAAczNjUyNjYwAwAAAAYxMDAzMDgEAAAAATIGAAAAATAHAAAAAzE2MAgAAAABMAkAAAABMQoAAAABMAsAAAAKNTQzODIwMDA3NwwAAAACMTINAAAACTMvMjkvMjAxM8tQsbuTc9UIyw2Prpdz1QgsQ0lRLk5BU0RBUUdTOklOVEMuSVFfTEFTVFNBTEVQUklDRS45LzIxLzIwMTYBAAAAh1IAAAIAAAAFMzcuNDUAG91Su5Nz1QjLZCNLl3PVCCdDSVEuTkFTREFRR1M6SU5UQy5JUV9QVEJWLjIwMDAuMy8zLzIwMTcBAAAAh1IAAAIAAAAIMy45ODI5OTQBBwAAAAUAAAABMQEAAAAKMTgyODE3NDEyMgMAAAABMAIAAAAGMTAwMDI5BAAAAAEwBwAAAAgzLzMvMjAxNwgAAAAIMy8zLzIwMTd7nWa5k3PVCPv7U0mXc9UINUNJUS5OYXNkYXFHUzpJTlRDLklRX1RFVl9UT1RBTF9SRVZfRldELjYwMDAuOS8xNy8yMDA0AQAAAIdSAAACAAAAEDMuMzU3MzE3NDkwOTk0NzUBDQAAAAUAAAABOQEAAAAHMjYyMTI5NQIAAAAHMTc1NzE0NQMAAAAGMTAwMzA3BAAAAAEyBgAAAAEwBwAAAAMxNjAIAAAAATAJAAAAATEKAAAAATALAAAACjExNjkxMjg4MjcMAAAAAjEyDQAAAAk5LzE4LzIwMDTLIby3k3PVCDuYVEmXc9UIMENJUS5OQVNEQVFHUzpJTlRDLklR</t>
  </si>
  <si>
    <t>X1BFX0VYQ0xfRldELjYwMDAuMTIvMTQvMjAwNwEAAACHUgAAAgAAABAxOC4zNDc0MDczNTU3MTIyAQ0AAAAFAAAAATkBAAAABzI2MjEyOTUCAAAABzE3NTcxNTUDAAAABjEwMDMwOQQAAAABMgYAAAABMAcAAAADMTYwCAAAAAEwCQAAAAExCgAAAAEwCwAAAAo4ODY0NDg1MTM0DAAAAAIxMg0AAAAKMTIvMTUvMjAwN0s7s72Tc9UImy9OSZdz1QgwQ0lRLk5BU0RBUUdTOklOVEMuSVFfUFJJQ0VfU0FMRVMuMjAwMC4xMS8xNi8yMDE2AQAAAIdSAAACAAAACDIuODQyNTg3AQcAAAAFAAAAATEBAAAACjE4MTU1NDQ0NTADAAAAATACAAAABTM4OTU4BAAAAAEwBwAAAAoxMS8xNi8yMDE2CAAAAAoxMS8xNi8yMDE2Sxiwu5Nz1Qh7MCBLl3PVCDZDSVEuTmFzZGFxR1M6SU5UQy5JUV9URVZfRUJJVERBX0ZXRF9DSVEuNjAwMC44LzE1LzIwMDMBAAAAh1IAAAIAAAAQMTIuMTg5MjYxMzEwNzk5MwENAAAABQAAAAE5AQAAAAcyNjIxMjk1AgAAAAcxNzU3MTQyAwAAAAYxMDAzMDgEAAAAATIGAAAAATAHAAAAAzE2MAgAAAABMAkAAAABMQoAAAABMAsAAAAKMTE2OTEyNzY3NQwAAAACMTINAAAACTgvMTYvMjAwM5uGVruTc9UI2zSPrpdz1QgvQ0lRLk5BU0RBUUdTOklOVEMuSVFfUEVfRVhDTF9GV0QuNjAwMC44LzI5LzIwMDMBAAAAh1IAAAIAAAAPMzEuMDQyMzQ1Mjc2ODczAQ0AAAAFAAAAATkBAAAABzI2MjEyOTUCAAAA</t>
  </si>
  <si>
    <t>BzE3NTcxNDIDAAAABjEwMDMwOQQAAAABMgYAAAABMAcAAAADMTYwCAAAAAEwCQAAAAExCgAAAAEwCwAAAAo5MDkwNjg4MjIwDAAAAAIxMg0AAAAJOC8zMC8yMDAzu0y0vZNz1Qg7CVdJl3PVCC9DSVEuTkFTREFRR1M6SU5UQy5JUV9QUklDRV9TQUxFUy4yMDAwLjcvMTMvMjAxNgEAAACHUgAAAgAAAAgyLjk0NzEwMgEHAAAABQAAAAExAQAAAAoxNzg5MTkzMzQzAwAAAAEwAgAAAAUzODk1OAQAAAABMAcAAAAJNy8xMy8yMDE2CAAAAAk3LzEzLzIwMTY76lS5k3PVCJvRJ0uXc9UIKENJUS5OQVNEQVFHUzpJTlRDLklRX1BUQlYuMjAwMC4zLzE2LzIwMTIBAAAAh1IAAAIAAAAINC41NjIzNTYBBwAAAAUAAAABMQEAAAAKMTUyMzQwMzg0OQMAAAABMAIAAAAGMTAwMDI5BAAAAAEwBwAAAAkzLzE2LzIwMTIIAAAACTMvMTYvMjAxMovEZrmTc9UIqzhTSZdz1QgtQ0lRLl5TUFguSVFfVEVWX1RPVEFMX1JFVl9GV0QuNjAwMC4xMC8xNC8yMDE1AQAAAJu4KAACAAAACDEuOTU3MzY3AHuGVbmTc9UIi/0uS5dz1QguQ0lRLk5BU0RBUUdTOklOVEMuSVFfUEVfRVhDTF9GV0QuNjAwMC40LzIvMjAxNQEAAACHUgAAAgAAABAxNC4yNjU3MzgxNTEyNDE4AQ0AAAAFAAAAATkBAAAABzI2MjEyOTUCAAAACjEwMDAwOTQwNzEDAAAABjEwMDMwOQQAAAABMgYAAAABMAcAAAADMTYwCAAAAAEwCQAAAAExCgAAAAEwCwAAAAo4Njk3</t>
  </si>
  <si>
    <t>MTM1NTA4DAAAAAIxMg0AAAAINC8zLzIwMTXrULK9k3PVCGvvWUmXc9UILENJUS5eU1BYLklRX1RFVl9UT1RBTF9SRVZfRldELjYwMDAuNy8xMi8yMDE3AQAAAJu4KAACAAAABzIuMjM0NzUA27ivvZNz1Qjr1whLl3PVCCdDSVEuTkFTREFRR1M6SU5UQy5JUV9QVEJWLjIwMDAuOS82LzIwMTMBAAAAh1IAAAIAAAAIMi45NTQ4NDEBBwAAAAUAAAABMQEAAAAKMTYyODQzNjg0OQMAAAABMAIAAAAGMTAwMDI5BAAAAAEwBwAAAAg5LzYvMjAxMwgAAAAIOS82LzIwMTNrdma5k3PVCFvmVEmXc9UIKENJUS5OQVNEQVFHUzpJTlRDLklRX1BUQlYuMjAwMC41LzIzLzIwMTQBAAAAh1IAAAIAAAAIMy4wNzg1NDYBBwAAAAUAAAABMQEAAAAKMTY3MzM3OTMyNwMAAAABMAIAAAAGMTAwMDI5BAAAAAEwBwAAAAk1LzIzLzIwMTQIAAAACTUvMjMvMjAxNKtDr72Tc9UIiz1aSZdz1QguQ0lRLk5BU0RBUUdTOklOVEMuSVFfUFJJQ0VfU0FMRVMuMjAwMC40LzEvMjAxMQEAAACHUgAAAgAAAAgyLjUxMTE2NgEHAAAABQAAAAExAQAAAAoxNDMwNjI0NTA5AwAAAAEwAgAAAAUzODk1OAQAAAABMAcAAAAINC8xLzIwMTEIAAAACDQvMS8yMDExy7C5t5Nz1QgL0ExJl3PVCDVDSVEuTkFTREFRR1M6SU5UQy5JUV9URVZfRUJJVERBX0ZXRF9DSVEuNjAwMC45LzcvMjAwNwEAAACHUgAAAgAAABA5Ljg1OTE1Mzc0MDYzNTIyAQ0AAAAFAAAA</t>
  </si>
  <si>
    <t>ATkBAAAABzI2MjEyOTUCAAAABzE3NTcxNTQDAAAABjEwMDMwOAQAAAABMgYAAAABMAcAAAADMTYwCAAAAAEwCQAAAAExCgAAAAEwCwAAAAo2NzMwODU5MjI0DAAAAAIxMg0AAAAIOS84LzIwMDf7/1S7k3PVCDuuja6Xc9UIL0NJUS5OQVNEQVFHUzpJTlRDLklRX1BFX0VYQ0xfRldELjYwMDAuMi8xNS8yMDA4AQAAAIdSAAACAAAAEDE0LjMxMzE2NzI1OTc4NjUBDQAAAAUAAAABOQEAAAAHMjYyMTI5NQIAAAAEMTg4MwMAAAAGMTAwMzA5BAAAAAEyBgAAAAEwBwAAAAMxNjAIAAAAATAJAAAAATEKAAAAATALAAAABzE1MzMyNTAMAAAAAjEyDQAAAAkyLzE2LzIwMDhLO7O9k3PVCLtBWEmXc9UIH0NJUS5eU1BYLklRX1BUQlYuMjAwMC4xLzEwLzIwMTgBAAAAm7goAAIAAAAIOS44MDI0OTQAa2awu5Nz1QjbYphKl3PVCC5DSVEuTkFTREFRR1M6SU5UQy5JUV9QUklDRV9TQUxFUy4yMDAwLjUvMy8yMDEzAQAAAIdSAAACAAAACDIuMjUyMTY3AQcAAAAFAAAAATEBAAAACjE2MTQwNzQ5NDIDAAAAATACAAAABTM4OTU4BAAAAAEwBwAAAAg1LzMvMjAxMwgAAAAINS8zLzIwMTNLGLC7k3PVCJugUEmXc9UILUNJUS5eU1BYLklRX1RFVl9FQklUREFfRldEX0NJUS42MDAwLjMvMjMvMjAxNgEAAACbuCgAAgAAAAkxMC4wMzY2NTUAKwRTu5Nz1Qjb3ipLl3PVCDVDSVEuTmFzZGFxR1M6SU5UQy5JUV9URVZfVE9UQUxfUkVW</t>
  </si>
  <si>
    <t>X0ZXRC42MDAwLjEvMjEvMjAxMQEAAACHUgAAAgAAABAyLjA0MjY3MDQ2OTg2ODM4AQ0AAAAFAAAAATkBAAAABzI2MjEyOTUCAAAABDE4ODYDAAAABjEwMDMwNwQAAAABMgYAAAABMAcAAAADMTYwCAAAAAEwCQAAAAExCgAAAAEwCwAAAAo1NzQ4ODEyMTUxDAAAAAIxMg0AAAAJMS8yMi8yMDEx+5a8t5Nz1Qi77lBJl3PVCC1DSVEuXlNQWC5JUV9URVZfRUJJVERBX0ZXRF9DSVEuNjAwMC4zLzIwLzIwMTMBAAAAm7goAAIAAAAINy45NjAzNzIA27ivvZNz1Qi7GD5Ll3PVCDVDSVEuTmFzZGFxR1M6SU5UQy5JUV9URVZfVE9UQUxfUkVWX0ZXRC42MDAwLjMvMTIvMjAxMAEAAACHUgAAAgAAABAyLjYxNjYwMDQzNzk5NDAzAQ0AAAAFAAAAATkBAAAABzI2MjEyOTUCAAAABDE4ODUDAAAABjEwMDMwNwQAAAABMgYAAAABMAcAAAADMTYwCAAAAAEwCQAAAAExCgAAAAEwCwAAAAkzNjA3MzYxNjUMAAAAAjEyDQAAAAkzLzEzLzIwMTC7Ila5k3PVCMv3VUmXc9UIJkNJUS5eU1BYLklRX1BFX0VYQ0xfRldELjYwMDAuMS8yMi8yMDE0AQAAAJu4KAACAAAACTE1Ljg0MjMyNQDr/rm3k3PVCNv1O0uXc9UIMENJUS5OQVNEQVFHUzpJTlRDLklRX1BFX0VYQ0xfRldELjYwMDAuMTEvMTIvMjAxMAEAAACHUgAAAgAAABAxMS40MTYyOTk5MDk4NTc0AQ0AAAAFAAAAATkBAAAABzI2MjEyOTUCAAAABzE3NTcxNjQDAAAABjEwMDMw</t>
  </si>
  <si>
    <t>OQQAAAABMgYAAAABMAcAAAADMTYwCAAAAAEwCQAAAAExCgAAAAEwCwAAAAo4ODYzODQ1MzI1DAAAAAIxMg0AAAAKMTEvMTMvMjAxMJv+s72Tc9UIa+9ZSZdz1QgiQ0lRLl5TUFguSVFfTEFTVFNBTEVQUklDRS4yLzQvMjAxNQEAAACbuCgAAgAAABAyMDQxLjUwOTM1MDk2NTk5ABvdUruTc9UIS0MzS5dz1QgvQ0lRLk5BU0RBUUdTOklOVEMuSVFfUEVfRVhDTF9GV0QuNjAwMC42LzI0LzIwMTEBAAAAh1IAAAIAAAAQOS4yOTI5NDcwMDM5MDEyOAENAAAABQAAAAE5AQAAAAcyNjIxMjk1AgAAAAcxNzU3MTY1AwAAAAYxMDAzMDkEAAAAATIGAAAAATAHAAAAAzE2MAgAAAABMAkAAAABMQoAAAABMAsAAAAKODg2MzM2MjUxMAwAAAACMTINAAAACTYvMjUvMjAxMRvGsr2Tc9UIu+5QSZdz1Qg2Q0lRLk5BU0RBUUdTOklOVEMuSVFfVEVWX0VCSVREQV9GV0RfQ0lRLjYwMDAuNi8yMC8yMDAzAQAAAIdSAAACAAAADzEwLjg4MjU3NDkyMzExOAENAAAABQAAAAE5AQAAAAcyNjIxMjk1AgAAAAcxNzU3MTQxAwAAAAYxMDAzMDgEAAAAATIGAAAAATAHAAAAAzE2MAgAAAABMAkAAAABMQoAAAABMAsAAAAKMTE2OTEyNjk5MAwAAAACMTINAAAACTYvMjEvMjAwM0vDVbuTc9UIS0aQrpdz1QgvQ0lRLk5BU0RBUUdTOklOVEMuSVFfUEVfRVhDTF9GV0QuNjAwMC4xLzIyLzIwMTYBAAAAh1IAAAIAAAAQMTIuNjk1MzYyMjE1NTQ3</t>
  </si>
  <si>
    <t>NQENAAAABQAAAAE5AQAAAAcyNjIxMjk1AgAAAAoxMDAwOTE1NDAyAwAAAAYxMDAzMDkEAAAAATIGAAAAATAHAAAAAzE2MAgAAAABMAkAAAABMQoAAAABMAsAAAAKOTIzOTIzMDkwOQwAAAACMTINAAAACTEvMjMvMjAxNutQsr2Tc9UI67ZYSZdz1QgoQ0lRLk5BU0RBUUdTOklOVEMuSVFfUFRCVi4yMDAwLjEvMzEvMjAxNAEAAACHUgAAAgAAAAgyLjg2NDA0NgEHAAAABQAAAAExAQAAAAoxNjUzODE5MzM0AwAAAAEwAgAAAAYxMDAwMjkEAAAAATAHAAAACTEvMzEvMjAxNAgAAAAJMS8zMS8yMDE0SxFVuZNz1Qj7GU9Jl3PVCDRDSVEuTmFzZGFxR1M6SU5UQy5JUV9URVZfVE9UQUxfUkVWX0ZXRC42MDAwLjMvMi8yMDEyAQAAAIdSAAACAAAADzIuMjQ0NjQ0NzgwODIwNwENAAAABQAAAAE5AQAAAAcyNjIxMjk1AgAAAAQxODg3AwAAAAYxMDAzMDcEAAAAATIGAAAAATAHAAAAAzE2MAgAAAABMAkAAAABMQoAAAABMAsAAAAKNTc0ODgyNzYzOAwAAAACMTINAAAACDMvMy8yMDEyy0lWuZNz1Qgb2VFJl3PVCDZDSVEuTkFTREFRR1M6SU5UQy5JUV9URVZfRUJJVERBX0ZXRF9DSVEuNjAwMC40LzE5LzIwMDIBAAAAh1IAAAIAAAAQMTUuODEzMDM3NTM2NzEyNQENAAAABQAAAAE5AQAAAAcyNjIxMjk1AgAAAAcxNzU3MTM4AwAAAAYxMDAzMDgEAAAAATIGAAAAATAHAAAAAzE2MAgAAAABMAkAAAABMQoAAAABMAsAAAAK</t>
  </si>
  <si>
    <t>MTE2OTEyNTYzOAwAAAACMTINAAAACTQvMjAvMjAwMlvqVbuTc9UIe0qOrpdz1QgnQ0lRLk5BU0RBUUdTOklOVEMuSVFfUFRCVi4yMDAwLjcvOC8yMDE2AQAAAIdSAAACAAAACDQuODQ1NDAxAQcAAAAFAAAAATEBAAAACjE3ODkxOTMzNDMDAAAAATACAAAABjEwMDAyOQQAAAABMAcAAAAINy84LzIwMTYIAAAACDcvOC8yMDE2Sxiwu5Nz1QjLFVFJl3PVCDZDSVEuTmFzZGFxR1M6SU5UQy5JUV9URVZfVE9UQUxfUkVWX0ZXRC42MDAwLjExLzE4LzIwMDUBAAAAh1IAAAIAAAAQMy4zNzY3NjU3MDI0MzA3MgENAAAABQAAAAE5AQAAAAcyNjIxMjk1AgAAAAcxNzU3MTQ5AwAAAAYxMDAzMDcEAAAAATIGAAAAATAHAAAAAzE2MAgAAAABMAkAAAABMQoAAAABMAsAAAAKMTE2OTEzMTQ1NQwAAAACMTINAAAACjExLzE5LzIwMDV7OFa7k3PVCGt+V0mXc9UINENJUS5OYXNkYXFHUzpJTlRDLklRX1RFVl9UT1RBTF9SRVZfRldELjYwMDAuMy8zLzIwMTcBAAAAh1IAAAIAAAAPMi45NjQ5MjA4OTY5Mzk2AQ0AAAAFAAAAATkBAAAABzI2MjEyOTUCAAAACjEwMDA5NDQzODcDAAAABjEwMDMwNwQAAAABMgYAAAABMAcAAAADMTYwCAAAAAEwCQAAAAExCgAAAAEwCwAAAAsxMDAyOTgxMDI1OAwAAAACMTINAAAACDMvNC8yMDE3m/6zvZNz1QgrU1lJl3PVCDZDSVEuTmFzZGFxR1M6SU5UQy5JUV9URVZfRUJJVERBX0ZXRF9DSVEu</t>
  </si>
  <si>
    <t>NjAwMC4yLzIwLzIwMTUBAAAAh1IAAAIAAAAPNi40Nzc5OTA5Nzg3MzM0AQ0AAAAFAAAAATkBAAAABzI2MjEyOTUCAAAACjEwMDAwOTQwNzEDAAAABjEwMDMwOAQAAAABMgYAAAABMAcAAAADMTYwCAAAAAEwCQAAAAExCgAAAAEwCwAAAAo4NjA0NTYyNTgwDAAAAAIxMg0AAAAJMi8yMS8yMDE1i19Wu5Nz1QibmI6ul3PVCCZDSVEuXlNQWC5JUV9QRV9FWENMX0ZXRC42MDAwLjEvMzEvMjAxOAEAAACbuCgAAgAAAAkxOC43MjcwMjQAa2awu5Nz1Qh7ZMpJl3PVCC9DSVEuTkFTREFRR1M6SU5UQy5JUV9QRV9FWENMX0ZXRC42MDAwLjcvMjAvMjAwMQEAAACHUgAAAgAAABA1Ny4xMDc0MDMxNjczMzQ1AQ0AAAAFAAAAATkBAAAABzI2MjEyOTUCAAAABzM0MjExNjEDAAAABjEwMDMwOQQAAAABMgYAAAABMAcAAAADMTYwCAAAAAEwCQAAAAExCgAAAAEwCwAAAAoxMTY5MTczMzU0DAAAAAIxMg0AAAAJNy8yMS8yMDAxi9ezvZNz1QhLv1RJl3PVCC9DSVEuTkFTREFRR1M6SU5UQy5JUV9QUklDRV9TQUxFUy4yMDAwLjkvMTEvMjAxNQEAAACHUgAAAgAAAAgyLjU1MzU3NgEHAAAABQAAAAExAQAAAAoxNzQ3MzU5NTEyAwAAAAEwAgAAAAUzODk1OAQAAAABMAcAAAAJOS8xMS8yMDE1CAAAAAk5LzExLzIwMTVLGLC7k3PVCMsVUUmXc9UILENJUS5eU1BYLklRX1RFVl9UT1RBTF9SRVZfRldELjYwMDAuNi8xOC8yMDE0AQAA</t>
  </si>
  <si>
    <t>AJu4KAACAAAABzEuODcxNDEAa2awu5Nz1Qib6DhLl3PVCDVDSVEuTmFzZGFxR1M6SU5UQy5JUV9URVZfVE9UQUxfUkVWX0ZXRC42MDAwLjkvMjAvMjAxMwEAAACHUgAAAgAAABAyLjEyMjAxNDY3MzQyOTA1AQ0AAAAFAAAAATkBAAAABzI2MjEyOTUCAAAABzM4Mjk3NTIDAAAABjEwMDMwNwQAAAABMgYAAAABMAcAAAADMTYwCAAAAAEwCQAAAAExCgAAAAEwCwAAAAo4ODYwOTg4NDA0DAAAAAIxMg0AAAAJOS8yMS8yMDEzy/tWu5Nz1QjLFVFJl3PVCDVDSVEuTmFzZGFxR1M6SU5UQy5JUV9URVZfVE9UQUxfUkVWX0ZXRC42MDAwLjkvMTIvMjAwOAEAAACHUgAAAgAAABAyLjQ5MDEyNjI2Mzg5NjExAQ0AAAAFAAAAATkBAAAABzI2MjEyOTUCAAAABzE3NTcxNTcDAAAABjEwMDMwNwQAAAABMgYAAAABMAcAAAADMTYwCAAAAAEwCQAAAAExCgAAAAEwCwAAAAo4ODYyMDI5MzY0DAAAAAIxMg0AAAAJOS8xMy8yMDA42yJXu5Nz1QiLCE5Jl3PVCC9DSVEuTkFTREFRR1M6SU5UQy5JUV9QUklDRV9TQUxFUy4yMDAwLjEyLzYvMjAxMwEAAACHUgAAAgAAAAgyLjM1NTQ4NAEHAAAABQAAAAExAQAAAAoxNjQyNDgzNzkyAwAAAAEwAgAAAAUzODk1OAQAAAABMAcAAAAJMTIvNi8yMDEzCAAAAAkxMi82LzIwMTP7jlK7k3PVCEswV0mXc9UIK0NJUS5OQVNEQVFHUzpJTlRDLklRX0xBU1RTQUxFUFJJQ0UuMy81LzIwMTQBAAAA</t>
  </si>
  <si>
    <t>h1IAAAIAAAAEMjQuNQDr/rm3k3PVCKuAO0uXc9UIKENJUS5OQVNEQVFHUzpJTlRDLklRX1BUQlYuMjAwMC4xMS81LzIwMTABAAAAh1IAAAIAAAAIMi43OTAyMzMBBwAAAAUAAAABMQEAAAAKMTQwODUxNjU0NgMAAAABMAIAAAAGMTAwMDI5BAAAAAEwBwAAAAkxMS81LzIwMTAIAAAACTExLzUvMjAxMOvRiLaTc9UIK61KSZdz1Qg1Q0lRLk5hc2RhcUdTOklOVEMuSVFfVEVWX1RPVEFMX1JFVl9GV0QuNjAwMC4zLzExLzIwMTEBAAAAh1IAAAIAAAAQMS45MDE2MjAxNDIyNjgwOQENAAAABQAAAAE5AQAAAAcyNjIxMjk1AgAAAAQxODg2AwAAAAYxMDAzMDcEAAAAATIGAAAAATAHAAAAAzE2MAgAAAABMAkAAAABMQoAAAABMAsAAAAKNTc0ODgxMjIwMAwAAAACMTINAAAACTMvMTIvMjAxMftwV7uTc9UIaytQSZdz1QgtQ0lRLl5TUFguSVFfVEVWX0VCSVREQV9GV0RfQ0lRLjYwMDAuNS8yNC8yMDE3AQAAAJu4KAACAAAACTEwLjQ1Nzk5MQDr/rm3k3PVCEsVEUuXc9UIL0NJUS5OQVNEQVFHUzpJTlRDLklRX1BFX0VYQ0xfRldELjYwMDAuMi8yNy8yMDA5AQAAAIdSAAACAAAAEDMxLjgxNTAwMzQ5NjE1NDIBDQAAAAUAAAABOQEAAAAHMjYyMTI5NQIAAAAEMTg4NAMAAAAGMTAwMzA5BAAAAAEyBgAAAAEwBwAAAAMxNjAIAAAAATAJAAAAATEKAAAAATALAAAABzE1NDE0MDkMAAAAAjEyDQAAAAkyLzI4LzIwMDmb/rO9</t>
  </si>
  <si>
    <t>k3PVCAuUVkmXc9UIJkNJUS5OQVNEQVFHUzpJTlRDLklRX1BSSUNFX1NBTEVTLjIwMDAuAQAAAIdSAAACAAAACDMuMzMwMTk2AQcAAAAFAAAAATEBAAAACjE4NzIyMTQwOTkDAAAAATACAAAABTM4OTU4BAAAAAEwBwAAAAkyLzEzLzIwMTgIAAAACTIvMTMvMjAxOOvK08KTc9UI2y5Sa5Zz1Qg2Q0lRLk5BU0RBUUdTOklOVEMuSVFfVEVWX0VCSVREQV9GV0RfQ0lRLjYwMDAuNi8xNC8yMDAyAQAAAIdSAAACAAAAEDExLjk0NTQzMTA5NzQxOTYBDQAAAAUAAAABOQEAAAAHMjYyMTI5NQIAAAAHMTc1NzEzOAMAAAAGMTAwMzA4BAAAAAEyBgAAAAEwBwAAAAMxNjAIAAAAATAJAAAAATEKAAAAATALAAAACjExNjkxMjU2NDIMAAAAAjEyDQAAAAk2LzE1LzIwMDJb6lW7k3PVCHtKjq6Xc9UIMENJUS5OQVNEQVFHUzpJTlRDLklRX1BSSUNFX1NBTEVTLjIwMDAuMTEvMjAvMjAxMwEAAACHUgAAAgAAAAgyLjMzMDgwOQEHAAAABQAAAAExAQAAAAoxNjQyNDgzNzkyAwAAAAEwAgAAAAUzODk1OAQAAAABMAcAAAAKMTEvMjAvMjAxMwgAAAAKMTEvMjAvMjAxM0sRVbmTc9UIK7k8S5dz1QgwQ0lRLk5BU0RBUUdTOklOVEMuSVFfUEVfRVhDTF9GV0QuNjAwMC4xMS8xMS8yMDExAQAAAIdSAAACAAAAEDkuNjEwOTIyMDI5NzAyOTcBDQAAAAUAAAABOQEAAAAHMjYyMTI5NQIAAAAHMTc1NzE2NwMAAAAGMTAwMzA5BAAAAAEyBgAA</t>
  </si>
  <si>
    <t>AAEwBwAAAAMxNjAIAAAAATAJAAAAATEKAAAAATALAAAACjg4NjQ0MzExMTkMAAAAAjEyDQAAAAoxMS8xMi8yMDExG8ayvZNz1Qj7+1NJl3PVCCJDSVEuXlNQWC5JUV9MQVNUU0FMRVBSSUNFLjgvMi8yMDE3AQAAAJu4KAACAAAAEDI0NzcuNTY4MDk2OTE3NjIAW09muZNz1QjrE/9Kl3PVCC1DSVEuXlNQWC5JUV9URVZfRUJJVERBX0ZXRF9DSVEuNjAwMC41LzE0LzIwMTQBAAAAm7goAAIAAAAIOC44NDE3MDIA27ivvZNz1QjLXTlLl3PVCCZDSVEuXlNQWC5JUV9QRV9FWENMX0ZXRC42MDAwLjgvMTAvMjAxNgEAAACbuCgAAgAAAAkxNy41NDg2MDIAe42wu5Nz1Qhr6yRLl3PVCCxDSVEuTkFTREFRR1M6SU5UQy5JUV9MQVNUU0FMRVBSSUNFLjgvMTIvMjAxNQEAAACHUgAAAgAAAAUyOS40NgDr/rm3k3PVCPsOMEuXc9UILENJUS5OQVNEQVFHUzpJTlRDLklRX0xBU1RTQUxFUFJJQ0UuMi8xOS8yMDE0AQAAAIdSAAACAAAABDI0LjUAy5GvvZNz1Qi7pztLl3PVCCxDSVEuXlNQWC5JUV9URVZfVE9UQUxfUkVWX0ZXRC42MDAwLjYvMjYvMjAxMwEAAACbuCgAAgAAAAgxLjYxMzk2NABrX1W5k3PVCIujPUuXc9UINUNJUS5OYXNkYXFHUzpJTlRDLklRX1RFVl9UT1RBTF9SRVZfRldELjYwMDAuMS8yNy8yMDEyAQAAAIdSAAACAAAAEDIuMjc2MzcyNzMyNjkwMzQBDQAAAAUAAAABOQEAAAAHMjYyMTI5NQIAAAAEMTg4</t>
  </si>
  <si>
    <t>NwMAAAAGMTAwMzA3BAAAAAEyBgAAAAEwBwAAAAMxNjAIAAAAATAJAAAAATEKAAAAATALAAAACjU3NDg4Mjc2MzAMAAAAAjEyDQAAAAkxLzI4LzIwMTKr+1W5k3PVCLt9TkmXc9UILENJUS5OQVNEQVFHUzpJTlRDLklRX0xBU1RTQUxFUFJJQ0UuNi8xNC8yMDE3AQAAAIdSAAACAAAABTM1LjUzAFs/sLuTc9UI25INS5dz1QguQ0lRLk5BU0RBUUdTOklOVEMuSVFfUEVfRVhDTF9GV0QuNjAwMC45LzIvMjAxNgEAAACHUgAAAgAAAA8xMy43OTk5NjE3NTE3NjkBDQAAAAUAAAABOQEAAAAHMjYyMTI5NQIAAAAIMjcwMDM2NTIDAAAABjEwMDMwOQQAAAABMgYAAAABMAcAAAADMTYwCAAAAAEwCQAAAAExCgAAAAEwCwAAAAo5Nzc4Mzc0NDcyDAAAAAIxMg0AAAAIOS8zLzIwMTab/rO9k3PVCCtTWUmXc9UIL0NJUS5OQVNEQVFHUzpJTlRDLklRX1BFX0VYQ0xfRldELjYwMDAuMTAvOS8yMDA5AQAAAIdSAAACAAAAEDE3LjYzNTc0MzYzOTA2NjIBDQAAAAUAAAABOQEAAAAHMjYyMTI5NQIAAAAHMTc1NzE2MAMAAAAGMTAwMzA5BAAAAAEyBgAAAAEwBwAAAAMxNjAIAAAAATAJAAAAATEKAAAAATALAAAACjkwOTAzNzk3NjkMAAAAAjEyDQAAAAoxMC8xMC8yMDA5OxSzvZNz1QhLoVlJl3PVCC9DSVEuTkFTREFRR1M6SU5UQy5JUV9QUklDRV9TQUxFUy4yMDAwLjUvMTQvMjAxMAEAAACHUgAAAgAAAAgzLjE3MTMzNgEHAAAA</t>
  </si>
  <si>
    <t>BQAAAAExAQAAAAoxMzU3NjU5MTAxAwAAAAEwAgAAAAUzODk1OAQAAAABMAcAAAAJNS8xNC8yMDEwCAAAAAk1LzE0LzIwMTDLsLm3k3PVCEtsTUmXc9UIL0NJUS5OQVNEQVFHUzpJTlRDLklRX1BFX0VYQ0xfRldELjYwMDAuNS8yNy8yMDE2AQAAAIdSAAACAAAAEDEyLjgwNzMwMjIzMTIzNzMBDQAAAAUAAAABOQEAAAAHMjYyMTI5NQIAAAAIMjcwMDM2NTEDAAAABjEwMDMwOQQAAAABMgYAAAABMAcAAAADMTYwCAAAAAEwCQAAAAExCgAAAAEwCwAAAAo5NDk1OTUxMzgxDAAAAAIxMg0AAAAJNS8yOC8yMDE22ymyvZNz1QirGlhJl3PVCCVDSVEuXlNQWC5JUV9QRV9FWENMX0ZXRC42MDAwLjEvNy8yMDE1AQAAAJu4KAACAAAACTE2LjczOTI3NgBrZrC7k3PVCMt7NEuXc9UIL0NJUS5OQVNEQVFHUzpJTlRDLklRX1BFX0VYQ0xfRldELjYwMDAuNC8yOS8yMDE2AQAAAIdSAAACAAAAEDEyLjI2NzU1MjU2NjU0MzgBDQAAAAUAAAABOQEAAAAHMjYyMTI5NQIAAAAIMjcwMDM2NTEDAAAABjEwMDMwOQQAAAABMgYAAAABMAcAAAADMTYwCAAAAAEwCQAAAAExCgAAAAEwCwAAAAo5NDM4Njc0NTkyDAAAAAIxMg0AAAAJNC8zMC8yMDE2qyW0vZNz1QjLaFhJl3PVCB9DSVEuXlNQWC5JUV9QVEJWLjIwMDAuNy8xNS8yMDE1AQAAAJu4KAACAAAACDYuMjMyMzQ0ANvXubeTc9UIO6swS5dz1QgvQ0lRLk5BU0RBUUdTOklOVEMu</t>
  </si>
  <si>
    <t>SVFfUEVfRVhDTF9GV0QuNjAwMC4xLzMwLzIwMTUBAAAAh1IAAAIAAAAQMTMuOTI0MjQyNjc5NjU4MQENAAAABQAAAAE5AQAAAAcyNjIxMjk1AgAAAAoxMDAwMDk0MDcxAwAAAAYxMDAzMDkEAAAAATIGAAAAATAHAAAAAzE2MAgAAAABMAkAAAABMQoAAAABMAsAAAAKODU0ODM5NDI2MQwAAAACMTINAAAACTEvMzEvMjAxNetQsr2Tc9UIi8xXSZdz1QgjQ0lRLl5TUFguSVFfTEFTVFNBTEVQUklDRS4yLzE0LzIwMTgBAAAAm7goAAIAAAAGMjY4My40AAu2UruTc9UIaz3KSZdz1QgpQ0lRLk5BU0RBUUdTOklOVEMuSVFfUFRCVi4yMDAwLjEyLzE3LzIwMTABAAAAh1IAAAIAAAAIMi44MTkxMzQBBwAAAAUAAAABMQEAAAAKMTQwODUxNjU0NgMAAAABMAIAAAAGMTAwMDI5BAAAAAEwBwAAAAoxMi8xNy8yMDEwCAAAAAoxMi8xNy8yMDEwO+pUuZNz1Qh7UlBJl3PVCClDSVEuTkFTREFRR1M6SU5UQy5JUV9QVEJWLjIwMDAuMTAvMjgvMjAxMQEAAACHUgAAAgAAAAg0LjI0OTIzNAEHAAAABQAAAAExAQAAAAoxNDc3NDY4NTE3AwAAAAEwAgAAAAYxMDAwMjkEAAAAATAHAAAACjEwLzI4LzIwMTEIAAAACjEwLzI4LzIwMTH7jlK7k3PVCBu7VkmXc9UIK0NJUS5OQVNEQVFHUzpJTlRDLklRX0xBU1RTQUxFUFJJQ0UuMy8yLzIwMTYBAAAAh1IAAAIAAAAFMzAuNTQAW09muZNz1Qj7LCtLl3PVCB9DSVEuXlNQWC5JUV9QVEJW</t>
  </si>
  <si>
    <t>LjIwMDAuNy8yNC8yMDEzAQAAAJu4KAACAAAACDQuOTg3ODg5ANvXubeTc9UIe3w9S5dz1QgtQ0lRLl5TUFguSVFfVEVWX0VCSVREQV9GV0RfQ0lRLjYwMDAuMy8xNS8yMDE3AQAAAJu4KAACAAAACTEwLjQ3NjUyNQB7hlW5k3PVCCsaGEuXc9UILkNJUS5eU1BYLklRX1RFVl9FQklUREFfRldEX0NJUS42MDAwLjEwLzE1LzIwMTQBAAAAm7goAAIAAAAHOC40MTI3MgCb62a5k3PVCJt3NkuXc9UII0NJUS5eU1BYLklRX0xBU1RTQUxFUFJJQ0UuMTAvNS8yMDE2AQAAAJu4KAACAAAAEDIxNTkuNzI3OTk4MTk5OTYAy5GvvZNz1QjbGiFLl3PVCC9DSVEuTkFTREFRR1M6SU5UQy5JUV9QRV9FWENMX0ZXRC42MDAwLjYvMTAvMjAwNQEAAACHUgAAAgAAAA8xOC40NjY4MDM1NTkyMDYBDQAAAAUAAAABOQEAAAAHMjYyMTI5NQIAAAAHMTc1NzE0NwMAAAAGMTAwMzA5BAAAAAEyBgAAAAEwBwAAAAMxNjAIAAAAATAJAAAAATEKAAAAATALAAAACjg4NjI4MDAyNzYMAAAAAjEyDQAAAAk2LzExLzIwMDWb/rO9k3PVCOtFVkmXc9UINUNJUS5OYXNkYXFHUzpJTlRDLklRX1RFVl9UT1RBTF9SRVZfRldELjYwMDAuMy8xNi8yMDA3AQAAAIdSAAACAAAAEDIuNjg4MzE5OTU1MzA1OTkBDQAAAAUAAAABOQEAAAAHMjYyMTI5NQIAAAAEMTg4MgMAAAAGMTAwMzA3BAAAAAEyBgAAAAEwBwAAAAMxNjAIAAAAATAJAAAAATEKAAAAATAL</t>
  </si>
  <si>
    <t>AAAACzEwMzc4NTEzNDY3DAAAAAIxMg0AAAAJMy8xNy8yMDA3m/6zvZNz1Qhbk01Jl3PVCCdDSVEuTkFTREFRR1M6SU5UQy5JUV9QVEJWLjIwMDAuMi82LzIwMTUBAAAAh1IAAAIAAAAIMy45MTQ5ODIBBwAAAAUAAAABMQEAAAAKMTcxNTMyODY0MwMAAAABMAIAAAAGMTAwMDI5BAAAAAEwBwAAAAgyLzYvMjAxNQgAAAAIMi82LzIwMTVLEVW5k3PVCNvLTkmXc9UILkNJUS5OQVNEQVFHUzpJTlRDLklRX1BFX0VYQ0xfRldELjYwMDAuNC81LzIwMDIBAAAAh1IAAAIAAAAQNDQuODUwNzQ2MjY4NjU2NwENAAAABQAAAAE5AQAAAAcyNjIxMjk1AgAAAAQxODc3AwAAAAYxMDAzMDkEAAAAATIGAAAAATAHAAAAAzE2MAgAAAABMAkAAAABMQoAAAABMAsAAAAHMTQ5NzgwMQwAAAACMTINAAAACDQvNi8yMDAye7CzvZNz1QhrDVVJl3PVCDVDSVEuTmFzZGFxR1M6SU5UQy5JUV9URVZfVE9UQUxfUkVWX0ZXRC42MDAwLjEvMzEvMjAwMwEAAACHUgAAAgAAAA8zLjI2NjAzNjUwNjczNzQBDQAAAAUAAAABOQEAAAAHMjYyMTI5NQIAAAAEMTg3OAMAAAAGMTAwMzA3BAAAAAEyBgAAAAEwBwAAAAMxNjAIAAAAATAJAAAAATEKAAAAATALAAAACTM2MDY1NjQxOQwAAAACMTINAAAACDIvMS8yMDAzy0lWuZNz1Qh7w1JJl3PVCDVDSVEuTmFzZGFxR1M6SU5UQy5JUV9URVZfVE9UQUxfUkVWX0ZXRC42MDAwLjMvMTgvMjAwNQEAAACH</t>
  </si>
  <si>
    <t>UgAAAgAAABAzLjQyNjMxNjc0MTkxODY0AQ0AAAAFAAAAATkBAAAABzI2MjEyOTUCAAAABDE4ODADAAAABjEwMDMwNwQAAAABMgYAAAABMAcAAAADMTYwCAAAAAEwCQAAAAExCgAAAAEwCwAAAAkzNjA2NjQ1MDYMAAAAAjEyDQAAAAkzLzE5LzIwMDWb/rO9k3PVCBu7VkmXc9UII0NJUS5eU1BYLklRX0xBU1RTQUxFUFJJQ0UuMy8yMy8yMDE2AQAAAJu4KAACAAAAEDIwMzYuNzEyNzYxNDY3MTkAW09muZNz1QibQipLl3PVCC1DSVEuXlNQWC5JUV9URVZfRUJJVERBX0ZXRF9DSVEuNjAwMC42LzE1LzIwMTYBAAAAm7goAAIAAAAIMTAuMDIyNjcAa19VuZNz1Qg7WClLl3PVCDBDSVEuTkFTREFRR1M6SU5UQy5JUV9QRV9FWENMX0ZXRC42MDAwLjEyLzE2LzIwMTYBAAAAh1IAAAIAAAAQMTMuMTQ5MTI3MjU0MjkxMwENAAAABQAAAAE5AQAAAAcyNjIxMjk1AgAAAAgyNzAwMzY1MwMAAAAGMTAwMzA5BAAAAAEyBgAAAAEwBwAAAAMxNjAIAAAAATAJAAAAATEKAAAAATALAAAACjk4OTE3ODM4NDQMAAAAAjEyDQAAAAoxMi8xNy8yMDE22ymyvZNz1Qhb5lRJl3PVCDBDSVEuTkFTREFRR1M6SU5UQy5JUV9QRV9FWENMX0ZXRC42MDAwLjExLzE2LzIwMDcBAAAAh1IAAAIAAAAQMTguMDIxOTAwMzg4NTU1MwENAAAABQAAAAE5AQAAAAcyNjIxMjk1AgAAAAcxNzU3MTU1AwAAAAYxMDAzMDkEAAAAATIGAAAAATAHAAAAAzE2</t>
  </si>
  <si>
    <t>MAgAAAABMAkAAAABMQoAAAABMAsAAAAKODg2NDQ4NTEyNwwAAAACMTINAAAACjExLzE3LzIwMDdLO7O9k3PVCLvQVUmXc9UILENJUS5eU1BYLklRX1RFVl9UT1RBTF9SRVZfRldELjYwMDAuMi8xNS8yMDE3AQAAAJu4KAACAAAACDIuMTczNjQ4AHuGVbmTc9UI6+4ZS5dz1Qg2Q0lRLk5hc2RhcUdTOklOVEMuSVFfVEVWX1RPVEFMX1JFVl9GV0QuNjAwMC4xMC8xNC8yMDExAQAAAIdSAAACAAAAEDIuMDgwMzQ0OTE4MzM2MzYBDQAAAAUAAAABOQEAAAAHMjYyMTI5NQIAAAAHMTc1NzE2NgMAAAAGMTAwMzA3BAAAAAEyBgAAAAEwBwAAAAMxNjAIAAAAATAJAAAAATEKAAAAATALAAAACjg4NjQ0MzEzNjQMAAAAAjEyDQAAAAoxMC8xNS8yMDEx20i8t5Nz1QgLBVlJl3PVCC1DSVEuXlNQWC5JUV9URVZfRUJJVERBX0ZXRF9DSVEuNjAwMC42LzI2LzIwMTMBAAAAm7goAAIAAAAIOC4wMjgzNzUAa2awu5Nz1QiLoz1Ll3PVCDdDSVEuTmFzZGFxR1M6SU5UQy5JUV9URVZfRUJJVERBX0ZXRF9DSVEuNjAwMC4xMi8xNy8yMDA0AQAAAIdSAAACAAAADzguNTU0NjE3ODQwMzg2MwENAAAABQAAAAE5AQAAAAcyNjIxMjk1AgAAAAcxNzU3MTQ2AwAAAAYxMDAzMDgEAAAAATIGAAAAATAHAAAAAzE2MAgAAAABMAkAAAABMQoAAAABMAsAAAAKMTE2OTEyOTY5MgwAAAACMTINAAAACjEyLzE4LzIwMDTrSVe7k3PVCHu7kK6Xc9UI</t>
  </si>
  <si>
    <t>MENJUS5OQVNEQVFHUzpJTlRDLklRX1BFX0VYQ0xfRldELjYwMDAuMTEvMTgvMjAwNQEAAACHUgAAAgAAABAxNi41NDY3NjI1ODk5MjgxAQ0AAAAFAAAAATkBAAAABzI2MjEyOTUCAAAABzE3NTcxNDkDAAAABjEwMDMwOQQAAAABMgYAAAABMAcAAAADMTYwCAAAAAEwCQAAAAExCgAAAAEwCwAAAAo4ODYyMzk4OTQyDAAAAAIxMg0AAAAKMTEvMTkvMjAwNWuJs72Tc9UI64FMSZdz1QgtQ0lRLk5BU0RBUUdTOklOVEMuSVFfTEFTVFNBTEVQUklDRS4xMi8xOC8yMDEzAQAAAIdSAAACAAAABTI1LjE1ABvdUruTc9UIG5I8S5dz1QgvQ0lRLk5BU0RBUUdTOklOVEMuSVFfUEVfRVhDTF9GV0QuNjAwMC4xMC81LzIwMDEBAAAAh1IAAAIAAAAQNDcuMDIzNTc2MDE3MTMwNgENAAAABQAAAAE5AQAAAAcyNjIxMjk1AgAAAAczNDIxMTYxAwAAAAYxMDAzMDkEAAAAATIGAAAAATAHAAAAAzE2MAgAAAABMAkAAAABMQoAAAABMAsAAAAKMTE2OTE3MzM3NAwAAAACMTINAAAACTEwLzYvMjAwMYvXs72Tc9UIy/dVSZdz1QgpQ0lRLk5BU0RBUUdTOklOVEMuSVFfUFRCVi4yMDAwLjEwLzI5LzIwMTABAAAAh1IAAAIAAAAIMi41ODY1NzMBBwAAAAUAAAABMQEAAAAKMTQwMTQwMTk0MQMAAAABMAIAAAAGMTAwMDI5BAAAAAEwBwAAAAoxMC8yOS8yMDEwCAAAAAoxMC8yOS8yMDEwW09muZNz1QibglVJl3PVCDZDSVEuTkFTREFRR1M6</t>
  </si>
  <si>
    <t>SU5UQy5JUV9URVZfRUJJVERBX0ZXRF9DSVEuNjAwMC4xMi85LzIwMTEBAAAAh1IAAAIAAAAMNC43ODkwMTIwNzIzAQ0AAAAFAAAAATkBAAAABzI2MjEyOTUCAAAABzE3NTcxNjcDAAAABjEwMDMwOAQAAAABMgYAAAABMAcAAAADMTYwCAAAAAEwCQAAAAExCgAAAAEwCwAAAAoxMzgxNjc3MjQ2DAAAAAIxMg0AAAAKMTIvMTAvMjAxMas8VLuTc9UIG2CNrpdz1QgjQ0lRLl5TUFguSVFfTEFTVFNBTEVQUklDRS43LzMxLzIwMTMBAAAAm7goAAIAAAAQMTY4NS43MjUwMTU4NDk2NwA76lS5k3PVCFsuPUuXc9UILkNJUS5OQVNEQVFHUzpJTlRDLklRX1BSSUNFX1NBTEVTLjIwMDAuMy83LzIwMTQBAAAAh1IAAAIAAAAIMi4zMjMzODEBBwAAAAUAAAABMQEAAAAKMTY1ODM0Mjc4MAMAAAABMAIAAAAFMzg5NTgEAAAAATAHAAAACDMvNy8yMDE0CAAAAAgzLzcvMjAxNPuOUruTc9UIK+JWSZdz1QguQ0lRLk5BU0RBUUdTOklOVEMuSVFfUFJJQ0VfU0FMRVMuMjAwMC41LzUvMjAxNwEAAACHUgAAAgAAAAgyLjg3OTcxMQEHAAAABQAAAAExAQAAAAoxODM4MzYwMTMyAwAAAAEwAgAAAAUzODk1OAQAAAABMAcAAAAINS81LzIwMTcIAAAACDUvNS8yMDE3Sxiwu5Nz1Qirx1BJl3PVCC9DSVEuTmFzZGFxR1M6SU5UQy5JUV9QRV9FWENMX0ZXRC42MDAwLjIvMjgvMjAwMwEAAACHUgAAAgAAABAyNy44NzA2MjYwMzk0OTY4AQ0A</t>
  </si>
  <si>
    <t>AAAFAAAAATkBAAAABzI2MjEyOTUCAAAABDE4NzgDAAAABjEwMDMwOQQAAAABMgYAAAABMAcAAAADMTYwCAAAAAEwCQAAAAExCgAAAAEwCwAAAAcxNTAwMzUxDAAAAAIxMg0AAAAIMy8xLzIwMDOrJbS9k3PVCEvdT0mXc9UILENJUS5OQVNEQVFHUzpJTlRDLklRX0xBU1RTQUxFUFJJQ0UuMS8xNC8yMDE1AQAAAIdSAAACAAAABTM2LjM1AMuRr72Tc9UI26I0S5dz1Qg1Q0lRLk5hc2RhcUdTOklOVEMuSVFfVEVWX1RPVEFMX1JFVl9GV0QuNjAwMC4xLzEzLzIwMTcBAAAAh1IAAAIAAAAQMy4wMzc0MzY3MjYyMzQ2NQENAAAABQAAAAE5AQAAAAcyNjIxMjk1AgAAAAgyNzAwMzY1MwMAAAAGMTAwMzA3BAAAAAEyBgAAAAEwBwAAAAMxNjAIAAAAATAJAAAAATEKAAAAATALAAAACjk5Mjk3MzYyOTEMAAAAAjEyDQAAAAkxLzE0LzIwMTfLIby3k3PVCHtwS0mXc9UILkNJUS5OQVNEQVFHUzpJTlRDLklRX1BFX0VYQ0xfRldELjYwMDAuOS8yLzIwMDUBAAAAh1IAAAIAAAAQMTYuODY0NTc2Mzg0MjU2MgENAAAABQAAAAE5AQAAAAcyNjIxMjk1AgAAAAcxNzU3MTQ4AwAAAAYxMDAzMDkEAAAAATIGAAAAATAHAAAAAzE2MAgAAAABMAkAAAABMQoAAAABMAsAAAAKODg2MjM5ODkyNgwAAAACMTINAAAACDkvMy8yMDA1a4mzvZNz1QiLeVBJl3PVCC9DSVEuTkFTREFRR1M6SU5UQy5JUV9QUklDRV9TQUxFUy4yMDAwLjIvMTQv</t>
  </si>
  <si>
    <t>MjAxOAEAAACHUgAAAgAAAAgzLjMzMDE5NgEHAAAABQAAAAExAQAAAAoxODcyMjE0MDk5AwAAAAEwAgAAAAUzODk1OAQAAAABMAcAAAAJMi8xMy8yMDE4CAAAAAkyLzEzLzIwMTj7jlK7k3PVCGs9ykmXc9UILENJUS5eU1BYLklRX1RFVl9UT1RBTF9SRVZfRldELjYwMDAuNS8xMC8yMDE3AQAAAJu4KAACAAAACDIuMTk5NjQ2AGtmsLuTc9UI65sSS5dz1Qg0Q0lRLk5hc2RhcUdTOklOVEMuSVFfVEVWX1RPVEFMX1JFVl9GV0QuNjAwMC40LzcvMjAwNgEAAACHUgAAAgAAABAyLjY4MjU0NDQwMjA2NjQ3AQ0AAAAFAAAAATkBAAAABzI2MjEyOTUCAAAABDE4ODEDAAAABjEwMDMwNwQAAAABMgYAAAABMAcAAAADMTYwCAAAAAEwCQAAAAExCgAAAAEwCwAAAAkzNjA2NzIzNzQMAAAAAjEyDQAAAAg0LzgvMjAwNstQsbuTc9UIG0pUSZdz1QgwQ0lRLk5hc2RhcUdTOklOVEMuSVFfUEVfRVhDTF9GV0QuNjAwMC4xMC8yNy8yMDE3AQAAAIdSAAACAAAAEDEzLjc1MjUxNjY0ODU5ODQBDQAAAAUAAAABOQEAAAAHMjYyMTI5NQIAAAAIMjc1MDAxNzQDAAAABjEwMDMwOQQAAAABMgYAAAABMAcAAAADMTYwCAAAAAEwCQAAAAExCgAAAAEwCwAAAAsxMDUyNjIzMjgwNAwAAAACMTINAAAACjEwLzI4LzIwMTeb/rO9k3PVCKs4U0mXc9UII0NJUS5eU1BYLklRX0xBU1RTQUxFUFJJQ0UuNy8yMi8yMDE1AQAAAJu4KAACAAAAEDIx</t>
  </si>
  <si>
    <t>MTQuMTUxMjM3ODMzNzgA6/65t5Nz1Qjr5y9Ll3PVCCRDSVEuXlNQWC5JUV9MQVNUU0FMRVBSSUNFLjEwLzI4LzIwMTUBAAAAm7goAAIAAAAQMjA5MC4zNTM4ODE0NDAwNwAb3VK7k3PVCCsTLkuXc9UILkNJUS5OQVNEQVFHUzpJTlRDLklRX1BSSUNFX1NBTEVTLjIwMDAuNy85LzIwMTQBAAAAh1IAAAIAAAAIMi45MDYzNzYBBwAAAAUAAAABMQEAAAAKMTY3MzM3OTMyNwMAAAABMAIAAAAFMzg5NTgEAAAAATAHAAAACDcvOS8yMDE0CAAAAAg3LzkvMjAxNFs4VbmTc9UIa3M4S5dz1Qg2Q0lRLk5BU0RBUUdTOklOVEMuSVFfVEVWX0VCSVREQV9GV0RfQ0lRLjYwMDAuMi8xNy8yMDEyAQAAAIdSAAACAAAAEDUuMzg3Mjc4NDY0NzUxMDQBDQAAAAUAAAABOQEAAAAHMjYyMTI5NQIAAAAEMTg4NwMAAAAGMTAwMzA4BAAAAAEyBgAAAAEwBwAAAAMxNjAIAAAAATAJAAAAATEKAAAAATALAAAACjU3NDg4MzEzODAMAAAAAjEyDQAAAAkyLzE4LzIwMTKrPFS7k3PVCCuHja6Xc9UILkNJUS5OQVNEQVFHUzpJTlRDLklRX1BFX0VYQ0xfRldELjYwMDAuNy84LzIwMTYBAAAAh1IAAAIAAAAQMTMuNzcwMTk5NjY3ODk1MgENAAAABQAAAAE5AQAAAAcyNjIxMjk1AgAAAAgyNzAwMzY1MQMAAAAGMTAwMzA5BAAAAAEyBgAAAAEwBwAAAAMxNjAIAAAAATAJAAAAATEKAAAAATALAAAACjk1ODM5MTE2MDEMAAAAAjEyDQAAAAg3Lzkv</t>
  </si>
  <si>
    <t>MjAxNtspsr2Tc9UIe6VXSZdz1Qg2Q0lRLk5hc2RhcUdTOklOVEMuSVFfVEVWX0VCSVREQV9GV0RfQ0lRLjYwMDAuMS8yOS8yMDEwAQAAAIdSAAACAAAAEDUuNTc2NzczNzAyMTk0NzgBDQAAAAUAAAABOQEAAAAHMjYyMTI5NQIAAAAEMTg4NQMAAAAGMTAwMzA4BAAAAAEyBgAAAAEwBwAAAAMxNjAIAAAAATAJAAAAATEKAAAAATALAAAACTM2MDc0MDU1OAwAAAACMTINAAAACTEvMzAvMjAxMLtMtL2Tc9UIq7+Orpdz1QgfQ0lRLl5TUFguSVFfUFRCVi4yMDAwLjkvMTQvMjAxNgEAAACbuCgAAgAAAAg3LjQzMjE4NwDb17m3k3PVCPvZI0uXc9UIL0NJUS5OQVNEQVFHUzpJTlRDLklRX1BFX0VYQ0xfRldELjYwMDAuNi8xMC8yMDE2AQAAAIdSAAACAAAAEDEyLjk5Nzk3MTYwMjQzNDEBDQAAAAUAAAABOQEAAAAHMjYyMTI5NQIAAAAIMjcwMDM2NTEDAAAABjEwMDMwOQQAAAABMgYAAAABMAcAAAADMTYwCAAAAAEwCQAAAAExCgAAAAEwCwAAAAo5NDk1OTUxMzgxDAAAAAIxMg0AAAAJNi8xMS8yMDE22ymyvZNz1QiLW1VJl3PVCDdDSVEuTkFTREFRR1M6SU5UQy5JUV9URVZfRUJJVERBX0ZXRF9DSVEuNjAwMC4xMS8yMy8yMDEyAQAAAIdSAAACAAAAEDQuNDQ5MzU1Mzk5MTk5NjcBDQAAAAUAAAABOQEAAAAHMjYyMTI5NQIAAAAHMTc1NzE3MAMAAAAGMTAwMzA4BAAAAAEyBgAAAAEwBwAAAAMxNjAIAAAAATAJAAAA</t>
  </si>
  <si>
    <t>ATEKAAAAATALAAAACjY5NTU0MDU5NzUMAAAAAjEyDQAAAAoxMS8yNC8yMDEymxVUu5Nz1Qgrh42ul3PVCC9DSVEuTkFTREFRR1M6SU5UQy5JUV9QUklDRV9TQUxFUy4yMDAwLjExLzgvMjAxMwEAAACHUgAAAgAAAAgyLjI4NjIwNQEHAAAABQAAAAExAQAAAAoxNjQyNDgzNzkyAwAAAAEwAgAAAAUzODk1OAQAAAABMAcAAAAJMTEvOC8yMDEzCAAAAAkxMS84LzIwMTNLEVW5k3PVCDu2T0mXc9UILENJUS5OQVNEQVFHUzpJTlRDLklRX0xBU1RTQUxFUFJJQ0UuMi8xNS8yMDE3AQAAAIdSAAACAAAABTM2LjA1AFs/sLuTc9UI6+4ZS5dz1QgwQ0lRLk5BU0RBUUdTOklOVEMuSVFfUFJJQ0VfU0FMRVMuMjAwMC4xMi8xNC8yMDEyAQAAAIdSAAACAAAACDEuOTE4MTEyAQcAAAAFAAAAATEBAAAACjE1NzM4ODc3OTUDAAAAATACAAAABTM4OTU4BAAAAAEwBwAAAAoxMi8xNC8yMDEyCAAAAAoxMi8xNC8yMDEy29e5t5Nz1Qh7cEtJl3PVCC9DSVEuTkFTREFRR1M6SU5UQy5JUV9QRV9FWENMX0ZXRC42MDAwLjYvMjEvMjAxMwEAAACHUgAAAgAAABAxMi41ODUxNzU1NTI2NjU4AQ0AAAAFAAAAATkBAAAABzI2MjEyOTUCAAAABzM4Mjk3NTEDAAAABjEwMDMwOQQAAAABMgYAAAABMAcAAAADMTYwCAAAAAEwCQAAAAExCgAAAAEwCwAAAAo4NDYzODE0NjkzDAAAAAIxMg0AAAAJNi8yMi8yMDEzi9ezvZNz1Qgrj09Jl3PVCDVD</t>
  </si>
  <si>
    <t>SVEuTmFzZGFxR1M6SU5UQy5JUV9URVZfVE9UQUxfUkVWX0ZXRC42MDAwLjYvMzAvMjAwNgEAAACHUgAAAgAAABAyLjgwOTcwNjg1NDczMTI0AQ0AAAAFAAAAATkBAAAABzI2MjEyOTUCAAAABzE3NTcxNTADAAAABjEwMDMwNwQAAAABMgYAAAABMAcAAAADMTYwCAAAAAEwCQAAAAExCgAAAAEwCwAAAAo4ODYwNTA2MzkzDAAAAAIxMg0AAAAINy8xLzIwMDab/rO9k3PVCHvhTUmXc9UIL0NJUS5OQVNEQVFHUzpJTlRDLklRX1BFX0VYQ0xfRldELjYwMDAuOC8xOS8yMDExAQAAAIdSAAACAAAAEDguMDQ0MDk3OTIwODU4NDgBDQAAAAUAAAABOQEAAAAHMjYyMTI5NQIAAAAHMTc1NzE2NgMAAAAGMTAwMzA5BAAAAAEyBgAAAAEwBwAAAAMxNjAIAAAAATAJAAAAATEKAAAAATALAAAACjg4NjMzNTkyNjQMAAAAAjEyDQAAAAk4LzIwLzIwMTEbxrK9k3PVCJtkWkmXc9UINkNJUS5OQVNEQVFHUzpJTlRDLklRX1RFVl9UT1RBTF9SRVZfRldELjYwMDAuMTAvMjgvMjAxMQEAAACHUgAAAgAAABAyLjE2NzM0ODc5MjAxNjc0AQ0AAAAFAAAAATkBAAAABzI2MjEyOTUCAAAABzE3NTcxNjcDAAAABjEwMDMwNwQAAAABMgYAAAABMAcAAAADMTYwCAAAAAEwCQAAAAExCgAAAAEwCwAAAAo4ODY0NDMyNjMwDAAAAAIxMg0AAAAKMTAvMjkvMjAxMTvCureTc9UISzBXSZdz1QgoQ0lRLk5BU0RBUUdTOklOVEMuSVFfUFRCVi4yMDAw</t>
  </si>
  <si>
    <t>LjExLzYvMjAxNQEAAACHUgAAAgAAAAgzLjgwNjU4NwEHAAAABQAAAAExAQAAAAoxNzYxNzA2ODI3AwAAAAEwAgAAAAYxMDAwMjkEAAAAATAHAAAACTExLzYvMjAxNQgAAAAJMTEvNi8yMDE169GItpNz1Qg71EpJl3PVCC5DSVEuXlNQWC5JUV9URVZfRUJJVERBX0ZXRF9DSVEuNjAwMC4xMS8xMi8yMDE0AQAAAJu4KAACAAAACDkuMjEwNDQzAOv+ubeTc9UIi1A2S5dz1QgvQ0lRLk5BU0RBUUdTOklOVEMuSVFfUFJJQ0VfU0FMRVMuMjAwMC4xMi85LzIwMTUBAAAAh1IAAAIAAAAIMy4wMDAwMTMBBwAAAAUAAAABMQEAAAAKMTc2MTcwNjgyNwMAAAABMAIAAAAFMzg5NTgEAAAAATAHAAAACTEyLzkvMjAxNQgAAAAJMTIvOS8yMDE1O/Gvu5Nz1Qjrdi1Ll3PVCDVDSVEuTmFzZGFxR1M6SU5UQy5JUV9URVZfVE9UQUxfUkVWX0ZXRC42MDAwLjEvMTIvMjAxOAEAAACHUgAAAgAAABAzLjQxMTEyNjMzNDE5MTc2AQ0AAAAFAAAAATkBAAAABzI2MjEyOTUCAAAACDI3NTAwMTc0AwAAAAYxMDAzMDcEAAAAATIGAAAAATAHAAAAAzE2MAgAAAABMAkAAAABMQoAAAABMAsAAAALMTA2NzAzNTA1MDcMAAAAAjEyDQAAAAkxLzEzLzIwMTjbIle7k3PVCDsJV0mXc9UINUNJUS5OYXNkYXFHUzpJTlRDLklRX1RFVl9UT1RBTF9SRVZfRldELjYwMDAuNC8xMi8yMDEzAQAAAIdSAAACAAAAEDEuOTEzMzMxMTA3MTQ2NzQBDQAAAAUA</t>
  </si>
  <si>
    <t>AAABOQEAAAAHMjYyMTI5NQIAAAAHMzY1MjY2MAMAAAAGMTAwMzA3BAAAAAEyBgAAAAEwBwAAAAMxNjAIAAAAATAJAAAAATEKAAAAATALAAAACjU3NDg4OTYzMjUMAAAAAjEyDQAAAAk0LzEzLzIwMTP7lry3k3PVCIvqUkmXc9UINUNJUS5OYXNkYXFHUzpJTlRDLklRX1RFVl9UT1RBTF9SRVZfRldELjYwMDAuNy8xMi8yMDAyAQAAAIdSAAACAAAAEDQuMDM0MjAwODAxNzQ2NzkBDQAAAAUAAAABOQEAAAAHMjYyMTI5NQIAAAAHMTc1NzEzOAMAAAAGMTAwMzA3BAAAAAEyBgAAAAEwBwAAAAMxNjAIAAAAATAJAAAAATEKAAAAATALAAAACjExNjkxMjU0MjkMAAAAAjEyDQAAAAk3LzEzLzIwMDLrrme5k3PVCHulV0mXc9UIL0NJUS5OQVNEQVFHUzpJTlRDLklRX1BSSUNFX1NBTEVTLjIwMDAuNC8yMi8yMDE1AQAAAIdSAAACAAAACDIuODMzNTM3AQcAAAAFAAAAATEBAAAACjE3MjgyMTQzMTQDAAAAATACAAAABTM4OTU4BAAAAAEwBwAAAAk0LzIyLzIwMTUIAAAACTQvMjIvMjAxNTvqVLmTc9UIywoyS5dz1QgsQ0lRLl5TUFguSVFfVEVWX1RPVEFMX1JFVl9GV0QuNjAwMC40LzIwLzIwMTYBAAAAm7goAAIAAAAIMi4wNTczMTIA+yW6t5Nz1QibQipLl3PVCCZDSVEuXlNQWC5JUV9QRV9FWENMX0ZXRC42MDAwLjEvMTUvMjAxNAEAAACbuCgAAgAAAAkxNS45MjgyMzMA6/65t5Nz1QjrHDxLl3PVCC1DSVEuXlNQWC5J</t>
  </si>
  <si>
    <t>UV9URVZfRUJJVERBX0ZXRF9DSVEuNjAwMC41LzIyLzIwMTMBAAAAm7goAAIAAAAIOC4yNjAyNTEA27ivvZNz1Qibyj1Ll3PVCDdDSVEuTmFzZGFxR1M6SU5UQy5JUV9URVZfRUJJVERBX0ZXRF9DSVEuNjAwMC4xMS8xNC8yMDA4AQAAAIdSAAACAAAAEDYuMTU1NDA4MjAyMzc2MzkBDQAAAAUAAAABOQEAAAAHMjYyMTI5NQIAAAAHMTc1NzE1OAMAAAAGMTAwMzA4BAAAAAEyBgAAAAEwBwAAAAMxNjAIAAAAATAJAAAAATEKAAAAATALAAAACjY3MzA4NTg0NDcMAAAAAjEyDQAAAAoxMS8xNS8yMDA4m/6zvZNz1Qg7H5Cul3PVCDVDSVEuTmFzZGFxR1M6SU5UQy5JUV9URVZfVE9UQUxfUkVWX0ZXRC42MDAwLjkvMjUvMjAwOQEAAACHUgAAAgAAABAyLjcyNzk1NjQzNTMyMzc5AQ0AAAAFAAAAATkBAAAABzI2MjEyOTUCAAAABzE3NTcxNjADAAAABjEwMDMwNwQAAAABMgYAAAABMAcAAAADMTYwCAAAAAEwCQAAAAExCgAAAAEwCwAAAAo4ODU5ODQwMDk4DAAAAAIxMg0AAAAJOS8yNi8yMDA5u0y0vZNz1Qj7+1NJl3PVCDVDSVEuTmFzZGFxR1M6SU5UQy5JUV9URVZfRUJJVERBX0ZXRF9DSVEuNjAwMC41LzEvMjAwOQEAAACHUgAAAgAAABA4LjczNDc4MTE2NTI3NDE3AQ0AAAAFAAAAATkBAAAABzI2MjEyOTUCAAAABzE3NTcxNTkDAAAABjEwMDMwOAQAAAABMgYAAAABMAcAAAADMTYwCAAAAAEwCQAAAAExCgAAAAEw</t>
  </si>
  <si>
    <t>CwAAAAoxMTY5MTQ1NTAxDAAAAAIxMg0AAAAINS8yLzIwMDmLtLC7k3PVCAuqj66Xc9UINENJUS5OQVNEQVFHUzpJTlRDLklRX1RFVl9UT1RBTF9SRVZfRldELjYwMDAuMi82LzIwMDkBAAAAh1IAAAIAAAAQMi40NDcxODAyMDY1MTgxMwENAAAABQAAAAE5AQAAAAcyNjIxMjk1AgAAAAQxODg0AwAAAAYxMDAzMDcEAAAAATIGAAAAATAHAAAAAzE2MAgAAAABMAkAAAABMQoAAAABMAsAAAAJMzYwNzE1OTY1DAAAAAIxMg0AAAAIMi83LzIwMDlbELu3k3PVCHtwS0mXc9UIJkNJUS5eU1BYLklRX1BFX0VYQ0xfRldELjYwMDAuNy8yNy8yMDE2AQAAAJu4KAACAAAACTE3LjY2NzU0OQB7hlW5k3PVCLuuJUuXc9UILkNJUS5OQVNEQVFHUzpJTlRDLklRX1BFX0VYQ0xfRldELjYwMDAuNS8zLzIwMTMBAAAAh1IAAAIAAAAQMTIuNDc1MjY4MTQ1MzcxMgENAAAABQAAAAE5AQAAAAcyNjIxMjk1AgAAAAczODI5NzUxAwAAAAYxMDAzMDkEAAAAATIGAAAAATAHAAAAAzE2MAgAAAABMAkAAAABMQoAAAABMAsAAAAKNjQ3MzgxMjE2NwwAAAACMTINAAAACDUvNC8yMDEzC5+yvZNz1QgLBVlJl3PVCDVDSVEuTmFzZGFxR1M6SU5UQy5JUV9URVZfRUJJVERBX0ZXRF9DSVEuNjAwMC45LzIvMjAxNgEAAACHUgAAAgAAABA3Ljc2MjE5MDU4MzU3NTc4AQ0AAAAFAAAAATkBAAAABzI2MjEyOTUCAAAACDI3MDAzNjUyAwAAAAYxMDAz</t>
  </si>
  <si>
    <t>MDgEAAAAATIGAAAAATAHAAAAAzE2MAgAAAABMAkAAAABMQoAAAABMAsAAAAKOTY3NTczMzYwMgwAAAACMTINAAAACDkvMy8yMDE2m9uwu5Nz1QiLcY6ul3PVCDRDSVEuTkFTREFRR1M6SU5UQy5JUV9URVZfVE9UQUxfUkVWX0ZXRC42MDAwLjMvNC8yMDE2AQAAAIdSAAACAAAAEDIuNDAwMjMxNzAwODcwMzYBDQAAAAUAAAABOQEAAAAHMjYyMTI5NQIAAAAKMTAwMDkxNTQwMgMAAAAGMTAwMzA3BAAAAAEyBgAAAAEwBwAAAAMxNjAIAAAAATAJAAAAATEKAAAAATALAAAACjkzMzEwODUzOTcMAAAAAjEyDQAAAAgzLzUvMjAxNgtNureTc9UIa0lLSZdz1QgtQ0lRLl5TUFguSVFfVEVWX0VCSVREQV9GV0RfQ0lRLjYwMDAuOC8yNy8yMDE0AQAAAJu4KAACAAAACDkuMDAxNDE0AGtmsLuTc9UIG7A3S5dz1QguQ0lRLk5hc2RhcUdTOklOVEMuSVFfUEVfRVhDTF9GV0QuNjAwMC4zLzcvMjAwMwEAAACHUgAAAgAAABAyNi44MDI2MDQ5MjUyNTA3AQ0AAAAFAAAAATkBAAAABzI2MjEyOTUCAAAABDE4NzgDAAAABjEwMDMwOQQAAAABMgYAAAABMAcAAAADMTYwCAAAAAEwCQAAAAExCgAAAAEwCwAAAAcxNTAwMzcxDAAAAAIxMg0AAAAIMy84LzIwMDO7TLS9k3PVCGsNVUmXc9UIJkNJUS5eU1BYLklRX1BFX0VYQ0xfRldELjYwMDAuNy8yOS8yMDE1AQAAAJu4KAACAAAACTE3LjI2NzUxOQBrZrC7k3PVCNvAL0uXc9UINENJ</t>
  </si>
  <si>
    <t>US5OYXNkYXFHUzpJTlRDLklRX1RFVl9UT1RBTF9SRVZfRldELjYwMDAuMy8xLzIwMDIBAAAAh1IAAAIAAAAQNi44MzA2NDE4NzEwNjEwNQENAAAABQAAAAE5AQAAAAcyNjIxMjk1AgAAAAQxODc3AwAAAAYxMDAzMDcEAAAAATIGAAAAATAHAAAAAzE2MAgAAAABMAkAAAABMQoAAAABMAsAAAAJMzYwNjU0NjM1DAAAAAIxMg0AAAAIMy8yLzIwMDKb27C7k3PVCKvlS0mXc9UINkNJUS5OYXNkYXFHUzpJTlRDLklRX1RFVl9UT1RBTF9SRVZfRldELjYwMDAuMTIvMTAvMjAwNAEAAACHUgAAAgAAABAzLjU0MzQ3ODU1MTg4NzUzAQ0AAAAFAAAAATkBAAAABzI2MjEyOTUCAAAABzE3NTcxNDYDAAAABjEwMDMwNwQAAAABMgYAAAABMAcAAAADMTYwCAAAAAEwCQAAAAExCgAAAAEwCwAAAAoxMTY5MTI5MzQwDAAAAAIxMg0AAAAKMTIvMTEvMjAwNLs5Z7mTc9UIe+FNSZdz1Qg2Q0lRLk5hc2RhcUdTOklOVEMuSVFfVEVWX0VCSVREQV9GV0RfQ0lRLjYwMDAuNi8xOC8yMDA0AQAAAIdSAAACAAAAEDkuNzEzMDQ1NjgyMzI4OTUBDQAAAAUAAAABOQEAAAAHMjYyMTI5NQIAAAAHMTc1NzE0NAMAAAAGMTAwMzA4BAAAAAEyBgAAAAEwBwAAAAMxNjAIAAAAATAJAAAAATEKAAAAATALAAAACjY4ODM2OTQ1MjEMAAAAAjEyDQAAAAk2LzE5LzIwMDS7TLS9k3PVCDuuja6Xc9UIJkNJUS5eU1BYLklRX1BFX0VYQ0xfRldELjYwMDAu</t>
  </si>
  <si>
    <t>NC8yOS8yMDE1AQAAAJu4KAACAAAACTE3LjY1NTUzNwBrZrC7k3PVCKu8MUuXc9UIKENJUS5OQVNEQVFHUzpJTlRDLklRX1BUQlYuMjAwMC4yLzE1LzIwMTMBAAAAh1IAAAIAAAAIMi45NzUxOTIBBwAAAAUAAAABMQEAAAAKMTU4NDQ4NjI2MAMAAAABMAIAAAAGMTAwMDI5BAAAAAEwBwAAAAkyLzE1LzIwMTMIAAAACTIvMTUvMjAxM0sRVbmTc9UIO7ZPSZdz1QgsQ0lRLl5TUFguSVFfVEVWX1RPVEFMX1JFVl9GV0QuNjAwMC41LzIwLzIwMTUBAAAAm7goAAIAAAAIMi4wNjc2OTUAKwRTu5Nz1QiblTFLl3PVCB5DSVEuXlNQWC5JUV9QVEJWLjIwMDAuMi84LzIwMTcBAAAAm7goAAIAAAAINy43NzM3MjkAWzhVuZNz1QgLPRpLl3PVCDZDSVEuTmFzZGFxR1M6SU5UQy5JUV9URVZfRUJJVERBX0ZXRF9DSVEuNjAwMC44LzI2LzIwMTYBAAAAh1IAAAIAAAAQNy41OTY0OTAyNzA3MDczMgENAAAABQAAAAE5AQAAAAcyNjIxMjk1AgAAAAgyNzAwMzY1MgMAAAAGMTAwMzA4BAAAAAEyBgAAAAEwBwAAAAMxNjAIAAAAATAJAAAAATEKAAAAATALAAAACjk2NzU3MzM2MDIMAAAAAjEyDQAAAAk4LzI3LzIwMTab/rO9k3PVCMsNj66Xc9UIL0NJUS5OQVNEQVFHUzpJTlRDLklRX1BFX0VYQ0xfRldELjYwMDAuMTEvNS8yMDA0AQAAAIdSAAACAAAAEDIyLjIwNTMyMzE5MzkxNjQBDQAAAAUAAAABOQEAAAAHMjYyMTI5NQIAAAAH</t>
  </si>
  <si>
    <t>MTc1NzE0NgMAAAAGMTAwMzA5BAAAAAEyBgAAAAEwBwAAAAMxNjAIAAAAATAJAAAAATEKAAAAATALAAAACjY3NDkxNjI0NDQMAAAAAjEyDQAAAAkxMS82LzIwMDRribO9k3PVCIs9WkmXc9UILUNJUS5eU1BYLklRX1RFVl9FQklUREFfRldEX0NJUS42MDAwLjkvMjEvMjAxNgEAAACbuCgAAgAAAAkxMC4xMDU2NjMA27ivvZNz1QjLZCNLl3PVCDVDSVEuTmFzZGFxR1M6SU5UQy5JUV9URVZfVE9UQUxfUkVWX0ZXRC42MDAwLjQvMTMvMjAxNwEAAACHUgAAAgAAABAyLjkwODA2NTQ5Nzc1OTIyAQ0AAAAFAAAAATkBAAAABzI2MjEyOTUCAAAACjEwMDA5NDQzODcDAAAABjEwMDMwNwQAAAABMgYAAAABMAcAAAADMTYwCAAAAAEwCQAAAAExCgAAAAEwCwAAAAsxMDEwNzk5Njk2MQwAAAACMTINAAAACTQvMTQvMjAxN9siV7uTc9UIGyxZSZdz1QgmQ0lRLl5TUFguSVFfUEVfRVhDTF9GV0QuNjAwMC4yLzI0LzIwMTYBAAAAm7goAAIAAAAJMTYuMTQ0MzA1AOv+ubeTc9UI6wUrS5dz1QgoQ0lRLk5BU0RBUUdTOklOVEMuSVFfUFRCVi4yMDAwLjExLzEvMjAxMwEAAACHUgAAAgAAAAgzLjA1ODUzOAEHAAAABQAAAAExAQAAAAoxNjQyNDgzNzkyAwAAAAEwAgAAAAYxMDAwMjkEAAAAATAHAAAACTExLzEvMjAxMwgAAAAJMTEvMS8yMDEzSxiwu5Nz1QgLslFJl3PVCDVDSVEuTmFzZGFxR1M6SU5UQy5JUV9URVZfVE9UQUxf</t>
  </si>
  <si>
    <t>UkVWX0ZXRC42MDAwLjkvMjMvMjAxMQEAAACHUgAAAgAAABAxLjk0MDg5ODE5ODUxMjc3AQ0AAAAFAAAAATkBAAAABzI2MjEyOTUCAAAABzE3NTcxNjYDAAAABjEwMDMwNwQAAAABMgYAAAABMAcAAAADMTYwCAAAAAEwCQAAAAExCgAAAAEwCwAAAAo4ODY0NDMwMjMxDAAAAAIxMg0AAAAJOS8yNC8yMDExqyW0vZNz1QgLQU9Jl3PVCC1DSVEuXlNQWC5JUV9URVZfRUJJVERBX0ZXRF9DSVEuNjAwMC4yLzIyLzIwMTcBAAAAm7goAAIAAAAJMTAuMjk1NTczAOv+ubeTc9UIu3kZS5dz1QgtQ0lRLl5TUFguSVFfVEVWX0VCSVREQV9GV0RfQ0lRLjYwMDAuMTIvMi8yMDE1AQAAAJu4KAACAAAACDkuODQ0NjI4AHuGVbmTc9UI+50tS5dz1QgvQ0lRLk5BU0RBUUdTOklOVEMuSVFfUFJJQ0VfU0FMRVMuMjAwMC4zLzMwLzIwMTIBAAAAh1IAAAIAAAAIMi43MzY1NzcBBwAAAAUAAAABMQEAAAAKMTUyMzQwMzg0OQMAAAABMAIAAAAFMzg5NTgEAAAAATAHAAAACTMvMzAvMjAxMggAAAAJMy8zMC8yMDEyy7C5t5Nz1QgL0ExJl3PVCDdDSVEuTkFTREFRR1M6SU5UQy5JUV9URVZfRUJJVERBX0ZXRF9DSVEuNjAwMC4xMi8xOS8yMDE0AQAAAIdSAAACAAAAEDYuOTY1Njk0MDc3MzIzODUBDQAAAAUAAAABOQEAAAAHMjYyMTI5NQIAAAAHNDQ1NjQyOQMAAAAGMTAwMzA4BAAAAAEyBgAAAAEwBwAAAAMxNjAIAAAAATAJAAAAATEK</t>
  </si>
  <si>
    <t>AAAAATALAAAACjg2NDg3OTYyMzYMAAAAAjEyDQAAAAoxMi8yMC8yMDE0a6BTu5Nz1QhbbZCul3PVCC5DSVEuTkFTREFRR1M6SU5UQy5JUV9QRV9FWENMX0ZXRC42MDAwLjYvNi8yMDA4AQAAAIdSAAACAAAADzE3LjE2NDA1NjA1OTM1NwENAAAABQAAAAE5AQAAAAcyNjIxMjk1AgAAAAcxNzU3MTU2AwAAAAYxMDAzMDkEAAAAATIGAAAAATAHAAAAAzE2MAgAAAABMAkAAAABMQoAAAABMAsAAAAKODg2MzUxMDYyNgwAAAACMTINAAAACDYvNy8yMDA4m/6zvZNz1QgLslFJl3PVCENDSVFSQU5HRS5OQVNEQVFHUzpJTlRDLklRX1BUQlYuMjAwMC4yMDEwLzAxLzAxLi4uREVTQy5XLi4uTFRNIFAvVEJWBQAAAAAAAAAIAAAAFihFeGNlZWRzIDggWWVhciBMaW1pdCnLfNPCk3PVCCvo/cKTc9UINkNJUS5OQVNEQVFHUzpJTlRDLklRX1RFVl9FQklUREFfRldEX0NJUS42MDAwLjUvMTEvMjAwMQEAAACHUgAAAgAAABAxOS4zODA0NTY4OTA1MjY5AQ0AAAAFAAAAATkBAAAABzI2MjEyOTUCAAAABzM0MjExNjADAAAABjEwMDMwOAQAAAABMgYAAAABMAcAAAADMTYwCAAAAAEwCQAAAAExCgAAAAEwCwAAAAoxMTY5MTUyNDMxDAAAAAIxMg0AAAAJNS8xMi8yMDAxaxFWu5Nz1Qg7H5Cul3PVCC9DSVEuTkFTREFRR1M6SU5UQy5JUV9QUklDRV9TQUxFUy4yMDAwLjIvMTkvMjAxMAEAAACHUgAAAgAAAAczLjI5MzY3AQcAAAAF</t>
  </si>
  <si>
    <t>AAAAATEBAAAACjEzMDUxNjkyNTQDAAAAATACAAAABTM4OTU4BAAAAAEwBwAAAAkyLzE5LzIwMTAIAAAACTIvMTkvMjAxMLtqr72Tc9UIy2hYSZdz1QgfQ0lRLl5TUFguSVFfUFRCVi4yMDAwLjEyLzQvMjAxMwEAAACbuCgAAgAAAAg1LjI1NTc3MwDrZ1K7k3PVCCu5PEuXc9UILkNJUS5OQVNEQVFHUzpJTlRDLklRX1BFX0VYQ0xfRldELjYwMDAuOS85LzIwMDUBAAAAh1IAAAIAAAAQMTcuMDcyMzQ2MTc5ODUxMwENAAAABQAAAAE5AQAAAAcyNjIxMjk1AgAAAAcxNzU3MTQ4AwAAAAYxMDAzMDkEAAAAATIGAAAAATAHAAAAAzE2MAgAAAABMAkAAAABMQoAAAABMAsAAAAKODg2MjM5ODkzNAwAAAACMTINAAAACTkvMTAvMjAwNWuJs72Tc9UIu31OSZdz1Qg1Q0lRLk5BU0RBUUdTOklOVEMuSVFfVEVWX1RPVEFMX1JFVl9GV0QuNjAwMC4xMS84LzIwMTMBAAAAh1IAAAIAAAAQMi4xNDU3NjQ0NDkyODExOAENAAAABQAAAAE5AQAAAAcyNjIxMjk1AgAAAAczODI5NzUzAwAAAAYxMDAzMDcEAAAAATIGAAAAATAHAAAAAzE2MAgAAAABMAkAAAABMQoAAAABMAsAAAAKODg2MjU0NTcyNgwAAAACMTINAAAACTExLzkvMjAxMyubureTc9UIy/dVSZdz1Qg2Q0lRLk5hc2RhcUdTOklOVEMuSVFfVEVWX1RPVEFMX1JFVl9GV0QuNjAwMC4xMS8xNi8yMDEyAQAAAIdSAAACAAAAEDEuODEwNDExMzg4MzY4NzgBDQAAAAUAAAAB</t>
  </si>
  <si>
    <t>OQEAAAAHMjYyMTI5NQIAAAAHMTc1NzE3MAMAAAAGMTAwMzA3BAAAAAEyBgAAAAEwBwAAAAMxNjAIAAAAATAJAAAAATEKAAAAATALAAAACjg4NjQ0MzUxMzcMAAAAAjEyDQAAAAoxMS8xNy8yMDEy2yJXu5Nz1QibL05Jl3PVCCRDSVEuXlNQWC5JUV9MQVNUU0FMRVBSSUNFLjExLzE1LzIwMTcBAAAAm7goAAIAAAAQMjU2NC42MjA1MDk1MDU1NwArw1S5k3PVCLs05kqXc9UINUNJUS5OYXNkYXFHUzpJTlRDLklRX1RFVl9UT1RBTF9SRVZfRldELjYwMDAuNS8xNy8yMDEzAQAAAIdSAAACAAAAEDIuMTI1NDY3NjYzODM5NzYBDQAAAAUAAAABOQEAAAAHMjYyMTI5NQIAAAAHMzgyOTc1MQMAAAAGMTAwMzA3BAAAAAEyBgAAAAEwBwAAAAMxNjAIAAAAATAJAAAAATEKAAAAATALAAAACjg4NjI1Mzk5NzEMAAAAAjEyDQAAAAk1LzE4LzIwMTPrSVe7k3PVCFuTTUmXc9UIL0NJUS5OQVNEQVFHUzpJTlRDLklRX1BFX0VYQ0xfRldELjYwMDAuMTAvMS8yMDEwAQAAAIdSAAACAAAAEDEwLjQ3MTU0NDcxNTQ0NzIBDQAAAAUAAAABOQEAAAAHMjYyMTI5NQIAAAAHMTc1NzE2MwMAAAAGMTAwMzA5BAAAAAEyBgAAAAEwBwAAAAMxNjAIAAAAATAJAAAAATEKAAAAATALAAAACjg4NjM4NDUwODEMAAAAAjEyDQAAAAkxMC8yLzIwMTAr7bK9k3PVCMv3VUmXc9UIL0NJUS5OQVNEQVFHUzpJTlRDLklRX1BSSUNFX1NBTEVTLjIwMDAu</t>
  </si>
  <si>
    <t>MTEvMy8yMDE3AQAAAIdSAAACAAAACDMuNTE4ODY3AQcAAAAFAAAAATEBAAAACjE4NjI3NTgwNDMDAAAAATACAAAABTM4OTU4BAAAAAEwBwAAAAkxMS8zLzIwMTcIAAAACTExLzMvMjAxN7tqr72Tc9UICwVZSZdz1QgtQ0lRLk5BU0RBUUdTOklOVEMuSVFfTEFTVFNBTEVQUklDRS4xMC8xMS8yMDE3AQAAAIdSAAACAAAABDM5LjMAWz+wu5Nz1Qj7dvVKl3PVCC1DSVEuXlNQWC5JUV9URVZfRUJJVERBX0ZXRF9DSVEuNjAwMC4zLzEzLzIwMTMBAAAAm7goAAIAAAAINy45MjUyNzgAm+tmuZNz1Qi7GD5Ll3PVCCxDSVEuXlNQWC5JUV9URVZfVE9UQUxfUkVWX0ZXRC42MDAwLjkvMjcvMjAxNwEAAACbuCgAAgAAAAgyLjI1MzY1NQArBFO7k3PVCMty90qXc9UINUNJUS5OYXNkYXFHUzpJTlRDLklRX1RFVl9UT1RBTF9SRVZfRldELjYwMDAuOC8xNi8yMDEzAQAAAIdSAAACAAAAEDEuOTQ1MjUwNzE2NDg5NDcBDQAAAAUAAAABOQEAAAAHMjYyMTI5NQIAAAAHMzgyOTc1MgMAAAAGMTAwMzA3BAAAAAEyBgAAAAEwBwAAAAMxNjAIAAAAATAJAAAAATEKAAAAATALAAAACjg4NjI1NDMzMDMMAAAAAjEyDQAAAAk4LzE3LzIwMTOr+1W5k3PVCCviVkmXc9UIMENJUS5OQVNEQVFHUzpJTlRDLklRX1BSSUNFX1NBTEVTLjIwMDAuMTIvMTMvMjAxMwEAAACHUgAAAgAAAAgyLjMwNTE4NgEHAAAABQAAAAExAQAAAAoxNjQyNDgz</t>
  </si>
  <si>
    <t>NzkyAwAAAAEwAgAAAAUzODk1OAQAAAABMAcAAAAKMTIvMTMvMjAxMwgAAAAKMTIvMTMvMjAxM6tDr72Tc9UIm2RaSZdz1QgfQ0lRLl5TUFguSVFfUFRCVi4yMDAwLjYvMjYvMjAxMwEAAACbuCgAAgAAAAg0LjgyODY3OADLka+9k3PVCHt8PUuXc9UILUNJUS5eU1BYLklRX1RFVl9FQklUREFfRldEX0NJUS42MDAwLjkvMTMvMjAxNwEAAACbuCgAAgAAAAkxMC41NDk1NzYAKwRTu5Nz1QgLgPpKl3PVCC5DSVEuTkFTREFRR1M6SU5UQy5JUV9QRV9FWENMX0ZXRC42MDAwLjgvMy8yMDA3AQAAAIdSAAACAAAAEDE5LjQ3MjM1MTE2ODY2MTkBDQAAAAUAAAABOQEAAAAHMjYyMTI5NQIAAAAHMTc1NzE1NAMAAAAGMTAwMzA5BAAAAAEyBgAAAAEwBwAAAAMxNjAIAAAAATAJAAAAATEKAAAAATALAAAACjg4NjMzNTg0NzQMAAAAAjEyDQAAAAg4LzQvMjAwN0s7s72Tc9UI62NRSZdz1QgsQ0lRLk5BU0RBUUdTOklOVEMuSVFfTEFTVFNBTEVQUklDRS43LzIwLzIwMTYBAAAAh1IAAAIAAAAFMzUuNjkAC7ZSu5Nz1QhbNSdLl3PVCDRDSVEuTmFzZGFxR1M6SU5UQy5JUV9URVZfVE9UQUxfUkVWX0ZXRC42MDAwLjkvNy8yMDA3AQAAAIdSAAACAAAAEDMuNjEzMjUzNzU4NDMzOTIBDQAAAAUAAAABOQEAAAAHMjYyMTI5NQIAAAAHMTc1NzE1NAMAAAAGMTAwMzA3BAAAAAEyBgAAAAEwBwAAAAMxNjAIAAAAATAJAAAAATEKAAAA</t>
  </si>
  <si>
    <t>ATALAAAACzEwMzc4NTg1Mzc5DAAAAAIxMg0AAAAIOS84LzIwMDerJbS9k3PVCKvHUEmXc9UILkNJUS5OQVNEQVFHUzpJTlRDLklRX1BSSUNFX1NBTEVTLjIwMDAuNS85LzIwMTQBAAAAh1IAAAIAAAAIMi40NzQ1MTMBBwAAAAUAAAABMQEAAAAKMTY3MzM3OTMyNwMAAAABMAIAAAAFMzg5NTgEAAAAATAHAAAACDUvOS8yMDE0CAAAAAg1LzkvMjAxNEsRVbmTc9UIK49PSZdz1QgrQ0lRLl5TUFguSVFfVEVWX1RPVEFMX1JFVl9GV0QuNjAwMC41LzQvMjAxNgEAAACbuCgAAgAAAAgyLjAxNTA3OADbuK+9k3PVCGvNKUuXc9UIKUNJUS5OQVNEQVFHUzpJTlRDLklRX1BUQlYuMjAwMC4xMi8zMC8yMDExAQAAAIdSAAACAAAACDQuMDY0Njk4AQcAAAAFAAAAATEBAAAACjE0ODAyMTUzODEDAAAAATACAAAABjEwMDAyOQQAAAABMAcAAAAKMTIvMzAvMjAxMQgAAAAKMTIvMzAvMjAxMTvqVLmTc9UIe1JQSZdz1QgfQ0lRLl5TUFguSVFfUFRCVi4yMDAwLjkvMjQvMjAxNAEAAACbuCgAAgAAAAg1LjQwNjQ4OABrZrC7k3PVCMvsNkuXc9UINkNJUS5OQVNEQVFHUzpJTlRDLklRX1RFVl9FQklUREFfRldEX0NJUS42MDAwLjUvMTMvMjAxMQEAAACHUgAAAgAAABA0Ljk2NjI5ODU4NTI2MDA5AQ0AAAAFAAAAATkBAAAABzI2MjEyOTUCAAAABzE3NTcxNjUDAAAABjEwMDMwOAQAAAABMgYAAAABMAcAAAADMTYwCAAAAAEwCQAA</t>
  </si>
  <si>
    <t>AAExCgAAAAEwCwAAAAoxMzI2MTU4MjY0DAAAAAIxMg0AAAAJNS8xNC8yMDExqzxUu5Nz1Qgrh42ul3PVCC9DSVEuTkFTREFRR1M6SU5UQy5JUV9QRV9FWENMX0ZXRC42MDAwLjcvMjcvMjAwMQEAAACHUgAAAgAAABA1NS44MTY2MTg5MTExNzQ4AQ0AAAAFAAAAATkBAAAABzI2MjEyOTUCAAAABzM0MjExNjEDAAAABjEwMDMwOQQAAAABMgYAAAABMAcAAAADMTYwCAAAAAEwCQAAAAExCgAAAAEwCwAAAAoxMTY5MTczMzU2DAAAAAIxMg0AAAAJNy8yOC8yMDAxi9ezvZNz1Qj73VhJl3PVCDVDSVEuTkFTREFRR1M6SU5UQy5JUV9URVZfRUJJVERBX0ZXRF9DSVEuNjAwMC42LzkvMjAxNwEAAACHUgAAAgAAABA3LjEzMTYxNTkzMjYwNjI5AQ0AAAAFAAAAATkBAAAABzI2MjEyOTUCAAAACDI3NTAwMTcyAwAAAAYxMDAzMDgEAAAAATIGAAAAATAHAAAAAzE2MAgAAAABMAkAAAABMQoAAAABMAsAAAALMTAxNzc4MDE1ODAMAAAAAjEyDQAAAAk2LzEwLzIwMTdLUlO7k3PVCItxjq6Xc9UINUNJUS5OYXNkYXFHUzpJTlRDLklRX1RFVl9UT1RBTF9SRVZfRldELjYwMDAuMi8yMC8yMDA0AQAAAIdSAAACAAAAEDUuMTgzNDc5NTg3MzY2NjcBDQAAAAUAAAABOQEAAAAHMjYyMTI5NQIAAAAEMTg3OQMAAAAGMTAwMzA3BAAAAAEyBgAAAAEwBwAAAAMxNjAIAAAAATAJAAAAATEKAAAAATALAAAACjU3NDg4MDI5NDQMAAAAAjEy</t>
  </si>
  <si>
    <t>DQAAAAkyLzIxLzIwMDRLmWi5k3PVCAvQTEmXc9UINUNJUS5OYXNkYXFHUzpJTlRDLklRX1RFVl9UT1RBTF9SRVZfRldELjYwMDAuNy8yMS8yMDE3AQAAAIdSAAACAAAAEDIuODc0MDY5MTQzNzI4NTQBDQAAAAUAAAABOQEAAAAHMjYyMTI5NQIAAAAIMjc1MDAxNzIDAAAABjEwMDMwNwQAAAABMgYAAAABMAcAAAADMTYwCAAAAAEwCQAAAAExCgAAAAEwCwAAAAsxMDMyMTM4MzQwNgwAAAACMTINAAAACTcvMjIvMjAxN+tvvLeTc9UIW3VSSZdz1QgvQ0lRLk5BU0RBUUdTOklOVEMuSVFfUFJJQ0VfU0FMRVMuMjAwMC41LzEzLzIwMTYBAAAAh1IAAAIAAAAHMi41MTc3OQEHAAAABQAAAAExAQAAAAoxNzg5MTkzMzQzAwAAAAEwAgAAAAUzODk1OAQAAAABMAcAAAAJNS8xMy8yMDE2CAAAAAk1LzEzLzIwMTZbOFW5k3PVCJsvTkmXc9UIJ0NJUS5eU1BYLklRX1BFX0VYQ0xfRldELjYwMDAuMTEvMTEvMjAxNQEAAACbuCgAAgAAAAkxNi45NzcxNzgAa2awu5Nz1Qj7nS1Ll3PVCC5DSVEuTkFTREFRR1M6SU5UQy5JUV9QRV9FWENMX0ZXRC42MDAwLjUvNS8yMDE3AQAAAIdSAAACAAAAEDEyLjg4MjY4NDMwMDc1OTIBDQAAAAUAAAABOQEAAAAHMjYyMTI5NQIAAAAIMjc1MDAxNzIDAAAABjEwMDMwOQQAAAABMgYAAAABMAcAAAADMTYwCAAAAAEwCQAAAAExCgAAAAEwCwAAAAsxMDE1NzUwOTUxMQwAAAACMTINAAAACDUv</t>
  </si>
  <si>
    <t>Ni8yMDE32ymyvZNz1QhbyFlJl3PVCDRDSVEuTmFzZGFxR1M6SU5UQy5JUV9URVZfVE9UQUxfUkVWX0ZXRC42MDAwLjcvOS8yMDEwAQAAAIdSAAACAAAAEDIuMjY2MjYxMTA5NjI0NzIBDQAAAAUAAAABOQEAAAAHMjYyMTI5NQIAAAAHMTc1NzE2MgMAAAAGMTAwMzA3BAAAAAEyBgAAAAEwBwAAAAMxNjAIAAAAATAJAAAAATEKAAAAATALAAAACjg4NjM4NDM4MjUMAAAAAjEyDQAAAAk3LzEwLzIwMTDrnrG7k3PVCIuXS0mXc9UINUNJUS5OYXNkYXFHUzpJTlRDLklRX1RFVl9UT1RBTF9SRVZfRldELjYwMDAuNS8yNS8yMDEyAQAAAIdSAAACAAAADzIuMDg1MDY5MTk2NDgxNwENAAAABQAAAAE5AQAAAAcyNjIxMjk1AgAAAAcxNzU3MTY4AwAAAAYxMDAzMDcEAAAAATIGAAAAATAHAAAAAzE2MAgAAAABMAkAAAABMQoAAAABMAsAAAAKODE3MDcwNzgyMQwAAAACMTINAAAACTUvMjYvMjAxMvuWvLeTc9UI60VWSZdz1QguQ0lRLk5hc2RhcUdTOklOVEMuSVFfUEVfRVhDTF9GV0QuNjAwMC45LzkvMjAxNgEAAACHUgAAAgAAABAxMy41MTUzNjg3NzQzMTE2AQ0AAAAFAAAAATkBAAAABzI2MjEyOTUCAAAACDI3MDAzNjUyAwAAAAYxMDAzMDkEAAAAATIGAAAAATAHAAAAAzE2MAgAAAABMAkAAAABMQoAAAABMAsAAAAKOTcxNjg1MzY5MwwAAAACMTINAAAACTkvMTAvMjAxNqsltL2Tc9UI2zxRSZdz1Qg2Q0lRLk5hc2Rh</t>
  </si>
  <si>
    <t>cUdTOklOVEMuSVFfVEVWX0VCSVREQV9GV0RfQ0lRLjYwMDAuNC8xNi8yMDEwAQAAAIdSAAACAAAADzUuOTUwMTIzNTMwOTA3NQENAAAABQAAAAE5AQAAAAcyNjIxMjk1AgAAAAcxNzU3MTYyAwAAAAYxMDAzMDgEAAAAATIGAAAAATAHAAAAAzE2MAgAAAABMAkAAAABMQoAAAABMAsAAAAKODI2NzcwMDE4NAwAAAACMTINAAAACTQvMTcvMjAxMLvUVruTc9UIK4eNrpdz1QgtQ0lRLl5TUFguSVFfVEVWX0VCSVREQV9GV0RfQ0lRLjYwMDAuMy8zMC8yMDE2AQAAAJu4KAACAAAACTEwLjE5Mjg2MwCb62a5k3PVCMu3KkuXc9UIJ0NJUS5eU1BYLklRX1BFX0VYQ0xfRldELjYwMDAuMTIvMTEvMjAxMwEAAACbuCgAAgAAAAkxNS4yNTM3MjgAqxJnuZNz1QgLazxLl3PVCC5DSVEuTkFTREFRR1M6SU5UQy5JUV9QRV9FWENMX0ZXRC42MDAwLjIvNS8yMDE2AQAAAIdSAAACAAAAEDEyLjI4NDM2Nzg4ODA1MzIBDQAAAAUAAAABOQEAAAAHMjYyMTI5NQIAAAAKMTAwMDkxNTQwMgMAAAAGMTAwMzA5BAAAAAEyBgAAAAEwBwAAAAMxNjAIAAAAATAJAAAAATEKAAAAATALAAAACjkyODA0NzMxMTIMAAAAAjEyDQAAAAgyLzYvMjAxNqsltL2Tc9UIC5RWSZdz1QgsQ0lRLk5BU0RBUUdTOklOVEMuSVFfTEFTVFNBTEVQUklDRS43LzI2LzIwMTcBAAAAh1IAAAIAAAAFMzQuNzUA29e5t5Nz1QjbPwZLl3PVCC5DSVEuTkFTREFRR1M6</t>
  </si>
  <si>
    <t>SU5UQy5JUV9QUklDRV9TQUxFUy4yMDAwLjgvMi8yMDEzAQAAAIdSAAACAAAACDIuMjA2NjIxAQcAAAAFAAAAATEBAAAACjE2Mjg0MzY4NDkDAAAAATACAAAABTM4OTU4BAAAAAEwBwAAAAg4LzIvMjAxMwgAAAAIOC8yLzIwMTNbOFW5k3PVCJsvTkmXc9UIL0NJUS5OQVNEQVFHUzpJTlRDLklRX1BFX0VYQ0xfRldELjYwMDAuMy8xOS8yMDA0AQAAAIdSAAACAAAAEDIxLjUwMTYyMzM3NjYyMzQBDQAAAAUAAAABOQEAAAAHMjYyMTI5NQIAAAAEMTg3OQMAAAAGMTAwMzA5BAAAAAEyBgAAAAEwBwAAAAMxNjAIAAAAATAJAAAAATEKAAAAATALAAAABzE1MDQwODcMAAAAAjEyDQAAAAkzLzIwLzIwMDRribO9k3PVCKupVUmXc9UIKENJUS5OQVNEQVFHUzpJTlRDLklRX1BUQlYuMjAwMC45LzIwLzIwMTMBAAAAh1IAAAIAAAAIMy4wOTgwODYBBwAAAAUAAAABMQEAAAAKMTYyODQzNjg0OQMAAAABMAIAAAAGMTAwMDI5BAAAAAEwBwAAAAk5LzIwLzIwMTMIAAAACTkvMjAvMjAxM9vXubeTc9UIa0lLSZdz1QgmQ0lRLl5TUFguSVFfUEVfRVhDTF9GV0QuNjAwMC45LzIzLzIwMTUBAAAAm7goAAIAAAAIMTYuMDIyMDIAi8RmuZNz1QiL/S5Ll3PVCDZDSVEuTkFTREFRR1M6SU5UQy5JUV9URVZfRUJJVERBX0ZXRF9DSVEuNjAwMC44LzE4LzIwMTcBAAAAh1IAAAIAAAAQNi42NDI2MzUyMzQ1ODg5MQENAAAABQAAAAE5AQAA</t>
  </si>
  <si>
    <t>AAcyNjIxMjk1AgAAAAgyNzUwMDE3MwMAAAAGMTAwMzA4BAAAAAEyBgAAAAEwBwAAAAMxNjAIAAAAATAJAAAAATEKAAAAATALAAAACzEwNjc3NjM5NzI3DAAAAAIxMg0AAAAJOC8xOS8yMDE3OytTu5Nz1QhL1Y2ul3PVCChDSVEuTkFTREFRR1M6SU5UQy5JUV9QVEJWLjIwMDAuNy8yMy8yMDEwAQAAAIdSAAACAAAACDIuOTE3MzQ3AQcAAAAFAAAAATEBAAAACjEzODY3MjEwNTIDAAAAATACAAAABjEwMDAyOQQAAAABMAcAAAAJNy8yMy8yMDEwCAAAAAk3LzIzLzIwMTB7nWa5k3PVCNutU0mXc9UIL0NJUS5OQVNEQVFHUzpJTlRDLklRX1BSSUNFX1NBTEVTLjIwMDAuNi8xMC8yMDE2AQAAAIdSAAACAAAACDIuNjk3MDkxAQcAAAAFAAAAATEBAAAACjE3ODkxOTMzNDMDAAAAATACAAAABTM4OTU4BAAAAAEwBwAAAAk2LzEwLzIwMTYIAAAACTYvMTAvMjAxNjvxr7uTc9UIi+pSSZdz1QgoQ0lRLk5BU0RBUUdTOklOVEMuSVFfUFRCVi4yMDAwLjcvMjEvMjAxNwEAAACHUgAAAgAAAAgzLjc1MjAzMgEHAAAABQAAAAExAQAAAAoxODM4MzYwMTMyAwAAAAEwAgAAAAYxMDAwMjkEAAAAATAHAAAACTcvMjEvMjAxNwgAAAAJNy8yMS8yMDE3a3ZmuZNz1QgrcVRJl3PVCDRDSVEuTmFzZGFxR1M6SU5UQy5JUV9URVZfVE9UQUxfUkVWX0ZXRC42MDAwLjcvMS8yMDExAQAAAIdSAAACAAAAEDIuMDQ3NDMxNjI1MzI0MTgBDQAA</t>
  </si>
  <si>
    <t>AAUAAAABOQEAAAAHMjYyMTI5NQIAAAAHMTc1NzE2NQMAAAAGMTAwMzA3BAAAAAEyBgAAAAEwBwAAAAMxNjAIAAAAATAJAAAAATEKAAAAATALAAAACjg4NjI1NDA4MjgMAAAAAjEyDQAAAAg3LzIvMjAxMZuGVruTc9UIWyJLSZdz1QgsQ0lRLk5BU0RBUUdTOklOVEMuSVFfTEFTVFNBTEVQUklDRS4yLzEwLzIwMTYBAAAAh1IAAAIAAAAFMjguMjMAWz+wu5Nz1QgLVCtLl3PVCCdDSVEuTkFTREFRR1M6SU5UQy5JUV9QVEJWLjIwMDAuOC8zLzIwMTIBAAAAh1IAAAIAAAAIMy45NDEyMjIBBwAAAAUAAAABMQEAAAAKMTU1NzIxNjI0NgMAAAABMAIAAAAGMTAwMDI5BAAAAAEwBwAAAAg4LzMvMjAxMggAAAAIOC8zLzIwMTKrQ6+9k3PVCIs9WkmXc9UINkNJUS5OYXNkYXFHUzpJTlRDLklRX1RFVl9UT1RBTF9SRVZfRldELjYwMDAuMTIvMjcvMjAwMgEAAACHUgAAAgAAABAzLjYyNzE0NjEwMjkwMjIxAQ0AAAAFAAAAATkBAAAABzI2MjEyOTUCAAAABzE3NTcxNDADAAAABjEwMDMwNwQAAAABMgYAAAABMAcAAAADMTYwCAAAAAEwCQAAAAExCgAAAAEwCwAAAAoxMTY5MTI2MTc4DAAAAAIxMg0AAAAKMTIvMjgvMjAwMqsltL2Tc9UIa7pNSZdz1QgwQ0lRLk5BU0RBUUdTOklOVEMuSVFfUFJJQ0VfU0FMRVMuMjAwMC4xMi8yMS8yMDEyAQAAAIdSAAACAAAABzEuOTQwMzgBBwAAAAUAAAABMQEAAAAKMTU3Mzg4Nzc5NQMA</t>
  </si>
  <si>
    <t>AAABMAIAAAAFMzg5NTgEAAAAATAHAAAACjEyLzIxLzIwMTIIAAAACjEyLzIxLzIwMTI78a+7k3PVCFt1UkmXc9UIIENJUS5eU1BYLklRX1BUQlYuMjAwMC4xMS8yNy8yMDEzAQAAAJu4KAACAAAACDUuMjkzMzI2AFs4VbmTc9UIK7k8S5dz1Qg2Q0lRLk5hc2RhcUdTOklOVEMuSVFfVEVWX0VCSVREQV9GV0RfQ0lRLjYwMDAuOS8yOC8yMDA3AQAAAIdSAAACAAAAEDEwLjA1MTA3MjE4OTA5ODcBDQAAAAUAAAABOQEAAAAHMjYyMTI5NQIAAAAHMTc1NzE1NAMAAAAGMTAwMzA4BAAAAAEyBgAAAAEwBwAAAAMxNjAIAAAAATAJAAAAATEKAAAAATALAAAACjY3MzA4NjM2MjYMAAAAAjEyDQAAAAk5LzI5LzIwMDe71Fa7k3PVCGuUkK6Xc9UIJkNJUS5eU1BYLklRX1BFX0VYQ0xfRldELjYwMDAuNS8yMC8yMDE1AQAAAJu4KAACAAAACTE3LjU5OTg4OAArBFO7k3PVCHtHMUuXc9UIKENJUS5OQVNEQVFHUzpJTlRDLklRX1BUQlYuMjAwMC41LzE3LzIwMTMBAAAAh1IAAAIAAAAIMy4zMzgzODMBBwAAAAUAAAABMQEAAAAKMTYxNDA3NDk0MgMAAAABMAIAAAAGMTAwMDI5BAAAAAEwBwAAAAk1LzE3LzIwMTMIAAAACTUvMTcvMjAxM1s4VbmTc9UIq1ZOSZdz1QgsQ0lRLl5TUFguSVFfVEVWX0VCSVREQV9GV0RfQ0lRLjYwMDAuNi84LzIwMTYBAAAAm7goAAIAAAAJMTAuMTk3ODA4ACsEU7uTc9UIS38pS5dz1QguQ0lRLk5B</t>
  </si>
  <si>
    <t>U0RBUUdTOklOVEMuSVFfUFJJQ0VfU0FMRVMuMjAwMC42LzgvMjAxMgEAAACHUgAAAgAAAAgyLjUxMjQ4NwEHAAAABQAAAAExAQAAAAoxNTQ1MTU2NDM4AwAAAAEwAgAAAAUzODk1OAQAAAABMAcAAAAINi84LzIwMTIIAAAACDYvOC8yMDEyO/Gvu5Nz1Qg7J1JJl3PVCCRDSVEuXlNQWC5JUV9MQVNUU0FMRVBSSUNFLjEyLzMxLzIwMTQBAAAAm7goAAIAAAAQMjA1OC45MDIzNzg4NTY4OQDb17m3k3PVCMt7NEuXc9UINkNJUS5OYXNkYXFHUzpJTlRDLklRX1RFVl9FQklUREFfRldEX0NJUS42MDAwLjExLzYvMjAwOQEAAACHUgAAAgAAABA1LjgwNjczOTkzNzQyMjQ2AQ0AAAAFAAAAATkBAAAABzI2MjEyOTUCAAAABzE3NTcxNjEDAAAABjEwMDMwOAQAAAABMgYAAAABMAcAAAADMTYwCAAAAAEwCQAAAAExCgAAAAEwCwAAAAo4MTcyNDA0MDA0DAAAAAIxMg0AAAAJMTEvNy8yMDA5m/6zvZNz1Qjr6oyul3PVCChDSVEuTkFTREFRR1M6SU5UQy5JUV9QVEJWLjIwMDAuMS8yNy8yMDEyAQAAAIdSAAACAAAACDQuNDU4NTE4AQcAAAAFAAAAATEBAAAACjE0OTA0NjQ0MDUDAAAAATACAAAABjEwMDAyOQQAAAABMAcAAAAJMS8yNy8yMDEyCAAAAAkxLzI3LzIwMTK7aq+9k3PVCLtBWEmXc9UIL0NJUS5OQVNEQVFHUzpJTlRDLklRX1BFX0VYQ0xfRldELjYwMDAuNy8zMC8yMDA0AQAAAIdSAAACAAAADzE5LjAzMjAwNjI0</t>
  </si>
  <si>
    <t>NTEyMQENAAAABQAAAAE5AQAAAAcyNjIxMjk1AgAAAAcxNzU3MTQ1AwAAAAYxMDAzMDkEAAAAATIGAAAAATAHAAAAAzE2MAgAAAABMAkAAAABMQoAAAABMAsAAAAKMTE2OTE1NjY0OAwAAAACMTINAAAACTcvMzEvMjAwNGuJs72Tc9UIGyxZSZdz1Qg2Q0lRLk5hc2RhcUdTOklOVEMuSVFfVEVWX1RPVEFMX1JFVl9GV0QuNjAwMC4xMC8zMS8yMDAzAQAAAIdSAAACAAAAEDYuMDQxMzM1NTI3MzM5OTEBDQAAAAUAAAABOQEAAAAHMjYyMTI5NQIAAAAHMTc1NzE0MwMAAAAGMTAwMzA3BAAAAAEyBgAAAAEwBwAAAAMxNjAIAAAAATAJAAAAATEKAAAAATALAAAACjkxMTEwNjMzMTkMAAAAAjEyDQAAAAkxMS8xLzIwMDO7TLS9k3PVCBvZUUmXc9UIL0NJUS5OQVNEQVFHUzpJTlRDLklRX1BSSUNFX1NBTEVTLjIwMDAuOC8xNC8yMDEzAQAAAIdSAAACAAAACDIuMTQ0ODUxAQcAAAAFAAAAATEBAAAACjE2Mjg0MzY4NDkDAAAAATACAAAABTM4OTU4BAAAAAEwBwAAAAk4LzE0LzIwMTMIAAAACTgvMTQvMjAxM6tDr72Tc9UIa1U9S5dz1Qg2Q0lRLk5BU0RBUUdTOklOVEMuSVFfVEVWX0VCSVREQV9GV0RfQ0lRLjYwMDAuMS8yOS8yMDE2AQAAAIdSAAACAAAAEDYuMjg2OTQzNTEwOTQ4NDgBDQAAAAUAAAABOQEAAAAHMjYyMTI5NQIAAAAKMTAwMDkxNTQwMgMAAAAGMTAwMzA4BAAAAAEyBgAAAAEwBwAAAAMxNjAIAAAAATAJ</t>
  </si>
  <si>
    <t>AAAAATEKAAAAATALAAAACjkyMzI5ODc0MTgMAAAAAjEyDQAAAAkxLzMwLzIwMTZbeVO7k3PVCEvVja6Xc9UIL0NJUS5OQVNEQVFHUzpJTlRDLklRX1BFX0VYQ0xfRldELjYwMDAuNS8yNC8yMDEzAQAAAIdSAAACAAAAEDEyLjQ1MTQ2NTE1MzgwMjEBDQAAAAUAAAABOQEAAAAHMjYyMTI5NQIAAAAHMzgyOTc1MQMAAAAGMTAwMzA5BAAAAAEyBgAAAAEwBwAAAAMxNjAIAAAAATAJAAAAATEKAAAAATALAAAACjcwMzMyNTg2MzUMAAAAAjEyDQAAAAk1LzI1LzIwMTOb/rO9k3PVCJsRU0mXc9UINkNJUS5OQVNEQVFHUzpJTlRDLklRX1RFVl9FQklUREFfRldEX0NJUS42MDAwLjEvMTcvMjAxNAEAAACHUgAAAgAAABA1LjgyNTg1MDkyNDMwNDE5AQ0AAAAFAAAAATkBAAAABzI2MjEyOTUCAAAABzQ0NTY0MjEDAAAABjEwMDMwOAQAAAABMgYAAAABMAcAAAADMTYwCAAAAAEwCQAAAAExCgAAAAEwCwAAAAo2NDk3OTMzMTgxDAAAAAIxMg0AAAAJMS8xOC8yMDE0e8dTu5Nz1QgLqo+ul3PVCDZDSVEuTmFzZGFxR1M6SU5UQy5JUV9URVZfVE9UQUxfUkVWX0ZXRC42MDAwLjEyLzIxLzIwMDcBAAAAh1IAAAIAAAAQMy41NjA3ODkyNjAyMjg4NgENAAAABQAAAAE5AQAAAAcyNjIxMjk1AgAAAAcxNzU3MTU1AwAAAAYxMDAzMDcEAAAAATIGAAAAATAHAAAAAzE2MAgAAAABMAkAAAABMQoAAAABMAsAAAAKODg2NDMzMDEyNQwA</t>
  </si>
  <si>
    <t>AAACMTINAAAACjEyLzIyLzIwMDfbh2e5k3PVCDu2T0mXc9UINkNJUS5OQVNEQVFHUzpJTlRDLklRX1RFVl9FQklUREFfRldEX0NJUS42MDAwLjgvMTEvMjAwNgEAAACHUgAAAgAAABA4LjM1MTA4NjkxODM0OTQzAQ0AAAAFAAAAATkBAAAABzI2MjEyOTUCAAAABzE3NTcxNTEDAAAABjEwMDMwOAQAAAABMgYAAAABMAcAAAADMTYwCAAAAAEwCQAAAAExCgAAAAEwCwAAAAoxMTY5MTM0NTU1DAAAAAIxMg0AAAAJOC8xMi8yMDA2CydVu5Nz1Qg7ro2ul3PVCDZDSVEuTmFzZGFxR1M6SU5UQy5JUV9URVZfRUJJVERBX0ZXRF9DSVEuNjAwMC4yLzI5LzIwMDgBAAAAh1IAAAIAAAAQNi4zNjIyMDEyODg0MzE2NgENAAAABQAAAAE5AQAAAAcyNjIxMjk1AgAAAAQxODgzAwAAAAYxMDAzMDgEAAAAATIGAAAAATAHAAAAAzE2MAgAAAABMAkAAAABMQoAAAABMAsAAAAJMzYwNzAzMzA5DAAAAAIxMg0AAAAIMy8xLzIwMDjrnrG7k3PVCPsRja6Xc9UINUNJUS5OYXNkYXFHUzpJTlRDLklRX1RFVl9UT1RBTF9SRVZfRldELjYwMDAuMTAvNi8yMDA2AQAAAIdSAAACAAAAEDMuMTcyMjg1ODQxNTA0MzQBDQAAAAUAAAABOQEAAAAHMjYyMTI5NQIAAAAHMTc1NzE1MQMAAAAGMTAwMzA3BAAAAAEyBgAAAAEwBwAAAAMxNjAIAAAAATAJAAAAATEKAAAAATALAAAACjkwNzgxMzg0OTcMAAAAAjEyDQAAAAkxMC83LzIwMDa7+ru3k3PV</t>
  </si>
  <si>
    <t>CFsiS0mXc9UIIENJUS5eU1BYLklRX1BUQlYuMjAwMC4xMi8xMy8yMDE3AQAAAJu4KAACAAAACDkuNDcxMzgyAFs4VbmTc9UIK6DYSpdz1QgvQ0lRLk5BU0RBUUdTOklOVEMuSVFfUEVfRVhDTF9GV0QuNjAwMC42LzI5LzIwMDEBAAAAh1IAAAIAAAAQNTUuNTEzMzgwMTQ4MDM1NwENAAAABQAAAAE5AQAAAAcyNjIxMjk1AgAAAAczNDIxMTYwAwAAAAYxMDAzMDkEAAAAATIGAAAAATAHAAAAAzE2MAgAAAABMAkAAAABMQoAAAABMAsAAAAKMTE2OTE3MzIwNQwAAAACMTINAAAACTYvMzAvMjAwMYvXs72Tc9UIGyxZSZdz1QguQ0lRLk5BU0RBUUdTOklOVEMuSVFfUFJJQ0VfU0FMRVMuMjAwMC44LzgvMjAxNAEAAACHUgAAAgAAAAgzLjAwOTUzNwEHAAAABQAAAAExAQAAAAoxNjg4MDgwOTkyAwAAAAEwAgAAAAUzODk1OAQAAAABMAcAAAAIOC84LzIwMTQIAAAACDgvOC8yMDE0y7C5t5Nz1Qhbk01Jl3PVCCdDSVEuTkFTREFRR1M6SU5UQy5JUV9QVEJWLjIwMDAuOS8yLzIwMTYBAAAAh1IAAAIAAAAINS4wODM5MzIBBwAAAAUAAAABMQEAAAAKMTgwMTI5NDUwMQMAAAABMAIAAAAGMTAwMDI5BAAAAAEwBwAAAAg5LzIvMjAxNggAAAAIOS8yLzIwMTb7jlK7k3PVCGt+V0mXc9UINkNJUS5OQVNEQVFHUzpJTlRDLklRX1RFVl9FQklUREFfRldEX0NJUS42MDAwLjQvMTcvMjAxNQEAAACHUgAAAgAAABA2LjQ0NzA5MjYw</t>
  </si>
  <si>
    <t>MzY0NTUzAQ0AAAAFAAAAATkBAAAABzI2MjEyOTUCAAAABzgwNjgyNjADAAAABjEwMDMwOAQAAAABMgYAAAABMAcAAAADMTYwCAAAAAEwCQAAAAExCgAAAAEwCwAAAAo4ODg2OTAyODI1DAAAAAIxMg0AAAAJNC8xOC8yMDE1a6BTu5Nz1QibmI6ul3PVCC9DSVEuTkFTREFRR1M6SU5UQy5JUV9QRV9FWENMX0ZXRC42MDAwLjUvMTUvMjAxNQEAAACHUgAAAgAAABAxNC41MjE1MjQ3ODIxMTExAQ0AAAAFAAAAATkBAAAABzI2MjEyOTUCAAAABzgwNjgyNjADAAAABjEwMDMwOQQAAAABMgYAAAABMAcAAAADMTYwCAAAAAEwCQAAAAExCgAAAAEwCwAAAAo5MDg4NjkyNTgyDAAAAAIxMg0AAAAJNS8xNi8yMDE161CyvZNz1QjLaFhJl3PVCChDSVEuTkFTREFRR1M6SU5UQy5JUV9QVEJWLjIwMDAuNS8yNy8yMDExAQAAAIdSAAACAAAACDMuNzczMzI0AQcAAAAFAAAAATEBAAAACjE0NTI0NzU4NzIDAAAAATACAAAABjEwMDAyOQQAAAABMAcAAAAJNS8yNy8yMDExCAAAAAk1LzI3LzIwMTFbOFW5k3PVCJsvTkmXc9UINUNJUS5OYXNkYXFHUzpJTlRDLklRX1RFVl9UT1RBTF9SRVZfRldELjYwMDAuMTIvNC8yMDA5AQAAAIdSAAACAAAADzIuNjcyMjUxMDk5NDAzNQENAAAABQAAAAE5AQAAAAcyNjIxMjk1AgAAAAcxNzU3MTYxAwAAAAYxMDAzMDcEAAAAATIGAAAAATAHAAAAAzE2MAgAAAABMAkAAAABMQoAAAABMAsAAAAK</t>
  </si>
  <si>
    <t>MTE2OTE1MDE5MQwAAAACMTINAAAACTEyLzUvMjAwOZv+s72Tc9UIS79USZdz1QgfQ0lRLl5TUFguSVFfUFRCVi4yMDAwLjcvMjcvMjAxNgEAAACbuCgAAgAAAAg3LjE1MDM3NADrZ1K7k3PVCCvAJkuXc9UINkNJUS5OQVNEQVFHUzpJTlRDLklRX1RFVl9FQklUREFfRldEX0NJUS42MDAwLjYvMjgvMjAwMgEAAACHUgAAAgAAAA8xMC4xMzY2MzQwMDc0MjQBDQAAAAUAAAABOQEAAAAHMjYyMTI5NQIAAAAHMTc1NzEzOAMAAAAGMTAwMzA4BAAAAAEyBgAAAAEwBwAAAAMxNjAIAAAAATAJAAAAATEKAAAAATALAAAACjExNjkxMjU2NDIMAAAAAjEyDQAAAAk2LzI5LzIwMDJb6lW7k3PVCAs5ja6Xc9UIL0NJUS5OQVNEQVFHUzpJTlRDLklRX1BSSUNFX1NBTEVTLjIwMDAuNC8yMy8yMDEwAQAAAIdSAAACAAAABzMuNDgyODIBBwAAAAUAAAABMQEAAAAKMTM1MjcwNjYwNgMAAAABMAIAAAAFMzg5NTgEAAAAATAHAAAACTQvMjMvMjAxMAgAAAAJNC8yMy8yMDEwSxFVuZNz1Qjby05Jl3PVCCdDSVEuXlNQWC5JUV9QRV9FWENMX0ZXRC42MDAwLjEyLzE2LzIwMTUBAAAAm7goAAIAAAAJMTcuMDI2Mzk5AGtmsLuTc9UIq9osS5dz1QgwQ0lRLk5BU0RBUUdTOklOVEMuSVFfUFJJQ0VfU0FMRVMuMjAwMC4xMi8yNi8yMDE0AQAAAIdSAAACAAAABzMuMzgxOTEBBwAAAAUAAAABMQEAAAAKMTcwMzY4MTg5NAMAAAABMAIAAAAF</t>
  </si>
  <si>
    <t>Mzg5NTgEAAAAATAHAAAACjEyLzI2LzIwMTQIAAAACjEyLzI2LzIwMTQ78a+7k3PVCFt1UkmXc9UIJ0NJUS5OQVNEQVFHUzpJTlRDLklRX1BUQlYuMjAwMC45LzQvMjAxNQEAAACHUgAAAgAAAAgzLjE5NDY1NAEHAAAABQAAAAExAQAAAAoxNzQ3MzU5NTEyAwAAAAEwAgAAAAYxMDAwMjkEAAAAATAHAAAACDkvNC8yMDE1CAAAAAg5LzQvMjAxNTvqVLmTc9UIe1JQSZdz1QgmQ0lRLl5TUFguSVFfUEVfRVhDTF9GV0QuNjAwMC40LzIwLzIwMTYBAAAAm7goAAIAAAAJMTcuNzA1MDY2ACsEU7uTc9UIa80pS5dz1QgfQ0lRLl5TUFguSVFfUFRCVi4yMDAwLjEvMTUvMjAxNAEAAACbuCgAAgAAAAg1LjQwMzU0MwDb17m3k3PVCAtrPEuXc9UILkNJUS5OQVNEQVFHUzpJTlRDLklRX1BFX0VYQ0xfRldELjYwMDAuMS8zLzIwMTQBAAAAh1IAAAIAAAAQMTMuNzkyNzM0NDcxMTM1OAENAAAABQAAAAE5AQAAAAcyNjIxMjk1AgAAAAczODI5NzUzAwAAAAYxMDAzMDkEAAAAATIGAAAAATAHAAAAAzE2MAgAAAABMAkAAAABMQoAAAABMAsAAAAKODE3MTU4MTM1OAwAAAACMTINAAAACDEvNC8yMDE0+3eyvZNz1Qg7ellJl3PVCCNDSVEuXlNQWC5JUV9MQVNUU0FMRVBSSUNFLjkvMjgvMjAxNgEAAACbuCgAAgAAABAyMTcxLjM2OTMzMTYxMTA4AOv+ubeTc9UIG7chS5dz1Qg1Q0lRLk5hc2RhcUdTOklOVEMuSVFfVEVWX1RPVEFM</t>
  </si>
  <si>
    <t>X1JFVl9GV0QuNjAwMC44LzEwLzIwMDcBAAAAh1IAAAIAAAAQMy40MDA0ODY1NzQyNzMzNQENAAAABQAAAAE5AQAAAAcyNjIxMjk1AgAAAAcxNzU3MTU0AwAAAAYxMDAzMDcEAAAAATIGAAAAATAHAAAAAzE2MAgAAAABMAkAAAABMQoAAAABMAsAAAALMTAzNzg1ODU1NzIMAAAAAjEyDQAAAAk4LzExLzIwMDebhla7k3PVCGsNVUmXc9UINkNJUS5OYXNkYXFHUzpJTlRDLklRX1RFVl9UT1RBTF9SRVZfRldELjYwMDAuMTEvMjIvMjAxMwEAAACHUgAAAgAAABAyLjEzNzIyODg2MTE4MTE5AQ0AAAAFAAAAATkBAAAABzI2MjEyOTUCAAAABzM4Mjk3NTMDAAAABjEwMDMwNwQAAAABMgYAAAABMAcAAAADMTYwCAAAAAEwCQAAAAExCgAAAAEwCwAAAAo4ODYyNTQzOTE3DAAAAAIxMg0AAAAKMTEvMjMvMjAxM3s4VruTc9UIC7JRSZdz1QgnQ0lRLk5BU0RBUUdTOklOVEMuSVFfUFRCVi4yMDAwLjEvNC8yMDEzAQAAAIdSAAACAAAABjMuMTUzOQEHAAAABQAAAAExAQAAAAoxNTczODg3Nzk1AwAAAAEwAgAAAAYxMDAwMjkEAAAAATAHAAAACDEvNC8yMDEzCAAAAAgxLzQvMjAxM0sYsLuTc9UI2zxRSZdz1Qg1Q0lRLk5hc2RhcUdTOklOVEMuSVFfVEVWX1RPVEFMX1JFVl9GV0QuNjAwMC40LzEzLzIwMDYBAAAAh1IAAAIAAAAQMi43MjYyODE5NzgwNjMwOQENAAAABQAAAAE5AQAAAAcyNjIxMjk1AgAAAAQxODgxAwAAAAYx</t>
  </si>
  <si>
    <t>MDAzMDcEAAAAATIGAAAAATAHAAAAAzE2MAgAAAABMAkAAAABMQoAAAABMAsAAAAJMzYwNjcyMzc5DAAAAAIxMg0AAAAJNC8xNC8yMDA2+5a8t5Nz1QhbdVJJl3PVCC9DSVEuTkFTREFRR1M6SU5UQy5JUV9QUklDRV9TQUxFUy4yMDAwLjYvMjQvMjAxMQEAAACHUgAAAgAAAAcyLjU0MTgxAQcAAAAFAAAAATEBAAAACjE0NTI0NzU4NzIDAAAAATACAAAABTM4OTU4BAAAAAEwBwAAAAk2LzI0LzIwMTEIAAAACTYvMjQvMjAxMdvXubeTc9UIm75LSZdz1QgtQ0lRLl5TUFguSVFfVEVWX0VCSVREQV9GV0RfQ0lRLjYwMDAuMS8zMS8yMDE4AQAAAJu4KAACAAAACTExLjI0Mzk0NAB7jbC7k3PVCLvWTkqXc9UIL0NJUS5OQVNEQVFHUzpJTlRDLklRX1BFX0VYQ0xfRldELjYwMDAuOC8xMS8yMDE3AQAAAIdSAAACAAAAEDExLjc5Nzc4OTc2NDUwNDcBDQAAAAUAAAABOQEAAAAHMjYyMTI5NQIAAAAIMjc1MDAxNzMDAAAABjEwMDMwOQQAAAABMgYAAAABMAcAAAADMTYwCAAAAAEwCQAAAAExCgAAAAEwCwAAAAsxMDM3NzM4NzQ2MQwAAAACMTINAAAACTgvMTIvMjAxN8sCsr2Tc9UIa7pNSZdz1QgmQ0lRLl5TUFguSVFfUEVfRVhDTF9GV0QuNjAwMC45LzEzLzIwMTcBAAAAm7goAAIAAAAJMTguMzQxNDcyANu4r72Tc9UIa4j2Spdz1QglQ0lRLl5TUFguSVFfUEVfRVhDTF9GV0QuNjAwMC4yLzQvMjAxNQEAAACbuCgAAgAA</t>
  </si>
  <si>
    <t>AAkxNy4xODM4MzEA27ivvZNz1QhLQzNLl3PVCB9DSVEuXlNQWC5JUV9QVEJWLjIwMDAuMi8yMi8yMDE3AQAAAJu4KAACAAAACDguNDg3MzQ1AMuRr72Tc9UIu3kZS5dz1Qg2Q0lRLk5BU0RBUUdTOklOVEMuSVFfVEVWX0VCSVREQV9GV0RfQ0lRLjYwMDAuMS8yNS8yMDA4AQAAAIdSAAACAAAAEDYuNjEyMjcyOTE3NzI0NDkBDQAAAAUAAAABOQEAAAAHMjYyMTI5NQIAAAAEMTg4MwMAAAAGMTAwMzA4BAAAAAEyBgAAAAEwBwAAAAMxNjAIAAAAATAJAAAAATEKAAAAATALAAAACTM2MDcwMzMwOAwAAAACMTINAAAACTEvMjYvMjAwOOvYVLuTc9UIS0aQrpdz1Qg1Q0lRLk5hc2RhcUdTOklOVEMuSVFfVEVWX1RPVEFMX1JFVl9GV0QuNjAwMC4xMS8zLzIwMDYBAAAAh1IAAAIAAAAQMy4wNDE1MDE3NjYzNzA2OAENAAAABQAAAAE5AQAAAAcyNjIxMjk1AgAAAAcxNzU3MTUyAwAAAAYxMDAzMDcEAAAAATIGAAAAATAHAAAAAzE2MAgAAAABMAkAAAABMQoAAAABMAsAAAAKNTc1MjMyNjYzNQwAAAACMTINAAAACTExLzQvMjAwNpuGVruTc9UIK3FUSZdz1QgnQ0lRLk5BU0RBUUdTOklOVEMuSVFfUFRCVi4yMDAwLjUvNC8yMDEyAQAAAIdSAAACAAAACDQuNDYxMDc3AQcAAAAFAAAAATEBAAAACjE1NDUxNTY0MzgDAAAAATACAAAABjEwMDAyOQQAAAABMAcAAAAINS80LzIwMTIIAAAACDUvNC8yMDEyq0OvvZNz1Qhr71lJ</t>
  </si>
  <si>
    <t>l3PVCChDSVEuTkFTREFRR1M6SU5UQy5JUV9QVEJWLjIwMDAuNi8xNi8yMDE3AQAAAIdSAAACAAAACDMuODAzODg4AQcAAAAFAAAAATEBAAAACjE4MzgzNjAxMzIDAAAAATACAAAABjEwMDAyOQQAAAABMAcAAAAJNi8xNi8yMDE3CAAAAAk2LzE2LzIwMTf7jlK7k3PVCJvzV0mXc9UINkNJUS5OQVNEQVFHUzpJTlRDLklRX1RFVl9FQklUREFfRldEX0NJUS42MDAwLjMvMjQvMjAxNwEAAACHUgAAAgAAABA3LjEzMTU2NDY0NzkxMDI5AQ0AAAAFAAAAATkBAAAABzI2MjEyOTUCAAAACjEwMDA5NDQzODcDAAAABjEwMDMwOAQAAAABMgYAAAABMAcAAAADMTYwCAAAAAEwCQAAAAExCgAAAAEwCwAAAAsxMDA1MjgwNzA4OAwAAAACMTINAAAACTMvMjUvMjAxN0tSU7uTc9UIK/iPrpdz1QgvQ0lRLk5BU0RBUUdTOklOVEMuSVFfUFJJQ0VfU0FMRVMuMjAwMC41LzE2LzIwMTQBAAAAh1IAAAIAAAAIMi40MjkzNTEBBwAAAAUAAAABMQEAAAAKMTY3MzM3OTMyNwMAAAABMAIAAAAFMzg5NTgEAAAAATAHAAAACTUvMTYvMjAxNAgAAAAJNS8xNi8yMDE0i8RmuZNz1QibEVNJl3PVCCxDSVEuXlNQWC5JUV9URVZfVE9UQUxfUkVWX0ZXRC42MDAwLjYvMTEvMjAxNAEAAACbuCgAAgAAAAgxLjg2MTAzNAD7+Ii2k3PVCKsPOUuXc9UIL0NJUS5OYXNkYXFHUzpJTlRDLklRX1BFX0VYQ0xfRldELjYwMDAuNC8zMC8yMDA0AQAAAIdS</t>
  </si>
  <si>
    <t>AAACAAAAEDIwLjMwNzgxMzczMzIyODEBDQAAAAUAAAABOQEAAAAHMjYyMTI5NQIAAAAHMTc1NzE0NAMAAAAGMTAwMzA5BAAAAAEyBgAAAAEwBwAAAAMxNjAIAAAAATAJAAAAATEKAAAAATALAAAACjExNjkxNTYxNTIMAAAAAjEyDQAAAAg1LzEvMjAwNKsltL2Tc9UISzBXSZdz1QgsQ0lRLk5BU0RBUUdTOklOVEMuSVFfTEFTVFNBTEVQUklDRS4xMi83LzIwMTYBAAAAh1IAAAIAAAAEMzUuNQDLka+9k3PVCKs0HkuXc9UIJkNJUS5eU1BYLklRX1BFX0VYQ0xfRldELjYwMDAuOC8zMS8yMDE2AQAAAJu4KAACAAAACTE3LjQ4MDU2MwArBFO7k3PVCMtkI0uXc9UINkNJUS5OYXNkYXFHUzpJTlRDLklRX1RFVl9UT1RBTF9SRVZfRldELjYwMDAuMTEvMTMvMjAxNQEAAACHUgAAAgAAABAyLjY0NjcxNDcwMjYyMDMzAQ0AAAAFAAAAATkBAAAABzI2MjEyOTUCAAAABzgwNjgyNjIDAAAABjEwMDMwNwQAAAABMgYAAAABMAcAAAADMTYwCAAAAAEwCQAAAAExCgAAAAEwCwAAAAo5MTU4NDQxNjI1DAAAAAIxMg0AAAAKMTEvMTQvMjAxNav7VbmTc9UIS79USZdz1QgmQ0lRLl5TUFguSVFfUEVfRVhDTF9GV0QuNjAwMC41LzEwLzIwMTcBAAAAm7goAAIAAAAJMTcuOTM5MDY3ACsEU7uTc9UI6yoQS5dz1QgvQ0lRLk5BU0RBUUdTOklOVEMuSVFfUEVfRVhDTF9GV0QuNjAwMC4xMC83LzIwMDUBAAAAh1IAAAIAAAAQMTYuMDUx</t>
  </si>
  <si>
    <t>MjEyOTM4MDA1NAENAAAABQAAAAE5AQAAAAcyNjIxMjk1AgAAAAcxNzU3MTQ4AwAAAAYxMDAzMDkEAAAAATIGAAAAATAHAAAAAzE2MAgAAAABMAkAAAABMQoAAAABMAsAAAAKODg2MjQxMjQyMwwAAAACMTINAAAACTEwLzgvMjAwNWuJs72Tc9UIezRVSZdz1QgvQ0lRLk5BU0RBUUdTOklOVEMuSVFfUFJJQ0VfU0FMRVMuMjAwMC44LzEyLzIwMTEBAAAAh1IAAAIAAAAHMi4zMzE5NgEHAAAABQAAAAExAQAAAAoxNDY1NjMxMDcxAwAAAAEwAgAAAAUzODk1OAQAAAABMAcAAAAJOC8xMi8yMDExCAAAAAk4LzEyLzIwMTH7jlK7k3PVCFtXV0mXc9UILENJUS5OQVNEQVFHUzpJTlRDLklRX0xBU1RTQUxFUFJJQ0UuOC8xNC8yMDEzAQAAAIdSAAACAAAABTIyLjU3AFtPZrmTc9UIa1U9S5dz1Qg2Q0lRLk5hc2RhcUdTOklOVEMuSVFfVEVWX1RPVEFMX1JFVl9GV0QuNjAwMC4xMS8yOS8yMDEzAQAAAIdSAAACAAAAEDIuMTM0OTk1NTM2NzU2MTkBDQAAAAUAAAABOQEAAAAHMjYyMTI5NQIAAAAHMzgyOTc1MwMAAAAGMTAwMzA3BAAAAAEyBgAAAAEwBwAAAAMxNjAIAAAAATAJAAAAATEKAAAAATALAAAACjg4NjI1NDU3NDUMAAAAAjEyDQAAAAoxMS8zMC8yMDEz60lXu5Nz1QgbhkpJl3PVCDZDSVEuTmFzZGFxR1M6SU5UQy5JUV9URVZfRUJJVERBX0ZXRF9DSVEuNjAwMC4zLzE0LzIwMTQBAAAAh1IAAAIAAAAQNS41MDQ2</t>
  </si>
  <si>
    <t>MTc5NDM2NDIzMwENAAAABQAAAAE5AQAAAAcyNjIxMjk1AgAAAAc0NDU2NDIxAwAAAAYxMDAzMDgEAAAAATIGAAAAATAHAAAAAzE2MAgAAAABMAkAAAABMQoAAAABMAsAAAAKNjQ5NzkzMzE4NgwAAAACMTINAAAACTMvMTUvMjAxNNsiV7uTc9UIS0aQrpdz1QgwQ0lRLk5BU0RBUUdTOklOVEMuSVFfUEVfRVhDTF9GV0QuNjAwMC4xMC8xNi8yMDE1AQAAAIdSAAACAAAADzE0LjMwNzM2NTg2ODQ0NQENAAAABQAAAAE5AQAAAAcyNjIxMjk1AgAAAAc4MDY4MjYyAwAAAAYxMDAzMDkEAAAAATIGAAAAATAHAAAAAzE2MAgAAAABMAkAAAABMQoAAAABMAsAAAAKOTA2MzMyOTI5OAwAAAACMTINAAAACjEwLzE3LzIwMTXrULK9k3PVCIvMV0mXc9UIKUNJUS5OQVNEQVFHUzpJTlRDLklRX1BUQlYuMjAwMC4xMC8xMi8yMDEyAQAAAIdSAAACAAAACDMuMjI3NTQ5AQcAAAAFAAAAATEBAAAACjE1NTcyMTYyNDYDAAAAATACAAAABjEwMDAyOQQAAAABMAcAAAAKMTAvMTIvMjAxMggAAAAKMTAvMTIvMjAxMtvXubeTc9UIq+VLSZdz1QggQ0lRLl5TUFguSVFfUFRCVi4yMDAwLjEyLzIxLzIwMTYBAAAAm7goAAIAAAAINy44OTUzNTkAy5GvvZNz1Qg7Ix1Ll3PVCCVDSVEuXlNQWC5JUV9QRV9FWENMX0ZXRC42MDAwLjMvNC8yMDE1AQAAAJu4KAACAAAACTE3LjY3OTUxNACb62a5k3PVCOtYMkuXc9UINkNJUS5OQVNEQVFHUzpJ</t>
  </si>
  <si>
    <t>TlRDLklRX1RFVl9FQklUREFfRldEX0NJUS42MDAwLjQvMjUvMjAxNAEAAACHUgAAAgAAABA1LjY3NjkwNDIxMTIyMDM0AQ0AAAAFAAAAATkBAAAABzI2MjEyOTUCAAAABzQ0NTY0MjcDAAAABjEwMDMwOAQAAAABMgYAAAABMAcAAAADMTYwCAAAAAEwCQAAAAExCgAAAAEwCwAAAAo4MTcwNzE1ODAxDAAAAAIxMg0AAAAJNC8yNi8yMDE0e8dTu5Nz1Qgr+I+ul3PVCB9DSVEuXlNQWC5JUV9QVEJWLjIwMDAuMi8xOS8yMDE0AQAAAJu4KAACAAAACDUuMTAwMDIzAFs/sLuTc9UIu6c7S5dz1QgkQ0lRLl5TUFguSVFfTEFTVFNBTEVQUklDRS4xMC8xNC8yMDE1AQAAAJu4KAACAAAAEDE5OTQuMjQyMzcwNTc5OTgAK8NUuZNz1QhLYS5Ll3PVCCdDSVEuXlNQWC5JUV9QRV9FWENMX0ZXRC42MDAwLjEwLzE1LzIwMTQBAAAAm7goAAIAAAAJMTUuMDE0ODkxACsEU7uTc9UIi1A2S5dz1QguQ0lRLk5BU0RBUUdTOklOVEMuSVFfUEVfRVhDTF9GV0QuNjAwMC40LzgvMjAxMQEAAACHUgAAAgAAABA5Ljk0ODMyMDQxMzQzNjY5AQ0AAAAFAAAAATkBAAAABzI2MjEyOTUCAAAABDE4ODYDAAAABjEwMDMwOQQAAAABMgYAAAABMAcAAAADMTYwCAAAAAEwCQAAAAExCgAAAAEwCwAAAAo1NzQ3ODkyNTAxDAAAAAIxMg0AAAAINC85LzIwMTEbxrK9k3PVCKs4U0mXc9UIJUNJUS5eU1BYLklRX1BFX0VYQ0xfRldELjYwMDAuMy8yLzIw</t>
  </si>
  <si>
    <t>MTYBAAAAm7goAAIAAAAJMTYuNjY1MDQ1ANu4r72Tc9UI294qS5dz1QguQ0lRLk5BU0RBUUdTOklOVEMuSVFfUEVfRVhDTF9GV0QuNjAwMC4yLzMvMjAxMgEAAACHUgAAAgAAABAxMC42MTU3ODcxMTI1Nzc0AQ0AAAAFAAAAATkBAAAABzI2MjEyOTUCAAAABDE4ODcDAAAABjEwMDMwOQQAAAABMgYAAAABMAcAAAADMTYwCAAAAAEwCQAAAAExCgAAAAEwCwAAAAo3NjE2MjAxOTc5DAAAAAIxMg0AAAAIMi80LzIwMTIbxrK9k3PVCDuYVEmXc9UINUNJUS5OYXNkYXFHUzpJTlRDLklRX1RFVl9UT1RBTF9SRVZfRldELjYwMDAuNS8yNC8yMDAyAQAAAIdSAAACAAAAEDYuMjIwMTc2NTQwMjc5OTkBDQAAAAUAAAABOQEAAAAHMjYyMTI5NQIAAAAHMTc1NzEzOAMAAAAGMTAwMzA3BAAAAAEyBgAAAAEwBwAAAAMxNjAIAAAAATAJAAAAATEKAAAAATALAAAACjExNjkxMjUzNzYMAAAAAjEyDQAAAAk1LzI1LzIwMDKrJbS9k3PVCFvmVEmXc9UIMENJUS5OQVNEQVFHUzpJTlRDLklRX1BSSUNFX1NBTEVTLjIwMDAuMTEvMjcvMjAxMwEAAACHUgAAAgAAAAgyLjI2ODE3NAEHAAAABQAAAAExAQAAAAoxNjQyNDgzNzkyAwAAAAEwAgAAAAUzODk1OAQAAAABMAcAAAAKMTEvMjcvMjAxMwgAAAAKMTEvMjcvMjAxM8uwubeTc9UIK7k8S5dz1Qg2Q0lRLk5BU0RBUUdTOklOVEMuSVFfVEVWX0VCSVREQV9GV0RfQ0lRLjYwMDAuMi8x</t>
  </si>
  <si>
    <t>Ni8yMDAxAQAAAIdSAAADAAAAAABrEVa7k3PVCCv4j66Xc9UILkNJUS5OQVNEQVFHUzpJTlRDLklRX1BFX0VYQ0xfRldELjYwMDAuNS85LzIwMTQBAAAAh1IAAAIAAAAQMTMuNTM3MTYyODU3NzMxMQENAAAABQAAAAE5AQAAAAcyNjIxMjk1AgAAAAc0NDU2NDI3AwAAAAYxMDAzMDkEAAAAATIGAAAAATAHAAAAAzE2MAgAAAABMAkAAAABMQoAAAABMAsAAAAKOTA1MjcwNTM3MwwAAAACMTINAAAACTUvMTAvMjAxNPt3sr2Tc9UIa35XSZdz1Qg2Q0lRLk5hc2RhcUdTOklOVEMuSVFfVEVWX1RPVEFMX1JFVl9GV0QuNjAwMC4xMi8zMS8yMDE1AQAAAIdSAAACAAAAEDIuODIyNTUxMTQ0NTc4NzIBDQAAAAUAAAABOQEAAAAHMjYyMTI5NQIAAAAHODA2ODI2MgMAAAAGMTAwMzA3BAAAAAEyBgAAAAEwBwAAAAMxNjAIAAAAATAJAAAAATEKAAAAATALAAAACjkyMDcyNDYzMjcMAAAAAjEyDQAAAAgxLzEvMjAxNrtMtL2Tc9UIO7ZPSZdz1QgnQ0lRLk5BU0RBUUdTOklOVEMuSVFfUFRCVi4yMDAwLjkvOS8yMDExAQAAAIdSAAACAAAACDMuMTY2MzA3AQcAAAAFAAAAATEBAAAACjE0NjU2MzEwNzEDAAAAATACAAAABjEwMDAyOQQAAAABMAcAAAAIOS85LzIwMTEIAAAACDkvOS8yMDExy7C5t5Nz1QjrgUxJl3PVCC1DSVEuXlNQWC5JUV9URVZfVE9UQUxfUkVWX0ZXRC42MDAwLjEwLzE5LzIwMTYBAAAAm7goAAIAAAAIMi4w</t>
  </si>
  <si>
    <t>MzA3ODEA6/65t5Nz1QgLkCFLl3PVCC1DSVEuXlNQWC5JUV9URVZfRUJJVERBX0ZXRF9DSVEuNjAwMC4yLzE5LzIwMTQBAAAAm7goAAIAAAAHOC43MTU5NgDbuK+9k3PVCLunO0uXc9UIKENJUS5OQVNEQVFHUzpJTlRDLklRX1BUQlYuMjAwMC44LzExLzIwMTcBAAAAh1IAAAIAAAAIMy42OTE4MDcBBwAAAAUAAAABMQEAAAAKMTg1MDYxODY2NAMAAAABMAIAAAAGMTAwMDI5BAAAAAEwBwAAAAk4LzExLzIwMTcIAAAACTgvMTEvMjAxN+vRiLaTc9UIK61KSZdz1QgoQ0lRLk5BU0RBUUdTOklOVEMuSVFfUFRCVi4yMDAwLjEvMTMvMjAxNwEAAACHUgAAAgAAAAg0LjM4OTA4OQEHAAAABQAAAAExAQAAAAoxODE1NTQ0NDUwAwAAAAEwAgAAAAYxMDAwMjkEAAAAATAHAAAACTEvMTMvMjAxNwgAAAAJMS8xMy8yMDE3a3ZmuZNz1Qhb5lRJl3PVCCNDSVEuXlNQWC5JUV9MQVNUU0FMRVBSSUNFLjExLzYvMjAxMwEAAACbuCgAAgAAABAxNzcwLjQ4ODA2NDgyNjQ4ANvXubeTc9UIK7k8S5dz1QgfQ0lRLl5TUFguSVFfUFRCVi4yMDAwLjQvMTUvMjAxNQEAAACbuCgAAgAAAAg1Ljk5MjA4NwDLka+9k3PVCNsxMkuXc9UINkNJUS5OQVNEQVFHUzpJTlRDLklRX1RFVl9FQklUREFfRldEX0NJUS42MDAwLjkvMzAvMjAxMQEAAACHUgAAAgAAABA0LjMwMDQzODM3OTI3NjI2AQ0AAAAFAAAAATkBAAAABzI2MjEyOTUCAAAABzE3</t>
  </si>
  <si>
    <t>NTcxNjYDAAAABjEwMDMwOAQAAAABMgYAAAABMAcAAAADMTYwCAAAAAEwCQAAAAExCgAAAAEwCwAAAAo4MTcwNzExNjkxDAAAAAIxMg0AAAAJMTAvMS8yMDExqzxUu5Nz1QhLRpCul3PVCCZDSVEuXlNQWC5JUV9QRV9FWENMX0ZXRC42MDAwLjcvMjQvMjAxMwEAAACbuCgAAgAAAAkxNC44NDM0NDUAm+tmuZNz1QhrVT1Ll3PVCDBDSVEuTkFTREFRR1M6SU5UQy5JUV9QRV9FWENMX0ZXRC42MDAwLjEwLzIwLzIwMTcBAAAAh1IAAAIAAAAPMTMuMjUzNTY0OTg5MzQ2AQ0AAAAFAAAAATkBAAAABzI2MjEyOTUCAAAACDI3NTAwMTczAwAAAAYxMDAzMDkEAAAAATIGAAAAATAHAAAAAzE2MAgAAAABMAkAAAABMQoAAAABMAsAAAALMTA1MDUxMzczNTQMAAAAAjEyDQAAAAoxMC8yMS8yMDE3ywKyvZNz1QhbdVJJl3PVCCZDSVEuXlNQWC5JUV9QRV9FWENMX0ZXRC42MDAwLjEyLzcvMjAxNgEAAACbuCgAAgAAAAkxNy42OTA4MjUAa2awu5Nz1QgLrhxLl3PVCDdDSVEuTmFzZGFxR1M6SU5UQy5JUV9URVZfRUJJVERBX0ZXRF9DSVEuNjAwMC4xMi8yMy8yMDExAQAAAIdSAAACAAAAEDQuOTg4NTg1NjQwMzE4MjgBDQAAAAUAAAABOQEAAAAHMjYyMTI5NQIAAAAHMTc1NzE2NwMAAAAGMTAwMzA4BAAAAAEyBgAAAAEwBwAAAAMxNjAIAAAAATAJAAAAATEKAAAAATALAAAACjgxNzExOTczMjYMAAAAAjEyDQAAAAoxMi8yNC8y</t>
  </si>
  <si>
    <t>MDExqyW0vZNz1Qgrh42ul3PVCCNDSVEuXlNQWC5JUV9MQVNUU0FMRVBSSUNFLjcvMTAvMjAxMwEAAACbuCgAAgAAABAxNjUyLjYxNzQ3NzUxODg4AFtPZrmTc9UIa1U9S5dz1QgrQ0lRLk5BU0RBUUdTOklOVEMuSVFfTEFTVFNBTEVQUklDRS4yLzcvMjAxOAEAAACHUgAAAgAAAAQ0NS4yACvDVLmTc9UIe2TKSZdz1QgsQ0lRLl5TUFguSVFfVEVWX1RPVEFMX1JFVl9GV0QuNjAwMC4xMC83LzIwMTUBAAAAm7goAAIAAAAIMS45NjQzNzYAa2awu5Nz1QibJC9Ll3PVCCBDSVEuXlNQWC5JUV9QVEJWLjIwMDAuMTEvMTgvMjAxNQEAAACbuCgAAgAAAAg2LjY5NTk2MwBbOFW5k3PVCCsTLkuXc9UILkNJUS5OQVNEQVFHUzpJTlRDLklRX1BSSUNFX1NBTEVTLjIwMDAuNC84LzIwMTYBAAAAh1IAAAIAAAAIMi43MDk1OTIBBwAAAAUAAAABMQEAAAAKMTc3NTkzMzE0MAMAAAABMAIAAAAFMzg5NTgEAAAAATAHAAAACDQvOC8yMDE2CAAAAAg0LzgvMjAxNksYsLuTc9UIu+5QSZdz1QgwQ0lRLk5BU0RBUUdTOklOVEMuSVFfUFJJQ0VfU0FMRVMuMjAwMC4xMS8xMi8yMDE0AQAAAIdSAAACAAAACDMuMDA2MzQzAQcAAAAFAAAAATEBAAAACjE3MDM2ODE4OTQDAAAAATACAAAABTM4OTU4BAAAAAEwBwAAAAoxMS8xMi8yMDE0CAAAAAoxMS8xMi8yMDE0+45Su5Nz1QiLUDZLl3PVCCNDSVEuXlNQWC5JUV9MQVNUU0FMRVBSSUNF</t>
  </si>
  <si>
    <t>LjUvMjIvMjAxMwEAAACbuCgAAgAAABAxNjU1LjM0ODA4NDMxMDA5AOv+ubeTc9UIi6M9S5dz1QguQ0lRLk5BU0RBUUdTOklOVEMuSVFfUFJJQ0VfU0FMRVMuMjAwMC44LzQvMjAxNwEAAACHUgAAAgAAAAgyLjc3OTk1NQEHAAAABQAAAAExAQAAAAoxODUwNjE4NjY0AwAAAAEwAgAAAAUzODk1OAQAAAABMAcAAAAIOC80LzIwMTcIAAAACDgvNC8yMDE3y7C5t5Nz1QhLbE1Jl3PVCDZDSVEuTkFTREFRR1M6SU5UQy5JUV9URVZfRUJJVERBX0ZXRF9DSVEuNjAwMC4xMC82LzIwMDYBAAAAh1IAAAIAAAAQMTEuMzA2OTk1NTI0NjE0NgENAAAABQAAAAE5AQAAAAcyNjIxMjk1AgAAAAcxNzU3MTUxAwAAAAYxMDAzMDgEAAAAATIGAAAAATAHAAAAAzE2MAgAAAABMAkAAAABMQoAAAABMAsAAAAKMTE2OTEzNDU2MAwAAAACMTINAAAACTEwLzcvMjAwNgsnVbuTc9UIO66Nrpdz1QgvQ0lRLk5BU0RBUUdTOklOVEMuSVFfUEVfRVhDTF9GV0QuNjAwMC40LzIwLzIwMDcBAAAAh1IAAAIAAAAPMTkuOTI2MjY1NjIzNTk1AQ0AAAAFAAAAATkBAAAABzI2MjEyOTUCAAAABzE3NTcxNTMDAAAABjEwMDMwOQQAAAABMgYAAAABMAcAAAADMTYwCAAAAAEwCQAAAAExCgAAAAEwCwAAAAo5MDkwNDEyMjg1DAAAAAIxMg0AAAAJNC8yMS8yMDA3W2KzvZNz1QirqVVJl3PVCCBDSVEuXlNQWC5JUV9QVEJWLjIwMDAuMTAvMTkvMjAxNgEA</t>
  </si>
  <si>
    <t>AACbuCgAAgAAAAg3LjI4MDA4NACLxGa5k3PVCAuQIUuXc9UINENJUS5OYXNkYXFHUzpJTlRDLklRX1RFVl9UT1RBTF9SRVZfRldELjYwMDAuNC8xLzIwMDUBAAAAh1IAAAIAAAAQMy4zMzQ4MDM3MTEzNTI1NwENAAAABQAAAAE5AQAAAAcyNjIxMjk1AgAAAAQxODgwAwAAAAYxMDAzMDcEAAAAATIGAAAAATAHAAAAAzE2MAgAAAABMAkAAAABMQoAAAABMAsAAAAJMzYwNjY0NTA4DAAAAAIxMg0AAAAINC8yLzIwMDWb1FW5k3PVCFt1UkmXc9UINkNJUS5OYXNkYXFHUzpJTlRDLklRX1RFVl9FQklUREFfRldEX0NJUS42MDAwLjUvMTQvMjAxMAEAAACHUgAAAgAAABA1LjQ2NTM4MTg1OTQ2MDU3AQ0AAAAFAAAAATkBAAAABzI2MjEyOTUCAAAABzE3NTcxNjIDAAAABjEwMDMwOAQAAAABMgYAAAABMAcAAAADMTYwCAAAAAEwCQAAAAExCgAAAAEwCwAAAAo1NzE1NjQ4ODc2DAAAAAIxMg0AAAAJNS8xNS8yMDEwu0y0vZNz1QjLDY+ul3PVCDRDSVEuTmFzZGFxR1M6SU5UQy5JUV9URVZfVE9UQUxfUkVWX0ZXRC42MDAwLjkvNi8yMDEzAQAAAIdSAAACAAAAEDIuMDE1OTE1ODMxODQ3NzUBDQAAAAUAAAABOQEAAAAHMjYyMTI5NQIAAAAHMzgyOTc1MgMAAAAGMTAwMzA3BAAAAAEyBgAAAAEwBwAAAAMxNjAIAAAAATAJAAAAATEKAAAAATALAAAACjg4NjI1NDMzMDUMAAAAAjEyDQAAAAg5LzcvMjAxM6sltL2Tc9UIK49P</t>
  </si>
  <si>
    <t>SZdz1QgtQ0lRLl5TUFguSVFfVEVWX0VCSVREQV9GV0RfQ0lRLjYwMDAuMy8xMi8yMDE0AQAAAJu4KAACAAAACDguOTQyNjQ4ANu4r72Tc9UIq4A7S5dz1Qg2Q0lRLk5BU0RBUUdTOklOVEMuSVFfVEVWX0VCSVREQV9GV0RfQ0lRLjYwMDAuOS8xMi8yMDA4AQAAAIdSAAACAAAADzYuMzU3OTIyMzM4OTAyMgENAAAABQAAAAE5AQAAAAcyNjIxMjk1AgAAAAcxNzU3MTU3AwAAAAYxMDAzMDgEAAAAATIGAAAAATAHAAAAAzE2MAgAAAABMAkAAAABMQoAAAABMAsAAAAKOTExMTA2MzE5OQwAAAACMTINAAAACTkvMTMvMjAwOOvYVLuTc9UIq7+Orpdz1QgvQ0lRLk5BU0RBUUdTOklOVEMuSVFfUFJJQ0VfU0FMRVMuMjAwMC41LzMxLzIwMTMBAAAAh1IAAAIAAAAIMi4yODIyNDYBBwAAAAUAAAABMQEAAAAKMTYxNDA3NDk0MgMAAAABMAIAAAAFMzg5NTgEAAAAATAHAAAACTUvMzEvMjAxMwgAAAAJNS8zMS8yMDEzC7ZSu5Nz1QjbHlZJl3PVCClDSVEuTkFTREFRR1M6SU5UQy5JUV9QVEJWLjIwMDAuMTEvMTAvMjAxNwEAAACHUgAAAgAAAAg2LjM2OTY4NQEHAAAABQAAAAExAQAAAAoxODYyNzU4MDQzAwAAAAEwAgAAAAYxMDAwMjkEAAAAATAHAAAACjExLzEwLzIwMTcIAAAACjExLzEwLzIwMTcLtlK7k3PVCNseVkmXc9UIN0NJUS5OQVNEQVFHUzpJTlRDLklRX1RFVl9FQklUREFfRldEX0NJUS42MDAwLjEwLzEwLzIw</t>
  </si>
  <si>
    <t>MDgBAAAAh1IAAAIAAAAQNC42OTgxNjMxNTEwMTczNgENAAAABQAAAAE5AQAAAAcyNjIxMjk1AgAAAAcxNzU3MTU3AwAAAAYxMDAzMDgEAAAAATIGAAAAATAHAAAAAzE2MAgAAAABMAkAAAABMQoAAAABMAsAAAAKNjczMTM0NDU3MQwAAAACMTINAAAACjEwLzExLzIwMDjr2FS7k3PVCPsRja6Xc9UINENJUS5OYXNkYXFHUzpJTlRDLklRX1RFVl9UT1RBTF9SRVZfRldELjYwMDAuNS85LzIwMTQBAAAAh1IAAAIAAAAQMi4zNDcyMDQ0MjYzNDExNAENAAAABQAAAAE5AQAAAAcyNjIxMjk1AgAAAAc0NDU2NDI3AwAAAAYxMDAzMDcEAAAAATIGAAAAATAHAAAAAzE2MAgAAAABMAkAAAABMQoAAAABMAsAAAAKODg2NDQzOTUxNAwAAAACMTINAAAACTUvMTAvMjAxNJv+s72Tc9UIK3FUSZdz1Qg1Q0lRLk5hc2RhcUdTOklOVEMuSVFfVEVWX1RPVEFMX1JFVl9GV0QuNjAwMC41LzExLzIwMDcBAAAAh1IAAAIAAAANMy4yNDIyNTIwNTMxNQENAAAABQAAAAE5AQAAAAcyNjIxMjk1AgAAAAcxNzU3MTUzAwAAAAYxMDAzMDcEAAAAATIGAAAAATAHAAAAAzE2MAgAAAABMAkAAAABMQoAAAABMAsAAAALMTAzNzg1ODM4OTYMAAAAAjEyDQAAAAk1LzEyLzIwMDfL+1a7k3PVCDsJV0mXc9UIK0NJUS5eU1BYLklRX1RFVl9UT1RBTF9SRVZfRldELjYwMDAuNy85LzIwMTQBAAAAm7goAAIAAAAIMS44ODk5NzEA27ivvZNz1QhbTDhL</t>
  </si>
  <si>
    <t>l3PVCDZDSVEuTmFzZGFxR1M6SU5UQy5JUV9URVZfVE9UQUxfUkVWX0ZXRC42MDAwLjEyLzE3LzIwMDQBAAAAh1IAAAIAAAAQMy41NjgyNDE0NTMwNzA1MwENAAAABQAAAAE5AQAAAAcyNjIxMjk1AgAAAAcxNzU3MTQ2AwAAAAYxMDAzMDcEAAAAATIGAAAAATAHAAAAAzE2MAgAAAABMAkAAAABMQoAAAABMAsAAAAKMTE2OTEyOTM0NwwAAAACMTINAAAACjEyLzE4LzIwMDSrArG7k3PVCPsZT0mXc9UIL0NJUS5OQVNEQVFHUzpJTlRDLklRX1BSSUNFX1NBTEVTLjIwMDAuMTIvMy8yMDEwAQAAAIdSAAACAAAACDIuODE1ODY4AQcAAAAFAAAAATEBAAAACjE0MDg1MTY1NDYDAAAAATACAAAABTM4OTU4BAAAAAEwBwAAAAkxMi8zLzIwMTAIAAAACTEyLzMvMjAxMMuwubeTc9UIa7pNSZdz1QgtQ0lRLl5TUFguSVFfVEVWX1RPVEFMX1JFVl9GV0QuNjAwMC4xMS8yMi8yMDE3AQAAAJu4KAACAAAACDIuMjg1NDk5APslureTc9UIq2DtSpdz1Qg3Q0lRLk5hc2RhcUdTOklOVEMuSVFfVEVWX0VCSVREQV9GV0RfQ0lRLjYwMDAuMTIvMTMvMjAxMwEAAACHUgAAAgAAAA81LjU1MzU3Mjg5MDc5NTEBDQAAAAUAAAABOQEAAAAHMjYyMTI5NQIAAAAHMzgyOTc1MwMAAAAGMTAwMzA4BAAAAAEyBgAAAAEwBwAAAAMxNjAIAAAAATAJAAAAATEKAAAAATALAAAACjc2MTY2NDMzMDcMAAAAAjEyDQAAAAoxMi8xNC8yMDEzqyW0vZNz</t>
  </si>
  <si>
    <t>1Qhb/I2ul3PVCDZDSVEuTkFTREFRR1M6SU5UQy5JUV9URVZfRUJJVERBX0ZXRF9DSVEuNjAwMC4zLzIxLzIwMDMBAAAAh1IAAAIAAAAQMTAuMjY3MDAxNDE1MDcyOAENAAAABQAAAAE5AQAAAAcyNjIxMjk1AgAAAAQxODc4AwAAAAYxMDAzMDgEAAAAATIGAAAAATAHAAAAAzE2MAgAAAABMAkAAAABMQoAAAABMAsAAAAJMzYwNjU5MDQzDAAAAAIxMg0AAAAJMy8yMi8yMDAzS8NVu5Nz1Qh7So6ul3PVCDZDSVEuTkFTREFRR1M6SU5UQy5JUV9URVZfRUJJVERBX0ZXRF9DSVEuNjAwMC4yLzE0LzIwMDMBAAAAh1IAAAIAAAAQOC41OTAzMDQyNTg5MTAzMQENAAAABQAAAAE5AQAAAAcyNjIxMjk1AgAAAAQxODc4AwAAAAYxMDAzMDgEAAAAATIGAAAAATAHAAAAAzE2MAgAAAABMAkAAAABMQoAAAABMAsAAAAJMzYwNjU5MDQxDAAAAAIxMg0AAAAJMi8xNS8yMDAzS8NVu5Nz1QjrW4+ul3PVCB9DSVEuXlNQWC5JUV9QVEJWLjIwMDAuOC8yMy8yMDE3AQAAAJu4KAACAAAACDguNTI3NDg2AOtnUruTc9UI6xP/Spdz1QgvQ0lRLk5BU0RBUUdTOklOVEMuSVFfUFJJQ0VfU0FMRVMuMjAwMC4xLzE0LzIwMTEBAAAAh1IAAAIAAAAHMi42ODQzNQEHAAAABQAAAAExAQAAAAoxNDE4OTIwOTc5AwAAAAEwAgAAAAUzODk1OAQAAAABMAcAAAAJMS8xNC8yMDExCAAAAAkxLzE0LzIwMTE78a+7k3PVCGucUkmXc9UIHkNJUS5eU1BY</t>
  </si>
  <si>
    <t>LklRX1BUQlYuMjAwMC4yLzcvMjAxOAEAAACbuCgAAgAAAAc5LjE1NTc2AOtnUruTc9UIe2TKSZdz1QgmQ0lRLl5TUFguSVFfUEVfRVhDTF9GV0QuNjAwMC42LzE4LzIwMTQBAAAAm7goAAIAAAAIMTYuMTAzNjUA27ivvZNz1QhrczhLl3PVCDVDSVEuTkFTREFRR1M6SU5UQy5JUV9URVZfRUJJVERBX0ZXRF9DSVEuNjAwMC42LzgvMjAwNwEAAACHUgAAAgAAABA4LjgwMTAzNTg4ODc3MDUyAQ0AAAAFAAAAATkBAAAABzI2MjEyOTUCAAAABzE3NTcxNTMDAAAABjEwMDMwOAQAAAABMgYAAAABMAcAAAADMTYwCAAAAAEwCQAAAAExCgAAAAEwCwAAAAoxMTY5MTM2ODMxDAAAAAIxMg0AAAAINi85LzIwMDf7/1S7k3PVCGuUkK6Xc9UINUNJUS5OYXNkYXFHUzpJTlRDLklRX1RFVl9UT1RBTF9SRVZfRldELjYwMDAuNS8xNi8yMDA4AQAAAIdSAAACAAAAEDMuMjU3NTg5MjU2MzA1NTQBDQAAAAUAAAABOQEAAAAHMjYyMTI5NQIAAAAHMTc1NzE1NgMAAAAGMTAwMzA3BAAAAAEyBgAAAAEwBwAAAAMxNjAIAAAAATAJAAAAATEKAAAAATALAAAACjg4NjM1MTA2MjAMAAAAAjEyDQAAAAk1LzE3LzIwMDibhla7k3PVCGt+V0mXc9UILENJUS5eU1BYLklRX1RFVl9UT1RBTF9SRVZfRldELjYwMDAuMS8zMS8yMDE4AQAAAJu4KAACAAAACDIuNDM2MTEyANu4r72Tc9UIq69OSpdz1QgmQ0lRLl5TUFguSVFfUEVfRVhDTF9GV0Qu</t>
  </si>
  <si>
    <t>NjAwMC40LzI2LzIwMTcBAAAAm7goAAIAAAAJMTguMTY5MDM5AGtmsLuTc9UIm9gRS5dz1Qg2Q0lRLk5hc2RhcUdTOklOVEMuSVFfVEVWX0VCSVREQV9GV0RfQ0lRLjYwMDAuNi8xMy8yMDAzAQAAAIdSAAACAAAAEDExLjI5MTA4MjUxNjY2MjYBDQAAAAUAAAABOQEAAAAHMjYyMTI5NQIAAAAHMTc1NzE0MQMAAAAGMTAwMzA4BAAAAAEyBgAAAAEwBwAAAAMxNjAIAAAAATAJAAAAATEKAAAAATALAAAACjExNjkxMjY5ODgMAAAAAjEyDQAAAAk2LzE0LzIwMDOLtLC7k3PVCGuUkK6Xc9UINkNJUS5OQVNEQVFHUzpJTlRDLklRX1RFVl9FQklUREFfRldEX0NJUS42MDAwLjgvMjIvMjAwOAEAAACHUgAAAgAAABA3LjUyNzY4Mzc3NTk1NjYyAQ0AAAAFAAAAATkBAAAABzI2MjEyOTUCAAAABzE3NTcxNTcDAAAABjEwMDMwOAQAAAABMgYAAAABMAcAAAADMTYwCAAAAAEwCQAAAAExCgAAAAEwCwAAAAo2NzMxMzY0MzQxDAAAAAIxMg0AAAAJOC8yMy8yMDA469hUu5Nz1Qh7u5Cul3PVCDZDSVEuTmFzZGFxR1M6SU5UQy5JUV9URVZfRUJJVERBX0ZXRF9DSVEuNjAwMC43LzE5LzIwMDIBAAAAh1IAAAIAAAAQMTAuODAwMzYwNzg4MTI1OAENAAAABQAAAAE5AQAAAAcyNjIxMjk1AgAAAAcxNzU3MTM5AwAAAAYxMDAzMDgEAAAAATIGAAAAATAHAAAAAzE2MAgAAAABMAkAAAABMQoAAAABMAsAAAAKMTE2OTEyNjA0NwwAAAAC</t>
  </si>
  <si>
    <t>MTINAAAACTcvMjAvMjAwMtsiV7uTc9UIW22Qrpdz1Qg3Q0lRLk5hc2RhcUdTOklOVEMuSVFfVEVWX0VCSVREQV9GV0RfQ0lRLjYwMDAuMTIvMjQvMjAwOQEAAACHUgAAAgAAABA2LjQ3ODM5Mzg3NTAzNTA0AQ0AAAAFAAAAATkBAAAABzI2MjEyOTUCAAAABzE3NTcxNjEDAAAABjEwMDMwOAQAAAABMgYAAAABMAcAAAADMTYwCAAAAAEwCQAAAAExCgAAAAEwCwAAAAo4MTcyNDA0MDA5DAAAAAIxMg0AAAAKMTIvMjUvMjAwOasltL2Tc9UIK4eNrpdz1QguQ0lRLk5BU0RBUUdTOklOVEMuSVFfUEVfRVhDTF9GV0QuNjAwMC4zLzMvMjAwNgEAAACHUgAAAgAAABAxOC41MjMyNDUyMTQyMjA2AQ0AAAAFAAAAATkBAAAABzI2MjEyOTUCAAAABDE4ODEDAAAABjEwMDMwOQQAAAABMgYAAAABMAcAAAADMTYwCAAAAAEwCQAAAAExCgAAAAEwCwAAAAcxNTE2ODcyDAAAAAIxMg0AAAAIMy80LzIwMDZbYrO9k3PVCJvzV0mXc9UIH0NJUS5eU1BYLklRX1BUQlYuMjAwMC4xMC85LzIwMTMBAAAAm7goAAIAAAAINS4wMTA5NjkAy5GvvZNz1QhLBz1Ll3PVCC9DSVEuTkFTREFRR1M6SU5UQy5JUV9QRV9FWENMX0ZXRC42MDAwLjgvMjcvMjAwNAEAAACHUgAAAgAAABAxNy4zMjQ5NDA5OTEzNDU0AQ0AAAAFAAAAATkBAAAABzI2MjEyOTUCAAAABzE3NTcxNDUDAAAABjEwMDMwOQQAAAABMgYAAAABMAcAAAADMTYwCAAAAAEwCQAA</t>
  </si>
  <si>
    <t>AAExCgAAAAEwCwAAAAo2NzI2ODQ5NzQ5DAAAAAIxMg0AAAAJOC8yOC8yMDA0a4mzvZNz1QhrK1BJl3PVCCNDSVEuXlNQWC5JUV9MQVNUU0FMRVBSSUNFLjYvMjIvMjAxNgEAAACbuCgAAgAAAA8yMDg1LjQ0OTcyMzM5NDgAG91Su5Nz1Qir+CdLl3PVCC9DSVEuTkFTREFRR1M6SU5UQy5JUV9QRV9FWENMX0ZXRC42MDAwLjIvMTAvMjAwNgEAAACHUgAAAgAAABAxNS4wMDM1MjM2MDgxNzQ4AQ0AAAAFAAAAATkBAAAABzI2MjEyOTUCAAAABDE4ODEDAAAABjEwMDMwOQQAAAABMgYAAAABMAcAAAADMTYwCAAAAAEwCQAAAAExCgAAAAEwCwAAAAcxNTE2NzcwDAAAAAIxMg0AAAAJMi8xMS8yMDA2W2KzvZNz1QjbPFFJl3PVCDZDSVEuTkFTREFRR1M6SU5UQy5JUV9URVZfRUJJVERBX0ZXRF9DSVEuNjAwMC41LzE5LzIwMDYBAAAAh1IAAAIAAAAPOC42MjEyNzI1OTQ3NDU5AQ0AAAAFAAAAATkBAAAABzI2MjEyOTUCAAAABzE3NTcxNTADAAAABjEwMDMwOAQAAAABMgYAAAABMAcAAAADMTYwCAAAAAEwCQAAAAExCgAAAAEwCwAAAAoxMTY5MTMzMjMyDAAAAAIxMg0AAAAJNS8yMC8yMDA2CydVu5Nz1QjbNI+ul3PVCCVDSVEuXlNQWC5JUV9QRV9FWENMX0ZXRC42MDAwLjYvMS8yMDE2AQAAAJu4KAACAAAACTE3LjI3NTYwMgCrEme5k3PVCCsxKUuXc9UILENJUS5eU1BYLklRX1RFVl9UT1RBTF9SRVZfRldELjYwMDAu</t>
  </si>
  <si>
    <t>Ni8yOS8yMDE2AQAAAJu4KAACAAAACDIuMDMxNDMxAHuGVbmTc9UIC+MoS5dz1QgsQ0lRLk5BU0RBUUdTOklOVEMuSVFfTEFTVFNBTEVQUklDRS42LzI4LzIwMTcBAAAAh1IAAAIAAAAEMzQuMgAb3VK7k3PVCNshC0uXc9UIL0NJUS5OQVNEQVFHUzpJTlRDLklRX1BSSUNFX1NBTEVTLjIwMDAuNy8xNC8yMDE3AQAAAIdSAAACAAAABzIuNzEyMzQBBwAAAAUAAAABMQEAAAAKMTgzODM2MDEzMgMAAAABMAIAAAAFMzg5NTgEAAAAATAHAAAACTcvMTQvMjAxNwgAAAAJNy8xNC8yMDE3C7ZSu5Nz1QjbHlZJl3PVCClDSVEuTkFTREFRR1M6SU5UQy5JUV9QVEJWLjIwMDAuMTAvMTQvMjAxNgEAAACHUgAAAgAAAAg1LjI3Njk3NAEHAAAABQAAAAExAQAAAAoxODAxMjk0NTAxAwAAAAEwAgAAAAYxMDAwMjkEAAAAATAHAAAACjEwLzE0LzIwMTYIAAAACjEwLzE0LzIwMTa7aq+9k3PVCAsFWUmXc9UILENJUS5eU1BYLklRX1RFVl9UT1RBTF9SRVZfRldELjYwMDAuOS8xMS8yMDEzAQAAAJu4KAACAAAABzEuNjgyMDYAG91Su5Nz1QhbLj1Ll3PVCDRDSVEuTmFzZGFxR1M6SU5UQy5JUV9URVZfVE9UQUxfUkVWX0ZXRC42MDAwLjkvNS8yMDE0AQAAAIdSAAACAAAAEDMuMDAxNzEwMjc4MTA2MDcBDQAAAAUAAAABOQEAAAAHMjYyMTI5NQIAAAAHNDQ1NjQyOAMAAAAGMTAwMzA3BAAAAAEyBgAAAAEwBwAAAAMxNjAIAAAAATAJ</t>
  </si>
  <si>
    <t>AAAAATEKAAAAATALAAAACjg4NjQ0NDIxNDYMAAAAAjEyDQAAAAg5LzYvMjAxNLv6u7eTc9UISzBXSZdz1QgwQ0lRLk5BU0RBUUdTOklOVEMuSVFfUEVfRVhDTF9GV0QuNjAwMC4xMC8xOS8yMDA3AQAAAIdSAAACAAAAEDE4LjYzMjY2MDI5MDQ3MTEBDQAAAAUAAAABOQEAAAAHMjYyMTI5NQIAAAAHMTc1NzE1NQMAAAAGMTAwMzA5BAAAAAEyBgAAAAEwBwAAAAMxNjAIAAAAATAJAAAAATEKAAAAATALAAAACjg4NjQ0ODUxMjEMAAAAAjEyDQAAAAoxMC8yMC8yMDA3SzuzvZNz1Qh7NFVJl3PVCChDSVEuTkFTREFRR1M6SU5UQy5JUV9QVEJWLjIwMDAuMy8xMy8yMDE1AQAAAIdSAAACAAAABzMuNjIwODgBBwAAAAUAAAABMQEAAAAKMTcxODg1OTI5MQMAAAABMAIAAAAGMTAwMDI5BAAAAAEwBwAAAAkzLzEzLzIwMTUIAAAACTMvMTMvMjAxNduqiLaTc9UIWyJLSZdz1QgpQ0lRLk5BU0RBUUdTOklOVEMuSVFfUFRCVi4yMDAwLjEyLzI3LzIwMTMBAAAAh1IAAAIAAAAIMy4yMTg4NTIBBwAAAAUAAAABMQEAAAAKMTY0MjQ4Mzc5MgMAAAABMAIAAAAGMTAwMDI5BAAAAAEwBwAAAAoxMi8yNy8yMDEzCAAAAAoxMi8yNy8yMDEzSxiwu5Nz1QiboFBJl3PVCCxDSVEuXlNQWC5JUV9URVZfRUJJVERBX0ZXRF9DSVEuNjAwMC4xLzcvMjAxNQEAAACbuCgAAgAAAAg5LjUwOTc0OQArBFO7k3PVCOvJNEuXc9UIHkNJUS5eU1BY</t>
  </si>
  <si>
    <t>LklRX1BUQlYuMjAwMC4xLzcvMjAxNQEAAACbuCgAAgAAAAg1LjUyNzQyMgBbOFW5k3PVCOvJNEuXc9UII0NJUS5eU1BYLklRX0xBU1RTQUxFUFJJQ0UuMy8xMi8yMDE0AQAAAJu4KAACAAAAEDE4NjguMTk1MTIyNjQ4MzgA6/65t5Nz1QiLMjtLl3PVCC9DSVEuTkFTREFRR1M6SU5UQy5JUV9QUklDRV9TQUxFUy4yMDAwLjYvMjYvMjAxNQEAAACHUgAAAgAAAAgyLjY4Nzk2MQEHAAAABQAAAAExAQAAAAoxNzMwNzYyNzU1AwAAAAEwAgAAAAUzODk1OAQAAAABMAcAAAAJNi8yNi8yMDE1CAAAAAk2LzI2LzIwMTVLGLC7k3PVCKvHUEmXc9UIH0NJUS5eU1BYLklRX1BUQlYuMjAwMC4xLzIyLzIwMTQBAAAAm7goAAIAAAAHNS4yNjM1MgCLxGa5k3PVCAtrPEuXc9UINkNJUS5OQVNEQVFHUzpJTlRDLklRX1RFVl9FQklUREFfRldEX0NJUS42MDAwLjUvMjIvMjAwOQEAAACHUgAAAgAAABA4LjI5OTIxNTI3MjQ2OTU4AQ0AAAAFAAAAATkBAAAABzI2MjEyOTUCAAAABzE3NTcxNTkDAAAABjEwMDMwOAQAAAABMgYAAAABMAcAAAADMTYwCAAAAAEwCQAAAAExCgAAAAEwCwAAAAo4MTcyNDAzMzMwDAAAAAIxMg0AAAAJNS8yMy8yMDA527FUu5Nz1Qj7EY2ul3PVCCZDSVEuXlNQWC5JUV9QRV9FWENMX0ZXRC42MDAwLjgvMTQvMjAxMwEAAACbuCgAAgAAAAgxNC42OTU2OQDr36+9k3PVCFsuPUuXc9UILkNJUS5OQVNEQVFH</t>
  </si>
  <si>
    <t>UzpJTlRDLklRX1BSSUNFX1NBTEVTLjIwMDAuNC81LzIwMTIBAAAAh1IAAAIAAAAIMi43MzIxOTcBBwAAAAUAAAABMQEAAAAKMTUyMzQwMzg0OQMAAAABMAIAAAAFMzg5NTgEAAAAATAHAAAACDQvNS8yMDEyCAAAAAg0LzUvMjAxMqtDr72Tc9UIW8hZSZdz1QgnQ0lRLk5BU0RBUUdTOklOVEMuSVFfUFRCVi4yMDAwLjcvMi8yMDE1AQAAAIdSAAACAAAACDMuNjI3MTAxAQcAAAAFAAAAATEBAAAACjE3MzA3NjI3NTUDAAAAATACAAAABjEwMDAyOQQAAAABMAcAAAAINy8yLzIwMTUIAAAACDcvMi8yMDE1u2qvvZNz1QgLBVlJl3PVCDZDSVEuTmFzZGFxR1M6SU5UQy5JUV9URVZfVE9UQUxfUkVWX0ZXRC42MDAwLjExLzI0LzIwMTcBAAAAh1IAAAIAAAAQMy41MjQ5ODU3ODQxOTIzOAENAAAABQAAAAE5AQAAAAcyNjIxMjk1AgAAAAgyNzUwMDE3NAMAAAAGMTAwMzA3BAAAAAEyBgAAAAEwBwAAAAMxNjAIAAAAATAJAAAAATEKAAAAATALAAAACzEwNTM1OTYxNjAwDAAAAAIxMg0AAAAKMTEvMjUvMjAxNwvmVrmTc9UIy4ZTSZdz1QgwQ0lRLk5BU0RBUUdTOklOVEMuSVFfUEVfRVhDTF9GV0QuNjAwMC4xMC8xMi8yMDA3AQAAAIdSAAACAAAAEDIwLjA5NzUzNzk1MzI3NjIBDQAAAAUAAAABOQEAAAAHMjYyMTI5NQIAAAAHMTc1NzE1NAMAAAAGMTAwMzA5BAAAAAEyBgAAAAEwBwAAAAMxNjAIAAAAATAJAAAAATEKAAAA</t>
  </si>
  <si>
    <t>ATALAAAACzEwMzM0MjA3MTg2DAAAAAIxMg0AAAAKMTAvMTMvMjAwN0s7s72Tc9UIi1tVSZdz1QguQ0lRLk5BU0RBUUdTOklOVEMuSVFfUEVfRVhDTF9GV0QuNjAwMC45LzMvMjAxMAEAAACHUgAAAgAAABA5Ljc4Mjg5NzE4MTM3OTA1AQ0AAAAFAAAAATkBAAAABzI2MjEyOTUCAAAABzE3NTcxNjMDAAAABjEwMDMwOQQAAAABMgYAAAABMAcAAAADMTYwCAAAAAEwCQAAAAExCgAAAAEwCwAAAAo4ODYzODQ0ODc1DAAAAAIxMg0AAAAIOS80LzIwMTAr7bK9k3PVCItbVUmXc9UINUNJUS5OYXNkYXFHUzpJTlRDLklRX1RFVl9UT1RBTF9SRVZfRldELjYwMDAuMS8yNS8yMDEzAQAAAIdSAAACAAAAEDEuODM4MTIyNzI3OTkwMjUBDQAAAAUAAAABOQEAAAAHMjYyMTI5NQIAAAAHMzY1MjY2MAMAAAAGMTAwMzA3BAAAAAEyBgAAAAEwBwAAAAMxNjAIAAAAATAJAAAAATEKAAAAATALAAAACjU3NDg4OTYzMDEMAAAAAjEyDQAAAAkxLzI2LzIwMTPbd7G7k3PVCKvlS0mXc9UIN0NJUS5OQVNEQVFHUzpJTlRDLklRX1RFVl9FQklUREFfRldEX0NJUS42MDAwLjEyLzIyLzIwMDYBAAAAh1IAAAIAAAAQOC42MjY0NTM2MDMxNzQ1OAENAAAABQAAAAE5AQAAAAcyNjIxMjk1AgAAAAcxNzU3MTUyAwAAAAYxMDAzMDgEAAAAATIGAAAAATAHAAAAAzE2MAgAAAABMAkAAAABMQoAAAABMAsAAAAKNjgzMTQ0MDYxNwwAAAACMTINAAAA</t>
  </si>
  <si>
    <t>CjEyLzIzLzIwMDYLJ1W7k3PVCPuCj66Xc9UIL0NJUS5OQVNEQVFHUzpJTlRDLklRX1BFX0VYQ0xfRldELjYwMDAuNS8yNS8yMDA3AQAAAIdSAAACAAAAEDE5Ljk0MDYxMDA5NjI4MzYBDQAAAAUAAAABOQEAAAAHMjYyMTI5NQIAAAAHMTc1NzE1MwMAAAAGMTAwMzA5BAAAAAEyBgAAAAEwBwAAAAMxNjAIAAAAATAJAAAAATEKAAAAATALAAAACjg4NjQ0ODQ3MzcMAAAAAjEyDQAAAAk1LzI2LzIwMDdLO7O9k3PVCJuCVUmXc9UIL0NJUS5OQVNEQVFHUzpJTlRDLklRX1BSSUNFX1NBTEVTLjIwMDAuNi8xNS8yMDEyAQAAAIdSAAACAAAACDIuNjAwOTYxAQcAAAAFAAAAATEBAAAACjE1NDUxNTY0MzgDAAAAATACAAAABTM4OTU4BAAAAAEwBwAAAAk2LzE1LzIwMTIIAAAACTYvMTUvMjAxMksYsLuTc9UIG9lRSZdz1Qg2Q0lRLk5hc2RhcUdTOklOVEMuSVFfVEVWX1RPVEFMX1JFVl9GV0QuNjAwMC4xMi8xMS8yMDA5AQAAAIdSAAACAAAAEDIuNTkxNTc2MjMzNTA4ODQBDQAAAAUAAAABOQEAAAAHMjYyMTI5NQIAAAAHMTc1NzE2MQMAAAAGMTAwMzA3BAAAAAEyBgAAAAEwBwAAAAMxNjAIAAAAATAJAAAAATEKAAAAATALAAAACjExNjkxNTAxOTIMAAAAAjEyDQAAAAoxMi8xMi8yMDA5qxJnuZNz1QiLPVpJl3PVCDBDSVEuTkFTREFRR1M6SU5UQy5JUV9QUklDRV9TQUxFUy4yMDAwLjEwLzI4LzIwMTYBAAAAh1IAAAIA</t>
  </si>
  <si>
    <t>AAAIMi44MzQ0MjgBBwAAAAUAAAABMQEAAAAKMTgxMzUxNDM2NAMAAAABMAIAAAAFMzg5NTgEAAAAATAHAAAACjEwLzI4LzIwMTYIAAAACjEwLzI4LzIwMTbbqoi2k3PVCFsiS0mXc9UINUNJUS5OYXNkYXFHUzpJTlRDLklRX1RFVl9FQklUREFfRldEX0NJUS42MDAwLjIvOC8yMDA4AQAAAIdSAAACAAAAEDYuNzEyOTM2NjU3MzIxNjEBDQAAAAUAAAABOQEAAAAHMjYyMTI5NQIAAAAEMTg4MwMAAAAGMTAwMzA4BAAAAAEyBgAAAAEwBwAAAAMxNjAIAAAAATAJAAAAATEKAAAAATALAAAACTM2MDcwMzMwOAwAAAACMTINAAAACDIvOS8yMDA4+3BXu5Nz1QjrW4+ul3PVCDZDSVEuTmFzZGFxR1M6SU5UQy5JUV9URVZfVE9UQUxfUkVWX0ZXRC42MDAwLjEyLzEyLzIwMDgBAAAAh1IAAAIAAAAQMi4xNzAzNDIwMDEzOTMxNQENAAAABQAAAAE5AQAAAAcyNjIxMjk1AgAAAAcxNzU3MTU4AwAAAAYxMDAzMDcEAAAAATIGAAAAATAHAAAAAzE2MAgAAAABMAkAAAABMQoAAAABMAsAAAAKODg2MjAyOTQxMgwAAAACMTINAAAACjEyLzEzLzIwMDjbIle7k3PVCIsITkmXc9UIL0NJUS5OQVNEQVFHUzpJTlRDLklRX1BSSUNFX1NBTEVTLjIwMDAuOC8yNS8yMDE3AQAAAIdSAAACAAAACDIuNjU1MTI1AQcAAAAFAAAAATEBAAAACjE4NTA2MTg2NjQDAAAAATACAAAABTM4OTU4BAAAAAEwBwAAAAk4LzI1LzIwMTcIAAAACTgvMjUv</t>
  </si>
  <si>
    <t>MjAxN/uOUruTc9UIa35XSZdz1QgvQ0lRLk5BU0RBUUdTOklOVEMuSVFfUFJJQ0VfU0FMRVMuMjAwMC44LzI0LzIwMTIBAAAAh1IAAAIAAAAIMi4zMTc1MzgBBwAAAAUAAAABMQEAAAAKMTU1NzIxNjI0NgMAAAABMAIAAAAFMzg5NTgEAAAAATAHAAAACTgvMjQvMjAxMggAAAAJOC8yNC8yMDEye51muZNz1QgLI1RJl3PVCChDSVEuTkFTREFRR1M6SU5UQy5JUV9QVEJWLjIwMDAuMS8yOC8yMDExAQAAAIdSAAACAAAACDIuNjQyMzU3AQcAAAAFAAAAATEBAAAACjE0MTg5MjA5NzkDAAAAATACAAAABjEwMDAyOQQAAAABMAcAAAAJMS8yOC8yMDExCAAAAAkxLzI4LzIwMTF7nWa5k3PVCBtKVEmXc9UIJ0NJUS5eU1BYLklRX1BFX0VYQ0xfRldELjYwMDAuMTEvMjUvMjAxNQEAAACbuCgAAgAAAAkxNy4xMTE3OTgAe4ZVuZNz1Qjrdi1Ll3PVCDZDSVEuTkFTREFRR1M6SU5UQy5JUV9URVZfRUJJVERBX0ZXRF9DSVEuNjAwMC4zLzIyLzIwMTMBAAAAh1IAAAIAAAAQNC44MTg1NDAyMDk2ODU2NgENAAAABQAAAAE5AQAAAAcyNjIxMjk1AgAAAAczNjUyNjYwAwAAAAYxMDAzMDgEAAAAATIGAAAAATAHAAAAAzE2MAgAAAABMAkAAAABMQoAAAABMAsAAAAKNTQzODIwMDA3NQwAAAACMTINAAAACTMvMjMvMjAxM4vuU7uTc9UI6+qMrpdz1Qg1Q0lRLk5BU0RBUUdTOklOVEMuSVFfVEVWX0VCSVREQV9GV0RfQ0lRLjYwMDAu</t>
  </si>
  <si>
    <t>Mi8xLzIwMDgBAAAAh1IAAAIAAAAQNy4yNzIxNDIzNzIyMTY5MQENAAAABQAAAAE5AQAAAAcyNjIxMjk1AgAAAAQxODgzAwAAAAYxMDAzMDgEAAAAATIGAAAAATAHAAAAAzE2MAgAAAABMAkAAAABMQoAAAABMAsAAAAJMzYwNzAzMzA4DAAAAAIxMg0AAAAIMi8yLzIwMDjr2FS7k3PVCKu/jq6Xc9UIMENJUS5OQVNEQVFHUzpJTlRDLklRX1BFX0VYQ0xfRldELjYwMDAuMTIvMjMvMjAxNgEAAACHUgAAAgAAAA8xMy4zOTQ0NDIyMzAzNTQBDQAAAAUAAAABOQEAAAAHMjYyMTI5NQIAAAAIMjcwMDM2NTMDAAAABjEwMDMwOQQAAAABMgYAAAABMAcAAAADMTYwCAAAAAEwCQAAAAExCgAAAAEwCwAAAAo5OTAyOTcxNTA1DAAAAAIxMg0AAAAKMTIvMjQvMjAxNtspsr2Tc9UIyzNMSZdz1QguQ0lRLk5BU0RBUUdTOklOVEMuSVFfUEVfRVhDTF9GV0QuNjAwMC43LzUvMjAwMgEAAACHUgAAAgAAABAzMC45NjY3MDM2NDUwMDc5AQ0AAAAFAAAAATkBAAAABzI2MjEyOTUCAAAABzE3NTcxMzgDAAAABjEwMDMwOQQAAAABMgYAAAABMAcAAAADMTYwCAAAAAEwCQAAAAExCgAAAAEwCwAAAAo5MDkwNjg4MDg4DAAAAAIxMg0AAAAINy82LzIwMDKrJbS9k3PVCJvzV0mXc9UIJ0NJUS5eU1BYLklRX1BFX0VYQ0xfRldELjYwMDAuMTEvMjMvMjAxNgEAAACbuCgAAgAAAAkxNy40MTcyNzcAe42wu5Nz1QhbcR1Ll3PVCDdDSVEuTkFT</t>
  </si>
  <si>
    <t>REFRR1M6SU5UQy5JUV9URVZfRUJJVERBX0ZXRF9DSVEuNjAwMC4xMC8yOC8yMDA1AQAAAIdSAAACAAAAEDcuMjQ0NzM0MjA5NDEwNzcBDQAAAAUAAAABOQEAAAAHMjYyMTI5NQIAAAAHMTc1NzE0OQMAAAAGMTAwMzA4BAAAAAEyBgAAAAEwBwAAAAMxNjAIAAAAATAJAAAAATEKAAAAATALAAAACjExNjkxMzE3NjgMAAAAAjEyDQAAAAoxMC8yOS8yMDA1G05Vu5Nz1Qh7So6ul3PVCA==</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</si>
</sst>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0.0\x_);\(0.0\x\);0.0\x_);@_)"/>
    <numFmt numFmtId="165" formatCode="0.0%_);\(0.0%\);0.0%_);@_)"/>
    <numFmt numFmtId="166" formatCode="_(* #,##0.00_);_(* \(#,##0.00\);_(* &quot;-&quot;??_);_(@_)"/>
    <numFmt numFmtId="167" formatCode="0.0%"/>
    <numFmt numFmtId="168" formatCode="_(* #,##0_);_(* \(#,##0\);_(* &quot;-&quot;_);_(@_)"/>
    <numFmt numFmtId="169" formatCode="_(* #,##0.0_);_(* \(#,##0.0\);_(* &quot;-&quot;??_);_(@_)"/>
    <numFmt numFmtId="170" formatCode="_(* #,##0.000_);_(* \(#,##0.000\);_(* &quot;-&quot;??_);_(@_)"/>
    <numFmt numFmtId="171" formatCode="#,##0.0"/>
    <numFmt numFmtId="172" formatCode="#,##0.0_);[Red]\(#,##0.0\)"/>
    <numFmt numFmtId="173" formatCode="_(&quot;$&quot;* #,##0.000_);_(&quot;$&quot;* \(#,##0.000\);_(&quot;$&quot;* &quot;-&quot;??_);_(@_)"/>
    <numFmt numFmtId="174" formatCode="_(&quot;$&quot;* #,##0.00_);_(&quot;$&quot;* \(#,##0.00\);_(&quot;$&quot;* &quot;-&quot;??_);_(@_)"/>
    <numFmt numFmtId="175" formatCode="&quot;+&quot;0.0%;\-0.0%"/>
    <numFmt numFmtId="176" formatCode="_(&quot;$&quot;* #,##0_);_(&quot;$&quot;* \(#,##0\);_(&quot;$&quot;* &quot;-&quot;??_);_(@_)"/>
    <numFmt numFmtId="177" formatCode="_(* #,##0_);_(* \(#,##0\);_(* &quot;-&quot;??_);_(@_)"/>
    <numFmt numFmtId="178" formatCode="_(&quot;$&quot;* #,##0.0_);_(&quot;$&quot;* \(#,##0.0\);_(&quot;$&quot;* &quot;-&quot;??_);_(@_)"/>
    <numFmt numFmtId="179" formatCode="_(* #,##0.0000_);_(* \(#,##0.0000\);_(* &quot;-&quot;??_);_(@_)"/>
    <numFmt numFmtId="180" formatCode="_([$$-409]* #,##0.00_);_([$$-409]* \(#,##0.00\);_([$$-409]* &quot;-&quot;??_);_(@_)"/>
    <numFmt numFmtId="181" formatCode="#,##0.0000"/>
    <numFmt numFmtId="182" formatCode="#,##0.0&quot;K&quot;"/>
    <numFmt numFmtId="183" formatCode="&quot;$&quot;#,##0_);[Red]\(&quot;$&quot;#,##0\)"/>
    <numFmt numFmtId="184" formatCode="_(* #,##0.0_);_(* \(#,##0.0\);_(* &quot;-&quot;?_);_(@_)"/>
    <numFmt numFmtId="185" formatCode="_(* #,##0_);_(* \(#,##0\);_(* &quot;-&quot;?_);_(@_)"/>
    <numFmt numFmtId="186" formatCode="0.0"/>
    <numFmt numFmtId="187" formatCode="0.000"/>
  </numFmts>
  <fonts count="37">
    <font>
      <sz val="10.0"/>
      <color rgb="FF000000"/>
      <name val="Courier New"/>
      <scheme val="minor"/>
    </font>
    <font>
      <sz val="10.0"/>
      <color rgb="FF000000"/>
      <name val="Courier New"/>
    </font>
    <font>
      <sz val="10.0"/>
      <color theme="1"/>
      <name val="Courier New"/>
    </font>
    <font>
      <sz val="10.0"/>
      <color rgb="FF8DB3E2"/>
      <name val="Arial Narrow"/>
    </font>
    <font>
      <sz val="10.0"/>
      <color theme="1"/>
      <name val="Arial Narrow"/>
    </font>
    <font>
      <b/>
      <sz val="10.0"/>
      <color theme="1"/>
      <name val="Arial Narrow"/>
    </font>
    <font>
      <b/>
      <sz val="10.0"/>
      <color rgb="FF000000"/>
      <name val="Arial Narrow"/>
    </font>
    <font>
      <sz val="10.0"/>
      <color rgb="FF0000FF"/>
      <name val="Arial Narrow"/>
    </font>
    <font>
      <sz val="10.0"/>
      <color rgb="FF000000"/>
      <name val="Arial Narrow"/>
    </font>
    <font>
      <sz val="10.0"/>
      <color rgb="FFFF0000"/>
      <name val="Arial Narrow"/>
    </font>
    <font>
      <b/>
      <sz val="12.0"/>
      <color theme="1"/>
      <name val="Arial Narrow"/>
    </font>
    <font>
      <b/>
      <sz val="10.0"/>
      <color rgb="FF7F7F7F"/>
      <name val="Arial Narrow"/>
    </font>
    <font>
      <sz val="10.0"/>
      <color rgb="FF7F7F7F"/>
      <name val="Arial Narrow"/>
    </font>
    <font>
      <sz val="10.0"/>
      <color rgb="FFFFFFFF"/>
      <name val="Arial Narrow"/>
    </font>
    <font/>
    <font>
      <sz val="10.0"/>
      <color rgb="FF7030A0"/>
      <name val="Arial Narrow"/>
    </font>
    <font>
      <sz val="8.0"/>
      <color rgb="FFFF0000"/>
      <name val="Arial Narrow"/>
    </font>
    <font>
      <sz val="7.0"/>
      <color rgb="FFFF0000"/>
      <name val="Arial Narrow"/>
    </font>
    <font>
      <b/>
      <sz val="10.0"/>
      <color rgb="FF00B050"/>
      <name val="Arial Narrow"/>
    </font>
    <font>
      <b/>
      <sz val="10.0"/>
      <color rgb="FF0000FF"/>
      <name val="Arial Narrow"/>
    </font>
    <font>
      <i/>
      <sz val="10.0"/>
      <color theme="1"/>
      <name val="Arial Narrow"/>
    </font>
    <font>
      <sz val="8.0"/>
      <color rgb="FF00B050"/>
      <name val="Arial Narrow"/>
    </font>
    <font>
      <sz val="8.0"/>
      <color theme="1"/>
      <name val="Arial Narrow"/>
    </font>
    <font>
      <sz val="10.0"/>
      <color rgb="FF000000"/>
      <name val="Helvetica Neue"/>
    </font>
    <font>
      <b/>
      <sz val="10.0"/>
      <color rgb="FFFFFFFF"/>
      <name val="Arial Narrow"/>
    </font>
    <font>
      <sz val="10.0"/>
      <color rgb="FF3333FF"/>
      <name val="Arial Narrow"/>
    </font>
    <font>
      <b/>
      <sz val="10.0"/>
      <color rgb="FFFF0000"/>
      <name val="Arial Narrow"/>
    </font>
    <font>
      <b/>
      <sz val="10.0"/>
      <color rgb="FF7030A0"/>
      <name val="Arial Narrow"/>
    </font>
    <font>
      <b/>
      <sz val="8.0"/>
      <color rgb="FFFF0000"/>
      <name val="Arial Narrow"/>
    </font>
    <font>
      <b/>
      <sz val="10.0"/>
      <color rgb="FF3333FF"/>
      <name val="Arial Narrow"/>
    </font>
    <font>
      <sz val="10.0"/>
      <color rgb="FF008000"/>
      <name val="Arial Narrow"/>
    </font>
    <font>
      <b/>
      <i/>
      <sz val="10.0"/>
      <color theme="1"/>
      <name val="Arial Narrow"/>
    </font>
    <font>
      <i/>
      <sz val="10.0"/>
      <color rgb="FF0000FF"/>
      <name val="Arial Narrow"/>
    </font>
    <font>
      <b/>
      <sz val="10.0"/>
      <color rgb="FF008000"/>
      <name val="Arial Narrow"/>
    </font>
    <font>
      <b/>
      <sz val="12.0"/>
      <color rgb="FF000000"/>
      <name val="Arial Narrow"/>
    </font>
    <font>
      <i/>
      <sz val="10.0"/>
      <color rgb="FF000000"/>
      <name val="Arial Narrow"/>
    </font>
    <font>
      <color theme="1"/>
      <name val="Courier New"/>
      <scheme val="minor"/>
    </font>
  </fonts>
  <fills count="17">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theme="0"/>
        <bgColor theme="0"/>
      </patternFill>
    </fill>
    <fill>
      <patternFill patternType="solid">
        <fgColor rgb="FFF2F2F2"/>
        <bgColor rgb="FFF2F2F2"/>
      </patternFill>
    </fill>
    <fill>
      <patternFill patternType="solid">
        <fgColor rgb="FFDBE5F1"/>
        <bgColor rgb="FFDBE5F1"/>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
      <patternFill patternType="solid">
        <fgColor rgb="FFFDE9D9"/>
        <bgColor rgb="FFFDE9D9"/>
      </patternFill>
    </fill>
    <fill>
      <patternFill patternType="solid">
        <fgColor rgb="FFDAEEF3"/>
        <bgColor rgb="FFDAEEF3"/>
      </patternFill>
    </fill>
    <fill>
      <patternFill patternType="solid">
        <fgColor rgb="FFEAF1DD"/>
        <bgColor rgb="FFEAF1DD"/>
      </patternFill>
    </fill>
    <fill>
      <patternFill patternType="solid">
        <fgColor rgb="FFE5DFEC"/>
        <bgColor rgb="FFE5DFEC"/>
      </patternFill>
    </fill>
    <fill>
      <patternFill patternType="solid">
        <fgColor rgb="FFFFFF99"/>
        <bgColor rgb="FFFFFF99"/>
      </patternFill>
    </fill>
    <fill>
      <patternFill patternType="solid">
        <fgColor rgb="FFFF0000"/>
        <bgColor rgb="FFFF0000"/>
      </patternFill>
    </fill>
    <fill>
      <patternFill patternType="solid">
        <fgColor rgb="FFC6D9F0"/>
        <bgColor rgb="FFC6D9F0"/>
      </patternFill>
    </fill>
  </fills>
  <borders count="21">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top/>
      <bottom style="dotted">
        <color rgb="FF000000"/>
      </bottom>
    </border>
    <border>
      <left/>
      <right/>
      <top/>
      <bottom style="thin">
        <color rgb="FF000000"/>
      </bottom>
    </border>
    <border>
      <left/>
      <right/>
      <top style="thin">
        <color rgb="FF000000"/>
      </top>
      <bottom/>
    </border>
    <border>
      <left/>
      <right/>
      <top style="thin">
        <color rgb="FF000000"/>
      </top>
      <bottom style="double">
        <color rgb="FF000000"/>
      </bottom>
    </border>
    <border>
      <left style="thin">
        <color rgb="FF000000"/>
      </left>
      <right style="thin">
        <color rgb="FF000000"/>
      </right>
      <top style="thin">
        <color rgb="FF000000"/>
      </top>
      <bottom style="thin">
        <color rgb="FF000000"/>
      </bottom>
    </border>
    <border>
      <left/>
      <right/>
      <top/>
      <bottom style="double">
        <color rgb="FF000000"/>
      </bottom>
    </border>
    <border>
      <left/>
      <right/>
      <top style="dotted">
        <color rgb="FF000000"/>
      </top>
      <bottom/>
    </border>
    <border>
      <left/>
      <right/>
      <top/>
      <bottom style="hair">
        <color rgb="FF000000"/>
      </bottom>
    </border>
    <border>
      <bottom style="hair">
        <color rgb="FF000000"/>
      </bottom>
    </border>
    <border>
      <left/>
      <right/>
      <top style="thin">
        <color rgb="FF000000"/>
      </top>
      <bottom style="medium">
        <color rgb="FF000000"/>
      </bottom>
    </border>
  </borders>
  <cellStyleXfs count="1">
    <xf borderId="0" fillId="0" fontId="0" numFmtId="0" applyAlignment="1" applyFont="1"/>
  </cellStyleXfs>
  <cellXfs count="927">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2" fontId="4" numFmtId="0" xfId="0" applyBorder="1" applyFont="1"/>
    <xf borderId="1" fillId="2" fontId="5" numFmtId="164" xfId="0" applyAlignment="1" applyBorder="1" applyFont="1" applyNumberFormat="1">
      <alignment horizontal="center"/>
    </xf>
    <xf borderId="1" fillId="2" fontId="4" numFmtId="164" xfId="0" applyAlignment="1" applyBorder="1" applyFont="1" applyNumberFormat="1">
      <alignment horizontal="center"/>
    </xf>
    <xf borderId="1" fillId="2" fontId="6" numFmtId="164" xfId="0" applyAlignment="1" applyBorder="1" applyFont="1" applyNumberFormat="1">
      <alignment horizontal="center"/>
    </xf>
    <xf borderId="1" fillId="2" fontId="6" numFmtId="0" xfId="0" applyBorder="1" applyFont="1"/>
    <xf borderId="1" fillId="2" fontId="4" numFmtId="165" xfId="0" applyBorder="1" applyFont="1" applyNumberFormat="1"/>
    <xf borderId="1" fillId="3" fontId="6" numFmtId="0" xfId="0" applyBorder="1" applyFill="1" applyFont="1"/>
    <xf borderId="2" fillId="2" fontId="4" numFmtId="0" xfId="0" applyBorder="1" applyFont="1"/>
    <xf borderId="3" fillId="2" fontId="4" numFmtId="0" xfId="0" applyAlignment="1" applyBorder="1" applyFont="1">
      <alignment horizontal="right"/>
    </xf>
    <xf borderId="4" fillId="2" fontId="7" numFmtId="166" xfId="0" applyBorder="1" applyFont="1" applyNumberFormat="1"/>
    <xf borderId="1" fillId="3" fontId="8" numFmtId="38" xfId="0" applyBorder="1" applyFont="1" applyNumberFormat="1"/>
    <xf borderId="1" fillId="2" fontId="4" numFmtId="167" xfId="0" applyBorder="1" applyFont="1" applyNumberFormat="1"/>
    <xf borderId="1" fillId="4" fontId="4" numFmtId="0" xfId="0" applyBorder="1" applyFill="1" applyFont="1"/>
    <xf borderId="1" fillId="2" fontId="4" numFmtId="3" xfId="0" applyBorder="1" applyFont="1" applyNumberFormat="1"/>
    <xf borderId="1" fillId="3" fontId="6" numFmtId="3" xfId="0" applyBorder="1" applyFont="1" applyNumberFormat="1"/>
    <xf borderId="1" fillId="4" fontId="4" numFmtId="3" xfId="0" applyBorder="1" applyFont="1" applyNumberFormat="1"/>
    <xf borderId="1" fillId="5" fontId="9" numFmtId="3" xfId="0" applyBorder="1" applyFill="1" applyFont="1" applyNumberFormat="1"/>
    <xf borderId="1" fillId="4" fontId="6" numFmtId="0" xfId="0" applyBorder="1" applyFont="1"/>
    <xf borderId="4" fillId="2" fontId="4" numFmtId="166" xfId="0" applyBorder="1" applyFont="1" applyNumberFormat="1"/>
    <xf borderId="1" fillId="3" fontId="8" numFmtId="167" xfId="0" applyBorder="1" applyFont="1" applyNumberFormat="1"/>
    <xf borderId="1" fillId="3" fontId="5" numFmtId="167" xfId="0" applyBorder="1" applyFont="1" applyNumberFormat="1"/>
    <xf borderId="1" fillId="5" fontId="4" numFmtId="3" xfId="0" applyBorder="1" applyFont="1" applyNumberFormat="1"/>
    <xf borderId="1" fillId="5" fontId="4" numFmtId="1" xfId="0" applyBorder="1" applyFont="1" applyNumberFormat="1"/>
    <xf borderId="1" fillId="3" fontId="3" numFmtId="0" xfId="0" applyBorder="1" applyFont="1"/>
    <xf borderId="1" fillId="4" fontId="3" numFmtId="0" xfId="0" applyBorder="1" applyFont="1"/>
    <xf borderId="1" fillId="5" fontId="3" numFmtId="0" xfId="0" applyBorder="1" applyFont="1"/>
    <xf borderId="1" fillId="4" fontId="10" numFmtId="0" xfId="0" applyBorder="1" applyFont="1"/>
    <xf borderId="1" fillId="4" fontId="5" numFmtId="164" xfId="0" applyAlignment="1" applyBorder="1" applyFont="1" applyNumberFormat="1">
      <alignment horizontal="center"/>
    </xf>
    <xf borderId="1" fillId="4" fontId="4" numFmtId="164" xfId="0" applyAlignment="1" applyBorder="1" applyFont="1" applyNumberFormat="1">
      <alignment horizontal="center"/>
    </xf>
    <xf borderId="1" fillId="4" fontId="6" numFmtId="164" xfId="0" applyAlignment="1" applyBorder="1" applyFont="1" applyNumberFormat="1">
      <alignment horizontal="center"/>
    </xf>
    <xf borderId="1" fillId="4" fontId="4" numFmtId="165" xfId="0" applyBorder="1" applyFont="1" applyNumberFormat="1"/>
    <xf borderId="1" fillId="4" fontId="6" numFmtId="167" xfId="0" applyBorder="1" applyFont="1" applyNumberFormat="1"/>
    <xf borderId="1" fillId="4" fontId="4" numFmtId="168" xfId="0" applyBorder="1" applyFont="1" applyNumberFormat="1"/>
    <xf borderId="1" fillId="3" fontId="6" numFmtId="167" xfId="0" applyBorder="1" applyFont="1" applyNumberFormat="1"/>
    <xf borderId="1" fillId="3" fontId="4" numFmtId="3" xfId="0" applyBorder="1" applyFont="1" applyNumberFormat="1"/>
    <xf borderId="1" fillId="4" fontId="4" numFmtId="169" xfId="0" applyBorder="1" applyFont="1" applyNumberFormat="1"/>
    <xf borderId="1" fillId="4" fontId="4" numFmtId="167" xfId="0" applyBorder="1" applyFont="1" applyNumberFormat="1"/>
    <xf borderId="1" fillId="3" fontId="11" numFmtId="167" xfId="0" applyBorder="1" applyFont="1" applyNumberFormat="1"/>
    <xf borderId="1" fillId="4" fontId="12" numFmtId="167" xfId="0" applyBorder="1" applyFont="1" applyNumberFormat="1"/>
    <xf borderId="1" fillId="5" fontId="12" numFmtId="167" xfId="0" applyBorder="1" applyFont="1" applyNumberFormat="1"/>
    <xf borderId="1" fillId="4" fontId="11" numFmtId="167" xfId="0" applyBorder="1" applyFont="1" applyNumberFormat="1"/>
    <xf borderId="1" fillId="2" fontId="5" numFmtId="0" xfId="0" applyBorder="1" applyFont="1"/>
    <xf borderId="5" fillId="2" fontId="13" numFmtId="164" xfId="0" applyAlignment="1" applyBorder="1" applyFont="1" applyNumberFormat="1">
      <alignment horizontal="center"/>
    </xf>
    <xf borderId="6" fillId="0" fontId="14" numFmtId="0" xfId="0" applyBorder="1" applyFont="1"/>
    <xf borderId="7" fillId="0" fontId="14" numFmtId="0" xfId="0" applyBorder="1" applyFont="1"/>
    <xf borderId="1" fillId="2" fontId="13" numFmtId="164" xfId="0" applyAlignment="1" applyBorder="1" applyFont="1" applyNumberFormat="1">
      <alignment horizontal="center"/>
    </xf>
    <xf borderId="1" fillId="3" fontId="6" numFmtId="10" xfId="0" applyBorder="1" applyFont="1" applyNumberFormat="1"/>
    <xf borderId="0" fillId="0" fontId="4" numFmtId="167" xfId="0" applyFont="1" applyNumberFormat="1"/>
    <xf borderId="8" fillId="2" fontId="6" numFmtId="38" xfId="0" applyAlignment="1" applyBorder="1" applyFont="1" applyNumberFormat="1">
      <alignment horizontal="center"/>
    </xf>
    <xf borderId="9" fillId="0" fontId="14" numFmtId="0" xfId="0" applyBorder="1" applyFont="1"/>
    <xf borderId="10" fillId="0" fontId="14" numFmtId="0" xfId="0" applyBorder="1" applyFont="1"/>
    <xf borderId="8" fillId="2" fontId="6" numFmtId="164" xfId="0" applyAlignment="1" applyBorder="1" applyFont="1" applyNumberFormat="1">
      <alignment horizontal="center"/>
    </xf>
    <xf borderId="8" fillId="2" fontId="5" numFmtId="164" xfId="0" applyAlignment="1" applyBorder="1" applyFont="1" applyNumberFormat="1">
      <alignment horizontal="center"/>
    </xf>
    <xf borderId="1" fillId="2" fontId="6" numFmtId="0" xfId="0" applyAlignment="1" applyBorder="1" applyFont="1">
      <alignment horizontal="right"/>
    </xf>
    <xf borderId="1" fillId="3" fontId="6" numFmtId="0" xfId="0" applyAlignment="1" applyBorder="1" applyFont="1">
      <alignment horizontal="right"/>
    </xf>
    <xf borderId="8" fillId="4" fontId="6" numFmtId="38" xfId="0" applyAlignment="1" applyBorder="1" applyFont="1" applyNumberFormat="1">
      <alignment horizontal="center"/>
    </xf>
    <xf borderId="1" fillId="4" fontId="6" numFmtId="0" xfId="0" applyAlignment="1" applyBorder="1" applyFont="1">
      <alignment horizontal="right"/>
    </xf>
    <xf borderId="1" fillId="2" fontId="4" numFmtId="0" xfId="0" applyAlignment="1" applyBorder="1" applyFont="1">
      <alignment horizontal="right"/>
    </xf>
    <xf borderId="1" fillId="2" fontId="6" numFmtId="17" xfId="0" applyAlignment="1" applyBorder="1" applyFont="1" applyNumberFormat="1">
      <alignment horizontal="right"/>
    </xf>
    <xf borderId="1" fillId="2" fontId="5" numFmtId="17" xfId="0" applyAlignment="1" applyBorder="1" applyFont="1" applyNumberFormat="1">
      <alignment horizontal="right"/>
    </xf>
    <xf borderId="1" fillId="4" fontId="6" numFmtId="17" xfId="0" applyAlignment="1" applyBorder="1" applyFont="1" applyNumberFormat="1">
      <alignment horizontal="right"/>
    </xf>
    <xf borderId="1" fillId="5" fontId="6" numFmtId="17" xfId="0" applyAlignment="1" applyBorder="1" applyFont="1" applyNumberFormat="1">
      <alignment horizontal="right"/>
    </xf>
    <xf borderId="1" fillId="2" fontId="5" numFmtId="0" xfId="0" applyAlignment="1" applyBorder="1" applyFont="1">
      <alignment horizontal="right"/>
    </xf>
    <xf borderId="1" fillId="2" fontId="6" numFmtId="38" xfId="0" applyAlignment="1" applyBorder="1" applyFont="1" applyNumberFormat="1">
      <alignment horizontal="right"/>
    </xf>
    <xf borderId="1" fillId="2" fontId="5" numFmtId="38" xfId="0" applyAlignment="1" applyBorder="1" applyFont="1" applyNumberFormat="1">
      <alignment horizontal="right"/>
    </xf>
    <xf borderId="1" fillId="3" fontId="6" numFmtId="170" xfId="0" applyAlignment="1" applyBorder="1" applyFont="1" applyNumberFormat="1">
      <alignment horizontal="right"/>
    </xf>
    <xf borderId="1" fillId="4" fontId="6" numFmtId="38" xfId="0" applyAlignment="1" applyBorder="1" applyFont="1" applyNumberFormat="1">
      <alignment horizontal="right"/>
    </xf>
    <xf borderId="1" fillId="5" fontId="6" numFmtId="38" xfId="0" applyAlignment="1" applyBorder="1" applyFont="1" applyNumberFormat="1">
      <alignment horizontal="right"/>
    </xf>
    <xf borderId="1" fillId="2" fontId="4" numFmtId="0" xfId="0" applyAlignment="1" applyBorder="1" applyFont="1">
      <alignment horizontal="left"/>
    </xf>
    <xf borderId="1" fillId="2" fontId="6" numFmtId="3" xfId="0" applyBorder="1" applyFont="1" applyNumberFormat="1"/>
    <xf borderId="1" fillId="4" fontId="6" numFmtId="3" xfId="0" applyBorder="1" applyFont="1" applyNumberFormat="1"/>
    <xf borderId="11" fillId="2" fontId="4" numFmtId="3" xfId="0" applyBorder="1" applyFont="1" applyNumberFormat="1"/>
    <xf borderId="11" fillId="2" fontId="6" numFmtId="3" xfId="0" applyBorder="1" applyFont="1" applyNumberFormat="1"/>
    <xf borderId="11" fillId="4" fontId="4" numFmtId="3" xfId="0" applyBorder="1" applyFont="1" applyNumberFormat="1"/>
    <xf borderId="11" fillId="3" fontId="6" numFmtId="3" xfId="0" applyBorder="1" applyFont="1" applyNumberFormat="1"/>
    <xf borderId="11" fillId="5" fontId="4" numFmtId="3" xfId="0" applyBorder="1" applyFont="1" applyNumberFormat="1"/>
    <xf borderId="1" fillId="3" fontId="5" numFmtId="3" xfId="0" applyBorder="1" applyFont="1" applyNumberFormat="1"/>
    <xf borderId="1" fillId="3" fontId="8" numFmtId="3" xfId="0" applyBorder="1" applyFont="1" applyNumberFormat="1"/>
    <xf borderId="1" fillId="5" fontId="4" numFmtId="167" xfId="0" applyBorder="1" applyFont="1" applyNumberFormat="1"/>
    <xf borderId="1" fillId="4" fontId="8" numFmtId="167" xfId="0" applyBorder="1" applyFont="1" applyNumberFormat="1"/>
    <xf borderId="1" fillId="2" fontId="15" numFmtId="0" xfId="0" applyAlignment="1" applyBorder="1" applyFont="1">
      <alignment horizontal="left"/>
    </xf>
    <xf borderId="1" fillId="4" fontId="15" numFmtId="167" xfId="0" applyBorder="1" applyFont="1" applyNumberFormat="1"/>
    <xf borderId="1" fillId="2" fontId="16" numFmtId="0" xfId="0" applyAlignment="1" applyBorder="1" applyFont="1">
      <alignment horizontal="left"/>
    </xf>
    <xf borderId="0" fillId="0" fontId="17" numFmtId="3" xfId="0" applyFont="1" applyNumberFormat="1"/>
    <xf borderId="1" fillId="4" fontId="17" numFmtId="3" xfId="0" applyBorder="1" applyFont="1" applyNumberFormat="1"/>
    <xf borderId="1" fillId="3" fontId="17" numFmtId="3" xfId="0" applyBorder="1" applyFont="1" applyNumberFormat="1"/>
    <xf borderId="12" fillId="2" fontId="4" numFmtId="0" xfId="0" applyBorder="1" applyFont="1"/>
    <xf borderId="12" fillId="2" fontId="4" numFmtId="0" xfId="0" applyAlignment="1" applyBorder="1" applyFont="1">
      <alignment horizontal="left"/>
    </xf>
    <xf borderId="12" fillId="2" fontId="4" numFmtId="3" xfId="0" applyBorder="1" applyFont="1" applyNumberFormat="1"/>
    <xf borderId="12" fillId="2" fontId="6" numFmtId="3" xfId="0" applyBorder="1" applyFont="1" applyNumberFormat="1"/>
    <xf borderId="12" fillId="3" fontId="6" numFmtId="3" xfId="0" applyBorder="1" applyFont="1" applyNumberFormat="1"/>
    <xf borderId="12" fillId="3" fontId="5" numFmtId="3" xfId="0" applyBorder="1" applyFont="1" applyNumberFormat="1"/>
    <xf borderId="12" fillId="4" fontId="4" numFmtId="3" xfId="0" applyBorder="1" applyFont="1" applyNumberFormat="1"/>
    <xf borderId="12" fillId="5" fontId="4" numFmtId="3" xfId="0" applyBorder="1" applyFont="1" applyNumberFormat="1"/>
    <xf borderId="12" fillId="4" fontId="6" numFmtId="3" xfId="0" applyBorder="1" applyFont="1" applyNumberFormat="1"/>
    <xf borderId="0" fillId="0" fontId="4" numFmtId="38" xfId="0" applyAlignment="1" applyFont="1" applyNumberFormat="1">
      <alignment horizontal="left"/>
    </xf>
    <xf borderId="1" fillId="2" fontId="5" numFmtId="3" xfId="0" applyAlignment="1" applyBorder="1" applyFont="1" applyNumberFormat="1">
      <alignment horizontal="left"/>
    </xf>
    <xf borderId="1" fillId="2" fontId="5" numFmtId="3" xfId="0" applyAlignment="1" applyBorder="1" applyFont="1" applyNumberFormat="1">
      <alignment horizontal="right" vertical="center"/>
    </xf>
    <xf borderId="1" fillId="2" fontId="6" numFmtId="3" xfId="0" applyAlignment="1" applyBorder="1" applyFont="1" applyNumberFormat="1">
      <alignment horizontal="right" vertical="center"/>
    </xf>
    <xf borderId="1" fillId="4" fontId="6" numFmtId="3" xfId="0" applyAlignment="1" applyBorder="1" applyFont="1" applyNumberFormat="1">
      <alignment horizontal="right" vertical="center"/>
    </xf>
    <xf borderId="1" fillId="4" fontId="5" numFmtId="167" xfId="0" applyBorder="1" applyFont="1" applyNumberFormat="1"/>
    <xf borderId="1" fillId="6" fontId="4" numFmtId="0" xfId="0" applyBorder="1" applyFill="1" applyFont="1"/>
    <xf borderId="1" fillId="6" fontId="5" numFmtId="0" xfId="0" applyAlignment="1" applyBorder="1" applyFont="1">
      <alignment horizontal="left"/>
    </xf>
    <xf borderId="1" fillId="6" fontId="5" numFmtId="0" xfId="0" applyBorder="1" applyFont="1"/>
    <xf borderId="1" fillId="6" fontId="5" numFmtId="3" xfId="0" applyBorder="1" applyFont="1" applyNumberFormat="1"/>
    <xf borderId="1" fillId="6" fontId="6" numFmtId="3" xfId="0" applyBorder="1" applyFont="1" applyNumberFormat="1"/>
    <xf borderId="1" fillId="5" fontId="5" numFmtId="3" xfId="0" applyBorder="1" applyFont="1" applyNumberFormat="1"/>
    <xf borderId="1" fillId="2" fontId="18" numFmtId="0" xfId="0" applyAlignment="1" applyBorder="1" applyFont="1">
      <alignment horizontal="left"/>
    </xf>
    <xf borderId="1" fillId="2" fontId="5" numFmtId="3" xfId="0" applyBorder="1" applyFont="1" applyNumberFormat="1"/>
    <xf borderId="1" fillId="2" fontId="18" numFmtId="167" xfId="0" applyBorder="1" applyFont="1" applyNumberFormat="1"/>
    <xf borderId="1" fillId="3" fontId="18" numFmtId="167" xfId="0" applyBorder="1" applyFont="1" applyNumberFormat="1"/>
    <xf borderId="1" fillId="4" fontId="18" numFmtId="167" xfId="0" applyBorder="1" applyFont="1" applyNumberFormat="1"/>
    <xf borderId="1" fillId="5" fontId="19" numFmtId="167" xfId="0" applyBorder="1" applyFont="1" applyNumberFormat="1"/>
    <xf borderId="1" fillId="2" fontId="19" numFmtId="167" xfId="0" applyBorder="1" applyFont="1" applyNumberFormat="1"/>
    <xf borderId="1" fillId="2" fontId="20" numFmtId="0" xfId="0" applyBorder="1" applyFont="1"/>
    <xf borderId="1" fillId="2" fontId="20" numFmtId="0" xfId="0" applyAlignment="1" applyBorder="1" applyFont="1">
      <alignment horizontal="left"/>
    </xf>
    <xf borderId="1" fillId="2" fontId="20" numFmtId="3" xfId="0" applyBorder="1" applyFont="1" applyNumberFormat="1"/>
    <xf borderId="1" fillId="3" fontId="20" numFmtId="3" xfId="0" applyBorder="1" applyFont="1" applyNumberFormat="1"/>
    <xf borderId="1" fillId="2" fontId="20" numFmtId="167" xfId="0" applyBorder="1" applyFont="1" applyNumberFormat="1"/>
    <xf borderId="1" fillId="3" fontId="20" numFmtId="167" xfId="0" applyBorder="1" applyFont="1" applyNumberFormat="1"/>
    <xf borderId="1" fillId="4" fontId="20" numFmtId="167" xfId="0" applyBorder="1" applyFont="1" applyNumberFormat="1"/>
    <xf borderId="1" fillId="5" fontId="20" numFmtId="167" xfId="0" applyBorder="1" applyFont="1" applyNumberFormat="1"/>
    <xf borderId="1" fillId="4" fontId="16" numFmtId="0" xfId="0" applyBorder="1" applyFont="1"/>
    <xf borderId="1" fillId="5" fontId="9" numFmtId="9" xfId="0" applyBorder="1" applyFont="1" applyNumberFormat="1"/>
    <xf borderId="1" fillId="2" fontId="8" numFmtId="3" xfId="0" applyBorder="1" applyFont="1" applyNumberFormat="1"/>
    <xf borderId="1" fillId="4" fontId="8" numFmtId="3" xfId="0" applyBorder="1" applyFont="1" applyNumberFormat="1"/>
    <xf borderId="1" fillId="7" fontId="6" numFmtId="3" xfId="0" applyBorder="1" applyFill="1" applyFont="1" applyNumberFormat="1"/>
    <xf borderId="1" fillId="5" fontId="7" numFmtId="3" xfId="0" applyBorder="1" applyFont="1" applyNumberFormat="1"/>
    <xf borderId="1" fillId="2" fontId="7" numFmtId="3" xfId="0" applyBorder="1" applyFont="1" applyNumberFormat="1"/>
    <xf borderId="1" fillId="4" fontId="7" numFmtId="3" xfId="0" applyBorder="1" applyFont="1" applyNumberFormat="1"/>
    <xf borderId="1" fillId="5" fontId="8" numFmtId="3" xfId="0" applyBorder="1" applyFont="1" applyNumberFormat="1"/>
    <xf borderId="12" fillId="4" fontId="4" numFmtId="0" xfId="0" applyBorder="1" applyFont="1"/>
    <xf borderId="12" fillId="2" fontId="16" numFmtId="0" xfId="0" applyAlignment="1" applyBorder="1" applyFont="1">
      <alignment horizontal="left"/>
    </xf>
    <xf borderId="12" fillId="4" fontId="5" numFmtId="0" xfId="0" applyBorder="1" applyFont="1"/>
    <xf borderId="12" fillId="4" fontId="5" numFmtId="3" xfId="0" applyBorder="1" applyFont="1" applyNumberFormat="1"/>
    <xf borderId="12" fillId="6" fontId="5" numFmtId="3" xfId="0" applyBorder="1" applyFont="1" applyNumberFormat="1"/>
    <xf borderId="12" fillId="4" fontId="16" numFmtId="3" xfId="0" applyAlignment="1" applyBorder="1" applyFont="1" applyNumberFormat="1">
      <alignment horizontal="right"/>
    </xf>
    <xf borderId="12" fillId="3" fontId="5" numFmtId="9" xfId="0" applyBorder="1" applyFont="1" applyNumberFormat="1"/>
    <xf borderId="12" fillId="5" fontId="16" numFmtId="3" xfId="0" applyBorder="1" applyFont="1" applyNumberFormat="1"/>
    <xf borderId="12" fillId="4" fontId="16" numFmtId="3" xfId="0" applyBorder="1" applyFont="1" applyNumberFormat="1"/>
    <xf borderId="1" fillId="2" fontId="21" numFmtId="0" xfId="0" applyAlignment="1" applyBorder="1" applyFont="1">
      <alignment horizontal="left"/>
    </xf>
    <xf borderId="1" fillId="4" fontId="5" numFmtId="0" xfId="0" applyBorder="1" applyFont="1"/>
    <xf borderId="1" fillId="4" fontId="5" numFmtId="3" xfId="0" applyBorder="1" applyFont="1" applyNumberFormat="1"/>
    <xf borderId="1" fillId="4" fontId="16" numFmtId="3" xfId="0" applyAlignment="1" applyBorder="1" applyFont="1" applyNumberFormat="1">
      <alignment horizontal="right"/>
    </xf>
    <xf borderId="1" fillId="4" fontId="21" numFmtId="167" xfId="0" applyBorder="1" applyFont="1" applyNumberFormat="1"/>
    <xf borderId="1" fillId="3" fontId="21" numFmtId="167" xfId="0" applyBorder="1" applyFont="1" applyNumberFormat="1"/>
    <xf borderId="1" fillId="3" fontId="22" numFmtId="167" xfId="0" applyBorder="1" applyFont="1" applyNumberFormat="1"/>
    <xf borderId="1" fillId="5" fontId="21" numFmtId="167" xfId="0" applyBorder="1" applyFont="1" applyNumberFormat="1"/>
    <xf borderId="1" fillId="4" fontId="22" numFmtId="167" xfId="0" applyBorder="1" applyFont="1" applyNumberFormat="1"/>
    <xf borderId="0" fillId="0" fontId="8" numFmtId="3" xfId="0" applyFont="1" applyNumberFormat="1"/>
    <xf borderId="1" fillId="2" fontId="21" numFmtId="167" xfId="0" applyBorder="1" applyFont="1" applyNumberFormat="1"/>
    <xf borderId="12" fillId="2" fontId="8" numFmtId="3" xfId="0" applyBorder="1" applyFont="1" applyNumberFormat="1"/>
    <xf borderId="12" fillId="4" fontId="8" numFmtId="3" xfId="0" applyBorder="1" applyFont="1" applyNumberFormat="1"/>
    <xf borderId="12" fillId="5" fontId="8" numFmtId="3" xfId="0" applyBorder="1" applyFont="1" applyNumberFormat="1"/>
    <xf borderId="13" fillId="2" fontId="4" numFmtId="0" xfId="0" applyBorder="1" applyFont="1"/>
    <xf borderId="1" fillId="6" fontId="4" numFmtId="0" xfId="0" applyAlignment="1" applyBorder="1" applyFont="1">
      <alignment horizontal="left"/>
    </xf>
    <xf borderId="1" fillId="6" fontId="4" numFmtId="3" xfId="0" applyBorder="1" applyFont="1" applyNumberFormat="1"/>
    <xf borderId="1" fillId="6" fontId="8" numFmtId="3" xfId="0" applyBorder="1" applyFont="1" applyNumberFormat="1"/>
    <xf borderId="1" fillId="2" fontId="4" numFmtId="171" xfId="0" applyBorder="1" applyFont="1" applyNumberFormat="1"/>
    <xf borderId="14" fillId="2" fontId="5" numFmtId="0" xfId="0" applyAlignment="1" applyBorder="1" applyFont="1">
      <alignment horizontal="left"/>
    </xf>
    <xf borderId="14" fillId="2" fontId="5" numFmtId="3" xfId="0" applyBorder="1" applyFont="1" applyNumberFormat="1"/>
    <xf borderId="14" fillId="3" fontId="5" numFmtId="3" xfId="0" applyBorder="1" applyFont="1" applyNumberFormat="1"/>
    <xf borderId="14" fillId="2" fontId="6" numFmtId="3" xfId="0" applyBorder="1" applyFont="1" applyNumberFormat="1"/>
    <xf borderId="14" fillId="4" fontId="6" numFmtId="3" xfId="0" applyBorder="1" applyFont="1" applyNumberFormat="1"/>
    <xf borderId="14" fillId="3" fontId="6" numFmtId="3" xfId="0" applyBorder="1" applyFont="1" applyNumberFormat="1"/>
    <xf borderId="14" fillId="5" fontId="6" numFmtId="3" xfId="0" applyBorder="1" applyFont="1" applyNumberFormat="1"/>
    <xf borderId="1" fillId="2" fontId="4" numFmtId="1" xfId="0" applyBorder="1" applyFont="1" applyNumberFormat="1"/>
    <xf borderId="1" fillId="2" fontId="6" numFmtId="37" xfId="0" applyBorder="1" applyFont="1" applyNumberFormat="1"/>
    <xf borderId="1" fillId="3" fontId="6" numFmtId="39" xfId="0" applyBorder="1" applyFont="1" applyNumberFormat="1"/>
    <xf borderId="1" fillId="3" fontId="6" numFmtId="37" xfId="0" applyBorder="1" applyFont="1" applyNumberFormat="1"/>
    <xf borderId="1" fillId="3" fontId="5" numFmtId="37" xfId="0" applyBorder="1" applyFont="1" applyNumberFormat="1"/>
    <xf borderId="1" fillId="2" fontId="8" numFmtId="1" xfId="0" applyBorder="1" applyFont="1" applyNumberFormat="1"/>
    <xf borderId="1" fillId="4" fontId="8" numFmtId="1" xfId="0" applyBorder="1" applyFont="1" applyNumberFormat="1"/>
    <xf borderId="1" fillId="5" fontId="8" numFmtId="1" xfId="0" applyBorder="1" applyFont="1" applyNumberFormat="1"/>
    <xf borderId="1" fillId="4" fontId="6" numFmtId="37" xfId="0" applyBorder="1" applyFont="1" applyNumberFormat="1"/>
    <xf borderId="1" fillId="2" fontId="8" numFmtId="0" xfId="0" applyBorder="1" applyFont="1"/>
    <xf borderId="1" fillId="2" fontId="8" numFmtId="0" xfId="0" applyAlignment="1" applyBorder="1" applyFont="1">
      <alignment horizontal="left"/>
    </xf>
    <xf borderId="1" fillId="2" fontId="4" numFmtId="0" xfId="0" applyAlignment="1" applyBorder="1" applyFont="1">
      <alignment horizontal="right" vertical="center"/>
    </xf>
    <xf borderId="1" fillId="2" fontId="5" numFmtId="0" xfId="0" applyAlignment="1" applyBorder="1" applyFont="1">
      <alignment horizontal="right" vertical="center"/>
    </xf>
    <xf borderId="1" fillId="3" fontId="5" numFmtId="9" xfId="0" applyAlignment="1" applyBorder="1" applyFont="1" applyNumberFormat="1">
      <alignment horizontal="right" vertical="center"/>
    </xf>
    <xf borderId="1" fillId="2" fontId="4" numFmtId="9" xfId="0" applyAlignment="1" applyBorder="1" applyFont="1" applyNumberFormat="1">
      <alignment horizontal="right" vertical="center"/>
    </xf>
    <xf borderId="1" fillId="2" fontId="8" numFmtId="9" xfId="0" applyAlignment="1" applyBorder="1" applyFont="1" applyNumberFormat="1">
      <alignment horizontal="right" vertical="center"/>
    </xf>
    <xf borderId="1" fillId="4" fontId="8" numFmtId="9" xfId="0" applyAlignment="1" applyBorder="1" applyFont="1" applyNumberFormat="1">
      <alignment horizontal="right" vertical="center"/>
    </xf>
    <xf borderId="1" fillId="3" fontId="6" numFmtId="9" xfId="0" applyAlignment="1" applyBorder="1" applyFont="1" applyNumberFormat="1">
      <alignment horizontal="right" vertical="center"/>
    </xf>
    <xf borderId="1" fillId="5" fontId="8" numFmtId="9" xfId="0" applyAlignment="1" applyBorder="1" applyFont="1" applyNumberFormat="1">
      <alignment horizontal="right" vertical="center"/>
    </xf>
    <xf borderId="1" fillId="4" fontId="6" numFmtId="9" xfId="0" applyAlignment="1" applyBorder="1" applyFont="1" applyNumberFormat="1">
      <alignment horizontal="right" vertical="center"/>
    </xf>
    <xf borderId="1" fillId="2" fontId="23" numFmtId="0" xfId="0" applyBorder="1" applyFont="1"/>
    <xf borderId="1" fillId="2" fontId="8" numFmtId="3" xfId="0" applyAlignment="1" applyBorder="1" applyFont="1" applyNumberFormat="1">
      <alignment horizontal="left"/>
    </xf>
    <xf borderId="1" fillId="2" fontId="4" numFmtId="3" xfId="0" applyAlignment="1" applyBorder="1" applyFont="1" applyNumberFormat="1">
      <alignment horizontal="right" vertical="center"/>
    </xf>
    <xf borderId="1" fillId="3" fontId="5" numFmtId="3" xfId="0" applyAlignment="1" applyBorder="1" applyFont="1" applyNumberFormat="1">
      <alignment horizontal="right" vertical="center"/>
    </xf>
    <xf borderId="1" fillId="2" fontId="8" numFmtId="3" xfId="0" applyAlignment="1" applyBorder="1" applyFont="1" applyNumberFormat="1">
      <alignment horizontal="right" vertical="center"/>
    </xf>
    <xf borderId="1" fillId="4" fontId="8" numFmtId="3" xfId="0" applyAlignment="1" applyBorder="1" applyFont="1" applyNumberFormat="1">
      <alignment horizontal="right" vertical="center"/>
    </xf>
    <xf borderId="1" fillId="3" fontId="6" numFmtId="3" xfId="0" applyAlignment="1" applyBorder="1" applyFont="1" applyNumberFormat="1">
      <alignment horizontal="right" vertical="center"/>
    </xf>
    <xf borderId="1" fillId="8" fontId="4" numFmtId="3" xfId="0" applyAlignment="1" applyBorder="1" applyFill="1" applyFont="1" applyNumberFormat="1">
      <alignment horizontal="right" vertical="center"/>
    </xf>
    <xf borderId="1" fillId="4" fontId="4" numFmtId="3" xfId="0" applyAlignment="1" applyBorder="1" applyFont="1" applyNumberFormat="1">
      <alignment horizontal="right" vertical="center"/>
    </xf>
    <xf borderId="1" fillId="5" fontId="4" numFmtId="3" xfId="0" applyAlignment="1" applyBorder="1" applyFont="1" applyNumberFormat="1">
      <alignment horizontal="right" vertical="center"/>
    </xf>
    <xf borderId="1" fillId="2" fontId="23" numFmtId="3" xfId="0" applyBorder="1" applyFont="1" applyNumberFormat="1"/>
    <xf borderId="1" fillId="5" fontId="8" numFmtId="3" xfId="0" applyAlignment="1" applyBorder="1" applyFont="1" applyNumberFormat="1">
      <alignment horizontal="right" vertical="center"/>
    </xf>
    <xf borderId="1" fillId="2" fontId="7" numFmtId="3" xfId="0" applyAlignment="1" applyBorder="1" applyFont="1" applyNumberFormat="1">
      <alignment horizontal="right" vertical="center"/>
    </xf>
    <xf borderId="1" fillId="4" fontId="7" numFmtId="3" xfId="0" applyAlignment="1" applyBorder="1" applyFont="1" applyNumberFormat="1">
      <alignment horizontal="right" vertical="center"/>
    </xf>
    <xf borderId="1" fillId="5" fontId="7" numFmtId="3" xfId="0" applyAlignment="1" applyBorder="1" applyFont="1" applyNumberFormat="1">
      <alignment horizontal="right" vertical="center"/>
    </xf>
    <xf borderId="1" fillId="2" fontId="5" numFmtId="38" xfId="0" applyBorder="1" applyFont="1" applyNumberFormat="1"/>
    <xf borderId="1" fillId="5" fontId="6" numFmtId="3" xfId="0" applyAlignment="1" applyBorder="1" applyFont="1" applyNumberFormat="1">
      <alignment horizontal="right" vertical="center"/>
    </xf>
    <xf borderId="14" fillId="6" fontId="5" numFmtId="38" xfId="0" applyBorder="1" applyFont="1" applyNumberFormat="1"/>
    <xf borderId="14" fillId="6" fontId="5" numFmtId="3" xfId="0" applyAlignment="1" applyBorder="1" applyFont="1" applyNumberFormat="1">
      <alignment horizontal="left"/>
    </xf>
    <xf borderId="14" fillId="6" fontId="5" numFmtId="3" xfId="0" applyAlignment="1" applyBorder="1" applyFont="1" applyNumberFormat="1">
      <alignment horizontal="right" vertical="center"/>
    </xf>
    <xf borderId="14" fillId="6" fontId="6" numFmtId="3" xfId="0" applyBorder="1" applyFont="1" applyNumberFormat="1"/>
    <xf borderId="14" fillId="6" fontId="6" numFmtId="3" xfId="0" applyAlignment="1" applyBorder="1" applyFont="1" applyNumberFormat="1">
      <alignment horizontal="right" vertical="center"/>
    </xf>
    <xf borderId="14" fillId="5" fontId="6" numFmtId="3" xfId="0" applyAlignment="1" applyBorder="1" applyFont="1" applyNumberFormat="1">
      <alignment horizontal="right" vertical="center"/>
    </xf>
    <xf borderId="0" fillId="0" fontId="4" numFmtId="0" xfId="0" applyFont="1"/>
    <xf borderId="1" fillId="5" fontId="4" numFmtId="0" xfId="0" applyBorder="1" applyFont="1"/>
    <xf borderId="1" fillId="2" fontId="5" numFmtId="0" xfId="0" applyAlignment="1" applyBorder="1" applyFont="1">
      <alignment horizontal="left"/>
    </xf>
    <xf borderId="1" fillId="4" fontId="4" numFmtId="2" xfId="0" applyBorder="1" applyFont="1" applyNumberFormat="1"/>
    <xf borderId="1" fillId="2" fontId="6" numFmtId="2" xfId="0" applyBorder="1" applyFont="1" applyNumberFormat="1"/>
    <xf borderId="1" fillId="3" fontId="6" numFmtId="2" xfId="0" applyBorder="1" applyFont="1" applyNumberFormat="1"/>
    <xf borderId="1" fillId="2" fontId="8" numFmtId="2" xfId="0" applyBorder="1" applyFont="1" applyNumberFormat="1"/>
    <xf borderId="1" fillId="4" fontId="8" numFmtId="2" xfId="0" applyBorder="1" applyFont="1" applyNumberFormat="1"/>
    <xf borderId="1" fillId="5" fontId="8" numFmtId="2" xfId="0" applyBorder="1" applyFont="1" applyNumberFormat="1"/>
    <xf borderId="1" fillId="4" fontId="6" numFmtId="2" xfId="0" applyBorder="1" applyFont="1" applyNumberFormat="1"/>
    <xf borderId="1" fillId="2" fontId="6" numFmtId="40" xfId="0" applyBorder="1" applyFont="1" applyNumberFormat="1"/>
    <xf borderId="1" fillId="2" fontId="5" numFmtId="2" xfId="0" applyBorder="1" applyFont="1" applyNumberFormat="1"/>
    <xf borderId="1" fillId="3" fontId="5" numFmtId="2" xfId="0" applyBorder="1" applyFont="1" applyNumberFormat="1"/>
    <xf borderId="1" fillId="2" fontId="4" numFmtId="4" xfId="0" applyBorder="1" applyFont="1" applyNumberFormat="1"/>
    <xf borderId="1" fillId="2" fontId="8" numFmtId="38" xfId="0" applyBorder="1" applyFont="1" applyNumberFormat="1"/>
    <xf borderId="1" fillId="2" fontId="4" numFmtId="172" xfId="0" applyAlignment="1" applyBorder="1" applyFont="1" applyNumberFormat="1">
      <alignment horizontal="right" vertical="center"/>
    </xf>
    <xf borderId="1" fillId="2" fontId="4" numFmtId="171" xfId="0" applyAlignment="1" applyBorder="1" applyFont="1" applyNumberFormat="1">
      <alignment horizontal="right" vertical="center"/>
    </xf>
    <xf borderId="1" fillId="2" fontId="5" numFmtId="171" xfId="0" applyAlignment="1" applyBorder="1" applyFont="1" applyNumberFormat="1">
      <alignment horizontal="right" vertical="center"/>
    </xf>
    <xf borderId="1" fillId="3" fontId="5" numFmtId="171" xfId="0" applyAlignment="1" applyBorder="1" applyFont="1" applyNumberFormat="1">
      <alignment horizontal="right" vertical="center"/>
    </xf>
    <xf borderId="1" fillId="2" fontId="8" numFmtId="171" xfId="0" applyAlignment="1" applyBorder="1" applyFont="1" applyNumberFormat="1">
      <alignment horizontal="right" vertical="center"/>
    </xf>
    <xf borderId="1" fillId="4" fontId="8" numFmtId="171" xfId="0" applyAlignment="1" applyBorder="1" applyFont="1" applyNumberFormat="1">
      <alignment horizontal="right" vertical="center"/>
    </xf>
    <xf borderId="1" fillId="3" fontId="6" numFmtId="171" xfId="0" applyAlignment="1" applyBorder="1" applyFont="1" applyNumberFormat="1">
      <alignment horizontal="right" vertical="center"/>
    </xf>
    <xf borderId="1" fillId="5" fontId="8" numFmtId="171" xfId="0" applyAlignment="1" applyBorder="1" applyFont="1" applyNumberFormat="1">
      <alignment horizontal="right" vertical="center"/>
    </xf>
    <xf borderId="1" fillId="4" fontId="6" numFmtId="171" xfId="0" applyAlignment="1" applyBorder="1" applyFont="1" applyNumberFormat="1">
      <alignment horizontal="right" vertical="center"/>
    </xf>
    <xf borderId="0" fillId="0" fontId="8" numFmtId="3" xfId="0" applyAlignment="1" applyFont="1" applyNumberFormat="1">
      <alignment horizontal="right" vertical="center"/>
    </xf>
    <xf borderId="1" fillId="2" fontId="5" numFmtId="4" xfId="0" applyBorder="1" applyFont="1" applyNumberFormat="1"/>
    <xf borderId="1" fillId="3" fontId="5" numFmtId="4" xfId="0" applyBorder="1" applyFont="1" applyNumberFormat="1"/>
    <xf borderId="1" fillId="2" fontId="6" numFmtId="4" xfId="0" applyBorder="1" applyFont="1" applyNumberFormat="1"/>
    <xf borderId="1" fillId="4" fontId="6" numFmtId="4" xfId="0" applyBorder="1" applyFont="1" applyNumberFormat="1"/>
    <xf borderId="1" fillId="3" fontId="6" numFmtId="4" xfId="0" applyBorder="1" applyFont="1" applyNumberFormat="1"/>
    <xf borderId="1" fillId="2" fontId="8" numFmtId="4" xfId="0" applyBorder="1" applyFont="1" applyNumberFormat="1"/>
    <xf borderId="1" fillId="4" fontId="8" numFmtId="4" xfId="0" applyBorder="1" applyFont="1" applyNumberFormat="1"/>
    <xf borderId="1" fillId="5" fontId="6" numFmtId="4" xfId="0" applyBorder="1" applyFont="1" applyNumberFormat="1"/>
    <xf borderId="13" fillId="6" fontId="5" numFmtId="0" xfId="0" applyBorder="1" applyFont="1"/>
    <xf borderId="13" fillId="6" fontId="4" numFmtId="0" xfId="0" applyAlignment="1" applyBorder="1" applyFont="1">
      <alignment horizontal="left"/>
    </xf>
    <xf borderId="13" fillId="6" fontId="13" numFmtId="2" xfId="0" applyBorder="1" applyFont="1" applyNumberFormat="1"/>
    <xf borderId="13" fillId="6" fontId="24" numFmtId="2" xfId="0" applyBorder="1" applyFont="1" applyNumberFormat="1"/>
    <xf borderId="13" fillId="6" fontId="4" numFmtId="2" xfId="0" applyBorder="1" applyFont="1" applyNumberFormat="1"/>
    <xf borderId="13" fillId="6" fontId="6" numFmtId="4" xfId="0" applyBorder="1" applyFont="1" applyNumberFormat="1"/>
    <xf borderId="13" fillId="3" fontId="6" numFmtId="4" xfId="0" applyBorder="1" applyFont="1" applyNumberFormat="1"/>
    <xf borderId="13" fillId="5" fontId="6" numFmtId="4" xfId="0" applyBorder="1" applyFont="1" applyNumberFormat="1"/>
    <xf borderId="3" fillId="5" fontId="4" numFmtId="0" xfId="0" applyBorder="1" applyFont="1"/>
    <xf borderId="3" fillId="5" fontId="8" numFmtId="40" xfId="0" applyBorder="1" applyFont="1" applyNumberFormat="1"/>
    <xf borderId="3" fillId="5" fontId="4" numFmtId="0" xfId="0" applyAlignment="1" applyBorder="1" applyFont="1">
      <alignment horizontal="left"/>
    </xf>
    <xf borderId="3" fillId="5" fontId="4" numFmtId="2" xfId="0" applyBorder="1" applyFont="1" applyNumberFormat="1"/>
    <xf borderId="3" fillId="5" fontId="5" numFmtId="2" xfId="0" applyBorder="1" applyFont="1" applyNumberFormat="1"/>
    <xf borderId="3" fillId="5" fontId="8" numFmtId="2" xfId="0" applyBorder="1" applyFont="1" applyNumberFormat="1"/>
    <xf borderId="3" fillId="5" fontId="6" numFmtId="2" xfId="0" applyBorder="1" applyFont="1" applyNumberFormat="1"/>
    <xf borderId="3" fillId="3" fontId="6" numFmtId="2" xfId="0" applyBorder="1" applyFont="1" applyNumberFormat="1"/>
    <xf borderId="3" fillId="4" fontId="6" numFmtId="2" xfId="0" applyBorder="1" applyFont="1" applyNumberFormat="1"/>
    <xf borderId="1" fillId="9" fontId="4" numFmtId="0" xfId="0" applyBorder="1" applyFill="1" applyFont="1"/>
    <xf borderId="1" fillId="2" fontId="8" numFmtId="40" xfId="0" applyBorder="1" applyFont="1" applyNumberFormat="1"/>
    <xf borderId="1" fillId="2" fontId="6" numFmtId="39" xfId="0" applyBorder="1" applyFont="1" applyNumberFormat="1"/>
    <xf borderId="1" fillId="3" fontId="6" numFmtId="173" xfId="0" applyBorder="1" applyFont="1" applyNumberFormat="1"/>
    <xf borderId="1" fillId="4" fontId="6" numFmtId="39" xfId="0" applyBorder="1" applyFont="1" applyNumberFormat="1"/>
    <xf borderId="1" fillId="2" fontId="4" numFmtId="3" xfId="0" applyAlignment="1" applyBorder="1" applyFont="1" applyNumberFormat="1">
      <alignment horizontal="right"/>
    </xf>
    <xf borderId="1" fillId="4" fontId="8" numFmtId="10" xfId="0" applyBorder="1" applyFont="1" applyNumberFormat="1"/>
    <xf borderId="12" fillId="2" fontId="8" numFmtId="0" xfId="0" applyBorder="1" applyFont="1"/>
    <xf borderId="12" fillId="2" fontId="4" numFmtId="3" xfId="0" applyAlignment="1" applyBorder="1" applyFont="1" applyNumberFormat="1">
      <alignment horizontal="right"/>
    </xf>
    <xf borderId="12" fillId="2" fontId="4" numFmtId="164" xfId="0" applyAlignment="1" applyBorder="1" applyFont="1" applyNumberFormat="1">
      <alignment horizontal="center"/>
    </xf>
    <xf borderId="12" fillId="2" fontId="5" numFmtId="164" xfId="0" applyAlignment="1" applyBorder="1" applyFont="1" applyNumberFormat="1">
      <alignment horizontal="center"/>
    </xf>
    <xf borderId="12" fillId="2" fontId="5" numFmtId="3" xfId="0" applyBorder="1" applyFont="1" applyNumberFormat="1"/>
    <xf borderId="1" fillId="5" fontId="6" numFmtId="3" xfId="0" applyBorder="1" applyFont="1" applyNumberFormat="1"/>
    <xf borderId="1" fillId="8" fontId="4" numFmtId="0" xfId="0" applyBorder="1" applyFont="1"/>
    <xf borderId="1" fillId="5" fontId="25" numFmtId="167" xfId="0" applyBorder="1" applyFont="1" applyNumberFormat="1"/>
    <xf borderId="1" fillId="4" fontId="25" numFmtId="167" xfId="0" applyBorder="1" applyFont="1" applyNumberFormat="1"/>
    <xf borderId="1" fillId="4" fontId="6" numFmtId="10" xfId="0" applyBorder="1" applyFont="1" applyNumberFormat="1"/>
    <xf borderId="1" fillId="4" fontId="8" numFmtId="174" xfId="0" applyBorder="1" applyFont="1" applyNumberFormat="1"/>
    <xf borderId="1" fillId="3" fontId="6" numFmtId="166" xfId="0" applyBorder="1" applyFont="1" applyNumberFormat="1"/>
    <xf borderId="1" fillId="5" fontId="8" numFmtId="166" xfId="0" applyBorder="1" applyFont="1" applyNumberFormat="1"/>
    <xf borderId="1" fillId="2" fontId="8" numFmtId="166" xfId="0" applyBorder="1" applyFont="1" applyNumberFormat="1"/>
    <xf borderId="1" fillId="4" fontId="6" numFmtId="166" xfId="0" applyBorder="1" applyFont="1" applyNumberFormat="1"/>
    <xf borderId="13" fillId="2" fontId="4" numFmtId="37" xfId="0" applyBorder="1" applyFont="1" applyNumberFormat="1"/>
    <xf borderId="13" fillId="2" fontId="6" numFmtId="37" xfId="0" applyBorder="1" applyFont="1" applyNumberFormat="1"/>
    <xf borderId="13" fillId="3" fontId="6" numFmtId="37" xfId="0" applyBorder="1" applyFont="1" applyNumberFormat="1"/>
    <xf borderId="13" fillId="2" fontId="8" numFmtId="37" xfId="0" applyBorder="1" applyFont="1" applyNumberFormat="1"/>
    <xf borderId="13" fillId="4" fontId="8" numFmtId="37" xfId="0" applyBorder="1" applyFont="1" applyNumberFormat="1"/>
    <xf borderId="1" fillId="4" fontId="8" numFmtId="37" xfId="0" applyBorder="1" applyFont="1" applyNumberFormat="1"/>
    <xf borderId="13" fillId="5" fontId="8" numFmtId="37" xfId="0" applyBorder="1" applyFont="1" applyNumberFormat="1"/>
    <xf borderId="12" fillId="2" fontId="4" numFmtId="39" xfId="0" applyBorder="1" applyFont="1" applyNumberFormat="1"/>
    <xf borderId="12" fillId="2" fontId="6" numFmtId="39" xfId="0" applyBorder="1" applyFont="1" applyNumberFormat="1"/>
    <xf borderId="12" fillId="3" fontId="6" numFmtId="39" xfId="0" applyBorder="1" applyFont="1" applyNumberFormat="1"/>
    <xf borderId="12" fillId="2" fontId="8" numFmtId="39" xfId="0" applyBorder="1" applyFont="1" applyNumberFormat="1"/>
    <xf borderId="12" fillId="4" fontId="8" numFmtId="39" xfId="0" applyBorder="1" applyFont="1" applyNumberFormat="1"/>
    <xf borderId="1" fillId="4" fontId="8" numFmtId="39" xfId="0" applyBorder="1" applyFont="1" applyNumberFormat="1"/>
    <xf borderId="12" fillId="5" fontId="8" numFmtId="39" xfId="0" applyBorder="1" applyFont="1" applyNumberFormat="1"/>
    <xf borderId="12" fillId="2" fontId="5" numFmtId="0" xfId="0" applyBorder="1" applyFont="1"/>
    <xf borderId="12" fillId="2" fontId="4" numFmtId="10" xfId="0" applyBorder="1" applyFont="1" applyNumberFormat="1"/>
    <xf borderId="12" fillId="3" fontId="5" numFmtId="0" xfId="0" applyBorder="1" applyFont="1"/>
    <xf borderId="12" fillId="4" fontId="8" numFmtId="0" xfId="0" applyBorder="1" applyFont="1"/>
    <xf borderId="12" fillId="3" fontId="6" numFmtId="0" xfId="0" applyBorder="1" applyFont="1"/>
    <xf borderId="12" fillId="2" fontId="9" numFmtId="10" xfId="0" applyBorder="1" applyFont="1" applyNumberFormat="1"/>
    <xf borderId="12" fillId="3" fontId="6" numFmtId="167" xfId="0" applyBorder="1" applyFont="1" applyNumberFormat="1"/>
    <xf borderId="12" fillId="2" fontId="8" numFmtId="10" xfId="0" applyBorder="1" applyFont="1" applyNumberFormat="1"/>
    <xf borderId="12" fillId="4" fontId="8" numFmtId="10" xfId="0" applyBorder="1" applyFont="1" applyNumberFormat="1"/>
    <xf borderId="12" fillId="5" fontId="8" numFmtId="0" xfId="0" applyBorder="1" applyFont="1"/>
    <xf borderId="1" fillId="2" fontId="6" numFmtId="167" xfId="0" applyBorder="1" applyFont="1" applyNumberFormat="1"/>
    <xf borderId="1" fillId="3" fontId="6" numFmtId="9" xfId="0" applyBorder="1" applyFont="1" applyNumberFormat="1"/>
    <xf borderId="1" fillId="6" fontId="4" numFmtId="167" xfId="0" applyBorder="1" applyFont="1" applyNumberFormat="1"/>
    <xf borderId="1" fillId="6" fontId="6" numFmtId="167" xfId="0" applyBorder="1" applyFont="1" applyNumberFormat="1"/>
    <xf borderId="1" fillId="3" fontId="4" numFmtId="167" xfId="0" applyBorder="1" applyFont="1" applyNumberFormat="1"/>
    <xf borderId="1" fillId="5" fontId="7" numFmtId="167" xfId="0" applyBorder="1" applyFont="1" applyNumberFormat="1"/>
    <xf borderId="1" fillId="2" fontId="7" numFmtId="167" xfId="0" applyBorder="1" applyFont="1" applyNumberFormat="1"/>
    <xf borderId="1" fillId="9" fontId="5" numFmtId="167" xfId="0" applyBorder="1" applyFont="1" applyNumberFormat="1"/>
    <xf borderId="1" fillId="5" fontId="5" numFmtId="167" xfId="0" applyBorder="1" applyFont="1" applyNumberFormat="1"/>
    <xf borderId="1" fillId="2" fontId="2" numFmtId="0" xfId="0" applyBorder="1" applyFont="1"/>
    <xf borderId="1" fillId="2" fontId="4" numFmtId="175" xfId="0" applyBorder="1" applyFont="1" applyNumberFormat="1"/>
    <xf borderId="1" fillId="3" fontId="4" numFmtId="175" xfId="0" applyBorder="1" applyFont="1" applyNumberFormat="1"/>
    <xf borderId="1" fillId="4" fontId="4" numFmtId="175" xfId="0" applyBorder="1" applyFont="1" applyNumberFormat="1"/>
    <xf borderId="1" fillId="5" fontId="4" numFmtId="175" xfId="0" applyBorder="1" applyFont="1" applyNumberFormat="1"/>
    <xf borderId="1" fillId="2" fontId="5" numFmtId="9" xfId="0" applyBorder="1" applyFont="1" applyNumberFormat="1"/>
    <xf borderId="1" fillId="3" fontId="5" numFmtId="9" xfId="0" applyBorder="1" applyFont="1" applyNumberFormat="1"/>
    <xf borderId="1" fillId="4" fontId="5" numFmtId="9" xfId="0" applyBorder="1" applyFont="1" applyNumberFormat="1"/>
    <xf borderId="1" fillId="2" fontId="4" numFmtId="9" xfId="0" applyBorder="1" applyFont="1" applyNumberFormat="1"/>
    <xf borderId="1" fillId="4" fontId="4" numFmtId="9" xfId="0" applyBorder="1" applyFont="1" applyNumberFormat="1"/>
    <xf borderId="12" fillId="2" fontId="6" numFmtId="38" xfId="0" applyBorder="1" applyFont="1" applyNumberFormat="1"/>
    <xf borderId="12" fillId="2" fontId="8" numFmtId="38" xfId="0" applyBorder="1" applyFont="1" applyNumberFormat="1"/>
    <xf borderId="12" fillId="3" fontId="6" numFmtId="38" xfId="0" applyBorder="1" applyFont="1" applyNumberFormat="1"/>
    <xf borderId="12" fillId="4" fontId="8" numFmtId="38" xfId="0" applyBorder="1" applyFont="1" applyNumberFormat="1"/>
    <xf borderId="12" fillId="5" fontId="8" numFmtId="38" xfId="0" applyBorder="1" applyFont="1" applyNumberFormat="1"/>
    <xf borderId="12" fillId="2" fontId="8" numFmtId="38" xfId="0" applyAlignment="1" applyBorder="1" applyFont="1" applyNumberFormat="1">
      <alignment horizontal="right"/>
    </xf>
    <xf borderId="12" fillId="2" fontId="6" numFmtId="38" xfId="0" applyAlignment="1" applyBorder="1" applyFont="1" applyNumberFormat="1">
      <alignment horizontal="right"/>
    </xf>
    <xf borderId="1" fillId="2" fontId="5" numFmtId="175" xfId="0" applyBorder="1" applyFont="1" applyNumberFormat="1"/>
    <xf borderId="13" fillId="2" fontId="8" numFmtId="38" xfId="0" applyBorder="1" applyFont="1" applyNumberFormat="1"/>
    <xf borderId="13" fillId="2" fontId="6" numFmtId="38" xfId="0" applyBorder="1" applyFont="1" applyNumberFormat="1"/>
    <xf borderId="13" fillId="3" fontId="6" numFmtId="38" xfId="0" applyBorder="1" applyFont="1" applyNumberFormat="1"/>
    <xf borderId="13" fillId="4" fontId="8" numFmtId="38" xfId="0" applyBorder="1" applyFont="1" applyNumberFormat="1"/>
    <xf borderId="13" fillId="5" fontId="8" numFmtId="38" xfId="0" applyBorder="1" applyFont="1" applyNumberFormat="1"/>
    <xf borderId="13" fillId="4" fontId="6" numFmtId="38" xfId="0" applyBorder="1" applyFont="1" applyNumberFormat="1"/>
    <xf borderId="1" fillId="3" fontId="5" numFmtId="175" xfId="0" applyBorder="1" applyFont="1" applyNumberFormat="1"/>
    <xf borderId="1" fillId="4" fontId="5" numFmtId="175" xfId="0" applyBorder="1" applyFont="1" applyNumberFormat="1"/>
    <xf borderId="13" fillId="2" fontId="5" numFmtId="0" xfId="0" applyBorder="1" applyFont="1"/>
    <xf borderId="13" fillId="3" fontId="5" numFmtId="0" xfId="0" applyBorder="1" applyFont="1"/>
    <xf borderId="13" fillId="4" fontId="4" numFmtId="0" xfId="0" applyBorder="1" applyFont="1"/>
    <xf borderId="13" fillId="4" fontId="5" numFmtId="167" xfId="0" applyBorder="1" applyFont="1" applyNumberFormat="1"/>
    <xf borderId="13" fillId="5" fontId="4" numFmtId="0" xfId="0" applyBorder="1" applyFont="1"/>
    <xf borderId="13" fillId="4" fontId="5" numFmtId="0" xfId="0" applyBorder="1" applyFont="1"/>
    <xf borderId="1" fillId="3" fontId="5" numFmtId="0" xfId="0" applyBorder="1" applyFont="1"/>
    <xf borderId="15" fillId="8" fontId="5" numFmtId="0" xfId="0" applyAlignment="1" applyBorder="1" applyFont="1">
      <alignment horizontal="center"/>
    </xf>
    <xf borderId="1" fillId="4" fontId="16" numFmtId="176" xfId="0" applyBorder="1" applyFont="1" applyNumberFormat="1"/>
    <xf borderId="1" fillId="3" fontId="26" numFmtId="37" xfId="0" applyBorder="1" applyFont="1" applyNumberFormat="1"/>
    <xf borderId="1" fillId="5" fontId="26" numFmtId="37" xfId="0" applyBorder="1" applyFont="1" applyNumberFormat="1"/>
    <xf borderId="1" fillId="2" fontId="26" numFmtId="37" xfId="0" applyBorder="1" applyFont="1" applyNumberFormat="1"/>
    <xf borderId="1" fillId="3" fontId="5" numFmtId="176" xfId="0" applyBorder="1" applyFont="1" applyNumberFormat="1"/>
    <xf borderId="1" fillId="4" fontId="4" numFmtId="176" xfId="0" applyBorder="1" applyFont="1" applyNumberFormat="1"/>
    <xf borderId="1" fillId="5" fontId="4" numFmtId="176" xfId="0" applyBorder="1" applyFont="1" applyNumberFormat="1"/>
    <xf borderId="1" fillId="4" fontId="5" numFmtId="176" xfId="0" applyBorder="1" applyFont="1" applyNumberFormat="1"/>
    <xf borderId="0" fillId="0" fontId="4" numFmtId="9" xfId="0" applyFont="1" applyNumberFormat="1"/>
    <xf borderId="1" fillId="5" fontId="4" numFmtId="9" xfId="0" applyBorder="1" applyFont="1" applyNumberFormat="1"/>
    <xf borderId="1" fillId="5" fontId="15" numFmtId="167" xfId="0" applyBorder="1" applyFont="1" applyNumberFormat="1"/>
    <xf borderId="1" fillId="3" fontId="5" numFmtId="168" xfId="0" applyBorder="1" applyFont="1" applyNumberFormat="1"/>
    <xf borderId="1" fillId="4" fontId="5" numFmtId="168" xfId="0" applyBorder="1" applyFont="1" applyNumberFormat="1"/>
    <xf borderId="1" fillId="4" fontId="7" numFmtId="167" xfId="0" applyBorder="1" applyFont="1" applyNumberFormat="1"/>
    <xf borderId="1" fillId="2" fontId="15" numFmtId="0" xfId="0" applyBorder="1" applyFont="1"/>
    <xf borderId="1" fillId="4" fontId="15" numFmtId="0" xfId="0" applyAlignment="1" applyBorder="1" applyFont="1">
      <alignment horizontal="left"/>
    </xf>
    <xf borderId="1" fillId="2" fontId="27" numFmtId="0" xfId="0" applyBorder="1" applyFont="1"/>
    <xf borderId="1" fillId="3" fontId="27" numFmtId="0" xfId="0" applyBorder="1" applyFont="1"/>
    <xf borderId="1" fillId="4" fontId="15" numFmtId="0" xfId="0" applyBorder="1" applyFont="1"/>
    <xf borderId="1" fillId="4" fontId="27" numFmtId="167" xfId="0" applyBorder="1" applyFont="1" applyNumberFormat="1"/>
    <xf borderId="1" fillId="2" fontId="15" numFmtId="167" xfId="0" applyBorder="1" applyFont="1" applyNumberFormat="1"/>
    <xf borderId="1" fillId="3" fontId="27" numFmtId="175" xfId="0" applyBorder="1" applyFont="1" applyNumberFormat="1"/>
    <xf borderId="1" fillId="3" fontId="27" numFmtId="176" xfId="0" applyBorder="1" applyFont="1" applyNumberFormat="1"/>
    <xf borderId="1" fillId="4" fontId="27" numFmtId="176" xfId="0" applyBorder="1" applyFont="1" applyNumberFormat="1"/>
    <xf borderId="1" fillId="2" fontId="15" numFmtId="3" xfId="0" applyBorder="1" applyFont="1" applyNumberFormat="1"/>
    <xf borderId="1" fillId="2" fontId="4" numFmtId="177" xfId="0" applyBorder="1" applyFont="1" applyNumberFormat="1"/>
    <xf borderId="1" fillId="2" fontId="4" numFmtId="176" xfId="0" applyBorder="1" applyFont="1" applyNumberFormat="1"/>
    <xf borderId="1" fillId="5" fontId="8" numFmtId="176" xfId="0" applyBorder="1" applyFont="1" applyNumberFormat="1"/>
    <xf borderId="1" fillId="4" fontId="7" numFmtId="175" xfId="0" applyBorder="1" applyFont="1" applyNumberFormat="1"/>
    <xf borderId="1" fillId="5" fontId="7" numFmtId="9" xfId="0" applyBorder="1" applyFont="1" applyNumberFormat="1"/>
    <xf borderId="1" fillId="4" fontId="7" numFmtId="9" xfId="0" applyBorder="1" applyFont="1" applyNumberFormat="1"/>
    <xf borderId="1" fillId="4" fontId="26" numFmtId="37" xfId="0" applyBorder="1" applyFont="1" applyNumberFormat="1"/>
    <xf borderId="1" fillId="5" fontId="15" numFmtId="3" xfId="0" applyBorder="1" applyFont="1" applyNumberFormat="1"/>
    <xf borderId="1" fillId="2" fontId="7" numFmtId="177" xfId="0" applyBorder="1" applyFont="1" applyNumberFormat="1"/>
    <xf borderId="1" fillId="5" fontId="8" numFmtId="9" xfId="0" applyBorder="1" applyFont="1" applyNumberFormat="1"/>
    <xf borderId="1" fillId="3" fontId="19" numFmtId="176" xfId="0" applyBorder="1" applyFont="1" applyNumberFormat="1"/>
    <xf borderId="12" fillId="4" fontId="5" numFmtId="167" xfId="0" applyBorder="1" applyFont="1" applyNumberFormat="1"/>
    <xf borderId="12" fillId="5" fontId="4" numFmtId="0" xfId="0" applyBorder="1" applyFont="1"/>
    <xf borderId="3" fillId="3" fontId="4" numFmtId="0" xfId="0" applyBorder="1" applyFont="1"/>
    <xf borderId="3" fillId="3" fontId="5" numFmtId="0" xfId="0" applyBorder="1" applyFont="1"/>
    <xf borderId="3" fillId="3" fontId="5" numFmtId="167" xfId="0" applyBorder="1" applyFont="1" applyNumberFormat="1"/>
    <xf borderId="3" fillId="3" fontId="5" numFmtId="176" xfId="0" applyBorder="1" applyFont="1" applyNumberFormat="1"/>
    <xf borderId="3" fillId="3" fontId="4" numFmtId="176" xfId="0" applyBorder="1" applyFont="1" applyNumberFormat="1"/>
    <xf borderId="3" fillId="5" fontId="4" numFmtId="176" xfId="0" applyBorder="1" applyFont="1" applyNumberFormat="1"/>
    <xf borderId="12" fillId="3" fontId="5" numFmtId="175" xfId="0" applyBorder="1" applyFont="1" applyNumberFormat="1"/>
    <xf borderId="12" fillId="4" fontId="5" numFmtId="175" xfId="0" applyBorder="1" applyFont="1" applyNumberFormat="1"/>
    <xf borderId="0" fillId="0" fontId="4" numFmtId="176" xfId="0" applyFont="1" applyNumberFormat="1"/>
    <xf borderId="3" fillId="3" fontId="4" numFmtId="0" xfId="0" applyAlignment="1" applyBorder="1" applyFont="1">
      <alignment horizontal="left"/>
    </xf>
    <xf borderId="3" fillId="3" fontId="5" numFmtId="0" xfId="0" applyAlignment="1" applyBorder="1" applyFont="1">
      <alignment horizontal="left"/>
    </xf>
    <xf borderId="1" fillId="2" fontId="28" numFmtId="0" xfId="0" applyBorder="1" applyFont="1"/>
    <xf borderId="1" fillId="2" fontId="16" numFmtId="0" xfId="0" applyBorder="1" applyFont="1"/>
    <xf borderId="1" fillId="3" fontId="28" numFmtId="0" xfId="0" applyBorder="1" applyFont="1"/>
    <xf borderId="1" fillId="4" fontId="28" numFmtId="167" xfId="0" applyBorder="1" applyFont="1" applyNumberFormat="1"/>
    <xf borderId="1" fillId="3" fontId="28" numFmtId="175" xfId="0" applyBorder="1" applyFont="1" applyNumberFormat="1"/>
    <xf borderId="1" fillId="4" fontId="16" numFmtId="2" xfId="0" applyBorder="1" applyFont="1" applyNumberFormat="1"/>
    <xf borderId="1" fillId="5" fontId="16" numFmtId="0" xfId="0" applyBorder="1" applyFont="1"/>
    <xf borderId="1" fillId="4" fontId="28" numFmtId="0" xfId="0" applyBorder="1" applyFont="1"/>
    <xf borderId="15" fillId="3" fontId="5" numFmtId="0" xfId="0" applyAlignment="1" applyBorder="1" applyFont="1">
      <alignment horizontal="center"/>
    </xf>
    <xf borderId="1" fillId="2" fontId="5" numFmtId="167" xfId="0" applyBorder="1" applyFont="1" applyNumberFormat="1"/>
    <xf borderId="1" fillId="3" fontId="4" numFmtId="0" xfId="0" applyBorder="1" applyFont="1"/>
    <xf borderId="1" fillId="5" fontId="29" numFmtId="167" xfId="0" applyBorder="1" applyFont="1" applyNumberFormat="1"/>
    <xf borderId="12" fillId="2" fontId="4" numFmtId="167" xfId="0" applyBorder="1" applyFont="1" applyNumberFormat="1"/>
    <xf borderId="12" fillId="2" fontId="5" numFmtId="167" xfId="0" applyBorder="1" applyFont="1" applyNumberFormat="1"/>
    <xf borderId="12" fillId="3" fontId="5" numFmtId="167" xfId="0" applyBorder="1" applyFont="1" applyNumberFormat="1"/>
    <xf borderId="12" fillId="4" fontId="4" numFmtId="167" xfId="0" applyBorder="1" applyFont="1" applyNumberFormat="1"/>
    <xf borderId="12" fillId="3" fontId="4" numFmtId="0" xfId="0" applyBorder="1" applyFont="1"/>
    <xf borderId="12" fillId="2" fontId="4" numFmtId="9" xfId="0" applyBorder="1" applyFont="1" applyNumberFormat="1"/>
    <xf borderId="12" fillId="3" fontId="4" numFmtId="3" xfId="0" applyBorder="1" applyFont="1" applyNumberFormat="1"/>
    <xf borderId="12" fillId="5" fontId="4" numFmtId="167" xfId="0" applyBorder="1" applyFont="1" applyNumberFormat="1"/>
    <xf borderId="1" fillId="10" fontId="4" numFmtId="0" xfId="0" applyBorder="1" applyFill="1" applyFont="1"/>
    <xf borderId="1" fillId="10" fontId="5" numFmtId="0" xfId="0" applyBorder="1" applyFont="1"/>
    <xf borderId="1" fillId="10" fontId="4" numFmtId="167" xfId="0" applyBorder="1" applyFont="1" applyNumberFormat="1"/>
    <xf borderId="1" fillId="10" fontId="5" numFmtId="167" xfId="0" applyBorder="1" applyFont="1" applyNumberFormat="1"/>
    <xf borderId="1" fillId="10" fontId="5" numFmtId="168" xfId="0" applyBorder="1" applyFont="1" applyNumberFormat="1"/>
    <xf borderId="1" fillId="5" fontId="5" numFmtId="168" xfId="0" applyBorder="1" applyFont="1" applyNumberFormat="1"/>
    <xf borderId="1" fillId="2" fontId="4" numFmtId="168" xfId="0" applyBorder="1" applyFont="1" applyNumberFormat="1"/>
    <xf borderId="1" fillId="5" fontId="4" numFmtId="168" xfId="0" applyBorder="1" applyFont="1" applyNumberFormat="1"/>
    <xf borderId="1" fillId="3" fontId="4" numFmtId="9" xfId="0" applyBorder="1" applyFont="1" applyNumberFormat="1"/>
    <xf borderId="1" fillId="8" fontId="4" numFmtId="168" xfId="0" applyBorder="1" applyFont="1" applyNumberFormat="1"/>
    <xf borderId="1" fillId="5" fontId="7" numFmtId="168" xfId="0" applyBorder="1" applyFont="1" applyNumberFormat="1"/>
    <xf borderId="1" fillId="2" fontId="7" numFmtId="168" xfId="0" applyBorder="1" applyFont="1" applyNumberFormat="1"/>
    <xf borderId="1" fillId="4" fontId="7" numFmtId="168" xfId="0" applyBorder="1" applyFont="1" applyNumberFormat="1"/>
    <xf borderId="1" fillId="2" fontId="7" numFmtId="9" xfId="0" applyBorder="1" applyFont="1" applyNumberFormat="1"/>
    <xf borderId="1" fillId="4" fontId="29" numFmtId="167" xfId="0" applyBorder="1" applyFont="1" applyNumberFormat="1"/>
    <xf borderId="1" fillId="2" fontId="29" numFmtId="167" xfId="0" applyBorder="1" applyFont="1" applyNumberFormat="1"/>
    <xf borderId="1" fillId="8" fontId="29" numFmtId="167" xfId="0" applyBorder="1" applyFont="1" applyNumberFormat="1"/>
    <xf borderId="1" fillId="4" fontId="30" numFmtId="167" xfId="0" applyBorder="1" applyFont="1" applyNumberFormat="1"/>
    <xf borderId="1" fillId="2" fontId="30" numFmtId="167" xfId="0" applyBorder="1" applyFont="1" applyNumberFormat="1"/>
    <xf borderId="1" fillId="4" fontId="4" numFmtId="177" xfId="0" applyBorder="1" applyFont="1" applyNumberFormat="1"/>
    <xf borderId="1" fillId="3" fontId="6" numFmtId="177" xfId="0" applyBorder="1" applyFont="1" applyNumberFormat="1"/>
    <xf borderId="1" fillId="5" fontId="4" numFmtId="177" xfId="0" applyBorder="1" applyFont="1" applyNumberFormat="1"/>
    <xf borderId="1" fillId="4" fontId="6" numFmtId="177" xfId="0" applyBorder="1" applyFont="1" applyNumberFormat="1"/>
    <xf borderId="1" fillId="2" fontId="4" numFmtId="178" xfId="0" applyBorder="1" applyFont="1" applyNumberFormat="1"/>
    <xf borderId="1" fillId="3" fontId="4" numFmtId="178" xfId="0" applyBorder="1" applyFont="1" applyNumberFormat="1"/>
    <xf borderId="1" fillId="3" fontId="5" numFmtId="178" xfId="0" applyBorder="1" applyFont="1" applyNumberFormat="1"/>
    <xf borderId="1" fillId="4" fontId="4" numFmtId="178" xfId="0" applyBorder="1" applyFont="1" applyNumberFormat="1"/>
    <xf borderId="1" fillId="5" fontId="4" numFmtId="178" xfId="0" applyBorder="1" applyFont="1" applyNumberFormat="1"/>
    <xf borderId="1" fillId="4" fontId="5" numFmtId="178" xfId="0" applyBorder="1" applyFont="1" applyNumberFormat="1"/>
    <xf borderId="1" fillId="2" fontId="30" numFmtId="3" xfId="0" applyBorder="1" applyFont="1" applyNumberFormat="1"/>
    <xf borderId="0" fillId="0" fontId="4" numFmtId="178" xfId="0" applyFont="1" applyNumberFormat="1"/>
    <xf borderId="0" fillId="0" fontId="4" numFmtId="0" xfId="0" applyAlignment="1" applyFont="1">
      <alignment horizontal="left"/>
    </xf>
    <xf borderId="1" fillId="4" fontId="4" numFmtId="0" xfId="0" applyAlignment="1" applyBorder="1" applyFont="1">
      <alignment horizontal="left"/>
    </xf>
    <xf borderId="1" fillId="4" fontId="6" numFmtId="9" xfId="0" applyBorder="1" applyFont="1" applyNumberFormat="1"/>
    <xf borderId="1" fillId="8" fontId="15" numFmtId="0" xfId="0" applyAlignment="1" applyBorder="1" applyFont="1">
      <alignment horizontal="left"/>
    </xf>
    <xf borderId="1" fillId="2" fontId="4" numFmtId="167" xfId="0" applyAlignment="1" applyBorder="1" applyFont="1" applyNumberFormat="1">
      <alignment horizontal="left"/>
    </xf>
    <xf borderId="1" fillId="8" fontId="4" numFmtId="167" xfId="0" applyBorder="1" applyFont="1" applyNumberFormat="1"/>
    <xf borderId="0" fillId="0" fontId="5" numFmtId="0" xfId="0" applyAlignment="1" applyFont="1">
      <alignment horizontal="left"/>
    </xf>
    <xf borderId="1" fillId="2" fontId="29" numFmtId="10" xfId="0" applyBorder="1" applyFont="1" applyNumberFormat="1"/>
    <xf borderId="1" fillId="4" fontId="29" numFmtId="10" xfId="0" applyBorder="1" applyFont="1" applyNumberFormat="1"/>
    <xf borderId="1" fillId="5" fontId="29" numFmtId="10" xfId="0" applyBorder="1" applyFont="1" applyNumberFormat="1"/>
    <xf borderId="1" fillId="8" fontId="29" numFmtId="10" xfId="0" applyBorder="1" applyFont="1" applyNumberFormat="1"/>
    <xf borderId="1" fillId="2" fontId="30" numFmtId="168" xfId="0" applyBorder="1" applyFont="1" applyNumberFormat="1"/>
    <xf borderId="1" fillId="8" fontId="15" numFmtId="167" xfId="0" applyBorder="1" applyFont="1" applyNumberFormat="1"/>
    <xf borderId="1" fillId="3" fontId="20" numFmtId="9" xfId="0" applyBorder="1" applyFont="1" applyNumberFormat="1"/>
    <xf borderId="1" fillId="4" fontId="20" numFmtId="9" xfId="0" applyBorder="1" applyFont="1" applyNumberFormat="1"/>
    <xf borderId="1" fillId="4" fontId="17" numFmtId="168" xfId="0" applyBorder="1" applyFont="1" applyNumberFormat="1"/>
    <xf borderId="1" fillId="3" fontId="17" numFmtId="168" xfId="0" applyBorder="1" applyFont="1" applyNumberFormat="1"/>
    <xf borderId="1" fillId="5" fontId="17" numFmtId="168" xfId="0" applyBorder="1" applyFont="1" applyNumberFormat="1"/>
    <xf borderId="1" fillId="10" fontId="4" numFmtId="1" xfId="0" applyBorder="1" applyFont="1" applyNumberFormat="1"/>
    <xf borderId="1" fillId="2" fontId="16" numFmtId="1" xfId="0" applyAlignment="1" applyBorder="1" applyFont="1" applyNumberFormat="1">
      <alignment horizontal="left"/>
    </xf>
    <xf borderId="1" fillId="2" fontId="5" numFmtId="1" xfId="0" applyBorder="1" applyFont="1" applyNumberFormat="1"/>
    <xf borderId="1" fillId="3" fontId="5" numFmtId="1" xfId="0" applyBorder="1" applyFont="1" applyNumberFormat="1"/>
    <xf borderId="1" fillId="4" fontId="4" numFmtId="1" xfId="0" applyBorder="1" applyFont="1" applyNumberFormat="1"/>
    <xf borderId="1" fillId="3" fontId="4" numFmtId="1" xfId="0" applyBorder="1" applyFont="1" applyNumberFormat="1"/>
    <xf borderId="1" fillId="11" fontId="4" numFmtId="0" xfId="0" applyBorder="1" applyFill="1" applyFont="1"/>
    <xf borderId="1" fillId="11" fontId="5" numFmtId="0" xfId="0" applyBorder="1" applyFont="1"/>
    <xf borderId="1" fillId="11" fontId="4" numFmtId="167" xfId="0" applyBorder="1" applyFont="1" applyNumberFormat="1"/>
    <xf borderId="1" fillId="11" fontId="5" numFmtId="167" xfId="0" applyBorder="1" applyFont="1" applyNumberFormat="1"/>
    <xf borderId="1" fillId="11" fontId="5" numFmtId="168" xfId="0" applyBorder="1" applyFont="1" applyNumberFormat="1"/>
    <xf borderId="1" fillId="3" fontId="4" numFmtId="168" xfId="0" applyBorder="1" applyFont="1" applyNumberFormat="1"/>
    <xf borderId="1" fillId="11" fontId="20" numFmtId="168" xfId="0" applyBorder="1" applyFont="1" applyNumberFormat="1"/>
    <xf borderId="1" fillId="11" fontId="20" numFmtId="177" xfId="0" applyBorder="1" applyFont="1" applyNumberFormat="1"/>
    <xf borderId="1" fillId="11" fontId="4" numFmtId="168" xfId="0" applyBorder="1" applyFont="1" applyNumberFormat="1"/>
    <xf borderId="1" fillId="11" fontId="31" numFmtId="168" xfId="0" applyBorder="1" applyFont="1" applyNumberFormat="1"/>
    <xf borderId="1" fillId="3" fontId="20" numFmtId="0" xfId="0" applyBorder="1" applyFont="1"/>
    <xf borderId="1" fillId="11" fontId="20" numFmtId="9" xfId="0" applyBorder="1" applyFont="1" applyNumberFormat="1"/>
    <xf borderId="1" fillId="5" fontId="32" numFmtId="0" xfId="0" applyBorder="1" applyFont="1"/>
    <xf borderId="1" fillId="11" fontId="32" numFmtId="0" xfId="0" applyBorder="1" applyFont="1"/>
    <xf borderId="1" fillId="4" fontId="16" numFmtId="167" xfId="0" applyBorder="1" applyFont="1" applyNumberFormat="1"/>
    <xf borderId="1" fillId="3" fontId="28" numFmtId="167" xfId="0" applyBorder="1" applyFont="1" applyNumberFormat="1"/>
    <xf borderId="1" fillId="5" fontId="16" numFmtId="167" xfId="0" applyBorder="1" applyFont="1" applyNumberFormat="1"/>
    <xf borderId="1" fillId="11" fontId="4" numFmtId="9" xfId="0" applyBorder="1" applyFont="1" applyNumberFormat="1"/>
    <xf borderId="1" fillId="2" fontId="4" numFmtId="9" xfId="0" applyAlignment="1" applyBorder="1" applyFont="1" applyNumberFormat="1">
      <alignment horizontal="left"/>
    </xf>
    <xf borderId="1" fillId="5" fontId="29" numFmtId="9" xfId="0" applyBorder="1" applyFont="1" applyNumberFormat="1"/>
    <xf borderId="1" fillId="4" fontId="29" numFmtId="9" xfId="0" applyBorder="1" applyFont="1" applyNumberFormat="1"/>
    <xf borderId="1" fillId="4" fontId="7" numFmtId="0" xfId="0" applyBorder="1" applyFont="1"/>
    <xf borderId="1" fillId="2" fontId="9" numFmtId="168" xfId="0" applyBorder="1" applyFont="1" applyNumberFormat="1"/>
    <xf borderId="1" fillId="3" fontId="9" numFmtId="168" xfId="0" applyBorder="1" applyFont="1" applyNumberFormat="1"/>
    <xf borderId="1" fillId="4" fontId="9" numFmtId="168" xfId="0" applyBorder="1" applyFont="1" applyNumberFormat="1"/>
    <xf borderId="1" fillId="5" fontId="9" numFmtId="168" xfId="0" applyBorder="1" applyFont="1" applyNumberFormat="1"/>
    <xf borderId="1" fillId="12" fontId="4" numFmtId="0" xfId="0" applyBorder="1" applyFill="1" applyFont="1"/>
    <xf borderId="1" fillId="12" fontId="5" numFmtId="0" xfId="0" applyBorder="1" applyFont="1"/>
    <xf borderId="1" fillId="12" fontId="4" numFmtId="167" xfId="0" applyBorder="1" applyFont="1" applyNumberFormat="1"/>
    <xf borderId="1" fillId="12" fontId="5" numFmtId="167" xfId="0" applyBorder="1" applyFont="1" applyNumberFormat="1"/>
    <xf borderId="1" fillId="12" fontId="5" numFmtId="168" xfId="0" applyBorder="1" applyFont="1" applyNumberFormat="1"/>
    <xf borderId="1" fillId="12" fontId="4" numFmtId="10" xfId="0" applyBorder="1" applyFont="1" applyNumberFormat="1"/>
    <xf borderId="1" fillId="2" fontId="4" numFmtId="10" xfId="0" applyAlignment="1" applyBorder="1" applyFont="1" applyNumberFormat="1">
      <alignment horizontal="left"/>
    </xf>
    <xf borderId="1" fillId="12" fontId="5" numFmtId="10" xfId="0" applyBorder="1" applyFont="1" applyNumberFormat="1"/>
    <xf borderId="1" fillId="3" fontId="5" numFmtId="10" xfId="0" applyBorder="1" applyFont="1" applyNumberFormat="1"/>
    <xf borderId="1" fillId="3" fontId="4" numFmtId="10" xfId="0" applyBorder="1" applyFont="1" applyNumberFormat="1"/>
    <xf borderId="1" fillId="5" fontId="4" numFmtId="10" xfId="0" applyBorder="1" applyFont="1" applyNumberFormat="1"/>
    <xf borderId="1" fillId="2" fontId="22" numFmtId="0" xfId="0" applyBorder="1" applyFont="1"/>
    <xf borderId="1" fillId="13" fontId="4" numFmtId="0" xfId="0" applyBorder="1" applyFill="1" applyFont="1"/>
    <xf borderId="1" fillId="13" fontId="5" numFmtId="0" xfId="0" applyBorder="1" applyFont="1"/>
    <xf borderId="1" fillId="13" fontId="4" numFmtId="167" xfId="0" applyBorder="1" applyFont="1" applyNumberFormat="1"/>
    <xf borderId="1" fillId="13" fontId="5" numFmtId="167" xfId="0" applyBorder="1" applyFont="1" applyNumberFormat="1"/>
    <xf borderId="1" fillId="13" fontId="5" numFmtId="168" xfId="0" applyBorder="1" applyFont="1" applyNumberFormat="1"/>
    <xf borderId="1" fillId="13" fontId="19" numFmtId="168" xfId="0" applyBorder="1" applyFont="1" applyNumberFormat="1"/>
    <xf borderId="1" fillId="2" fontId="5" numFmtId="168" xfId="0" applyBorder="1" applyFont="1" applyNumberFormat="1"/>
    <xf borderId="1" fillId="2" fontId="4" numFmtId="0" xfId="0" applyAlignment="1" applyBorder="1" applyFont="1">
      <alignment horizontal="center"/>
    </xf>
    <xf borderId="1" fillId="4" fontId="19" numFmtId="9" xfId="0" applyBorder="1" applyFont="1" applyNumberFormat="1"/>
    <xf borderId="0" fillId="0" fontId="5" numFmtId="0" xfId="0" applyFont="1"/>
    <xf borderId="1" fillId="4" fontId="19" numFmtId="168" xfId="0" applyBorder="1" applyFont="1" applyNumberFormat="1"/>
    <xf borderId="1" fillId="3" fontId="7" numFmtId="167" xfId="0" applyBorder="1" applyFont="1" applyNumberFormat="1"/>
    <xf borderId="1" fillId="4" fontId="19" numFmtId="179" xfId="0" applyBorder="1" applyFont="1" applyNumberFormat="1"/>
    <xf borderId="1" fillId="7" fontId="4" numFmtId="0" xfId="0" applyBorder="1" applyFont="1"/>
    <xf borderId="1" fillId="5" fontId="19" numFmtId="168" xfId="0" applyBorder="1" applyFont="1" applyNumberFormat="1"/>
    <xf borderId="14" fillId="2" fontId="5" numFmtId="0" xfId="0" applyBorder="1" applyFont="1"/>
    <xf borderId="14" fillId="2" fontId="5" numFmtId="168" xfId="0" applyBorder="1" applyFont="1" applyNumberFormat="1"/>
    <xf borderId="14" fillId="3" fontId="5" numFmtId="168" xfId="0" applyBorder="1" applyFont="1" applyNumberFormat="1"/>
    <xf borderId="14" fillId="4" fontId="5" numFmtId="168" xfId="0" applyBorder="1" applyFont="1" applyNumberFormat="1"/>
    <xf borderId="14" fillId="5" fontId="5" numFmtId="168" xfId="0" applyBorder="1" applyFont="1" applyNumberFormat="1"/>
    <xf borderId="1" fillId="2" fontId="16" numFmtId="3" xfId="0" applyBorder="1" applyFont="1" applyNumberFormat="1"/>
    <xf borderId="1" fillId="3" fontId="16" numFmtId="3" xfId="0" applyBorder="1" applyFont="1" applyNumberFormat="1"/>
    <xf borderId="1" fillId="4" fontId="16" numFmtId="3" xfId="0" applyBorder="1" applyFont="1" applyNumberFormat="1"/>
    <xf borderId="1" fillId="4" fontId="16" numFmtId="168" xfId="0" applyBorder="1" applyFont="1" applyNumberFormat="1"/>
    <xf borderId="1" fillId="3" fontId="16" numFmtId="166" xfId="0" applyBorder="1" applyFont="1" applyNumberFormat="1"/>
    <xf borderId="1" fillId="3" fontId="16" numFmtId="0" xfId="0" applyBorder="1" applyFont="1"/>
    <xf borderId="1" fillId="5" fontId="16" numFmtId="3" xfId="0" applyBorder="1" applyFont="1" applyNumberFormat="1"/>
    <xf borderId="12" fillId="2" fontId="4" numFmtId="168" xfId="0" applyBorder="1" applyFont="1" applyNumberFormat="1"/>
    <xf borderId="12" fillId="3" fontId="5" numFmtId="168" xfId="0" applyBorder="1" applyFont="1" applyNumberFormat="1"/>
    <xf borderId="1" fillId="5" fontId="19" numFmtId="177" xfId="0" applyBorder="1" applyFont="1" applyNumberFormat="1"/>
    <xf borderId="1" fillId="4" fontId="19" numFmtId="177" xfId="0" applyBorder="1" applyFont="1" applyNumberFormat="1"/>
    <xf borderId="1" fillId="2" fontId="4" numFmtId="166" xfId="0" applyBorder="1" applyFont="1" applyNumberFormat="1"/>
    <xf borderId="1" fillId="2" fontId="16" numFmtId="166" xfId="0" applyAlignment="1" applyBorder="1" applyFont="1" applyNumberFormat="1">
      <alignment horizontal="left"/>
    </xf>
    <xf borderId="1" fillId="2" fontId="5" numFmtId="166" xfId="0" applyBorder="1" applyFont="1" applyNumberFormat="1"/>
    <xf borderId="1" fillId="3" fontId="5" numFmtId="166" xfId="0" applyBorder="1" applyFont="1" applyNumberFormat="1"/>
    <xf borderId="1" fillId="4" fontId="4" numFmtId="166" xfId="0" applyBorder="1" applyFont="1" applyNumberFormat="1"/>
    <xf borderId="1" fillId="4" fontId="16" numFmtId="166" xfId="0" applyBorder="1" applyFont="1" applyNumberFormat="1"/>
    <xf borderId="1" fillId="3" fontId="28" numFmtId="166" xfId="0" applyBorder="1" applyFont="1" applyNumberFormat="1"/>
    <xf borderId="1" fillId="5" fontId="16" numFmtId="166" xfId="0" applyBorder="1" applyFont="1" applyNumberFormat="1"/>
    <xf borderId="1" fillId="2" fontId="16" numFmtId="166" xfId="0" applyBorder="1" applyFont="1" applyNumberFormat="1"/>
    <xf borderId="1" fillId="4" fontId="28" numFmtId="166" xfId="0" applyBorder="1" applyFont="1" applyNumberFormat="1"/>
    <xf borderId="12" fillId="2" fontId="5" numFmtId="0" xfId="0" applyAlignment="1" applyBorder="1" applyFont="1">
      <alignment horizontal="center"/>
    </xf>
    <xf borderId="12" fillId="4" fontId="4" numFmtId="9" xfId="0" applyBorder="1" applyFont="1" applyNumberFormat="1"/>
    <xf borderId="13" fillId="2" fontId="4" numFmtId="167" xfId="0" applyBorder="1" applyFont="1" applyNumberFormat="1"/>
    <xf borderId="13" fillId="3" fontId="5" numFmtId="167" xfId="0" applyBorder="1" applyFont="1" applyNumberFormat="1"/>
    <xf borderId="13" fillId="4" fontId="4" numFmtId="167" xfId="0" applyBorder="1" applyFont="1" applyNumberFormat="1"/>
    <xf borderId="13" fillId="5" fontId="5" numFmtId="167" xfId="0" applyBorder="1" applyFont="1" applyNumberFormat="1"/>
    <xf borderId="1" fillId="2" fontId="4" numFmtId="180" xfId="0" applyBorder="1" applyFont="1" applyNumberFormat="1"/>
    <xf borderId="1" fillId="2" fontId="5" numFmtId="180" xfId="0" applyBorder="1" applyFont="1" applyNumberFormat="1"/>
    <xf borderId="1" fillId="3" fontId="5" numFmtId="180" xfId="0" applyBorder="1" applyFont="1" applyNumberFormat="1"/>
    <xf borderId="1" fillId="4" fontId="4" numFmtId="180" xfId="0" applyBorder="1" applyFont="1" applyNumberFormat="1"/>
    <xf borderId="1" fillId="5" fontId="4" numFmtId="180" xfId="0" applyBorder="1" applyFont="1" applyNumberFormat="1"/>
    <xf borderId="1" fillId="4" fontId="5" numFmtId="180" xfId="0" applyBorder="1" applyFont="1" applyNumberFormat="1"/>
    <xf borderId="0" fillId="0" fontId="4" numFmtId="180" xfId="0" applyFont="1" applyNumberFormat="1"/>
    <xf borderId="13" fillId="2" fontId="5" numFmtId="180" xfId="0" applyBorder="1" applyFont="1" applyNumberFormat="1"/>
    <xf borderId="13" fillId="2" fontId="4" numFmtId="180" xfId="0" applyBorder="1" applyFont="1" applyNumberFormat="1"/>
    <xf borderId="13" fillId="4" fontId="5" numFmtId="180" xfId="0" applyBorder="1" applyFont="1" applyNumberFormat="1"/>
    <xf borderId="13" fillId="3" fontId="5" numFmtId="180" xfId="0" applyBorder="1" applyFont="1" applyNumberFormat="1"/>
    <xf borderId="13" fillId="4" fontId="4" numFmtId="180" xfId="0" applyBorder="1" applyFont="1" applyNumberFormat="1"/>
    <xf borderId="13" fillId="5" fontId="5" numFmtId="180" xfId="0" applyBorder="1" applyFont="1" applyNumberFormat="1"/>
    <xf borderId="1" fillId="3" fontId="4" numFmtId="180" xfId="0" applyBorder="1" applyFont="1" applyNumberFormat="1"/>
    <xf borderId="1" fillId="5" fontId="5" numFmtId="180" xfId="0" applyBorder="1" applyFont="1" applyNumberFormat="1"/>
    <xf borderId="1" fillId="4" fontId="26" numFmtId="168" xfId="0" applyBorder="1" applyFont="1" applyNumberFormat="1"/>
    <xf borderId="1" fillId="3" fontId="26" numFmtId="168" xfId="0" applyBorder="1" applyFont="1" applyNumberFormat="1"/>
    <xf borderId="12" fillId="2" fontId="5" numFmtId="0" xfId="0" applyAlignment="1" applyBorder="1" applyFont="1">
      <alignment horizontal="left"/>
    </xf>
    <xf borderId="1" fillId="8" fontId="4" numFmtId="3" xfId="0" applyBorder="1" applyFont="1" applyNumberFormat="1"/>
    <xf borderId="1" fillId="2" fontId="33" numFmtId="3" xfId="0" applyBorder="1" applyFont="1" applyNumberFormat="1"/>
    <xf borderId="1" fillId="8" fontId="5" numFmtId="3" xfId="0" applyBorder="1" applyFont="1" applyNumberFormat="1"/>
    <xf borderId="1" fillId="4" fontId="19" numFmtId="3" xfId="0" applyBorder="1" applyFont="1" applyNumberFormat="1"/>
    <xf borderId="14" fillId="4" fontId="5" numFmtId="3" xfId="0" applyBorder="1" applyFont="1" applyNumberFormat="1"/>
    <xf borderId="14" fillId="5" fontId="5" numFmtId="3" xfId="0" applyBorder="1" applyFont="1" applyNumberFormat="1"/>
    <xf borderId="12" fillId="2" fontId="5" numFmtId="1" xfId="0" applyBorder="1" applyFont="1" applyNumberFormat="1"/>
    <xf borderId="12" fillId="2" fontId="4" numFmtId="1" xfId="0" applyBorder="1" applyFont="1" applyNumberFormat="1"/>
    <xf borderId="12" fillId="3" fontId="5" numFmtId="1" xfId="0" applyBorder="1" applyFont="1" applyNumberFormat="1"/>
    <xf borderId="12" fillId="4" fontId="4" numFmtId="1" xfId="0" applyBorder="1" applyFont="1" applyNumberFormat="1"/>
    <xf borderId="12" fillId="4" fontId="5" numFmtId="1" xfId="0" applyBorder="1" applyFont="1" applyNumberFormat="1"/>
    <xf borderId="12" fillId="5" fontId="4" numFmtId="1" xfId="0" applyBorder="1" applyFont="1" applyNumberFormat="1"/>
    <xf borderId="14" fillId="2" fontId="5" numFmtId="9" xfId="0" applyBorder="1" applyFont="1" applyNumberFormat="1"/>
    <xf borderId="14" fillId="2" fontId="5" numFmtId="175" xfId="0" applyBorder="1" applyFont="1" applyNumberFormat="1"/>
    <xf borderId="14" fillId="3" fontId="5" numFmtId="175" xfId="0" applyBorder="1" applyFont="1" applyNumberFormat="1"/>
    <xf borderId="14" fillId="4" fontId="5" numFmtId="175" xfId="0" applyBorder="1" applyFont="1" applyNumberFormat="1"/>
    <xf borderId="14" fillId="4" fontId="5" numFmtId="167" xfId="0" applyBorder="1" applyFont="1" applyNumberFormat="1"/>
    <xf borderId="14" fillId="2" fontId="5" numFmtId="167" xfId="0" applyBorder="1" applyFont="1" applyNumberFormat="1"/>
    <xf borderId="14" fillId="3" fontId="5" numFmtId="167" xfId="0" applyBorder="1" applyFont="1" applyNumberFormat="1"/>
    <xf borderId="14" fillId="5" fontId="5" numFmtId="167" xfId="0" applyBorder="1" applyFont="1" applyNumberFormat="1"/>
    <xf borderId="13" fillId="2" fontId="5" numFmtId="9" xfId="0" applyBorder="1" applyFont="1" applyNumberFormat="1"/>
    <xf borderId="1" fillId="5" fontId="5" numFmtId="175" xfId="0" applyBorder="1" applyFont="1" applyNumberFormat="1"/>
    <xf borderId="15" fillId="2" fontId="5" numFmtId="0" xfId="0" applyBorder="1" applyFont="1"/>
    <xf borderId="1" fillId="3" fontId="19" numFmtId="0" xfId="0" applyBorder="1" applyFont="1"/>
    <xf borderId="1" fillId="4" fontId="30" numFmtId="3" xfId="0" applyBorder="1" applyFont="1" applyNumberFormat="1"/>
    <xf borderId="1" fillId="2" fontId="7" numFmtId="0" xfId="0" applyBorder="1" applyFont="1"/>
    <xf borderId="1" fillId="3" fontId="19" numFmtId="3" xfId="0" applyBorder="1" applyFont="1" applyNumberFormat="1"/>
    <xf borderId="14" fillId="2" fontId="4" numFmtId="167" xfId="0" applyBorder="1" applyFont="1" applyNumberFormat="1"/>
    <xf borderId="14" fillId="4" fontId="4" numFmtId="167" xfId="0" applyBorder="1" applyFont="1" applyNumberFormat="1"/>
    <xf borderId="14" fillId="5" fontId="4" numFmtId="167" xfId="0" applyBorder="1" applyFont="1" applyNumberFormat="1"/>
    <xf borderId="3" fillId="2" fontId="4" numFmtId="0" xfId="0" applyAlignment="1" applyBorder="1" applyFont="1">
      <alignment horizontal="left"/>
    </xf>
    <xf borderId="3" fillId="2" fontId="5" numFmtId="0" xfId="0" applyBorder="1" applyFont="1"/>
    <xf borderId="3" fillId="2" fontId="4" numFmtId="3" xfId="0" applyBorder="1" applyFont="1" applyNumberFormat="1"/>
    <xf borderId="3" fillId="2" fontId="6" numFmtId="3" xfId="0" applyBorder="1" applyFont="1" applyNumberFormat="1"/>
    <xf borderId="3" fillId="3" fontId="6" numFmtId="3" xfId="0" applyBorder="1" applyFont="1" applyNumberFormat="1"/>
    <xf borderId="3" fillId="4" fontId="4" numFmtId="3" xfId="0" applyBorder="1" applyFont="1" applyNumberFormat="1"/>
    <xf borderId="3" fillId="5" fontId="4" numFmtId="3" xfId="0" applyBorder="1" applyFont="1" applyNumberFormat="1"/>
    <xf borderId="3" fillId="4" fontId="6" numFmtId="3" xfId="0" applyBorder="1" applyFont="1" applyNumberFormat="1"/>
    <xf borderId="13" fillId="2" fontId="4" numFmtId="0" xfId="0" applyAlignment="1" applyBorder="1" applyFont="1">
      <alignment horizontal="left"/>
    </xf>
    <xf borderId="13" fillId="2" fontId="5" numFmtId="167" xfId="0" applyBorder="1" applyFont="1" applyNumberFormat="1"/>
    <xf borderId="13" fillId="5" fontId="4" numFmtId="167" xfId="0" applyBorder="1" applyFont="1" applyNumberFormat="1"/>
    <xf borderId="14" fillId="5" fontId="5" numFmtId="175" xfId="0" applyBorder="1" applyFont="1" applyNumberFormat="1"/>
    <xf borderId="3" fillId="2" fontId="4" numFmtId="0" xfId="0" applyBorder="1" applyFont="1"/>
    <xf borderId="3" fillId="2" fontId="4" numFmtId="167" xfId="0" applyBorder="1" applyFont="1" applyNumberFormat="1"/>
    <xf borderId="3" fillId="2" fontId="5" numFmtId="167" xfId="0" applyBorder="1" applyFont="1" applyNumberFormat="1"/>
    <xf borderId="3" fillId="4" fontId="4" numFmtId="167" xfId="0" applyBorder="1" applyFont="1" applyNumberFormat="1"/>
    <xf borderId="3" fillId="5" fontId="4" numFmtId="167" xfId="0" applyBorder="1" applyFont="1" applyNumberFormat="1"/>
    <xf borderId="3" fillId="4" fontId="5" numFmtId="167" xfId="0" applyBorder="1" applyFont="1" applyNumberFormat="1"/>
    <xf borderId="14" fillId="3" fontId="5" numFmtId="9" xfId="0" applyBorder="1" applyFont="1" applyNumberFormat="1"/>
    <xf borderId="14" fillId="4" fontId="5" numFmtId="9" xfId="0" applyBorder="1" applyFont="1" applyNumberFormat="1"/>
    <xf borderId="14" fillId="5" fontId="5" numFmtId="9" xfId="0" applyBorder="1" applyFont="1" applyNumberFormat="1"/>
    <xf borderId="14" fillId="3" fontId="4" numFmtId="167" xfId="0" applyBorder="1" applyFont="1" applyNumberFormat="1"/>
    <xf borderId="14" fillId="2" fontId="4" numFmtId="3" xfId="0" applyBorder="1" applyFont="1" applyNumberFormat="1"/>
    <xf borderId="14" fillId="4" fontId="4" numFmtId="3" xfId="0" applyBorder="1" applyFont="1" applyNumberFormat="1"/>
    <xf borderId="14" fillId="5" fontId="4" numFmtId="3" xfId="0" applyBorder="1" applyFont="1" applyNumberFormat="1"/>
    <xf borderId="16" fillId="2" fontId="5" numFmtId="167" xfId="0" applyBorder="1" applyFont="1" applyNumberFormat="1"/>
    <xf borderId="16" fillId="3" fontId="5" numFmtId="167" xfId="0" applyBorder="1" applyFont="1" applyNumberFormat="1"/>
    <xf borderId="16" fillId="4" fontId="5" numFmtId="167" xfId="0" applyBorder="1" applyFont="1" applyNumberFormat="1"/>
    <xf borderId="16" fillId="5" fontId="5" numFmtId="167" xfId="0" applyBorder="1" applyFont="1" applyNumberFormat="1"/>
    <xf borderId="1" fillId="3" fontId="5" numFmtId="0" xfId="0" applyAlignment="1" applyBorder="1" applyFont="1">
      <alignment horizontal="right"/>
    </xf>
    <xf borderId="1" fillId="4" fontId="5" numFmtId="0" xfId="0" applyAlignment="1" applyBorder="1" applyFont="1">
      <alignment horizontal="right"/>
    </xf>
    <xf borderId="1" fillId="5" fontId="5" numFmtId="0" xfId="0" applyAlignment="1" applyBorder="1" applyFont="1">
      <alignment horizontal="right"/>
    </xf>
    <xf borderId="1" fillId="2" fontId="13" numFmtId="167" xfId="0" applyAlignment="1" applyBorder="1" applyFont="1" applyNumberFormat="1">
      <alignment horizontal="left"/>
    </xf>
    <xf borderId="1" fillId="2" fontId="8" numFmtId="181" xfId="0" applyBorder="1" applyFont="1" applyNumberFormat="1"/>
    <xf borderId="1" fillId="3" fontId="8" numFmtId="181" xfId="0" applyBorder="1" applyFont="1" applyNumberFormat="1"/>
    <xf borderId="1" fillId="4" fontId="8" numFmtId="181" xfId="0" applyBorder="1" applyFont="1" applyNumberFormat="1"/>
    <xf borderId="1" fillId="5" fontId="8" numFmtId="181" xfId="0" applyBorder="1" applyFont="1" applyNumberFormat="1"/>
    <xf borderId="1" fillId="2" fontId="4" numFmtId="167" xfId="0" applyAlignment="1" applyBorder="1" applyFont="1" applyNumberFormat="1">
      <alignment horizontal="right"/>
    </xf>
    <xf borderId="1" fillId="2" fontId="5" numFmtId="167" xfId="0" applyAlignment="1" applyBorder="1" applyFont="1" applyNumberFormat="1">
      <alignment horizontal="right"/>
    </xf>
    <xf borderId="1" fillId="3" fontId="5" numFmtId="167" xfId="0" applyAlignment="1" applyBorder="1" applyFont="1" applyNumberFormat="1">
      <alignment horizontal="right"/>
    </xf>
    <xf borderId="1" fillId="4" fontId="4" numFmtId="167" xfId="0" applyAlignment="1" applyBorder="1" applyFont="1" applyNumberFormat="1">
      <alignment horizontal="right"/>
    </xf>
    <xf borderId="1" fillId="5" fontId="4" numFmtId="167" xfId="0" applyAlignment="1" applyBorder="1" applyFont="1" applyNumberFormat="1">
      <alignment horizontal="right"/>
    </xf>
    <xf borderId="1" fillId="4" fontId="5" numFmtId="167" xfId="0" applyAlignment="1" applyBorder="1" applyFont="1" applyNumberFormat="1">
      <alignment horizontal="right"/>
    </xf>
    <xf borderId="1" fillId="2" fontId="8" numFmtId="167" xfId="0" applyAlignment="1" applyBorder="1" applyFont="1" applyNumberFormat="1">
      <alignment horizontal="right"/>
    </xf>
    <xf borderId="1" fillId="4" fontId="8" numFmtId="167" xfId="0" applyAlignment="1" applyBorder="1" applyFont="1" applyNumberFormat="1">
      <alignment horizontal="right"/>
    </xf>
    <xf borderId="1" fillId="5" fontId="8" numFmtId="167" xfId="0" applyAlignment="1" applyBorder="1" applyFont="1" applyNumberFormat="1">
      <alignment horizontal="right"/>
    </xf>
    <xf borderId="14" fillId="2" fontId="5" numFmtId="167" xfId="0" applyAlignment="1" applyBorder="1" applyFont="1" applyNumberFormat="1">
      <alignment horizontal="right"/>
    </xf>
    <xf borderId="14" fillId="3" fontId="5" numFmtId="167" xfId="0" applyAlignment="1" applyBorder="1" applyFont="1" applyNumberFormat="1">
      <alignment horizontal="right"/>
    </xf>
    <xf borderId="14" fillId="4" fontId="5" numFmtId="167" xfId="0" applyAlignment="1" applyBorder="1" applyFont="1" applyNumberFormat="1">
      <alignment horizontal="right"/>
    </xf>
    <xf borderId="14" fillId="5" fontId="5" numFmtId="167" xfId="0" applyAlignment="1" applyBorder="1" applyFont="1" applyNumberFormat="1">
      <alignment horizontal="right"/>
    </xf>
    <xf borderId="1" fillId="5" fontId="6" numFmtId="167" xfId="0" applyBorder="1" applyFont="1" applyNumberFormat="1"/>
    <xf borderId="1" fillId="2" fontId="8" numFmtId="167" xfId="0" applyBorder="1" applyFont="1" applyNumberFormat="1"/>
    <xf borderId="1" fillId="5" fontId="8" numFmtId="167" xfId="0" applyBorder="1" applyFont="1" applyNumberFormat="1"/>
    <xf borderId="14" fillId="2" fontId="6" numFmtId="167" xfId="0" applyBorder="1" applyFont="1" applyNumberFormat="1"/>
    <xf borderId="14" fillId="3" fontId="6" numFmtId="167" xfId="0" applyBorder="1" applyFont="1" applyNumberFormat="1"/>
    <xf borderId="14" fillId="4" fontId="6" numFmtId="167" xfId="0" applyBorder="1" applyFont="1" applyNumberFormat="1"/>
    <xf borderId="1" fillId="2" fontId="5" numFmtId="177" xfId="0" applyBorder="1" applyFont="1" applyNumberFormat="1"/>
    <xf borderId="1" fillId="3" fontId="5" numFmtId="177" xfId="0" applyBorder="1" applyFont="1" applyNumberFormat="1"/>
    <xf borderId="1" fillId="4" fontId="5" numFmtId="177" xfId="0" applyBorder="1" applyFont="1" applyNumberFormat="1"/>
    <xf borderId="15" fillId="2" fontId="5" numFmtId="1" xfId="0" applyBorder="1" applyFont="1" applyNumberFormat="1"/>
    <xf borderId="1" fillId="4" fontId="5" numFmtId="1" xfId="0" applyBorder="1" applyFont="1" applyNumberFormat="1"/>
    <xf borderId="1" fillId="9" fontId="4" numFmtId="3" xfId="0" applyBorder="1" applyFont="1" applyNumberFormat="1"/>
    <xf borderId="13" fillId="2" fontId="4" numFmtId="171" xfId="0" applyAlignment="1" applyBorder="1" applyFont="1" applyNumberFormat="1">
      <alignment horizontal="left"/>
    </xf>
    <xf borderId="13" fillId="2" fontId="4" numFmtId="3" xfId="0" applyBorder="1" applyFont="1" applyNumberFormat="1"/>
    <xf borderId="13" fillId="2" fontId="5" numFmtId="3" xfId="0" applyBorder="1" applyFont="1" applyNumberFormat="1"/>
    <xf borderId="13" fillId="3" fontId="5" numFmtId="3" xfId="0" applyBorder="1" applyFont="1" applyNumberFormat="1"/>
    <xf borderId="13" fillId="4" fontId="4" numFmtId="3" xfId="0" applyBorder="1" applyFont="1" applyNumberFormat="1"/>
    <xf borderId="13" fillId="5" fontId="4" numFmtId="3" xfId="0" applyBorder="1" applyFont="1" applyNumberFormat="1"/>
    <xf borderId="13" fillId="4" fontId="5" numFmtId="3" xfId="0" applyBorder="1" applyFont="1" applyNumberFormat="1"/>
    <xf borderId="1" fillId="2" fontId="4" numFmtId="171" xfId="0" applyAlignment="1" applyBorder="1" applyFont="1" applyNumberFormat="1">
      <alignment horizontal="left"/>
    </xf>
    <xf borderId="12" fillId="2" fontId="6" numFmtId="167" xfId="0" applyBorder="1" applyFont="1" applyNumberFormat="1"/>
    <xf borderId="12" fillId="4" fontId="6" numFmtId="167" xfId="0" applyBorder="1" applyFont="1" applyNumberFormat="1"/>
    <xf borderId="17" fillId="2" fontId="4" numFmtId="3" xfId="0" applyBorder="1" applyFont="1" applyNumberFormat="1"/>
    <xf borderId="17" fillId="2" fontId="5" numFmtId="3" xfId="0" applyBorder="1" applyFont="1" applyNumberFormat="1"/>
    <xf borderId="17" fillId="3" fontId="5" numFmtId="3" xfId="0" applyBorder="1" applyFont="1" applyNumberFormat="1"/>
    <xf borderId="17" fillId="4" fontId="4" numFmtId="3" xfId="0" applyBorder="1" applyFont="1" applyNumberFormat="1"/>
    <xf borderId="17" fillId="5" fontId="4" numFmtId="3" xfId="0" applyBorder="1" applyFont="1" applyNumberFormat="1"/>
    <xf borderId="17" fillId="4" fontId="5" numFmtId="3" xfId="0" applyBorder="1" applyFont="1" applyNumberFormat="1"/>
    <xf borderId="11" fillId="2" fontId="4" numFmtId="167" xfId="0" applyBorder="1" applyFont="1" applyNumberFormat="1"/>
    <xf borderId="11" fillId="2" fontId="6" numFmtId="167" xfId="0" applyBorder="1" applyFont="1" applyNumberFormat="1"/>
    <xf borderId="11" fillId="3" fontId="6" numFmtId="167" xfId="0" applyBorder="1" applyFont="1" applyNumberFormat="1"/>
    <xf borderId="11" fillId="4" fontId="4" numFmtId="167" xfId="0" applyBorder="1" applyFont="1" applyNumberFormat="1"/>
    <xf borderId="11" fillId="5" fontId="4" numFmtId="167" xfId="0" applyBorder="1" applyFont="1" applyNumberFormat="1"/>
    <xf borderId="11" fillId="4" fontId="6" numFmtId="167" xfId="0" applyBorder="1" applyFont="1" applyNumberFormat="1"/>
    <xf borderId="1" fillId="2" fontId="5" numFmtId="171" xfId="0" applyBorder="1" applyFont="1" applyNumberFormat="1"/>
    <xf borderId="1" fillId="3" fontId="5" numFmtId="171" xfId="0" applyBorder="1" applyFont="1" applyNumberFormat="1"/>
    <xf borderId="1" fillId="4" fontId="5" numFmtId="171" xfId="0" applyBorder="1" applyFont="1" applyNumberFormat="1"/>
    <xf borderId="12" fillId="2" fontId="4" numFmtId="171" xfId="0" applyBorder="1" applyFont="1" applyNumberFormat="1"/>
    <xf borderId="3" fillId="2" fontId="8" numFmtId="3" xfId="0" applyBorder="1" applyFont="1" applyNumberFormat="1"/>
    <xf borderId="3" fillId="4" fontId="8" numFmtId="3" xfId="0" applyBorder="1" applyFont="1" applyNumberFormat="1"/>
    <xf borderId="3" fillId="5" fontId="8" numFmtId="3" xfId="0" applyBorder="1" applyFont="1" applyNumberFormat="1"/>
    <xf borderId="11" fillId="2" fontId="8" numFmtId="3" xfId="0" applyBorder="1" applyFont="1" applyNumberFormat="1"/>
    <xf borderId="11" fillId="3" fontId="8" numFmtId="3" xfId="0" applyBorder="1" applyFont="1" applyNumberFormat="1"/>
    <xf borderId="11" fillId="4" fontId="8" numFmtId="3" xfId="0" applyBorder="1" applyFont="1" applyNumberFormat="1"/>
    <xf borderId="11" fillId="5" fontId="8" numFmtId="3" xfId="0" applyBorder="1" applyFont="1" applyNumberFormat="1"/>
    <xf borderId="3" fillId="2" fontId="5" numFmtId="3" xfId="0" applyBorder="1" applyFont="1" applyNumberFormat="1"/>
    <xf borderId="3" fillId="3" fontId="5" numFmtId="3" xfId="0" applyBorder="1" applyFont="1" applyNumberFormat="1"/>
    <xf borderId="3" fillId="4" fontId="5" numFmtId="3" xfId="0" applyBorder="1" applyFont="1" applyNumberFormat="1"/>
    <xf borderId="13" fillId="3" fontId="4" numFmtId="3" xfId="0" applyBorder="1" applyFont="1" applyNumberFormat="1"/>
    <xf borderId="1" fillId="4" fontId="4" numFmtId="171" xfId="0" applyBorder="1" applyFont="1" applyNumberFormat="1"/>
    <xf borderId="1" fillId="5" fontId="4" numFmtId="171" xfId="0" applyBorder="1" applyFont="1" applyNumberFormat="1"/>
    <xf borderId="12" fillId="2" fontId="5" numFmtId="171" xfId="0" applyBorder="1" applyFont="1" applyNumberFormat="1"/>
    <xf borderId="12" fillId="3" fontId="5" numFmtId="171" xfId="0" applyBorder="1" applyFont="1" applyNumberFormat="1"/>
    <xf borderId="12" fillId="4" fontId="4" numFmtId="171" xfId="0" applyBorder="1" applyFont="1" applyNumberFormat="1"/>
    <xf borderId="12" fillId="5" fontId="4" numFmtId="171" xfId="0" applyBorder="1" applyFont="1" applyNumberFormat="1"/>
    <xf borderId="12" fillId="4" fontId="5" numFmtId="171" xfId="0" applyBorder="1" applyFont="1" applyNumberFormat="1"/>
    <xf borderId="1" fillId="9" fontId="4" numFmtId="171" xfId="0" applyBorder="1" applyFont="1" applyNumberFormat="1"/>
    <xf borderId="17" fillId="2" fontId="4" numFmtId="171" xfId="0" applyBorder="1" applyFont="1" applyNumberFormat="1"/>
    <xf borderId="3" fillId="2" fontId="4" numFmtId="171" xfId="0" applyBorder="1" applyFont="1" applyNumberFormat="1"/>
    <xf borderId="13" fillId="2" fontId="4" numFmtId="171" xfId="0" applyBorder="1" applyFont="1" applyNumberFormat="1"/>
    <xf borderId="1" fillId="3" fontId="4" numFmtId="177" xfId="0" applyBorder="1" applyFont="1" applyNumberFormat="1"/>
    <xf borderId="13" fillId="2" fontId="6" numFmtId="3" xfId="0" applyBorder="1" applyFont="1" applyNumberFormat="1"/>
    <xf borderId="13" fillId="3" fontId="6" numFmtId="3" xfId="0" applyBorder="1" applyFont="1" applyNumberFormat="1"/>
    <xf borderId="13" fillId="4" fontId="6" numFmtId="3" xfId="0" applyBorder="1" applyFont="1" applyNumberFormat="1"/>
    <xf borderId="15" fillId="2" fontId="5" numFmtId="171" xfId="0" applyBorder="1" applyFont="1" applyNumberFormat="1"/>
    <xf borderId="3" fillId="4" fontId="4" numFmtId="0" xfId="0" applyBorder="1" applyFont="1"/>
    <xf borderId="15" fillId="2" fontId="5" numFmtId="0" xfId="0" applyAlignment="1" applyBorder="1" applyFont="1">
      <alignment horizontal="left"/>
    </xf>
    <xf borderId="12" fillId="2" fontId="6" numFmtId="0" xfId="0" applyBorder="1" applyFont="1"/>
    <xf borderId="12" fillId="4" fontId="6" numFmtId="0" xfId="0" applyBorder="1" applyFont="1"/>
    <xf borderId="12" fillId="2" fontId="4" numFmtId="0" xfId="0" applyAlignment="1" applyBorder="1" applyFont="1">
      <alignment horizontal="right"/>
    </xf>
    <xf borderId="12" fillId="2" fontId="5" numFmtId="0" xfId="0" applyAlignment="1" applyBorder="1" applyFont="1">
      <alignment horizontal="right"/>
    </xf>
    <xf borderId="12" fillId="3" fontId="5" numFmtId="0" xfId="0" applyAlignment="1" applyBorder="1" applyFont="1">
      <alignment horizontal="right"/>
    </xf>
    <xf borderId="12" fillId="4" fontId="4" numFmtId="0" xfId="0" applyAlignment="1" applyBorder="1" applyFont="1">
      <alignment horizontal="right"/>
    </xf>
    <xf borderId="1" fillId="4" fontId="4" numFmtId="0" xfId="0" applyAlignment="1" applyBorder="1" applyFont="1">
      <alignment horizontal="right"/>
    </xf>
    <xf borderId="12" fillId="5" fontId="4" numFmtId="0" xfId="0" applyAlignment="1" applyBorder="1" applyFont="1">
      <alignment horizontal="right"/>
    </xf>
    <xf borderId="12" fillId="4" fontId="5" numFmtId="0" xfId="0" applyAlignment="1" applyBorder="1" applyFont="1">
      <alignment horizontal="right"/>
    </xf>
    <xf borderId="12" fillId="2" fontId="5" numFmtId="177" xfId="0" applyBorder="1" applyFont="1" applyNumberFormat="1"/>
    <xf borderId="12" fillId="3" fontId="5" numFmtId="177" xfId="0" applyBorder="1" applyFont="1" applyNumberFormat="1"/>
    <xf borderId="12" fillId="4" fontId="5" numFmtId="177" xfId="0" applyBorder="1" applyFont="1" applyNumberFormat="1"/>
    <xf borderId="12" fillId="5" fontId="5" numFmtId="177" xfId="0" applyBorder="1" applyFont="1" applyNumberFormat="1"/>
    <xf borderId="1" fillId="2" fontId="4" numFmtId="182" xfId="0" applyBorder="1" applyFont="1" applyNumberFormat="1"/>
    <xf borderId="1" fillId="14" fontId="5" numFmtId="182" xfId="0" applyBorder="1" applyFill="1" applyFont="1" applyNumberFormat="1"/>
    <xf borderId="1" fillId="14" fontId="4" numFmtId="182" xfId="0" applyBorder="1" applyFont="1" applyNumberFormat="1"/>
    <xf borderId="1" fillId="3" fontId="5" numFmtId="182" xfId="0" applyBorder="1" applyFont="1" applyNumberFormat="1"/>
    <xf borderId="1" fillId="4" fontId="4" numFmtId="182" xfId="0" applyBorder="1" applyFont="1" applyNumberFormat="1"/>
    <xf borderId="1" fillId="14" fontId="7" numFmtId="182" xfId="0" applyBorder="1" applyFont="1" applyNumberFormat="1"/>
    <xf borderId="1" fillId="5" fontId="4" numFmtId="182" xfId="0" applyBorder="1" applyFont="1" applyNumberFormat="1"/>
    <xf borderId="1" fillId="4" fontId="5" numFmtId="182" xfId="0" applyBorder="1" applyFont="1" applyNumberFormat="1"/>
    <xf borderId="1" fillId="2" fontId="6" numFmtId="177" xfId="0" applyBorder="1" applyFont="1" applyNumberFormat="1"/>
    <xf borderId="14" fillId="2" fontId="5" numFmtId="177" xfId="0" applyBorder="1" applyFont="1" applyNumberFormat="1"/>
    <xf borderId="14" fillId="2" fontId="6" numFmtId="177" xfId="0" applyBorder="1" applyFont="1" applyNumberFormat="1"/>
    <xf borderId="14" fillId="3" fontId="6" numFmtId="177" xfId="0" applyBorder="1" applyFont="1" applyNumberFormat="1"/>
    <xf borderId="14" fillId="4" fontId="5" numFmtId="177" xfId="0" applyBorder="1" applyFont="1" applyNumberFormat="1"/>
    <xf borderId="14" fillId="5" fontId="5" numFmtId="177" xfId="0" applyBorder="1" applyFont="1" applyNumberFormat="1"/>
    <xf borderId="14" fillId="4" fontId="6" numFmtId="177" xfId="0" applyBorder="1" applyFont="1" applyNumberFormat="1"/>
    <xf borderId="1" fillId="9" fontId="4" numFmtId="167" xfId="0" applyBorder="1" applyFont="1" applyNumberFormat="1"/>
    <xf borderId="1" fillId="2" fontId="13" numFmtId="167" xfId="0" applyBorder="1" applyFont="1" applyNumberFormat="1"/>
    <xf borderId="1" fillId="2" fontId="4" numFmtId="177" xfId="0" applyAlignment="1" applyBorder="1" applyFont="1" applyNumberFormat="1">
      <alignment horizontal="left"/>
    </xf>
    <xf borderId="14" fillId="3" fontId="5" numFmtId="177" xfId="0" applyBorder="1" applyFont="1" applyNumberFormat="1"/>
    <xf borderId="1" fillId="5" fontId="5" numFmtId="0" xfId="0" applyBorder="1" applyFont="1"/>
    <xf borderId="15" fillId="2" fontId="4" numFmtId="0" xfId="0" applyBorder="1" applyFont="1"/>
    <xf borderId="14" fillId="2" fontId="4" numFmtId="0" xfId="0" applyBorder="1" applyFont="1"/>
    <xf borderId="14" fillId="2" fontId="4" numFmtId="171" xfId="0" applyBorder="1" applyFont="1" applyNumberFormat="1"/>
    <xf borderId="14" fillId="4" fontId="4" numFmtId="171" xfId="0" applyBorder="1" applyFont="1" applyNumberFormat="1"/>
    <xf borderId="14" fillId="5" fontId="4" numFmtId="171" xfId="0" applyBorder="1" applyFont="1" applyNumberFormat="1"/>
    <xf borderId="14" fillId="2" fontId="6" numFmtId="0" xfId="0" applyBorder="1" applyFont="1"/>
    <xf borderId="14" fillId="3" fontId="6" numFmtId="0" xfId="0" applyBorder="1" applyFont="1"/>
    <xf borderId="14" fillId="4" fontId="6" numFmtId="0" xfId="0" applyBorder="1" applyFont="1"/>
    <xf borderId="5" fillId="2" fontId="6" numFmtId="164" xfId="0" applyAlignment="1" applyBorder="1" applyFont="1" applyNumberFormat="1">
      <alignment horizontal="center"/>
    </xf>
    <xf borderId="5" fillId="2" fontId="4" numFmtId="164" xfId="0" applyAlignment="1" applyBorder="1" applyFont="1" applyNumberFormat="1">
      <alignment horizontal="center"/>
    </xf>
    <xf borderId="18" fillId="2" fontId="4" numFmtId="164" xfId="0" applyAlignment="1" applyBorder="1" applyFont="1" applyNumberFormat="1">
      <alignment horizontal="center"/>
    </xf>
    <xf borderId="18" fillId="2" fontId="6" numFmtId="164" xfId="0" applyAlignment="1" applyBorder="1" applyFont="1" applyNumberFormat="1">
      <alignment horizontal="center"/>
    </xf>
    <xf borderId="11" fillId="2" fontId="4" numFmtId="164" xfId="0" applyAlignment="1" applyBorder="1" applyFont="1" applyNumberFormat="1">
      <alignment horizontal="center"/>
    </xf>
    <xf borderId="1" fillId="3" fontId="19" numFmtId="167" xfId="0" applyBorder="1" applyFont="1" applyNumberFormat="1"/>
    <xf borderId="1" fillId="3" fontId="19" numFmtId="2" xfId="0" applyBorder="1" applyFont="1" applyNumberFormat="1"/>
    <xf borderId="1" fillId="4" fontId="8" numFmtId="0" xfId="0" applyBorder="1" applyFont="1"/>
    <xf borderId="1" fillId="5" fontId="8" numFmtId="0" xfId="0" applyBorder="1" applyFont="1"/>
    <xf borderId="1" fillId="2" fontId="34" numFmtId="0" xfId="0" applyBorder="1" applyFont="1"/>
    <xf borderId="1" fillId="3" fontId="6" numFmtId="1" xfId="0" applyBorder="1" applyFont="1" applyNumberFormat="1"/>
    <xf borderId="1" fillId="2" fontId="35" numFmtId="0" xfId="0" applyBorder="1" applyFont="1"/>
    <xf borderId="1" fillId="2" fontId="8" numFmtId="0" xfId="0" applyAlignment="1" applyBorder="1" applyFont="1">
      <alignment horizontal="center"/>
    </xf>
    <xf borderId="1" fillId="2" fontId="6" numFmtId="0" xfId="0" applyAlignment="1" applyBorder="1" applyFont="1">
      <alignment horizontal="left"/>
    </xf>
    <xf borderId="1" fillId="2" fontId="6" numFmtId="0" xfId="0" applyAlignment="1" applyBorder="1" applyFont="1">
      <alignment horizontal="center"/>
    </xf>
    <xf borderId="1" fillId="2" fontId="6" numFmtId="38" xfId="0" applyAlignment="1" applyBorder="1" applyFont="1" applyNumberFormat="1">
      <alignment horizontal="center"/>
    </xf>
    <xf borderId="1" fillId="3" fontId="6" numFmtId="0" xfId="0" applyAlignment="1" applyBorder="1" applyFont="1">
      <alignment horizontal="center"/>
    </xf>
    <xf borderId="12" fillId="4" fontId="6" numFmtId="38" xfId="0" applyBorder="1" applyFont="1" applyNumberFormat="1"/>
    <xf borderId="1" fillId="2" fontId="8" numFmtId="0" xfId="0" applyAlignment="1" applyBorder="1" applyFont="1">
      <alignment horizontal="right"/>
    </xf>
    <xf borderId="1" fillId="2" fontId="35" numFmtId="0" xfId="0" applyAlignment="1" applyBorder="1" applyFont="1">
      <alignment horizontal="right"/>
    </xf>
    <xf borderId="1" fillId="2" fontId="6" numFmtId="17" xfId="0" applyAlignment="1" applyBorder="1" applyFont="1" applyNumberFormat="1">
      <alignment horizontal="right" shrinkToFit="0" wrapText="1"/>
    </xf>
    <xf borderId="1" fillId="3" fontId="6" numFmtId="17" xfId="0" applyAlignment="1" applyBorder="1" applyFont="1" applyNumberFormat="1">
      <alignment horizontal="right" shrinkToFit="0" wrapText="1"/>
    </xf>
    <xf borderId="1" fillId="4" fontId="6" numFmtId="17" xfId="0" applyAlignment="1" applyBorder="1" applyFont="1" applyNumberFormat="1">
      <alignment horizontal="right" shrinkToFit="0" wrapText="1"/>
    </xf>
    <xf borderId="1" fillId="5" fontId="6" numFmtId="17" xfId="0" applyAlignment="1" applyBorder="1" applyFont="1" applyNumberFormat="1">
      <alignment horizontal="right" shrinkToFit="0" wrapText="1"/>
    </xf>
    <xf quotePrefix="1" borderId="1" fillId="2" fontId="6" numFmtId="17" xfId="0" applyAlignment="1" applyBorder="1" applyFont="1" applyNumberFormat="1">
      <alignment horizontal="right" shrinkToFit="0" wrapText="1"/>
    </xf>
    <xf borderId="1" fillId="3" fontId="6" numFmtId="17" xfId="0" applyAlignment="1" applyBorder="1" applyFont="1" applyNumberFormat="1">
      <alignment horizontal="right"/>
    </xf>
    <xf borderId="11" fillId="2" fontId="4" numFmtId="3" xfId="0" applyAlignment="1" applyBorder="1" applyFont="1" applyNumberFormat="1">
      <alignment horizontal="right"/>
    </xf>
    <xf borderId="1" fillId="2" fontId="8" numFmtId="167" xfId="0" applyAlignment="1" applyBorder="1" applyFont="1" applyNumberFormat="1">
      <alignment horizontal="left"/>
    </xf>
    <xf borderId="1" fillId="2" fontId="8" numFmtId="177" xfId="0" applyBorder="1" applyFont="1" applyNumberFormat="1"/>
    <xf borderId="1" fillId="2" fontId="8" numFmtId="177" xfId="0" applyAlignment="1" applyBorder="1" applyFont="1" applyNumberFormat="1">
      <alignment horizontal="left"/>
    </xf>
    <xf borderId="3" fillId="2" fontId="6" numFmtId="183" xfId="0" applyAlignment="1" applyBorder="1" applyFont="1" applyNumberFormat="1">
      <alignment horizontal="left"/>
    </xf>
    <xf borderId="3" fillId="2" fontId="6" numFmtId="0" xfId="0" applyAlignment="1" applyBorder="1" applyFont="1">
      <alignment horizontal="left"/>
    </xf>
    <xf borderId="3" fillId="5" fontId="6" numFmtId="3" xfId="0" applyBorder="1" applyFont="1" applyNumberFormat="1"/>
    <xf borderId="1" fillId="2" fontId="8" numFmtId="183" xfId="0" applyAlignment="1" applyBorder="1" applyFont="1" applyNumberFormat="1">
      <alignment horizontal="left"/>
    </xf>
    <xf borderId="18" fillId="2" fontId="8" numFmtId="3" xfId="0" applyBorder="1" applyFont="1" applyNumberFormat="1"/>
    <xf borderId="18" fillId="2" fontId="6" numFmtId="3" xfId="0" applyBorder="1" applyFont="1" applyNumberFormat="1"/>
    <xf borderId="19" fillId="0" fontId="8" numFmtId="3" xfId="0" applyBorder="1" applyFont="1" applyNumberFormat="1"/>
    <xf borderId="18" fillId="2" fontId="4" numFmtId="3" xfId="0" applyBorder="1" applyFont="1" applyNumberFormat="1"/>
    <xf borderId="18" fillId="2" fontId="30" numFmtId="3" xfId="0" applyBorder="1" applyFont="1" applyNumberFormat="1"/>
    <xf borderId="18" fillId="3" fontId="6" numFmtId="3" xfId="0" applyBorder="1" applyFont="1" applyNumberFormat="1"/>
    <xf borderId="18" fillId="4" fontId="30" numFmtId="3" xfId="0" applyBorder="1" applyFont="1" applyNumberFormat="1"/>
    <xf borderId="18" fillId="4" fontId="8" numFmtId="3" xfId="0" applyBorder="1" applyFont="1" applyNumberFormat="1"/>
    <xf borderId="18" fillId="5" fontId="8" numFmtId="3" xfId="0" applyBorder="1" applyFont="1" applyNumberFormat="1"/>
    <xf borderId="1" fillId="4" fontId="8" numFmtId="177" xfId="0" applyBorder="1" applyFont="1" applyNumberFormat="1"/>
    <xf borderId="1" fillId="5" fontId="8" numFmtId="177" xfId="0" applyBorder="1" applyFont="1" applyNumberFormat="1"/>
    <xf borderId="14" fillId="2" fontId="6" numFmtId="183" xfId="0" applyAlignment="1" applyBorder="1" applyFont="1" applyNumberFormat="1">
      <alignment horizontal="left"/>
    </xf>
    <xf borderId="1" fillId="2" fontId="6" numFmtId="183" xfId="0" applyAlignment="1" applyBorder="1" applyFont="1" applyNumberFormat="1">
      <alignment horizontal="left"/>
    </xf>
    <xf borderId="14" fillId="2" fontId="33" numFmtId="3" xfId="0" applyBorder="1" applyFont="1" applyNumberFormat="1"/>
    <xf borderId="3" fillId="2" fontId="33" numFmtId="3" xfId="0" applyBorder="1" applyFont="1" applyNumberFormat="1"/>
    <xf borderId="1" fillId="8" fontId="16" numFmtId="0" xfId="0" applyBorder="1" applyFont="1"/>
    <xf borderId="1" fillId="8" fontId="16" numFmtId="171" xfId="0" applyBorder="1" applyFont="1" applyNumberFormat="1"/>
    <xf borderId="1" fillId="8" fontId="28" numFmtId="171" xfId="0" applyBorder="1" applyFont="1" applyNumberFormat="1"/>
    <xf borderId="1" fillId="8" fontId="28" numFmtId="184" xfId="0" applyBorder="1" applyFont="1" applyNumberFormat="1"/>
    <xf borderId="1" fillId="8" fontId="16" numFmtId="184" xfId="0" applyBorder="1" applyFont="1" applyNumberFormat="1"/>
    <xf borderId="1" fillId="5" fontId="16" numFmtId="185" xfId="0" applyBorder="1" applyFont="1" applyNumberFormat="1"/>
    <xf borderId="1" fillId="8" fontId="16" numFmtId="185" xfId="0" applyBorder="1" applyFont="1" applyNumberFormat="1"/>
    <xf borderId="1" fillId="8" fontId="28" numFmtId="185" xfId="0" applyBorder="1" applyFont="1" applyNumberFormat="1"/>
    <xf borderId="1" fillId="2" fontId="8" numFmtId="186" xfId="0" applyBorder="1" applyFont="1" applyNumberFormat="1"/>
    <xf borderId="1" fillId="2" fontId="6" numFmtId="186" xfId="0" applyBorder="1" applyFont="1" applyNumberFormat="1"/>
    <xf borderId="1" fillId="3" fontId="6" numFmtId="186" xfId="0" applyBorder="1" applyFont="1" applyNumberFormat="1"/>
    <xf borderId="1" fillId="4" fontId="8" numFmtId="186" xfId="0" applyBorder="1" applyFont="1" applyNumberFormat="1"/>
    <xf borderId="1" fillId="5" fontId="7" numFmtId="186" xfId="0" applyBorder="1" applyFont="1" applyNumberFormat="1"/>
    <xf borderId="1" fillId="2" fontId="7" numFmtId="186" xfId="0" applyBorder="1" applyFont="1" applyNumberFormat="1"/>
    <xf borderId="1" fillId="5" fontId="8" numFmtId="186" xfId="0" applyBorder="1" applyFont="1" applyNumberFormat="1"/>
    <xf borderId="1" fillId="2" fontId="5" numFmtId="186" xfId="0" applyBorder="1" applyFont="1" applyNumberFormat="1"/>
    <xf borderId="1" fillId="2" fontId="4" numFmtId="186" xfId="0" applyBorder="1" applyFont="1" applyNumberFormat="1"/>
    <xf borderId="12" fillId="2" fontId="8" numFmtId="186" xfId="0" applyBorder="1" applyFont="1" applyNumberFormat="1"/>
    <xf borderId="1" fillId="2" fontId="4" numFmtId="2" xfId="0" applyBorder="1" applyFont="1" applyNumberFormat="1"/>
    <xf borderId="1" fillId="3" fontId="8" numFmtId="0" xfId="0" applyAlignment="1" applyBorder="1" applyFont="1">
      <alignment horizontal="right"/>
    </xf>
    <xf borderId="1" fillId="3" fontId="8" numFmtId="3" xfId="0" applyAlignment="1" applyBorder="1" applyFont="1" applyNumberFormat="1">
      <alignment horizontal="right"/>
    </xf>
    <xf borderId="1" fillId="2" fontId="8" numFmtId="3" xfId="0" applyAlignment="1" applyBorder="1" applyFont="1" applyNumberFormat="1">
      <alignment horizontal="right"/>
    </xf>
    <xf borderId="1" fillId="2" fontId="6" numFmtId="3" xfId="0" applyAlignment="1" applyBorder="1" applyFont="1" applyNumberFormat="1">
      <alignment horizontal="right"/>
    </xf>
    <xf borderId="1" fillId="3" fontId="6" numFmtId="3" xfId="0" applyAlignment="1" applyBorder="1" applyFont="1" applyNumberFormat="1">
      <alignment horizontal="right"/>
    </xf>
    <xf borderId="1" fillId="4" fontId="8" numFmtId="3" xfId="0" applyAlignment="1" applyBorder="1" applyFont="1" applyNumberFormat="1">
      <alignment horizontal="right"/>
    </xf>
    <xf borderId="1" fillId="5" fontId="8" numFmtId="3" xfId="0" applyAlignment="1" applyBorder="1" applyFont="1" applyNumberFormat="1">
      <alignment horizontal="right"/>
    </xf>
    <xf borderId="1" fillId="2" fontId="6" numFmtId="167" xfId="0" applyAlignment="1" applyBorder="1" applyFont="1" applyNumberFormat="1">
      <alignment horizontal="right"/>
    </xf>
    <xf borderId="1" fillId="3" fontId="6" numFmtId="167" xfId="0" applyAlignment="1" applyBorder="1" applyFont="1" applyNumberFormat="1">
      <alignment horizontal="right"/>
    </xf>
    <xf borderId="1" fillId="4" fontId="4" numFmtId="3" xfId="0" applyAlignment="1" applyBorder="1" applyFont="1" applyNumberFormat="1">
      <alignment horizontal="right"/>
    </xf>
    <xf borderId="1" fillId="5" fontId="4" numFmtId="3" xfId="0" applyAlignment="1" applyBorder="1" applyFont="1" applyNumberFormat="1">
      <alignment horizontal="right"/>
    </xf>
    <xf borderId="1" fillId="3" fontId="5" numFmtId="3" xfId="0" applyAlignment="1" applyBorder="1" applyFont="1" applyNumberFormat="1">
      <alignment horizontal="right"/>
    </xf>
    <xf borderId="14" fillId="2" fontId="6" numFmtId="3" xfId="0" applyAlignment="1" applyBorder="1" applyFont="1" applyNumberFormat="1">
      <alignment horizontal="right"/>
    </xf>
    <xf borderId="14" fillId="3" fontId="6" numFmtId="3" xfId="0" applyAlignment="1" applyBorder="1" applyFont="1" applyNumberFormat="1">
      <alignment horizontal="right"/>
    </xf>
    <xf borderId="14" fillId="4" fontId="6" numFmtId="3" xfId="0" applyAlignment="1" applyBorder="1" applyFont="1" applyNumberFormat="1">
      <alignment horizontal="right"/>
    </xf>
    <xf borderId="14" fillId="5" fontId="6" numFmtId="3" xfId="0" applyAlignment="1" applyBorder="1" applyFont="1" applyNumberFormat="1">
      <alignment horizontal="right"/>
    </xf>
    <xf borderId="1" fillId="3" fontId="6" numFmtId="1" xfId="0" applyAlignment="1" applyBorder="1" applyFont="1" applyNumberFormat="1">
      <alignment horizontal="right"/>
    </xf>
    <xf borderId="1" fillId="4" fontId="25" numFmtId="3" xfId="0" applyAlignment="1" applyBorder="1" applyFont="1" applyNumberFormat="1">
      <alignment horizontal="right"/>
    </xf>
    <xf borderId="1" fillId="5" fontId="25" numFmtId="3" xfId="0" applyAlignment="1" applyBorder="1" applyFont="1" applyNumberFormat="1">
      <alignment horizontal="right"/>
    </xf>
    <xf borderId="0" fillId="0" fontId="4" numFmtId="3" xfId="0" applyAlignment="1" applyFont="1" applyNumberFormat="1">
      <alignment horizontal="right"/>
    </xf>
    <xf borderId="1" fillId="7" fontId="6" numFmtId="3" xfId="0" applyAlignment="1" applyBorder="1" applyFont="1" applyNumberFormat="1">
      <alignment horizontal="right"/>
    </xf>
    <xf borderId="14" fillId="2" fontId="5" numFmtId="3" xfId="0" applyAlignment="1" applyBorder="1" applyFont="1" applyNumberFormat="1">
      <alignment horizontal="right"/>
    </xf>
    <xf borderId="1" fillId="3" fontId="6" numFmtId="10" xfId="0" applyAlignment="1" applyBorder="1" applyFont="1" applyNumberFormat="1">
      <alignment horizontal="right"/>
    </xf>
    <xf borderId="1" fillId="3" fontId="19" numFmtId="3" xfId="0" applyAlignment="1" applyBorder="1" applyFont="1" applyNumberFormat="1">
      <alignment horizontal="right"/>
    </xf>
    <xf borderId="14" fillId="4" fontId="5" numFmtId="3" xfId="0" applyAlignment="1" applyBorder="1" applyFont="1" applyNumberFormat="1">
      <alignment horizontal="right"/>
    </xf>
    <xf borderId="1" fillId="2" fontId="5" numFmtId="3" xfId="0" applyAlignment="1" applyBorder="1" applyFont="1" applyNumberFormat="1">
      <alignment horizontal="right"/>
    </xf>
    <xf borderId="1" fillId="15" fontId="8" numFmtId="3" xfId="0" applyBorder="1" applyFill="1" applyFont="1" applyNumberFormat="1"/>
    <xf borderId="1" fillId="3" fontId="8" numFmtId="9" xfId="0" applyAlignment="1" applyBorder="1" applyFont="1" applyNumberFormat="1">
      <alignment horizontal="right"/>
    </xf>
    <xf borderId="1" fillId="3" fontId="8" numFmtId="4" xfId="0" applyAlignment="1" applyBorder="1" applyFont="1" applyNumberFormat="1">
      <alignment horizontal="right"/>
    </xf>
    <xf borderId="1" fillId="8" fontId="8" numFmtId="3" xfId="0" applyBorder="1" applyFont="1" applyNumberFormat="1"/>
    <xf borderId="1" fillId="2" fontId="6" numFmtId="10" xfId="0" applyAlignment="1" applyBorder="1" applyFont="1" applyNumberFormat="1">
      <alignment horizontal="right"/>
    </xf>
    <xf borderId="1" fillId="2" fontId="8" numFmtId="9" xfId="0" applyBorder="1" applyFont="1" applyNumberFormat="1"/>
    <xf borderId="1" fillId="2" fontId="6" numFmtId="9" xfId="0" applyBorder="1" applyFont="1" applyNumberFormat="1"/>
    <xf borderId="1" fillId="4" fontId="8" numFmtId="9" xfId="0" applyBorder="1" applyFont="1" applyNumberFormat="1"/>
    <xf borderId="1" fillId="3" fontId="8" numFmtId="177" xfId="0" applyBorder="1" applyFont="1" applyNumberFormat="1"/>
    <xf borderId="1" fillId="3" fontId="8" numFmtId="4" xfId="0" applyBorder="1" applyFont="1" applyNumberFormat="1"/>
    <xf borderId="1" fillId="5" fontId="8" numFmtId="4" xfId="0" applyBorder="1" applyFont="1" applyNumberFormat="1"/>
    <xf borderId="1" fillId="3" fontId="8" numFmtId="2" xfId="0" applyBorder="1" applyFont="1" applyNumberFormat="1"/>
    <xf borderId="1" fillId="10" fontId="8" numFmtId="3" xfId="0" applyBorder="1" applyFont="1" applyNumberFormat="1"/>
    <xf borderId="1" fillId="10" fontId="8" numFmtId="0" xfId="0" applyBorder="1" applyFont="1"/>
    <xf borderId="1" fillId="10" fontId="6" numFmtId="0" xfId="0" applyAlignment="1" applyBorder="1" applyFont="1">
      <alignment horizontal="right"/>
    </xf>
    <xf borderId="1" fillId="10" fontId="8" numFmtId="2" xfId="0" applyBorder="1" applyFont="1" applyNumberFormat="1"/>
    <xf borderId="1" fillId="10" fontId="8" numFmtId="9" xfId="0" applyBorder="1" applyFont="1" applyNumberFormat="1"/>
    <xf borderId="1" fillId="10" fontId="6" numFmtId="9" xfId="0" applyBorder="1" applyFont="1" applyNumberFormat="1"/>
    <xf borderId="1" fillId="2" fontId="8" numFmtId="187" xfId="0" applyAlignment="1" applyBorder="1" applyFont="1" applyNumberFormat="1">
      <alignment horizontal="right"/>
    </xf>
    <xf borderId="1" fillId="3" fontId="6" numFmtId="187" xfId="0" applyAlignment="1" applyBorder="1" applyFont="1" applyNumberFormat="1">
      <alignment horizontal="right"/>
    </xf>
    <xf borderId="1" fillId="4" fontId="8" numFmtId="187" xfId="0" applyAlignment="1" applyBorder="1" applyFont="1" applyNumberFormat="1">
      <alignment horizontal="right"/>
    </xf>
    <xf borderId="1" fillId="5" fontId="8" numFmtId="187" xfId="0" applyAlignment="1" applyBorder="1" applyFont="1" applyNumberFormat="1">
      <alignment horizontal="right"/>
    </xf>
    <xf borderId="1" fillId="4" fontId="25" numFmtId="3" xfId="0" applyBorder="1" applyFont="1" applyNumberFormat="1"/>
    <xf borderId="1" fillId="5" fontId="25" numFmtId="3" xfId="0" applyBorder="1" applyFont="1" applyNumberFormat="1"/>
    <xf borderId="1" fillId="4" fontId="25" numFmtId="0" xfId="0" applyBorder="1" applyFont="1"/>
    <xf borderId="0" fillId="0" fontId="25" numFmtId="0" xfId="0" applyFont="1"/>
    <xf borderId="1" fillId="4" fontId="25" numFmtId="2" xfId="0" applyBorder="1" applyFont="1" applyNumberFormat="1"/>
    <xf borderId="1" fillId="3" fontId="6" numFmtId="2" xfId="0" applyAlignment="1" applyBorder="1" applyFont="1" applyNumberFormat="1">
      <alignment horizontal="right"/>
    </xf>
    <xf borderId="1" fillId="5" fontId="25" numFmtId="2" xfId="0" applyBorder="1" applyFont="1" applyNumberFormat="1"/>
    <xf borderId="1" fillId="2" fontId="25" numFmtId="2" xfId="0" applyBorder="1" applyFont="1" applyNumberFormat="1"/>
    <xf borderId="1" fillId="3" fontId="8" numFmtId="2" xfId="0" applyAlignment="1" applyBorder="1" applyFont="1" applyNumberFormat="1">
      <alignment horizontal="right"/>
    </xf>
    <xf borderId="12" fillId="2" fontId="8" numFmtId="0" xfId="0" applyAlignment="1" applyBorder="1" applyFont="1">
      <alignment horizontal="left"/>
    </xf>
    <xf borderId="12" fillId="2" fontId="6" numFmtId="0" xfId="0" applyAlignment="1" applyBorder="1" applyFont="1">
      <alignment horizontal="right"/>
    </xf>
    <xf borderId="12" fillId="2" fontId="8" numFmtId="0" xfId="0" applyAlignment="1" applyBorder="1" applyFont="1">
      <alignment horizontal="right"/>
    </xf>
    <xf borderId="12" fillId="2" fontId="8" numFmtId="3" xfId="0" applyAlignment="1" applyBorder="1" applyFont="1" applyNumberFormat="1">
      <alignment horizontal="right"/>
    </xf>
    <xf borderId="12" fillId="3" fontId="8" numFmtId="3" xfId="0" applyAlignment="1" applyBorder="1" applyFont="1" applyNumberFormat="1">
      <alignment horizontal="right"/>
    </xf>
    <xf borderId="12" fillId="3" fontId="6" numFmtId="3" xfId="0" applyAlignment="1" applyBorder="1" applyFont="1" applyNumberFormat="1">
      <alignment horizontal="right"/>
    </xf>
    <xf borderId="1" fillId="16" fontId="8" numFmtId="3" xfId="0" applyBorder="1" applyFill="1" applyFont="1" applyNumberFormat="1"/>
    <xf borderId="1" fillId="16" fontId="8" numFmtId="0" xfId="0" applyBorder="1" applyFont="1"/>
    <xf borderId="1" fillId="16" fontId="6" numFmtId="0" xfId="0" applyAlignment="1" applyBorder="1" applyFont="1">
      <alignment horizontal="right"/>
    </xf>
    <xf borderId="1" fillId="16" fontId="8" numFmtId="0" xfId="0" applyAlignment="1" applyBorder="1" applyFont="1">
      <alignment horizontal="right"/>
    </xf>
    <xf borderId="1" fillId="16" fontId="8" numFmtId="3" xfId="0" applyAlignment="1" applyBorder="1" applyFont="1" applyNumberFormat="1">
      <alignment horizontal="right"/>
    </xf>
    <xf borderId="1" fillId="16" fontId="6" numFmtId="3" xfId="0" applyAlignment="1" applyBorder="1" applyFont="1" applyNumberFormat="1">
      <alignment horizontal="right"/>
    </xf>
    <xf borderId="1" fillId="8" fontId="25" numFmtId="3" xfId="0" applyBorder="1" applyFont="1" applyNumberFormat="1"/>
    <xf borderId="0" fillId="0" fontId="25" numFmtId="3" xfId="0" applyFont="1" applyNumberFormat="1"/>
    <xf borderId="1" fillId="7" fontId="8" numFmtId="0" xfId="0" applyBorder="1" applyFont="1"/>
    <xf borderId="1" fillId="7" fontId="8" numFmtId="3" xfId="0" applyBorder="1" applyFont="1" applyNumberFormat="1"/>
    <xf borderId="1" fillId="7" fontId="6" numFmtId="0" xfId="0" applyAlignment="1" applyBorder="1" applyFont="1">
      <alignment horizontal="right"/>
    </xf>
    <xf borderId="1" fillId="7" fontId="8" numFmtId="0" xfId="0" applyAlignment="1" applyBorder="1" applyFont="1">
      <alignment horizontal="right"/>
    </xf>
    <xf borderId="1" fillId="7" fontId="8" numFmtId="3" xfId="0" applyAlignment="1" applyBorder="1" applyFont="1" applyNumberFormat="1">
      <alignment horizontal="right"/>
    </xf>
    <xf borderId="1" fillId="7" fontId="25" numFmtId="3" xfId="0" applyBorder="1" applyFont="1" applyNumberFormat="1"/>
    <xf borderId="1" fillId="2" fontId="8" numFmtId="0" xfId="0" applyAlignment="1" applyBorder="1" applyFont="1">
      <alignment shrinkToFit="0" wrapText="1"/>
    </xf>
    <xf borderId="20" fillId="2" fontId="8" numFmtId="3" xfId="0" applyBorder="1" applyFont="1" applyNumberFormat="1"/>
    <xf borderId="20" fillId="2" fontId="8" numFmtId="0" xfId="0" applyBorder="1" applyFont="1"/>
    <xf borderId="20" fillId="2" fontId="6" numFmtId="0" xfId="0" applyAlignment="1" applyBorder="1" applyFont="1">
      <alignment horizontal="right"/>
    </xf>
    <xf borderId="20" fillId="2" fontId="8" numFmtId="0" xfId="0" applyAlignment="1" applyBorder="1" applyFont="1">
      <alignment horizontal="right"/>
    </xf>
    <xf borderId="20" fillId="2" fontId="8" numFmtId="3" xfId="0" applyAlignment="1" applyBorder="1" applyFont="1" applyNumberFormat="1">
      <alignment horizontal="right"/>
    </xf>
    <xf borderId="20" fillId="3" fontId="8" numFmtId="3" xfId="0" applyAlignment="1" applyBorder="1" applyFont="1" applyNumberFormat="1">
      <alignment horizontal="right"/>
    </xf>
    <xf borderId="20" fillId="4" fontId="8" numFmtId="3" xfId="0" applyBorder="1" applyFont="1" applyNumberFormat="1"/>
    <xf borderId="20" fillId="5" fontId="8" numFmtId="3" xfId="0" applyBorder="1" applyFont="1" applyNumberFormat="1"/>
    <xf borderId="1" fillId="15" fontId="8" numFmtId="0" xfId="0" applyBorder="1" applyFont="1"/>
    <xf borderId="1" fillId="2" fontId="9" numFmtId="0" xfId="0" applyBorder="1" applyFont="1"/>
    <xf borderId="1" fillId="3" fontId="9" numFmtId="168" xfId="0" applyAlignment="1" applyBorder="1" applyFont="1" applyNumberFormat="1">
      <alignment horizontal="right"/>
    </xf>
    <xf borderId="1" fillId="8" fontId="9" numFmtId="3" xfId="0" applyBorder="1" applyFont="1" applyNumberFormat="1"/>
    <xf borderId="1" fillId="4" fontId="25" numFmtId="10" xfId="0" applyBorder="1" applyFont="1" applyNumberFormat="1"/>
    <xf borderId="0" fillId="0" fontId="36" numFmtId="0" xfId="0" applyFont="1"/>
  </cellXfs>
  <cellStyles count="1">
    <cellStyle xfId="0" name="Normal" builtinId="0"/>
  </cellStyles>
  <dxfs count="2">
    <dxf>
      <font>
        <color rgb="FF000000"/>
      </font>
      <fill>
        <patternFill patternType="solid">
          <fgColor rgb="FF00CCFF"/>
          <bgColor rgb="FF00CCFF"/>
        </patternFill>
      </fill>
      <border/>
    </dxf>
    <dxf>
      <font>
        <color rgb="FFFFFFF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835169261709207"/>
          <c:y val="0.016296296296296295"/>
          <c:w val="0.8277954951455946"/>
          <c:h val="0.923178302712161"/>
        </c:manualLayout>
      </c:layout>
      <c:lineChart>
        <c:ser>
          <c:idx val="0"/>
          <c:order val="0"/>
          <c:tx>
            <c:v>Blended PC ASP</c:v>
          </c:tx>
          <c:spPr>
            <a:ln cmpd="sng">
              <a:solidFill>
                <a:srgbClr val="4F81BD"/>
              </a:solidFill>
            </a:ln>
          </c:spPr>
          <c:marker>
            <c:symbol val="none"/>
          </c:marker>
          <c:cat>
            <c:strRef>
              <c:f>IS!$CU$7:$CX$7</c:f>
            </c:strRef>
          </c:cat>
          <c:val>
            <c:numRef>
              <c:f>IS!$CZ$7:$DC$7</c:f>
              <c:numCache/>
            </c:numRef>
          </c:val>
          <c:smooth val="0"/>
        </c:ser>
        <c:ser>
          <c:idx val="1"/>
          <c:order val="1"/>
          <c:tx>
            <c:v>Client PC units</c:v>
          </c:tx>
          <c:spPr>
            <a:ln cmpd="sng">
              <a:solidFill>
                <a:srgbClr val="C0504D"/>
              </a:solidFill>
            </a:ln>
          </c:spPr>
          <c:marker>
            <c:symbol val="none"/>
          </c:marker>
          <c:cat>
            <c:strRef>
              <c:f>IS!$CU$7:$CX$7</c:f>
            </c:strRef>
          </c:cat>
          <c:val>
            <c:numRef>
              <c:f>IS!$DE$7:$DH$7</c:f>
              <c:numCache/>
            </c:numRef>
          </c:val>
          <c:smooth val="0"/>
        </c:ser>
        <c:ser>
          <c:idx val="2"/>
          <c:order val="2"/>
          <c:spPr>
            <a:ln cmpd="sng">
              <a:solidFill>
                <a:srgbClr val="9BBB59"/>
              </a:solidFill>
            </a:ln>
          </c:spPr>
          <c:marker>
            <c:symbol val="none"/>
          </c:marker>
          <c:cat>
            <c:strRef>
              <c:f>IS!$CU$7:$CX$7</c:f>
            </c:strRef>
          </c:cat>
          <c:val>
            <c:numRef>
              <c:f>IS!$DJ$7:$DM$7</c:f>
              <c:numCache/>
            </c:numRef>
          </c:val>
          <c:smooth val="0"/>
        </c:ser>
        <c:axId val="1650409571"/>
        <c:axId val="2094647992"/>
      </c:lineChart>
      <c:catAx>
        <c:axId val="1650409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5400000"/>
          <a:lstStyle/>
          <a:p>
            <a:pPr lvl="0">
              <a:defRPr b="1" i="0">
                <a:solidFill>
                  <a:srgbClr val="000000"/>
                </a:solidFill>
                <a:latin typeface="Frutiger 45 Light"/>
              </a:defRPr>
            </a:pPr>
          </a:p>
        </c:txPr>
        <c:crossAx val="2094647992"/>
      </c:catAx>
      <c:valAx>
        <c:axId val="2094647992"/>
        <c:scaling>
          <c:orientation val="minMax"/>
        </c:scaling>
        <c:delete val="0"/>
        <c:axPos val="l"/>
        <c:majorGridlines>
          <c:spPr>
            <a:ln>
              <a:solidFill>
                <a:srgbClr val="B7B7B7"/>
              </a:solidFill>
            </a:ln>
          </c:spPr>
        </c:majorGridlines>
        <c:title>
          <c:tx>
            <c:rich>
              <a:bodyPr/>
              <a:lstStyle/>
              <a:p>
                <a:pPr lvl="0">
                  <a:defRPr b="1" i="0" sz="1600">
                    <a:solidFill>
                      <a:srgbClr val="000000"/>
                    </a:solidFill>
                    <a:latin typeface="Frutiger 45 Light"/>
                  </a:defRPr>
                </a:pPr>
                <a:r>
                  <a:rPr b="1" i="0" sz="1600">
                    <a:solidFill>
                      <a:srgbClr val="000000"/>
                    </a:solidFill>
                    <a:latin typeface="Frutiger 45 Light"/>
                  </a:rPr>
                  <a:t>Y/Y change</a:t>
                </a:r>
              </a:p>
            </c:rich>
          </c:tx>
          <c:overlay val="0"/>
        </c:title>
        <c:numFmt formatCode="General" sourceLinked="1"/>
        <c:majorTickMark val="out"/>
        <c:minorTickMark val="none"/>
        <c:tickLblPos val="nextTo"/>
        <c:spPr>
          <a:ln/>
        </c:spPr>
        <c:txPr>
          <a:bodyPr/>
          <a:lstStyle/>
          <a:p>
            <a:pPr lvl="0">
              <a:defRPr b="1" i="0">
                <a:solidFill>
                  <a:srgbClr val="000000"/>
                </a:solidFill>
                <a:latin typeface="Frutiger 45 Light"/>
              </a:defRPr>
            </a:pPr>
          </a:p>
        </c:txPr>
        <c:crossAx val="1650409571"/>
      </c:valAx>
    </c:plotArea>
    <c:legend>
      <c:legendPos val="b"/>
      <c:overlay val="0"/>
      <c:txPr>
        <a:bodyPr/>
        <a:lstStyle/>
        <a:p>
          <a:pPr lvl="0">
            <a:defRPr b="1" i="0" sz="1600">
              <a:solidFill>
                <a:srgbClr val="1A1A1A"/>
              </a:solidFill>
              <a:latin typeface="Frutiger 45 Ligh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192000" cy="438150"/>
    <xdr:sp>
      <xdr:nvSpPr>
        <xdr:cNvPr id="3" name="Shape 3"/>
        <xdr:cNvSpPr txBox="1"/>
      </xdr:nvSpPr>
      <xdr:spPr>
        <a:xfrm>
          <a:off x="0" y="3565688"/>
          <a:ext cx="10692000" cy="4286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This material, including the spreadsheet and any values appearing in it, (this ‘Material’) is produced by UBS AG or an affiliate thereof (UBS AG together with its affiliates, ‘UBS’) as part of its research function and is provided to you solely for general background information.</a:t>
          </a:r>
          <a:endParaRPr sz="1400"/>
        </a:p>
      </xdr:txBody>
    </xdr:sp>
    <xdr:clientData fLocksWithSheet="0"/>
  </xdr:oneCellAnchor>
  <xdr:oneCellAnchor>
    <xdr:from>
      <xdr:col>0</xdr:col>
      <xdr:colOff>0</xdr:colOff>
      <xdr:row>2</xdr:row>
      <xdr:rowOff>85725</xdr:rowOff>
    </xdr:from>
    <xdr:ext cx="12192000" cy="18011775"/>
    <xdr:sp>
      <xdr:nvSpPr>
        <xdr:cNvPr id="4" name="Shape 4"/>
        <xdr:cNvSpPr txBox="1"/>
      </xdr:nvSpPr>
      <xdr:spPr>
        <a:xfrm>
          <a:off x="0" y="0"/>
          <a:ext cx="1069200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This document is a general communication and is educational in nature. UBS has no regard to the specific investment objectives, financial situation or particular needs of any specific recipient. By providing this document, none of UBS or its representatives has any responsibility or authority to provide or have provided investment advice in a fiduciary capacity or otherwise. None of UBS or its representatives is suggesting that the recipient or any other person take a specific course of action or any action at all. In no circumstances may this Material be used for any of the following purposes:(i) valuation or accounting purposes;(ii) trading purposes;(iii) to determine the amounts due or payable, the price or the value of any financial instrument or financial contract; or(iv) to measure the performance of any financial instrument.By receiving this Material you (i) will be deemed to represent and warrant to UBS that you will not use this Material for any of the above purposes or otherwise rely upon this Material, (ii) acknowledge and agree with the intended purpose described above and (iii) further disclaim any expectation or belief that the Material constitutes investment advice to the recipient or otherwise purports to meet the investment objectives of the recipient. Nothing in this Material should be construed as a solicitation or an offer to buy or sell any securities or related financial instruments. Past performance is not necessarily a guide to future performance. The value of any investment or income may go down as well as up, and you may not get back the full (or any) amount invested.In certain circumstances (including for example, if you are an academic or a member of the media) you may receive this Material otherwise than in the capacity of a client of UBS and you understand and agree that (i) the Material is provided to you for information purposes only; (ii) for the purposes of receiving it you are not intended to be and will not be treated as a “client” of UBS for any legal or regulatory purpose; (iii) the Material must not be relied on or acted upon for any purpose; and (iv) such content is subject to the relevant disclaimers that follow.Should any user of this Material wish to trade any of the securities contained herein, they must consult their usual representative or trading contact. Prior to making any investment or financial decisions, any recipient of this document or the Information should take steps to understand the risk and return of the investment and seek individualized advice from his or her personal financial, legal, tax and other professional advisors that takes into account all the particular facts and circumstances of his or her investment objectives.The values generated by this Material do not represent the values or prices at which UBS would be willing to purchase, sell, enter into, assign, terminate or settle transactions in relevant securities. The methodology used in this Material relies on models, empirical data and assumptions, and as such, no representation or warranty, either expressed or implied, is provided as to the accuracy or appropriateness of our methodology and the Material. Any statements contained in this Material attributed to a third party represent UBS's interpretation of the data, information and/or opinions provided by that third party either publicly or through a subscription service, and such use and interpretation have not been reviewed by the third party.UBS has policies and procedures, which include, without limitation, independence policies and permanent information barriers, that are intended, and upon which UBS relies, to manage potential conflicts of interest and control the flow of information within divisions of UBS and among its subsidiaries, branches and affiliates. For further information on the ways in which UBS manages conflicts and maintains independence of its research products, historical performance information and certain additional disclosures concerning UBS research recommendations, please visit https://www.ubs.com/disclosures .Research will initiate, update and cease coverage solely at the discretion of UBS Research Management, which will also have sole discretion on the timing and frequency of any published research product. The analysis contained in this document is based on numerous assumptions. All material information in relation to published research reports, such as valuation methodology, risk statements, underlying assumptions (including sensitivity analysis of those assumptions), ratings history etc. as required by the Market Abuse Regulation, can be found on NEO. Different assumptions could result in materially different results.The analyst(s) responsible for the preparation of this document may interact with trading desk personnel, sales personnel and other parties for the purpose of gathering, applying and interpreting market information. UBS relies on information barriers to control the flow of information contained in one or more areas within UBS into other areas, units, groups or affiliates of UBS. The compensation of the analyst who prepared this document is determined exclusively by research management and senior management (not including investment banking). Analyst compensation is not based on investment banking revenues; however, compensation may relate to the revenues of UBS and/or its divisions as a whole, of which investment banking, sales and trading are a part, and UBS's subsidiaries, branches and affiliates as a whole.UBS accepts no liability for any loss arising from the direct or indirect use of this Material. UBS and its affiliates and employees may have long or short positions, trade as principal and buy and sell in instruments or derivatives identified herein.United Kingdom: This material is distributed by UBS AG, London Branch to persons who are eligible counterparties or professional clients. UBS AG, London Branch is authorised by the Prudential Regulation Authority and subject to regulation by the Financial Conduct Authority and limited regulation by the Prudential Regulation Authority. Europe: Except as otherwise specified herein, these materials are distributed by UBS Europe SE, a subsidiary of UBS AG, to persons who are eligible counterparties or professional clients (as detailed in the Bundesanstalt fur Finanzdienstleistungsaufsicht (BaFin) Rules and according to MIFID) and are only available to such persons. The information does not apply to, and should not be relied upon by, retail clients. UBS Europe SE is authorised by the European Central Bank (ECB) and regulated by the BaFin and the ECB. Germany, Luxembourg, the Netherlands, Belgium and Ireland: Where an analyst of UBS Europe SE has contributed to this document, the document is also deemed to have been prepared by UBS Europe SE. In all cases it is distributed by UBS Europe SE and UBS AG, London Branch. Turkey: Distributed by UBS AG, London Branch. No information in this document is provided for the purpose of offering, marketing and sale by any means of any capital market instruments and services in the Republic of Turkey. Therefore, this document may not be considered as an offer made or to be made to residents of the Republic of Turkey. UBS AG, London Branch is not licensed by the Turkish Capital Market Board under the provisions of the Capital Market Law (Law No. 6362). Accordingly, neither this document nor any other offering material related to the instruments/services may be utilized in connection with providing any capital market services to persons within the Republic of Turkey without the prior approval of the Capital Market Board. However, according to article 15 (d) (ii) of the Decree No. 32, there is no restriction on the purchase or sale of the securities abroad by residents of the Republic of Turkey. Poland: Distributed by UBS Europe SE (spolka z ograniczona odpowiedzialnoscia) Oddzial w Polsce regulated by the Polish Financial Supervision Authority. Where an analyst of UBS Europe SE (spolka z ograniczona odpowiedzialnoscia) Oddzial w Polsce has contributed to this document, the document is also deemed to have been prepared by UBS Europe SE (spolka z ograniczona odpowiedzialnoscia) Oddzial w Polsce. Russia: Prepared and distributed by UBS Bank (OOO). “Should not be construed as an individual Investment Recommendation for the purpose of the Russian Law" - Federal Law #39-FZ ON THE SECURITIES MARKET Articles 6.1-6.2.Switzerland: Distributed by UBS AG to persons who are institutional investors only. UBS AG is regulated by the Swiss Financial Market Supervisory Authority (FINMA). Italy: Prepared by UBS Europe SE and distributed by UBS Europe SE and UBS Europe SE, Italy Branch. Where an analyst of UBS Europe SE, Italy Branch has contributed to this document, the document is also deemed to have been prepared by UBS Europe SE, Italy Branch. France: Prepared by UBS Europe SE and distributed by UBS Europe SE and UBS Europe SE, France Branch. Where an analyst of UBS Europe SE, France Branch has contributed to this document, the document is also deemed to have been prepared by UBS Europe SE, France Branch. Spain: Prepared by UBS Europe SE and distributed by UBS Europe SE and UBS Europe SE, Spain Branch. Where an analyst of UBS Europe SE, Spain Branch has contributed to this document, the document is also deemed to have been prepared by UBS Europe SE, Spain Branch. Sweden: Prepared by UBS Europe SE and distributed by UBS Europe SE and UBS Europe SE, Sweden Branch. Where an analyst of UBS Europe SE, Sweden Branch has contributed to this document, the document is also deemed to have been prepared by UBS Europe SE, Sweden Branch.South Africa: Distributed by UBS South Africa (Pty) Limited (Registration No. 1995/011140/07), an authorised user of the JSE and an authorised Financial Services Provider (FSP 7328). Saudi Arabia: This document has been issued by UBS AG (and/or any of its subsidiaries, branches or affiliates), a public company limited by shares, incorporated in Switzerland with its registered offices at Aeschenvorstadt 1, CH-4051 Basel and Bahnhofstrasse 45, CH-8001 Zurich. This publication has been approved by UBS Saudi Arabia (a subsidiary of UBS AG), a Saudi closed joint stock company incorporated in the Kingdom of Saudi Arabia under commercial register number 1010257812 having its registered office at Tatweer Towers, P.O. Box 75724, Riyadh 11588, Kingdom of Saudi Arabia. UBS Saudi Arabia is authorized and regulated by the Capital Market Authority to conduct securities business under license number 08113-37. UAE / Dubai: The information distributed by UBS AG Dubai Branch is only intended for Professional Clients and/or Market Counterparties, as classified under the DFSA rulebook. No other person should act upon this material/communication. The information is not for further distribution within the United Arab Emirates. UBS AG Dubai Branch is regulated by the DFSA in the DIFC. UBS is not licensed to provide banking services in the UAE by the Central Bank of the UAE, nor is it licensed by the UAE Securities and Commodities Authority.  Israel: This Material is distributed by UBS AG, London Branch. UBS Securities Israel Ltd is a licensed Investment Marketer that is supervised by the Israel Securities Authority (ISA). UBS AG, London Branch and its affiliates incorporated outside Israel are not licensed under the Israeli Advisory Law. UBS may engage among others in issuance of Financial Assets or in distribution of Financial Assets of other issuers for fees or other benefits. UBS AG, London Branch and its affiliates may prefer various Financial Assets to which they have or may have an Affiliation (as such term is defined under the Israeli Advisory Law). Nothing in this Material should be considered as investment advice under the Israeli Advisory Law. This Material is being issued only to and/or is directed only at persons who are Eligible Clients within the meaning of the Israeli Advisory Law, and this Material must not be furnished to, relied on or acted upon by any other persons. United States: Distributed to US persons by either UBS Securities LLC or by UBS Financial Services Inc., subsidiaries of UBS AG; or by a group, subsidiary or affiliate of UBS AG that is not registered as a US broker-dealer (a ‘non-US affiliate’) to major US institutional investors only. UBS Securities LLC or UBS Financial Services Inc. accepts responsibility for the content of a report prepared by another non-US affiliate when distributed to US persons by UBS Securities LLC or UBS Financial Services Inc. All transactions by a US person in the securities mentioned in this report must be effected through UBS Securities LLC or UBS Financial Services Inc., and not through a non-US affiliate. UBS Securities LLC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 Canada: Distributed by UBS Securities Canada Inc., a registered investment dealer in Canada and a Member-Canadian Investor Protection Fund, or by another affiliate of UBS AG that is registered to conduct business in Canada or is otherwise exempt from registration. Brazil: Except as otherwise specified herein, this Material is prepared by UBS Brasil Corretora de Câmbio, Títulos e Valores Mobiliários S.A.¹ (UBS Brasil CCTVM) to persons who are eligible investors residing in Brazil, which are considered to be Professional Investors (Investidores Profissionais), as designated by the applicable regulation, mainly the CVM Resolution No. 30 from the 11th of May 2021 (determines the duty to verify the suitability of products, services and transactions with regards to the client´s profile). ¹UBS CCTVM is a subsidiary of UBS BB Servicos de Assessoria Financeira e Participacoes S.A. (“UBS BB”). UBS BB is an association between UBS AG and Banco do Brasil (through its subsidiary BB – Banco de Investimentos S.A.), of which UBS AG is the majority owner and which provides investment banking services and coverage in Brazil, Argentina, Paraguay, Peru and Uruguay. Hong Kong: Distributed by UBS Securities Asia Limited. Please contact local licensed persons of UBS Securities Asia Limited in respect of any matters arising from, or in connection with the analysis or document.Singapore: Distributed by UBS Securities Pte. Ltd. [Co. Reg. No.: 198500648C] or UBS AG, Singapore Branch. Please contact UBS Securities Pte. Ltd., an exempt financial adviser under the Singapore Financial Advisers Act (Cap. 110); or UBS AG, Singapore Branch, an exempt financial adviser under the Singapore Financial Advisers Act (Cap. 110) and a wholesale bank licensed under the Singapore Banking Act (Cap. 19) regulated by the Monetary Authority of Singapore, in respect of any matters arising from, or in connection with, the analysis or document. The recipients of this document represent and warrant that they are accredited and institutional investors as defined in the Securities and Futures Act (Cap. 289). Japan: Distributed by UBS Securities Japan Co., Ltd. to professional investors (except as otherwise permitted). Where this report has been prepared by UBS Securities Japan Co., Ltd., UBS Securities Japan Co., Ltd. is the author, publisher and distributor of the report. Distributed by UBS AG, Tokyo Branch to Professional Investors (except as otherwise permitted) in relation to foreign exchange and other banking businesses when relevant. Australia: Clients of UBS AG: Distributed by UBS AG (ABN 47 088 129 613 and holder of Australian Financial Services License No. 231087). Clients of UBS Securities Australia Ltd: Distributed by UBS Securities Australia Ltd (ABN 62 008 586 481 and holder of Australian Financial Services License No. 231098). This document contains general information and/or general advice only and does not constitute personal financial product advice. As such, the Information in this document has been prepared without taking into account any investor’s objectives, financial situation or needs, and investors should, before acting on the Information, consider the appropriateness of the Information, having regard to their objectives, financial situation and needs. If the Information contained in this document relates to the acquisition, or potential acquisition of a particular financial product by a ‘Retail’ client as defined by section 761G of the Corporations Act 2001 where a Product Disclosure Statement would be required, the retail client should obtain and consider the Product Disclosure Statement relating to the product before making any decision about whether to acquire the product. New Zealand: Distributed by UBS New Zealand Ltd. UBS New Zealand Ltd is not a registered bank in New Zealand. You are being provided with this UBS publication or material because you have indicated to UBS that you are a “wholesale client” within the meaning of section 5C of the Financial Advisers Act 2008 of New Zealand (Permitted Client). This publication or material is not intended for clients who are not Permitted Clients (non-permitted Clients). If you are a non-permitted Client you must not rely on this publication or material. If despite this warning you nevertheless rely on this publication or material, you hereby (i) acknowledge that you may not rely on the content of this publication or material and that any recommendations or opinions in such this publication or material are not made or provided to you, and (ii) to the maximum extent permitted by law (a) indemnify UBS and its associates or related entities (and their respective Directors, officers, agents and Advisors) (each a ‘Relevant Person’) for any loss, damage, liability or claim any of them may incur or suffer as a result of, or in connection with, your unauthorised reliance on this publication or material and (b) waive any rights or remedies you may have against any Relevant Person for (or in respect of) any loss, damage, liability or claim you may incur or suffer as a result of, or in connection with, your unauthorised reliance on this publication or material. Korea: Distributed in Korea by UBS Securities Pte. Ltd., Seoul Branch. This report may have been edited or contributed to from time to time by affiliates of UBS Securities Pte. Ltd., Seoul Branch. This material is intended for professional/institutional clients only and not for distribution to any retail clients. Malaysia: This material is authorized to be distributed in Malaysia by UBS Securities Malaysia Sdn. Bhd (Capital Markets Services License No.: CMSL/A0063/2007). This material is intended for professional/institutional clients only and not for distribution to any retail clients. India: Distributed by UBS Securities India Private Ltd. (Corporate Identity Number U67120MH1996PTC097299) 2/F, 2 North Avenue, Maker Maxity, Bandra Kurla Complex, Bandra (East), Mumbai (India) 400051. Phone: +912261556000. It provides brokerage services bearing SEBI Registration Number: INZ000259830; and Research Analyst services bearing SEBI Registration Number: INH000001204. It holds a SEBI Registered Merchant Banking license Number : INM000010809. UBS AG, its affiliates or subsidiaries may have debt holdings or positions in the subject Indian company/companies. UBS AG, its affiliates or subsidiaries may have financial interests (e.g. loan/derivative products, rights to or interests in investments, etc.) in the subject Indian company / companies from time to time. Within the past 12 months, UBS AG, its affiliates or subsidiaries may have received compensation for non-investment banking securities-related services and/or non-securities services from the subject Indian company/companies. The subject company/companies may have been a client/clients of UBS AG, its affiliates or subsidiaries during the 12 months preceding the date of distribution of the research report with respect to investment banking and/or non-investment banking securities-related services and/or non-securities services. With regard to information on associates, please refer to the Annual Report at: https://www.ubs.com/global/en/about_ubs/investor_relations/annualreporting.htmlTaiwan: Except as otherwise specified herein, this material may not be distributed in Taiwan. Information and material on securities/instruments that are traded in a Taiwan organized exchange is deemed to be issued and distributed by UBS Securities Pte. LTD., Taipei Branch, which is licensed and regulated by Taiwan Financial Supervisory Commission. Save for securities/instruments that are traded in a Taiwan organized exchange, this material should not constitute "recommendation" to clients or recipients in Taiwan for the covered companies or any companies mentioned in this document. No portion of the document may be reproduced or quoted by the press or any other person without authorisation from UBS. Indonesia: This report is being distributed by PT UBS Sekuritas Indonesia and is delivered by its licensed employee(s), including marketing/sales person, to its client. PT UBS Sekuritas Indonesia, having its registered office at Sequis Tower Level 22 unit 22-1,Jl.Jend. Sudirman, kav.71, SCBD lot 11B, Jakarta 12190, Indonesia, is a subsidiary company of UBS AG and licensed under Capital Market Law no. 8 year 1995, a holder of broker-dealer and underwriter licenses issued by the Capital Market and Financial Institution Supervisory Agency (now Otoritas Jasa Keuangan/OJK). PT UBS Sekuritas Indonesia is also a member of Indonesia Stock Exchange and supervised by Otoritas Jasa Keuangan (OJK). Neither this report nor any copy hereof may be distributed in Indonesia or to any Indonesian citizens except in compliance with applicable Indonesian capital market laws and regulations. This report is not an offer of securities in Indonesia and may not be distributed within the territory of the Republic of Indonesia or to Indonesian citizens in circumstance which constitutes an offering within the meaning of Indonesian capital market laws and regulations.The disclosures contained in research documents produced by UBS AG, London Branch or UBS Europe SE shall be governed by and construed in accordance with English law.</a:t>
          </a:r>
          <a:endParaRPr sz="1400"/>
        </a:p>
      </xdr:txBody>
    </xdr:sp>
    <xdr:clientData fLocksWithSheet="0"/>
  </xdr:oneCellAnchor>
  <xdr:oneCellAnchor>
    <xdr:from>
      <xdr:col>0</xdr:col>
      <xdr:colOff>0</xdr:colOff>
      <xdr:row>107</xdr:row>
      <xdr:rowOff>85725</xdr:rowOff>
    </xdr:from>
    <xdr:ext cx="12192000" cy="619125"/>
    <xdr:sp>
      <xdr:nvSpPr>
        <xdr:cNvPr id="5" name="Shape 5"/>
        <xdr:cNvSpPr txBox="1"/>
      </xdr:nvSpPr>
      <xdr:spPr>
        <a:xfrm>
          <a:off x="0" y="3475200"/>
          <a:ext cx="10692000" cy="609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UBS specifically prohibits the redistribution of this document in whole or in part without the written permission of UBS and in any event UBS accepts no liability whatsoever for any redistribution of this document or its contents or the actions of third parties in this respect. Images may depict objects or elements that are protected by third party copyright, trademarks and other intellectual property rights. © UBS 2023. The key symbol and UBS are among the registered and unregistered trademarks of UBS. All rights reserved.</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2</xdr:row>
      <xdr:rowOff>114300</xdr:rowOff>
    </xdr:from>
    <xdr:ext cx="76200" cy="247650"/>
    <xdr:sp>
      <xdr:nvSpPr>
        <xdr:cNvPr id="6" name="Shape 6"/>
        <xdr:cNvSpPr txBox="1"/>
      </xdr:nvSpPr>
      <xdr:spPr>
        <a:xfrm>
          <a:off x="5307900" y="3660938"/>
          <a:ext cx="762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2</xdr:row>
      <xdr:rowOff>0</xdr:rowOff>
    </xdr:from>
    <xdr:ext cx="11991975" cy="21336000"/>
    <xdr:sp>
      <xdr:nvSpPr>
        <xdr:cNvPr id="7" name="Shape 7"/>
        <xdr:cNvSpPr txBox="1"/>
      </xdr:nvSpPr>
      <xdr:spPr>
        <a:xfrm>
          <a:off x="0" y="0"/>
          <a:ext cx="10692000" cy="75600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b="1" lang="en-US" sz="900">
              <a:latin typeface="Calibri"/>
              <a:ea typeface="Calibri"/>
              <a:cs typeface="Calibri"/>
              <a:sym typeface="Calibri"/>
            </a:rPr>
            <a:t>Valuation Disclaimer</a:t>
          </a:r>
          <a:endParaRPr sz="900">
            <a:latin typeface="Calibri"/>
            <a:ea typeface="Calibri"/>
            <a:cs typeface="Calibri"/>
            <a:sym typeface="Calibri"/>
          </a:endParaRPr>
        </a:p>
        <a:p>
          <a:pPr indent="0" lvl="0" marL="0" rtl="0" algn="l">
            <a:spcBef>
              <a:spcPts val="0"/>
            </a:spcBef>
            <a:spcAft>
              <a:spcPts val="0"/>
            </a:spcAft>
            <a:buNone/>
          </a:pPr>
          <a:r>
            <a:rPr lang="en-US" sz="900">
              <a:latin typeface="Calibri"/>
              <a:ea typeface="Calibri"/>
              <a:cs typeface="Calibri"/>
              <a:sym typeface="Calibri"/>
            </a:rPr>
            <a:t>This material, including the spreadsheet and any values appearing in it, (this ‘Material’) is produced by UBS AG or an affiliate thereof (UBS AG together with its affiliates, ‘UBS’) as part of its research function and is provided to you solely for general background information.</a:t>
          </a:r>
          <a:endParaRPr sz="1400"/>
        </a:p>
        <a:p>
          <a:pPr indent="0" lvl="0" marL="0" rtl="0" algn="l">
            <a:spcBef>
              <a:spcPts val="0"/>
            </a:spcBef>
            <a:spcAft>
              <a:spcPts val="0"/>
            </a:spcAft>
            <a:buNone/>
          </a:pPr>
          <a:r>
            <a:rPr lang="en-US" sz="900">
              <a:latin typeface="Calibri"/>
              <a:ea typeface="Calibri"/>
              <a:cs typeface="Calibri"/>
              <a:sym typeface="Calibri"/>
            </a:rPr>
            <a:t>This document is a general communication and is educational in nature. UBS has no regard to the specific investment objectives, financial situation or particular needs of any specific recipient. By providing this document, none of UBS or its representatives has any responsibility or authority to provide or have provided investment advice in a fiduciary capacity or otherwise. None of UBS or its representatives is suggesting that the recipient or any other person take a specific course of action or any action at all. In no circumstances may this Material be used for any of the following purposes:</a:t>
          </a:r>
          <a:endParaRPr sz="1400"/>
        </a:p>
        <a:p>
          <a:pPr indent="0" lvl="0" marL="0" rtl="0" algn="l">
            <a:spcBef>
              <a:spcPts val="0"/>
            </a:spcBef>
            <a:spcAft>
              <a:spcPts val="0"/>
            </a:spcAft>
            <a:buNone/>
          </a:pPr>
          <a:r>
            <a:rPr lang="en-US" sz="900">
              <a:latin typeface="Calibri"/>
              <a:ea typeface="Calibri"/>
              <a:cs typeface="Calibri"/>
              <a:sym typeface="Calibri"/>
            </a:rPr>
            <a:t>(i) valuation or accounting purposes;</a:t>
          </a:r>
          <a:endParaRPr sz="1400"/>
        </a:p>
        <a:p>
          <a:pPr indent="0" lvl="0" marL="0" rtl="0" algn="l">
            <a:spcBef>
              <a:spcPts val="0"/>
            </a:spcBef>
            <a:spcAft>
              <a:spcPts val="0"/>
            </a:spcAft>
            <a:buNone/>
          </a:pPr>
          <a:r>
            <a:rPr lang="en-US" sz="900">
              <a:latin typeface="Calibri"/>
              <a:ea typeface="Calibri"/>
              <a:cs typeface="Calibri"/>
              <a:sym typeface="Calibri"/>
            </a:rPr>
            <a:t>(ii) trading purposes;</a:t>
          </a:r>
          <a:endParaRPr sz="1400"/>
        </a:p>
        <a:p>
          <a:pPr indent="0" lvl="0" marL="0" rtl="0" algn="l">
            <a:spcBef>
              <a:spcPts val="0"/>
            </a:spcBef>
            <a:spcAft>
              <a:spcPts val="0"/>
            </a:spcAft>
            <a:buNone/>
          </a:pPr>
          <a:r>
            <a:rPr lang="en-US" sz="900">
              <a:latin typeface="Calibri"/>
              <a:ea typeface="Calibri"/>
              <a:cs typeface="Calibri"/>
              <a:sym typeface="Calibri"/>
            </a:rPr>
            <a:t>(iii) to determine the amounts due or payable, the price or the value of any financial instrument or financial contract; or</a:t>
          </a:r>
          <a:endParaRPr sz="1400"/>
        </a:p>
        <a:p>
          <a:pPr indent="0" lvl="0" marL="0" rtl="0" algn="l">
            <a:spcBef>
              <a:spcPts val="0"/>
            </a:spcBef>
            <a:spcAft>
              <a:spcPts val="0"/>
            </a:spcAft>
            <a:buNone/>
          </a:pPr>
          <a:r>
            <a:rPr lang="en-US" sz="900">
              <a:latin typeface="Calibri"/>
              <a:ea typeface="Calibri"/>
              <a:cs typeface="Calibri"/>
              <a:sym typeface="Calibri"/>
            </a:rPr>
            <a:t>(iv) to measure the performance of any financial instrument.</a:t>
          </a:r>
          <a:endParaRPr sz="1400"/>
        </a:p>
        <a:p>
          <a:pPr indent="0" lvl="0" marL="0" rtl="0" algn="l">
            <a:spcBef>
              <a:spcPts val="0"/>
            </a:spcBef>
            <a:spcAft>
              <a:spcPts val="0"/>
            </a:spcAft>
            <a:buNone/>
          </a:pPr>
          <a:r>
            <a:rPr lang="en-US" sz="900">
              <a:latin typeface="Calibri"/>
              <a:ea typeface="Calibri"/>
              <a:cs typeface="Calibri"/>
              <a:sym typeface="Calibri"/>
            </a:rPr>
            <a:t>By receiving this Material you (i) will be deemed to represent and warrant to UBS that you will not use this Material for any of the above purposes or otherwise rely upon this Material, (ii) acknowledge and agree with the intended purpose described above and (iii) further disclaim any expectation or belief that the Material constitutes investment advice to the recipient or otherwise purports to meet the investment objectives of the recipient. Nothing in this Material should be construed as a solicitation or an offer to buy or sell any securities or related financial instruments. Past performance is not necessarily a guide to future performance. The value of any investment or income may go down as well as up, and you may not get back the full (or any) amount invested.</a:t>
          </a:r>
          <a:endParaRPr sz="1400"/>
        </a:p>
        <a:p>
          <a:pPr indent="0" lvl="0" marL="0" rtl="0" algn="l">
            <a:spcBef>
              <a:spcPts val="0"/>
            </a:spcBef>
            <a:spcAft>
              <a:spcPts val="0"/>
            </a:spcAft>
            <a:buNone/>
          </a:pPr>
          <a:r>
            <a:rPr lang="en-US" sz="900">
              <a:latin typeface="Calibri"/>
              <a:ea typeface="Calibri"/>
              <a:cs typeface="Calibri"/>
              <a:sym typeface="Calibri"/>
            </a:rPr>
            <a:t>In certain circumstances (including for example, if you are an academic or a member of the media) you may receive this Material otherwise than in the capacity of a client of UBS and you understand and agree that (i) the Material is provided to you for information purposes only; (ii) for the purposes of receiving it you are not intended to be and will not be treated as a “client” of UBS for any legal or regulatory purpose; (iii) the Material must not be relied on or acted upon for any purpose; and (iv) such content is subject to the relevant disclaimers that follow.</a:t>
          </a:r>
          <a:endParaRPr sz="1400"/>
        </a:p>
        <a:p>
          <a:pPr indent="0" lvl="0" marL="0" rtl="0" algn="l">
            <a:spcBef>
              <a:spcPts val="0"/>
            </a:spcBef>
            <a:spcAft>
              <a:spcPts val="0"/>
            </a:spcAft>
            <a:buNone/>
          </a:pPr>
          <a:r>
            <a:rPr lang="en-US" sz="900">
              <a:latin typeface="Calibri"/>
              <a:ea typeface="Calibri"/>
              <a:cs typeface="Calibri"/>
              <a:sym typeface="Calibri"/>
            </a:rPr>
            <a:t>Should any user of this Material wish to trade any of the securities contained herein, they must consult their usual representative or trading contact. Prior to making any investment or financial decisions, any recipient of this document or the Information should take steps to understand the risk and return of the investment and seek individualized advice from his or her personal financial, legal, tax and other professional advisors that takes into account all the particular facts and circumstances of his or her investment objectives.</a:t>
          </a:r>
          <a:endParaRPr sz="1400"/>
        </a:p>
        <a:p>
          <a:pPr indent="0" lvl="0" marL="0" rtl="0" algn="l">
            <a:spcBef>
              <a:spcPts val="0"/>
            </a:spcBef>
            <a:spcAft>
              <a:spcPts val="0"/>
            </a:spcAft>
            <a:buNone/>
          </a:pPr>
          <a:r>
            <a:rPr lang="en-US" sz="900">
              <a:latin typeface="Calibri"/>
              <a:ea typeface="Calibri"/>
              <a:cs typeface="Calibri"/>
              <a:sym typeface="Calibri"/>
            </a:rPr>
            <a:t>The values generated by this Material do not represent the values or prices at which UBS would be willing to purchase, sell, enter into, assign, terminate or settle transactions in relevant securities. The methodology used in this Material relies on models, empirical data and assumptions, and as such, no representation or warranty, either expressed or implied, is provided as to the accuracy or appropriateness of our methodology and the Material. Any statements contained in this Material attributed to a third party represent UBS's interpretation of the data, information and/or opinions provided by that third party either publicly or through a subscription service, and such use and interpretation have not been reviewed by the third party.</a:t>
          </a:r>
          <a:endParaRPr sz="1400"/>
        </a:p>
        <a:p>
          <a:pPr indent="0" lvl="0" marL="0" rtl="0" algn="l">
            <a:spcBef>
              <a:spcPts val="0"/>
            </a:spcBef>
            <a:spcAft>
              <a:spcPts val="0"/>
            </a:spcAft>
            <a:buNone/>
          </a:pPr>
          <a:r>
            <a:rPr lang="en-US" sz="900">
              <a:latin typeface="Calibri"/>
              <a:ea typeface="Calibri"/>
              <a:cs typeface="Calibri"/>
              <a:sym typeface="Calibri"/>
            </a:rPr>
            <a:t>UBS has policies and procedures, which include, without limitation, independence policies and permanent information barriers, that are intended, and upon which UBS relies, to manage potential conflicts of interest and control the flow of information within divisions of UBS and among its subsidiaries, branches and affiliates. For further information on the ways in which UBS manages conflicts and maintains independence of its research products, historical performance information and certain additional disclosures concerning UBS research recommendations, please visit</a:t>
          </a:r>
          <a:r>
            <a:rPr lang="en-US" sz="900" u="sng">
              <a:latin typeface="Calibri"/>
              <a:ea typeface="Calibri"/>
              <a:cs typeface="Calibri"/>
              <a:sym typeface="Calibri"/>
            </a:rPr>
            <a:t> https://www.ubs.com/disclosures</a:t>
          </a:r>
          <a:r>
            <a:rPr lang="en-US" sz="900">
              <a:latin typeface="Calibri"/>
              <a:ea typeface="Calibri"/>
              <a:cs typeface="Calibri"/>
              <a:sym typeface="Calibri"/>
            </a:rPr>
            <a:t>.</a:t>
          </a:r>
          <a:endParaRPr sz="1400"/>
        </a:p>
        <a:p>
          <a:pPr indent="0" lvl="0" marL="0" rtl="0" algn="l">
            <a:spcBef>
              <a:spcPts val="0"/>
            </a:spcBef>
            <a:spcAft>
              <a:spcPts val="0"/>
            </a:spcAft>
            <a:buNone/>
          </a:pPr>
          <a:r>
            <a:rPr lang="en-US" sz="900">
              <a:latin typeface="Calibri"/>
              <a:ea typeface="Calibri"/>
              <a:cs typeface="Calibri"/>
              <a:sym typeface="Calibri"/>
            </a:rPr>
            <a:t>Research will initiate, update and cease coverage solely at the discretion of UBS Research Management, which will also have sole discretion on the timing and frequency of any published research product. The analysis contained in this document is based on numerous assumptions. All material information in relation to published research reports, such as valuation methodology, risk statements, underlying assumptions (including sensitivity analysis of those assumptions), ratings history etc. as required by the Market Abuse Regulation, can be found on NEO. Different assumptions could result in materially different results. </a:t>
          </a:r>
          <a:endParaRPr sz="1400"/>
        </a:p>
        <a:p>
          <a:pPr indent="0" lvl="0" marL="0" rtl="0" algn="l">
            <a:spcBef>
              <a:spcPts val="0"/>
            </a:spcBef>
            <a:spcAft>
              <a:spcPts val="0"/>
            </a:spcAft>
            <a:buNone/>
          </a:pPr>
          <a:r>
            <a:rPr lang="en-US" sz="900">
              <a:latin typeface="Calibri"/>
              <a:ea typeface="Calibri"/>
              <a:cs typeface="Calibri"/>
              <a:sym typeface="Calibri"/>
            </a:rPr>
            <a:t>The analyst(s) responsible for the preparation of this document may interact with trading desk personnel, sales personnel and other parties for the purpose of gathering, applying and interpreting market information. UBS relies on information barriers to control the flow of information contained in one or more areas within UBS into other areas, units, groups or affiliates of UBS. The compensation of the analyst who prepared this document is determined exclusively by research management and senior management (not including investment banking). Analyst compensation is not based on investment banking revenues; however, compensation may relate to the revenues of UBS and/or its divisions as a whole, of which investment banking, sales and trading are a part, and UBS's subsidiaries, branches and affiliates as a whole.</a:t>
          </a:r>
          <a:endParaRPr sz="1400"/>
        </a:p>
        <a:p>
          <a:pPr indent="0" lvl="0" marL="0" rtl="0" algn="l">
            <a:spcBef>
              <a:spcPts val="0"/>
            </a:spcBef>
            <a:spcAft>
              <a:spcPts val="0"/>
            </a:spcAft>
            <a:buNone/>
          </a:pPr>
          <a:r>
            <a:rPr b="1" lang="en-US" sz="900">
              <a:latin typeface="Calibri"/>
              <a:ea typeface="Calibri"/>
              <a:cs typeface="Calibri"/>
              <a:sym typeface="Calibri"/>
            </a:rPr>
            <a:t>UBS accepts no liability for any loss arising from the direct or indirect use of this Material. UBS and its affiliates and employees may have long or short positions, trade as principal and buy and sell in instruments or derivatives identified herein.</a:t>
          </a:r>
          <a:endParaRPr sz="900">
            <a:latin typeface="Calibri"/>
            <a:ea typeface="Calibri"/>
            <a:cs typeface="Calibri"/>
            <a:sym typeface="Calibri"/>
          </a:endParaRPr>
        </a:p>
        <a:p>
          <a:pPr indent="0" lvl="0" marL="0" rtl="0" algn="l">
            <a:spcBef>
              <a:spcPts val="0"/>
            </a:spcBef>
            <a:spcAft>
              <a:spcPts val="0"/>
            </a:spcAft>
            <a:buNone/>
          </a:pPr>
          <a:r>
            <a:rPr b="1" lang="en-US" sz="900">
              <a:latin typeface="Calibri"/>
              <a:ea typeface="Calibri"/>
              <a:cs typeface="Calibri"/>
              <a:sym typeface="Calibri"/>
            </a:rPr>
            <a:t>United Kingdom:</a:t>
          </a:r>
          <a:r>
            <a:rPr lang="en-US" sz="900">
              <a:latin typeface="Calibri"/>
              <a:ea typeface="Calibri"/>
              <a:cs typeface="Calibri"/>
              <a:sym typeface="Calibri"/>
            </a:rPr>
            <a:t> This Material is distributed by UBS AG, London Branch to persons who are eligible counterparties or professional clients. UBS AG, London Branch is authorised by the Prudential Regulation Authority and subject to regulation by the Financial Conduct Authority and limited regulation by the Prudential Regulation Authority. </a:t>
          </a:r>
          <a:r>
            <a:rPr b="1" lang="en-US" sz="900">
              <a:latin typeface="Calibri"/>
              <a:ea typeface="Calibri"/>
              <a:cs typeface="Calibri"/>
              <a:sym typeface="Calibri"/>
            </a:rPr>
            <a:t>Europe</a:t>
          </a:r>
          <a:r>
            <a:rPr lang="en-US" sz="900">
              <a:latin typeface="Calibri"/>
              <a:ea typeface="Calibri"/>
              <a:cs typeface="Calibri"/>
              <a:sym typeface="Calibri"/>
            </a:rPr>
            <a:t>: Except as otherwise specified herein, these materials are distributed by UBS Europe SE, a subsidiary of UBS AG, to persons who are eligible counterparties or professional clients (as detailed in the Bundesanstalt fur Finanzdienstleistungsaufsicht (BaFin) Rules and according to MIFID) and are only available to such persons. The information does not apply to, and should not be relied upon by, retail clients. UBS Europe SE is authorised by the European Central Bank (ECB) and regulated by the BaFin and the ECB. </a:t>
          </a:r>
          <a:r>
            <a:rPr b="1" lang="en-US" sz="900">
              <a:latin typeface="Calibri"/>
              <a:ea typeface="Calibri"/>
              <a:cs typeface="Calibri"/>
              <a:sym typeface="Calibri"/>
            </a:rPr>
            <a:t>Germany, Luxembourg, the Netherlands, Belgium and Ireland:</a:t>
          </a:r>
          <a:r>
            <a:rPr lang="en-US" sz="900">
              <a:latin typeface="Calibri"/>
              <a:ea typeface="Calibri"/>
              <a:cs typeface="Calibri"/>
              <a:sym typeface="Calibri"/>
            </a:rPr>
            <a:t> Where an analyst of UBS Europe SE has contributed to this document, the document is also deemed to have been prepared by UBS Europe SE. In all cases it is distributed by UBS Europe SE and UBS AG, London Branch. </a:t>
          </a:r>
          <a:r>
            <a:rPr b="1" lang="en-US" sz="900">
              <a:latin typeface="Calibri"/>
              <a:ea typeface="Calibri"/>
              <a:cs typeface="Calibri"/>
              <a:sym typeface="Calibri"/>
            </a:rPr>
            <a:t>Turkey:</a:t>
          </a:r>
          <a:r>
            <a:rPr lang="en-US" sz="900">
              <a:latin typeface="Calibri"/>
              <a:ea typeface="Calibri"/>
              <a:cs typeface="Calibri"/>
              <a:sym typeface="Calibri"/>
            </a:rPr>
            <a:t> Distributed by UBS AG, London Branch. No information in this document is provided for the purpose of offering, marketing and sale by any means of any capital market instruments and services in the Republic of Turkey. Therefore, this document may not be considered as an offer made or to be made to residents of the Republic of Turkey. UBS AG, London Branch is not licensed by the Turkish Capital Market Board under the provisions of the Capital Market Law (Law No. 6362). Accordingly, neither this document nor any other offering material related to the instruments/services may be utilized in connection with providing any capital market services to persons within the Republic of Turkey without the prior approval of the Capital Market Board. However, according to article 15 (d) (ii) of the Decree No. 32, there is no restriction on the purchase or sale of the securities abroad by residents of the Republic of Turkey. </a:t>
          </a:r>
          <a:r>
            <a:rPr b="1" lang="en-US" sz="900">
              <a:latin typeface="Calibri"/>
              <a:ea typeface="Calibri"/>
              <a:cs typeface="Calibri"/>
              <a:sym typeface="Calibri"/>
            </a:rPr>
            <a:t>Poland:</a:t>
          </a:r>
          <a:r>
            <a:rPr lang="en-US" sz="900">
              <a:latin typeface="Calibri"/>
              <a:ea typeface="Calibri"/>
              <a:cs typeface="Calibri"/>
              <a:sym typeface="Calibri"/>
            </a:rPr>
            <a:t> Distributed by UBS Europe SE (spolka z ograniczona odpowiedzialnoscia) Oddzial w Polsce regulated by the Polish Financial Supervision Authority. Where an analyst of UBS Europe SE (spolka z ograniczona odpowiedzialnoscia) Oddzial w Polsce has contributed to this document, the document is also deemed to have been prepared by UBS Europe SE (spolka z ograniczona odpowiedzialnoscia) Oddzial w Polsce. </a:t>
          </a:r>
          <a:r>
            <a:rPr b="1" lang="en-US" sz="900">
              <a:latin typeface="Calibri"/>
              <a:ea typeface="Calibri"/>
              <a:cs typeface="Calibri"/>
              <a:sym typeface="Calibri"/>
            </a:rPr>
            <a:t>Russia:</a:t>
          </a:r>
          <a:r>
            <a:rPr lang="en-US" sz="900">
              <a:latin typeface="Calibri"/>
              <a:ea typeface="Calibri"/>
              <a:cs typeface="Calibri"/>
              <a:sym typeface="Calibri"/>
            </a:rPr>
            <a:t> Prepared and distributed by UBS Bank (OOO) “Should not be construed as an individual Investment Recommendation for the purpose of the Russian Law" - Federal Law #39-FZ ON THE SECURITIES MARKET Articles 6.1-6.2. </a:t>
          </a:r>
          <a:r>
            <a:rPr b="1" lang="en-US" sz="900">
              <a:latin typeface="Calibri"/>
              <a:ea typeface="Calibri"/>
              <a:cs typeface="Calibri"/>
              <a:sym typeface="Calibri"/>
            </a:rPr>
            <a:t>Switzerland:</a:t>
          </a:r>
          <a:r>
            <a:rPr lang="en-US" sz="900">
              <a:latin typeface="Calibri"/>
              <a:ea typeface="Calibri"/>
              <a:cs typeface="Calibri"/>
              <a:sym typeface="Calibri"/>
            </a:rPr>
            <a:t> Distributed by UBS AG to persons who are institutional investors only. UBS AG is regulated by the Swiss Financial Market Supervisory Authority (FINMA). </a:t>
          </a:r>
          <a:r>
            <a:rPr b="1" lang="en-US" sz="900">
              <a:latin typeface="Calibri"/>
              <a:ea typeface="Calibri"/>
              <a:cs typeface="Calibri"/>
              <a:sym typeface="Calibri"/>
            </a:rPr>
            <a:t>Italy:</a:t>
          </a:r>
          <a:r>
            <a:rPr lang="en-US" sz="900">
              <a:latin typeface="Calibri"/>
              <a:ea typeface="Calibri"/>
              <a:cs typeface="Calibri"/>
              <a:sym typeface="Calibri"/>
            </a:rPr>
            <a:t> Prepared by UBS Europe SE and distributed by UBS Europe SE and UBS Europe SE, Italy Branch. Where an analyst of UBS Europe SE, Italy Branch has contributed to this document, the document is also deemed to have been prepared by UBS Europe SE, Italy Branch.</a:t>
          </a:r>
          <a:r>
            <a:rPr b="1" lang="en-US" sz="900">
              <a:latin typeface="Calibri"/>
              <a:ea typeface="Calibri"/>
              <a:cs typeface="Calibri"/>
              <a:sym typeface="Calibri"/>
            </a:rPr>
            <a:t> France: </a:t>
          </a:r>
          <a:r>
            <a:rPr lang="en-US" sz="900">
              <a:latin typeface="Calibri"/>
              <a:ea typeface="Calibri"/>
              <a:cs typeface="Calibri"/>
              <a:sym typeface="Calibri"/>
            </a:rPr>
            <a:t>Prepared by UBS Europe SE and distributed by UBS Europe SE and UBS Europe SE, France Branch. Where an analyst of UBS Europe SE, France Branch has contributed to this document, the document is also deemed to have been prepared by UBS Europe SE, France Branch. </a:t>
          </a:r>
          <a:r>
            <a:rPr b="1" lang="en-US" sz="900">
              <a:latin typeface="Calibri"/>
              <a:ea typeface="Calibri"/>
              <a:cs typeface="Calibri"/>
              <a:sym typeface="Calibri"/>
            </a:rPr>
            <a:t>Spain: </a:t>
          </a:r>
          <a:r>
            <a:rPr lang="en-US" sz="900">
              <a:latin typeface="Calibri"/>
              <a:ea typeface="Calibri"/>
              <a:cs typeface="Calibri"/>
              <a:sym typeface="Calibri"/>
            </a:rPr>
            <a:t>Prepared by UBS Europe SE and distributed by UBS Europe SE and UBS Europe SE, Spain Branch. Where an analyst of UBS Europe SE, Spain Branch has contributed to this document, the document is also deemed to have been prepared by UBS Europe SE, Spain Branch. </a:t>
          </a:r>
          <a:r>
            <a:rPr b="1" lang="en-US" sz="900">
              <a:latin typeface="Calibri"/>
              <a:ea typeface="Calibri"/>
              <a:cs typeface="Calibri"/>
              <a:sym typeface="Calibri"/>
            </a:rPr>
            <a:t>Sweden: </a:t>
          </a:r>
          <a:r>
            <a:rPr lang="en-US" sz="900">
              <a:latin typeface="Calibri"/>
              <a:ea typeface="Calibri"/>
              <a:cs typeface="Calibri"/>
              <a:sym typeface="Calibri"/>
            </a:rPr>
            <a:t>Prepared by UBS Europe SE and distributed by UBS Europe SE and UBS Europe SE, Sweden Branch. Where an analyst of UBS Europe SE, Sweden Branch has contributed to this document, the document is also deemed to have been prepared by UBS Europe SE, Sweden Branch. </a:t>
          </a:r>
          <a:r>
            <a:rPr b="1" lang="en-US" sz="900">
              <a:latin typeface="Calibri"/>
              <a:ea typeface="Calibri"/>
              <a:cs typeface="Calibri"/>
              <a:sym typeface="Calibri"/>
            </a:rPr>
            <a:t>South Africa:</a:t>
          </a:r>
          <a:r>
            <a:rPr lang="en-US" sz="900">
              <a:latin typeface="Calibri"/>
              <a:ea typeface="Calibri"/>
              <a:cs typeface="Calibri"/>
              <a:sym typeface="Calibri"/>
            </a:rPr>
            <a:t> Distributed by UBS South Africa (Pty) Limited (Registration No. 1995/011140/07) is an authorised user of the JSE and an authorised Financial Services Provider (FSP 7328). </a:t>
          </a:r>
          <a:r>
            <a:rPr b="1" lang="en-US" sz="900">
              <a:latin typeface="Calibri"/>
              <a:ea typeface="Calibri"/>
              <a:cs typeface="Calibri"/>
              <a:sym typeface="Calibri"/>
            </a:rPr>
            <a:t>Saudi Arabia:</a:t>
          </a:r>
          <a:r>
            <a:rPr lang="en-US" sz="900">
              <a:latin typeface="Calibri"/>
              <a:ea typeface="Calibri"/>
              <a:cs typeface="Calibri"/>
              <a:sym typeface="Calibri"/>
            </a:rPr>
            <a:t> This document has been issued by UBS AG (and/or any of its subsidiaries, branches or affiliates), a public company limited by shares, incorporated in Switzerland with its registered offices at Aeschenvorstadt 1, CH-4051 Basel and Bahnhofstrasse 45, CH-8001 Zurich. This publication has been approved by UBS Saudi Arabia (a subsidiary of UBS AG), a Saudi closed joint stock company incorporated in the Kingdom of Saudi Arabia under commercial register number 1010257812 having its registered office at Tatweer Towers, P.O. Box 75724, Riyadh 11588, Kingdom of Saudi Arabia. UBS Saudi Arabia is authorized and regulated by the Capital Market Authority to conduct securities business under license number 08113-37. </a:t>
          </a:r>
          <a:r>
            <a:rPr b="1" lang="en-US" sz="900">
              <a:latin typeface="Calibri"/>
              <a:ea typeface="Calibri"/>
              <a:cs typeface="Calibri"/>
              <a:sym typeface="Calibri"/>
            </a:rPr>
            <a:t>UAE /</a:t>
          </a:r>
          <a:r>
            <a:rPr lang="en-US" sz="900">
              <a:latin typeface="Calibri"/>
              <a:ea typeface="Calibri"/>
              <a:cs typeface="Calibri"/>
              <a:sym typeface="Calibri"/>
            </a:rPr>
            <a:t> </a:t>
          </a:r>
          <a:r>
            <a:rPr b="1" lang="en-US" sz="900">
              <a:latin typeface="Calibri"/>
              <a:ea typeface="Calibri"/>
              <a:cs typeface="Calibri"/>
              <a:sym typeface="Calibri"/>
            </a:rPr>
            <a:t>Dubai:</a:t>
          </a:r>
          <a:r>
            <a:rPr lang="en-US" sz="900">
              <a:latin typeface="Calibri"/>
              <a:ea typeface="Calibri"/>
              <a:cs typeface="Calibri"/>
              <a:sym typeface="Calibri"/>
            </a:rPr>
            <a:t> The information distributed by UBS AG Dubai Branch is only intended for Professional Clients and/or Market Counterparties, as classified under the DFSA rulebook. No other person should act upon this material/communication. The information is not for further distribution within the United Arab Emirates. UBS AG Dubai Branch is regulated by the DFSA in the DIFC. UBS is not licensed to provide banking services in the UAE by the Central Bank of the UAE, nor is it licensed by the UAE Securities and Commodities Authority. </a:t>
          </a:r>
          <a:r>
            <a:rPr b="1" lang="en-US" sz="900">
              <a:latin typeface="Calibri"/>
              <a:ea typeface="Calibri"/>
              <a:cs typeface="Calibri"/>
              <a:sym typeface="Calibri"/>
            </a:rPr>
            <a:t>Israel:</a:t>
          </a:r>
          <a:r>
            <a:rPr lang="en-US" sz="900">
              <a:latin typeface="Calibri"/>
              <a:ea typeface="Calibri"/>
              <a:cs typeface="Calibri"/>
              <a:sym typeface="Calibri"/>
            </a:rPr>
            <a:t> This Material is distributed by UBS AG, London Branch. UBS Securities Israel Ltd is a licensed Investment Marketer that is supervised by the Israel Securities Authority(ISA). UBS AG, London Branch and its affiliates incorporated outside Israel are not licensed under the Israeli Advisory Law. UBS may engage among others in issuance of Financial Assets or in distribution of Financial Assets of other issuers for fees or other benefits. UBS AG, London Branch and its affiliates may prefer various Financial Assets to which they have or may have an Affiliation(as such term is defined under the Israeli Advisory Law). Nothing in this Material should be considered as investment advice under the Israeli Advisory Law. This Material is being issued only to and/or is directed only at persons who are Eligible Clients within the meaning of the Israeli Advisory Law, and this Material must not be furnished to, relied on or acted upon by any other persons. </a:t>
          </a:r>
          <a:r>
            <a:rPr b="1" lang="en-US" sz="900">
              <a:latin typeface="Calibri"/>
              <a:ea typeface="Calibri"/>
              <a:cs typeface="Calibri"/>
              <a:sym typeface="Calibri"/>
            </a:rPr>
            <a:t>United States:</a:t>
          </a:r>
          <a:r>
            <a:rPr lang="en-US" sz="900">
              <a:latin typeface="Calibri"/>
              <a:ea typeface="Calibri"/>
              <a:cs typeface="Calibri"/>
              <a:sym typeface="Calibri"/>
            </a:rPr>
            <a:t> Distributed to US persons by either UBS Securities LLC or by UBS Financial Services Inc., subsidiaries of UBS AG; or by a group, subsidiary or affiliate of UBS AG that is not registered as a US broker-dealer (a </a:t>
          </a:r>
          <a:r>
            <a:rPr b="1" lang="en-US" sz="900">
              <a:latin typeface="Calibri"/>
              <a:ea typeface="Calibri"/>
              <a:cs typeface="Calibri"/>
              <a:sym typeface="Calibri"/>
            </a:rPr>
            <a:t>‘non-US affiliate’</a:t>
          </a:r>
          <a:r>
            <a:rPr lang="en-US" sz="900">
              <a:latin typeface="Calibri"/>
              <a:ea typeface="Calibri"/>
              <a:cs typeface="Calibri"/>
              <a:sym typeface="Calibri"/>
            </a:rPr>
            <a:t>) to major US institutional investors only. UBS Securities LLC or UBS Financial Services Inc. accepts responsibility for the content of a report prepared by another non-US affiliate when distributed to US persons by UBS Securities LLC or UBS Financial Services Inc. All transactions by a US person in the securities mentioned in this report must be effected through UBS Securities LLC or UBS Financial Services Inc., and not through a non-US affiliate. UBS Securities LLC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 </a:t>
          </a:r>
          <a:r>
            <a:rPr b="1" lang="en-US" sz="900">
              <a:latin typeface="Calibri"/>
              <a:ea typeface="Calibri"/>
              <a:cs typeface="Calibri"/>
              <a:sym typeface="Calibri"/>
            </a:rPr>
            <a:t>Canada:</a:t>
          </a:r>
          <a:r>
            <a:rPr lang="en-US" sz="900">
              <a:latin typeface="Calibri"/>
              <a:ea typeface="Calibri"/>
              <a:cs typeface="Calibri"/>
              <a:sym typeface="Calibri"/>
            </a:rPr>
            <a:t> Distributed by UBS Securities Canada Inc., a registered investment dealer in Canada and a Member-Canadian Investor Protection Fund, or by another affiliate of UBS AG that is registered to conduct business in Canada or is otherwise exempt from registration. </a:t>
          </a:r>
          <a:r>
            <a:rPr b="1" lang="en-US" sz="900">
              <a:latin typeface="Calibri"/>
              <a:ea typeface="Calibri"/>
              <a:cs typeface="Calibri"/>
              <a:sym typeface="Calibri"/>
            </a:rPr>
            <a:t>Brazil: </a:t>
          </a:r>
          <a:r>
            <a:rPr lang="en-US" sz="900">
              <a:latin typeface="Calibri"/>
              <a:ea typeface="Calibri"/>
              <a:cs typeface="Calibri"/>
              <a:sym typeface="Calibri"/>
            </a:rPr>
            <a:t> Except as otherwise specified herein, this Material is prepared by UBS Brasil Corretora de Câmbio, Títulos e Valores Mobiliários S.A.</a:t>
          </a:r>
          <a:r>
            <a:rPr baseline="30000" lang="en-US" sz="900">
              <a:latin typeface="Calibri"/>
              <a:ea typeface="Calibri"/>
              <a:cs typeface="Calibri"/>
              <a:sym typeface="Calibri"/>
            </a:rPr>
            <a:t>1</a:t>
          </a:r>
          <a:r>
            <a:rPr lang="en-US" sz="900">
              <a:latin typeface="Calibri"/>
              <a:ea typeface="Calibri"/>
              <a:cs typeface="Calibri"/>
              <a:sym typeface="Calibri"/>
            </a:rPr>
            <a:t> (UBS Brasil CCTVM) to persons who are eligible investors residing in Brazil, which are considered to be Professional Investors (Investidores Profissionais), as designated by the applicable regulation, mainly the CVM Resolution No. 30 from the 11th of May 2021 (determines the duty to verify the suitability of products, services and transactions with regards to the client´s profile).</a:t>
          </a:r>
          <a:r>
            <a:rPr baseline="30000" lang="en-US" sz="900">
              <a:latin typeface="Calibri"/>
              <a:ea typeface="Calibri"/>
              <a:cs typeface="Calibri"/>
              <a:sym typeface="Calibri"/>
            </a:rPr>
            <a:t>1</a:t>
          </a:r>
          <a:r>
            <a:rPr lang="en-US" sz="900">
              <a:latin typeface="Calibri"/>
              <a:ea typeface="Calibri"/>
              <a:cs typeface="Calibri"/>
              <a:sym typeface="Calibri"/>
            </a:rPr>
            <a:t>UBS  CCTVM is a subsidiary of UBS BB Servicos de Assessoria Financeira e Participacoes S.A. (“UBS BB”). UBS BB is an association between UBS AG and Banco do Brasil (through its subsidiary BB – Banco de Investimentos S.A.), of which UBS AG is the majority owner and which provides investment banking services and coverage in Brazil, Argentina, Paraguay, Peru and Uruguay. </a:t>
          </a:r>
          <a:r>
            <a:rPr b="1" lang="en-US" sz="900">
              <a:latin typeface="Calibri"/>
              <a:ea typeface="Calibri"/>
              <a:cs typeface="Calibri"/>
              <a:sym typeface="Calibri"/>
            </a:rPr>
            <a:t>Hong Kong:</a:t>
          </a:r>
          <a:r>
            <a:rPr lang="en-US" sz="900">
              <a:latin typeface="Calibri"/>
              <a:ea typeface="Calibri"/>
              <a:cs typeface="Calibri"/>
              <a:sym typeface="Calibri"/>
            </a:rPr>
            <a:t> Distributed by UBS Securities Asia Limited. Please contact local licensed persons of UBS Securities Asia Limited in respect of any matters arising from, or in connection with the analysis or document. </a:t>
          </a:r>
          <a:r>
            <a:rPr b="1" lang="en-US" sz="900">
              <a:latin typeface="Calibri"/>
              <a:ea typeface="Calibri"/>
              <a:cs typeface="Calibri"/>
              <a:sym typeface="Calibri"/>
            </a:rPr>
            <a:t>Singapore:</a:t>
          </a:r>
          <a:r>
            <a:rPr lang="en-US" sz="900">
              <a:latin typeface="Calibri"/>
              <a:ea typeface="Calibri"/>
              <a:cs typeface="Calibri"/>
              <a:sym typeface="Calibri"/>
            </a:rPr>
            <a:t> Distributed by UBS Securities Pte. Ltd. [Co. Reg. No.: 198500648C] or UBS AG, Singapore Branch. Please contact UBS Securities Pte. Ltd., an exempt financial adviser under the Singapore Financial Advisers Act (Cap. 110); or UBS AG, Singapore Branch, an exempt financial adviser under the Singapore Financial Advisers Act (Cap. 110) and a wholesale bank licensed under the Singapore Banking Act (Cap. 19) regulated by the Monetary Authority of Singapore, in respect of any matters arising from, or in connection with, the analysis or document. The recipients of this document represent and warrant that they are accredited and institutional investors as defined in the Securities and Futures Act (Cap. 289). </a:t>
          </a:r>
          <a:r>
            <a:rPr b="1" lang="en-US" sz="900">
              <a:latin typeface="Calibri"/>
              <a:ea typeface="Calibri"/>
              <a:cs typeface="Calibri"/>
              <a:sym typeface="Calibri"/>
            </a:rPr>
            <a:t>Japan:</a:t>
          </a:r>
          <a:r>
            <a:rPr lang="en-US" sz="900">
              <a:latin typeface="Calibri"/>
              <a:ea typeface="Calibri"/>
              <a:cs typeface="Calibri"/>
              <a:sym typeface="Calibri"/>
            </a:rPr>
            <a:t> Distributed by UBS Securities Japan Co., Ltd. to professional investors (except as otherwise permitted). Where this report has been prepared by UBS Securities Japan Co., Ltd., UBS Securities Japan Co., Ltd. is the author, publisher and distributor of the report. Distributed by UBS AG, Tokyo Branch to Professional Investors (except as otherwise permitted) in relation to foreign exchange and other banking businesses when relevant. </a:t>
          </a:r>
          <a:r>
            <a:rPr b="1" lang="en-US" sz="900">
              <a:latin typeface="Calibri"/>
              <a:ea typeface="Calibri"/>
              <a:cs typeface="Calibri"/>
              <a:sym typeface="Calibri"/>
            </a:rPr>
            <a:t>Australia:</a:t>
          </a:r>
          <a:r>
            <a:rPr lang="en-US" sz="900">
              <a:latin typeface="Calibri"/>
              <a:ea typeface="Calibri"/>
              <a:cs typeface="Calibri"/>
              <a:sym typeface="Calibri"/>
            </a:rPr>
            <a:t> Clients of UBS AG: Distributed by UBS AG (ABN 47 088 129 613 and holder of Australian Financial Services License No. 231087). Clients of UBS Securities Australia Ltd: Distributed by UBS Securities Australia Ltd (ABN 62 008 586 481 and holder of Australian Financial Services License No. 231098). This document contains general information and/or general advice only and does not constitute personal financial product advice. As such, the Information in this document has been prepared without taking into account any investor’s objectives, financial situation or needs, and investors should, before acting on the Information, consider the appropriateness of the Information, having regard to their objectives, financial situation and needs. If the Information contained in this document relates to the acquisition, or potential acquisition of a particular financial product by a ‘Retail’ client as defined by section 761G of the Corporations Act 2001 where a Product Disclosure Statement would be required, the retail client should obtain and consider the Product Disclosure Statement relating to the product before making any decision about whether to acquire the product. </a:t>
          </a:r>
          <a:r>
            <a:rPr b="1" lang="en-US" sz="900">
              <a:latin typeface="Calibri"/>
              <a:ea typeface="Calibri"/>
              <a:cs typeface="Calibri"/>
              <a:sym typeface="Calibri"/>
            </a:rPr>
            <a:t>New Zealand:</a:t>
          </a:r>
          <a:r>
            <a:rPr lang="en-US" sz="900">
              <a:latin typeface="Calibri"/>
              <a:ea typeface="Calibri"/>
              <a:cs typeface="Calibri"/>
              <a:sym typeface="Calibri"/>
            </a:rPr>
            <a:t> Distributed by UBS New Zealand Ltd. UBS New Zealand Ltd is not a registered bank in New Zealand. You are being provided with this UBS publication or material because you have indicated to UBS that you are a “wholesale client” within the meaning of section 5C of the Financial Advisers Act 2008 of New Zealand (Permitted Client). This publication or material is not intended for clients who are not Permitted Clients (non-permitted Clients). If you are a non-permitted Client you must not rely on this publication or material. If despite this warning you nevertheless rely on this publication or material, you hereby (i) acknowledge that you may not rely on the content of this publication or material and that any recommendations or opinions in such this publication or material are not made or provided to you, and (ii) to the maximum extent permitted by law (a) indemnify UBS and its associates or related entities (and their respective Directors, officers, agents and Advisors) (each a ‘Relevant Person’) for any loss, damage, liability or claim any of them may incur or suffer as a result of, or in connection with, your unauthorised reliance on this publication or material and (b) waive any rights or remedies you may have against any Relevant Person for (or in respect of) any loss, damage, liability or claim you may incur or suffer as a result of, or in connection with, your unauthorised reliance on this publication or material. </a:t>
          </a:r>
          <a:r>
            <a:rPr b="1" lang="en-US" sz="900">
              <a:latin typeface="Calibri"/>
              <a:ea typeface="Calibri"/>
              <a:cs typeface="Calibri"/>
              <a:sym typeface="Calibri"/>
            </a:rPr>
            <a:t>Korea:</a:t>
          </a:r>
          <a:r>
            <a:rPr lang="en-US" sz="900">
              <a:latin typeface="Calibri"/>
              <a:ea typeface="Calibri"/>
              <a:cs typeface="Calibri"/>
              <a:sym typeface="Calibri"/>
            </a:rPr>
            <a:t> Distributed in Korea by UBS Securities Pte. Ltd., Seoul Branch. This report may have been edited or contributed to from time to time by affiliates of UBS Securities Pte. Ltd., Seoul Branch. This material is intended for professional/institutional clients only and not for distribution to any retail clients. </a:t>
          </a:r>
          <a:r>
            <a:rPr b="1" lang="en-US" sz="900">
              <a:latin typeface="Calibri"/>
              <a:ea typeface="Calibri"/>
              <a:cs typeface="Calibri"/>
              <a:sym typeface="Calibri"/>
            </a:rPr>
            <a:t>Malaysia:</a:t>
          </a:r>
          <a:r>
            <a:rPr lang="en-US" sz="900">
              <a:latin typeface="Calibri"/>
              <a:ea typeface="Calibri"/>
              <a:cs typeface="Calibri"/>
              <a:sym typeface="Calibri"/>
            </a:rPr>
            <a:t> This Material is authorized to be distributed in Malaysia by UBS Securities Malaysia Sdn. Bhd (Capital Markets Services License No.: CMSL/A0063/2007). This material is intended for professional/institutional clients only and not for distribution to any retail clients. </a:t>
          </a:r>
          <a:r>
            <a:rPr b="1" lang="en-US" sz="900">
              <a:latin typeface="Calibri"/>
              <a:ea typeface="Calibri"/>
              <a:cs typeface="Calibri"/>
              <a:sym typeface="Calibri"/>
            </a:rPr>
            <a:t>India:</a:t>
          </a:r>
          <a:r>
            <a:rPr lang="en-US" sz="900">
              <a:latin typeface="Calibri"/>
              <a:ea typeface="Calibri"/>
              <a:cs typeface="Calibri"/>
              <a:sym typeface="Calibri"/>
            </a:rPr>
            <a:t> Distributed by UBS Securities India Private Ltd. (Corporate Identity Number U67120MH1996PTC097299) 2/F, 2 North Avenue, Maker Maxity, Bandra Kurla Complex, Bandra (East), Mumbai (India) 400051. Phone: +912261556000. It provides brokerage services bearing SEBI Registration Number: INZ000259830; and Research Analyst services bearing SEBI Registration Number: INH000001204. It holds a SEBI Registered Merchant Banking license Number : INM000010809. UBS AG, its affiliates or subsidiaries may have debt holdings or positions in the subject Indian company/companies. UBS AG, its affiliates or subsidiaries may have financial interests (e.g. loan/derivative products, rights to or interests in investments, etc.) in the subject Indian company / companies from time to time. Within the past 12 months, UBS AG, its affiliates or subsidiaries may have received compensation for non-investment banking securities-related services and/or non-securities services from the subject Indian company/companies. The subject company/companies may have been a client/clients of UBS AG, its affiliates or subsidiaries during the 12 months preceding the date of distribution of the research report with respect to investment banking and/or non-investment banking securities-related services and/or non-securities services. With regard to information on associates, please refer to the Annual Report at: </a:t>
          </a:r>
          <a:r>
            <a:rPr lang="en-US" sz="900" u="sng">
              <a:latin typeface="Calibri"/>
              <a:ea typeface="Calibri"/>
              <a:cs typeface="Calibri"/>
              <a:sym typeface="Calibri"/>
            </a:rPr>
            <a:t>http://www.ubs.com/global/en/about_ubs/investor_relations/annualreporting.html</a:t>
          </a:r>
          <a:r>
            <a:rPr lang="en-US" sz="900">
              <a:latin typeface="Calibri"/>
              <a:ea typeface="Calibri"/>
              <a:cs typeface="Calibri"/>
              <a:sym typeface="Calibri"/>
            </a:rPr>
            <a:t> </a:t>
          </a:r>
          <a:r>
            <a:rPr b="1" lang="en-US" sz="900">
              <a:latin typeface="Calibri"/>
              <a:ea typeface="Calibri"/>
              <a:cs typeface="Calibri"/>
              <a:sym typeface="Calibri"/>
            </a:rPr>
            <a:t>Taiwan:</a:t>
          </a:r>
          <a:r>
            <a:rPr lang="en-US" sz="900">
              <a:latin typeface="Calibri"/>
              <a:ea typeface="Calibri"/>
              <a:cs typeface="Calibri"/>
              <a:sym typeface="Calibri"/>
            </a:rPr>
            <a:t> Except as otherwise specified herein, this material may not be distributed in Taiwan. Information and material on securities/instruments that are traded in a Taiwan organized exchange is deemed to be issued and distributed by UBS Securities Pte. LTD., Taipei Branch, which is licensed and regulated by Taiwan Financial Supervisory Commission. Save for securities/instruments that are traded in a Taiwan organized exchange, this material should not constitute "recommendation" to clients or recipients in Taiwan for the covered companies or any companies mentioned in this document. No portion of the document may be reproduced or quoted by the press or any other person without authorisation from UBS. </a:t>
          </a:r>
          <a:r>
            <a:rPr b="1" lang="en-US" sz="900">
              <a:latin typeface="Calibri"/>
              <a:ea typeface="Calibri"/>
              <a:cs typeface="Calibri"/>
              <a:sym typeface="Calibri"/>
            </a:rPr>
            <a:t>Indonesia</a:t>
          </a:r>
          <a:r>
            <a:rPr lang="en-US" sz="900">
              <a:latin typeface="Calibri"/>
              <a:ea typeface="Calibri"/>
              <a:cs typeface="Calibri"/>
              <a:sym typeface="Calibri"/>
            </a:rPr>
            <a:t>: This report is being distributed by PT UBS Sekuritas Indonesia and is delivered by its licensed employee(s), including marketing/sales person, to its client. PT UBS Sekuritas Indonesia, having its registered office at Sequis Tower Level 22 unit 22-1,Jl.Jend. Sudirman, kav.71, SCBD lot 11B, Jakarta 12190. Indonesia, is a subsidiary company of UBS AG and licensed under Capital Market Law no. 8 year 1995, a holder of broker-dealer and underwriter licenses issued by the Capital Market and Financial Institution Supervisory Agency (now Otoritas Jasa Keuangan/OJK). PT UBS Sekuritas Indonesia is also a member of Indonesia Stock Exchange and supervised by Otoritas Jasa Keuangan (OJK). Neither this report nor any copy hereof may be distributed in Indonesia or to any Indonesian citizens except in compliance with applicable Indonesian capital market laws and regulations. This report is not an offer of securities in Indonesia and may not be distributed within the territory of the Republic of Indonesia or to Indonesian citizens in circumstance which constitutes an offering within the meaning of Indonesian capital market laws and regulations.</a:t>
          </a:r>
          <a:endParaRPr sz="1400"/>
        </a:p>
        <a:p>
          <a:pPr indent="0" lvl="0" marL="0" rtl="0" algn="l">
            <a:spcBef>
              <a:spcPts val="0"/>
            </a:spcBef>
            <a:spcAft>
              <a:spcPts val="0"/>
            </a:spcAft>
            <a:buNone/>
          </a:pPr>
          <a:r>
            <a:rPr lang="en-US" sz="900">
              <a:latin typeface="Calibri"/>
              <a:ea typeface="Calibri"/>
              <a:cs typeface="Calibri"/>
              <a:sym typeface="Calibri"/>
            </a:rPr>
            <a:t>The disclosures contained in research documents produced by UBS AG, London Branch or UBS Europe SE shall be governed by and construed in accordance with English law.</a:t>
          </a:r>
          <a:endParaRPr sz="1400"/>
        </a:p>
        <a:p>
          <a:pPr indent="0" lvl="0" marL="0" rtl="0" algn="l">
            <a:spcBef>
              <a:spcPts val="0"/>
            </a:spcBef>
            <a:spcAft>
              <a:spcPts val="0"/>
            </a:spcAft>
            <a:buNone/>
          </a:pPr>
          <a:r>
            <a:rPr lang="en-US" sz="900">
              <a:latin typeface="Calibri"/>
              <a:ea typeface="Calibri"/>
              <a:cs typeface="Calibri"/>
              <a:sym typeface="Calibri"/>
            </a:rPr>
            <a:t>UBS specifically prohibits the redistribution of this document in whole or in part without the written permission of UBS, and in any event UBS accepts no liability whatsoever for any redistribution of this document or its contents or the actions of third parties in this respect. Images may depict objects or elements that are protected by third-party copyright, trademarks and other intellectual property rights. © UBS 2023. The key symbol and UBS are among the registered and unregistered trademarks of UBS. All rights reserved.</a:t>
          </a:r>
          <a:endParaRPr sz="1400"/>
        </a:p>
        <a:p>
          <a:pPr indent="0" lvl="0" marL="0" rtl="0" algn="l">
            <a:spcBef>
              <a:spcPts val="0"/>
            </a:spcBef>
            <a:spcAft>
              <a:spcPts val="0"/>
            </a:spcAft>
            <a:buNone/>
          </a:pPr>
          <a:r>
            <a:rPr lang="en-US" sz="900">
              <a:latin typeface="Calibri"/>
              <a:ea typeface="Calibri"/>
              <a:cs typeface="Calibri"/>
              <a:sym typeface="Calibri"/>
            </a:rPr>
            <a:t> </a:t>
          </a:r>
          <a:endParaRPr sz="1400"/>
        </a:p>
        <a:p>
          <a:pPr indent="0" lvl="0" marL="0" rtl="0" algn="l">
            <a:spcBef>
              <a:spcPts val="0"/>
            </a:spcBef>
            <a:spcAft>
              <a:spcPts val="0"/>
            </a:spcAft>
            <a:buNone/>
          </a:pPr>
          <a:r>
            <a:t/>
          </a:r>
          <a:endParaRPr sz="900">
            <a:latin typeface="Calibri"/>
            <a:ea typeface="Calibri"/>
            <a:cs typeface="Calibri"/>
            <a:sym typeface="Calibri"/>
          </a:endParaRPr>
        </a:p>
      </xdr:txBody>
    </xdr:sp>
    <xdr:clientData fLocksWithSheet="0"/>
  </xdr:oneCellAnchor>
  <xdr:oneCellAnchor>
    <xdr:from>
      <xdr:col>1</xdr:col>
      <xdr:colOff>0</xdr:colOff>
      <xdr:row>0</xdr:row>
      <xdr:rowOff>0</xdr:rowOff>
    </xdr:from>
    <xdr:ext cx="447675"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172336142"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EPT\Corpfin\FORECAST\Scale\00%20April\Models%20Prototype\Prototype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w_temp_INTC%20MASTER_lockedforwire_2.22.2023.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ance Checks"/>
      <sheetName val="Assumptions"/>
      <sheetName val="Ratio Analysis"/>
      <sheetName val="Income Statement"/>
      <sheetName val="Balance Sheet"/>
      <sheetName val="Cash Flow Statement"/>
      <sheetName val="Shareholders' Equity"/>
      <sheetName val="Balance Sheet Drivers"/>
      <sheetName val="Net Interest"/>
      <sheetName val="Debt Detail"/>
      <sheetName val="Corp. Held Assets"/>
      <sheetName val="Offshore"/>
      <sheetName val="PP&amp;E"/>
      <sheetName val="S&amp;U Statement"/>
      <sheetName val="Profit Sharing"/>
      <sheetName val="Module1"/>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2)"/>
      <sheetName val="Cons Est - hardcode"/>
      <sheetName val="CUS Image"/>
      <sheetName val="Check for CUS"/>
      <sheetName val="UBS v Street"/>
      <sheetName val="Valuation"/>
      <sheetName val="Earnings Table"/>
      <sheetName val="Snapshot"/>
      <sheetName val="Preso Summ"/>
      <sheetName val="Cons Est"/>
      <sheetName val="Price Target Multiples"/>
      <sheetName val="MPU"/>
      <sheetName val="Charts for Note"/>
      <sheetName val="Estimate Change"/>
      <sheetName val="Summary"/>
      <sheetName val="To do"/>
      <sheetName val="Historical valuation Multiples"/>
      <sheetName val="Upside Downside"/>
      <sheetName val="Seasonality for Preview"/>
      <sheetName val="Outsourcing Financial Impli"/>
      <sheetName val="AAPL Impact"/>
      <sheetName val="Charts"/>
      <sheetName val="Market data"/>
      <sheetName val="Charts 2"/>
      <sheetName val="Valuation Basis"/>
      <sheetName val="Guidance"/>
      <sheetName val="GPU investments part 2"/>
      <sheetName val="GPU investments part 1"/>
      <sheetName val="Earnings"/>
      <sheetName val="DCG analysis"/>
      <sheetName val="customers"/>
      <sheetName val="IF FABLESS"/>
      <sheetName val="Comp"/>
      <sheetName val="Price Charts"/>
      <sheetName val="SOTP"/>
      <sheetName val="RAPv2"/>
      <sheetName val="Old Models -----&gt;&gt;&gt;"/>
      <sheetName val="depr schedule"/>
      <sheetName val="Sensitivity"/>
      <sheetName val="upside_downside"/>
      <sheetName val="FC tables"/>
      <sheetName val="Business Analysis"/>
      <sheetName val="Intel DT NB units ASP"/>
      <sheetName val="Post Upload Check"/>
      <sheetName val="Sheet1"/>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sheetData sheetId="17"/>
      <sheetData sheetId="18" refreshError="1"/>
      <sheetData sheetId="19"/>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refreshError="1"/>
      <sheetData sheetId="34" refreshError="1"/>
      <sheetData sheetId="35"/>
      <sheetData sheetId="36" refreshError="1"/>
      <sheetData sheetId="37"/>
      <sheetData sheetId="38" refreshError="1"/>
      <sheetData sheetId="39" refreshError="1"/>
      <sheetData sheetId="40" refreshError="1"/>
      <sheetData sheetId="41"/>
      <sheetData sheetId="42" refreshError="1"/>
      <sheetData sheetId="43" refreshError="1"/>
      <sheetData sheetId="4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0"/>
  </cols>
  <sheetData>
    <row r="1" ht="13.5" customHeight="1">
      <c r="A1" s="1"/>
      <c r="B1" s="2" t="s">
        <v>0</v>
      </c>
      <c r="C1" s="2"/>
      <c r="D1" s="2"/>
      <c r="E1" s="2"/>
      <c r="F1" s="2"/>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9.0"/>
  </cols>
  <sheetData>
    <row r="1" ht="13.5" customHeight="1">
      <c r="A1" s="2"/>
      <c r="B1" s="2"/>
      <c r="C1" s="2"/>
      <c r="D1" s="2"/>
      <c r="E1" s="2"/>
      <c r="F1" s="2"/>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3.0" ySplit="10.0" topLeftCell="D11" activePane="bottomRight" state="frozen"/>
      <selection activeCell="D1" sqref="D1" pane="topRight"/>
      <selection activeCell="A11" sqref="A11" pane="bottomLeft"/>
      <selection activeCell="D11" sqref="D11" pane="bottomRight"/>
    </sheetView>
  </sheetViews>
  <sheetFormatPr customHeight="1" defaultColWidth="12.63" defaultRowHeight="15.0" outlineLevelCol="2" outlineLevelRow="4"/>
  <cols>
    <col customWidth="1" min="1" max="1" width="1.63"/>
    <col customWidth="1" min="2" max="2" width="30.88"/>
    <col customWidth="1" min="3" max="3" width="2.0" outlineLevel="2"/>
    <col customWidth="1" hidden="1" min="4" max="5" width="5.38" outlineLevel="2"/>
    <col customWidth="1" hidden="1" min="6" max="6" width="5.5" outlineLevel="2"/>
    <col customWidth="1" hidden="1" min="7" max="7" width="5.38" outlineLevel="2"/>
    <col customWidth="1" hidden="1" min="8" max="8" width="5.13"/>
    <col customWidth="1" hidden="1" min="9" max="10" width="5.38" outlineLevel="2"/>
    <col customWidth="1" hidden="1" min="11" max="11" width="5.5" outlineLevel="2"/>
    <col customWidth="1" hidden="1" min="12" max="12" width="5.38" outlineLevel="2"/>
    <col customWidth="1" hidden="1" min="13" max="13" width="5.38"/>
    <col customWidth="1" hidden="1" min="14" max="14" width="5.38" outlineLevel="2"/>
    <col customWidth="1" hidden="1" min="15" max="15" width="5.63" outlineLevel="2"/>
    <col customWidth="1" hidden="1" min="16" max="16" width="5.5" outlineLevel="2"/>
    <col customWidth="1" hidden="1" min="17" max="17" width="5.63" outlineLevel="2"/>
    <col customWidth="1" hidden="1" min="18" max="18" width="6.0"/>
    <col customWidth="1" hidden="1" min="19" max="20" width="6.13" outlineLevel="2"/>
    <col customWidth="1" hidden="1" min="21" max="21" width="6.88" outlineLevel="2"/>
    <col customWidth="1" hidden="1" min="22" max="22" width="5.63" outlineLevel="2"/>
    <col customWidth="1" hidden="1" min="23" max="23" width="6.0"/>
    <col customWidth="1" hidden="1" min="24" max="24" width="5.63" outlineLevel="2"/>
    <col customWidth="1" hidden="1" min="25" max="25" width="6.88" outlineLevel="2"/>
    <col customWidth="1" hidden="1" min="26" max="26" width="5.63" outlineLevel="2"/>
    <col customWidth="1" hidden="1" min="27" max="27" width="6.13" outlineLevel="2"/>
    <col customWidth="1" hidden="1" min="28" max="28" width="5.88"/>
    <col customWidth="1" hidden="1" min="29" max="32" width="5.75" outlineLevel="2"/>
    <col customWidth="1" hidden="1" min="33" max="33" width="6.0"/>
    <col customWidth="1" hidden="1" min="34" max="37" width="6.13" outlineLevel="2"/>
    <col customWidth="1" hidden="1" min="38" max="38" width="5.63"/>
    <col customWidth="1" hidden="1" min="39" max="39" width="6.5" outlineLevel="2"/>
    <col customWidth="1" hidden="1" min="40" max="42" width="5.63" outlineLevel="2"/>
    <col customWidth="1" hidden="1" min="43" max="43" width="6.0"/>
    <col customWidth="1" hidden="1" min="44" max="44" width="6.5" outlineLevel="2"/>
    <col customWidth="1" hidden="1" min="45" max="47" width="5.63" outlineLevel="2"/>
    <col customWidth="1" hidden="1" min="48" max="48" width="5.88"/>
    <col customWidth="1" hidden="1" min="49" max="49" width="6.5" outlineLevel="2"/>
    <col customWidth="1" hidden="1" min="50" max="51" width="5.63" outlineLevel="2"/>
    <col customWidth="1" hidden="1" min="52" max="52" width="6.13" outlineLevel="2"/>
    <col customWidth="1" hidden="1" min="53" max="53" width="6.25"/>
    <col customWidth="1" hidden="1" min="54" max="54" width="6.5" outlineLevel="2"/>
    <col customWidth="1" hidden="1" min="55" max="56" width="5.88" outlineLevel="2"/>
    <col customWidth="1" hidden="1" min="57" max="57" width="6.13" outlineLevel="2"/>
    <col customWidth="1" hidden="1" min="58" max="58" width="6.0"/>
    <col customWidth="1" hidden="1" min="59" max="59" width="7.25" outlineLevel="2"/>
    <col customWidth="1" hidden="1" min="60" max="60" width="6.13" outlineLevel="2"/>
    <col customWidth="1" hidden="1" min="61" max="62" width="5.88" outlineLevel="2"/>
    <col customWidth="1" hidden="1" min="63" max="63" width="5.88"/>
    <col customWidth="1" hidden="1" min="64" max="67" width="6.0" outlineLevel="2"/>
    <col customWidth="1" hidden="1" min="68" max="68" width="6.63"/>
    <col customWidth="1" hidden="1" min="69" max="72" width="6.0" outlineLevel="2"/>
    <col customWidth="1" hidden="1" min="73" max="73" width="6.63"/>
    <col customWidth="1" hidden="1" min="74" max="77" width="6.0" outlineLevel="2"/>
    <col customWidth="1" hidden="1" min="78" max="78" width="7.13"/>
    <col customWidth="1" hidden="1" min="79" max="82" width="6.13" outlineLevel="1"/>
    <col customWidth="1" hidden="1" min="83" max="83" width="6.13"/>
    <col customWidth="1" hidden="1" min="84" max="86" width="6.13" outlineLevel="1"/>
    <col customWidth="1" hidden="1" min="87" max="87" width="6.88" outlineLevel="1"/>
    <col customWidth="1" hidden="1" min="88" max="88" width="6.13"/>
    <col customWidth="1" hidden="1" min="89" max="92" width="6.13" outlineLevel="1"/>
    <col customWidth="1" hidden="1" min="93" max="93" width="6.13"/>
    <col customWidth="1" min="94" max="97" width="6.13" outlineLevel="1"/>
    <col customWidth="1" min="98" max="98" width="6.63"/>
    <col customWidth="1" min="99" max="99" width="7.5" outlineLevel="2"/>
    <col customWidth="1" min="100" max="102" width="6.13" outlineLevel="2"/>
    <col customWidth="1" min="103" max="103" width="6.63"/>
    <col customWidth="1" min="104" max="107" width="6.13" outlineLevel="2"/>
    <col customWidth="1" min="108" max="108" width="7.25"/>
    <col customWidth="1" min="109" max="110" width="6.13" outlineLevel="2"/>
    <col customWidth="1" min="111" max="111" width="6.0" outlineLevel="2"/>
    <col customWidth="1" min="112" max="112" width="6.13" outlineLevel="2"/>
    <col customWidth="1" min="113" max="113" width="7.0"/>
    <col customWidth="1" min="114" max="117" width="6.13" outlineLevel="2"/>
    <col customWidth="1" min="118" max="118" width="6.88"/>
    <col customWidth="1" min="119" max="119" width="6.88" outlineLevel="2"/>
    <col customWidth="1" min="120" max="122" width="6.13" outlineLevel="2"/>
    <col customWidth="1" min="123" max="123" width="6.88"/>
    <col customWidth="1" min="124" max="127" width="6.88" outlineLevel="2"/>
    <col customWidth="1" min="128" max="128" width="6.88"/>
    <col customWidth="1" min="129" max="132" width="6.88" outlineLevel="2"/>
    <col customWidth="1" min="133" max="133" width="7.13"/>
    <col customWidth="1" min="134" max="137" width="7.13" outlineLevel="2"/>
    <col customWidth="1" min="138" max="138" width="7.13"/>
    <col customWidth="1" min="139" max="139" width="6.13" outlineLevel="2"/>
    <col customWidth="1" min="140" max="142" width="7.13" outlineLevel="2"/>
    <col customWidth="1" min="143" max="143" width="7.13"/>
    <col customWidth="1" min="144" max="147" width="7.13" outlineLevel="2"/>
    <col customWidth="1" min="148" max="148" width="7.13"/>
    <col customWidth="1" min="149" max="152" width="7.13" outlineLevel="2"/>
    <col customWidth="1" min="153" max="153" width="7.13"/>
    <col customWidth="1" min="154" max="157" width="7.13" outlineLevel="2"/>
    <col customWidth="1" min="158" max="158" width="7.13"/>
    <col customWidth="1" min="159" max="162" width="7.13" outlineLevel="2"/>
    <col customWidth="1" min="163" max="164" width="7.13"/>
    <col customWidth="1" min="165" max="168" width="5.63"/>
  </cols>
  <sheetData>
    <row r="1" ht="12.75" customHeight="1" outlineLevel="1">
      <c r="A1" s="3">
        <v>1.0</v>
      </c>
      <c r="B1" s="3">
        <f>A1+1</f>
        <v>2</v>
      </c>
      <c r="C1" s="4"/>
      <c r="D1" s="4"/>
      <c r="E1" s="4"/>
      <c r="F1" s="4"/>
      <c r="G1" s="4"/>
      <c r="H1" s="5"/>
      <c r="I1" s="6"/>
      <c r="J1" s="6"/>
      <c r="K1" s="6"/>
      <c r="L1" s="6"/>
      <c r="M1" s="5"/>
      <c r="N1" s="6"/>
      <c r="O1" s="6"/>
      <c r="P1" s="6"/>
      <c r="Q1" s="6"/>
      <c r="R1" s="7"/>
      <c r="S1" s="6"/>
      <c r="T1" s="6"/>
      <c r="U1" s="6"/>
      <c r="V1" s="6"/>
      <c r="W1" s="7"/>
      <c r="X1" s="6"/>
      <c r="Y1" s="6"/>
      <c r="Z1" s="6"/>
      <c r="AA1" s="6"/>
      <c r="AB1" s="5"/>
      <c r="AC1" s="6"/>
      <c r="AD1" s="6"/>
      <c r="AE1" s="6"/>
      <c r="AF1" s="6"/>
      <c r="AG1" s="5"/>
      <c r="AH1" s="6"/>
      <c r="AI1" s="6"/>
      <c r="AJ1" s="6"/>
      <c r="AK1" s="6"/>
      <c r="AL1" s="5"/>
      <c r="AM1" s="6"/>
      <c r="AN1" s="6"/>
      <c r="AO1" s="6"/>
      <c r="AP1" s="6"/>
      <c r="AQ1" s="5"/>
      <c r="AR1" s="6"/>
      <c r="AS1" s="6"/>
      <c r="AT1" s="6"/>
      <c r="AU1" s="6"/>
      <c r="AV1" s="5"/>
      <c r="AW1" s="6"/>
      <c r="AX1" s="6"/>
      <c r="AY1" s="6"/>
      <c r="AZ1" s="6"/>
      <c r="BA1" s="7"/>
      <c r="BB1" s="6"/>
      <c r="BC1" s="6"/>
      <c r="BD1" s="6"/>
      <c r="BE1" s="6"/>
      <c r="BF1" s="7"/>
      <c r="BG1" s="6"/>
      <c r="BH1" s="6"/>
      <c r="BI1" s="6"/>
      <c r="BJ1" s="6"/>
      <c r="BK1" s="7"/>
      <c r="BL1" s="6"/>
      <c r="BM1" s="6"/>
      <c r="BN1" s="6"/>
      <c r="BO1" s="6"/>
      <c r="BP1" s="7"/>
      <c r="BQ1" s="4"/>
      <c r="BR1" s="4"/>
      <c r="BS1" s="4"/>
      <c r="BT1" s="4"/>
      <c r="BU1" s="8"/>
      <c r="BV1" s="4"/>
      <c r="BW1" s="4"/>
      <c r="BX1" s="4"/>
      <c r="BY1" s="9"/>
      <c r="BZ1" s="10"/>
      <c r="CA1" s="11"/>
      <c r="CB1" s="12" t="s">
        <v>1</v>
      </c>
      <c r="CC1" s="13">
        <v>22.5</v>
      </c>
      <c r="CD1" s="9"/>
      <c r="CE1" s="14" t="s">
        <v>2</v>
      </c>
      <c r="CF1" s="4"/>
      <c r="CG1" s="15" t="str">
        <f>(CF!BZ27+CF!BZ33)/(IS!CC2*IS!BZ78)</f>
        <v>#NAME?</v>
      </c>
      <c r="CH1" s="4"/>
      <c r="CI1" s="9"/>
      <c r="CJ1" s="10"/>
      <c r="CK1" s="4"/>
      <c r="CL1" s="4"/>
      <c r="CM1" s="4"/>
      <c r="CN1" s="9"/>
      <c r="CO1" s="10"/>
      <c r="CP1" s="16"/>
      <c r="CQ1" s="4"/>
      <c r="CR1" s="4"/>
      <c r="CS1" s="9"/>
      <c r="CT1" s="10"/>
      <c r="CU1" s="4"/>
      <c r="CV1" s="4"/>
      <c r="CW1" s="4"/>
      <c r="CX1" s="9"/>
      <c r="CY1" s="10"/>
      <c r="CZ1" s="17"/>
      <c r="DA1" s="17"/>
      <c r="DB1" s="17"/>
      <c r="DC1" s="17"/>
      <c r="DD1" s="18"/>
      <c r="DE1" s="17"/>
      <c r="DF1" s="4"/>
      <c r="DG1" s="16"/>
      <c r="DH1" s="17"/>
      <c r="DI1" s="10"/>
      <c r="DJ1" s="19"/>
      <c r="DK1" s="16"/>
      <c r="DL1" s="16"/>
      <c r="DM1" s="4"/>
      <c r="DN1" s="10"/>
      <c r="DO1" s="4"/>
      <c r="DP1" s="4">
        <f>SUM(DO327:DP327)/SUM(DJ327:DK327)-1</f>
        <v>0.02014976959</v>
      </c>
      <c r="DQ1" s="4"/>
      <c r="DR1" s="4"/>
      <c r="DS1" s="10"/>
      <c r="DT1" s="4"/>
      <c r="DU1" s="4"/>
      <c r="DV1" s="4"/>
      <c r="DW1" s="17">
        <f>DW12</f>
        <v>19978</v>
      </c>
      <c r="DX1" s="10"/>
      <c r="DY1" s="17">
        <f t="shared" ref="DY1:DY2" si="1">DY11</f>
        <v>19673</v>
      </c>
      <c r="DZ1" s="4"/>
      <c r="EA1" s="4"/>
      <c r="EB1" s="4"/>
      <c r="EC1" s="10"/>
      <c r="ED1" s="4"/>
      <c r="EE1" s="4"/>
      <c r="EF1" s="4"/>
      <c r="EG1" s="4"/>
      <c r="EH1" s="10"/>
      <c r="EI1" s="20">
        <f>425/2</f>
        <v>212.5</v>
      </c>
      <c r="EJ1" s="4"/>
      <c r="EK1" s="4"/>
      <c r="EL1" s="17"/>
      <c r="EM1" s="10"/>
      <c r="EN1" s="17"/>
      <c r="EO1" s="4"/>
      <c r="EP1" s="4"/>
      <c r="EQ1" s="17"/>
      <c r="ER1" s="10"/>
      <c r="ES1" s="17"/>
      <c r="ET1" s="4"/>
      <c r="EU1" s="4"/>
      <c r="EV1" s="17"/>
      <c r="EW1" s="10"/>
      <c r="EX1" s="17"/>
      <c r="EY1" s="4"/>
      <c r="EZ1" s="4"/>
      <c r="FA1" s="17"/>
      <c r="FB1" s="10"/>
      <c r="FC1" s="17"/>
      <c r="FD1" s="4"/>
      <c r="FE1" s="4"/>
      <c r="FF1" s="17"/>
      <c r="FG1" s="10"/>
      <c r="FH1" s="21"/>
      <c r="FI1" s="4"/>
      <c r="FJ1" s="4"/>
      <c r="FK1" s="4"/>
      <c r="FL1" s="4"/>
    </row>
    <row r="2" ht="12.75" customHeight="1" outlineLevel="1">
      <c r="A2" s="4"/>
      <c r="B2" s="4"/>
      <c r="C2" s="4"/>
      <c r="D2" s="4"/>
      <c r="E2" s="4"/>
      <c r="F2" s="4"/>
      <c r="G2" s="4"/>
      <c r="H2" s="5"/>
      <c r="I2" s="6"/>
      <c r="J2" s="6"/>
      <c r="K2" s="6"/>
      <c r="L2" s="6"/>
      <c r="M2" s="5"/>
      <c r="N2" s="6"/>
      <c r="O2" s="6"/>
      <c r="P2" s="6"/>
      <c r="Q2" s="6"/>
      <c r="R2" s="7"/>
      <c r="S2" s="6"/>
      <c r="T2" s="6"/>
      <c r="U2" s="6"/>
      <c r="V2" s="6"/>
      <c r="W2" s="7"/>
      <c r="X2" s="6"/>
      <c r="Y2" s="6"/>
      <c r="Z2" s="6"/>
      <c r="AA2" s="6"/>
      <c r="AB2" s="5"/>
      <c r="AC2" s="6"/>
      <c r="AD2" s="6"/>
      <c r="AE2" s="6"/>
      <c r="AF2" s="6"/>
      <c r="AG2" s="5"/>
      <c r="AH2" s="6"/>
      <c r="AI2" s="6"/>
      <c r="AJ2" s="6"/>
      <c r="AK2" s="6"/>
      <c r="AL2" s="5"/>
      <c r="AM2" s="6"/>
      <c r="AN2" s="6"/>
      <c r="AO2" s="6"/>
      <c r="AP2" s="6"/>
      <c r="AQ2" s="5"/>
      <c r="AR2" s="6"/>
      <c r="AS2" s="6"/>
      <c r="AT2" s="6"/>
      <c r="AU2" s="6"/>
      <c r="AV2" s="5"/>
      <c r="AW2" s="6"/>
      <c r="AX2" s="6"/>
      <c r="AY2" s="6"/>
      <c r="AZ2" s="6"/>
      <c r="BA2" s="7"/>
      <c r="BB2" s="6"/>
      <c r="BC2" s="6"/>
      <c r="BD2" s="6"/>
      <c r="BE2" s="6"/>
      <c r="BF2" s="7"/>
      <c r="BG2" s="6"/>
      <c r="BH2" s="6"/>
      <c r="BI2" s="6"/>
      <c r="BJ2" s="6"/>
      <c r="BK2" s="7"/>
      <c r="BL2" s="6"/>
      <c r="BM2" s="6"/>
      <c r="BN2" s="6"/>
      <c r="BO2" s="6"/>
      <c r="BP2" s="7"/>
      <c r="BQ2" s="4"/>
      <c r="BR2" s="4"/>
      <c r="BS2" s="4"/>
      <c r="BT2" s="4"/>
      <c r="BU2" s="8"/>
      <c r="BV2" s="4"/>
      <c r="BW2" s="4"/>
      <c r="BX2" s="4"/>
      <c r="BY2" s="4"/>
      <c r="BZ2" s="10"/>
      <c r="CA2" s="11"/>
      <c r="CB2" s="12" t="s">
        <v>3</v>
      </c>
      <c r="CC2" s="22" t="str">
        <f>_xll.FDS("INTC","p")</f>
        <v>#NAME?</v>
      </c>
      <c r="CD2" s="4"/>
      <c r="CE2" s="14" t="s">
        <v>4</v>
      </c>
      <c r="CF2" s="4"/>
      <c r="CG2" s="15" t="str">
        <f>4*CA75/CC2</f>
        <v>#NAME?</v>
      </c>
      <c r="CH2" s="4"/>
      <c r="CI2" s="4"/>
      <c r="CJ2" s="23"/>
      <c r="CK2" s="4"/>
      <c r="CL2" s="4"/>
      <c r="CM2" s="4"/>
      <c r="CN2" s="4"/>
      <c r="CO2" s="10"/>
      <c r="CP2" s="16"/>
      <c r="CQ2" s="4"/>
      <c r="CR2" s="4"/>
      <c r="CS2" s="4"/>
      <c r="CT2" s="10"/>
      <c r="CU2" s="4"/>
      <c r="CV2" s="4"/>
      <c r="CW2" s="4"/>
      <c r="CX2" s="15">
        <f>SUM(CW12:CX12)/CY12</f>
        <v>0.5307379641</v>
      </c>
      <c r="CY2" s="10"/>
      <c r="CZ2" s="17"/>
      <c r="DA2" s="4"/>
      <c r="DB2" s="4"/>
      <c r="DC2" s="15">
        <f>SUM(DB12:DC12)/DD12</f>
        <v>0.5404969236</v>
      </c>
      <c r="DD2" s="24"/>
      <c r="DE2" s="4"/>
      <c r="DF2" s="4"/>
      <c r="DG2" s="16"/>
      <c r="DH2" s="15">
        <f>SUM(DG12:DH12)/DI12</f>
        <v>0.5290228008</v>
      </c>
      <c r="DI2" s="10"/>
      <c r="DJ2" s="16"/>
      <c r="DK2" s="16"/>
      <c r="DL2" s="16"/>
      <c r="DM2" s="15">
        <f>SUM(DL12:DM12)/DN12</f>
        <v>0.5338188799</v>
      </c>
      <c r="DN2" s="10"/>
      <c r="DO2" s="4"/>
      <c r="DP2" s="4">
        <f>100*10*0.25</f>
        <v>250</v>
      </c>
      <c r="DQ2" s="4"/>
      <c r="DR2" s="15">
        <f>SUM(DQ12:DR12)/DS12</f>
        <v>0.5474744668</v>
      </c>
      <c r="DS2" s="10"/>
      <c r="DT2" s="4"/>
      <c r="DU2" s="4"/>
      <c r="DV2" s="4"/>
      <c r="DW2" s="4">
        <f>SUM(DV12:DW12)/DX12</f>
        <v>0.4920055993</v>
      </c>
      <c r="DX2" s="10"/>
      <c r="DY2" s="17">
        <f t="shared" si="1"/>
        <v>18566</v>
      </c>
      <c r="DZ2" s="17">
        <f t="shared" ref="DZ2:EF2" si="2">DZ12</f>
        <v>18533</v>
      </c>
      <c r="EA2" s="17">
        <f t="shared" si="2"/>
        <v>18087</v>
      </c>
      <c r="EB2" s="17">
        <f t="shared" si="2"/>
        <v>19532</v>
      </c>
      <c r="EC2" s="25">
        <f t="shared" si="2"/>
        <v>74718</v>
      </c>
      <c r="ED2" s="17">
        <f t="shared" si="2"/>
        <v>18353</v>
      </c>
      <c r="EE2" s="17">
        <f t="shared" si="2"/>
        <v>15321</v>
      </c>
      <c r="EF2" s="17">
        <f t="shared" si="2"/>
        <v>15338</v>
      </c>
      <c r="EG2" s="17">
        <f>SUM(EF12:EG12)/EH12</f>
        <v>0.4659498208</v>
      </c>
      <c r="EH2" s="25">
        <f t="shared" ref="EH2:EI2" si="3">EH12</f>
        <v>63054</v>
      </c>
      <c r="EI2" s="26" t="str">
        <f t="shared" si="3"/>
        <v>#ERROR!</v>
      </c>
      <c r="EJ2" s="15" t="str">
        <f>1-EL2</f>
        <v>#ERROR!</v>
      </c>
      <c r="EK2" s="4"/>
      <c r="EL2" s="15" t="str">
        <f>SUM(EK12:EL12)/EM12</f>
        <v>#ERROR!</v>
      </c>
      <c r="EM2" s="25" t="str">
        <f>EM12</f>
        <v>#ERROR!</v>
      </c>
      <c r="EN2" s="4"/>
      <c r="EO2" s="4"/>
      <c r="EP2" s="4"/>
      <c r="EQ2" s="15" t="str">
        <f>SUM(EP12:EQ12)/ER12</f>
        <v>#ERROR!</v>
      </c>
      <c r="ER2" s="25" t="str">
        <f>ER12</f>
        <v>#ERROR!</v>
      </c>
      <c r="ES2" s="4"/>
      <c r="ET2" s="4"/>
      <c r="EU2" s="4"/>
      <c r="EV2" s="15" t="str">
        <f>SUM(EU12:EV12)/EW12</f>
        <v>#ERROR!</v>
      </c>
      <c r="EW2" s="25" t="str">
        <f>EW12</f>
        <v>#ERROR!</v>
      </c>
      <c r="EX2" s="4"/>
      <c r="EY2" s="4"/>
      <c r="EZ2" s="4"/>
      <c r="FA2" s="15" t="str">
        <f>SUM(EZ12:FA12)/FB12</f>
        <v>#ERROR!</v>
      </c>
      <c r="FB2" s="25" t="str">
        <f>FB12</f>
        <v>#ERROR!</v>
      </c>
      <c r="FC2" s="4"/>
      <c r="FD2" s="4"/>
      <c r="FE2" s="4"/>
      <c r="FF2" s="15" t="str">
        <f>SUM(FE12:FF12)/FG12</f>
        <v>#ERROR!</v>
      </c>
      <c r="FG2" s="25" t="str">
        <f>FG12</f>
        <v>#ERROR!</v>
      </c>
      <c r="FH2" s="19"/>
      <c r="FI2" s="4"/>
      <c r="FJ2" s="4"/>
      <c r="FK2" s="4"/>
      <c r="FL2" s="4"/>
    </row>
    <row r="3" ht="12.75" customHeight="1" outlineLevel="1">
      <c r="A3" s="3">
        <v>1.0</v>
      </c>
      <c r="B3" s="3">
        <f t="shared" ref="B3:FG3" si="4">A3+1</f>
        <v>2</v>
      </c>
      <c r="C3" s="3">
        <f t="shared" si="4"/>
        <v>3</v>
      </c>
      <c r="D3" s="3">
        <f t="shared" si="4"/>
        <v>4</v>
      </c>
      <c r="E3" s="3">
        <f t="shared" si="4"/>
        <v>5</v>
      </c>
      <c r="F3" s="3">
        <f t="shared" si="4"/>
        <v>6</v>
      </c>
      <c r="G3" s="3">
        <f t="shared" si="4"/>
        <v>7</v>
      </c>
      <c r="H3" s="3">
        <f t="shared" si="4"/>
        <v>8</v>
      </c>
      <c r="I3" s="3">
        <f t="shared" si="4"/>
        <v>9</v>
      </c>
      <c r="J3" s="3">
        <f t="shared" si="4"/>
        <v>10</v>
      </c>
      <c r="K3" s="3">
        <f t="shared" si="4"/>
        <v>11</v>
      </c>
      <c r="L3" s="3">
        <f t="shared" si="4"/>
        <v>12</v>
      </c>
      <c r="M3" s="3">
        <f t="shared" si="4"/>
        <v>13</v>
      </c>
      <c r="N3" s="3">
        <f t="shared" si="4"/>
        <v>14</v>
      </c>
      <c r="O3" s="3">
        <f t="shared" si="4"/>
        <v>15</v>
      </c>
      <c r="P3" s="3">
        <f t="shared" si="4"/>
        <v>16</v>
      </c>
      <c r="Q3" s="3">
        <f t="shared" si="4"/>
        <v>17</v>
      </c>
      <c r="R3" s="3">
        <f t="shared" si="4"/>
        <v>18</v>
      </c>
      <c r="S3" s="3">
        <f t="shared" si="4"/>
        <v>19</v>
      </c>
      <c r="T3" s="3">
        <f t="shared" si="4"/>
        <v>20</v>
      </c>
      <c r="U3" s="3">
        <f t="shared" si="4"/>
        <v>21</v>
      </c>
      <c r="V3" s="3">
        <f t="shared" si="4"/>
        <v>22</v>
      </c>
      <c r="W3" s="3">
        <f t="shared" si="4"/>
        <v>23</v>
      </c>
      <c r="X3" s="3">
        <f t="shared" si="4"/>
        <v>24</v>
      </c>
      <c r="Y3" s="3">
        <f t="shared" si="4"/>
        <v>25</v>
      </c>
      <c r="Z3" s="3">
        <f t="shared" si="4"/>
        <v>26</v>
      </c>
      <c r="AA3" s="3">
        <f t="shared" si="4"/>
        <v>27</v>
      </c>
      <c r="AB3" s="3">
        <f t="shared" si="4"/>
        <v>28</v>
      </c>
      <c r="AC3" s="3">
        <f t="shared" si="4"/>
        <v>29</v>
      </c>
      <c r="AD3" s="3">
        <f t="shared" si="4"/>
        <v>30</v>
      </c>
      <c r="AE3" s="3">
        <f t="shared" si="4"/>
        <v>31</v>
      </c>
      <c r="AF3" s="3">
        <f t="shared" si="4"/>
        <v>32</v>
      </c>
      <c r="AG3" s="3">
        <f t="shared" si="4"/>
        <v>33</v>
      </c>
      <c r="AH3" s="3">
        <f t="shared" si="4"/>
        <v>34</v>
      </c>
      <c r="AI3" s="3">
        <f t="shared" si="4"/>
        <v>35</v>
      </c>
      <c r="AJ3" s="3">
        <f t="shared" si="4"/>
        <v>36</v>
      </c>
      <c r="AK3" s="3">
        <f t="shared" si="4"/>
        <v>37</v>
      </c>
      <c r="AL3" s="3">
        <f t="shared" si="4"/>
        <v>38</v>
      </c>
      <c r="AM3" s="3">
        <f t="shared" si="4"/>
        <v>39</v>
      </c>
      <c r="AN3" s="3">
        <f t="shared" si="4"/>
        <v>40</v>
      </c>
      <c r="AO3" s="3">
        <f t="shared" si="4"/>
        <v>41</v>
      </c>
      <c r="AP3" s="3">
        <f t="shared" si="4"/>
        <v>42</v>
      </c>
      <c r="AQ3" s="3">
        <f t="shared" si="4"/>
        <v>43</v>
      </c>
      <c r="AR3" s="3">
        <f t="shared" si="4"/>
        <v>44</v>
      </c>
      <c r="AS3" s="3">
        <f t="shared" si="4"/>
        <v>45</v>
      </c>
      <c r="AT3" s="3">
        <f t="shared" si="4"/>
        <v>46</v>
      </c>
      <c r="AU3" s="3">
        <f t="shared" si="4"/>
        <v>47</v>
      </c>
      <c r="AV3" s="3">
        <f t="shared" si="4"/>
        <v>48</v>
      </c>
      <c r="AW3" s="3">
        <f t="shared" si="4"/>
        <v>49</v>
      </c>
      <c r="AX3" s="3">
        <f t="shared" si="4"/>
        <v>50</v>
      </c>
      <c r="AY3" s="3">
        <f t="shared" si="4"/>
        <v>51</v>
      </c>
      <c r="AZ3" s="3">
        <f t="shared" si="4"/>
        <v>52</v>
      </c>
      <c r="BA3" s="3">
        <f t="shared" si="4"/>
        <v>53</v>
      </c>
      <c r="BB3" s="3">
        <f t="shared" si="4"/>
        <v>54</v>
      </c>
      <c r="BC3" s="3">
        <f t="shared" si="4"/>
        <v>55</v>
      </c>
      <c r="BD3" s="3">
        <f t="shared" si="4"/>
        <v>56</v>
      </c>
      <c r="BE3" s="3">
        <f t="shared" si="4"/>
        <v>57</v>
      </c>
      <c r="BF3" s="3">
        <f t="shared" si="4"/>
        <v>58</v>
      </c>
      <c r="BG3" s="3">
        <f t="shared" si="4"/>
        <v>59</v>
      </c>
      <c r="BH3" s="3">
        <f t="shared" si="4"/>
        <v>60</v>
      </c>
      <c r="BI3" s="3">
        <f t="shared" si="4"/>
        <v>61</v>
      </c>
      <c r="BJ3" s="3">
        <f t="shared" si="4"/>
        <v>62</v>
      </c>
      <c r="BK3" s="3">
        <f t="shared" si="4"/>
        <v>63</v>
      </c>
      <c r="BL3" s="3">
        <f t="shared" si="4"/>
        <v>64</v>
      </c>
      <c r="BM3" s="3">
        <f t="shared" si="4"/>
        <v>65</v>
      </c>
      <c r="BN3" s="3">
        <f t="shared" si="4"/>
        <v>66</v>
      </c>
      <c r="BO3" s="3">
        <f t="shared" si="4"/>
        <v>67</v>
      </c>
      <c r="BP3" s="3">
        <f t="shared" si="4"/>
        <v>68</v>
      </c>
      <c r="BQ3" s="3">
        <f t="shared" si="4"/>
        <v>69</v>
      </c>
      <c r="BR3" s="3">
        <f t="shared" si="4"/>
        <v>70</v>
      </c>
      <c r="BS3" s="3">
        <f t="shared" si="4"/>
        <v>71</v>
      </c>
      <c r="BT3" s="3">
        <f t="shared" si="4"/>
        <v>72</v>
      </c>
      <c r="BU3" s="3">
        <f t="shared" si="4"/>
        <v>73</v>
      </c>
      <c r="BV3" s="3">
        <f t="shared" si="4"/>
        <v>74</v>
      </c>
      <c r="BW3" s="3">
        <f t="shared" si="4"/>
        <v>75</v>
      </c>
      <c r="BX3" s="3">
        <f t="shared" si="4"/>
        <v>76</v>
      </c>
      <c r="BY3" s="3">
        <f t="shared" si="4"/>
        <v>77</v>
      </c>
      <c r="BZ3" s="27">
        <f t="shared" si="4"/>
        <v>78</v>
      </c>
      <c r="CA3" s="3">
        <f t="shared" si="4"/>
        <v>79</v>
      </c>
      <c r="CB3" s="3">
        <f t="shared" si="4"/>
        <v>80</v>
      </c>
      <c r="CC3" s="3">
        <f t="shared" si="4"/>
        <v>81</v>
      </c>
      <c r="CD3" s="3">
        <f t="shared" si="4"/>
        <v>82</v>
      </c>
      <c r="CE3" s="27">
        <f t="shared" si="4"/>
        <v>83</v>
      </c>
      <c r="CF3" s="3">
        <f t="shared" si="4"/>
        <v>84</v>
      </c>
      <c r="CG3" s="3">
        <f t="shared" si="4"/>
        <v>85</v>
      </c>
      <c r="CH3" s="3">
        <f t="shared" si="4"/>
        <v>86</v>
      </c>
      <c r="CI3" s="3">
        <f t="shared" si="4"/>
        <v>87</v>
      </c>
      <c r="CJ3" s="27">
        <f t="shared" si="4"/>
        <v>88</v>
      </c>
      <c r="CK3" s="3">
        <f t="shared" si="4"/>
        <v>89</v>
      </c>
      <c r="CL3" s="3">
        <f t="shared" si="4"/>
        <v>90</v>
      </c>
      <c r="CM3" s="3">
        <f t="shared" si="4"/>
        <v>91</v>
      </c>
      <c r="CN3" s="3">
        <f t="shared" si="4"/>
        <v>92</v>
      </c>
      <c r="CO3" s="27">
        <f t="shared" si="4"/>
        <v>93</v>
      </c>
      <c r="CP3" s="3">
        <f t="shared" si="4"/>
        <v>94</v>
      </c>
      <c r="CQ3" s="3">
        <f t="shared" si="4"/>
        <v>95</v>
      </c>
      <c r="CR3" s="3">
        <f t="shared" si="4"/>
        <v>96</v>
      </c>
      <c r="CS3" s="3">
        <f t="shared" si="4"/>
        <v>97</v>
      </c>
      <c r="CT3" s="27">
        <f t="shared" si="4"/>
        <v>98</v>
      </c>
      <c r="CU3" s="3">
        <f t="shared" si="4"/>
        <v>99</v>
      </c>
      <c r="CV3" s="3">
        <f t="shared" si="4"/>
        <v>100</v>
      </c>
      <c r="CW3" s="3">
        <f t="shared" si="4"/>
        <v>101</v>
      </c>
      <c r="CX3" s="3">
        <f t="shared" si="4"/>
        <v>102</v>
      </c>
      <c r="CY3" s="27">
        <f t="shared" si="4"/>
        <v>103</v>
      </c>
      <c r="CZ3" s="3">
        <f t="shared" si="4"/>
        <v>104</v>
      </c>
      <c r="DA3" s="3">
        <f t="shared" si="4"/>
        <v>105</v>
      </c>
      <c r="DB3" s="3">
        <f t="shared" si="4"/>
        <v>106</v>
      </c>
      <c r="DC3" s="3">
        <f t="shared" si="4"/>
        <v>107</v>
      </c>
      <c r="DD3" s="27">
        <f t="shared" si="4"/>
        <v>108</v>
      </c>
      <c r="DE3" s="3">
        <f t="shared" si="4"/>
        <v>109</v>
      </c>
      <c r="DF3" s="3">
        <f t="shared" si="4"/>
        <v>110</v>
      </c>
      <c r="DG3" s="28">
        <f t="shared" si="4"/>
        <v>111</v>
      </c>
      <c r="DH3" s="3">
        <f t="shared" si="4"/>
        <v>112</v>
      </c>
      <c r="DI3" s="27">
        <f t="shared" si="4"/>
        <v>113</v>
      </c>
      <c r="DJ3" s="28">
        <f t="shared" si="4"/>
        <v>114</v>
      </c>
      <c r="DK3" s="28">
        <f t="shared" si="4"/>
        <v>115</v>
      </c>
      <c r="DL3" s="28">
        <f t="shared" si="4"/>
        <v>116</v>
      </c>
      <c r="DM3" s="3">
        <f t="shared" si="4"/>
        <v>117</v>
      </c>
      <c r="DN3" s="27">
        <f t="shared" si="4"/>
        <v>118</v>
      </c>
      <c r="DO3" s="3">
        <f t="shared" si="4"/>
        <v>119</v>
      </c>
      <c r="DP3" s="3">
        <f t="shared" si="4"/>
        <v>120</v>
      </c>
      <c r="DQ3" s="3">
        <f t="shared" si="4"/>
        <v>121</v>
      </c>
      <c r="DR3" s="3">
        <f t="shared" si="4"/>
        <v>122</v>
      </c>
      <c r="DS3" s="27">
        <f t="shared" si="4"/>
        <v>123</v>
      </c>
      <c r="DT3" s="3">
        <f t="shared" si="4"/>
        <v>124</v>
      </c>
      <c r="DU3" s="3">
        <f t="shared" si="4"/>
        <v>125</v>
      </c>
      <c r="DV3" s="3">
        <f t="shared" si="4"/>
        <v>126</v>
      </c>
      <c r="DW3" s="3">
        <f t="shared" si="4"/>
        <v>127</v>
      </c>
      <c r="DX3" s="27">
        <f t="shared" si="4"/>
        <v>128</v>
      </c>
      <c r="DY3" s="3">
        <f t="shared" si="4"/>
        <v>129</v>
      </c>
      <c r="DZ3" s="3">
        <f t="shared" si="4"/>
        <v>130</v>
      </c>
      <c r="EA3" s="3">
        <f t="shared" si="4"/>
        <v>131</v>
      </c>
      <c r="EB3" s="3">
        <f t="shared" si="4"/>
        <v>132</v>
      </c>
      <c r="EC3" s="27">
        <f t="shared" si="4"/>
        <v>133</v>
      </c>
      <c r="ED3" s="3">
        <f t="shared" si="4"/>
        <v>134</v>
      </c>
      <c r="EE3" s="3">
        <f t="shared" si="4"/>
        <v>135</v>
      </c>
      <c r="EF3" s="3">
        <f t="shared" si="4"/>
        <v>136</v>
      </c>
      <c r="EG3" s="3">
        <f t="shared" si="4"/>
        <v>137</v>
      </c>
      <c r="EH3" s="27">
        <f t="shared" si="4"/>
        <v>138</v>
      </c>
      <c r="EI3" s="29">
        <f t="shared" si="4"/>
        <v>139</v>
      </c>
      <c r="EJ3" s="3">
        <f t="shared" si="4"/>
        <v>140</v>
      </c>
      <c r="EK3" s="3">
        <f t="shared" si="4"/>
        <v>141</v>
      </c>
      <c r="EL3" s="3">
        <f t="shared" si="4"/>
        <v>142</v>
      </c>
      <c r="EM3" s="27">
        <f t="shared" si="4"/>
        <v>143</v>
      </c>
      <c r="EN3" s="3">
        <f t="shared" si="4"/>
        <v>144</v>
      </c>
      <c r="EO3" s="3">
        <f t="shared" si="4"/>
        <v>145</v>
      </c>
      <c r="EP3" s="3">
        <f t="shared" si="4"/>
        <v>146</v>
      </c>
      <c r="EQ3" s="3">
        <f t="shared" si="4"/>
        <v>147</v>
      </c>
      <c r="ER3" s="27">
        <f t="shared" si="4"/>
        <v>148</v>
      </c>
      <c r="ES3" s="3">
        <f t="shared" si="4"/>
        <v>149</v>
      </c>
      <c r="ET3" s="3">
        <f t="shared" si="4"/>
        <v>150</v>
      </c>
      <c r="EU3" s="3">
        <f t="shared" si="4"/>
        <v>151</v>
      </c>
      <c r="EV3" s="3">
        <f t="shared" si="4"/>
        <v>152</v>
      </c>
      <c r="EW3" s="27">
        <f t="shared" si="4"/>
        <v>153</v>
      </c>
      <c r="EX3" s="3">
        <f t="shared" si="4"/>
        <v>154</v>
      </c>
      <c r="EY3" s="3">
        <f t="shared" si="4"/>
        <v>155</v>
      </c>
      <c r="EZ3" s="3">
        <f t="shared" si="4"/>
        <v>156</v>
      </c>
      <c r="FA3" s="3">
        <f t="shared" si="4"/>
        <v>157</v>
      </c>
      <c r="FB3" s="27">
        <f t="shared" si="4"/>
        <v>158</v>
      </c>
      <c r="FC3" s="3">
        <f t="shared" si="4"/>
        <v>159</v>
      </c>
      <c r="FD3" s="3">
        <f t="shared" si="4"/>
        <v>160</v>
      </c>
      <c r="FE3" s="3">
        <f t="shared" si="4"/>
        <v>161</v>
      </c>
      <c r="FF3" s="3">
        <f t="shared" si="4"/>
        <v>162</v>
      </c>
      <c r="FG3" s="27">
        <f t="shared" si="4"/>
        <v>163</v>
      </c>
      <c r="FH3" s="28"/>
      <c r="FI3" s="4"/>
      <c r="FJ3" s="4"/>
      <c r="FK3" s="4"/>
      <c r="FL3" s="4"/>
    </row>
    <row r="4" ht="15.75" customHeight="1" outlineLevel="1">
      <c r="A4" s="16"/>
      <c r="B4" s="30" t="s">
        <v>5</v>
      </c>
      <c r="C4" s="16"/>
      <c r="D4" s="16"/>
      <c r="E4" s="16"/>
      <c r="F4" s="16"/>
      <c r="G4" s="16"/>
      <c r="H4" s="31"/>
      <c r="I4" s="32"/>
      <c r="J4" s="32"/>
      <c r="K4" s="32"/>
      <c r="L4" s="32"/>
      <c r="M4" s="31"/>
      <c r="N4" s="32"/>
      <c r="O4" s="32"/>
      <c r="P4" s="32"/>
      <c r="Q4" s="32"/>
      <c r="R4" s="33"/>
      <c r="S4" s="32"/>
      <c r="T4" s="32"/>
      <c r="U4" s="32"/>
      <c r="V4" s="32"/>
      <c r="W4" s="33"/>
      <c r="X4" s="32"/>
      <c r="Y4" s="32"/>
      <c r="Z4" s="32"/>
      <c r="AA4" s="32"/>
      <c r="AB4" s="31"/>
      <c r="AC4" s="32"/>
      <c r="AD4" s="32"/>
      <c r="AE4" s="32"/>
      <c r="AF4" s="32"/>
      <c r="AG4" s="31"/>
      <c r="AH4" s="32"/>
      <c r="AI4" s="32"/>
      <c r="AJ4" s="32"/>
      <c r="AK4" s="32"/>
      <c r="AL4" s="32"/>
      <c r="AM4" s="32"/>
      <c r="AN4" s="32"/>
      <c r="AO4" s="32"/>
      <c r="AP4" s="32"/>
      <c r="AQ4" s="32"/>
      <c r="AR4" s="32"/>
      <c r="AS4" s="32"/>
      <c r="AT4" s="32"/>
      <c r="AU4" s="32"/>
      <c r="AV4" s="31"/>
      <c r="AW4" s="32"/>
      <c r="AX4" s="32"/>
      <c r="AY4" s="32"/>
      <c r="AZ4" s="32"/>
      <c r="BA4" s="33"/>
      <c r="BB4" s="32"/>
      <c r="BC4" s="32"/>
      <c r="BD4" s="32"/>
      <c r="BE4" s="32"/>
      <c r="BF4" s="33"/>
      <c r="BG4" s="32"/>
      <c r="BH4" s="32"/>
      <c r="BI4" s="32"/>
      <c r="BJ4" s="32"/>
      <c r="BK4" s="33"/>
      <c r="BL4" s="32"/>
      <c r="BM4" s="32"/>
      <c r="BN4" s="32"/>
      <c r="BO4" s="32"/>
      <c r="BP4" s="33"/>
      <c r="BQ4" s="16"/>
      <c r="BR4" s="16"/>
      <c r="BS4" s="16"/>
      <c r="BT4" s="16"/>
      <c r="BU4" s="21"/>
      <c r="BV4" s="16"/>
      <c r="BW4" s="34"/>
      <c r="BX4" s="16"/>
      <c r="BY4" s="16"/>
      <c r="BZ4" s="35"/>
      <c r="CA4" s="16"/>
      <c r="CB4" s="34"/>
      <c r="CC4" s="16"/>
      <c r="CD4" s="16"/>
      <c r="CE4" s="35"/>
      <c r="CF4" s="16"/>
      <c r="CG4" s="34"/>
      <c r="CH4" s="16"/>
      <c r="CI4" s="16"/>
      <c r="CJ4" s="35"/>
      <c r="CK4" s="16"/>
      <c r="CL4" s="34"/>
      <c r="CM4" s="16"/>
      <c r="CN4" s="16"/>
      <c r="CO4" s="35"/>
      <c r="CP4" s="36"/>
      <c r="CQ4" s="34"/>
      <c r="CR4" s="16"/>
      <c r="CS4" s="16"/>
      <c r="CT4" s="37"/>
      <c r="CU4" s="19"/>
      <c r="CV4" s="16"/>
      <c r="CW4" s="16"/>
      <c r="CX4" s="16"/>
      <c r="CY4" s="38"/>
      <c r="CZ4" s="39"/>
      <c r="DA4" s="34"/>
      <c r="DB4" s="16"/>
      <c r="DC4" s="16"/>
      <c r="DD4" s="38"/>
      <c r="DE4" s="19"/>
      <c r="DF4" s="19"/>
      <c r="DG4" s="19"/>
      <c r="DH4" s="16"/>
      <c r="DI4" s="10" t="s">
        <v>6</v>
      </c>
      <c r="DJ4" s="40">
        <f t="shared" ref="DJ4:DM4" si="5">AVERAGE(DJ13,DE13,CZ13)</f>
        <v>-0.07629284772</v>
      </c>
      <c r="DK4" s="40">
        <f t="shared" si="5"/>
        <v>0.01137357792</v>
      </c>
      <c r="DL4" s="40">
        <f t="shared" si="5"/>
        <v>0.129844928</v>
      </c>
      <c r="DM4" s="40">
        <f t="shared" si="5"/>
        <v>0.02244925428</v>
      </c>
      <c r="DN4" s="41"/>
      <c r="DO4" s="42">
        <f t="shared" ref="DO4:DR4" si="6">AVERAGE(DO13,DJ13,DE13)</f>
        <v>-0.09779805391</v>
      </c>
      <c r="DP4" s="42">
        <f t="shared" si="6"/>
        <v>0.02706140713</v>
      </c>
      <c r="DQ4" s="42">
        <f t="shared" si="6"/>
        <v>0.1287739916</v>
      </c>
      <c r="DR4" s="42">
        <f t="shared" si="6"/>
        <v>0.0275580734</v>
      </c>
      <c r="DS4" s="41">
        <f>DS12/DN12-1</f>
        <v>0.01576614724</v>
      </c>
      <c r="DT4" s="42">
        <f t="shared" ref="DT4:DW4" si="7">AVERAGE(DT13,DO13,DJ13)</f>
        <v>-0.07195828349</v>
      </c>
      <c r="DU4" s="42">
        <f t="shared" si="7"/>
        <v>0.02612372697</v>
      </c>
      <c r="DV4" s="42">
        <f t="shared" si="7"/>
        <v>0.07390897966</v>
      </c>
      <c r="DW4" s="42">
        <f t="shared" si="7"/>
        <v>0.03880814199</v>
      </c>
      <c r="DX4" s="41">
        <f>DX12/DS12-1</f>
        <v>0.08201208921</v>
      </c>
      <c r="DY4" s="42">
        <f t="shared" ref="DY4:EB4" si="8">AVERAGE(DY13,DT13,DO13)</f>
        <v>-0.07622473894</v>
      </c>
      <c r="DZ4" s="42">
        <f t="shared" si="8"/>
        <v>0.0069412631</v>
      </c>
      <c r="EA4" s="42">
        <f t="shared" si="8"/>
        <v>0.0226337055</v>
      </c>
      <c r="EB4" s="42">
        <f t="shared" si="8"/>
        <v>0.07424037075</v>
      </c>
      <c r="EC4" s="41">
        <f>EC12/DX12-1</f>
        <v>-0.04044075154</v>
      </c>
      <c r="ED4" s="42">
        <f t="shared" ref="ED4:EG4" si="9">AVERAGE(ED13,DY13,DT13)</f>
        <v>-0.04996440463</v>
      </c>
      <c r="EE4" s="42">
        <f t="shared" si="9"/>
        <v>-0.05734180478</v>
      </c>
      <c r="EF4" s="42">
        <f t="shared" si="9"/>
        <v>-0.0312224239</v>
      </c>
      <c r="EG4" s="42">
        <f t="shared" si="9"/>
        <v>0.0283748387</v>
      </c>
      <c r="EH4" s="41">
        <f>EH12/EC12-1</f>
        <v>-0.1561069622</v>
      </c>
      <c r="EI4" s="43" t="str">
        <f t="shared" ref="EI4:EL4" si="10">AVERAGE(EI13,ED13,DY13)</f>
        <v>#ERROR!</v>
      </c>
      <c r="EJ4" s="42" t="str">
        <f t="shared" si="10"/>
        <v>#ERROR!</v>
      </c>
      <c r="EK4" s="42" t="str">
        <f t="shared" si="10"/>
        <v>#ERROR!</v>
      </c>
      <c r="EL4" s="42" t="str">
        <f t="shared" si="10"/>
        <v>#ERROR!</v>
      </c>
      <c r="EM4" s="41" t="str">
        <f>EM12/EH12-1</f>
        <v>#ERROR!</v>
      </c>
      <c r="EN4" s="42" t="str">
        <f t="shared" ref="EN4:EQ4" si="11">AVERAGE(EN13,EI13,ED13)</f>
        <v>#ERROR!</v>
      </c>
      <c r="EO4" s="42" t="str">
        <f t="shared" si="11"/>
        <v>#ERROR!</v>
      </c>
      <c r="EP4" s="42" t="str">
        <f t="shared" si="11"/>
        <v>#ERROR!</v>
      </c>
      <c r="EQ4" s="42" t="str">
        <f t="shared" si="11"/>
        <v>#ERROR!</v>
      </c>
      <c r="ER4" s="41" t="str">
        <f>ER12/EM12-1</f>
        <v>#ERROR!</v>
      </c>
      <c r="ES4" s="42" t="str">
        <f t="shared" ref="ES4:EV4" si="12">AVERAGE(ES13,EN13,EI13)</f>
        <v>#ERROR!</v>
      </c>
      <c r="ET4" s="42" t="str">
        <f t="shared" si="12"/>
        <v>#ERROR!</v>
      </c>
      <c r="EU4" s="42" t="str">
        <f t="shared" si="12"/>
        <v>#ERROR!</v>
      </c>
      <c r="EV4" s="42" t="str">
        <f t="shared" si="12"/>
        <v>#ERROR!</v>
      </c>
      <c r="EW4" s="41" t="str">
        <f>EW12/ER12-1</f>
        <v>#ERROR!</v>
      </c>
      <c r="EX4" s="42" t="str">
        <f t="shared" ref="EX4:FA4" si="13">AVERAGE(EX13,ES13,EN13)</f>
        <v>#ERROR!</v>
      </c>
      <c r="EY4" s="42" t="str">
        <f t="shared" si="13"/>
        <v>#ERROR!</v>
      </c>
      <c r="EZ4" s="42" t="str">
        <f t="shared" si="13"/>
        <v>#ERROR!</v>
      </c>
      <c r="FA4" s="42" t="str">
        <f t="shared" si="13"/>
        <v>#ERROR!</v>
      </c>
      <c r="FB4" s="41" t="str">
        <f>FB12/EW12-1</f>
        <v>#ERROR!</v>
      </c>
      <c r="FC4" s="42" t="str">
        <f t="shared" ref="FC4:FF4" si="14">AVERAGE(FC13,EX13,ES13)</f>
        <v>#ERROR!</v>
      </c>
      <c r="FD4" s="42" t="str">
        <f t="shared" si="14"/>
        <v>#ERROR!</v>
      </c>
      <c r="FE4" s="42" t="str">
        <f t="shared" si="14"/>
        <v>#ERROR!</v>
      </c>
      <c r="FF4" s="42" t="str">
        <f t="shared" si="14"/>
        <v>#ERROR!</v>
      </c>
      <c r="FG4" s="41" t="str">
        <f>FG12/FB12-1</f>
        <v>#ERROR!</v>
      </c>
      <c r="FH4" s="44"/>
      <c r="FI4" s="16"/>
      <c r="FJ4" s="16"/>
      <c r="FK4" s="16"/>
      <c r="FL4" s="16"/>
    </row>
    <row r="5" ht="12.75" customHeight="1" outlineLevel="1">
      <c r="A5" s="4"/>
      <c r="B5" s="8" t="s">
        <v>7</v>
      </c>
      <c r="C5" s="45"/>
      <c r="D5" s="45"/>
      <c r="E5" s="45"/>
      <c r="F5" s="45"/>
      <c r="G5" s="45"/>
      <c r="H5" s="5"/>
      <c r="I5" s="5"/>
      <c r="J5" s="5"/>
      <c r="K5" s="5"/>
      <c r="L5" s="5"/>
      <c r="M5" s="5"/>
      <c r="N5" s="6"/>
      <c r="O5" s="6"/>
      <c r="P5" s="6"/>
      <c r="Q5" s="46">
        <f>Q19/N19-1</f>
        <v>0.1170363379</v>
      </c>
      <c r="R5" s="47"/>
      <c r="S5" s="47"/>
      <c r="T5" s="47"/>
      <c r="U5" s="48"/>
      <c r="V5" s="46">
        <f>V19/S19-1</f>
        <v>-0.007136060894</v>
      </c>
      <c r="W5" s="47"/>
      <c r="X5" s="47"/>
      <c r="Y5" s="47"/>
      <c r="Z5" s="48"/>
      <c r="AA5" s="46">
        <f>AA19/X19-1</f>
        <v>0.1157953907</v>
      </c>
      <c r="AB5" s="47"/>
      <c r="AC5" s="47"/>
      <c r="AD5" s="47"/>
      <c r="AE5" s="48"/>
      <c r="AF5" s="46">
        <f>AF19/AC19-1</f>
        <v>0.03106682298</v>
      </c>
      <c r="AG5" s="47"/>
      <c r="AH5" s="47"/>
      <c r="AI5" s="47"/>
      <c r="AJ5" s="48"/>
      <c r="AK5" s="46">
        <f>AK19/AH19-1</f>
        <v>0.03640897756</v>
      </c>
      <c r="AL5" s="47"/>
      <c r="AM5" s="47"/>
      <c r="AN5" s="47"/>
      <c r="AO5" s="48"/>
      <c r="AP5" s="46">
        <f>AP19/AM19-1</f>
        <v>-0.03037974684</v>
      </c>
      <c r="AQ5" s="47"/>
      <c r="AR5" s="47"/>
      <c r="AS5" s="47"/>
      <c r="AT5" s="47"/>
      <c r="AU5" s="47"/>
      <c r="AV5" s="47"/>
      <c r="AW5" s="47"/>
      <c r="AX5" s="47"/>
      <c r="AY5" s="47"/>
      <c r="AZ5" s="47"/>
      <c r="BA5" s="48"/>
      <c r="BB5" s="49">
        <f>(BB19-CF!BB20)/BB12</f>
        <v>0.3514541387</v>
      </c>
      <c r="BC5" s="49">
        <f>(BC19-CF!BC20)/BC12</f>
        <v>0.419528031</v>
      </c>
      <c r="BD5" s="49">
        <f>(BD19-CF!BD20)/BD12</f>
        <v>0.3840256322</v>
      </c>
      <c r="BE5" s="46">
        <f>(BE19-CF!BE20)/BE12</f>
        <v>0.3620796369</v>
      </c>
      <c r="BF5" s="48"/>
      <c r="BG5" s="49">
        <f>(BG19-CF!BG20)/BG12</f>
        <v>0.3653411658</v>
      </c>
      <c r="BH5" s="49">
        <f>(BH19-CF!BH20)/BH12</f>
        <v>0.3646313364</v>
      </c>
      <c r="BI5" s="49">
        <f>(BI19-CF!BI20)/BI12</f>
        <v>0.3033696729</v>
      </c>
      <c r="BJ5" s="46">
        <f>(BJ19-CF!BJ20)/BJ12</f>
        <v>0.3135735624</v>
      </c>
      <c r="BK5" s="47"/>
      <c r="BL5" s="47"/>
      <c r="BM5" s="47"/>
      <c r="BN5" s="47"/>
      <c r="BO5" s="47"/>
      <c r="BP5" s="48"/>
      <c r="BQ5" s="45"/>
      <c r="BR5" s="4"/>
      <c r="BS5" s="4"/>
      <c r="BT5" s="4"/>
      <c r="BU5" s="8"/>
      <c r="BV5" s="45"/>
      <c r="BW5" s="4"/>
      <c r="BX5" s="4"/>
      <c r="BY5" s="4"/>
      <c r="BZ5" s="50"/>
      <c r="CA5" s="45"/>
      <c r="CB5" s="4"/>
      <c r="CC5" s="4"/>
      <c r="CD5" s="4"/>
      <c r="CE5" s="37"/>
      <c r="CF5" s="4"/>
      <c r="CG5" s="4"/>
      <c r="CH5" s="4"/>
      <c r="CI5" s="4"/>
      <c r="CJ5" s="10"/>
      <c r="CK5" s="45"/>
      <c r="CL5" s="4"/>
      <c r="CM5" s="4"/>
      <c r="CN5" s="16"/>
      <c r="CO5" s="37"/>
      <c r="CP5" s="36"/>
      <c r="CQ5" s="36"/>
      <c r="CR5" s="36"/>
      <c r="CS5" s="36"/>
      <c r="CT5" s="37"/>
      <c r="CU5" s="36"/>
      <c r="CV5" s="36"/>
      <c r="CW5" s="36"/>
      <c r="CX5" s="36"/>
      <c r="CY5" s="37"/>
      <c r="CZ5" s="36"/>
      <c r="DA5" s="36"/>
      <c r="DB5" s="36"/>
      <c r="DC5" s="36"/>
      <c r="DD5" s="37"/>
      <c r="DE5" s="36"/>
      <c r="DF5" s="36"/>
      <c r="DG5" s="36"/>
      <c r="DH5" s="36"/>
      <c r="DI5" s="37" t="s">
        <v>8</v>
      </c>
      <c r="DJ5" s="40"/>
      <c r="DK5" s="40"/>
      <c r="DL5" s="40"/>
      <c r="DM5" s="51"/>
      <c r="DN5" s="41">
        <f>DN362/DN12</f>
        <v>0.06079211834</v>
      </c>
      <c r="DO5" s="42">
        <f t="shared" ref="DO5:DR5" si="15">AVERAGE(DJ13,DE13,CZ13,CU13,DO13)</f>
        <v>-0.09996131074</v>
      </c>
      <c r="DP5" s="42">
        <f t="shared" si="15"/>
        <v>0.01883143406</v>
      </c>
      <c r="DQ5" s="42">
        <f t="shared" si="15"/>
        <v>0.1296922679</v>
      </c>
      <c r="DR5" s="42">
        <f t="shared" si="15"/>
        <v>0.0302977557</v>
      </c>
      <c r="DS5" s="41">
        <f>DS362/DS12</f>
        <v>0.06061279789</v>
      </c>
      <c r="DT5" s="42">
        <f t="shared" ref="DT5:DW5" si="16">AVERAGE(DO13,DJ13,DE13,CZ13,DT13)</f>
        <v>-0.07737500289</v>
      </c>
      <c r="DU5" s="42">
        <f t="shared" si="16"/>
        <v>0.01134439314</v>
      </c>
      <c r="DV5" s="42">
        <f t="shared" si="16"/>
        <v>0.0963002163</v>
      </c>
      <c r="DW5" s="42">
        <f t="shared" si="16"/>
        <v>0.04203544804</v>
      </c>
      <c r="DX5" s="41">
        <f>DX362/DX12</f>
        <v>0.06880963695</v>
      </c>
      <c r="DY5" s="42">
        <f t="shared" ref="DY5:EB5" si="17">AVERAGE(DT13,DO13,DJ13,DE13,DY13)</f>
        <v>-0.07658497871</v>
      </c>
      <c r="DZ5" s="42">
        <f t="shared" si="17"/>
        <v>0.01487268115</v>
      </c>
      <c r="EA5" s="42">
        <f t="shared" si="17"/>
        <v>0.058309023</v>
      </c>
      <c r="EB5" s="42">
        <f t="shared" si="17"/>
        <v>0.05045895184</v>
      </c>
      <c r="EC5" s="41">
        <f>EC362/EC12</f>
        <v>0.05763002222</v>
      </c>
      <c r="ED5" s="42">
        <f t="shared" ref="ED5:EG5" si="18">AVERAGE(DY13,DT13,DO13,DJ13,ED13)</f>
        <v>-0.06938301562</v>
      </c>
      <c r="EE5" s="42">
        <f t="shared" si="18"/>
        <v>-0.01772217209</v>
      </c>
      <c r="EF5" s="42">
        <f t="shared" si="18"/>
        <v>0.03975426922</v>
      </c>
      <c r="EG5" s="42">
        <f t="shared" si="18"/>
        <v>0.02236400758</v>
      </c>
      <c r="EH5" s="41">
        <f>EH362/EH12</f>
        <v>0</v>
      </c>
      <c r="EI5" s="43" t="str">
        <f t="shared" ref="EI5:EL5" si="19">AVERAGE(ED13,DY13,DT13,DO13,EI13)</f>
        <v>#ERROR!</v>
      </c>
      <c r="EJ5" s="42" t="str">
        <f t="shared" si="19"/>
        <v>#ERROR!</v>
      </c>
      <c r="EK5" s="42" t="str">
        <f t="shared" si="19"/>
        <v>#ERROR!</v>
      </c>
      <c r="EL5" s="42" t="str">
        <f t="shared" si="19"/>
        <v>#ERROR!</v>
      </c>
      <c r="EM5" s="41" t="str">
        <f>EM362/EM12</f>
        <v>#ERROR!</v>
      </c>
      <c r="EN5" s="42" t="str">
        <f t="shared" ref="EN5:EQ5" si="20">AVERAGE(EI13,ED13,DY13,DT13,EN13)</f>
        <v>#ERROR!</v>
      </c>
      <c r="EO5" s="42" t="str">
        <f t="shared" si="20"/>
        <v>#ERROR!</v>
      </c>
      <c r="EP5" s="42" t="str">
        <f t="shared" si="20"/>
        <v>#ERROR!</v>
      </c>
      <c r="EQ5" s="42" t="str">
        <f t="shared" si="20"/>
        <v>#ERROR!</v>
      </c>
      <c r="ER5" s="41" t="str">
        <f>ER362/ER12</f>
        <v>#ERROR!</v>
      </c>
      <c r="ES5" s="42" t="str">
        <f t="shared" ref="ES5:EV5" si="21">AVERAGE(EN13,EI13,ED13,DY13,ES13)</f>
        <v>#ERROR!</v>
      </c>
      <c r="ET5" s="42" t="str">
        <f t="shared" si="21"/>
        <v>#ERROR!</v>
      </c>
      <c r="EU5" s="42" t="str">
        <f t="shared" si="21"/>
        <v>#ERROR!</v>
      </c>
      <c r="EV5" s="42" t="str">
        <f t="shared" si="21"/>
        <v>#ERROR!</v>
      </c>
      <c r="EW5" s="41" t="str">
        <f>EW362/EW12</f>
        <v>#ERROR!</v>
      </c>
      <c r="EX5" s="42" t="str">
        <f t="shared" ref="EX5:FA5" si="22">AVERAGE(ES13,EN13,EI13,ED13,EX13)</f>
        <v>#ERROR!</v>
      </c>
      <c r="EY5" s="42" t="str">
        <f t="shared" si="22"/>
        <v>#ERROR!</v>
      </c>
      <c r="EZ5" s="42" t="str">
        <f t="shared" si="22"/>
        <v>#ERROR!</v>
      </c>
      <c r="FA5" s="42" t="str">
        <f t="shared" si="22"/>
        <v>#ERROR!</v>
      </c>
      <c r="FB5" s="41" t="str">
        <f>FB362/FB12</f>
        <v>#ERROR!</v>
      </c>
      <c r="FC5" s="42" t="str">
        <f t="shared" ref="FC5:FF5" si="23">AVERAGE(EX13,ES13,EN13,EI13,FC13)</f>
        <v>#ERROR!</v>
      </c>
      <c r="FD5" s="42" t="str">
        <f t="shared" si="23"/>
        <v>#ERROR!</v>
      </c>
      <c r="FE5" s="42" t="str">
        <f t="shared" si="23"/>
        <v>#ERROR!</v>
      </c>
      <c r="FF5" s="42" t="str">
        <f t="shared" si="23"/>
        <v>#ERROR!</v>
      </c>
      <c r="FG5" s="41" t="str">
        <f>FG362/FG12</f>
        <v>#ERROR!</v>
      </c>
      <c r="FH5" s="44"/>
      <c r="FI5" s="4"/>
      <c r="FJ5" s="4"/>
      <c r="FK5" s="4"/>
      <c r="FL5" s="4"/>
    </row>
    <row r="6" ht="12.75" customHeight="1">
      <c r="A6" s="4"/>
      <c r="B6" s="45" t="s">
        <v>9</v>
      </c>
      <c r="C6" s="8"/>
      <c r="D6" s="52" t="str">
        <f>"FY"&amp;YEAR(G7)</f>
        <v>FY1996</v>
      </c>
      <c r="E6" s="53"/>
      <c r="F6" s="53"/>
      <c r="G6" s="54"/>
      <c r="H6" s="5"/>
      <c r="I6" s="55" t="str">
        <f>"FY"&amp;YEAR(L7)</f>
        <v>FY1997</v>
      </c>
      <c r="J6" s="53"/>
      <c r="K6" s="53"/>
      <c r="L6" s="54"/>
      <c r="M6" s="6"/>
      <c r="N6" s="55" t="str">
        <f>"FY"&amp;YEAR(Q7)</f>
        <v>FY1998</v>
      </c>
      <c r="O6" s="53"/>
      <c r="P6" s="53"/>
      <c r="Q6" s="54"/>
      <c r="R6" s="6"/>
      <c r="S6" s="55" t="str">
        <f>"FY"&amp;YEAR(V7)</f>
        <v>FY1999</v>
      </c>
      <c r="T6" s="53"/>
      <c r="U6" s="53"/>
      <c r="V6" s="54"/>
      <c r="W6" s="6"/>
      <c r="X6" s="55" t="str">
        <f>"FY"&amp;YEAR(AA7)</f>
        <v>FY2000</v>
      </c>
      <c r="Y6" s="53"/>
      <c r="Z6" s="53"/>
      <c r="AA6" s="54"/>
      <c r="AB6" s="6"/>
      <c r="AC6" s="56" t="str">
        <f>"FY"&amp;YEAR(AF7)</f>
        <v>FY2001</v>
      </c>
      <c r="AD6" s="53"/>
      <c r="AE6" s="53"/>
      <c r="AF6" s="54"/>
      <c r="AG6" s="6"/>
      <c r="AH6" s="56" t="str">
        <f>"FY"&amp;YEAR(AK7)</f>
        <v>FY2002</v>
      </c>
      <c r="AI6" s="53"/>
      <c r="AJ6" s="53"/>
      <c r="AK6" s="54"/>
      <c r="AL6" s="6"/>
      <c r="AM6" s="56" t="str">
        <f>"FY"&amp;YEAR(AP7)</f>
        <v>FY2003</v>
      </c>
      <c r="AN6" s="53"/>
      <c r="AO6" s="53"/>
      <c r="AP6" s="54"/>
      <c r="AQ6" s="6"/>
      <c r="AR6" s="56" t="str">
        <f>"FY"&amp;YEAR(AU7)</f>
        <v>FY2004</v>
      </c>
      <c r="AS6" s="53"/>
      <c r="AT6" s="53"/>
      <c r="AU6" s="54"/>
      <c r="AV6" s="6"/>
      <c r="AW6" s="55" t="str">
        <f>"FY"&amp;YEAR(AZ7)</f>
        <v>FY2005</v>
      </c>
      <c r="AX6" s="53"/>
      <c r="AY6" s="53"/>
      <c r="AZ6" s="54"/>
      <c r="BA6" s="7"/>
      <c r="BB6" s="55" t="str">
        <f>"FY"&amp;YEAR(BE7)</f>
        <v>FY2006</v>
      </c>
      <c r="BC6" s="53"/>
      <c r="BD6" s="53"/>
      <c r="BE6" s="54"/>
      <c r="BF6" s="7"/>
      <c r="BG6" s="55" t="str">
        <f>"FY"&amp;YEAR(BJ7)</f>
        <v>FY2007</v>
      </c>
      <c r="BH6" s="53"/>
      <c r="BI6" s="53"/>
      <c r="BJ6" s="54"/>
      <c r="BK6" s="7"/>
      <c r="BL6" s="55" t="str">
        <f>"FY"&amp;YEAR(BO7)</f>
        <v>FY2008</v>
      </c>
      <c r="BM6" s="53"/>
      <c r="BN6" s="53"/>
      <c r="BO6" s="54"/>
      <c r="BP6" s="7"/>
      <c r="BQ6" s="52" t="str">
        <f>"FY"&amp;YEAR(BT7)</f>
        <v>FY2009</v>
      </c>
      <c r="BR6" s="53"/>
      <c r="BS6" s="53"/>
      <c r="BT6" s="54"/>
      <c r="BU6" s="57"/>
      <c r="BV6" s="52" t="str">
        <f>"FY"&amp;YEAR(BY7)</f>
        <v>FY2010</v>
      </c>
      <c r="BW6" s="53"/>
      <c r="BX6" s="53"/>
      <c r="BY6" s="54"/>
      <c r="BZ6" s="58"/>
      <c r="CA6" s="52" t="str">
        <f>"FY"&amp;YEAR(CD7)</f>
        <v>FY2011</v>
      </c>
      <c r="CB6" s="53"/>
      <c r="CC6" s="53"/>
      <c r="CD6" s="54"/>
      <c r="CE6" s="58"/>
      <c r="CF6" s="52" t="str">
        <f>"FY"&amp;YEAR(CI7)</f>
        <v>FY2012</v>
      </c>
      <c r="CG6" s="53"/>
      <c r="CH6" s="53"/>
      <c r="CI6" s="54"/>
      <c r="CJ6" s="58"/>
      <c r="CK6" s="52" t="str">
        <f>"FY"&amp;YEAR(CN7)</f>
        <v>FY2013</v>
      </c>
      <c r="CL6" s="53"/>
      <c r="CM6" s="53"/>
      <c r="CN6" s="54"/>
      <c r="CO6" s="58"/>
      <c r="CP6" s="52" t="str">
        <f>"FY"&amp;YEAR(CS7)</f>
        <v>FY2014</v>
      </c>
      <c r="CQ6" s="53"/>
      <c r="CR6" s="53"/>
      <c r="CS6" s="54"/>
      <c r="CT6" s="58"/>
      <c r="CU6" s="52" t="str">
        <f>"FY"&amp;YEAR(CX7)</f>
        <v>FY2015</v>
      </c>
      <c r="CV6" s="53"/>
      <c r="CW6" s="53"/>
      <c r="CX6" s="54"/>
      <c r="CY6" s="58"/>
      <c r="CZ6" s="52" t="str">
        <f>"FY"&amp;YEAR(DC7)</f>
        <v>FY2016</v>
      </c>
      <c r="DA6" s="53"/>
      <c r="DB6" s="53"/>
      <c r="DC6" s="54"/>
      <c r="DD6" s="58"/>
      <c r="DE6" s="52" t="str">
        <f>"FY"&amp;YEAR(DH7)</f>
        <v>FY2017</v>
      </c>
      <c r="DF6" s="53"/>
      <c r="DG6" s="53"/>
      <c r="DH6" s="54"/>
      <c r="DI6" s="58"/>
      <c r="DJ6" s="52" t="str">
        <f>"FY"&amp;YEAR(DM7)</f>
        <v>FY2018</v>
      </c>
      <c r="DK6" s="53"/>
      <c r="DL6" s="53"/>
      <c r="DM6" s="54"/>
      <c r="DN6" s="58"/>
      <c r="DO6" s="52" t="str">
        <f>"FY"&amp;YEAR(DR7)</f>
        <v>FY2019</v>
      </c>
      <c r="DP6" s="53"/>
      <c r="DQ6" s="53"/>
      <c r="DR6" s="54"/>
      <c r="DS6" s="58"/>
      <c r="DT6" s="52" t="str">
        <f>"FY"&amp;YEAR(DW7)</f>
        <v>FY2020</v>
      </c>
      <c r="DU6" s="53"/>
      <c r="DV6" s="53"/>
      <c r="DW6" s="54"/>
      <c r="DX6" s="58"/>
      <c r="DY6" s="59" t="str">
        <f>"FY"&amp;YEAR(EB7)</f>
        <v>FY2021</v>
      </c>
      <c r="DZ6" s="53"/>
      <c r="EA6" s="53"/>
      <c r="EB6" s="54"/>
      <c r="EC6" s="58"/>
      <c r="ED6" s="59" t="str">
        <f>"FY"&amp;YEAR(EG7)</f>
        <v>FY2022</v>
      </c>
      <c r="EE6" s="53"/>
      <c r="EF6" s="53"/>
      <c r="EG6" s="54"/>
      <c r="EH6" s="58"/>
      <c r="EI6" s="52" t="str">
        <f>"FY"&amp;YEAR(EL7)</f>
        <v>FY2023</v>
      </c>
      <c r="EJ6" s="53"/>
      <c r="EK6" s="53"/>
      <c r="EL6" s="54"/>
      <c r="EM6" s="58"/>
      <c r="EN6" s="52" t="str">
        <f>"FY"&amp;YEAR(EQ7)</f>
        <v>FY2024</v>
      </c>
      <c r="EO6" s="53"/>
      <c r="EP6" s="53"/>
      <c r="EQ6" s="54"/>
      <c r="ER6" s="58"/>
      <c r="ES6" s="52" t="str">
        <f>"FY"&amp;YEAR(EV7)</f>
        <v>FY2025</v>
      </c>
      <c r="ET6" s="53"/>
      <c r="EU6" s="53"/>
      <c r="EV6" s="54"/>
      <c r="EW6" s="58"/>
      <c r="EX6" s="52" t="str">
        <f>"FY"&amp;YEAR(FA7)</f>
        <v>FY2026</v>
      </c>
      <c r="EY6" s="53"/>
      <c r="EZ6" s="53"/>
      <c r="FA6" s="54"/>
      <c r="FB6" s="58"/>
      <c r="FC6" s="52" t="str">
        <f>"FY"&amp;YEAR(FF7)</f>
        <v>FY2027</v>
      </c>
      <c r="FD6" s="53"/>
      <c r="FE6" s="53"/>
      <c r="FF6" s="54"/>
      <c r="FG6" s="58"/>
      <c r="FH6" s="60"/>
      <c r="FI6" s="4"/>
      <c r="FJ6" s="4"/>
      <c r="FK6" s="4"/>
      <c r="FL6" s="4"/>
    </row>
    <row r="7" ht="12.75" customHeight="1">
      <c r="A7" s="61"/>
      <c r="B7" s="4" t="s">
        <v>10</v>
      </c>
      <c r="C7" s="61"/>
      <c r="D7" s="62">
        <v>35154.0</v>
      </c>
      <c r="E7" s="62">
        <v>35246.0</v>
      </c>
      <c r="F7" s="62">
        <v>35338.0</v>
      </c>
      <c r="G7" s="62">
        <v>35430.0</v>
      </c>
      <c r="H7" s="57" t="str">
        <f>YEAR(G7)&amp;IF(YEAR(G7)&gt;YEAR(TODAY()),"E",IF(AND(YEAR(G7)=YEAR(TODAY()),MONTH(G7)&gt;MONTH(TODAY())),"E",IF(AND(YEAR(G7)=YEAR(TODAY()),MONTH(G7)=MONTH(TODAY()),DAY(G7)&lt;30),"E","")))</f>
        <v>1996</v>
      </c>
      <c r="I7" s="62">
        <v>35519.0</v>
      </c>
      <c r="J7" s="62">
        <v>35611.0</v>
      </c>
      <c r="K7" s="62">
        <v>35703.0</v>
      </c>
      <c r="L7" s="62">
        <v>35795.0</v>
      </c>
      <c r="M7" s="57" t="str">
        <f>YEAR(L7)&amp;IF(YEAR(L7)&gt;YEAR(TODAY()),"E",IF(AND(YEAR(L7)=YEAR(TODAY()),MONTH(L7)&gt;MONTH(TODAY())),"E",IF(AND(YEAR(L7)=YEAR(TODAY()),MONTH(L7)=MONTH(TODAY()),DAY(L7)&lt;30),"E","")))</f>
        <v>1997</v>
      </c>
      <c r="N7" s="62">
        <v>35884.0</v>
      </c>
      <c r="O7" s="62">
        <v>35976.0</v>
      </c>
      <c r="P7" s="62">
        <v>36068.0</v>
      </c>
      <c r="Q7" s="62">
        <v>36160.0</v>
      </c>
      <c r="R7" s="57" t="str">
        <f>YEAR(Q7)&amp;IF(YEAR(Q7)&gt;YEAR(TODAY()),"E",IF(AND(YEAR(Q7)=YEAR(TODAY()),MONTH(Q7)&gt;MONTH(TODAY())),"E",IF(AND(YEAR(Q7)=YEAR(TODAY()),MONTH(Q7)=MONTH(TODAY()),DAY(Q7)&lt;30),"E","")))</f>
        <v>1998</v>
      </c>
      <c r="S7" s="62">
        <f t="shared" ref="S7:V7" si="24">N7+365</f>
        <v>36249</v>
      </c>
      <c r="T7" s="62">
        <f t="shared" si="24"/>
        <v>36341</v>
      </c>
      <c r="U7" s="62">
        <f t="shared" si="24"/>
        <v>36433</v>
      </c>
      <c r="V7" s="62">
        <f t="shared" si="24"/>
        <v>36525</v>
      </c>
      <c r="W7" s="57" t="str">
        <f>YEAR(V7)&amp;IF(YEAR(V7)&gt;YEAR(TODAY()),"E",IF(AND(YEAR(V7)=YEAR(TODAY()),MONTH(V7)&gt;MONTH(TODAY())),"E",IF(AND(YEAR(V7)=YEAR(TODAY()),MONTH(V7)=MONTH(TODAY()),DAY(V7)&lt;30),"E","")))</f>
        <v>1999</v>
      </c>
      <c r="X7" s="62">
        <f t="shared" ref="X7:AA7" si="25">S7+365</f>
        <v>36614</v>
      </c>
      <c r="Y7" s="62">
        <f t="shared" si="25"/>
        <v>36706</v>
      </c>
      <c r="Z7" s="62">
        <f t="shared" si="25"/>
        <v>36798</v>
      </c>
      <c r="AA7" s="62">
        <f t="shared" si="25"/>
        <v>36890</v>
      </c>
      <c r="AB7" s="57" t="str">
        <f>YEAR(AA7)&amp;IF(YEAR(AA7)&gt;YEAR(TODAY()),"E",IF(AND(YEAR(AA7)=YEAR(TODAY()),MONTH(AA7)&gt;MONTH(TODAY())),"E",IF(AND(YEAR(AA7)=YEAR(TODAY()),MONTH(AA7)=MONTH(TODAY()),DAY(AA7)&lt;30),"E","")))</f>
        <v>2000</v>
      </c>
      <c r="AC7" s="62">
        <f t="shared" ref="AC7:AF7" si="26">X7+365</f>
        <v>36979</v>
      </c>
      <c r="AD7" s="62">
        <f t="shared" si="26"/>
        <v>37071</v>
      </c>
      <c r="AE7" s="62">
        <f t="shared" si="26"/>
        <v>37163</v>
      </c>
      <c r="AF7" s="62">
        <f t="shared" si="26"/>
        <v>37255</v>
      </c>
      <c r="AG7" s="57" t="str">
        <f>YEAR(AF7)&amp;IF(YEAR(AF7)&gt;YEAR(TODAY()),"E",IF(AND(YEAR(AF7)=YEAR(TODAY()),MONTH(AF7)&gt;MONTH(TODAY())),"E",IF(AND(YEAR(AF7)=YEAR(TODAY()),MONTH(AF7)=MONTH(TODAY()),DAY(AF7)&lt;30),"E","")))</f>
        <v>2001</v>
      </c>
      <c r="AH7" s="62">
        <f t="shared" ref="AH7:AJ7" si="27">AC7+365</f>
        <v>37344</v>
      </c>
      <c r="AI7" s="62">
        <f t="shared" si="27"/>
        <v>37436</v>
      </c>
      <c r="AJ7" s="62">
        <f t="shared" si="27"/>
        <v>37528</v>
      </c>
      <c r="AK7" s="62">
        <v>37619.0</v>
      </c>
      <c r="AL7" s="57" t="str">
        <f>YEAR(AK7)&amp;IF(YEAR(AK7)&gt;YEAR(TODAY()),"E",IF(AND(YEAR(AK7)=YEAR(TODAY()),MONTH(AK7)&gt;MONTH(TODAY())),"E",IF(AND(YEAR(AK7)=YEAR(TODAY()),MONTH(AK7)=MONTH(TODAY()),DAY(AK7)&lt;30),"E","")))</f>
        <v>2002</v>
      </c>
      <c r="AM7" s="62">
        <f t="shared" ref="AM7:AP7" si="28">AH7+365</f>
        <v>37709</v>
      </c>
      <c r="AN7" s="62">
        <f t="shared" si="28"/>
        <v>37801</v>
      </c>
      <c r="AO7" s="62">
        <f t="shared" si="28"/>
        <v>37893</v>
      </c>
      <c r="AP7" s="62">
        <f t="shared" si="28"/>
        <v>37984</v>
      </c>
      <c r="AQ7" s="57" t="str">
        <f>YEAR(AP7)&amp;IF(YEAR(AP7)&gt;YEAR(TODAY()),"E",IF(AND(YEAR(AP7)=YEAR(TODAY()),MONTH(AP7)&gt;MONTH(TODAY())),"E",IF(AND(YEAR(AP7)=YEAR(TODAY()),MONTH(AP7)=MONTH(TODAY()),DAY(AP7)&lt;30),"E","")))</f>
        <v>2003</v>
      </c>
      <c r="AR7" s="62">
        <f t="shared" ref="AR7:AU7" si="29">AM7+365</f>
        <v>38074</v>
      </c>
      <c r="AS7" s="62">
        <f t="shared" si="29"/>
        <v>38166</v>
      </c>
      <c r="AT7" s="62">
        <f t="shared" si="29"/>
        <v>38258</v>
      </c>
      <c r="AU7" s="62">
        <f t="shared" si="29"/>
        <v>38349</v>
      </c>
      <c r="AV7" s="57" t="str">
        <f>YEAR(AU7)&amp;IF(YEAR(AU7)&gt;YEAR(TODAY()),"E",IF(AND(YEAR(AU7)=YEAR(TODAY()),MONTH(AU7)&gt;MONTH(TODAY())),"E",IF(AND(YEAR(AU7)=YEAR(TODAY()),MONTH(AU7)=MONTH(TODAY()),DAY(AU7)&lt;30),"E","")))</f>
        <v>2004</v>
      </c>
      <c r="AW7" s="62">
        <f t="shared" ref="AW7:AZ7" si="30">AR7+365</f>
        <v>38439</v>
      </c>
      <c r="AX7" s="62">
        <f t="shared" si="30"/>
        <v>38531</v>
      </c>
      <c r="AY7" s="62">
        <f t="shared" si="30"/>
        <v>38623</v>
      </c>
      <c r="AZ7" s="62">
        <f t="shared" si="30"/>
        <v>38714</v>
      </c>
      <c r="BA7" s="57" t="str">
        <f>YEAR(AZ7)&amp;IF(YEAR(AZ7)&gt;YEAR(TODAY()),"E",IF(AND(YEAR(AZ7)=YEAR(TODAY()),MONTH(AZ7)&gt;MONTH(TODAY())),"E",IF(AND(YEAR(AZ7)=YEAR(TODAY()),MONTH(AZ7)=MONTH(TODAY()),DAY(AZ7)&lt;30),"E","")))</f>
        <v>2005</v>
      </c>
      <c r="BB7" s="62">
        <f t="shared" ref="BB7:BE7" si="31">AW7+365</f>
        <v>38804</v>
      </c>
      <c r="BC7" s="62">
        <f t="shared" si="31"/>
        <v>38896</v>
      </c>
      <c r="BD7" s="62">
        <f t="shared" si="31"/>
        <v>38988</v>
      </c>
      <c r="BE7" s="62">
        <f t="shared" si="31"/>
        <v>39079</v>
      </c>
      <c r="BF7" s="57" t="str">
        <f>YEAR(BE7)&amp;IF(YEAR(BE7)&gt;YEAR(TODAY()),"E",IF(AND(YEAR(BE7)=YEAR(TODAY()),MONTH(BE7)&gt;MONTH(TODAY())),"E",IF(AND(YEAR(BE7)=YEAR(TODAY()),MONTH(BE7)=MONTH(TODAY()),DAY(BE7)&lt;30),"E","")))</f>
        <v>2006</v>
      </c>
      <c r="BG7" s="62">
        <f t="shared" ref="BG7:BJ7" si="32">BB7+365</f>
        <v>39169</v>
      </c>
      <c r="BH7" s="62">
        <f t="shared" si="32"/>
        <v>39261</v>
      </c>
      <c r="BI7" s="62">
        <f t="shared" si="32"/>
        <v>39353</v>
      </c>
      <c r="BJ7" s="62">
        <f t="shared" si="32"/>
        <v>39444</v>
      </c>
      <c r="BK7" s="57" t="str">
        <f>YEAR(BJ7)&amp;IF(YEAR(BJ7)&gt;YEAR(TODAY()),"E",IF(AND(YEAR(BJ7)=YEAR(TODAY()),MONTH(BJ7)&gt;MONTH(TODAY())),"E",IF(AND(YEAR(BJ7)=YEAR(TODAY()),MONTH(BJ7)=MONTH(TODAY()),DAY(BJ7)&lt;30),"E","")))</f>
        <v>2007</v>
      </c>
      <c r="BL7" s="62">
        <f t="shared" ref="BL7:BO7" si="33">BG7+365</f>
        <v>39534</v>
      </c>
      <c r="BM7" s="62">
        <f t="shared" si="33"/>
        <v>39626</v>
      </c>
      <c r="BN7" s="62">
        <f t="shared" si="33"/>
        <v>39718</v>
      </c>
      <c r="BO7" s="62">
        <f t="shared" si="33"/>
        <v>39809</v>
      </c>
      <c r="BP7" s="57" t="str">
        <f>YEAR(BO7)&amp;IF(YEAR(BO7)&gt;YEAR(TODAY()),"E",IF(AND(YEAR(BO7)=YEAR(TODAY()),MONTH(BO7)&gt;MONTH(TODAY())),"E",IF(AND(YEAR(BO7)=YEAR(TODAY()),MONTH(BO7)=MONTH(TODAY()),DAY(BO7)&lt;30),"E","")))</f>
        <v>2008</v>
      </c>
      <c r="BQ7" s="62">
        <f t="shared" ref="BQ7:BT7" si="34">BL7+365</f>
        <v>39899</v>
      </c>
      <c r="BR7" s="62">
        <f t="shared" si="34"/>
        <v>39991</v>
      </c>
      <c r="BS7" s="62">
        <f t="shared" si="34"/>
        <v>40083</v>
      </c>
      <c r="BT7" s="62">
        <f t="shared" si="34"/>
        <v>40174</v>
      </c>
      <c r="BU7" s="57" t="str">
        <f>YEAR(BT7)&amp;IF(YEAR(BT7)&gt;YEAR(TODAY()),"E",IF(AND(YEAR(BT7)=YEAR(TODAY()),MONTH(BT7)&gt;MONTH(TODAY())),"E",IF(AND(YEAR(BT7)=YEAR(TODAY()),MONTH(BT7)=MONTH(TODAY()),DAY(BT7)&lt;30),"E","")))</f>
        <v>2009</v>
      </c>
      <c r="BV7" s="62">
        <f t="shared" ref="BV7:BY7" si="35">BQ7+365</f>
        <v>40264</v>
      </c>
      <c r="BW7" s="63">
        <f t="shared" si="35"/>
        <v>40356</v>
      </c>
      <c r="BX7" s="62">
        <f t="shared" si="35"/>
        <v>40448</v>
      </c>
      <c r="BY7" s="62">
        <f t="shared" si="35"/>
        <v>40539</v>
      </c>
      <c r="BZ7" s="58" t="str">
        <f>YEAR(BY7)&amp;IF(YEAR(BY7)&gt;YEAR(TODAY()),"E",IF(AND(YEAR(BY7)=YEAR(TODAY()),MONTH(BY7)&gt;MONTH(TODAY())),"E",IF(AND(YEAR(BY7)=YEAR(TODAY()),MONTH(BY7)=MONTH(TODAY()),DAY(BY7)&lt;30),"E","")))</f>
        <v>2010</v>
      </c>
      <c r="CA7" s="62">
        <f t="shared" ref="CA7:CD7" si="36">BV7+365</f>
        <v>40629</v>
      </c>
      <c r="CB7" s="62">
        <f t="shared" si="36"/>
        <v>40721</v>
      </c>
      <c r="CC7" s="62">
        <f t="shared" si="36"/>
        <v>40813</v>
      </c>
      <c r="CD7" s="62">
        <f t="shared" si="36"/>
        <v>40904</v>
      </c>
      <c r="CE7" s="58" t="str">
        <f>YEAR(CD7)&amp;IF(YEAR(CD7)&gt;YEAR(TODAY()),"E",IF(AND(YEAR(CD7)=YEAR(TODAY()),MONTH(CD7)&gt;MONTH(TODAY())),"E",IF(AND(YEAR(CD7)=YEAR(TODAY()),MONTH(CD7)=MONTH(TODAY()),DAY(CD7)&lt;30),"E","")))</f>
        <v>2011</v>
      </c>
      <c r="CF7" s="62">
        <f t="shared" ref="CF7:CI7" si="37">CA7+365</f>
        <v>40994</v>
      </c>
      <c r="CG7" s="62">
        <f t="shared" si="37"/>
        <v>41086</v>
      </c>
      <c r="CH7" s="62">
        <f t="shared" si="37"/>
        <v>41178</v>
      </c>
      <c r="CI7" s="62">
        <f t="shared" si="37"/>
        <v>41269</v>
      </c>
      <c r="CJ7" s="58" t="str">
        <f>YEAR(CI7)&amp;IF(YEAR(CI7)&gt;YEAR(TODAY()),"E",IF(AND(YEAR(CI7)=YEAR(TODAY()),MONTH(CI7)&gt;MONTH(TODAY())),"E",IF(AND(YEAR(CI7)=YEAR(TODAY()),MONTH(CI7)=MONTH(TODAY()),DAY(CI7)&lt;30),"E","")))</f>
        <v>2012</v>
      </c>
      <c r="CK7" s="62">
        <f t="shared" ref="CK7:CN7" si="38">CF7+365</f>
        <v>41359</v>
      </c>
      <c r="CL7" s="62">
        <f t="shared" si="38"/>
        <v>41451</v>
      </c>
      <c r="CM7" s="62">
        <f t="shared" si="38"/>
        <v>41543</v>
      </c>
      <c r="CN7" s="64">
        <f t="shared" si="38"/>
        <v>41634</v>
      </c>
      <c r="CO7" s="58" t="str">
        <f>YEAR(CN7)&amp;IF(YEAR(CN7)&gt;YEAR(TODAY()),"E",IF(AND(YEAR(CN7)=YEAR(TODAY()),MONTH(CN7)&gt;MONTH(TODAY())),"E",IF(AND(YEAR(CN7)=YEAR(TODAY()),MONTH(CN7)=MONTH(TODAY()),DAY(CN7)&lt;30),"E","")))</f>
        <v>2013</v>
      </c>
      <c r="CP7" s="64">
        <f t="shared" ref="CP7:CS7" si="39">CK7+365</f>
        <v>41724</v>
      </c>
      <c r="CQ7" s="62">
        <f t="shared" si="39"/>
        <v>41816</v>
      </c>
      <c r="CR7" s="62">
        <f t="shared" si="39"/>
        <v>41908</v>
      </c>
      <c r="CS7" s="62">
        <f t="shared" si="39"/>
        <v>41999</v>
      </c>
      <c r="CT7" s="58" t="str">
        <f>YEAR(CS7)&amp;IF(YEAR(CS7)&gt;YEAR(TODAY()),"E",IF(AND(YEAR(CS7)=YEAR(TODAY()),MONTH(CS7)&gt;MONTH(TODAY())),"E",IF(AND(YEAR(CS7)=YEAR(TODAY()),MONTH(CS7)=MONTH(TODAY()),DAY(CS7)&lt;30),"E","")))</f>
        <v>2014</v>
      </c>
      <c r="CU7" s="62">
        <f t="shared" ref="CU7:CX7" si="40">CP7+365</f>
        <v>42089</v>
      </c>
      <c r="CV7" s="62">
        <f t="shared" si="40"/>
        <v>42181</v>
      </c>
      <c r="CW7" s="62">
        <f t="shared" si="40"/>
        <v>42273</v>
      </c>
      <c r="CX7" s="62">
        <f t="shared" si="40"/>
        <v>42364</v>
      </c>
      <c r="CY7" s="58" t="str">
        <f>YEAR(CX7)&amp;IF(YEAR(CX7)&gt;YEAR(TODAY()),"E",IF(AND(YEAR(CX7)=YEAR(TODAY()),MONTH(CX7)&gt;MONTH(TODAY())),"E",IF(AND(YEAR(CX7)=YEAR(TODAY()),MONTH(CX7)=MONTH(TODAY()),DAY(CX7)&lt;30),"E","")))</f>
        <v>2015</v>
      </c>
      <c r="CZ7" s="62">
        <f t="shared" ref="CZ7:DC7" si="41">CU7+365</f>
        <v>42454</v>
      </c>
      <c r="DA7" s="62">
        <f t="shared" si="41"/>
        <v>42546</v>
      </c>
      <c r="DB7" s="62">
        <f t="shared" si="41"/>
        <v>42638</v>
      </c>
      <c r="DC7" s="62">
        <f t="shared" si="41"/>
        <v>42729</v>
      </c>
      <c r="DD7" s="58" t="str">
        <f>YEAR(DC7)&amp;IF(YEAR(DC7)&gt;YEAR(TODAY()),"E",IF(AND(YEAR(DC7)=YEAR(TODAY()),MONTH(DC7)&gt;MONTH(TODAY())),"E",IF(AND(YEAR(DC7)=YEAR(TODAY()),MONTH(DC7)=MONTH(TODAY()),DAY(DC7)&lt;30),"E","")))</f>
        <v>2016</v>
      </c>
      <c r="DE7" s="62">
        <f t="shared" ref="DE7:DH7" si="42">CZ7+365</f>
        <v>42819</v>
      </c>
      <c r="DF7" s="62">
        <f t="shared" si="42"/>
        <v>42911</v>
      </c>
      <c r="DG7" s="64">
        <f t="shared" si="42"/>
        <v>43003</v>
      </c>
      <c r="DH7" s="62">
        <f t="shared" si="42"/>
        <v>43094</v>
      </c>
      <c r="DI7" s="58" t="str">
        <f>YEAR(DH7)&amp;IF(YEAR(DH7)&gt;YEAR(TODAY()),"E",IF(AND(YEAR(DH7)=YEAR(TODAY()),MONTH(DH7)&gt;MONTH(TODAY())),"E",IF(AND(YEAR(DH7)=YEAR(TODAY()),MONTH(DH7)=MONTH(TODAY()),DAY(DH7)&lt;30),"E","")))</f>
        <v>2017</v>
      </c>
      <c r="DJ7" s="64">
        <f t="shared" ref="DJ7:DM7" si="43">DE7+365</f>
        <v>43184</v>
      </c>
      <c r="DK7" s="64">
        <f t="shared" si="43"/>
        <v>43276</v>
      </c>
      <c r="DL7" s="64">
        <f t="shared" si="43"/>
        <v>43368</v>
      </c>
      <c r="DM7" s="64">
        <f t="shared" si="43"/>
        <v>43459</v>
      </c>
      <c r="DN7" s="58" t="str">
        <f>YEAR(DM7)&amp;IF(YEAR(DM7)&gt;YEAR(TODAY()),"E",IF(AND(YEAR(DM7)=YEAR(TODAY()),MONTH(DM7)&gt;MONTH(TODAY())),"E",IF(AND(YEAR(DM7)=YEAR(TODAY()),MONTH(DM7)=MONTH(TODAY()),DAY(DM7)&lt;30),"E","")))</f>
        <v>2018</v>
      </c>
      <c r="DO7" s="64">
        <f t="shared" ref="DO7:DR7" si="44">DJ7+365</f>
        <v>43549</v>
      </c>
      <c r="DP7" s="64">
        <f t="shared" si="44"/>
        <v>43641</v>
      </c>
      <c r="DQ7" s="64">
        <f t="shared" si="44"/>
        <v>43733</v>
      </c>
      <c r="DR7" s="64">
        <f t="shared" si="44"/>
        <v>43824</v>
      </c>
      <c r="DS7" s="58" t="str">
        <f>YEAR(DR7)&amp;IF(YEAR(DR7)&gt;YEAR(TODAY()),"E",IF(AND(YEAR(DR7)=YEAR(TODAY()),MONTH(DR7)&gt;MONTH(TODAY())),"E",IF(AND(YEAR(DR7)=YEAR(TODAY()),MONTH(DR7)=MONTH(TODAY()),DAY(DR7)&lt;30),"E","")))</f>
        <v>2019</v>
      </c>
      <c r="DT7" s="64">
        <f t="shared" ref="DT7:DW7" si="45">DO7+365</f>
        <v>43914</v>
      </c>
      <c r="DU7" s="64">
        <f t="shared" si="45"/>
        <v>44006</v>
      </c>
      <c r="DV7" s="64">
        <f t="shared" si="45"/>
        <v>44098</v>
      </c>
      <c r="DW7" s="64">
        <f t="shared" si="45"/>
        <v>44189</v>
      </c>
      <c r="DX7" s="58" t="str">
        <f>YEAR(DW7)&amp;IF(YEAR(DW7)&gt;YEAR(TODAY()),"E",IF(AND(YEAR(DW7)=YEAR(TODAY()),MONTH(DW7)&gt;MONTH(TODAY())),"E",IF(AND(YEAR(DW7)=YEAR(TODAY()),MONTH(DW7)=MONTH(TODAY()),DAY(DW7)&lt;30),"E","")))</f>
        <v>2020</v>
      </c>
      <c r="DY7" s="64">
        <f t="shared" ref="DY7:EB7" si="46">DT7+365</f>
        <v>44279</v>
      </c>
      <c r="DZ7" s="64">
        <f t="shared" si="46"/>
        <v>44371</v>
      </c>
      <c r="EA7" s="64">
        <f t="shared" si="46"/>
        <v>44463</v>
      </c>
      <c r="EB7" s="64">
        <f t="shared" si="46"/>
        <v>44554</v>
      </c>
      <c r="EC7" s="58" t="str">
        <f>YEAR(EB7)&amp;IF(YEAR(EB7)&gt;YEAR(TODAY()),"E",IF(AND(YEAR(EB7)=YEAR(TODAY()),MONTH(EB7)&gt;MONTH(TODAY())),"E",IF(AND(YEAR(EB7)=YEAR(TODAY()),MONTH(EB7)=MONTH(TODAY()),DAY(EB7)&lt;30),"E","")))</f>
        <v>2021</v>
      </c>
      <c r="ED7" s="64">
        <f t="shared" ref="ED7:EG7" si="47">DY7+365</f>
        <v>44644</v>
      </c>
      <c r="EE7" s="64">
        <f t="shared" si="47"/>
        <v>44736</v>
      </c>
      <c r="EF7" s="64">
        <f t="shared" si="47"/>
        <v>44828</v>
      </c>
      <c r="EG7" s="64">
        <f t="shared" si="47"/>
        <v>44919</v>
      </c>
      <c r="EH7" s="58" t="str">
        <f>YEAR(EG7)&amp;IF(YEAR(EG7)&gt;YEAR(TODAY()),"E",IF(AND(YEAR(EG7)=YEAR(TODAY()),MONTH(EG7)&gt;MONTH(TODAY())),"E",IF(AND(YEAR(EG7)=YEAR(TODAY()),MONTH(EG7)=MONTH(TODAY()),DAY(EG7)&lt;30),"E","")))</f>
        <v>2022</v>
      </c>
      <c r="EI7" s="65">
        <f t="shared" ref="EI7:EL7" si="48">ED7+365</f>
        <v>45009</v>
      </c>
      <c r="EJ7" s="62">
        <f t="shared" si="48"/>
        <v>45101</v>
      </c>
      <c r="EK7" s="62">
        <f t="shared" si="48"/>
        <v>45193</v>
      </c>
      <c r="EL7" s="62">
        <f t="shared" si="48"/>
        <v>45284</v>
      </c>
      <c r="EM7" s="58" t="str">
        <f>YEAR(EL7)&amp;IF(YEAR(EL7)&gt;YEAR(TODAY()),"E",IF(AND(YEAR(EL7)=YEAR(TODAY()),MONTH(EL7)&gt;MONTH(TODAY())),"E",IF(AND(YEAR(EL7)=YEAR(TODAY()),MONTH(EL7)=MONTH(TODAY()),DAY(EL7)&lt;30),"E","")))</f>
        <v>2023</v>
      </c>
      <c r="EN7" s="62">
        <f t="shared" ref="EN7:EQ7" si="49">EI7+365</f>
        <v>45374</v>
      </c>
      <c r="EO7" s="62">
        <f t="shared" si="49"/>
        <v>45466</v>
      </c>
      <c r="EP7" s="62">
        <f t="shared" si="49"/>
        <v>45558</v>
      </c>
      <c r="EQ7" s="62">
        <f t="shared" si="49"/>
        <v>45649</v>
      </c>
      <c r="ER7" s="58" t="str">
        <f>YEAR(EQ7)&amp;IF(YEAR(EQ7)&gt;YEAR(TODAY()),"E",IF(AND(YEAR(EQ7)=YEAR(TODAY()),MONTH(EQ7)&gt;MONTH(TODAY())),"E",IF(AND(YEAR(EQ7)=YEAR(TODAY()),MONTH(EQ7)=MONTH(TODAY()),DAY(EQ7)&lt;30),"E","")))</f>
        <v>2024</v>
      </c>
      <c r="ES7" s="62">
        <f t="shared" ref="ES7:EV7" si="50">EN7+365</f>
        <v>45739</v>
      </c>
      <c r="ET7" s="62">
        <f t="shared" si="50"/>
        <v>45831</v>
      </c>
      <c r="EU7" s="62">
        <f t="shared" si="50"/>
        <v>45923</v>
      </c>
      <c r="EV7" s="62">
        <f t="shared" si="50"/>
        <v>46014</v>
      </c>
      <c r="EW7" s="58" t="str">
        <f>YEAR(EV7)&amp;IF(YEAR(EV7)&gt;YEAR(TODAY()),"E",IF(AND(YEAR(EV7)=YEAR(TODAY()),MONTH(EV7)&gt;MONTH(TODAY())),"E",IF(AND(YEAR(EV7)=YEAR(TODAY()),MONTH(EV7)=MONTH(TODAY()),DAY(EV7)&lt;30),"E","")))</f>
        <v>2025</v>
      </c>
      <c r="EX7" s="62">
        <f t="shared" ref="EX7:FA7" si="51">ES7+365</f>
        <v>46104</v>
      </c>
      <c r="EY7" s="62">
        <f t="shared" si="51"/>
        <v>46196</v>
      </c>
      <c r="EZ7" s="62">
        <f t="shared" si="51"/>
        <v>46288</v>
      </c>
      <c r="FA7" s="62">
        <f t="shared" si="51"/>
        <v>46379</v>
      </c>
      <c r="FB7" s="58" t="str">
        <f>YEAR(FA7)&amp;IF(YEAR(FA7)&gt;YEAR(TODAY()),"E",IF(AND(YEAR(FA7)=YEAR(TODAY()),MONTH(FA7)&gt;MONTH(TODAY())),"E",IF(AND(YEAR(FA7)=YEAR(TODAY()),MONTH(FA7)=MONTH(TODAY()),DAY(FA7)&lt;30),"E","")))</f>
        <v>2026E</v>
      </c>
      <c r="FC7" s="62">
        <f t="shared" ref="FC7:FF7" si="52">EX7+365</f>
        <v>46469</v>
      </c>
      <c r="FD7" s="62">
        <f t="shared" si="52"/>
        <v>46561</v>
      </c>
      <c r="FE7" s="62">
        <f t="shared" si="52"/>
        <v>46653</v>
      </c>
      <c r="FF7" s="62">
        <f t="shared" si="52"/>
        <v>46744</v>
      </c>
      <c r="FG7" s="58" t="str">
        <f>YEAR(FF7)&amp;IF(YEAR(FF7)&gt;YEAR(TODAY()),"E",IF(AND(YEAR(FF7)=YEAR(TODAY()),MONTH(FF7)&gt;MONTH(TODAY())),"E",IF(AND(YEAR(FF7)=YEAR(TODAY()),MONTH(FF7)=MONTH(TODAY()),DAY(FF7)&lt;30),"E","")))</f>
        <v>2027E</v>
      </c>
      <c r="FH7" s="60"/>
      <c r="FI7" s="61"/>
      <c r="FJ7" s="61"/>
      <c r="FK7" s="61"/>
      <c r="FL7" s="61"/>
    </row>
    <row r="8" ht="12.75" customHeight="1">
      <c r="A8" s="66"/>
      <c r="B8" s="66"/>
      <c r="C8" s="66"/>
      <c r="D8" s="67" t="str">
        <f>"Q1"&amp;IF(YEAR(7:7)&gt;YEAR(TODAY()),"E",IF(AND(YEAR(7:7)=YEAR(TODAY()),MONTH(7:7)&gt;MONTH(TODAY())),"E",IF(AND(YEAR(7:7)=YEAR(TODAY()),MONTH(7:7)=MONTH(TODAY()),DAY(7:7)&lt;30),"E","A")))</f>
        <v>Q1A</v>
      </c>
      <c r="E8" s="67" t="str">
        <f>"Q2"&amp;IF(YEAR(7:7)&gt;YEAR(TODAY()),"E",IF(AND(YEAR(7:7)=YEAR(TODAY()),MONTH(7:7)&gt;MONTH(TODAY())),"E",IF(AND(YEAR(7:7)=YEAR(TODAY()),MONTH(7:7)=MONTH(TODAY()),DAY(7:7)&lt;30),"E","A")))</f>
        <v>Q2A</v>
      </c>
      <c r="F8" s="67" t="str">
        <f>"Q3"&amp;IF(YEAR(7:7)&gt;YEAR(TODAY()),"E",IF(AND(YEAR(7:7)=YEAR(TODAY()),MONTH(7:7)&gt;MONTH(TODAY())),"E",IF(AND(YEAR(7:7)=YEAR(TODAY()),MONTH(7:7)=MONTH(TODAY()),DAY(7:7)&lt;30),"E","A")))</f>
        <v>Q3A</v>
      </c>
      <c r="G8" s="67" t="str">
        <f>"Q4"&amp;IF(YEAR(7:7)&gt;YEAR(TODAY()),"E",IF(AND(YEAR(7:7)=YEAR(TODAY()),MONTH(7:7)&gt;MONTH(TODAY())),"E",IF(AND(YEAR(7:7)=YEAR(TODAY()),MONTH(7:7)=MONTH(TODAY()),DAY(7:7)&lt;30),"E","A")))</f>
        <v>Q4A</v>
      </c>
      <c r="H8" s="57"/>
      <c r="I8" s="67" t="str">
        <f>"Q1"&amp;IF(YEAR(7:7)&gt;YEAR(TODAY()),"E",IF(AND(YEAR(7:7)=YEAR(TODAY()),MONTH(7:7)&gt;MONTH(TODAY())),"E",IF(AND(YEAR(7:7)=YEAR(TODAY()),MONTH(7:7)=MONTH(TODAY()),DAY(7:7)&lt;30),"E","A")))</f>
        <v>Q1A</v>
      </c>
      <c r="J8" s="67" t="str">
        <f>"Q2"&amp;IF(YEAR(7:7)&gt;YEAR(TODAY()),"E",IF(AND(YEAR(7:7)=YEAR(TODAY()),MONTH(7:7)&gt;MONTH(TODAY())),"E",IF(AND(YEAR(7:7)=YEAR(TODAY()),MONTH(7:7)=MONTH(TODAY()),DAY(7:7)&lt;30),"E","A")))</f>
        <v>Q2A</v>
      </c>
      <c r="K8" s="67" t="str">
        <f>"Q3"&amp;IF(YEAR(7:7)&gt;YEAR(TODAY()),"E",IF(AND(YEAR(7:7)=YEAR(TODAY()),MONTH(7:7)&gt;MONTH(TODAY())),"E",IF(AND(YEAR(7:7)=YEAR(TODAY()),MONTH(7:7)=MONTH(TODAY()),DAY(7:7)&lt;30),"E","A")))</f>
        <v>Q3A</v>
      </c>
      <c r="L8" s="67" t="str">
        <f>"Q4"&amp;IF(YEAR(7:7)&gt;YEAR(TODAY()),"E",IF(AND(YEAR(7:7)=YEAR(TODAY()),MONTH(7:7)&gt;MONTH(TODAY())),"E",IF(AND(YEAR(7:7)=YEAR(TODAY()),MONTH(7:7)=MONTH(TODAY()),DAY(7:7)&lt;30),"E","A")))</f>
        <v>Q4A</v>
      </c>
      <c r="M8" s="57"/>
      <c r="N8" s="67" t="str">
        <f>"Q1"&amp;IF(YEAR(7:7)&gt;YEAR(TODAY()),"E",IF(AND(YEAR(7:7)=YEAR(TODAY()),MONTH(7:7)&gt;MONTH(TODAY())),"E",IF(AND(YEAR(7:7)=YEAR(TODAY()),MONTH(7:7)=MONTH(TODAY()),DAY(7:7)&lt;30),"E","A")))</f>
        <v>Q1A</v>
      </c>
      <c r="O8" s="67" t="str">
        <f>"Q2"&amp;IF(YEAR(7:7)&gt;YEAR(TODAY()),"E",IF(AND(YEAR(7:7)=YEAR(TODAY()),MONTH(7:7)&gt;MONTH(TODAY())),"E",IF(AND(YEAR(7:7)=YEAR(TODAY()),MONTH(7:7)=MONTH(TODAY()),DAY(7:7)&lt;30),"E","A")))</f>
        <v>Q2A</v>
      </c>
      <c r="P8" s="67" t="str">
        <f>"Q3"&amp;IF(YEAR(7:7)&gt;YEAR(TODAY()),"E",IF(AND(YEAR(7:7)=YEAR(TODAY()),MONTH(7:7)&gt;MONTH(TODAY())),"E",IF(AND(YEAR(7:7)=YEAR(TODAY()),MONTH(7:7)=MONTH(TODAY()),DAY(7:7)&lt;30),"E","A")))</f>
        <v>Q3A</v>
      </c>
      <c r="Q8" s="67" t="str">
        <f>"Q4"&amp;IF(YEAR(7:7)&gt;YEAR(TODAY()),"E",IF(AND(YEAR(7:7)=YEAR(TODAY()),MONTH(7:7)&gt;MONTH(TODAY())),"E",IF(AND(YEAR(7:7)=YEAR(TODAY()),MONTH(7:7)=MONTH(TODAY()),DAY(7:7)&lt;30),"E","A")))</f>
        <v>Q4A</v>
      </c>
      <c r="R8" s="57"/>
      <c r="S8" s="67" t="str">
        <f>"Q1"&amp;IF(YEAR(7:7)&gt;YEAR(TODAY()),"E",IF(AND(YEAR(7:7)=YEAR(TODAY()),MONTH(7:7)&gt;MONTH(TODAY())),"E",IF(AND(YEAR(7:7)=YEAR(TODAY()),MONTH(7:7)=MONTH(TODAY()),DAY(7:7)&lt;30),"E","A")))</f>
        <v>Q1A</v>
      </c>
      <c r="T8" s="67" t="str">
        <f>"Q2"&amp;IF(YEAR(7:7)&gt;YEAR(TODAY()),"E",IF(AND(YEAR(7:7)=YEAR(TODAY()),MONTH(7:7)&gt;MONTH(TODAY())),"E",IF(AND(YEAR(7:7)=YEAR(TODAY()),MONTH(7:7)=MONTH(TODAY()),DAY(7:7)&lt;30),"E","A")))</f>
        <v>Q2A</v>
      </c>
      <c r="U8" s="67" t="str">
        <f>"Q3"&amp;IF(YEAR(7:7)&gt;YEAR(TODAY()),"E",IF(AND(YEAR(7:7)=YEAR(TODAY()),MONTH(7:7)&gt;MONTH(TODAY())),"E",IF(AND(YEAR(7:7)=YEAR(TODAY()),MONTH(7:7)=MONTH(TODAY()),DAY(7:7)&lt;30),"E","A")))</f>
        <v>Q3A</v>
      </c>
      <c r="V8" s="67" t="str">
        <f>"Q4"&amp;IF(YEAR(7:7)&gt;YEAR(TODAY()),"E",IF(AND(YEAR(7:7)=YEAR(TODAY()),MONTH(7:7)&gt;MONTH(TODAY())),"E",IF(AND(YEAR(7:7)=YEAR(TODAY()),MONTH(7:7)=MONTH(TODAY()),DAY(7:7)&lt;30),"E","A")))</f>
        <v>Q4A</v>
      </c>
      <c r="W8" s="57"/>
      <c r="X8" s="67" t="str">
        <f>"Q1"&amp;IF(YEAR(7:7)&gt;YEAR(TODAY()),"E",IF(AND(YEAR(7:7)=YEAR(TODAY()),MONTH(7:7)&gt;MONTH(TODAY())),"E",IF(AND(YEAR(7:7)=YEAR(TODAY()),MONTH(7:7)=MONTH(TODAY()),DAY(7:7)&lt;30),"E","A")))</f>
        <v>Q1A</v>
      </c>
      <c r="Y8" s="67" t="str">
        <f>"Q2"&amp;IF(YEAR(7:7)&gt;YEAR(TODAY()),"E",IF(AND(YEAR(7:7)=YEAR(TODAY()),MONTH(7:7)&gt;MONTH(TODAY())),"E",IF(AND(YEAR(7:7)=YEAR(TODAY()),MONTH(7:7)=MONTH(TODAY()),DAY(7:7)&lt;30),"E","A")))</f>
        <v>Q2A</v>
      </c>
      <c r="Z8" s="67" t="str">
        <f>"Q3"&amp;IF(YEAR(7:7)&gt;YEAR(TODAY()),"E",IF(AND(YEAR(7:7)=YEAR(TODAY()),MONTH(7:7)&gt;MONTH(TODAY())),"E",IF(AND(YEAR(7:7)=YEAR(TODAY()),MONTH(7:7)=MONTH(TODAY()),DAY(7:7)&lt;30),"E","A")))</f>
        <v>Q3A</v>
      </c>
      <c r="AA8" s="67" t="str">
        <f>"Q4"&amp;IF(YEAR(7:7)&gt;YEAR(TODAY()),"E",IF(AND(YEAR(7:7)=YEAR(TODAY()),MONTH(7:7)&gt;MONTH(TODAY())),"E",IF(AND(YEAR(7:7)=YEAR(TODAY()),MONTH(7:7)=MONTH(TODAY()),DAY(7:7)&lt;30),"E","A")))</f>
        <v>Q4A</v>
      </c>
      <c r="AB8" s="57"/>
      <c r="AC8" s="67" t="str">
        <f>"Q1"&amp;IF(YEAR(7:7)&gt;YEAR(TODAY()),"E",IF(AND(YEAR(7:7)=YEAR(TODAY()),MONTH(7:7)&gt;MONTH(TODAY())),"E",IF(AND(YEAR(7:7)=YEAR(TODAY()),MONTH(7:7)=MONTH(TODAY()),DAY(7:7)&lt;30),"E","A")))</f>
        <v>Q1A</v>
      </c>
      <c r="AD8" s="67" t="str">
        <f>"Q2"&amp;IF(YEAR(7:7)&gt;YEAR(TODAY()),"E",IF(AND(YEAR(7:7)=YEAR(TODAY()),MONTH(7:7)&gt;MONTH(TODAY())),"E",IF(AND(YEAR(7:7)=YEAR(TODAY()),MONTH(7:7)=MONTH(TODAY()),DAY(7:7)&lt;30),"E","A")))</f>
        <v>Q2A</v>
      </c>
      <c r="AE8" s="67" t="str">
        <f>"Q3"&amp;IF(YEAR(7:7)&gt;YEAR(TODAY()),"E",IF(AND(YEAR(7:7)=YEAR(TODAY()),MONTH(7:7)&gt;MONTH(TODAY())),"E",IF(AND(YEAR(7:7)=YEAR(TODAY()),MONTH(7:7)=MONTH(TODAY()),DAY(7:7)&lt;30),"E","A")))</f>
        <v>Q3A</v>
      </c>
      <c r="AF8" s="67" t="str">
        <f>"Q4"&amp;IF(YEAR(7:7)&gt;YEAR(TODAY()),"E",IF(AND(YEAR(7:7)=YEAR(TODAY()),MONTH(7:7)&gt;MONTH(TODAY())),"E",IF(AND(YEAR(7:7)=YEAR(TODAY()),MONTH(7:7)=MONTH(TODAY()),DAY(7:7)&lt;30),"E","A")))</f>
        <v>Q4A</v>
      </c>
      <c r="AG8" s="57"/>
      <c r="AH8" s="67" t="str">
        <f>"Q1"&amp;IF(YEAR(7:7)&gt;YEAR(TODAY()),"E",IF(AND(YEAR(7:7)=YEAR(TODAY()),MONTH(7:7)&gt;MONTH(TODAY())),"E",IF(AND(YEAR(7:7)=YEAR(TODAY()),MONTH(7:7)=MONTH(TODAY()),DAY(7:7)&lt;30),"E","A")))</f>
        <v>Q1A</v>
      </c>
      <c r="AI8" s="67" t="str">
        <f>"Q2"&amp;IF(YEAR(7:7)&gt;YEAR(TODAY()),"E",IF(AND(YEAR(7:7)=YEAR(TODAY()),MONTH(7:7)&gt;MONTH(TODAY())),"E",IF(AND(YEAR(7:7)=YEAR(TODAY()),MONTH(7:7)=MONTH(TODAY()),DAY(7:7)&lt;30),"E","A")))</f>
        <v>Q2A</v>
      </c>
      <c r="AJ8" s="67" t="str">
        <f>"Q3"&amp;IF(YEAR(7:7)&gt;YEAR(TODAY()),"E",IF(AND(YEAR(7:7)=YEAR(TODAY()),MONTH(7:7)&gt;MONTH(TODAY())),"E",IF(AND(YEAR(7:7)=YEAR(TODAY()),MONTH(7:7)=MONTH(TODAY()),DAY(7:7)&lt;30),"E","A")))</f>
        <v>Q3A</v>
      </c>
      <c r="AK8" s="67" t="str">
        <f>"Q4"&amp;IF(YEAR(7:7)&gt;YEAR(TODAY()),"E",IF(AND(YEAR(7:7)=YEAR(TODAY()),MONTH(7:7)&gt;MONTH(TODAY())),"E",IF(AND(YEAR(7:7)=YEAR(TODAY()),MONTH(7:7)=MONTH(TODAY()),DAY(7:7)&lt;30),"E","A")))</f>
        <v>Q4A</v>
      </c>
      <c r="AL8" s="57"/>
      <c r="AM8" s="67" t="str">
        <f>"Q1"&amp;IF(YEAR(7:7)&gt;YEAR(TODAY()),"E",IF(AND(YEAR(7:7)=YEAR(TODAY()),MONTH(7:7)&gt;MONTH(TODAY())),"E",IF(AND(YEAR(7:7)=YEAR(TODAY()),MONTH(7:7)=MONTH(TODAY()),DAY(7:7)&lt;30),"A","A")))</f>
        <v>Q1A</v>
      </c>
      <c r="AN8" s="67" t="str">
        <f>"Q2"&amp;IF(YEAR(7:7)&gt;YEAR(TODAY()),"E",IF(AND(YEAR(7:7)=YEAR(TODAY()),MONTH(7:7)&gt;MONTH(TODAY())),"E",IF(AND(YEAR(7:7)=YEAR(TODAY()),MONTH(7:7)=MONTH(TODAY()),DAY(7:7)&lt;30),"E","A")))</f>
        <v>Q2A</v>
      </c>
      <c r="AO8" s="67" t="str">
        <f>"Q3"&amp;IF(YEAR(7:7)&gt;YEAR(TODAY()),"E",IF(AND(YEAR(7:7)=YEAR(TODAY()),MONTH(7:7)&gt;MONTH(TODAY())),"E",IF(AND(YEAR(7:7)=YEAR(TODAY()),MONTH(7:7)=MONTH(TODAY()),DAY(7:7)&lt;30),"E","A")))</f>
        <v>Q3A</v>
      </c>
      <c r="AP8" s="67" t="str">
        <f>"Q4"&amp;IF(YEAR(7:7)&gt;YEAR(TODAY()),"E",IF(AND(YEAR(7:7)=YEAR(TODAY()),MONTH(7:7)&gt;MONTH(TODAY())),"E",IF(AND(YEAR(7:7)=YEAR(TODAY()),MONTH(7:7)=MONTH(TODAY()),DAY(7:7)&lt;30),"E","A")))</f>
        <v>Q4A</v>
      </c>
      <c r="AQ8" s="57"/>
      <c r="AR8" s="67" t="str">
        <f>"Q1"&amp;IF(YEAR(7:7)&gt;YEAR(TODAY()),"E",IF(AND(YEAR(7:7)=YEAR(TODAY()),MONTH(7:7)&gt;MONTH(TODAY())),"E",IF(AND(YEAR(7:7)=YEAR(TODAY()),MONTH(7:7)=MONTH(TODAY()),DAY(7:7)&lt;30),"E","A")))</f>
        <v>Q1A</v>
      </c>
      <c r="AS8" s="67" t="str">
        <f>"Q2"&amp;IF(YEAR(7:7)&gt;YEAR(TODAY()),"E",IF(AND(YEAR(7:7)=YEAR(TODAY()),MONTH(7:7)&gt;MONTH(TODAY())),"E",IF(AND(YEAR(7:7)=YEAR(TODAY()),MONTH(7:7)=MONTH(TODAY()),DAY(7:7)&lt;30),"E","A")))</f>
        <v>Q2A</v>
      </c>
      <c r="AT8" s="67" t="str">
        <f>"Q3"&amp;IF(YEAR(7:7)&gt;YEAR(TODAY()),"E",IF(AND(YEAR(7:7)=YEAR(TODAY()),MONTH(7:7)&gt;MONTH(TODAY())),"E",IF(AND(YEAR(7:7)=YEAR(TODAY()),MONTH(7:7)=MONTH(TODAY()),DAY(7:7)&lt;30),"E","A")))</f>
        <v>Q3A</v>
      </c>
      <c r="AU8" s="67" t="str">
        <f>"Q4"&amp;IF(YEAR(7:7)&gt;YEAR(TODAY()),"E",IF(AND(YEAR(7:7)=YEAR(TODAY()),MONTH(7:7)&gt;MONTH(TODAY())),"E",IF(AND(YEAR(7:7)=YEAR(TODAY()),MONTH(7:7)=MONTH(TODAY()),DAY(7:7)&lt;30),"E","A")))</f>
        <v>Q4A</v>
      </c>
      <c r="AV8" s="57"/>
      <c r="AW8" s="67" t="str">
        <f>"Q1"&amp;IF(YEAR(7:7)&gt;YEAR(TODAY()),"E",IF(AND(YEAR(7:7)=YEAR(TODAY()),MONTH(7:7)&gt;MONTH(TODAY())),"E",IF(AND(YEAR(7:7)=YEAR(TODAY()),MONTH(7:7)=MONTH(TODAY()),DAY(7:7)&lt;30),"E","A")))</f>
        <v>Q1A</v>
      </c>
      <c r="AX8" s="67" t="str">
        <f>"Q2"&amp;IF(YEAR(7:7)&gt;YEAR(TODAY()),"E",IF(AND(YEAR(7:7)=YEAR(TODAY()),MONTH(7:7)&gt;MONTH(TODAY())),"E",IF(AND(YEAR(7:7)=YEAR(TODAY()),MONTH(7:7)=MONTH(TODAY()),DAY(7:7)&lt;30),"E","A")))</f>
        <v>Q2A</v>
      </c>
      <c r="AY8" s="67" t="str">
        <f>"Q3"&amp;IF(YEAR(7:7)&gt;YEAR(TODAY()),"E",IF(AND(YEAR(7:7)=YEAR(TODAY()),MONTH(7:7)&gt;MONTH(TODAY())),"E",IF(AND(YEAR(7:7)=YEAR(TODAY()),MONTH(7:7)=MONTH(TODAY()),DAY(7:7)&lt;30),"E","A")))</f>
        <v>Q3A</v>
      </c>
      <c r="AZ8" s="67" t="str">
        <f>"Q4"&amp;IF(YEAR(7:7)&gt;YEAR(TODAY()),"E",IF(AND(YEAR(7:7)=YEAR(TODAY()),MONTH(7:7)&gt;MONTH(TODAY())),"E",IF(AND(YEAR(7:7)=YEAR(TODAY()),MONTH(7:7)=MONTH(TODAY()),DAY(7:7)&lt;30),"E","A")))</f>
        <v>Q4A</v>
      </c>
      <c r="BA8" s="57"/>
      <c r="BB8" s="67" t="str">
        <f>"Q1"&amp;IF(YEAR(7:7)&gt;YEAR(TODAY()),"E",IF(AND(YEAR(7:7)=YEAR(TODAY()),MONTH(7:7)&gt;MONTH(TODAY())),"E",IF(AND(YEAR(7:7)=YEAR(TODAY()),MONTH(7:7)=MONTH(TODAY()),DAY(7:7)&lt;30),"E","A")))</f>
        <v>Q1A</v>
      </c>
      <c r="BC8" s="67" t="str">
        <f>"Q2"&amp;IF(YEAR(7:7)&gt;YEAR(TODAY()),"E",IF(AND(YEAR(7:7)=YEAR(TODAY()),MONTH(7:7)&gt;MONTH(TODAY())),"E",IF(AND(YEAR(7:7)=YEAR(TODAY()),MONTH(7:7)=MONTH(TODAY()),DAY(7:7)&lt;30),"E","A")))</f>
        <v>Q2A</v>
      </c>
      <c r="BD8" s="67" t="str">
        <f>"Q3"&amp;IF(YEAR(7:7)&gt;YEAR(TODAY()),"E",IF(AND(YEAR(7:7)=YEAR(TODAY()),MONTH(7:7)&gt;MONTH(TODAY())),"E",IF(AND(YEAR(7:7)=YEAR(TODAY()),MONTH(7:7)=MONTH(TODAY()),DAY(7:7)&lt;30),"E","A")))</f>
        <v>Q3A</v>
      </c>
      <c r="BE8" s="67" t="str">
        <f>"Q4"&amp;IF(YEAR(7:7)&gt;YEAR(TODAY()),"E",IF(AND(YEAR(7:7)=YEAR(TODAY()),MONTH(7:7)&gt;MONTH(TODAY())),"E",IF(AND(YEAR(7:7)=YEAR(TODAY()),MONTH(7:7)=MONTH(TODAY()),DAY(7:7)&lt;30),"E","A")))</f>
        <v>Q4A</v>
      </c>
      <c r="BF8" s="57"/>
      <c r="BG8" s="67" t="str">
        <f>"Q1"&amp;IF(YEAR(7:7)&gt;YEAR(TODAY()),"E",IF(AND(YEAR(7:7)=YEAR(TODAY()),MONTH(7:7)&gt;MONTH(TODAY())),"E",IF(AND(YEAR(7:7)=YEAR(TODAY()),MONTH(7:7)=MONTH(TODAY()),DAY(7:7)&lt;30),"E","A")))</f>
        <v>Q1A</v>
      </c>
      <c r="BH8" s="67" t="str">
        <f>"Q2"&amp;IF(YEAR(7:7)&gt;YEAR(TODAY()),"E",IF(AND(YEAR(7:7)=YEAR(TODAY()),MONTH(7:7)&gt;MONTH(TODAY())),"E",IF(AND(YEAR(7:7)=YEAR(TODAY()),MONTH(7:7)=MONTH(TODAY()),DAY(7:7)&lt;30),"E","A")))</f>
        <v>Q2A</v>
      </c>
      <c r="BI8" s="67" t="str">
        <f>"Q3"&amp;IF(YEAR(7:7)&gt;YEAR(TODAY()),"E",IF(AND(YEAR(7:7)=YEAR(TODAY()),MONTH(7:7)&gt;MONTH(TODAY())),"E",IF(AND(YEAR(7:7)=YEAR(TODAY()),MONTH(7:7)=MONTH(TODAY()),DAY(7:7)&lt;30),"E","A")))</f>
        <v>Q3A</v>
      </c>
      <c r="BJ8" s="67" t="str">
        <f>"Q4"&amp;IF(YEAR(7:7)&gt;YEAR(TODAY()),"E",IF(AND(YEAR(7:7)=YEAR(TODAY()),MONTH(7:7)&gt;MONTH(TODAY())),"E",IF(AND(YEAR(7:7)=YEAR(TODAY()),MONTH(7:7)=MONTH(TODAY()),DAY(7:7)&lt;30),"E","A")))</f>
        <v>Q4A</v>
      </c>
      <c r="BK8" s="57"/>
      <c r="BL8" s="67" t="str">
        <f>"Q1"&amp;IF(YEAR(7:7)&gt;YEAR(TODAY()),"E",IF(AND(YEAR(7:7)=YEAR(TODAY()),MONTH(7:7)&gt;MONTH(TODAY())),"E",IF(AND(YEAR(7:7)=YEAR(TODAY()),MONTH(7:7)=MONTH(TODAY()),DAY(7:7)&lt;30),"E","A")))</f>
        <v>Q1A</v>
      </c>
      <c r="BM8" s="67" t="str">
        <f>"Q2"&amp;IF(YEAR(7:7)&gt;YEAR(TODAY()),"E",IF(AND(YEAR(7:7)=YEAR(TODAY()),MONTH(7:7)&gt;MONTH(TODAY())),"E",IF(AND(YEAR(7:7)=YEAR(TODAY()),MONTH(7:7)=MONTH(TODAY()),DAY(7:7)&lt;30),"E","A")))</f>
        <v>Q2A</v>
      </c>
      <c r="BN8" s="67" t="str">
        <f>"Q3"&amp;IF(YEAR(7:7)&gt;YEAR(TODAY()),"E",IF(AND(YEAR(7:7)=YEAR(TODAY()),MONTH(7:7)&gt;MONTH(TODAY())),"E",IF(AND(YEAR(7:7)=YEAR(TODAY()),MONTH(7:7)=MONTH(TODAY()),DAY(7:7)&lt;30),"E","A")))</f>
        <v>Q3A</v>
      </c>
      <c r="BO8" s="67" t="str">
        <f>"Q4"&amp;IF(YEAR(7:7)&gt;YEAR(TODAY()),"E",IF(AND(YEAR(7:7)=YEAR(TODAY()),MONTH(7:7)&gt;MONTH(TODAY())),"E",IF(AND(YEAR(7:7)=YEAR(TODAY()),MONTH(7:7)=MONTH(TODAY()),DAY(7:7)&lt;30),"E","A")))</f>
        <v>Q4A</v>
      </c>
      <c r="BP8" s="57"/>
      <c r="BQ8" s="67" t="str">
        <f>"Q1"&amp;IF(YEAR(7:7)&gt;YEAR(TODAY()),"E",IF(AND(YEAR(7:7)=YEAR(TODAY()),MONTH(7:7)&gt;MONTH(TODAY())),"E",IF(AND(YEAR(7:7)=YEAR(TODAY()),MONTH(7:7)=MONTH(TODAY()),DAY(7:7)&lt;30),"E","A")))</f>
        <v>Q1A</v>
      </c>
      <c r="BR8" s="67" t="str">
        <f>"Q2"&amp;IF(YEAR(7:7)&gt;YEAR(TODAY()),"E",IF(AND(YEAR(7:7)=YEAR(TODAY()),MONTH(7:7)&gt;MONTH(TODAY())),"E",IF(AND(YEAR(7:7)=YEAR(TODAY()),MONTH(7:7)=MONTH(TODAY()),DAY(7:7)&lt;30),"E","A")))</f>
        <v>Q2A</v>
      </c>
      <c r="BS8" s="67" t="str">
        <f>"Q3"&amp;IF(YEAR(7:7)&gt;YEAR(TODAY()),"E",IF(AND(YEAR(7:7)=YEAR(TODAY()),MONTH(7:7)&gt;MONTH(TODAY())),"E",IF(AND(YEAR(7:7)=YEAR(TODAY()),MONTH(7:7)=MONTH(TODAY()),DAY(7:7)&lt;30),"E","A")))</f>
        <v>Q3A</v>
      </c>
      <c r="BT8" s="67" t="str">
        <f>"Q4"&amp;IF(YEAR(7:7)&gt;YEAR(TODAY()),"E",IF(AND(YEAR(7:7)=YEAR(TODAY()),MONTH(7:7)&gt;MONTH(TODAY())),"E",IF(AND(YEAR(7:7)=YEAR(TODAY()),MONTH(7:7)=MONTH(TODAY()),DAY(7:7)&lt;30),"E","A")))</f>
        <v>Q4A</v>
      </c>
      <c r="BU8" s="57"/>
      <c r="BV8" s="67" t="str">
        <f>"Q1"&amp;IF(YEAR(7:7)&gt;YEAR(TODAY()),"E",IF(AND(YEAR(7:7)=YEAR(TODAY()),MONTH(7:7)&gt;MONTH(TODAY())),"E",IF(AND(YEAR(7:7)=YEAR(TODAY()),MONTH(7:7)=MONTH(TODAY()),DAY(7:7)&lt;30),"E","A")))</f>
        <v>Q1A</v>
      </c>
      <c r="BW8" s="68" t="str">
        <f>"Q2"&amp;IF(YEAR(7:7)&gt;YEAR(TODAY()),"E",IF(AND(YEAR(7:7)=YEAR(TODAY()),MONTH(7:7)&gt;MONTH(TODAY())),"E",IF(AND(YEAR(7:7)=YEAR(TODAY()),MONTH(7:7)=MONTH(TODAY()),DAY(7:7)&lt;30),"E","A")))</f>
        <v>Q2A</v>
      </c>
      <c r="BX8" s="67" t="str">
        <f>"Q3"&amp;IF(YEAR(7:7)&gt;YEAR(TODAY()),"E",IF(AND(YEAR(7:7)=YEAR(TODAY()),MONTH(7:7)&gt;MONTH(TODAY())),"E",IF(AND(YEAR(7:7)=YEAR(TODAY()),MONTH(7:7)=MONTH(TODAY()),DAY(7:7)&lt;30),"E","A")))</f>
        <v>Q3A</v>
      </c>
      <c r="BY8" s="67" t="str">
        <f>"Q4"&amp;IF(YEAR(7:7)&gt;YEAR(TODAY()),"E",IF(AND(YEAR(7:7)=YEAR(TODAY()),MONTH(7:7)&gt;MONTH(TODAY())),"E",IF(AND(YEAR(7:7)=YEAR(TODAY()),MONTH(7:7)=MONTH(TODAY()),DAY(7:7)&lt;30),"E","A")))</f>
        <v>Q4A</v>
      </c>
      <c r="BZ8" s="69"/>
      <c r="CA8" s="67" t="str">
        <f>"Q1"&amp;IF(YEAR(7:7)&gt;YEAR(TODAY()),"E",IF(AND(YEAR(7:7)=YEAR(TODAY()),MONTH(7:7)&gt;MONTH(TODAY())),"E",IF(AND(YEAR(7:7)=YEAR(TODAY()),MONTH(7:7)=MONTH(TODAY()),DAY(7:7)&lt;30),"E","A")))</f>
        <v>Q1A</v>
      </c>
      <c r="CB8" s="67" t="str">
        <f>"Q2"&amp;IF(YEAR(7:7)&gt;YEAR(TODAY()),"E",IF(AND(YEAR(7:7)=YEAR(TODAY()),MONTH(7:7)&gt;MONTH(TODAY())),"E",IF(AND(YEAR(7:7)=YEAR(TODAY()),MONTH(7:7)=MONTH(TODAY()),DAY(7:7)&lt;30),"E","A")))</f>
        <v>Q2A</v>
      </c>
      <c r="CC8" s="67" t="str">
        <f>"Q3"&amp;IF(YEAR(7:7)&gt;YEAR(TODAY()),"E",IF(AND(YEAR(7:7)=YEAR(TODAY()),MONTH(7:7)&gt;MONTH(TODAY())),"E",IF(AND(YEAR(7:7)=YEAR(TODAY()),MONTH(7:7)=MONTH(TODAY()),DAY(7:7)&lt;30),"E","A")))</f>
        <v>Q3A</v>
      </c>
      <c r="CD8" s="67" t="str">
        <f>"Q4"&amp;IF(YEAR(7:7)&gt;YEAR(TODAY()),"E",IF(AND(YEAR(7:7)=YEAR(TODAY()),MONTH(7:7)&gt;MONTH(TODAY())),"E",IF(AND(YEAR(7:7)=YEAR(TODAY()),MONTH(7:7)=MONTH(TODAY()),DAY(7:7)&lt;30),"E","A")))</f>
        <v>Q4A</v>
      </c>
      <c r="CE8" s="58"/>
      <c r="CF8" s="67" t="str">
        <f>"Q1"&amp;IF(YEAR(7:7)&gt;YEAR(TODAY()),"E",IF(AND(YEAR(7:7)=YEAR(TODAY()),MONTH(7:7)&gt;MONTH(TODAY())),"E",IF(AND(YEAR(7:7)=YEAR(TODAY()),MONTH(7:7)=MONTH(TODAY()),DAY(7:7)&lt;30),"E","A")))</f>
        <v>Q1A</v>
      </c>
      <c r="CG8" s="67" t="str">
        <f>"Q2"&amp;IF(YEAR(7:7)&gt;YEAR(TODAY()),"E",IF(AND(YEAR(7:7)=YEAR(TODAY()),MONTH(7:7)&gt;MONTH(TODAY())),"E",IF(AND(YEAR(7:7)=YEAR(TODAY()),MONTH(7:7)=MONTH(TODAY()),DAY(7:7)&lt;30),"E","A")))</f>
        <v>Q2A</v>
      </c>
      <c r="CH8" s="67" t="str">
        <f>"Q3"&amp;IF(YEAR(7:7)&gt;YEAR(TODAY()),"E",IF(AND(YEAR(7:7)=YEAR(TODAY()),MONTH(7:7)&gt;MONTH(TODAY())),"E",IF(AND(YEAR(7:7)=YEAR(TODAY()),MONTH(7:7)=MONTH(TODAY()),DAY(7:7)&lt;30),"E","A")))</f>
        <v>Q3A</v>
      </c>
      <c r="CI8" s="67" t="str">
        <f>"Q4"&amp;IF(YEAR(7:7)&gt;YEAR(TODAY()),"E",IF(AND(YEAR(7:7)=YEAR(TODAY()),MONTH(7:7)&gt;MONTH(TODAY())),"E",IF(AND(YEAR(7:7)=YEAR(TODAY()),MONTH(7:7)=MONTH(TODAY()),DAY(7:7)&lt;30),"E","A")))</f>
        <v>Q4A</v>
      </c>
      <c r="CJ8" s="58"/>
      <c r="CK8" s="67" t="str">
        <f>"Q1"&amp;IF(YEAR(7:7)&gt;YEAR(TODAY()),"E",IF(AND(YEAR(7:7)=YEAR(TODAY()),MONTH(7:7)&gt;MONTH(TODAY())),"E",IF(AND(YEAR(7:7)=YEAR(TODAY()),MONTH(7:7)=MONTH(TODAY()),DAY(7:7)&lt;30),"E","A")))</f>
        <v>Q1A</v>
      </c>
      <c r="CL8" s="67" t="str">
        <f>"Q2"&amp;IF(YEAR(7:7)&gt;YEAR(TODAY()),"E",IF(AND(YEAR(7:7)=YEAR(TODAY()),MONTH(7:7)&gt;MONTH(TODAY())),"E",IF(AND(YEAR(7:7)=YEAR(TODAY()),MONTH(7:7)=MONTH(TODAY()),DAY(7:7)&lt;30),"E","A")))</f>
        <v>Q2A</v>
      </c>
      <c r="CM8" s="67" t="str">
        <f>"Q3"&amp;IF(YEAR(7:7)&gt;YEAR(TODAY()),"E",IF(AND(YEAR(7:7)=YEAR(TODAY()),MONTH(7:7)&gt;MONTH(TODAY())),"E",IF(AND(YEAR(7:7)=YEAR(TODAY()),MONTH(7:7)=MONTH(TODAY()),DAY(7:7)&lt;30),"E","A")))</f>
        <v>Q3A</v>
      </c>
      <c r="CN8" s="70" t="s">
        <v>11</v>
      </c>
      <c r="CO8" s="58"/>
      <c r="CP8" s="70" t="str">
        <f>"Q1"&amp;IF(YEAR(7:7)&gt;YEAR(TODAY()),"E",IF(AND(YEAR(7:7)=YEAR(TODAY()),MONTH(7:7)&gt;MONTH(TODAY())),"E",IF(AND(YEAR(7:7)=YEAR(TODAY()),MONTH(7:7)=MONTH(TODAY()),DAY(7:7)&lt;30),"E","A")))</f>
        <v>Q1A</v>
      </c>
      <c r="CQ8" s="67" t="str">
        <f>"Q2"&amp;IF(YEAR(7:7)&gt;YEAR(TODAY()),"E",IF(AND(YEAR(7:7)=YEAR(TODAY()),MONTH(7:7)&gt;MONTH(TODAY())),"E",IF(AND(YEAR(7:7)=YEAR(TODAY()),MONTH(7:7)=MONTH(TODAY()),DAY(7:7)&lt;30),"E","A")))</f>
        <v>Q2A</v>
      </c>
      <c r="CR8" s="67" t="str">
        <f>"Q3"&amp;IF(YEAR(7:7)&gt;YEAR(TODAY()),"E",IF(AND(YEAR(7:7)=YEAR(TODAY()),MONTH(7:7)&gt;MONTH(TODAY())),"E",IF(AND(YEAR(7:7)=YEAR(TODAY()),MONTH(7:7)=MONTH(TODAY()),DAY(7:7)&lt;30),"E","A")))</f>
        <v>Q3A</v>
      </c>
      <c r="CS8" s="67" t="str">
        <f>"Q4"&amp;IF(YEAR(7:7)&gt;YEAR(TODAY()),"E",IF(AND(YEAR(7:7)=YEAR(TODAY()),MONTH(7:7)&gt;MONTH(TODAY())),"E",IF(AND(YEAR(7:7)=YEAR(TODAY()),MONTH(7:7)=MONTH(TODAY()),DAY(7:7)&lt;30),"E","A")))</f>
        <v>Q4A</v>
      </c>
      <c r="CT8" s="58"/>
      <c r="CU8" s="67" t="str">
        <f>"Q1"&amp;IF(YEAR(7:7)&gt;YEAR(TODAY()),"E",IF(AND(YEAR(7:7)=YEAR(TODAY()),MONTH(7:7)&gt;MONTH(TODAY())),"E",IF(AND(YEAR(7:7)=YEAR(TODAY()),MONTH(7:7)=MONTH(TODAY()),DAY(7:7)&lt;30),"E","A")))</f>
        <v>Q1A</v>
      </c>
      <c r="CV8" s="67" t="str">
        <f>"Q2"&amp;IF(YEAR(7:7)&gt;YEAR(TODAY()),"E",IF(AND(YEAR(7:7)=YEAR(TODAY()),MONTH(7:7)&gt;MONTH(TODAY())),"E",IF(AND(YEAR(7:7)=YEAR(TODAY()),MONTH(7:7)=MONTH(TODAY()),DAY(7:7)&lt;30),"E","A")))</f>
        <v>Q2A</v>
      </c>
      <c r="CW8" s="67" t="str">
        <f>"Q3"&amp;IF(YEAR(7:7)&gt;YEAR(TODAY()),"E",IF(AND(YEAR(7:7)=YEAR(TODAY()),MONTH(7:7)&gt;MONTH(TODAY())),"E",IF(AND(YEAR(7:7)=YEAR(TODAY()),MONTH(7:7)=MONTH(TODAY()),DAY(7:7)&lt;30),"E","A")))</f>
        <v>Q3A</v>
      </c>
      <c r="CX8" s="67" t="str">
        <f>"Q4"&amp;IF(YEAR(7:7)&gt;YEAR(TODAY()),"E",IF(AND(YEAR(7:7)=YEAR(TODAY()),MONTH(7:7)&gt;MONTH(TODAY())),"E",IF(AND(YEAR(7:7)=YEAR(TODAY()),MONTH(7:7)=MONTH(TODAY()),DAY(7:7)&lt;30),"E","A")))</f>
        <v>Q4A</v>
      </c>
      <c r="CY8" s="58"/>
      <c r="CZ8" s="67" t="str">
        <f>"Q1"&amp;IF(YEAR(7:7)&gt;YEAR(TODAY()),"E",IF(AND(YEAR(7:7)=YEAR(TODAY()),MONTH(7:7)&gt;MONTH(TODAY())),"E",IF(AND(YEAR(7:7)=YEAR(TODAY()),MONTH(7:7)=MONTH(TODAY()),DAY(7:7)&lt;30),"E","A")))</f>
        <v>Q1A</v>
      </c>
      <c r="DA8" s="67" t="str">
        <f>"Q2"&amp;IF(YEAR(7:7)&gt;YEAR(TODAY()),"E",IF(AND(YEAR(7:7)=YEAR(TODAY()),MONTH(7:7)&gt;MONTH(TODAY())),"E",IF(AND(YEAR(7:7)=YEAR(TODAY()),MONTH(7:7)=MONTH(TODAY()),DAY(7:7)&lt;30),"E","A")))</f>
        <v>Q2A</v>
      </c>
      <c r="DB8" s="67" t="str">
        <f>"Q3"&amp;IF(YEAR(7:7)&gt;YEAR(TODAY()),"E",IF(AND(YEAR(7:7)=YEAR(TODAY()),MONTH(7:7)&gt;MONTH(TODAY())),"E",IF(AND(YEAR(7:7)=YEAR(TODAY()),MONTH(7:7)=MONTH(TODAY()),DAY(7:7)&lt;30),"E","A")))</f>
        <v>Q3A</v>
      </c>
      <c r="DC8" s="67" t="str">
        <f>"Q4"&amp;IF(YEAR(7:7)&gt;YEAR(TODAY()),"E",IF(AND(YEAR(7:7)=YEAR(TODAY()),MONTH(7:7)&gt;MONTH(TODAY())),"E",IF(AND(YEAR(7:7)=YEAR(TODAY()),MONTH(7:7)=MONTH(TODAY()),DAY(7:7)&lt;30),"E","A")))</f>
        <v>Q4A</v>
      </c>
      <c r="DD8" s="58"/>
      <c r="DE8" s="67" t="str">
        <f>"Q1"&amp;IF(YEAR(7:7)&gt;YEAR(TODAY()),"E",IF(AND(YEAR(7:7)=YEAR(TODAY()),MONTH(7:7)&gt;MONTH(TODAY())),"E",IF(AND(YEAR(7:7)=YEAR(TODAY()),MONTH(7:7)=MONTH(TODAY()),DAY(7:7)&lt;30),"E","A")))</f>
        <v>Q1A</v>
      </c>
      <c r="DF8" s="67" t="str">
        <f>"Q2"&amp;IF(YEAR(7:7)&gt;YEAR(TODAY()),"E",IF(AND(YEAR(7:7)=YEAR(TODAY()),MONTH(7:7)&gt;MONTH(TODAY())),"E",IF(AND(YEAR(7:7)=YEAR(TODAY()),MONTH(7:7)=MONTH(TODAY()),DAY(7:7)&lt;30),"E","A")))</f>
        <v>Q2A</v>
      </c>
      <c r="DG8" s="70" t="str">
        <f>"Q3"&amp;IF(YEAR(7:7)&gt;YEAR(TODAY()),"E",IF(AND(YEAR(7:7)=YEAR(TODAY()),MONTH(7:7)&gt;MONTH(TODAY())),"E",IF(AND(YEAR(7:7)=YEAR(TODAY()),MONTH(7:7)=MONTH(TODAY()),DAY(7:7)&lt;30),"E","A")))</f>
        <v>Q3A</v>
      </c>
      <c r="DH8" s="67" t="str">
        <f>"Q4"&amp;IF(YEAR(7:7)&gt;YEAR(TODAY()),"E",IF(AND(YEAR(7:7)=YEAR(TODAY()),MONTH(7:7)&gt;MONTH(TODAY())),"E",IF(AND(YEAR(7:7)=YEAR(TODAY()),MONTH(7:7)=MONTH(TODAY()),DAY(7:7)&lt;30),"E","A")))</f>
        <v>Q4A</v>
      </c>
      <c r="DI8" s="58"/>
      <c r="DJ8" s="70" t="str">
        <f>"Q1"&amp;IF(YEAR(7:7)&gt;YEAR(TODAY()),"E",IF(AND(YEAR(7:7)=YEAR(TODAY()),MONTH(7:7)&gt;MONTH(TODAY())),"E",IF(AND(YEAR(7:7)=YEAR(TODAY()),MONTH(7:7)=MONTH(TODAY()),DAY(7:7)&lt;30),"E","A")))</f>
        <v>Q1A</v>
      </c>
      <c r="DK8" s="70" t="str">
        <f>"Q2"&amp;IF(YEAR(7:7)&gt;YEAR(TODAY()),"E",IF(AND(YEAR(7:7)=YEAR(TODAY()),MONTH(7:7)&gt;MONTH(TODAY())),"E",IF(AND(YEAR(7:7)=YEAR(TODAY()),MONTH(7:7)=MONTH(TODAY()),DAY(7:7)&lt;30),"E","A")))</f>
        <v>Q2A</v>
      </c>
      <c r="DL8" s="70" t="str">
        <f>"Q3"&amp;IF(YEAR(7:7)&gt;YEAR(TODAY()),"E",IF(AND(YEAR(7:7)=YEAR(TODAY()),MONTH(7:7)&gt;MONTH(TODAY())),"E",IF(AND(YEAR(7:7)=YEAR(TODAY()),MONTH(7:7)=MONTH(TODAY()),DAY(7:7)&lt;30),"E","A")))</f>
        <v>Q3A</v>
      </c>
      <c r="DM8" s="70" t="str">
        <f>"Q4"&amp;IF(YEAR(7:7)&gt;YEAR(TODAY()),"E",IF(AND(YEAR(7:7)=YEAR(TODAY()),MONTH(7:7)&gt;MONTH(TODAY())),"E",IF(AND(YEAR(7:7)=YEAR(TODAY()),MONTH(7:7)=MONTH(TODAY()),DAY(7:7)&lt;30),"E","A")))</f>
        <v>Q4A</v>
      </c>
      <c r="DN8" s="58"/>
      <c r="DO8" s="70" t="str">
        <f>"Q1"&amp;IF(YEAR(7:7)&gt;YEAR(TODAY()),"E",IF(AND(YEAR(7:7)=YEAR(TODAY()),MONTH(7:7)&gt;MONTH(TODAY())),"E",IF(AND(YEAR(7:7)=YEAR(TODAY()),MONTH(7:7)=MONTH(TODAY()),DAY(7:7)&lt;30),"E","A")))</f>
        <v>Q1A</v>
      </c>
      <c r="DP8" s="70" t="str">
        <f>"Q2"&amp;IF(YEAR(7:7)&gt;YEAR(TODAY()),"E",IF(AND(YEAR(7:7)=YEAR(TODAY()),MONTH(7:7)&gt;MONTH(TODAY())),"E",IF(AND(YEAR(7:7)=YEAR(TODAY()),MONTH(7:7)=MONTH(TODAY()),DAY(7:7)&lt;30),"E","A")))</f>
        <v>Q2A</v>
      </c>
      <c r="DQ8" s="70" t="str">
        <f>"Q3"&amp;IF(YEAR(7:7)&gt;YEAR(TODAY()),"E",IF(AND(YEAR(7:7)=YEAR(TODAY()),MONTH(7:7)&gt;MONTH(TODAY())),"E",IF(AND(YEAR(7:7)=YEAR(TODAY()),MONTH(7:7)=MONTH(TODAY()),DAY(7:7)&lt;30),"E","A")))</f>
        <v>Q3A</v>
      </c>
      <c r="DR8" s="70" t="str">
        <f>"Q4"&amp;IF(YEAR(7:7)&gt;YEAR(TODAY()),"E",IF(AND(YEAR(7:7)=YEAR(TODAY()),MONTH(7:7)&gt;MONTH(TODAY())),"E",IF(AND(YEAR(7:7)=YEAR(TODAY()),MONTH(7:7)=MONTH(TODAY()),DAY(7:7)&lt;30),"E","A")))</f>
        <v>Q4A</v>
      </c>
      <c r="DS8" s="58"/>
      <c r="DT8" s="70" t="str">
        <f>"Q1"&amp;IF(YEAR(7:7)&gt;YEAR(TODAY()),"E",IF(AND(YEAR(7:7)=YEAR(TODAY()),MONTH(7:7)&gt;MONTH(TODAY())),"E",IF(AND(YEAR(7:7)=YEAR(TODAY()),MONTH(7:7)=MONTH(TODAY()),DAY(7:7)&lt;30),"E","A")))</f>
        <v>Q1A</v>
      </c>
      <c r="DU8" s="70" t="str">
        <f>"Q2"&amp;IF(YEAR(7:7)&gt;YEAR(TODAY()),"E",IF(AND(YEAR(7:7)=YEAR(TODAY()),MONTH(7:7)&gt;MONTH(TODAY())),"E",IF(AND(YEAR(7:7)=YEAR(TODAY()),MONTH(7:7)=MONTH(TODAY()),DAY(7:7)&lt;30),"E","A")))</f>
        <v>Q2A</v>
      </c>
      <c r="DV8" s="70" t="str">
        <f>"Q3"&amp;IF(YEAR(7:7)&gt;YEAR(TODAY()),"E",IF(AND(YEAR(7:7)=YEAR(TODAY()),MONTH(7:7)&gt;MONTH(TODAY())),"E",IF(AND(YEAR(7:7)=YEAR(TODAY()),MONTH(7:7)=MONTH(TODAY()),DAY(7:7)&lt;30),"E","A")))</f>
        <v>Q3A</v>
      </c>
      <c r="DW8" s="70" t="str">
        <f>"Q4"&amp;IF(YEAR(7:7)&gt;YEAR(TODAY()),"E",IF(AND(YEAR(7:7)=YEAR(TODAY()),MONTH(7:7)&gt;MONTH(TODAY())),"E",IF(AND(YEAR(7:7)=YEAR(TODAY()),MONTH(7:7)=MONTH(TODAY()),DAY(7:7)&lt;30),"E","A")))</f>
        <v>Q4A</v>
      </c>
      <c r="DX8" s="58"/>
      <c r="DY8" s="70" t="str">
        <f>"Q1"&amp;IF(YEAR(7:7)&gt;YEAR(TODAY()),"E",IF(AND(YEAR(7:7)=YEAR(TODAY()),MONTH(7:7)&gt;MONTH(TODAY())),"E",IF(AND(YEAR(7:7)=YEAR(TODAY()),MONTH(7:7)=MONTH(TODAY()),DAY(7:7)&lt;30),"E","A")))</f>
        <v>Q1A</v>
      </c>
      <c r="DZ8" s="70" t="str">
        <f>"Q2"&amp;IF(YEAR(7:7)&gt;YEAR(TODAY()),"E",IF(AND(YEAR(7:7)=YEAR(TODAY()),MONTH(7:7)&gt;MONTH(TODAY())),"E",IF(AND(YEAR(7:7)=YEAR(TODAY()),MONTH(7:7)=MONTH(TODAY()),DAY(7:7)&lt;30),"E","A")))</f>
        <v>Q2A</v>
      </c>
      <c r="EA8" s="70" t="str">
        <f>"Q3"&amp;IF(YEAR(7:7)&gt;YEAR(TODAY()),"E",IF(AND(YEAR(7:7)=YEAR(TODAY()),MONTH(7:7)&gt;MONTH(TODAY())),"E",IF(AND(YEAR(7:7)=YEAR(TODAY()),MONTH(7:7)=MONTH(TODAY()),DAY(7:7)&lt;30),"E","A")))</f>
        <v>Q3A</v>
      </c>
      <c r="EB8" s="70" t="str">
        <f>"Q4"&amp;IF(YEAR(7:7)&gt;YEAR(TODAY()),"E",IF(AND(YEAR(7:7)=YEAR(TODAY()),MONTH(7:7)&gt;MONTH(TODAY())),"E",IF(AND(YEAR(7:7)=YEAR(TODAY()),MONTH(7:7)=MONTH(TODAY()),DAY(7:7)&lt;30),"E","A")))</f>
        <v>Q4A</v>
      </c>
      <c r="EC8" s="58"/>
      <c r="ED8" s="70" t="str">
        <f>"Q1"&amp;IF(YEAR(7:7)&gt;YEAR(TODAY()),"E",IF(AND(YEAR(7:7)=YEAR(TODAY()),MONTH(7:7)&gt;MONTH(TODAY())),"E",IF(AND(YEAR(7:7)=YEAR(TODAY()),MONTH(7:7)=MONTH(TODAY()),DAY(7:7)&lt;30),"E","A")))</f>
        <v>Q1A</v>
      </c>
      <c r="EE8" s="70" t="str">
        <f>"Q2"&amp;IF(YEAR(7:7)&gt;YEAR(TODAY()),"E",IF(AND(YEAR(7:7)=YEAR(TODAY()),MONTH(7:7)&gt;MONTH(TODAY())),"E",IF(AND(YEAR(7:7)=YEAR(TODAY()),MONTH(7:7)=MONTH(TODAY()),DAY(7:7)&lt;30),"E","A")))</f>
        <v>Q2A</v>
      </c>
      <c r="EF8" s="70" t="str">
        <f>"Q3"&amp;IF(YEAR(7:7)&gt;YEAR(TODAY()),"E",IF(AND(YEAR(7:7)=YEAR(TODAY()),MONTH(7:7)&gt;MONTH(TODAY())),"E",IF(AND(YEAR(7:7)=YEAR(TODAY()),MONTH(7:7)=MONTH(TODAY()),DAY(7:7)&lt;30),"E","A")))</f>
        <v>Q3A</v>
      </c>
      <c r="EG8" s="70" t="str">
        <f>"Q4"&amp;IF(YEAR(7:7)&gt;YEAR(TODAY()),"E",IF(AND(YEAR(7:7)=YEAR(TODAY()),MONTH(7:7)&gt;MONTH(TODAY())),"E",IF(AND(YEAR(7:7)=YEAR(TODAY()),MONTH(7:7)=MONTH(TODAY()),DAY(7:7)&lt;30),"E","A")))</f>
        <v>Q4A</v>
      </c>
      <c r="EH8" s="58"/>
      <c r="EI8" s="71" t="str">
        <f>"Q1"&amp;IF(YEAR(7:7)&gt;YEAR(TODAY()),"E",IF(AND(YEAR(7:7)=YEAR(TODAY()),MONTH(7:7)&gt;MONTH(TODAY())),"E",IF(AND(YEAR(7:7)=YEAR(TODAY()),MONTH(7:7)=MONTH(TODAY()),DAY(7:7)&lt;30),"E","A")))</f>
        <v>Q1A</v>
      </c>
      <c r="EJ8" s="67" t="str">
        <f>"Q2"&amp;IF(YEAR(7:7)&gt;YEAR(TODAY()),"E",IF(AND(YEAR(7:7)=YEAR(TODAY()),MONTH(7:7)&gt;MONTH(TODAY())),"E",IF(AND(YEAR(7:7)=YEAR(TODAY()),MONTH(7:7)=MONTH(TODAY()),DAY(7:7)&lt;30),"E","A")))</f>
        <v>Q2A</v>
      </c>
      <c r="EK8" s="67" t="str">
        <f>"Q3"&amp;IF(YEAR(7:7)&gt;YEAR(TODAY()),"E",IF(AND(YEAR(7:7)=YEAR(TODAY()),MONTH(7:7)&gt;MONTH(TODAY())),"E",IF(AND(YEAR(7:7)=YEAR(TODAY()),MONTH(7:7)=MONTH(TODAY()),DAY(7:7)&lt;30),"E","A")))</f>
        <v>Q3A</v>
      </c>
      <c r="EL8" s="67" t="str">
        <f>"Q4"&amp;IF(YEAR(7:7)&gt;YEAR(TODAY()),"E",IF(AND(YEAR(7:7)=YEAR(TODAY()),MONTH(7:7)&gt;MONTH(TODAY())),"E",IF(AND(YEAR(7:7)=YEAR(TODAY()),MONTH(7:7)=MONTH(TODAY()),DAY(7:7)&lt;30),"E","A")))</f>
        <v>Q4A</v>
      </c>
      <c r="EM8" s="58"/>
      <c r="EN8" s="67" t="str">
        <f>"Q1"&amp;IF(YEAR(7:7)&gt;YEAR(TODAY()),"E",IF(AND(YEAR(7:7)=YEAR(TODAY()),MONTH(7:7)&gt;MONTH(TODAY())),"E",IF(AND(YEAR(7:7)=YEAR(TODAY()),MONTH(7:7)=MONTH(TODAY()),DAY(7:7)&lt;30),"E","A")))</f>
        <v>Q1A</v>
      </c>
      <c r="EO8" s="67" t="str">
        <f>"Q2"&amp;IF(YEAR(7:7)&gt;YEAR(TODAY()),"E",IF(AND(YEAR(7:7)=YEAR(TODAY()),MONTH(7:7)&gt;MONTH(TODAY())),"E",IF(AND(YEAR(7:7)=YEAR(TODAY()),MONTH(7:7)=MONTH(TODAY()),DAY(7:7)&lt;30),"E","A")))</f>
        <v>Q2A</v>
      </c>
      <c r="EP8" s="67" t="str">
        <f>"Q3"&amp;IF(YEAR(7:7)&gt;YEAR(TODAY()),"E",IF(AND(YEAR(7:7)=YEAR(TODAY()),MONTH(7:7)&gt;MONTH(TODAY())),"E",IF(AND(YEAR(7:7)=YEAR(TODAY()),MONTH(7:7)=MONTH(TODAY()),DAY(7:7)&lt;30),"E","A")))</f>
        <v>Q3A</v>
      </c>
      <c r="EQ8" s="67" t="str">
        <f>"Q4"&amp;IF(YEAR(7:7)&gt;YEAR(TODAY()),"E",IF(AND(YEAR(7:7)=YEAR(TODAY()),MONTH(7:7)&gt;MONTH(TODAY())),"E",IF(AND(YEAR(7:7)=YEAR(TODAY()),MONTH(7:7)=MONTH(TODAY()),DAY(7:7)&lt;30),"E","A")))</f>
        <v>Q4A</v>
      </c>
      <c r="ER8" s="58"/>
      <c r="ES8" s="67" t="str">
        <f>"Q1"&amp;IF(YEAR(7:7)&gt;YEAR(TODAY()),"E",IF(AND(YEAR(7:7)=YEAR(TODAY()),MONTH(7:7)&gt;MONTH(TODAY())),"E",IF(AND(YEAR(7:7)=YEAR(TODAY()),MONTH(7:7)=MONTH(TODAY()),DAY(7:7)&lt;30),"E","A")))</f>
        <v>Q1A</v>
      </c>
      <c r="ET8" s="67" t="str">
        <f>"Q2"&amp;IF(YEAR(7:7)&gt;YEAR(TODAY()),"E",IF(AND(YEAR(7:7)=YEAR(TODAY()),MONTH(7:7)&gt;MONTH(TODAY())),"E",IF(AND(YEAR(7:7)=YEAR(TODAY()),MONTH(7:7)=MONTH(TODAY()),DAY(7:7)&lt;30),"E","A")))</f>
        <v>Q2A</v>
      </c>
      <c r="EU8" s="67" t="str">
        <f>"Q3"&amp;IF(YEAR(7:7)&gt;YEAR(TODAY()),"E",IF(AND(YEAR(7:7)=YEAR(TODAY()),MONTH(7:7)&gt;MONTH(TODAY())),"E",IF(AND(YEAR(7:7)=YEAR(TODAY()),MONTH(7:7)=MONTH(TODAY()),DAY(7:7)&lt;30),"E","A")))</f>
        <v>Q3A</v>
      </c>
      <c r="EV8" s="67" t="str">
        <f>"Q4"&amp;IF(YEAR(7:7)&gt;YEAR(TODAY()),"E",IF(AND(YEAR(7:7)=YEAR(TODAY()),MONTH(7:7)&gt;MONTH(TODAY())),"E",IF(AND(YEAR(7:7)=YEAR(TODAY()),MONTH(7:7)=MONTH(TODAY()),DAY(7:7)&lt;30),"E","A")))</f>
        <v>Q4A</v>
      </c>
      <c r="EW8" s="58"/>
      <c r="EX8" s="67" t="str">
        <f>"Q1"&amp;IF(YEAR(7:7)&gt;YEAR(TODAY()),"E",IF(AND(YEAR(7:7)=YEAR(TODAY()),MONTH(7:7)&gt;MONTH(TODAY())),"E",IF(AND(YEAR(7:7)=YEAR(TODAY()),MONTH(7:7)=MONTH(TODAY()),DAY(7:7)&lt;30),"E","A")))</f>
        <v>Q1A</v>
      </c>
      <c r="EY8" s="67" t="str">
        <f>"Q2"&amp;IF(YEAR(7:7)&gt;YEAR(TODAY()),"E",IF(AND(YEAR(7:7)=YEAR(TODAY()),MONTH(7:7)&gt;MONTH(TODAY())),"E",IF(AND(YEAR(7:7)=YEAR(TODAY()),MONTH(7:7)=MONTH(TODAY()),DAY(7:7)&lt;30),"E","A")))</f>
        <v>Q2E</v>
      </c>
      <c r="EZ8" s="67" t="str">
        <f>"Q3"&amp;IF(YEAR(7:7)&gt;YEAR(TODAY()),"E",IF(AND(YEAR(7:7)=YEAR(TODAY()),MONTH(7:7)&gt;MONTH(TODAY())),"E",IF(AND(YEAR(7:7)=YEAR(TODAY()),MONTH(7:7)=MONTH(TODAY()),DAY(7:7)&lt;30),"E","A")))</f>
        <v>Q3E</v>
      </c>
      <c r="FA8" s="67" t="str">
        <f>"Q4"&amp;IF(YEAR(7:7)&gt;YEAR(TODAY()),"E",IF(AND(YEAR(7:7)=YEAR(TODAY()),MONTH(7:7)&gt;MONTH(TODAY())),"E",IF(AND(YEAR(7:7)=YEAR(TODAY()),MONTH(7:7)=MONTH(TODAY()),DAY(7:7)&lt;30),"E","A")))</f>
        <v>Q4E</v>
      </c>
      <c r="FB8" s="58"/>
      <c r="FC8" s="67" t="str">
        <f>"Q1"&amp;IF(YEAR(7:7)&gt;YEAR(TODAY()),"E",IF(AND(YEAR(7:7)=YEAR(TODAY()),MONTH(7:7)&gt;MONTH(TODAY())),"E",IF(AND(YEAR(7:7)=YEAR(TODAY()),MONTH(7:7)=MONTH(TODAY()),DAY(7:7)&lt;30),"E","A")))</f>
        <v>Q1E</v>
      </c>
      <c r="FD8" s="67" t="str">
        <f>"Q2"&amp;IF(YEAR(7:7)&gt;YEAR(TODAY()),"E",IF(AND(YEAR(7:7)=YEAR(TODAY()),MONTH(7:7)&gt;MONTH(TODAY())),"E",IF(AND(YEAR(7:7)=YEAR(TODAY()),MONTH(7:7)=MONTH(TODAY()),DAY(7:7)&lt;30),"E","A")))</f>
        <v>Q2E</v>
      </c>
      <c r="FE8" s="67" t="str">
        <f>"Q3"&amp;IF(YEAR(7:7)&gt;YEAR(TODAY()),"E",IF(AND(YEAR(7:7)=YEAR(TODAY()),MONTH(7:7)&gt;MONTH(TODAY())),"E",IF(AND(YEAR(7:7)=YEAR(TODAY()),MONTH(7:7)=MONTH(TODAY()),DAY(7:7)&lt;30),"E","A")))</f>
        <v>Q3E</v>
      </c>
      <c r="FF8" s="67" t="str">
        <f>"Q4"&amp;IF(YEAR(7:7)&gt;YEAR(TODAY()),"E",IF(AND(YEAR(7:7)=YEAR(TODAY()),MONTH(7:7)&gt;MONTH(TODAY())),"E",IF(AND(YEAR(7:7)=YEAR(TODAY()),MONTH(7:7)=MONTH(TODAY()),DAY(7:7)&lt;30),"E","A")))</f>
        <v>Q4E</v>
      </c>
      <c r="FG8" s="58"/>
      <c r="FH8" s="60"/>
      <c r="FI8" s="66"/>
      <c r="FJ8" s="66"/>
      <c r="FK8" s="66"/>
      <c r="FL8" s="66"/>
    </row>
    <row r="9" ht="12.75" hidden="1" customHeight="1" outlineLevel="2">
      <c r="A9" s="4"/>
      <c r="B9" s="72" t="s">
        <v>12</v>
      </c>
      <c r="C9" s="4"/>
      <c r="D9" s="17"/>
      <c r="E9" s="17"/>
      <c r="F9" s="17"/>
      <c r="G9" s="17"/>
      <c r="H9" s="73">
        <f>IABG</f>
        <v>18811</v>
      </c>
      <c r="I9" s="17"/>
      <c r="J9" s="17"/>
      <c r="K9" s="17"/>
      <c r="L9" s="17"/>
      <c r="M9" s="73">
        <f>IABG</f>
        <v>22679</v>
      </c>
      <c r="N9" s="17">
        <f>IABG</f>
        <v>4931</v>
      </c>
      <c r="O9" s="17">
        <f>IABG</f>
        <v>5240</v>
      </c>
      <c r="P9" s="17">
        <f>IABG</f>
        <v>6233</v>
      </c>
      <c r="Q9" s="17">
        <f>IABG</f>
        <v>7449</v>
      </c>
      <c r="R9" s="73">
        <f>IABG</f>
        <v>23853</v>
      </c>
      <c r="S9" s="17">
        <f>IABG</f>
        <v>6429</v>
      </c>
      <c r="T9" s="17">
        <f>IABG</f>
        <v>5559</v>
      </c>
      <c r="U9" s="17">
        <f>IABG</f>
        <v>6268</v>
      </c>
      <c r="V9" s="17">
        <f>IABG</f>
        <v>6963</v>
      </c>
      <c r="W9" s="73">
        <f>IABG</f>
        <v>25459</v>
      </c>
      <c r="X9" s="17">
        <f>IABG</f>
        <v>6581</v>
      </c>
      <c r="Y9" s="17">
        <f>IABG</f>
        <v>6759</v>
      </c>
      <c r="Z9" s="17">
        <f>IABG</f>
        <v>7038</v>
      </c>
      <c r="AA9" s="17">
        <f>IABG</f>
        <v>6851</v>
      </c>
      <c r="AB9" s="73">
        <f>IABG</f>
        <v>27297</v>
      </c>
      <c r="AC9" s="17">
        <f>IABG</f>
        <v>5133</v>
      </c>
      <c r="AD9" s="17">
        <f>IABG</f>
        <v>5127</v>
      </c>
      <c r="AE9" s="17">
        <f>IABG</f>
        <v>5393</v>
      </c>
      <c r="AF9" s="17">
        <f>IABG</f>
        <v>5793</v>
      </c>
      <c r="AG9" s="73">
        <f>IABG</f>
        <v>21446</v>
      </c>
      <c r="AH9" s="17">
        <f>IABG</f>
        <v>5768</v>
      </c>
      <c r="AI9" s="17">
        <f>IABG</f>
        <v>5213</v>
      </c>
      <c r="AJ9" s="17">
        <f>IABG</f>
        <v>5407</v>
      </c>
      <c r="AK9" s="17">
        <f>IABG</f>
        <v>5928</v>
      </c>
      <c r="AL9" s="73">
        <f>IABG</f>
        <v>22316</v>
      </c>
      <c r="AM9" s="17">
        <f>IABG</f>
        <v>5760</v>
      </c>
      <c r="AN9" s="17">
        <f>IABG</f>
        <v>5833</v>
      </c>
      <c r="AO9" s="17">
        <f>IABG</f>
        <v>6838</v>
      </c>
      <c r="AP9" s="17">
        <f>IABG</f>
        <v>7671</v>
      </c>
      <c r="AQ9" s="73">
        <f>IABG</f>
        <v>26102</v>
      </c>
      <c r="AR9" s="17">
        <f>IABG</f>
        <v>7025</v>
      </c>
      <c r="AS9" s="17">
        <f>IABG</f>
        <v>6774</v>
      </c>
      <c r="AT9" s="17">
        <f>IABG</f>
        <v>7138</v>
      </c>
      <c r="AU9" s="17">
        <f>IABG</f>
        <v>8230</v>
      </c>
      <c r="AV9" s="73">
        <f>IABG</f>
        <v>29167</v>
      </c>
      <c r="AW9" s="17" t="str">
        <f>IABG</f>
        <v>#ERROR!</v>
      </c>
      <c r="AX9" s="17" t="str">
        <f>IABG</f>
        <v>#ERROR!</v>
      </c>
      <c r="AY9" s="17" t="str">
        <f>IABG</f>
        <v>#ERROR!</v>
      </c>
      <c r="AZ9" s="17" t="str">
        <f>IABG</f>
        <v>#ERROR!</v>
      </c>
      <c r="BA9" s="73" t="str">
        <f>IABG</f>
        <v>#ERROR!</v>
      </c>
      <c r="BB9" s="17" t="str">
        <f>IABG</f>
        <v>#ERROR!</v>
      </c>
      <c r="BC9" s="17" t="str">
        <f>IABG</f>
        <v>#ERROR!</v>
      </c>
      <c r="BD9" s="17" t="str">
        <f>IABG</f>
        <v>#ERROR!</v>
      </c>
      <c r="BE9" s="17" t="str">
        <f>IABG</f>
        <v>#ERROR!</v>
      </c>
      <c r="BF9" s="73" t="str">
        <f>IABG</f>
        <v>#ERROR!</v>
      </c>
      <c r="BG9" s="17" t="str">
        <f>IABG</f>
        <v>#ERROR!</v>
      </c>
      <c r="BH9" s="17" t="str">
        <f>IABG</f>
        <v>#ERROR!</v>
      </c>
      <c r="BI9" s="17" t="str">
        <f>IABG</f>
        <v>#ERROR!</v>
      </c>
      <c r="BJ9" s="17" t="str">
        <f>IABG</f>
        <v>#ERROR!</v>
      </c>
      <c r="BK9" s="73" t="str">
        <f>IABG</f>
        <v>#ERROR!</v>
      </c>
      <c r="BL9" s="17" t="str">
        <f>IABG</f>
        <v>#ERROR!</v>
      </c>
      <c r="BM9" s="17" t="str">
        <f>IABG</f>
        <v>#ERROR!</v>
      </c>
      <c r="BN9" s="17" t="str">
        <f>IABG</f>
        <v>#ERROR!</v>
      </c>
      <c r="BO9" s="17" t="str">
        <f>IABG</f>
        <v>#ERROR!</v>
      </c>
      <c r="BP9" s="73" t="str">
        <f>IABG</f>
        <v>#ERROR!</v>
      </c>
      <c r="BQ9" s="17" t="str">
        <f>IABG</f>
        <v>#ERROR!</v>
      </c>
      <c r="BR9" s="17" t="str">
        <f>IABG</f>
        <v>#ERROR!</v>
      </c>
      <c r="BS9" s="17" t="str">
        <f>IABG</f>
        <v>#ERROR!</v>
      </c>
      <c r="BT9" s="17" t="str">
        <f>IABG</f>
        <v>#ERROR!</v>
      </c>
      <c r="BU9" s="73" t="str">
        <f>IABG</f>
        <v>#ERROR!</v>
      </c>
      <c r="BV9" s="17">
        <f t="shared" ref="BV9:BY9" si="53">+BV600</f>
        <v>9920</v>
      </c>
      <c r="BW9" s="17">
        <f t="shared" si="53"/>
        <v>10370</v>
      </c>
      <c r="BX9" s="17">
        <f t="shared" si="53"/>
        <v>10736</v>
      </c>
      <c r="BY9" s="17">
        <f t="shared" si="53"/>
        <v>11049</v>
      </c>
      <c r="BZ9" s="18">
        <f t="shared" ref="BZ9:BZ10" si="71">+SUM(BV9:BY9)</f>
        <v>42075</v>
      </c>
      <c r="CA9" s="17">
        <f t="shared" ref="CA9:CD9" si="54">+CA600</f>
        <v>12234</v>
      </c>
      <c r="CB9" s="17">
        <f t="shared" si="54"/>
        <v>12146</v>
      </c>
      <c r="CC9" s="17">
        <f t="shared" si="54"/>
        <v>13297</v>
      </c>
      <c r="CD9" s="17">
        <f t="shared" si="54"/>
        <v>12863</v>
      </c>
      <c r="CE9" s="18">
        <f t="shared" ref="CE9:CE10" si="72">+SUM(CA9:CD9)</f>
        <v>50540</v>
      </c>
      <c r="CF9" s="17" t="str">
        <f t="shared" ref="CF9:CI9" si="55">CF512</f>
        <v>#NAME?</v>
      </c>
      <c r="CG9" s="17" t="str">
        <f t="shared" si="55"/>
        <v>#NAME?</v>
      </c>
      <c r="CH9" s="17" t="str">
        <f t="shared" si="55"/>
        <v>#NAME?</v>
      </c>
      <c r="CI9" s="17" t="str">
        <f t="shared" si="55"/>
        <v>#NAME?</v>
      </c>
      <c r="CJ9" s="18" t="str">
        <f t="shared" ref="CJ9:CJ10" si="73">+SUM(CF9:CI9)</f>
        <v>#NAME?</v>
      </c>
      <c r="CK9" s="17" t="str">
        <f t="shared" ref="CK9:CN9" si="56">CK512</f>
        <v>#NAME?</v>
      </c>
      <c r="CL9" s="17" t="str">
        <f t="shared" si="56"/>
        <v>#NAME?</v>
      </c>
      <c r="CM9" s="17" t="str">
        <f t="shared" si="56"/>
        <v>#NAME?</v>
      </c>
      <c r="CN9" s="19" t="str">
        <f t="shared" si="56"/>
        <v>#NAME?</v>
      </c>
      <c r="CO9" s="18" t="str">
        <f t="shared" ref="CO9:CO10" si="74">+SUM(CK9:CN9)</f>
        <v>#NAME?</v>
      </c>
      <c r="CP9" s="19" t="str">
        <f t="shared" ref="CP9:CS9" si="57">CP512</f>
        <v>#NAME?</v>
      </c>
      <c r="CQ9" s="17" t="str">
        <f t="shared" si="57"/>
        <v>#NAME?</v>
      </c>
      <c r="CR9" s="17" t="str">
        <f t="shared" si="57"/>
        <v>#NAME?</v>
      </c>
      <c r="CS9" s="17" t="str">
        <f t="shared" si="57"/>
        <v>#NAME?</v>
      </c>
      <c r="CT9" s="18" t="str">
        <f>+SUM(CP9:CS9)</f>
        <v>#NAME?</v>
      </c>
      <c r="CU9" s="17" t="str">
        <f t="shared" ref="CU9:CX9" si="58">CU512</f>
        <v>#NAME?</v>
      </c>
      <c r="CV9" s="17" t="str">
        <f t="shared" si="58"/>
        <v>#NAME?</v>
      </c>
      <c r="CW9" s="17" t="str">
        <f t="shared" si="58"/>
        <v>#NAME?</v>
      </c>
      <c r="CX9" s="17" t="str">
        <f t="shared" si="58"/>
        <v>#NAME?</v>
      </c>
      <c r="CY9" s="18" t="str">
        <f>+SUM(CU9:CX9)</f>
        <v>#NAME?</v>
      </c>
      <c r="CZ9" s="17" t="str">
        <f t="shared" ref="CZ9:DC9" si="59">CZ512</f>
        <v>#NAME?</v>
      </c>
      <c r="DA9" s="17" t="str">
        <f t="shared" si="59"/>
        <v>#NAME?</v>
      </c>
      <c r="DB9" s="17" t="str">
        <f t="shared" si="59"/>
        <v>#NAME?</v>
      </c>
      <c r="DC9" s="17" t="str">
        <f t="shared" si="59"/>
        <v>#NAME?</v>
      </c>
      <c r="DD9" s="18" t="str">
        <f>+SUM(CZ9:DC9)</f>
        <v>#NAME?</v>
      </c>
      <c r="DE9" s="17" t="str">
        <f t="shared" ref="DE9:DH9" si="60">DE512</f>
        <v>#NAME?</v>
      </c>
      <c r="DF9" s="17" t="str">
        <f t="shared" si="60"/>
        <v>#NAME?</v>
      </c>
      <c r="DG9" s="19" t="str">
        <f t="shared" si="60"/>
        <v>#NAME?</v>
      </c>
      <c r="DH9" s="17" t="str">
        <f t="shared" si="60"/>
        <v>#NAME?</v>
      </c>
      <c r="DI9" s="18" t="str">
        <f>+SUM(DE9:DH9)</f>
        <v>#NAME?</v>
      </c>
      <c r="DJ9" s="19" t="str">
        <f t="shared" ref="DJ9:DM9" si="61">DJ512</f>
        <v>#NAME?</v>
      </c>
      <c r="DK9" s="19" t="str">
        <f t="shared" si="61"/>
        <v>#NAME?</v>
      </c>
      <c r="DL9" s="19" t="str">
        <f t="shared" si="61"/>
        <v>#NAME?</v>
      </c>
      <c r="DM9" s="19" t="str">
        <f t="shared" si="61"/>
        <v>#NAME?</v>
      </c>
      <c r="DN9" s="18" t="str">
        <f>+SUM(DJ9:DM9)</f>
        <v>#NAME?</v>
      </c>
      <c r="DO9" s="19" t="str">
        <f t="shared" ref="DO9:DR9" si="62">DO512</f>
        <v>#NAME?</v>
      </c>
      <c r="DP9" s="19" t="str">
        <f t="shared" si="62"/>
        <v>#NAME?</v>
      </c>
      <c r="DQ9" s="19" t="str">
        <f t="shared" si="62"/>
        <v>#NAME?</v>
      </c>
      <c r="DR9" s="19" t="str">
        <f t="shared" si="62"/>
        <v>#NAME?</v>
      </c>
      <c r="DS9" s="18" t="str">
        <f>+SUM(DO9:DR9)</f>
        <v>#NAME?</v>
      </c>
      <c r="DT9" s="19" t="str">
        <f t="shared" ref="DT9:DW9" si="63">DT512</f>
        <v>#NAME?</v>
      </c>
      <c r="DU9" s="19" t="str">
        <f t="shared" si="63"/>
        <v>#NAME?</v>
      </c>
      <c r="DV9" s="19" t="str">
        <f t="shared" si="63"/>
        <v>#NAME?</v>
      </c>
      <c r="DW9" s="19" t="str">
        <f t="shared" si="63"/>
        <v>#NAME?</v>
      </c>
      <c r="DX9" s="18" t="str">
        <f>+SUM(DT9:DW9)</f>
        <v>#NAME?</v>
      </c>
      <c r="DY9" s="19" t="str">
        <f t="shared" ref="DY9:EB9" si="64">DY512</f>
        <v>#NAME?</v>
      </c>
      <c r="DZ9" s="19" t="str">
        <f t="shared" si="64"/>
        <v>#NAME?</v>
      </c>
      <c r="EA9" s="19" t="str">
        <f t="shared" si="64"/>
        <v>#NAME?</v>
      </c>
      <c r="EB9" s="19" t="str">
        <f t="shared" si="64"/>
        <v>#NAME?</v>
      </c>
      <c r="EC9" s="18" t="str">
        <f>+SUM(DY9:EB9)</f>
        <v>#NAME?</v>
      </c>
      <c r="ED9" s="19" t="str">
        <f t="shared" ref="ED9:EG9" si="65">ED512</f>
        <v>#NAME?</v>
      </c>
      <c r="EE9" s="19" t="str">
        <f t="shared" si="65"/>
        <v>#NAME?</v>
      </c>
      <c r="EF9" s="19" t="str">
        <f t="shared" si="65"/>
        <v>#NAME?</v>
      </c>
      <c r="EG9" s="19" t="str">
        <f t="shared" si="65"/>
        <v>#NAME?</v>
      </c>
      <c r="EH9" s="18" t="str">
        <f>+SUM(ED9:EG9)</f>
        <v>#NAME?</v>
      </c>
      <c r="EI9" s="25" t="str">
        <f t="shared" ref="EI9:EL9" si="66">EI512</f>
        <v>#NAME?</v>
      </c>
      <c r="EJ9" s="17" t="str">
        <f t="shared" si="66"/>
        <v>#NAME?</v>
      </c>
      <c r="EK9" s="17" t="str">
        <f t="shared" si="66"/>
        <v>#NAME?</v>
      </c>
      <c r="EL9" s="17" t="str">
        <f t="shared" si="66"/>
        <v>#NAME?</v>
      </c>
      <c r="EM9" s="18" t="str">
        <f>+SUM(EI9:EL9)</f>
        <v>#NAME?</v>
      </c>
      <c r="EN9" s="17" t="str">
        <f t="shared" ref="EN9:EQ9" si="67">EN512</f>
        <v>#NAME?</v>
      </c>
      <c r="EO9" s="17" t="str">
        <f t="shared" si="67"/>
        <v>#NAME?</v>
      </c>
      <c r="EP9" s="17" t="str">
        <f t="shared" si="67"/>
        <v>#NAME?</v>
      </c>
      <c r="EQ9" s="17" t="str">
        <f t="shared" si="67"/>
        <v>#NAME?</v>
      </c>
      <c r="ER9" s="18" t="str">
        <f>+SUM(EN9:EQ9)</f>
        <v>#NAME?</v>
      </c>
      <c r="ES9" s="17" t="str">
        <f t="shared" ref="ES9:EV9" si="68">ES512</f>
        <v>#NAME?</v>
      </c>
      <c r="ET9" s="17" t="str">
        <f t="shared" si="68"/>
        <v>#NAME?</v>
      </c>
      <c r="EU9" s="17" t="str">
        <f t="shared" si="68"/>
        <v>#NAME?</v>
      </c>
      <c r="EV9" s="17" t="str">
        <f t="shared" si="68"/>
        <v>#NAME?</v>
      </c>
      <c r="EW9" s="18" t="str">
        <f>+SUM(ES9:EV9)</f>
        <v>#NAME?</v>
      </c>
      <c r="EX9" s="17" t="str">
        <f t="shared" ref="EX9:FA9" si="69">EX512</f>
        <v>#NAME?</v>
      </c>
      <c r="EY9" s="17" t="str">
        <f t="shared" si="69"/>
        <v>#NAME?</v>
      </c>
      <c r="EZ9" s="17" t="str">
        <f t="shared" si="69"/>
        <v>#NAME?</v>
      </c>
      <c r="FA9" s="17" t="str">
        <f t="shared" si="69"/>
        <v>#NAME?</v>
      </c>
      <c r="FB9" s="18" t="str">
        <f>+SUM(EX9:FA9)</f>
        <v>#NAME?</v>
      </c>
      <c r="FC9" s="17" t="str">
        <f t="shared" ref="FC9:FF9" si="70">FC512</f>
        <v>#NAME?</v>
      </c>
      <c r="FD9" s="17" t="str">
        <f t="shared" si="70"/>
        <v>#NAME?</v>
      </c>
      <c r="FE9" s="17" t="str">
        <f t="shared" si="70"/>
        <v>#NAME?</v>
      </c>
      <c r="FF9" s="17" t="str">
        <f t="shared" si="70"/>
        <v>#NAME?</v>
      </c>
      <c r="FG9" s="18" t="str">
        <f>+SUM(FC9:FF9)</f>
        <v>#NAME?</v>
      </c>
      <c r="FH9" s="74"/>
      <c r="FI9" s="4"/>
      <c r="FJ9" s="4"/>
      <c r="FK9" s="4"/>
      <c r="FL9" s="4"/>
    </row>
    <row r="10" ht="12.75" hidden="1" customHeight="1" collapsed="1">
      <c r="A10" s="4"/>
      <c r="B10" s="72" t="s">
        <v>13</v>
      </c>
      <c r="C10" s="4"/>
      <c r="D10" s="75"/>
      <c r="E10" s="75"/>
      <c r="F10" s="75"/>
      <c r="G10" s="75"/>
      <c r="H10" s="76">
        <f>AOG</f>
        <v>2036</v>
      </c>
      <c r="I10" s="75"/>
      <c r="J10" s="75"/>
      <c r="K10" s="75"/>
      <c r="L10" s="75"/>
      <c r="M10" s="76">
        <f>AOG</f>
        <v>2392</v>
      </c>
      <c r="N10" s="75">
        <f>AOG</f>
        <v>1070</v>
      </c>
      <c r="O10" s="75">
        <f>AOG</f>
        <v>687</v>
      </c>
      <c r="P10" s="75">
        <f>AOG</f>
        <v>498</v>
      </c>
      <c r="Q10" s="75">
        <f>AOG</f>
        <v>165</v>
      </c>
      <c r="R10" s="76">
        <f>AOG</f>
        <v>2420</v>
      </c>
      <c r="S10" s="75">
        <f>AOG</f>
        <v>674</v>
      </c>
      <c r="T10" s="75">
        <f>AOG</f>
        <v>1187</v>
      </c>
      <c r="U10" s="75">
        <f>AOG</f>
        <v>1060</v>
      </c>
      <c r="V10" s="75">
        <f>AOG</f>
        <v>1249</v>
      </c>
      <c r="W10" s="76">
        <f>AOG</f>
        <v>3930</v>
      </c>
      <c r="X10" s="75">
        <f>AOG</f>
        <v>1412</v>
      </c>
      <c r="Y10" s="75">
        <f>AOG</f>
        <v>1541</v>
      </c>
      <c r="Z10" s="75">
        <f>AOG</f>
        <v>1693</v>
      </c>
      <c r="AA10" s="75">
        <f>AOG</f>
        <v>1851</v>
      </c>
      <c r="AB10" s="76">
        <f>AOG</f>
        <v>6429</v>
      </c>
      <c r="AC10" s="75">
        <f>AOG</f>
        <v>1544</v>
      </c>
      <c r="AD10" s="75">
        <f>AOG</f>
        <v>1207</v>
      </c>
      <c r="AE10" s="75">
        <f>AOG</f>
        <v>1152</v>
      </c>
      <c r="AF10" s="75">
        <f>AOG</f>
        <v>1190</v>
      </c>
      <c r="AG10" s="76">
        <f>AOG</f>
        <v>5093</v>
      </c>
      <c r="AH10" s="75">
        <f>AOG</f>
        <v>1013</v>
      </c>
      <c r="AI10" s="75">
        <f>AOG</f>
        <v>1106</v>
      </c>
      <c r="AJ10" s="75">
        <f>AOG</f>
        <v>1097</v>
      </c>
      <c r="AK10" s="75">
        <f>AOG</f>
        <v>1232</v>
      </c>
      <c r="AL10" s="76">
        <f>AOG</f>
        <v>4448</v>
      </c>
      <c r="AM10" s="75">
        <f>AOG</f>
        <v>991</v>
      </c>
      <c r="AN10" s="75">
        <f>AOG</f>
        <v>983</v>
      </c>
      <c r="AO10" s="75">
        <f>AOG</f>
        <v>995</v>
      </c>
      <c r="AP10" s="75">
        <f>AOG</f>
        <v>1070</v>
      </c>
      <c r="AQ10" s="76">
        <f>AOG</f>
        <v>4039</v>
      </c>
      <c r="AR10" s="75">
        <f>AOG</f>
        <v>1066</v>
      </c>
      <c r="AS10" s="75">
        <f>AOG</f>
        <v>1275</v>
      </c>
      <c r="AT10" s="75">
        <f>AOG</f>
        <v>1333</v>
      </c>
      <c r="AU10" s="75">
        <f>AOG</f>
        <v>1368</v>
      </c>
      <c r="AV10" s="76">
        <f>AOG</f>
        <v>5042</v>
      </c>
      <c r="AW10" s="75" t="str">
        <f>AOG</f>
        <v>#ERROR!</v>
      </c>
      <c r="AX10" s="75" t="str">
        <f>AOG</f>
        <v>#ERROR!</v>
      </c>
      <c r="AY10" s="75" t="str">
        <f>AOG</f>
        <v>#ERROR!</v>
      </c>
      <c r="AZ10" s="75" t="str">
        <f>AOG</f>
        <v>#ERROR!</v>
      </c>
      <c r="BA10" s="76" t="str">
        <f>AOG</f>
        <v>#ERROR!</v>
      </c>
      <c r="BB10" s="75" t="str">
        <f>AOG</f>
        <v>#ERROR!</v>
      </c>
      <c r="BC10" s="75" t="str">
        <f>AOG</f>
        <v>#ERROR!</v>
      </c>
      <c r="BD10" s="75" t="str">
        <f>AOG</f>
        <v>#ERROR!</v>
      </c>
      <c r="BE10" s="75" t="str">
        <f>AOG</f>
        <v>#ERROR!</v>
      </c>
      <c r="BF10" s="76" t="str">
        <f>AOG</f>
        <v>#ERROR!</v>
      </c>
      <c r="BG10" s="75" t="str">
        <f>AOG</f>
        <v>#ERROR!</v>
      </c>
      <c r="BH10" s="75" t="str">
        <f>AOG</f>
        <v>#ERROR!</v>
      </c>
      <c r="BI10" s="75" t="str">
        <f>AOG</f>
        <v>#ERROR!</v>
      </c>
      <c r="BJ10" s="75" t="str">
        <f>AOG</f>
        <v>#ERROR!</v>
      </c>
      <c r="BK10" s="76" t="str">
        <f>AOG</f>
        <v>#ERROR!</v>
      </c>
      <c r="BL10" s="75" t="str">
        <f>AOG</f>
        <v>#ERROR!</v>
      </c>
      <c r="BM10" s="75" t="str">
        <f>AOG</f>
        <v>#ERROR!</v>
      </c>
      <c r="BN10" s="75" t="str">
        <f>AOG</f>
        <v>#ERROR!</v>
      </c>
      <c r="BO10" s="75" t="str">
        <f>AOG</f>
        <v>#ERROR!</v>
      </c>
      <c r="BP10" s="76" t="str">
        <f>AOG</f>
        <v>#ERROR!</v>
      </c>
      <c r="BQ10" s="75" t="str">
        <f>AOG</f>
        <v>#ERROR!</v>
      </c>
      <c r="BR10" s="75" t="str">
        <f>AOG</f>
        <v>#ERROR!</v>
      </c>
      <c r="BS10" s="75">
        <f>AOG</f>
        <v>804.4</v>
      </c>
      <c r="BT10" s="75" t="str">
        <f>AOG</f>
        <v>#ERROR!</v>
      </c>
      <c r="BU10" s="76" t="str">
        <f>AOG</f>
        <v>#ERROR!</v>
      </c>
      <c r="BV10" s="75" t="str">
        <f>AOG</f>
        <v>#ERROR!</v>
      </c>
      <c r="BW10" s="75" t="str">
        <f>AOG</f>
        <v>#ERROR!</v>
      </c>
      <c r="BX10" s="75" t="str">
        <f>AOG</f>
        <v>#ERROR!</v>
      </c>
      <c r="BY10" s="75" t="str">
        <f>AOG</f>
        <v>#ERROR!</v>
      </c>
      <c r="BZ10" s="18" t="str">
        <f t="shared" si="71"/>
        <v>#ERROR!</v>
      </c>
      <c r="CA10" s="75" t="str">
        <f>AOG</f>
        <v>#ERROR!</v>
      </c>
      <c r="CB10" s="75" t="str">
        <f>AOG</f>
        <v>#ERROR!</v>
      </c>
      <c r="CC10" s="75" t="str">
        <f>AOG</f>
        <v>#ERROR!</v>
      </c>
      <c r="CD10" s="75" t="str">
        <f>AOG</f>
        <v>#ERROR!</v>
      </c>
      <c r="CE10" s="18" t="str">
        <f t="shared" si="72"/>
        <v>#ERROR!</v>
      </c>
      <c r="CF10" s="75" t="str">
        <f>AOG</f>
        <v>#ERROR!</v>
      </c>
      <c r="CG10" s="75" t="str">
        <f>AOG</f>
        <v>#ERROR!</v>
      </c>
      <c r="CH10" s="75" t="str">
        <f>AOG</f>
        <v>#ERROR!</v>
      </c>
      <c r="CI10" s="75" t="str">
        <f>AOG</f>
        <v>#ERROR!</v>
      </c>
      <c r="CJ10" s="18" t="str">
        <f t="shared" si="73"/>
        <v>#ERROR!</v>
      </c>
      <c r="CK10" s="75" t="str">
        <f>AOG</f>
        <v>#ERROR!</v>
      </c>
      <c r="CL10" s="75" t="str">
        <f>AOG</f>
        <v>#ERROR!</v>
      </c>
      <c r="CM10" s="75" t="str">
        <f>AOG</f>
        <v>#ERROR!</v>
      </c>
      <c r="CN10" s="77" t="str">
        <f>AOG</f>
        <v>#ERROR!</v>
      </c>
      <c r="CO10" s="18" t="str">
        <f t="shared" si="74"/>
        <v>#ERROR!</v>
      </c>
      <c r="CP10" s="77" t="str">
        <f>AOG</f>
        <v>#ERROR!</v>
      </c>
      <c r="CQ10" s="75" t="str">
        <f>AOG</f>
        <v>#ERROR!</v>
      </c>
      <c r="CR10" s="75" t="str">
        <f>AOG</f>
        <v>#ERROR!</v>
      </c>
      <c r="CS10" s="75" t="str">
        <f>AOG</f>
        <v>#ERROR!</v>
      </c>
      <c r="CT10" s="78" t="str">
        <f>AOG</f>
        <v>#ERROR!</v>
      </c>
      <c r="CU10" s="75" t="str">
        <f>AOG</f>
        <v>#ERROR!</v>
      </c>
      <c r="CV10" s="75" t="str">
        <f>AOG</f>
        <v>#ERROR!</v>
      </c>
      <c r="CW10" s="75" t="str">
        <f>AOG</f>
        <v>#ERROR!</v>
      </c>
      <c r="CX10" s="75" t="str">
        <f>AOG</f>
        <v>#ERROR!</v>
      </c>
      <c r="CY10" s="78" t="str">
        <f>AOG</f>
        <v>#ERROR!</v>
      </c>
      <c r="CZ10" s="75" t="str">
        <f>AOG</f>
        <v>#ERROR!</v>
      </c>
      <c r="DA10" s="75" t="str">
        <f>AOG</f>
        <v>#ERROR!</v>
      </c>
      <c r="DB10" s="75" t="str">
        <f>AOG</f>
        <v>#ERROR!</v>
      </c>
      <c r="DC10" s="75" t="str">
        <f>AOG</f>
        <v>#ERROR!</v>
      </c>
      <c r="DD10" s="78" t="str">
        <f>AOG</f>
        <v>#ERROR!</v>
      </c>
      <c r="DE10" s="75" t="str">
        <f>AOG</f>
        <v>#ERROR!</v>
      </c>
      <c r="DF10" s="75" t="str">
        <f>AOG</f>
        <v>#ERROR!</v>
      </c>
      <c r="DG10" s="19" t="str">
        <f>AOG</f>
        <v>#ERROR!</v>
      </c>
      <c r="DH10" s="75" t="str">
        <f>AOG</f>
        <v>#ERROR!</v>
      </c>
      <c r="DI10" s="78" t="str">
        <f>AOG</f>
        <v>#ERROR!</v>
      </c>
      <c r="DJ10" s="77" t="str">
        <f>AOG</f>
        <v>#ERROR!</v>
      </c>
      <c r="DK10" s="77" t="str">
        <f>AOG</f>
        <v>#ERROR!</v>
      </c>
      <c r="DL10" s="77" t="str">
        <f>AOG</f>
        <v>#ERROR!</v>
      </c>
      <c r="DM10" s="77" t="str">
        <f>AOG</f>
        <v>#ERROR!</v>
      </c>
      <c r="DN10" s="78" t="str">
        <f>AOG</f>
        <v>#ERROR!</v>
      </c>
      <c r="DO10" s="77" t="str">
        <f>AOG</f>
        <v>#ERROR!</v>
      </c>
      <c r="DP10" s="77" t="str">
        <f>AOG</f>
        <v>#ERROR!</v>
      </c>
      <c r="DQ10" s="77" t="str">
        <f>AOG</f>
        <v>#ERROR!</v>
      </c>
      <c r="DR10" s="77" t="str">
        <f>AOG</f>
        <v>#ERROR!</v>
      </c>
      <c r="DS10" s="78" t="str">
        <f>AOG</f>
        <v>#ERROR!</v>
      </c>
      <c r="DT10" s="77" t="str">
        <f>AOG</f>
        <v>#ERROR!</v>
      </c>
      <c r="DU10" s="77" t="str">
        <f>AOG</f>
        <v>#ERROR!</v>
      </c>
      <c r="DV10" s="77" t="str">
        <f>AOG</f>
        <v>#ERROR!</v>
      </c>
      <c r="DW10" s="77" t="str">
        <f>AOG</f>
        <v>#ERROR!</v>
      </c>
      <c r="DX10" s="78" t="str">
        <f>AOG</f>
        <v>#ERROR!</v>
      </c>
      <c r="DY10" s="77" t="str">
        <f>AOG</f>
        <v>#ERROR!</v>
      </c>
      <c r="DZ10" s="77" t="str">
        <f>AOG</f>
        <v>#ERROR!</v>
      </c>
      <c r="EA10" s="77" t="str">
        <f>AOG</f>
        <v>#ERROR!</v>
      </c>
      <c r="EB10" s="77" t="str">
        <f>AOG</f>
        <v>#ERROR!</v>
      </c>
      <c r="EC10" s="78" t="str">
        <f>AOG</f>
        <v>#ERROR!</v>
      </c>
      <c r="ED10" s="77" t="str">
        <f>AOG</f>
        <v>#ERROR!</v>
      </c>
      <c r="EE10" s="77" t="str">
        <f>AOG</f>
        <v>#ERROR!</v>
      </c>
      <c r="EF10" s="77" t="str">
        <f>AOG</f>
        <v>#ERROR!</v>
      </c>
      <c r="EG10" s="77" t="str">
        <f>AOG</f>
        <v>#ERROR!</v>
      </c>
      <c r="EH10" s="78" t="str">
        <f>AOG</f>
        <v>#ERROR!</v>
      </c>
      <c r="EI10" s="79" t="str">
        <f>AOG</f>
        <v>#ERROR!</v>
      </c>
      <c r="EJ10" s="75" t="str">
        <f>AOG</f>
        <v>#ERROR!</v>
      </c>
      <c r="EK10" s="75" t="str">
        <f>AOG</f>
        <v>#ERROR!</v>
      </c>
      <c r="EL10" s="75" t="str">
        <f>AOG</f>
        <v>#ERROR!</v>
      </c>
      <c r="EM10" s="78" t="str">
        <f>AOG</f>
        <v>#ERROR!</v>
      </c>
      <c r="EN10" s="75" t="str">
        <f>AOG</f>
        <v>#ERROR!</v>
      </c>
      <c r="EO10" s="75" t="str">
        <f>AOG</f>
        <v>#ERROR!</v>
      </c>
      <c r="EP10" s="75" t="str">
        <f>AOG</f>
        <v>#ERROR!</v>
      </c>
      <c r="EQ10" s="75" t="str">
        <f>AOG</f>
        <v>#ERROR!</v>
      </c>
      <c r="ER10" s="78" t="str">
        <f>AOG</f>
        <v>#ERROR!</v>
      </c>
      <c r="ES10" s="75" t="str">
        <f>AOG</f>
        <v>#ERROR!</v>
      </c>
      <c r="ET10" s="75" t="str">
        <f>AOG</f>
        <v>#ERROR!</v>
      </c>
      <c r="EU10" s="75" t="str">
        <f>AOG</f>
        <v>#ERROR!</v>
      </c>
      <c r="EV10" s="75" t="str">
        <f>AOG</f>
        <v>#ERROR!</v>
      </c>
      <c r="EW10" s="78" t="str">
        <f>AOG</f>
        <v>#ERROR!</v>
      </c>
      <c r="EX10" s="75" t="str">
        <f>AOG</f>
        <v>#ERROR!</v>
      </c>
      <c r="EY10" s="75" t="str">
        <f>AOG</f>
        <v>#ERROR!</v>
      </c>
      <c r="EZ10" s="75" t="str">
        <f>AOG</f>
        <v>#ERROR!</v>
      </c>
      <c r="FA10" s="75" t="str">
        <f>AOG</f>
        <v>#ERROR!</v>
      </c>
      <c r="FB10" s="78" t="str">
        <f>AOG</f>
        <v>#ERROR!</v>
      </c>
      <c r="FC10" s="75" t="str">
        <f>AOG</f>
        <v>#ERROR!</v>
      </c>
      <c r="FD10" s="75" t="str">
        <f>AOG</f>
        <v>#ERROR!</v>
      </c>
      <c r="FE10" s="75" t="str">
        <f>AOG</f>
        <v>#ERROR!</v>
      </c>
      <c r="FF10" s="75" t="str">
        <f>AOG</f>
        <v>#ERROR!</v>
      </c>
      <c r="FG10" s="78" t="str">
        <f>AOG</f>
        <v>#ERROR!</v>
      </c>
      <c r="FH10" s="74"/>
      <c r="FI10" s="4"/>
      <c r="FJ10" s="4"/>
      <c r="FK10" s="4"/>
      <c r="FL10" s="4"/>
    </row>
    <row r="11" ht="12.75" customHeight="1">
      <c r="A11" s="4"/>
      <c r="B11" s="4" t="s">
        <v>14</v>
      </c>
      <c r="C11" s="4"/>
      <c r="D11" s="17"/>
      <c r="E11" s="17"/>
      <c r="F11" s="17"/>
      <c r="G11" s="17"/>
      <c r="H11" s="73"/>
      <c r="I11" s="17"/>
      <c r="J11" s="17"/>
      <c r="K11" s="17"/>
      <c r="L11" s="17"/>
      <c r="M11" s="73"/>
      <c r="N11" s="17"/>
      <c r="O11" s="17"/>
      <c r="P11" s="17"/>
      <c r="Q11" s="17"/>
      <c r="R11" s="73"/>
      <c r="S11" s="17"/>
      <c r="T11" s="17"/>
      <c r="U11" s="17"/>
      <c r="V11" s="17"/>
      <c r="W11" s="73"/>
      <c r="X11" s="17"/>
      <c r="Y11" s="17"/>
      <c r="Z11" s="17"/>
      <c r="AA11" s="17"/>
      <c r="AB11" s="73"/>
      <c r="AC11" s="17"/>
      <c r="AD11" s="17"/>
      <c r="AE11" s="17"/>
      <c r="AF11" s="17"/>
      <c r="AG11" s="73"/>
      <c r="AH11" s="17"/>
      <c r="AI11" s="17"/>
      <c r="AJ11" s="17"/>
      <c r="AK11" s="17"/>
      <c r="AL11" s="73"/>
      <c r="AM11" s="17"/>
      <c r="AN11" s="17"/>
      <c r="AO11" s="17"/>
      <c r="AP11" s="17"/>
      <c r="AQ11" s="73"/>
      <c r="AR11" s="17"/>
      <c r="AS11" s="17"/>
      <c r="AT11" s="17"/>
      <c r="AU11" s="17"/>
      <c r="AV11" s="73"/>
      <c r="AW11" s="17"/>
      <c r="AX11" s="17"/>
      <c r="AY11" s="17"/>
      <c r="AZ11" s="17"/>
      <c r="BA11" s="73"/>
      <c r="BB11" s="17"/>
      <c r="BC11" s="17"/>
      <c r="BD11" s="17"/>
      <c r="BE11" s="17"/>
      <c r="BF11" s="73"/>
      <c r="BG11" s="17"/>
      <c r="BH11" s="17"/>
      <c r="BI11" s="17"/>
      <c r="BJ11" s="17"/>
      <c r="BK11" s="73"/>
      <c r="BL11" s="17"/>
      <c r="BM11" s="17"/>
      <c r="BN11" s="17"/>
      <c r="BO11" s="17"/>
      <c r="BP11" s="73"/>
      <c r="BQ11" s="17"/>
      <c r="BR11" s="17"/>
      <c r="BS11" s="17"/>
      <c r="BT11" s="17"/>
      <c r="BU11" s="73"/>
      <c r="BV11" s="17"/>
      <c r="BW11" s="17"/>
      <c r="BX11" s="17"/>
      <c r="BY11" s="17"/>
      <c r="BZ11" s="18"/>
      <c r="CA11" s="17"/>
      <c r="CB11" s="17"/>
      <c r="CC11" s="17"/>
      <c r="CD11" s="17"/>
      <c r="CE11" s="18"/>
      <c r="CF11" s="17"/>
      <c r="CG11" s="17"/>
      <c r="CH11" s="17"/>
      <c r="CI11" s="17"/>
      <c r="CJ11" s="18"/>
      <c r="CK11" s="17"/>
      <c r="CL11" s="17"/>
      <c r="CM11" s="17"/>
      <c r="CN11" s="19"/>
      <c r="CO11" s="18"/>
      <c r="CP11" s="19"/>
      <c r="CQ11" s="17"/>
      <c r="CR11" s="17"/>
      <c r="CS11" s="17"/>
      <c r="CT11" s="18"/>
      <c r="CU11" s="17"/>
      <c r="CV11" s="17"/>
      <c r="CW11" s="17"/>
      <c r="CX11" s="17"/>
      <c r="CY11" s="18"/>
      <c r="CZ11" s="17"/>
      <c r="DA11" s="17"/>
      <c r="DB11" s="17"/>
      <c r="DC11" s="17"/>
      <c r="DD11" s="18"/>
      <c r="DE11" s="19">
        <f t="shared" ref="DE11:DX11" si="75">DE12</f>
        <v>14796</v>
      </c>
      <c r="DF11" s="19">
        <f t="shared" si="75"/>
        <v>14763</v>
      </c>
      <c r="DG11" s="19">
        <f t="shared" si="75"/>
        <v>16149</v>
      </c>
      <c r="DH11" s="19">
        <f t="shared" si="75"/>
        <v>17053</v>
      </c>
      <c r="DI11" s="18">
        <f t="shared" si="75"/>
        <v>62761</v>
      </c>
      <c r="DJ11" s="19">
        <f t="shared" si="75"/>
        <v>16066</v>
      </c>
      <c r="DK11" s="19">
        <f t="shared" si="75"/>
        <v>16962</v>
      </c>
      <c r="DL11" s="19">
        <f t="shared" si="75"/>
        <v>19163</v>
      </c>
      <c r="DM11" s="19">
        <f t="shared" si="75"/>
        <v>18657</v>
      </c>
      <c r="DN11" s="18">
        <f t="shared" si="75"/>
        <v>70848</v>
      </c>
      <c r="DO11" s="19">
        <f t="shared" si="75"/>
        <v>16061</v>
      </c>
      <c r="DP11" s="19">
        <f t="shared" si="75"/>
        <v>16505</v>
      </c>
      <c r="DQ11" s="19">
        <f t="shared" si="75"/>
        <v>19190</v>
      </c>
      <c r="DR11" s="19">
        <f t="shared" si="75"/>
        <v>20209</v>
      </c>
      <c r="DS11" s="18">
        <f t="shared" si="75"/>
        <v>71965</v>
      </c>
      <c r="DT11" s="19">
        <f t="shared" si="75"/>
        <v>19828</v>
      </c>
      <c r="DU11" s="19">
        <f t="shared" si="75"/>
        <v>19728</v>
      </c>
      <c r="DV11" s="19">
        <f t="shared" si="75"/>
        <v>18333</v>
      </c>
      <c r="DW11" s="19">
        <f t="shared" si="75"/>
        <v>19978</v>
      </c>
      <c r="DX11" s="18">
        <f t="shared" si="75"/>
        <v>77867</v>
      </c>
      <c r="DY11" s="19">
        <v>19673.0</v>
      </c>
      <c r="DZ11" s="19">
        <v>19631.0</v>
      </c>
      <c r="EA11" s="19">
        <v>19192.0</v>
      </c>
      <c r="EB11" s="19">
        <v>20528.0</v>
      </c>
      <c r="EC11" s="18">
        <f t="shared" ref="EC11:EC12" si="81">SUM(DY11:EB11)</f>
        <v>79024</v>
      </c>
      <c r="ED11" s="19">
        <v>18353.0</v>
      </c>
      <c r="EE11" s="19">
        <v>15321.0</v>
      </c>
      <c r="EF11" s="19">
        <v>15338.0</v>
      </c>
      <c r="EG11" s="19">
        <v>14042.0</v>
      </c>
      <c r="EH11" s="18">
        <f t="shared" ref="EH11:EH12" si="83">SUM(ED11:EG11)</f>
        <v>63054</v>
      </c>
      <c r="EI11" s="25" t="str">
        <f t="shared" ref="EI11:EL11" si="76">EI242</f>
        <v>#ERROR!</v>
      </c>
      <c r="EJ11" s="17" t="str">
        <f t="shared" si="76"/>
        <v>#ERROR!</v>
      </c>
      <c r="EK11" s="17" t="str">
        <f t="shared" si="76"/>
        <v>#ERROR!</v>
      </c>
      <c r="EL11" s="17" t="str">
        <f t="shared" si="76"/>
        <v>#ERROR!</v>
      </c>
      <c r="EM11" s="18" t="str">
        <f t="shared" ref="EM11:EM12" si="85">SUM(EI11:EL11)</f>
        <v>#ERROR!</v>
      </c>
      <c r="EN11" s="17" t="str">
        <f t="shared" ref="EN11:EQ11" si="77">EN242</f>
        <v>#ERROR!</v>
      </c>
      <c r="EO11" s="17" t="str">
        <f t="shared" si="77"/>
        <v>#ERROR!</v>
      </c>
      <c r="EP11" s="17" t="str">
        <f t="shared" si="77"/>
        <v>#ERROR!</v>
      </c>
      <c r="EQ11" s="17" t="str">
        <f t="shared" si="77"/>
        <v>#ERROR!</v>
      </c>
      <c r="ER11" s="18" t="str">
        <f t="shared" ref="ER11:ER12" si="87">SUM(EN11:EQ11)</f>
        <v>#ERROR!</v>
      </c>
      <c r="ES11" s="17" t="str">
        <f t="shared" ref="ES11:EV11" si="78">ES242</f>
        <v>#ERROR!</v>
      </c>
      <c r="ET11" s="17" t="str">
        <f t="shared" si="78"/>
        <v>#ERROR!</v>
      </c>
      <c r="EU11" s="17" t="str">
        <f t="shared" si="78"/>
        <v>#ERROR!</v>
      </c>
      <c r="EV11" s="17" t="str">
        <f t="shared" si="78"/>
        <v>#ERROR!</v>
      </c>
      <c r="EW11" s="18" t="str">
        <f t="shared" ref="EW11:EW12" si="89">SUM(ES11:EV11)</f>
        <v>#ERROR!</v>
      </c>
      <c r="EX11" s="17" t="str">
        <f t="shared" ref="EX11:FA11" si="79">EX242</f>
        <v>#ERROR!</v>
      </c>
      <c r="EY11" s="17" t="str">
        <f t="shared" si="79"/>
        <v>#ERROR!</v>
      </c>
      <c r="EZ11" s="17" t="str">
        <f t="shared" si="79"/>
        <v>#ERROR!</v>
      </c>
      <c r="FA11" s="17" t="str">
        <f t="shared" si="79"/>
        <v>#ERROR!</v>
      </c>
      <c r="FB11" s="18" t="str">
        <f t="shared" ref="FB11:FB12" si="91">SUM(EX11:FA11)</f>
        <v>#ERROR!</v>
      </c>
      <c r="FC11" s="17" t="str">
        <f t="shared" ref="FC11:FF11" si="80">FC242</f>
        <v>#ERROR!</v>
      </c>
      <c r="FD11" s="17" t="str">
        <f t="shared" si="80"/>
        <v>#ERROR!</v>
      </c>
      <c r="FE11" s="17" t="str">
        <f t="shared" si="80"/>
        <v>#ERROR!</v>
      </c>
      <c r="FF11" s="17" t="str">
        <f t="shared" si="80"/>
        <v>#ERROR!</v>
      </c>
      <c r="FG11" s="18" t="str">
        <f t="shared" ref="FG11:FG12" si="93">SUM(FC11:FF11)</f>
        <v>#ERROR!</v>
      </c>
      <c r="FH11" s="74"/>
      <c r="FI11" s="4"/>
      <c r="FJ11" s="4"/>
      <c r="FK11" s="4"/>
      <c r="FL11" s="4"/>
    </row>
    <row r="12" ht="12.75" customHeight="1">
      <c r="A12" s="4"/>
      <c r="B12" s="4" t="s">
        <v>15</v>
      </c>
      <c r="C12" s="4"/>
      <c r="D12" s="17"/>
      <c r="E12" s="17"/>
      <c r="F12" s="17"/>
      <c r="G12" s="17"/>
      <c r="H12" s="73">
        <f>SUM(H9,H10)</f>
        <v>20847</v>
      </c>
      <c r="I12" s="17"/>
      <c r="J12" s="17"/>
      <c r="K12" s="17"/>
      <c r="L12" s="17"/>
      <c r="M12" s="73">
        <f>SUM(M9,M10)</f>
        <v>25071</v>
      </c>
      <c r="N12" s="17">
        <v>6001.0</v>
      </c>
      <c r="O12" s="17">
        <v>5927.0</v>
      </c>
      <c r="P12" s="17">
        <v>6731.0</v>
      </c>
      <c r="Q12" s="17">
        <v>7614.0</v>
      </c>
      <c r="R12" s="73">
        <f>+SUM(N12:Q12)</f>
        <v>26273</v>
      </c>
      <c r="S12" s="17">
        <v>7103.0</v>
      </c>
      <c r="T12" s="17">
        <v>6746.0</v>
      </c>
      <c r="U12" s="17">
        <v>7328.0</v>
      </c>
      <c r="V12" s="17">
        <v>8212.0</v>
      </c>
      <c r="W12" s="73">
        <f>+SUM(S12:V12)</f>
        <v>29389</v>
      </c>
      <c r="X12" s="17">
        <v>7993.0</v>
      </c>
      <c r="Y12" s="17">
        <v>8300.0</v>
      </c>
      <c r="Z12" s="17">
        <v>8731.0</v>
      </c>
      <c r="AA12" s="17">
        <v>8702.0</v>
      </c>
      <c r="AB12" s="73">
        <f>+SUM(X12:AA12)</f>
        <v>33726</v>
      </c>
      <c r="AC12" s="17">
        <v>6677.0</v>
      </c>
      <c r="AD12" s="17">
        <v>6334.0</v>
      </c>
      <c r="AE12" s="17">
        <v>6545.0</v>
      </c>
      <c r="AF12" s="17">
        <v>6983.0</v>
      </c>
      <c r="AG12" s="73">
        <f>+SUM(AC12:AF12)</f>
        <v>26539</v>
      </c>
      <c r="AH12" s="17">
        <v>6781.0</v>
      </c>
      <c r="AI12" s="17">
        <v>6319.0</v>
      </c>
      <c r="AJ12" s="17">
        <v>6504.0</v>
      </c>
      <c r="AK12" s="17">
        <v>7160.0</v>
      </c>
      <c r="AL12" s="73">
        <f>+SUM(AH12:AK12)</f>
        <v>26764</v>
      </c>
      <c r="AM12" s="17">
        <v>6751.0</v>
      </c>
      <c r="AN12" s="17">
        <v>6816.0</v>
      </c>
      <c r="AO12" s="17">
        <v>7833.0</v>
      </c>
      <c r="AP12" s="17">
        <v>8741.0</v>
      </c>
      <c r="AQ12" s="73">
        <f>AQ858</f>
        <v>30141</v>
      </c>
      <c r="AR12" s="17">
        <v>8091.0</v>
      </c>
      <c r="AS12" s="17">
        <v>8049.0</v>
      </c>
      <c r="AT12" s="17">
        <v>8471.0</v>
      </c>
      <c r="AU12" s="17">
        <v>9598.0</v>
      </c>
      <c r="AV12" s="73">
        <f>AV858</f>
        <v>34209</v>
      </c>
      <c r="AW12" s="17">
        <v>9434.0</v>
      </c>
      <c r="AX12" s="17">
        <v>9231.0</v>
      </c>
      <c r="AY12" s="17">
        <v>9960.0</v>
      </c>
      <c r="AZ12" s="17">
        <v>10201.0</v>
      </c>
      <c r="BA12" s="73">
        <f>SUM(AW12:AZ12)</f>
        <v>38826</v>
      </c>
      <c r="BB12" s="17">
        <v>8940.0</v>
      </c>
      <c r="BC12" s="17">
        <v>8009.0</v>
      </c>
      <c r="BD12" s="17">
        <v>8739.0</v>
      </c>
      <c r="BE12" s="17">
        <v>9694.0</v>
      </c>
      <c r="BF12" s="73">
        <f>SUM(BB12:BE12)</f>
        <v>35382</v>
      </c>
      <c r="BG12" s="17">
        <v>8852.0</v>
      </c>
      <c r="BH12" s="17">
        <v>8680.0</v>
      </c>
      <c r="BI12" s="17">
        <v>10090.0</v>
      </c>
      <c r="BJ12" s="17">
        <v>10712.0</v>
      </c>
      <c r="BK12" s="73">
        <f>SUM(BG12:BJ12)</f>
        <v>38334</v>
      </c>
      <c r="BL12" s="17">
        <v>9673.0</v>
      </c>
      <c r="BM12" s="17">
        <v>9470.0</v>
      </c>
      <c r="BN12" s="17">
        <v>10217.0</v>
      </c>
      <c r="BO12" s="17">
        <v>8226.0</v>
      </c>
      <c r="BP12" s="73">
        <f>SUM(BL12:BO12)</f>
        <v>37586</v>
      </c>
      <c r="BQ12" s="17">
        <v>7145.0</v>
      </c>
      <c r="BR12" s="17">
        <v>8024.0</v>
      </c>
      <c r="BS12" s="17">
        <v>9389.0</v>
      </c>
      <c r="BT12" s="17">
        <v>10569.0</v>
      </c>
      <c r="BU12" s="73">
        <f>SUM(BQ12:BT12)</f>
        <v>35127</v>
      </c>
      <c r="BV12" s="17">
        <v>10299.0</v>
      </c>
      <c r="BW12" s="17">
        <v>10765.0</v>
      </c>
      <c r="BX12" s="17">
        <v>11102.0</v>
      </c>
      <c r="BY12" s="17">
        <v>11457.0</v>
      </c>
      <c r="BZ12" s="18">
        <f>SUM(BV12:BY12)</f>
        <v>43623</v>
      </c>
      <c r="CA12" s="17">
        <v>12847.0</v>
      </c>
      <c r="CB12" s="17">
        <v>13032.0</v>
      </c>
      <c r="CC12" s="17">
        <v>14233.0</v>
      </c>
      <c r="CD12" s="17">
        <v>13887.0</v>
      </c>
      <c r="CE12" s="18">
        <f>SUM(CA12:CD12)</f>
        <v>53999</v>
      </c>
      <c r="CF12" s="17">
        <v>12906.0</v>
      </c>
      <c r="CG12" s="17">
        <v>13501.0</v>
      </c>
      <c r="CH12" s="17">
        <v>13457.0</v>
      </c>
      <c r="CI12" s="17">
        <v>13477.0</v>
      </c>
      <c r="CJ12" s="80">
        <f>SUM(CF12:CI12)</f>
        <v>53341</v>
      </c>
      <c r="CK12" s="17">
        <v>12580.0</v>
      </c>
      <c r="CL12" s="17">
        <v>12811.0</v>
      </c>
      <c r="CM12" s="17">
        <v>13483.0</v>
      </c>
      <c r="CN12" s="19">
        <v>13834.0</v>
      </c>
      <c r="CO12" s="18">
        <f>SUM(CK12:CN12)</f>
        <v>52708</v>
      </c>
      <c r="CP12" s="19">
        <v>12764.0</v>
      </c>
      <c r="CQ12" s="17">
        <v>13831.0</v>
      </c>
      <c r="CR12" s="17">
        <v>14554.0</v>
      </c>
      <c r="CS12" s="17">
        <v>14721.0</v>
      </c>
      <c r="CT12" s="18">
        <f>SUM(CP12:CS12)</f>
        <v>55870</v>
      </c>
      <c r="CU12" s="17">
        <v>12781.0</v>
      </c>
      <c r="CV12" s="17">
        <v>13195.0</v>
      </c>
      <c r="CW12" s="17">
        <v>14465.0</v>
      </c>
      <c r="CX12" s="17">
        <v>14914.0</v>
      </c>
      <c r="CY12" s="18">
        <f>SUM(CU12:CX12)</f>
        <v>55355</v>
      </c>
      <c r="CZ12" s="17">
        <f>13702+99</f>
        <v>13801</v>
      </c>
      <c r="DA12" s="17">
        <v>13533.0</v>
      </c>
      <c r="DB12" s="17">
        <v>15778.0</v>
      </c>
      <c r="DC12" s="17">
        <v>16374.0</v>
      </c>
      <c r="DD12" s="18">
        <f>SUM(CZ12:DC12)</f>
        <v>59486</v>
      </c>
      <c r="DE12" s="17">
        <v>14796.0</v>
      </c>
      <c r="DF12" s="17">
        <v>14763.0</v>
      </c>
      <c r="DG12" s="19">
        <v>16149.0</v>
      </c>
      <c r="DH12" s="17">
        <v>17053.0</v>
      </c>
      <c r="DI12" s="18">
        <f>SUM(DE12:DH12)</f>
        <v>62761</v>
      </c>
      <c r="DJ12" s="19">
        <v>16066.0</v>
      </c>
      <c r="DK12" s="19">
        <v>16962.0</v>
      </c>
      <c r="DL12" s="19">
        <v>19163.0</v>
      </c>
      <c r="DM12" s="19">
        <v>18657.0</v>
      </c>
      <c r="DN12" s="18">
        <f>SUM(DJ12:DM12)</f>
        <v>70848</v>
      </c>
      <c r="DO12" s="19">
        <v>16061.0</v>
      </c>
      <c r="DP12" s="19">
        <v>16505.0</v>
      </c>
      <c r="DQ12" s="19">
        <v>19190.0</v>
      </c>
      <c r="DR12" s="19">
        <v>20209.0</v>
      </c>
      <c r="DS12" s="18">
        <f>SUM(DO12:DR12)</f>
        <v>71965</v>
      </c>
      <c r="DT12" s="19">
        <v>19828.0</v>
      </c>
      <c r="DU12" s="19">
        <v>19728.0</v>
      </c>
      <c r="DV12" s="19">
        <v>18333.0</v>
      </c>
      <c r="DW12" s="19">
        <v>19978.0</v>
      </c>
      <c r="DX12" s="18">
        <f>SUM(DT12:DW12)</f>
        <v>77867</v>
      </c>
      <c r="DY12" s="19">
        <v>18566.0</v>
      </c>
      <c r="DZ12" s="19">
        <v>18533.0</v>
      </c>
      <c r="EA12" s="19">
        <v>18087.0</v>
      </c>
      <c r="EB12" s="19">
        <v>19532.0</v>
      </c>
      <c r="EC12" s="18">
        <f t="shared" si="81"/>
        <v>74718</v>
      </c>
      <c r="ED12" s="19">
        <f t="shared" ref="ED12:EG12" si="82">ED11</f>
        <v>18353</v>
      </c>
      <c r="EE12" s="19">
        <f t="shared" si="82"/>
        <v>15321</v>
      </c>
      <c r="EF12" s="19">
        <f t="shared" si="82"/>
        <v>15338</v>
      </c>
      <c r="EG12" s="19">
        <f t="shared" si="82"/>
        <v>14042</v>
      </c>
      <c r="EH12" s="18">
        <f t="shared" si="83"/>
        <v>63054</v>
      </c>
      <c r="EI12" s="25" t="str">
        <f t="shared" ref="EI12:EL12" si="84">EI11</f>
        <v>#ERROR!</v>
      </c>
      <c r="EJ12" s="19" t="str">
        <f t="shared" si="84"/>
        <v>#ERROR!</v>
      </c>
      <c r="EK12" s="19" t="str">
        <f t="shared" si="84"/>
        <v>#ERROR!</v>
      </c>
      <c r="EL12" s="19" t="str">
        <f t="shared" si="84"/>
        <v>#ERROR!</v>
      </c>
      <c r="EM12" s="81" t="str">
        <f t="shared" si="85"/>
        <v>#ERROR!</v>
      </c>
      <c r="EN12" s="19" t="str">
        <f t="shared" ref="EN12:EQ12" si="86">EN11</f>
        <v>#ERROR!</v>
      </c>
      <c r="EO12" s="19" t="str">
        <f t="shared" si="86"/>
        <v>#ERROR!</v>
      </c>
      <c r="EP12" s="19" t="str">
        <f t="shared" si="86"/>
        <v>#ERROR!</v>
      </c>
      <c r="EQ12" s="19" t="str">
        <f t="shared" si="86"/>
        <v>#ERROR!</v>
      </c>
      <c r="ER12" s="18" t="str">
        <f t="shared" si="87"/>
        <v>#ERROR!</v>
      </c>
      <c r="ES12" s="19" t="str">
        <f t="shared" ref="ES12:EV12" si="88">ES11</f>
        <v>#ERROR!</v>
      </c>
      <c r="ET12" s="19" t="str">
        <f t="shared" si="88"/>
        <v>#ERROR!</v>
      </c>
      <c r="EU12" s="19" t="str">
        <f t="shared" si="88"/>
        <v>#ERROR!</v>
      </c>
      <c r="EV12" s="19" t="str">
        <f t="shared" si="88"/>
        <v>#ERROR!</v>
      </c>
      <c r="EW12" s="18" t="str">
        <f t="shared" si="89"/>
        <v>#ERROR!</v>
      </c>
      <c r="EX12" s="19" t="str">
        <f t="shared" ref="EX12:FA12" si="90">EX11</f>
        <v>#ERROR!</v>
      </c>
      <c r="EY12" s="19" t="str">
        <f t="shared" si="90"/>
        <v>#ERROR!</v>
      </c>
      <c r="EZ12" s="19" t="str">
        <f t="shared" si="90"/>
        <v>#ERROR!</v>
      </c>
      <c r="FA12" s="19" t="str">
        <f t="shared" si="90"/>
        <v>#ERROR!</v>
      </c>
      <c r="FB12" s="18" t="str">
        <f t="shared" si="91"/>
        <v>#ERROR!</v>
      </c>
      <c r="FC12" s="19" t="str">
        <f t="shared" ref="FC12:FF12" si="92">FC11</f>
        <v>#ERROR!</v>
      </c>
      <c r="FD12" s="19" t="str">
        <f t="shared" si="92"/>
        <v>#ERROR!</v>
      </c>
      <c r="FE12" s="19" t="str">
        <f t="shared" si="92"/>
        <v>#ERROR!</v>
      </c>
      <c r="FF12" s="19" t="str">
        <f t="shared" si="92"/>
        <v>#ERROR!</v>
      </c>
      <c r="FG12" s="18" t="str">
        <f t="shared" si="93"/>
        <v>#ERROR!</v>
      </c>
      <c r="FH12" s="74"/>
      <c r="FI12" s="4"/>
      <c r="FJ12" s="4"/>
      <c r="FK12" s="4"/>
      <c r="FL12" s="4"/>
    </row>
    <row r="13" ht="12.75" customHeight="1">
      <c r="A13" s="4"/>
      <c r="B13" s="72" t="s">
        <v>16</v>
      </c>
      <c r="C13" s="4"/>
      <c r="D13" s="17"/>
      <c r="E13" s="17"/>
      <c r="F13" s="17"/>
      <c r="G13" s="17"/>
      <c r="H13" s="73"/>
      <c r="I13" s="17"/>
      <c r="J13" s="17"/>
      <c r="K13" s="17"/>
      <c r="L13" s="17"/>
      <c r="M13" s="73"/>
      <c r="N13" s="17"/>
      <c r="O13" s="17"/>
      <c r="P13" s="17"/>
      <c r="Q13" s="17"/>
      <c r="R13" s="73"/>
      <c r="S13" s="17"/>
      <c r="T13" s="17"/>
      <c r="U13" s="17"/>
      <c r="V13" s="17"/>
      <c r="W13" s="73"/>
      <c r="X13" s="17"/>
      <c r="Y13" s="17"/>
      <c r="Z13" s="17"/>
      <c r="AA13" s="17"/>
      <c r="AB13" s="73"/>
      <c r="AC13" s="17"/>
      <c r="AD13" s="17"/>
      <c r="AE13" s="17"/>
      <c r="AF13" s="17"/>
      <c r="AG13" s="73"/>
      <c r="AH13" s="17"/>
      <c r="AI13" s="17"/>
      <c r="AJ13" s="17"/>
      <c r="AK13" s="17"/>
      <c r="AL13" s="73"/>
      <c r="AM13" s="17"/>
      <c r="AN13" s="17"/>
      <c r="AO13" s="17"/>
      <c r="AP13" s="17"/>
      <c r="AQ13" s="73"/>
      <c r="AR13" s="17"/>
      <c r="AS13" s="17"/>
      <c r="AT13" s="17"/>
      <c r="AU13" s="17"/>
      <c r="AV13" s="73"/>
      <c r="AW13" s="17"/>
      <c r="AX13" s="17"/>
      <c r="AY13" s="17"/>
      <c r="AZ13" s="17"/>
      <c r="BA13" s="73"/>
      <c r="BB13" s="17"/>
      <c r="BC13" s="17"/>
      <c r="BD13" s="17"/>
      <c r="BE13" s="17"/>
      <c r="BF13" s="73"/>
      <c r="BG13" s="17"/>
      <c r="BH13" s="17"/>
      <c r="BI13" s="17"/>
      <c r="BJ13" s="17"/>
      <c r="BK13" s="73"/>
      <c r="BL13" s="17"/>
      <c r="BM13" s="17"/>
      <c r="BN13" s="17"/>
      <c r="BO13" s="17"/>
      <c r="BP13" s="73"/>
      <c r="BQ13" s="17"/>
      <c r="BR13" s="17"/>
      <c r="BS13" s="17"/>
      <c r="BT13" s="17"/>
      <c r="BU13" s="73"/>
      <c r="BV13" s="17"/>
      <c r="BW13" s="17"/>
      <c r="BX13" s="17"/>
      <c r="BY13" s="17"/>
      <c r="BZ13" s="18"/>
      <c r="CA13" s="17"/>
      <c r="CB13" s="17"/>
      <c r="CC13" s="17"/>
      <c r="CD13" s="17"/>
      <c r="CE13" s="18"/>
      <c r="CF13" s="17"/>
      <c r="CG13" s="17"/>
      <c r="CH13" s="17"/>
      <c r="CI13" s="17"/>
      <c r="CJ13" s="80"/>
      <c r="CK13" s="15">
        <f>(CK12-CI12)/CI12</f>
        <v>-0.06655783928</v>
      </c>
      <c r="CL13" s="15">
        <f t="shared" ref="CL13:CN13" si="94">(CL12-CK12)/CK12</f>
        <v>0.01836248013</v>
      </c>
      <c r="CM13" s="15">
        <f t="shared" si="94"/>
        <v>0.05245492155</v>
      </c>
      <c r="CN13" s="15">
        <f t="shared" si="94"/>
        <v>0.02603278202</v>
      </c>
      <c r="CO13" s="18"/>
      <c r="CP13" s="15">
        <f>(CP12-CN12)/CN12</f>
        <v>-0.07734567009</v>
      </c>
      <c r="CQ13" s="15">
        <f t="shared" ref="CQ13:CS13" si="95">(CQ12-CP12)/CP12</f>
        <v>0.08359448449</v>
      </c>
      <c r="CR13" s="15">
        <f t="shared" si="95"/>
        <v>0.05227387752</v>
      </c>
      <c r="CS13" s="15">
        <f t="shared" si="95"/>
        <v>0.01147450873</v>
      </c>
      <c r="CT13" s="18"/>
      <c r="CU13" s="15">
        <f>(CU12-CS12)/CS12</f>
        <v>-0.1317845255</v>
      </c>
      <c r="CV13" s="15">
        <f t="shared" ref="CV13:CX13" si="96">(CV12-CU12)/CU12</f>
        <v>0.03239183163</v>
      </c>
      <c r="CW13" s="15">
        <f t="shared" si="96"/>
        <v>0.09624857901</v>
      </c>
      <c r="CX13" s="15">
        <f t="shared" si="96"/>
        <v>0.03104044245</v>
      </c>
      <c r="CY13" s="18"/>
      <c r="CZ13" s="15">
        <f>(CZ12-CX12)/CX12</f>
        <v>-0.07462786643</v>
      </c>
      <c r="DA13" s="15">
        <f t="shared" ref="DA13:DC13" si="97">(DA12-CZ12)/CZ12</f>
        <v>-0.01941888269</v>
      </c>
      <c r="DB13" s="15">
        <f t="shared" si="97"/>
        <v>0.1658907855</v>
      </c>
      <c r="DC13" s="15">
        <f t="shared" si="97"/>
        <v>0.03777411586</v>
      </c>
      <c r="DD13" s="18"/>
      <c r="DE13" s="15">
        <f>(DE12-DC12)/DC12</f>
        <v>-0.09637229754</v>
      </c>
      <c r="DF13" s="15">
        <f t="shared" ref="DF13:DH13" si="98">(DF12-DE12)/DE12</f>
        <v>-0.002230332522</v>
      </c>
      <c r="DG13" s="15">
        <f t="shared" si="98"/>
        <v>0.09388335704</v>
      </c>
      <c r="DH13" s="15">
        <f t="shared" si="98"/>
        <v>0.05597869837</v>
      </c>
      <c r="DI13" s="18"/>
      <c r="DJ13" s="40">
        <f>(DJ12-DH12)/DH12</f>
        <v>-0.05787837917</v>
      </c>
      <c r="DK13" s="40">
        <f t="shared" ref="DK13:DM13" si="99">(DK12-DJ12)/DJ12</f>
        <v>0.05576994896</v>
      </c>
      <c r="DL13" s="40">
        <f t="shared" si="99"/>
        <v>0.1297606414</v>
      </c>
      <c r="DM13" s="40">
        <f t="shared" si="99"/>
        <v>-0.0264050514</v>
      </c>
      <c r="DN13" s="18"/>
      <c r="DO13" s="40">
        <f>(DO12-DM12)/DM12</f>
        <v>-0.139143485</v>
      </c>
      <c r="DP13" s="40">
        <f t="shared" ref="DP13:DR13" si="100">(DP12-DO12)/DO12</f>
        <v>0.02764460494</v>
      </c>
      <c r="DQ13" s="40">
        <f t="shared" si="100"/>
        <v>0.1626779764</v>
      </c>
      <c r="DR13" s="40">
        <f t="shared" si="100"/>
        <v>0.05310057322</v>
      </c>
      <c r="DS13" s="18"/>
      <c r="DT13" s="40">
        <f>(DT12-DR12)/DR12</f>
        <v>-0.01885298629</v>
      </c>
      <c r="DU13" s="40">
        <f t="shared" ref="DU13:DW13" si="101">(DU12-DT12)/DT12</f>
        <v>-0.005043373008</v>
      </c>
      <c r="DV13" s="40">
        <f t="shared" si="101"/>
        <v>-0.07071167883</v>
      </c>
      <c r="DW13" s="40">
        <f t="shared" si="101"/>
        <v>0.08972890416</v>
      </c>
      <c r="DX13" s="18"/>
      <c r="DY13" s="40">
        <f>(DY12-DW12)/DW12</f>
        <v>-0.07067774552</v>
      </c>
      <c r="DZ13" s="40">
        <f t="shared" ref="DZ13:EB13" si="102">(DZ12-DY12)/DY12</f>
        <v>-0.001777442637</v>
      </c>
      <c r="EA13" s="40">
        <f t="shared" si="102"/>
        <v>-0.02406518103</v>
      </c>
      <c r="EB13" s="40">
        <f t="shared" si="102"/>
        <v>0.07989163488</v>
      </c>
      <c r="EC13" s="18"/>
      <c r="ED13" s="40">
        <f>(ED12-EB12)/EB12</f>
        <v>-0.06036248208</v>
      </c>
      <c r="EE13" s="40">
        <f t="shared" ref="EE13:EG13" si="103">(EE12-ED12)/ED12</f>
        <v>-0.1652045987</v>
      </c>
      <c r="EF13" s="40">
        <f t="shared" si="103"/>
        <v>0.001109588147</v>
      </c>
      <c r="EG13" s="40">
        <f t="shared" si="103"/>
        <v>-0.08449602295</v>
      </c>
      <c r="EH13" s="18"/>
      <c r="EI13" s="82" t="str">
        <f>(EI12-EG12)/EG12</f>
        <v>#ERROR!</v>
      </c>
      <c r="EJ13" s="15" t="str">
        <f t="shared" ref="EJ13:EL13" si="104">(EJ12-EI12)/EI12</f>
        <v>#ERROR!</v>
      </c>
      <c r="EK13" s="15" t="str">
        <f t="shared" si="104"/>
        <v>#ERROR!</v>
      </c>
      <c r="EL13" s="15" t="str">
        <f t="shared" si="104"/>
        <v>#ERROR!</v>
      </c>
      <c r="EM13" s="18"/>
      <c r="EN13" s="15" t="str">
        <f>(EN12-EL12)/EL12</f>
        <v>#ERROR!</v>
      </c>
      <c r="EO13" s="15" t="str">
        <f t="shared" ref="EO13:EQ13" si="105">(EO12-EN12)/EN12</f>
        <v>#ERROR!</v>
      </c>
      <c r="EP13" s="15" t="str">
        <f t="shared" si="105"/>
        <v>#ERROR!</v>
      </c>
      <c r="EQ13" s="15" t="str">
        <f t="shared" si="105"/>
        <v>#ERROR!</v>
      </c>
      <c r="ER13" s="18"/>
      <c r="ES13" s="15" t="str">
        <f>(ES12-EQ12)/EQ12</f>
        <v>#ERROR!</v>
      </c>
      <c r="ET13" s="15" t="str">
        <f t="shared" ref="ET13:EV13" si="106">(ET12-ES12)/ES12</f>
        <v>#ERROR!</v>
      </c>
      <c r="EU13" s="15" t="str">
        <f t="shared" si="106"/>
        <v>#ERROR!</v>
      </c>
      <c r="EV13" s="15" t="str">
        <f t="shared" si="106"/>
        <v>#ERROR!</v>
      </c>
      <c r="EW13" s="18"/>
      <c r="EX13" s="15" t="str">
        <f>(EX12-EV12)/EV12</f>
        <v>#ERROR!</v>
      </c>
      <c r="EY13" s="15" t="str">
        <f t="shared" ref="EY13:FA13" si="107">(EY12-EX12)/EX12</f>
        <v>#ERROR!</v>
      </c>
      <c r="EZ13" s="15" t="str">
        <f t="shared" si="107"/>
        <v>#ERROR!</v>
      </c>
      <c r="FA13" s="15" t="str">
        <f t="shared" si="107"/>
        <v>#ERROR!</v>
      </c>
      <c r="FB13" s="18"/>
      <c r="FC13" s="15" t="str">
        <f>(FC12-FA12)/FA12</f>
        <v>#ERROR!</v>
      </c>
      <c r="FD13" s="15" t="str">
        <f t="shared" ref="FD13:FF13" si="108">(FD12-FC12)/FC12</f>
        <v>#ERROR!</v>
      </c>
      <c r="FE13" s="15" t="str">
        <f t="shared" si="108"/>
        <v>#ERROR!</v>
      </c>
      <c r="FF13" s="15" t="str">
        <f t="shared" si="108"/>
        <v>#ERROR!</v>
      </c>
      <c r="FG13" s="18"/>
      <c r="FH13" s="74"/>
      <c r="FI13" s="4"/>
      <c r="FJ13" s="4"/>
      <c r="FK13" s="4"/>
      <c r="FL13" s="4"/>
    </row>
    <row r="14" ht="12.75" customHeight="1">
      <c r="A14" s="4"/>
      <c r="B14" s="72" t="s">
        <v>17</v>
      </c>
      <c r="C14" s="4"/>
      <c r="D14" s="17"/>
      <c r="E14" s="17"/>
      <c r="F14" s="17"/>
      <c r="G14" s="17"/>
      <c r="H14" s="73"/>
      <c r="I14" s="17"/>
      <c r="J14" s="17"/>
      <c r="K14" s="17"/>
      <c r="L14" s="17"/>
      <c r="M14" s="73"/>
      <c r="N14" s="17"/>
      <c r="O14" s="17"/>
      <c r="P14" s="17"/>
      <c r="Q14" s="17"/>
      <c r="R14" s="73"/>
      <c r="S14" s="17"/>
      <c r="T14" s="17"/>
      <c r="U14" s="17"/>
      <c r="V14" s="17"/>
      <c r="W14" s="73"/>
      <c r="X14" s="17"/>
      <c r="Y14" s="17"/>
      <c r="Z14" s="17"/>
      <c r="AA14" s="17"/>
      <c r="AB14" s="73"/>
      <c r="AC14" s="17"/>
      <c r="AD14" s="17"/>
      <c r="AE14" s="17"/>
      <c r="AF14" s="17"/>
      <c r="AG14" s="73"/>
      <c r="AH14" s="17"/>
      <c r="AI14" s="17"/>
      <c r="AJ14" s="17"/>
      <c r="AK14" s="17"/>
      <c r="AL14" s="73"/>
      <c r="AM14" s="17"/>
      <c r="AN14" s="17"/>
      <c r="AO14" s="17"/>
      <c r="AP14" s="17"/>
      <c r="AQ14" s="73"/>
      <c r="AR14" s="17"/>
      <c r="AS14" s="17"/>
      <c r="AT14" s="17"/>
      <c r="AU14" s="17"/>
      <c r="AV14" s="73"/>
      <c r="AW14" s="17"/>
      <c r="AX14" s="17"/>
      <c r="AY14" s="17"/>
      <c r="AZ14" s="17"/>
      <c r="BA14" s="73"/>
      <c r="BB14" s="17"/>
      <c r="BC14" s="17"/>
      <c r="BD14" s="17"/>
      <c r="BE14" s="17"/>
      <c r="BF14" s="73"/>
      <c r="BG14" s="17"/>
      <c r="BH14" s="17"/>
      <c r="BI14" s="17"/>
      <c r="BJ14" s="17"/>
      <c r="BK14" s="73"/>
      <c r="BL14" s="17"/>
      <c r="BM14" s="17"/>
      <c r="BN14" s="17"/>
      <c r="BO14" s="17"/>
      <c r="BP14" s="73"/>
      <c r="BQ14" s="17"/>
      <c r="BR14" s="17"/>
      <c r="BS14" s="17"/>
      <c r="BT14" s="17"/>
      <c r="BU14" s="73"/>
      <c r="BV14" s="17"/>
      <c r="BW14" s="17"/>
      <c r="BX14" s="17"/>
      <c r="BY14" s="17"/>
      <c r="BZ14" s="18"/>
      <c r="CA14" s="17"/>
      <c r="CB14" s="17"/>
      <c r="CC14" s="17"/>
      <c r="CD14" s="17"/>
      <c r="CE14" s="18"/>
      <c r="CF14" s="17"/>
      <c r="CG14" s="17"/>
      <c r="CH14" s="17"/>
      <c r="CI14" s="17"/>
      <c r="CJ14" s="80"/>
      <c r="CK14" s="15">
        <f t="shared" ref="CK14:FG14" si="109">(CK12-CF12)/CF12</f>
        <v>-0.02525956919</v>
      </c>
      <c r="CL14" s="15">
        <f t="shared" si="109"/>
        <v>-0.05110732538</v>
      </c>
      <c r="CM14" s="15">
        <f t="shared" si="109"/>
        <v>0.001932079958</v>
      </c>
      <c r="CN14" s="15">
        <f t="shared" si="109"/>
        <v>0.02648957483</v>
      </c>
      <c r="CO14" s="23">
        <f t="shared" si="109"/>
        <v>-0.01186704411</v>
      </c>
      <c r="CP14" s="15">
        <f t="shared" si="109"/>
        <v>0.0146263911</v>
      </c>
      <c r="CQ14" s="15">
        <f t="shared" si="109"/>
        <v>0.07961907736</v>
      </c>
      <c r="CR14" s="15">
        <f t="shared" si="109"/>
        <v>0.07943336053</v>
      </c>
      <c r="CS14" s="15">
        <f t="shared" si="109"/>
        <v>0.06411739193</v>
      </c>
      <c r="CT14" s="23">
        <f t="shared" si="109"/>
        <v>0.05999089322</v>
      </c>
      <c r="CU14" s="15">
        <f t="shared" si="109"/>
        <v>0.001331870887</v>
      </c>
      <c r="CV14" s="15">
        <f t="shared" si="109"/>
        <v>-0.04598365989</v>
      </c>
      <c r="CW14" s="15">
        <f t="shared" si="109"/>
        <v>-0.006115157345</v>
      </c>
      <c r="CX14" s="15">
        <f t="shared" si="109"/>
        <v>0.01311052238</v>
      </c>
      <c r="CY14" s="23">
        <f t="shared" si="109"/>
        <v>-0.009217827099</v>
      </c>
      <c r="CZ14" s="15">
        <f t="shared" si="109"/>
        <v>0.07980596197</v>
      </c>
      <c r="DA14" s="15">
        <f t="shared" si="109"/>
        <v>0.02561576355</v>
      </c>
      <c r="DB14" s="15">
        <f t="shared" si="109"/>
        <v>0.09077082613</v>
      </c>
      <c r="DC14" s="15">
        <f t="shared" si="109"/>
        <v>0.09789459568</v>
      </c>
      <c r="DD14" s="23">
        <f t="shared" si="109"/>
        <v>0.07462740493</v>
      </c>
      <c r="DE14" s="15">
        <f t="shared" si="109"/>
        <v>0.07209622491</v>
      </c>
      <c r="DF14" s="15">
        <f t="shared" si="109"/>
        <v>0.09088893815</v>
      </c>
      <c r="DG14" s="15">
        <f t="shared" si="109"/>
        <v>0.02351375333</v>
      </c>
      <c r="DH14" s="15">
        <f t="shared" si="109"/>
        <v>0.04146818126</v>
      </c>
      <c r="DI14" s="23">
        <f t="shared" si="109"/>
        <v>0.05505497092</v>
      </c>
      <c r="DJ14" s="40">
        <f t="shared" si="109"/>
        <v>0.08583400919</v>
      </c>
      <c r="DK14" s="40">
        <f t="shared" si="109"/>
        <v>0.1489534647</v>
      </c>
      <c r="DL14" s="40">
        <f t="shared" si="109"/>
        <v>0.1866369435</v>
      </c>
      <c r="DM14" s="40">
        <f t="shared" si="109"/>
        <v>0.09405969624</v>
      </c>
      <c r="DN14" s="23">
        <f t="shared" si="109"/>
        <v>0.1288539061</v>
      </c>
      <c r="DO14" s="40">
        <f t="shared" si="109"/>
        <v>-0.000311216233</v>
      </c>
      <c r="DP14" s="40">
        <f t="shared" si="109"/>
        <v>-0.02694257753</v>
      </c>
      <c r="DQ14" s="40">
        <f t="shared" si="109"/>
        <v>0.001408965193</v>
      </c>
      <c r="DR14" s="40">
        <f t="shared" si="109"/>
        <v>0.08318593557</v>
      </c>
      <c r="DS14" s="23">
        <f t="shared" si="109"/>
        <v>0.01576614724</v>
      </c>
      <c r="DT14" s="40">
        <f t="shared" si="109"/>
        <v>0.2345433037</v>
      </c>
      <c r="DU14" s="40">
        <f t="shared" si="109"/>
        <v>0.1952741593</v>
      </c>
      <c r="DV14" s="40">
        <f t="shared" si="109"/>
        <v>-0.04465867639</v>
      </c>
      <c r="DW14" s="40">
        <f t="shared" si="109"/>
        <v>-0.01143055074</v>
      </c>
      <c r="DX14" s="23">
        <f t="shared" si="109"/>
        <v>0.08201208921</v>
      </c>
      <c r="DY14" s="40">
        <f t="shared" si="109"/>
        <v>-0.06364736736</v>
      </c>
      <c r="DZ14" s="40">
        <f t="shared" si="109"/>
        <v>-0.06057380373</v>
      </c>
      <c r="EA14" s="40">
        <f t="shared" si="109"/>
        <v>-0.01341842579</v>
      </c>
      <c r="EB14" s="40">
        <f t="shared" si="109"/>
        <v>-0.02232455701</v>
      </c>
      <c r="EC14" s="23">
        <f t="shared" si="109"/>
        <v>-0.04044075154</v>
      </c>
      <c r="ED14" s="40">
        <f t="shared" si="109"/>
        <v>-0.01147258429</v>
      </c>
      <c r="EE14" s="40">
        <f t="shared" si="109"/>
        <v>-0.1733124696</v>
      </c>
      <c r="EF14" s="40">
        <f t="shared" si="109"/>
        <v>-0.1519876154</v>
      </c>
      <c r="EG14" s="40">
        <f t="shared" si="109"/>
        <v>-0.2810772066</v>
      </c>
      <c r="EH14" s="23">
        <f t="shared" si="109"/>
        <v>-0.1561069622</v>
      </c>
      <c r="EI14" s="82" t="str">
        <f t="shared" si="109"/>
        <v>#ERROR!</v>
      </c>
      <c r="EJ14" s="15" t="str">
        <f t="shared" si="109"/>
        <v>#ERROR!</v>
      </c>
      <c r="EK14" s="15" t="str">
        <f t="shared" si="109"/>
        <v>#ERROR!</v>
      </c>
      <c r="EL14" s="15" t="str">
        <f t="shared" si="109"/>
        <v>#ERROR!</v>
      </c>
      <c r="EM14" s="23" t="str">
        <f t="shared" si="109"/>
        <v>#ERROR!</v>
      </c>
      <c r="EN14" s="15" t="str">
        <f t="shared" si="109"/>
        <v>#ERROR!</v>
      </c>
      <c r="EO14" s="15" t="str">
        <f t="shared" si="109"/>
        <v>#ERROR!</v>
      </c>
      <c r="EP14" s="15" t="str">
        <f t="shared" si="109"/>
        <v>#ERROR!</v>
      </c>
      <c r="EQ14" s="15" t="str">
        <f t="shared" si="109"/>
        <v>#ERROR!</v>
      </c>
      <c r="ER14" s="23" t="str">
        <f t="shared" si="109"/>
        <v>#ERROR!</v>
      </c>
      <c r="ES14" s="15" t="str">
        <f t="shared" si="109"/>
        <v>#ERROR!</v>
      </c>
      <c r="ET14" s="15" t="str">
        <f t="shared" si="109"/>
        <v>#ERROR!</v>
      </c>
      <c r="EU14" s="15" t="str">
        <f t="shared" si="109"/>
        <v>#ERROR!</v>
      </c>
      <c r="EV14" s="15" t="str">
        <f t="shared" si="109"/>
        <v>#ERROR!</v>
      </c>
      <c r="EW14" s="23" t="str">
        <f t="shared" si="109"/>
        <v>#ERROR!</v>
      </c>
      <c r="EX14" s="15" t="str">
        <f t="shared" si="109"/>
        <v>#ERROR!</v>
      </c>
      <c r="EY14" s="15" t="str">
        <f t="shared" si="109"/>
        <v>#ERROR!</v>
      </c>
      <c r="EZ14" s="15" t="str">
        <f t="shared" si="109"/>
        <v>#ERROR!</v>
      </c>
      <c r="FA14" s="15" t="str">
        <f t="shared" si="109"/>
        <v>#ERROR!</v>
      </c>
      <c r="FB14" s="23" t="str">
        <f t="shared" si="109"/>
        <v>#ERROR!</v>
      </c>
      <c r="FC14" s="15" t="str">
        <f t="shared" si="109"/>
        <v>#ERROR!</v>
      </c>
      <c r="FD14" s="15" t="str">
        <f t="shared" si="109"/>
        <v>#ERROR!</v>
      </c>
      <c r="FE14" s="15" t="str">
        <f t="shared" si="109"/>
        <v>#ERROR!</v>
      </c>
      <c r="FF14" s="15" t="str">
        <f t="shared" si="109"/>
        <v>#ERROR!</v>
      </c>
      <c r="FG14" s="23" t="str">
        <f t="shared" si="109"/>
        <v>#ERROR!</v>
      </c>
      <c r="FH14" s="83"/>
      <c r="FI14" s="4"/>
      <c r="FJ14" s="4"/>
      <c r="FK14" s="4"/>
      <c r="FL14" s="4"/>
    </row>
    <row r="15" ht="12.75" customHeight="1">
      <c r="A15" s="4"/>
      <c r="B15" s="84" t="s">
        <v>18</v>
      </c>
      <c r="C15" s="4"/>
      <c r="D15" s="17"/>
      <c r="E15" s="17"/>
      <c r="F15" s="17"/>
      <c r="G15" s="17"/>
      <c r="H15" s="73"/>
      <c r="I15" s="17"/>
      <c r="J15" s="17"/>
      <c r="K15" s="17"/>
      <c r="L15" s="17"/>
      <c r="M15" s="73"/>
      <c r="N15" s="17"/>
      <c r="O15" s="17"/>
      <c r="P15" s="17"/>
      <c r="Q15" s="17"/>
      <c r="R15" s="73"/>
      <c r="S15" s="17"/>
      <c r="T15" s="17"/>
      <c r="U15" s="17"/>
      <c r="V15" s="17"/>
      <c r="W15" s="73"/>
      <c r="X15" s="17"/>
      <c r="Y15" s="17"/>
      <c r="Z15" s="17"/>
      <c r="AA15" s="17"/>
      <c r="AB15" s="73"/>
      <c r="AC15" s="17"/>
      <c r="AD15" s="17"/>
      <c r="AE15" s="17"/>
      <c r="AF15" s="17"/>
      <c r="AG15" s="73"/>
      <c r="AH15" s="17"/>
      <c r="AI15" s="17"/>
      <c r="AJ15" s="17"/>
      <c r="AK15" s="17"/>
      <c r="AL15" s="73"/>
      <c r="AM15" s="17"/>
      <c r="AN15" s="17"/>
      <c r="AO15" s="17"/>
      <c r="AP15" s="17"/>
      <c r="AQ15" s="73"/>
      <c r="AR15" s="17"/>
      <c r="AS15" s="17"/>
      <c r="AT15" s="17"/>
      <c r="AU15" s="17"/>
      <c r="AV15" s="73"/>
      <c r="AW15" s="17"/>
      <c r="AX15" s="17"/>
      <c r="AY15" s="17"/>
      <c r="AZ15" s="17"/>
      <c r="BA15" s="73"/>
      <c r="BB15" s="17"/>
      <c r="BC15" s="17"/>
      <c r="BD15" s="17"/>
      <c r="BE15" s="17"/>
      <c r="BF15" s="73"/>
      <c r="BG15" s="17"/>
      <c r="BH15" s="17"/>
      <c r="BI15" s="17"/>
      <c r="BJ15" s="17"/>
      <c r="BK15" s="73"/>
      <c r="BL15" s="17"/>
      <c r="BM15" s="17"/>
      <c r="BN15" s="17"/>
      <c r="BO15" s="17"/>
      <c r="BP15" s="73"/>
      <c r="BQ15" s="17"/>
      <c r="BR15" s="17"/>
      <c r="BS15" s="17"/>
      <c r="BT15" s="17"/>
      <c r="BU15" s="73"/>
      <c r="BV15" s="17"/>
      <c r="BW15" s="17"/>
      <c r="BX15" s="17"/>
      <c r="BY15" s="17"/>
      <c r="BZ15" s="18"/>
      <c r="CA15" s="17"/>
      <c r="CB15" s="17"/>
      <c r="CC15" s="17"/>
      <c r="CD15" s="17"/>
      <c r="CE15" s="18"/>
      <c r="CF15" s="17"/>
      <c r="CG15" s="17"/>
      <c r="CH15" s="17"/>
      <c r="CI15" s="17"/>
      <c r="CJ15" s="80"/>
      <c r="CK15" s="15"/>
      <c r="CL15" s="15"/>
      <c r="CM15" s="15"/>
      <c r="CN15" s="15"/>
      <c r="CO15" s="23"/>
      <c r="CP15" s="15"/>
      <c r="CQ15" s="15"/>
      <c r="CR15" s="15"/>
      <c r="CS15" s="15"/>
      <c r="CT15" s="23"/>
      <c r="CU15" s="85">
        <f t="shared" ref="CU15:CX15" si="110">AVERAGE(CU13,CP13,CK13)</f>
        <v>-0.09189601163</v>
      </c>
      <c r="CV15" s="85">
        <f t="shared" si="110"/>
        <v>0.04478293208</v>
      </c>
      <c r="CW15" s="85">
        <f t="shared" si="110"/>
        <v>0.06699245936</v>
      </c>
      <c r="CX15" s="85">
        <f t="shared" si="110"/>
        <v>0.0228492444</v>
      </c>
      <c r="CY15" s="23"/>
      <c r="CZ15" s="85">
        <f t="shared" ref="CZ15:DC15" si="111">AVERAGE(CZ13,CU13,CP13)</f>
        <v>-0.09458602068</v>
      </c>
      <c r="DA15" s="85">
        <f t="shared" si="111"/>
        <v>0.03218914447</v>
      </c>
      <c r="DB15" s="85">
        <f t="shared" si="111"/>
        <v>0.104804414</v>
      </c>
      <c r="DC15" s="85">
        <f t="shared" si="111"/>
        <v>0.02676302234</v>
      </c>
      <c r="DD15" s="23"/>
      <c r="DE15" s="85">
        <f t="shared" ref="DE15:DH15" si="112">AVERAGE(DE13,CZ13,CU13)</f>
        <v>-0.1009282298</v>
      </c>
      <c r="DF15" s="85">
        <f t="shared" si="112"/>
        <v>0.003580872138</v>
      </c>
      <c r="DG15" s="85">
        <f t="shared" si="112"/>
        <v>0.1186742405</v>
      </c>
      <c r="DH15" s="85">
        <f t="shared" si="112"/>
        <v>0.04159775223</v>
      </c>
      <c r="DI15" s="23"/>
      <c r="DJ15" s="85">
        <f t="shared" ref="DJ15:DM15" si="113">AVERAGE(DJ13,DE13,CZ13)</f>
        <v>-0.07629284772</v>
      </c>
      <c r="DK15" s="85">
        <f t="shared" si="113"/>
        <v>0.01137357792</v>
      </c>
      <c r="DL15" s="85">
        <f t="shared" si="113"/>
        <v>0.129844928</v>
      </c>
      <c r="DM15" s="85">
        <f t="shared" si="113"/>
        <v>0.02244925428</v>
      </c>
      <c r="DN15" s="23"/>
      <c r="DO15" s="85">
        <f t="shared" ref="DO15:DR15" si="114">AVERAGE(DO13,DJ13,DE13)</f>
        <v>-0.09779805391</v>
      </c>
      <c r="DP15" s="85">
        <f t="shared" si="114"/>
        <v>0.02706140713</v>
      </c>
      <c r="DQ15" s="85">
        <f t="shared" si="114"/>
        <v>0.1287739916</v>
      </c>
      <c r="DR15" s="85">
        <f t="shared" si="114"/>
        <v>0.0275580734</v>
      </c>
      <c r="DS15" s="23"/>
      <c r="DT15" s="85">
        <f t="shared" ref="DT15:DW15" si="115">AVERAGE(DT13,DO13,DJ13)</f>
        <v>-0.07195828349</v>
      </c>
      <c r="DU15" s="85">
        <f t="shared" si="115"/>
        <v>0.02612372697</v>
      </c>
      <c r="DV15" s="85">
        <f t="shared" si="115"/>
        <v>0.07390897966</v>
      </c>
      <c r="DW15" s="85">
        <f t="shared" si="115"/>
        <v>0.03880814199</v>
      </c>
      <c r="DX15" s="23"/>
      <c r="DY15" s="85">
        <f t="shared" ref="DY15:EB15" si="116">AVERAGE(DY13,DT13,DO13)</f>
        <v>-0.07622473894</v>
      </c>
      <c r="DZ15" s="85">
        <f t="shared" si="116"/>
        <v>0.0069412631</v>
      </c>
      <c r="EA15" s="85">
        <f t="shared" si="116"/>
        <v>0.0226337055</v>
      </c>
      <c r="EB15" s="85">
        <f t="shared" si="116"/>
        <v>0.07424037075</v>
      </c>
      <c r="EC15" s="23"/>
      <c r="ED15" s="85">
        <f t="shared" ref="ED15:EG15" si="117">AVERAGE(ED13,DY13,DT13)</f>
        <v>-0.04996440463</v>
      </c>
      <c r="EE15" s="85">
        <f t="shared" si="117"/>
        <v>-0.05734180478</v>
      </c>
      <c r="EF15" s="85">
        <f t="shared" si="117"/>
        <v>-0.0312224239</v>
      </c>
      <c r="EG15" s="85">
        <f t="shared" si="117"/>
        <v>0.0283748387</v>
      </c>
      <c r="EH15" s="23"/>
      <c r="EI15" s="82"/>
      <c r="EJ15" s="15"/>
      <c r="EK15" s="15"/>
      <c r="EL15" s="15"/>
      <c r="EM15" s="23"/>
      <c r="EN15" s="15"/>
      <c r="EO15" s="15"/>
      <c r="EP15" s="15"/>
      <c r="EQ15" s="15"/>
      <c r="ER15" s="23"/>
      <c r="ES15" s="15"/>
      <c r="ET15" s="15"/>
      <c r="EU15" s="15"/>
      <c r="EV15" s="15"/>
      <c r="EW15" s="23"/>
      <c r="EX15" s="15"/>
      <c r="EY15" s="15"/>
      <c r="EZ15" s="15"/>
      <c r="FA15" s="15"/>
      <c r="FB15" s="23"/>
      <c r="FC15" s="15"/>
      <c r="FD15" s="15"/>
      <c r="FE15" s="15"/>
      <c r="FF15" s="15"/>
      <c r="FG15" s="23"/>
      <c r="FH15" s="83"/>
      <c r="FI15" s="4"/>
      <c r="FJ15" s="4"/>
      <c r="FK15" s="4"/>
      <c r="FL15" s="4"/>
    </row>
    <row r="16" ht="12.75" customHeight="1">
      <c r="A16" s="4"/>
      <c r="B16" s="84" t="s">
        <v>19</v>
      </c>
      <c r="C16" s="4"/>
      <c r="D16" s="17"/>
      <c r="E16" s="17"/>
      <c r="F16" s="17"/>
      <c r="G16" s="17"/>
      <c r="H16" s="73"/>
      <c r="I16" s="17"/>
      <c r="J16" s="17"/>
      <c r="K16" s="17"/>
      <c r="L16" s="17"/>
      <c r="M16" s="73"/>
      <c r="N16" s="17"/>
      <c r="O16" s="17"/>
      <c r="P16" s="17"/>
      <c r="Q16" s="17"/>
      <c r="R16" s="73"/>
      <c r="S16" s="17"/>
      <c r="T16" s="17"/>
      <c r="U16" s="17"/>
      <c r="V16" s="17"/>
      <c r="W16" s="73"/>
      <c r="X16" s="17"/>
      <c r="Y16" s="17"/>
      <c r="Z16" s="17"/>
      <c r="AA16" s="17"/>
      <c r="AB16" s="73"/>
      <c r="AC16" s="17"/>
      <c r="AD16" s="17"/>
      <c r="AE16" s="17"/>
      <c r="AF16" s="17"/>
      <c r="AG16" s="73"/>
      <c r="AH16" s="17"/>
      <c r="AI16" s="17"/>
      <c r="AJ16" s="17"/>
      <c r="AK16" s="17"/>
      <c r="AL16" s="73"/>
      <c r="AM16" s="17"/>
      <c r="AN16" s="17"/>
      <c r="AO16" s="17"/>
      <c r="AP16" s="17"/>
      <c r="AQ16" s="73"/>
      <c r="AR16" s="17"/>
      <c r="AS16" s="17"/>
      <c r="AT16" s="17"/>
      <c r="AU16" s="17"/>
      <c r="AV16" s="73"/>
      <c r="AW16" s="17"/>
      <c r="AX16" s="17"/>
      <c r="AY16" s="17"/>
      <c r="AZ16" s="17"/>
      <c r="BA16" s="73"/>
      <c r="BB16" s="17"/>
      <c r="BC16" s="17"/>
      <c r="BD16" s="17"/>
      <c r="BE16" s="17"/>
      <c r="BF16" s="73"/>
      <c r="BG16" s="17"/>
      <c r="BH16" s="17"/>
      <c r="BI16" s="17"/>
      <c r="BJ16" s="17"/>
      <c r="BK16" s="73"/>
      <c r="BL16" s="17"/>
      <c r="BM16" s="17"/>
      <c r="BN16" s="17"/>
      <c r="BO16" s="17"/>
      <c r="BP16" s="73"/>
      <c r="BQ16" s="17"/>
      <c r="BR16" s="17"/>
      <c r="BS16" s="17"/>
      <c r="BT16" s="17"/>
      <c r="BU16" s="73"/>
      <c r="BV16" s="17"/>
      <c r="BW16" s="17"/>
      <c r="BX16" s="17"/>
      <c r="BY16" s="17"/>
      <c r="BZ16" s="18"/>
      <c r="CA16" s="17"/>
      <c r="CB16" s="17"/>
      <c r="CC16" s="17"/>
      <c r="CD16" s="17"/>
      <c r="CE16" s="18"/>
      <c r="CF16" s="17"/>
      <c r="CG16" s="17"/>
      <c r="CH16" s="17"/>
      <c r="CI16" s="17"/>
      <c r="CJ16" s="80"/>
      <c r="CK16" s="15"/>
      <c r="CL16" s="15"/>
      <c r="CM16" s="15"/>
      <c r="CN16" s="15"/>
      <c r="CO16" s="23"/>
      <c r="CP16" s="15"/>
      <c r="CQ16" s="15"/>
      <c r="CR16" s="15"/>
      <c r="CS16" s="15"/>
      <c r="CT16" s="23"/>
      <c r="CU16" s="85">
        <f t="shared" ref="CU16:CX16" si="118">AVERAGE(CU13,CP13,CK13,CF13,CA13)</f>
        <v>-0.09189601163</v>
      </c>
      <c r="CV16" s="85">
        <f t="shared" si="118"/>
        <v>0.04478293208</v>
      </c>
      <c r="CW16" s="85">
        <f t="shared" si="118"/>
        <v>0.06699245936</v>
      </c>
      <c r="CX16" s="85">
        <f t="shared" si="118"/>
        <v>0.0228492444</v>
      </c>
      <c r="CY16" s="23"/>
      <c r="CZ16" s="85">
        <f t="shared" ref="CZ16:DC16" si="119">AVERAGE(CZ13,CU13,CP13,CK13,CF13)</f>
        <v>-0.08757897533</v>
      </c>
      <c r="DA16" s="85">
        <f t="shared" si="119"/>
        <v>0.02873247839</v>
      </c>
      <c r="DB16" s="85">
        <f t="shared" si="119"/>
        <v>0.09171704089</v>
      </c>
      <c r="DC16" s="85">
        <f t="shared" si="119"/>
        <v>0.02658046226</v>
      </c>
      <c r="DD16" s="23"/>
      <c r="DE16" s="85">
        <f t="shared" ref="DE16:DH16" si="120">AVERAGE(DE13,CZ13,CU13,CP13,CK13)</f>
        <v>-0.08933763977</v>
      </c>
      <c r="DF16" s="85">
        <f t="shared" si="120"/>
        <v>0.02253991621</v>
      </c>
      <c r="DG16" s="85">
        <f t="shared" si="120"/>
        <v>0.09215030412</v>
      </c>
      <c r="DH16" s="85">
        <f t="shared" si="120"/>
        <v>0.03246010948</v>
      </c>
      <c r="DI16" s="23"/>
      <c r="DJ16" s="85">
        <f t="shared" ref="DJ16:DM16" si="121">AVERAGE(DJ13,DE13,CZ13,CU13,CP13)</f>
        <v>-0.08760174775</v>
      </c>
      <c r="DK16" s="85">
        <f t="shared" si="121"/>
        <v>0.03002140997</v>
      </c>
      <c r="DL16" s="85">
        <f t="shared" si="121"/>
        <v>0.1076114481</v>
      </c>
      <c r="DM16" s="85">
        <f t="shared" si="121"/>
        <v>0.0219725428</v>
      </c>
      <c r="DN16" s="23"/>
      <c r="DO16" s="85">
        <f t="shared" ref="DO16:DR16" si="122">AVERAGE(DO13,DJ13,DE13,CZ13,CU13)</f>
        <v>-0.09996131074</v>
      </c>
      <c r="DP16" s="85">
        <f t="shared" si="122"/>
        <v>0.01883143406</v>
      </c>
      <c r="DQ16" s="85">
        <f t="shared" si="122"/>
        <v>0.1296922679</v>
      </c>
      <c r="DR16" s="85">
        <f t="shared" si="122"/>
        <v>0.0302977557</v>
      </c>
      <c r="DS16" s="23"/>
      <c r="DT16" s="85">
        <f t="shared" ref="DT16:DW16" si="123">AVERAGE(DT13,DO13,DJ13,DE13,CZ13)</f>
        <v>-0.07737500289</v>
      </c>
      <c r="DU16" s="85">
        <f t="shared" si="123"/>
        <v>0.01134439314</v>
      </c>
      <c r="DV16" s="85">
        <f t="shared" si="123"/>
        <v>0.0963002163</v>
      </c>
      <c r="DW16" s="85">
        <f t="shared" si="123"/>
        <v>0.04203544804</v>
      </c>
      <c r="DX16" s="23"/>
      <c r="DY16" s="85">
        <f t="shared" ref="DY16:EB16" si="124">AVERAGE(DY13,DT13,DO13,DJ13,DE13)</f>
        <v>-0.07658497871</v>
      </c>
      <c r="DZ16" s="85">
        <f t="shared" si="124"/>
        <v>0.01487268115</v>
      </c>
      <c r="EA16" s="85">
        <f t="shared" si="124"/>
        <v>0.058309023</v>
      </c>
      <c r="EB16" s="85">
        <f t="shared" si="124"/>
        <v>0.05045895184</v>
      </c>
      <c r="EC16" s="23"/>
      <c r="ED16" s="85">
        <f t="shared" ref="ED16:EG16" si="125">AVERAGE(ED13,DY13,DT13,DO13,DJ13)</f>
        <v>-0.06938301562</v>
      </c>
      <c r="EE16" s="85">
        <f t="shared" si="125"/>
        <v>-0.01772217209</v>
      </c>
      <c r="EF16" s="85">
        <f t="shared" si="125"/>
        <v>0.03975426922</v>
      </c>
      <c r="EG16" s="85">
        <f t="shared" si="125"/>
        <v>0.02236400758</v>
      </c>
      <c r="EH16" s="23"/>
      <c r="EI16" s="82"/>
      <c r="EJ16" s="15"/>
      <c r="EK16" s="15"/>
      <c r="EL16" s="15"/>
      <c r="EM16" s="23"/>
      <c r="EN16" s="15"/>
      <c r="EO16" s="15"/>
      <c r="EP16" s="15"/>
      <c r="EQ16" s="15"/>
      <c r="ER16" s="23"/>
      <c r="ES16" s="15"/>
      <c r="ET16" s="15"/>
      <c r="EU16" s="15"/>
      <c r="EV16" s="15"/>
      <c r="EW16" s="23"/>
      <c r="EX16" s="15"/>
      <c r="EY16" s="15"/>
      <c r="EZ16" s="15"/>
      <c r="FA16" s="15"/>
      <c r="FB16" s="23"/>
      <c r="FC16" s="15"/>
      <c r="FD16" s="15"/>
      <c r="FE16" s="15"/>
      <c r="FF16" s="15"/>
      <c r="FG16" s="23"/>
      <c r="FH16" s="83"/>
      <c r="FI16" s="4"/>
      <c r="FJ16" s="4"/>
      <c r="FK16" s="4"/>
      <c r="FL16" s="4"/>
    </row>
    <row r="17" ht="12.75" customHeight="1">
      <c r="A17" s="4"/>
      <c r="B17" s="86" t="s">
        <v>20</v>
      </c>
      <c r="C17" s="4"/>
      <c r="D17" s="17"/>
      <c r="E17" s="17"/>
      <c r="F17" s="17"/>
      <c r="G17" s="17"/>
      <c r="H17" s="73"/>
      <c r="I17" s="17"/>
      <c r="J17" s="17"/>
      <c r="K17" s="17"/>
      <c r="L17" s="17"/>
      <c r="M17" s="73"/>
      <c r="N17" s="17"/>
      <c r="O17" s="17"/>
      <c r="P17" s="17"/>
      <c r="Q17" s="17"/>
      <c r="R17" s="73"/>
      <c r="S17" s="17"/>
      <c r="T17" s="17"/>
      <c r="U17" s="17"/>
      <c r="V17" s="17"/>
      <c r="W17" s="73"/>
      <c r="X17" s="17"/>
      <c r="Y17" s="17"/>
      <c r="Z17" s="17"/>
      <c r="AA17" s="17"/>
      <c r="AB17" s="73"/>
      <c r="AC17" s="17"/>
      <c r="AD17" s="17"/>
      <c r="AE17" s="17"/>
      <c r="AF17" s="17"/>
      <c r="AG17" s="73"/>
      <c r="AH17" s="17"/>
      <c r="AI17" s="17"/>
      <c r="AJ17" s="17"/>
      <c r="AK17" s="17"/>
      <c r="AL17" s="73"/>
      <c r="AM17" s="17"/>
      <c r="AN17" s="17"/>
      <c r="AO17" s="17"/>
      <c r="AP17" s="17"/>
      <c r="AQ17" s="73"/>
      <c r="AR17" s="17"/>
      <c r="AS17" s="17"/>
      <c r="AT17" s="17"/>
      <c r="AU17" s="17"/>
      <c r="AV17" s="73"/>
      <c r="AW17" s="17"/>
      <c r="AX17" s="17"/>
      <c r="AY17" s="17"/>
      <c r="AZ17" s="17"/>
      <c r="BA17" s="73"/>
      <c r="BB17" s="17"/>
      <c r="BC17" s="17"/>
      <c r="BD17" s="17"/>
      <c r="BE17" s="17"/>
      <c r="BF17" s="73"/>
      <c r="BG17" s="17"/>
      <c r="BH17" s="17"/>
      <c r="BI17" s="17"/>
      <c r="BJ17" s="17"/>
      <c r="BK17" s="73"/>
      <c r="BL17" s="17"/>
      <c r="BM17" s="17"/>
      <c r="BN17" s="17"/>
      <c r="BO17" s="17"/>
      <c r="BP17" s="73"/>
      <c r="BQ17" s="17"/>
      <c r="BR17" s="17"/>
      <c r="BS17" s="17"/>
      <c r="BT17" s="17"/>
      <c r="BU17" s="73"/>
      <c r="BV17" s="17"/>
      <c r="BW17" s="17"/>
      <c r="BX17" s="17"/>
      <c r="BY17" s="17"/>
      <c r="BZ17" s="18"/>
      <c r="CA17" s="17"/>
      <c r="CB17" s="17"/>
      <c r="CC17" s="17"/>
      <c r="CD17" s="17"/>
      <c r="CE17" s="18"/>
      <c r="CF17" s="17"/>
      <c r="CG17" s="17"/>
      <c r="CH17" s="17"/>
      <c r="CI17" s="17"/>
      <c r="CJ17" s="80"/>
      <c r="CK17" s="17"/>
      <c r="CL17" s="17"/>
      <c r="CM17" s="17"/>
      <c r="CN17" s="19"/>
      <c r="CO17" s="18"/>
      <c r="CP17" s="19"/>
      <c r="CQ17" s="17"/>
      <c r="CR17" s="17"/>
      <c r="CS17" s="17"/>
      <c r="CT17" s="18"/>
      <c r="CU17" s="87" t="s">
        <v>21</v>
      </c>
      <c r="CV17" s="87" t="s">
        <v>22</v>
      </c>
      <c r="CW17" s="87" t="s">
        <v>23</v>
      </c>
      <c r="CX17" s="87" t="s">
        <v>24</v>
      </c>
      <c r="CY17" s="18"/>
      <c r="CZ17" s="87" t="s">
        <v>25</v>
      </c>
      <c r="DA17" s="87" t="s">
        <v>26</v>
      </c>
      <c r="DB17" s="87" t="s">
        <v>27</v>
      </c>
      <c r="DC17" s="87" t="s">
        <v>28</v>
      </c>
      <c r="DD17" s="18"/>
      <c r="DE17" s="87" t="s">
        <v>24</v>
      </c>
      <c r="DF17" s="87" t="s">
        <v>29</v>
      </c>
      <c r="DG17" s="87" t="s">
        <v>28</v>
      </c>
      <c r="DH17" s="87" t="s">
        <v>30</v>
      </c>
      <c r="DI17" s="18"/>
      <c r="DJ17" s="88" t="s">
        <v>31</v>
      </c>
      <c r="DK17" s="88" t="s">
        <v>32</v>
      </c>
      <c r="DL17" s="88" t="s">
        <v>33</v>
      </c>
      <c r="DM17" s="88" t="s">
        <v>34</v>
      </c>
      <c r="DN17" s="18"/>
      <c r="DO17" s="88" t="s">
        <v>35</v>
      </c>
      <c r="DP17" s="88" t="s">
        <v>36</v>
      </c>
      <c r="DQ17" s="88" t="s">
        <v>37</v>
      </c>
      <c r="DR17" s="88" t="s">
        <v>38</v>
      </c>
      <c r="DS17" s="89" t="s">
        <v>39</v>
      </c>
      <c r="DT17" s="88"/>
      <c r="DU17" s="88"/>
      <c r="DV17" s="88"/>
      <c r="DW17" s="88"/>
      <c r="DX17" s="37"/>
      <c r="DY17" s="88"/>
      <c r="DZ17" s="88"/>
      <c r="EA17" s="88"/>
      <c r="EB17" s="88"/>
      <c r="EC17" s="18"/>
      <c r="ED17" s="88"/>
      <c r="EE17" s="88" t="s">
        <v>40</v>
      </c>
      <c r="EF17" s="88"/>
      <c r="EG17" s="88"/>
      <c r="EH17" s="18"/>
      <c r="EI17" s="25"/>
      <c r="EJ17" s="17"/>
      <c r="EK17" s="17"/>
      <c r="EL17" s="17"/>
      <c r="EM17" s="18"/>
      <c r="EN17" s="17"/>
      <c r="EO17" s="17"/>
      <c r="EP17" s="17"/>
      <c r="EQ17" s="17"/>
      <c r="ER17" s="18"/>
      <c r="ES17" s="17"/>
      <c r="ET17" s="17"/>
      <c r="EU17" s="17"/>
      <c r="EV17" s="17"/>
      <c r="EW17" s="18"/>
      <c r="EX17" s="17"/>
      <c r="EY17" s="17"/>
      <c r="EZ17" s="17"/>
      <c r="FA17" s="17"/>
      <c r="FB17" s="18"/>
      <c r="FC17" s="17"/>
      <c r="FD17" s="17"/>
      <c r="FE17" s="17"/>
      <c r="FF17" s="17"/>
      <c r="FG17" s="18"/>
      <c r="FH17" s="74"/>
      <c r="FI17" s="4"/>
      <c r="FJ17" s="4"/>
      <c r="FK17" s="4"/>
      <c r="FL17" s="4"/>
    </row>
    <row r="18" ht="12.75" customHeight="1" outlineLevel="2">
      <c r="A18" s="4"/>
      <c r="B18" s="72" t="s">
        <v>41</v>
      </c>
      <c r="C18" s="4"/>
      <c r="D18" s="17"/>
      <c r="E18" s="17"/>
      <c r="F18" s="17"/>
      <c r="G18" s="17"/>
      <c r="H18" s="73"/>
      <c r="I18" s="17"/>
      <c r="J18" s="17"/>
      <c r="K18" s="17"/>
      <c r="L18" s="17"/>
      <c r="M18" s="73"/>
      <c r="N18" s="17">
        <f>depAmort</f>
        <v>630</v>
      </c>
      <c r="O18" s="17">
        <f>depAmort</f>
        <v>674</v>
      </c>
      <c r="P18" s="17">
        <f>depAmort</f>
        <v>734</v>
      </c>
      <c r="Q18" s="17">
        <f>depAmort</f>
        <v>769</v>
      </c>
      <c r="R18" s="73">
        <f>depAmort</f>
        <v>2807</v>
      </c>
      <c r="S18" s="17">
        <f>depAmort</f>
        <v>792</v>
      </c>
      <c r="T18" s="17">
        <f>depAmort</f>
        <v>791</v>
      </c>
      <c r="U18" s="17">
        <f>depAmort</f>
        <v>925</v>
      </c>
      <c r="V18" s="17">
        <f>depAmort</f>
        <v>1089</v>
      </c>
      <c r="W18" s="73">
        <f>depAmort</f>
        <v>3597</v>
      </c>
      <c r="X18" s="17">
        <f>depAmort</f>
        <v>1210</v>
      </c>
      <c r="Y18" s="17">
        <f>depAmort</f>
        <v>1158</v>
      </c>
      <c r="Z18" s="17">
        <f>depAmort</f>
        <v>1222</v>
      </c>
      <c r="AA18" s="17">
        <f>depAmort</f>
        <v>1245</v>
      </c>
      <c r="AB18" s="73">
        <f>depAmort</f>
        <v>4835</v>
      </c>
      <c r="AC18" s="17">
        <f>depAmort</f>
        <v>1519</v>
      </c>
      <c r="AD18" s="17">
        <f>depAmort</f>
        <v>1644</v>
      </c>
      <c r="AE18" s="17">
        <f>depAmort</f>
        <v>1663</v>
      </c>
      <c r="AF18" s="17">
        <f>depAmort</f>
        <v>1643</v>
      </c>
      <c r="AG18" s="73">
        <f>depAmort</f>
        <v>6469</v>
      </c>
      <c r="AH18" s="17">
        <f>depAmort</f>
        <v>1296</v>
      </c>
      <c r="AI18" s="17">
        <f>depAmort</f>
        <v>1394</v>
      </c>
      <c r="AJ18" s="17">
        <f>depAmort</f>
        <v>1268</v>
      </c>
      <c r="AK18" s="17">
        <f>depAmort</f>
        <v>1386</v>
      </c>
      <c r="AL18" s="73">
        <f>depAmort</f>
        <v>5344</v>
      </c>
      <c r="AM18" s="17">
        <f>depAmort</f>
        <v>1264</v>
      </c>
      <c r="AN18" s="17">
        <f>depAmort</f>
        <v>1275</v>
      </c>
      <c r="AO18" s="17">
        <f>depAmort</f>
        <v>1261</v>
      </c>
      <c r="AP18" s="17">
        <f>depAmort</f>
        <v>1270</v>
      </c>
      <c r="AQ18" s="73">
        <f>depAmort</f>
        <v>5070</v>
      </c>
      <c r="AR18" s="17">
        <f>depAmort</f>
        <v>1233</v>
      </c>
      <c r="AS18" s="17">
        <f>depAmort</f>
        <v>1225</v>
      </c>
      <c r="AT18" s="17">
        <f>depAmort</f>
        <v>1220</v>
      </c>
      <c r="AU18" s="17">
        <f>depAmort</f>
        <v>1211</v>
      </c>
      <c r="AV18" s="73">
        <f>depAmort</f>
        <v>4889</v>
      </c>
      <c r="AW18" s="17">
        <f>depAmort</f>
        <v>1256</v>
      </c>
      <c r="AX18" s="17">
        <f>depAmort</f>
        <v>1117</v>
      </c>
      <c r="AY18" s="17">
        <f>depAmort</f>
        <v>1114</v>
      </c>
      <c r="AZ18" s="17">
        <f>depAmort</f>
        <v>1108</v>
      </c>
      <c r="BA18" s="73">
        <f>depAmort</f>
        <v>4595</v>
      </c>
      <c r="BB18" s="17">
        <f>depAmort</f>
        <v>1214</v>
      </c>
      <c r="BC18" s="17">
        <f>depAmort</f>
        <v>1215</v>
      </c>
      <c r="BD18" s="17">
        <f>depAmort</f>
        <v>1256</v>
      </c>
      <c r="BE18" s="17">
        <f>depAmort</f>
        <v>1227</v>
      </c>
      <c r="BF18" s="73">
        <f>depAmort</f>
        <v>4912</v>
      </c>
      <c r="BG18" s="17">
        <f>depAmort</f>
        <v>1251</v>
      </c>
      <c r="BH18" s="17">
        <f>depAmort</f>
        <v>1213</v>
      </c>
      <c r="BI18" s="17">
        <f>depAmort</f>
        <v>1163</v>
      </c>
      <c r="BJ18" s="17">
        <f>depAmort</f>
        <v>1171</v>
      </c>
      <c r="BK18" s="73">
        <f>depAmort</f>
        <v>4798</v>
      </c>
      <c r="BL18" s="17">
        <f>depAmort</f>
        <v>1165</v>
      </c>
      <c r="BM18" s="17">
        <f>depAmort</f>
        <v>1105</v>
      </c>
      <c r="BN18" s="17">
        <f>depAmort</f>
        <v>1127</v>
      </c>
      <c r="BO18" s="17">
        <f>depAmort</f>
        <v>1219</v>
      </c>
      <c r="BP18" s="73">
        <f>depAmort</f>
        <v>4616</v>
      </c>
      <c r="BQ18" s="17">
        <f>depAmort</f>
        <v>1270</v>
      </c>
      <c r="BR18" s="17">
        <f>depAmort</f>
        <v>1286</v>
      </c>
      <c r="BS18" s="17">
        <f>depAmort</f>
        <v>1235</v>
      </c>
      <c r="BT18" s="17">
        <f>depAmort</f>
        <v>1261</v>
      </c>
      <c r="BU18" s="73">
        <f>depAmort</f>
        <v>5052</v>
      </c>
      <c r="BV18" s="17">
        <f>depAmort</f>
        <v>1141</v>
      </c>
      <c r="BW18" s="17">
        <f>depAmort</f>
        <v>1149</v>
      </c>
      <c r="BX18" s="17">
        <f>depAmort</f>
        <v>1142</v>
      </c>
      <c r="BY18" s="17">
        <f>depAmort</f>
        <v>1206</v>
      </c>
      <c r="BZ18" s="18">
        <f>depAmort</f>
        <v>4638</v>
      </c>
      <c r="CA18" s="17">
        <f>depAmort</f>
        <v>1442</v>
      </c>
      <c r="CB18" s="17">
        <f>depAmort</f>
        <v>1504</v>
      </c>
      <c r="CC18" s="17">
        <f>depAmort</f>
        <v>1529</v>
      </c>
      <c r="CD18" s="17">
        <v>1645.0</v>
      </c>
      <c r="CE18" s="18">
        <f>depAmort</f>
        <v>6064</v>
      </c>
      <c r="CF18" s="17">
        <v>1750.0</v>
      </c>
      <c r="CG18" s="17">
        <v>1840.2469135802469</v>
      </c>
      <c r="CH18" s="17">
        <v>1861.9367088607594</v>
      </c>
      <c r="CI18" s="17">
        <v>1843.0</v>
      </c>
      <c r="CJ18" s="80">
        <f>depAmort</f>
        <v>7522</v>
      </c>
      <c r="CK18" s="17">
        <v>1937.046683046683</v>
      </c>
      <c r="CL18" s="17">
        <f>1712+279</f>
        <v>1991</v>
      </c>
      <c r="CM18" s="17">
        <f>1729+292</f>
        <v>2021</v>
      </c>
      <c r="CN18" s="19">
        <f>depAmort</f>
        <v>1956</v>
      </c>
      <c r="CO18" s="18">
        <f>depAmort</f>
        <v>8032</v>
      </c>
      <c r="CP18" s="19">
        <f>depAmort</f>
        <v>2007</v>
      </c>
      <c r="CQ18" s="17">
        <f>depAmort</f>
        <v>2170</v>
      </c>
      <c r="CR18" s="17">
        <f>depAmort</f>
        <v>2198</v>
      </c>
      <c r="CS18" s="17">
        <f>depAmort</f>
        <v>2174</v>
      </c>
      <c r="CT18" s="18">
        <f>depAmort</f>
        <v>8549</v>
      </c>
      <c r="CU18" s="17">
        <f>depAmort</f>
        <v>2099</v>
      </c>
      <c r="CV18" s="17">
        <f>depAmort</f>
        <v>2191</v>
      </c>
      <c r="CW18" s="17">
        <f>depAmort</f>
        <v>2275</v>
      </c>
      <c r="CX18" s="17">
        <f>depAmort</f>
        <v>2146</v>
      </c>
      <c r="CY18" s="18">
        <f>depAmort</f>
        <v>8711</v>
      </c>
      <c r="CZ18" s="17">
        <f>depAmort</f>
        <v>2015</v>
      </c>
      <c r="DA18" s="17">
        <f>depAmort</f>
        <v>1917</v>
      </c>
      <c r="DB18" s="17">
        <f>depAmort</f>
        <v>1928</v>
      </c>
      <c r="DC18" s="17">
        <f>depAmort</f>
        <v>1930</v>
      </c>
      <c r="DD18" s="18">
        <f>depAmort</f>
        <v>7790</v>
      </c>
      <c r="DE18" s="17">
        <f>depAmort</f>
        <v>1946</v>
      </c>
      <c r="DF18" s="17">
        <f>depAmort</f>
        <v>1988</v>
      </c>
      <c r="DG18" s="19">
        <f>depAmort</f>
        <v>2055</v>
      </c>
      <c r="DH18" s="17">
        <f>depAmort</f>
        <v>2140</v>
      </c>
      <c r="DI18" s="18">
        <f>depAmort</f>
        <v>8129</v>
      </c>
      <c r="DJ18" s="19">
        <f>depAmort</f>
        <v>2196</v>
      </c>
      <c r="DK18" s="19">
        <f>depAmort</f>
        <v>2122</v>
      </c>
      <c r="DL18" s="19">
        <f>depAmort</f>
        <v>2274</v>
      </c>
      <c r="DM18" s="19">
        <f>depAmort</f>
        <v>2493</v>
      </c>
      <c r="DN18" s="18">
        <f>depAmort</f>
        <v>9085</v>
      </c>
      <c r="DO18" s="19">
        <f>depAmort</f>
        <v>2625</v>
      </c>
      <c r="DP18" s="19">
        <f>depAmort</f>
        <v>2554</v>
      </c>
      <c r="DQ18" s="19">
        <f>depAmort</f>
        <v>2679</v>
      </c>
      <c r="DR18" s="19">
        <f>depAmort</f>
        <v>2968</v>
      </c>
      <c r="DS18" s="18">
        <f>depAmort</f>
        <v>10826</v>
      </c>
      <c r="DT18" s="19">
        <f>depAmort</f>
        <v>3050</v>
      </c>
      <c r="DU18" s="19">
        <f>depAmort</f>
        <v>3063</v>
      </c>
      <c r="DV18" s="19">
        <f>depAmort</f>
        <v>3123</v>
      </c>
      <c r="DW18" s="19">
        <f>depAmort</f>
        <v>3003</v>
      </c>
      <c r="DX18" s="18">
        <f>depAmort</f>
        <v>12239</v>
      </c>
      <c r="DY18" s="19">
        <f>depAmort</f>
        <v>2902</v>
      </c>
      <c r="DZ18" s="19">
        <f>depAmort</f>
        <v>2857</v>
      </c>
      <c r="EA18" s="19">
        <f>depAmort</f>
        <v>2959</v>
      </c>
      <c r="EB18" s="19">
        <f>depAmort</f>
        <v>3074</v>
      </c>
      <c r="EC18" s="18">
        <f>depAmort</f>
        <v>11792</v>
      </c>
      <c r="ED18" s="19">
        <f>depAmort</f>
        <v>3348</v>
      </c>
      <c r="EE18" s="19">
        <f>depAmort</f>
        <v>3148</v>
      </c>
      <c r="EF18" s="19">
        <f>depAmort</f>
        <v>3252</v>
      </c>
      <c r="EG18" s="19">
        <f>depAmort</f>
        <v>3287</v>
      </c>
      <c r="EH18" s="18">
        <f>depAmort</f>
        <v>13035</v>
      </c>
      <c r="EI18" s="25">
        <f>depAmort</f>
        <v>3332.734375</v>
      </c>
      <c r="EJ18" s="17">
        <f>depAmort</f>
        <v>3362.500488</v>
      </c>
      <c r="EK18" s="17">
        <f>depAmort</f>
        <v>3397.975082</v>
      </c>
      <c r="EL18" s="17">
        <f>depAmort</f>
        <v>3431.600373</v>
      </c>
      <c r="EM18" s="18">
        <f>depAmort</f>
        <v>13524.81032</v>
      </c>
      <c r="EN18" s="17">
        <f>depAmort</f>
        <v>3449.81147</v>
      </c>
      <c r="EO18" s="17">
        <f>depAmort</f>
        <v>3492.874215</v>
      </c>
      <c r="EP18" s="17">
        <f>depAmort</f>
        <v>3563.166011</v>
      </c>
      <c r="EQ18" s="17">
        <f>depAmort</f>
        <v>3631.10122</v>
      </c>
      <c r="ER18" s="18">
        <f>depAmort</f>
        <v>14136.95292</v>
      </c>
      <c r="ES18" s="17">
        <f>depAmort</f>
        <v>3696.898676</v>
      </c>
      <c r="ET18" s="17">
        <f>depAmort</f>
        <v>3760.423276</v>
      </c>
      <c r="EU18" s="17">
        <f>depAmort</f>
        <v>3822.172627</v>
      </c>
      <c r="EV18" s="17">
        <f>depAmort</f>
        <v>3881.946927</v>
      </c>
      <c r="EW18" s="18">
        <f>depAmort</f>
        <v>15161.44151</v>
      </c>
      <c r="EX18" s="17">
        <f>depAmort</f>
        <v>3939.836542</v>
      </c>
      <c r="EY18" s="17">
        <f>depAmort</f>
        <v>3995.899878</v>
      </c>
      <c r="EZ18" s="17">
        <f>depAmort</f>
        <v>4063.915747</v>
      </c>
      <c r="FA18" s="17">
        <f>depAmort</f>
        <v>4129.79444</v>
      </c>
      <c r="FB18" s="18">
        <f>depAmort</f>
        <v>16129.44661</v>
      </c>
      <c r="FC18" s="17">
        <f>depAmort</f>
        <v>4179.939298</v>
      </c>
      <c r="FD18" s="17">
        <f>depAmort</f>
        <v>4228.517248</v>
      </c>
      <c r="FE18" s="17">
        <f>depAmort</f>
        <v>4289.253468</v>
      </c>
      <c r="FF18" s="17">
        <f>depAmort</f>
        <v>4348.089093</v>
      </c>
      <c r="FG18" s="18">
        <f>depAmort</f>
        <v>17045.79911</v>
      </c>
      <c r="FH18" s="74"/>
      <c r="FI18" s="4"/>
      <c r="FJ18" s="4"/>
      <c r="FK18" s="4"/>
      <c r="FL18" s="4"/>
    </row>
    <row r="19" ht="12.75" customHeight="1" outlineLevel="2">
      <c r="A19" s="4"/>
      <c r="B19" s="72" t="s">
        <v>42</v>
      </c>
      <c r="C19" s="4"/>
      <c r="D19" s="17"/>
      <c r="E19" s="17"/>
      <c r="F19" s="17"/>
      <c r="G19" s="17"/>
      <c r="H19" s="73"/>
      <c r="I19" s="17"/>
      <c r="J19" s="17"/>
      <c r="K19" s="17"/>
      <c r="L19" s="17"/>
      <c r="M19" s="73"/>
      <c r="N19" s="17">
        <f>COGS-depAmort</f>
        <v>2119</v>
      </c>
      <c r="O19" s="17">
        <f>COGS-depAmort</f>
        <v>2353</v>
      </c>
      <c r="P19" s="17">
        <f>COGS-depAmort</f>
        <v>2442</v>
      </c>
      <c r="Q19" s="17">
        <f>COGS-depAmort</f>
        <v>2367</v>
      </c>
      <c r="R19" s="73">
        <f>COGS-depAmort</f>
        <v>9281</v>
      </c>
      <c r="S19" s="17">
        <f>COGS-depAmort</f>
        <v>2102</v>
      </c>
      <c r="T19" s="17">
        <f>COGS-depAmort</f>
        <v>1949</v>
      </c>
      <c r="U19" s="17">
        <f>COGS-depAmort</f>
        <v>2101</v>
      </c>
      <c r="V19" s="17">
        <f>COGS-depAmort</f>
        <v>2087</v>
      </c>
      <c r="W19" s="73">
        <f>COGS-depAmort</f>
        <v>8239</v>
      </c>
      <c r="X19" s="17">
        <f>COGS-depAmort</f>
        <v>1779</v>
      </c>
      <c r="Y19" s="17">
        <f>COGS-depAmort</f>
        <v>2125</v>
      </c>
      <c r="Z19" s="17">
        <f>COGS-depAmort</f>
        <v>1926</v>
      </c>
      <c r="AA19" s="17">
        <f>COGS-depAmort</f>
        <v>1985</v>
      </c>
      <c r="AB19" s="73">
        <f>COGS-depAmort</f>
        <v>7815</v>
      </c>
      <c r="AC19" s="17">
        <f>COGS-depAmort</f>
        <v>1706</v>
      </c>
      <c r="AD19" s="17">
        <f>COGS-depAmort</f>
        <v>1663</v>
      </c>
      <c r="AE19" s="17">
        <f>COGS-depAmort</f>
        <v>1890</v>
      </c>
      <c r="AF19" s="17">
        <f>COGS-depAmort</f>
        <v>1759</v>
      </c>
      <c r="AG19" s="73">
        <f>COGS-depAmort</f>
        <v>7018</v>
      </c>
      <c r="AH19" s="17">
        <f>COGS-depAmort</f>
        <v>2005</v>
      </c>
      <c r="AI19" s="17">
        <f>COGS-depAmort</f>
        <v>1956</v>
      </c>
      <c r="AJ19" s="17">
        <f>COGS-depAmort</f>
        <v>2063</v>
      </c>
      <c r="AK19" s="17">
        <f>COGS-depAmort</f>
        <v>2078</v>
      </c>
      <c r="AL19" s="73">
        <f>COGS-depAmort</f>
        <v>8102</v>
      </c>
      <c r="AM19" s="17">
        <f>COGS-depAmort</f>
        <v>1975</v>
      </c>
      <c r="AN19" s="17">
        <f>COGS-depAmort</f>
        <v>2073</v>
      </c>
      <c r="AO19" s="17">
        <f>COGS-depAmort</f>
        <v>2014</v>
      </c>
      <c r="AP19" s="17">
        <f>COGS-depAmort</f>
        <v>1915</v>
      </c>
      <c r="AQ19" s="73">
        <f>COGS-depAmort</f>
        <v>7977</v>
      </c>
      <c r="AR19" s="17">
        <f>COGS-depAmort</f>
        <v>1988</v>
      </c>
      <c r="AS19" s="17">
        <f>COGS-depAmort</f>
        <v>2044</v>
      </c>
      <c r="AT19" s="17">
        <f>COGS-depAmort</f>
        <v>2532</v>
      </c>
      <c r="AU19" s="17">
        <f>COGS-depAmort</f>
        <v>3010</v>
      </c>
      <c r="AV19" s="73">
        <f>COGS-depAmort</f>
        <v>9574</v>
      </c>
      <c r="AW19" s="17">
        <f>COGS-depAmort</f>
        <v>2580</v>
      </c>
      <c r="AX19" s="17">
        <f>COGS-depAmort</f>
        <v>2911</v>
      </c>
      <c r="AY19" s="17">
        <f>COGS-depAmort</f>
        <v>2758</v>
      </c>
      <c r="AZ19" s="17">
        <f>COGS-depAmort</f>
        <v>2793</v>
      </c>
      <c r="BA19" s="73">
        <f>COGS-depAmort</f>
        <v>11042</v>
      </c>
      <c r="BB19" s="17">
        <f>COGS-depAmort</f>
        <v>2783</v>
      </c>
      <c r="BC19" s="17">
        <f>COGS-depAmort</f>
        <v>2623</v>
      </c>
      <c r="BD19" s="17">
        <f>COGS-depAmort</f>
        <v>3189</v>
      </c>
      <c r="BE19" s="17">
        <f>COGS-depAmort</f>
        <v>3657</v>
      </c>
      <c r="BF19" s="73">
        <f>COGS-depAmort</f>
        <v>12252</v>
      </c>
      <c r="BG19" s="17">
        <f>COGS-depAmort</f>
        <v>3169</v>
      </c>
      <c r="BH19" s="17">
        <f>COGS-depAmort</f>
        <v>3392</v>
      </c>
      <c r="BI19" s="17">
        <f>COGS-depAmort</f>
        <v>3643</v>
      </c>
      <c r="BJ19" s="17">
        <f>COGS-depAmort</f>
        <v>3315</v>
      </c>
      <c r="BK19" s="73">
        <f>COGS-depAmort</f>
        <v>13519</v>
      </c>
      <c r="BL19" s="17">
        <f>COGS-depAmort</f>
        <v>3301</v>
      </c>
      <c r="BM19" s="17">
        <f>COGS-depAmort</f>
        <v>3116</v>
      </c>
      <c r="BN19" s="17">
        <f>COGS-depAmort</f>
        <v>3071</v>
      </c>
      <c r="BO19" s="17">
        <f>COGS-depAmort</f>
        <v>2638</v>
      </c>
      <c r="BP19" s="73">
        <f>COGS-depAmort</f>
        <v>12126</v>
      </c>
      <c r="BQ19" s="17">
        <f>COGS-depAmort</f>
        <v>2637</v>
      </c>
      <c r="BR19" s="17">
        <f>COGS-depAmort</f>
        <v>2659</v>
      </c>
      <c r="BS19" s="17">
        <f>COGS-depAmort</f>
        <v>2750</v>
      </c>
      <c r="BT19" s="17">
        <f>COGS-depAmort</f>
        <v>2468</v>
      </c>
      <c r="BU19" s="73">
        <f>COGS-depAmort</f>
        <v>10514</v>
      </c>
      <c r="BV19" s="17">
        <f>COGS-depAmort</f>
        <v>2629</v>
      </c>
      <c r="BW19" s="17">
        <f>COGS-depAmort</f>
        <v>2381</v>
      </c>
      <c r="BX19" s="17">
        <f>COGS-depAmort</f>
        <v>2639</v>
      </c>
      <c r="BY19" s="17">
        <f>COGS-depAmort</f>
        <v>2845</v>
      </c>
      <c r="BZ19" s="18">
        <f>COGS-depAmort</f>
        <v>10494</v>
      </c>
      <c r="CA19" s="17">
        <f>COGS-depAmort</f>
        <v>3520</v>
      </c>
      <c r="CB19" s="17">
        <f>COGS-depAmort</f>
        <v>3626</v>
      </c>
      <c r="CC19" s="17">
        <f>COGS-depAmort</f>
        <v>3686</v>
      </c>
      <c r="CD19" s="17">
        <f>COGS-depAmort</f>
        <v>3346</v>
      </c>
      <c r="CE19" s="18">
        <f>COGS-depAmort</f>
        <v>14178</v>
      </c>
      <c r="CF19" s="17">
        <f>COGS-depAmort</f>
        <v>2856</v>
      </c>
      <c r="CG19" s="17">
        <f>COGS-depAmort</f>
        <v>3108</v>
      </c>
      <c r="CH19" s="17">
        <f>COGS-depAmort</f>
        <v>3049</v>
      </c>
      <c r="CI19" s="17">
        <f>COGS-depAmort</f>
        <v>3655</v>
      </c>
      <c r="CJ19" s="80">
        <f>COGS-depAmort</f>
        <v>12668</v>
      </c>
      <c r="CK19" s="17">
        <f>COGS-depAmort</f>
        <v>3450</v>
      </c>
      <c r="CL19" s="17">
        <f>COGS-depAmort</f>
        <v>3350</v>
      </c>
      <c r="CM19" s="17">
        <f>COGS-depAmort</f>
        <v>3048</v>
      </c>
      <c r="CN19" s="19">
        <f>COGS-depAmort</f>
        <v>3307</v>
      </c>
      <c r="CO19" s="18">
        <f>COGS-depAmort</f>
        <v>13155</v>
      </c>
      <c r="CP19" s="19">
        <f>COGS-depAmort</f>
        <v>3131</v>
      </c>
      <c r="CQ19" s="17">
        <f>COGS-depAmort</f>
        <v>2744</v>
      </c>
      <c r="CR19" s="17">
        <f>COGS-depAmort</f>
        <v>2898</v>
      </c>
      <c r="CS19" s="17">
        <f>COGS-depAmort</f>
        <v>2926</v>
      </c>
      <c r="CT19" s="18">
        <f>COGS-depAmort</f>
        <v>11699</v>
      </c>
      <c r="CU19" s="17">
        <f>COGS-depAmort</f>
        <v>2952</v>
      </c>
      <c r="CV19" s="17">
        <f>COGS-depAmort</f>
        <v>2756</v>
      </c>
      <c r="CW19" s="17">
        <f>COGS-depAmort</f>
        <v>3079</v>
      </c>
      <c r="CX19" s="17">
        <f>COGS-depAmort</f>
        <v>3178</v>
      </c>
      <c r="CY19" s="18">
        <f>COGS-depAmort</f>
        <v>11965</v>
      </c>
      <c r="CZ19" s="17">
        <f>COGS-depAmort</f>
        <v>3557</v>
      </c>
      <c r="DA19" s="17">
        <f>COGS-depAmort</f>
        <v>3643</v>
      </c>
      <c r="DB19" s="17">
        <f>COGS-depAmort</f>
        <v>3867</v>
      </c>
      <c r="DC19" s="17">
        <f>COGS-depAmort</f>
        <v>4339</v>
      </c>
      <c r="DD19" s="18">
        <f>COGS-depAmort</f>
        <v>15406</v>
      </c>
      <c r="DE19" s="17">
        <f>COGS-depAmort</f>
        <v>3703</v>
      </c>
      <c r="DF19" s="17">
        <f>COGS-depAmort</f>
        <v>3677</v>
      </c>
      <c r="DG19" s="19">
        <f>COGS-depAmort</f>
        <v>4037</v>
      </c>
      <c r="DH19" s="17">
        <f>COGS-depAmort</f>
        <v>4146</v>
      </c>
      <c r="DI19" s="18">
        <f>COGS-depAmort</f>
        <v>15563</v>
      </c>
      <c r="DJ19" s="19">
        <f>COGS-depAmort</f>
        <v>4139</v>
      </c>
      <c r="DK19" s="19">
        <f>COGS-depAmort</f>
        <v>4421</v>
      </c>
      <c r="DL19" s="19">
        <f>COGS-depAmort</f>
        <v>4529</v>
      </c>
      <c r="DM19" s="19">
        <f>COGS-depAmort</f>
        <v>4937</v>
      </c>
      <c r="DN19" s="18">
        <f>COGS-depAmort</f>
        <v>18026</v>
      </c>
      <c r="DO19" s="19">
        <f>COGS-depAmort</f>
        <v>4347</v>
      </c>
      <c r="DP19" s="19">
        <f>COGS-depAmort</f>
        <v>4073</v>
      </c>
      <c r="DQ19" s="19">
        <f>COGS-depAmort</f>
        <v>5216</v>
      </c>
      <c r="DR19" s="19">
        <f>COGS-depAmort</f>
        <v>5363</v>
      </c>
      <c r="DS19" s="18">
        <f>COGS-depAmort</f>
        <v>18999</v>
      </c>
      <c r="DT19" s="19">
        <f>COGS-depAmort</f>
        <v>4762</v>
      </c>
      <c r="DU19" s="19">
        <f>COGS-depAmort</f>
        <v>6158</v>
      </c>
      <c r="DV19" s="19">
        <f>COGS-depAmort</f>
        <v>5469</v>
      </c>
      <c r="DW19" s="19">
        <f>COGS-depAmort</f>
        <v>5627</v>
      </c>
      <c r="DX19" s="18">
        <f>COGS-depAmort</f>
        <v>22016</v>
      </c>
      <c r="DY19" s="19">
        <f>COGS-depAmort</f>
        <v>5917</v>
      </c>
      <c r="DZ19" s="19">
        <f>COGS-depAmort</f>
        <v>5568</v>
      </c>
      <c r="EA19" s="19">
        <f>COGS-depAmort</f>
        <v>5487</v>
      </c>
      <c r="EB19" s="19">
        <f>COGS-depAmort</f>
        <v>6445</v>
      </c>
      <c r="EC19" s="18">
        <f>COGS-depAmort</f>
        <v>23417</v>
      </c>
      <c r="ED19" s="19">
        <f>COGS-depAmort</f>
        <v>5761</v>
      </c>
      <c r="EE19" s="19">
        <f>COGS-depAmort</f>
        <v>6586</v>
      </c>
      <c r="EF19" s="19">
        <f>COGS-depAmort</f>
        <v>5551</v>
      </c>
      <c r="EG19" s="19">
        <f>COGS-depAmort</f>
        <v>5255</v>
      </c>
      <c r="EH19" s="18">
        <f>COGS-depAmort</f>
        <v>23153</v>
      </c>
      <c r="EI19" s="25" t="str">
        <f>COGS-depAmort</f>
        <v>#ERROR!</v>
      </c>
      <c r="EJ19" s="17" t="str">
        <f>COGS-depAmort</f>
        <v>#ERROR!</v>
      </c>
      <c r="EK19" s="17" t="str">
        <f>COGS-depAmort</f>
        <v>#ERROR!</v>
      </c>
      <c r="EL19" s="17" t="str">
        <f>COGS-depAmort</f>
        <v>#ERROR!</v>
      </c>
      <c r="EM19" s="18" t="str">
        <f>COGS-depAmort</f>
        <v>#ERROR!</v>
      </c>
      <c r="EN19" s="17" t="str">
        <f>COGS-depAmort</f>
        <v>#ERROR!</v>
      </c>
      <c r="EO19" s="17" t="str">
        <f>COGS-depAmort</f>
        <v>#ERROR!</v>
      </c>
      <c r="EP19" s="17" t="str">
        <f>COGS-depAmort</f>
        <v>#ERROR!</v>
      </c>
      <c r="EQ19" s="17" t="str">
        <f>COGS-depAmort</f>
        <v>#ERROR!</v>
      </c>
      <c r="ER19" s="18" t="str">
        <f>COGS-depAmort</f>
        <v>#ERROR!</v>
      </c>
      <c r="ES19" s="17" t="str">
        <f>COGS-depAmort</f>
        <v>#ERROR!</v>
      </c>
      <c r="ET19" s="17" t="str">
        <f>COGS-depAmort</f>
        <v>#ERROR!</v>
      </c>
      <c r="EU19" s="17" t="str">
        <f>COGS-depAmort</f>
        <v>#ERROR!</v>
      </c>
      <c r="EV19" s="17" t="str">
        <f>COGS-depAmort</f>
        <v>#ERROR!</v>
      </c>
      <c r="EW19" s="18" t="str">
        <f>COGS-depAmort</f>
        <v>#ERROR!</v>
      </c>
      <c r="EX19" s="17" t="str">
        <f>COGS-depAmort</f>
        <v>#ERROR!</v>
      </c>
      <c r="EY19" s="17" t="str">
        <f>COGS-depAmort</f>
        <v>#ERROR!</v>
      </c>
      <c r="EZ19" s="17" t="str">
        <f>COGS-depAmort</f>
        <v>#ERROR!</v>
      </c>
      <c r="FA19" s="17" t="str">
        <f>COGS-depAmort</f>
        <v>#ERROR!</v>
      </c>
      <c r="FB19" s="18" t="str">
        <f>COGS-depAmort</f>
        <v>#ERROR!</v>
      </c>
      <c r="FC19" s="17" t="str">
        <f>COGS-depAmort</f>
        <v>#ERROR!</v>
      </c>
      <c r="FD19" s="17" t="str">
        <f>COGS-depAmort</f>
        <v>#ERROR!</v>
      </c>
      <c r="FE19" s="17" t="str">
        <f>COGS-depAmort</f>
        <v>#ERROR!</v>
      </c>
      <c r="FF19" s="17" t="str">
        <f>COGS-depAmort</f>
        <v>#ERROR!</v>
      </c>
      <c r="FG19" s="18" t="str">
        <f>COGS-depAmort</f>
        <v>#ERROR!</v>
      </c>
      <c r="FH19" s="74"/>
      <c r="FI19" s="4"/>
      <c r="FJ19" s="4"/>
      <c r="FK19" s="4"/>
      <c r="FL19" s="4"/>
    </row>
    <row r="20" ht="12.75" customHeight="1">
      <c r="A20" s="4"/>
      <c r="B20" s="72" t="s">
        <v>43</v>
      </c>
      <c r="C20" s="72"/>
      <c r="D20" s="17"/>
      <c r="E20" s="17"/>
      <c r="F20" s="17"/>
      <c r="G20" s="17"/>
      <c r="H20" s="73"/>
      <c r="I20" s="17"/>
      <c r="J20" s="17"/>
      <c r="K20" s="17"/>
      <c r="L20" s="17"/>
      <c r="M20" s="73"/>
      <c r="N20" s="17">
        <v>2749.0</v>
      </c>
      <c r="O20" s="17">
        <v>3027.0</v>
      </c>
      <c r="P20" s="17">
        <v>3176.0</v>
      </c>
      <c r="Q20" s="17">
        <f>R20-SUM(N20:P20)</f>
        <v>3136</v>
      </c>
      <c r="R20" s="73">
        <v>12088.0</v>
      </c>
      <c r="S20" s="17">
        <v>2894.0</v>
      </c>
      <c r="T20" s="17">
        <v>2740.0</v>
      </c>
      <c r="U20" s="17">
        <v>3026.0</v>
      </c>
      <c r="V20" s="17">
        <v>3176.0</v>
      </c>
      <c r="W20" s="73">
        <v>11836.0</v>
      </c>
      <c r="X20" s="17">
        <v>2989.0</v>
      </c>
      <c r="Y20" s="17">
        <v>3283.0</v>
      </c>
      <c r="Z20" s="17">
        <v>3148.0</v>
      </c>
      <c r="AA20" s="17">
        <v>3230.0</v>
      </c>
      <c r="AB20" s="73">
        <f>+SUM(X20:AA20)</f>
        <v>12650</v>
      </c>
      <c r="AC20" s="17">
        <v>3225.0</v>
      </c>
      <c r="AD20" s="17">
        <v>3307.0</v>
      </c>
      <c r="AE20" s="17">
        <v>3553.0</v>
      </c>
      <c r="AF20" s="17">
        <v>3402.0</v>
      </c>
      <c r="AG20" s="73">
        <f>+SUM(AC20:AF20)</f>
        <v>13487</v>
      </c>
      <c r="AH20" s="17">
        <f>3301</f>
        <v>3301</v>
      </c>
      <c r="AI20" s="17">
        <f>3350</f>
        <v>3350</v>
      </c>
      <c r="AJ20" s="17">
        <v>3331.0</v>
      </c>
      <c r="AK20" s="17">
        <v>3464.0</v>
      </c>
      <c r="AL20" s="73">
        <f>+SUM(AH20:AK20)</f>
        <v>13446</v>
      </c>
      <c r="AM20" s="17">
        <v>3239.0</v>
      </c>
      <c r="AN20" s="17">
        <v>3348.0</v>
      </c>
      <c r="AO20" s="17">
        <v>3275.0</v>
      </c>
      <c r="AP20" s="17">
        <v>3185.0</v>
      </c>
      <c r="AQ20" s="73">
        <f>+SUM(AM20:AP20)</f>
        <v>13047</v>
      </c>
      <c r="AR20" s="17">
        <f>3221</f>
        <v>3221</v>
      </c>
      <c r="AS20" s="17">
        <v>3269.0</v>
      </c>
      <c r="AT20" s="17">
        <v>3752.0</v>
      </c>
      <c r="AU20" s="17">
        <v>4221.0</v>
      </c>
      <c r="AV20" s="73">
        <f>SUM(AR20:AU20)</f>
        <v>14463</v>
      </c>
      <c r="AW20" s="17">
        <v>3836.0</v>
      </c>
      <c r="AX20" s="17">
        <v>4028.0</v>
      </c>
      <c r="AY20" s="17">
        <f>4012-140</f>
        <v>3872</v>
      </c>
      <c r="AZ20" s="17">
        <v>3901.0</v>
      </c>
      <c r="BA20" s="73">
        <f>SUM(AW20:AZ20)</f>
        <v>15637</v>
      </c>
      <c r="BB20" s="17">
        <v>3997.0</v>
      </c>
      <c r="BC20" s="17">
        <v>3838.0</v>
      </c>
      <c r="BD20" s="17">
        <v>4445.0</v>
      </c>
      <c r="BE20" s="17">
        <v>4884.0</v>
      </c>
      <c r="BF20" s="73">
        <f>SUM(BB20:BE20)</f>
        <v>17164</v>
      </c>
      <c r="BG20" s="17">
        <v>4420.0</v>
      </c>
      <c r="BH20" s="17">
        <v>4605.0</v>
      </c>
      <c r="BI20" s="17">
        <f>4919-113</f>
        <v>4806</v>
      </c>
      <c r="BJ20" s="17">
        <v>4486.0</v>
      </c>
      <c r="BK20" s="73">
        <f>SUM(BG20:BJ20)</f>
        <v>18317</v>
      </c>
      <c r="BL20" s="17">
        <v>4466.0</v>
      </c>
      <c r="BM20" s="17">
        <v>4221.0</v>
      </c>
      <c r="BN20" s="17">
        <v>4198.0</v>
      </c>
      <c r="BO20" s="17">
        <v>3857.0</v>
      </c>
      <c r="BP20" s="73">
        <f>SUM(BL20:BO20)</f>
        <v>16742</v>
      </c>
      <c r="BQ20" s="17">
        <v>3907.0</v>
      </c>
      <c r="BR20" s="17">
        <v>3945.0</v>
      </c>
      <c r="BS20" s="17">
        <v>3985.0</v>
      </c>
      <c r="BT20" s="17">
        <v>3729.0</v>
      </c>
      <c r="BU20" s="73">
        <f>SUM(BQ20:BT20)</f>
        <v>15566</v>
      </c>
      <c r="BV20" s="17">
        <v>3770.0</v>
      </c>
      <c r="BW20" s="17">
        <v>3530.0</v>
      </c>
      <c r="BX20" s="17">
        <v>3781.0</v>
      </c>
      <c r="BY20" s="17">
        <f>BZ20-SUM(BV20:BX20)</f>
        <v>4051</v>
      </c>
      <c r="BZ20" s="18">
        <v>15132.0</v>
      </c>
      <c r="CA20" s="17">
        <v>4962.0</v>
      </c>
      <c r="CB20" s="17">
        <v>5130.0</v>
      </c>
      <c r="CC20" s="17">
        <v>5215.0</v>
      </c>
      <c r="CD20" s="17">
        <v>4935.0</v>
      </c>
      <c r="CE20" s="18">
        <f>SUM(CA20:CD20)</f>
        <v>20242</v>
      </c>
      <c r="CF20" s="17">
        <v>4641.0</v>
      </c>
      <c r="CG20" s="17">
        <v>4947.0</v>
      </c>
      <c r="CH20" s="17">
        <v>4942.0</v>
      </c>
      <c r="CI20" s="17">
        <f>5660</f>
        <v>5660</v>
      </c>
      <c r="CJ20" s="80">
        <f>SUM(CF20:CI20)</f>
        <v>20190</v>
      </c>
      <c r="CK20" s="17">
        <v>5514.0</v>
      </c>
      <c r="CL20" s="17">
        <v>5341.0</v>
      </c>
      <c r="CM20" s="17">
        <v>5069.0</v>
      </c>
      <c r="CN20" s="19">
        <v>5263.0</v>
      </c>
      <c r="CO20" s="18">
        <f>SUM(CK20:CN20)</f>
        <v>21187</v>
      </c>
      <c r="CP20" s="19">
        <v>5138.0</v>
      </c>
      <c r="CQ20" s="17">
        <v>4914.0</v>
      </c>
      <c r="CR20" s="17">
        <v>5096.0</v>
      </c>
      <c r="CS20" s="17">
        <v>5100.0</v>
      </c>
      <c r="CT20" s="18">
        <f t="shared" ref="CT20:CT22" si="126">SUM(CP20:CS20)</f>
        <v>20248</v>
      </c>
      <c r="CU20" s="17">
        <v>5051.0</v>
      </c>
      <c r="CV20" s="17">
        <v>4947.0</v>
      </c>
      <c r="CW20" s="17">
        <v>5354.0</v>
      </c>
      <c r="CX20" s="17">
        <v>5324.0</v>
      </c>
      <c r="CY20" s="18">
        <f t="shared" ref="CY20:CY22" si="128">SUM(CU20:CX20)</f>
        <v>20676</v>
      </c>
      <c r="CZ20" s="17">
        <v>5572.0</v>
      </c>
      <c r="DA20" s="17">
        <v>5560.0</v>
      </c>
      <c r="DB20" s="17">
        <v>5795.0</v>
      </c>
      <c r="DC20" s="17">
        <v>6269.0</v>
      </c>
      <c r="DD20" s="18">
        <f t="shared" ref="DD20:DD22" si="130">SUM(CZ20:DC20)</f>
        <v>23196</v>
      </c>
      <c r="DE20" s="17">
        <v>5649.0</v>
      </c>
      <c r="DF20" s="17">
        <v>5665.0</v>
      </c>
      <c r="DG20" s="19">
        <v>6092.0</v>
      </c>
      <c r="DH20" s="17">
        <v>6286.0</v>
      </c>
      <c r="DI20" s="18">
        <f t="shared" ref="DI20:DI22" si="132">SUM(DE20:DH20)</f>
        <v>23692</v>
      </c>
      <c r="DJ20" s="19">
        <v>6335.0</v>
      </c>
      <c r="DK20" s="19">
        <v>6543.0</v>
      </c>
      <c r="DL20" s="19">
        <v>6803.0</v>
      </c>
      <c r="DM20" s="19">
        <v>7430.0</v>
      </c>
      <c r="DN20" s="18">
        <f t="shared" ref="DN20:DN22" si="134">SUM(DJ20:DM20)</f>
        <v>27111</v>
      </c>
      <c r="DO20" s="19">
        <v>6972.0</v>
      </c>
      <c r="DP20" s="19">
        <v>6627.0</v>
      </c>
      <c r="DQ20" s="19">
        <v>7895.0</v>
      </c>
      <c r="DR20" s="19">
        <v>8331.0</v>
      </c>
      <c r="DS20" s="18">
        <f t="shared" ref="DS20:DS22" si="136">SUM(DO20:DR20)</f>
        <v>29825</v>
      </c>
      <c r="DT20" s="19">
        <v>7812.0</v>
      </c>
      <c r="DU20" s="19">
        <v>9221.0</v>
      </c>
      <c r="DV20" s="19">
        <v>8592.0</v>
      </c>
      <c r="DW20" s="19">
        <v>8630.0</v>
      </c>
      <c r="DX20" s="18">
        <f t="shared" ref="DX20:DX22" si="138">SUM(DT20:DW20)</f>
        <v>34255</v>
      </c>
      <c r="DY20" s="19">
        <v>8819.0</v>
      </c>
      <c r="DZ20" s="19">
        <v>8425.0</v>
      </c>
      <c r="EA20" s="19">
        <v>8446.0</v>
      </c>
      <c r="EB20" s="19">
        <v>9519.0</v>
      </c>
      <c r="EC20" s="18">
        <f t="shared" ref="EC20:EC22" si="140">SUM(DY20:EB20)</f>
        <v>35209</v>
      </c>
      <c r="ED20" s="19">
        <v>9109.0</v>
      </c>
      <c r="EE20" s="19">
        <v>9734.0</v>
      </c>
      <c r="EF20" s="19">
        <v>8803.0</v>
      </c>
      <c r="EG20" s="19">
        <v>8542.0</v>
      </c>
      <c r="EH20" s="18">
        <f t="shared" ref="EH20:EH22" si="142">SUM(ED20:EG20)</f>
        <v>36188</v>
      </c>
      <c r="EI20" s="25" t="str">
        <f>Sales-grossProfit</f>
        <v>#ERROR!</v>
      </c>
      <c r="EJ20" s="17" t="str">
        <f>Sales-grossProfit</f>
        <v>#ERROR!</v>
      </c>
      <c r="EK20" s="17" t="str">
        <f>Sales-grossProfit</f>
        <v>#ERROR!</v>
      </c>
      <c r="EL20" s="17" t="str">
        <f>Sales-grossProfit</f>
        <v>#ERROR!</v>
      </c>
      <c r="EM20" s="18" t="str">
        <f t="shared" ref="EM20:EM22" si="144">SUM(EI20:EL20)</f>
        <v>#ERROR!</v>
      </c>
      <c r="EN20" s="17" t="str">
        <f>Sales-grossProfit</f>
        <v>#ERROR!</v>
      </c>
      <c r="EO20" s="17" t="str">
        <f>Sales-grossProfit</f>
        <v>#ERROR!</v>
      </c>
      <c r="EP20" s="17" t="str">
        <f>Sales-grossProfit</f>
        <v>#ERROR!</v>
      </c>
      <c r="EQ20" s="17" t="str">
        <f>Sales-grossProfit</f>
        <v>#ERROR!</v>
      </c>
      <c r="ER20" s="18" t="str">
        <f t="shared" ref="ER20:ER22" si="146">SUM(EN20:EQ20)</f>
        <v>#ERROR!</v>
      </c>
      <c r="ES20" s="17" t="str">
        <f>Sales-grossProfit</f>
        <v>#ERROR!</v>
      </c>
      <c r="ET20" s="17" t="str">
        <f>Sales-grossProfit</f>
        <v>#ERROR!</v>
      </c>
      <c r="EU20" s="17" t="str">
        <f>Sales-grossProfit</f>
        <v>#ERROR!</v>
      </c>
      <c r="EV20" s="17" t="str">
        <f>Sales-grossProfit</f>
        <v>#ERROR!</v>
      </c>
      <c r="EW20" s="18" t="str">
        <f t="shared" ref="EW20:EW22" si="148">SUM(ES20:EV20)</f>
        <v>#ERROR!</v>
      </c>
      <c r="EX20" s="17" t="str">
        <f>Sales-grossProfit</f>
        <v>#ERROR!</v>
      </c>
      <c r="EY20" s="17" t="str">
        <f>Sales-grossProfit</f>
        <v>#ERROR!</v>
      </c>
      <c r="EZ20" s="17" t="str">
        <f>Sales-grossProfit</f>
        <v>#ERROR!</v>
      </c>
      <c r="FA20" s="17" t="str">
        <f>Sales-grossProfit</f>
        <v>#ERROR!</v>
      </c>
      <c r="FB20" s="18" t="str">
        <f t="shared" ref="FB20:FB22" si="150">SUM(EX20:FA20)</f>
        <v>#ERROR!</v>
      </c>
      <c r="FC20" s="17" t="str">
        <f>Sales-grossProfit</f>
        <v>#ERROR!</v>
      </c>
      <c r="FD20" s="17" t="str">
        <f>Sales-grossProfit</f>
        <v>#ERROR!</v>
      </c>
      <c r="FE20" s="17" t="str">
        <f>Sales-grossProfit</f>
        <v>#ERROR!</v>
      </c>
      <c r="FF20" s="17" t="str">
        <f>Sales-grossProfit</f>
        <v>#ERROR!</v>
      </c>
      <c r="FG20" s="18" t="str">
        <f t="shared" ref="FG20:FG22" si="152">SUM(FC20:FF20)</f>
        <v>#ERROR!</v>
      </c>
      <c r="FH20" s="74"/>
      <c r="FI20" s="4"/>
      <c r="FJ20" s="4"/>
      <c r="FK20" s="4"/>
      <c r="FL20" s="4"/>
    </row>
    <row r="21" ht="12.75" customHeight="1">
      <c r="A21" s="90"/>
      <c r="B21" s="91" t="s">
        <v>44</v>
      </c>
      <c r="C21" s="91"/>
      <c r="D21" s="92"/>
      <c r="E21" s="92"/>
      <c r="F21" s="92"/>
      <c r="G21" s="92"/>
      <c r="H21" s="93"/>
      <c r="I21" s="92"/>
      <c r="J21" s="92"/>
      <c r="K21" s="92"/>
      <c r="L21" s="92"/>
      <c r="M21" s="93"/>
      <c r="N21" s="92"/>
      <c r="O21" s="92"/>
      <c r="P21" s="92"/>
      <c r="Q21" s="92"/>
      <c r="R21" s="93"/>
      <c r="S21" s="92"/>
      <c r="T21" s="92"/>
      <c r="U21" s="92"/>
      <c r="V21" s="92"/>
      <c r="W21" s="93"/>
      <c r="X21" s="92"/>
      <c r="Y21" s="92"/>
      <c r="Z21" s="92"/>
      <c r="AA21" s="92"/>
      <c r="AB21" s="93"/>
      <c r="AC21" s="92"/>
      <c r="AD21" s="92"/>
      <c r="AE21" s="92"/>
      <c r="AF21" s="92"/>
      <c r="AG21" s="93"/>
      <c r="AH21" s="92"/>
      <c r="AI21" s="92"/>
      <c r="AJ21" s="92"/>
      <c r="AK21" s="92"/>
      <c r="AL21" s="93"/>
      <c r="AM21" s="92"/>
      <c r="AN21" s="92"/>
      <c r="AO21" s="92"/>
      <c r="AP21" s="92"/>
      <c r="AQ21" s="93"/>
      <c r="AR21" s="92"/>
      <c r="AS21" s="92"/>
      <c r="AT21" s="92"/>
      <c r="AU21" s="92"/>
      <c r="AV21" s="93"/>
      <c r="AW21" s="92"/>
      <c r="AX21" s="92"/>
      <c r="AY21" s="92"/>
      <c r="AZ21" s="92"/>
      <c r="BA21" s="93"/>
      <c r="BB21" s="92"/>
      <c r="BC21" s="92"/>
      <c r="BD21" s="92"/>
      <c r="BE21" s="92"/>
      <c r="BF21" s="93"/>
      <c r="BG21" s="92"/>
      <c r="BH21" s="92"/>
      <c r="BI21" s="92"/>
      <c r="BJ21" s="92"/>
      <c r="BK21" s="93"/>
      <c r="BL21" s="92"/>
      <c r="BM21" s="92"/>
      <c r="BN21" s="92"/>
      <c r="BO21" s="92"/>
      <c r="BP21" s="93"/>
      <c r="BQ21" s="92"/>
      <c r="BR21" s="92"/>
      <c r="BS21" s="92"/>
      <c r="BT21" s="92"/>
      <c r="BU21" s="93"/>
      <c r="BV21" s="92"/>
      <c r="BW21" s="92"/>
      <c r="BX21" s="92"/>
      <c r="BY21" s="92"/>
      <c r="BZ21" s="94"/>
      <c r="CA21" s="92"/>
      <c r="CB21" s="92"/>
      <c r="CC21" s="92"/>
      <c r="CD21" s="92"/>
      <c r="CE21" s="94"/>
      <c r="CF21" s="92"/>
      <c r="CG21" s="92"/>
      <c r="CH21" s="92"/>
      <c r="CI21" s="92"/>
      <c r="CJ21" s="95"/>
      <c r="CK21" s="92"/>
      <c r="CL21" s="92"/>
      <c r="CM21" s="92"/>
      <c r="CN21" s="92"/>
      <c r="CO21" s="94"/>
      <c r="CP21" s="92">
        <v>5151.0</v>
      </c>
      <c r="CQ21" s="92">
        <v>4914.0</v>
      </c>
      <c r="CR21" s="92">
        <v>5096.0</v>
      </c>
      <c r="CS21" s="92">
        <v>5100.0</v>
      </c>
      <c r="CT21" s="94">
        <f t="shared" si="126"/>
        <v>20261</v>
      </c>
      <c r="CU21" s="92">
        <f t="shared" ref="CU21:CX21" si="127">CU12-CU27</f>
        <v>4931</v>
      </c>
      <c r="CV21" s="92">
        <f t="shared" si="127"/>
        <v>4872</v>
      </c>
      <c r="CW21" s="92">
        <f t="shared" si="127"/>
        <v>5354</v>
      </c>
      <c r="CX21" s="92">
        <f t="shared" si="127"/>
        <v>5252</v>
      </c>
      <c r="CY21" s="94">
        <f t="shared" si="128"/>
        <v>20409</v>
      </c>
      <c r="CZ21" s="92">
        <f t="shared" ref="CZ21:DC21" si="129">CZ12-CZ27</f>
        <v>5146</v>
      </c>
      <c r="DA21" s="92">
        <f t="shared" si="129"/>
        <v>5164</v>
      </c>
      <c r="DB21" s="92">
        <f t="shared" si="129"/>
        <v>5560</v>
      </c>
      <c r="DC21" s="92">
        <f t="shared" si="129"/>
        <v>6037</v>
      </c>
      <c r="DD21" s="94">
        <f t="shared" si="130"/>
        <v>21907</v>
      </c>
      <c r="DE21" s="92">
        <f t="shared" ref="DE21:DH21" si="131">DE12-DE27</f>
        <v>5440</v>
      </c>
      <c r="DF21" s="92">
        <f t="shared" si="131"/>
        <v>5467</v>
      </c>
      <c r="DG21" s="92">
        <f t="shared" si="131"/>
        <v>5822</v>
      </c>
      <c r="DH21" s="92">
        <f t="shared" si="131"/>
        <v>5996</v>
      </c>
      <c r="DI21" s="94">
        <f t="shared" si="132"/>
        <v>22725</v>
      </c>
      <c r="DJ21" s="96">
        <f t="shared" ref="DJ21:DM21" si="133">DJ12-DJ27</f>
        <v>6060</v>
      </c>
      <c r="DK21" s="96">
        <f t="shared" si="133"/>
        <v>6268</v>
      </c>
      <c r="DL21" s="96">
        <f t="shared" si="133"/>
        <v>6527</v>
      </c>
      <c r="DM21" s="96">
        <f t="shared" si="133"/>
        <v>7151</v>
      </c>
      <c r="DN21" s="94">
        <f t="shared" si="134"/>
        <v>26006</v>
      </c>
      <c r="DO21" s="96">
        <f t="shared" ref="DO21:DR21" si="135">DO12-DO27</f>
        <v>6691</v>
      </c>
      <c r="DP21" s="96">
        <f t="shared" si="135"/>
        <v>6340</v>
      </c>
      <c r="DQ21" s="96">
        <f t="shared" si="135"/>
        <v>7607</v>
      </c>
      <c r="DR21" s="96">
        <f t="shared" si="135"/>
        <v>8063</v>
      </c>
      <c r="DS21" s="94">
        <f t="shared" si="136"/>
        <v>28701</v>
      </c>
      <c r="DT21" s="96">
        <f t="shared" ref="DT21:DW21" si="137">DT12-DT27</f>
        <v>7523</v>
      </c>
      <c r="DU21" s="96">
        <f t="shared" si="137"/>
        <v>8919</v>
      </c>
      <c r="DV21" s="96">
        <f t="shared" si="137"/>
        <v>8282</v>
      </c>
      <c r="DW21" s="96">
        <f t="shared" si="137"/>
        <v>8320</v>
      </c>
      <c r="DX21" s="94">
        <f t="shared" si="138"/>
        <v>33044</v>
      </c>
      <c r="DY21" s="96">
        <f t="shared" ref="DY21:EB21" si="139">DY12-DY27</f>
        <v>7717</v>
      </c>
      <c r="DZ21" s="96">
        <f t="shared" si="139"/>
        <v>7557</v>
      </c>
      <c r="EA21" s="96">
        <f t="shared" si="139"/>
        <v>7635</v>
      </c>
      <c r="EB21" s="96">
        <f t="shared" si="139"/>
        <v>8706</v>
      </c>
      <c r="EC21" s="94">
        <f t="shared" si="140"/>
        <v>31615</v>
      </c>
      <c r="ED21" s="96">
        <f t="shared" ref="ED21:EG21" si="141">ED12-ED27</f>
        <v>8608</v>
      </c>
      <c r="EE21" s="96">
        <f t="shared" si="141"/>
        <v>8454</v>
      </c>
      <c r="EF21" s="96">
        <f t="shared" si="141"/>
        <v>8301</v>
      </c>
      <c r="EG21" s="96">
        <f t="shared" si="141"/>
        <v>7897</v>
      </c>
      <c r="EH21" s="94">
        <f t="shared" si="142"/>
        <v>33260</v>
      </c>
      <c r="EI21" s="97" t="str">
        <f t="shared" ref="EI21:EL21" si="143">EI12-EI27</f>
        <v>#ERROR!</v>
      </c>
      <c r="EJ21" s="92" t="str">
        <f t="shared" si="143"/>
        <v>#ERROR!</v>
      </c>
      <c r="EK21" s="92" t="str">
        <f t="shared" si="143"/>
        <v>#ERROR!</v>
      </c>
      <c r="EL21" s="92" t="str">
        <f t="shared" si="143"/>
        <v>#ERROR!</v>
      </c>
      <c r="EM21" s="94" t="str">
        <f t="shared" si="144"/>
        <v>#ERROR!</v>
      </c>
      <c r="EN21" s="92" t="str">
        <f t="shared" ref="EN21:EQ21" si="145">EN12-EN27</f>
        <v>#ERROR!</v>
      </c>
      <c r="EO21" s="92" t="str">
        <f t="shared" si="145"/>
        <v>#ERROR!</v>
      </c>
      <c r="EP21" s="92" t="str">
        <f t="shared" si="145"/>
        <v>#ERROR!</v>
      </c>
      <c r="EQ21" s="92" t="str">
        <f t="shared" si="145"/>
        <v>#ERROR!</v>
      </c>
      <c r="ER21" s="94" t="str">
        <f t="shared" si="146"/>
        <v>#ERROR!</v>
      </c>
      <c r="ES21" s="92" t="str">
        <f t="shared" ref="ES21:EV21" si="147">ES12-ES27</f>
        <v>#ERROR!</v>
      </c>
      <c r="ET21" s="92" t="str">
        <f t="shared" si="147"/>
        <v>#ERROR!</v>
      </c>
      <c r="EU21" s="92" t="str">
        <f t="shared" si="147"/>
        <v>#ERROR!</v>
      </c>
      <c r="EV21" s="92" t="str">
        <f t="shared" si="147"/>
        <v>#ERROR!</v>
      </c>
      <c r="EW21" s="94" t="str">
        <f t="shared" si="148"/>
        <v>#ERROR!</v>
      </c>
      <c r="EX21" s="92" t="str">
        <f t="shared" ref="EX21:FA21" si="149">EX12-EX27</f>
        <v>#ERROR!</v>
      </c>
      <c r="EY21" s="92" t="str">
        <f t="shared" si="149"/>
        <v>#ERROR!</v>
      </c>
      <c r="EZ21" s="92" t="str">
        <f t="shared" si="149"/>
        <v>#ERROR!</v>
      </c>
      <c r="FA21" s="92" t="str">
        <f t="shared" si="149"/>
        <v>#ERROR!</v>
      </c>
      <c r="FB21" s="94" t="str">
        <f t="shared" si="150"/>
        <v>#ERROR!</v>
      </c>
      <c r="FC21" s="92" t="str">
        <f t="shared" ref="FC21:FF21" si="151">FC12-FC27</f>
        <v>#ERROR!</v>
      </c>
      <c r="FD21" s="92" t="str">
        <f t="shared" si="151"/>
        <v>#ERROR!</v>
      </c>
      <c r="FE21" s="92" t="str">
        <f t="shared" si="151"/>
        <v>#ERROR!</v>
      </c>
      <c r="FF21" s="92" t="str">
        <f t="shared" si="151"/>
        <v>#ERROR!</v>
      </c>
      <c r="FG21" s="94" t="str">
        <f t="shared" si="152"/>
        <v>#ERROR!</v>
      </c>
      <c r="FH21" s="98"/>
      <c r="FI21" s="90"/>
      <c r="FJ21" s="90"/>
      <c r="FK21" s="90"/>
      <c r="FL21" s="90"/>
    </row>
    <row r="22" ht="12.75" customHeight="1">
      <c r="A22" s="4"/>
      <c r="B22" s="4" t="s">
        <v>45</v>
      </c>
      <c r="C22" s="4"/>
      <c r="D22" s="17"/>
      <c r="E22" s="17"/>
      <c r="F22" s="17"/>
      <c r="G22" s="17"/>
      <c r="H22" s="73"/>
      <c r="I22" s="17"/>
      <c r="J22" s="17"/>
      <c r="K22" s="17"/>
      <c r="L22" s="17"/>
      <c r="M22" s="73"/>
      <c r="N22" s="17">
        <f t="shared" ref="N22:AF22" si="153">+N12-N20</f>
        <v>3252</v>
      </c>
      <c r="O22" s="17">
        <f t="shared" si="153"/>
        <v>2900</v>
      </c>
      <c r="P22" s="17">
        <f t="shared" si="153"/>
        <v>3555</v>
      </c>
      <c r="Q22" s="17">
        <f t="shared" si="153"/>
        <v>4478</v>
      </c>
      <c r="R22" s="73">
        <f t="shared" si="153"/>
        <v>14185</v>
      </c>
      <c r="S22" s="17">
        <f t="shared" si="153"/>
        <v>4209</v>
      </c>
      <c r="T22" s="17">
        <f t="shared" si="153"/>
        <v>4006</v>
      </c>
      <c r="U22" s="17">
        <f t="shared" si="153"/>
        <v>4302</v>
      </c>
      <c r="V22" s="17">
        <f t="shared" si="153"/>
        <v>5036</v>
      </c>
      <c r="W22" s="73">
        <f t="shared" si="153"/>
        <v>17553</v>
      </c>
      <c r="X22" s="17">
        <f t="shared" si="153"/>
        <v>5004</v>
      </c>
      <c r="Y22" s="17">
        <f t="shared" si="153"/>
        <v>5017</v>
      </c>
      <c r="Z22" s="17">
        <f t="shared" si="153"/>
        <v>5583</v>
      </c>
      <c r="AA22" s="17">
        <f t="shared" si="153"/>
        <v>5472</v>
      </c>
      <c r="AB22" s="73">
        <f t="shared" si="153"/>
        <v>21076</v>
      </c>
      <c r="AC22" s="17">
        <f t="shared" si="153"/>
        <v>3452</v>
      </c>
      <c r="AD22" s="17">
        <f t="shared" si="153"/>
        <v>3027</v>
      </c>
      <c r="AE22" s="17">
        <f t="shared" si="153"/>
        <v>2992</v>
      </c>
      <c r="AF22" s="17">
        <f t="shared" si="153"/>
        <v>3581</v>
      </c>
      <c r="AG22" s="73">
        <f>SUM(AC22:AF22)</f>
        <v>13052</v>
      </c>
      <c r="AH22" s="17">
        <f t="shared" ref="AH22:AK22" si="154">+AH12-AH20</f>
        <v>3480</v>
      </c>
      <c r="AI22" s="17">
        <f t="shared" si="154"/>
        <v>2969</v>
      </c>
      <c r="AJ22" s="17">
        <f t="shared" si="154"/>
        <v>3173</v>
      </c>
      <c r="AK22" s="17">
        <f t="shared" si="154"/>
        <v>3696</v>
      </c>
      <c r="AL22" s="73">
        <f>SUM(AH22:AK22)</f>
        <v>13318</v>
      </c>
      <c r="AM22" s="17">
        <f t="shared" ref="AM22:AP22" si="155">AM12-AM20</f>
        <v>3512</v>
      </c>
      <c r="AN22" s="17">
        <f t="shared" si="155"/>
        <v>3468</v>
      </c>
      <c r="AO22" s="17">
        <f t="shared" si="155"/>
        <v>4558</v>
      </c>
      <c r="AP22" s="17">
        <f t="shared" si="155"/>
        <v>5556</v>
      </c>
      <c r="AQ22" s="73">
        <f>SUM(AM22:AP22)</f>
        <v>17094</v>
      </c>
      <c r="AR22" s="17">
        <f t="shared" ref="AR22:AU22" si="156">AR12-AR20</f>
        <v>4870</v>
      </c>
      <c r="AS22" s="17">
        <f t="shared" si="156"/>
        <v>4780</v>
      </c>
      <c r="AT22" s="17">
        <f t="shared" si="156"/>
        <v>4719</v>
      </c>
      <c r="AU22" s="17">
        <f t="shared" si="156"/>
        <v>5377</v>
      </c>
      <c r="AV22" s="73">
        <f>SUM(AR22:AU22)</f>
        <v>19746</v>
      </c>
      <c r="AW22" s="17">
        <f t="shared" ref="AW22:AZ22" si="157">AW12-AW20</f>
        <v>5598</v>
      </c>
      <c r="AX22" s="17">
        <f t="shared" si="157"/>
        <v>5203</v>
      </c>
      <c r="AY22" s="17">
        <f t="shared" si="157"/>
        <v>6088</v>
      </c>
      <c r="AZ22" s="17">
        <f t="shared" si="157"/>
        <v>6300</v>
      </c>
      <c r="BA22" s="73">
        <f>SUM(AW22:AZ22)</f>
        <v>23189</v>
      </c>
      <c r="BB22" s="17">
        <f t="shared" ref="BB22:BE22" si="158">BB12-BB20</f>
        <v>4943</v>
      </c>
      <c r="BC22" s="17">
        <f t="shared" si="158"/>
        <v>4171</v>
      </c>
      <c r="BD22" s="17">
        <f t="shared" si="158"/>
        <v>4294</v>
      </c>
      <c r="BE22" s="17">
        <f t="shared" si="158"/>
        <v>4810</v>
      </c>
      <c r="BF22" s="73">
        <f>SUM(BB22:BE22)</f>
        <v>18218</v>
      </c>
      <c r="BG22" s="17">
        <f t="shared" ref="BG22:BJ22" si="159">BG12-BG20</f>
        <v>4432</v>
      </c>
      <c r="BH22" s="17">
        <f t="shared" si="159"/>
        <v>4075</v>
      </c>
      <c r="BI22" s="17">
        <f t="shared" si="159"/>
        <v>5284</v>
      </c>
      <c r="BJ22" s="17">
        <f t="shared" si="159"/>
        <v>6226</v>
      </c>
      <c r="BK22" s="73">
        <f>SUM(BG22:BJ22)</f>
        <v>20017</v>
      </c>
      <c r="BL22" s="17">
        <f t="shared" ref="BL22:BO22" si="160">BL12-BL20</f>
        <v>5207</v>
      </c>
      <c r="BM22" s="17">
        <f t="shared" si="160"/>
        <v>5249</v>
      </c>
      <c r="BN22" s="17">
        <f t="shared" si="160"/>
        <v>6019</v>
      </c>
      <c r="BO22" s="17">
        <f t="shared" si="160"/>
        <v>4369</v>
      </c>
      <c r="BP22" s="73">
        <f>SUM(BL22:BO22)</f>
        <v>20844</v>
      </c>
      <c r="BQ22" s="17">
        <f t="shared" ref="BQ22:BT22" si="161">BQ12-BQ20</f>
        <v>3238</v>
      </c>
      <c r="BR22" s="17">
        <f t="shared" si="161"/>
        <v>4079</v>
      </c>
      <c r="BS22" s="17">
        <f t="shared" si="161"/>
        <v>5404</v>
      </c>
      <c r="BT22" s="17">
        <f t="shared" si="161"/>
        <v>6840</v>
      </c>
      <c r="BU22" s="73">
        <f>SUM(BQ22:BT22)</f>
        <v>19561</v>
      </c>
      <c r="BV22" s="17">
        <f t="shared" ref="BV22:BY22" si="162">BV12-BV20</f>
        <v>6529</v>
      </c>
      <c r="BW22" s="17">
        <f t="shared" si="162"/>
        <v>7235</v>
      </c>
      <c r="BX22" s="17">
        <f t="shared" si="162"/>
        <v>7321</v>
      </c>
      <c r="BY22" s="17">
        <f t="shared" si="162"/>
        <v>7406</v>
      </c>
      <c r="BZ22" s="18">
        <f>SUM(BV22:BY22)</f>
        <v>28491</v>
      </c>
      <c r="CA22" s="17">
        <f t="shared" ref="CA22:CD22" si="163">CA12-CA20</f>
        <v>7885</v>
      </c>
      <c r="CB22" s="17">
        <f t="shared" si="163"/>
        <v>7902</v>
      </c>
      <c r="CC22" s="17">
        <f t="shared" si="163"/>
        <v>9018</v>
      </c>
      <c r="CD22" s="17">
        <f t="shared" si="163"/>
        <v>8952</v>
      </c>
      <c r="CE22" s="18">
        <f>SUM(CA22:CD22)</f>
        <v>33757</v>
      </c>
      <c r="CF22" s="17">
        <f t="shared" ref="CF22:CI22" si="164">CF12-CF20</f>
        <v>8265</v>
      </c>
      <c r="CG22" s="17">
        <f t="shared" si="164"/>
        <v>8554</v>
      </c>
      <c r="CH22" s="17">
        <f t="shared" si="164"/>
        <v>8515</v>
      </c>
      <c r="CI22" s="17">
        <f t="shared" si="164"/>
        <v>7817</v>
      </c>
      <c r="CJ22" s="80">
        <f>SUM(CF22:CI22)</f>
        <v>33151</v>
      </c>
      <c r="CK22" s="17">
        <f t="shared" ref="CK22:CN22" si="165">CK12-CK20</f>
        <v>7066</v>
      </c>
      <c r="CL22" s="17">
        <f t="shared" si="165"/>
        <v>7470</v>
      </c>
      <c r="CM22" s="17">
        <f t="shared" si="165"/>
        <v>8414</v>
      </c>
      <c r="CN22" s="17">
        <f t="shared" si="165"/>
        <v>8571</v>
      </c>
      <c r="CO22" s="18">
        <f>SUM(CK22:CN22)</f>
        <v>31521</v>
      </c>
      <c r="CP22" s="17">
        <f t="shared" ref="CP22:CS22" si="166">CP12-CP20</f>
        <v>7626</v>
      </c>
      <c r="CQ22" s="17">
        <f t="shared" si="166"/>
        <v>8917</v>
      </c>
      <c r="CR22" s="17">
        <f t="shared" si="166"/>
        <v>9458</v>
      </c>
      <c r="CS22" s="17">
        <f t="shared" si="166"/>
        <v>9621</v>
      </c>
      <c r="CT22" s="18">
        <f t="shared" si="126"/>
        <v>35622</v>
      </c>
      <c r="CU22" s="17">
        <f t="shared" ref="CU22:CX22" si="167">CU12-CU20</f>
        <v>7730</v>
      </c>
      <c r="CV22" s="17">
        <f t="shared" si="167"/>
        <v>8248</v>
      </c>
      <c r="CW22" s="17">
        <f t="shared" si="167"/>
        <v>9111</v>
      </c>
      <c r="CX22" s="17">
        <f t="shared" si="167"/>
        <v>9590</v>
      </c>
      <c r="CY22" s="18">
        <f t="shared" si="128"/>
        <v>34679</v>
      </c>
      <c r="CZ22" s="17">
        <f>CZ12-CZ20-99</f>
        <v>8130</v>
      </c>
      <c r="DA22" s="17">
        <f t="shared" ref="DA22:DC22" si="168">DA12-DA20</f>
        <v>7973</v>
      </c>
      <c r="DB22" s="17">
        <f t="shared" si="168"/>
        <v>9983</v>
      </c>
      <c r="DC22" s="17">
        <f t="shared" si="168"/>
        <v>10105</v>
      </c>
      <c r="DD22" s="18">
        <f t="shared" si="130"/>
        <v>36191</v>
      </c>
      <c r="DE22" s="17">
        <f t="shared" ref="DE22:DH22" si="169">DE12-DE20</f>
        <v>9147</v>
      </c>
      <c r="DF22" s="17">
        <f t="shared" si="169"/>
        <v>9098</v>
      </c>
      <c r="DG22" s="19">
        <f t="shared" si="169"/>
        <v>10057</v>
      </c>
      <c r="DH22" s="17">
        <f t="shared" si="169"/>
        <v>10767</v>
      </c>
      <c r="DI22" s="18">
        <f t="shared" si="132"/>
        <v>39069</v>
      </c>
      <c r="DJ22" s="19">
        <f t="shared" ref="DJ22:DM22" si="170">DJ12-DJ20</f>
        <v>9731</v>
      </c>
      <c r="DK22" s="19">
        <f t="shared" si="170"/>
        <v>10419</v>
      </c>
      <c r="DL22" s="19">
        <f t="shared" si="170"/>
        <v>12360</v>
      </c>
      <c r="DM22" s="19">
        <f t="shared" si="170"/>
        <v>11227</v>
      </c>
      <c r="DN22" s="18">
        <f t="shared" si="134"/>
        <v>43737</v>
      </c>
      <c r="DO22" s="19">
        <f t="shared" ref="DO22:DR22" si="171">DO12-DO20</f>
        <v>9089</v>
      </c>
      <c r="DP22" s="19">
        <f t="shared" si="171"/>
        <v>9878</v>
      </c>
      <c r="DQ22" s="19">
        <f t="shared" si="171"/>
        <v>11295</v>
      </c>
      <c r="DR22" s="19">
        <f t="shared" si="171"/>
        <v>11878</v>
      </c>
      <c r="DS22" s="18">
        <f t="shared" si="136"/>
        <v>42140</v>
      </c>
      <c r="DT22" s="19">
        <f t="shared" ref="DT22:DW22" si="172">DT12-DT20</f>
        <v>12016</v>
      </c>
      <c r="DU22" s="19">
        <f t="shared" si="172"/>
        <v>10507</v>
      </c>
      <c r="DV22" s="19">
        <f t="shared" si="172"/>
        <v>9741</v>
      </c>
      <c r="DW22" s="19">
        <f t="shared" si="172"/>
        <v>11348</v>
      </c>
      <c r="DX22" s="18">
        <f t="shared" si="138"/>
        <v>43612</v>
      </c>
      <c r="DY22" s="19">
        <f t="shared" ref="DY22:EB22" si="173">DY11-DY20</f>
        <v>10854</v>
      </c>
      <c r="DZ22" s="19">
        <f t="shared" si="173"/>
        <v>11206</v>
      </c>
      <c r="EA22" s="19">
        <f t="shared" si="173"/>
        <v>10746</v>
      </c>
      <c r="EB22" s="19">
        <f t="shared" si="173"/>
        <v>11009</v>
      </c>
      <c r="EC22" s="18">
        <f t="shared" si="140"/>
        <v>43815</v>
      </c>
      <c r="ED22" s="19">
        <f t="shared" ref="ED22:EG22" si="174">ED11-ED20</f>
        <v>9244</v>
      </c>
      <c r="EE22" s="19">
        <f t="shared" si="174"/>
        <v>5587</v>
      </c>
      <c r="EF22" s="19">
        <f t="shared" si="174"/>
        <v>6535</v>
      </c>
      <c r="EG22" s="19">
        <f t="shared" si="174"/>
        <v>5500</v>
      </c>
      <c r="EH22" s="18">
        <f t="shared" si="142"/>
        <v>26866</v>
      </c>
      <c r="EI22" s="25" t="str">
        <f t="shared" ref="EI22:EL22" si="175">EI27-EI88*0.5</f>
        <v>#ERROR!</v>
      </c>
      <c r="EJ22" s="19" t="str">
        <f t="shared" si="175"/>
        <v>#ERROR!</v>
      </c>
      <c r="EK22" s="19" t="str">
        <f t="shared" si="175"/>
        <v>#ERROR!</v>
      </c>
      <c r="EL22" s="19" t="str">
        <f t="shared" si="175"/>
        <v>#ERROR!</v>
      </c>
      <c r="EM22" s="18" t="str">
        <f t="shared" si="144"/>
        <v>#ERROR!</v>
      </c>
      <c r="EN22" s="19" t="str">
        <f t="shared" ref="EN22:EQ22" si="176">EN27-EN88*0.5</f>
        <v>#ERROR!</v>
      </c>
      <c r="EO22" s="19" t="str">
        <f t="shared" si="176"/>
        <v>#ERROR!</v>
      </c>
      <c r="EP22" s="19" t="str">
        <f t="shared" si="176"/>
        <v>#ERROR!</v>
      </c>
      <c r="EQ22" s="19" t="str">
        <f t="shared" si="176"/>
        <v>#ERROR!</v>
      </c>
      <c r="ER22" s="18" t="str">
        <f t="shared" si="146"/>
        <v>#ERROR!</v>
      </c>
      <c r="ES22" s="19" t="str">
        <f t="shared" ref="ES22:EV22" si="177">ES27-ES88*0.5</f>
        <v>#ERROR!</v>
      </c>
      <c r="ET22" s="19" t="str">
        <f t="shared" si="177"/>
        <v>#ERROR!</v>
      </c>
      <c r="EU22" s="19" t="str">
        <f t="shared" si="177"/>
        <v>#ERROR!</v>
      </c>
      <c r="EV22" s="19" t="str">
        <f t="shared" si="177"/>
        <v>#ERROR!</v>
      </c>
      <c r="EW22" s="18" t="str">
        <f t="shared" si="148"/>
        <v>#ERROR!</v>
      </c>
      <c r="EX22" s="19" t="str">
        <f t="shared" ref="EX22:FA22" si="178">EX27-EX88*0.5</f>
        <v>#ERROR!</v>
      </c>
      <c r="EY22" s="19" t="str">
        <f t="shared" si="178"/>
        <v>#ERROR!</v>
      </c>
      <c r="EZ22" s="19" t="str">
        <f t="shared" si="178"/>
        <v>#ERROR!</v>
      </c>
      <c r="FA22" s="19" t="str">
        <f t="shared" si="178"/>
        <v>#ERROR!</v>
      </c>
      <c r="FB22" s="18" t="str">
        <f t="shared" si="150"/>
        <v>#ERROR!</v>
      </c>
      <c r="FC22" s="19" t="str">
        <f t="shared" ref="FC22:FF22" si="179">FC27-FC88*0.5</f>
        <v>#ERROR!</v>
      </c>
      <c r="FD22" s="19" t="str">
        <f t="shared" si="179"/>
        <v>#ERROR!</v>
      </c>
      <c r="FE22" s="19" t="str">
        <f t="shared" si="179"/>
        <v>#ERROR!</v>
      </c>
      <c r="FF22" s="19" t="str">
        <f t="shared" si="179"/>
        <v>#ERROR!</v>
      </c>
      <c r="FG22" s="18" t="str">
        <f t="shared" si="152"/>
        <v>#ERROR!</v>
      </c>
      <c r="FH22" s="74"/>
      <c r="FI22" s="4"/>
      <c r="FJ22" s="4"/>
      <c r="FK22" s="4"/>
      <c r="FL22" s="4"/>
    </row>
    <row r="23" ht="12.75" customHeight="1">
      <c r="A23" s="17"/>
      <c r="B23" s="99" t="s">
        <v>46</v>
      </c>
      <c r="C23" s="100"/>
      <c r="D23" s="101"/>
      <c r="E23" s="101"/>
      <c r="F23" s="101"/>
      <c r="G23" s="101"/>
      <c r="H23" s="73"/>
      <c r="I23" s="101"/>
      <c r="J23" s="101"/>
      <c r="K23" s="101"/>
      <c r="L23" s="101"/>
      <c r="M23" s="73"/>
      <c r="N23" s="101"/>
      <c r="O23" s="101"/>
      <c r="P23" s="101"/>
      <c r="Q23" s="101"/>
      <c r="R23" s="73"/>
      <c r="S23" s="101"/>
      <c r="T23" s="101"/>
      <c r="U23" s="101"/>
      <c r="V23" s="101"/>
      <c r="W23" s="73"/>
      <c r="X23" s="101"/>
      <c r="Y23" s="101"/>
      <c r="Z23" s="101"/>
      <c r="AA23" s="101"/>
      <c r="AB23" s="73"/>
      <c r="AC23" s="101"/>
      <c r="AD23" s="101"/>
      <c r="AE23" s="101"/>
      <c r="AF23" s="101"/>
      <c r="AG23" s="73"/>
      <c r="AH23" s="101"/>
      <c r="AI23" s="101"/>
      <c r="AJ23" s="101"/>
      <c r="AK23" s="101"/>
      <c r="AL23" s="73"/>
      <c r="AM23" s="101"/>
      <c r="AN23" s="101"/>
      <c r="AO23" s="101"/>
      <c r="AP23" s="101"/>
      <c r="AQ23" s="73"/>
      <c r="AR23" s="101"/>
      <c r="AS23" s="101"/>
      <c r="AT23" s="101"/>
      <c r="AU23" s="101"/>
      <c r="AV23" s="73"/>
      <c r="AW23" s="101"/>
      <c r="AX23" s="101"/>
      <c r="AY23" s="101"/>
      <c r="AZ23" s="101"/>
      <c r="BA23" s="73"/>
      <c r="BB23" s="101"/>
      <c r="BC23" s="101"/>
      <c r="BD23" s="101"/>
      <c r="BE23" s="101"/>
      <c r="BF23" s="73"/>
      <c r="BG23" s="101"/>
      <c r="BH23" s="101"/>
      <c r="BI23" s="101"/>
      <c r="BJ23" s="101"/>
      <c r="BK23" s="73"/>
      <c r="BL23" s="101"/>
      <c r="BM23" s="101"/>
      <c r="BN23" s="101"/>
      <c r="BO23" s="101"/>
      <c r="BP23" s="73"/>
      <c r="BQ23" s="101"/>
      <c r="BR23" s="101"/>
      <c r="BS23" s="101"/>
      <c r="BT23" s="101"/>
      <c r="BU23" s="73"/>
      <c r="BV23" s="101"/>
      <c r="BW23" s="101"/>
      <c r="BX23" s="101"/>
      <c r="BY23" s="101"/>
      <c r="BZ23" s="18"/>
      <c r="CA23" s="101"/>
      <c r="CB23" s="101"/>
      <c r="CC23" s="101"/>
      <c r="CD23" s="101"/>
      <c r="CE23" s="18"/>
      <c r="CF23" s="101"/>
      <c r="CG23" s="101"/>
      <c r="CH23" s="101"/>
      <c r="CI23" s="101"/>
      <c r="CJ23" s="80"/>
      <c r="CK23" s="101"/>
      <c r="CL23" s="102"/>
      <c r="CM23" s="102"/>
      <c r="CN23" s="103"/>
      <c r="CO23" s="18"/>
      <c r="CP23" s="103"/>
      <c r="CQ23" s="102"/>
      <c r="CR23" s="102"/>
      <c r="CS23" s="102"/>
      <c r="CT23" s="18"/>
      <c r="CU23" s="102"/>
      <c r="CV23" s="102"/>
      <c r="CW23" s="102"/>
      <c r="CX23" s="102"/>
      <c r="CY23" s="18"/>
      <c r="CZ23" s="15">
        <f t="shared" ref="CZ23:DW23" si="180">(CZ22+(CZ62)/(1-CZ110))/CZ12</f>
        <v>0.5890877473</v>
      </c>
      <c r="DA23" s="15">
        <f t="shared" si="180"/>
        <v>0.5891524422</v>
      </c>
      <c r="DB23" s="15">
        <f t="shared" si="180"/>
        <v>0.6327164406</v>
      </c>
      <c r="DC23" s="15">
        <f t="shared" si="180"/>
        <v>0.6171369244</v>
      </c>
      <c r="DD23" s="24">
        <f t="shared" si="180"/>
        <v>0.6083952527</v>
      </c>
      <c r="DE23" s="15">
        <f t="shared" si="180"/>
        <v>0.6182076237</v>
      </c>
      <c r="DF23" s="15">
        <f t="shared" si="180"/>
        <v>0.6162704057</v>
      </c>
      <c r="DG23" s="40">
        <f t="shared" si="180"/>
        <v>0.6227630194</v>
      </c>
      <c r="DH23" s="15">
        <f t="shared" si="180"/>
        <v>0.6313845071</v>
      </c>
      <c r="DI23" s="24">
        <f t="shared" si="180"/>
        <v>0.6225044215</v>
      </c>
      <c r="DJ23" s="40">
        <f t="shared" si="180"/>
        <v>0.6056890327</v>
      </c>
      <c r="DK23" s="40">
        <f t="shared" si="180"/>
        <v>0.6142553944</v>
      </c>
      <c r="DL23" s="40">
        <f t="shared" si="180"/>
        <v>0.6449929552</v>
      </c>
      <c r="DM23" s="40">
        <f t="shared" si="180"/>
        <v>0.6017580533</v>
      </c>
      <c r="DN23" s="24">
        <f t="shared" si="180"/>
        <v>0.6173357046</v>
      </c>
      <c r="DO23" s="40">
        <f t="shared" si="180"/>
        <v>0.5659049872</v>
      </c>
      <c r="DP23" s="40">
        <f t="shared" si="180"/>
        <v>0.5984853075</v>
      </c>
      <c r="DQ23" s="40">
        <f t="shared" si="180"/>
        <v>0.5885878061</v>
      </c>
      <c r="DR23" s="40">
        <f t="shared" si="180"/>
        <v>0.5877579296</v>
      </c>
      <c r="DS23" s="24">
        <f t="shared" si="180"/>
        <v>0.5855624262</v>
      </c>
      <c r="DT23" s="40">
        <f t="shared" si="180"/>
        <v>0.6060117006</v>
      </c>
      <c r="DU23" s="40">
        <f t="shared" si="180"/>
        <v>0.5325932685</v>
      </c>
      <c r="DV23" s="40">
        <f t="shared" si="180"/>
        <v>0.5313369334</v>
      </c>
      <c r="DW23" s="40">
        <f t="shared" si="180"/>
        <v>0.5680248273</v>
      </c>
      <c r="DX23" s="24">
        <f>DX22/DX12</f>
        <v>0.5600832188</v>
      </c>
      <c r="DY23" s="40">
        <f t="shared" ref="DY23:EB23" si="181">(DY22+(DY62)/(1-DY110))/DY12</f>
        <v>0.5846170419</v>
      </c>
      <c r="DZ23" s="40">
        <f t="shared" si="181"/>
        <v>0.6046511628</v>
      </c>
      <c r="EA23" s="40">
        <f t="shared" si="181"/>
        <v>0.5941283795</v>
      </c>
      <c r="EB23" s="40">
        <f t="shared" si="181"/>
        <v>0.5636391563</v>
      </c>
      <c r="EC23" s="24">
        <f>EC22/EC11</f>
        <v>0.5544518121</v>
      </c>
      <c r="ED23" s="40">
        <f t="shared" ref="ED23:EG23" si="182">(ED22+(ED62)/(1-ED110))/ED12</f>
        <v>0.5036778728</v>
      </c>
      <c r="EE23" s="40">
        <f t="shared" si="182"/>
        <v>0.364662881</v>
      </c>
      <c r="EF23" s="40">
        <f t="shared" si="182"/>
        <v>0.4260659799</v>
      </c>
      <c r="EG23" s="40">
        <f t="shared" si="182"/>
        <v>0.3916820966</v>
      </c>
      <c r="EH23" s="24">
        <f t="shared" ref="EH23:FG23" si="183">EH22/EH11</f>
        <v>0.4260792337</v>
      </c>
      <c r="EI23" s="82" t="str">
        <f t="shared" si="183"/>
        <v>#ERROR!</v>
      </c>
      <c r="EJ23" s="40" t="str">
        <f t="shared" si="183"/>
        <v>#ERROR!</v>
      </c>
      <c r="EK23" s="40" t="str">
        <f t="shared" si="183"/>
        <v>#ERROR!</v>
      </c>
      <c r="EL23" s="40" t="str">
        <f t="shared" si="183"/>
        <v>#ERROR!</v>
      </c>
      <c r="EM23" s="24" t="str">
        <f t="shared" si="183"/>
        <v>#ERROR!</v>
      </c>
      <c r="EN23" s="40" t="str">
        <f t="shared" si="183"/>
        <v>#ERROR!</v>
      </c>
      <c r="EO23" s="40" t="str">
        <f t="shared" si="183"/>
        <v>#ERROR!</v>
      </c>
      <c r="EP23" s="40" t="str">
        <f t="shared" si="183"/>
        <v>#ERROR!</v>
      </c>
      <c r="EQ23" s="40" t="str">
        <f t="shared" si="183"/>
        <v>#ERROR!</v>
      </c>
      <c r="ER23" s="24" t="str">
        <f t="shared" si="183"/>
        <v>#ERROR!</v>
      </c>
      <c r="ES23" s="40" t="str">
        <f t="shared" si="183"/>
        <v>#ERROR!</v>
      </c>
      <c r="ET23" s="40" t="str">
        <f t="shared" si="183"/>
        <v>#ERROR!</v>
      </c>
      <c r="EU23" s="40" t="str">
        <f t="shared" si="183"/>
        <v>#ERROR!</v>
      </c>
      <c r="EV23" s="40" t="str">
        <f t="shared" si="183"/>
        <v>#ERROR!</v>
      </c>
      <c r="EW23" s="24" t="str">
        <f t="shared" si="183"/>
        <v>#ERROR!</v>
      </c>
      <c r="EX23" s="40" t="str">
        <f t="shared" si="183"/>
        <v>#ERROR!</v>
      </c>
      <c r="EY23" s="40" t="str">
        <f t="shared" si="183"/>
        <v>#ERROR!</v>
      </c>
      <c r="EZ23" s="40" t="str">
        <f t="shared" si="183"/>
        <v>#ERROR!</v>
      </c>
      <c r="FA23" s="40" t="str">
        <f t="shared" si="183"/>
        <v>#ERROR!</v>
      </c>
      <c r="FB23" s="24" t="str">
        <f t="shared" si="183"/>
        <v>#ERROR!</v>
      </c>
      <c r="FC23" s="40" t="str">
        <f t="shared" si="183"/>
        <v>#ERROR!</v>
      </c>
      <c r="FD23" s="40" t="str">
        <f t="shared" si="183"/>
        <v>#ERROR!</v>
      </c>
      <c r="FE23" s="40" t="str">
        <f t="shared" si="183"/>
        <v>#ERROR!</v>
      </c>
      <c r="FF23" s="40" t="str">
        <f t="shared" si="183"/>
        <v>#ERROR!</v>
      </c>
      <c r="FG23" s="24" t="str">
        <f t="shared" si="183"/>
        <v>#ERROR!</v>
      </c>
      <c r="FH23" s="104"/>
      <c r="FI23" s="17"/>
      <c r="FJ23" s="17"/>
      <c r="FK23" s="17"/>
      <c r="FL23" s="17"/>
    </row>
    <row r="24" ht="12.75" hidden="1" customHeight="1" outlineLevel="1">
      <c r="A24" s="4"/>
      <c r="B24" s="72" t="s">
        <v>47</v>
      </c>
      <c r="C24" s="4"/>
      <c r="D24" s="17"/>
      <c r="E24" s="17"/>
      <c r="F24" s="17"/>
      <c r="G24" s="17"/>
      <c r="H24" s="73"/>
      <c r="I24" s="17"/>
      <c r="J24" s="17"/>
      <c r="K24" s="17"/>
      <c r="L24" s="17"/>
      <c r="M24" s="73"/>
      <c r="N24" s="17"/>
      <c r="O24" s="17"/>
      <c r="P24" s="17"/>
      <c r="Q24" s="17"/>
      <c r="R24" s="73"/>
      <c r="S24" s="17"/>
      <c r="T24" s="17"/>
      <c r="U24" s="17"/>
      <c r="V24" s="17"/>
      <c r="W24" s="73"/>
      <c r="X24" s="17"/>
      <c r="Y24" s="17"/>
      <c r="Z24" s="17"/>
      <c r="AA24" s="17"/>
      <c r="AB24" s="73"/>
      <c r="AC24" s="17"/>
      <c r="AD24" s="17"/>
      <c r="AE24" s="17"/>
      <c r="AF24" s="17"/>
      <c r="AG24" s="73"/>
      <c r="AH24" s="17"/>
      <c r="AI24" s="17"/>
      <c r="AJ24" s="17"/>
      <c r="AK24" s="17"/>
      <c r="AL24" s="73"/>
      <c r="AM24" s="17"/>
      <c r="AN24" s="17"/>
      <c r="AO24" s="17"/>
      <c r="AP24" s="17"/>
      <c r="AQ24" s="73"/>
      <c r="AR24" s="17"/>
      <c r="AS24" s="17"/>
      <c r="AT24" s="17"/>
      <c r="AU24" s="17"/>
      <c r="AV24" s="73"/>
      <c r="AW24" s="17"/>
      <c r="AX24" s="17"/>
      <c r="AY24" s="17"/>
      <c r="AZ24" s="17"/>
      <c r="BA24" s="73"/>
      <c r="BB24" s="17"/>
      <c r="BC24" s="17"/>
      <c r="BD24" s="17"/>
      <c r="BE24" s="17"/>
      <c r="BF24" s="73"/>
      <c r="BG24" s="17"/>
      <c r="BH24" s="17"/>
      <c r="BI24" s="17"/>
      <c r="BJ24" s="17"/>
      <c r="BK24" s="73"/>
      <c r="BL24" s="17"/>
      <c r="BM24" s="17"/>
      <c r="BN24" s="17"/>
      <c r="BO24" s="17"/>
      <c r="BP24" s="73"/>
      <c r="BQ24" s="17"/>
      <c r="BR24" s="17"/>
      <c r="BS24" s="17"/>
      <c r="BT24" s="17"/>
      <c r="BU24" s="73"/>
      <c r="BV24" s="17"/>
      <c r="BW24" s="17"/>
      <c r="BX24" s="17"/>
      <c r="BY24" s="17"/>
      <c r="BZ24" s="18"/>
      <c r="CA24" s="17"/>
      <c r="CB24" s="17"/>
      <c r="CC24" s="17"/>
      <c r="CD24" s="17"/>
      <c r="CE24" s="18"/>
      <c r="CF24" s="17"/>
      <c r="CG24" s="17"/>
      <c r="CH24" s="17"/>
      <c r="CI24" s="17"/>
      <c r="CJ24" s="80"/>
      <c r="CK24" s="17"/>
      <c r="CL24" s="17"/>
      <c r="CM24" s="17"/>
      <c r="CN24" s="17"/>
      <c r="CO24" s="18"/>
      <c r="CP24" s="17"/>
      <c r="CQ24" s="17"/>
      <c r="CR24" s="17"/>
      <c r="CS24" s="17"/>
      <c r="CT24" s="18"/>
      <c r="CU24" s="17"/>
      <c r="CV24" s="17"/>
      <c r="CW24" s="17"/>
      <c r="CX24" s="17"/>
      <c r="CY24" s="18"/>
      <c r="CZ24" s="17">
        <v>64.0</v>
      </c>
      <c r="DA24" s="17"/>
      <c r="DB24" s="17"/>
      <c r="DC24" s="17"/>
      <c r="DD24" s="18"/>
      <c r="DE24" s="17"/>
      <c r="DF24" s="17"/>
      <c r="DG24" s="19"/>
      <c r="DH24" s="17"/>
      <c r="DI24" s="18"/>
      <c r="DJ24" s="19"/>
      <c r="DK24" s="19"/>
      <c r="DL24" s="19"/>
      <c r="DM24" s="19"/>
      <c r="DN24" s="18"/>
      <c r="DO24" s="19"/>
      <c r="DP24" s="19"/>
      <c r="DQ24" s="19"/>
      <c r="DR24" s="19"/>
      <c r="DS24" s="18"/>
      <c r="DT24" s="19"/>
      <c r="DU24" s="19"/>
      <c r="DV24" s="19"/>
      <c r="DW24" s="19"/>
      <c r="DX24" s="18"/>
      <c r="DY24" s="19"/>
      <c r="DZ24" s="19"/>
      <c r="EA24" s="19"/>
      <c r="EB24" s="19"/>
      <c r="EC24" s="18"/>
      <c r="ED24" s="19"/>
      <c r="EE24" s="19"/>
      <c r="EF24" s="19"/>
      <c r="EG24" s="19"/>
      <c r="EH24" s="18"/>
      <c r="EI24" s="25"/>
      <c r="EJ24" s="17"/>
      <c r="EK24" s="17"/>
      <c r="EL24" s="17"/>
      <c r="EM24" s="18"/>
      <c r="EN24" s="17"/>
      <c r="EO24" s="17"/>
      <c r="EP24" s="17"/>
      <c r="EQ24" s="17"/>
      <c r="ER24" s="18"/>
      <c r="ES24" s="17"/>
      <c r="ET24" s="17"/>
      <c r="EU24" s="17"/>
      <c r="EV24" s="17"/>
      <c r="EW24" s="18"/>
      <c r="EX24" s="17"/>
      <c r="EY24" s="17"/>
      <c r="EZ24" s="17"/>
      <c r="FA24" s="17"/>
      <c r="FB24" s="18"/>
      <c r="FC24" s="17"/>
      <c r="FD24" s="17"/>
      <c r="FE24" s="17"/>
      <c r="FF24" s="17"/>
      <c r="FG24" s="18"/>
      <c r="FH24" s="74"/>
      <c r="FI24" s="4"/>
      <c r="FJ24" s="4"/>
      <c r="FK24" s="4"/>
      <c r="FL24" s="4"/>
    </row>
    <row r="25" ht="12.75" hidden="1" customHeight="1" outlineLevel="1">
      <c r="A25" s="4"/>
      <c r="B25" s="72" t="s">
        <v>48</v>
      </c>
      <c r="C25" s="4"/>
      <c r="D25" s="17"/>
      <c r="E25" s="17"/>
      <c r="F25" s="17"/>
      <c r="G25" s="17"/>
      <c r="H25" s="73"/>
      <c r="I25" s="17"/>
      <c r="J25" s="17"/>
      <c r="K25" s="17"/>
      <c r="L25" s="17"/>
      <c r="M25" s="73"/>
      <c r="N25" s="17"/>
      <c r="O25" s="17"/>
      <c r="P25" s="17"/>
      <c r="Q25" s="17"/>
      <c r="R25" s="73"/>
      <c r="S25" s="17"/>
      <c r="T25" s="17"/>
      <c r="U25" s="17"/>
      <c r="V25" s="17"/>
      <c r="W25" s="73"/>
      <c r="X25" s="17"/>
      <c r="Y25" s="17"/>
      <c r="Z25" s="17"/>
      <c r="AA25" s="17"/>
      <c r="AB25" s="73"/>
      <c r="AC25" s="17"/>
      <c r="AD25" s="17"/>
      <c r="AE25" s="17"/>
      <c r="AF25" s="17"/>
      <c r="AG25" s="73"/>
      <c r="AH25" s="17"/>
      <c r="AI25" s="17"/>
      <c r="AJ25" s="17"/>
      <c r="AK25" s="17"/>
      <c r="AL25" s="73"/>
      <c r="AM25" s="17"/>
      <c r="AN25" s="17"/>
      <c r="AO25" s="17"/>
      <c r="AP25" s="17"/>
      <c r="AQ25" s="73"/>
      <c r="AR25" s="17"/>
      <c r="AS25" s="17"/>
      <c r="AT25" s="17"/>
      <c r="AU25" s="17"/>
      <c r="AV25" s="73"/>
      <c r="AW25" s="17"/>
      <c r="AX25" s="17"/>
      <c r="AY25" s="17"/>
      <c r="AZ25" s="17"/>
      <c r="BA25" s="73"/>
      <c r="BB25" s="17"/>
      <c r="BC25" s="17"/>
      <c r="BD25" s="17"/>
      <c r="BE25" s="17"/>
      <c r="BF25" s="73"/>
      <c r="BG25" s="17"/>
      <c r="BH25" s="17"/>
      <c r="BI25" s="17"/>
      <c r="BJ25" s="17"/>
      <c r="BK25" s="73"/>
      <c r="BL25" s="17"/>
      <c r="BM25" s="17"/>
      <c r="BN25" s="17"/>
      <c r="BO25" s="17"/>
      <c r="BP25" s="73"/>
      <c r="BQ25" s="17"/>
      <c r="BR25" s="17"/>
      <c r="BS25" s="17"/>
      <c r="BT25" s="17"/>
      <c r="BU25" s="73"/>
      <c r="BV25" s="17"/>
      <c r="BW25" s="17"/>
      <c r="BX25" s="17"/>
      <c r="BY25" s="17"/>
      <c r="BZ25" s="18"/>
      <c r="CA25" s="17"/>
      <c r="CB25" s="17"/>
      <c r="CC25" s="17"/>
      <c r="CD25" s="17"/>
      <c r="CE25" s="18"/>
      <c r="CF25" s="17"/>
      <c r="CG25" s="17"/>
      <c r="CH25" s="17"/>
      <c r="CI25" s="17"/>
      <c r="CJ25" s="80"/>
      <c r="CK25" s="17"/>
      <c r="CL25" s="17"/>
      <c r="CM25" s="17"/>
      <c r="CN25" s="17"/>
      <c r="CO25" s="18"/>
      <c r="CP25" s="17"/>
      <c r="CQ25" s="17"/>
      <c r="CR25" s="17"/>
      <c r="CS25" s="17"/>
      <c r="CT25" s="18"/>
      <c r="CU25" s="17"/>
      <c r="CV25" s="17"/>
      <c r="CW25" s="17"/>
      <c r="CX25" s="17"/>
      <c r="CY25" s="18"/>
      <c r="CZ25" s="17">
        <v>226.0</v>
      </c>
      <c r="DA25" s="17">
        <v>161.0</v>
      </c>
      <c r="DB25" s="17"/>
      <c r="DC25" s="17"/>
      <c r="DD25" s="18">
        <f t="shared" ref="DD25:DD27" si="184">SUM(CZ25:DC25)</f>
        <v>387</v>
      </c>
      <c r="DE25" s="17"/>
      <c r="DF25" s="17"/>
      <c r="DG25" s="19">
        <v>27.0</v>
      </c>
      <c r="DH25" s="17">
        <v>28.0</v>
      </c>
      <c r="DI25" s="18">
        <f t="shared" ref="DI25:DI27" si="185">SUM(DE25:DH25)</f>
        <v>55</v>
      </c>
      <c r="DJ25" s="19"/>
      <c r="DK25" s="19"/>
      <c r="DL25" s="19"/>
      <c r="DM25" s="19"/>
      <c r="DN25" s="18"/>
      <c r="DO25" s="19"/>
      <c r="DP25" s="19"/>
      <c r="DQ25" s="19"/>
      <c r="DR25" s="19"/>
      <c r="DS25" s="18"/>
      <c r="DT25" s="19"/>
      <c r="DU25" s="19"/>
      <c r="DV25" s="19"/>
      <c r="DW25" s="19"/>
      <c r="DX25" s="18"/>
      <c r="DY25" s="19"/>
      <c r="DZ25" s="19"/>
      <c r="EA25" s="19"/>
      <c r="EB25" s="19"/>
      <c r="EC25" s="18"/>
      <c r="ED25" s="19"/>
      <c r="EE25" s="19"/>
      <c r="EF25" s="19"/>
      <c r="EG25" s="19"/>
      <c r="EH25" s="18"/>
      <c r="EI25" s="25"/>
      <c r="EJ25" s="17"/>
      <c r="EK25" s="17"/>
      <c r="EL25" s="17"/>
      <c r="EM25" s="18"/>
      <c r="EN25" s="17"/>
      <c r="EO25" s="17"/>
      <c r="EP25" s="17"/>
      <c r="EQ25" s="17"/>
      <c r="ER25" s="18"/>
      <c r="ES25" s="17"/>
      <c r="ET25" s="17"/>
      <c r="EU25" s="17"/>
      <c r="EV25" s="17"/>
      <c r="EW25" s="18"/>
      <c r="EX25" s="17"/>
      <c r="EY25" s="17"/>
      <c r="EZ25" s="17"/>
      <c r="FA25" s="17"/>
      <c r="FB25" s="18"/>
      <c r="FC25" s="17"/>
      <c r="FD25" s="17"/>
      <c r="FE25" s="17"/>
      <c r="FF25" s="17"/>
      <c r="FG25" s="18"/>
      <c r="FH25" s="74"/>
      <c r="FI25" s="4"/>
      <c r="FJ25" s="4"/>
      <c r="FK25" s="4"/>
      <c r="FL25" s="4"/>
    </row>
    <row r="26" ht="12.75" customHeight="1" collapsed="1">
      <c r="A26" s="90"/>
      <c r="B26" s="91" t="s">
        <v>49</v>
      </c>
      <c r="C26" s="90"/>
      <c r="D26" s="92"/>
      <c r="E26" s="92"/>
      <c r="F26" s="92"/>
      <c r="G26" s="92"/>
      <c r="H26" s="93"/>
      <c r="I26" s="92"/>
      <c r="J26" s="92"/>
      <c r="K26" s="92"/>
      <c r="L26" s="92"/>
      <c r="M26" s="93"/>
      <c r="N26" s="92"/>
      <c r="O26" s="92"/>
      <c r="P26" s="92"/>
      <c r="Q26" s="92"/>
      <c r="R26" s="93"/>
      <c r="S26" s="92"/>
      <c r="T26" s="92"/>
      <c r="U26" s="92"/>
      <c r="V26" s="92"/>
      <c r="W26" s="93"/>
      <c r="X26" s="92"/>
      <c r="Y26" s="92"/>
      <c r="Z26" s="92"/>
      <c r="AA26" s="92"/>
      <c r="AB26" s="93"/>
      <c r="AC26" s="92"/>
      <c r="AD26" s="92"/>
      <c r="AE26" s="92"/>
      <c r="AF26" s="92"/>
      <c r="AG26" s="93"/>
      <c r="AH26" s="92"/>
      <c r="AI26" s="92"/>
      <c r="AJ26" s="92"/>
      <c r="AK26" s="92"/>
      <c r="AL26" s="93"/>
      <c r="AM26" s="92"/>
      <c r="AN26" s="92"/>
      <c r="AO26" s="92"/>
      <c r="AP26" s="92"/>
      <c r="AQ26" s="93"/>
      <c r="AR26" s="92"/>
      <c r="AS26" s="92"/>
      <c r="AT26" s="92"/>
      <c r="AU26" s="92"/>
      <c r="AV26" s="93"/>
      <c r="AW26" s="92"/>
      <c r="AX26" s="92"/>
      <c r="AY26" s="92"/>
      <c r="AZ26" s="92"/>
      <c r="BA26" s="93"/>
      <c r="BB26" s="92"/>
      <c r="BC26" s="92"/>
      <c r="BD26" s="92"/>
      <c r="BE26" s="92"/>
      <c r="BF26" s="93"/>
      <c r="BG26" s="92"/>
      <c r="BH26" s="92"/>
      <c r="BI26" s="92"/>
      <c r="BJ26" s="92"/>
      <c r="BK26" s="93"/>
      <c r="BL26" s="92"/>
      <c r="BM26" s="92"/>
      <c r="BN26" s="92"/>
      <c r="BO26" s="92"/>
      <c r="BP26" s="93"/>
      <c r="BQ26" s="92"/>
      <c r="BR26" s="92"/>
      <c r="BS26" s="92"/>
      <c r="BT26" s="92"/>
      <c r="BU26" s="93"/>
      <c r="BV26" s="92"/>
      <c r="BW26" s="92"/>
      <c r="BX26" s="92"/>
      <c r="BY26" s="92"/>
      <c r="BZ26" s="94"/>
      <c r="CA26" s="92"/>
      <c r="CB26" s="92"/>
      <c r="CC26" s="92"/>
      <c r="CD26" s="92"/>
      <c r="CE26" s="94"/>
      <c r="CF26" s="92"/>
      <c r="CG26" s="92"/>
      <c r="CH26" s="92"/>
      <c r="CI26" s="92"/>
      <c r="CJ26" s="95"/>
      <c r="CK26" s="92"/>
      <c r="CL26" s="92"/>
      <c r="CM26" s="92"/>
      <c r="CN26" s="92"/>
      <c r="CO26" s="94"/>
      <c r="CP26" s="92">
        <f>CP20-CP21</f>
        <v>-13</v>
      </c>
      <c r="CQ26" s="92"/>
      <c r="CR26" s="92"/>
      <c r="CS26" s="92"/>
      <c r="CT26" s="94"/>
      <c r="CU26" s="92">
        <v>120.0</v>
      </c>
      <c r="CV26" s="92">
        <v>75.0</v>
      </c>
      <c r="CW26" s="92"/>
      <c r="CX26" s="92">
        <v>72.0</v>
      </c>
      <c r="CY26" s="94">
        <f t="shared" ref="CY26:CY27" si="193">SUM(CU26:CX26)</f>
        <v>267</v>
      </c>
      <c r="CZ26" s="90">
        <v>235.0</v>
      </c>
      <c r="DA26" s="92">
        <v>235.0</v>
      </c>
      <c r="DB26" s="92">
        <v>235.0</v>
      </c>
      <c r="DC26" s="92">
        <v>232.0</v>
      </c>
      <c r="DD26" s="94">
        <f t="shared" si="184"/>
        <v>937</v>
      </c>
      <c r="DE26" s="92">
        <v>209.0</v>
      </c>
      <c r="DF26" s="92">
        <v>198.0</v>
      </c>
      <c r="DG26" s="96">
        <v>243.0</v>
      </c>
      <c r="DH26" s="92">
        <v>262.0</v>
      </c>
      <c r="DI26" s="94">
        <f t="shared" si="185"/>
        <v>912</v>
      </c>
      <c r="DJ26" s="96">
        <v>275.0</v>
      </c>
      <c r="DK26" s="96">
        <v>275.0</v>
      </c>
      <c r="DL26" s="96">
        <v>276.0</v>
      </c>
      <c r="DM26" s="96">
        <v>279.0</v>
      </c>
      <c r="DN26" s="94">
        <f t="shared" ref="DN26:DN27" si="197">SUM(DJ26:DM26)</f>
        <v>1105</v>
      </c>
      <c r="DO26" s="96">
        <v>281.0</v>
      </c>
      <c r="DP26" s="96">
        <v>287.0</v>
      </c>
      <c r="DQ26" s="96">
        <v>288.0</v>
      </c>
      <c r="DR26" s="96">
        <v>268.0</v>
      </c>
      <c r="DS26" s="94">
        <f t="shared" ref="DS26:DS27" si="199">SUM(DO26:DR26)</f>
        <v>1124</v>
      </c>
      <c r="DT26" s="96">
        <v>289.0</v>
      </c>
      <c r="DU26" s="96">
        <v>302.0</v>
      </c>
      <c r="DV26" s="96">
        <v>310.0</v>
      </c>
      <c r="DW26" s="96">
        <v>310.0</v>
      </c>
      <c r="DX26" s="94">
        <f t="shared" ref="DX26:DX27" si="201">SUM(DT26:DW26)</f>
        <v>1211</v>
      </c>
      <c r="DY26" s="96">
        <f>312-317</f>
        <v>-5</v>
      </c>
      <c r="DZ26" s="96">
        <f>314-544</f>
        <v>-230</v>
      </c>
      <c r="EA26" s="96">
        <f>322-616</f>
        <v>-294</v>
      </c>
      <c r="EB26" s="96">
        <f>335-518</f>
        <v>-183</v>
      </c>
      <c r="EC26" s="94">
        <f t="shared" ref="EC26:EC27" si="203">SUM(DY26:EB26)</f>
        <v>-712</v>
      </c>
      <c r="ED26" s="96">
        <f>353+148</f>
        <v>501</v>
      </c>
      <c r="EE26" s="96">
        <f>329+188+204+559</f>
        <v>1280</v>
      </c>
      <c r="EF26" s="96">
        <f>330+172</f>
        <v>502</v>
      </c>
      <c r="EG26" s="96">
        <f>329+152+164</f>
        <v>645</v>
      </c>
      <c r="EH26" s="94">
        <f t="shared" ref="EH26:EH27" si="205">SUM(ED26:EG26)</f>
        <v>2928</v>
      </c>
      <c r="EI26" s="97" t="str">
        <f t="shared" ref="EI26:EL26" si="186">EI27-EI22</f>
        <v>#ERROR!</v>
      </c>
      <c r="EJ26" s="96" t="str">
        <f t="shared" si="186"/>
        <v>#ERROR!</v>
      </c>
      <c r="EK26" s="96" t="str">
        <f t="shared" si="186"/>
        <v>#ERROR!</v>
      </c>
      <c r="EL26" s="96" t="str">
        <f t="shared" si="186"/>
        <v>#ERROR!</v>
      </c>
      <c r="EM26" s="94" t="str">
        <f t="shared" ref="EM26:EM27" si="207">SUM(EI26:EL26)</f>
        <v>#ERROR!</v>
      </c>
      <c r="EN26" s="96" t="str">
        <f t="shared" ref="EN26:EQ26" si="187">EN27-EN22</f>
        <v>#ERROR!</v>
      </c>
      <c r="EO26" s="96" t="str">
        <f t="shared" si="187"/>
        <v>#ERROR!</v>
      </c>
      <c r="EP26" s="96" t="str">
        <f t="shared" si="187"/>
        <v>#ERROR!</v>
      </c>
      <c r="EQ26" s="96" t="str">
        <f t="shared" si="187"/>
        <v>#ERROR!</v>
      </c>
      <c r="ER26" s="94" t="str">
        <f t="shared" ref="ER26:ER27" si="209">SUM(EN26:EQ26)</f>
        <v>#ERROR!</v>
      </c>
      <c r="ES26" s="96" t="str">
        <f t="shared" ref="ES26:EV26" si="188">ES27-ES22</f>
        <v>#ERROR!</v>
      </c>
      <c r="ET26" s="96" t="str">
        <f t="shared" si="188"/>
        <v>#ERROR!</v>
      </c>
      <c r="EU26" s="96" t="str">
        <f t="shared" si="188"/>
        <v>#ERROR!</v>
      </c>
      <c r="EV26" s="96" t="str">
        <f t="shared" si="188"/>
        <v>#ERROR!</v>
      </c>
      <c r="EW26" s="94" t="str">
        <f t="shared" ref="EW26:EW27" si="211">SUM(ES26:EV26)</f>
        <v>#ERROR!</v>
      </c>
      <c r="EX26" s="96" t="str">
        <f t="shared" ref="EX26:FA26" si="189">EX27-EX22</f>
        <v>#ERROR!</v>
      </c>
      <c r="EY26" s="96" t="str">
        <f t="shared" si="189"/>
        <v>#ERROR!</v>
      </c>
      <c r="EZ26" s="96" t="str">
        <f t="shared" si="189"/>
        <v>#ERROR!</v>
      </c>
      <c r="FA26" s="96" t="str">
        <f t="shared" si="189"/>
        <v>#ERROR!</v>
      </c>
      <c r="FB26" s="94" t="str">
        <f t="shared" ref="FB26:FB27" si="213">SUM(EX26:FA26)</f>
        <v>#ERROR!</v>
      </c>
      <c r="FC26" s="96" t="str">
        <f t="shared" ref="FC26:FF26" si="190">FC27-FC22</f>
        <v>#ERROR!</v>
      </c>
      <c r="FD26" s="96" t="str">
        <f t="shared" si="190"/>
        <v>#ERROR!</v>
      </c>
      <c r="FE26" s="96" t="str">
        <f t="shared" si="190"/>
        <v>#ERROR!</v>
      </c>
      <c r="FF26" s="96" t="str">
        <f t="shared" si="190"/>
        <v>#ERROR!</v>
      </c>
      <c r="FG26" s="94" t="str">
        <f t="shared" ref="FG26:FG27" si="215">SUM(FC26:FF26)</f>
        <v>#ERROR!</v>
      </c>
      <c r="FH26" s="98"/>
      <c r="FI26" s="90"/>
      <c r="FJ26" s="90"/>
      <c r="FK26" s="90"/>
      <c r="FL26" s="90"/>
    </row>
    <row r="27" ht="12.75" customHeight="1">
      <c r="A27" s="105"/>
      <c r="B27" s="106" t="s">
        <v>50</v>
      </c>
      <c r="C27" s="107"/>
      <c r="D27" s="108"/>
      <c r="E27" s="108"/>
      <c r="F27" s="108"/>
      <c r="G27" s="108"/>
      <c r="H27" s="109"/>
      <c r="I27" s="108"/>
      <c r="J27" s="108"/>
      <c r="K27" s="108"/>
      <c r="L27" s="108"/>
      <c r="M27" s="109"/>
      <c r="N27" s="108"/>
      <c r="O27" s="108"/>
      <c r="P27" s="108"/>
      <c r="Q27" s="108"/>
      <c r="R27" s="109"/>
      <c r="S27" s="108"/>
      <c r="T27" s="108"/>
      <c r="U27" s="108"/>
      <c r="V27" s="108"/>
      <c r="W27" s="109"/>
      <c r="X27" s="108"/>
      <c r="Y27" s="108"/>
      <c r="Z27" s="108"/>
      <c r="AA27" s="108"/>
      <c r="AB27" s="109"/>
      <c r="AC27" s="108"/>
      <c r="AD27" s="108"/>
      <c r="AE27" s="108"/>
      <c r="AF27" s="108"/>
      <c r="AG27" s="109"/>
      <c r="AH27" s="108"/>
      <c r="AI27" s="108"/>
      <c r="AJ27" s="108"/>
      <c r="AK27" s="108"/>
      <c r="AL27" s="109"/>
      <c r="AM27" s="108"/>
      <c r="AN27" s="108"/>
      <c r="AO27" s="108"/>
      <c r="AP27" s="108"/>
      <c r="AQ27" s="109"/>
      <c r="AR27" s="108"/>
      <c r="AS27" s="108"/>
      <c r="AT27" s="108"/>
      <c r="AU27" s="108"/>
      <c r="AV27" s="109"/>
      <c r="AW27" s="108"/>
      <c r="AX27" s="108"/>
      <c r="AY27" s="108"/>
      <c r="AZ27" s="108"/>
      <c r="BA27" s="109"/>
      <c r="BB27" s="108"/>
      <c r="BC27" s="108"/>
      <c r="BD27" s="108"/>
      <c r="BE27" s="108"/>
      <c r="BF27" s="109"/>
      <c r="BG27" s="108"/>
      <c r="BH27" s="108"/>
      <c r="BI27" s="108"/>
      <c r="BJ27" s="108"/>
      <c r="BK27" s="109"/>
      <c r="BL27" s="108"/>
      <c r="BM27" s="108"/>
      <c r="BN27" s="108"/>
      <c r="BO27" s="108"/>
      <c r="BP27" s="109"/>
      <c r="BQ27" s="108"/>
      <c r="BR27" s="108"/>
      <c r="BS27" s="108"/>
      <c r="BT27" s="108"/>
      <c r="BU27" s="109"/>
      <c r="BV27" s="108"/>
      <c r="BW27" s="108"/>
      <c r="BX27" s="108"/>
      <c r="BY27" s="108"/>
      <c r="BZ27" s="18"/>
      <c r="CA27" s="108"/>
      <c r="CB27" s="108"/>
      <c r="CC27" s="108"/>
      <c r="CD27" s="108"/>
      <c r="CE27" s="18"/>
      <c r="CF27" s="108"/>
      <c r="CG27" s="108"/>
      <c r="CH27" s="108"/>
      <c r="CI27" s="108"/>
      <c r="CJ27" s="80"/>
      <c r="CK27" s="108"/>
      <c r="CL27" s="108"/>
      <c r="CM27" s="108"/>
      <c r="CN27" s="108"/>
      <c r="CO27" s="18"/>
      <c r="CP27" s="108">
        <f t="shared" ref="CP27:CS27" si="191">CP12-CP21</f>
        <v>7613</v>
      </c>
      <c r="CQ27" s="108">
        <f t="shared" si="191"/>
        <v>8917</v>
      </c>
      <c r="CR27" s="108">
        <f t="shared" si="191"/>
        <v>9458</v>
      </c>
      <c r="CS27" s="108">
        <f t="shared" si="191"/>
        <v>9621</v>
      </c>
      <c r="CT27" s="18">
        <f>SUM(CP27:CS27)</f>
        <v>35609</v>
      </c>
      <c r="CU27" s="108">
        <f t="shared" ref="CU27:CX27" si="192">CU22+CU24+CU25+CU26</f>
        <v>7850</v>
      </c>
      <c r="CV27" s="108">
        <f t="shared" si="192"/>
        <v>8323</v>
      </c>
      <c r="CW27" s="108">
        <f t="shared" si="192"/>
        <v>9111</v>
      </c>
      <c r="CX27" s="108">
        <f t="shared" si="192"/>
        <v>9662</v>
      </c>
      <c r="CY27" s="18">
        <f t="shared" si="193"/>
        <v>34946</v>
      </c>
      <c r="CZ27" s="108">
        <f t="shared" ref="CZ27:DC27" si="194">CZ22+CZ24+CZ25+CZ26</f>
        <v>8655</v>
      </c>
      <c r="DA27" s="108">
        <f t="shared" si="194"/>
        <v>8369</v>
      </c>
      <c r="DB27" s="108">
        <f t="shared" si="194"/>
        <v>10218</v>
      </c>
      <c r="DC27" s="108">
        <f t="shared" si="194"/>
        <v>10337</v>
      </c>
      <c r="DD27" s="18">
        <f t="shared" si="184"/>
        <v>37579</v>
      </c>
      <c r="DE27" s="108">
        <f t="shared" ref="DE27:DH27" si="195">DE22+DE24+DE25+DE26</f>
        <v>9356</v>
      </c>
      <c r="DF27" s="108">
        <f t="shared" si="195"/>
        <v>9296</v>
      </c>
      <c r="DG27" s="108">
        <f t="shared" si="195"/>
        <v>10327</v>
      </c>
      <c r="DH27" s="108">
        <f t="shared" si="195"/>
        <v>11057</v>
      </c>
      <c r="DI27" s="18">
        <f t="shared" si="185"/>
        <v>40036</v>
      </c>
      <c r="DJ27" s="108">
        <f t="shared" ref="DJ27:DM27" si="196">DJ22+DJ24+DJ25+DJ26</f>
        <v>10006</v>
      </c>
      <c r="DK27" s="108">
        <f t="shared" si="196"/>
        <v>10694</v>
      </c>
      <c r="DL27" s="108">
        <f t="shared" si="196"/>
        <v>12636</v>
      </c>
      <c r="DM27" s="108">
        <f t="shared" si="196"/>
        <v>11506</v>
      </c>
      <c r="DN27" s="18">
        <f t="shared" si="197"/>
        <v>44842</v>
      </c>
      <c r="DO27" s="108">
        <f t="shared" ref="DO27:DR27" si="198">DO22+DO24+DO25+DO26</f>
        <v>9370</v>
      </c>
      <c r="DP27" s="108">
        <f t="shared" si="198"/>
        <v>10165</v>
      </c>
      <c r="DQ27" s="108">
        <f t="shared" si="198"/>
        <v>11583</v>
      </c>
      <c r="DR27" s="108">
        <f t="shared" si="198"/>
        <v>12146</v>
      </c>
      <c r="DS27" s="18">
        <f t="shared" si="199"/>
        <v>43264</v>
      </c>
      <c r="DT27" s="108">
        <f t="shared" ref="DT27:DW27" si="200">DT22+DT24+DT25+DT26</f>
        <v>12305</v>
      </c>
      <c r="DU27" s="108">
        <f t="shared" si="200"/>
        <v>10809</v>
      </c>
      <c r="DV27" s="108">
        <f t="shared" si="200"/>
        <v>10051</v>
      </c>
      <c r="DW27" s="108">
        <f t="shared" si="200"/>
        <v>11658</v>
      </c>
      <c r="DX27" s="18">
        <f t="shared" si="201"/>
        <v>44823</v>
      </c>
      <c r="DY27" s="108">
        <f t="shared" ref="DY27:EB27" si="202">DY22+DY26</f>
        <v>10849</v>
      </c>
      <c r="DZ27" s="108">
        <f t="shared" si="202"/>
        <v>10976</v>
      </c>
      <c r="EA27" s="108">
        <f t="shared" si="202"/>
        <v>10452</v>
      </c>
      <c r="EB27" s="108">
        <f t="shared" si="202"/>
        <v>10826</v>
      </c>
      <c r="EC27" s="18">
        <f t="shared" si="203"/>
        <v>43103</v>
      </c>
      <c r="ED27" s="108">
        <f t="shared" ref="ED27:EG27" si="204">ED22+ED26</f>
        <v>9745</v>
      </c>
      <c r="EE27" s="108">
        <f t="shared" si="204"/>
        <v>6867</v>
      </c>
      <c r="EF27" s="108">
        <f t="shared" si="204"/>
        <v>7037</v>
      </c>
      <c r="EG27" s="108">
        <f t="shared" si="204"/>
        <v>6145</v>
      </c>
      <c r="EH27" s="18">
        <f t="shared" si="205"/>
        <v>29794</v>
      </c>
      <c r="EI27" s="110" t="str">
        <f t="shared" ref="EI27:EL27" si="206">EI12*EI28</f>
        <v>#ERROR!</v>
      </c>
      <c r="EJ27" s="108" t="str">
        <f t="shared" si="206"/>
        <v>#ERROR!</v>
      </c>
      <c r="EK27" s="108" t="str">
        <f t="shared" si="206"/>
        <v>#ERROR!</v>
      </c>
      <c r="EL27" s="108" t="str">
        <f t="shared" si="206"/>
        <v>#ERROR!</v>
      </c>
      <c r="EM27" s="18" t="str">
        <f t="shared" si="207"/>
        <v>#ERROR!</v>
      </c>
      <c r="EN27" s="108" t="str">
        <f t="shared" ref="EN27:EQ27" si="208">EN12*EN28</f>
        <v>#ERROR!</v>
      </c>
      <c r="EO27" s="108" t="str">
        <f t="shared" si="208"/>
        <v>#ERROR!</v>
      </c>
      <c r="EP27" s="108" t="str">
        <f t="shared" si="208"/>
        <v>#ERROR!</v>
      </c>
      <c r="EQ27" s="108" t="str">
        <f t="shared" si="208"/>
        <v>#ERROR!</v>
      </c>
      <c r="ER27" s="18" t="str">
        <f t="shared" si="209"/>
        <v>#ERROR!</v>
      </c>
      <c r="ES27" s="108" t="str">
        <f t="shared" ref="ES27:EV27" si="210">ES12*ES28</f>
        <v>#ERROR!</v>
      </c>
      <c r="ET27" s="108" t="str">
        <f t="shared" si="210"/>
        <v>#ERROR!</v>
      </c>
      <c r="EU27" s="108" t="str">
        <f t="shared" si="210"/>
        <v>#ERROR!</v>
      </c>
      <c r="EV27" s="108" t="str">
        <f t="shared" si="210"/>
        <v>#ERROR!</v>
      </c>
      <c r="EW27" s="18" t="str">
        <f t="shared" si="211"/>
        <v>#ERROR!</v>
      </c>
      <c r="EX27" s="108" t="str">
        <f t="shared" ref="EX27:FA27" si="212">EX12*EX28</f>
        <v>#ERROR!</v>
      </c>
      <c r="EY27" s="108" t="str">
        <f t="shared" si="212"/>
        <v>#ERROR!</v>
      </c>
      <c r="EZ27" s="108" t="str">
        <f t="shared" si="212"/>
        <v>#ERROR!</v>
      </c>
      <c r="FA27" s="108" t="str">
        <f t="shared" si="212"/>
        <v>#ERROR!</v>
      </c>
      <c r="FB27" s="18" t="str">
        <f t="shared" si="213"/>
        <v>#ERROR!</v>
      </c>
      <c r="FC27" s="108" t="str">
        <f t="shared" ref="FC27:FF27" si="214">FC12*FC28</f>
        <v>#ERROR!</v>
      </c>
      <c r="FD27" s="108" t="str">
        <f t="shared" si="214"/>
        <v>#ERROR!</v>
      </c>
      <c r="FE27" s="108" t="str">
        <f t="shared" si="214"/>
        <v>#ERROR!</v>
      </c>
      <c r="FF27" s="108" t="str">
        <f t="shared" si="214"/>
        <v>#ERROR!</v>
      </c>
      <c r="FG27" s="18" t="str">
        <f t="shared" si="215"/>
        <v>#ERROR!</v>
      </c>
      <c r="FH27" s="74"/>
      <c r="FI27" s="105"/>
      <c r="FJ27" s="105"/>
      <c r="FK27" s="105"/>
      <c r="FL27" s="105"/>
    </row>
    <row r="28" ht="12.75" customHeight="1">
      <c r="A28" s="45"/>
      <c r="B28" s="111" t="s">
        <v>51</v>
      </c>
      <c r="C28" s="45"/>
      <c r="D28" s="112"/>
      <c r="E28" s="112"/>
      <c r="F28" s="112"/>
      <c r="G28" s="112"/>
      <c r="H28" s="73"/>
      <c r="I28" s="112"/>
      <c r="J28" s="112"/>
      <c r="K28" s="112"/>
      <c r="L28" s="112"/>
      <c r="M28" s="73"/>
      <c r="N28" s="112"/>
      <c r="O28" s="112"/>
      <c r="P28" s="112"/>
      <c r="Q28" s="112"/>
      <c r="R28" s="73"/>
      <c r="S28" s="112"/>
      <c r="T28" s="112"/>
      <c r="U28" s="112"/>
      <c r="V28" s="112"/>
      <c r="W28" s="73"/>
      <c r="X28" s="112"/>
      <c r="Y28" s="112"/>
      <c r="Z28" s="112"/>
      <c r="AA28" s="112"/>
      <c r="AB28" s="73"/>
      <c r="AC28" s="112"/>
      <c r="AD28" s="112"/>
      <c r="AE28" s="112"/>
      <c r="AF28" s="112"/>
      <c r="AG28" s="73"/>
      <c r="AH28" s="112"/>
      <c r="AI28" s="112"/>
      <c r="AJ28" s="112"/>
      <c r="AK28" s="112"/>
      <c r="AL28" s="73"/>
      <c r="AM28" s="112"/>
      <c r="AN28" s="112"/>
      <c r="AO28" s="112"/>
      <c r="AP28" s="112"/>
      <c r="AQ28" s="73"/>
      <c r="AR28" s="112"/>
      <c r="AS28" s="112"/>
      <c r="AT28" s="112"/>
      <c r="AU28" s="112"/>
      <c r="AV28" s="73"/>
      <c r="AW28" s="112"/>
      <c r="AX28" s="112"/>
      <c r="AY28" s="112"/>
      <c r="AZ28" s="112"/>
      <c r="BA28" s="73"/>
      <c r="BB28" s="112"/>
      <c r="BC28" s="112"/>
      <c r="BD28" s="112"/>
      <c r="BE28" s="112"/>
      <c r="BF28" s="73"/>
      <c r="BG28" s="112"/>
      <c r="BH28" s="112"/>
      <c r="BI28" s="112"/>
      <c r="BJ28" s="112"/>
      <c r="BK28" s="73"/>
      <c r="BL28" s="112"/>
      <c r="BM28" s="112"/>
      <c r="BN28" s="112"/>
      <c r="BO28" s="112"/>
      <c r="BP28" s="73"/>
      <c r="BQ28" s="112"/>
      <c r="BR28" s="112"/>
      <c r="BS28" s="112"/>
      <c r="BT28" s="112"/>
      <c r="BU28" s="73"/>
      <c r="BV28" s="112"/>
      <c r="BW28" s="112"/>
      <c r="BX28" s="112"/>
      <c r="BY28" s="112"/>
      <c r="BZ28" s="18"/>
      <c r="CA28" s="112"/>
      <c r="CB28" s="112"/>
      <c r="CC28" s="112"/>
      <c r="CD28" s="112"/>
      <c r="CE28" s="18"/>
      <c r="CF28" s="112"/>
      <c r="CG28" s="112"/>
      <c r="CH28" s="112"/>
      <c r="CI28" s="112"/>
      <c r="CJ28" s="80"/>
      <c r="CK28" s="113"/>
      <c r="CL28" s="113"/>
      <c r="CM28" s="113"/>
      <c r="CN28" s="113"/>
      <c r="CO28" s="114"/>
      <c r="CP28" s="113">
        <f t="shared" ref="CP28:EH28" si="216">CP27/CP12</f>
        <v>0.5964431213</v>
      </c>
      <c r="CQ28" s="113">
        <f t="shared" si="216"/>
        <v>0.6447111561</v>
      </c>
      <c r="CR28" s="113">
        <f t="shared" si="216"/>
        <v>0.6498557098</v>
      </c>
      <c r="CS28" s="113">
        <f t="shared" si="216"/>
        <v>0.6535561443</v>
      </c>
      <c r="CT28" s="114">
        <f t="shared" si="216"/>
        <v>0.6373545731</v>
      </c>
      <c r="CU28" s="113">
        <f t="shared" si="216"/>
        <v>0.6141929426</v>
      </c>
      <c r="CV28" s="113">
        <f t="shared" si="216"/>
        <v>0.6307692308</v>
      </c>
      <c r="CW28" s="113">
        <f t="shared" si="216"/>
        <v>0.6298651918</v>
      </c>
      <c r="CX28" s="113">
        <f t="shared" si="216"/>
        <v>0.6478476599</v>
      </c>
      <c r="CY28" s="114">
        <f t="shared" si="216"/>
        <v>0.6313070183</v>
      </c>
      <c r="CZ28" s="115">
        <f t="shared" si="216"/>
        <v>0.627128469</v>
      </c>
      <c r="DA28" s="115">
        <f t="shared" si="216"/>
        <v>0.6184142467</v>
      </c>
      <c r="DB28" s="115">
        <f t="shared" si="216"/>
        <v>0.647610597</v>
      </c>
      <c r="DC28" s="115">
        <f t="shared" si="216"/>
        <v>0.6313057286</v>
      </c>
      <c r="DD28" s="114">
        <f t="shared" si="216"/>
        <v>0.6317284739</v>
      </c>
      <c r="DE28" s="113">
        <f t="shared" si="216"/>
        <v>0.632333063</v>
      </c>
      <c r="DF28" s="113">
        <f t="shared" si="216"/>
        <v>0.6296823139</v>
      </c>
      <c r="DG28" s="115">
        <f t="shared" si="216"/>
        <v>0.6394823209</v>
      </c>
      <c r="DH28" s="115">
        <f t="shared" si="216"/>
        <v>0.6483903126</v>
      </c>
      <c r="DI28" s="114">
        <f t="shared" si="216"/>
        <v>0.6379120792</v>
      </c>
      <c r="DJ28" s="115">
        <f t="shared" si="216"/>
        <v>0.6228059256</v>
      </c>
      <c r="DK28" s="115">
        <f t="shared" si="216"/>
        <v>0.6304681052</v>
      </c>
      <c r="DL28" s="115">
        <f t="shared" si="216"/>
        <v>0.6593957105</v>
      </c>
      <c r="DM28" s="115">
        <f t="shared" si="216"/>
        <v>0.616712226</v>
      </c>
      <c r="DN28" s="114">
        <f t="shared" si="216"/>
        <v>0.6329324752</v>
      </c>
      <c r="DO28" s="115">
        <f t="shared" si="216"/>
        <v>0.5834007845</v>
      </c>
      <c r="DP28" s="115">
        <f t="shared" si="216"/>
        <v>0.6158739776</v>
      </c>
      <c r="DQ28" s="115">
        <f t="shared" si="216"/>
        <v>0.6035956227</v>
      </c>
      <c r="DR28" s="115">
        <f t="shared" si="216"/>
        <v>0.6010193478</v>
      </c>
      <c r="DS28" s="114">
        <f t="shared" si="216"/>
        <v>0.6011811297</v>
      </c>
      <c r="DT28" s="115">
        <f t="shared" si="216"/>
        <v>0.6205870486</v>
      </c>
      <c r="DU28" s="115">
        <f t="shared" si="216"/>
        <v>0.5479014599</v>
      </c>
      <c r="DV28" s="115">
        <f t="shared" si="216"/>
        <v>0.5482463318</v>
      </c>
      <c r="DW28" s="115">
        <f t="shared" si="216"/>
        <v>0.5835418961</v>
      </c>
      <c r="DX28" s="114">
        <f t="shared" si="216"/>
        <v>0.5756353783</v>
      </c>
      <c r="DY28" s="115">
        <f t="shared" si="216"/>
        <v>0.5843477324</v>
      </c>
      <c r="DZ28" s="115">
        <f t="shared" si="216"/>
        <v>0.5922408676</v>
      </c>
      <c r="EA28" s="115">
        <f t="shared" si="216"/>
        <v>0.5778736109</v>
      </c>
      <c r="EB28" s="115">
        <f t="shared" si="216"/>
        <v>0.554269916</v>
      </c>
      <c r="EC28" s="24">
        <f t="shared" si="216"/>
        <v>0.5768757194</v>
      </c>
      <c r="ED28" s="115">
        <f t="shared" si="216"/>
        <v>0.5309758623</v>
      </c>
      <c r="EE28" s="115">
        <f t="shared" si="216"/>
        <v>0.4482083415</v>
      </c>
      <c r="EF28" s="115">
        <f t="shared" si="216"/>
        <v>0.4587951493</v>
      </c>
      <c r="EG28" s="115">
        <f t="shared" si="216"/>
        <v>0.4376157243</v>
      </c>
      <c r="EH28" s="24">
        <f t="shared" si="216"/>
        <v>0.4725156215</v>
      </c>
      <c r="EI28" s="116">
        <v>0.39</v>
      </c>
      <c r="EJ28" s="117">
        <v>0.39</v>
      </c>
      <c r="EK28" s="117">
        <v>0.42</v>
      </c>
      <c r="EL28" s="117">
        <v>0.47</v>
      </c>
      <c r="EM28" s="24" t="str">
        <f>EM27/EM12</f>
        <v>#ERROR!</v>
      </c>
      <c r="EN28" s="117">
        <v>0.47</v>
      </c>
      <c r="EO28" s="117">
        <v>0.47</v>
      </c>
      <c r="EP28" s="117">
        <v>0.47</v>
      </c>
      <c r="EQ28" s="117">
        <v>0.475</v>
      </c>
      <c r="ER28" s="24" t="str">
        <f>ER27/ER12</f>
        <v>#ERROR!</v>
      </c>
      <c r="ES28" s="117">
        <v>0.49</v>
      </c>
      <c r="ET28" s="117">
        <v>0.5</v>
      </c>
      <c r="EU28" s="117">
        <v>0.5</v>
      </c>
      <c r="EV28" s="117">
        <v>0.51</v>
      </c>
      <c r="EW28" s="24" t="str">
        <f>EW27/EW12</f>
        <v>#ERROR!</v>
      </c>
      <c r="EX28" s="117">
        <v>0.52</v>
      </c>
      <c r="EY28" s="117">
        <v>0.52</v>
      </c>
      <c r="EZ28" s="117">
        <v>0.52</v>
      </c>
      <c r="FA28" s="117">
        <v>0.53</v>
      </c>
      <c r="FB28" s="24" t="str">
        <f>FB27/FB12</f>
        <v>#ERROR!</v>
      </c>
      <c r="FC28" s="117">
        <v>0.54</v>
      </c>
      <c r="FD28" s="117">
        <v>0.54</v>
      </c>
      <c r="FE28" s="117">
        <v>0.54</v>
      </c>
      <c r="FF28" s="117">
        <v>0.55</v>
      </c>
      <c r="FG28" s="24" t="str">
        <f>FG27/FG12</f>
        <v>#ERROR!</v>
      </c>
      <c r="FH28" s="104"/>
      <c r="FI28" s="45"/>
      <c r="FJ28" s="45"/>
      <c r="FK28" s="45"/>
      <c r="FL28" s="45"/>
    </row>
    <row r="29" ht="12.75" customHeight="1">
      <c r="A29" s="118"/>
      <c r="B29" s="119" t="s">
        <v>52</v>
      </c>
      <c r="C29" s="118"/>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1"/>
      <c r="CA29" s="120"/>
      <c r="CB29" s="120"/>
      <c r="CC29" s="120"/>
      <c r="CD29" s="120"/>
      <c r="CE29" s="121"/>
      <c r="CF29" s="120"/>
      <c r="CG29" s="120"/>
      <c r="CH29" s="120"/>
      <c r="CI29" s="120"/>
      <c r="CJ29" s="121"/>
      <c r="CK29" s="122"/>
      <c r="CL29" s="122"/>
      <c r="CM29" s="122"/>
      <c r="CN29" s="122"/>
      <c r="CO29" s="123"/>
      <c r="CP29" s="122">
        <f t="shared" ref="CP29:CS29" si="217">(CP27-CK27)/(CP12-CK12)</f>
        <v>41.375</v>
      </c>
      <c r="CQ29" s="122">
        <f t="shared" si="217"/>
        <v>8.742156863</v>
      </c>
      <c r="CR29" s="122">
        <f t="shared" si="217"/>
        <v>8.830999066</v>
      </c>
      <c r="CS29" s="122">
        <f t="shared" si="217"/>
        <v>10.84667418</v>
      </c>
      <c r="CT29" s="123"/>
      <c r="CU29" s="122">
        <f t="shared" ref="CU29:CX29" si="218">(CU27-CP27)/(CU12-CP12)</f>
        <v>13.94117647</v>
      </c>
      <c r="CV29" s="122">
        <f t="shared" si="218"/>
        <v>0.9339622642</v>
      </c>
      <c r="CW29" s="122">
        <f t="shared" si="218"/>
        <v>3.898876404</v>
      </c>
      <c r="CX29" s="122">
        <f t="shared" si="218"/>
        <v>0.2124352332</v>
      </c>
      <c r="CY29" s="123"/>
      <c r="CZ29" s="124">
        <f t="shared" ref="CZ29:DC29" si="219">(CZ27-CU27)/(CZ12-CU12)</f>
        <v>0.7892156863</v>
      </c>
      <c r="DA29" s="124">
        <f t="shared" si="219"/>
        <v>0.1360946746</v>
      </c>
      <c r="DB29" s="124">
        <f t="shared" si="219"/>
        <v>0.8431073877</v>
      </c>
      <c r="DC29" s="124">
        <f t="shared" si="219"/>
        <v>0.4623287671</v>
      </c>
      <c r="DD29" s="123"/>
      <c r="DE29" s="122">
        <f t="shared" ref="DE29:DH29" si="220">(DE27-CZ27)/(DE12-CZ12)</f>
        <v>0.7045226131</v>
      </c>
      <c r="DF29" s="122">
        <f t="shared" si="220"/>
        <v>0.7536585366</v>
      </c>
      <c r="DG29" s="124">
        <f t="shared" si="220"/>
        <v>0.2938005391</v>
      </c>
      <c r="DH29" s="124">
        <f t="shared" si="220"/>
        <v>1.060382916</v>
      </c>
      <c r="DI29" s="123"/>
      <c r="DJ29" s="124">
        <f t="shared" ref="DJ29:DM29" si="221">(DJ27-DE27)/(DJ12-DE12)</f>
        <v>0.5118110236</v>
      </c>
      <c r="DK29" s="124">
        <f t="shared" si="221"/>
        <v>0.6357435198</v>
      </c>
      <c r="DL29" s="124">
        <f t="shared" si="221"/>
        <v>0.7660915727</v>
      </c>
      <c r="DM29" s="124">
        <f t="shared" si="221"/>
        <v>0.279925187</v>
      </c>
      <c r="DN29" s="123"/>
      <c r="DO29" s="124">
        <f t="shared" ref="DO29:DR29" si="222">(DO27-DJ27)/(DO12-DJ12)</f>
        <v>127.2</v>
      </c>
      <c r="DP29" s="124">
        <f t="shared" si="222"/>
        <v>1.157549234</v>
      </c>
      <c r="DQ29" s="124">
        <f t="shared" si="222"/>
        <v>-39</v>
      </c>
      <c r="DR29" s="124">
        <f t="shared" si="222"/>
        <v>0.412371134</v>
      </c>
      <c r="DS29" s="123"/>
      <c r="DT29" s="124">
        <f t="shared" ref="DT29:DW29" si="223">(DT27-DO27)/(DT12-DO12)</f>
        <v>0.7791345899</v>
      </c>
      <c r="DU29" s="124">
        <f t="shared" si="223"/>
        <v>0.199813838</v>
      </c>
      <c r="DV29" s="124">
        <f t="shared" si="223"/>
        <v>1.787631272</v>
      </c>
      <c r="DW29" s="124">
        <f t="shared" si="223"/>
        <v>2.112554113</v>
      </c>
      <c r="DX29" s="123"/>
      <c r="DY29" s="124">
        <f t="shared" ref="DY29:EB29" si="224">(DY27-DT27)/(DY12-DT12)</f>
        <v>1.153724247</v>
      </c>
      <c r="DZ29" s="124">
        <f t="shared" si="224"/>
        <v>-0.139748954</v>
      </c>
      <c r="EA29" s="124">
        <f t="shared" si="224"/>
        <v>-1.630081301</v>
      </c>
      <c r="EB29" s="124">
        <f t="shared" si="224"/>
        <v>1.865470852</v>
      </c>
      <c r="EC29" s="123"/>
      <c r="ED29" s="124">
        <f t="shared" ref="ED29:EG29" si="225">(ED27-DY27)/(ED12-DY12)</f>
        <v>5.183098592</v>
      </c>
      <c r="EE29" s="124">
        <f t="shared" si="225"/>
        <v>1.279265255</v>
      </c>
      <c r="EF29" s="124">
        <f t="shared" si="225"/>
        <v>1.242269916</v>
      </c>
      <c r="EG29" s="124">
        <f t="shared" si="225"/>
        <v>0.8526411658</v>
      </c>
      <c r="EH29" s="123"/>
      <c r="EI29" s="125" t="str">
        <f t="shared" ref="EI29:EL29" si="226">(EI27-ED27)/(EI12-ED12)</f>
        <v>#ERROR!</v>
      </c>
      <c r="EJ29" s="122" t="str">
        <f t="shared" si="226"/>
        <v>#ERROR!</v>
      </c>
      <c r="EK29" s="122" t="str">
        <f t="shared" si="226"/>
        <v>#ERROR!</v>
      </c>
      <c r="EL29" s="122" t="str">
        <f t="shared" si="226"/>
        <v>#ERROR!</v>
      </c>
      <c r="EM29" s="123"/>
      <c r="EN29" s="122" t="str">
        <f t="shared" ref="EN29:EQ29" si="227">(EN27-EI27)/(EN12-EI12)</f>
        <v>#ERROR!</v>
      </c>
      <c r="EO29" s="122" t="str">
        <f t="shared" si="227"/>
        <v>#ERROR!</v>
      </c>
      <c r="EP29" s="122" t="str">
        <f t="shared" si="227"/>
        <v>#ERROR!</v>
      </c>
      <c r="EQ29" s="122" t="str">
        <f t="shared" si="227"/>
        <v>#ERROR!</v>
      </c>
      <c r="ER29" s="123"/>
      <c r="ES29" s="122" t="str">
        <f t="shared" ref="ES29:EV29" si="228">(ES27-EN27)/(ES12-EN12)</f>
        <v>#ERROR!</v>
      </c>
      <c r="ET29" s="122" t="str">
        <f t="shared" si="228"/>
        <v>#ERROR!</v>
      </c>
      <c r="EU29" s="122" t="str">
        <f t="shared" si="228"/>
        <v>#ERROR!</v>
      </c>
      <c r="EV29" s="122" t="str">
        <f t="shared" si="228"/>
        <v>#ERROR!</v>
      </c>
      <c r="EW29" s="123"/>
      <c r="EX29" s="122" t="str">
        <f t="shared" ref="EX29:FA29" si="229">(EX27-ES27)/(EX12-ES12)</f>
        <v>#ERROR!</v>
      </c>
      <c r="EY29" s="122" t="str">
        <f t="shared" si="229"/>
        <v>#ERROR!</v>
      </c>
      <c r="EZ29" s="122" t="str">
        <f t="shared" si="229"/>
        <v>#ERROR!</v>
      </c>
      <c r="FA29" s="122" t="str">
        <f t="shared" si="229"/>
        <v>#ERROR!</v>
      </c>
      <c r="FB29" s="123"/>
      <c r="FC29" s="122" t="str">
        <f t="shared" ref="FC29:FF29" si="230">(FC27-EX27)/(FC12-EX12)</f>
        <v>#ERROR!</v>
      </c>
      <c r="FD29" s="122" t="str">
        <f t="shared" si="230"/>
        <v>#ERROR!</v>
      </c>
      <c r="FE29" s="122" t="str">
        <f t="shared" si="230"/>
        <v>#ERROR!</v>
      </c>
      <c r="FF29" s="122" t="str">
        <f t="shared" si="230"/>
        <v>#ERROR!</v>
      </c>
      <c r="FG29" s="123"/>
      <c r="FH29" s="124"/>
      <c r="FI29" s="118"/>
      <c r="FJ29" s="118"/>
      <c r="FK29" s="118"/>
      <c r="FL29" s="118"/>
    </row>
    <row r="30" ht="12.75" customHeight="1">
      <c r="A30" s="4"/>
      <c r="B30" s="86" t="s">
        <v>53</v>
      </c>
      <c r="C30" s="4"/>
      <c r="D30" s="17"/>
      <c r="E30" s="17"/>
      <c r="F30" s="17"/>
      <c r="G30" s="17"/>
      <c r="H30" s="73"/>
      <c r="I30" s="17"/>
      <c r="J30" s="17"/>
      <c r="K30" s="17"/>
      <c r="L30" s="17"/>
      <c r="M30" s="73"/>
      <c r="N30" s="17"/>
      <c r="O30" s="17"/>
      <c r="P30" s="17"/>
      <c r="Q30" s="17"/>
      <c r="R30" s="73"/>
      <c r="S30" s="17"/>
      <c r="T30" s="17"/>
      <c r="U30" s="17"/>
      <c r="V30" s="17"/>
      <c r="W30" s="73"/>
      <c r="X30" s="17"/>
      <c r="Y30" s="17"/>
      <c r="Z30" s="17"/>
      <c r="AA30" s="17"/>
      <c r="AB30" s="73"/>
      <c r="AC30" s="17"/>
      <c r="AD30" s="17"/>
      <c r="AE30" s="17"/>
      <c r="AF30" s="17"/>
      <c r="AG30" s="73"/>
      <c r="AH30" s="17"/>
      <c r="AI30" s="17"/>
      <c r="AJ30" s="17"/>
      <c r="AK30" s="17"/>
      <c r="AL30" s="73"/>
      <c r="AM30" s="17"/>
      <c r="AN30" s="17"/>
      <c r="AO30" s="17"/>
      <c r="AP30" s="17"/>
      <c r="AQ30" s="73"/>
      <c r="AR30" s="17"/>
      <c r="AS30" s="17"/>
      <c r="AT30" s="17"/>
      <c r="AU30" s="17"/>
      <c r="AV30" s="73"/>
      <c r="AW30" s="17"/>
      <c r="AX30" s="17"/>
      <c r="AY30" s="17"/>
      <c r="AZ30" s="17"/>
      <c r="BA30" s="73"/>
      <c r="BB30" s="17"/>
      <c r="BC30" s="17"/>
      <c r="BD30" s="17"/>
      <c r="BE30" s="17"/>
      <c r="BF30" s="73"/>
      <c r="BG30" s="17"/>
      <c r="BH30" s="17"/>
      <c r="BI30" s="17"/>
      <c r="BJ30" s="17"/>
      <c r="BK30" s="73"/>
      <c r="BL30" s="17"/>
      <c r="BM30" s="17"/>
      <c r="BN30" s="17"/>
      <c r="BO30" s="17"/>
      <c r="BP30" s="73"/>
      <c r="BQ30" s="17"/>
      <c r="BR30" s="17"/>
      <c r="BS30" s="17"/>
      <c r="BT30" s="17"/>
      <c r="BU30" s="73"/>
      <c r="BV30" s="17"/>
      <c r="BW30" s="17"/>
      <c r="BX30" s="17"/>
      <c r="BY30" s="17"/>
      <c r="BZ30" s="18"/>
      <c r="CA30" s="17"/>
      <c r="CB30" s="17"/>
      <c r="CC30" s="17"/>
      <c r="CD30" s="17"/>
      <c r="CE30" s="18"/>
      <c r="CF30" s="17"/>
      <c r="CG30" s="17"/>
      <c r="CH30" s="17"/>
      <c r="CI30" s="17"/>
      <c r="CJ30" s="80"/>
      <c r="CK30" s="17"/>
      <c r="CL30" s="17"/>
      <c r="CM30" s="17"/>
      <c r="CN30" s="17"/>
      <c r="CO30" s="18"/>
      <c r="CP30" s="17"/>
      <c r="CQ30" s="17"/>
      <c r="CR30" s="17"/>
      <c r="CS30" s="17"/>
      <c r="CT30" s="18"/>
      <c r="CU30" s="17"/>
      <c r="CV30" s="17"/>
      <c r="CW30" s="17"/>
      <c r="CX30" s="17"/>
      <c r="CY30" s="18"/>
      <c r="CZ30" s="19"/>
      <c r="DA30" s="19"/>
      <c r="DB30" s="19"/>
      <c r="DC30" s="19"/>
      <c r="DD30" s="18"/>
      <c r="DE30" s="126">
        <v>0.63</v>
      </c>
      <c r="DF30" s="126">
        <v>0.63</v>
      </c>
      <c r="DG30" s="126">
        <v>0.63</v>
      </c>
      <c r="DH30" s="19">
        <v>0.63</v>
      </c>
      <c r="DI30" s="18"/>
      <c r="DJ30" s="126">
        <v>0.6</v>
      </c>
      <c r="DK30" s="19"/>
      <c r="DL30" s="19"/>
      <c r="DM30" s="19"/>
      <c r="DN30" s="18"/>
      <c r="DO30" s="19"/>
      <c r="DP30" s="19"/>
      <c r="DQ30" s="19"/>
      <c r="DR30" s="19"/>
      <c r="DS30" s="18"/>
      <c r="DT30" s="19"/>
      <c r="DU30" s="19"/>
      <c r="DV30" s="19"/>
      <c r="DW30" s="19"/>
      <c r="DX30" s="18"/>
      <c r="DY30" s="19"/>
      <c r="DZ30" s="19"/>
      <c r="EA30" s="19"/>
      <c r="EB30" s="19"/>
      <c r="EC30" s="18"/>
      <c r="ED30" s="19"/>
      <c r="EE30" s="19"/>
      <c r="EF30" s="19"/>
      <c r="EG30" s="19"/>
      <c r="EH30" s="18"/>
      <c r="EI30" s="127"/>
      <c r="EJ30" s="17"/>
      <c r="EK30" s="17"/>
      <c r="EL30" s="17"/>
      <c r="EM30" s="18"/>
      <c r="EN30" s="17"/>
      <c r="EO30" s="17"/>
      <c r="EP30" s="17"/>
      <c r="EQ30" s="17"/>
      <c r="ER30" s="18"/>
      <c r="ES30" s="17"/>
      <c r="ET30" s="17"/>
      <c r="EU30" s="17"/>
      <c r="EV30" s="17"/>
      <c r="EW30" s="18"/>
      <c r="EX30" s="17"/>
      <c r="EY30" s="17"/>
      <c r="EZ30" s="17"/>
      <c r="FA30" s="17"/>
      <c r="FB30" s="18"/>
      <c r="FC30" s="17"/>
      <c r="FD30" s="17"/>
      <c r="FE30" s="17"/>
      <c r="FF30" s="17"/>
      <c r="FG30" s="18"/>
      <c r="FH30" s="74"/>
      <c r="FI30" s="4"/>
      <c r="FJ30" s="4"/>
      <c r="FK30" s="4"/>
      <c r="FL30" s="4"/>
    </row>
    <row r="31" ht="12.75" customHeight="1">
      <c r="A31" s="4"/>
      <c r="B31" s="72" t="s">
        <v>54</v>
      </c>
      <c r="C31" s="72"/>
      <c r="D31" s="17"/>
      <c r="E31" s="17"/>
      <c r="F31" s="17"/>
      <c r="G31" s="17"/>
      <c r="H31" s="73"/>
      <c r="I31" s="17"/>
      <c r="J31" s="17"/>
      <c r="K31" s="17"/>
      <c r="L31" s="17"/>
      <c r="M31" s="73"/>
      <c r="N31" s="17">
        <v>595.0</v>
      </c>
      <c r="O31" s="17">
        <v>623.0</v>
      </c>
      <c r="P31" s="17">
        <v>617.0</v>
      </c>
      <c r="Q31" s="17">
        <v>674.0</v>
      </c>
      <c r="R31" s="73">
        <f t="shared" ref="R31:R32" si="231">+SUM(N31:Q31)</f>
        <v>2509</v>
      </c>
      <c r="S31" s="17">
        <v>663.0</v>
      </c>
      <c r="T31" s="17">
        <v>731.0</v>
      </c>
      <c r="U31" s="17">
        <v>840.0</v>
      </c>
      <c r="V31" s="17">
        <v>877.0</v>
      </c>
      <c r="W31" s="73">
        <f t="shared" ref="W31:W32" si="232">+SUM(S31:V31)</f>
        <v>3111</v>
      </c>
      <c r="X31" s="17">
        <v>951.0</v>
      </c>
      <c r="Y31" s="17">
        <v>971.0</v>
      </c>
      <c r="Z31" s="17">
        <v>977.0</v>
      </c>
      <c r="AA31" s="17">
        <v>998.0</v>
      </c>
      <c r="AB31" s="73">
        <f t="shared" ref="AB31:AB32" si="233">+SUM(X31:AA31)</f>
        <v>3897</v>
      </c>
      <c r="AC31" s="17">
        <v>995.0</v>
      </c>
      <c r="AD31" s="17">
        <v>919.0</v>
      </c>
      <c r="AE31" s="17">
        <v>930.0</v>
      </c>
      <c r="AF31" s="17">
        <v>952.0</v>
      </c>
      <c r="AG31" s="73">
        <f t="shared" ref="AG31:AG32" si="234">+SUM(AC31:AF31)</f>
        <v>3796</v>
      </c>
      <c r="AH31" s="17">
        <v>982.0</v>
      </c>
      <c r="AI31" s="17">
        <v>1024.0</v>
      </c>
      <c r="AJ31" s="17">
        <v>1006.0</v>
      </c>
      <c r="AK31" s="17">
        <v>1022.0</v>
      </c>
      <c r="AL31" s="73">
        <f t="shared" ref="AL31:AL32" si="235">+SUM(AH31:AK31)</f>
        <v>4034</v>
      </c>
      <c r="AM31" s="17">
        <v>1019.0</v>
      </c>
      <c r="AN31" s="17">
        <v>1029.0</v>
      </c>
      <c r="AO31" s="17">
        <v>1135.0</v>
      </c>
      <c r="AP31" s="17">
        <v>1177.0</v>
      </c>
      <c r="AQ31" s="73">
        <f>+SUM(AM31:AP31)</f>
        <v>4360</v>
      </c>
      <c r="AR31" s="17">
        <v>1195.0</v>
      </c>
      <c r="AS31" s="17">
        <v>1186.0</v>
      </c>
      <c r="AT31" s="17">
        <v>1183.0</v>
      </c>
      <c r="AU31" s="17">
        <v>1214.0</v>
      </c>
      <c r="AV31" s="73">
        <f t="shared" ref="AV31:AV32" si="236">+SUM(AR31:AU31)</f>
        <v>4778</v>
      </c>
      <c r="AW31" s="17">
        <v>1266.0</v>
      </c>
      <c r="AX31" s="17">
        <v>1176.0</v>
      </c>
      <c r="AY31" s="17">
        <v>1341.0</v>
      </c>
      <c r="AZ31" s="17">
        <v>1362.0</v>
      </c>
      <c r="BA31" s="73">
        <f t="shared" ref="BA31:BA32" si="237">+SUM(AW31:AZ31)</f>
        <v>5145</v>
      </c>
      <c r="BB31" s="17">
        <v>1562.0</v>
      </c>
      <c r="BC31" s="17">
        <v>1496.0</v>
      </c>
      <c r="BD31" s="17">
        <v>1389.0</v>
      </c>
      <c r="BE31" s="17">
        <v>1426.0</v>
      </c>
      <c r="BF31" s="73">
        <f>SUM(BB31:BE31)</f>
        <v>5873</v>
      </c>
      <c r="BG31" s="17">
        <v>1400.0</v>
      </c>
      <c r="BH31" s="17">
        <v>1353.0</v>
      </c>
      <c r="BI31" s="17">
        <f>1526-5</f>
        <v>1521</v>
      </c>
      <c r="BJ31" s="17">
        <v>1481.0</v>
      </c>
      <c r="BK31" s="73">
        <f>SUM(BG31:BJ31)</f>
        <v>5755</v>
      </c>
      <c r="BL31" s="17">
        <v>1467.0</v>
      </c>
      <c r="BM31" s="17">
        <v>1468.0</v>
      </c>
      <c r="BN31" s="17">
        <v>1471.0</v>
      </c>
      <c r="BO31" s="17">
        <v>1316.0</v>
      </c>
      <c r="BP31" s="73">
        <f>SUM(BL31:BO31)</f>
        <v>5722</v>
      </c>
      <c r="BQ31" s="17">
        <v>1317.0</v>
      </c>
      <c r="BR31" s="17">
        <v>1303.0</v>
      </c>
      <c r="BS31" s="17">
        <v>1430.0</v>
      </c>
      <c r="BT31" s="17">
        <v>1603.0</v>
      </c>
      <c r="BU31" s="73">
        <f>(SUM(BQ31:BT31))-0.002</f>
        <v>5652.998</v>
      </c>
      <c r="BV31" s="17">
        <v>1564.0</v>
      </c>
      <c r="BW31" s="17">
        <v>1666.0</v>
      </c>
      <c r="BX31" s="17">
        <v>1675.0</v>
      </c>
      <c r="BY31" s="17">
        <v>1671.0</v>
      </c>
      <c r="BZ31" s="18">
        <f>SUM(BV31:BY31)</f>
        <v>6576</v>
      </c>
      <c r="CA31" s="17">
        <v>1916.0</v>
      </c>
      <c r="CB31" s="17">
        <v>1986.0</v>
      </c>
      <c r="CC31" s="17">
        <v>2140.0</v>
      </c>
      <c r="CD31" s="17">
        <v>2308.0</v>
      </c>
      <c r="CE31" s="18">
        <f>SUM(CA31:CD31)</f>
        <v>8350</v>
      </c>
      <c r="CF31" s="17">
        <v>2401.0</v>
      </c>
      <c r="CG31" s="17">
        <v>2513.0</v>
      </c>
      <c r="CH31" s="17">
        <v>2605.0</v>
      </c>
      <c r="CI31" s="17">
        <v>2629.0</v>
      </c>
      <c r="CJ31" s="80">
        <f>SUM(CF31:CI31)</f>
        <v>10148</v>
      </c>
      <c r="CK31" s="17">
        <v>2527.0</v>
      </c>
      <c r="CL31" s="128">
        <v>2516.0</v>
      </c>
      <c r="CM31" s="128">
        <v>2742.0</v>
      </c>
      <c r="CN31" s="129">
        <v>2826.0</v>
      </c>
      <c r="CO31" s="18">
        <f>SUM(CK31:CN31)</f>
        <v>10611</v>
      </c>
      <c r="CP31" s="129">
        <v>2846.0</v>
      </c>
      <c r="CQ31" s="128">
        <v>2859.0</v>
      </c>
      <c r="CR31" s="128">
        <v>2842.0</v>
      </c>
      <c r="CS31" s="128">
        <v>2990.0</v>
      </c>
      <c r="CT31" s="18">
        <f>SUM(CP31:CS31)</f>
        <v>11537</v>
      </c>
      <c r="CU31" s="17">
        <v>2995.0</v>
      </c>
      <c r="CV31" s="128">
        <v>3087.0</v>
      </c>
      <c r="CW31" s="128">
        <v>2927.0</v>
      </c>
      <c r="CX31" s="128">
        <v>3119.0</v>
      </c>
      <c r="CY31" s="18">
        <f>SUM(CU31:CX31)</f>
        <v>12128</v>
      </c>
      <c r="CZ31" s="19">
        <v>3246.0</v>
      </c>
      <c r="DA31" s="19">
        <v>3145.0</v>
      </c>
      <c r="DB31" s="19">
        <v>3069.0</v>
      </c>
      <c r="DC31" s="19">
        <v>3280.0</v>
      </c>
      <c r="DD31" s="18">
        <f>SUM(CZ31:DC31)</f>
        <v>12740</v>
      </c>
      <c r="DE31" s="17">
        <v>3326.0</v>
      </c>
      <c r="DF31" s="17">
        <v>3275.0</v>
      </c>
      <c r="DG31" s="19">
        <v>3223.0</v>
      </c>
      <c r="DH31" s="19">
        <v>3274.0</v>
      </c>
      <c r="DI31" s="18">
        <f>SUM(DE31:DH31)</f>
        <v>13098</v>
      </c>
      <c r="DJ31" s="19">
        <v>3311.0</v>
      </c>
      <c r="DK31" s="19">
        <v>3371.0</v>
      </c>
      <c r="DL31" s="19">
        <v>3428.0</v>
      </c>
      <c r="DM31" s="19">
        <v>3433.0</v>
      </c>
      <c r="DN31" s="18">
        <f>SUM(DJ31:DM31)</f>
        <v>13543</v>
      </c>
      <c r="DO31" s="19">
        <v>3332.0</v>
      </c>
      <c r="DP31" s="19">
        <v>3438.0</v>
      </c>
      <c r="DQ31" s="19">
        <v>3208.0</v>
      </c>
      <c r="DR31" s="19">
        <v>3384.0</v>
      </c>
      <c r="DS31" s="130">
        <f>SUM(DO31:DR31)</f>
        <v>13362</v>
      </c>
      <c r="DT31" s="19">
        <v>3275.0</v>
      </c>
      <c r="DU31" s="19">
        <v>3354.0</v>
      </c>
      <c r="DV31" s="19">
        <v>3272.0</v>
      </c>
      <c r="DW31" s="19">
        <v>3655.0</v>
      </c>
      <c r="DX31" s="18">
        <f>SUM(DT31:DW31)</f>
        <v>13556</v>
      </c>
      <c r="DY31" s="19">
        <v>3623.0</v>
      </c>
      <c r="DZ31" s="19">
        <v>3715.0</v>
      </c>
      <c r="EA31" s="19">
        <v>3803.0</v>
      </c>
      <c r="EB31" s="19">
        <v>4049.0</v>
      </c>
      <c r="EC31" s="18">
        <f>SUM(DY31:EB31)</f>
        <v>15190</v>
      </c>
      <c r="ED31" s="19">
        <v>4362.0</v>
      </c>
      <c r="EE31" s="19">
        <v>4400.0</v>
      </c>
      <c r="EF31" s="19">
        <v>4302.0</v>
      </c>
      <c r="EG31" s="19">
        <v>4464.0</v>
      </c>
      <c r="EH31" s="18">
        <f>SUM(ED31:EG31)</f>
        <v>17528</v>
      </c>
      <c r="EI31" s="131">
        <v>3900.0</v>
      </c>
      <c r="EJ31" s="132">
        <v>3650.0</v>
      </c>
      <c r="EK31" s="132">
        <v>3400.0</v>
      </c>
      <c r="EL31" s="132">
        <v>3100.0</v>
      </c>
      <c r="EM31" s="18">
        <f>SUM(EI31:EL31)</f>
        <v>14050</v>
      </c>
      <c r="EN31" s="132">
        <v>3100.0</v>
      </c>
      <c r="EO31" s="132">
        <v>3300.0</v>
      </c>
      <c r="EP31" s="132">
        <v>3400.0</v>
      </c>
      <c r="EQ31" s="132">
        <v>3500.0</v>
      </c>
      <c r="ER31" s="18">
        <f>SUM(EN31:EQ31)</f>
        <v>13300</v>
      </c>
      <c r="ES31" s="132">
        <v>3550.0</v>
      </c>
      <c r="ET31" s="132">
        <v>3600.0</v>
      </c>
      <c r="EU31" s="132">
        <v>3650.0</v>
      </c>
      <c r="EV31" s="132">
        <v>3700.0</v>
      </c>
      <c r="EW31" s="18">
        <f>SUM(ES31:EV31)</f>
        <v>14500</v>
      </c>
      <c r="EX31" s="132">
        <v>3800.0</v>
      </c>
      <c r="EY31" s="132">
        <v>3900.0</v>
      </c>
      <c r="EZ31" s="132">
        <v>3900.0</v>
      </c>
      <c r="FA31" s="132">
        <v>3900.0</v>
      </c>
      <c r="FB31" s="18">
        <f>SUM(EX31:FA31)</f>
        <v>15500</v>
      </c>
      <c r="FC31" s="132">
        <v>3900.0</v>
      </c>
      <c r="FD31" s="132">
        <v>4000.0</v>
      </c>
      <c r="FE31" s="132">
        <v>4000.0</v>
      </c>
      <c r="FF31" s="132">
        <v>4000.0</v>
      </c>
      <c r="FG31" s="18">
        <f>SUM(FC31:FF31)</f>
        <v>15900</v>
      </c>
      <c r="FH31" s="74"/>
      <c r="FI31" s="4"/>
      <c r="FJ31" s="4"/>
      <c r="FK31" s="4"/>
      <c r="FL31" s="4"/>
    </row>
    <row r="32" ht="12.75" customHeight="1">
      <c r="A32" s="4"/>
      <c r="B32" s="72" t="s">
        <v>55</v>
      </c>
      <c r="C32" s="72"/>
      <c r="D32" s="17"/>
      <c r="E32" s="17"/>
      <c r="F32" s="17"/>
      <c r="G32" s="17"/>
      <c r="H32" s="73"/>
      <c r="I32" s="17"/>
      <c r="J32" s="17"/>
      <c r="K32" s="17"/>
      <c r="L32" s="17"/>
      <c r="M32" s="73"/>
      <c r="N32" s="17">
        <v>711.0</v>
      </c>
      <c r="O32" s="17">
        <v>671.0</v>
      </c>
      <c r="P32" s="17">
        <v>766.0</v>
      </c>
      <c r="Q32" s="17">
        <v>928.0</v>
      </c>
      <c r="R32" s="73">
        <f t="shared" si="231"/>
        <v>3076</v>
      </c>
      <c r="S32" s="17">
        <v>891.0</v>
      </c>
      <c r="T32" s="17">
        <v>924.0</v>
      </c>
      <c r="U32" s="17">
        <v>952.0</v>
      </c>
      <c r="V32" s="17">
        <v>1105.0</v>
      </c>
      <c r="W32" s="73">
        <f t="shared" si="232"/>
        <v>3872</v>
      </c>
      <c r="X32" s="17">
        <v>1124.0</v>
      </c>
      <c r="Y32" s="17">
        <v>1223.0</v>
      </c>
      <c r="Z32" s="17">
        <v>1321.0</v>
      </c>
      <c r="AA32" s="17">
        <v>1421.0</v>
      </c>
      <c r="AB32" s="73">
        <f t="shared" si="233"/>
        <v>5089</v>
      </c>
      <c r="AC32" s="17">
        <v>1155.0</v>
      </c>
      <c r="AD32" s="17">
        <v>1174.0</v>
      </c>
      <c r="AE32" s="17">
        <v>1064.0</v>
      </c>
      <c r="AF32" s="17">
        <v>1071.0</v>
      </c>
      <c r="AG32" s="73">
        <f t="shared" si="234"/>
        <v>4464</v>
      </c>
      <c r="AH32" s="17">
        <v>1072.0</v>
      </c>
      <c r="AI32" s="17">
        <v>1063.0</v>
      </c>
      <c r="AJ32" s="17">
        <v>1095.0</v>
      </c>
      <c r="AK32" s="17">
        <v>1104.0</v>
      </c>
      <c r="AL32" s="73">
        <f t="shared" si="235"/>
        <v>4334</v>
      </c>
      <c r="AM32" s="17">
        <v>1018.0</v>
      </c>
      <c r="AN32" s="17">
        <v>1079.0</v>
      </c>
      <c r="AO32" s="17">
        <v>1046.0</v>
      </c>
      <c r="AP32" s="17">
        <f>AQ32-SUM(AM32:AO32)</f>
        <v>1135</v>
      </c>
      <c r="AQ32" s="73">
        <v>4278.0</v>
      </c>
      <c r="AR32" s="17">
        <v>1141.0</v>
      </c>
      <c r="AS32" s="17">
        <v>1170.0</v>
      </c>
      <c r="AT32" s="17">
        <v>1123.0</v>
      </c>
      <c r="AU32" s="17">
        <v>1225.0</v>
      </c>
      <c r="AV32" s="73">
        <f t="shared" si="236"/>
        <v>4659</v>
      </c>
      <c r="AW32" s="17">
        <v>1262.0</v>
      </c>
      <c r="AX32" s="17">
        <v>1342.0</v>
      </c>
      <c r="AY32" s="17">
        <v>1478.0</v>
      </c>
      <c r="AZ32" s="17">
        <v>1606.0</v>
      </c>
      <c r="BA32" s="73">
        <f t="shared" si="237"/>
        <v>5688</v>
      </c>
      <c r="BB32" s="17">
        <v>1644.0</v>
      </c>
      <c r="BC32" s="17">
        <v>1593.0</v>
      </c>
      <c r="BD32" s="17">
        <v>1425.0</v>
      </c>
      <c r="BE32" s="17">
        <v>1434.0</v>
      </c>
      <c r="BF32" s="73">
        <f>+SUM(BB32:BE32)</f>
        <v>6096</v>
      </c>
      <c r="BG32" s="17">
        <v>1277.0</v>
      </c>
      <c r="BH32" s="17">
        <v>1284.0</v>
      </c>
      <c r="BI32" s="17">
        <f>1383-5</f>
        <v>1378</v>
      </c>
      <c r="BJ32" s="17">
        <v>1462.0</v>
      </c>
      <c r="BK32" s="73">
        <f>+SUM(BG32:BJ32)</f>
        <v>5401</v>
      </c>
      <c r="BL32" s="17">
        <v>1349.0</v>
      </c>
      <c r="BM32" s="17">
        <v>1430.0</v>
      </c>
      <c r="BN32" s="17">
        <v>1416.0</v>
      </c>
      <c r="BO32" s="17">
        <v>1263.0</v>
      </c>
      <c r="BP32" s="73">
        <f>+SUM(BL32:BO32)</f>
        <v>5458</v>
      </c>
      <c r="BQ32" s="17">
        <v>1200.0</v>
      </c>
      <c r="BR32" s="17">
        <v>1250.0</v>
      </c>
      <c r="BS32" s="17">
        <v>1320.0</v>
      </c>
      <c r="BT32" s="17">
        <v>1468.0</v>
      </c>
      <c r="BU32" s="73">
        <f>(+SUM(BQ32:BT32))-0.002</f>
        <v>5237.998</v>
      </c>
      <c r="BV32" s="17">
        <v>1514.0</v>
      </c>
      <c r="BW32" s="17">
        <v>1584.0</v>
      </c>
      <c r="BX32" s="17">
        <v>1506.0</v>
      </c>
      <c r="BY32" s="17">
        <v>1705.0</v>
      </c>
      <c r="BZ32" s="18">
        <f>+SUM(BV32:BY32)</f>
        <v>6309</v>
      </c>
      <c r="CA32" s="17">
        <v>1775.0</v>
      </c>
      <c r="CB32" s="17">
        <v>1905.0</v>
      </c>
      <c r="CC32" s="17">
        <v>2017.0</v>
      </c>
      <c r="CD32" s="17">
        <v>1973.0</v>
      </c>
      <c r="CE32" s="18">
        <f>+SUM(CA32:CD32)</f>
        <v>7670</v>
      </c>
      <c r="CF32" s="17">
        <v>1973.0</v>
      </c>
      <c r="CG32" s="17">
        <v>2131.0</v>
      </c>
      <c r="CH32" s="17">
        <v>1995.0</v>
      </c>
      <c r="CI32" s="17">
        <v>1958.0</v>
      </c>
      <c r="CJ32" s="80">
        <f>+SUM(CF32:CI32)</f>
        <v>8057</v>
      </c>
      <c r="CK32" s="17">
        <v>1947.0</v>
      </c>
      <c r="CL32" s="128">
        <v>2165.0</v>
      </c>
      <c r="CM32" s="128">
        <v>1970.0</v>
      </c>
      <c r="CN32" s="129">
        <v>2006.0</v>
      </c>
      <c r="CO32" s="18">
        <f>+SUM(CK32:CN32)</f>
        <v>8088</v>
      </c>
      <c r="CP32" s="129">
        <v>2037.0</v>
      </c>
      <c r="CQ32" s="128">
        <v>2061.0</v>
      </c>
      <c r="CR32" s="128">
        <v>1979.0</v>
      </c>
      <c r="CS32" s="128">
        <v>2049.0</v>
      </c>
      <c r="CT32" s="18">
        <f>+SUM(CP32:CS32)</f>
        <v>8126</v>
      </c>
      <c r="CU32" s="19">
        <v>1953.0</v>
      </c>
      <c r="CV32" s="129">
        <v>1949.0</v>
      </c>
      <c r="CW32" s="129">
        <v>1910.0</v>
      </c>
      <c r="CX32" s="129">
        <v>2118.0</v>
      </c>
      <c r="CY32" s="18">
        <f>+SUM(CU32:CX32)</f>
        <v>7930</v>
      </c>
      <c r="CZ32" s="19">
        <v>2226.0</v>
      </c>
      <c r="DA32" s="19">
        <v>2007.0</v>
      </c>
      <c r="DB32" s="19">
        <v>2006.0</v>
      </c>
      <c r="DC32" s="19">
        <v>2158.0</v>
      </c>
      <c r="DD32" s="18">
        <f>+SUM(CZ32:DC32)</f>
        <v>8397</v>
      </c>
      <c r="DE32" s="17">
        <v>2104.0</v>
      </c>
      <c r="DF32" s="17">
        <v>1854.0</v>
      </c>
      <c r="DG32" s="19">
        <v>1666.0</v>
      </c>
      <c r="DH32" s="19">
        <v>1850.0</v>
      </c>
      <c r="DI32" s="18">
        <f>+SUM(DE32:DH32)</f>
        <v>7474</v>
      </c>
      <c r="DJ32" s="19">
        <v>1900.0</v>
      </c>
      <c r="DK32" s="19">
        <v>1725.0</v>
      </c>
      <c r="DL32" s="19">
        <v>1605.0</v>
      </c>
      <c r="DM32" s="19">
        <v>1520.0</v>
      </c>
      <c r="DN32" s="18">
        <f>+SUM(DJ32:DM32)</f>
        <v>6750</v>
      </c>
      <c r="DO32" s="19">
        <v>1533.0</v>
      </c>
      <c r="DP32" s="19">
        <v>1589.0</v>
      </c>
      <c r="DQ32" s="19">
        <v>1486.0</v>
      </c>
      <c r="DR32" s="19">
        <v>1542.0</v>
      </c>
      <c r="DS32" s="130">
        <f>+SUM(DO32:DR32)</f>
        <v>6150</v>
      </c>
      <c r="DT32" s="19">
        <v>1541.0</v>
      </c>
      <c r="DU32" s="19">
        <v>1447.0</v>
      </c>
      <c r="DV32" s="19">
        <v>1435.0</v>
      </c>
      <c r="DW32" s="19">
        <v>1757.0</v>
      </c>
      <c r="DX32" s="18">
        <f>+SUM(DT32:DW32)</f>
        <v>6180</v>
      </c>
      <c r="DY32" s="19">
        <v>1328.0</v>
      </c>
      <c r="DZ32" s="19">
        <v>1599.0</v>
      </c>
      <c r="EA32" s="19">
        <v>1674.0</v>
      </c>
      <c r="EB32" s="19">
        <v>1942.0</v>
      </c>
      <c r="EC32" s="18">
        <f>+SUM(DY32:EB32)</f>
        <v>6543</v>
      </c>
      <c r="ED32" s="19">
        <v>1752.0</v>
      </c>
      <c r="EE32" s="19">
        <v>1800.0</v>
      </c>
      <c r="EF32" s="19">
        <v>1744.0</v>
      </c>
      <c r="EG32" s="19">
        <v>1706.0</v>
      </c>
      <c r="EH32" s="18">
        <f>+SUM(ED32:EG32)</f>
        <v>7002</v>
      </c>
      <c r="EI32" s="131">
        <v>1600.0</v>
      </c>
      <c r="EJ32" s="132">
        <v>1500.0</v>
      </c>
      <c r="EK32" s="132">
        <v>1400.0</v>
      </c>
      <c r="EL32" s="132">
        <v>1400.0</v>
      </c>
      <c r="EM32" s="18">
        <f>+SUM(EI32:EL32)</f>
        <v>5900</v>
      </c>
      <c r="EN32" s="132">
        <v>1400.0</v>
      </c>
      <c r="EO32" s="132">
        <v>1300.0</v>
      </c>
      <c r="EP32" s="132">
        <v>1300.0</v>
      </c>
      <c r="EQ32" s="132">
        <v>1250.0</v>
      </c>
      <c r="ER32" s="18">
        <f>+SUM(EN32:EQ32)</f>
        <v>5250</v>
      </c>
      <c r="ES32" s="132">
        <v>1250.0</v>
      </c>
      <c r="ET32" s="132">
        <v>1250.0</v>
      </c>
      <c r="EU32" s="132">
        <f t="shared" ref="EU32:EV32" si="238">ET32</f>
        <v>1250</v>
      </c>
      <c r="EV32" s="132">
        <f t="shared" si="238"/>
        <v>1250</v>
      </c>
      <c r="EW32" s="18">
        <f>+SUM(ES32:EV32)</f>
        <v>5000</v>
      </c>
      <c r="EX32" s="132">
        <f>EV32+50</f>
        <v>1300</v>
      </c>
      <c r="EY32" s="132">
        <f t="shared" ref="EY32:FA32" si="239">EX32+50</f>
        <v>1350</v>
      </c>
      <c r="EZ32" s="132">
        <f t="shared" si="239"/>
        <v>1400</v>
      </c>
      <c r="FA32" s="132">
        <f t="shared" si="239"/>
        <v>1450</v>
      </c>
      <c r="FB32" s="18">
        <f>+SUM(EX32:FA32)</f>
        <v>5500</v>
      </c>
      <c r="FC32" s="132">
        <f>FA32+50</f>
        <v>1500</v>
      </c>
      <c r="FD32" s="132">
        <f t="shared" ref="FD32:FF32" si="240">FC32+50</f>
        <v>1550</v>
      </c>
      <c r="FE32" s="132">
        <f t="shared" si="240"/>
        <v>1600</v>
      </c>
      <c r="FF32" s="132">
        <f t="shared" si="240"/>
        <v>1650</v>
      </c>
      <c r="FG32" s="18">
        <f>+SUM(FC32:FF32)</f>
        <v>6300</v>
      </c>
      <c r="FH32" s="74"/>
      <c r="FI32" s="4"/>
      <c r="FJ32" s="4"/>
      <c r="FK32" s="4"/>
      <c r="FL32" s="4"/>
    </row>
    <row r="33" ht="12.75" customHeight="1">
      <c r="A33" s="4"/>
      <c r="B33" s="72" t="s">
        <v>56</v>
      </c>
      <c r="C33" s="72"/>
      <c r="D33" s="17"/>
      <c r="E33" s="17"/>
      <c r="F33" s="17"/>
      <c r="G33" s="17"/>
      <c r="H33" s="73"/>
      <c r="I33" s="17"/>
      <c r="J33" s="17"/>
      <c r="K33" s="17"/>
      <c r="L33" s="17"/>
      <c r="M33" s="73"/>
      <c r="N33" s="17"/>
      <c r="O33" s="17"/>
      <c r="P33" s="17"/>
      <c r="Q33" s="17"/>
      <c r="R33" s="73"/>
      <c r="S33" s="17"/>
      <c r="T33" s="17"/>
      <c r="U33" s="17"/>
      <c r="V33" s="17"/>
      <c r="W33" s="73"/>
      <c r="X33" s="17">
        <v>0.0</v>
      </c>
      <c r="Y33" s="17">
        <v>0.0</v>
      </c>
      <c r="Z33" s="17">
        <v>0.0</v>
      </c>
      <c r="AA33" s="17">
        <v>0.0</v>
      </c>
      <c r="AB33" s="73">
        <f>SUM(X33:AA33)</f>
        <v>0</v>
      </c>
      <c r="AC33" s="17">
        <v>0.0</v>
      </c>
      <c r="AD33" s="17">
        <v>0.0</v>
      </c>
      <c r="AE33" s="17">
        <v>0.0</v>
      </c>
      <c r="AF33" s="17">
        <v>0.0</v>
      </c>
      <c r="AG33" s="73">
        <f>SUM(AC33:AF33)</f>
        <v>0</v>
      </c>
      <c r="AH33" s="17">
        <v>0.0</v>
      </c>
      <c r="AI33" s="17">
        <v>0.0</v>
      </c>
      <c r="AJ33" s="17">
        <v>0.0</v>
      </c>
      <c r="AK33" s="17">
        <v>0.0</v>
      </c>
      <c r="AL33" s="73">
        <v>0.0</v>
      </c>
      <c r="AM33" s="17">
        <v>84.0</v>
      </c>
      <c r="AN33" s="17">
        <v>84.0</v>
      </c>
      <c r="AO33" s="17">
        <f>68+5</f>
        <v>73</v>
      </c>
      <c r="AP33" s="17">
        <v>65.0</v>
      </c>
      <c r="AQ33" s="73"/>
      <c r="AR33" s="17">
        <v>58.0</v>
      </c>
      <c r="AS33" s="17">
        <v>43.0</v>
      </c>
      <c r="AT33" s="17">
        <v>40.0</v>
      </c>
      <c r="AU33" s="17">
        <v>38.0</v>
      </c>
      <c r="AV33" s="73">
        <f>SUM(AR33:AU33)</f>
        <v>179</v>
      </c>
      <c r="AW33" s="17">
        <v>38.0</v>
      </c>
      <c r="AX33" s="17">
        <v>36.0</v>
      </c>
      <c r="AY33" s="17">
        <v>29.0</v>
      </c>
      <c r="AZ33" s="17">
        <v>23.0</v>
      </c>
      <c r="BA33" s="73">
        <f>SUM(AW33:AZ33)</f>
        <v>126</v>
      </c>
      <c r="BB33" s="17">
        <v>19.0</v>
      </c>
      <c r="BC33" s="17">
        <v>10.0</v>
      </c>
      <c r="BD33" s="17">
        <f>98+8</f>
        <v>106</v>
      </c>
      <c r="BE33" s="17">
        <f>457+5</f>
        <v>462</v>
      </c>
      <c r="BF33" s="73">
        <f>SUM(BB33:BE33)</f>
        <v>597</v>
      </c>
      <c r="BG33" s="17">
        <f>75+5</f>
        <v>80</v>
      </c>
      <c r="BH33" s="17">
        <f>82+6</f>
        <v>88</v>
      </c>
      <c r="BI33" s="17">
        <f>125+3</f>
        <v>128</v>
      </c>
      <c r="BJ33" s="17">
        <f>234+2</f>
        <v>236</v>
      </c>
      <c r="BK33" s="73">
        <f>SUM(BG33:BJ33)</f>
        <v>532</v>
      </c>
      <c r="BL33" s="17">
        <v>329.0</v>
      </c>
      <c r="BM33" s="17">
        <v>96.0</v>
      </c>
      <c r="BN33" s="17">
        <v>34.0</v>
      </c>
      <c r="BO33" s="17">
        <v>251.0</v>
      </c>
      <c r="BP33" s="73">
        <f>SUM(BL33:BO33)</f>
        <v>710</v>
      </c>
      <c r="BQ33" s="17">
        <v>74.0</v>
      </c>
      <c r="BR33" s="17">
        <v>91.0</v>
      </c>
      <c r="BS33" s="17">
        <f>63+12</f>
        <v>75</v>
      </c>
      <c r="BT33" s="17">
        <f>3+19</f>
        <v>22</v>
      </c>
      <c r="BU33" s="73">
        <f>SUM(BQ33:BT33)</f>
        <v>262</v>
      </c>
      <c r="BV33" s="17">
        <v>3.0</v>
      </c>
      <c r="BW33" s="17">
        <v>4.0</v>
      </c>
      <c r="BX33" s="17">
        <v>4.0</v>
      </c>
      <c r="BY33" s="17">
        <v>7.0</v>
      </c>
      <c r="BZ33" s="18">
        <f>SUM(BV33:BY33)</f>
        <v>18</v>
      </c>
      <c r="CA33" s="17">
        <v>36.0</v>
      </c>
      <c r="CB33" s="17">
        <v>76.0</v>
      </c>
      <c r="CC33" s="17">
        <v>76.0</v>
      </c>
      <c r="CD33" s="17">
        <v>72.0</v>
      </c>
      <c r="CE33" s="18">
        <f>SUM(CA33:CD33)</f>
        <v>260</v>
      </c>
      <c r="CF33" s="17">
        <v>81.0</v>
      </c>
      <c r="CG33" s="17">
        <v>78.0</v>
      </c>
      <c r="CH33" s="17">
        <v>74.0</v>
      </c>
      <c r="CI33" s="17">
        <v>75.0</v>
      </c>
      <c r="CJ33" s="18">
        <f>SUM(CF33:CI33)</f>
        <v>308</v>
      </c>
      <c r="CK33" s="17">
        <v>73.0</v>
      </c>
      <c r="CL33" s="128">
        <v>70.0</v>
      </c>
      <c r="CM33" s="128">
        <f>124+74</f>
        <v>198</v>
      </c>
      <c r="CN33" s="129">
        <f>74+116</f>
        <v>190</v>
      </c>
      <c r="CO33" s="18">
        <f>SUM(CK33:CN33)</f>
        <v>531</v>
      </c>
      <c r="CP33" s="129">
        <v>73.0</v>
      </c>
      <c r="CQ33" s="128">
        <f>81+72</f>
        <v>153</v>
      </c>
      <c r="CR33" s="128">
        <f>20+77</f>
        <v>97</v>
      </c>
      <c r="CS33" s="128">
        <f>72+57</f>
        <v>129</v>
      </c>
      <c r="CT33" s="18">
        <f>+CS33+CR33+CQ33+CP33</f>
        <v>452</v>
      </c>
      <c r="CU33" s="129">
        <v>62.0</v>
      </c>
      <c r="CV33" s="129">
        <f>248+68</f>
        <v>316</v>
      </c>
      <c r="CW33" s="129">
        <f>14+68</f>
        <v>82</v>
      </c>
      <c r="CX33" s="129">
        <f>-13+67</f>
        <v>54</v>
      </c>
      <c r="CY33" s="18">
        <f>SUM(CU33:CX33)</f>
        <v>514</v>
      </c>
      <c r="CZ33" s="129">
        <v>90.0</v>
      </c>
      <c r="DA33" s="19">
        <f>1414+89</f>
        <v>1503</v>
      </c>
      <c r="DB33" s="19">
        <v>74.0</v>
      </c>
      <c r="DC33" s="19">
        <v>41.0</v>
      </c>
      <c r="DD33" s="18">
        <f t="shared" ref="DD33:DD35" si="241">SUM(CZ33:DC33)</f>
        <v>1708</v>
      </c>
      <c r="DE33" s="17">
        <v>38.0</v>
      </c>
      <c r="DF33" s="17">
        <f>235-198</f>
        <v>37</v>
      </c>
      <c r="DG33" s="19">
        <v>49.0</v>
      </c>
      <c r="DH33" s="19">
        <v>53.0</v>
      </c>
      <c r="DI33" s="18">
        <f t="shared" ref="DI33:DI35" si="242">SUM(DE33:DH33)</f>
        <v>177</v>
      </c>
      <c r="DJ33" s="19">
        <v>50.0</v>
      </c>
      <c r="DK33" s="19">
        <v>50.0</v>
      </c>
      <c r="DL33" s="19">
        <v>50.0</v>
      </c>
      <c r="DM33" s="19">
        <v>50.0</v>
      </c>
      <c r="DN33" s="18">
        <f t="shared" ref="DN33:DN35" si="243">SUM(DJ33:DM33)</f>
        <v>200</v>
      </c>
      <c r="DO33" s="19">
        <v>50.0</v>
      </c>
      <c r="DP33" s="19">
        <v>50.0</v>
      </c>
      <c r="DQ33" s="19">
        <v>50.0</v>
      </c>
      <c r="DR33" s="19">
        <v>50.0</v>
      </c>
      <c r="DS33" s="18">
        <f t="shared" ref="DS33:DS35" si="244">SUM(DO33:DR33)</f>
        <v>200</v>
      </c>
      <c r="DT33" s="19"/>
      <c r="DU33" s="19"/>
      <c r="DV33" s="19"/>
      <c r="DW33" s="19"/>
      <c r="DX33" s="18">
        <f t="shared" ref="DX33:DX35" si="245">SUM(DT33:DW33)</f>
        <v>0</v>
      </c>
      <c r="DY33" s="19">
        <v>500.0</v>
      </c>
      <c r="DZ33" s="19">
        <v>346.0</v>
      </c>
      <c r="EA33" s="19">
        <v>0.0</v>
      </c>
      <c r="EB33" s="19">
        <v>0.0</v>
      </c>
      <c r="EC33" s="18">
        <f t="shared" ref="EC33:EC35" si="246">SUM(DY33:EB33)</f>
        <v>846</v>
      </c>
      <c r="ED33" s="19"/>
      <c r="EE33" s="19"/>
      <c r="EF33" s="19"/>
      <c r="EG33" s="19"/>
      <c r="EH33" s="18">
        <f t="shared" ref="EH33:EH35" si="247">SUM(ED33:EG33)</f>
        <v>0</v>
      </c>
      <c r="EI33" s="131"/>
      <c r="EJ33" s="132"/>
      <c r="EK33" s="132"/>
      <c r="EL33" s="132"/>
      <c r="EM33" s="18">
        <f t="shared" ref="EM33:EM35" si="248">SUM(EI33:EL33)</f>
        <v>0</v>
      </c>
      <c r="EN33" s="132"/>
      <c r="EO33" s="132"/>
      <c r="EP33" s="132"/>
      <c r="EQ33" s="132"/>
      <c r="ER33" s="18">
        <f t="shared" ref="ER33:ER35" si="249">SUM(EN33:EQ33)</f>
        <v>0</v>
      </c>
      <c r="ES33" s="132"/>
      <c r="ET33" s="132"/>
      <c r="EU33" s="132"/>
      <c r="EV33" s="132"/>
      <c r="EW33" s="18">
        <f t="shared" ref="EW33:EW35" si="250">SUM(ES33:EV33)</f>
        <v>0</v>
      </c>
      <c r="EX33" s="132"/>
      <c r="EY33" s="132"/>
      <c r="EZ33" s="132"/>
      <c r="FA33" s="132"/>
      <c r="FB33" s="18">
        <f t="shared" ref="FB33:FB35" si="251">SUM(EX33:FA33)</f>
        <v>0</v>
      </c>
      <c r="FC33" s="132"/>
      <c r="FD33" s="132"/>
      <c r="FE33" s="132"/>
      <c r="FF33" s="132"/>
      <c r="FG33" s="18">
        <f t="shared" ref="FG33:FG35" si="252">SUM(FC33:FF33)</f>
        <v>0</v>
      </c>
      <c r="FH33" s="74"/>
      <c r="FI33" s="4"/>
      <c r="FJ33" s="4"/>
      <c r="FK33" s="4"/>
      <c r="FL33" s="4"/>
    </row>
    <row r="34" ht="12.75" customHeight="1">
      <c r="A34" s="4"/>
      <c r="B34" s="72" t="s">
        <v>57</v>
      </c>
      <c r="C34" s="72"/>
      <c r="D34" s="17"/>
      <c r="E34" s="17"/>
      <c r="F34" s="17"/>
      <c r="G34" s="17"/>
      <c r="H34" s="73"/>
      <c r="I34" s="17"/>
      <c r="J34" s="17"/>
      <c r="K34" s="17"/>
      <c r="L34" s="17"/>
      <c r="M34" s="73"/>
      <c r="N34" s="17"/>
      <c r="O34" s="17"/>
      <c r="P34" s="17"/>
      <c r="Q34" s="17"/>
      <c r="R34" s="73"/>
      <c r="S34" s="17"/>
      <c r="T34" s="17"/>
      <c r="U34" s="17"/>
      <c r="V34" s="17"/>
      <c r="W34" s="73"/>
      <c r="X34" s="17"/>
      <c r="Y34" s="17"/>
      <c r="Z34" s="17"/>
      <c r="AA34" s="17"/>
      <c r="AB34" s="73"/>
      <c r="AC34" s="17"/>
      <c r="AD34" s="17"/>
      <c r="AE34" s="17"/>
      <c r="AF34" s="17"/>
      <c r="AG34" s="73"/>
      <c r="AH34" s="17"/>
      <c r="AI34" s="17"/>
      <c r="AJ34" s="17"/>
      <c r="AK34" s="17"/>
      <c r="AL34" s="73"/>
      <c r="AM34" s="17"/>
      <c r="AN34" s="17"/>
      <c r="AO34" s="17"/>
      <c r="AP34" s="17"/>
      <c r="AQ34" s="73"/>
      <c r="AR34" s="17"/>
      <c r="AS34" s="17"/>
      <c r="AT34" s="17"/>
      <c r="AU34" s="17"/>
      <c r="AV34" s="73"/>
      <c r="AW34" s="17"/>
      <c r="AX34" s="17"/>
      <c r="AY34" s="17"/>
      <c r="AZ34" s="17"/>
      <c r="BA34" s="73"/>
      <c r="BB34" s="17"/>
      <c r="BC34" s="17"/>
      <c r="BD34" s="17"/>
      <c r="BE34" s="17"/>
      <c r="BF34" s="73"/>
      <c r="BG34" s="17"/>
      <c r="BH34" s="17"/>
      <c r="BI34" s="17"/>
      <c r="BJ34" s="17"/>
      <c r="BK34" s="73"/>
      <c r="BL34" s="17"/>
      <c r="BM34" s="17"/>
      <c r="BN34" s="17"/>
      <c r="BO34" s="17"/>
      <c r="BP34" s="73"/>
      <c r="BQ34" s="17"/>
      <c r="BR34" s="17"/>
      <c r="BS34" s="17"/>
      <c r="BT34" s="17"/>
      <c r="BU34" s="73"/>
      <c r="BV34" s="17"/>
      <c r="BW34" s="17"/>
      <c r="BX34" s="17"/>
      <c r="BY34" s="17"/>
      <c r="BZ34" s="18"/>
      <c r="CA34" s="17"/>
      <c r="CB34" s="17"/>
      <c r="CC34" s="17"/>
      <c r="CD34" s="17"/>
      <c r="CE34" s="18"/>
      <c r="CF34" s="17"/>
      <c r="CG34" s="17"/>
      <c r="CH34" s="17"/>
      <c r="CI34" s="17"/>
      <c r="CJ34" s="18"/>
      <c r="CK34" s="17"/>
      <c r="CL34" s="128"/>
      <c r="CM34" s="128"/>
      <c r="CN34" s="129"/>
      <c r="CO34" s="18"/>
      <c r="CP34" s="129">
        <v>137.0</v>
      </c>
      <c r="CQ34" s="128"/>
      <c r="CR34" s="128"/>
      <c r="CS34" s="128"/>
      <c r="CT34" s="18"/>
      <c r="CU34" s="129">
        <v>105.0</v>
      </c>
      <c r="CV34" s="129"/>
      <c r="CW34" s="129"/>
      <c r="CX34" s="129"/>
      <c r="CY34" s="18"/>
      <c r="CZ34" s="129"/>
      <c r="DA34" s="19"/>
      <c r="DB34" s="19">
        <v>372.0</v>
      </c>
      <c r="DC34" s="19">
        <v>100.0</v>
      </c>
      <c r="DD34" s="18">
        <f t="shared" si="241"/>
        <v>472</v>
      </c>
      <c r="DE34" s="17">
        <v>80.0</v>
      </c>
      <c r="DF34" s="17">
        <v>105.0</v>
      </c>
      <c r="DG34" s="19">
        <v>4.0</v>
      </c>
      <c r="DH34" s="19">
        <v>195.0</v>
      </c>
      <c r="DI34" s="18">
        <f t="shared" si="242"/>
        <v>384</v>
      </c>
      <c r="DJ34" s="133"/>
      <c r="DK34" s="133"/>
      <c r="DL34" s="19">
        <v>-72.0</v>
      </c>
      <c r="DM34" s="133"/>
      <c r="DN34" s="18">
        <f t="shared" si="243"/>
        <v>-72</v>
      </c>
      <c r="DO34" s="129"/>
      <c r="DP34" s="19">
        <v>184.0</v>
      </c>
      <c r="DQ34" s="19">
        <v>104.0</v>
      </c>
      <c r="DR34" s="19">
        <v>105.0</v>
      </c>
      <c r="DS34" s="18">
        <f t="shared" si="244"/>
        <v>393</v>
      </c>
      <c r="DT34" s="19">
        <v>162.0</v>
      </c>
      <c r="DU34" s="19">
        <v>9.0</v>
      </c>
      <c r="DV34" s="19">
        <v>-25.0</v>
      </c>
      <c r="DW34" s="19">
        <v>52.0</v>
      </c>
      <c r="DX34" s="18">
        <f t="shared" si="245"/>
        <v>198</v>
      </c>
      <c r="DY34" s="19">
        <f>2209-DY33</f>
        <v>1709</v>
      </c>
      <c r="DZ34" s="19">
        <v>0.0</v>
      </c>
      <c r="EA34" s="19">
        <v>42.0</v>
      </c>
      <c r="EB34" s="19">
        <v>29.0</v>
      </c>
      <c r="EC34" s="18">
        <f t="shared" si="246"/>
        <v>1780</v>
      </c>
      <c r="ED34" s="19">
        <v>-1211.0</v>
      </c>
      <c r="EE34" s="19">
        <v>87.0</v>
      </c>
      <c r="EF34" s="19">
        <v>664.0</v>
      </c>
      <c r="EG34" s="19">
        <v>462.0</v>
      </c>
      <c r="EH34" s="18">
        <f t="shared" si="247"/>
        <v>2</v>
      </c>
      <c r="EI34" s="131"/>
      <c r="EJ34" s="132"/>
      <c r="EK34" s="132"/>
      <c r="EL34" s="132"/>
      <c r="EM34" s="18">
        <f t="shared" si="248"/>
        <v>0</v>
      </c>
      <c r="EN34" s="132"/>
      <c r="EO34" s="132"/>
      <c r="EP34" s="132"/>
      <c r="EQ34" s="132"/>
      <c r="ER34" s="18">
        <f t="shared" si="249"/>
        <v>0</v>
      </c>
      <c r="ES34" s="132"/>
      <c r="ET34" s="132"/>
      <c r="EU34" s="132"/>
      <c r="EV34" s="132"/>
      <c r="EW34" s="18">
        <f t="shared" si="250"/>
        <v>0</v>
      </c>
      <c r="EX34" s="132"/>
      <c r="EY34" s="132"/>
      <c r="EZ34" s="132"/>
      <c r="FA34" s="132"/>
      <c r="FB34" s="18">
        <f t="shared" si="251"/>
        <v>0</v>
      </c>
      <c r="FC34" s="132"/>
      <c r="FD34" s="132"/>
      <c r="FE34" s="132"/>
      <c r="FF34" s="132"/>
      <c r="FG34" s="18">
        <f t="shared" si="252"/>
        <v>0</v>
      </c>
      <c r="FH34" s="74"/>
      <c r="FI34" s="4"/>
      <c r="FJ34" s="4"/>
      <c r="FK34" s="4"/>
      <c r="FL34" s="4"/>
    </row>
    <row r="35" ht="12.75" customHeight="1">
      <c r="A35" s="4"/>
      <c r="B35" s="72" t="s">
        <v>58</v>
      </c>
      <c r="C35" s="4"/>
      <c r="D35" s="17"/>
      <c r="E35" s="17"/>
      <c r="F35" s="17"/>
      <c r="G35" s="17"/>
      <c r="H35" s="112"/>
      <c r="I35" s="17"/>
      <c r="J35" s="17"/>
      <c r="K35" s="17"/>
      <c r="L35" s="17"/>
      <c r="M35" s="112"/>
      <c r="N35" s="17"/>
      <c r="O35" s="17"/>
      <c r="P35" s="17"/>
      <c r="Q35" s="17"/>
      <c r="R35" s="112"/>
      <c r="S35" s="17"/>
      <c r="T35" s="17"/>
      <c r="U35" s="17"/>
      <c r="V35" s="17"/>
      <c r="W35" s="112"/>
      <c r="X35" s="17"/>
      <c r="Y35" s="17"/>
      <c r="Z35" s="17"/>
      <c r="AA35" s="17"/>
      <c r="AB35" s="112"/>
      <c r="AC35" s="17"/>
      <c r="AD35" s="17"/>
      <c r="AE35" s="17"/>
      <c r="AF35" s="17"/>
      <c r="AG35" s="112"/>
      <c r="AH35" s="17"/>
      <c r="AI35" s="17"/>
      <c r="AJ35" s="17"/>
      <c r="AK35" s="17"/>
      <c r="AL35" s="112"/>
      <c r="AM35" s="17"/>
      <c r="AN35" s="17"/>
      <c r="AO35" s="17"/>
      <c r="AP35" s="17"/>
      <c r="AQ35" s="112"/>
      <c r="AR35" s="17"/>
      <c r="AS35" s="17"/>
      <c r="AT35" s="17"/>
      <c r="AU35" s="17"/>
      <c r="AV35" s="112"/>
      <c r="AW35" s="17"/>
      <c r="AX35" s="17"/>
      <c r="AY35" s="17"/>
      <c r="AZ35" s="17"/>
      <c r="BA35" s="112"/>
      <c r="BB35" s="17"/>
      <c r="BC35" s="17"/>
      <c r="BD35" s="17"/>
      <c r="BE35" s="17"/>
      <c r="BF35" s="112"/>
      <c r="BG35" s="17"/>
      <c r="BH35" s="17"/>
      <c r="BI35" s="17"/>
      <c r="BJ35" s="17"/>
      <c r="BK35" s="112"/>
      <c r="BL35" s="17"/>
      <c r="BM35" s="17"/>
      <c r="BN35" s="17"/>
      <c r="BO35" s="17"/>
      <c r="BP35" s="112"/>
      <c r="BQ35" s="17"/>
      <c r="BR35" s="17"/>
      <c r="BS35" s="17"/>
      <c r="BT35" s="17"/>
      <c r="BU35" s="112"/>
      <c r="BV35" s="17"/>
      <c r="BW35" s="17"/>
      <c r="BX35" s="17"/>
      <c r="BY35" s="17"/>
      <c r="BZ35" s="80"/>
      <c r="CA35" s="17"/>
      <c r="CB35" s="17"/>
      <c r="CC35" s="17"/>
      <c r="CD35" s="17"/>
      <c r="CE35" s="80"/>
      <c r="CF35" s="17"/>
      <c r="CG35" s="17"/>
      <c r="CH35" s="17"/>
      <c r="CI35" s="17"/>
      <c r="CJ35" s="80"/>
      <c r="CK35" s="17"/>
      <c r="CL35" s="128"/>
      <c r="CM35" s="128"/>
      <c r="CN35" s="129"/>
      <c r="CO35" s="18"/>
      <c r="CP35" s="129"/>
      <c r="CQ35" s="128"/>
      <c r="CR35" s="128"/>
      <c r="CS35" s="128"/>
      <c r="CT35" s="18"/>
      <c r="CU35" s="129"/>
      <c r="CV35" s="129"/>
      <c r="CW35" s="129"/>
      <c r="CX35" s="129"/>
      <c r="CY35" s="18">
        <f>SUM(CU35:CX35)</f>
        <v>0</v>
      </c>
      <c r="CZ35" s="128">
        <v>-100.0</v>
      </c>
      <c r="DA35" s="128"/>
      <c r="DB35" s="128"/>
      <c r="DC35" s="128"/>
      <c r="DD35" s="18">
        <f t="shared" si="241"/>
        <v>-100</v>
      </c>
      <c r="DE35" s="128"/>
      <c r="DF35" s="128"/>
      <c r="DG35" s="129">
        <v>-113.0</v>
      </c>
      <c r="DH35" s="128"/>
      <c r="DI35" s="18">
        <f t="shared" si="242"/>
        <v>-113</v>
      </c>
      <c r="DJ35" s="129"/>
      <c r="DK35" s="129">
        <f>-235+494</f>
        <v>259</v>
      </c>
      <c r="DL35" s="129"/>
      <c r="DM35" s="129"/>
      <c r="DN35" s="18">
        <f t="shared" si="243"/>
        <v>259</v>
      </c>
      <c r="DO35" s="129"/>
      <c r="DP35" s="129"/>
      <c r="DQ35" s="129"/>
      <c r="DR35" s="129"/>
      <c r="DS35" s="18">
        <f t="shared" si="244"/>
        <v>0</v>
      </c>
      <c r="DT35" s="129"/>
      <c r="DU35" s="129">
        <v>-50.0</v>
      </c>
      <c r="DV35" s="129">
        <v>-52.0</v>
      </c>
      <c r="DW35" s="129">
        <v>-53.0</v>
      </c>
      <c r="DX35" s="18">
        <f t="shared" si="245"/>
        <v>-155</v>
      </c>
      <c r="DY35" s="129">
        <f>-146-52</f>
        <v>-198</v>
      </c>
      <c r="DZ35" s="129">
        <f>-52-142</f>
        <v>-194</v>
      </c>
      <c r="EA35" s="129">
        <f>-53-174</f>
        <v>-227</v>
      </c>
      <c r="EB35" s="129">
        <f>-52-164</f>
        <v>-216</v>
      </c>
      <c r="EC35" s="18">
        <f t="shared" si="246"/>
        <v>-835</v>
      </c>
      <c r="ED35" s="129">
        <f>-51-559</f>
        <v>-610</v>
      </c>
      <c r="EE35" s="129">
        <f>-48-702</f>
        <v>-750</v>
      </c>
      <c r="EF35" s="129">
        <f>-43-621</f>
        <v>-664</v>
      </c>
      <c r="EG35" s="129">
        <f>-43-584</f>
        <v>-627</v>
      </c>
      <c r="EH35" s="18">
        <f t="shared" si="247"/>
        <v>-2651</v>
      </c>
      <c r="EI35" s="134"/>
      <c r="EJ35" s="128"/>
      <c r="EK35" s="128"/>
      <c r="EL35" s="128"/>
      <c r="EM35" s="18">
        <f t="shared" si="248"/>
        <v>0</v>
      </c>
      <c r="EN35" s="128"/>
      <c r="EO35" s="128"/>
      <c r="EP35" s="128"/>
      <c r="EQ35" s="128"/>
      <c r="ER35" s="18">
        <f t="shared" si="249"/>
        <v>0</v>
      </c>
      <c r="ES35" s="128"/>
      <c r="ET35" s="128"/>
      <c r="EU35" s="128"/>
      <c r="EV35" s="128"/>
      <c r="EW35" s="18">
        <f t="shared" si="250"/>
        <v>0</v>
      </c>
      <c r="EX35" s="128"/>
      <c r="EY35" s="128"/>
      <c r="EZ35" s="128"/>
      <c r="FA35" s="128"/>
      <c r="FB35" s="18">
        <f t="shared" si="251"/>
        <v>0</v>
      </c>
      <c r="FC35" s="128"/>
      <c r="FD35" s="128"/>
      <c r="FE35" s="128"/>
      <c r="FF35" s="128"/>
      <c r="FG35" s="18">
        <f t="shared" si="252"/>
        <v>0</v>
      </c>
      <c r="FH35" s="74"/>
      <c r="FI35" s="4"/>
      <c r="FJ35" s="4"/>
      <c r="FK35" s="4"/>
      <c r="FL35" s="4"/>
    </row>
    <row r="36" ht="12.75" customHeight="1">
      <c r="A36" s="4"/>
      <c r="B36" s="4" t="s">
        <v>59</v>
      </c>
      <c r="C36" s="4"/>
      <c r="D36" s="17"/>
      <c r="E36" s="17"/>
      <c r="F36" s="17"/>
      <c r="G36" s="17"/>
      <c r="H36" s="112"/>
      <c r="I36" s="17"/>
      <c r="J36" s="17"/>
      <c r="K36" s="17"/>
      <c r="L36" s="17"/>
      <c r="M36" s="112"/>
      <c r="N36" s="17">
        <f t="shared" ref="N36:W36" si="253">+SUM(N31:N32)</f>
        <v>1306</v>
      </c>
      <c r="O36" s="17">
        <f t="shared" si="253"/>
        <v>1294</v>
      </c>
      <c r="P36" s="17">
        <f t="shared" si="253"/>
        <v>1383</v>
      </c>
      <c r="Q36" s="17">
        <f t="shared" si="253"/>
        <v>1602</v>
      </c>
      <c r="R36" s="112">
        <f t="shared" si="253"/>
        <v>5585</v>
      </c>
      <c r="S36" s="17">
        <f t="shared" si="253"/>
        <v>1554</v>
      </c>
      <c r="T36" s="17">
        <f t="shared" si="253"/>
        <v>1655</v>
      </c>
      <c r="U36" s="17">
        <f t="shared" si="253"/>
        <v>1792</v>
      </c>
      <c r="V36" s="17">
        <f t="shared" si="253"/>
        <v>1982</v>
      </c>
      <c r="W36" s="112">
        <f t="shared" si="253"/>
        <v>6983</v>
      </c>
      <c r="X36" s="17">
        <f>RD+MGA</f>
        <v>2075</v>
      </c>
      <c r="Y36" s="17">
        <f>RD+MGA</f>
        <v>2194</v>
      </c>
      <c r="Z36" s="17">
        <f>RD+MGA</f>
        <v>2298</v>
      </c>
      <c r="AA36" s="17">
        <f>RD+MGA</f>
        <v>2419</v>
      </c>
      <c r="AB36" s="112">
        <f>+SUM(X36:AA36)</f>
        <v>8986</v>
      </c>
      <c r="AC36" s="17">
        <f>RD+MGA</f>
        <v>2150</v>
      </c>
      <c r="AD36" s="17">
        <f>RD+MGA</f>
        <v>2093</v>
      </c>
      <c r="AE36" s="17">
        <f>RD+MGA</f>
        <v>1994</v>
      </c>
      <c r="AF36" s="17">
        <f>RD+MGA</f>
        <v>2023</v>
      </c>
      <c r="AG36" s="112">
        <f>+SUM(AC36:AF36)</f>
        <v>8260</v>
      </c>
      <c r="AH36" s="17">
        <f t="shared" ref="AH36:AK36" si="254">+SUM(AH31:AH33)</f>
        <v>2054</v>
      </c>
      <c r="AI36" s="17">
        <f t="shared" si="254"/>
        <v>2087</v>
      </c>
      <c r="AJ36" s="17">
        <f t="shared" si="254"/>
        <v>2101</v>
      </c>
      <c r="AK36" s="17">
        <f t="shared" si="254"/>
        <v>2126</v>
      </c>
      <c r="AL36" s="112">
        <f>+SUM(AH36:AK36)</f>
        <v>8368</v>
      </c>
      <c r="AM36" s="17">
        <f t="shared" ref="AM36:AP36" si="255">SUM(AM31,AM32,AM33)</f>
        <v>2121</v>
      </c>
      <c r="AN36" s="17">
        <f t="shared" si="255"/>
        <v>2192</v>
      </c>
      <c r="AO36" s="17">
        <f t="shared" si="255"/>
        <v>2254</v>
      </c>
      <c r="AP36" s="17">
        <f t="shared" si="255"/>
        <v>2377</v>
      </c>
      <c r="AQ36" s="112">
        <f>+SUM(AM36:AP36)</f>
        <v>8944</v>
      </c>
      <c r="AR36" s="17">
        <f t="shared" ref="AR36:CO36" si="256">SUM(AR31,AR32,AR33)</f>
        <v>2394</v>
      </c>
      <c r="AS36" s="17">
        <f t="shared" si="256"/>
        <v>2399</v>
      </c>
      <c r="AT36" s="17">
        <f t="shared" si="256"/>
        <v>2346</v>
      </c>
      <c r="AU36" s="17">
        <f t="shared" si="256"/>
        <v>2477</v>
      </c>
      <c r="AV36" s="112">
        <f t="shared" si="256"/>
        <v>9616</v>
      </c>
      <c r="AW36" s="17">
        <f t="shared" si="256"/>
        <v>2566</v>
      </c>
      <c r="AX36" s="17">
        <f t="shared" si="256"/>
        <v>2554</v>
      </c>
      <c r="AY36" s="17">
        <f t="shared" si="256"/>
        <v>2848</v>
      </c>
      <c r="AZ36" s="17">
        <f t="shared" si="256"/>
        <v>2991</v>
      </c>
      <c r="BA36" s="112">
        <f t="shared" si="256"/>
        <v>10959</v>
      </c>
      <c r="BB36" s="17">
        <f t="shared" si="256"/>
        <v>3225</v>
      </c>
      <c r="BC36" s="17">
        <f t="shared" si="256"/>
        <v>3099</v>
      </c>
      <c r="BD36" s="17">
        <f t="shared" si="256"/>
        <v>2920</v>
      </c>
      <c r="BE36" s="17">
        <f t="shared" si="256"/>
        <v>3322</v>
      </c>
      <c r="BF36" s="112">
        <f t="shared" si="256"/>
        <v>12566</v>
      </c>
      <c r="BG36" s="17">
        <f t="shared" si="256"/>
        <v>2757</v>
      </c>
      <c r="BH36" s="17">
        <f t="shared" si="256"/>
        <v>2725</v>
      </c>
      <c r="BI36" s="17">
        <f t="shared" si="256"/>
        <v>3027</v>
      </c>
      <c r="BJ36" s="17">
        <f t="shared" si="256"/>
        <v>3179</v>
      </c>
      <c r="BK36" s="112">
        <f t="shared" si="256"/>
        <v>11688</v>
      </c>
      <c r="BL36" s="17">
        <f t="shared" si="256"/>
        <v>3145</v>
      </c>
      <c r="BM36" s="17">
        <f t="shared" si="256"/>
        <v>2994</v>
      </c>
      <c r="BN36" s="17">
        <f t="shared" si="256"/>
        <v>2921</v>
      </c>
      <c r="BO36" s="17">
        <f t="shared" si="256"/>
        <v>2830</v>
      </c>
      <c r="BP36" s="112">
        <f t="shared" si="256"/>
        <v>11890</v>
      </c>
      <c r="BQ36" s="17">
        <f t="shared" si="256"/>
        <v>2591</v>
      </c>
      <c r="BR36" s="17">
        <f t="shared" si="256"/>
        <v>2644</v>
      </c>
      <c r="BS36" s="17">
        <f t="shared" si="256"/>
        <v>2825</v>
      </c>
      <c r="BT36" s="17">
        <f t="shared" si="256"/>
        <v>3093</v>
      </c>
      <c r="BU36" s="112">
        <f t="shared" si="256"/>
        <v>11152.996</v>
      </c>
      <c r="BV36" s="17">
        <f t="shared" si="256"/>
        <v>3081</v>
      </c>
      <c r="BW36" s="17">
        <f t="shared" si="256"/>
        <v>3254</v>
      </c>
      <c r="BX36" s="17">
        <f t="shared" si="256"/>
        <v>3185</v>
      </c>
      <c r="BY36" s="17">
        <f t="shared" si="256"/>
        <v>3383</v>
      </c>
      <c r="BZ36" s="80">
        <f t="shared" si="256"/>
        <v>12903</v>
      </c>
      <c r="CA36" s="17">
        <f t="shared" si="256"/>
        <v>3727</v>
      </c>
      <c r="CB36" s="17">
        <f t="shared" si="256"/>
        <v>3967</v>
      </c>
      <c r="CC36" s="17">
        <f t="shared" si="256"/>
        <v>4233</v>
      </c>
      <c r="CD36" s="17">
        <f t="shared" si="256"/>
        <v>4353</v>
      </c>
      <c r="CE36" s="80">
        <f t="shared" si="256"/>
        <v>16280</v>
      </c>
      <c r="CF36" s="17">
        <f t="shared" si="256"/>
        <v>4455</v>
      </c>
      <c r="CG36" s="17">
        <f t="shared" si="256"/>
        <v>4722</v>
      </c>
      <c r="CH36" s="17">
        <f t="shared" si="256"/>
        <v>4674</v>
      </c>
      <c r="CI36" s="17">
        <f t="shared" si="256"/>
        <v>4662</v>
      </c>
      <c r="CJ36" s="80">
        <f t="shared" si="256"/>
        <v>18513</v>
      </c>
      <c r="CK36" s="17">
        <f t="shared" si="256"/>
        <v>4547</v>
      </c>
      <c r="CL36" s="128">
        <f t="shared" si="256"/>
        <v>4751</v>
      </c>
      <c r="CM36" s="128">
        <f t="shared" si="256"/>
        <v>4910</v>
      </c>
      <c r="CN36" s="129">
        <f t="shared" si="256"/>
        <v>5022</v>
      </c>
      <c r="CO36" s="18">
        <f t="shared" si="256"/>
        <v>19230</v>
      </c>
      <c r="CP36" s="129">
        <f t="shared" ref="CP36:CS36" si="257">SUM(CP31,CP32,CP33,CP34)</f>
        <v>5093</v>
      </c>
      <c r="CQ36" s="129">
        <f t="shared" si="257"/>
        <v>5073</v>
      </c>
      <c r="CR36" s="129">
        <f t="shared" si="257"/>
        <v>4918</v>
      </c>
      <c r="CS36" s="129">
        <f t="shared" si="257"/>
        <v>5168</v>
      </c>
      <c r="CT36" s="18">
        <f>SUM(CT31,CT32,CT33)</f>
        <v>20115</v>
      </c>
      <c r="CU36" s="129">
        <f t="shared" ref="CU36:CX36" si="258">SUM(CU31,CU32,CU33,CU34)</f>
        <v>5115</v>
      </c>
      <c r="CV36" s="129">
        <f t="shared" si="258"/>
        <v>5352</v>
      </c>
      <c r="CW36" s="129">
        <f t="shared" si="258"/>
        <v>4919</v>
      </c>
      <c r="CX36" s="129">
        <f t="shared" si="258"/>
        <v>5291</v>
      </c>
      <c r="CY36" s="18">
        <f>SUM(CY31,CY32,CY33)</f>
        <v>20572</v>
      </c>
      <c r="CZ36" s="129">
        <f t="shared" ref="CZ36:FG36" si="259">SUM(CZ31,CZ32,CZ33,CZ34)</f>
        <v>5562</v>
      </c>
      <c r="DA36" s="129">
        <f t="shared" si="259"/>
        <v>6655</v>
      </c>
      <c r="DB36" s="129">
        <f t="shared" si="259"/>
        <v>5521</v>
      </c>
      <c r="DC36" s="129">
        <f t="shared" si="259"/>
        <v>5579</v>
      </c>
      <c r="DD36" s="18">
        <f t="shared" si="259"/>
        <v>23317</v>
      </c>
      <c r="DE36" s="128">
        <f t="shared" si="259"/>
        <v>5548</v>
      </c>
      <c r="DF36" s="128">
        <f t="shared" si="259"/>
        <v>5271</v>
      </c>
      <c r="DG36" s="128">
        <f t="shared" si="259"/>
        <v>4942</v>
      </c>
      <c r="DH36" s="129">
        <f t="shared" si="259"/>
        <v>5372</v>
      </c>
      <c r="DI36" s="18">
        <f t="shared" si="259"/>
        <v>21133</v>
      </c>
      <c r="DJ36" s="129">
        <f t="shared" si="259"/>
        <v>5261</v>
      </c>
      <c r="DK36" s="129">
        <f t="shared" si="259"/>
        <v>5146</v>
      </c>
      <c r="DL36" s="129">
        <f t="shared" si="259"/>
        <v>5011</v>
      </c>
      <c r="DM36" s="129">
        <f t="shared" si="259"/>
        <v>5003</v>
      </c>
      <c r="DN36" s="18">
        <f t="shared" si="259"/>
        <v>20421</v>
      </c>
      <c r="DO36" s="129">
        <f t="shared" si="259"/>
        <v>4915</v>
      </c>
      <c r="DP36" s="129">
        <f t="shared" si="259"/>
        <v>5261</v>
      </c>
      <c r="DQ36" s="129">
        <f t="shared" si="259"/>
        <v>4848</v>
      </c>
      <c r="DR36" s="129">
        <f t="shared" si="259"/>
        <v>5081</v>
      </c>
      <c r="DS36" s="18">
        <f t="shared" si="259"/>
        <v>20105</v>
      </c>
      <c r="DT36" s="129">
        <f t="shared" si="259"/>
        <v>4978</v>
      </c>
      <c r="DU36" s="129">
        <f t="shared" si="259"/>
        <v>4810</v>
      </c>
      <c r="DV36" s="129">
        <f t="shared" si="259"/>
        <v>4682</v>
      </c>
      <c r="DW36" s="129">
        <f t="shared" si="259"/>
        <v>5464</v>
      </c>
      <c r="DX36" s="18">
        <f t="shared" si="259"/>
        <v>19934</v>
      </c>
      <c r="DY36" s="129">
        <f t="shared" si="259"/>
        <v>7160</v>
      </c>
      <c r="DZ36" s="129">
        <f t="shared" si="259"/>
        <v>5660</v>
      </c>
      <c r="EA36" s="129">
        <f t="shared" si="259"/>
        <v>5519</v>
      </c>
      <c r="EB36" s="129">
        <f t="shared" si="259"/>
        <v>6020</v>
      </c>
      <c r="EC36" s="18">
        <f t="shared" si="259"/>
        <v>24359</v>
      </c>
      <c r="ED36" s="129">
        <f t="shared" si="259"/>
        <v>4903</v>
      </c>
      <c r="EE36" s="129">
        <f t="shared" si="259"/>
        <v>6287</v>
      </c>
      <c r="EF36" s="129">
        <f t="shared" si="259"/>
        <v>6710</v>
      </c>
      <c r="EG36" s="129">
        <f t="shared" si="259"/>
        <v>6632</v>
      </c>
      <c r="EH36" s="18">
        <f t="shared" si="259"/>
        <v>24532</v>
      </c>
      <c r="EI36" s="134">
        <f t="shared" si="259"/>
        <v>5500</v>
      </c>
      <c r="EJ36" s="128">
        <f t="shared" si="259"/>
        <v>5150</v>
      </c>
      <c r="EK36" s="128">
        <f t="shared" si="259"/>
        <v>4800</v>
      </c>
      <c r="EL36" s="128">
        <f t="shared" si="259"/>
        <v>4500</v>
      </c>
      <c r="EM36" s="18">
        <f t="shared" si="259"/>
        <v>19950</v>
      </c>
      <c r="EN36" s="128">
        <f t="shared" si="259"/>
        <v>4500</v>
      </c>
      <c r="EO36" s="128">
        <f t="shared" si="259"/>
        <v>4600</v>
      </c>
      <c r="EP36" s="128">
        <f t="shared" si="259"/>
        <v>4700</v>
      </c>
      <c r="EQ36" s="128">
        <f t="shared" si="259"/>
        <v>4750</v>
      </c>
      <c r="ER36" s="18">
        <f t="shared" si="259"/>
        <v>18550</v>
      </c>
      <c r="ES36" s="128">
        <f t="shared" si="259"/>
        <v>4800</v>
      </c>
      <c r="ET36" s="128">
        <f t="shared" si="259"/>
        <v>4850</v>
      </c>
      <c r="EU36" s="128">
        <f t="shared" si="259"/>
        <v>4900</v>
      </c>
      <c r="EV36" s="128">
        <f t="shared" si="259"/>
        <v>4950</v>
      </c>
      <c r="EW36" s="18">
        <f t="shared" si="259"/>
        <v>19500</v>
      </c>
      <c r="EX36" s="128">
        <f t="shared" si="259"/>
        <v>5100</v>
      </c>
      <c r="EY36" s="128">
        <f t="shared" si="259"/>
        <v>5250</v>
      </c>
      <c r="EZ36" s="128">
        <f t="shared" si="259"/>
        <v>5300</v>
      </c>
      <c r="FA36" s="128">
        <f t="shared" si="259"/>
        <v>5350</v>
      </c>
      <c r="FB36" s="18">
        <f t="shared" si="259"/>
        <v>21000</v>
      </c>
      <c r="FC36" s="128">
        <f t="shared" si="259"/>
        <v>5400</v>
      </c>
      <c r="FD36" s="128">
        <f t="shared" si="259"/>
        <v>5550</v>
      </c>
      <c r="FE36" s="128">
        <f t="shared" si="259"/>
        <v>5600</v>
      </c>
      <c r="FF36" s="128">
        <f t="shared" si="259"/>
        <v>5650</v>
      </c>
      <c r="FG36" s="18">
        <f t="shared" si="259"/>
        <v>22200</v>
      </c>
      <c r="FH36" s="74"/>
      <c r="FI36" s="4"/>
      <c r="FJ36" s="4"/>
      <c r="FK36" s="4"/>
      <c r="FL36" s="4"/>
    </row>
    <row r="37" ht="12.75" customHeight="1">
      <c r="A37" s="105"/>
      <c r="B37" s="106" t="s">
        <v>60</v>
      </c>
      <c r="C37" s="107"/>
      <c r="D37" s="108"/>
      <c r="E37" s="108"/>
      <c r="F37" s="108"/>
      <c r="G37" s="108"/>
      <c r="H37" s="109"/>
      <c r="I37" s="108"/>
      <c r="J37" s="108"/>
      <c r="K37" s="108"/>
      <c r="L37" s="108"/>
      <c r="M37" s="109"/>
      <c r="N37" s="108"/>
      <c r="O37" s="108"/>
      <c r="P37" s="108"/>
      <c r="Q37" s="108"/>
      <c r="R37" s="109"/>
      <c r="S37" s="108"/>
      <c r="T37" s="108"/>
      <c r="U37" s="108"/>
      <c r="V37" s="108"/>
      <c r="W37" s="109"/>
      <c r="X37" s="108"/>
      <c r="Y37" s="108"/>
      <c r="Z37" s="108"/>
      <c r="AA37" s="108"/>
      <c r="AB37" s="109"/>
      <c r="AC37" s="108"/>
      <c r="AD37" s="108"/>
      <c r="AE37" s="108"/>
      <c r="AF37" s="108"/>
      <c r="AG37" s="109"/>
      <c r="AH37" s="108"/>
      <c r="AI37" s="108"/>
      <c r="AJ37" s="108"/>
      <c r="AK37" s="108"/>
      <c r="AL37" s="109"/>
      <c r="AM37" s="108"/>
      <c r="AN37" s="108"/>
      <c r="AO37" s="108"/>
      <c r="AP37" s="108"/>
      <c r="AQ37" s="109"/>
      <c r="AR37" s="108"/>
      <c r="AS37" s="108"/>
      <c r="AT37" s="108"/>
      <c r="AU37" s="108"/>
      <c r="AV37" s="109"/>
      <c r="AW37" s="108"/>
      <c r="AX37" s="108"/>
      <c r="AY37" s="108"/>
      <c r="AZ37" s="108"/>
      <c r="BA37" s="109"/>
      <c r="BB37" s="108"/>
      <c r="BC37" s="108"/>
      <c r="BD37" s="108"/>
      <c r="BE37" s="108"/>
      <c r="BF37" s="109"/>
      <c r="BG37" s="108"/>
      <c r="BH37" s="108"/>
      <c r="BI37" s="108"/>
      <c r="BJ37" s="108"/>
      <c r="BK37" s="109"/>
      <c r="BL37" s="108"/>
      <c r="BM37" s="108"/>
      <c r="BN37" s="108"/>
      <c r="BO37" s="108"/>
      <c r="BP37" s="109"/>
      <c r="BQ37" s="108"/>
      <c r="BR37" s="108"/>
      <c r="BS37" s="108"/>
      <c r="BT37" s="108"/>
      <c r="BU37" s="109"/>
      <c r="BV37" s="108"/>
      <c r="BW37" s="108"/>
      <c r="BX37" s="108"/>
      <c r="BY37" s="108"/>
      <c r="BZ37" s="18"/>
      <c r="CA37" s="108"/>
      <c r="CB37" s="108"/>
      <c r="CC37" s="108"/>
      <c r="CD37" s="108"/>
      <c r="CE37" s="18"/>
      <c r="CF37" s="108"/>
      <c r="CG37" s="108"/>
      <c r="CH37" s="108"/>
      <c r="CI37" s="108"/>
      <c r="CJ37" s="80"/>
      <c r="CK37" s="108"/>
      <c r="CL37" s="108"/>
      <c r="CM37" s="108"/>
      <c r="CN37" s="108"/>
      <c r="CO37" s="18"/>
      <c r="CP37" s="108">
        <f t="shared" ref="CP37:CS37" si="260">CP31+CP32+CP35</f>
        <v>4883</v>
      </c>
      <c r="CQ37" s="108">
        <f t="shared" si="260"/>
        <v>4920</v>
      </c>
      <c r="CR37" s="108">
        <f t="shared" si="260"/>
        <v>4821</v>
      </c>
      <c r="CS37" s="108">
        <f t="shared" si="260"/>
        <v>5039</v>
      </c>
      <c r="CT37" s="18">
        <f>SUM(CP37:CS37)</f>
        <v>19663</v>
      </c>
      <c r="CU37" s="108">
        <f t="shared" ref="CU37:CX37" si="261">CU31+CU32+CU35</f>
        <v>4948</v>
      </c>
      <c r="CV37" s="108">
        <f t="shared" si="261"/>
        <v>5036</v>
      </c>
      <c r="CW37" s="108">
        <f t="shared" si="261"/>
        <v>4837</v>
      </c>
      <c r="CX37" s="108">
        <f t="shared" si="261"/>
        <v>5237</v>
      </c>
      <c r="CY37" s="18">
        <f>SUM(CU37:CX37)</f>
        <v>20058</v>
      </c>
      <c r="CZ37" s="108">
        <f t="shared" ref="CZ37:DC37" si="262">CZ31+CZ32+CZ35</f>
        <v>5372</v>
      </c>
      <c r="DA37" s="108">
        <f t="shared" si="262"/>
        <v>5152</v>
      </c>
      <c r="DB37" s="108">
        <f t="shared" si="262"/>
        <v>5075</v>
      </c>
      <c r="DC37" s="108">
        <f t="shared" si="262"/>
        <v>5438</v>
      </c>
      <c r="DD37" s="18">
        <f>SUM(CZ37:DC37)</f>
        <v>21037</v>
      </c>
      <c r="DE37" s="108">
        <f t="shared" ref="DE37:DH37" si="263">DE31+DE32+DE35</f>
        <v>5430</v>
      </c>
      <c r="DF37" s="108">
        <f t="shared" si="263"/>
        <v>5129</v>
      </c>
      <c r="DG37" s="108">
        <f t="shared" si="263"/>
        <v>4776</v>
      </c>
      <c r="DH37" s="108">
        <f t="shared" si="263"/>
        <v>5124</v>
      </c>
      <c r="DI37" s="18">
        <f>SUM(DE37:DH37)</f>
        <v>20459</v>
      </c>
      <c r="DJ37" s="108">
        <f t="shared" ref="DJ37:DM37" si="264">DJ31+DJ32+DJ35</f>
        <v>5211</v>
      </c>
      <c r="DK37" s="108">
        <f t="shared" si="264"/>
        <v>5355</v>
      </c>
      <c r="DL37" s="108">
        <f t="shared" si="264"/>
        <v>5033</v>
      </c>
      <c r="DM37" s="108">
        <f t="shared" si="264"/>
        <v>4953</v>
      </c>
      <c r="DN37" s="18">
        <f>SUM(DJ37:DM37)</f>
        <v>20552</v>
      </c>
      <c r="DO37" s="108">
        <f t="shared" ref="DO37:DR37" si="265">DO31+DO32+DO35</f>
        <v>4865</v>
      </c>
      <c r="DP37" s="108">
        <f t="shared" si="265"/>
        <v>5027</v>
      </c>
      <c r="DQ37" s="108">
        <f t="shared" si="265"/>
        <v>4694</v>
      </c>
      <c r="DR37" s="108">
        <f t="shared" si="265"/>
        <v>4926</v>
      </c>
      <c r="DS37" s="18">
        <f>SUM(DO37:DR37)</f>
        <v>19512</v>
      </c>
      <c r="DT37" s="108">
        <f t="shared" ref="DT37:DU37" si="266">DT31+DT32+DT35</f>
        <v>4816</v>
      </c>
      <c r="DU37" s="108">
        <f t="shared" si="266"/>
        <v>4751</v>
      </c>
      <c r="DV37" s="108">
        <f t="shared" ref="DV37:DW37" si="267">IF(ISERROR(DV31+DV32+DV35), "NA", DV31+DV32+DV35)</f>
        <v>4655</v>
      </c>
      <c r="DW37" s="108">
        <f t="shared" si="267"/>
        <v>5359</v>
      </c>
      <c r="DX37" s="18">
        <f>SUM(DT37:DW37)</f>
        <v>19581</v>
      </c>
      <c r="DY37" s="108">
        <f t="shared" ref="DY37:EB37" si="268">DY31+DY32+DY35</f>
        <v>4753</v>
      </c>
      <c r="DZ37" s="108">
        <f t="shared" si="268"/>
        <v>5120</v>
      </c>
      <c r="EA37" s="108">
        <f t="shared" si="268"/>
        <v>5250</v>
      </c>
      <c r="EB37" s="108">
        <f t="shared" si="268"/>
        <v>5775</v>
      </c>
      <c r="EC37" s="18">
        <f>SUM(DY37:EB37)</f>
        <v>20898</v>
      </c>
      <c r="ED37" s="108">
        <f t="shared" ref="ED37:EG37" si="269">ED31+ED32+ED35</f>
        <v>5504</v>
      </c>
      <c r="EE37" s="108">
        <f t="shared" si="269"/>
        <v>5450</v>
      </c>
      <c r="EF37" s="108">
        <f t="shared" si="269"/>
        <v>5382</v>
      </c>
      <c r="EG37" s="108">
        <f t="shared" si="269"/>
        <v>5543</v>
      </c>
      <c r="EH37" s="18">
        <f t="shared" ref="EH37:EH38" si="275">SUM(ED37:EG37)</f>
        <v>21879</v>
      </c>
      <c r="EI37" s="110" t="str">
        <f t="shared" ref="EI37:EL37" si="270">EI31+EI32+EI35-EI38</f>
        <v>#ERROR!</v>
      </c>
      <c r="EJ37" s="108" t="str">
        <f t="shared" si="270"/>
        <v>#ERROR!</v>
      </c>
      <c r="EK37" s="108" t="str">
        <f t="shared" si="270"/>
        <v>#ERROR!</v>
      </c>
      <c r="EL37" s="108" t="str">
        <f t="shared" si="270"/>
        <v>#ERROR!</v>
      </c>
      <c r="EM37" s="18" t="str">
        <f t="shared" ref="EM37:EM38" si="277">SUM(EI37:EL37)</f>
        <v>#ERROR!</v>
      </c>
      <c r="EN37" s="108" t="str">
        <f t="shared" ref="EN37:EQ37" si="271">EN31+EN32+EN35-EN38</f>
        <v>#ERROR!</v>
      </c>
      <c r="EO37" s="108" t="str">
        <f t="shared" si="271"/>
        <v>#ERROR!</v>
      </c>
      <c r="EP37" s="108" t="str">
        <f t="shared" si="271"/>
        <v>#ERROR!</v>
      </c>
      <c r="EQ37" s="108" t="str">
        <f t="shared" si="271"/>
        <v>#ERROR!</v>
      </c>
      <c r="ER37" s="18" t="str">
        <f t="shared" ref="ER37:ER38" si="279">SUM(EN37:EQ37)</f>
        <v>#ERROR!</v>
      </c>
      <c r="ES37" s="108" t="str">
        <f t="shared" ref="ES37:EV37" si="272">ES31+ES32+ES35-ES38</f>
        <v>#ERROR!</v>
      </c>
      <c r="ET37" s="108" t="str">
        <f t="shared" si="272"/>
        <v>#ERROR!</v>
      </c>
      <c r="EU37" s="108" t="str">
        <f t="shared" si="272"/>
        <v>#ERROR!</v>
      </c>
      <c r="EV37" s="108" t="str">
        <f t="shared" si="272"/>
        <v>#ERROR!</v>
      </c>
      <c r="EW37" s="18" t="str">
        <f t="shared" ref="EW37:EW38" si="281">SUM(ES37:EV37)</f>
        <v>#ERROR!</v>
      </c>
      <c r="EX37" s="108" t="str">
        <f t="shared" ref="EX37:FA37" si="273">EX31+EX32+EX35-EX38</f>
        <v>#ERROR!</v>
      </c>
      <c r="EY37" s="108" t="str">
        <f t="shared" si="273"/>
        <v>#ERROR!</v>
      </c>
      <c r="EZ37" s="108" t="str">
        <f t="shared" si="273"/>
        <v>#ERROR!</v>
      </c>
      <c r="FA37" s="108" t="str">
        <f t="shared" si="273"/>
        <v>#ERROR!</v>
      </c>
      <c r="FB37" s="18" t="str">
        <f t="shared" ref="FB37:FB38" si="283">SUM(EX37:FA37)</f>
        <v>#ERROR!</v>
      </c>
      <c r="FC37" s="108" t="str">
        <f t="shared" ref="FC37:FF37" si="274">FC31+FC32+FC35-FC38</f>
        <v>#ERROR!</v>
      </c>
      <c r="FD37" s="108" t="str">
        <f t="shared" si="274"/>
        <v>#ERROR!</v>
      </c>
      <c r="FE37" s="108" t="str">
        <f t="shared" si="274"/>
        <v>#ERROR!</v>
      </c>
      <c r="FF37" s="108" t="str">
        <f t="shared" si="274"/>
        <v>#ERROR!</v>
      </c>
      <c r="FG37" s="18" t="str">
        <f t="shared" ref="FG37:FG38" si="285">SUM(FC37:FF37)</f>
        <v>#ERROR!</v>
      </c>
      <c r="FH37" s="74"/>
      <c r="FI37" s="105"/>
      <c r="FJ37" s="105"/>
      <c r="FK37" s="105"/>
      <c r="FL37" s="105"/>
    </row>
    <row r="38" ht="12.75" customHeight="1">
      <c r="A38" s="135"/>
      <c r="B38" s="136" t="s">
        <v>61</v>
      </c>
      <c r="C38" s="137"/>
      <c r="D38" s="138"/>
      <c r="E38" s="138"/>
      <c r="F38" s="138"/>
      <c r="G38" s="138"/>
      <c r="H38" s="98"/>
      <c r="I38" s="138"/>
      <c r="J38" s="138"/>
      <c r="K38" s="138"/>
      <c r="L38" s="138"/>
      <c r="M38" s="98"/>
      <c r="N38" s="138"/>
      <c r="O38" s="138"/>
      <c r="P38" s="138"/>
      <c r="Q38" s="138"/>
      <c r="R38" s="98"/>
      <c r="S38" s="138"/>
      <c r="T38" s="138"/>
      <c r="U38" s="138"/>
      <c r="V38" s="138"/>
      <c r="W38" s="98"/>
      <c r="X38" s="138"/>
      <c r="Y38" s="138"/>
      <c r="Z38" s="138"/>
      <c r="AA38" s="138"/>
      <c r="AB38" s="98"/>
      <c r="AC38" s="138"/>
      <c r="AD38" s="138"/>
      <c r="AE38" s="138"/>
      <c r="AF38" s="138"/>
      <c r="AG38" s="98"/>
      <c r="AH38" s="138"/>
      <c r="AI38" s="138"/>
      <c r="AJ38" s="138"/>
      <c r="AK38" s="138"/>
      <c r="AL38" s="98"/>
      <c r="AM38" s="138"/>
      <c r="AN38" s="138"/>
      <c r="AO38" s="138"/>
      <c r="AP38" s="138"/>
      <c r="AQ38" s="98"/>
      <c r="AR38" s="138"/>
      <c r="AS38" s="138"/>
      <c r="AT38" s="138"/>
      <c r="AU38" s="138"/>
      <c r="AV38" s="98"/>
      <c r="AW38" s="138"/>
      <c r="AX38" s="138"/>
      <c r="AY38" s="138"/>
      <c r="AZ38" s="138"/>
      <c r="BA38" s="98"/>
      <c r="BB38" s="138"/>
      <c r="BC38" s="138"/>
      <c r="BD38" s="138"/>
      <c r="BE38" s="138"/>
      <c r="BF38" s="98"/>
      <c r="BG38" s="138"/>
      <c r="BH38" s="138"/>
      <c r="BI38" s="138"/>
      <c r="BJ38" s="138"/>
      <c r="BK38" s="98"/>
      <c r="BL38" s="138"/>
      <c r="BM38" s="138"/>
      <c r="BN38" s="138"/>
      <c r="BO38" s="138"/>
      <c r="BP38" s="98"/>
      <c r="BQ38" s="138"/>
      <c r="BR38" s="138"/>
      <c r="BS38" s="138"/>
      <c r="BT38" s="138"/>
      <c r="BU38" s="98"/>
      <c r="BV38" s="138"/>
      <c r="BW38" s="138"/>
      <c r="BX38" s="138"/>
      <c r="BY38" s="138"/>
      <c r="BZ38" s="94"/>
      <c r="CA38" s="139"/>
      <c r="CB38" s="139"/>
      <c r="CC38" s="139"/>
      <c r="CD38" s="139"/>
      <c r="CE38" s="94"/>
      <c r="CF38" s="139"/>
      <c r="CG38" s="139"/>
      <c r="CH38" s="139"/>
      <c r="CI38" s="139"/>
      <c r="CJ38" s="95"/>
      <c r="CK38" s="139"/>
      <c r="CL38" s="139"/>
      <c r="CM38" s="139"/>
      <c r="CN38" s="139"/>
      <c r="CO38" s="94"/>
      <c r="CP38" s="140" t="s">
        <v>62</v>
      </c>
      <c r="CQ38" s="140" t="s">
        <v>63</v>
      </c>
      <c r="CR38" s="140" t="s">
        <v>63</v>
      </c>
      <c r="CS38" s="140" t="s">
        <v>63</v>
      </c>
      <c r="CT38" s="94"/>
      <c r="CU38" s="140" t="s">
        <v>63</v>
      </c>
      <c r="CV38" s="140" t="s">
        <v>63</v>
      </c>
      <c r="CW38" s="140" t="s">
        <v>63</v>
      </c>
      <c r="CX38" s="140" t="s">
        <v>64</v>
      </c>
      <c r="CY38" s="18"/>
      <c r="CZ38" s="140" t="s">
        <v>65</v>
      </c>
      <c r="DA38" s="140" t="s">
        <v>66</v>
      </c>
      <c r="DB38" s="140" t="s">
        <v>67</v>
      </c>
      <c r="DC38" s="140" t="s">
        <v>67</v>
      </c>
      <c r="DD38" s="18"/>
      <c r="DE38" s="140" t="s">
        <v>67</v>
      </c>
      <c r="DF38" s="140" t="s">
        <v>67</v>
      </c>
      <c r="DG38" s="140" t="s">
        <v>66</v>
      </c>
      <c r="DH38" s="140" t="s">
        <v>66</v>
      </c>
      <c r="DI38" s="141"/>
      <c r="DJ38" s="140" t="s">
        <v>64</v>
      </c>
      <c r="DK38" s="140" t="s">
        <v>68</v>
      </c>
      <c r="DL38" s="138"/>
      <c r="DM38" s="138"/>
      <c r="DN38" s="95"/>
      <c r="DO38" s="138"/>
      <c r="DP38" s="138"/>
      <c r="DQ38" s="138"/>
      <c r="DR38" s="138"/>
      <c r="DS38" s="95"/>
      <c r="DT38" s="138"/>
      <c r="DU38" s="138"/>
      <c r="DV38" s="138"/>
      <c r="DW38" s="138"/>
      <c r="DX38" s="95"/>
      <c r="DY38" s="138"/>
      <c r="DZ38" s="138"/>
      <c r="EA38" s="138"/>
      <c r="EB38" s="138"/>
      <c r="EC38" s="95"/>
      <c r="ED38" s="138"/>
      <c r="EE38" s="138"/>
      <c r="EF38" s="138"/>
      <c r="EG38" s="138"/>
      <c r="EH38" s="95">
        <f t="shared" si="275"/>
        <v>0</v>
      </c>
      <c r="EI38" s="142" t="str">
        <f t="shared" ref="EI38:EL38" si="276">EI88*0.75</f>
        <v>#ERROR!</v>
      </c>
      <c r="EJ38" s="143" t="str">
        <f t="shared" si="276"/>
        <v>#ERROR!</v>
      </c>
      <c r="EK38" s="143" t="str">
        <f t="shared" si="276"/>
        <v>#ERROR!</v>
      </c>
      <c r="EL38" s="143" t="str">
        <f t="shared" si="276"/>
        <v>#ERROR!</v>
      </c>
      <c r="EM38" s="95" t="str">
        <f t="shared" si="277"/>
        <v>#ERROR!</v>
      </c>
      <c r="EN38" s="143" t="str">
        <f t="shared" ref="EN38:EQ38" si="278">EN88*0.75</f>
        <v>#ERROR!</v>
      </c>
      <c r="EO38" s="143" t="str">
        <f t="shared" si="278"/>
        <v>#ERROR!</v>
      </c>
      <c r="EP38" s="143" t="str">
        <f t="shared" si="278"/>
        <v>#ERROR!</v>
      </c>
      <c r="EQ38" s="143" t="str">
        <f t="shared" si="278"/>
        <v>#ERROR!</v>
      </c>
      <c r="ER38" s="95" t="str">
        <f t="shared" si="279"/>
        <v>#ERROR!</v>
      </c>
      <c r="ES38" s="143" t="str">
        <f t="shared" ref="ES38:EV38" si="280">ES88*0.75</f>
        <v>#ERROR!</v>
      </c>
      <c r="ET38" s="143" t="str">
        <f t="shared" si="280"/>
        <v>#ERROR!</v>
      </c>
      <c r="EU38" s="143" t="str">
        <f t="shared" si="280"/>
        <v>#ERROR!</v>
      </c>
      <c r="EV38" s="143" t="str">
        <f t="shared" si="280"/>
        <v>#ERROR!</v>
      </c>
      <c r="EW38" s="95" t="str">
        <f t="shared" si="281"/>
        <v>#ERROR!</v>
      </c>
      <c r="EX38" s="143" t="str">
        <f t="shared" ref="EX38:FA38" si="282">EX88*0.75</f>
        <v>#ERROR!</v>
      </c>
      <c r="EY38" s="143" t="str">
        <f t="shared" si="282"/>
        <v>#ERROR!</v>
      </c>
      <c r="EZ38" s="143" t="str">
        <f t="shared" si="282"/>
        <v>#ERROR!</v>
      </c>
      <c r="FA38" s="143" t="str">
        <f t="shared" si="282"/>
        <v>#ERROR!</v>
      </c>
      <c r="FB38" s="95" t="str">
        <f t="shared" si="283"/>
        <v>#ERROR!</v>
      </c>
      <c r="FC38" s="143" t="str">
        <f t="shared" ref="FC38:FF38" si="284">FC88*0.75</f>
        <v>#ERROR!</v>
      </c>
      <c r="FD38" s="143" t="str">
        <f t="shared" si="284"/>
        <v>#ERROR!</v>
      </c>
      <c r="FE38" s="143" t="str">
        <f t="shared" si="284"/>
        <v>#ERROR!</v>
      </c>
      <c r="FF38" s="143" t="str">
        <f t="shared" si="284"/>
        <v>#ERROR!</v>
      </c>
      <c r="FG38" s="95" t="str">
        <f t="shared" si="285"/>
        <v>#ERROR!</v>
      </c>
      <c r="FH38" s="138"/>
      <c r="FI38" s="135"/>
      <c r="FJ38" s="135"/>
      <c r="FK38" s="135"/>
      <c r="FL38" s="135"/>
    </row>
    <row r="39" ht="12.75" customHeight="1">
      <c r="A39" s="16"/>
      <c r="B39" s="144" t="s">
        <v>69</v>
      </c>
      <c r="C39" s="145"/>
      <c r="D39" s="146"/>
      <c r="E39" s="146"/>
      <c r="F39" s="146"/>
      <c r="G39" s="146"/>
      <c r="H39" s="74"/>
      <c r="I39" s="146"/>
      <c r="J39" s="146"/>
      <c r="K39" s="146"/>
      <c r="L39" s="146"/>
      <c r="M39" s="74"/>
      <c r="N39" s="146"/>
      <c r="O39" s="146"/>
      <c r="P39" s="146"/>
      <c r="Q39" s="146"/>
      <c r="R39" s="74"/>
      <c r="S39" s="146"/>
      <c r="T39" s="146"/>
      <c r="U39" s="146"/>
      <c r="V39" s="146"/>
      <c r="W39" s="74"/>
      <c r="X39" s="146"/>
      <c r="Y39" s="146"/>
      <c r="Z39" s="146"/>
      <c r="AA39" s="146"/>
      <c r="AB39" s="74"/>
      <c r="AC39" s="146"/>
      <c r="AD39" s="146"/>
      <c r="AE39" s="146"/>
      <c r="AF39" s="146"/>
      <c r="AG39" s="74"/>
      <c r="AH39" s="146"/>
      <c r="AI39" s="146"/>
      <c r="AJ39" s="146"/>
      <c r="AK39" s="146"/>
      <c r="AL39" s="74"/>
      <c r="AM39" s="146"/>
      <c r="AN39" s="146"/>
      <c r="AO39" s="146"/>
      <c r="AP39" s="146"/>
      <c r="AQ39" s="74"/>
      <c r="AR39" s="146"/>
      <c r="AS39" s="146"/>
      <c r="AT39" s="146"/>
      <c r="AU39" s="146"/>
      <c r="AV39" s="74"/>
      <c r="AW39" s="146"/>
      <c r="AX39" s="146"/>
      <c r="AY39" s="146"/>
      <c r="AZ39" s="146"/>
      <c r="BA39" s="74"/>
      <c r="BB39" s="146"/>
      <c r="BC39" s="146"/>
      <c r="BD39" s="146"/>
      <c r="BE39" s="146"/>
      <c r="BF39" s="74"/>
      <c r="BG39" s="146"/>
      <c r="BH39" s="146"/>
      <c r="BI39" s="146"/>
      <c r="BJ39" s="146"/>
      <c r="BK39" s="74"/>
      <c r="BL39" s="146"/>
      <c r="BM39" s="146"/>
      <c r="BN39" s="146"/>
      <c r="BO39" s="146"/>
      <c r="BP39" s="74"/>
      <c r="BQ39" s="146"/>
      <c r="BR39" s="146"/>
      <c r="BS39" s="146"/>
      <c r="BT39" s="146"/>
      <c r="BU39" s="74"/>
      <c r="BV39" s="146"/>
      <c r="BW39" s="146"/>
      <c r="BX39" s="146"/>
      <c r="BY39" s="146"/>
      <c r="BZ39" s="18"/>
      <c r="CA39" s="108"/>
      <c r="CB39" s="108"/>
      <c r="CC39" s="108"/>
      <c r="CD39" s="108"/>
      <c r="CE39" s="18"/>
      <c r="CF39" s="108"/>
      <c r="CG39" s="108"/>
      <c r="CH39" s="108"/>
      <c r="CI39" s="108"/>
      <c r="CJ39" s="80"/>
      <c r="CK39" s="108"/>
      <c r="CL39" s="108"/>
      <c r="CM39" s="108"/>
      <c r="CN39" s="108"/>
      <c r="CO39" s="18"/>
      <c r="CP39" s="147"/>
      <c r="CQ39" s="147"/>
      <c r="CR39" s="147"/>
      <c r="CS39" s="147"/>
      <c r="CT39" s="18"/>
      <c r="CU39" s="147"/>
      <c r="CV39" s="147"/>
      <c r="CW39" s="147"/>
      <c r="CX39" s="147"/>
      <c r="CY39" s="18"/>
      <c r="CZ39" s="147"/>
      <c r="DA39" s="147"/>
      <c r="DB39" s="147"/>
      <c r="DC39" s="147"/>
      <c r="DD39" s="18"/>
      <c r="DE39" s="148">
        <f t="shared" ref="DE39:DH39" si="286">DE37/DE12</f>
        <v>0.3669910787</v>
      </c>
      <c r="DF39" s="148">
        <f t="shared" si="286"/>
        <v>0.3474226106</v>
      </c>
      <c r="DG39" s="148">
        <f t="shared" si="286"/>
        <v>0.2957458666</v>
      </c>
      <c r="DH39" s="148">
        <f t="shared" si="286"/>
        <v>0.3004749897</v>
      </c>
      <c r="DI39" s="80"/>
      <c r="DJ39" s="148">
        <f t="shared" ref="DJ39:DM39" si="287">DJ37/DJ12</f>
        <v>0.3243495581</v>
      </c>
      <c r="DK39" s="148">
        <f t="shared" si="287"/>
        <v>0.3157056951</v>
      </c>
      <c r="DL39" s="148">
        <f t="shared" si="287"/>
        <v>0.2626415488</v>
      </c>
      <c r="DM39" s="148">
        <f t="shared" si="287"/>
        <v>0.2654767648</v>
      </c>
      <c r="DN39" s="80"/>
      <c r="DO39" s="148">
        <f t="shared" ref="DO39:FG39" si="288">DO37/DO12</f>
        <v>0.3029076645</v>
      </c>
      <c r="DP39" s="148">
        <f t="shared" si="288"/>
        <v>0.3045743714</v>
      </c>
      <c r="DQ39" s="148">
        <f t="shared" si="288"/>
        <v>0.2446065659</v>
      </c>
      <c r="DR39" s="148">
        <f t="shared" si="288"/>
        <v>0.2437527834</v>
      </c>
      <c r="DS39" s="149">
        <f t="shared" si="288"/>
        <v>0.2711318002</v>
      </c>
      <c r="DT39" s="148">
        <f t="shared" si="288"/>
        <v>0.2428888441</v>
      </c>
      <c r="DU39" s="148">
        <f t="shared" si="288"/>
        <v>0.240825223</v>
      </c>
      <c r="DV39" s="148">
        <f t="shared" si="288"/>
        <v>0.2539137075</v>
      </c>
      <c r="DW39" s="148">
        <f t="shared" si="288"/>
        <v>0.2682450696</v>
      </c>
      <c r="DX39" s="149">
        <f t="shared" si="288"/>
        <v>0.2514672454</v>
      </c>
      <c r="DY39" s="148">
        <f t="shared" si="288"/>
        <v>0.2560056016</v>
      </c>
      <c r="DZ39" s="148">
        <f t="shared" si="288"/>
        <v>0.2762639616</v>
      </c>
      <c r="EA39" s="148">
        <f t="shared" si="288"/>
        <v>0.2902637253</v>
      </c>
      <c r="EB39" s="148">
        <f t="shared" si="288"/>
        <v>0.2956686463</v>
      </c>
      <c r="EC39" s="150">
        <f t="shared" si="288"/>
        <v>0.2796916406</v>
      </c>
      <c r="ED39" s="148">
        <f t="shared" si="288"/>
        <v>0.2998964747</v>
      </c>
      <c r="EE39" s="148">
        <f t="shared" si="288"/>
        <v>0.3557209059</v>
      </c>
      <c r="EF39" s="148">
        <f t="shared" si="288"/>
        <v>0.3508932064</v>
      </c>
      <c r="EG39" s="148">
        <f t="shared" si="288"/>
        <v>0.3947443384</v>
      </c>
      <c r="EH39" s="150">
        <f t="shared" si="288"/>
        <v>0.3469882957</v>
      </c>
      <c r="EI39" s="151" t="str">
        <f t="shared" si="288"/>
        <v>#ERROR!</v>
      </c>
      <c r="EJ39" s="148" t="str">
        <f t="shared" si="288"/>
        <v>#ERROR!</v>
      </c>
      <c r="EK39" s="148" t="str">
        <f t="shared" si="288"/>
        <v>#ERROR!</v>
      </c>
      <c r="EL39" s="148" t="str">
        <f t="shared" si="288"/>
        <v>#ERROR!</v>
      </c>
      <c r="EM39" s="150" t="str">
        <f t="shared" si="288"/>
        <v>#ERROR!</v>
      </c>
      <c r="EN39" s="148" t="str">
        <f t="shared" si="288"/>
        <v>#ERROR!</v>
      </c>
      <c r="EO39" s="148" t="str">
        <f t="shared" si="288"/>
        <v>#ERROR!</v>
      </c>
      <c r="EP39" s="148" t="str">
        <f t="shared" si="288"/>
        <v>#ERROR!</v>
      </c>
      <c r="EQ39" s="148" t="str">
        <f t="shared" si="288"/>
        <v>#ERROR!</v>
      </c>
      <c r="ER39" s="150" t="str">
        <f t="shared" si="288"/>
        <v>#ERROR!</v>
      </c>
      <c r="ES39" s="148" t="str">
        <f t="shared" si="288"/>
        <v>#ERROR!</v>
      </c>
      <c r="ET39" s="148" t="str">
        <f t="shared" si="288"/>
        <v>#ERROR!</v>
      </c>
      <c r="EU39" s="148" t="str">
        <f t="shared" si="288"/>
        <v>#ERROR!</v>
      </c>
      <c r="EV39" s="148" t="str">
        <f t="shared" si="288"/>
        <v>#ERROR!</v>
      </c>
      <c r="EW39" s="150" t="str">
        <f t="shared" si="288"/>
        <v>#ERROR!</v>
      </c>
      <c r="EX39" s="148" t="str">
        <f t="shared" si="288"/>
        <v>#ERROR!</v>
      </c>
      <c r="EY39" s="148" t="str">
        <f t="shared" si="288"/>
        <v>#ERROR!</v>
      </c>
      <c r="EZ39" s="148" t="str">
        <f t="shared" si="288"/>
        <v>#ERROR!</v>
      </c>
      <c r="FA39" s="148" t="str">
        <f t="shared" si="288"/>
        <v>#ERROR!</v>
      </c>
      <c r="FB39" s="150" t="str">
        <f t="shared" si="288"/>
        <v>#ERROR!</v>
      </c>
      <c r="FC39" s="148" t="str">
        <f t="shared" si="288"/>
        <v>#ERROR!</v>
      </c>
      <c r="FD39" s="148" t="str">
        <f t="shared" si="288"/>
        <v>#ERROR!</v>
      </c>
      <c r="FE39" s="148" t="str">
        <f t="shared" si="288"/>
        <v>#ERROR!</v>
      </c>
      <c r="FF39" s="148" t="str">
        <f t="shared" si="288"/>
        <v>#ERROR!</v>
      </c>
      <c r="FG39" s="150" t="str">
        <f t="shared" si="288"/>
        <v>#ERROR!</v>
      </c>
      <c r="FH39" s="152"/>
      <c r="FI39" s="16"/>
      <c r="FJ39" s="16"/>
      <c r="FK39" s="16"/>
      <c r="FL39" s="16"/>
    </row>
    <row r="40" ht="12.0" customHeight="1">
      <c r="A40" s="4"/>
      <c r="B40" s="4" t="s">
        <v>70</v>
      </c>
      <c r="C40" s="4"/>
      <c r="D40" s="17"/>
      <c r="E40" s="17"/>
      <c r="F40" s="17"/>
      <c r="G40" s="17"/>
      <c r="H40" s="112"/>
      <c r="I40" s="17"/>
      <c r="J40" s="17"/>
      <c r="K40" s="17"/>
      <c r="L40" s="17"/>
      <c r="M40" s="112"/>
      <c r="N40" s="17">
        <f t="shared" ref="N40:W40" si="289">+N22-N36</f>
        <v>1946</v>
      </c>
      <c r="O40" s="17">
        <f t="shared" si="289"/>
        <v>1606</v>
      </c>
      <c r="P40" s="17">
        <f t="shared" si="289"/>
        <v>2172</v>
      </c>
      <c r="Q40" s="17">
        <f t="shared" si="289"/>
        <v>2876</v>
      </c>
      <c r="R40" s="112">
        <f t="shared" si="289"/>
        <v>8600</v>
      </c>
      <c r="S40" s="17">
        <f t="shared" si="289"/>
        <v>2655</v>
      </c>
      <c r="T40" s="17">
        <f t="shared" si="289"/>
        <v>2351</v>
      </c>
      <c r="U40" s="17">
        <f t="shared" si="289"/>
        <v>2510</v>
      </c>
      <c r="V40" s="17">
        <f t="shared" si="289"/>
        <v>3054</v>
      </c>
      <c r="W40" s="112">
        <f t="shared" si="289"/>
        <v>10570</v>
      </c>
      <c r="X40" s="17">
        <f>grossProfit-X36</f>
        <v>2929</v>
      </c>
      <c r="Y40" s="17">
        <f>grossProfit-Y36</f>
        <v>2823</v>
      </c>
      <c r="Z40" s="17">
        <f>grossProfit-Z36</f>
        <v>3285</v>
      </c>
      <c r="AA40" s="17">
        <f>grossProfit-AA36</f>
        <v>3053</v>
      </c>
      <c r="AB40" s="112">
        <f>+AB22-AB36</f>
        <v>12090</v>
      </c>
      <c r="AC40" s="17">
        <f>grossProfit-RD-MGA</f>
        <v>1302</v>
      </c>
      <c r="AD40" s="17">
        <f>grossProfit-RD-MGA</f>
        <v>934</v>
      </c>
      <c r="AE40" s="17">
        <f>grossProfit-RD-MGA</f>
        <v>998</v>
      </c>
      <c r="AF40" s="17">
        <f>grossProfit-RD-MGA</f>
        <v>1558</v>
      </c>
      <c r="AG40" s="112">
        <f>+AG22-AG36</f>
        <v>4792</v>
      </c>
      <c r="AH40" s="17">
        <f>grossProfit-RD-MGA</f>
        <v>1426</v>
      </c>
      <c r="AI40" s="17">
        <f>grossProfit-RD-MGA</f>
        <v>882</v>
      </c>
      <c r="AJ40" s="17">
        <f>grossProfit-RD-MGA</f>
        <v>1072</v>
      </c>
      <c r="AK40" s="17">
        <f>grossProfit-RD-MGA</f>
        <v>1570</v>
      </c>
      <c r="AL40" s="112">
        <f>+AL22-AL36</f>
        <v>4950</v>
      </c>
      <c r="AM40" s="17">
        <f>grossProfit-opExpenses</f>
        <v>1391</v>
      </c>
      <c r="AN40" s="17">
        <f>grossProfit-opExpenses</f>
        <v>1276</v>
      </c>
      <c r="AO40" s="17">
        <f>grossProfit-opExpenses</f>
        <v>2304</v>
      </c>
      <c r="AP40" s="17">
        <f>grossProfit-opExpenses</f>
        <v>3179</v>
      </c>
      <c r="AQ40" s="112">
        <f>grossProfit-opExpenses</f>
        <v>8150</v>
      </c>
      <c r="AR40" s="17">
        <f>grossProfit-opExpenses</f>
        <v>2476</v>
      </c>
      <c r="AS40" s="17">
        <f>grossProfit-opExpenses</f>
        <v>2381</v>
      </c>
      <c r="AT40" s="17">
        <f>grossProfit-opExpenses</f>
        <v>2373</v>
      </c>
      <c r="AU40" s="17">
        <f>grossProfit-opExpenses</f>
        <v>2900</v>
      </c>
      <c r="AV40" s="112">
        <f>grossProfit-opExpenses</f>
        <v>10130</v>
      </c>
      <c r="AW40" s="17">
        <f>grossProfit-opExpenses</f>
        <v>3032</v>
      </c>
      <c r="AX40" s="17">
        <f>grossProfit-opExpenses</f>
        <v>2649</v>
      </c>
      <c r="AY40" s="17">
        <f>grossProfit-opExpenses</f>
        <v>3240</v>
      </c>
      <c r="AZ40" s="17">
        <f>grossProfit-opExpenses</f>
        <v>3309</v>
      </c>
      <c r="BA40" s="112">
        <f>grossProfit-opExpenses</f>
        <v>12230</v>
      </c>
      <c r="BB40" s="17">
        <f>grossProfit-opExpenses</f>
        <v>1718</v>
      </c>
      <c r="BC40" s="17">
        <f>grossProfit-opExpenses</f>
        <v>1072</v>
      </c>
      <c r="BD40" s="17">
        <f>grossProfit-opExpenses</f>
        <v>1374</v>
      </c>
      <c r="BE40" s="17">
        <f>grossProfit-opExpenses</f>
        <v>1488</v>
      </c>
      <c r="BF40" s="112">
        <f>grossProfit-opExpenses</f>
        <v>5652</v>
      </c>
      <c r="BG40" s="17">
        <f>grossProfit-opExpenses</f>
        <v>1675</v>
      </c>
      <c r="BH40" s="17">
        <f>grossProfit-opExpenses</f>
        <v>1350</v>
      </c>
      <c r="BI40" s="17">
        <f>grossProfit-opExpenses</f>
        <v>2257</v>
      </c>
      <c r="BJ40" s="17">
        <f>grossProfit-opExpenses</f>
        <v>3047</v>
      </c>
      <c r="BK40" s="112">
        <f>grossProfit-opExpenses</f>
        <v>8329</v>
      </c>
      <c r="BL40" s="17">
        <f>grossProfit-opExpenses</f>
        <v>2062</v>
      </c>
      <c r="BM40" s="17">
        <f>grossProfit-opExpenses</f>
        <v>2255</v>
      </c>
      <c r="BN40" s="17">
        <f>grossProfit-opExpenses</f>
        <v>3098</v>
      </c>
      <c r="BO40" s="17">
        <f>grossProfit-opExpenses</f>
        <v>1539</v>
      </c>
      <c r="BP40" s="112">
        <f>grossProfit-opExpenses</f>
        <v>8954</v>
      </c>
      <c r="BQ40" s="17">
        <f>grossProfit-opExpenses</f>
        <v>647</v>
      </c>
      <c r="BR40" s="17">
        <f>grossProfit-opExpenses</f>
        <v>1435</v>
      </c>
      <c r="BS40" s="17">
        <f>grossProfit-opExpenses</f>
        <v>2579</v>
      </c>
      <c r="BT40" s="17">
        <f>grossProfit-opExpenses</f>
        <v>3747</v>
      </c>
      <c r="BU40" s="112">
        <f>grossProfit-opExpenses</f>
        <v>8408.004</v>
      </c>
      <c r="BV40" s="17">
        <f>grossProfit-opExpenses</f>
        <v>3448</v>
      </c>
      <c r="BW40" s="17">
        <f>grossProfit-opExpenses</f>
        <v>3981</v>
      </c>
      <c r="BX40" s="17">
        <f>grossProfit-opExpenses</f>
        <v>4136</v>
      </c>
      <c r="BY40" s="17">
        <f>grossProfit-opExpenses</f>
        <v>4023</v>
      </c>
      <c r="BZ40" s="80">
        <f>grossProfit-opExpenses</f>
        <v>15588</v>
      </c>
      <c r="CA40" s="17">
        <f>grossProfit-opExpenses</f>
        <v>4158</v>
      </c>
      <c r="CB40" s="17">
        <f>grossProfit-opExpenses</f>
        <v>3935</v>
      </c>
      <c r="CC40" s="17">
        <f>grossProfit-opExpenses</f>
        <v>4785</v>
      </c>
      <c r="CD40" s="17">
        <f>grossProfit-opExpenses</f>
        <v>4599</v>
      </c>
      <c r="CE40" s="80">
        <f>grossProfit-opExpenses</f>
        <v>17477</v>
      </c>
      <c r="CF40" s="17">
        <f>grossProfit-opExpenses</f>
        <v>3810</v>
      </c>
      <c r="CG40" s="17">
        <f>grossProfit-opExpenses</f>
        <v>3832</v>
      </c>
      <c r="CH40" s="17">
        <f>grossProfit-opExpenses</f>
        <v>3841</v>
      </c>
      <c r="CI40" s="17">
        <f>grossProfit-opExpenses</f>
        <v>3155</v>
      </c>
      <c r="CJ40" s="80">
        <f>grossProfit-opExpenses</f>
        <v>14638</v>
      </c>
      <c r="CK40" s="17">
        <f>grossProfit-opExpenses</f>
        <v>2519</v>
      </c>
      <c r="CL40" s="128">
        <f>grossProfit-opExpenses</f>
        <v>2719</v>
      </c>
      <c r="CM40" s="128">
        <f>grossProfit-opExpenses</f>
        <v>3504</v>
      </c>
      <c r="CN40" s="129">
        <f>grossProfit-opExpenses</f>
        <v>3549</v>
      </c>
      <c r="CO40" s="18">
        <f>grossProfit-opExpenses</f>
        <v>12291</v>
      </c>
      <c r="CP40" s="129">
        <f>grossProfit-opExpenses</f>
        <v>2533</v>
      </c>
      <c r="CQ40" s="128">
        <f>grossProfit-opExpenses</f>
        <v>3844</v>
      </c>
      <c r="CR40" s="128">
        <f>grossProfit-opExpenses</f>
        <v>4540</v>
      </c>
      <c r="CS40" s="128">
        <f>grossProfit-opExpenses</f>
        <v>4453</v>
      </c>
      <c r="CT40" s="18">
        <f>grossProfit-opExpenses</f>
        <v>15507</v>
      </c>
      <c r="CU40" s="129">
        <f>grossProfit-opExpenses</f>
        <v>2615</v>
      </c>
      <c r="CV40" s="129">
        <f>grossProfit-opExpenses</f>
        <v>2896</v>
      </c>
      <c r="CW40" s="129">
        <f>grossProfit-opExpenses</f>
        <v>4192</v>
      </c>
      <c r="CX40" s="129">
        <f>grossProfit-opExpenses</f>
        <v>4299</v>
      </c>
      <c r="CY40" s="18">
        <f>grossProfit-opExpenses</f>
        <v>14107</v>
      </c>
      <c r="CZ40" s="129">
        <f>grossProfit-opExpenses</f>
        <v>2568</v>
      </c>
      <c r="DA40" s="129">
        <f>grossProfit-opExpenses</f>
        <v>1318</v>
      </c>
      <c r="DB40" s="129">
        <f>grossProfit-opExpenses</f>
        <v>4462</v>
      </c>
      <c r="DC40" s="129">
        <f>grossProfit-opExpenses</f>
        <v>4526</v>
      </c>
      <c r="DD40" s="18">
        <f>grossProfit-opExpenses</f>
        <v>12874</v>
      </c>
      <c r="DE40" s="153">
        <f>grossProfit-opExpenses</f>
        <v>3599</v>
      </c>
      <c r="DF40" s="153">
        <f>grossProfit-opExpenses</f>
        <v>3827</v>
      </c>
      <c r="DG40" s="129">
        <f>grossProfit-opExpenses</f>
        <v>5115</v>
      </c>
      <c r="DH40" s="129">
        <f>grossProfit-opExpenses</f>
        <v>5395</v>
      </c>
      <c r="DI40" s="18">
        <f>grossProfit-opExpenses</f>
        <v>17936</v>
      </c>
      <c r="DJ40" s="129">
        <f>grossProfit-opExpenses</f>
        <v>4470</v>
      </c>
      <c r="DK40" s="129">
        <f>grossProfit-opExpenses</f>
        <v>5273</v>
      </c>
      <c r="DL40" s="129">
        <f>grossProfit-opExpenses</f>
        <v>7349</v>
      </c>
      <c r="DM40" s="129">
        <f>grossProfit-opExpenses</f>
        <v>6224</v>
      </c>
      <c r="DN40" s="18">
        <f>grossProfit-opExpenses</f>
        <v>23316</v>
      </c>
      <c r="DO40" s="129">
        <f>grossProfit-opExpenses</f>
        <v>4174</v>
      </c>
      <c r="DP40" s="129">
        <f>grossProfit-opExpenses</f>
        <v>4617</v>
      </c>
      <c r="DQ40" s="129">
        <f>grossProfit-opExpenses</f>
        <v>6447</v>
      </c>
      <c r="DR40" s="129">
        <f>grossProfit-opExpenses</f>
        <v>6797</v>
      </c>
      <c r="DS40" s="18">
        <f>grossProfit-opExpenses</f>
        <v>22035</v>
      </c>
      <c r="DT40" s="129">
        <f>grossProfit-opExpenses</f>
        <v>7038</v>
      </c>
      <c r="DU40" s="129">
        <f>grossProfit-opExpenses</f>
        <v>5697</v>
      </c>
      <c r="DV40" s="129">
        <f>grossProfit-opExpenses</f>
        <v>5059</v>
      </c>
      <c r="DW40" s="129">
        <f>grossProfit-opExpenses</f>
        <v>5884</v>
      </c>
      <c r="DX40" s="18">
        <f>grossProfit-opExpenses</f>
        <v>23678</v>
      </c>
      <c r="DY40" s="129">
        <f>grossProfit-opExpenses</f>
        <v>3694</v>
      </c>
      <c r="DZ40" s="129">
        <f>grossProfit-opExpenses</f>
        <v>5546</v>
      </c>
      <c r="EA40" s="129">
        <f>grossProfit-opExpenses</f>
        <v>5227</v>
      </c>
      <c r="EB40" s="129">
        <f>grossProfit-opExpenses</f>
        <v>4989</v>
      </c>
      <c r="EC40" s="18">
        <f>grossProfit-opExpenses</f>
        <v>19456</v>
      </c>
      <c r="ED40" s="129">
        <f>grossProfit-opExpenses</f>
        <v>4341</v>
      </c>
      <c r="EE40" s="129">
        <f>grossProfit-opExpenses</f>
        <v>-700</v>
      </c>
      <c r="EF40" s="129">
        <f>grossProfit-opExpenses</f>
        <v>-175</v>
      </c>
      <c r="EG40" s="129">
        <f>grossProfit-opExpenses</f>
        <v>-1132</v>
      </c>
      <c r="EH40" s="18">
        <f>grossProfit-opExpenses</f>
        <v>2334</v>
      </c>
      <c r="EI40" s="134" t="str">
        <f>grossProfit-opExpenses</f>
        <v>#ERROR!</v>
      </c>
      <c r="EJ40" s="128" t="str">
        <f>grossProfit-opExpenses</f>
        <v>#ERROR!</v>
      </c>
      <c r="EK40" s="128" t="str">
        <f>grossProfit-opExpenses</f>
        <v>#ERROR!</v>
      </c>
      <c r="EL40" s="128" t="str">
        <f>grossProfit-opExpenses</f>
        <v>#ERROR!</v>
      </c>
      <c r="EM40" s="18" t="str">
        <f>grossProfit-opExpenses</f>
        <v>#ERROR!</v>
      </c>
      <c r="EN40" s="128" t="str">
        <f>grossProfit-opExpenses</f>
        <v>#ERROR!</v>
      </c>
      <c r="EO40" s="128" t="str">
        <f>grossProfit-opExpenses</f>
        <v>#ERROR!</v>
      </c>
      <c r="EP40" s="128" t="str">
        <f>grossProfit-opExpenses</f>
        <v>#ERROR!</v>
      </c>
      <c r="EQ40" s="128" t="str">
        <f>grossProfit-opExpenses</f>
        <v>#ERROR!</v>
      </c>
      <c r="ER40" s="18" t="str">
        <f>grossProfit-opExpenses</f>
        <v>#ERROR!</v>
      </c>
      <c r="ES40" s="128" t="str">
        <f>grossProfit-opExpenses</f>
        <v>#ERROR!</v>
      </c>
      <c r="ET40" s="128" t="str">
        <f>grossProfit-opExpenses</f>
        <v>#ERROR!</v>
      </c>
      <c r="EU40" s="128" t="str">
        <f>grossProfit-opExpenses</f>
        <v>#ERROR!</v>
      </c>
      <c r="EV40" s="128" t="str">
        <f>grossProfit-opExpenses</f>
        <v>#ERROR!</v>
      </c>
      <c r="EW40" s="18" t="str">
        <f>grossProfit-opExpenses</f>
        <v>#ERROR!</v>
      </c>
      <c r="EX40" s="128" t="str">
        <f>grossProfit-opExpenses</f>
        <v>#ERROR!</v>
      </c>
      <c r="EY40" s="128" t="str">
        <f>grossProfit-opExpenses</f>
        <v>#ERROR!</v>
      </c>
      <c r="EZ40" s="128" t="str">
        <f>grossProfit-opExpenses</f>
        <v>#ERROR!</v>
      </c>
      <c r="FA40" s="128" t="str">
        <f>grossProfit-opExpenses</f>
        <v>#ERROR!</v>
      </c>
      <c r="FB40" s="18" t="str">
        <f>grossProfit-opExpenses</f>
        <v>#ERROR!</v>
      </c>
      <c r="FC40" s="128" t="str">
        <f>grossProfit-opExpenses</f>
        <v>#ERROR!</v>
      </c>
      <c r="FD40" s="128" t="str">
        <f>grossProfit-opExpenses</f>
        <v>#ERROR!</v>
      </c>
      <c r="FE40" s="128" t="str">
        <f>grossProfit-opExpenses</f>
        <v>#ERROR!</v>
      </c>
      <c r="FF40" s="128" t="str">
        <f>grossProfit-opExpenses</f>
        <v>#ERROR!</v>
      </c>
      <c r="FG40" s="18" t="str">
        <f>grossProfit-opExpenses</f>
        <v>#ERROR!</v>
      </c>
      <c r="FH40" s="74"/>
      <c r="FI40" s="4"/>
      <c r="FJ40" s="4"/>
      <c r="FK40" s="4"/>
      <c r="FL40" s="4"/>
    </row>
    <row r="41" ht="12.75" customHeight="1">
      <c r="A41" s="105"/>
      <c r="B41" s="106" t="s">
        <v>71</v>
      </c>
      <c r="C41" s="107"/>
      <c r="D41" s="108"/>
      <c r="E41" s="108"/>
      <c r="F41" s="108"/>
      <c r="G41" s="108"/>
      <c r="H41" s="109"/>
      <c r="I41" s="108"/>
      <c r="J41" s="108"/>
      <c r="K41" s="108"/>
      <c r="L41" s="108"/>
      <c r="M41" s="109"/>
      <c r="N41" s="108"/>
      <c r="O41" s="108"/>
      <c r="P41" s="108"/>
      <c r="Q41" s="108"/>
      <c r="R41" s="109"/>
      <c r="S41" s="108"/>
      <c r="T41" s="108"/>
      <c r="U41" s="108"/>
      <c r="V41" s="108"/>
      <c r="W41" s="109"/>
      <c r="X41" s="108"/>
      <c r="Y41" s="108"/>
      <c r="Z41" s="108"/>
      <c r="AA41" s="108"/>
      <c r="AB41" s="109"/>
      <c r="AC41" s="108"/>
      <c r="AD41" s="108"/>
      <c r="AE41" s="108"/>
      <c r="AF41" s="108"/>
      <c r="AG41" s="109"/>
      <c r="AH41" s="108"/>
      <c r="AI41" s="108"/>
      <c r="AJ41" s="108"/>
      <c r="AK41" s="108"/>
      <c r="AL41" s="109"/>
      <c r="AM41" s="108"/>
      <c r="AN41" s="108"/>
      <c r="AO41" s="108"/>
      <c r="AP41" s="108"/>
      <c r="AQ41" s="109"/>
      <c r="AR41" s="108"/>
      <c r="AS41" s="108"/>
      <c r="AT41" s="108"/>
      <c r="AU41" s="108"/>
      <c r="AV41" s="109"/>
      <c r="AW41" s="108"/>
      <c r="AX41" s="108"/>
      <c r="AY41" s="108"/>
      <c r="AZ41" s="108"/>
      <c r="BA41" s="109"/>
      <c r="BB41" s="108"/>
      <c r="BC41" s="108"/>
      <c r="BD41" s="108"/>
      <c r="BE41" s="108"/>
      <c r="BF41" s="109"/>
      <c r="BG41" s="108"/>
      <c r="BH41" s="108"/>
      <c r="BI41" s="108"/>
      <c r="BJ41" s="108"/>
      <c r="BK41" s="109"/>
      <c r="BL41" s="108"/>
      <c r="BM41" s="108"/>
      <c r="BN41" s="108"/>
      <c r="BO41" s="108"/>
      <c r="BP41" s="109"/>
      <c r="BQ41" s="108"/>
      <c r="BR41" s="108"/>
      <c r="BS41" s="108"/>
      <c r="BT41" s="108"/>
      <c r="BU41" s="109"/>
      <c r="BV41" s="108"/>
      <c r="BW41" s="108"/>
      <c r="BX41" s="108"/>
      <c r="BY41" s="108"/>
      <c r="BZ41" s="18"/>
      <c r="CA41" s="108"/>
      <c r="CB41" s="108"/>
      <c r="CC41" s="108"/>
      <c r="CD41" s="108"/>
      <c r="CE41" s="18"/>
      <c r="CF41" s="108"/>
      <c r="CG41" s="108"/>
      <c r="CH41" s="108"/>
      <c r="CI41" s="108"/>
      <c r="CJ41" s="80"/>
      <c r="CK41" s="108"/>
      <c r="CL41" s="108"/>
      <c r="CM41" s="108"/>
      <c r="CN41" s="108"/>
      <c r="CO41" s="18"/>
      <c r="CP41" s="108">
        <f t="shared" ref="CP41:CS41" si="290">CP27-CP37</f>
        <v>2730</v>
      </c>
      <c r="CQ41" s="108">
        <f t="shared" si="290"/>
        <v>3997</v>
      </c>
      <c r="CR41" s="108">
        <f t="shared" si="290"/>
        <v>4637</v>
      </c>
      <c r="CS41" s="108">
        <f t="shared" si="290"/>
        <v>4582</v>
      </c>
      <c r="CT41" s="80">
        <f>SUM(CP41:CS41)</f>
        <v>15946</v>
      </c>
      <c r="CU41" s="108">
        <f t="shared" ref="CU41:CX41" si="291">CU27-CU37</f>
        <v>2902</v>
      </c>
      <c r="CV41" s="108">
        <f t="shared" si="291"/>
        <v>3287</v>
      </c>
      <c r="CW41" s="108">
        <f t="shared" si="291"/>
        <v>4274</v>
      </c>
      <c r="CX41" s="108">
        <f t="shared" si="291"/>
        <v>4425</v>
      </c>
      <c r="CY41" s="80">
        <f>SUM(CU41:CX41)</f>
        <v>14888</v>
      </c>
      <c r="CZ41" s="108">
        <f t="shared" ref="CZ41:DC41" si="292">CZ27-CZ37</f>
        <v>3283</v>
      </c>
      <c r="DA41" s="108">
        <f t="shared" si="292"/>
        <v>3217</v>
      </c>
      <c r="DB41" s="108">
        <f t="shared" si="292"/>
        <v>5143</v>
      </c>
      <c r="DC41" s="108">
        <f t="shared" si="292"/>
        <v>4899</v>
      </c>
      <c r="DD41" s="80">
        <f>SUM(CZ41:DC41)</f>
        <v>16542</v>
      </c>
      <c r="DE41" s="108">
        <f t="shared" ref="DE41:DH41" si="293">DE27-DE37</f>
        <v>3926</v>
      </c>
      <c r="DF41" s="108">
        <f t="shared" si="293"/>
        <v>4167</v>
      </c>
      <c r="DG41" s="108">
        <f t="shared" si="293"/>
        <v>5551</v>
      </c>
      <c r="DH41" s="108">
        <f t="shared" si="293"/>
        <v>5933</v>
      </c>
      <c r="DI41" s="80">
        <f>SUM(DE41:DH41)</f>
        <v>19577</v>
      </c>
      <c r="DJ41" s="108">
        <f t="shared" ref="DJ41:DM41" si="294">DJ27-DJ37</f>
        <v>4795</v>
      </c>
      <c r="DK41" s="108">
        <f t="shared" si="294"/>
        <v>5339</v>
      </c>
      <c r="DL41" s="108">
        <f t="shared" si="294"/>
        <v>7603</v>
      </c>
      <c r="DM41" s="108">
        <f t="shared" si="294"/>
        <v>6553</v>
      </c>
      <c r="DN41" s="80">
        <f>SUM(DJ41:DM41)</f>
        <v>24290</v>
      </c>
      <c r="DO41" s="108">
        <f t="shared" ref="DO41:DR41" si="295">DO27-DO37</f>
        <v>4505</v>
      </c>
      <c r="DP41" s="108">
        <f t="shared" si="295"/>
        <v>5138</v>
      </c>
      <c r="DQ41" s="108">
        <f t="shared" si="295"/>
        <v>6889</v>
      </c>
      <c r="DR41" s="108">
        <f t="shared" si="295"/>
        <v>7220</v>
      </c>
      <c r="DS41" s="80">
        <f>SUM(DO41:DR41)</f>
        <v>23752</v>
      </c>
      <c r="DT41" s="108">
        <f>DT27-DT37+50</f>
        <v>7539</v>
      </c>
      <c r="DU41" s="108">
        <f t="shared" ref="DU41:DW41" si="296">DU27-DU37</f>
        <v>6058</v>
      </c>
      <c r="DV41" s="108">
        <f t="shared" si="296"/>
        <v>5396</v>
      </c>
      <c r="DW41" s="108">
        <f t="shared" si="296"/>
        <v>6299</v>
      </c>
      <c r="DX41" s="80">
        <f>SUM(DT41:DW41)</f>
        <v>25292</v>
      </c>
      <c r="DY41" s="108">
        <f t="shared" ref="DY41:EB41" si="297">DY27-DY37</f>
        <v>6096</v>
      </c>
      <c r="DZ41" s="108">
        <f t="shared" si="297"/>
        <v>5856</v>
      </c>
      <c r="EA41" s="108">
        <f t="shared" si="297"/>
        <v>5202</v>
      </c>
      <c r="EB41" s="108">
        <f t="shared" si="297"/>
        <v>5051</v>
      </c>
      <c r="EC41" s="80">
        <f>SUM(DY41:EB41)</f>
        <v>22205</v>
      </c>
      <c r="ED41" s="108">
        <f t="shared" ref="ED41:EG41" si="298">ED27-ED37</f>
        <v>4241</v>
      </c>
      <c r="EE41" s="108">
        <f t="shared" si="298"/>
        <v>1417</v>
      </c>
      <c r="EF41" s="108">
        <f t="shared" si="298"/>
        <v>1655</v>
      </c>
      <c r="EG41" s="108">
        <f t="shared" si="298"/>
        <v>602</v>
      </c>
      <c r="EH41" s="80">
        <f>SUM(ED41:EG41)</f>
        <v>7915</v>
      </c>
      <c r="EI41" s="110" t="str">
        <f t="shared" ref="EI41:EL41" si="299">EI27-EI37</f>
        <v>#ERROR!</v>
      </c>
      <c r="EJ41" s="108" t="str">
        <f t="shared" si="299"/>
        <v>#ERROR!</v>
      </c>
      <c r="EK41" s="108" t="str">
        <f t="shared" si="299"/>
        <v>#ERROR!</v>
      </c>
      <c r="EL41" s="108" t="str">
        <f t="shared" si="299"/>
        <v>#ERROR!</v>
      </c>
      <c r="EM41" s="80" t="str">
        <f>SUM(EI41:EL41)</f>
        <v>#ERROR!</v>
      </c>
      <c r="EN41" s="108" t="str">
        <f t="shared" ref="EN41:EQ41" si="300">EN27-EN37</f>
        <v>#ERROR!</v>
      </c>
      <c r="EO41" s="108" t="str">
        <f t="shared" si="300"/>
        <v>#ERROR!</v>
      </c>
      <c r="EP41" s="108" t="str">
        <f t="shared" si="300"/>
        <v>#ERROR!</v>
      </c>
      <c r="EQ41" s="108" t="str">
        <f t="shared" si="300"/>
        <v>#ERROR!</v>
      </c>
      <c r="ER41" s="80" t="str">
        <f>SUM(EN41:EQ41)</f>
        <v>#ERROR!</v>
      </c>
      <c r="ES41" s="108" t="str">
        <f t="shared" ref="ES41:EV41" si="301">ES27-ES37</f>
        <v>#ERROR!</v>
      </c>
      <c r="ET41" s="108" t="str">
        <f t="shared" si="301"/>
        <v>#ERROR!</v>
      </c>
      <c r="EU41" s="108" t="str">
        <f t="shared" si="301"/>
        <v>#ERROR!</v>
      </c>
      <c r="EV41" s="108" t="str">
        <f t="shared" si="301"/>
        <v>#ERROR!</v>
      </c>
      <c r="EW41" s="80" t="str">
        <f>SUM(ES41:EV41)</f>
        <v>#ERROR!</v>
      </c>
      <c r="EX41" s="108" t="str">
        <f t="shared" ref="EX41:FA41" si="302">EX27-EX37</f>
        <v>#ERROR!</v>
      </c>
      <c r="EY41" s="108" t="str">
        <f t="shared" si="302"/>
        <v>#ERROR!</v>
      </c>
      <c r="EZ41" s="108" t="str">
        <f t="shared" si="302"/>
        <v>#ERROR!</v>
      </c>
      <c r="FA41" s="108" t="str">
        <f t="shared" si="302"/>
        <v>#ERROR!</v>
      </c>
      <c r="FB41" s="80" t="str">
        <f>SUM(EX41:FA41)</f>
        <v>#ERROR!</v>
      </c>
      <c r="FC41" s="108" t="str">
        <f t="shared" ref="FC41:FF41" si="303">FC27-FC37</f>
        <v>#ERROR!</v>
      </c>
      <c r="FD41" s="108" t="str">
        <f t="shared" si="303"/>
        <v>#ERROR!</v>
      </c>
      <c r="FE41" s="108" t="str">
        <f t="shared" si="303"/>
        <v>#ERROR!</v>
      </c>
      <c r="FF41" s="108" t="str">
        <f t="shared" si="303"/>
        <v>#ERROR!</v>
      </c>
      <c r="FG41" s="80" t="str">
        <f>SUM(FC41:FF41)</f>
        <v>#ERROR!</v>
      </c>
      <c r="FH41" s="146"/>
      <c r="FI41" s="105"/>
      <c r="FJ41" s="105"/>
      <c r="FK41" s="105"/>
      <c r="FL41" s="105"/>
    </row>
    <row r="42" ht="12.75" customHeight="1">
      <c r="A42" s="4"/>
      <c r="B42" s="144" t="s">
        <v>72</v>
      </c>
      <c r="C42" s="4"/>
      <c r="D42" s="17"/>
      <c r="E42" s="17"/>
      <c r="F42" s="17"/>
      <c r="G42" s="17"/>
      <c r="H42" s="73"/>
      <c r="I42" s="17"/>
      <c r="J42" s="17"/>
      <c r="K42" s="17"/>
      <c r="L42" s="17"/>
      <c r="M42" s="73"/>
      <c r="N42" s="17"/>
      <c r="O42" s="17"/>
      <c r="P42" s="17"/>
      <c r="Q42" s="17"/>
      <c r="R42" s="73"/>
      <c r="S42" s="17"/>
      <c r="T42" s="17"/>
      <c r="U42" s="17"/>
      <c r="V42" s="17"/>
      <c r="W42" s="73"/>
      <c r="X42" s="17"/>
      <c r="Y42" s="17"/>
      <c r="Z42" s="17"/>
      <c r="AA42" s="17"/>
      <c r="AB42" s="73"/>
      <c r="AC42" s="17"/>
      <c r="AD42" s="17"/>
      <c r="AE42" s="17"/>
      <c r="AF42" s="17"/>
      <c r="AG42" s="73"/>
      <c r="AH42" s="17"/>
      <c r="AI42" s="17"/>
      <c r="AJ42" s="17"/>
      <c r="AK42" s="17"/>
      <c r="AL42" s="73"/>
      <c r="AM42" s="17"/>
      <c r="AN42" s="17"/>
      <c r="AO42" s="17"/>
      <c r="AP42" s="17"/>
      <c r="AQ42" s="73"/>
      <c r="AR42" s="17"/>
      <c r="AS42" s="17"/>
      <c r="AT42" s="17"/>
      <c r="AU42" s="17"/>
      <c r="AV42" s="73"/>
      <c r="AW42" s="17"/>
      <c r="AX42" s="17"/>
      <c r="AY42" s="17"/>
      <c r="AZ42" s="17"/>
      <c r="BA42" s="73"/>
      <c r="BB42" s="17"/>
      <c r="BC42" s="17"/>
      <c r="BD42" s="17"/>
      <c r="BE42" s="17"/>
      <c r="BF42" s="73"/>
      <c r="BG42" s="17"/>
      <c r="BH42" s="17"/>
      <c r="BI42" s="17"/>
      <c r="BJ42" s="17"/>
      <c r="BK42" s="73"/>
      <c r="BL42" s="17"/>
      <c r="BM42" s="17"/>
      <c r="BN42" s="17"/>
      <c r="BO42" s="17"/>
      <c r="BP42" s="73"/>
      <c r="BQ42" s="17"/>
      <c r="BR42" s="17"/>
      <c r="BS42" s="17"/>
      <c r="BT42" s="17"/>
      <c r="BU42" s="73"/>
      <c r="BV42" s="17"/>
      <c r="BW42" s="17"/>
      <c r="BX42" s="17"/>
      <c r="BY42" s="17"/>
      <c r="BZ42" s="18"/>
      <c r="CA42" s="17"/>
      <c r="CB42" s="17"/>
      <c r="CC42" s="17"/>
      <c r="CD42" s="17"/>
      <c r="CE42" s="18"/>
      <c r="CF42" s="17"/>
      <c r="CG42" s="17"/>
      <c r="CH42" s="17"/>
      <c r="CI42" s="17"/>
      <c r="CJ42" s="80"/>
      <c r="CK42" s="17"/>
      <c r="CL42" s="17"/>
      <c r="CM42" s="17"/>
      <c r="CN42" s="17"/>
      <c r="CO42" s="18"/>
      <c r="CP42" s="154">
        <f t="shared" ref="CP42:CS42" si="304">CP41/CP12</f>
        <v>0.2138827954</v>
      </c>
      <c r="CQ42" s="154">
        <f t="shared" si="304"/>
        <v>0.2889885041</v>
      </c>
      <c r="CR42" s="154">
        <f t="shared" si="304"/>
        <v>0.3186065686</v>
      </c>
      <c r="CS42" s="154">
        <f t="shared" si="304"/>
        <v>0.3112560288</v>
      </c>
      <c r="CT42" s="18"/>
      <c r="CU42" s="154">
        <f t="shared" ref="CU42:FG42" si="305">CU41/CU12</f>
        <v>0.2270557859</v>
      </c>
      <c r="CV42" s="154">
        <f t="shared" si="305"/>
        <v>0.2491095112</v>
      </c>
      <c r="CW42" s="154">
        <f t="shared" si="305"/>
        <v>0.2954718286</v>
      </c>
      <c r="CX42" s="154">
        <f t="shared" si="305"/>
        <v>0.2967010862</v>
      </c>
      <c r="CY42" s="149">
        <f t="shared" si="305"/>
        <v>0.2689549273</v>
      </c>
      <c r="CZ42" s="154">
        <f t="shared" si="305"/>
        <v>0.2378813129</v>
      </c>
      <c r="DA42" s="154">
        <f t="shared" si="305"/>
        <v>0.2377152147</v>
      </c>
      <c r="DB42" s="154">
        <f t="shared" si="305"/>
        <v>0.3259601977</v>
      </c>
      <c r="DC42" s="154">
        <f t="shared" si="305"/>
        <v>0.2991938439</v>
      </c>
      <c r="DD42" s="149">
        <f t="shared" si="305"/>
        <v>0.2780822378</v>
      </c>
      <c r="DE42" s="154">
        <f t="shared" si="305"/>
        <v>0.2653419843</v>
      </c>
      <c r="DF42" s="154">
        <f t="shared" si="305"/>
        <v>0.2822597033</v>
      </c>
      <c r="DG42" s="148">
        <f t="shared" si="305"/>
        <v>0.3437364543</v>
      </c>
      <c r="DH42" s="154">
        <f t="shared" si="305"/>
        <v>0.3479153228</v>
      </c>
      <c r="DI42" s="149">
        <f t="shared" si="305"/>
        <v>0.3119293829</v>
      </c>
      <c r="DJ42" s="148">
        <f t="shared" si="305"/>
        <v>0.2984563675</v>
      </c>
      <c r="DK42" s="148">
        <f t="shared" si="305"/>
        <v>0.3147624101</v>
      </c>
      <c r="DL42" s="148">
        <f t="shared" si="305"/>
        <v>0.3967541617</v>
      </c>
      <c r="DM42" s="148">
        <f t="shared" si="305"/>
        <v>0.3512354612</v>
      </c>
      <c r="DN42" s="149">
        <f t="shared" si="305"/>
        <v>0.3428466576</v>
      </c>
      <c r="DO42" s="148">
        <f t="shared" si="305"/>
        <v>0.28049312</v>
      </c>
      <c r="DP42" s="148">
        <f t="shared" si="305"/>
        <v>0.3112996062</v>
      </c>
      <c r="DQ42" s="148">
        <f t="shared" si="305"/>
        <v>0.3589890568</v>
      </c>
      <c r="DR42" s="148">
        <f t="shared" si="305"/>
        <v>0.3572665644</v>
      </c>
      <c r="DS42" s="149">
        <f t="shared" si="305"/>
        <v>0.3300493295</v>
      </c>
      <c r="DT42" s="148">
        <f t="shared" si="305"/>
        <v>0.3802198911</v>
      </c>
      <c r="DU42" s="148">
        <f t="shared" si="305"/>
        <v>0.3070762368</v>
      </c>
      <c r="DV42" s="148">
        <f t="shared" si="305"/>
        <v>0.2943326242</v>
      </c>
      <c r="DW42" s="148">
        <f t="shared" si="305"/>
        <v>0.3152968265</v>
      </c>
      <c r="DX42" s="149">
        <f t="shared" si="305"/>
        <v>0.3248102534</v>
      </c>
      <c r="DY42" s="148">
        <f t="shared" si="305"/>
        <v>0.3283421308</v>
      </c>
      <c r="DZ42" s="148">
        <f t="shared" si="305"/>
        <v>0.3159769061</v>
      </c>
      <c r="EA42" s="148">
        <f t="shared" si="305"/>
        <v>0.2876098856</v>
      </c>
      <c r="EB42" s="148">
        <f t="shared" si="305"/>
        <v>0.2586012697</v>
      </c>
      <c r="EC42" s="150">
        <f t="shared" si="305"/>
        <v>0.2971840788</v>
      </c>
      <c r="ED42" s="148">
        <f t="shared" si="305"/>
        <v>0.2310793876</v>
      </c>
      <c r="EE42" s="148">
        <f t="shared" si="305"/>
        <v>0.09248743555</v>
      </c>
      <c r="EF42" s="148">
        <f t="shared" si="305"/>
        <v>0.1079019429</v>
      </c>
      <c r="EG42" s="148">
        <f t="shared" si="305"/>
        <v>0.04287138584</v>
      </c>
      <c r="EH42" s="150">
        <f t="shared" si="305"/>
        <v>0.1255273258</v>
      </c>
      <c r="EI42" s="151" t="str">
        <f t="shared" si="305"/>
        <v>#ERROR!</v>
      </c>
      <c r="EJ42" s="154" t="str">
        <f t="shared" si="305"/>
        <v>#ERROR!</v>
      </c>
      <c r="EK42" s="154" t="str">
        <f t="shared" si="305"/>
        <v>#ERROR!</v>
      </c>
      <c r="EL42" s="154" t="str">
        <f t="shared" si="305"/>
        <v>#ERROR!</v>
      </c>
      <c r="EM42" s="150" t="str">
        <f t="shared" si="305"/>
        <v>#ERROR!</v>
      </c>
      <c r="EN42" s="154" t="str">
        <f t="shared" si="305"/>
        <v>#ERROR!</v>
      </c>
      <c r="EO42" s="154" t="str">
        <f t="shared" si="305"/>
        <v>#ERROR!</v>
      </c>
      <c r="EP42" s="154" t="str">
        <f t="shared" si="305"/>
        <v>#ERROR!</v>
      </c>
      <c r="EQ42" s="154" t="str">
        <f t="shared" si="305"/>
        <v>#ERROR!</v>
      </c>
      <c r="ER42" s="150" t="str">
        <f t="shared" si="305"/>
        <v>#ERROR!</v>
      </c>
      <c r="ES42" s="154" t="str">
        <f t="shared" si="305"/>
        <v>#ERROR!</v>
      </c>
      <c r="ET42" s="154" t="str">
        <f t="shared" si="305"/>
        <v>#ERROR!</v>
      </c>
      <c r="EU42" s="154" t="str">
        <f t="shared" si="305"/>
        <v>#ERROR!</v>
      </c>
      <c r="EV42" s="154" t="str">
        <f t="shared" si="305"/>
        <v>#ERROR!</v>
      </c>
      <c r="EW42" s="150" t="str">
        <f t="shared" si="305"/>
        <v>#ERROR!</v>
      </c>
      <c r="EX42" s="154" t="str">
        <f t="shared" si="305"/>
        <v>#ERROR!</v>
      </c>
      <c r="EY42" s="154" t="str">
        <f t="shared" si="305"/>
        <v>#ERROR!</v>
      </c>
      <c r="EZ42" s="154" t="str">
        <f t="shared" si="305"/>
        <v>#ERROR!</v>
      </c>
      <c r="FA42" s="154" t="str">
        <f t="shared" si="305"/>
        <v>#ERROR!</v>
      </c>
      <c r="FB42" s="150" t="str">
        <f t="shared" si="305"/>
        <v>#ERROR!</v>
      </c>
      <c r="FC42" s="154" t="str">
        <f t="shared" si="305"/>
        <v>#ERROR!</v>
      </c>
      <c r="FD42" s="154" t="str">
        <f t="shared" si="305"/>
        <v>#ERROR!</v>
      </c>
      <c r="FE42" s="154" t="str">
        <f t="shared" si="305"/>
        <v>#ERROR!</v>
      </c>
      <c r="FF42" s="154" t="str">
        <f t="shared" si="305"/>
        <v>#ERROR!</v>
      </c>
      <c r="FG42" s="150" t="str">
        <f t="shared" si="305"/>
        <v>#ERROR!</v>
      </c>
      <c r="FH42" s="152"/>
      <c r="FI42" s="4"/>
      <c r="FJ42" s="4"/>
      <c r="FK42" s="4"/>
      <c r="FL42" s="4"/>
    </row>
    <row r="43" ht="12.75" customHeight="1" outlineLevel="1">
      <c r="A43" s="4"/>
      <c r="B43" s="72" t="s">
        <v>73</v>
      </c>
      <c r="C43" s="4"/>
      <c r="D43" s="17"/>
      <c r="E43" s="17"/>
      <c r="F43" s="17"/>
      <c r="G43" s="17"/>
      <c r="H43" s="73"/>
      <c r="I43" s="17"/>
      <c r="J43" s="17"/>
      <c r="K43" s="17"/>
      <c r="L43" s="17"/>
      <c r="M43" s="73"/>
      <c r="N43" s="17"/>
      <c r="O43" s="17"/>
      <c r="P43" s="17"/>
      <c r="Q43" s="17"/>
      <c r="R43" s="73"/>
      <c r="S43" s="17"/>
      <c r="T43" s="17"/>
      <c r="U43" s="17">
        <v>195.0</v>
      </c>
      <c r="V43" s="17">
        <v>327.0</v>
      </c>
      <c r="W43" s="73">
        <v>883.0</v>
      </c>
      <c r="X43" s="17">
        <v>449.0</v>
      </c>
      <c r="Y43" s="17">
        <f t="shared" ref="Y43:Y44" si="306">AB43-X43-Z43-AA43</f>
        <v>2144</v>
      </c>
      <c r="Z43" s="17">
        <v>716.0</v>
      </c>
      <c r="AA43" s="17">
        <v>450.0</v>
      </c>
      <c r="AB43" s="73">
        <v>3759.0</v>
      </c>
      <c r="AC43" s="17">
        <v>0.0</v>
      </c>
      <c r="AD43" s="17">
        <v>3.0</v>
      </c>
      <c r="AE43" s="17">
        <v>-182.0</v>
      </c>
      <c r="AF43" s="17">
        <v>-287.0</v>
      </c>
      <c r="AG43" s="73">
        <f t="shared" ref="AG43:AG44" si="307">SUM(AC43:AF43)</f>
        <v>-466</v>
      </c>
      <c r="AH43" s="17">
        <v>-46.0</v>
      </c>
      <c r="AI43" s="17">
        <v>-59.0</v>
      </c>
      <c r="AJ43" s="17">
        <v>-96.0</v>
      </c>
      <c r="AK43" s="17">
        <v>-171.0</v>
      </c>
      <c r="AL43" s="73">
        <f t="shared" ref="AL43:AL44" si="308">SUM(AH43:AK43)</f>
        <v>-372</v>
      </c>
      <c r="AM43" s="17">
        <v>-127.0</v>
      </c>
      <c r="AN43" s="17">
        <v>-58.0</v>
      </c>
      <c r="AO43" s="17">
        <v>-63.0</v>
      </c>
      <c r="AP43" s="17">
        <v>-35.0</v>
      </c>
      <c r="AQ43" s="73">
        <f t="shared" ref="AQ43:AQ44" si="309">SUM(AM43:AP43)</f>
        <v>-283</v>
      </c>
      <c r="AR43" s="17">
        <v>19.0</v>
      </c>
      <c r="AS43" s="17">
        <v>-8.0</v>
      </c>
      <c r="AT43" s="17">
        <v>-10.0</v>
      </c>
      <c r="AU43" s="17">
        <v>-3.0</v>
      </c>
      <c r="AV43" s="73">
        <f t="shared" ref="AV43:AV44" si="310">SUM(AR43:AU43)</f>
        <v>-2</v>
      </c>
      <c r="AW43" s="17">
        <v>4.0</v>
      </c>
      <c r="AX43" s="17">
        <v>-22.0</v>
      </c>
      <c r="AY43" s="17">
        <v>-2.0</v>
      </c>
      <c r="AZ43" s="17">
        <v>-25.0</v>
      </c>
      <c r="BA43" s="73">
        <f t="shared" ref="BA43:BA44" si="311">SUM(AW43:AZ43)</f>
        <v>-45</v>
      </c>
      <c r="BB43" s="17">
        <v>2.0</v>
      </c>
      <c r="BC43" s="17">
        <v>37.0</v>
      </c>
      <c r="BD43" s="17">
        <v>168.0</v>
      </c>
      <c r="BE43" s="17">
        <v>7.0</v>
      </c>
      <c r="BF43" s="73">
        <f t="shared" ref="BF43:BF44" si="312">SUM(BB43:BE43)</f>
        <v>214</v>
      </c>
      <c r="BG43" s="17">
        <v>29.0</v>
      </c>
      <c r="BH43" s="17">
        <v>-1.0</v>
      </c>
      <c r="BI43" s="17">
        <v>148.0</v>
      </c>
      <c r="BJ43" s="17">
        <v>-19.0</v>
      </c>
      <c r="BK43" s="73">
        <f t="shared" ref="BK43:BK44" si="313">SUM(BG43:BJ43)</f>
        <v>157</v>
      </c>
      <c r="BL43" s="17">
        <v>-59.0</v>
      </c>
      <c r="BM43" s="17">
        <v>-109.0</v>
      </c>
      <c r="BN43" s="17">
        <f>-312+18-102</f>
        <v>-396</v>
      </c>
      <c r="BO43" s="17">
        <f>-1192-BO59</f>
        <v>-254</v>
      </c>
      <c r="BP43" s="73">
        <f t="shared" ref="BP43:BP44" si="314">SUM(BL43:BO43)</f>
        <v>-818</v>
      </c>
      <c r="BQ43" s="17">
        <f>-72-41</f>
        <v>-113</v>
      </c>
      <c r="BR43" s="17">
        <f>-44-25</f>
        <v>-69</v>
      </c>
      <c r="BS43" s="17">
        <f>-59-20</f>
        <v>-79</v>
      </c>
      <c r="BT43" s="17">
        <v>91.0</v>
      </c>
      <c r="BU43" s="73">
        <f t="shared" ref="BU43:BU44" si="315">SUM(BQ43:BT43)</f>
        <v>-170</v>
      </c>
      <c r="BV43" s="17">
        <f>-39+8</f>
        <v>-31</v>
      </c>
      <c r="BW43" s="17">
        <v>193.0</v>
      </c>
      <c r="BX43" s="17">
        <v>77.0</v>
      </c>
      <c r="BY43" s="17">
        <v>109.0</v>
      </c>
      <c r="BZ43" s="18">
        <f t="shared" ref="BZ43:BZ44" si="316">SUM(BV43:BY43)</f>
        <v>348</v>
      </c>
      <c r="CA43" s="17">
        <f>70-42</f>
        <v>28</v>
      </c>
      <c r="CB43" s="17">
        <f>-66+41</f>
        <v>-25</v>
      </c>
      <c r="CC43" s="17">
        <f>132-40</f>
        <v>92</v>
      </c>
      <c r="CD43" s="17">
        <v>17.0</v>
      </c>
      <c r="CE43" s="18">
        <f>SUM(CA43:CD43)</f>
        <v>112</v>
      </c>
      <c r="CF43" s="17">
        <v>-19.0</v>
      </c>
      <c r="CG43" s="17">
        <v>47.0</v>
      </c>
      <c r="CH43" s="17">
        <v>53.0</v>
      </c>
      <c r="CI43" s="17">
        <v>60.0</v>
      </c>
      <c r="CJ43" s="80">
        <f t="shared" ref="CJ43:CJ44" si="317">SUM(CF43:CI43)</f>
        <v>141</v>
      </c>
      <c r="CK43" s="17">
        <v>-26.0</v>
      </c>
      <c r="CL43" s="128">
        <v>11.0</v>
      </c>
      <c r="CM43" s="128">
        <v>452.0</v>
      </c>
      <c r="CN43" s="129">
        <v>34.0</v>
      </c>
      <c r="CO43" s="18">
        <f t="shared" ref="CO43:CO44" si="318">SUM(CK43:CN43)</f>
        <v>471</v>
      </c>
      <c r="CP43" s="129">
        <v>48.0</v>
      </c>
      <c r="CQ43" s="128">
        <v>95.0</v>
      </c>
      <c r="CR43" s="128">
        <v>35.0</v>
      </c>
      <c r="CS43" s="128">
        <v>233.0</v>
      </c>
      <c r="CT43" s="18">
        <f t="shared" ref="CT43:CT44" si="319">SUM(CP43:CS43)</f>
        <v>411</v>
      </c>
      <c r="CU43" s="128">
        <v>32.0</v>
      </c>
      <c r="CV43" s="128">
        <v>100.0</v>
      </c>
      <c r="CW43" s="128">
        <v>165.0</v>
      </c>
      <c r="CX43" s="128">
        <v>18.0</v>
      </c>
      <c r="CY43" s="18">
        <f t="shared" ref="CY43:CY44" si="320">SUM(CU43:CX43)</f>
        <v>315</v>
      </c>
      <c r="CZ43" s="128">
        <v>22.0</v>
      </c>
      <c r="DA43" s="128">
        <v>478.0</v>
      </c>
      <c r="DB43" s="128">
        <v>-12.0</v>
      </c>
      <c r="DC43" s="128">
        <v>18.0</v>
      </c>
      <c r="DD43" s="18">
        <f t="shared" ref="DD43:DD44" si="321">SUM(CZ43:DC43)</f>
        <v>506</v>
      </c>
      <c r="DE43" s="17">
        <v>252.0</v>
      </c>
      <c r="DF43" s="17">
        <v>342.0</v>
      </c>
      <c r="DG43" s="19">
        <v>846.0</v>
      </c>
      <c r="DH43" s="128">
        <v>1211.0</v>
      </c>
      <c r="DI43" s="18">
        <f t="shared" ref="DI43:DI44" si="322">SUM(DE43:DH43)</f>
        <v>2651</v>
      </c>
      <c r="DJ43" s="19">
        <v>643.0</v>
      </c>
      <c r="DK43" s="19">
        <v>-203.0</v>
      </c>
      <c r="DL43" s="19">
        <f>-75</f>
        <v>-75</v>
      </c>
      <c r="DM43" s="19">
        <v>-490.0</v>
      </c>
      <c r="DN43" s="18">
        <f t="shared" ref="DN43:DN44" si="323">SUM(DJ43:DM43)</f>
        <v>-125</v>
      </c>
      <c r="DO43" s="19">
        <v>434.0</v>
      </c>
      <c r="DP43" s="19">
        <v>170.0</v>
      </c>
      <c r="DQ43" s="19">
        <v>318.0</v>
      </c>
      <c r="DR43" s="19">
        <v>617.0</v>
      </c>
      <c r="DS43" s="18">
        <f t="shared" ref="DS43:DS44" si="324">SUM(DO43:DR43)</f>
        <v>1539</v>
      </c>
      <c r="DT43" s="19">
        <v>-111.0</v>
      </c>
      <c r="DU43" s="19">
        <v>267.0</v>
      </c>
      <c r="DV43" s="19">
        <v>56.0</v>
      </c>
      <c r="DW43" s="19">
        <v>1692.0</v>
      </c>
      <c r="DX43" s="18">
        <f t="shared" ref="DX43:DX44" si="325">SUM(DT43:DW43)</f>
        <v>1904</v>
      </c>
      <c r="DY43" s="19">
        <v>368.0</v>
      </c>
      <c r="DZ43" s="19">
        <v>295.0</v>
      </c>
      <c r="EA43" s="19">
        <v>1707.0</v>
      </c>
      <c r="EB43" s="19">
        <v>359.0</v>
      </c>
      <c r="EC43" s="18">
        <f t="shared" ref="EC43:EC44" si="326">SUM(DY43:EB43)</f>
        <v>2729</v>
      </c>
      <c r="ED43" s="19">
        <v>4323.0</v>
      </c>
      <c r="EE43" s="19">
        <f>-90</f>
        <v>-90</v>
      </c>
      <c r="EF43" s="19">
        <v>-151.0</v>
      </c>
      <c r="EG43" s="19">
        <v>186.0</v>
      </c>
      <c r="EH43" s="18">
        <f t="shared" ref="EH43:EH44" si="327">SUM(ED43:EG43)</f>
        <v>4268</v>
      </c>
      <c r="EI43" s="131"/>
      <c r="EJ43" s="133"/>
      <c r="EK43" s="133"/>
      <c r="EL43" s="133"/>
      <c r="EM43" s="18">
        <f t="shared" ref="EM43:EM44" si="328">SUM(EI43:EL43)</f>
        <v>0</v>
      </c>
      <c r="EN43" s="133"/>
      <c r="EO43" s="133"/>
      <c r="EP43" s="133"/>
      <c r="EQ43" s="133"/>
      <c r="ER43" s="18">
        <f t="shared" ref="ER43:ER44" si="329">SUM(EN43:EQ43)</f>
        <v>0</v>
      </c>
      <c r="ES43" s="133"/>
      <c r="ET43" s="133"/>
      <c r="EU43" s="133"/>
      <c r="EV43" s="133"/>
      <c r="EW43" s="18">
        <f t="shared" ref="EW43:EW44" si="330">SUM(ES43:EV43)</f>
        <v>0</v>
      </c>
      <c r="EX43" s="133"/>
      <c r="EY43" s="133"/>
      <c r="EZ43" s="133"/>
      <c r="FA43" s="133"/>
      <c r="FB43" s="18">
        <f t="shared" ref="FB43:FB44" si="331">SUM(EX43:FA43)</f>
        <v>0</v>
      </c>
      <c r="FC43" s="133"/>
      <c r="FD43" s="133"/>
      <c r="FE43" s="133"/>
      <c r="FF43" s="133"/>
      <c r="FG43" s="18">
        <f t="shared" ref="FG43:FG44" si="332">SUM(FC43:FF43)</f>
        <v>0</v>
      </c>
      <c r="FH43" s="74"/>
      <c r="FI43" s="4"/>
      <c r="FJ43" s="4"/>
      <c r="FK43" s="4"/>
      <c r="FL43" s="4"/>
    </row>
    <row r="44" ht="12.75" customHeight="1" outlineLevel="1">
      <c r="A44" s="4"/>
      <c r="B44" s="72" t="s">
        <v>74</v>
      </c>
      <c r="C44" s="4"/>
      <c r="D44" s="17"/>
      <c r="E44" s="17"/>
      <c r="F44" s="17"/>
      <c r="G44" s="17"/>
      <c r="H44" s="73"/>
      <c r="I44" s="17"/>
      <c r="J44" s="17"/>
      <c r="K44" s="17"/>
      <c r="L44" s="17"/>
      <c r="M44" s="73"/>
      <c r="N44" s="17"/>
      <c r="O44" s="17"/>
      <c r="P44" s="17"/>
      <c r="Q44" s="17"/>
      <c r="R44" s="73"/>
      <c r="S44" s="17"/>
      <c r="T44" s="17"/>
      <c r="U44" s="17">
        <v>121.0</v>
      </c>
      <c r="V44" s="17">
        <v>181.0</v>
      </c>
      <c r="W44" s="73">
        <v>578.0</v>
      </c>
      <c r="X44" s="17">
        <v>191.0</v>
      </c>
      <c r="Y44" s="17">
        <f t="shared" si="306"/>
        <v>197</v>
      </c>
      <c r="Z44" s="17">
        <v>250.0</v>
      </c>
      <c r="AA44" s="17">
        <v>349.0</v>
      </c>
      <c r="AB44" s="73">
        <v>987.0</v>
      </c>
      <c r="AC44" s="17">
        <v>264.0</v>
      </c>
      <c r="AD44" s="17">
        <v>126.0</v>
      </c>
      <c r="AE44" s="17">
        <v>-70.0</v>
      </c>
      <c r="AF44" s="17">
        <v>73.0</v>
      </c>
      <c r="AG44" s="73">
        <f t="shared" si="307"/>
        <v>393</v>
      </c>
      <c r="AH44" s="17">
        <f>79-24-7</f>
        <v>48</v>
      </c>
      <c r="AI44" s="17">
        <v>43.0</v>
      </c>
      <c r="AJ44" s="17">
        <v>49.0</v>
      </c>
      <c r="AK44" s="17">
        <v>54.0</v>
      </c>
      <c r="AL44" s="73">
        <f t="shared" si="308"/>
        <v>194</v>
      </c>
      <c r="AM44" s="17">
        <v>52.0</v>
      </c>
      <c r="AN44" s="17">
        <v>53.0</v>
      </c>
      <c r="AO44" s="17">
        <v>34.0</v>
      </c>
      <c r="AP44" s="17">
        <v>53.0</v>
      </c>
      <c r="AQ44" s="73">
        <f t="shared" si="309"/>
        <v>192</v>
      </c>
      <c r="AR44" s="17">
        <v>49.0</v>
      </c>
      <c r="AS44" s="17">
        <v>47.0</v>
      </c>
      <c r="AT44" s="17">
        <f>75-13+1</f>
        <v>63</v>
      </c>
      <c r="AU44" s="17">
        <v>130.0</v>
      </c>
      <c r="AV44" s="73">
        <f t="shared" si="310"/>
        <v>289</v>
      </c>
      <c r="AW44" s="17">
        <f>121-2-4</f>
        <v>115</v>
      </c>
      <c r="AX44" s="17">
        <v>127.0</v>
      </c>
      <c r="AY44" s="17">
        <f>145-6+6</f>
        <v>145</v>
      </c>
      <c r="AZ44" s="17">
        <v>178.0</v>
      </c>
      <c r="BA44" s="73">
        <f t="shared" si="311"/>
        <v>565</v>
      </c>
      <c r="BB44" s="17">
        <f>168-7-7</f>
        <v>154</v>
      </c>
      <c r="BC44" s="17">
        <f>152-7-1</f>
        <v>144</v>
      </c>
      <c r="BD44" s="17">
        <v>272.0</v>
      </c>
      <c r="BE44" s="17">
        <v>632.0</v>
      </c>
      <c r="BF44" s="73">
        <f t="shared" si="312"/>
        <v>1202</v>
      </c>
      <c r="BG44" s="17">
        <v>169.0</v>
      </c>
      <c r="BH44" s="17">
        <f>192-4-8</f>
        <v>180</v>
      </c>
      <c r="BI44" s="17">
        <v>211.0</v>
      </c>
      <c r="BJ44" s="17">
        <v>233.0</v>
      </c>
      <c r="BK44" s="73">
        <f t="shared" si="313"/>
        <v>793</v>
      </c>
      <c r="BL44" s="17">
        <f>198-30</f>
        <v>168</v>
      </c>
      <c r="BM44" s="17">
        <v>167.0</v>
      </c>
      <c r="BN44" s="17">
        <f>126+5</f>
        <v>131</v>
      </c>
      <c r="BO44" s="17">
        <v>22.0</v>
      </c>
      <c r="BP44" s="73">
        <f t="shared" si="314"/>
        <v>488</v>
      </c>
      <c r="BQ44" s="17">
        <v>95.0</v>
      </c>
      <c r="BR44" s="17">
        <v>31.0</v>
      </c>
      <c r="BS44" s="17">
        <v>32.0</v>
      </c>
      <c r="BT44" s="17">
        <v>5.0</v>
      </c>
      <c r="BU44" s="73">
        <f t="shared" si="315"/>
        <v>163</v>
      </c>
      <c r="BV44" s="17">
        <v>29.0</v>
      </c>
      <c r="BW44" s="17">
        <v>11.0</v>
      </c>
      <c r="BX44" s="17">
        <v>38.0</v>
      </c>
      <c r="BY44" s="17">
        <v>31.0</v>
      </c>
      <c r="BZ44" s="18">
        <f t="shared" si="316"/>
        <v>109</v>
      </c>
      <c r="CA44" s="17">
        <f>28-6+163</f>
        <v>185</v>
      </c>
      <c r="CB44" s="17">
        <f>20+1</f>
        <v>21</v>
      </c>
      <c r="CC44" s="17">
        <v>15.0</v>
      </c>
      <c r="CD44" s="17">
        <f>CE44-SUM(CA44:CC44)</f>
        <v>-29</v>
      </c>
      <c r="CE44" s="18">
        <f>98-41+135</f>
        <v>192</v>
      </c>
      <c r="CF44" s="17">
        <f>28-31+26</f>
        <v>23</v>
      </c>
      <c r="CG44" s="17">
        <f>25-21+51</f>
        <v>55</v>
      </c>
      <c r="CH44" s="17">
        <f>23-14+18</f>
        <v>27</v>
      </c>
      <c r="CI44" s="17">
        <v>-11.0</v>
      </c>
      <c r="CJ44" s="80">
        <f t="shared" si="317"/>
        <v>94</v>
      </c>
      <c r="CK44" s="17">
        <v>-50.0</v>
      </c>
      <c r="CL44" s="128">
        <v>-37.0</v>
      </c>
      <c r="CM44" s="128">
        <v>-32.0</v>
      </c>
      <c r="CN44" s="129">
        <v>-32.0</v>
      </c>
      <c r="CO44" s="18">
        <f t="shared" si="318"/>
        <v>-151</v>
      </c>
      <c r="CP44" s="129">
        <v>112.0</v>
      </c>
      <c r="CQ44" s="128">
        <v>-17.0</v>
      </c>
      <c r="CR44" s="128">
        <v>-25.0</v>
      </c>
      <c r="CS44" s="128">
        <v>-27.0</v>
      </c>
      <c r="CT44" s="18">
        <f t="shared" si="319"/>
        <v>43</v>
      </c>
      <c r="CU44" s="128">
        <v>26.0</v>
      </c>
      <c r="CV44" s="128">
        <v>-13.0</v>
      </c>
      <c r="CW44" s="128">
        <v>-104.0</v>
      </c>
      <c r="CX44" s="128">
        <v>-14.0</v>
      </c>
      <c r="CY44" s="18">
        <f t="shared" si="320"/>
        <v>-105</v>
      </c>
      <c r="CZ44" s="128">
        <v>-82.0</v>
      </c>
      <c r="DA44" s="128">
        <v>-126.0</v>
      </c>
      <c r="DB44" s="128">
        <v>-132.0</v>
      </c>
      <c r="DC44" s="128">
        <v>-104.0</v>
      </c>
      <c r="DD44" s="18">
        <f t="shared" si="321"/>
        <v>-444</v>
      </c>
      <c r="DE44" s="128">
        <v>-36.0</v>
      </c>
      <c r="DF44" s="128">
        <f>403</f>
        <v>403</v>
      </c>
      <c r="DG44" s="129">
        <v>-31.0</v>
      </c>
      <c r="DH44" s="128">
        <v>-571.0</v>
      </c>
      <c r="DI44" s="18">
        <f t="shared" si="322"/>
        <v>-235</v>
      </c>
      <c r="DJ44" s="129">
        <v>-102.0</v>
      </c>
      <c r="DK44" s="129">
        <v>459.0</v>
      </c>
      <c r="DL44" s="129">
        <v>-132.0</v>
      </c>
      <c r="DM44" s="129">
        <v>-99.0</v>
      </c>
      <c r="DN44" s="18">
        <f t="shared" si="323"/>
        <v>126</v>
      </c>
      <c r="DO44" s="129">
        <v>-61.0</v>
      </c>
      <c r="DP44" s="129">
        <v>-63.0</v>
      </c>
      <c r="DQ44" s="129">
        <v>-46.0</v>
      </c>
      <c r="DR44" s="129">
        <v>654.0</v>
      </c>
      <c r="DS44" s="18">
        <f t="shared" si="324"/>
        <v>484</v>
      </c>
      <c r="DT44" s="129">
        <v>-313.0</v>
      </c>
      <c r="DU44" s="129">
        <v>-29.0</v>
      </c>
      <c r="DV44" s="129">
        <v>-74.0</v>
      </c>
      <c r="DW44" s="129">
        <v>-88.0</v>
      </c>
      <c r="DX44" s="18">
        <f t="shared" si="325"/>
        <v>-504</v>
      </c>
      <c r="DY44" s="129">
        <v>-156.0</v>
      </c>
      <c r="DZ44" s="129">
        <v>-96.0</v>
      </c>
      <c r="EA44" s="129">
        <v>-76.0</v>
      </c>
      <c r="EB44" s="129">
        <v>-154.0</v>
      </c>
      <c r="EC44" s="18">
        <f t="shared" si="326"/>
        <v>-482</v>
      </c>
      <c r="ED44" s="129">
        <v>997.0</v>
      </c>
      <c r="EE44" s="129">
        <v>-119.0</v>
      </c>
      <c r="EF44" s="129">
        <v>138.0</v>
      </c>
      <c r="EG44" s="129">
        <v>150.0</v>
      </c>
      <c r="EH44" s="18">
        <f t="shared" si="327"/>
        <v>1166</v>
      </c>
      <c r="EI44" s="134">
        <f>CF!EI166-CF!EI163</f>
        <v>81.5240032</v>
      </c>
      <c r="EJ44" s="128" t="str">
        <f>CF!EJ166-CF!EJ163</f>
        <v>#ERROR!</v>
      </c>
      <c r="EK44" s="128" t="str">
        <f>CF!EK166-CF!EK163</f>
        <v>#ERROR!</v>
      </c>
      <c r="EL44" s="128" t="str">
        <f>CF!EL166-CF!EL163</f>
        <v>#ERROR!</v>
      </c>
      <c r="EM44" s="18" t="str">
        <f t="shared" si="328"/>
        <v>#ERROR!</v>
      </c>
      <c r="EN44" s="128" t="str">
        <f>CF!EN166-CF!EN163</f>
        <v>#ERROR!</v>
      </c>
      <c r="EO44" s="128" t="str">
        <f>CF!EO166-CF!EO163</f>
        <v>#ERROR!</v>
      </c>
      <c r="EP44" s="128" t="str">
        <f>CF!EP166-CF!EP163</f>
        <v>#ERROR!</v>
      </c>
      <c r="EQ44" s="128" t="str">
        <f>CF!EQ166-CF!EQ163</f>
        <v>#ERROR!</v>
      </c>
      <c r="ER44" s="18" t="str">
        <f t="shared" si="329"/>
        <v>#ERROR!</v>
      </c>
      <c r="ES44" s="128" t="str">
        <f>CF!ES166-CF!ES163</f>
        <v>#ERROR!</v>
      </c>
      <c r="ET44" s="128" t="str">
        <f>CF!ET166-CF!ET163</f>
        <v>#ERROR!</v>
      </c>
      <c r="EU44" s="128" t="str">
        <f>CF!EU166-CF!EU163</f>
        <v>#ERROR!</v>
      </c>
      <c r="EV44" s="128" t="str">
        <f>CF!EV166-CF!EV163</f>
        <v>#ERROR!</v>
      </c>
      <c r="EW44" s="18" t="str">
        <f t="shared" si="330"/>
        <v>#ERROR!</v>
      </c>
      <c r="EX44" s="128" t="str">
        <f>CF!EX166-CF!EX163</f>
        <v>#ERROR!</v>
      </c>
      <c r="EY44" s="128" t="str">
        <f>CF!EY166-CF!EY163</f>
        <v>#ERROR!</v>
      </c>
      <c r="EZ44" s="128" t="str">
        <f>CF!EZ166-CF!EZ163</f>
        <v>#ERROR!</v>
      </c>
      <c r="FA44" s="128" t="str">
        <f>CF!FA166-CF!FA163</f>
        <v>#ERROR!</v>
      </c>
      <c r="FB44" s="18" t="str">
        <f t="shared" si="331"/>
        <v>#ERROR!</v>
      </c>
      <c r="FC44" s="128" t="str">
        <f>CF!FC166-CF!FC163</f>
        <v>#ERROR!</v>
      </c>
      <c r="FD44" s="128" t="str">
        <f>CF!FD166-CF!FD163</f>
        <v>#ERROR!</v>
      </c>
      <c r="FE44" s="128" t="str">
        <f>CF!FE166-CF!FE163</f>
        <v>#ERROR!</v>
      </c>
      <c r="FF44" s="128" t="str">
        <f>CF!FF166-CF!FF163</f>
        <v>#ERROR!</v>
      </c>
      <c r="FG44" s="18" t="str">
        <f t="shared" si="332"/>
        <v>#ERROR!</v>
      </c>
      <c r="FH44" s="74"/>
      <c r="FI44" s="4"/>
      <c r="FJ44" s="4"/>
      <c r="FK44" s="4"/>
      <c r="FL44" s="4"/>
    </row>
    <row r="45" ht="12.75" customHeight="1">
      <c r="A45" s="4"/>
      <c r="B45" s="4" t="s">
        <v>75</v>
      </c>
      <c r="C45" s="4"/>
      <c r="D45" s="92"/>
      <c r="E45" s="92"/>
      <c r="F45" s="92"/>
      <c r="G45" s="92"/>
      <c r="H45" s="93"/>
      <c r="I45" s="92"/>
      <c r="J45" s="92"/>
      <c r="K45" s="92"/>
      <c r="L45" s="92"/>
      <c r="M45" s="93"/>
      <c r="N45" s="92">
        <v>200.0</v>
      </c>
      <c r="O45" s="92">
        <v>144.0</v>
      </c>
      <c r="P45" s="92">
        <v>170.0</v>
      </c>
      <c r="Q45" s="92">
        <v>244.0</v>
      </c>
      <c r="R45" s="93">
        <f>+SUM(N45:Q45)</f>
        <v>758</v>
      </c>
      <c r="S45" s="92">
        <v>347.0</v>
      </c>
      <c r="T45" s="92">
        <v>290.0</v>
      </c>
      <c r="U45" s="92">
        <f t="shared" ref="U45:AA45" si="333">SUM(U44,U43)</f>
        <v>316</v>
      </c>
      <c r="V45" s="92">
        <f t="shared" si="333"/>
        <v>508</v>
      </c>
      <c r="W45" s="93">
        <f t="shared" si="333"/>
        <v>1461</v>
      </c>
      <c r="X45" s="92">
        <f t="shared" si="333"/>
        <v>640</v>
      </c>
      <c r="Y45" s="92">
        <f t="shared" si="333"/>
        <v>2341</v>
      </c>
      <c r="Z45" s="92">
        <f t="shared" si="333"/>
        <v>966</v>
      </c>
      <c r="AA45" s="92">
        <f t="shared" si="333"/>
        <v>799</v>
      </c>
      <c r="AB45" s="93">
        <f>+SUM(X45:AA45)</f>
        <v>4746</v>
      </c>
      <c r="AC45" s="92">
        <f t="shared" ref="AC45:AF45" si="334">SUM(AC44,AC43)</f>
        <v>264</v>
      </c>
      <c r="AD45" s="92">
        <f t="shared" si="334"/>
        <v>129</v>
      </c>
      <c r="AE45" s="92">
        <f t="shared" si="334"/>
        <v>-252</v>
      </c>
      <c r="AF45" s="92">
        <f t="shared" si="334"/>
        <v>-214</v>
      </c>
      <c r="AG45" s="93">
        <f>+SUM(AC45:AF45)</f>
        <v>-73</v>
      </c>
      <c r="AH45" s="92">
        <f t="shared" ref="AH45:AK45" si="335">SUM(AH44,AH43)</f>
        <v>2</v>
      </c>
      <c r="AI45" s="92">
        <f t="shared" si="335"/>
        <v>-16</v>
      </c>
      <c r="AJ45" s="92">
        <f t="shared" si="335"/>
        <v>-47</v>
      </c>
      <c r="AK45" s="92">
        <f t="shared" si="335"/>
        <v>-117</v>
      </c>
      <c r="AL45" s="93">
        <f>+SUM(AH45:AK45)</f>
        <v>-178</v>
      </c>
      <c r="AM45" s="92">
        <f>AM44+AM43</f>
        <v>-75</v>
      </c>
      <c r="AN45" s="92">
        <f t="shared" ref="AN45:AP45" si="336">SUM(AN44,AN43)</f>
        <v>-5</v>
      </c>
      <c r="AO45" s="92">
        <f t="shared" si="336"/>
        <v>-29</v>
      </c>
      <c r="AP45" s="92">
        <f t="shared" si="336"/>
        <v>18</v>
      </c>
      <c r="AQ45" s="93">
        <f>+SUM(AM45:AP45)</f>
        <v>-91</v>
      </c>
      <c r="AR45" s="92">
        <f t="shared" ref="AR45:AU45" si="337">SUM(AR44,AR43)</f>
        <v>68</v>
      </c>
      <c r="AS45" s="92">
        <f t="shared" si="337"/>
        <v>39</v>
      </c>
      <c r="AT45" s="92">
        <f t="shared" si="337"/>
        <v>53</v>
      </c>
      <c r="AU45" s="92">
        <f t="shared" si="337"/>
        <v>127</v>
      </c>
      <c r="AV45" s="93">
        <f>+SUM(AR45:AU45)</f>
        <v>287</v>
      </c>
      <c r="AW45" s="92">
        <f t="shared" ref="AW45:AZ45" si="338">SUM(AW44,AW43)</f>
        <v>119</v>
      </c>
      <c r="AX45" s="92">
        <f t="shared" si="338"/>
        <v>105</v>
      </c>
      <c r="AY45" s="92">
        <f t="shared" si="338"/>
        <v>143</v>
      </c>
      <c r="AZ45" s="92">
        <f t="shared" si="338"/>
        <v>153</v>
      </c>
      <c r="BA45" s="93">
        <f>+SUM(AW45:AZ45)</f>
        <v>520</v>
      </c>
      <c r="BB45" s="92">
        <f t="shared" ref="BB45:BE45" si="339">SUM(BB44,BB43)</f>
        <v>156</v>
      </c>
      <c r="BC45" s="92">
        <f t="shared" si="339"/>
        <v>181</v>
      </c>
      <c r="BD45" s="92">
        <f t="shared" si="339"/>
        <v>440</v>
      </c>
      <c r="BE45" s="92">
        <f t="shared" si="339"/>
        <v>639</v>
      </c>
      <c r="BF45" s="93">
        <f>+SUM(BB45:BE45)</f>
        <v>1416</v>
      </c>
      <c r="BG45" s="92">
        <f t="shared" ref="BG45:BJ45" si="340">SUM(BG44,BG43)</f>
        <v>198</v>
      </c>
      <c r="BH45" s="92">
        <f t="shared" si="340"/>
        <v>179</v>
      </c>
      <c r="BI45" s="92">
        <f t="shared" si="340"/>
        <v>359</v>
      </c>
      <c r="BJ45" s="92">
        <f t="shared" si="340"/>
        <v>214</v>
      </c>
      <c r="BK45" s="93">
        <f>+SUM(BG45:BJ45)</f>
        <v>950</v>
      </c>
      <c r="BL45" s="92">
        <f t="shared" ref="BL45:BO45" si="341">SUM(BL44,BL43)</f>
        <v>109</v>
      </c>
      <c r="BM45" s="92">
        <f t="shared" si="341"/>
        <v>58</v>
      </c>
      <c r="BN45" s="92">
        <f t="shared" si="341"/>
        <v>-265</v>
      </c>
      <c r="BO45" s="92">
        <f t="shared" si="341"/>
        <v>-232</v>
      </c>
      <c r="BP45" s="93">
        <f>+SUM(BL45:BO45)</f>
        <v>-330</v>
      </c>
      <c r="BQ45" s="92">
        <f t="shared" ref="BQ45:BT45" si="342">SUM(BQ44,BQ43)</f>
        <v>-18</v>
      </c>
      <c r="BR45" s="92">
        <f t="shared" si="342"/>
        <v>-38</v>
      </c>
      <c r="BS45" s="92">
        <f t="shared" si="342"/>
        <v>-47</v>
      </c>
      <c r="BT45" s="92">
        <f t="shared" si="342"/>
        <v>96</v>
      </c>
      <c r="BU45" s="93">
        <f>+SUM(BQ45:BT45)</f>
        <v>-7</v>
      </c>
      <c r="BV45" s="92">
        <f t="shared" ref="BV45:BY45" si="343">SUM(BV44,BV43)</f>
        <v>-2</v>
      </c>
      <c r="BW45" s="92">
        <f t="shared" si="343"/>
        <v>204</v>
      </c>
      <c r="BX45" s="92">
        <f t="shared" si="343"/>
        <v>115</v>
      </c>
      <c r="BY45" s="92">
        <f t="shared" si="343"/>
        <v>140</v>
      </c>
      <c r="BZ45" s="94">
        <f>+SUM(BV45:BY45)</f>
        <v>457</v>
      </c>
      <c r="CA45" s="92">
        <f t="shared" ref="CA45:CD45" si="344">SUM(CA44,CA43)</f>
        <v>213</v>
      </c>
      <c r="CB45" s="92">
        <f t="shared" si="344"/>
        <v>-4</v>
      </c>
      <c r="CC45" s="92">
        <f t="shared" si="344"/>
        <v>107</v>
      </c>
      <c r="CD45" s="92">
        <f t="shared" si="344"/>
        <v>-12</v>
      </c>
      <c r="CE45" s="94">
        <f>+SUM(CA45:CD45)</f>
        <v>304</v>
      </c>
      <c r="CF45" s="92">
        <f t="shared" ref="CF45:CI45" si="345">SUM(CF44,CF43)</f>
        <v>4</v>
      </c>
      <c r="CG45" s="92">
        <f t="shared" si="345"/>
        <v>102</v>
      </c>
      <c r="CH45" s="92">
        <f t="shared" si="345"/>
        <v>80</v>
      </c>
      <c r="CI45" s="92">
        <f t="shared" si="345"/>
        <v>49</v>
      </c>
      <c r="CJ45" s="95">
        <f>+SUM(CF45:CI45)</f>
        <v>235</v>
      </c>
      <c r="CK45" s="92">
        <f t="shared" ref="CK45:CL45" si="346">SUM(CK44,CK43)</f>
        <v>-76</v>
      </c>
      <c r="CL45" s="155">
        <f t="shared" si="346"/>
        <v>-26</v>
      </c>
      <c r="CM45" s="155">
        <f t="shared" ref="CM45:CN45" si="347">+CM44+CM43</f>
        <v>420</v>
      </c>
      <c r="CN45" s="155">
        <f t="shared" si="347"/>
        <v>2</v>
      </c>
      <c r="CO45" s="94">
        <f>+SUM(CK45:CN45)</f>
        <v>320</v>
      </c>
      <c r="CP45" s="155">
        <f t="shared" ref="CP45:CS45" si="348">SUM(CP44,CP43)</f>
        <v>160</v>
      </c>
      <c r="CQ45" s="155">
        <f t="shared" si="348"/>
        <v>78</v>
      </c>
      <c r="CR45" s="155">
        <f t="shared" si="348"/>
        <v>10</v>
      </c>
      <c r="CS45" s="155">
        <f t="shared" si="348"/>
        <v>206</v>
      </c>
      <c r="CT45" s="94">
        <f>+SUM(CP45:CS45)</f>
        <v>454</v>
      </c>
      <c r="CU45" s="155">
        <f t="shared" ref="CU45:CX45" si="349">SUM(CU44,CU43)</f>
        <v>58</v>
      </c>
      <c r="CV45" s="155">
        <f t="shared" si="349"/>
        <v>87</v>
      </c>
      <c r="CW45" s="155">
        <f t="shared" si="349"/>
        <v>61</v>
      </c>
      <c r="CX45" s="155">
        <f t="shared" si="349"/>
        <v>4</v>
      </c>
      <c r="CY45" s="94">
        <f>+SUM(CU45:CX45)</f>
        <v>210</v>
      </c>
      <c r="CZ45" s="155">
        <f t="shared" ref="CZ45:DC45" si="350">SUM(CZ44,CZ43)</f>
        <v>-60</v>
      </c>
      <c r="DA45" s="155">
        <f t="shared" si="350"/>
        <v>352</v>
      </c>
      <c r="DB45" s="155">
        <f t="shared" si="350"/>
        <v>-144</v>
      </c>
      <c r="DC45" s="155">
        <f t="shared" si="350"/>
        <v>-86</v>
      </c>
      <c r="DD45" s="94">
        <f>+SUM(CZ45:DC45)</f>
        <v>62</v>
      </c>
      <c r="DE45" s="155">
        <f t="shared" ref="DE45:DH45" si="351">SUM(DE44,DE43)</f>
        <v>216</v>
      </c>
      <c r="DF45" s="155">
        <f t="shared" si="351"/>
        <v>745</v>
      </c>
      <c r="DG45" s="155">
        <f t="shared" si="351"/>
        <v>815</v>
      </c>
      <c r="DH45" s="155">
        <f t="shared" si="351"/>
        <v>640</v>
      </c>
      <c r="DI45" s="94">
        <f>+SUM(DE45:DH45)</f>
        <v>2416</v>
      </c>
      <c r="DJ45" s="156">
        <f t="shared" ref="DJ45:DM45" si="352">SUM(DJ44,DJ43)</f>
        <v>541</v>
      </c>
      <c r="DK45" s="156">
        <f t="shared" si="352"/>
        <v>256</v>
      </c>
      <c r="DL45" s="156">
        <f t="shared" si="352"/>
        <v>-207</v>
      </c>
      <c r="DM45" s="156">
        <f t="shared" si="352"/>
        <v>-589</v>
      </c>
      <c r="DN45" s="94">
        <f>+SUM(DJ45:DM45)</f>
        <v>1</v>
      </c>
      <c r="DO45" s="156">
        <f t="shared" ref="DO45:DR45" si="353">SUM(DO44,DO43)</f>
        <v>373</v>
      </c>
      <c r="DP45" s="156">
        <f t="shared" si="353"/>
        <v>107</v>
      </c>
      <c r="DQ45" s="156">
        <f t="shared" si="353"/>
        <v>272</v>
      </c>
      <c r="DR45" s="156">
        <f t="shared" si="353"/>
        <v>1271</v>
      </c>
      <c r="DS45" s="94">
        <f>+SUM(DO45:DR45)</f>
        <v>2023</v>
      </c>
      <c r="DT45" s="156">
        <f t="shared" ref="DT45:DW45" si="354">SUM(DT44,DT43)</f>
        <v>-424</v>
      </c>
      <c r="DU45" s="156">
        <f t="shared" si="354"/>
        <v>238</v>
      </c>
      <c r="DV45" s="156">
        <f t="shared" si="354"/>
        <v>-18</v>
      </c>
      <c r="DW45" s="156">
        <f t="shared" si="354"/>
        <v>1604</v>
      </c>
      <c r="DX45" s="94">
        <f>+SUM(DT45:DW45)</f>
        <v>1400</v>
      </c>
      <c r="DY45" s="156">
        <f t="shared" ref="DY45:EB45" si="355">SUM(DY44,DY43)</f>
        <v>212</v>
      </c>
      <c r="DZ45" s="156">
        <f t="shared" si="355"/>
        <v>199</v>
      </c>
      <c r="EA45" s="156">
        <f t="shared" si="355"/>
        <v>1631</v>
      </c>
      <c r="EB45" s="156">
        <f t="shared" si="355"/>
        <v>205</v>
      </c>
      <c r="EC45" s="94">
        <f>+SUM(DY45:EB45)</f>
        <v>2247</v>
      </c>
      <c r="ED45" s="156">
        <f t="shared" ref="ED45:EG45" si="356">SUM(ED44,ED43)</f>
        <v>5320</v>
      </c>
      <c r="EE45" s="156">
        <f t="shared" si="356"/>
        <v>-209</v>
      </c>
      <c r="EF45" s="156">
        <f t="shared" si="356"/>
        <v>-13</v>
      </c>
      <c r="EG45" s="156">
        <f t="shared" si="356"/>
        <v>336</v>
      </c>
      <c r="EH45" s="94">
        <f>+SUM(ED45:EG45)</f>
        <v>5434</v>
      </c>
      <c r="EI45" s="157">
        <f t="shared" ref="EI45:EL45" si="357">SUM(EI44,EI43)</f>
        <v>81.5240032</v>
      </c>
      <c r="EJ45" s="155" t="str">
        <f t="shared" si="357"/>
        <v>#ERROR!</v>
      </c>
      <c r="EK45" s="155" t="str">
        <f t="shared" si="357"/>
        <v>#ERROR!</v>
      </c>
      <c r="EL45" s="155" t="str">
        <f t="shared" si="357"/>
        <v>#ERROR!</v>
      </c>
      <c r="EM45" s="94" t="str">
        <f>+SUM(EI45:EL45)</f>
        <v>#ERROR!</v>
      </c>
      <c r="EN45" s="155" t="str">
        <f t="shared" ref="EN45:EQ45" si="358">SUM(EN44,EN43)</f>
        <v>#ERROR!</v>
      </c>
      <c r="EO45" s="155" t="str">
        <f t="shared" si="358"/>
        <v>#ERROR!</v>
      </c>
      <c r="EP45" s="155" t="str">
        <f t="shared" si="358"/>
        <v>#ERROR!</v>
      </c>
      <c r="EQ45" s="155" t="str">
        <f t="shared" si="358"/>
        <v>#ERROR!</v>
      </c>
      <c r="ER45" s="94" t="str">
        <f>+SUM(EN45:EQ45)</f>
        <v>#ERROR!</v>
      </c>
      <c r="ES45" s="155" t="str">
        <f t="shared" ref="ES45:EV45" si="359">SUM(ES44,ES43)</f>
        <v>#ERROR!</v>
      </c>
      <c r="ET45" s="155" t="str">
        <f t="shared" si="359"/>
        <v>#ERROR!</v>
      </c>
      <c r="EU45" s="155" t="str">
        <f t="shared" si="359"/>
        <v>#ERROR!</v>
      </c>
      <c r="EV45" s="155" t="str">
        <f t="shared" si="359"/>
        <v>#ERROR!</v>
      </c>
      <c r="EW45" s="94" t="str">
        <f>+SUM(ES45:EV45)</f>
        <v>#ERROR!</v>
      </c>
      <c r="EX45" s="155" t="str">
        <f t="shared" ref="EX45:FA45" si="360">SUM(EX44,EX43)</f>
        <v>#ERROR!</v>
      </c>
      <c r="EY45" s="155" t="str">
        <f t="shared" si="360"/>
        <v>#ERROR!</v>
      </c>
      <c r="EZ45" s="155" t="str">
        <f t="shared" si="360"/>
        <v>#ERROR!</v>
      </c>
      <c r="FA45" s="155" t="str">
        <f t="shared" si="360"/>
        <v>#ERROR!</v>
      </c>
      <c r="FB45" s="94" t="str">
        <f>+SUM(EX45:FA45)</f>
        <v>#ERROR!</v>
      </c>
      <c r="FC45" s="155" t="str">
        <f t="shared" ref="FC45:FF45" si="361">SUM(FC44,FC43)</f>
        <v>#ERROR!</v>
      </c>
      <c r="FD45" s="155" t="str">
        <f t="shared" si="361"/>
        <v>#ERROR!</v>
      </c>
      <c r="FE45" s="155" t="str">
        <f t="shared" si="361"/>
        <v>#ERROR!</v>
      </c>
      <c r="FF45" s="155" t="str">
        <f t="shared" si="361"/>
        <v>#ERROR!</v>
      </c>
      <c r="FG45" s="94" t="str">
        <f>+SUM(FC45:FF45)</f>
        <v>#ERROR!</v>
      </c>
      <c r="FH45" s="74"/>
      <c r="FI45" s="4"/>
      <c r="FJ45" s="4"/>
      <c r="FK45" s="4"/>
      <c r="FL45" s="4"/>
    </row>
    <row r="46" ht="12.75" customHeight="1">
      <c r="A46" s="4"/>
      <c r="B46" s="158" t="s">
        <v>76</v>
      </c>
      <c r="C46" s="4"/>
      <c r="D46" s="17"/>
      <c r="E46" s="17"/>
      <c r="F46" s="17"/>
      <c r="G46" s="17"/>
      <c r="H46" s="73"/>
      <c r="I46" s="17"/>
      <c r="J46" s="17"/>
      <c r="K46" s="17"/>
      <c r="L46" s="17"/>
      <c r="M46" s="73"/>
      <c r="N46" s="17">
        <f t="shared" ref="N46:FG46" si="362">+N40+N45</f>
        <v>2146</v>
      </c>
      <c r="O46" s="17">
        <f t="shared" si="362"/>
        <v>1750</v>
      </c>
      <c r="P46" s="17">
        <f t="shared" si="362"/>
        <v>2342</v>
      </c>
      <c r="Q46" s="17">
        <f t="shared" si="362"/>
        <v>3120</v>
      </c>
      <c r="R46" s="73">
        <f t="shared" si="362"/>
        <v>9358</v>
      </c>
      <c r="S46" s="17">
        <f t="shared" si="362"/>
        <v>3002</v>
      </c>
      <c r="T46" s="17">
        <f t="shared" si="362"/>
        <v>2641</v>
      </c>
      <c r="U46" s="17">
        <f t="shared" si="362"/>
        <v>2826</v>
      </c>
      <c r="V46" s="17">
        <f t="shared" si="362"/>
        <v>3562</v>
      </c>
      <c r="W46" s="73">
        <f t="shared" si="362"/>
        <v>12031</v>
      </c>
      <c r="X46" s="17">
        <f t="shared" si="362"/>
        <v>3569</v>
      </c>
      <c r="Y46" s="17">
        <f t="shared" si="362"/>
        <v>5164</v>
      </c>
      <c r="Z46" s="17">
        <f t="shared" si="362"/>
        <v>4251</v>
      </c>
      <c r="AA46" s="17">
        <f t="shared" si="362"/>
        <v>3852</v>
      </c>
      <c r="AB46" s="73">
        <f t="shared" si="362"/>
        <v>16836</v>
      </c>
      <c r="AC46" s="17">
        <f t="shared" si="362"/>
        <v>1566</v>
      </c>
      <c r="AD46" s="17">
        <f t="shared" si="362"/>
        <v>1063</v>
      </c>
      <c r="AE46" s="17">
        <f t="shared" si="362"/>
        <v>746</v>
      </c>
      <c r="AF46" s="17">
        <f t="shared" si="362"/>
        <v>1344</v>
      </c>
      <c r="AG46" s="73">
        <f t="shared" si="362"/>
        <v>4719</v>
      </c>
      <c r="AH46" s="17">
        <f t="shared" si="362"/>
        <v>1428</v>
      </c>
      <c r="AI46" s="17">
        <f t="shared" si="362"/>
        <v>866</v>
      </c>
      <c r="AJ46" s="17">
        <f t="shared" si="362"/>
        <v>1025</v>
      </c>
      <c r="AK46" s="17">
        <f t="shared" si="362"/>
        <v>1453</v>
      </c>
      <c r="AL46" s="73">
        <f t="shared" si="362"/>
        <v>4772</v>
      </c>
      <c r="AM46" s="17">
        <f t="shared" si="362"/>
        <v>1316</v>
      </c>
      <c r="AN46" s="17">
        <f t="shared" si="362"/>
        <v>1271</v>
      </c>
      <c r="AO46" s="17">
        <f t="shared" si="362"/>
        <v>2275</v>
      </c>
      <c r="AP46" s="17">
        <f t="shared" si="362"/>
        <v>3197</v>
      </c>
      <c r="AQ46" s="73">
        <f t="shared" si="362"/>
        <v>8059</v>
      </c>
      <c r="AR46" s="17">
        <f t="shared" si="362"/>
        <v>2544</v>
      </c>
      <c r="AS46" s="17">
        <f t="shared" si="362"/>
        <v>2420</v>
      </c>
      <c r="AT46" s="17">
        <f t="shared" si="362"/>
        <v>2426</v>
      </c>
      <c r="AU46" s="17">
        <f t="shared" si="362"/>
        <v>3027</v>
      </c>
      <c r="AV46" s="73">
        <f t="shared" si="362"/>
        <v>10417</v>
      </c>
      <c r="AW46" s="17">
        <f t="shared" si="362"/>
        <v>3151</v>
      </c>
      <c r="AX46" s="17">
        <f t="shared" si="362"/>
        <v>2754</v>
      </c>
      <c r="AY46" s="17">
        <f t="shared" si="362"/>
        <v>3383</v>
      </c>
      <c r="AZ46" s="17">
        <f t="shared" si="362"/>
        <v>3462</v>
      </c>
      <c r="BA46" s="73">
        <f t="shared" si="362"/>
        <v>12750</v>
      </c>
      <c r="BB46" s="17">
        <f t="shared" si="362"/>
        <v>1874</v>
      </c>
      <c r="BC46" s="17">
        <f t="shared" si="362"/>
        <v>1253</v>
      </c>
      <c r="BD46" s="17">
        <f t="shared" si="362"/>
        <v>1814</v>
      </c>
      <c r="BE46" s="17">
        <f t="shared" si="362"/>
        <v>2127</v>
      </c>
      <c r="BF46" s="73">
        <f t="shared" si="362"/>
        <v>7068</v>
      </c>
      <c r="BG46" s="17">
        <f t="shared" si="362"/>
        <v>1873</v>
      </c>
      <c r="BH46" s="17">
        <f t="shared" si="362"/>
        <v>1529</v>
      </c>
      <c r="BI46" s="17">
        <f t="shared" si="362"/>
        <v>2616</v>
      </c>
      <c r="BJ46" s="17">
        <f t="shared" si="362"/>
        <v>3261</v>
      </c>
      <c r="BK46" s="73">
        <f t="shared" si="362"/>
        <v>9279</v>
      </c>
      <c r="BL46" s="17">
        <f t="shared" si="362"/>
        <v>2171</v>
      </c>
      <c r="BM46" s="17">
        <f t="shared" si="362"/>
        <v>2313</v>
      </c>
      <c r="BN46" s="17">
        <f t="shared" si="362"/>
        <v>2833</v>
      </c>
      <c r="BO46" s="17">
        <f t="shared" si="362"/>
        <v>1307</v>
      </c>
      <c r="BP46" s="73">
        <f t="shared" si="362"/>
        <v>8624</v>
      </c>
      <c r="BQ46" s="17">
        <f t="shared" si="362"/>
        <v>629</v>
      </c>
      <c r="BR46" s="17">
        <f t="shared" si="362"/>
        <v>1397</v>
      </c>
      <c r="BS46" s="17">
        <f t="shared" si="362"/>
        <v>2532</v>
      </c>
      <c r="BT46" s="17">
        <f t="shared" si="362"/>
        <v>3843</v>
      </c>
      <c r="BU46" s="73">
        <f t="shared" si="362"/>
        <v>8401.004</v>
      </c>
      <c r="BV46" s="17">
        <f t="shared" si="362"/>
        <v>3446</v>
      </c>
      <c r="BW46" s="17">
        <f t="shared" si="362"/>
        <v>4185</v>
      </c>
      <c r="BX46" s="17">
        <f t="shared" si="362"/>
        <v>4251</v>
      </c>
      <c r="BY46" s="17">
        <f t="shared" si="362"/>
        <v>4163</v>
      </c>
      <c r="BZ46" s="18">
        <f t="shared" si="362"/>
        <v>16045</v>
      </c>
      <c r="CA46" s="17">
        <f t="shared" si="362"/>
        <v>4371</v>
      </c>
      <c r="CB46" s="17">
        <f t="shared" si="362"/>
        <v>3931</v>
      </c>
      <c r="CC46" s="17">
        <f t="shared" si="362"/>
        <v>4892</v>
      </c>
      <c r="CD46" s="17">
        <f t="shared" si="362"/>
        <v>4587</v>
      </c>
      <c r="CE46" s="18">
        <f t="shared" si="362"/>
        <v>17781</v>
      </c>
      <c r="CF46" s="17">
        <f t="shared" si="362"/>
        <v>3814</v>
      </c>
      <c r="CG46" s="17">
        <f t="shared" si="362"/>
        <v>3934</v>
      </c>
      <c r="CH46" s="17">
        <f t="shared" si="362"/>
        <v>3921</v>
      </c>
      <c r="CI46" s="17">
        <f t="shared" si="362"/>
        <v>3204</v>
      </c>
      <c r="CJ46" s="80">
        <f t="shared" si="362"/>
        <v>14873</v>
      </c>
      <c r="CK46" s="17">
        <f t="shared" si="362"/>
        <v>2443</v>
      </c>
      <c r="CL46" s="128">
        <f t="shared" si="362"/>
        <v>2693</v>
      </c>
      <c r="CM46" s="128">
        <f t="shared" si="362"/>
        <v>3924</v>
      </c>
      <c r="CN46" s="129">
        <f t="shared" si="362"/>
        <v>3551</v>
      </c>
      <c r="CO46" s="18">
        <f t="shared" si="362"/>
        <v>12611</v>
      </c>
      <c r="CP46" s="129">
        <f t="shared" si="362"/>
        <v>2693</v>
      </c>
      <c r="CQ46" s="128">
        <f t="shared" si="362"/>
        <v>3922</v>
      </c>
      <c r="CR46" s="128">
        <f t="shared" si="362"/>
        <v>4550</v>
      </c>
      <c r="CS46" s="128">
        <f t="shared" si="362"/>
        <v>4659</v>
      </c>
      <c r="CT46" s="18">
        <f t="shared" si="362"/>
        <v>15961</v>
      </c>
      <c r="CU46" s="128">
        <f t="shared" si="362"/>
        <v>2673</v>
      </c>
      <c r="CV46" s="128">
        <f t="shared" si="362"/>
        <v>2983</v>
      </c>
      <c r="CW46" s="128">
        <f t="shared" si="362"/>
        <v>4253</v>
      </c>
      <c r="CX46" s="128">
        <f t="shared" si="362"/>
        <v>4303</v>
      </c>
      <c r="CY46" s="18">
        <f t="shared" si="362"/>
        <v>14317</v>
      </c>
      <c r="CZ46" s="128">
        <f t="shared" si="362"/>
        <v>2508</v>
      </c>
      <c r="DA46" s="128">
        <f t="shared" si="362"/>
        <v>1670</v>
      </c>
      <c r="DB46" s="128">
        <f t="shared" si="362"/>
        <v>4318</v>
      </c>
      <c r="DC46" s="128">
        <f t="shared" si="362"/>
        <v>4440</v>
      </c>
      <c r="DD46" s="18">
        <f t="shared" si="362"/>
        <v>12936</v>
      </c>
      <c r="DE46" s="128">
        <f t="shared" si="362"/>
        <v>3815</v>
      </c>
      <c r="DF46" s="128">
        <f t="shared" si="362"/>
        <v>4572</v>
      </c>
      <c r="DG46" s="129">
        <f t="shared" si="362"/>
        <v>5930</v>
      </c>
      <c r="DH46" s="128">
        <f t="shared" si="362"/>
        <v>6035</v>
      </c>
      <c r="DI46" s="18">
        <f t="shared" si="362"/>
        <v>20352</v>
      </c>
      <c r="DJ46" s="129">
        <f t="shared" si="362"/>
        <v>5011</v>
      </c>
      <c r="DK46" s="129">
        <f t="shared" si="362"/>
        <v>5529</v>
      </c>
      <c r="DL46" s="129">
        <f t="shared" si="362"/>
        <v>7142</v>
      </c>
      <c r="DM46" s="129">
        <f t="shared" si="362"/>
        <v>5635</v>
      </c>
      <c r="DN46" s="18">
        <f t="shared" si="362"/>
        <v>23317</v>
      </c>
      <c r="DO46" s="129">
        <f t="shared" si="362"/>
        <v>4547</v>
      </c>
      <c r="DP46" s="129">
        <f t="shared" si="362"/>
        <v>4724</v>
      </c>
      <c r="DQ46" s="129">
        <f t="shared" si="362"/>
        <v>6719</v>
      </c>
      <c r="DR46" s="129">
        <f t="shared" si="362"/>
        <v>8068</v>
      </c>
      <c r="DS46" s="18">
        <f t="shared" si="362"/>
        <v>24058</v>
      </c>
      <c r="DT46" s="129">
        <f t="shared" si="362"/>
        <v>6614</v>
      </c>
      <c r="DU46" s="129">
        <f t="shared" si="362"/>
        <v>5935</v>
      </c>
      <c r="DV46" s="129">
        <f t="shared" si="362"/>
        <v>5041</v>
      </c>
      <c r="DW46" s="129">
        <f t="shared" si="362"/>
        <v>7488</v>
      </c>
      <c r="DX46" s="18">
        <f t="shared" si="362"/>
        <v>25078</v>
      </c>
      <c r="DY46" s="129">
        <f t="shared" si="362"/>
        <v>3906</v>
      </c>
      <c r="DZ46" s="129">
        <f t="shared" si="362"/>
        <v>5745</v>
      </c>
      <c r="EA46" s="129">
        <f t="shared" si="362"/>
        <v>6858</v>
      </c>
      <c r="EB46" s="129">
        <f t="shared" si="362"/>
        <v>5194</v>
      </c>
      <c r="EC46" s="18">
        <f t="shared" si="362"/>
        <v>21703</v>
      </c>
      <c r="ED46" s="129">
        <f t="shared" si="362"/>
        <v>9661</v>
      </c>
      <c r="EE46" s="129">
        <f t="shared" si="362"/>
        <v>-909</v>
      </c>
      <c r="EF46" s="129">
        <f t="shared" si="362"/>
        <v>-188</v>
      </c>
      <c r="EG46" s="129">
        <f t="shared" si="362"/>
        <v>-796</v>
      </c>
      <c r="EH46" s="18">
        <f t="shared" si="362"/>
        <v>7768</v>
      </c>
      <c r="EI46" s="134" t="str">
        <f t="shared" si="362"/>
        <v>#ERROR!</v>
      </c>
      <c r="EJ46" s="128" t="str">
        <f t="shared" si="362"/>
        <v>#ERROR!</v>
      </c>
      <c r="EK46" s="128" t="str">
        <f t="shared" si="362"/>
        <v>#ERROR!</v>
      </c>
      <c r="EL46" s="128" t="str">
        <f t="shared" si="362"/>
        <v>#ERROR!</v>
      </c>
      <c r="EM46" s="18" t="str">
        <f t="shared" si="362"/>
        <v>#ERROR!</v>
      </c>
      <c r="EN46" s="128" t="str">
        <f t="shared" si="362"/>
        <v>#ERROR!</v>
      </c>
      <c r="EO46" s="128" t="str">
        <f t="shared" si="362"/>
        <v>#ERROR!</v>
      </c>
      <c r="EP46" s="128" t="str">
        <f t="shared" si="362"/>
        <v>#ERROR!</v>
      </c>
      <c r="EQ46" s="128" t="str">
        <f t="shared" si="362"/>
        <v>#ERROR!</v>
      </c>
      <c r="ER46" s="18" t="str">
        <f t="shared" si="362"/>
        <v>#ERROR!</v>
      </c>
      <c r="ES46" s="128" t="str">
        <f t="shared" si="362"/>
        <v>#ERROR!</v>
      </c>
      <c r="ET46" s="128" t="str">
        <f t="shared" si="362"/>
        <v>#ERROR!</v>
      </c>
      <c r="EU46" s="128" t="str">
        <f t="shared" si="362"/>
        <v>#ERROR!</v>
      </c>
      <c r="EV46" s="128" t="str">
        <f t="shared" si="362"/>
        <v>#ERROR!</v>
      </c>
      <c r="EW46" s="18" t="str">
        <f t="shared" si="362"/>
        <v>#ERROR!</v>
      </c>
      <c r="EX46" s="128" t="str">
        <f t="shared" si="362"/>
        <v>#ERROR!</v>
      </c>
      <c r="EY46" s="128" t="str">
        <f t="shared" si="362"/>
        <v>#ERROR!</v>
      </c>
      <c r="EZ46" s="128" t="str">
        <f t="shared" si="362"/>
        <v>#ERROR!</v>
      </c>
      <c r="FA46" s="128" t="str">
        <f t="shared" si="362"/>
        <v>#ERROR!</v>
      </c>
      <c r="FB46" s="18" t="str">
        <f t="shared" si="362"/>
        <v>#ERROR!</v>
      </c>
      <c r="FC46" s="128" t="str">
        <f t="shared" si="362"/>
        <v>#ERROR!</v>
      </c>
      <c r="FD46" s="128" t="str">
        <f t="shared" si="362"/>
        <v>#ERROR!</v>
      </c>
      <c r="FE46" s="128" t="str">
        <f t="shared" si="362"/>
        <v>#ERROR!</v>
      </c>
      <c r="FF46" s="128" t="str">
        <f t="shared" si="362"/>
        <v>#ERROR!</v>
      </c>
      <c r="FG46" s="18" t="str">
        <f t="shared" si="362"/>
        <v>#ERROR!</v>
      </c>
      <c r="FH46" s="74"/>
      <c r="FI46" s="4"/>
      <c r="FJ46" s="4"/>
      <c r="FK46" s="4"/>
      <c r="FL46" s="4"/>
    </row>
    <row r="47" ht="12.75" customHeight="1">
      <c r="A47" s="105"/>
      <c r="B47" s="159" t="s">
        <v>77</v>
      </c>
      <c r="C47" s="105"/>
      <c r="D47" s="160"/>
      <c r="E47" s="160"/>
      <c r="F47" s="160"/>
      <c r="G47" s="160"/>
      <c r="H47" s="109"/>
      <c r="I47" s="160"/>
      <c r="J47" s="160"/>
      <c r="K47" s="160"/>
      <c r="L47" s="160"/>
      <c r="M47" s="109"/>
      <c r="N47" s="160"/>
      <c r="O47" s="160"/>
      <c r="P47" s="160"/>
      <c r="Q47" s="160"/>
      <c r="R47" s="109"/>
      <c r="S47" s="160"/>
      <c r="T47" s="160"/>
      <c r="U47" s="160"/>
      <c r="V47" s="160"/>
      <c r="W47" s="109"/>
      <c r="X47" s="160"/>
      <c r="Y47" s="160"/>
      <c r="Z47" s="160"/>
      <c r="AA47" s="160"/>
      <c r="AB47" s="109"/>
      <c r="AC47" s="160"/>
      <c r="AD47" s="160"/>
      <c r="AE47" s="160"/>
      <c r="AF47" s="160"/>
      <c r="AG47" s="109"/>
      <c r="AH47" s="160"/>
      <c r="AI47" s="160"/>
      <c r="AJ47" s="160"/>
      <c r="AK47" s="160"/>
      <c r="AL47" s="109"/>
      <c r="AM47" s="160"/>
      <c r="AN47" s="160"/>
      <c r="AO47" s="160"/>
      <c r="AP47" s="160"/>
      <c r="AQ47" s="109"/>
      <c r="AR47" s="160"/>
      <c r="AS47" s="160"/>
      <c r="AT47" s="160"/>
      <c r="AU47" s="160"/>
      <c r="AV47" s="109"/>
      <c r="AW47" s="160"/>
      <c r="AX47" s="160"/>
      <c r="AY47" s="160"/>
      <c r="AZ47" s="160"/>
      <c r="BA47" s="109"/>
      <c r="BB47" s="160"/>
      <c r="BC47" s="160"/>
      <c r="BD47" s="160"/>
      <c r="BE47" s="160"/>
      <c r="BF47" s="109"/>
      <c r="BG47" s="160"/>
      <c r="BH47" s="160"/>
      <c r="BI47" s="160"/>
      <c r="BJ47" s="160"/>
      <c r="BK47" s="109"/>
      <c r="BL47" s="160"/>
      <c r="BM47" s="160"/>
      <c r="BN47" s="160"/>
      <c r="BO47" s="160"/>
      <c r="BP47" s="109"/>
      <c r="BQ47" s="160"/>
      <c r="BR47" s="160"/>
      <c r="BS47" s="160"/>
      <c r="BT47" s="160"/>
      <c r="BU47" s="109"/>
      <c r="BV47" s="160"/>
      <c r="BW47" s="160"/>
      <c r="BX47" s="160"/>
      <c r="BY47" s="160"/>
      <c r="BZ47" s="18"/>
      <c r="CA47" s="160"/>
      <c r="CB47" s="160"/>
      <c r="CC47" s="160"/>
      <c r="CD47" s="160"/>
      <c r="CE47" s="18"/>
      <c r="CF47" s="160"/>
      <c r="CG47" s="160"/>
      <c r="CH47" s="160"/>
      <c r="CI47" s="160"/>
      <c r="CJ47" s="80"/>
      <c r="CK47" s="160"/>
      <c r="CL47" s="161"/>
      <c r="CM47" s="161"/>
      <c r="CN47" s="161"/>
      <c r="CO47" s="18"/>
      <c r="CP47" s="161">
        <f t="shared" ref="CP47:CS47" si="363">CP41+CP45</f>
        <v>2890</v>
      </c>
      <c r="CQ47" s="161">
        <f t="shared" si="363"/>
        <v>4075</v>
      </c>
      <c r="CR47" s="161">
        <f t="shared" si="363"/>
        <v>4647</v>
      </c>
      <c r="CS47" s="161">
        <f t="shared" si="363"/>
        <v>4788</v>
      </c>
      <c r="CT47" s="18">
        <f>SUM(CP47:CS47)</f>
        <v>16400</v>
      </c>
      <c r="CU47" s="161">
        <f t="shared" ref="CU47:CX47" si="364">CU41+CU45</f>
        <v>2960</v>
      </c>
      <c r="CV47" s="161">
        <f t="shared" si="364"/>
        <v>3374</v>
      </c>
      <c r="CW47" s="161">
        <f t="shared" si="364"/>
        <v>4335</v>
      </c>
      <c r="CX47" s="161">
        <f t="shared" si="364"/>
        <v>4429</v>
      </c>
      <c r="CY47" s="18">
        <f>SUM(CU47:CX47)</f>
        <v>15098</v>
      </c>
      <c r="CZ47" s="161">
        <f t="shared" ref="CZ47:DC47" si="365">CZ41+CZ45</f>
        <v>3223</v>
      </c>
      <c r="DA47" s="161">
        <f t="shared" si="365"/>
        <v>3569</v>
      </c>
      <c r="DB47" s="161">
        <f t="shared" si="365"/>
        <v>4999</v>
      </c>
      <c r="DC47" s="161">
        <f t="shared" si="365"/>
        <v>4813</v>
      </c>
      <c r="DD47" s="18">
        <f>SUM(CZ47:DC47)</f>
        <v>16604</v>
      </c>
      <c r="DE47" s="161">
        <f>DE41+DE45</f>
        <v>4142</v>
      </c>
      <c r="DF47" s="161">
        <f>DF41+DF45-387</f>
        <v>4525</v>
      </c>
      <c r="DG47" s="161">
        <f t="shared" ref="DG47:DH47" si="366">DG41+DG45</f>
        <v>6366</v>
      </c>
      <c r="DH47" s="161">
        <f t="shared" si="366"/>
        <v>6573</v>
      </c>
      <c r="DI47" s="18">
        <f>SUM(DE47:DH47)</f>
        <v>21606</v>
      </c>
      <c r="DJ47" s="161">
        <f t="shared" ref="DJ47:DM47" si="367">DJ41+DJ45</f>
        <v>5336</v>
      </c>
      <c r="DK47" s="161">
        <f t="shared" si="367"/>
        <v>5595</v>
      </c>
      <c r="DL47" s="161">
        <f t="shared" si="367"/>
        <v>7396</v>
      </c>
      <c r="DM47" s="161">
        <f t="shared" si="367"/>
        <v>5964</v>
      </c>
      <c r="DN47" s="18">
        <f>SUM(DJ47:DM47)</f>
        <v>24291</v>
      </c>
      <c r="DO47" s="161">
        <f t="shared" ref="DO47:DR47" si="368">DO41+DO45</f>
        <v>4878</v>
      </c>
      <c r="DP47" s="161">
        <f t="shared" si="368"/>
        <v>5245</v>
      </c>
      <c r="DQ47" s="161">
        <f t="shared" si="368"/>
        <v>7161</v>
      </c>
      <c r="DR47" s="161">
        <f t="shared" si="368"/>
        <v>8491</v>
      </c>
      <c r="DS47" s="18">
        <f>SUM(DO47:DR47)</f>
        <v>25775</v>
      </c>
      <c r="DT47" s="161">
        <f>DT41+DT45</f>
        <v>7115</v>
      </c>
      <c r="DU47" s="161">
        <f>DU41+DU45-165</f>
        <v>6131</v>
      </c>
      <c r="DV47" s="161">
        <f>DV41+DV45+146-6</f>
        <v>5518</v>
      </c>
      <c r="DW47" s="161">
        <f>DW41+DW45+48</f>
        <v>7951</v>
      </c>
      <c r="DX47" s="18">
        <f>SUM(DT47:DW47)</f>
        <v>26715</v>
      </c>
      <c r="DY47" s="161">
        <f t="shared" ref="DY47:EB47" si="369">DY41+DY45</f>
        <v>6308</v>
      </c>
      <c r="DZ47" s="161">
        <f t="shared" si="369"/>
        <v>6055</v>
      </c>
      <c r="EA47" s="161">
        <f t="shared" si="369"/>
        <v>6833</v>
      </c>
      <c r="EB47" s="161">
        <f t="shared" si="369"/>
        <v>5256</v>
      </c>
      <c r="EC47" s="18">
        <f>SUM(DY47:EB47)</f>
        <v>24452</v>
      </c>
      <c r="ED47" s="161">
        <f>ED41+ED45-1121-4323</f>
        <v>4117</v>
      </c>
      <c r="EE47" s="161">
        <f>EE41+EE45+19+90</f>
        <v>1317</v>
      </c>
      <c r="EF47" s="161">
        <f>EF41+EF45+151-39</f>
        <v>1754</v>
      </c>
      <c r="EG47" s="161">
        <f>EG41+EG45-186-26</f>
        <v>726</v>
      </c>
      <c r="EH47" s="18">
        <f>SUM(ED47:EG47)</f>
        <v>7914</v>
      </c>
      <c r="EI47" s="134" t="str">
        <f t="shared" ref="EI47:EL47" si="370">EI41+EI45</f>
        <v>#ERROR!</v>
      </c>
      <c r="EJ47" s="161" t="str">
        <f t="shared" si="370"/>
        <v>#ERROR!</v>
      </c>
      <c r="EK47" s="161" t="str">
        <f t="shared" si="370"/>
        <v>#ERROR!</v>
      </c>
      <c r="EL47" s="161" t="str">
        <f t="shared" si="370"/>
        <v>#ERROR!</v>
      </c>
      <c r="EM47" s="18" t="str">
        <f>SUM(EI47:EL47)</f>
        <v>#ERROR!</v>
      </c>
      <c r="EN47" s="161" t="str">
        <f t="shared" ref="EN47:EQ47" si="371">EN41+EN45</f>
        <v>#ERROR!</v>
      </c>
      <c r="EO47" s="161" t="str">
        <f t="shared" si="371"/>
        <v>#ERROR!</v>
      </c>
      <c r="EP47" s="161" t="str">
        <f t="shared" si="371"/>
        <v>#ERROR!</v>
      </c>
      <c r="EQ47" s="161" t="str">
        <f t="shared" si="371"/>
        <v>#ERROR!</v>
      </c>
      <c r="ER47" s="18" t="str">
        <f>SUM(EN47:EQ47)</f>
        <v>#ERROR!</v>
      </c>
      <c r="ES47" s="161" t="str">
        <f t="shared" ref="ES47:EV47" si="372">ES41+ES45</f>
        <v>#ERROR!</v>
      </c>
      <c r="ET47" s="161" t="str">
        <f t="shared" si="372"/>
        <v>#ERROR!</v>
      </c>
      <c r="EU47" s="161" t="str">
        <f t="shared" si="372"/>
        <v>#ERROR!</v>
      </c>
      <c r="EV47" s="161" t="str">
        <f t="shared" si="372"/>
        <v>#ERROR!</v>
      </c>
      <c r="EW47" s="18" t="str">
        <f>SUM(ES47:EV47)</f>
        <v>#ERROR!</v>
      </c>
      <c r="EX47" s="161" t="str">
        <f t="shared" ref="EX47:FA47" si="373">EX41+EX45</f>
        <v>#ERROR!</v>
      </c>
      <c r="EY47" s="161" t="str">
        <f t="shared" si="373"/>
        <v>#ERROR!</v>
      </c>
      <c r="EZ47" s="161" t="str">
        <f t="shared" si="373"/>
        <v>#ERROR!</v>
      </c>
      <c r="FA47" s="161" t="str">
        <f t="shared" si="373"/>
        <v>#ERROR!</v>
      </c>
      <c r="FB47" s="18" t="str">
        <f>SUM(EX47:FA47)</f>
        <v>#ERROR!</v>
      </c>
      <c r="FC47" s="161" t="str">
        <f t="shared" ref="FC47:FF47" si="374">FC41+FC45</f>
        <v>#ERROR!</v>
      </c>
      <c r="FD47" s="161" t="str">
        <f t="shared" si="374"/>
        <v>#ERROR!</v>
      </c>
      <c r="FE47" s="161" t="str">
        <f t="shared" si="374"/>
        <v>#ERROR!</v>
      </c>
      <c r="FF47" s="161" t="str">
        <f t="shared" si="374"/>
        <v>#ERROR!</v>
      </c>
      <c r="FG47" s="18" t="str">
        <f>SUM(FC47:FF47)</f>
        <v>#ERROR!</v>
      </c>
      <c r="FH47" s="74"/>
      <c r="FI47" s="105"/>
      <c r="FJ47" s="105"/>
      <c r="FK47" s="105"/>
      <c r="FL47" s="105"/>
    </row>
    <row r="48" ht="12.75" customHeight="1">
      <c r="A48" s="4"/>
      <c r="B48" s="72" t="s">
        <v>78</v>
      </c>
      <c r="C48" s="72"/>
      <c r="D48" s="17"/>
      <c r="E48" s="17"/>
      <c r="F48" s="17"/>
      <c r="G48" s="17"/>
      <c r="H48" s="73"/>
      <c r="I48" s="17"/>
      <c r="J48" s="17"/>
      <c r="K48" s="17"/>
      <c r="L48" s="17"/>
      <c r="M48" s="73"/>
      <c r="N48" s="17">
        <v>708.0</v>
      </c>
      <c r="O48" s="17">
        <v>578.0</v>
      </c>
      <c r="P48" s="17">
        <v>767.0</v>
      </c>
      <c r="Q48" s="17">
        <v>1016.0</v>
      </c>
      <c r="R48" s="73">
        <f>+SUM(N48:Q48)</f>
        <v>3069</v>
      </c>
      <c r="S48" s="17">
        <f>EBT-proFormaNetInc</f>
        <v>985</v>
      </c>
      <c r="T48" s="17">
        <f>EBT-proFormaNetInc</f>
        <v>861</v>
      </c>
      <c r="U48" s="17">
        <f>EBT-proFormaNetInc</f>
        <v>922</v>
      </c>
      <c r="V48" s="17">
        <f>EBT-proFormaNetInc</f>
        <v>1154</v>
      </c>
      <c r="W48" s="73">
        <f>+SUM(S48:V48)</f>
        <v>3922</v>
      </c>
      <c r="X48" s="17">
        <f>EBT-proFormaNetInc</f>
        <v>531</v>
      </c>
      <c r="Y48" s="17">
        <f>EBT-proFormaNetInc</f>
        <v>1646</v>
      </c>
      <c r="Z48" s="17">
        <f>EBT-proFormaNetInc</f>
        <v>1352</v>
      </c>
      <c r="AA48" s="17">
        <f>EBT-proFormaNetInc</f>
        <v>1182</v>
      </c>
      <c r="AB48" s="73">
        <f>+SUM(X48:AA48)</f>
        <v>4711</v>
      </c>
      <c r="AC48" s="17">
        <f>EBT-proFormaNetInc</f>
        <v>467</v>
      </c>
      <c r="AD48" s="17">
        <f>EBT-proFormaNetInc</f>
        <v>209</v>
      </c>
      <c r="AE48" s="17">
        <f>EBT-proFormaNetInc</f>
        <v>91</v>
      </c>
      <c r="AF48" s="17">
        <f>EBT-proFormaNetInc</f>
        <v>346</v>
      </c>
      <c r="AG48" s="73">
        <f>+SUM(AC48:AF48)</f>
        <v>1113</v>
      </c>
      <c r="AH48" s="17">
        <f>EBT-proFormaNetInc</f>
        <v>406</v>
      </c>
      <c r="AI48" s="17">
        <f>EBT-proFormaNetInc</f>
        <v>246</v>
      </c>
      <c r="AJ48" s="17">
        <f>EBT-proFormaNetInc</f>
        <v>257</v>
      </c>
      <c r="AK48" s="17">
        <f>EBT-proFormaNetInc</f>
        <v>399</v>
      </c>
      <c r="AL48" s="73">
        <f>+SUM(AH48:AK48)</f>
        <v>1308</v>
      </c>
      <c r="AM48" s="17">
        <v>401.0</v>
      </c>
      <c r="AN48" s="17">
        <v>375.0</v>
      </c>
      <c r="AO48" s="17">
        <v>618.0</v>
      </c>
      <c r="AP48" s="17">
        <v>1027.0</v>
      </c>
      <c r="AQ48" s="73">
        <f>+SUM(AM48:AP48)</f>
        <v>2421</v>
      </c>
      <c r="AR48" s="17">
        <v>814.0</v>
      </c>
      <c r="AS48" s="17">
        <v>663.0</v>
      </c>
      <c r="AT48" s="17">
        <v>520.0</v>
      </c>
      <c r="AU48" s="17">
        <v>904.0</v>
      </c>
      <c r="AV48" s="73">
        <f>+SUM(AR48:AU48)</f>
        <v>2901</v>
      </c>
      <c r="AW48" s="17">
        <v>973.0</v>
      </c>
      <c r="AX48" s="17">
        <v>716.0</v>
      </c>
      <c r="AY48" s="17">
        <f>0.308*AY46</f>
        <v>1041.964</v>
      </c>
      <c r="AZ48" s="17">
        <v>1009.0</v>
      </c>
      <c r="BA48" s="73">
        <f>+SUM(AW48:AZ48)</f>
        <v>3739.964</v>
      </c>
      <c r="BB48" s="17">
        <v>517.0</v>
      </c>
      <c r="BC48" s="17">
        <v>368.0</v>
      </c>
      <c r="BD48" s="17">
        <v>513.0</v>
      </c>
      <c r="BE48" s="17">
        <v>626.0</v>
      </c>
      <c r="BF48" s="73">
        <f>+SUM(BB48:BE48)</f>
        <v>2024</v>
      </c>
      <c r="BG48" s="17">
        <f>BG60+326</f>
        <v>563</v>
      </c>
      <c r="BH48" s="17">
        <f>BH60+181</f>
        <v>432</v>
      </c>
      <c r="BI48" s="17">
        <f>28.4%*BI46</f>
        <v>742.944</v>
      </c>
      <c r="BJ48" s="17">
        <v>990.0</v>
      </c>
      <c r="BK48" s="73">
        <f>+SUM(BG48:BJ48)</f>
        <v>2727.944</v>
      </c>
      <c r="BL48" s="17">
        <v>728.0</v>
      </c>
      <c r="BM48" s="17">
        <v>712.0</v>
      </c>
      <c r="BN48" s="17">
        <v>819.0</v>
      </c>
      <c r="BO48" s="17">
        <f>EBT*0.289</f>
        <v>377.723</v>
      </c>
      <c r="BP48" s="73">
        <f>+SUM(BL48:BO48)</f>
        <v>2636.723</v>
      </c>
      <c r="BQ48" s="17">
        <v>0.0</v>
      </c>
      <c r="BR48" s="17">
        <v>348.0</v>
      </c>
      <c r="BS48" s="17">
        <v>676.0</v>
      </c>
      <c r="BT48" s="17">
        <f>GAAPTax+438</f>
        <v>749</v>
      </c>
      <c r="BU48" s="73">
        <f>+SUM(BQ48:BT48)</f>
        <v>1773</v>
      </c>
      <c r="BV48" s="17">
        <v>1004.0</v>
      </c>
      <c r="BW48" s="17">
        <v>1298.0</v>
      </c>
      <c r="BX48" s="17">
        <v>1296.0</v>
      </c>
      <c r="BY48" s="92">
        <f>BZ48-SUM(BV48:BX48)</f>
        <v>983</v>
      </c>
      <c r="BZ48" s="18">
        <v>4581.0</v>
      </c>
      <c r="CA48" s="17">
        <v>1211.0</v>
      </c>
      <c r="CB48" s="17">
        <v>977.0</v>
      </c>
      <c r="CC48" s="17">
        <v>1424.0</v>
      </c>
      <c r="CD48" s="17">
        <v>1227.0</v>
      </c>
      <c r="CE48" s="18">
        <f>+SUM(CA48:CD48)</f>
        <v>4839</v>
      </c>
      <c r="CF48" s="17">
        <v>1076.0</v>
      </c>
      <c r="CG48" s="17">
        <v>1107.0</v>
      </c>
      <c r="CH48" s="17">
        <v>949.0</v>
      </c>
      <c r="CI48" s="17">
        <f>736</f>
        <v>736</v>
      </c>
      <c r="CJ48" s="80">
        <f>+SUM(CF48:CI48)</f>
        <v>3868</v>
      </c>
      <c r="CK48" s="17">
        <v>398.0</v>
      </c>
      <c r="CL48" s="128">
        <v>693.0</v>
      </c>
      <c r="CM48" s="128">
        <v>974.0</v>
      </c>
      <c r="CN48" s="129">
        <v>926.0</v>
      </c>
      <c r="CO48" s="18">
        <f>+SUM(CK48:CN48)</f>
        <v>2991</v>
      </c>
      <c r="CP48" s="129">
        <v>740.0</v>
      </c>
      <c r="CQ48" s="128">
        <v>1126.0</v>
      </c>
      <c r="CR48" s="128">
        <v>1233.0</v>
      </c>
      <c r="CS48" s="128">
        <v>998.0</v>
      </c>
      <c r="CT48" s="18">
        <f>+SUM(CP48:CS48)</f>
        <v>4097</v>
      </c>
      <c r="CU48" s="128">
        <v>681.0</v>
      </c>
      <c r="CV48" s="128">
        <v>277.0</v>
      </c>
      <c r="CW48" s="128">
        <v>1144.0</v>
      </c>
      <c r="CX48" s="128">
        <v>690.0</v>
      </c>
      <c r="CY48" s="18">
        <f>+SUM(CU48:CX48)</f>
        <v>2792</v>
      </c>
      <c r="CZ48" s="128">
        <v>462.0</v>
      </c>
      <c r="DA48" s="128">
        <v>340.0</v>
      </c>
      <c r="DB48" s="128">
        <v>940.0</v>
      </c>
      <c r="DC48" s="128">
        <v>878.0</v>
      </c>
      <c r="DD48" s="18">
        <f>+SUM(CZ48:DC48)</f>
        <v>2620</v>
      </c>
      <c r="DE48" s="128">
        <v>851.0</v>
      </c>
      <c r="DF48" s="128">
        <v>1764.0</v>
      </c>
      <c r="DG48" s="129">
        <v>1414.0</v>
      </c>
      <c r="DH48" s="128">
        <v>6722.0</v>
      </c>
      <c r="DI48" s="18">
        <f>+SUM(DE48:DH48)</f>
        <v>10751</v>
      </c>
      <c r="DJ48" s="129">
        <v>557.0</v>
      </c>
      <c r="DK48" s="129">
        <v>523.0</v>
      </c>
      <c r="DL48" s="129">
        <v>744.0</v>
      </c>
      <c r="DM48" s="129">
        <v>440.0</v>
      </c>
      <c r="DN48" s="18">
        <f>+SUM(DJ48:DM48)</f>
        <v>2264</v>
      </c>
      <c r="DO48" s="129">
        <v>573.0</v>
      </c>
      <c r="DP48" s="129">
        <v>545.0</v>
      </c>
      <c r="DQ48" s="129">
        <v>729.0</v>
      </c>
      <c r="DR48" s="129">
        <v>1163.0</v>
      </c>
      <c r="DS48" s="18">
        <f>+SUM(DO48:DR48)</f>
        <v>3010</v>
      </c>
      <c r="DT48" s="129">
        <v>953.0</v>
      </c>
      <c r="DU48" s="129">
        <v>830.0</v>
      </c>
      <c r="DV48" s="129">
        <v>765.0</v>
      </c>
      <c r="DW48" s="129">
        <v>1631.0</v>
      </c>
      <c r="DX48" s="18">
        <f>+SUM(DT48:DW48)</f>
        <v>4179</v>
      </c>
      <c r="DY48" s="129">
        <v>545.0</v>
      </c>
      <c r="DZ48" s="129">
        <v>684.0</v>
      </c>
      <c r="EA48" s="129">
        <v>35.0</v>
      </c>
      <c r="EB48" s="129">
        <v>571.0</v>
      </c>
      <c r="EC48" s="18">
        <f>+SUM(DY48:EB48)</f>
        <v>1835</v>
      </c>
      <c r="ED48" s="129">
        <v>1548.0</v>
      </c>
      <c r="EE48" s="129">
        <v>-455.0</v>
      </c>
      <c r="EF48" s="129">
        <v>-1207.0</v>
      </c>
      <c r="EG48" s="129">
        <v>-135.0</v>
      </c>
      <c r="EH48" s="18">
        <f>+SUM(ED48:EG48)</f>
        <v>-249</v>
      </c>
      <c r="EI48" s="134" t="str">
        <f>EBT*taxRate</f>
        <v>#ERROR!</v>
      </c>
      <c r="EJ48" s="128" t="str">
        <f>EBT*taxRate</f>
        <v>#ERROR!</v>
      </c>
      <c r="EK48" s="128" t="str">
        <f>EBT*taxRate</f>
        <v>#ERROR!</v>
      </c>
      <c r="EL48" s="128" t="str">
        <f>EBT*taxRate</f>
        <v>#ERROR!</v>
      </c>
      <c r="EM48" s="18" t="str">
        <f>+SUM(EI48:EL48)</f>
        <v>#ERROR!</v>
      </c>
      <c r="EN48" s="128" t="str">
        <f>EBT*taxRate</f>
        <v>#ERROR!</v>
      </c>
      <c r="EO48" s="128" t="str">
        <f>EBT*taxRate</f>
        <v>#ERROR!</v>
      </c>
      <c r="EP48" s="128" t="str">
        <f>EBT*taxRate</f>
        <v>#ERROR!</v>
      </c>
      <c r="EQ48" s="128" t="str">
        <f>EBT*taxRate</f>
        <v>#ERROR!</v>
      </c>
      <c r="ER48" s="18" t="str">
        <f>+SUM(EN48:EQ48)</f>
        <v>#ERROR!</v>
      </c>
      <c r="ES48" s="128" t="str">
        <f>EBT*taxRate</f>
        <v>#ERROR!</v>
      </c>
      <c r="ET48" s="128" t="str">
        <f>EBT*taxRate</f>
        <v>#ERROR!</v>
      </c>
      <c r="EU48" s="128" t="str">
        <f>EBT*taxRate</f>
        <v>#ERROR!</v>
      </c>
      <c r="EV48" s="128" t="str">
        <f>EBT*taxRate</f>
        <v>#ERROR!</v>
      </c>
      <c r="EW48" s="18" t="str">
        <f>+SUM(ES48:EV48)</f>
        <v>#ERROR!</v>
      </c>
      <c r="EX48" s="128" t="str">
        <f>EBT*taxRate</f>
        <v>#ERROR!</v>
      </c>
      <c r="EY48" s="128" t="str">
        <f>EBT*taxRate</f>
        <v>#ERROR!</v>
      </c>
      <c r="EZ48" s="128" t="str">
        <f>EBT*taxRate</f>
        <v>#ERROR!</v>
      </c>
      <c r="FA48" s="128" t="str">
        <f>EBT*taxRate</f>
        <v>#ERROR!</v>
      </c>
      <c r="FB48" s="18" t="str">
        <f>+SUM(EX48:FA48)</f>
        <v>#ERROR!</v>
      </c>
      <c r="FC48" s="128" t="str">
        <f>EBT*taxRate</f>
        <v>#ERROR!</v>
      </c>
      <c r="FD48" s="128" t="str">
        <f>EBT*taxRate</f>
        <v>#ERROR!</v>
      </c>
      <c r="FE48" s="128" t="str">
        <f>EBT*taxRate</f>
        <v>#ERROR!</v>
      </c>
      <c r="FF48" s="128" t="str">
        <f>EBT*taxRate</f>
        <v>#ERROR!</v>
      </c>
      <c r="FG48" s="18" t="str">
        <f>+SUM(FC48:FF48)</f>
        <v>#ERROR!</v>
      </c>
      <c r="FH48" s="74"/>
      <c r="FI48" s="4"/>
      <c r="FJ48" s="4"/>
      <c r="FK48" s="4"/>
      <c r="FL48" s="4"/>
    </row>
    <row r="49" ht="12.75" customHeight="1">
      <c r="A49" s="105"/>
      <c r="B49" s="159" t="s">
        <v>79</v>
      </c>
      <c r="C49" s="159"/>
      <c r="D49" s="160"/>
      <c r="E49" s="160"/>
      <c r="F49" s="160"/>
      <c r="G49" s="160"/>
      <c r="H49" s="109"/>
      <c r="I49" s="160"/>
      <c r="J49" s="160"/>
      <c r="K49" s="160"/>
      <c r="L49" s="160"/>
      <c r="M49" s="109"/>
      <c r="N49" s="160"/>
      <c r="O49" s="160"/>
      <c r="P49" s="160"/>
      <c r="Q49" s="160"/>
      <c r="R49" s="109"/>
      <c r="S49" s="160"/>
      <c r="T49" s="160"/>
      <c r="U49" s="160"/>
      <c r="V49" s="160"/>
      <c r="W49" s="109"/>
      <c r="X49" s="160"/>
      <c r="Y49" s="160"/>
      <c r="Z49" s="160"/>
      <c r="AA49" s="160"/>
      <c r="AB49" s="109"/>
      <c r="AC49" s="160"/>
      <c r="AD49" s="160"/>
      <c r="AE49" s="160"/>
      <c r="AF49" s="160"/>
      <c r="AG49" s="109"/>
      <c r="AH49" s="160"/>
      <c r="AI49" s="160"/>
      <c r="AJ49" s="160"/>
      <c r="AK49" s="160"/>
      <c r="AL49" s="109"/>
      <c r="AM49" s="160"/>
      <c r="AN49" s="160"/>
      <c r="AO49" s="160"/>
      <c r="AP49" s="160"/>
      <c r="AQ49" s="109"/>
      <c r="AR49" s="160"/>
      <c r="AS49" s="160"/>
      <c r="AT49" s="160"/>
      <c r="AU49" s="160"/>
      <c r="AV49" s="109"/>
      <c r="AW49" s="160"/>
      <c r="AX49" s="160"/>
      <c r="AY49" s="160"/>
      <c r="AZ49" s="160"/>
      <c r="BA49" s="109"/>
      <c r="BB49" s="160"/>
      <c r="BC49" s="160"/>
      <c r="BD49" s="160"/>
      <c r="BE49" s="160"/>
      <c r="BF49" s="109"/>
      <c r="BG49" s="160"/>
      <c r="BH49" s="160"/>
      <c r="BI49" s="160"/>
      <c r="BJ49" s="160"/>
      <c r="BK49" s="109"/>
      <c r="BL49" s="160"/>
      <c r="BM49" s="160"/>
      <c r="BN49" s="160"/>
      <c r="BO49" s="160"/>
      <c r="BP49" s="109"/>
      <c r="BQ49" s="160"/>
      <c r="BR49" s="160"/>
      <c r="BS49" s="160"/>
      <c r="BT49" s="160"/>
      <c r="BU49" s="109"/>
      <c r="BV49" s="160"/>
      <c r="BW49" s="160"/>
      <c r="BX49" s="160"/>
      <c r="BY49" s="160"/>
      <c r="BZ49" s="18"/>
      <c r="CA49" s="160"/>
      <c r="CB49" s="160"/>
      <c r="CC49" s="160"/>
      <c r="CD49" s="160"/>
      <c r="CE49" s="18"/>
      <c r="CF49" s="160"/>
      <c r="CG49" s="160"/>
      <c r="CH49" s="160"/>
      <c r="CI49" s="160"/>
      <c r="CJ49" s="80"/>
      <c r="CK49" s="160"/>
      <c r="CL49" s="161"/>
      <c r="CM49" s="161"/>
      <c r="CN49" s="161"/>
      <c r="CO49" s="18"/>
      <c r="CP49" s="161">
        <f>CP48+73</f>
        <v>813</v>
      </c>
      <c r="CQ49" s="161">
        <f>CQ48+42</f>
        <v>1168</v>
      </c>
      <c r="CR49" s="161">
        <f>CR48+62</f>
        <v>1295</v>
      </c>
      <c r="CS49" s="161">
        <f>CS48+20</f>
        <v>1018</v>
      </c>
      <c r="CT49" s="18">
        <f>SUM(CP49:CS49)</f>
        <v>4294</v>
      </c>
      <c r="CU49" s="161">
        <f>CU48+73</f>
        <v>754</v>
      </c>
      <c r="CV49" s="161">
        <f>CV48+42</f>
        <v>319</v>
      </c>
      <c r="CW49" s="161">
        <f>CW48+62</f>
        <v>1206</v>
      </c>
      <c r="CX49" s="161">
        <f>CX48+20</f>
        <v>710</v>
      </c>
      <c r="CY49" s="18">
        <f>SUM(CU49:CX49)</f>
        <v>2989</v>
      </c>
      <c r="CZ49" s="161">
        <f>CZ48+132</f>
        <v>594</v>
      </c>
      <c r="DA49" s="161">
        <f>DA48+370</f>
        <v>710</v>
      </c>
      <c r="DB49" s="161">
        <f>DB48+173</f>
        <v>1113</v>
      </c>
      <c r="DC49" s="161">
        <f>DC48+70</f>
        <v>948</v>
      </c>
      <c r="DD49" s="18">
        <f>SUM(CZ49:DC49)</f>
        <v>3365</v>
      </c>
      <c r="DE49" s="161">
        <f>DE48+73</f>
        <v>924</v>
      </c>
      <c r="DF49" s="161">
        <f>DF47*0.2251</f>
        <v>1018.5775</v>
      </c>
      <c r="DG49" s="161">
        <f>DG48+104</f>
        <v>1518</v>
      </c>
      <c r="DH49" s="161">
        <f>DH48+114-5444</f>
        <v>1392</v>
      </c>
      <c r="DI49" s="18">
        <f>SUM(DE49:DH49)</f>
        <v>4852.5775</v>
      </c>
      <c r="DJ49" s="161">
        <f>DJ48-2+606</f>
        <v>1161</v>
      </c>
      <c r="DK49" s="161">
        <f>DK47*0.117</f>
        <v>654.615</v>
      </c>
      <c r="DL49" s="161">
        <f>DL48+23+113+8</f>
        <v>888</v>
      </c>
      <c r="DM49" s="161">
        <f>DM48+130-508</f>
        <v>62</v>
      </c>
      <c r="DN49" s="18">
        <f>SUM(DJ49:DM49)</f>
        <v>2765.615</v>
      </c>
      <c r="DO49" s="161">
        <f>DO48+4+253</f>
        <v>830</v>
      </c>
      <c r="DP49" s="161">
        <f>DP48+94-179</f>
        <v>460</v>
      </c>
      <c r="DQ49" s="161">
        <f>DQ48+114+29</f>
        <v>872</v>
      </c>
      <c r="DR49" s="161">
        <f>DR48-114+89+690</f>
        <v>1828</v>
      </c>
      <c r="DS49" s="18">
        <f>SUM(DO49:DR49)</f>
        <v>3990</v>
      </c>
      <c r="DT49" s="161">
        <f>DT48-103+33</f>
        <v>883</v>
      </c>
      <c r="DU49" s="161">
        <f>DU48+23</f>
        <v>853</v>
      </c>
      <c r="DV49" s="161">
        <f>DV48+78</f>
        <v>843</v>
      </c>
      <c r="DW49" s="161">
        <f>DW48+75</f>
        <v>1706</v>
      </c>
      <c r="DX49" s="18">
        <f>SUM(DT49:DW49)</f>
        <v>4285</v>
      </c>
      <c r="DY49" s="161">
        <f>DY48-291+359</f>
        <v>613</v>
      </c>
      <c r="DZ49" s="161">
        <f>138+19+DZ48</f>
        <v>841</v>
      </c>
      <c r="EA49" s="161">
        <f>EA48-192-7</f>
        <v>-164</v>
      </c>
      <c r="EB49" s="161">
        <f>EB48-(-216-18)</f>
        <v>805</v>
      </c>
      <c r="EC49" s="18">
        <f>SUM(DY49:EB49)</f>
        <v>2095</v>
      </c>
      <c r="ED49" s="161">
        <f>ED48-1391+374</f>
        <v>531</v>
      </c>
      <c r="EE49" s="161">
        <f>EE48-33+624</f>
        <v>136</v>
      </c>
      <c r="EF49" s="161">
        <f>EF48+303+226</f>
        <v>-678</v>
      </c>
      <c r="EG49" s="161">
        <f>EG48+267+200</f>
        <v>332</v>
      </c>
      <c r="EH49" s="18">
        <f>SUM(ED49:EG49)</f>
        <v>321</v>
      </c>
      <c r="EI49" s="134" t="str">
        <f t="shared" ref="EI49:EL49" si="375">EI47*EI110</f>
        <v>#ERROR!</v>
      </c>
      <c r="EJ49" s="161" t="str">
        <f t="shared" si="375"/>
        <v>#ERROR!</v>
      </c>
      <c r="EK49" s="161" t="str">
        <f t="shared" si="375"/>
        <v>#ERROR!</v>
      </c>
      <c r="EL49" s="161" t="str">
        <f t="shared" si="375"/>
        <v>#ERROR!</v>
      </c>
      <c r="EM49" s="18" t="str">
        <f>SUM(EI49:EL49)</f>
        <v>#ERROR!</v>
      </c>
      <c r="EN49" s="161" t="str">
        <f t="shared" ref="EN49:EQ49" si="376">EN47*EN110</f>
        <v>#ERROR!</v>
      </c>
      <c r="EO49" s="161" t="str">
        <f t="shared" si="376"/>
        <v>#ERROR!</v>
      </c>
      <c r="EP49" s="161" t="str">
        <f t="shared" si="376"/>
        <v>#ERROR!</v>
      </c>
      <c r="EQ49" s="161" t="str">
        <f t="shared" si="376"/>
        <v>#ERROR!</v>
      </c>
      <c r="ER49" s="18" t="str">
        <f>SUM(EN49:EQ49)</f>
        <v>#ERROR!</v>
      </c>
      <c r="ES49" s="161" t="str">
        <f t="shared" ref="ES49:EV49" si="377">ES47*ES110</f>
        <v>#ERROR!</v>
      </c>
      <c r="ET49" s="161" t="str">
        <f t="shared" si="377"/>
        <v>#ERROR!</v>
      </c>
      <c r="EU49" s="161" t="str">
        <f t="shared" si="377"/>
        <v>#ERROR!</v>
      </c>
      <c r="EV49" s="161" t="str">
        <f t="shared" si="377"/>
        <v>#ERROR!</v>
      </c>
      <c r="EW49" s="18" t="str">
        <f>SUM(ES49:EV49)</f>
        <v>#ERROR!</v>
      </c>
      <c r="EX49" s="161" t="str">
        <f t="shared" ref="EX49:FA49" si="378">EX47*EX110</f>
        <v>#ERROR!</v>
      </c>
      <c r="EY49" s="161" t="str">
        <f t="shared" si="378"/>
        <v>#ERROR!</v>
      </c>
      <c r="EZ49" s="161" t="str">
        <f t="shared" si="378"/>
        <v>#ERROR!</v>
      </c>
      <c r="FA49" s="161" t="str">
        <f t="shared" si="378"/>
        <v>#ERROR!</v>
      </c>
      <c r="FB49" s="18" t="str">
        <f>SUM(EX49:FA49)</f>
        <v>#ERROR!</v>
      </c>
      <c r="FC49" s="161" t="str">
        <f t="shared" ref="FC49:FF49" si="379">FC47*FC110</f>
        <v>#ERROR!</v>
      </c>
      <c r="FD49" s="161" t="str">
        <f t="shared" si="379"/>
        <v>#ERROR!</v>
      </c>
      <c r="FE49" s="161" t="str">
        <f t="shared" si="379"/>
        <v>#ERROR!</v>
      </c>
      <c r="FF49" s="161" t="str">
        <f t="shared" si="379"/>
        <v>#ERROR!</v>
      </c>
      <c r="FG49" s="18" t="str">
        <f>SUM(FC49:FF49)</f>
        <v>#ERROR!</v>
      </c>
      <c r="FH49" s="74"/>
      <c r="FI49" s="105"/>
      <c r="FJ49" s="105"/>
      <c r="FK49" s="105"/>
      <c r="FL49" s="105"/>
    </row>
    <row r="50" ht="12.75" customHeight="1" outlineLevel="1">
      <c r="A50" s="4"/>
      <c r="B50" s="162" t="s">
        <v>80</v>
      </c>
      <c r="C50" s="72"/>
      <c r="D50" s="17"/>
      <c r="E50" s="17"/>
      <c r="F50" s="17"/>
      <c r="G50" s="17"/>
      <c r="H50" s="73"/>
      <c r="I50" s="17"/>
      <c r="J50" s="17"/>
      <c r="K50" s="17"/>
      <c r="L50" s="17"/>
      <c r="M50" s="73"/>
      <c r="N50" s="17"/>
      <c r="O50" s="17"/>
      <c r="P50" s="17"/>
      <c r="Q50" s="17"/>
      <c r="R50" s="73"/>
      <c r="S50" s="17"/>
      <c r="T50" s="17"/>
      <c r="U50" s="17"/>
      <c r="V50" s="17"/>
      <c r="W50" s="73"/>
      <c r="X50" s="17"/>
      <c r="Y50" s="17"/>
      <c r="Z50" s="17"/>
      <c r="AA50" s="17"/>
      <c r="AB50" s="73"/>
      <c r="AC50" s="17"/>
      <c r="AD50" s="17"/>
      <c r="AE50" s="17"/>
      <c r="AF50" s="17"/>
      <c r="AG50" s="73"/>
      <c r="AH50" s="17"/>
      <c r="AI50" s="17"/>
      <c r="AJ50" s="17"/>
      <c r="AK50" s="17"/>
      <c r="AL50" s="73"/>
      <c r="AM50" s="17"/>
      <c r="AN50" s="17"/>
      <c r="AO50" s="17"/>
      <c r="AP50" s="17"/>
      <c r="AQ50" s="73"/>
      <c r="AR50" s="17"/>
      <c r="AS50" s="17"/>
      <c r="AT50" s="17"/>
      <c r="AU50" s="17"/>
      <c r="AV50" s="73"/>
      <c r="AW50" s="17"/>
      <c r="AX50" s="17"/>
      <c r="AY50" s="17"/>
      <c r="AZ50" s="17"/>
      <c r="BA50" s="73"/>
      <c r="BB50" s="17">
        <v>0.0</v>
      </c>
      <c r="BC50" s="17">
        <v>0.0</v>
      </c>
      <c r="BD50" s="17">
        <v>0.0</v>
      </c>
      <c r="BE50" s="17">
        <v>0.0</v>
      </c>
      <c r="BF50" s="73">
        <f>+SUM(BB50:BE50)</f>
        <v>0</v>
      </c>
      <c r="BG50" s="17">
        <v>0.0</v>
      </c>
      <c r="BH50" s="17">
        <v>0.0</v>
      </c>
      <c r="BI50" s="17">
        <v>0.0</v>
      </c>
      <c r="BJ50" s="17">
        <v>0.0</v>
      </c>
      <c r="BK50" s="73">
        <f>+SUM(BG50:BJ50)</f>
        <v>0</v>
      </c>
      <c r="BL50" s="17">
        <v>0.0</v>
      </c>
      <c r="BM50" s="17">
        <v>0.0</v>
      </c>
      <c r="BN50" s="17">
        <v>0.0</v>
      </c>
      <c r="BO50" s="17">
        <v>0.0</v>
      </c>
      <c r="BP50" s="73">
        <f>+SUM(BL50:BO50)</f>
        <v>0</v>
      </c>
      <c r="BQ50" s="17">
        <v>0.0</v>
      </c>
      <c r="BR50" s="17">
        <v>0.0</v>
      </c>
      <c r="BS50" s="17">
        <v>0.0</v>
      </c>
      <c r="BT50" s="17">
        <v>0.0</v>
      </c>
      <c r="BU50" s="73">
        <f>+SUM(BQ50:BT50)</f>
        <v>0</v>
      </c>
      <c r="BV50" s="17">
        <v>0.0</v>
      </c>
      <c r="BW50" s="17">
        <v>0.0</v>
      </c>
      <c r="BX50" s="17">
        <v>0.0</v>
      </c>
      <c r="BY50" s="17">
        <v>0.0</v>
      </c>
      <c r="BZ50" s="18">
        <f>+SUM(BV50:BY50)</f>
        <v>0</v>
      </c>
      <c r="CA50" s="17">
        <v>0.0</v>
      </c>
      <c r="CB50" s="17">
        <v>0.0</v>
      </c>
      <c r="CC50" s="17">
        <v>0.0</v>
      </c>
      <c r="CD50" s="17">
        <v>0.0</v>
      </c>
      <c r="CE50" s="18">
        <f>+SUM(CA50:CD50)</f>
        <v>0</v>
      </c>
      <c r="CF50" s="17">
        <v>0.0</v>
      </c>
      <c r="CG50" s="17">
        <v>0.0</v>
      </c>
      <c r="CH50" s="17">
        <v>0.0</v>
      </c>
      <c r="CI50" s="17">
        <v>0.0</v>
      </c>
      <c r="CJ50" s="80">
        <f>+SUM(CF50:CI50)</f>
        <v>0</v>
      </c>
      <c r="CK50" s="17">
        <v>0.0</v>
      </c>
      <c r="CL50" s="128">
        <v>0.0</v>
      </c>
      <c r="CM50" s="128">
        <v>0.0</v>
      </c>
      <c r="CN50" s="129">
        <v>0.0</v>
      </c>
      <c r="CO50" s="18">
        <f>+SUM(CK50:CN50)</f>
        <v>0</v>
      </c>
      <c r="CP50" s="129">
        <v>0.0</v>
      </c>
      <c r="CQ50" s="128">
        <v>0.0</v>
      </c>
      <c r="CR50" s="128">
        <v>0.0</v>
      </c>
      <c r="CS50" s="128">
        <v>0.0</v>
      </c>
      <c r="CT50" s="18">
        <f>+SUM(CP50:CS50)</f>
        <v>0</v>
      </c>
      <c r="CU50" s="128">
        <v>0.0</v>
      </c>
      <c r="CV50" s="128">
        <v>0.0</v>
      </c>
      <c r="CW50" s="128">
        <v>0.0</v>
      </c>
      <c r="CX50" s="128">
        <v>0.0</v>
      </c>
      <c r="CY50" s="18">
        <f>+SUM(CU50:CX50)</f>
        <v>0</v>
      </c>
      <c r="CZ50" s="128">
        <v>0.0</v>
      </c>
      <c r="DA50" s="128">
        <v>0.0</v>
      </c>
      <c r="DB50" s="128">
        <v>0.0</v>
      </c>
      <c r="DC50" s="128">
        <v>0.0</v>
      </c>
      <c r="DD50" s="18">
        <f>+SUM(CZ50:DC50)</f>
        <v>0</v>
      </c>
      <c r="DE50" s="128">
        <v>0.0</v>
      </c>
      <c r="DF50" s="128">
        <v>0.0</v>
      </c>
      <c r="DG50" s="129">
        <v>0.0</v>
      </c>
      <c r="DH50" s="128">
        <v>0.0</v>
      </c>
      <c r="DI50" s="18">
        <f>+SUM(DE50:DH50)</f>
        <v>0</v>
      </c>
      <c r="DJ50" s="129">
        <v>0.0</v>
      </c>
      <c r="DK50" s="129">
        <v>0.0</v>
      </c>
      <c r="DL50" s="129">
        <v>0.0</v>
      </c>
      <c r="DM50" s="129">
        <v>0.0</v>
      </c>
      <c r="DN50" s="18">
        <f>+SUM(DJ50:DM50)</f>
        <v>0</v>
      </c>
      <c r="DO50" s="129">
        <v>0.0</v>
      </c>
      <c r="DP50" s="129">
        <v>0.0</v>
      </c>
      <c r="DQ50" s="129">
        <v>0.0</v>
      </c>
      <c r="DR50" s="129">
        <v>0.0</v>
      </c>
      <c r="DS50" s="18">
        <f>+SUM(DO50:DR50)</f>
        <v>0</v>
      </c>
      <c r="DT50" s="129">
        <v>0.0</v>
      </c>
      <c r="DU50" s="129">
        <v>0.0</v>
      </c>
      <c r="DV50" s="129">
        <v>0.0</v>
      </c>
      <c r="DW50" s="129">
        <v>0.0</v>
      </c>
      <c r="DX50" s="18">
        <f>+SUM(DT50:DW50)</f>
        <v>0</v>
      </c>
      <c r="DY50" s="129">
        <v>0.0</v>
      </c>
      <c r="DZ50" s="129">
        <v>0.0</v>
      </c>
      <c r="EA50" s="129">
        <v>0.0</v>
      </c>
      <c r="EB50" s="129">
        <v>0.0</v>
      </c>
      <c r="EC50" s="18">
        <f>+SUM(DY50:EB50)</f>
        <v>0</v>
      </c>
      <c r="ED50" s="129">
        <v>0.0</v>
      </c>
      <c r="EE50" s="129">
        <v>0.0</v>
      </c>
      <c r="EF50" s="129">
        <v>0.0</v>
      </c>
      <c r="EG50" s="129">
        <v>0.0</v>
      </c>
      <c r="EH50" s="18">
        <f>+SUM(ED50:EG50)</f>
        <v>0</v>
      </c>
      <c r="EI50" s="134">
        <v>0.0</v>
      </c>
      <c r="EJ50" s="128">
        <v>0.0</v>
      </c>
      <c r="EK50" s="128">
        <v>0.0</v>
      </c>
      <c r="EL50" s="128">
        <v>0.0</v>
      </c>
      <c r="EM50" s="18">
        <f>+SUM(EI50:EL50)</f>
        <v>0</v>
      </c>
      <c r="EN50" s="128">
        <v>0.0</v>
      </c>
      <c r="EO50" s="128">
        <v>0.0</v>
      </c>
      <c r="EP50" s="128">
        <v>0.0</v>
      </c>
      <c r="EQ50" s="128">
        <v>0.0</v>
      </c>
      <c r="ER50" s="18">
        <f>+SUM(EN50:EQ50)</f>
        <v>0</v>
      </c>
      <c r="ES50" s="128">
        <v>0.0</v>
      </c>
      <c r="ET50" s="128">
        <v>0.0</v>
      </c>
      <c r="EU50" s="128">
        <v>0.0</v>
      </c>
      <c r="EV50" s="128">
        <v>0.0</v>
      </c>
      <c r="EW50" s="18">
        <f>+SUM(ES50:EV50)</f>
        <v>0</v>
      </c>
      <c r="EX50" s="128">
        <v>0.0</v>
      </c>
      <c r="EY50" s="128">
        <v>0.0</v>
      </c>
      <c r="EZ50" s="128">
        <v>0.0</v>
      </c>
      <c r="FA50" s="128">
        <v>0.0</v>
      </c>
      <c r="FB50" s="18">
        <f>+SUM(EX50:FA50)</f>
        <v>0</v>
      </c>
      <c r="FC50" s="128">
        <v>0.0</v>
      </c>
      <c r="FD50" s="128">
        <v>0.0</v>
      </c>
      <c r="FE50" s="128">
        <v>0.0</v>
      </c>
      <c r="FF50" s="128">
        <v>0.0</v>
      </c>
      <c r="FG50" s="18">
        <f>+SUM(FC50:FF50)</f>
        <v>0</v>
      </c>
      <c r="FH50" s="74"/>
      <c r="FI50" s="4"/>
      <c r="FJ50" s="4"/>
      <c r="FK50" s="4"/>
      <c r="FL50" s="4"/>
    </row>
    <row r="51" ht="12.75" customHeight="1">
      <c r="A51" s="4"/>
      <c r="B51" s="163" t="s">
        <v>81</v>
      </c>
      <c r="C51" s="163"/>
      <c r="D51" s="164"/>
      <c r="E51" s="164"/>
      <c r="F51" s="164"/>
      <c r="G51" s="164"/>
      <c r="H51" s="164"/>
      <c r="I51" s="164"/>
      <c r="J51" s="164"/>
      <c r="K51" s="164"/>
      <c r="L51" s="164"/>
      <c r="M51" s="164"/>
      <c r="N51" s="164">
        <f t="shared" ref="N51:R51" si="380">+N46-N48</f>
        <v>1438</v>
      </c>
      <c r="O51" s="164">
        <f t="shared" si="380"/>
        <v>1172</v>
      </c>
      <c r="P51" s="164">
        <f t="shared" si="380"/>
        <v>1575</v>
      </c>
      <c r="Q51" s="164">
        <f t="shared" si="380"/>
        <v>2104</v>
      </c>
      <c r="R51" s="164">
        <f t="shared" si="380"/>
        <v>6289</v>
      </c>
      <c r="S51" s="164">
        <v>2017.0</v>
      </c>
      <c r="T51" s="164">
        <v>1780.0</v>
      </c>
      <c r="U51" s="164">
        <v>1904.0</v>
      </c>
      <c r="V51" s="164">
        <v>2408.0</v>
      </c>
      <c r="W51" s="164">
        <f>+W46-W48</f>
        <v>8109</v>
      </c>
      <c r="X51" s="164">
        <v>3038.0</v>
      </c>
      <c r="Y51" s="164">
        <v>3518.0</v>
      </c>
      <c r="Z51" s="164">
        <v>2899.0</v>
      </c>
      <c r="AA51" s="164">
        <v>2670.0</v>
      </c>
      <c r="AB51" s="164">
        <f>+AB46-AB48</f>
        <v>12125</v>
      </c>
      <c r="AC51" s="164">
        <v>1099.0</v>
      </c>
      <c r="AD51" s="164">
        <v>854.0</v>
      </c>
      <c r="AE51" s="164">
        <v>655.0</v>
      </c>
      <c r="AF51" s="164">
        <v>998.0</v>
      </c>
      <c r="AG51" s="164">
        <f>+AG46-AG48</f>
        <v>3606</v>
      </c>
      <c r="AH51" s="164">
        <v>1022.0</v>
      </c>
      <c r="AI51" s="164">
        <v>620.0</v>
      </c>
      <c r="AJ51" s="164">
        <v>768.0</v>
      </c>
      <c r="AK51" s="164">
        <f>1054</f>
        <v>1054</v>
      </c>
      <c r="AL51" s="164">
        <f>+AL46-AL48</f>
        <v>3464</v>
      </c>
      <c r="AM51" s="164">
        <f>EBT-tax</f>
        <v>915</v>
      </c>
      <c r="AN51" s="164">
        <f>EBT-tax</f>
        <v>896</v>
      </c>
      <c r="AO51" s="164">
        <f>EBT-tax</f>
        <v>1657</v>
      </c>
      <c r="AP51" s="164">
        <f>EBT-tax</f>
        <v>2170</v>
      </c>
      <c r="AQ51" s="164">
        <f>+AQ46-AQ48</f>
        <v>5638</v>
      </c>
      <c r="AR51" s="164">
        <f>EBT-tax</f>
        <v>1730</v>
      </c>
      <c r="AS51" s="164">
        <f>EBT-tax</f>
        <v>1757</v>
      </c>
      <c r="AT51" s="164">
        <f>EBT-tax</f>
        <v>1906</v>
      </c>
      <c r="AU51" s="164">
        <f>EBT-tax</f>
        <v>2123</v>
      </c>
      <c r="AV51" s="164">
        <f>+AV46-AV48</f>
        <v>7516</v>
      </c>
      <c r="AW51" s="164">
        <f>EBT-tax+eqJv</f>
        <v>2178</v>
      </c>
      <c r="AX51" s="164">
        <f>EBT-tax+eqJv</f>
        <v>2038</v>
      </c>
      <c r="AY51" s="164">
        <f>EBT-tax+eqJv</f>
        <v>2341.036</v>
      </c>
      <c r="AZ51" s="164">
        <f>EBT-tax+eqJv</f>
        <v>2453</v>
      </c>
      <c r="BA51" s="164">
        <f>EBT-tax+eqJv</f>
        <v>9010.036</v>
      </c>
      <c r="BB51" s="164">
        <f>EBT-tax+eqJv</f>
        <v>1357</v>
      </c>
      <c r="BC51" s="164">
        <f>EBT-tax+eqJv</f>
        <v>885</v>
      </c>
      <c r="BD51" s="164">
        <f>EBT-tax+eqJv</f>
        <v>1301</v>
      </c>
      <c r="BE51" s="164">
        <f>EBT-tax+eqJv</f>
        <v>1501</v>
      </c>
      <c r="BF51" s="164">
        <f>EBT-tax+eqJv</f>
        <v>5044</v>
      </c>
      <c r="BG51" s="164">
        <f>EBT-tax+eqJv</f>
        <v>1310</v>
      </c>
      <c r="BH51" s="164">
        <f>EBT-tax+eqJv</f>
        <v>1097</v>
      </c>
      <c r="BI51" s="164">
        <f>EBT-tax+eqJv</f>
        <v>1873.056</v>
      </c>
      <c r="BJ51" s="164">
        <f>EBT-tax+eqJv</f>
        <v>2271</v>
      </c>
      <c r="BK51" s="164">
        <f>EBT-tax+eqJv</f>
        <v>6551.056</v>
      </c>
      <c r="BL51" s="164">
        <f>EBT-tax+eqJv</f>
        <v>1443</v>
      </c>
      <c r="BM51" s="164">
        <f>EBT-tax+eqJv</f>
        <v>1601</v>
      </c>
      <c r="BN51" s="164">
        <f>EBT-tax+eqJv</f>
        <v>2014</v>
      </c>
      <c r="BO51" s="164">
        <f>EBT-tax+eqJv</f>
        <v>929.277</v>
      </c>
      <c r="BP51" s="164">
        <f>EBT-tax+eqJv</f>
        <v>5987.277</v>
      </c>
      <c r="BQ51" s="164">
        <f>EBT-tax+eqJv</f>
        <v>629</v>
      </c>
      <c r="BR51" s="164">
        <f>EBT-tax+eqJv</f>
        <v>1049</v>
      </c>
      <c r="BS51" s="164">
        <f>EBT-tax+eqJv</f>
        <v>1856</v>
      </c>
      <c r="BT51" s="164">
        <f>EBT-tax+eqJv</f>
        <v>3094</v>
      </c>
      <c r="BU51" s="164">
        <f>EBT-tax+eqJv</f>
        <v>6628.004</v>
      </c>
      <c r="BV51" s="164">
        <f>EBT-tax+eqJv</f>
        <v>2442</v>
      </c>
      <c r="BW51" s="164">
        <f>EBT-tax+eqJv</f>
        <v>2887</v>
      </c>
      <c r="BX51" s="164">
        <f>EBT-tax+eqJv</f>
        <v>2955</v>
      </c>
      <c r="BY51" s="164">
        <f>EBT-tax+eqJv</f>
        <v>3180</v>
      </c>
      <c r="BZ51" s="165">
        <f>EBT-tax+eqJv</f>
        <v>11464</v>
      </c>
      <c r="CA51" s="164">
        <f>EBT-tax+eqJv</f>
        <v>3160</v>
      </c>
      <c r="CB51" s="164">
        <f>EBT-tax+eqJv</f>
        <v>2954</v>
      </c>
      <c r="CC51" s="164">
        <f>EBT-tax+eqJv</f>
        <v>3468</v>
      </c>
      <c r="CD51" s="164">
        <f>EBT-tax+eqJv</f>
        <v>3360</v>
      </c>
      <c r="CE51" s="165">
        <f>EBT-tax+eqJv</f>
        <v>12942</v>
      </c>
      <c r="CF51" s="164">
        <f>EBT-tax+eqJv</f>
        <v>2738</v>
      </c>
      <c r="CG51" s="164">
        <f>EBT-tax+eqJv</f>
        <v>2827</v>
      </c>
      <c r="CH51" s="164">
        <f>EBT-tax+eqJv</f>
        <v>2972</v>
      </c>
      <c r="CI51" s="164">
        <f>EBT-tax+eqJv</f>
        <v>2468</v>
      </c>
      <c r="CJ51" s="165">
        <f>EBT-tax+eqJv</f>
        <v>11005</v>
      </c>
      <c r="CK51" s="164">
        <f>EBT-tax+eqJv</f>
        <v>2045</v>
      </c>
      <c r="CL51" s="166">
        <f>EBT-tax+eqJv</f>
        <v>2000</v>
      </c>
      <c r="CM51" s="166">
        <f>EBT-tax+eqJv</f>
        <v>2950</v>
      </c>
      <c r="CN51" s="167">
        <f>EBT-tax+eqJv</f>
        <v>2625</v>
      </c>
      <c r="CO51" s="168">
        <f>EBT-tax+eqJv</f>
        <v>9620</v>
      </c>
      <c r="CP51" s="167">
        <f>EBT-tax+eqJv</f>
        <v>1953</v>
      </c>
      <c r="CQ51" s="166">
        <f>EBT-tax+eqJv</f>
        <v>2796</v>
      </c>
      <c r="CR51" s="166">
        <f>EBT-tax+eqJv</f>
        <v>3317</v>
      </c>
      <c r="CS51" s="166">
        <f>EBT-tax+eqJv</f>
        <v>3661</v>
      </c>
      <c r="CT51" s="168">
        <f>EBT-tax+eqJv</f>
        <v>11864</v>
      </c>
      <c r="CU51" s="166">
        <f>EBT-tax+eqJv</f>
        <v>1992</v>
      </c>
      <c r="CV51" s="166">
        <f>EBT-tax+eqJv</f>
        <v>2706</v>
      </c>
      <c r="CW51" s="166">
        <f>EBT-tax+eqJv</f>
        <v>3109</v>
      </c>
      <c r="CX51" s="166">
        <f>EBT-tax+eqJv</f>
        <v>3613</v>
      </c>
      <c r="CY51" s="168">
        <f>EBT-tax+eqJv</f>
        <v>11525</v>
      </c>
      <c r="CZ51" s="166">
        <f>EBT-tax+eqJv</f>
        <v>2046</v>
      </c>
      <c r="DA51" s="166">
        <f>EBT-tax+eqJv</f>
        <v>1330</v>
      </c>
      <c r="DB51" s="166">
        <f>EBT-tax+eqJv</f>
        <v>3378</v>
      </c>
      <c r="DC51" s="166">
        <f>EBT-tax+eqJv</f>
        <v>3562</v>
      </c>
      <c r="DD51" s="168">
        <f>EBT-tax+eqJv</f>
        <v>10316</v>
      </c>
      <c r="DE51" s="166">
        <f>EBT-tax+eqJv</f>
        <v>2964</v>
      </c>
      <c r="DF51" s="166">
        <f>EBT-tax+eqJv</f>
        <v>2808</v>
      </c>
      <c r="DG51" s="166">
        <f>EBT-tax+eqJv</f>
        <v>4516</v>
      </c>
      <c r="DH51" s="166">
        <f>EBT-tax+eqJv</f>
        <v>-687</v>
      </c>
      <c r="DI51" s="168">
        <f>EBT-tax+eqJv</f>
        <v>9601</v>
      </c>
      <c r="DJ51" s="167">
        <f>EBT-tax+eqJv</f>
        <v>4454</v>
      </c>
      <c r="DK51" s="167">
        <f>EBT-tax+eqJv</f>
        <v>5006</v>
      </c>
      <c r="DL51" s="167">
        <f>EBT-tax+eqJv</f>
        <v>6398</v>
      </c>
      <c r="DM51" s="167">
        <f>EBT-tax+eqJv</f>
        <v>5195</v>
      </c>
      <c r="DN51" s="168">
        <f>EBT-tax+eqJv</f>
        <v>21053</v>
      </c>
      <c r="DO51" s="167">
        <f>EBT-tax+eqJv</f>
        <v>3974</v>
      </c>
      <c r="DP51" s="167">
        <f>EBT-tax+eqJv</f>
        <v>4179</v>
      </c>
      <c r="DQ51" s="167">
        <f>EBT-tax+eqJv</f>
        <v>5990</v>
      </c>
      <c r="DR51" s="167">
        <f>EBT-tax+eqJv</f>
        <v>6905</v>
      </c>
      <c r="DS51" s="168">
        <f>EBT-tax+eqJv</f>
        <v>21048</v>
      </c>
      <c r="DT51" s="167">
        <f>EBT-tax+eqJv</f>
        <v>5661</v>
      </c>
      <c r="DU51" s="167">
        <f>EBT-tax+eqJv</f>
        <v>5105</v>
      </c>
      <c r="DV51" s="167">
        <f>EBT-tax+eqJv</f>
        <v>4276</v>
      </c>
      <c r="DW51" s="167">
        <f>EBT-tax+eqJv</f>
        <v>5857</v>
      </c>
      <c r="DX51" s="168">
        <f>EBT-tax+eqJv</f>
        <v>20899</v>
      </c>
      <c r="DY51" s="167">
        <f>EBT-tax+eqJv</f>
        <v>3361</v>
      </c>
      <c r="DZ51" s="167">
        <f>EBT-tax+eqJv</f>
        <v>5061</v>
      </c>
      <c r="EA51" s="167">
        <f>EBT-tax+eqJv</f>
        <v>6823</v>
      </c>
      <c r="EB51" s="167">
        <f>EBT-tax+eqJv</f>
        <v>4623</v>
      </c>
      <c r="EC51" s="168">
        <f>EBT-tax+eqJv</f>
        <v>19868</v>
      </c>
      <c r="ED51" s="167">
        <f>EBT-tax+eqJv</f>
        <v>8113</v>
      </c>
      <c r="EE51" s="167">
        <f>EBT-tax+eqJv</f>
        <v>-454</v>
      </c>
      <c r="EF51" s="167">
        <f>EBT-tax+eqJv</f>
        <v>1019</v>
      </c>
      <c r="EG51" s="167">
        <f>EBT-tax+eqJv</f>
        <v>-661</v>
      </c>
      <c r="EH51" s="168">
        <f>EBT-tax+eqJv</f>
        <v>8017</v>
      </c>
      <c r="EI51" s="169" t="str">
        <f>EBT-tax+eqJv</f>
        <v>#ERROR!</v>
      </c>
      <c r="EJ51" s="166" t="str">
        <f>EBT-tax+eqJv</f>
        <v>#ERROR!</v>
      </c>
      <c r="EK51" s="166" t="str">
        <f>EBT-tax+eqJv</f>
        <v>#ERROR!</v>
      </c>
      <c r="EL51" s="166" t="str">
        <f>EBT-tax+eqJv</f>
        <v>#ERROR!</v>
      </c>
      <c r="EM51" s="168" t="str">
        <f>EBT-tax+eqJv</f>
        <v>#ERROR!</v>
      </c>
      <c r="EN51" s="166" t="str">
        <f>EBT-tax+eqJv</f>
        <v>#ERROR!</v>
      </c>
      <c r="EO51" s="166" t="str">
        <f>EBT-tax+eqJv</f>
        <v>#ERROR!</v>
      </c>
      <c r="EP51" s="166" t="str">
        <f>EBT-tax+eqJv</f>
        <v>#ERROR!</v>
      </c>
      <c r="EQ51" s="166" t="str">
        <f>EBT-tax+eqJv</f>
        <v>#ERROR!</v>
      </c>
      <c r="ER51" s="168" t="str">
        <f>EBT-tax+eqJv</f>
        <v>#ERROR!</v>
      </c>
      <c r="ES51" s="166" t="str">
        <f>EBT-tax+eqJv</f>
        <v>#ERROR!</v>
      </c>
      <c r="ET51" s="166" t="str">
        <f>EBT-tax+eqJv</f>
        <v>#ERROR!</v>
      </c>
      <c r="EU51" s="166" t="str">
        <f>EBT-tax+eqJv</f>
        <v>#ERROR!</v>
      </c>
      <c r="EV51" s="166" t="str">
        <f>EBT-tax+eqJv</f>
        <v>#ERROR!</v>
      </c>
      <c r="EW51" s="168" t="str">
        <f>EBT-tax+eqJv</f>
        <v>#ERROR!</v>
      </c>
      <c r="EX51" s="166" t="str">
        <f>EBT-tax+eqJv</f>
        <v>#ERROR!</v>
      </c>
      <c r="EY51" s="166" t="str">
        <f>EBT-tax+eqJv</f>
        <v>#ERROR!</v>
      </c>
      <c r="EZ51" s="166" t="str">
        <f>EBT-tax+eqJv</f>
        <v>#ERROR!</v>
      </c>
      <c r="FA51" s="166" t="str">
        <f>EBT-tax+eqJv</f>
        <v>#ERROR!</v>
      </c>
      <c r="FB51" s="168" t="str">
        <f>EBT-tax+eqJv</f>
        <v>#ERROR!</v>
      </c>
      <c r="FC51" s="166" t="str">
        <f>EBT-tax+eqJv</f>
        <v>#ERROR!</v>
      </c>
      <c r="FD51" s="166" t="str">
        <f>EBT-tax+eqJv</f>
        <v>#ERROR!</v>
      </c>
      <c r="FE51" s="166" t="str">
        <f>EBT-tax+eqJv</f>
        <v>#ERROR!</v>
      </c>
      <c r="FF51" s="166" t="str">
        <f>EBT-tax+eqJv</f>
        <v>#ERROR!</v>
      </c>
      <c r="FG51" s="168" t="str">
        <f>EBT-tax+eqJv</f>
        <v>#ERROR!</v>
      </c>
      <c r="FH51" s="74"/>
      <c r="FI51" s="4"/>
      <c r="FJ51" s="4"/>
      <c r="FK51" s="4"/>
      <c r="FL51" s="4"/>
    </row>
    <row r="52" ht="12.75" customHeight="1">
      <c r="A52" s="4"/>
      <c r="B52" s="72"/>
      <c r="C52" s="72"/>
      <c r="D52" s="170"/>
      <c r="E52" s="170"/>
      <c r="F52" s="170"/>
      <c r="G52" s="170"/>
      <c r="H52" s="171"/>
      <c r="I52" s="170"/>
      <c r="J52" s="170"/>
      <c r="K52" s="170"/>
      <c r="L52" s="170"/>
      <c r="M52" s="171"/>
      <c r="N52" s="170"/>
      <c r="O52" s="170"/>
      <c r="P52" s="170"/>
      <c r="Q52" s="170"/>
      <c r="R52" s="171"/>
      <c r="S52" s="170"/>
      <c r="T52" s="170"/>
      <c r="U52" s="170"/>
      <c r="V52" s="170"/>
      <c r="W52" s="171"/>
      <c r="X52" s="170"/>
      <c r="Y52" s="170"/>
      <c r="Z52" s="170"/>
      <c r="AA52" s="170"/>
      <c r="AB52" s="171"/>
      <c r="AC52" s="170"/>
      <c r="AD52" s="170"/>
      <c r="AE52" s="170"/>
      <c r="AF52" s="170"/>
      <c r="AG52" s="171"/>
      <c r="AH52" s="170"/>
      <c r="AI52" s="170"/>
      <c r="AJ52" s="170"/>
      <c r="AK52" s="170"/>
      <c r="AL52" s="171"/>
      <c r="AM52" s="170"/>
      <c r="AN52" s="170"/>
      <c r="AO52" s="170"/>
      <c r="AP52" s="170"/>
      <c r="AQ52" s="171"/>
      <c r="AR52" s="170"/>
      <c r="AS52" s="170"/>
      <c r="AT52" s="170"/>
      <c r="AU52" s="170"/>
      <c r="AV52" s="171"/>
      <c r="AW52" s="170"/>
      <c r="AX52" s="170"/>
      <c r="AY52" s="170"/>
      <c r="AZ52" s="170"/>
      <c r="BA52" s="171"/>
      <c r="BB52" s="170"/>
      <c r="BC52" s="170"/>
      <c r="BD52" s="170"/>
      <c r="BE52" s="170"/>
      <c r="BF52" s="171"/>
      <c r="BG52" s="170"/>
      <c r="BH52" s="170"/>
      <c r="BI52" s="170"/>
      <c r="BJ52" s="170"/>
      <c r="BK52" s="171"/>
      <c r="BL52" s="170"/>
      <c r="BM52" s="170"/>
      <c r="BN52" s="170"/>
      <c r="BO52" s="170"/>
      <c r="BP52" s="171"/>
      <c r="BQ52" s="170"/>
      <c r="BR52" s="170"/>
      <c r="BS52" s="170"/>
      <c r="BT52" s="170"/>
      <c r="BU52" s="171"/>
      <c r="BV52" s="170"/>
      <c r="BW52" s="170"/>
      <c r="BX52" s="170"/>
      <c r="BY52" s="170"/>
      <c r="BZ52" s="172"/>
      <c r="CA52" s="170"/>
      <c r="CB52" s="170"/>
      <c r="CC52" s="170"/>
      <c r="CD52" s="170"/>
      <c r="CE52" s="173"/>
      <c r="CF52" s="170"/>
      <c r="CG52" s="170"/>
      <c r="CH52" s="170"/>
      <c r="CI52" s="170"/>
      <c r="CJ52" s="174"/>
      <c r="CK52" s="170"/>
      <c r="CL52" s="175"/>
      <c r="CM52" s="175"/>
      <c r="CN52" s="176"/>
      <c r="CO52" s="173"/>
      <c r="CP52" s="176"/>
      <c r="CQ52" s="175"/>
      <c r="CR52" s="175"/>
      <c r="CS52" s="175"/>
      <c r="CT52" s="173"/>
      <c r="CU52" s="175"/>
      <c r="CV52" s="175"/>
      <c r="CW52" s="175"/>
      <c r="CX52" s="175"/>
      <c r="CY52" s="173"/>
      <c r="CZ52" s="175"/>
      <c r="DA52" s="175"/>
      <c r="DB52" s="175"/>
      <c r="DC52" s="175"/>
      <c r="DD52" s="173"/>
      <c r="DE52" s="175"/>
      <c r="DF52" s="175"/>
      <c r="DG52" s="176"/>
      <c r="DH52" s="175"/>
      <c r="DI52" s="173"/>
      <c r="DJ52" s="176"/>
      <c r="DK52" s="176"/>
      <c r="DL52" s="176"/>
      <c r="DM52" s="176"/>
      <c r="DN52" s="173"/>
      <c r="DO52" s="176"/>
      <c r="DP52" s="176"/>
      <c r="DQ52" s="176"/>
      <c r="DR52" s="176"/>
      <c r="DS52" s="173"/>
      <c r="DT52" s="176"/>
      <c r="DU52" s="176"/>
      <c r="DV52" s="176"/>
      <c r="DW52" s="176"/>
      <c r="DX52" s="173"/>
      <c r="DY52" s="176"/>
      <c r="DZ52" s="176"/>
      <c r="EA52" s="176"/>
      <c r="EB52" s="176"/>
      <c r="EC52" s="173"/>
      <c r="ED52" s="176"/>
      <c r="EE52" s="176"/>
      <c r="EF52" s="176"/>
      <c r="EG52" s="176"/>
      <c r="EH52" s="173"/>
      <c r="EI52" s="177"/>
      <c r="EJ52" s="175"/>
      <c r="EK52" s="175"/>
      <c r="EL52" s="175"/>
      <c r="EM52" s="173"/>
      <c r="EN52" s="175"/>
      <c r="EO52" s="175"/>
      <c r="EP52" s="175"/>
      <c r="EQ52" s="175"/>
      <c r="ER52" s="173"/>
      <c r="ES52" s="175"/>
      <c r="ET52" s="175"/>
      <c r="EU52" s="175"/>
      <c r="EV52" s="175"/>
      <c r="EW52" s="173"/>
      <c r="EX52" s="175"/>
      <c r="EY52" s="175"/>
      <c r="EZ52" s="175"/>
      <c r="FA52" s="175"/>
      <c r="FB52" s="173"/>
      <c r="FC52" s="175"/>
      <c r="FD52" s="175"/>
      <c r="FE52" s="175"/>
      <c r="FF52" s="175"/>
      <c r="FG52" s="173"/>
      <c r="FH52" s="178"/>
      <c r="FI52" s="4"/>
      <c r="FJ52" s="4"/>
      <c r="FK52" s="4"/>
      <c r="FL52" s="4"/>
    </row>
    <row r="53" ht="12.75" hidden="1" customHeight="1" outlineLevel="1">
      <c r="A53" s="179"/>
      <c r="B53" s="180" t="s">
        <v>82</v>
      </c>
      <c r="C53" s="179"/>
      <c r="D53" s="181"/>
      <c r="E53" s="181"/>
      <c r="F53" s="181"/>
      <c r="G53" s="181"/>
      <c r="H53" s="182"/>
      <c r="I53" s="181"/>
      <c r="J53" s="181"/>
      <c r="K53" s="181"/>
      <c r="L53" s="181"/>
      <c r="M53" s="182"/>
      <c r="N53" s="181"/>
      <c r="O53" s="181"/>
      <c r="P53" s="181"/>
      <c r="Q53" s="181"/>
      <c r="R53" s="182"/>
      <c r="S53" s="181"/>
      <c r="T53" s="181"/>
      <c r="U53" s="181"/>
      <c r="V53" s="181"/>
      <c r="W53" s="182"/>
      <c r="X53" s="181"/>
      <c r="Y53" s="181"/>
      <c r="Z53" s="181"/>
      <c r="AA53" s="181"/>
      <c r="AB53" s="182"/>
      <c r="AC53" s="181"/>
      <c r="AD53" s="181"/>
      <c r="AE53" s="181"/>
      <c r="AF53" s="181"/>
      <c r="AG53" s="182"/>
      <c r="AH53" s="181"/>
      <c r="AI53" s="181"/>
      <c r="AJ53" s="181"/>
      <c r="AK53" s="181"/>
      <c r="AL53" s="182"/>
      <c r="AM53" s="181"/>
      <c r="AN53" s="181"/>
      <c r="AO53" s="181"/>
      <c r="AP53" s="181"/>
      <c r="AQ53" s="182"/>
      <c r="AR53" s="181"/>
      <c r="AS53" s="181"/>
      <c r="AT53" s="181"/>
      <c r="AU53" s="181"/>
      <c r="AV53" s="182"/>
      <c r="AW53" s="181"/>
      <c r="AX53" s="181"/>
      <c r="AY53" s="181"/>
      <c r="AZ53" s="181"/>
      <c r="BA53" s="182"/>
      <c r="BB53" s="181">
        <f>86/BB56</f>
        <v>0.2299465241</v>
      </c>
      <c r="BC53" s="181">
        <f>66/BC56</f>
        <v>0.1987951807</v>
      </c>
      <c r="BD53" s="181">
        <f>103/BD56</f>
        <v>0.3074626866</v>
      </c>
      <c r="BE53" s="181">
        <f>94/BE56</f>
        <v>0.2814371257</v>
      </c>
      <c r="BF53" s="182">
        <f t="array" ref="BF53">SUM(BB53:BE53*BB$57:BE$57)/BF$57</f>
        <v>0.2541923389</v>
      </c>
      <c r="BG53" s="181">
        <f>78/BG56</f>
        <v>0.2746478873</v>
      </c>
      <c r="BH53" s="181">
        <f>64/BH56</f>
        <v>0.2700421941</v>
      </c>
      <c r="BI53" s="181">
        <f>60/BI56</f>
        <v>0.2643171806</v>
      </c>
      <c r="BJ53" s="181">
        <f t="shared" ref="BJ53:BJ54" si="401">BI53</f>
        <v>0.2643171806</v>
      </c>
      <c r="BK53" s="182">
        <f t="array" ref="BK53">SUM(BG53:BJ53*BG$57:BJ$57)/BK$57</f>
        <v>0.2688108996</v>
      </c>
      <c r="BL53" s="181">
        <f t="shared" ref="BL53:BL54" si="402">BJ53</f>
        <v>0.2643171806</v>
      </c>
      <c r="BM53" s="181">
        <f t="shared" ref="BM53:BO53" si="381">BL53</f>
        <v>0.2643171806</v>
      </c>
      <c r="BN53" s="181">
        <f t="shared" si="381"/>
        <v>0.2643171806</v>
      </c>
      <c r="BO53" s="181">
        <f t="shared" si="381"/>
        <v>0.2643171806</v>
      </c>
      <c r="BP53" s="182">
        <f t="array" ref="BP53">SUM(BL53:BO53*BL$57:BO$57)/BP$57</f>
        <v>0.2643171806</v>
      </c>
      <c r="BQ53" s="181">
        <f t="shared" ref="BQ53:BQ54" si="404">BO53</f>
        <v>0.2643171806</v>
      </c>
      <c r="BR53" s="181">
        <f t="shared" ref="BR53:BT53" si="382">BQ53</f>
        <v>0.2643171806</v>
      </c>
      <c r="BS53" s="181">
        <f t="shared" si="382"/>
        <v>0.2643171806</v>
      </c>
      <c r="BT53" s="181">
        <f t="shared" si="382"/>
        <v>0.2643171806</v>
      </c>
      <c r="BU53" s="182">
        <f t="array" ref="BU53">SUM(BQ53:BT53*BQ$57:BT$57)/BU$57</f>
        <v>0.2741789551</v>
      </c>
      <c r="BV53" s="181">
        <f t="shared" ref="BV53:BV54" si="406">BT53</f>
        <v>0.2643171806</v>
      </c>
      <c r="BW53" s="181">
        <f t="shared" ref="BW53:BY53" si="383">BV53</f>
        <v>0.2643171806</v>
      </c>
      <c r="BX53" s="181">
        <f t="shared" si="383"/>
        <v>0.2643171806</v>
      </c>
      <c r="BY53" s="181">
        <f t="shared" si="383"/>
        <v>0.2643171806</v>
      </c>
      <c r="BZ53" s="183">
        <f t="array" ref="BZ53">SUM(BV53:BY53*BV$57:BY$57)/BZ$57</f>
        <v>0.2643171806</v>
      </c>
      <c r="CA53" s="184">
        <f t="shared" ref="CA53:CA54" si="408">BY53</f>
        <v>0.2643171806</v>
      </c>
      <c r="CB53" s="184">
        <f t="shared" ref="CB53:CD53" si="384">CA53</f>
        <v>0.2643171806</v>
      </c>
      <c r="CC53" s="184">
        <f t="shared" si="384"/>
        <v>0.2643171806</v>
      </c>
      <c r="CD53" s="184">
        <f t="shared" si="384"/>
        <v>0.2643171806</v>
      </c>
      <c r="CE53" s="183">
        <f t="array" ref="CE53">SUM(CA53:CD53*CA$57:CD$57)/CE$57</f>
        <v>0.2646955454</v>
      </c>
      <c r="CF53" s="184">
        <f t="shared" ref="CF53:CF54" si="410">CD53</f>
        <v>0.2643171806</v>
      </c>
      <c r="CG53" s="184">
        <f t="shared" ref="CG53:CI53" si="385">CF53</f>
        <v>0.2643171806</v>
      </c>
      <c r="CH53" s="184">
        <f t="shared" si="385"/>
        <v>0.2643171806</v>
      </c>
      <c r="CI53" s="184">
        <f t="shared" si="385"/>
        <v>0.2643171806</v>
      </c>
      <c r="CJ53" s="183">
        <f t="array" ref="CJ53">SUM(CF53:CI53*CF$57:CI$57)/CJ$57</f>
        <v>0.2647419415</v>
      </c>
      <c r="CK53" s="184">
        <f t="shared" ref="CK53:CK54" si="412">CI53</f>
        <v>0.2643171806</v>
      </c>
      <c r="CL53" s="185">
        <f t="shared" ref="CL53:CN53" si="386">CK53</f>
        <v>0.2643171806</v>
      </c>
      <c r="CM53" s="185">
        <f t="shared" si="386"/>
        <v>0.2643171806</v>
      </c>
      <c r="CN53" s="186">
        <f t="shared" si="386"/>
        <v>0.2643171806</v>
      </c>
      <c r="CO53" s="187">
        <f t="array" ref="CO53">SUM(CK53:CN53*CK$57:CN$57)/CO$57</f>
        <v>0.2662239883</v>
      </c>
      <c r="CP53" s="186">
        <f t="shared" ref="CP53:CP54" si="414">CN53</f>
        <v>0.2643171806</v>
      </c>
      <c r="CQ53" s="185">
        <f t="shared" ref="CQ53:CS53" si="387">CP53</f>
        <v>0.2643171806</v>
      </c>
      <c r="CR53" s="185">
        <f t="shared" si="387"/>
        <v>0.2643171806</v>
      </c>
      <c r="CS53" s="185">
        <f t="shared" si="387"/>
        <v>0.2643171806</v>
      </c>
      <c r="CT53" s="187">
        <f t="array" ref="CT53">SUM(CP53:CS53*CP$57:CS$57)/CT$57</f>
        <v>0.2623589195</v>
      </c>
      <c r="CU53" s="185">
        <f t="shared" ref="CU53:CU54" si="416">CS53</f>
        <v>0.2643171806</v>
      </c>
      <c r="CV53" s="185">
        <f t="shared" ref="CV53:CX53" si="388">CU53</f>
        <v>0.2643171806</v>
      </c>
      <c r="CW53" s="185">
        <f t="shared" si="388"/>
        <v>0.2643171806</v>
      </c>
      <c r="CX53" s="185">
        <f t="shared" si="388"/>
        <v>0.2643171806</v>
      </c>
      <c r="CY53" s="187">
        <f t="array" ref="CY53">SUM(CU53:CX53*CU$57:CX$57)/CY$57</f>
        <v>0.2641475326</v>
      </c>
      <c r="CZ53" s="185">
        <f t="shared" ref="CZ53:CZ54" si="418">CX53</f>
        <v>0.2643171806</v>
      </c>
      <c r="DA53" s="185">
        <f t="shared" ref="DA53:DC53" si="389">CZ53</f>
        <v>0.2643171806</v>
      </c>
      <c r="DB53" s="185">
        <f t="shared" si="389"/>
        <v>0.2643171806</v>
      </c>
      <c r="DC53" s="185">
        <f t="shared" si="389"/>
        <v>0.2643171806</v>
      </c>
      <c r="DD53" s="187">
        <f t="array" ref="DD53">SUM(CZ53:DC53*CZ$57:DC$57)/DD$57</f>
        <v>0.2653244415</v>
      </c>
      <c r="DE53" s="185">
        <f t="shared" ref="DE53:DE54" si="420">DC53</f>
        <v>0.2643171806</v>
      </c>
      <c r="DF53" s="185">
        <f t="shared" ref="DF53:DH53" si="390">DE53</f>
        <v>0.2643171806</v>
      </c>
      <c r="DG53" s="186">
        <f t="shared" si="390"/>
        <v>0.2643171806</v>
      </c>
      <c r="DH53" s="185">
        <f t="shared" si="390"/>
        <v>0.2643171806</v>
      </c>
      <c r="DI53" s="187">
        <f t="array" ref="DI53">SUM(DE53:DH53*DE$57:DH$57)/DI$57</f>
        <v>0.2896196163</v>
      </c>
      <c r="DJ53" s="186">
        <f t="shared" ref="DJ53:DJ54" si="422">DH53</f>
        <v>0.2643171806</v>
      </c>
      <c r="DK53" s="186">
        <f t="shared" ref="DK53:DM53" si="391">DJ53</f>
        <v>0.2643171806</v>
      </c>
      <c r="DL53" s="186">
        <f t="shared" si="391"/>
        <v>0.2643171806</v>
      </c>
      <c r="DM53" s="186">
        <f t="shared" si="391"/>
        <v>0.2643171806</v>
      </c>
      <c r="DN53" s="187">
        <f t="array" ref="DN53">SUM(DJ53:DM53*DJ$57:DM$57)/DN$57</f>
        <v>0.2640697133</v>
      </c>
      <c r="DO53" s="186">
        <f t="shared" ref="DO53:DO54" si="424">DM53</f>
        <v>0.2643171806</v>
      </c>
      <c r="DP53" s="186">
        <f t="shared" ref="DP53:DR53" si="392">DO53</f>
        <v>0.2643171806</v>
      </c>
      <c r="DQ53" s="186">
        <f t="shared" si="392"/>
        <v>0.2643171806</v>
      </c>
      <c r="DR53" s="186">
        <f t="shared" si="392"/>
        <v>0.2643171806</v>
      </c>
      <c r="DS53" s="187">
        <f t="array" ref="DS53">SUM(DO53:DR53*DO$57:DR$57)/DS$57</f>
        <v>0.2644824817</v>
      </c>
      <c r="DT53" s="186">
        <f t="shared" ref="DT53:DT54" si="426">DR53</f>
        <v>0.2643171806</v>
      </c>
      <c r="DU53" s="186">
        <f t="shared" ref="DU53:DW53" si="393">DT53</f>
        <v>0.2643171806</v>
      </c>
      <c r="DV53" s="186">
        <f t="shared" si="393"/>
        <v>0.2643171806</v>
      </c>
      <c r="DW53" s="186">
        <f t="shared" si="393"/>
        <v>0.2643171806</v>
      </c>
      <c r="DX53" s="187">
        <f t="array" ref="DX53">SUM(DT53:DW53*DT$57:DW$57)/DX$57</f>
        <v>0.2654194678</v>
      </c>
      <c r="DY53" s="186">
        <f t="shared" ref="DY53:DY54" si="428">DW53</f>
        <v>0.2643171806</v>
      </c>
      <c r="DZ53" s="186">
        <f t="shared" ref="DZ53:EB53" si="394">DY53</f>
        <v>0.2643171806</v>
      </c>
      <c r="EA53" s="186">
        <f t="shared" si="394"/>
        <v>0.2643171806</v>
      </c>
      <c r="EB53" s="186">
        <f t="shared" si="394"/>
        <v>0.2643171806</v>
      </c>
      <c r="EC53" s="187">
        <f t="array" ref="EC53">SUM(DY53:EB53*DY$57:EB$57)/EC$57</f>
        <v>0.262475761</v>
      </c>
      <c r="ED53" s="186">
        <f t="shared" ref="ED53:ED54" si="430">EB53</f>
        <v>0.2643171806</v>
      </c>
      <c r="EE53" s="186">
        <f t="shared" ref="EE53:EG53" si="395">ED53</f>
        <v>0.2643171806</v>
      </c>
      <c r="EF53" s="186">
        <f t="shared" si="395"/>
        <v>0.2643171806</v>
      </c>
      <c r="EG53" s="186">
        <f t="shared" si="395"/>
        <v>0.2643171806</v>
      </c>
      <c r="EH53" s="187">
        <f t="array" ref="EH53">SUM(ED53:EG53*ED$57:EG$57)/EH$57</f>
        <v>-0.2167932006</v>
      </c>
      <c r="EI53" s="188">
        <f t="shared" ref="EI53:EI54" si="432">EG53</f>
        <v>0.2643171806</v>
      </c>
      <c r="EJ53" s="185">
        <f t="shared" ref="EJ53:EL53" si="396">EI53</f>
        <v>0.2643171806</v>
      </c>
      <c r="EK53" s="185">
        <f t="shared" si="396"/>
        <v>0.2643171806</v>
      </c>
      <c r="EL53" s="185">
        <f t="shared" si="396"/>
        <v>0.2643171806</v>
      </c>
      <c r="EM53" s="187" t="str">
        <f t="array" ref="EM53">SUM(EI53:EL53*EI$57:EL$57)/EM$57</f>
        <v>#ERROR!</v>
      </c>
      <c r="EN53" s="185">
        <f t="shared" ref="EN53:EN54" si="434">EL53</f>
        <v>0.2643171806</v>
      </c>
      <c r="EO53" s="185">
        <f t="shared" ref="EO53:EQ53" si="397">EN53</f>
        <v>0.2643171806</v>
      </c>
      <c r="EP53" s="185">
        <f t="shared" si="397"/>
        <v>0.2643171806</v>
      </c>
      <c r="EQ53" s="185">
        <f t="shared" si="397"/>
        <v>0.2643171806</v>
      </c>
      <c r="ER53" s="187" t="str">
        <f t="array" ref="ER53">SUM(EN53:EQ53*EN$57:EQ$57)/ER$57</f>
        <v>#ERROR!</v>
      </c>
      <c r="ES53" s="185">
        <f t="shared" ref="ES53:ES54" si="436">EQ53</f>
        <v>0.2643171806</v>
      </c>
      <c r="ET53" s="185">
        <f t="shared" ref="ET53:EV53" si="398">ES53</f>
        <v>0.2643171806</v>
      </c>
      <c r="EU53" s="185">
        <f t="shared" si="398"/>
        <v>0.2643171806</v>
      </c>
      <c r="EV53" s="185">
        <f t="shared" si="398"/>
        <v>0.2643171806</v>
      </c>
      <c r="EW53" s="187" t="str">
        <f t="array" ref="EW53">SUM(ES53:EV53*ES$57:EV$57)/EW$57</f>
        <v>#ERROR!</v>
      </c>
      <c r="EX53" s="185">
        <f t="shared" ref="EX53:EX54" si="438">EV53</f>
        <v>0.2643171806</v>
      </c>
      <c r="EY53" s="185">
        <f t="shared" ref="EY53:FA53" si="399">EX53</f>
        <v>0.2643171806</v>
      </c>
      <c r="EZ53" s="185">
        <f t="shared" si="399"/>
        <v>0.2643171806</v>
      </c>
      <c r="FA53" s="185">
        <f t="shared" si="399"/>
        <v>0.2643171806</v>
      </c>
      <c r="FB53" s="187" t="str">
        <f t="array" ref="FB53">SUM(EX53:FA53*EX$57:FA$57)/FB$57</f>
        <v>#ERROR!</v>
      </c>
      <c r="FC53" s="185">
        <f t="shared" ref="FC53:FC54" si="440">FA53</f>
        <v>0.2643171806</v>
      </c>
      <c r="FD53" s="185">
        <f t="shared" ref="FD53:FF53" si="400">FC53</f>
        <v>0.2643171806</v>
      </c>
      <c r="FE53" s="185">
        <f t="shared" si="400"/>
        <v>0.2643171806</v>
      </c>
      <c r="FF53" s="185">
        <f t="shared" si="400"/>
        <v>0.2643171806</v>
      </c>
      <c r="FG53" s="187" t="str">
        <f t="array" ref="FG53">SUM(FC53:FF53*FC$57:FF$57)/FG$57</f>
        <v>#ERROR!</v>
      </c>
      <c r="FH53" s="189"/>
      <c r="FI53" s="190"/>
      <c r="FJ53" s="190"/>
      <c r="FK53" s="190"/>
      <c r="FL53" s="190"/>
    </row>
    <row r="54" ht="12.75" hidden="1" customHeight="1" outlineLevel="1">
      <c r="A54" s="179"/>
      <c r="B54" s="180" t="s">
        <v>83</v>
      </c>
      <c r="C54" s="179"/>
      <c r="D54" s="181"/>
      <c r="E54" s="181"/>
      <c r="F54" s="181"/>
      <c r="G54" s="181"/>
      <c r="H54" s="182"/>
      <c r="I54" s="181"/>
      <c r="J54" s="181"/>
      <c r="K54" s="181"/>
      <c r="L54" s="181"/>
      <c r="M54" s="182"/>
      <c r="N54" s="181"/>
      <c r="O54" s="181"/>
      <c r="P54" s="181"/>
      <c r="Q54" s="181"/>
      <c r="R54" s="182"/>
      <c r="S54" s="181"/>
      <c r="T54" s="181"/>
      <c r="U54" s="181"/>
      <c r="V54" s="181"/>
      <c r="W54" s="182"/>
      <c r="X54" s="181"/>
      <c r="Y54" s="181"/>
      <c r="Z54" s="181"/>
      <c r="AA54" s="181"/>
      <c r="AB54" s="182"/>
      <c r="AC54" s="181"/>
      <c r="AD54" s="181"/>
      <c r="AE54" s="181"/>
      <c r="AF54" s="181"/>
      <c r="AG54" s="182"/>
      <c r="AH54" s="181"/>
      <c r="AI54" s="181"/>
      <c r="AJ54" s="181"/>
      <c r="AK54" s="181"/>
      <c r="AL54" s="182"/>
      <c r="AM54" s="181"/>
      <c r="AN54" s="181"/>
      <c r="AO54" s="181"/>
      <c r="AP54" s="181"/>
      <c r="AQ54" s="182"/>
      <c r="AR54" s="181"/>
      <c r="AS54" s="181"/>
      <c r="AT54" s="181"/>
      <c r="AU54" s="181"/>
      <c r="AV54" s="182"/>
      <c r="AW54" s="181"/>
      <c r="AX54" s="181"/>
      <c r="AY54" s="181"/>
      <c r="AZ54" s="181"/>
      <c r="BA54" s="182"/>
      <c r="BB54" s="181">
        <f>135/BB56</f>
        <v>0.3609625668</v>
      </c>
      <c r="BC54" s="181">
        <f>126/BC56</f>
        <v>0.3795180723</v>
      </c>
      <c r="BD54" s="181">
        <f>107/BD56</f>
        <v>0.3194029851</v>
      </c>
      <c r="BE54" s="181">
        <f>119/BE56</f>
        <v>0.3562874251</v>
      </c>
      <c r="BF54" s="182">
        <f t="array" ref="BF54">SUM(BB54:BE54*BB$57:BE$57)/BF$57</f>
        <v>0.3538953491</v>
      </c>
      <c r="BG54" s="181">
        <f>114/BG56</f>
        <v>0.4014084507</v>
      </c>
      <c r="BH54" s="181">
        <f>94/BH56</f>
        <v>0.3966244726</v>
      </c>
      <c r="BI54" s="181">
        <f>93/BI56</f>
        <v>0.40969163</v>
      </c>
      <c r="BJ54" s="181">
        <f t="shared" si="401"/>
        <v>0.40969163</v>
      </c>
      <c r="BK54" s="182">
        <f t="array" ref="BK54">SUM(BG54:BJ54*BG$57:BJ$57)/BK$57</f>
        <v>0.4039476867</v>
      </c>
      <c r="BL54" s="181">
        <f t="shared" si="402"/>
        <v>0.40969163</v>
      </c>
      <c r="BM54" s="181">
        <f t="shared" ref="BM54:BO54" si="403">BL54</f>
        <v>0.40969163</v>
      </c>
      <c r="BN54" s="181">
        <f t="shared" si="403"/>
        <v>0.40969163</v>
      </c>
      <c r="BO54" s="181">
        <f t="shared" si="403"/>
        <v>0.40969163</v>
      </c>
      <c r="BP54" s="182">
        <f t="array" ref="BP54">SUM(BL54:BO54*BL$57:BO$57)/BP$57</f>
        <v>0.40969163</v>
      </c>
      <c r="BQ54" s="181">
        <f t="shared" si="404"/>
        <v>0.40969163</v>
      </c>
      <c r="BR54" s="181">
        <f t="shared" ref="BR54:BT54" si="405">BQ54</f>
        <v>0.40969163</v>
      </c>
      <c r="BS54" s="181">
        <f t="shared" si="405"/>
        <v>0.40969163</v>
      </c>
      <c r="BT54" s="181">
        <f t="shared" si="405"/>
        <v>0.40969163</v>
      </c>
      <c r="BU54" s="182">
        <f t="array" ref="BU54">SUM(BQ54:BT54*BQ$57:BT$57)/BU$57</f>
        <v>0.4249773803</v>
      </c>
      <c r="BV54" s="181">
        <f t="shared" si="406"/>
        <v>0.40969163</v>
      </c>
      <c r="BW54" s="181">
        <f t="shared" ref="BW54:BY54" si="407">BV54</f>
        <v>0.40969163</v>
      </c>
      <c r="BX54" s="181">
        <f t="shared" si="407"/>
        <v>0.40969163</v>
      </c>
      <c r="BY54" s="181">
        <f t="shared" si="407"/>
        <v>0.40969163</v>
      </c>
      <c r="BZ54" s="183">
        <f t="array" ref="BZ54">SUM(BV54:BY54*BV$57:BY$57)/BZ$57</f>
        <v>0.40969163</v>
      </c>
      <c r="CA54" s="184">
        <f t="shared" si="408"/>
        <v>0.40969163</v>
      </c>
      <c r="CB54" s="184">
        <f t="shared" ref="CB54:CD54" si="409">CA54</f>
        <v>0.40969163</v>
      </c>
      <c r="CC54" s="184">
        <f t="shared" si="409"/>
        <v>0.40969163</v>
      </c>
      <c r="CD54" s="184">
        <f t="shared" si="409"/>
        <v>0.40969163</v>
      </c>
      <c r="CE54" s="183">
        <f t="array" ref="CE54">SUM(CA54:CD54*CA$57:CD$57)/CE$57</f>
        <v>0.4102780954</v>
      </c>
      <c r="CF54" s="184">
        <f t="shared" si="410"/>
        <v>0.40969163</v>
      </c>
      <c r="CG54" s="184">
        <f t="shared" ref="CG54:CI54" si="411">CF54</f>
        <v>0.40969163</v>
      </c>
      <c r="CH54" s="184">
        <f t="shared" si="411"/>
        <v>0.40969163</v>
      </c>
      <c r="CI54" s="184">
        <f t="shared" si="411"/>
        <v>0.40969163</v>
      </c>
      <c r="CJ54" s="183">
        <f t="array" ref="CJ54">SUM(CF54:CI54*CF$57:CI$57)/CJ$57</f>
        <v>0.4103500093</v>
      </c>
      <c r="CK54" s="184">
        <f t="shared" si="412"/>
        <v>0.40969163</v>
      </c>
      <c r="CL54" s="185">
        <f t="shared" ref="CL54:CN54" si="413">CK54</f>
        <v>0.40969163</v>
      </c>
      <c r="CM54" s="185">
        <f t="shared" si="413"/>
        <v>0.40969163</v>
      </c>
      <c r="CN54" s="186">
        <f t="shared" si="413"/>
        <v>0.40969163</v>
      </c>
      <c r="CO54" s="187">
        <f t="array" ref="CO54">SUM(CK54:CN54*CK$57:CN$57)/CO$57</f>
        <v>0.4126471818</v>
      </c>
      <c r="CP54" s="186">
        <f t="shared" si="414"/>
        <v>0.40969163</v>
      </c>
      <c r="CQ54" s="185">
        <f t="shared" ref="CQ54:CS54" si="415">CP54</f>
        <v>0.40969163</v>
      </c>
      <c r="CR54" s="185">
        <f t="shared" si="415"/>
        <v>0.40969163</v>
      </c>
      <c r="CS54" s="185">
        <f t="shared" si="415"/>
        <v>0.40969163</v>
      </c>
      <c r="CT54" s="187">
        <f t="array" ref="CT54">SUM(CP54:CS54*CP$57:CS$57)/CT$57</f>
        <v>0.4066563252</v>
      </c>
      <c r="CU54" s="185">
        <f t="shared" si="416"/>
        <v>0.40969163</v>
      </c>
      <c r="CV54" s="185">
        <f t="shared" ref="CV54:CX54" si="417">CU54</f>
        <v>0.40969163</v>
      </c>
      <c r="CW54" s="185">
        <f t="shared" si="417"/>
        <v>0.40969163</v>
      </c>
      <c r="CX54" s="185">
        <f t="shared" si="417"/>
        <v>0.40969163</v>
      </c>
      <c r="CY54" s="187">
        <f t="array" ref="CY54">SUM(CU54:CX54*CU$57:CX$57)/CY$57</f>
        <v>0.4094286755</v>
      </c>
      <c r="CZ54" s="185">
        <f t="shared" si="418"/>
        <v>0.40969163</v>
      </c>
      <c r="DA54" s="185">
        <f t="shared" ref="DA54:DC54" si="419">CZ54</f>
        <v>0.40969163</v>
      </c>
      <c r="DB54" s="185">
        <f t="shared" si="419"/>
        <v>0.40969163</v>
      </c>
      <c r="DC54" s="185">
        <f t="shared" si="419"/>
        <v>0.40969163</v>
      </c>
      <c r="DD54" s="187">
        <f t="array" ref="DD54">SUM(CZ54:DC54*CZ$57:DC$57)/DD$57</f>
        <v>0.4112528843</v>
      </c>
      <c r="DE54" s="185">
        <f t="shared" si="420"/>
        <v>0.40969163</v>
      </c>
      <c r="DF54" s="185">
        <f t="shared" ref="DF54:DH54" si="421">DE54</f>
        <v>0.40969163</v>
      </c>
      <c r="DG54" s="186">
        <f t="shared" si="421"/>
        <v>0.40969163</v>
      </c>
      <c r="DH54" s="185">
        <f t="shared" si="421"/>
        <v>0.40969163</v>
      </c>
      <c r="DI54" s="187">
        <f t="array" ref="DI54">SUM(DE54:DH54*DE$57:DH$57)/DI$57</f>
        <v>0.4489104052</v>
      </c>
      <c r="DJ54" s="186">
        <f t="shared" si="422"/>
        <v>0.40969163</v>
      </c>
      <c r="DK54" s="186">
        <f t="shared" ref="DK54:DM54" si="423">DJ54</f>
        <v>0.40969163</v>
      </c>
      <c r="DL54" s="186">
        <f t="shared" si="423"/>
        <v>0.40969163</v>
      </c>
      <c r="DM54" s="186">
        <f t="shared" si="423"/>
        <v>0.40969163</v>
      </c>
      <c r="DN54" s="187">
        <f t="array" ref="DN54">SUM(DJ54:DM54*DJ$57:DM$57)/DN$57</f>
        <v>0.4093080556</v>
      </c>
      <c r="DO54" s="186">
        <f t="shared" si="424"/>
        <v>0.40969163</v>
      </c>
      <c r="DP54" s="186">
        <f t="shared" ref="DP54:DR54" si="425">DO54</f>
        <v>0.40969163</v>
      </c>
      <c r="DQ54" s="186">
        <f t="shared" si="425"/>
        <v>0.40969163</v>
      </c>
      <c r="DR54" s="186">
        <f t="shared" si="425"/>
        <v>0.40969163</v>
      </c>
      <c r="DS54" s="187">
        <f t="array" ref="DS54">SUM(DO54:DR54*DO$57:DR$57)/DS$57</f>
        <v>0.4099478466</v>
      </c>
      <c r="DT54" s="186">
        <f t="shared" si="426"/>
        <v>0.40969163</v>
      </c>
      <c r="DU54" s="186">
        <f t="shared" ref="DU54:DW54" si="427">DT54</f>
        <v>0.40969163</v>
      </c>
      <c r="DV54" s="186">
        <f t="shared" si="427"/>
        <v>0.40969163</v>
      </c>
      <c r="DW54" s="186">
        <f t="shared" si="427"/>
        <v>0.40969163</v>
      </c>
      <c r="DX54" s="187">
        <f t="array" ref="DX54">SUM(DT54:DW54*DT$57:DW$57)/DX$57</f>
        <v>0.4114001751</v>
      </c>
      <c r="DY54" s="186">
        <f t="shared" si="428"/>
        <v>0.40969163</v>
      </c>
      <c r="DZ54" s="186">
        <f t="shared" ref="DZ54:EB54" si="429">DY54</f>
        <v>0.40969163</v>
      </c>
      <c r="EA54" s="186">
        <f t="shared" si="429"/>
        <v>0.40969163</v>
      </c>
      <c r="EB54" s="186">
        <f t="shared" si="429"/>
        <v>0.40969163</v>
      </c>
      <c r="EC54" s="187">
        <f t="array" ref="EC54">SUM(DY54:EB54*DY$57:EB$57)/EC$57</f>
        <v>0.4068374296</v>
      </c>
      <c r="ED54" s="186">
        <f t="shared" si="430"/>
        <v>0.40969163</v>
      </c>
      <c r="EE54" s="186">
        <f t="shared" ref="EE54:EG54" si="431">ED54</f>
        <v>0.40969163</v>
      </c>
      <c r="EF54" s="186">
        <f t="shared" si="431"/>
        <v>0.40969163</v>
      </c>
      <c r="EG54" s="186">
        <f t="shared" si="431"/>
        <v>0.40969163</v>
      </c>
      <c r="EH54" s="187">
        <f t="array" ref="EH54">SUM(ED54:EG54*ED$57:EG$57)/EH$57</f>
        <v>-0.3360294609</v>
      </c>
      <c r="EI54" s="188">
        <f t="shared" si="432"/>
        <v>0.40969163</v>
      </c>
      <c r="EJ54" s="185">
        <f t="shared" ref="EJ54:EL54" si="433">EI54</f>
        <v>0.40969163</v>
      </c>
      <c r="EK54" s="185">
        <f t="shared" si="433"/>
        <v>0.40969163</v>
      </c>
      <c r="EL54" s="185">
        <f t="shared" si="433"/>
        <v>0.40969163</v>
      </c>
      <c r="EM54" s="187" t="str">
        <f t="array" ref="EM54">SUM(EI54:EL54*EI$57:EL$57)/EM$57</f>
        <v>#ERROR!</v>
      </c>
      <c r="EN54" s="185">
        <f t="shared" si="434"/>
        <v>0.40969163</v>
      </c>
      <c r="EO54" s="185">
        <f t="shared" ref="EO54:EQ54" si="435">EN54</f>
        <v>0.40969163</v>
      </c>
      <c r="EP54" s="185">
        <f t="shared" si="435"/>
        <v>0.40969163</v>
      </c>
      <c r="EQ54" s="185">
        <f t="shared" si="435"/>
        <v>0.40969163</v>
      </c>
      <c r="ER54" s="187" t="str">
        <f t="array" ref="ER54">SUM(EN54:EQ54*EN$57:EQ$57)/ER$57</f>
        <v>#ERROR!</v>
      </c>
      <c r="ES54" s="185">
        <f t="shared" si="436"/>
        <v>0.40969163</v>
      </c>
      <c r="ET54" s="185">
        <f t="shared" ref="ET54:EV54" si="437">ES54</f>
        <v>0.40969163</v>
      </c>
      <c r="EU54" s="185">
        <f t="shared" si="437"/>
        <v>0.40969163</v>
      </c>
      <c r="EV54" s="185">
        <f t="shared" si="437"/>
        <v>0.40969163</v>
      </c>
      <c r="EW54" s="187" t="str">
        <f t="array" ref="EW54">SUM(ES54:EV54*ES$57:EV$57)/EW$57</f>
        <v>#ERROR!</v>
      </c>
      <c r="EX54" s="185">
        <f t="shared" si="438"/>
        <v>0.40969163</v>
      </c>
      <c r="EY54" s="185">
        <f t="shared" ref="EY54:FA54" si="439">EX54</f>
        <v>0.40969163</v>
      </c>
      <c r="EZ54" s="185">
        <f t="shared" si="439"/>
        <v>0.40969163</v>
      </c>
      <c r="FA54" s="185">
        <f t="shared" si="439"/>
        <v>0.40969163</v>
      </c>
      <c r="FB54" s="187" t="str">
        <f t="array" ref="FB54">SUM(EX54:FA54*EX$57:FA$57)/FB$57</f>
        <v>#ERROR!</v>
      </c>
      <c r="FC54" s="185">
        <f t="shared" si="440"/>
        <v>0.40969163</v>
      </c>
      <c r="FD54" s="185">
        <f t="shared" ref="FD54:FF54" si="441">FC54</f>
        <v>0.40969163</v>
      </c>
      <c r="FE54" s="185">
        <f t="shared" si="441"/>
        <v>0.40969163</v>
      </c>
      <c r="FF54" s="185">
        <f t="shared" si="441"/>
        <v>0.40969163</v>
      </c>
      <c r="FG54" s="187" t="str">
        <f t="array" ref="FG54">SUM(FC54:FF54*FC$57:FF$57)/FG$57</f>
        <v>#ERROR!</v>
      </c>
      <c r="FH54" s="189"/>
      <c r="FI54" s="190"/>
      <c r="FJ54" s="190"/>
      <c r="FK54" s="190"/>
      <c r="FL54" s="190"/>
    </row>
    <row r="55" ht="12.75" hidden="1" customHeight="1" outlineLevel="1">
      <c r="A55" s="179"/>
      <c r="B55" s="180" t="s">
        <v>84</v>
      </c>
      <c r="C55" s="179"/>
      <c r="D55" s="181"/>
      <c r="E55" s="181"/>
      <c r="F55" s="181"/>
      <c r="G55" s="181"/>
      <c r="H55" s="182"/>
      <c r="I55" s="181"/>
      <c r="J55" s="181"/>
      <c r="K55" s="181"/>
      <c r="L55" s="181"/>
      <c r="M55" s="182"/>
      <c r="N55" s="181"/>
      <c r="O55" s="181"/>
      <c r="P55" s="181"/>
      <c r="Q55" s="181"/>
      <c r="R55" s="182"/>
      <c r="S55" s="181"/>
      <c r="T55" s="181"/>
      <c r="U55" s="181"/>
      <c r="V55" s="181"/>
      <c r="W55" s="182"/>
      <c r="X55" s="181"/>
      <c r="Y55" s="181"/>
      <c r="Z55" s="181"/>
      <c r="AA55" s="181"/>
      <c r="AB55" s="182"/>
      <c r="AC55" s="181"/>
      <c r="AD55" s="181"/>
      <c r="AE55" s="181"/>
      <c r="AF55" s="181"/>
      <c r="AG55" s="182"/>
      <c r="AH55" s="181"/>
      <c r="AI55" s="181"/>
      <c r="AJ55" s="181"/>
      <c r="AK55" s="181"/>
      <c r="AL55" s="182"/>
      <c r="AM55" s="181"/>
      <c r="AN55" s="181"/>
      <c r="AO55" s="181"/>
      <c r="AP55" s="181"/>
      <c r="AQ55" s="182"/>
      <c r="AR55" s="181"/>
      <c r="AS55" s="181"/>
      <c r="AT55" s="181"/>
      <c r="AU55" s="181"/>
      <c r="AV55" s="182"/>
      <c r="AW55" s="181"/>
      <c r="AX55" s="181"/>
      <c r="AY55" s="181"/>
      <c r="AZ55" s="181"/>
      <c r="BA55" s="182"/>
      <c r="BB55" s="181">
        <f t="shared" ref="BB55:BE55" si="442">1-BB53-BB54</f>
        <v>0.4090909091</v>
      </c>
      <c r="BC55" s="181">
        <f t="shared" si="442"/>
        <v>0.421686747</v>
      </c>
      <c r="BD55" s="181">
        <f t="shared" si="442"/>
        <v>0.3731343284</v>
      </c>
      <c r="BE55" s="181">
        <f t="shared" si="442"/>
        <v>0.3622754491</v>
      </c>
      <c r="BF55" s="182">
        <f t="array" ref="BF55">SUM(BB55:BE55*BB$57:BE$57)/BF$57</f>
        <v>0.391912312</v>
      </c>
      <c r="BG55" s="181">
        <f t="shared" ref="BG55:BJ55" si="443">1-BG53-BG54</f>
        <v>0.323943662</v>
      </c>
      <c r="BH55" s="181">
        <f t="shared" si="443"/>
        <v>0.3333333333</v>
      </c>
      <c r="BI55" s="181">
        <f t="shared" si="443"/>
        <v>0.3259911894</v>
      </c>
      <c r="BJ55" s="181">
        <f t="shared" si="443"/>
        <v>0.3259911894</v>
      </c>
      <c r="BK55" s="182">
        <f t="array" ref="BK55">SUM(BG55:BJ55*BG$57:BJ$57)/BK$57</f>
        <v>0.3272414137</v>
      </c>
      <c r="BL55" s="181">
        <f t="shared" ref="BL55:BO55" si="444">1-BL53-BL54</f>
        <v>0.3259911894</v>
      </c>
      <c r="BM55" s="181">
        <f t="shared" si="444"/>
        <v>0.3259911894</v>
      </c>
      <c r="BN55" s="181">
        <f t="shared" si="444"/>
        <v>0.3259911894</v>
      </c>
      <c r="BO55" s="181">
        <f t="shared" si="444"/>
        <v>0.3259911894</v>
      </c>
      <c r="BP55" s="182">
        <f t="array" ref="BP55">SUM(BL55:BO55*BL$57:BO$57)/BP$57</f>
        <v>0.3259911894</v>
      </c>
      <c r="BQ55" s="181">
        <f t="shared" ref="BQ55:BT55" si="445">1-BQ53-BQ54</f>
        <v>0.3259911894</v>
      </c>
      <c r="BR55" s="181">
        <f t="shared" si="445"/>
        <v>0.3259911894</v>
      </c>
      <c r="BS55" s="181">
        <f t="shared" si="445"/>
        <v>0.3259911894</v>
      </c>
      <c r="BT55" s="181">
        <f t="shared" si="445"/>
        <v>0.3259911894</v>
      </c>
      <c r="BU55" s="182">
        <f t="array" ref="BU55">SUM(BQ55:BT55*BQ$57:BT$57)/BU$57</f>
        <v>0.3381540446</v>
      </c>
      <c r="BV55" s="181">
        <f t="shared" ref="BV55:BY55" si="446">1-BV53-BV54</f>
        <v>0.3259911894</v>
      </c>
      <c r="BW55" s="181">
        <f t="shared" si="446"/>
        <v>0.3259911894</v>
      </c>
      <c r="BX55" s="181">
        <f t="shared" si="446"/>
        <v>0.3259911894</v>
      </c>
      <c r="BY55" s="181">
        <f t="shared" si="446"/>
        <v>0.3259911894</v>
      </c>
      <c r="BZ55" s="183">
        <f t="array" ref="BZ55">SUM(BV55:BY55*BV$57:BY$57)/BZ$57</f>
        <v>0.3259911894</v>
      </c>
      <c r="CA55" s="184">
        <f t="shared" ref="CA55:CD55" si="447">1-CA53-CA54</f>
        <v>0.3259911894</v>
      </c>
      <c r="CB55" s="184">
        <f t="shared" si="447"/>
        <v>0.3259911894</v>
      </c>
      <c r="CC55" s="184">
        <f t="shared" si="447"/>
        <v>0.3259911894</v>
      </c>
      <c r="CD55" s="184">
        <f t="shared" si="447"/>
        <v>0.3259911894</v>
      </c>
      <c r="CE55" s="183">
        <f t="array" ref="CE55">SUM(CA55:CD55*CA$57:CD$57)/CE$57</f>
        <v>0.3264578393</v>
      </c>
      <c r="CF55" s="184">
        <f t="shared" ref="CF55:CI55" si="448">1-CF53-CF54</f>
        <v>0.3259911894</v>
      </c>
      <c r="CG55" s="184">
        <f t="shared" si="448"/>
        <v>0.3259911894</v>
      </c>
      <c r="CH55" s="184">
        <f t="shared" si="448"/>
        <v>0.3259911894</v>
      </c>
      <c r="CI55" s="184">
        <f t="shared" si="448"/>
        <v>0.3259911894</v>
      </c>
      <c r="CJ55" s="183">
        <f t="array" ref="CJ55">SUM(CF55:CI55*CF$57:CI$57)/CJ$57</f>
        <v>0.3265150611</v>
      </c>
      <c r="CK55" s="184">
        <f t="shared" ref="CK55:CN55" si="449">1-CK53-CK54</f>
        <v>0.3259911894</v>
      </c>
      <c r="CL55" s="185">
        <f t="shared" si="449"/>
        <v>0.3259911894</v>
      </c>
      <c r="CM55" s="185">
        <f t="shared" si="449"/>
        <v>0.3259911894</v>
      </c>
      <c r="CN55" s="186">
        <f t="shared" si="449"/>
        <v>0.3259911894</v>
      </c>
      <c r="CO55" s="187">
        <f t="array" ref="CO55">SUM(CK55:CN55*CK$57:CN$57)/CO$57</f>
        <v>0.3283429188</v>
      </c>
      <c r="CP55" s="186">
        <f t="shared" ref="CP55:CS55" si="450">1-CP53-CP54</f>
        <v>0.3259911894</v>
      </c>
      <c r="CQ55" s="185">
        <f t="shared" si="450"/>
        <v>0.3259911894</v>
      </c>
      <c r="CR55" s="185">
        <f t="shared" si="450"/>
        <v>0.3259911894</v>
      </c>
      <c r="CS55" s="185">
        <f t="shared" si="450"/>
        <v>0.3259911894</v>
      </c>
      <c r="CT55" s="187">
        <f t="array" ref="CT55">SUM(CP55:CS55*CP$57:CS$57)/CT$57</f>
        <v>0.3235760007</v>
      </c>
      <c r="CU55" s="185">
        <f t="shared" ref="CU55:CX55" si="451">1-CU53-CU54</f>
        <v>0.3259911894</v>
      </c>
      <c r="CV55" s="185">
        <f t="shared" si="451"/>
        <v>0.3259911894</v>
      </c>
      <c r="CW55" s="185">
        <f t="shared" si="451"/>
        <v>0.3259911894</v>
      </c>
      <c r="CX55" s="185">
        <f t="shared" si="451"/>
        <v>0.3259911894</v>
      </c>
      <c r="CY55" s="187">
        <f t="array" ref="CY55">SUM(CU55:CX55*CU$57:CX$57)/CY$57</f>
        <v>0.3257819568</v>
      </c>
      <c r="CZ55" s="185">
        <f t="shared" ref="CZ55:DC55" si="452">1-CZ53-CZ54</f>
        <v>0.3259911894</v>
      </c>
      <c r="DA55" s="185">
        <f t="shared" si="452"/>
        <v>0.3259911894</v>
      </c>
      <c r="DB55" s="185">
        <f t="shared" si="452"/>
        <v>0.3259911894</v>
      </c>
      <c r="DC55" s="185">
        <f t="shared" si="452"/>
        <v>0.3259911894</v>
      </c>
      <c r="DD55" s="187">
        <f t="array" ref="DD55">SUM(CZ55:DC55*CZ$57:DC$57)/DD$57</f>
        <v>0.3272334778</v>
      </c>
      <c r="DE55" s="185">
        <f t="shared" ref="DE55:DH55" si="453">1-DE53-DE54</f>
        <v>0.3259911894</v>
      </c>
      <c r="DF55" s="185">
        <f t="shared" si="453"/>
        <v>0.3259911894</v>
      </c>
      <c r="DG55" s="186">
        <f t="shared" si="453"/>
        <v>0.3259911894</v>
      </c>
      <c r="DH55" s="185">
        <f t="shared" si="453"/>
        <v>0.3259911894</v>
      </c>
      <c r="DI55" s="187">
        <f t="array" ref="DI55">SUM(DE55:DH55*DE$57:DH$57)/DI$57</f>
        <v>0.3571975267</v>
      </c>
      <c r="DJ55" s="186">
        <f t="shared" ref="DJ55:DM55" si="454">1-DJ53-DJ54</f>
        <v>0.3259911894</v>
      </c>
      <c r="DK55" s="186">
        <f t="shared" si="454"/>
        <v>0.3259911894</v>
      </c>
      <c r="DL55" s="186">
        <f t="shared" si="454"/>
        <v>0.3259911894</v>
      </c>
      <c r="DM55" s="186">
        <f t="shared" si="454"/>
        <v>0.3259911894</v>
      </c>
      <c r="DN55" s="187">
        <f t="array" ref="DN55">SUM(DJ55:DM55*DJ$57:DM$57)/DN$57</f>
        <v>0.3256859797</v>
      </c>
      <c r="DO55" s="186">
        <f t="shared" ref="DO55:DR55" si="455">1-DO53-DO54</f>
        <v>0.3259911894</v>
      </c>
      <c r="DP55" s="186">
        <f t="shared" si="455"/>
        <v>0.3259911894</v>
      </c>
      <c r="DQ55" s="186">
        <f t="shared" si="455"/>
        <v>0.3259911894</v>
      </c>
      <c r="DR55" s="186">
        <f t="shared" si="455"/>
        <v>0.3259911894</v>
      </c>
      <c r="DS55" s="187">
        <f t="array" ref="DS55">SUM(DO55:DR55*DO$57:DR$57)/DS$57</f>
        <v>0.3261950608</v>
      </c>
      <c r="DT55" s="186">
        <f t="shared" ref="DT55:DW55" si="456">1-DT53-DT54</f>
        <v>0.3259911894</v>
      </c>
      <c r="DU55" s="186">
        <f t="shared" si="456"/>
        <v>0.3259911894</v>
      </c>
      <c r="DV55" s="186">
        <f t="shared" si="456"/>
        <v>0.3259911894</v>
      </c>
      <c r="DW55" s="186">
        <f t="shared" si="456"/>
        <v>0.3259911894</v>
      </c>
      <c r="DX55" s="187">
        <f t="array" ref="DX55">SUM(DT55:DW55*DT$57:DW$57)/DX$57</f>
        <v>0.3273506769</v>
      </c>
      <c r="DY55" s="186">
        <f t="shared" ref="DY55:EB55" si="457">1-DY53-DY54</f>
        <v>0.3259911894</v>
      </c>
      <c r="DZ55" s="186">
        <f t="shared" si="457"/>
        <v>0.3259911894</v>
      </c>
      <c r="EA55" s="186">
        <f t="shared" si="457"/>
        <v>0.3259911894</v>
      </c>
      <c r="EB55" s="186">
        <f t="shared" si="457"/>
        <v>0.3259911894</v>
      </c>
      <c r="EC55" s="187">
        <f t="array" ref="EC55">SUM(DY55:EB55*DY$57:EB$57)/EC$57</f>
        <v>0.3237201053</v>
      </c>
      <c r="ED55" s="186">
        <f t="shared" ref="ED55:EG55" si="458">1-ED53-ED54</f>
        <v>0.3259911894</v>
      </c>
      <c r="EE55" s="186">
        <f t="shared" si="458"/>
        <v>0.3259911894</v>
      </c>
      <c r="EF55" s="186">
        <f t="shared" si="458"/>
        <v>0.3259911894</v>
      </c>
      <c r="EG55" s="186">
        <f t="shared" si="458"/>
        <v>0.3259911894</v>
      </c>
      <c r="EH55" s="187">
        <f t="array" ref="EH55">SUM(ED55:EG55*ED$57:EG$57)/EH$57</f>
        <v>-0.2673782807</v>
      </c>
      <c r="EI55" s="188">
        <f t="shared" ref="EI55:EL55" si="459">1-EI53-EI54</f>
        <v>0.3259911894</v>
      </c>
      <c r="EJ55" s="185">
        <f t="shared" si="459"/>
        <v>0.3259911894</v>
      </c>
      <c r="EK55" s="185">
        <f t="shared" si="459"/>
        <v>0.3259911894</v>
      </c>
      <c r="EL55" s="185">
        <f t="shared" si="459"/>
        <v>0.3259911894</v>
      </c>
      <c r="EM55" s="187" t="str">
        <f t="array" ref="EM55">SUM(EI55:EL55*EI$57:EL$57)/EM$57</f>
        <v>#ERROR!</v>
      </c>
      <c r="EN55" s="185">
        <f t="shared" ref="EN55:EQ55" si="460">1-EN53-EN54</f>
        <v>0.3259911894</v>
      </c>
      <c r="EO55" s="185">
        <f t="shared" si="460"/>
        <v>0.3259911894</v>
      </c>
      <c r="EP55" s="185">
        <f t="shared" si="460"/>
        <v>0.3259911894</v>
      </c>
      <c r="EQ55" s="185">
        <f t="shared" si="460"/>
        <v>0.3259911894</v>
      </c>
      <c r="ER55" s="187" t="str">
        <f t="array" ref="ER55">SUM(EN55:EQ55*EN$57:EQ$57)/ER$57</f>
        <v>#ERROR!</v>
      </c>
      <c r="ES55" s="185">
        <f t="shared" ref="ES55:EV55" si="461">1-ES53-ES54</f>
        <v>0.3259911894</v>
      </c>
      <c r="ET55" s="185">
        <f t="shared" si="461"/>
        <v>0.3259911894</v>
      </c>
      <c r="EU55" s="185">
        <f t="shared" si="461"/>
        <v>0.3259911894</v>
      </c>
      <c r="EV55" s="185">
        <f t="shared" si="461"/>
        <v>0.3259911894</v>
      </c>
      <c r="EW55" s="187" t="str">
        <f t="array" ref="EW55">SUM(ES55:EV55*ES$57:EV$57)/EW$57</f>
        <v>#ERROR!</v>
      </c>
      <c r="EX55" s="185">
        <f t="shared" ref="EX55:FA55" si="462">1-EX53-EX54</f>
        <v>0.3259911894</v>
      </c>
      <c r="EY55" s="185">
        <f t="shared" si="462"/>
        <v>0.3259911894</v>
      </c>
      <c r="EZ55" s="185">
        <f t="shared" si="462"/>
        <v>0.3259911894</v>
      </c>
      <c r="FA55" s="185">
        <f t="shared" si="462"/>
        <v>0.3259911894</v>
      </c>
      <c r="FB55" s="187" t="str">
        <f t="array" ref="FB55">SUM(EX55:FA55*EX$57:FA$57)/FB$57</f>
        <v>#ERROR!</v>
      </c>
      <c r="FC55" s="185">
        <f t="shared" ref="FC55:FF55" si="463">1-FC53-FC54</f>
        <v>0.3259911894</v>
      </c>
      <c r="FD55" s="185">
        <f t="shared" si="463"/>
        <v>0.3259911894</v>
      </c>
      <c r="FE55" s="185">
        <f t="shared" si="463"/>
        <v>0.3259911894</v>
      </c>
      <c r="FF55" s="185">
        <f t="shared" si="463"/>
        <v>0.3259911894</v>
      </c>
      <c r="FG55" s="187" t="str">
        <f t="array" ref="FG55">SUM(FC55:FF55*FC$57:FF$57)/FG$57</f>
        <v>#ERROR!</v>
      </c>
      <c r="FH55" s="189"/>
      <c r="FI55" s="190"/>
      <c r="FJ55" s="190"/>
      <c r="FK55" s="190"/>
      <c r="FL55" s="190"/>
    </row>
    <row r="56" ht="12.75" hidden="1" customHeight="1" outlineLevel="1">
      <c r="A56" s="128"/>
      <c r="B56" s="191" t="s">
        <v>85</v>
      </c>
      <c r="C56" s="191"/>
      <c r="D56" s="192"/>
      <c r="E56" s="192"/>
      <c r="F56" s="192"/>
      <c r="G56" s="192"/>
      <c r="H56" s="101"/>
      <c r="I56" s="192"/>
      <c r="J56" s="192"/>
      <c r="K56" s="192"/>
      <c r="L56" s="192"/>
      <c r="M56" s="101"/>
      <c r="N56" s="192"/>
      <c r="O56" s="192"/>
      <c r="P56" s="192"/>
      <c r="Q56" s="192"/>
      <c r="R56" s="101"/>
      <c r="S56" s="192"/>
      <c r="T56" s="192"/>
      <c r="U56" s="192"/>
      <c r="V56" s="192"/>
      <c r="W56" s="101"/>
      <c r="X56" s="192"/>
      <c r="Y56" s="192"/>
      <c r="Z56" s="192"/>
      <c r="AA56" s="192"/>
      <c r="AB56" s="101"/>
      <c r="AC56" s="192"/>
      <c r="AD56" s="192"/>
      <c r="AE56" s="192"/>
      <c r="AF56" s="192"/>
      <c r="AG56" s="101"/>
      <c r="AH56" s="192"/>
      <c r="AI56" s="192"/>
      <c r="AJ56" s="192"/>
      <c r="AK56" s="192"/>
      <c r="AL56" s="101"/>
      <c r="AM56" s="192"/>
      <c r="AN56" s="192"/>
      <c r="AO56" s="192"/>
      <c r="AP56" s="192"/>
      <c r="AQ56" s="101"/>
      <c r="AR56" s="192"/>
      <c r="AS56" s="192"/>
      <c r="AT56" s="192"/>
      <c r="AU56" s="192"/>
      <c r="AV56" s="101"/>
      <c r="AW56" s="192"/>
      <c r="AX56" s="192"/>
      <c r="AY56" s="192"/>
      <c r="AZ56" s="192"/>
      <c r="BA56" s="101"/>
      <c r="BB56" s="192">
        <f>86+135+153</f>
        <v>374</v>
      </c>
      <c r="BC56" s="192">
        <f>66+126+140</f>
        <v>332</v>
      </c>
      <c r="BD56" s="192">
        <f>103+107+125</f>
        <v>335</v>
      </c>
      <c r="BE56" s="192">
        <f>94+119+121</f>
        <v>334</v>
      </c>
      <c r="BF56" s="101">
        <f t="shared" ref="BF56:BF57" si="473">SUM(BB56:BE56)</f>
        <v>1375</v>
      </c>
      <c r="BG56" s="192">
        <f>78+114+92</f>
        <v>284</v>
      </c>
      <c r="BH56" s="192">
        <f>64+94+79</f>
        <v>237</v>
      </c>
      <c r="BI56" s="192">
        <f>60+93+74</f>
        <v>227</v>
      </c>
      <c r="BJ56" s="192">
        <f>CF!BJ13</f>
        <v>204</v>
      </c>
      <c r="BK56" s="101">
        <f t="shared" ref="BK56:BK57" si="475">SUM(BG56:BJ56)</f>
        <v>952</v>
      </c>
      <c r="BL56" s="192">
        <f>CF!BL13</f>
        <v>219</v>
      </c>
      <c r="BM56" s="192">
        <f>CF!BM13</f>
        <v>243</v>
      </c>
      <c r="BN56" s="192">
        <f>CF!BN13</f>
        <v>197</v>
      </c>
      <c r="BO56" s="192">
        <f>CF!BO13</f>
        <v>192</v>
      </c>
      <c r="BP56" s="101">
        <f t="shared" ref="BP56:BP57" si="477">SUM(BL56:BO56)</f>
        <v>851</v>
      </c>
      <c r="BQ56" s="192">
        <f>CF!BQ13</f>
        <v>213</v>
      </c>
      <c r="BR56" s="192">
        <f>CF!BR13</f>
        <v>258</v>
      </c>
      <c r="BS56" s="192">
        <f>CF!BS13</f>
        <v>218</v>
      </c>
      <c r="BT56" s="192">
        <f>CF!BT13</f>
        <v>200</v>
      </c>
      <c r="BU56" s="101">
        <f>SUM(BQ56:BT56)</f>
        <v>889</v>
      </c>
      <c r="BV56" s="192">
        <f>CF!BV13</f>
        <v>248</v>
      </c>
      <c r="BW56" s="192">
        <f>CF!BW13</f>
        <v>232</v>
      </c>
      <c r="BX56" s="192">
        <f>CF!BX13</f>
        <v>224</v>
      </c>
      <c r="BY56" s="192">
        <f>CF!BY13</f>
        <v>213</v>
      </c>
      <c r="BZ56" s="193">
        <f t="shared" ref="BZ56:BZ57" si="479">SUM(BV56:BY56)</f>
        <v>917</v>
      </c>
      <c r="CA56" s="192">
        <f>CF!CA13</f>
        <v>300</v>
      </c>
      <c r="CB56" s="192">
        <f>CF!CB13</f>
        <v>262</v>
      </c>
      <c r="CC56" s="192">
        <f>CF!CC13</f>
        <v>250</v>
      </c>
      <c r="CD56" s="192">
        <v>241.0</v>
      </c>
      <c r="CE56" s="193">
        <f>SUM(CA56:CD56)</f>
        <v>1053</v>
      </c>
      <c r="CF56" s="192">
        <v>274.0</v>
      </c>
      <c r="CG56" s="192">
        <v>280.0</v>
      </c>
      <c r="CH56" s="192">
        <v>276.0</v>
      </c>
      <c r="CI56" s="192">
        <v>275.0</v>
      </c>
      <c r="CJ56" s="193">
        <f>SUM(CF56:CI56)</f>
        <v>1105</v>
      </c>
      <c r="CK56" s="192">
        <v>295.0</v>
      </c>
      <c r="CL56" s="194">
        <f>CO56/4</f>
        <v>287.5</v>
      </c>
      <c r="CM56" s="194">
        <f>CO56/4</f>
        <v>287.5</v>
      </c>
      <c r="CN56" s="195">
        <f>CO56-SUM(CK56:CM56)</f>
        <v>280</v>
      </c>
      <c r="CO56" s="196">
        <v>1150.0</v>
      </c>
      <c r="CP56" s="195">
        <v>283.0</v>
      </c>
      <c r="CQ56" s="194">
        <v>303.0</v>
      </c>
      <c r="CR56" s="194">
        <v>281.0</v>
      </c>
      <c r="CS56" s="194">
        <f>CT56-SUM(CP56:CR56)</f>
        <v>283</v>
      </c>
      <c r="CT56" s="196">
        <f>CO56</f>
        <v>1150</v>
      </c>
      <c r="CU56" s="192">
        <v>368.0</v>
      </c>
      <c r="CV56" s="192">
        <v>332.0</v>
      </c>
      <c r="CW56" s="192">
        <v>309.0</v>
      </c>
      <c r="CX56" s="192">
        <v>296.0</v>
      </c>
      <c r="CY56" s="196">
        <f>SUM(CU56:CX56)</f>
        <v>1305</v>
      </c>
      <c r="CZ56" s="197">
        <v>448.0</v>
      </c>
      <c r="DA56" s="192">
        <v>364.0</v>
      </c>
      <c r="DB56" s="192">
        <v>324.0</v>
      </c>
      <c r="DC56" s="192">
        <v>308.0</v>
      </c>
      <c r="DD56" s="196">
        <f>SUM(CZ56:DC56)</f>
        <v>1444</v>
      </c>
      <c r="DE56" s="194">
        <v>397.0</v>
      </c>
      <c r="DF56" s="192">
        <v>328.0</v>
      </c>
      <c r="DG56" s="198">
        <v>350.0</v>
      </c>
      <c r="DH56" s="192">
        <f>DG56</f>
        <v>350</v>
      </c>
      <c r="DI56" s="196">
        <f>SUM(DE56:DH56)</f>
        <v>1425</v>
      </c>
      <c r="DJ56" s="198">
        <v>433.0</v>
      </c>
      <c r="DK56" s="198">
        <v>387.0</v>
      </c>
      <c r="DL56" s="198">
        <v>383.0</v>
      </c>
      <c r="DM56" s="198">
        <v>343.0</v>
      </c>
      <c r="DN56" s="196">
        <f>SUM(DJ56:DM56)</f>
        <v>1546</v>
      </c>
      <c r="DO56" s="198">
        <v>389.0</v>
      </c>
      <c r="DP56" s="198">
        <v>470.0</v>
      </c>
      <c r="DQ56" s="198">
        <f t="shared" ref="DQ56:DR56" si="464">DQ88</f>
        <v>431</v>
      </c>
      <c r="DR56" s="198">
        <f t="shared" si="464"/>
        <v>545.643</v>
      </c>
      <c r="DS56" s="196">
        <f>SUM(DO56:DR56)</f>
        <v>1835.643</v>
      </c>
      <c r="DT56" s="198">
        <f t="shared" ref="DT56:DW56" si="465">DT88</f>
        <v>449</v>
      </c>
      <c r="DU56" s="198">
        <f t="shared" si="465"/>
        <v>492</v>
      </c>
      <c r="DV56" s="198">
        <f t="shared" si="465"/>
        <v>452</v>
      </c>
      <c r="DW56" s="198">
        <f t="shared" si="465"/>
        <v>461</v>
      </c>
      <c r="DX56" s="196">
        <f>SUM(DT56:DW56)</f>
        <v>1854</v>
      </c>
      <c r="DY56" s="198">
        <f t="shared" ref="DY56:EB56" si="466">DY88</f>
        <v>425</v>
      </c>
      <c r="DZ56" s="198">
        <f t="shared" si="466"/>
        <v>619</v>
      </c>
      <c r="EA56" s="198">
        <f t="shared" si="466"/>
        <v>543</v>
      </c>
      <c r="EB56" s="198">
        <f t="shared" si="466"/>
        <v>449</v>
      </c>
      <c r="EC56" s="196">
        <f>SUM(DY56:EB56)</f>
        <v>2036</v>
      </c>
      <c r="ED56" s="198">
        <f t="shared" ref="ED56:EG56" si="467">ED88</f>
        <v>707</v>
      </c>
      <c r="EE56" s="198">
        <f t="shared" si="467"/>
        <v>892</v>
      </c>
      <c r="EF56" s="198">
        <f t="shared" si="467"/>
        <v>793</v>
      </c>
      <c r="EG56" s="198">
        <f t="shared" si="467"/>
        <v>736</v>
      </c>
      <c r="EH56" s="196">
        <f>SUM(ED56:EG56)</f>
        <v>3128</v>
      </c>
      <c r="EI56" s="199" t="str">
        <f t="shared" ref="EI56:EL56" si="468">EI88</f>
        <v>#ERROR!</v>
      </c>
      <c r="EJ56" s="192" t="str">
        <f t="shared" si="468"/>
        <v>#ERROR!</v>
      </c>
      <c r="EK56" s="192" t="str">
        <f t="shared" si="468"/>
        <v>#ERROR!</v>
      </c>
      <c r="EL56" s="192" t="str">
        <f t="shared" si="468"/>
        <v>#ERROR!</v>
      </c>
      <c r="EM56" s="196" t="str">
        <f>SUM(EI56:EL56)</f>
        <v>#ERROR!</v>
      </c>
      <c r="EN56" s="192" t="str">
        <f t="shared" ref="EN56:EQ56" si="469">EN88</f>
        <v>#ERROR!</v>
      </c>
      <c r="EO56" s="192" t="str">
        <f t="shared" si="469"/>
        <v>#ERROR!</v>
      </c>
      <c r="EP56" s="192" t="str">
        <f t="shared" si="469"/>
        <v>#ERROR!</v>
      </c>
      <c r="EQ56" s="192" t="str">
        <f t="shared" si="469"/>
        <v>#ERROR!</v>
      </c>
      <c r="ER56" s="196" t="str">
        <f>SUM(EN56:EQ56)</f>
        <v>#ERROR!</v>
      </c>
      <c r="ES56" s="192" t="str">
        <f t="shared" ref="ES56:EV56" si="470">ES88</f>
        <v>#ERROR!</v>
      </c>
      <c r="ET56" s="192" t="str">
        <f t="shared" si="470"/>
        <v>#ERROR!</v>
      </c>
      <c r="EU56" s="192" t="str">
        <f t="shared" si="470"/>
        <v>#ERROR!</v>
      </c>
      <c r="EV56" s="192" t="str">
        <f t="shared" si="470"/>
        <v>#ERROR!</v>
      </c>
      <c r="EW56" s="196" t="str">
        <f>SUM(ES56:EV56)</f>
        <v>#ERROR!</v>
      </c>
      <c r="EX56" s="192" t="str">
        <f t="shared" ref="EX56:FA56" si="471">EX88</f>
        <v>#ERROR!</v>
      </c>
      <c r="EY56" s="192" t="str">
        <f t="shared" si="471"/>
        <v>#ERROR!</v>
      </c>
      <c r="EZ56" s="192" t="str">
        <f t="shared" si="471"/>
        <v>#ERROR!</v>
      </c>
      <c r="FA56" s="192" t="str">
        <f t="shared" si="471"/>
        <v>#ERROR!</v>
      </c>
      <c r="FB56" s="196" t="str">
        <f>SUM(EX56:FA56)</f>
        <v>#ERROR!</v>
      </c>
      <c r="FC56" s="192" t="str">
        <f t="shared" ref="FC56:FF56" si="472">FC88</f>
        <v>#ERROR!</v>
      </c>
      <c r="FD56" s="192" t="str">
        <f t="shared" si="472"/>
        <v>#ERROR!</v>
      </c>
      <c r="FE56" s="192" t="str">
        <f t="shared" si="472"/>
        <v>#ERROR!</v>
      </c>
      <c r="FF56" s="192" t="str">
        <f t="shared" si="472"/>
        <v>#ERROR!</v>
      </c>
      <c r="FG56" s="196" t="str">
        <f>SUM(FC56:FF56)</f>
        <v>#ERROR!</v>
      </c>
      <c r="FH56" s="103"/>
      <c r="FI56" s="200"/>
      <c r="FJ56" s="200"/>
      <c r="FK56" s="200"/>
      <c r="FL56" s="200"/>
    </row>
    <row r="57" ht="12.75" hidden="1" customHeight="1" outlineLevel="1">
      <c r="A57" s="128"/>
      <c r="B57" s="191" t="s">
        <v>86</v>
      </c>
      <c r="C57" s="191"/>
      <c r="D57" s="192"/>
      <c r="E57" s="192"/>
      <c r="F57" s="192"/>
      <c r="G57" s="192"/>
      <c r="H57" s="101">
        <v>111.0</v>
      </c>
      <c r="I57" s="192">
        <f>M57/4</f>
        <v>52.5</v>
      </c>
      <c r="J57" s="192">
        <f>M57/4</f>
        <v>52.5</v>
      </c>
      <c r="K57" s="192">
        <f>M57/4</f>
        <v>52.5</v>
      </c>
      <c r="L57" s="192">
        <f>M57/4</f>
        <v>52.5</v>
      </c>
      <c r="M57" s="101">
        <v>210.0</v>
      </c>
      <c r="N57" s="192">
        <f>R57/4</f>
        <v>78.25</v>
      </c>
      <c r="O57" s="192">
        <f>R57/4</f>
        <v>78.25</v>
      </c>
      <c r="P57" s="192">
        <f>R57/4</f>
        <v>78.25</v>
      </c>
      <c r="Q57" s="192">
        <f>R57/4</f>
        <v>78.25</v>
      </c>
      <c r="R57" s="101">
        <v>313.0</v>
      </c>
      <c r="S57" s="192">
        <f>W57/4</f>
        <v>113.5</v>
      </c>
      <c r="T57" s="192">
        <f>W57/4</f>
        <v>113.5</v>
      </c>
      <c r="U57" s="192">
        <f>W57/4</f>
        <v>113.5</v>
      </c>
      <c r="V57" s="192">
        <f>W57/4</f>
        <v>113.5</v>
      </c>
      <c r="W57" s="101">
        <v>454.0</v>
      </c>
      <c r="X57" s="192">
        <f>AB57/4</f>
        <v>209</v>
      </c>
      <c r="Y57" s="192">
        <f>AB57/4</f>
        <v>209</v>
      </c>
      <c r="Z57" s="192">
        <f>AB57/4</f>
        <v>209</v>
      </c>
      <c r="AA57" s="192">
        <f>AB57/4</f>
        <v>209</v>
      </c>
      <c r="AB57" s="101">
        <v>836.0</v>
      </c>
      <c r="AC57" s="192">
        <f>AG57/4</f>
        <v>259.25</v>
      </c>
      <c r="AD57" s="192">
        <f>AG57/4</f>
        <v>259.25</v>
      </c>
      <c r="AE57" s="192">
        <f>AG57/4</f>
        <v>259.25</v>
      </c>
      <c r="AF57" s="192">
        <f>AG57/4</f>
        <v>259.25</v>
      </c>
      <c r="AG57" s="101">
        <v>1037.0</v>
      </c>
      <c r="AH57" s="192">
        <v>287.0</v>
      </c>
      <c r="AI57" s="192">
        <v>309.0</v>
      </c>
      <c r="AJ57" s="192">
        <v>274.0</v>
      </c>
      <c r="AK57" s="192">
        <v>300.0</v>
      </c>
      <c r="AL57" s="101">
        <f>SUM(AH57:AK57)</f>
        <v>1170</v>
      </c>
      <c r="AM57" s="192">
        <v>298.0</v>
      </c>
      <c r="AN57" s="192">
        <v>290.0</v>
      </c>
      <c r="AO57" s="192">
        <v>298.0</v>
      </c>
      <c r="AP57" s="192">
        <v>105.0</v>
      </c>
      <c r="AQ57" s="101">
        <f>SUM(AM57:AP57)</f>
        <v>991</v>
      </c>
      <c r="AR57" s="192">
        <v>288.0</v>
      </c>
      <c r="AS57" s="192">
        <v>297.0</v>
      </c>
      <c r="AT57" s="192">
        <v>295.0</v>
      </c>
      <c r="AU57" s="192">
        <v>391.0</v>
      </c>
      <c r="AV57" s="101">
        <f>SUM(AR57:AU57)</f>
        <v>1271</v>
      </c>
      <c r="AW57" s="192">
        <v>333.0</v>
      </c>
      <c r="AX57" s="192">
        <v>293.0</v>
      </c>
      <c r="AY57" s="192">
        <v>291.0</v>
      </c>
      <c r="AZ57" s="192">
        <f>BA57-SUM(AW57:AY57)</f>
        <v>345</v>
      </c>
      <c r="BA57" s="101">
        <v>1262.0</v>
      </c>
      <c r="BB57" s="192">
        <f>BB56-110</f>
        <v>264</v>
      </c>
      <c r="BC57" s="192">
        <f>BC56-93</f>
        <v>239</v>
      </c>
      <c r="BD57" s="192">
        <f>BD56-87</f>
        <v>248</v>
      </c>
      <c r="BE57" s="192">
        <f>BE56-98</f>
        <v>236</v>
      </c>
      <c r="BF57" s="101">
        <f t="shared" si="473"/>
        <v>987</v>
      </c>
      <c r="BG57" s="192">
        <f t="shared" ref="BG57:BJ57" si="474">BG56*(1-BG110)</f>
        <v>198.6332088</v>
      </c>
      <c r="BH57" s="192">
        <f t="shared" si="474"/>
        <v>170.0385873</v>
      </c>
      <c r="BI57" s="192">
        <f t="shared" si="474"/>
        <v>162.532</v>
      </c>
      <c r="BJ57" s="192">
        <f t="shared" si="474"/>
        <v>142.0680773</v>
      </c>
      <c r="BK57" s="101">
        <f t="shared" si="475"/>
        <v>673.2718733</v>
      </c>
      <c r="BL57" s="192">
        <f t="shared" ref="BL57:BO57" si="476">BL56*(1-BL110)</f>
        <v>145.5628743</v>
      </c>
      <c r="BM57" s="192">
        <f t="shared" si="476"/>
        <v>168.1984436</v>
      </c>
      <c r="BN57" s="192">
        <f t="shared" si="476"/>
        <v>140.0487116</v>
      </c>
      <c r="BO57" s="192">
        <f t="shared" si="476"/>
        <v>136.512</v>
      </c>
      <c r="BP57" s="101">
        <f t="shared" si="477"/>
        <v>590.3220294</v>
      </c>
      <c r="BQ57" s="192">
        <f t="shared" ref="BQ57:BY57" si="478">BQ56*(1-BQ110)</f>
        <v>213</v>
      </c>
      <c r="BR57" s="192">
        <f t="shared" si="478"/>
        <v>193.7308518</v>
      </c>
      <c r="BS57" s="192">
        <f t="shared" si="478"/>
        <v>159.7977883</v>
      </c>
      <c r="BT57" s="192">
        <f t="shared" si="478"/>
        <v>161.0200364</v>
      </c>
      <c r="BU57" s="101">
        <f t="shared" si="478"/>
        <v>701.3799251</v>
      </c>
      <c r="BV57" s="192">
        <f t="shared" si="478"/>
        <v>175.7446315</v>
      </c>
      <c r="BW57" s="192">
        <f t="shared" si="478"/>
        <v>160.0439665</v>
      </c>
      <c r="BX57" s="192">
        <f t="shared" si="478"/>
        <v>155.7092449</v>
      </c>
      <c r="BY57" s="192">
        <f t="shared" si="478"/>
        <v>162.7047802</v>
      </c>
      <c r="BZ57" s="193">
        <f t="shared" si="479"/>
        <v>654.2026231</v>
      </c>
      <c r="CA57" s="192">
        <f t="shared" ref="CA57:FG57" si="480">CA56*(1-CA110)</f>
        <v>216.8840082</v>
      </c>
      <c r="CB57" s="192">
        <f t="shared" si="480"/>
        <v>196.8832358</v>
      </c>
      <c r="CC57" s="192">
        <f t="shared" si="480"/>
        <v>177.2281276</v>
      </c>
      <c r="CD57" s="192">
        <f t="shared" si="480"/>
        <v>176.5336821</v>
      </c>
      <c r="CE57" s="193">
        <f t="shared" si="480"/>
        <v>766.4319217</v>
      </c>
      <c r="CF57" s="192">
        <f t="shared" si="480"/>
        <v>196.6995281</v>
      </c>
      <c r="CG57" s="192">
        <f t="shared" si="480"/>
        <v>201.2099644</v>
      </c>
      <c r="CH57" s="192">
        <f t="shared" si="480"/>
        <v>209.199694</v>
      </c>
      <c r="CI57" s="192">
        <f t="shared" si="480"/>
        <v>211.8289638</v>
      </c>
      <c r="CJ57" s="193">
        <f t="shared" si="480"/>
        <v>817.6242184</v>
      </c>
      <c r="CK57" s="192">
        <f t="shared" si="480"/>
        <v>246.9402374</v>
      </c>
      <c r="CL57" s="194">
        <f t="shared" si="480"/>
        <v>213.5165243</v>
      </c>
      <c r="CM57" s="194">
        <f t="shared" si="480"/>
        <v>216.1378695</v>
      </c>
      <c r="CN57" s="195">
        <f t="shared" si="480"/>
        <v>206.9839482</v>
      </c>
      <c r="CO57" s="196">
        <f t="shared" si="480"/>
        <v>877.2500198</v>
      </c>
      <c r="CP57" s="195">
        <f t="shared" si="480"/>
        <v>205.2354252</v>
      </c>
      <c r="CQ57" s="194">
        <f t="shared" si="480"/>
        <v>216.009179</v>
      </c>
      <c r="CR57" s="194">
        <f t="shared" si="480"/>
        <v>204.8520879</v>
      </c>
      <c r="CS57" s="194">
        <f t="shared" si="480"/>
        <v>222.3788367</v>
      </c>
      <c r="CT57" s="196">
        <f t="shared" si="480"/>
        <v>854.808596</v>
      </c>
      <c r="CU57" s="194">
        <f t="shared" si="480"/>
        <v>274.2446689</v>
      </c>
      <c r="CV57" s="194">
        <f t="shared" si="480"/>
        <v>301.1706336</v>
      </c>
      <c r="CW57" s="194">
        <f t="shared" si="480"/>
        <v>225.8831413</v>
      </c>
      <c r="CX57" s="194">
        <f t="shared" si="480"/>
        <v>248.5354404</v>
      </c>
      <c r="CY57" s="196">
        <f t="shared" si="480"/>
        <v>1050.508137</v>
      </c>
      <c r="CZ57" s="194">
        <f t="shared" si="480"/>
        <v>365.4736842</v>
      </c>
      <c r="DA57" s="194">
        <f t="shared" si="480"/>
        <v>289.8922156</v>
      </c>
      <c r="DB57" s="194">
        <f t="shared" si="480"/>
        <v>253.467346</v>
      </c>
      <c r="DC57" s="194">
        <f t="shared" si="480"/>
        <v>247.0936937</v>
      </c>
      <c r="DD57" s="196">
        <f t="shared" si="480"/>
        <v>1151.538652</v>
      </c>
      <c r="DE57" s="194">
        <f t="shared" si="480"/>
        <v>308.442464</v>
      </c>
      <c r="DF57" s="194">
        <f t="shared" si="480"/>
        <v>201.4488189</v>
      </c>
      <c r="DG57" s="195">
        <f t="shared" si="480"/>
        <v>266.5430017</v>
      </c>
      <c r="DH57" s="194">
        <f t="shared" si="480"/>
        <v>-39.84258492</v>
      </c>
      <c r="DI57" s="196">
        <f t="shared" si="480"/>
        <v>672.239829</v>
      </c>
      <c r="DJ57" s="195">
        <f t="shared" si="480"/>
        <v>384.8696867</v>
      </c>
      <c r="DK57" s="195">
        <f t="shared" si="480"/>
        <v>350.3928378</v>
      </c>
      <c r="DL57" s="195">
        <f t="shared" si="480"/>
        <v>343.1019322</v>
      </c>
      <c r="DM57" s="195">
        <f t="shared" si="480"/>
        <v>316.2173913</v>
      </c>
      <c r="DN57" s="196">
        <f t="shared" si="480"/>
        <v>1395.888751</v>
      </c>
      <c r="DO57" s="195">
        <f t="shared" si="480"/>
        <v>339.979327</v>
      </c>
      <c r="DP57" s="195">
        <f t="shared" si="480"/>
        <v>415.776884</v>
      </c>
      <c r="DQ57" s="195">
        <f t="shared" si="480"/>
        <v>384.2372377</v>
      </c>
      <c r="DR57" s="195">
        <f t="shared" si="480"/>
        <v>466.9887103</v>
      </c>
      <c r="DS57" s="196">
        <f t="shared" si="480"/>
        <v>1605.977798</v>
      </c>
      <c r="DT57" s="195">
        <f t="shared" si="480"/>
        <v>384.3043544</v>
      </c>
      <c r="DU57" s="195">
        <f t="shared" si="480"/>
        <v>423.1946083</v>
      </c>
      <c r="DV57" s="195">
        <f t="shared" si="480"/>
        <v>383.406467</v>
      </c>
      <c r="DW57" s="195">
        <f t="shared" si="480"/>
        <v>360.5872062</v>
      </c>
      <c r="DX57" s="196">
        <f t="shared" si="480"/>
        <v>1545.049286</v>
      </c>
      <c r="DY57" s="195">
        <f t="shared" si="480"/>
        <v>365.7002048</v>
      </c>
      <c r="DZ57" s="195">
        <f t="shared" si="480"/>
        <v>545.3018277</v>
      </c>
      <c r="EA57" s="195">
        <f t="shared" si="480"/>
        <v>540.2287839</v>
      </c>
      <c r="EB57" s="195">
        <f t="shared" si="480"/>
        <v>399.6393916</v>
      </c>
      <c r="EC57" s="196">
        <f t="shared" si="480"/>
        <v>1863.855135</v>
      </c>
      <c r="ED57" s="195">
        <f t="shared" si="480"/>
        <v>593.7160749</v>
      </c>
      <c r="EE57" s="195">
        <f t="shared" si="480"/>
        <v>445.5093509</v>
      </c>
      <c r="EF57" s="195">
        <f t="shared" si="480"/>
        <v>-4298.228723</v>
      </c>
      <c r="EG57" s="195">
        <f t="shared" si="480"/>
        <v>611.1758794</v>
      </c>
      <c r="EH57" s="196">
        <f t="shared" si="480"/>
        <v>3228.266735</v>
      </c>
      <c r="EI57" s="201" t="str">
        <f t="shared" si="480"/>
        <v>#ERROR!</v>
      </c>
      <c r="EJ57" s="194" t="str">
        <f t="shared" si="480"/>
        <v>#ERROR!</v>
      </c>
      <c r="EK57" s="194" t="str">
        <f t="shared" si="480"/>
        <v>#ERROR!</v>
      </c>
      <c r="EL57" s="194" t="str">
        <f t="shared" si="480"/>
        <v>#ERROR!</v>
      </c>
      <c r="EM57" s="196" t="str">
        <f t="shared" si="480"/>
        <v>#ERROR!</v>
      </c>
      <c r="EN57" s="194" t="str">
        <f t="shared" si="480"/>
        <v>#ERROR!</v>
      </c>
      <c r="EO57" s="194" t="str">
        <f t="shared" si="480"/>
        <v>#ERROR!</v>
      </c>
      <c r="EP57" s="194" t="str">
        <f t="shared" si="480"/>
        <v>#ERROR!</v>
      </c>
      <c r="EQ57" s="194" t="str">
        <f t="shared" si="480"/>
        <v>#ERROR!</v>
      </c>
      <c r="ER57" s="196" t="str">
        <f t="shared" si="480"/>
        <v>#ERROR!</v>
      </c>
      <c r="ES57" s="194" t="str">
        <f t="shared" si="480"/>
        <v>#ERROR!</v>
      </c>
      <c r="ET57" s="194" t="str">
        <f t="shared" si="480"/>
        <v>#ERROR!</v>
      </c>
      <c r="EU57" s="194" t="str">
        <f t="shared" si="480"/>
        <v>#ERROR!</v>
      </c>
      <c r="EV57" s="194" t="str">
        <f t="shared" si="480"/>
        <v>#ERROR!</v>
      </c>
      <c r="EW57" s="196" t="str">
        <f t="shared" si="480"/>
        <v>#ERROR!</v>
      </c>
      <c r="EX57" s="194" t="str">
        <f t="shared" si="480"/>
        <v>#ERROR!</v>
      </c>
      <c r="EY57" s="194" t="str">
        <f t="shared" si="480"/>
        <v>#ERROR!</v>
      </c>
      <c r="EZ57" s="194" t="str">
        <f t="shared" si="480"/>
        <v>#ERROR!</v>
      </c>
      <c r="FA57" s="194" t="str">
        <f t="shared" si="480"/>
        <v>#ERROR!</v>
      </c>
      <c r="FB57" s="196" t="str">
        <f t="shared" si="480"/>
        <v>#ERROR!</v>
      </c>
      <c r="FC57" s="194" t="str">
        <f t="shared" si="480"/>
        <v>#ERROR!</v>
      </c>
      <c r="FD57" s="194" t="str">
        <f t="shared" si="480"/>
        <v>#ERROR!</v>
      </c>
      <c r="FE57" s="194" t="str">
        <f t="shared" si="480"/>
        <v>#ERROR!</v>
      </c>
      <c r="FF57" s="194" t="str">
        <f t="shared" si="480"/>
        <v>#ERROR!</v>
      </c>
      <c r="FG57" s="196" t="str">
        <f t="shared" si="480"/>
        <v>#ERROR!</v>
      </c>
      <c r="FH57" s="103"/>
      <c r="FI57" s="200"/>
      <c r="FJ57" s="200"/>
      <c r="FK57" s="200"/>
      <c r="FL57" s="200"/>
    </row>
    <row r="58" ht="12.75" hidden="1" customHeight="1" outlineLevel="1">
      <c r="A58" s="128"/>
      <c r="B58" s="128" t="s">
        <v>87</v>
      </c>
      <c r="C58" s="128"/>
      <c r="D58" s="194"/>
      <c r="E58" s="194"/>
      <c r="F58" s="194"/>
      <c r="G58" s="194"/>
      <c r="H58" s="102"/>
      <c r="I58" s="194"/>
      <c r="J58" s="194"/>
      <c r="K58" s="194"/>
      <c r="L58" s="194"/>
      <c r="M58" s="102"/>
      <c r="N58" s="194">
        <v>0.0</v>
      </c>
      <c r="O58" s="194">
        <v>0.0</v>
      </c>
      <c r="P58" s="194">
        <v>-16.0</v>
      </c>
      <c r="Q58" s="194">
        <f t="shared" ref="Q58:Q59" si="481">R58-SUM(N58:P58)</f>
        <v>-1</v>
      </c>
      <c r="R58" s="102">
        <f>-56+39</f>
        <v>-17</v>
      </c>
      <c r="S58" s="194">
        <v>-18.0</v>
      </c>
      <c r="T58" s="194">
        <v>-31.0</v>
      </c>
      <c r="U58" s="194">
        <v>-121.0</v>
      </c>
      <c r="V58" s="194">
        <f t="shared" ref="V58:V60" si="482">W58-SUM(S58:U58)</f>
        <v>-137</v>
      </c>
      <c r="W58" s="102">
        <f>-411+104</f>
        <v>-307</v>
      </c>
      <c r="X58" s="194">
        <v>-313.0</v>
      </c>
      <c r="Y58" s="194">
        <v>-394.0</v>
      </c>
      <c r="Z58" s="194">
        <v>-420.0</v>
      </c>
      <c r="AA58" s="194">
        <f t="shared" ref="AA58:AA60" si="483">AB58-SUM(X58:Z58)</f>
        <v>-183</v>
      </c>
      <c r="AB58" s="102">
        <f>-1586+276</f>
        <v>-1310</v>
      </c>
      <c r="AC58" s="194">
        <v>-441.0</v>
      </c>
      <c r="AD58" s="194">
        <v>-417.0</v>
      </c>
      <c r="AE58" s="194">
        <v>-447.0</v>
      </c>
      <c r="AF58" s="194">
        <f t="shared" ref="AF58:AF60" si="484">AG58-SUM(AC58:AE58)</f>
        <v>-307</v>
      </c>
      <c r="AG58" s="102">
        <f>-1710+98</f>
        <v>-1612</v>
      </c>
      <c r="AH58" s="194">
        <v>0.0</v>
      </c>
      <c r="AI58" s="194">
        <v>0.0</v>
      </c>
      <c r="AJ58" s="194">
        <v>0.0</v>
      </c>
      <c r="AK58" s="194">
        <f t="shared" ref="AK58:AK60" si="485">AL58-SUM(AH58:AJ58)</f>
        <v>0</v>
      </c>
      <c r="AL58" s="102">
        <v>0.0</v>
      </c>
      <c r="AM58" s="194">
        <v>0.0</v>
      </c>
      <c r="AN58" s="194">
        <v>0.0</v>
      </c>
      <c r="AO58" s="194">
        <v>0.0</v>
      </c>
      <c r="AP58" s="194">
        <v>0.0</v>
      </c>
      <c r="AQ58" s="102">
        <v>0.0</v>
      </c>
      <c r="AR58" s="194">
        <v>0.0</v>
      </c>
      <c r="AS58" s="194">
        <v>0.0</v>
      </c>
      <c r="AT58" s="194">
        <v>0.0</v>
      </c>
      <c r="AU58" s="194">
        <v>0.0</v>
      </c>
      <c r="AV58" s="102">
        <v>0.0</v>
      </c>
      <c r="AW58" s="194">
        <v>0.0</v>
      </c>
      <c r="AX58" s="194">
        <v>0.0</v>
      </c>
      <c r="AY58" s="194">
        <v>0.0</v>
      </c>
      <c r="AZ58" s="194">
        <v>0.0</v>
      </c>
      <c r="BA58" s="102">
        <v>0.0</v>
      </c>
      <c r="BB58" s="194">
        <v>0.0</v>
      </c>
      <c r="BC58" s="194">
        <v>0.0</v>
      </c>
      <c r="BD58" s="194">
        <v>0.0</v>
      </c>
      <c r="BE58" s="194">
        <v>0.0</v>
      </c>
      <c r="BF58" s="102">
        <v>0.0</v>
      </c>
      <c r="BG58" s="194">
        <v>0.0</v>
      </c>
      <c r="BH58" s="194">
        <v>0.0</v>
      </c>
      <c r="BI58" s="194">
        <v>0.0</v>
      </c>
      <c r="BJ58" s="194">
        <v>0.0</v>
      </c>
      <c r="BK58" s="102">
        <v>0.0</v>
      </c>
      <c r="BL58" s="194">
        <v>0.0</v>
      </c>
      <c r="BM58" s="194">
        <v>0.0</v>
      </c>
      <c r="BN58" s="194">
        <v>0.0</v>
      </c>
      <c r="BO58" s="194">
        <v>0.0</v>
      </c>
      <c r="BP58" s="102">
        <v>0.0</v>
      </c>
      <c r="BQ58" s="194">
        <v>0.0</v>
      </c>
      <c r="BR58" s="194">
        <v>0.0</v>
      </c>
      <c r="BS58" s="194">
        <v>0.0</v>
      </c>
      <c r="BT58" s="194">
        <v>0.0</v>
      </c>
      <c r="BU58" s="102">
        <v>0.0</v>
      </c>
      <c r="BV58" s="194">
        <v>0.0</v>
      </c>
      <c r="BW58" s="192">
        <v>0.0</v>
      </c>
      <c r="BX58" s="192">
        <v>0.0</v>
      </c>
      <c r="BY58" s="192">
        <v>0.0</v>
      </c>
      <c r="BZ58" s="196">
        <v>0.0</v>
      </c>
      <c r="CA58" s="194">
        <v>0.0</v>
      </c>
      <c r="CB58" s="194">
        <v>0.0</v>
      </c>
      <c r="CC58" s="194">
        <v>0.0</v>
      </c>
      <c r="CD58" s="194">
        <v>0.0</v>
      </c>
      <c r="CE58" s="196">
        <v>0.0</v>
      </c>
      <c r="CF58" s="192">
        <v>0.0</v>
      </c>
      <c r="CG58" s="192">
        <v>0.0</v>
      </c>
      <c r="CH58" s="194">
        <v>0.0</v>
      </c>
      <c r="CI58" s="192">
        <v>0.0</v>
      </c>
      <c r="CJ58" s="193">
        <v>0.0</v>
      </c>
      <c r="CK58" s="192">
        <v>0.0</v>
      </c>
      <c r="CL58" s="194">
        <v>0.0</v>
      </c>
      <c r="CM58" s="194">
        <v>0.0</v>
      </c>
      <c r="CN58" s="195">
        <v>0.0</v>
      </c>
      <c r="CO58" s="196">
        <v>0.0</v>
      </c>
      <c r="CP58" s="195">
        <v>0.0</v>
      </c>
      <c r="CQ58" s="194">
        <v>0.0</v>
      </c>
      <c r="CR58" s="194">
        <v>0.0</v>
      </c>
      <c r="CS58" s="194">
        <v>0.0</v>
      </c>
      <c r="CT58" s="196">
        <v>0.0</v>
      </c>
      <c r="CU58" s="194">
        <v>0.0</v>
      </c>
      <c r="CV58" s="194">
        <v>0.0</v>
      </c>
      <c r="CW58" s="194">
        <v>0.0</v>
      </c>
      <c r="CX58" s="194">
        <v>0.0</v>
      </c>
      <c r="CY58" s="196">
        <v>0.0</v>
      </c>
      <c r="CZ58" s="194">
        <v>0.0</v>
      </c>
      <c r="DA58" s="194">
        <v>0.0</v>
      </c>
      <c r="DB58" s="194">
        <v>0.0</v>
      </c>
      <c r="DC58" s="194">
        <v>0.0</v>
      </c>
      <c r="DD58" s="196">
        <v>0.0</v>
      </c>
      <c r="DE58" s="194">
        <v>0.0</v>
      </c>
      <c r="DF58" s="194">
        <v>0.0</v>
      </c>
      <c r="DG58" s="195">
        <v>0.0</v>
      </c>
      <c r="DH58" s="194">
        <v>0.0</v>
      </c>
      <c r="DI58" s="196">
        <v>0.0</v>
      </c>
      <c r="DJ58" s="195">
        <v>0.0</v>
      </c>
      <c r="DK58" s="195">
        <v>0.0</v>
      </c>
      <c r="DL58" s="195">
        <v>0.0</v>
      </c>
      <c r="DM58" s="195">
        <v>0.0</v>
      </c>
      <c r="DN58" s="196">
        <v>0.0</v>
      </c>
      <c r="DO58" s="195">
        <v>0.0</v>
      </c>
      <c r="DP58" s="195">
        <v>0.0</v>
      </c>
      <c r="DQ58" s="195">
        <v>0.0</v>
      </c>
      <c r="DR58" s="195">
        <v>0.0</v>
      </c>
      <c r="DS58" s="196">
        <v>0.0</v>
      </c>
      <c r="DT58" s="195">
        <v>0.0</v>
      </c>
      <c r="DU58" s="195">
        <v>0.0</v>
      </c>
      <c r="DV58" s="195">
        <v>0.0</v>
      </c>
      <c r="DW58" s="195">
        <v>0.0</v>
      </c>
      <c r="DX58" s="196">
        <v>0.0</v>
      </c>
      <c r="DY58" s="195">
        <v>0.0</v>
      </c>
      <c r="DZ58" s="195">
        <v>0.0</v>
      </c>
      <c r="EA58" s="195">
        <v>0.0</v>
      </c>
      <c r="EB58" s="195">
        <v>0.0</v>
      </c>
      <c r="EC58" s="196">
        <v>0.0</v>
      </c>
      <c r="ED58" s="195">
        <v>0.0</v>
      </c>
      <c r="EE58" s="195">
        <v>0.0</v>
      </c>
      <c r="EF58" s="195">
        <v>0.0</v>
      </c>
      <c r="EG58" s="195">
        <v>0.0</v>
      </c>
      <c r="EH58" s="196">
        <v>0.0</v>
      </c>
      <c r="EI58" s="201">
        <v>0.0</v>
      </c>
      <c r="EJ58" s="194">
        <v>0.0</v>
      </c>
      <c r="EK58" s="194">
        <v>0.0</v>
      </c>
      <c r="EL58" s="194">
        <v>0.0</v>
      </c>
      <c r="EM58" s="196">
        <v>0.0</v>
      </c>
      <c r="EN58" s="194">
        <v>0.0</v>
      </c>
      <c r="EO58" s="194">
        <v>0.0</v>
      </c>
      <c r="EP58" s="194">
        <v>0.0</v>
      </c>
      <c r="EQ58" s="194">
        <v>0.0</v>
      </c>
      <c r="ER58" s="196">
        <v>0.0</v>
      </c>
      <c r="ES58" s="194">
        <v>0.0</v>
      </c>
      <c r="ET58" s="194">
        <v>0.0</v>
      </c>
      <c r="EU58" s="194">
        <v>0.0</v>
      </c>
      <c r="EV58" s="194">
        <v>0.0</v>
      </c>
      <c r="EW58" s="196">
        <v>0.0</v>
      </c>
      <c r="EX58" s="194">
        <v>0.0</v>
      </c>
      <c r="EY58" s="194">
        <v>0.0</v>
      </c>
      <c r="EZ58" s="194">
        <v>0.0</v>
      </c>
      <c r="FA58" s="194">
        <v>0.0</v>
      </c>
      <c r="FB58" s="196">
        <v>0.0</v>
      </c>
      <c r="FC58" s="194">
        <v>0.0</v>
      </c>
      <c r="FD58" s="194">
        <v>0.0</v>
      </c>
      <c r="FE58" s="194">
        <v>0.0</v>
      </c>
      <c r="FF58" s="194">
        <v>0.0</v>
      </c>
      <c r="FG58" s="196">
        <v>0.0</v>
      </c>
      <c r="FH58" s="103"/>
      <c r="FI58" s="200"/>
      <c r="FJ58" s="200"/>
      <c r="FK58" s="200"/>
      <c r="FL58" s="200"/>
    </row>
    <row r="59" ht="12.75" hidden="1" customHeight="1" outlineLevel="1">
      <c r="A59" s="128"/>
      <c r="B59" s="128" t="s">
        <v>88</v>
      </c>
      <c r="C59" s="128"/>
      <c r="D59" s="192"/>
      <c r="E59" s="192"/>
      <c r="F59" s="192"/>
      <c r="G59" s="192"/>
      <c r="H59" s="102"/>
      <c r="I59" s="192"/>
      <c r="J59" s="192"/>
      <c r="K59" s="192"/>
      <c r="L59" s="192"/>
      <c r="M59" s="102"/>
      <c r="N59" s="192">
        <v>-165.0</v>
      </c>
      <c r="O59" s="192">
        <v>0.0</v>
      </c>
      <c r="P59" s="192">
        <v>0.0</v>
      </c>
      <c r="Q59" s="192">
        <f t="shared" si="481"/>
        <v>-39</v>
      </c>
      <c r="R59" s="102">
        <f>-165-39</f>
        <v>-204</v>
      </c>
      <c r="S59" s="192">
        <v>0.0</v>
      </c>
      <c r="T59" s="192">
        <v>0.0</v>
      </c>
      <c r="U59" s="192">
        <v>-333.0</v>
      </c>
      <c r="V59" s="192">
        <f t="shared" si="482"/>
        <v>-163</v>
      </c>
      <c r="W59" s="102">
        <f>-392-104</f>
        <v>-496</v>
      </c>
      <c r="X59" s="192">
        <v>-62.0</v>
      </c>
      <c r="Y59" s="192">
        <v>-21.0</v>
      </c>
      <c r="Z59" s="192">
        <v>-8.0</v>
      </c>
      <c r="AA59" s="192">
        <f t="shared" si="483"/>
        <v>-294</v>
      </c>
      <c r="AB59" s="102">
        <f>-109-276</f>
        <v>-385</v>
      </c>
      <c r="AC59" s="192">
        <f>-144-75</f>
        <v>-219</v>
      </c>
      <c r="AD59" s="192">
        <f>-177-123</f>
        <v>-300</v>
      </c>
      <c r="AE59" s="192">
        <v>-162.0</v>
      </c>
      <c r="AF59" s="192">
        <f t="shared" si="484"/>
        <v>-243</v>
      </c>
      <c r="AG59" s="102">
        <f>-628-198-98</f>
        <v>-924</v>
      </c>
      <c r="AH59" s="192">
        <v>-111.0</v>
      </c>
      <c r="AI59" s="192">
        <f>-229-14</f>
        <v>-243</v>
      </c>
      <c r="AJ59" s="192">
        <f>-102-6</f>
        <v>-108</v>
      </c>
      <c r="AK59" s="192">
        <f t="shared" si="485"/>
        <v>-106</v>
      </c>
      <c r="AL59" s="102">
        <v>-568.0</v>
      </c>
      <c r="AM59" s="192">
        <v>0.0</v>
      </c>
      <c r="AN59" s="192">
        <v>0.0</v>
      </c>
      <c r="AO59" s="192">
        <v>0.0</v>
      </c>
      <c r="AP59" s="192">
        <f t="shared" ref="AP59:AP60" si="486">AQ59-SUM(AM59:AO59)</f>
        <v>-617</v>
      </c>
      <c r="AQ59" s="102">
        <v>-617.0</v>
      </c>
      <c r="AR59" s="192">
        <v>0.0</v>
      </c>
      <c r="AS59" s="192">
        <v>0.0</v>
      </c>
      <c r="AT59" s="192">
        <v>0.0</v>
      </c>
      <c r="AU59" s="192">
        <v>0.0</v>
      </c>
      <c r="AV59" s="102">
        <f t="shared" ref="AV59:AV63" si="487">SUM(AR59:AU59)</f>
        <v>0</v>
      </c>
      <c r="AW59" s="192">
        <v>0.0</v>
      </c>
      <c r="AX59" s="192">
        <v>0.0</v>
      </c>
      <c r="AY59" s="192">
        <v>-140.0</v>
      </c>
      <c r="AZ59" s="192">
        <v>0.0</v>
      </c>
      <c r="BA59" s="102">
        <f t="shared" ref="BA59:BA60" si="488">SUM(AW59:AZ59)</f>
        <v>-140</v>
      </c>
      <c r="BB59" s="192">
        <v>0.0</v>
      </c>
      <c r="BC59" s="192">
        <v>0.0</v>
      </c>
      <c r="BD59" s="192">
        <v>0.0</v>
      </c>
      <c r="BE59" s="192">
        <v>0.0</v>
      </c>
      <c r="BF59" s="102">
        <f t="shared" ref="BF59:BF60" si="489">SUM(BB59:BE59)</f>
        <v>0</v>
      </c>
      <c r="BG59" s="192">
        <v>0.0</v>
      </c>
      <c r="BH59" s="192">
        <v>0.0</v>
      </c>
      <c r="BI59" s="192">
        <v>-113.0</v>
      </c>
      <c r="BJ59" s="192">
        <v>0.0</v>
      </c>
      <c r="BK59" s="102">
        <f t="shared" ref="BK59:BK60" si="490">SUM(BG59:BJ59)</f>
        <v>-113</v>
      </c>
      <c r="BL59" s="192">
        <v>0.0</v>
      </c>
      <c r="BM59" s="192">
        <v>0.0</v>
      </c>
      <c r="BN59" s="192">
        <v>0.0</v>
      </c>
      <c r="BO59" s="192">
        <f>-762-176</f>
        <v>-938</v>
      </c>
      <c r="BP59" s="102">
        <f t="shared" ref="BP59:BP60" si="491">SUM(BL59:BO59)</f>
        <v>-938</v>
      </c>
      <c r="BQ59" s="192">
        <v>0.0</v>
      </c>
      <c r="BR59" s="192">
        <v>-1447.0</v>
      </c>
      <c r="BS59" s="192">
        <v>0.0</v>
      </c>
      <c r="BT59" s="192">
        <v>-1250.0</v>
      </c>
      <c r="BU59" s="102">
        <f t="shared" ref="BU59:BU60" si="492">SUM(BQ59:BT59)</f>
        <v>-2697</v>
      </c>
      <c r="BV59" s="192">
        <v>0.0</v>
      </c>
      <c r="BW59" s="192">
        <v>0.0</v>
      </c>
      <c r="BX59" s="192">
        <v>0.0</v>
      </c>
      <c r="BY59" s="192">
        <v>0.0</v>
      </c>
      <c r="BZ59" s="196">
        <f t="shared" ref="BZ59:BZ60" si="493">SUM(BV59:BY59)</f>
        <v>0</v>
      </c>
      <c r="CA59" s="192">
        <v>0.0</v>
      </c>
      <c r="CB59" s="192">
        <v>0.0</v>
      </c>
      <c r="CC59" s="192">
        <v>0.0</v>
      </c>
      <c r="CD59" s="192">
        <v>0.0</v>
      </c>
      <c r="CE59" s="193">
        <f t="shared" ref="CE59:CE60" si="494">SUM(CA59:CD59)</f>
        <v>0</v>
      </c>
      <c r="CF59" s="192">
        <v>0.0</v>
      </c>
      <c r="CG59" s="192">
        <v>0.0</v>
      </c>
      <c r="CH59" s="192">
        <v>0.0</v>
      </c>
      <c r="CI59" s="192">
        <v>0.0</v>
      </c>
      <c r="CJ59" s="193">
        <f t="shared" ref="CJ59:CJ60" si="495">SUM(CF59:CI59)</f>
        <v>0</v>
      </c>
      <c r="CK59" s="192">
        <v>0.0</v>
      </c>
      <c r="CL59" s="194">
        <v>0.0</v>
      </c>
      <c r="CM59" s="194">
        <v>0.0</v>
      </c>
      <c r="CN59" s="195">
        <v>0.0</v>
      </c>
      <c r="CO59" s="196">
        <f t="shared" ref="CO59:CO60" si="496">SUM(CK59:CN59)</f>
        <v>0</v>
      </c>
      <c r="CP59" s="195">
        <v>0.0</v>
      </c>
      <c r="CQ59" s="194">
        <v>0.0</v>
      </c>
      <c r="CR59" s="194">
        <v>0.0</v>
      </c>
      <c r="CS59" s="194">
        <v>0.0</v>
      </c>
      <c r="CT59" s="196">
        <f t="shared" ref="CT59:CT60" si="497">SUM(CP59:CS59)</f>
        <v>0</v>
      </c>
      <c r="CU59" s="194">
        <v>0.0</v>
      </c>
      <c r="CV59" s="194">
        <v>0.0</v>
      </c>
      <c r="CW59" s="194">
        <v>0.0</v>
      </c>
      <c r="CX59" s="194">
        <v>0.0</v>
      </c>
      <c r="CY59" s="196">
        <f t="shared" ref="CY59:CY60" si="498">SUM(CU59:CX59)</f>
        <v>0</v>
      </c>
      <c r="CZ59" s="194">
        <v>0.0</v>
      </c>
      <c r="DA59" s="194">
        <v>0.0</v>
      </c>
      <c r="DB59" s="194">
        <v>0.0</v>
      </c>
      <c r="DC59" s="194">
        <v>0.0</v>
      </c>
      <c r="DD59" s="196">
        <f t="shared" ref="DD59:DD64" si="499">SUM(CZ59:DC59)</f>
        <v>0</v>
      </c>
      <c r="DE59" s="194">
        <v>0.0</v>
      </c>
      <c r="DF59" s="194">
        <v>0.0</v>
      </c>
      <c r="DG59" s="195">
        <v>0.0</v>
      </c>
      <c r="DH59" s="194">
        <v>0.0</v>
      </c>
      <c r="DI59" s="196">
        <f t="shared" ref="DI59:DI64" si="500">SUM(DE59:DH59)</f>
        <v>0</v>
      </c>
      <c r="DJ59" s="195">
        <v>0.0</v>
      </c>
      <c r="DK59" s="195">
        <v>0.0</v>
      </c>
      <c r="DL59" s="195">
        <v>0.0</v>
      </c>
      <c r="DM59" s="195">
        <v>0.0</v>
      </c>
      <c r="DN59" s="196">
        <f t="shared" ref="DN59:DN64" si="501">SUM(DJ59:DM59)</f>
        <v>0</v>
      </c>
      <c r="DO59" s="195">
        <v>0.0</v>
      </c>
      <c r="DP59" s="195">
        <v>0.0</v>
      </c>
      <c r="DQ59" s="195">
        <v>0.0</v>
      </c>
      <c r="DR59" s="195">
        <v>0.0</v>
      </c>
      <c r="DS59" s="196">
        <f t="shared" ref="DS59:DS64" si="502">SUM(DO59:DR59)</f>
        <v>0</v>
      </c>
      <c r="DT59" s="195">
        <v>0.0</v>
      </c>
      <c r="DU59" s="195">
        <v>0.0</v>
      </c>
      <c r="DV59" s="195">
        <v>0.0</v>
      </c>
      <c r="DW59" s="195">
        <v>0.0</v>
      </c>
      <c r="DX59" s="196">
        <f t="shared" ref="DX59:DX64" si="503">SUM(DT59:DW59)</f>
        <v>0</v>
      </c>
      <c r="DY59" s="195">
        <v>0.0</v>
      </c>
      <c r="DZ59" s="195">
        <v>0.0</v>
      </c>
      <c r="EA59" s="195">
        <v>0.0</v>
      </c>
      <c r="EB59" s="195">
        <v>0.0</v>
      </c>
      <c r="EC59" s="196">
        <f t="shared" ref="EC59:EC64" si="504">SUM(DY59:EB59)</f>
        <v>0</v>
      </c>
      <c r="ED59" s="195">
        <v>0.0</v>
      </c>
      <c r="EE59" s="195">
        <v>0.0</v>
      </c>
      <c r="EF59" s="195">
        <v>0.0</v>
      </c>
      <c r="EG59" s="195">
        <v>0.0</v>
      </c>
      <c r="EH59" s="196">
        <f t="shared" ref="EH59:EH64" si="505">SUM(ED59:EG59)</f>
        <v>0</v>
      </c>
      <c r="EI59" s="201">
        <v>0.0</v>
      </c>
      <c r="EJ59" s="194">
        <v>0.0</v>
      </c>
      <c r="EK59" s="194">
        <v>0.0</v>
      </c>
      <c r="EL59" s="194">
        <v>0.0</v>
      </c>
      <c r="EM59" s="196">
        <f t="shared" ref="EM59:EM64" si="506">SUM(EI59:EL59)</f>
        <v>0</v>
      </c>
      <c r="EN59" s="194">
        <v>0.0</v>
      </c>
      <c r="EO59" s="194">
        <v>0.0</v>
      </c>
      <c r="EP59" s="194">
        <v>0.0</v>
      </c>
      <c r="EQ59" s="194">
        <v>0.0</v>
      </c>
      <c r="ER59" s="196">
        <f t="shared" ref="ER59:ER64" si="507">SUM(EN59:EQ59)</f>
        <v>0</v>
      </c>
      <c r="ES59" s="194">
        <v>0.0</v>
      </c>
      <c r="ET59" s="194">
        <v>0.0</v>
      </c>
      <c r="EU59" s="194">
        <v>0.0</v>
      </c>
      <c r="EV59" s="194">
        <v>0.0</v>
      </c>
      <c r="EW59" s="196">
        <f t="shared" ref="EW59:EW64" si="508">SUM(ES59:EV59)</f>
        <v>0</v>
      </c>
      <c r="EX59" s="194">
        <v>0.0</v>
      </c>
      <c r="EY59" s="194">
        <v>0.0</v>
      </c>
      <c r="EZ59" s="194">
        <v>0.0</v>
      </c>
      <c r="FA59" s="194">
        <v>0.0</v>
      </c>
      <c r="FB59" s="196">
        <f t="shared" ref="FB59:FB64" si="509">SUM(EX59:FA59)</f>
        <v>0</v>
      </c>
      <c r="FC59" s="194">
        <v>0.0</v>
      </c>
      <c r="FD59" s="194">
        <v>0.0</v>
      </c>
      <c r="FE59" s="194">
        <v>0.0</v>
      </c>
      <c r="FF59" s="194">
        <v>0.0</v>
      </c>
      <c r="FG59" s="196">
        <f t="shared" ref="FG59:FG64" si="510">SUM(FC59:FF59)</f>
        <v>0</v>
      </c>
      <c r="FH59" s="103"/>
      <c r="FI59" s="200"/>
      <c r="FJ59" s="200"/>
      <c r="FK59" s="200"/>
      <c r="FL59" s="200"/>
    </row>
    <row r="60" ht="12.75" hidden="1" customHeight="1" outlineLevel="1">
      <c r="A60" s="128"/>
      <c r="B60" s="128" t="s">
        <v>89</v>
      </c>
      <c r="C60" s="128"/>
      <c r="D60" s="192"/>
      <c r="E60" s="192"/>
      <c r="F60" s="192"/>
      <c r="G60" s="192"/>
      <c r="H60" s="102"/>
      <c r="I60" s="192"/>
      <c r="J60" s="192"/>
      <c r="K60" s="192"/>
      <c r="L60" s="192"/>
      <c r="M60" s="102"/>
      <c r="N60" s="192">
        <f>tax</f>
        <v>708</v>
      </c>
      <c r="O60" s="192">
        <f>tax</f>
        <v>578</v>
      </c>
      <c r="P60" s="192">
        <f>tax</f>
        <v>767</v>
      </c>
      <c r="Q60" s="192">
        <f>tax</f>
        <v>1016</v>
      </c>
      <c r="R60" s="102">
        <f t="shared" ref="R60:R63" si="511">SUM(N60:Q60)</f>
        <v>3069</v>
      </c>
      <c r="S60" s="192">
        <v>985.0</v>
      </c>
      <c r="T60" s="192">
        <v>861.0</v>
      </c>
      <c r="U60" s="192">
        <v>914.0</v>
      </c>
      <c r="V60" s="192">
        <f t="shared" si="482"/>
        <v>1154</v>
      </c>
      <c r="W60" s="102">
        <v>3914.0</v>
      </c>
      <c r="X60" s="192">
        <v>498.0</v>
      </c>
      <c r="Y60" s="192">
        <v>1612.0</v>
      </c>
      <c r="Z60" s="192">
        <v>1314.0</v>
      </c>
      <c r="AA60" s="192">
        <f t="shared" si="483"/>
        <v>1182</v>
      </c>
      <c r="AB60" s="102">
        <v>4606.0</v>
      </c>
      <c r="AC60" s="192">
        <v>421.0</v>
      </c>
      <c r="AD60" s="192">
        <v>150.0</v>
      </c>
      <c r="AE60" s="192">
        <v>31.0</v>
      </c>
      <c r="AF60" s="192">
        <f t="shared" si="484"/>
        <v>290</v>
      </c>
      <c r="AG60" s="102">
        <v>892.0</v>
      </c>
      <c r="AH60" s="192">
        <v>381.0</v>
      </c>
      <c r="AI60" s="192">
        <v>177.0</v>
      </c>
      <c r="AJ60" s="192">
        <v>231.0</v>
      </c>
      <c r="AK60" s="192">
        <f t="shared" si="485"/>
        <v>298</v>
      </c>
      <c r="AL60" s="102">
        <v>1087.0</v>
      </c>
      <c r="AM60" s="192">
        <f>tax</f>
        <v>401</v>
      </c>
      <c r="AN60" s="192">
        <f>tax</f>
        <v>375</v>
      </c>
      <c r="AO60" s="192">
        <f>tax</f>
        <v>618</v>
      </c>
      <c r="AP60" s="192">
        <f t="shared" si="486"/>
        <v>407</v>
      </c>
      <c r="AQ60" s="102">
        <v>1801.0</v>
      </c>
      <c r="AR60" s="192">
        <f>tax</f>
        <v>814</v>
      </c>
      <c r="AS60" s="192">
        <f>tax</f>
        <v>663</v>
      </c>
      <c r="AT60" s="192">
        <f>tax</f>
        <v>520</v>
      </c>
      <c r="AU60" s="192">
        <f>tax</f>
        <v>904</v>
      </c>
      <c r="AV60" s="102">
        <f t="shared" si="487"/>
        <v>2901</v>
      </c>
      <c r="AW60" s="192">
        <f>tax</f>
        <v>973</v>
      </c>
      <c r="AX60" s="192">
        <f>tax</f>
        <v>716</v>
      </c>
      <c r="AY60" s="192">
        <v>1248.0</v>
      </c>
      <c r="AZ60" s="192">
        <f>tax</f>
        <v>1009</v>
      </c>
      <c r="BA60" s="102">
        <f t="shared" si="488"/>
        <v>3946</v>
      </c>
      <c r="BB60" s="192">
        <f>tax</f>
        <v>517</v>
      </c>
      <c r="BC60" s="192">
        <f>tax</f>
        <v>368</v>
      </c>
      <c r="BD60" s="192">
        <f>tax</f>
        <v>513</v>
      </c>
      <c r="BE60" s="192">
        <f>tax</f>
        <v>626</v>
      </c>
      <c r="BF60" s="102">
        <f t="shared" si="489"/>
        <v>2024</v>
      </c>
      <c r="BG60" s="192">
        <v>237.0</v>
      </c>
      <c r="BH60" s="192">
        <v>251.0</v>
      </c>
      <c r="BI60" s="192">
        <v>712.0</v>
      </c>
      <c r="BJ60" s="192">
        <f>tax</f>
        <v>990</v>
      </c>
      <c r="BK60" s="102">
        <f t="shared" si="490"/>
        <v>2190</v>
      </c>
      <c r="BL60" s="192">
        <f>tax</f>
        <v>728</v>
      </c>
      <c r="BM60" s="192">
        <f>tax</f>
        <v>712</v>
      </c>
      <c r="BN60" s="192">
        <f>tax</f>
        <v>819</v>
      </c>
      <c r="BO60" s="192">
        <v>135.0</v>
      </c>
      <c r="BP60" s="102">
        <f t="shared" si="491"/>
        <v>2394</v>
      </c>
      <c r="BQ60" s="192">
        <f>tax</f>
        <v>0</v>
      </c>
      <c r="BR60" s="192">
        <f>BR48</f>
        <v>348</v>
      </c>
      <c r="BS60" s="192">
        <f>tax</f>
        <v>676</v>
      </c>
      <c r="BT60" s="192">
        <v>311.0</v>
      </c>
      <c r="BU60" s="102">
        <f t="shared" si="492"/>
        <v>1335</v>
      </c>
      <c r="BV60" s="192">
        <f>tax</f>
        <v>1004</v>
      </c>
      <c r="BW60" s="192">
        <f>tax</f>
        <v>1298</v>
      </c>
      <c r="BX60" s="192">
        <f>tax</f>
        <v>1296</v>
      </c>
      <c r="BY60" s="192">
        <f>tax</f>
        <v>983</v>
      </c>
      <c r="BZ60" s="196">
        <f t="shared" si="493"/>
        <v>4581</v>
      </c>
      <c r="CA60" s="192">
        <f>tax</f>
        <v>1211</v>
      </c>
      <c r="CB60" s="192">
        <f>tax</f>
        <v>977</v>
      </c>
      <c r="CC60" s="192">
        <f>tax</f>
        <v>1424</v>
      </c>
      <c r="CD60" s="192">
        <f>tax</f>
        <v>1227</v>
      </c>
      <c r="CE60" s="196">
        <f t="shared" si="494"/>
        <v>4839</v>
      </c>
      <c r="CF60" s="192">
        <f>tax</f>
        <v>1076</v>
      </c>
      <c r="CG60" s="192">
        <f>tax</f>
        <v>1107</v>
      </c>
      <c r="CH60" s="192">
        <f>tax</f>
        <v>949</v>
      </c>
      <c r="CI60" s="192">
        <f>tax</f>
        <v>736</v>
      </c>
      <c r="CJ60" s="193">
        <f t="shared" si="495"/>
        <v>3868</v>
      </c>
      <c r="CK60" s="192">
        <f>tax</f>
        <v>398</v>
      </c>
      <c r="CL60" s="194">
        <f>tax</f>
        <v>693</v>
      </c>
      <c r="CM60" s="194">
        <f>tax</f>
        <v>974</v>
      </c>
      <c r="CN60" s="195">
        <f>tax</f>
        <v>926</v>
      </c>
      <c r="CO60" s="196">
        <f t="shared" si="496"/>
        <v>2991</v>
      </c>
      <c r="CP60" s="195">
        <f>tax</f>
        <v>740</v>
      </c>
      <c r="CQ60" s="194">
        <f>tax</f>
        <v>1126</v>
      </c>
      <c r="CR60" s="194">
        <f>tax</f>
        <v>1233</v>
      </c>
      <c r="CS60" s="194">
        <f>tax</f>
        <v>998</v>
      </c>
      <c r="CT60" s="196">
        <f t="shared" si="497"/>
        <v>4097</v>
      </c>
      <c r="CU60" s="194">
        <f>tax</f>
        <v>681</v>
      </c>
      <c r="CV60" s="194">
        <f>tax</f>
        <v>277</v>
      </c>
      <c r="CW60" s="194">
        <f>tax</f>
        <v>1144</v>
      </c>
      <c r="CX60" s="194">
        <f>tax</f>
        <v>690</v>
      </c>
      <c r="CY60" s="196">
        <f t="shared" si="498"/>
        <v>2792</v>
      </c>
      <c r="CZ60" s="194">
        <f>tax</f>
        <v>462</v>
      </c>
      <c r="DA60" s="194">
        <f>tax</f>
        <v>340</v>
      </c>
      <c r="DB60" s="194">
        <f>tax</f>
        <v>940</v>
      </c>
      <c r="DC60" s="194">
        <f>tax</f>
        <v>878</v>
      </c>
      <c r="DD60" s="196">
        <f t="shared" si="499"/>
        <v>2620</v>
      </c>
      <c r="DE60" s="194">
        <f>tax</f>
        <v>851</v>
      </c>
      <c r="DF60" s="194">
        <f>tax</f>
        <v>1764</v>
      </c>
      <c r="DG60" s="195">
        <f>tax</f>
        <v>1414</v>
      </c>
      <c r="DH60" s="194">
        <f>tax</f>
        <v>6722</v>
      </c>
      <c r="DI60" s="196">
        <f t="shared" si="500"/>
        <v>10751</v>
      </c>
      <c r="DJ60" s="195">
        <f>tax</f>
        <v>557</v>
      </c>
      <c r="DK60" s="195">
        <f>tax</f>
        <v>523</v>
      </c>
      <c r="DL60" s="195">
        <f>tax</f>
        <v>744</v>
      </c>
      <c r="DM60" s="195">
        <f>tax</f>
        <v>440</v>
      </c>
      <c r="DN60" s="196">
        <f t="shared" si="501"/>
        <v>2264</v>
      </c>
      <c r="DO60" s="195">
        <f>tax</f>
        <v>573</v>
      </c>
      <c r="DP60" s="195">
        <f>tax</f>
        <v>545</v>
      </c>
      <c r="DQ60" s="195">
        <f>tax</f>
        <v>729</v>
      </c>
      <c r="DR60" s="195">
        <f>tax</f>
        <v>1163</v>
      </c>
      <c r="DS60" s="196">
        <f t="shared" si="502"/>
        <v>3010</v>
      </c>
      <c r="DT60" s="195">
        <f>tax</f>
        <v>953</v>
      </c>
      <c r="DU60" s="195">
        <f>tax</f>
        <v>830</v>
      </c>
      <c r="DV60" s="195">
        <f>tax</f>
        <v>765</v>
      </c>
      <c r="DW60" s="195">
        <f>tax</f>
        <v>1631</v>
      </c>
      <c r="DX60" s="196">
        <f t="shared" si="503"/>
        <v>4179</v>
      </c>
      <c r="DY60" s="195">
        <f>tax</f>
        <v>545</v>
      </c>
      <c r="DZ60" s="195">
        <f>tax</f>
        <v>684</v>
      </c>
      <c r="EA60" s="195">
        <f>tax</f>
        <v>35</v>
      </c>
      <c r="EB60" s="195">
        <f>tax</f>
        <v>571</v>
      </c>
      <c r="EC60" s="196">
        <f t="shared" si="504"/>
        <v>1835</v>
      </c>
      <c r="ED60" s="195">
        <f>tax</f>
        <v>1548</v>
      </c>
      <c r="EE60" s="195">
        <f>tax</f>
        <v>-455</v>
      </c>
      <c r="EF60" s="195">
        <f>tax</f>
        <v>-1207</v>
      </c>
      <c r="EG60" s="195">
        <f>tax</f>
        <v>-135</v>
      </c>
      <c r="EH60" s="196">
        <f t="shared" si="505"/>
        <v>-249</v>
      </c>
      <c r="EI60" s="201" t="str">
        <f>tax</f>
        <v>#ERROR!</v>
      </c>
      <c r="EJ60" s="194" t="str">
        <f>tax</f>
        <v>#ERROR!</v>
      </c>
      <c r="EK60" s="194" t="str">
        <f>tax</f>
        <v>#ERROR!</v>
      </c>
      <c r="EL60" s="194" t="str">
        <f>tax</f>
        <v>#ERROR!</v>
      </c>
      <c r="EM60" s="196" t="str">
        <f t="shared" si="506"/>
        <v>#ERROR!</v>
      </c>
      <c r="EN60" s="194" t="str">
        <f>tax</f>
        <v>#ERROR!</v>
      </c>
      <c r="EO60" s="194" t="str">
        <f>tax</f>
        <v>#ERROR!</v>
      </c>
      <c r="EP60" s="194" t="str">
        <f>tax</f>
        <v>#ERROR!</v>
      </c>
      <c r="EQ60" s="194" t="str">
        <f>tax</f>
        <v>#ERROR!</v>
      </c>
      <c r="ER60" s="196" t="str">
        <f t="shared" si="507"/>
        <v>#ERROR!</v>
      </c>
      <c r="ES60" s="194" t="str">
        <f>tax</f>
        <v>#ERROR!</v>
      </c>
      <c r="ET60" s="194" t="str">
        <f>tax</f>
        <v>#ERROR!</v>
      </c>
      <c r="EU60" s="194" t="str">
        <f>tax</f>
        <v>#ERROR!</v>
      </c>
      <c r="EV60" s="194" t="str">
        <f>tax</f>
        <v>#ERROR!</v>
      </c>
      <c r="EW60" s="196" t="str">
        <f t="shared" si="508"/>
        <v>#ERROR!</v>
      </c>
      <c r="EX60" s="194" t="str">
        <f>tax</f>
        <v>#ERROR!</v>
      </c>
      <c r="EY60" s="194" t="str">
        <f>tax</f>
        <v>#ERROR!</v>
      </c>
      <c r="EZ60" s="194" t="str">
        <f>tax</f>
        <v>#ERROR!</v>
      </c>
      <c r="FA60" s="194" t="str">
        <f>tax</f>
        <v>#ERROR!</v>
      </c>
      <c r="FB60" s="196" t="str">
        <f t="shared" si="509"/>
        <v>#ERROR!</v>
      </c>
      <c r="FC60" s="194" t="str">
        <f>tax</f>
        <v>#ERROR!</v>
      </c>
      <c r="FD60" s="194" t="str">
        <f>tax</f>
        <v>#ERROR!</v>
      </c>
      <c r="FE60" s="194" t="str">
        <f>tax</f>
        <v>#ERROR!</v>
      </c>
      <c r="FF60" s="194" t="str">
        <f>tax</f>
        <v>#ERROR!</v>
      </c>
      <c r="FG60" s="196" t="str">
        <f t="shared" si="510"/>
        <v>#ERROR!</v>
      </c>
      <c r="FH60" s="103"/>
      <c r="FI60" s="200"/>
      <c r="FJ60" s="200"/>
      <c r="FK60" s="200"/>
      <c r="FL60" s="200"/>
    </row>
    <row r="61" ht="12.75" hidden="1" customHeight="1" outlineLevel="1">
      <c r="A61" s="128"/>
      <c r="B61" s="128" t="s">
        <v>90</v>
      </c>
      <c r="C61" s="128"/>
      <c r="D61" s="17"/>
      <c r="E61" s="17"/>
      <c r="F61" s="17"/>
      <c r="G61" s="17"/>
      <c r="H61" s="73"/>
      <c r="I61" s="17"/>
      <c r="J61" s="17"/>
      <c r="K61" s="17"/>
      <c r="L61" s="17"/>
      <c r="M61" s="73"/>
      <c r="N61" s="17">
        <v>0.0</v>
      </c>
      <c r="O61" s="17">
        <v>0.0</v>
      </c>
      <c r="P61" s="17">
        <v>0.0</v>
      </c>
      <c r="Q61" s="17">
        <v>0.0</v>
      </c>
      <c r="R61" s="73">
        <f t="shared" si="511"/>
        <v>0</v>
      </c>
      <c r="S61" s="17">
        <v>0.0</v>
      </c>
      <c r="T61" s="17">
        <v>0.0</v>
      </c>
      <c r="U61" s="17">
        <v>0.0</v>
      </c>
      <c r="V61" s="17">
        <v>0.0</v>
      </c>
      <c r="W61" s="73">
        <f t="shared" ref="W61:W63" si="514">SUM(S61:V61)</f>
        <v>0</v>
      </c>
      <c r="X61" s="17">
        <v>0.0</v>
      </c>
      <c r="Y61" s="17">
        <v>0.0</v>
      </c>
      <c r="Z61" s="17">
        <v>0.0</v>
      </c>
      <c r="AA61" s="17">
        <v>0.0</v>
      </c>
      <c r="AB61" s="73">
        <f t="shared" ref="AB61:AB63" si="516">SUM(X61:AA61)</f>
        <v>0</v>
      </c>
      <c r="AC61" s="17">
        <v>0.0</v>
      </c>
      <c r="AD61" s="17">
        <v>0.0</v>
      </c>
      <c r="AE61" s="17">
        <v>0.0</v>
      </c>
      <c r="AF61" s="17">
        <v>0.0</v>
      </c>
      <c r="AG61" s="73">
        <f t="shared" ref="AG61:AG63" si="518">SUM(AC61:AF61)</f>
        <v>0</v>
      </c>
      <c r="AH61" s="17">
        <v>0.0</v>
      </c>
      <c r="AI61" s="17">
        <v>0.0</v>
      </c>
      <c r="AJ61" s="17">
        <v>0.0</v>
      </c>
      <c r="AK61" s="17">
        <v>0.0</v>
      </c>
      <c r="AL61" s="73">
        <f t="shared" ref="AL61:AL63" si="520">SUM(AH61:AK61)</f>
        <v>0</v>
      </c>
      <c r="AM61" s="17">
        <v>0.0</v>
      </c>
      <c r="AN61" s="17">
        <v>0.0</v>
      </c>
      <c r="AO61" s="17">
        <v>0.0</v>
      </c>
      <c r="AP61" s="17">
        <v>0.0</v>
      </c>
      <c r="AQ61" s="73">
        <f t="shared" ref="AQ61:AQ63" si="522">SUM(AM61:AP61)</f>
        <v>0</v>
      </c>
      <c r="AR61" s="17">
        <v>0.0</v>
      </c>
      <c r="AS61" s="17">
        <v>0.0</v>
      </c>
      <c r="AT61" s="17">
        <v>0.0</v>
      </c>
      <c r="AU61" s="17">
        <v>0.0</v>
      </c>
      <c r="AV61" s="73">
        <f t="shared" si="487"/>
        <v>0</v>
      </c>
      <c r="AW61" s="17">
        <v>0.0</v>
      </c>
      <c r="AX61" s="17">
        <v>0.0</v>
      </c>
      <c r="AY61" s="17">
        <v>0.0</v>
      </c>
      <c r="AZ61" s="17">
        <v>0.0</v>
      </c>
      <c r="BA61" s="73">
        <v>0.0</v>
      </c>
      <c r="BB61" s="17">
        <v>0.0</v>
      </c>
      <c r="BC61" s="17">
        <v>0.0</v>
      </c>
      <c r="BD61" s="17">
        <v>0.0</v>
      </c>
      <c r="BE61" s="17">
        <v>0.0</v>
      </c>
      <c r="BF61" s="73">
        <v>0.0</v>
      </c>
      <c r="BG61" s="17">
        <v>0.0</v>
      </c>
      <c r="BH61" s="17">
        <v>0.0</v>
      </c>
      <c r="BI61" s="17">
        <v>0.0</v>
      </c>
      <c r="BJ61" s="17">
        <v>0.0</v>
      </c>
      <c r="BK61" s="73">
        <v>0.0</v>
      </c>
      <c r="BL61" s="17">
        <v>0.0</v>
      </c>
      <c r="BM61" s="17">
        <v>0.0</v>
      </c>
      <c r="BN61" s="17">
        <v>0.0</v>
      </c>
      <c r="BO61" s="17">
        <v>0.0</v>
      </c>
      <c r="BP61" s="73">
        <v>0.0</v>
      </c>
      <c r="BQ61" s="17">
        <v>0.0</v>
      </c>
      <c r="BR61" s="17">
        <v>0.0</v>
      </c>
      <c r="BS61" s="17">
        <v>0.0</v>
      </c>
      <c r="BT61" s="17">
        <v>0.0</v>
      </c>
      <c r="BU61" s="73">
        <v>0.0</v>
      </c>
      <c r="BV61" s="17">
        <v>0.0</v>
      </c>
      <c r="BW61" s="17">
        <v>0.0</v>
      </c>
      <c r="BX61" s="17">
        <v>0.0</v>
      </c>
      <c r="BY61" s="17">
        <v>0.0</v>
      </c>
      <c r="BZ61" s="18">
        <v>0.0</v>
      </c>
      <c r="CA61" s="17">
        <v>0.0</v>
      </c>
      <c r="CB61" s="17">
        <v>0.0</v>
      </c>
      <c r="CC61" s="17">
        <v>0.0</v>
      </c>
      <c r="CD61" s="17">
        <v>0.0</v>
      </c>
      <c r="CE61" s="18">
        <v>0.0</v>
      </c>
      <c r="CF61" s="17">
        <v>0.0</v>
      </c>
      <c r="CG61" s="17">
        <v>0.0</v>
      </c>
      <c r="CH61" s="17">
        <v>0.0</v>
      </c>
      <c r="CI61" s="17">
        <v>0.0</v>
      </c>
      <c r="CJ61" s="80">
        <v>0.0</v>
      </c>
      <c r="CK61" s="17">
        <v>0.0</v>
      </c>
      <c r="CL61" s="128">
        <v>0.0</v>
      </c>
      <c r="CM61" s="128">
        <v>0.0</v>
      </c>
      <c r="CN61" s="129">
        <v>0.0</v>
      </c>
      <c r="CO61" s="18">
        <v>0.0</v>
      </c>
      <c r="CP61" s="129">
        <v>0.0</v>
      </c>
      <c r="CQ61" s="128">
        <v>0.0</v>
      </c>
      <c r="CR61" s="128">
        <v>0.0</v>
      </c>
      <c r="CS61" s="128">
        <v>0.0</v>
      </c>
      <c r="CT61" s="18">
        <v>0.0</v>
      </c>
      <c r="CU61" s="128">
        <v>0.0</v>
      </c>
      <c r="CV61" s="128">
        <v>0.0</v>
      </c>
      <c r="CW61" s="128">
        <v>0.0</v>
      </c>
      <c r="CX61" s="128">
        <v>0.0</v>
      </c>
      <c r="CY61" s="18">
        <v>0.0</v>
      </c>
      <c r="CZ61" s="128">
        <v>0.0</v>
      </c>
      <c r="DA61" s="128">
        <v>0.0</v>
      </c>
      <c r="DB61" s="128">
        <v>0.0</v>
      </c>
      <c r="DC61" s="128">
        <v>0.0</v>
      </c>
      <c r="DD61" s="196">
        <f t="shared" si="499"/>
        <v>0</v>
      </c>
      <c r="DE61" s="128">
        <v>0.0</v>
      </c>
      <c r="DF61" s="128">
        <v>0.0</v>
      </c>
      <c r="DG61" s="129">
        <v>0.0</v>
      </c>
      <c r="DH61" s="128">
        <v>0.0</v>
      </c>
      <c r="DI61" s="196">
        <f t="shared" si="500"/>
        <v>0</v>
      </c>
      <c r="DJ61" s="129">
        <v>0.0</v>
      </c>
      <c r="DK61" s="129">
        <v>0.0</v>
      </c>
      <c r="DL61" s="129">
        <v>0.0</v>
      </c>
      <c r="DM61" s="129">
        <v>0.0</v>
      </c>
      <c r="DN61" s="196">
        <f t="shared" si="501"/>
        <v>0</v>
      </c>
      <c r="DO61" s="129">
        <v>0.0</v>
      </c>
      <c r="DP61" s="129">
        <v>0.0</v>
      </c>
      <c r="DQ61" s="129">
        <v>0.0</v>
      </c>
      <c r="DR61" s="129">
        <v>0.0</v>
      </c>
      <c r="DS61" s="196">
        <f t="shared" si="502"/>
        <v>0</v>
      </c>
      <c r="DT61" s="129">
        <v>0.0</v>
      </c>
      <c r="DU61" s="129">
        <v>0.0</v>
      </c>
      <c r="DV61" s="129">
        <v>0.0</v>
      </c>
      <c r="DW61" s="129">
        <v>0.0</v>
      </c>
      <c r="DX61" s="196">
        <f t="shared" si="503"/>
        <v>0</v>
      </c>
      <c r="DY61" s="129">
        <v>0.0</v>
      </c>
      <c r="DZ61" s="129">
        <v>0.0</v>
      </c>
      <c r="EA61" s="129">
        <v>0.0</v>
      </c>
      <c r="EB61" s="129">
        <v>0.0</v>
      </c>
      <c r="EC61" s="196">
        <f t="shared" si="504"/>
        <v>0</v>
      </c>
      <c r="ED61" s="129">
        <v>0.0</v>
      </c>
      <c r="EE61" s="129">
        <v>0.0</v>
      </c>
      <c r="EF61" s="129">
        <v>0.0</v>
      </c>
      <c r="EG61" s="129">
        <v>0.0</v>
      </c>
      <c r="EH61" s="196">
        <f t="shared" si="505"/>
        <v>0</v>
      </c>
      <c r="EI61" s="134">
        <v>0.0</v>
      </c>
      <c r="EJ61" s="128">
        <v>0.0</v>
      </c>
      <c r="EK61" s="128">
        <v>0.0</v>
      </c>
      <c r="EL61" s="128">
        <v>0.0</v>
      </c>
      <c r="EM61" s="196">
        <f t="shared" si="506"/>
        <v>0</v>
      </c>
      <c r="EN61" s="128">
        <v>0.0</v>
      </c>
      <c r="EO61" s="128">
        <v>0.0</v>
      </c>
      <c r="EP61" s="128">
        <v>0.0</v>
      </c>
      <c r="EQ61" s="128">
        <v>0.0</v>
      </c>
      <c r="ER61" s="196">
        <f t="shared" si="507"/>
        <v>0</v>
      </c>
      <c r="ES61" s="128">
        <v>0.0</v>
      </c>
      <c r="ET61" s="128">
        <v>0.0</v>
      </c>
      <c r="EU61" s="128">
        <v>0.0</v>
      </c>
      <c r="EV61" s="128">
        <v>0.0</v>
      </c>
      <c r="EW61" s="196">
        <f t="shared" si="508"/>
        <v>0</v>
      </c>
      <c r="EX61" s="128">
        <v>0.0</v>
      </c>
      <c r="EY61" s="128">
        <v>0.0</v>
      </c>
      <c r="EZ61" s="128">
        <v>0.0</v>
      </c>
      <c r="FA61" s="128">
        <v>0.0</v>
      </c>
      <c r="FB61" s="196">
        <f t="shared" si="509"/>
        <v>0</v>
      </c>
      <c r="FC61" s="128">
        <v>0.0</v>
      </c>
      <c r="FD61" s="128">
        <v>0.0</v>
      </c>
      <c r="FE61" s="128">
        <v>0.0</v>
      </c>
      <c r="FF61" s="128">
        <v>0.0</v>
      </c>
      <c r="FG61" s="196">
        <f t="shared" si="510"/>
        <v>0</v>
      </c>
      <c r="FH61" s="103"/>
      <c r="FI61" s="200"/>
      <c r="FJ61" s="200"/>
      <c r="FK61" s="200"/>
      <c r="FL61" s="200"/>
    </row>
    <row r="62" ht="12.75" hidden="1" customHeight="1" outlineLevel="1">
      <c r="A62" s="128"/>
      <c r="B62" s="128" t="s">
        <v>91</v>
      </c>
      <c r="C62" s="128"/>
      <c r="D62" s="192"/>
      <c r="E62" s="192"/>
      <c r="F62" s="192"/>
      <c r="G62" s="192"/>
      <c r="H62" s="102"/>
      <c r="I62" s="192"/>
      <c r="J62" s="192"/>
      <c r="K62" s="192"/>
      <c r="L62" s="192"/>
      <c r="M62" s="102"/>
      <c r="N62" s="192">
        <f t="shared" ref="N62:Q62" si="512">N58+N59+N61-(N60-N48)</f>
        <v>-165</v>
      </c>
      <c r="O62" s="192">
        <f t="shared" si="512"/>
        <v>0</v>
      </c>
      <c r="P62" s="192">
        <f t="shared" si="512"/>
        <v>-16</v>
      </c>
      <c r="Q62" s="192">
        <f t="shared" si="512"/>
        <v>-40</v>
      </c>
      <c r="R62" s="102">
        <f t="shared" si="511"/>
        <v>-221</v>
      </c>
      <c r="S62" s="192">
        <f t="shared" ref="S62:V62" si="513">S58+S59+S61-(S60-S48)</f>
        <v>-18</v>
      </c>
      <c r="T62" s="192">
        <f t="shared" si="513"/>
        <v>-31</v>
      </c>
      <c r="U62" s="192">
        <f t="shared" si="513"/>
        <v>-446</v>
      </c>
      <c r="V62" s="192">
        <f t="shared" si="513"/>
        <v>-300</v>
      </c>
      <c r="W62" s="102">
        <f t="shared" si="514"/>
        <v>-795</v>
      </c>
      <c r="X62" s="192">
        <f t="shared" ref="X62:AA62" si="515">X58+X59+X61-(X60-X48)</f>
        <v>-342</v>
      </c>
      <c r="Y62" s="192">
        <f t="shared" si="515"/>
        <v>-381</v>
      </c>
      <c r="Z62" s="192">
        <f t="shared" si="515"/>
        <v>-390</v>
      </c>
      <c r="AA62" s="192">
        <f t="shared" si="515"/>
        <v>-477</v>
      </c>
      <c r="AB62" s="102">
        <f t="shared" si="516"/>
        <v>-1590</v>
      </c>
      <c r="AC62" s="192">
        <f t="shared" ref="AC62:AF62" si="517">AC58+AC59+AC61-(AC60-AC48)</f>
        <v>-614</v>
      </c>
      <c r="AD62" s="192">
        <f t="shared" si="517"/>
        <v>-658</v>
      </c>
      <c r="AE62" s="192">
        <f t="shared" si="517"/>
        <v>-549</v>
      </c>
      <c r="AF62" s="192">
        <f t="shared" si="517"/>
        <v>-494</v>
      </c>
      <c r="AG62" s="102">
        <f t="shared" si="518"/>
        <v>-2315</v>
      </c>
      <c r="AH62" s="192">
        <f t="shared" ref="AH62:AK62" si="519">AH58+AH59+AH61-(AH60-AH48)</f>
        <v>-86</v>
      </c>
      <c r="AI62" s="192">
        <f t="shared" si="519"/>
        <v>-174</v>
      </c>
      <c r="AJ62" s="192">
        <f t="shared" si="519"/>
        <v>-82</v>
      </c>
      <c r="AK62" s="192">
        <f t="shared" si="519"/>
        <v>-5</v>
      </c>
      <c r="AL62" s="102">
        <f t="shared" si="520"/>
        <v>-347</v>
      </c>
      <c r="AM62" s="192">
        <f t="shared" ref="AM62:AP62" si="521">AM59+AM61-(AM60-AM48)</f>
        <v>0</v>
      </c>
      <c r="AN62" s="192">
        <f t="shared" si="521"/>
        <v>0</v>
      </c>
      <c r="AO62" s="192">
        <f t="shared" si="521"/>
        <v>0</v>
      </c>
      <c r="AP62" s="192">
        <f t="shared" si="521"/>
        <v>3</v>
      </c>
      <c r="AQ62" s="102">
        <f t="shared" si="522"/>
        <v>3</v>
      </c>
      <c r="AR62" s="192">
        <f t="shared" ref="AR62:AU62" si="523">AR59+AR61-(AR60-AR48)</f>
        <v>0</v>
      </c>
      <c r="AS62" s="192">
        <f t="shared" si="523"/>
        <v>0</v>
      </c>
      <c r="AT62" s="192">
        <f t="shared" si="523"/>
        <v>0</v>
      </c>
      <c r="AU62" s="192">
        <f t="shared" si="523"/>
        <v>0</v>
      </c>
      <c r="AV62" s="102">
        <f t="shared" si="487"/>
        <v>0</v>
      </c>
      <c r="AW62" s="192">
        <f t="shared" ref="AW62:AZ62" si="524">AW59+AW61-(AW60-AW48)</f>
        <v>0</v>
      </c>
      <c r="AX62" s="192">
        <f t="shared" si="524"/>
        <v>0</v>
      </c>
      <c r="AY62" s="192">
        <f t="shared" si="524"/>
        <v>-346.036</v>
      </c>
      <c r="AZ62" s="192">
        <f t="shared" si="524"/>
        <v>0</v>
      </c>
      <c r="BA62" s="102">
        <f t="shared" ref="BA62:BA63" si="555">SUM(AW62:AZ62)</f>
        <v>-346.036</v>
      </c>
      <c r="BB62" s="192">
        <f t="shared" ref="BB62:BE62" si="525">BB59+BB61-(BB60-BB48)</f>
        <v>0</v>
      </c>
      <c r="BC62" s="192">
        <f t="shared" si="525"/>
        <v>0</v>
      </c>
      <c r="BD62" s="192">
        <f t="shared" si="525"/>
        <v>0</v>
      </c>
      <c r="BE62" s="192">
        <f t="shared" si="525"/>
        <v>0</v>
      </c>
      <c r="BF62" s="102">
        <f t="shared" ref="BF62:BF63" si="557">SUM(BB62:BE62)</f>
        <v>0</v>
      </c>
      <c r="BG62" s="192">
        <f t="shared" ref="BG62:BJ62" si="526">BG59+BG61-(BG60-BG48)</f>
        <v>326</v>
      </c>
      <c r="BH62" s="192">
        <f t="shared" si="526"/>
        <v>181</v>
      </c>
      <c r="BI62" s="192">
        <f t="shared" si="526"/>
        <v>-82.056</v>
      </c>
      <c r="BJ62" s="192">
        <f t="shared" si="526"/>
        <v>0</v>
      </c>
      <c r="BK62" s="102">
        <f t="shared" ref="BK62:BK63" si="559">SUM(BG62:BJ62)</f>
        <v>424.944</v>
      </c>
      <c r="BL62" s="192">
        <f t="shared" ref="BL62:BO62" si="527">BL59+BL61-(BL60-BL48)</f>
        <v>0</v>
      </c>
      <c r="BM62" s="192">
        <f t="shared" si="527"/>
        <v>0</v>
      </c>
      <c r="BN62" s="192">
        <f t="shared" si="527"/>
        <v>0</v>
      </c>
      <c r="BO62" s="192">
        <f t="shared" si="527"/>
        <v>-695.277</v>
      </c>
      <c r="BP62" s="102">
        <f t="shared" ref="BP62:BP63" si="561">SUM(BL62:BO62)</f>
        <v>-695.277</v>
      </c>
      <c r="BQ62" s="192">
        <f t="shared" ref="BQ62:BT62" si="528">BQ59+BQ61-(BQ60-BQ48)</f>
        <v>0</v>
      </c>
      <c r="BR62" s="192">
        <f t="shared" si="528"/>
        <v>-1447</v>
      </c>
      <c r="BS62" s="192">
        <f t="shared" si="528"/>
        <v>0</v>
      </c>
      <c r="BT62" s="192">
        <f t="shared" si="528"/>
        <v>-812</v>
      </c>
      <c r="BU62" s="102">
        <f t="shared" ref="BU62:BU63" si="563">SUM(BQ62:BT62)</f>
        <v>-2259</v>
      </c>
      <c r="BV62" s="192">
        <f t="shared" ref="BV62:BY62" si="529">BV59+BV61-(BV60-BV48)</f>
        <v>0</v>
      </c>
      <c r="BW62" s="192">
        <f t="shared" si="529"/>
        <v>0</v>
      </c>
      <c r="BX62" s="192">
        <f t="shared" si="529"/>
        <v>0</v>
      </c>
      <c r="BY62" s="192">
        <f t="shared" si="529"/>
        <v>0</v>
      </c>
      <c r="BZ62" s="196">
        <f t="shared" ref="BZ62:BZ63" si="565">SUM(BV62:BY62)</f>
        <v>0</v>
      </c>
      <c r="CA62" s="192">
        <f t="shared" ref="CA62:CD62" si="530">CA59+CA61-(CA60-CA48)</f>
        <v>0</v>
      </c>
      <c r="CB62" s="192">
        <f t="shared" si="530"/>
        <v>0</v>
      </c>
      <c r="CC62" s="192">
        <f t="shared" si="530"/>
        <v>0</v>
      </c>
      <c r="CD62" s="192">
        <f t="shared" si="530"/>
        <v>0</v>
      </c>
      <c r="CE62" s="196">
        <f t="shared" ref="CE62:CE63" si="567">SUM(CA62:CD62)</f>
        <v>0</v>
      </c>
      <c r="CF62" s="192">
        <f t="shared" ref="CF62:CI62" si="531">CF59+CF61-(CF60-CF48)</f>
        <v>0</v>
      </c>
      <c r="CG62" s="192">
        <f t="shared" si="531"/>
        <v>0</v>
      </c>
      <c r="CH62" s="192">
        <f t="shared" si="531"/>
        <v>0</v>
      </c>
      <c r="CI62" s="192">
        <f t="shared" si="531"/>
        <v>0</v>
      </c>
      <c r="CJ62" s="193">
        <f t="shared" ref="CJ62:CJ63" si="569">SUM(CF62:CI62)</f>
        <v>0</v>
      </c>
      <c r="CK62" s="192">
        <f t="shared" ref="CK62:CN62" si="532">CK59+CK61-(CK60-CK48)</f>
        <v>0</v>
      </c>
      <c r="CL62" s="194">
        <f t="shared" si="532"/>
        <v>0</v>
      </c>
      <c r="CM62" s="194">
        <f t="shared" si="532"/>
        <v>0</v>
      </c>
      <c r="CN62" s="195">
        <f t="shared" si="532"/>
        <v>0</v>
      </c>
      <c r="CO62" s="196">
        <f t="shared" ref="CO62:CO63" si="571">SUM(CK62:CN62)</f>
        <v>0</v>
      </c>
      <c r="CP62" s="195">
        <f t="shared" ref="CP62:CS62" si="533">CP59+CP61-(CP60-CP48)</f>
        <v>0</v>
      </c>
      <c r="CQ62" s="194">
        <f t="shared" si="533"/>
        <v>0</v>
      </c>
      <c r="CR62" s="194">
        <f t="shared" si="533"/>
        <v>0</v>
      </c>
      <c r="CS62" s="194">
        <f t="shared" si="533"/>
        <v>0</v>
      </c>
      <c r="CT62" s="196">
        <f t="shared" ref="CT62:CT64" si="573">SUM(CP62:CS62)</f>
        <v>0</v>
      </c>
      <c r="CU62" s="194">
        <f t="shared" ref="CU62:CX62" si="534">CU59+CU61-(CU60-CU48)</f>
        <v>0</v>
      </c>
      <c r="CV62" s="194">
        <f t="shared" si="534"/>
        <v>0</v>
      </c>
      <c r="CW62" s="194">
        <f t="shared" si="534"/>
        <v>0</v>
      </c>
      <c r="CX62" s="194">
        <f t="shared" si="534"/>
        <v>0</v>
      </c>
      <c r="CY62" s="196">
        <f t="shared" ref="CY62:CY64" si="575">SUM(CU62:CX62)</f>
        <v>0</v>
      </c>
      <c r="CZ62" s="194"/>
      <c r="DA62" s="194">
        <f t="shared" ref="DA62:DC62" si="535">DA59+DA61-(DA60-DA48)</f>
        <v>0</v>
      </c>
      <c r="DB62" s="194">
        <f t="shared" si="535"/>
        <v>0</v>
      </c>
      <c r="DC62" s="194">
        <f t="shared" si="535"/>
        <v>0</v>
      </c>
      <c r="DD62" s="196">
        <f t="shared" si="499"/>
        <v>0</v>
      </c>
      <c r="DE62" s="202">
        <f t="shared" ref="DE62:DH62" si="536">DE59+DE61-(DE60-DE48)</f>
        <v>0</v>
      </c>
      <c r="DF62" s="202">
        <f t="shared" si="536"/>
        <v>0</v>
      </c>
      <c r="DG62" s="203">
        <f t="shared" si="536"/>
        <v>0</v>
      </c>
      <c r="DH62" s="194">
        <f t="shared" si="536"/>
        <v>0</v>
      </c>
      <c r="DI62" s="196">
        <f t="shared" si="500"/>
        <v>0</v>
      </c>
      <c r="DJ62" s="203">
        <f t="shared" ref="DJ62:DM62" si="537">DJ59+DJ61-(DJ60-DJ48)</f>
        <v>0</v>
      </c>
      <c r="DK62" s="203">
        <f t="shared" si="537"/>
        <v>0</v>
      </c>
      <c r="DL62" s="203">
        <f t="shared" si="537"/>
        <v>0</v>
      </c>
      <c r="DM62" s="203">
        <f t="shared" si="537"/>
        <v>0</v>
      </c>
      <c r="DN62" s="196">
        <f t="shared" si="501"/>
        <v>0</v>
      </c>
      <c r="DO62" s="195">
        <f t="shared" ref="DO62:DR62" si="538">DO59+DO61-(DO60-DO48)</f>
        <v>0</v>
      </c>
      <c r="DP62" s="195">
        <f t="shared" si="538"/>
        <v>0</v>
      </c>
      <c r="DQ62" s="195">
        <f t="shared" si="538"/>
        <v>0</v>
      </c>
      <c r="DR62" s="195">
        <f t="shared" si="538"/>
        <v>0</v>
      </c>
      <c r="DS62" s="196">
        <f t="shared" si="502"/>
        <v>0</v>
      </c>
      <c r="DT62" s="195">
        <f t="shared" ref="DT62:DW62" si="539">DT59+DT61-(DT60-DT48)</f>
        <v>0</v>
      </c>
      <c r="DU62" s="195">
        <f t="shared" si="539"/>
        <v>0</v>
      </c>
      <c r="DV62" s="195">
        <f t="shared" si="539"/>
        <v>0</v>
      </c>
      <c r="DW62" s="195">
        <f t="shared" si="539"/>
        <v>0</v>
      </c>
      <c r="DX62" s="196">
        <f t="shared" si="503"/>
        <v>0</v>
      </c>
      <c r="DY62" s="195">
        <f t="shared" ref="DY62:EB62" si="540">DY59+DY61-(DY60-DY48)</f>
        <v>0</v>
      </c>
      <c r="DZ62" s="195">
        <f t="shared" si="540"/>
        <v>0</v>
      </c>
      <c r="EA62" s="195">
        <f t="shared" si="540"/>
        <v>0</v>
      </c>
      <c r="EB62" s="195">
        <f t="shared" si="540"/>
        <v>0</v>
      </c>
      <c r="EC62" s="196">
        <f t="shared" si="504"/>
        <v>0</v>
      </c>
      <c r="ED62" s="195">
        <f t="shared" ref="ED62:EF62" si="541">ED59+ED61-(ED60-ED48)</f>
        <v>0</v>
      </c>
      <c r="EE62" s="195">
        <f t="shared" si="541"/>
        <v>0</v>
      </c>
      <c r="EF62" s="195">
        <f t="shared" si="541"/>
        <v>0</v>
      </c>
      <c r="EG62" s="195">
        <v>0.0</v>
      </c>
      <c r="EH62" s="196">
        <f t="shared" si="505"/>
        <v>0</v>
      </c>
      <c r="EI62" s="204" t="str">
        <f t="shared" ref="EI62:EL62" si="542">EI59+EI61-(EI60-EI48)</f>
        <v>#ERROR!</v>
      </c>
      <c r="EJ62" s="202" t="str">
        <f t="shared" si="542"/>
        <v>#ERROR!</v>
      </c>
      <c r="EK62" s="202" t="str">
        <f t="shared" si="542"/>
        <v>#ERROR!</v>
      </c>
      <c r="EL62" s="202" t="str">
        <f t="shared" si="542"/>
        <v>#ERROR!</v>
      </c>
      <c r="EM62" s="196" t="str">
        <f t="shared" si="506"/>
        <v>#ERROR!</v>
      </c>
      <c r="EN62" s="202" t="str">
        <f t="shared" ref="EN62:EQ62" si="543">EN59+EN61-(EN60-EN48)</f>
        <v>#ERROR!</v>
      </c>
      <c r="EO62" s="202" t="str">
        <f t="shared" si="543"/>
        <v>#ERROR!</v>
      </c>
      <c r="EP62" s="202" t="str">
        <f t="shared" si="543"/>
        <v>#ERROR!</v>
      </c>
      <c r="EQ62" s="202" t="str">
        <f t="shared" si="543"/>
        <v>#ERROR!</v>
      </c>
      <c r="ER62" s="196" t="str">
        <f t="shared" si="507"/>
        <v>#ERROR!</v>
      </c>
      <c r="ES62" s="202" t="str">
        <f t="shared" ref="ES62:EV62" si="544">ES59+ES61-(ES60-ES48)</f>
        <v>#ERROR!</v>
      </c>
      <c r="ET62" s="202" t="str">
        <f t="shared" si="544"/>
        <v>#ERROR!</v>
      </c>
      <c r="EU62" s="202" t="str">
        <f t="shared" si="544"/>
        <v>#ERROR!</v>
      </c>
      <c r="EV62" s="202" t="str">
        <f t="shared" si="544"/>
        <v>#ERROR!</v>
      </c>
      <c r="EW62" s="196" t="str">
        <f t="shared" si="508"/>
        <v>#ERROR!</v>
      </c>
      <c r="EX62" s="202" t="str">
        <f t="shared" ref="EX62:FA62" si="545">EX59+EX61-(EX60-EX48)</f>
        <v>#ERROR!</v>
      </c>
      <c r="EY62" s="202" t="str">
        <f t="shared" si="545"/>
        <v>#ERROR!</v>
      </c>
      <c r="EZ62" s="202" t="str">
        <f t="shared" si="545"/>
        <v>#ERROR!</v>
      </c>
      <c r="FA62" s="202" t="str">
        <f t="shared" si="545"/>
        <v>#ERROR!</v>
      </c>
      <c r="FB62" s="196" t="str">
        <f t="shared" si="509"/>
        <v>#ERROR!</v>
      </c>
      <c r="FC62" s="202" t="str">
        <f t="shared" ref="FC62:FF62" si="546">FC59+FC61-(FC60-FC48)</f>
        <v>#ERROR!</v>
      </c>
      <c r="FD62" s="202" t="str">
        <f t="shared" si="546"/>
        <v>#ERROR!</v>
      </c>
      <c r="FE62" s="202" t="str">
        <f t="shared" si="546"/>
        <v>#ERROR!</v>
      </c>
      <c r="FF62" s="202" t="str">
        <f t="shared" si="546"/>
        <v>#ERROR!</v>
      </c>
      <c r="FG62" s="196" t="str">
        <f t="shared" si="510"/>
        <v>#ERROR!</v>
      </c>
      <c r="FH62" s="103"/>
      <c r="FI62" s="200"/>
      <c r="FJ62" s="200"/>
      <c r="FK62" s="200"/>
      <c r="FL62" s="200"/>
    </row>
    <row r="63" ht="12.75" customHeight="1" collapsed="1">
      <c r="A63" s="17"/>
      <c r="B63" s="205" t="s">
        <v>92</v>
      </c>
      <c r="C63" s="100"/>
      <c r="D63" s="101"/>
      <c r="E63" s="101"/>
      <c r="F63" s="101"/>
      <c r="G63" s="101"/>
      <c r="H63" s="73"/>
      <c r="I63" s="101"/>
      <c r="J63" s="101"/>
      <c r="K63" s="101"/>
      <c r="L63" s="101"/>
      <c r="M63" s="73"/>
      <c r="N63" s="101">
        <f t="shared" ref="N63:Q63" si="547">N51+N62</f>
        <v>1273</v>
      </c>
      <c r="O63" s="101">
        <f t="shared" si="547"/>
        <v>1172</v>
      </c>
      <c r="P63" s="101">
        <f t="shared" si="547"/>
        <v>1559</v>
      </c>
      <c r="Q63" s="101">
        <f t="shared" si="547"/>
        <v>2064</v>
      </c>
      <c r="R63" s="73">
        <f t="shared" si="511"/>
        <v>6068</v>
      </c>
      <c r="S63" s="101">
        <f t="shared" ref="S63:V63" si="548">S51+S62</f>
        <v>1999</v>
      </c>
      <c r="T63" s="101">
        <f t="shared" si="548"/>
        <v>1749</v>
      </c>
      <c r="U63" s="101">
        <f t="shared" si="548"/>
        <v>1458</v>
      </c>
      <c r="V63" s="101">
        <f t="shared" si="548"/>
        <v>2108</v>
      </c>
      <c r="W63" s="73">
        <f t="shared" si="514"/>
        <v>7314</v>
      </c>
      <c r="X63" s="101">
        <f t="shared" ref="X63:AA63" si="549">X51+X62</f>
        <v>2696</v>
      </c>
      <c r="Y63" s="101">
        <f t="shared" si="549"/>
        <v>3137</v>
      </c>
      <c r="Z63" s="101">
        <f t="shared" si="549"/>
        <v>2509</v>
      </c>
      <c r="AA63" s="101">
        <f t="shared" si="549"/>
        <v>2193</v>
      </c>
      <c r="AB63" s="73">
        <f t="shared" si="516"/>
        <v>10535</v>
      </c>
      <c r="AC63" s="101">
        <f t="shared" ref="AC63:AF63" si="550">AC51+AC62</f>
        <v>485</v>
      </c>
      <c r="AD63" s="101">
        <f t="shared" si="550"/>
        <v>196</v>
      </c>
      <c r="AE63" s="101">
        <f t="shared" si="550"/>
        <v>106</v>
      </c>
      <c r="AF63" s="101">
        <f t="shared" si="550"/>
        <v>504</v>
      </c>
      <c r="AG63" s="73">
        <f t="shared" si="518"/>
        <v>1291</v>
      </c>
      <c r="AH63" s="101">
        <f t="shared" ref="AH63:AK63" si="551">AH51+AH62</f>
        <v>936</v>
      </c>
      <c r="AI63" s="101">
        <f t="shared" si="551"/>
        <v>446</v>
      </c>
      <c r="AJ63" s="101">
        <f t="shared" si="551"/>
        <v>686</v>
      </c>
      <c r="AK63" s="101">
        <f t="shared" si="551"/>
        <v>1049</v>
      </c>
      <c r="AL63" s="73">
        <f t="shared" si="520"/>
        <v>3117</v>
      </c>
      <c r="AM63" s="101">
        <f t="shared" ref="AM63:AP63" si="552">AM51+AM62</f>
        <v>915</v>
      </c>
      <c r="AN63" s="101">
        <f t="shared" si="552"/>
        <v>896</v>
      </c>
      <c r="AO63" s="101">
        <f t="shared" si="552"/>
        <v>1657</v>
      </c>
      <c r="AP63" s="101">
        <f t="shared" si="552"/>
        <v>2173</v>
      </c>
      <c r="AQ63" s="73">
        <f t="shared" si="522"/>
        <v>5641</v>
      </c>
      <c r="AR63" s="101">
        <f t="shared" ref="AR63:AU63" si="553">AR51+AR62</f>
        <v>1730</v>
      </c>
      <c r="AS63" s="101">
        <f t="shared" si="553"/>
        <v>1757</v>
      </c>
      <c r="AT63" s="101">
        <f t="shared" si="553"/>
        <v>1906</v>
      </c>
      <c r="AU63" s="101">
        <f t="shared" si="553"/>
        <v>2123</v>
      </c>
      <c r="AV63" s="73">
        <f t="shared" si="487"/>
        <v>7516</v>
      </c>
      <c r="AW63" s="101">
        <f t="shared" ref="AW63:AZ63" si="554">AW51+AW62</f>
        <v>2178</v>
      </c>
      <c r="AX63" s="101">
        <f t="shared" si="554"/>
        <v>2038</v>
      </c>
      <c r="AY63" s="101">
        <f t="shared" si="554"/>
        <v>1995</v>
      </c>
      <c r="AZ63" s="101">
        <f t="shared" si="554"/>
        <v>2453</v>
      </c>
      <c r="BA63" s="73">
        <f t="shared" si="555"/>
        <v>8664</v>
      </c>
      <c r="BB63" s="101">
        <f t="shared" ref="BB63:BE63" si="556">BB51+BB62</f>
        <v>1357</v>
      </c>
      <c r="BC63" s="101">
        <f t="shared" si="556"/>
        <v>885</v>
      </c>
      <c r="BD63" s="101">
        <f t="shared" si="556"/>
        <v>1301</v>
      </c>
      <c r="BE63" s="101">
        <f t="shared" si="556"/>
        <v>1501</v>
      </c>
      <c r="BF63" s="73">
        <f t="shared" si="557"/>
        <v>5044</v>
      </c>
      <c r="BG63" s="101">
        <f t="shared" ref="BG63:BJ63" si="558">BG51+BG62</f>
        <v>1636</v>
      </c>
      <c r="BH63" s="101">
        <f t="shared" si="558"/>
        <v>1278</v>
      </c>
      <c r="BI63" s="101">
        <f t="shared" si="558"/>
        <v>1791</v>
      </c>
      <c r="BJ63" s="101">
        <f t="shared" si="558"/>
        <v>2271</v>
      </c>
      <c r="BK63" s="73">
        <f t="shared" si="559"/>
        <v>6976</v>
      </c>
      <c r="BL63" s="101">
        <f t="shared" ref="BL63:BO63" si="560">BL51+BL62</f>
        <v>1443</v>
      </c>
      <c r="BM63" s="101">
        <f t="shared" si="560"/>
        <v>1601</v>
      </c>
      <c r="BN63" s="101">
        <f t="shared" si="560"/>
        <v>2014</v>
      </c>
      <c r="BO63" s="101">
        <f t="shared" si="560"/>
        <v>234</v>
      </c>
      <c r="BP63" s="73">
        <f t="shared" si="561"/>
        <v>5292</v>
      </c>
      <c r="BQ63" s="101">
        <f t="shared" ref="BQ63:BT63" si="562">BQ51+BQ62</f>
        <v>629</v>
      </c>
      <c r="BR63" s="101">
        <f t="shared" si="562"/>
        <v>-398</v>
      </c>
      <c r="BS63" s="101">
        <f t="shared" si="562"/>
        <v>1856</v>
      </c>
      <c r="BT63" s="101">
        <f t="shared" si="562"/>
        <v>2282</v>
      </c>
      <c r="BU63" s="73">
        <f t="shared" si="563"/>
        <v>4369</v>
      </c>
      <c r="BV63" s="101">
        <f t="shared" ref="BV63:BY63" si="564">BV51+BV62</f>
        <v>2442</v>
      </c>
      <c r="BW63" s="101">
        <f t="shared" si="564"/>
        <v>2887</v>
      </c>
      <c r="BX63" s="101">
        <f t="shared" si="564"/>
        <v>2955</v>
      </c>
      <c r="BY63" s="101">
        <f t="shared" si="564"/>
        <v>3180</v>
      </c>
      <c r="BZ63" s="18">
        <f t="shared" si="565"/>
        <v>11464</v>
      </c>
      <c r="CA63" s="101">
        <f t="shared" ref="CA63:CD63" si="566">CA51+CA62</f>
        <v>3160</v>
      </c>
      <c r="CB63" s="101">
        <f t="shared" si="566"/>
        <v>2954</v>
      </c>
      <c r="CC63" s="101">
        <f t="shared" si="566"/>
        <v>3468</v>
      </c>
      <c r="CD63" s="101">
        <f t="shared" si="566"/>
        <v>3360</v>
      </c>
      <c r="CE63" s="18">
        <f t="shared" si="567"/>
        <v>12942</v>
      </c>
      <c r="CF63" s="101">
        <f t="shared" ref="CF63:CI63" si="568">CF51+CF62</f>
        <v>2738</v>
      </c>
      <c r="CG63" s="101">
        <f t="shared" si="568"/>
        <v>2827</v>
      </c>
      <c r="CH63" s="101">
        <f t="shared" si="568"/>
        <v>2972</v>
      </c>
      <c r="CI63" s="101">
        <f t="shared" si="568"/>
        <v>2468</v>
      </c>
      <c r="CJ63" s="80">
        <f t="shared" si="569"/>
        <v>11005</v>
      </c>
      <c r="CK63" s="101">
        <f t="shared" ref="CK63:CN63" si="570">CK51+CK62</f>
        <v>2045</v>
      </c>
      <c r="CL63" s="102">
        <f t="shared" si="570"/>
        <v>2000</v>
      </c>
      <c r="CM63" s="102">
        <f t="shared" si="570"/>
        <v>2950</v>
      </c>
      <c r="CN63" s="103">
        <f t="shared" si="570"/>
        <v>2625</v>
      </c>
      <c r="CO63" s="18">
        <f t="shared" si="571"/>
        <v>9620</v>
      </c>
      <c r="CP63" s="103">
        <f t="shared" ref="CP63:CS63" si="572">CP51+CP62</f>
        <v>1953</v>
      </c>
      <c r="CQ63" s="102">
        <f t="shared" si="572"/>
        <v>2796</v>
      </c>
      <c r="CR63" s="102">
        <f t="shared" si="572"/>
        <v>3317</v>
      </c>
      <c r="CS63" s="102">
        <f t="shared" si="572"/>
        <v>3661</v>
      </c>
      <c r="CT63" s="18">
        <f t="shared" si="573"/>
        <v>11727</v>
      </c>
      <c r="CU63" s="102">
        <f t="shared" ref="CU63:CX63" si="574">CU51+CU62</f>
        <v>1992</v>
      </c>
      <c r="CV63" s="102">
        <f t="shared" si="574"/>
        <v>2706</v>
      </c>
      <c r="CW63" s="102">
        <f t="shared" si="574"/>
        <v>3109</v>
      </c>
      <c r="CX63" s="102">
        <f t="shared" si="574"/>
        <v>3613</v>
      </c>
      <c r="CY63" s="18">
        <f t="shared" si="575"/>
        <v>11420</v>
      </c>
      <c r="CZ63" s="102">
        <f t="shared" ref="CZ63:DC63" si="576">CZ51+CZ62</f>
        <v>2046</v>
      </c>
      <c r="DA63" s="102">
        <f t="shared" si="576"/>
        <v>1330</v>
      </c>
      <c r="DB63" s="102">
        <f t="shared" si="576"/>
        <v>3378</v>
      </c>
      <c r="DC63" s="102">
        <f t="shared" si="576"/>
        <v>3562</v>
      </c>
      <c r="DD63" s="18">
        <f t="shared" si="499"/>
        <v>10316</v>
      </c>
      <c r="DE63" s="102">
        <f t="shared" ref="DE63:DH63" si="577">DE51+DE62</f>
        <v>2964</v>
      </c>
      <c r="DF63" s="102">
        <f t="shared" si="577"/>
        <v>2808</v>
      </c>
      <c r="DG63" s="103">
        <f t="shared" si="577"/>
        <v>4516</v>
      </c>
      <c r="DH63" s="102">
        <f t="shared" si="577"/>
        <v>-687</v>
      </c>
      <c r="DI63" s="18">
        <f t="shared" si="500"/>
        <v>9601</v>
      </c>
      <c r="DJ63" s="103">
        <f t="shared" ref="DJ63:DM63" si="578">DJ51+DJ62</f>
        <v>4454</v>
      </c>
      <c r="DK63" s="103">
        <f t="shared" si="578"/>
        <v>5006</v>
      </c>
      <c r="DL63" s="103">
        <f t="shared" si="578"/>
        <v>6398</v>
      </c>
      <c r="DM63" s="103">
        <f t="shared" si="578"/>
        <v>5195</v>
      </c>
      <c r="DN63" s="18">
        <f t="shared" si="501"/>
        <v>21053</v>
      </c>
      <c r="DO63" s="103">
        <f t="shared" ref="DO63:DR63" si="579">DO51+DO62</f>
        <v>3974</v>
      </c>
      <c r="DP63" s="103">
        <f t="shared" si="579"/>
        <v>4179</v>
      </c>
      <c r="DQ63" s="103">
        <f t="shared" si="579"/>
        <v>5990</v>
      </c>
      <c r="DR63" s="103">
        <f t="shared" si="579"/>
        <v>6905</v>
      </c>
      <c r="DS63" s="18">
        <f t="shared" si="502"/>
        <v>21048</v>
      </c>
      <c r="DT63" s="103">
        <f t="shared" ref="DT63:DW63" si="580">DT51+DT62</f>
        <v>5661</v>
      </c>
      <c r="DU63" s="103">
        <f t="shared" si="580"/>
        <v>5105</v>
      </c>
      <c r="DV63" s="103">
        <f t="shared" si="580"/>
        <v>4276</v>
      </c>
      <c r="DW63" s="103">
        <f t="shared" si="580"/>
        <v>5857</v>
      </c>
      <c r="DX63" s="18">
        <f t="shared" si="503"/>
        <v>20899</v>
      </c>
      <c r="DY63" s="103">
        <f t="shared" ref="DY63:EB63" si="581">DY51+DY62</f>
        <v>3361</v>
      </c>
      <c r="DZ63" s="103">
        <f t="shared" si="581"/>
        <v>5061</v>
      </c>
      <c r="EA63" s="103">
        <f t="shared" si="581"/>
        <v>6823</v>
      </c>
      <c r="EB63" s="103">
        <f t="shared" si="581"/>
        <v>4623</v>
      </c>
      <c r="EC63" s="18">
        <f t="shared" si="504"/>
        <v>19868</v>
      </c>
      <c r="ED63" s="103">
        <f t="shared" ref="ED63:EG63" si="582">ED51+ED62</f>
        <v>8113</v>
      </c>
      <c r="EE63" s="103">
        <f t="shared" si="582"/>
        <v>-454</v>
      </c>
      <c r="EF63" s="103">
        <f t="shared" si="582"/>
        <v>1019</v>
      </c>
      <c r="EG63" s="103">
        <f t="shared" si="582"/>
        <v>-661</v>
      </c>
      <c r="EH63" s="18">
        <f t="shared" si="505"/>
        <v>8017</v>
      </c>
      <c r="EI63" s="206" t="str">
        <f t="shared" ref="EI63:EL63" si="583">EI51+EI62</f>
        <v>#ERROR!</v>
      </c>
      <c r="EJ63" s="102" t="str">
        <f t="shared" si="583"/>
        <v>#ERROR!</v>
      </c>
      <c r="EK63" s="102" t="str">
        <f t="shared" si="583"/>
        <v>#ERROR!</v>
      </c>
      <c r="EL63" s="102" t="str">
        <f t="shared" si="583"/>
        <v>#ERROR!</v>
      </c>
      <c r="EM63" s="18" t="str">
        <f t="shared" si="506"/>
        <v>#ERROR!</v>
      </c>
      <c r="EN63" s="102" t="str">
        <f t="shared" ref="EN63:EQ63" si="584">EN51+EN62</f>
        <v>#ERROR!</v>
      </c>
      <c r="EO63" s="102" t="str">
        <f t="shared" si="584"/>
        <v>#ERROR!</v>
      </c>
      <c r="EP63" s="102" t="str">
        <f t="shared" si="584"/>
        <v>#ERROR!</v>
      </c>
      <c r="EQ63" s="102" t="str">
        <f t="shared" si="584"/>
        <v>#ERROR!</v>
      </c>
      <c r="ER63" s="18" t="str">
        <f t="shared" si="507"/>
        <v>#ERROR!</v>
      </c>
      <c r="ES63" s="102" t="str">
        <f t="shared" ref="ES63:EV63" si="585">ES51+ES62</f>
        <v>#ERROR!</v>
      </c>
      <c r="ET63" s="102" t="str">
        <f t="shared" si="585"/>
        <v>#ERROR!</v>
      </c>
      <c r="EU63" s="102" t="str">
        <f t="shared" si="585"/>
        <v>#ERROR!</v>
      </c>
      <c r="EV63" s="102" t="str">
        <f t="shared" si="585"/>
        <v>#ERROR!</v>
      </c>
      <c r="EW63" s="18" t="str">
        <f t="shared" si="508"/>
        <v>#ERROR!</v>
      </c>
      <c r="EX63" s="102" t="str">
        <f t="shared" ref="EX63:FA63" si="586">EX51+EX62</f>
        <v>#ERROR!</v>
      </c>
      <c r="EY63" s="102" t="str">
        <f t="shared" si="586"/>
        <v>#ERROR!</v>
      </c>
      <c r="EZ63" s="102" t="str">
        <f t="shared" si="586"/>
        <v>#ERROR!</v>
      </c>
      <c r="FA63" s="102" t="str">
        <f t="shared" si="586"/>
        <v>#ERROR!</v>
      </c>
      <c r="FB63" s="18" t="str">
        <f t="shared" si="509"/>
        <v>#ERROR!</v>
      </c>
      <c r="FC63" s="102" t="str">
        <f t="shared" ref="FC63:FF63" si="587">FC51+FC62</f>
        <v>#ERROR!</v>
      </c>
      <c r="FD63" s="102" t="str">
        <f t="shared" si="587"/>
        <v>#ERROR!</v>
      </c>
      <c r="FE63" s="102" t="str">
        <f t="shared" si="587"/>
        <v>#ERROR!</v>
      </c>
      <c r="FF63" s="102" t="str">
        <f t="shared" si="587"/>
        <v>#ERROR!</v>
      </c>
      <c r="FG63" s="18" t="str">
        <f t="shared" si="510"/>
        <v>#ERROR!</v>
      </c>
      <c r="FH63" s="74"/>
      <c r="FI63" s="17"/>
      <c r="FJ63" s="17"/>
      <c r="FK63" s="17"/>
      <c r="FL63" s="17"/>
    </row>
    <row r="64" ht="12.75" customHeight="1">
      <c r="A64" s="160"/>
      <c r="B64" s="207" t="s">
        <v>93</v>
      </c>
      <c r="C64" s="208"/>
      <c r="D64" s="209"/>
      <c r="E64" s="209"/>
      <c r="F64" s="209"/>
      <c r="G64" s="209"/>
      <c r="H64" s="210"/>
      <c r="I64" s="209"/>
      <c r="J64" s="209"/>
      <c r="K64" s="209"/>
      <c r="L64" s="209"/>
      <c r="M64" s="210"/>
      <c r="N64" s="209"/>
      <c r="O64" s="209"/>
      <c r="P64" s="209"/>
      <c r="Q64" s="209"/>
      <c r="R64" s="210"/>
      <c r="S64" s="209"/>
      <c r="T64" s="209"/>
      <c r="U64" s="209"/>
      <c r="V64" s="209"/>
      <c r="W64" s="210"/>
      <c r="X64" s="209"/>
      <c r="Y64" s="209"/>
      <c r="Z64" s="209"/>
      <c r="AA64" s="209"/>
      <c r="AB64" s="210"/>
      <c r="AC64" s="209"/>
      <c r="AD64" s="209"/>
      <c r="AE64" s="209"/>
      <c r="AF64" s="209"/>
      <c r="AG64" s="210"/>
      <c r="AH64" s="209"/>
      <c r="AI64" s="209"/>
      <c r="AJ64" s="209"/>
      <c r="AK64" s="209"/>
      <c r="AL64" s="210"/>
      <c r="AM64" s="209"/>
      <c r="AN64" s="209"/>
      <c r="AO64" s="209"/>
      <c r="AP64" s="209"/>
      <c r="AQ64" s="210"/>
      <c r="AR64" s="209"/>
      <c r="AS64" s="209"/>
      <c r="AT64" s="209"/>
      <c r="AU64" s="209"/>
      <c r="AV64" s="210"/>
      <c r="AW64" s="209"/>
      <c r="AX64" s="209"/>
      <c r="AY64" s="209"/>
      <c r="AZ64" s="209"/>
      <c r="BA64" s="210"/>
      <c r="BB64" s="209"/>
      <c r="BC64" s="209"/>
      <c r="BD64" s="209"/>
      <c r="BE64" s="209"/>
      <c r="BF64" s="210"/>
      <c r="BG64" s="209"/>
      <c r="BH64" s="209"/>
      <c r="BI64" s="209"/>
      <c r="BJ64" s="209"/>
      <c r="BK64" s="210"/>
      <c r="BL64" s="209"/>
      <c r="BM64" s="209"/>
      <c r="BN64" s="209"/>
      <c r="BO64" s="209"/>
      <c r="BP64" s="210"/>
      <c r="BQ64" s="209"/>
      <c r="BR64" s="209"/>
      <c r="BS64" s="209"/>
      <c r="BT64" s="209"/>
      <c r="BU64" s="210"/>
      <c r="BV64" s="209"/>
      <c r="BW64" s="209"/>
      <c r="BX64" s="209"/>
      <c r="BY64" s="209"/>
      <c r="BZ64" s="168"/>
      <c r="CA64" s="211"/>
      <c r="CB64" s="211"/>
      <c r="CC64" s="211"/>
      <c r="CD64" s="211"/>
      <c r="CE64" s="168"/>
      <c r="CF64" s="209"/>
      <c r="CG64" s="209"/>
      <c r="CH64" s="209"/>
      <c r="CI64" s="209"/>
      <c r="CJ64" s="165"/>
      <c r="CK64" s="209"/>
      <c r="CL64" s="211"/>
      <c r="CM64" s="211"/>
      <c r="CN64" s="211"/>
      <c r="CO64" s="168"/>
      <c r="CP64" s="211">
        <f t="shared" ref="CP64:CS64" si="588">CP47-CP49</f>
        <v>2077</v>
      </c>
      <c r="CQ64" s="211">
        <f t="shared" si="588"/>
        <v>2907</v>
      </c>
      <c r="CR64" s="211">
        <f t="shared" si="588"/>
        <v>3352</v>
      </c>
      <c r="CS64" s="211">
        <f t="shared" si="588"/>
        <v>3770</v>
      </c>
      <c r="CT64" s="168">
        <f t="shared" si="573"/>
        <v>12106</v>
      </c>
      <c r="CU64" s="211">
        <f t="shared" ref="CU64:CX64" si="589">CU47-CU49</f>
        <v>2206</v>
      </c>
      <c r="CV64" s="211">
        <f t="shared" si="589"/>
        <v>3055</v>
      </c>
      <c r="CW64" s="211">
        <f t="shared" si="589"/>
        <v>3129</v>
      </c>
      <c r="CX64" s="211">
        <f t="shared" si="589"/>
        <v>3719</v>
      </c>
      <c r="CY64" s="168">
        <f t="shared" si="575"/>
        <v>12109</v>
      </c>
      <c r="CZ64" s="211">
        <f t="shared" ref="CZ64:DC64" si="590">CZ47-CZ49</f>
        <v>2629</v>
      </c>
      <c r="DA64" s="211">
        <f t="shared" si="590"/>
        <v>2859</v>
      </c>
      <c r="DB64" s="211">
        <f t="shared" si="590"/>
        <v>3886</v>
      </c>
      <c r="DC64" s="211">
        <f t="shared" si="590"/>
        <v>3865</v>
      </c>
      <c r="DD64" s="168">
        <f t="shared" si="499"/>
        <v>13239</v>
      </c>
      <c r="DE64" s="211">
        <f t="shared" ref="DE64:DH64" si="591">DE47-DE49</f>
        <v>3218</v>
      </c>
      <c r="DF64" s="211">
        <f t="shared" si="591"/>
        <v>3506.4225</v>
      </c>
      <c r="DG64" s="211">
        <f t="shared" si="591"/>
        <v>4848</v>
      </c>
      <c r="DH64" s="211">
        <f t="shared" si="591"/>
        <v>5181</v>
      </c>
      <c r="DI64" s="168">
        <f t="shared" si="500"/>
        <v>16753.4225</v>
      </c>
      <c r="DJ64" s="211">
        <f t="shared" ref="DJ64:DM64" si="592">DJ47-DJ49</f>
        <v>4175</v>
      </c>
      <c r="DK64" s="211">
        <f t="shared" si="592"/>
        <v>4940.385</v>
      </c>
      <c r="DL64" s="211">
        <f t="shared" si="592"/>
        <v>6508</v>
      </c>
      <c r="DM64" s="211">
        <f t="shared" si="592"/>
        <v>5902</v>
      </c>
      <c r="DN64" s="168">
        <f t="shared" si="501"/>
        <v>21525.385</v>
      </c>
      <c r="DO64" s="211">
        <f t="shared" ref="DO64:DR64" si="593">DO47-DO49</f>
        <v>4048</v>
      </c>
      <c r="DP64" s="211">
        <f t="shared" si="593"/>
        <v>4785</v>
      </c>
      <c r="DQ64" s="211">
        <f t="shared" si="593"/>
        <v>6289</v>
      </c>
      <c r="DR64" s="211">
        <f t="shared" si="593"/>
        <v>6663</v>
      </c>
      <c r="DS64" s="168">
        <f t="shared" si="502"/>
        <v>21785</v>
      </c>
      <c r="DT64" s="211">
        <f t="shared" ref="DT64:DW64" si="594">DT47-DT49</f>
        <v>6232</v>
      </c>
      <c r="DU64" s="211">
        <f t="shared" si="594"/>
        <v>5278</v>
      </c>
      <c r="DV64" s="211">
        <f t="shared" si="594"/>
        <v>4675</v>
      </c>
      <c r="DW64" s="211">
        <f t="shared" si="594"/>
        <v>6245</v>
      </c>
      <c r="DX64" s="168">
        <f t="shared" si="503"/>
        <v>22430</v>
      </c>
      <c r="DY64" s="211">
        <f t="shared" ref="DY64:EB64" si="595">DY47-DY49</f>
        <v>5695</v>
      </c>
      <c r="DZ64" s="211">
        <f t="shared" si="595"/>
        <v>5214</v>
      </c>
      <c r="EA64" s="211">
        <f t="shared" si="595"/>
        <v>6997</v>
      </c>
      <c r="EB64" s="211">
        <f t="shared" si="595"/>
        <v>4451</v>
      </c>
      <c r="EC64" s="168">
        <f t="shared" si="504"/>
        <v>22357</v>
      </c>
      <c r="ED64" s="211">
        <f t="shared" ref="ED64:EG64" si="596">ED47-ED49</f>
        <v>3586</v>
      </c>
      <c r="EE64" s="211">
        <f t="shared" si="596"/>
        <v>1181</v>
      </c>
      <c r="EF64" s="211">
        <f t="shared" si="596"/>
        <v>2432</v>
      </c>
      <c r="EG64" s="211">
        <f t="shared" si="596"/>
        <v>394</v>
      </c>
      <c r="EH64" s="168">
        <f t="shared" si="505"/>
        <v>7593</v>
      </c>
      <c r="EI64" s="212" t="str">
        <f t="shared" ref="EI64:EL64" si="597">EI47-EI49</f>
        <v>#ERROR!</v>
      </c>
      <c r="EJ64" s="211" t="str">
        <f t="shared" si="597"/>
        <v>#ERROR!</v>
      </c>
      <c r="EK64" s="211" t="str">
        <f t="shared" si="597"/>
        <v>#ERROR!</v>
      </c>
      <c r="EL64" s="211" t="str">
        <f t="shared" si="597"/>
        <v>#ERROR!</v>
      </c>
      <c r="EM64" s="168" t="str">
        <f t="shared" si="506"/>
        <v>#ERROR!</v>
      </c>
      <c r="EN64" s="211" t="str">
        <f t="shared" ref="EN64:EQ64" si="598">EN47-EN49</f>
        <v>#ERROR!</v>
      </c>
      <c r="EO64" s="211" t="str">
        <f t="shared" si="598"/>
        <v>#ERROR!</v>
      </c>
      <c r="EP64" s="211" t="str">
        <f t="shared" si="598"/>
        <v>#ERROR!</v>
      </c>
      <c r="EQ64" s="211" t="str">
        <f t="shared" si="598"/>
        <v>#ERROR!</v>
      </c>
      <c r="ER64" s="168" t="str">
        <f t="shared" si="507"/>
        <v>#ERROR!</v>
      </c>
      <c r="ES64" s="211" t="str">
        <f t="shared" ref="ES64:EV64" si="599">ES47-ES49</f>
        <v>#ERROR!</v>
      </c>
      <c r="ET64" s="211" t="str">
        <f t="shared" si="599"/>
        <v>#ERROR!</v>
      </c>
      <c r="EU64" s="211" t="str">
        <f t="shared" si="599"/>
        <v>#ERROR!</v>
      </c>
      <c r="EV64" s="211" t="str">
        <f t="shared" si="599"/>
        <v>#ERROR!</v>
      </c>
      <c r="EW64" s="168" t="str">
        <f t="shared" si="508"/>
        <v>#ERROR!</v>
      </c>
      <c r="EX64" s="211" t="str">
        <f t="shared" ref="EX64:FA64" si="600">EX47-EX49</f>
        <v>#ERROR!</v>
      </c>
      <c r="EY64" s="211" t="str">
        <f t="shared" si="600"/>
        <v>#ERROR!</v>
      </c>
      <c r="EZ64" s="211" t="str">
        <f t="shared" si="600"/>
        <v>#ERROR!</v>
      </c>
      <c r="FA64" s="211" t="str">
        <f t="shared" si="600"/>
        <v>#ERROR!</v>
      </c>
      <c r="FB64" s="168" t="str">
        <f t="shared" si="509"/>
        <v>#ERROR!</v>
      </c>
      <c r="FC64" s="211" t="str">
        <f t="shared" ref="FC64:FF64" si="601">FC47-FC49</f>
        <v>#ERROR!</v>
      </c>
      <c r="FD64" s="211" t="str">
        <f t="shared" si="601"/>
        <v>#ERROR!</v>
      </c>
      <c r="FE64" s="211" t="str">
        <f t="shared" si="601"/>
        <v>#ERROR!</v>
      </c>
      <c r="FF64" s="211" t="str">
        <f t="shared" si="601"/>
        <v>#ERROR!</v>
      </c>
      <c r="FG64" s="168" t="str">
        <f t="shared" si="510"/>
        <v>#ERROR!</v>
      </c>
      <c r="FH64" s="74"/>
      <c r="FI64" s="160"/>
      <c r="FJ64" s="160"/>
      <c r="FK64" s="160"/>
      <c r="FL64" s="160"/>
    </row>
    <row r="65" ht="12.75" customHeight="1">
      <c r="A65" s="16"/>
      <c r="B65" s="16"/>
      <c r="C65" s="16"/>
      <c r="D65" s="16"/>
      <c r="E65" s="16"/>
      <c r="F65" s="16"/>
      <c r="G65" s="16"/>
      <c r="H65" s="31"/>
      <c r="I65" s="32"/>
      <c r="J65" s="32"/>
      <c r="K65" s="32"/>
      <c r="L65" s="32"/>
      <c r="M65" s="31"/>
      <c r="N65" s="32"/>
      <c r="O65" s="32"/>
      <c r="P65" s="32"/>
      <c r="Q65" s="32"/>
      <c r="R65" s="33"/>
      <c r="S65" s="32"/>
      <c r="T65" s="32"/>
      <c r="U65" s="32"/>
      <c r="V65" s="32"/>
      <c r="W65" s="33"/>
      <c r="X65" s="32"/>
      <c r="Y65" s="32"/>
      <c r="Z65" s="32"/>
      <c r="AA65" s="32"/>
      <c r="AB65" s="31"/>
      <c r="AC65" s="32"/>
      <c r="AD65" s="32"/>
      <c r="AE65" s="32"/>
      <c r="AF65" s="32"/>
      <c r="AG65" s="31"/>
      <c r="AH65" s="32"/>
      <c r="AI65" s="32"/>
      <c r="AJ65" s="32"/>
      <c r="AK65" s="32"/>
      <c r="AL65" s="31"/>
      <c r="AM65" s="32"/>
      <c r="AN65" s="32"/>
      <c r="AO65" s="32"/>
      <c r="AP65" s="32"/>
      <c r="AQ65" s="31"/>
      <c r="AR65" s="32"/>
      <c r="AS65" s="32"/>
      <c r="AT65" s="32"/>
      <c r="AU65" s="32"/>
      <c r="AV65" s="31"/>
      <c r="AW65" s="32"/>
      <c r="AX65" s="32"/>
      <c r="AY65" s="32"/>
      <c r="AZ65" s="32"/>
      <c r="BA65" s="33"/>
      <c r="BB65" s="32"/>
      <c r="BC65" s="32"/>
      <c r="BD65" s="32"/>
      <c r="BE65" s="32"/>
      <c r="BF65" s="33"/>
      <c r="BG65" s="32"/>
      <c r="BH65" s="32"/>
      <c r="BI65" s="32"/>
      <c r="BJ65" s="32"/>
      <c r="BK65" s="33"/>
      <c r="BL65" s="32"/>
      <c r="BM65" s="32"/>
      <c r="BN65" s="32"/>
      <c r="BO65" s="32"/>
      <c r="BP65" s="33"/>
      <c r="BQ65" s="16"/>
      <c r="BR65" s="16"/>
      <c r="BS65" s="16"/>
      <c r="BT65" s="16"/>
      <c r="BU65" s="21"/>
      <c r="BV65" s="16"/>
      <c r="BW65" s="16"/>
      <c r="BX65" s="16"/>
      <c r="BY65" s="16"/>
      <c r="BZ65" s="10"/>
      <c r="CA65" s="16"/>
      <c r="CB65" s="16"/>
      <c r="CC65" s="16"/>
      <c r="CD65" s="16"/>
      <c r="CE65" s="10"/>
      <c r="CF65" s="16"/>
      <c r="CG65" s="16"/>
      <c r="CH65" s="16"/>
      <c r="CI65" s="16"/>
      <c r="CJ65" s="10"/>
      <c r="CK65" s="16"/>
      <c r="CL65" s="16"/>
      <c r="CM65" s="16"/>
      <c r="CN65" s="16"/>
      <c r="CO65" s="10"/>
      <c r="CP65" s="16"/>
      <c r="CQ65" s="16"/>
      <c r="CR65" s="16"/>
      <c r="CS65" s="16"/>
      <c r="CT65" s="10"/>
      <c r="CU65" s="16"/>
      <c r="CV65" s="213"/>
      <c r="CW65" s="16"/>
      <c r="CX65" s="16"/>
      <c r="CY65" s="10"/>
      <c r="CZ65" s="16"/>
      <c r="DA65" s="16"/>
      <c r="DB65" s="16"/>
      <c r="DC65" s="16"/>
      <c r="DD65" s="10"/>
      <c r="DE65" s="16"/>
      <c r="DF65" s="16"/>
      <c r="DG65" s="16"/>
      <c r="DH65" s="16"/>
      <c r="DI65" s="10"/>
      <c r="DJ65" s="16"/>
      <c r="DK65" s="16"/>
      <c r="DL65" s="16"/>
      <c r="DM65" s="16"/>
      <c r="DN65" s="10"/>
      <c r="DO65" s="16"/>
      <c r="DP65" s="16"/>
      <c r="DQ65" s="16"/>
      <c r="DR65" s="16"/>
      <c r="DS65" s="10"/>
      <c r="DT65" s="16"/>
      <c r="DU65" s="16"/>
      <c r="DV65" s="16"/>
      <c r="DW65" s="16"/>
      <c r="DX65" s="10"/>
      <c r="DY65" s="16"/>
      <c r="DZ65" s="16"/>
      <c r="EA65" s="16"/>
      <c r="EB65" s="16"/>
      <c r="EC65" s="10"/>
      <c r="ED65" s="16"/>
      <c r="EE65" s="16"/>
      <c r="EF65" s="16"/>
      <c r="EG65" s="16"/>
      <c r="EH65" s="10"/>
      <c r="EI65" s="214"/>
      <c r="EJ65" s="16"/>
      <c r="EK65" s="16"/>
      <c r="EL65" s="16"/>
      <c r="EM65" s="10"/>
      <c r="EN65" s="16"/>
      <c r="EO65" s="16"/>
      <c r="EP65" s="16"/>
      <c r="EQ65" s="16"/>
      <c r="ER65" s="10"/>
      <c r="ES65" s="16"/>
      <c r="ET65" s="16"/>
      <c r="EU65" s="16"/>
      <c r="EV65" s="16"/>
      <c r="EW65" s="10"/>
      <c r="EX65" s="16"/>
      <c r="EY65" s="16"/>
      <c r="EZ65" s="16"/>
      <c r="FA65" s="16"/>
      <c r="FB65" s="10"/>
      <c r="FC65" s="16"/>
      <c r="FD65" s="16"/>
      <c r="FE65" s="16"/>
      <c r="FF65" s="16"/>
      <c r="FG65" s="10"/>
      <c r="FH65" s="21"/>
      <c r="FI65" s="16"/>
      <c r="FJ65" s="16"/>
      <c r="FK65" s="16"/>
      <c r="FL65" s="16"/>
    </row>
    <row r="66" ht="12.75" customHeight="1">
      <c r="A66" s="4"/>
      <c r="B66" s="72"/>
      <c r="C66" s="72"/>
      <c r="D66" s="170"/>
      <c r="E66" s="170"/>
      <c r="F66" s="170"/>
      <c r="G66" s="170"/>
      <c r="H66" s="171"/>
      <c r="I66" s="170"/>
      <c r="J66" s="170"/>
      <c r="K66" s="170"/>
      <c r="L66" s="170"/>
      <c r="M66" s="171"/>
      <c r="N66" s="170"/>
      <c r="O66" s="170"/>
      <c r="P66" s="170"/>
      <c r="Q66" s="170"/>
      <c r="R66" s="171"/>
      <c r="S66" s="170"/>
      <c r="T66" s="170"/>
      <c r="U66" s="170"/>
      <c r="V66" s="170"/>
      <c r="W66" s="171"/>
      <c r="X66" s="170"/>
      <c r="Y66" s="170"/>
      <c r="Z66" s="170"/>
      <c r="AA66" s="170"/>
      <c r="AB66" s="171"/>
      <c r="AC66" s="170"/>
      <c r="AD66" s="170"/>
      <c r="AE66" s="170"/>
      <c r="AF66" s="170"/>
      <c r="AG66" s="171"/>
      <c r="AH66" s="170"/>
      <c r="AI66" s="170"/>
      <c r="AJ66" s="170"/>
      <c r="AK66" s="170"/>
      <c r="AL66" s="171"/>
      <c r="AM66" s="170"/>
      <c r="AN66" s="170"/>
      <c r="AO66" s="170"/>
      <c r="AP66" s="170"/>
      <c r="AQ66" s="171"/>
      <c r="AR66" s="170"/>
      <c r="AS66" s="170"/>
      <c r="AT66" s="170"/>
      <c r="AU66" s="170"/>
      <c r="AV66" s="171"/>
      <c r="AW66" s="170"/>
      <c r="AX66" s="170"/>
      <c r="AY66" s="170"/>
      <c r="AZ66" s="170"/>
      <c r="BA66" s="171"/>
      <c r="BB66" s="170"/>
      <c r="BC66" s="170"/>
      <c r="BD66" s="170"/>
      <c r="BE66" s="170"/>
      <c r="BF66" s="171"/>
      <c r="BG66" s="170"/>
      <c r="BH66" s="170"/>
      <c r="BI66" s="170"/>
      <c r="BJ66" s="170"/>
      <c r="BK66" s="171"/>
      <c r="BL66" s="170"/>
      <c r="BM66" s="170"/>
      <c r="BN66" s="170"/>
      <c r="BO66" s="170"/>
      <c r="BP66" s="171"/>
      <c r="BQ66" s="170"/>
      <c r="BR66" s="170"/>
      <c r="BS66" s="170"/>
      <c r="BT66" s="170"/>
      <c r="BU66" s="171"/>
      <c r="BV66" s="170"/>
      <c r="BW66" s="170"/>
      <c r="BX66" s="170"/>
      <c r="BY66" s="170"/>
      <c r="BZ66" s="173"/>
      <c r="CA66" s="170"/>
      <c r="CB66" s="170"/>
      <c r="CC66" s="170"/>
      <c r="CD66" s="170"/>
      <c r="CE66" s="173"/>
      <c r="CF66" s="170"/>
      <c r="CG66" s="170"/>
      <c r="CH66" s="170"/>
      <c r="CI66" s="170"/>
      <c r="CJ66" s="173"/>
      <c r="CK66" s="170"/>
      <c r="CL66" s="175"/>
      <c r="CM66" s="175"/>
      <c r="CN66" s="176"/>
      <c r="CO66" s="173"/>
      <c r="CP66" s="176"/>
      <c r="CQ66" s="175"/>
      <c r="CR66" s="175"/>
      <c r="CS66" s="175"/>
      <c r="CT66" s="173"/>
      <c r="CU66" s="175"/>
      <c r="CV66" s="175"/>
      <c r="CW66" s="175"/>
      <c r="CX66" s="175"/>
      <c r="CY66" s="173"/>
      <c r="CZ66" s="175"/>
      <c r="DA66" s="175"/>
      <c r="DB66" s="175"/>
      <c r="DC66" s="175"/>
      <c r="DD66" s="173"/>
      <c r="DE66" s="175"/>
      <c r="DF66" s="175"/>
      <c r="DG66" s="176"/>
      <c r="DH66" s="175"/>
      <c r="DI66" s="173"/>
      <c r="DJ66" s="176"/>
      <c r="DK66" s="176"/>
      <c r="DL66" s="176"/>
      <c r="DM66" s="176"/>
      <c r="DN66" s="173"/>
      <c r="DO66" s="176"/>
      <c r="DP66" s="176"/>
      <c r="DQ66" s="176"/>
      <c r="DR66" s="176"/>
      <c r="DS66" s="173"/>
      <c r="DT66" s="176"/>
      <c r="DU66" s="176"/>
      <c r="DV66" s="176"/>
      <c r="DW66" s="176"/>
      <c r="DX66" s="173"/>
      <c r="DY66" s="176"/>
      <c r="DZ66" s="176"/>
      <c r="EA66" s="176"/>
      <c r="EB66" s="176"/>
      <c r="EC66" s="173"/>
      <c r="ED66" s="176"/>
      <c r="EE66" s="176"/>
      <c r="EF66" s="176"/>
      <c r="EG66" s="176"/>
      <c r="EH66" s="173"/>
      <c r="EI66" s="177"/>
      <c r="EJ66" s="175"/>
      <c r="EK66" s="175"/>
      <c r="EL66" s="175"/>
      <c r="EM66" s="173"/>
      <c r="EN66" s="175"/>
      <c r="EO66" s="175"/>
      <c r="EP66" s="175"/>
      <c r="EQ66" s="175"/>
      <c r="ER66" s="173"/>
      <c r="ES66" s="175"/>
      <c r="ET66" s="175"/>
      <c r="EU66" s="175"/>
      <c r="EV66" s="175"/>
      <c r="EW66" s="173"/>
      <c r="EX66" s="175"/>
      <c r="EY66" s="175"/>
      <c r="EZ66" s="175"/>
      <c r="FA66" s="175"/>
      <c r="FB66" s="173"/>
      <c r="FC66" s="175"/>
      <c r="FD66" s="175"/>
      <c r="FE66" s="175"/>
      <c r="FF66" s="175"/>
      <c r="FG66" s="173"/>
      <c r="FH66" s="178"/>
      <c r="FI66" s="4"/>
      <c r="FJ66" s="4"/>
      <c r="FK66" s="4"/>
      <c r="FL66" s="4"/>
    </row>
    <row r="67" ht="12.75" customHeight="1">
      <c r="A67" s="4"/>
      <c r="B67" s="215" t="s">
        <v>94</v>
      </c>
      <c r="C67" s="72"/>
      <c r="D67" s="216"/>
      <c r="E67" s="216"/>
      <c r="F67" s="216"/>
      <c r="G67" s="216"/>
      <c r="H67" s="217"/>
      <c r="I67" s="216"/>
      <c r="J67" s="216"/>
      <c r="K67" s="216"/>
      <c r="L67" s="216"/>
      <c r="M67" s="217"/>
      <c r="N67" s="216">
        <f>proFormaNetInc/shOut</f>
        <v>0.2190737355</v>
      </c>
      <c r="O67" s="216">
        <f>proFormaNetInc/shOut</f>
        <v>0.1732702543</v>
      </c>
      <c r="P67" s="216">
        <f>proFormaNetInc/shOut</f>
        <v>0.2346543504</v>
      </c>
      <c r="Q67" s="216">
        <f>proFormaNetInc/shOut</f>
        <v>0.3162958509</v>
      </c>
      <c r="R67" s="217">
        <f>proFormaNetInc/shOut</f>
        <v>0.9425959233</v>
      </c>
      <c r="S67" s="216">
        <f>proFormaNetInc/shOut</f>
        <v>0.3033995187</v>
      </c>
      <c r="T67" s="216">
        <f>proFormaNetInc/shOut</f>
        <v>0.2688821752</v>
      </c>
      <c r="U67" s="216">
        <f>proFormaNetInc/shOut</f>
        <v>0.2863157895</v>
      </c>
      <c r="V67" s="216">
        <f>proFormaNetInc/shOut</f>
        <v>0.3608571857</v>
      </c>
      <c r="W67" s="217">
        <f>proFormaNetInc/shOut</f>
        <v>1.219765343</v>
      </c>
      <c r="X67" s="216">
        <f>proFormaNetInc/shOut</f>
        <v>0.4545862637</v>
      </c>
      <c r="Y67" s="216">
        <f>proFormaNetInc/shOut</f>
        <v>0.5242921013</v>
      </c>
      <c r="Z67" s="216">
        <f>proFormaNetInc/shOut</f>
        <v>0.4314630153</v>
      </c>
      <c r="AA67" s="216">
        <f>proFormaNetInc/shOut</f>
        <v>0.3971441321</v>
      </c>
      <c r="AB67" s="217">
        <f>proFormaNetInc/shOut</f>
        <v>1.807273811</v>
      </c>
      <c r="AC67" s="216">
        <f>proFormaNetInc/shOut</f>
        <v>0.1635173337</v>
      </c>
      <c r="AD67" s="216">
        <f>proFormaNetInc/shOut</f>
        <v>0.1269888476</v>
      </c>
      <c r="AE67" s="216">
        <f>proFormaNetInc/shOut</f>
        <v>0.09749925573</v>
      </c>
      <c r="AF67" s="216">
        <f>proFormaNetInc/shOut</f>
        <v>0.1489997014</v>
      </c>
      <c r="AG67" s="217">
        <f>proFormaNetInc/shOut</f>
        <v>0.5369267421</v>
      </c>
      <c r="AH67" s="216">
        <f>proFormaNetInc/shOut</f>
        <v>0.1529024536</v>
      </c>
      <c r="AI67" s="216">
        <f>proFormaNetInc/shOut</f>
        <v>0.09285607309</v>
      </c>
      <c r="AJ67" s="216">
        <f>proFormaNetInc/shOut</f>
        <v>0.1155582305</v>
      </c>
      <c r="AK67" s="216">
        <f>proFormaNetInc/shOut</f>
        <v>0.1597453774</v>
      </c>
      <c r="AL67" s="217">
        <f>proFormaNetInc/shOut</f>
        <v>0.5208239363</v>
      </c>
      <c r="AM67" s="216">
        <f>proFormaNetInc/shOut</f>
        <v>0.139566809</v>
      </c>
      <c r="AN67" s="216">
        <f>proFormaNetInc/shOut</f>
        <v>0.1373180077</v>
      </c>
      <c r="AO67" s="216">
        <f>proFormaNetInc/shOut</f>
        <v>0.2542580942</v>
      </c>
      <c r="AP67" s="216">
        <f>proFormaNetInc/shOut</f>
        <v>0.3332309582</v>
      </c>
      <c r="AQ67" s="217">
        <f>proFormaNetInc/shOut</f>
        <v>0.8637965375</v>
      </c>
      <c r="AR67" s="216">
        <f>proFormaNetInc/shOut</f>
        <v>0.2669753086</v>
      </c>
      <c r="AS67" s="216">
        <f>proFormaNetInc/shOut</f>
        <v>0.2724453404</v>
      </c>
      <c r="AT67" s="216">
        <f>proFormaNetInc/shOut</f>
        <v>0.2989803922</v>
      </c>
      <c r="AU67" s="216">
        <f>proFormaNetInc/shOut</f>
        <v>0.3373053702</v>
      </c>
      <c r="AV67" s="217">
        <f>proFormaNetInc/shOut</f>
        <v>1.174375</v>
      </c>
      <c r="AW67" s="216">
        <f>proFormaNetInc/shOut</f>
        <v>0.3506681694</v>
      </c>
      <c r="AX67" s="216">
        <f>proFormaNetInc/shOut</f>
        <v>0.3317057292</v>
      </c>
      <c r="AY67" s="216">
        <f>proFormaNetInc/shOut</f>
        <v>0.3861821181</v>
      </c>
      <c r="AZ67" s="216">
        <f>proFormaNetInc/shOut</f>
        <v>0.4082889481</v>
      </c>
      <c r="BA67" s="217">
        <f>proFormaNetInc/shOut</f>
        <v>1.475603669</v>
      </c>
      <c r="BB67" s="216">
        <f>proFormaNetInc/shOut</f>
        <v>0.2318073112</v>
      </c>
      <c r="BC67" s="216">
        <f>proFormaNetInc/shOut</f>
        <v>0.1525599035</v>
      </c>
      <c r="BD67" s="216">
        <f>proFormaNetInc/shOut</f>
        <v>0.2255156873</v>
      </c>
      <c r="BE67" s="216">
        <f>proFormaNetInc/shOut</f>
        <v>0.2604094379</v>
      </c>
      <c r="BF67" s="217">
        <f>proFormaNetInc/shOut</f>
        <v>0.8701052268</v>
      </c>
      <c r="BG67" s="216">
        <f>proFormaNetInc/shOut</f>
        <v>0.2267612948</v>
      </c>
      <c r="BH67" s="216">
        <f>proFormaNetInc/shOut</f>
        <v>0.1888448959</v>
      </c>
      <c r="BI67" s="216">
        <f>proFormaNetInc/shOut</f>
        <v>0.3208936097</v>
      </c>
      <c r="BJ67" s="216">
        <f>proFormaNetInc/shOut</f>
        <v>0.3888032871</v>
      </c>
      <c r="BK67" s="217">
        <f>proFormaNetInc/shOut</f>
        <v>1.126385144</v>
      </c>
      <c r="BL67" s="216">
        <f>proFormaNetInc/shOut</f>
        <v>0.2493519959</v>
      </c>
      <c r="BM67" s="216">
        <f>proFormaNetInc/shOut</f>
        <v>0.2809264783</v>
      </c>
      <c r="BN67" s="216">
        <f>proFormaNetInc/shOut</f>
        <v>0.3594502945</v>
      </c>
      <c r="BO67" s="216">
        <f>proFormaNetInc/shOut</f>
        <v>0.1670760518</v>
      </c>
      <c r="BP67" s="217">
        <f>proFormaNetInc/shOut</f>
        <v>1.057262405</v>
      </c>
      <c r="BQ67" s="216">
        <f>proFormaNetInc/shOut</f>
        <v>0.112865602</v>
      </c>
      <c r="BR67" s="216">
        <f>proFormaNetInc/shOut</f>
        <v>0.1874888293</v>
      </c>
      <c r="BS67" s="216">
        <f>proFormaNetInc/shOut</f>
        <v>0.3351995666</v>
      </c>
      <c r="BT67" s="216">
        <f>proFormaNetInc/shOut</f>
        <v>0.5603042376</v>
      </c>
      <c r="BU67" s="217">
        <f>proFormaNetInc/shOut</f>
        <v>1.19273061</v>
      </c>
      <c r="BV67" s="216">
        <f>proFormaNetInc/shOut</f>
        <v>0.4416711883</v>
      </c>
      <c r="BW67" s="216">
        <f>proFormaNetInc/shOut</f>
        <v>0.5189645875</v>
      </c>
      <c r="BX67" s="216">
        <f>proFormaNetInc/shOut</f>
        <v>0.530044843</v>
      </c>
      <c r="BY67" s="216">
        <f>proFormaNetInc/shOut</f>
        <v>0.5725603169</v>
      </c>
      <c r="BZ67" s="218">
        <f>proFormaNetInc/shOut</f>
        <v>2.063726373</v>
      </c>
      <c r="CA67" s="216">
        <f>proFormaNetInc/shOut</f>
        <v>0.5796038151</v>
      </c>
      <c r="CB67" s="216">
        <f>proFormaNetInc/shOut</f>
        <v>0.5579901776</v>
      </c>
      <c r="CC67" s="216">
        <f>proFormaNetInc/shOut</f>
        <v>0.6676934925</v>
      </c>
      <c r="CD67" s="216">
        <f>proFormaNetInc/shOut</f>
        <v>0.6628526337</v>
      </c>
      <c r="CE67" s="218">
        <f>proFormaNetInc/shOut</f>
        <v>2.462328767</v>
      </c>
      <c r="CF67" s="216">
        <f>proFormaNetInc/shOut</f>
        <v>0.5477095419</v>
      </c>
      <c r="CG67" s="216">
        <f>proFormaNetInc/shOut</f>
        <v>0.5629231382</v>
      </c>
      <c r="CH67" s="216">
        <f>proFormaNetInc/shOut</f>
        <v>0.5948759007</v>
      </c>
      <c r="CI67" s="216">
        <f>proFormaNetInc/shOut</f>
        <v>0.4967793881</v>
      </c>
      <c r="CJ67" s="218">
        <f>proFormaNetInc/shOut</f>
        <v>2.20276221</v>
      </c>
      <c r="CK67" s="216">
        <f>proFormaNetInc/shOut</f>
        <v>0.4132983023</v>
      </c>
      <c r="CL67" s="219">
        <f>proFormaNetInc/shOut</f>
        <v>0.4017677782</v>
      </c>
      <c r="CM67" s="219">
        <f>proFormaNetInc/shOut</f>
        <v>0.5922505521</v>
      </c>
      <c r="CN67" s="220">
        <f>proFormaNetInc/shOut</f>
        <v>0.528062764</v>
      </c>
      <c r="CO67" s="218">
        <f>proFormaNetInc/shOut</f>
        <v>1.935808431</v>
      </c>
      <c r="CP67" s="220">
        <f>proFormaNetInc/shOut</f>
        <v>0.392641737</v>
      </c>
      <c r="CQ67" s="219">
        <f>proFormaNetInc/shOut</f>
        <v>0.5613330656</v>
      </c>
      <c r="CR67" s="219">
        <f>proFormaNetInc/shOut</f>
        <v>0.6797131148</v>
      </c>
      <c r="CS67" s="219">
        <f>proFormaNetInc/shOut</f>
        <v>0.7676661774</v>
      </c>
      <c r="CT67" s="218">
        <f>proFormaNetInc/shOut</f>
        <v>2.420730463</v>
      </c>
      <c r="CU67" s="219">
        <f>proFormaNetInc/shOut</f>
        <v>0.4201645223</v>
      </c>
      <c r="CV67" s="219">
        <f>proFormaNetInc/shOut</f>
        <v>0.5686068502</v>
      </c>
      <c r="CW67" s="219">
        <f>proFormaNetInc/shOut</f>
        <v>0.6549399621</v>
      </c>
      <c r="CX67" s="219">
        <f>proFormaNetInc/shOut</f>
        <v>0.765141889</v>
      </c>
      <c r="CY67" s="218">
        <f>proFormaNetInc/shOut</f>
        <v>2.430280985</v>
      </c>
      <c r="CZ67" s="219">
        <f>proFormaNetInc/shOut</f>
        <v>0.4332909784</v>
      </c>
      <c r="DA67" s="219">
        <f>proFormaNetInc/shOut</f>
        <v>0.2812433918</v>
      </c>
      <c r="DB67" s="219">
        <f>proFormaNetInc/shOut</f>
        <v>0.7135614702</v>
      </c>
      <c r="DC67" s="219">
        <f>proFormaNetInc/shOut</f>
        <v>0.7522703273</v>
      </c>
      <c r="DD67" s="218">
        <f>proFormaNetInc/shOut</f>
        <v>2.180972516</v>
      </c>
      <c r="DE67" s="219">
        <f>proFormaNetInc/shOut</f>
        <v>0.6275672242</v>
      </c>
      <c r="DF67" s="219">
        <f>proFormaNetInc/shOut</f>
        <v>0.5961783439</v>
      </c>
      <c r="DG67" s="220">
        <f>proFormaNetInc/shOut</f>
        <v>0.9633105802</v>
      </c>
      <c r="DH67" s="219">
        <f>proFormaNetInc/shOut</f>
        <v>-0.1467008328</v>
      </c>
      <c r="DI67" s="218">
        <f>proFormaNetInc/shOut</f>
        <v>2.042331419</v>
      </c>
      <c r="DJ67" s="220">
        <f>proFormaNetInc/shOut</f>
        <v>0.9529311083</v>
      </c>
      <c r="DK67" s="220">
        <f>proFormaNetInc/shOut</f>
        <v>1.076790708</v>
      </c>
      <c r="DL67" s="220">
        <f>proFormaNetInc/shOut</f>
        <v>1.398775689</v>
      </c>
      <c r="DM67" s="220">
        <f>proFormaNetInc/shOut</f>
        <v>1.142009233</v>
      </c>
      <c r="DN67" s="218">
        <f>proFormaNetInc/shOut</f>
        <v>4.565820863</v>
      </c>
      <c r="DO67" s="220">
        <f>proFormaNetInc/shOut</f>
        <v>0.8846838825</v>
      </c>
      <c r="DP67" s="220">
        <f>proFormaNetInc/shOut</f>
        <v>0.9357366771</v>
      </c>
      <c r="DQ67" s="220">
        <f>proFormaNetInc/shOut</f>
        <v>1.364153951</v>
      </c>
      <c r="DR67" s="220">
        <f>proFormaNetInc/shOut</f>
        <v>1.598749711</v>
      </c>
      <c r="DS67" s="218">
        <f>proFormaNetInc/shOut</f>
        <v>4.765225266</v>
      </c>
      <c r="DT67" s="220">
        <f>proFormaNetInc/shOut</f>
        <v>1.327004219</v>
      </c>
      <c r="DU67" s="220">
        <f>proFormaNetInc/shOut</f>
        <v>1.202308055</v>
      </c>
      <c r="DV67" s="220">
        <f>proFormaNetInc/shOut</f>
        <v>1.021012416</v>
      </c>
      <c r="DW67" s="220">
        <f>proFormaNetInc/shOut</f>
        <v>1.430630191</v>
      </c>
      <c r="DX67" s="218">
        <f>proFormaNetInc/shOut</f>
        <v>4.977730142</v>
      </c>
      <c r="DY67" s="220">
        <f>proFormaNetInc/shOut</f>
        <v>0.8286489152</v>
      </c>
      <c r="DZ67" s="220">
        <f>proFormaNetInc/shOut</f>
        <v>1.249938256</v>
      </c>
      <c r="EA67" s="220">
        <f>proFormaNetInc/shOut</f>
        <v>1.680128047</v>
      </c>
      <c r="EB67" s="220">
        <f>proFormaNetInc/shOut</f>
        <v>1.136151389</v>
      </c>
      <c r="EC67" s="218">
        <f>proFormaNetInc/shOut</f>
        <v>4.895103172</v>
      </c>
      <c r="ED67" s="220">
        <f>proFormaNetInc/shOut</f>
        <v>1.988967884</v>
      </c>
      <c r="EE67" s="220">
        <f>proFormaNetInc/shOut</f>
        <v>-0.1107317073</v>
      </c>
      <c r="EF67" s="220">
        <f>proFormaNetInc/shOut</f>
        <v>0.2474502186</v>
      </c>
      <c r="EG67" s="220">
        <f>proFormaNetInc/shOut</f>
        <v>-0.1599322526</v>
      </c>
      <c r="EH67" s="218">
        <f>proFormaNetInc/shOut</f>
        <v>1.951795496</v>
      </c>
      <c r="EI67" s="221" t="str">
        <f>proFormaNetInc/shOut</f>
        <v>#ERROR!</v>
      </c>
      <c r="EJ67" s="219" t="str">
        <f>proFormaNetInc/shOut</f>
        <v>#ERROR!</v>
      </c>
      <c r="EK67" s="219" t="str">
        <f>proFormaNetInc/shOut</f>
        <v>#ERROR!</v>
      </c>
      <c r="EL67" s="219" t="str">
        <f>proFormaNetInc/shOut</f>
        <v>#ERROR!</v>
      </c>
      <c r="EM67" s="218" t="str">
        <f>proFormaNetInc/shOut</f>
        <v>#ERROR!</v>
      </c>
      <c r="EN67" s="219" t="str">
        <f>proFormaNetInc/shOut</f>
        <v>#ERROR!</v>
      </c>
      <c r="EO67" s="219" t="str">
        <f>proFormaNetInc/shOut</f>
        <v>#ERROR!</v>
      </c>
      <c r="EP67" s="219" t="str">
        <f>proFormaNetInc/shOut</f>
        <v>#ERROR!</v>
      </c>
      <c r="EQ67" s="219" t="str">
        <f>proFormaNetInc/shOut</f>
        <v>#ERROR!</v>
      </c>
      <c r="ER67" s="218" t="str">
        <f>proFormaNetInc/shOut</f>
        <v>#ERROR!</v>
      </c>
      <c r="ES67" s="219" t="str">
        <f>proFormaNetInc/shOut</f>
        <v>#ERROR!</v>
      </c>
      <c r="ET67" s="219" t="str">
        <f>proFormaNetInc/shOut</f>
        <v>#ERROR!</v>
      </c>
      <c r="EU67" s="219" t="str">
        <f>proFormaNetInc/shOut</f>
        <v>#ERROR!</v>
      </c>
      <c r="EV67" s="219" t="str">
        <f>proFormaNetInc/shOut</f>
        <v>#ERROR!</v>
      </c>
      <c r="EW67" s="218" t="str">
        <f>proFormaNetInc/shOut</f>
        <v>#ERROR!</v>
      </c>
      <c r="EX67" s="219" t="str">
        <f>proFormaNetInc/shOut</f>
        <v>#ERROR!</v>
      </c>
      <c r="EY67" s="219" t="str">
        <f>proFormaNetInc/shOut</f>
        <v>#ERROR!</v>
      </c>
      <c r="EZ67" s="219" t="str">
        <f>proFormaNetInc/shOut</f>
        <v>#ERROR!</v>
      </c>
      <c r="FA67" s="219" t="str">
        <f>proFormaNetInc/shOut</f>
        <v>#ERROR!</v>
      </c>
      <c r="FB67" s="218" t="str">
        <f>proFormaNetInc/shOut</f>
        <v>#ERROR!</v>
      </c>
      <c r="FC67" s="219" t="str">
        <f>proFormaNetInc/shOut</f>
        <v>#ERROR!</v>
      </c>
      <c r="FD67" s="219" t="str">
        <f>proFormaNetInc/shOut</f>
        <v>#ERROR!</v>
      </c>
      <c r="FE67" s="219" t="str">
        <f>proFormaNetInc/shOut</f>
        <v>#ERROR!</v>
      </c>
      <c r="FF67" s="219" t="str">
        <f>proFormaNetInc/shOut</f>
        <v>#ERROR!</v>
      </c>
      <c r="FG67" s="218" t="str">
        <f>proFormaNetInc/shOut</f>
        <v>#ERROR!</v>
      </c>
      <c r="FH67" s="222"/>
      <c r="FI67" s="4"/>
      <c r="FJ67" s="4"/>
      <c r="FK67" s="4"/>
      <c r="FL67" s="4"/>
    </row>
    <row r="68" ht="12.75" customHeight="1">
      <c r="A68" s="4"/>
      <c r="B68" s="223" t="s">
        <v>95</v>
      </c>
      <c r="C68" s="72"/>
      <c r="D68" s="216"/>
      <c r="E68" s="216"/>
      <c r="F68" s="216"/>
      <c r="G68" s="216"/>
      <c r="H68" s="224"/>
      <c r="I68" s="216"/>
      <c r="J68" s="216"/>
      <c r="K68" s="216"/>
      <c r="L68" s="216"/>
      <c r="M68" s="224"/>
      <c r="N68" s="216">
        <f>GAAPNetInc/shOutDiluted</f>
        <v>0.1793462947</v>
      </c>
      <c r="O68" s="216">
        <f>GAAPNetInc/shOutDiluted</f>
        <v>0.1656771275</v>
      </c>
      <c r="P68" s="216">
        <f>GAAPNetInc/shOutDiluted</f>
        <v>0.2223965763</v>
      </c>
      <c r="Q68" s="216">
        <f>GAAPNetInc/shOutDiluted</f>
        <v>0.2974063401</v>
      </c>
      <c r="R68" s="224">
        <f>GAAPNetInc/shOutDiluted</f>
        <v>0.8626670458</v>
      </c>
      <c r="S68" s="216">
        <f>GAAPNetInc/shOutDiluted</f>
        <v>0.2873778033</v>
      </c>
      <c r="T68" s="216">
        <f>GAAPNetInc/shOutDiluted</f>
        <v>0.2537724898</v>
      </c>
      <c r="U68" s="216">
        <f>GAAPNetInc/shOutDiluted</f>
        <v>0.2099956791</v>
      </c>
      <c r="V68" s="216">
        <f>GAAPNetInc/shOutDiluted</f>
        <v>0.3024824222</v>
      </c>
      <c r="W68" s="224">
        <f>GAAPNetInc/shOutDiluted</f>
        <v>1.05389049</v>
      </c>
      <c r="X68" s="216">
        <f>GAAPNetInc/shOutDiluted</f>
        <v>0.3854181558</v>
      </c>
      <c r="Y68" s="216">
        <f>GAAPNetInc/shOutDiluted</f>
        <v>0.4478229836</v>
      </c>
      <c r="Z68" s="216">
        <f>GAAPNetInc/shOutDiluted</f>
        <v>0.3580705009</v>
      </c>
      <c r="AA68" s="216">
        <f>GAAPNetInc/shOutDiluted</f>
        <v>0.3160853272</v>
      </c>
      <c r="AB68" s="224">
        <f>GAAPNetInc/shOutDiluted</f>
        <v>1.508016032</v>
      </c>
      <c r="AC68" s="216">
        <f>GAAPNetInc/shOutDiluted</f>
        <v>0.07030004348</v>
      </c>
      <c r="AD68" s="216">
        <f>GAAPNetInc/shOutDiluted</f>
        <v>0.02845115401</v>
      </c>
      <c r="AE68" s="216">
        <f>GAAPNetInc/shOutDiluted</f>
        <v>0.0154159395</v>
      </c>
      <c r="AF68" s="216">
        <f>GAAPNetInc/shOutDiluted</f>
        <v>0.07356590279</v>
      </c>
      <c r="AG68" s="224">
        <f>GAAPNetInc/shOutDiluted</f>
        <v>0.1876726268</v>
      </c>
      <c r="AH68" s="216">
        <f>GAAPNetInc/shOutDiluted</f>
        <v>0.1364232619</v>
      </c>
      <c r="AI68" s="216">
        <f>GAAPNetInc/shOutDiluted</f>
        <v>0.06555931207</v>
      </c>
      <c r="AJ68" s="216">
        <f>GAAPNetInc/shOutDiluted</f>
        <v>0.102205006</v>
      </c>
      <c r="AK68" s="216">
        <f>GAAPNetInc/shOutDiluted</f>
        <v>0.1575075075</v>
      </c>
      <c r="AL68" s="224">
        <f>GAAPNetInc/shOutDiluted</f>
        <v>0.4611628939</v>
      </c>
      <c r="AM68" s="216">
        <f>GAAPNetInc/shOutDiluted</f>
        <v>0.1384266263</v>
      </c>
      <c r="AN68" s="216">
        <f>GAAPNetInc/shOutDiluted</f>
        <v>0.1361702128</v>
      </c>
      <c r="AO68" s="216">
        <f>GAAPNetInc/shOutDiluted</f>
        <v>0.2501132075</v>
      </c>
      <c r="AP68" s="216">
        <f>GAAPNetInc/shOutDiluted</f>
        <v>0.3257382701</v>
      </c>
      <c r="AQ68" s="224">
        <f>GAAPNetInc/shOutDiluted</f>
        <v>0.8519861048</v>
      </c>
      <c r="AR68" s="216">
        <f>GAAPNetInc/shOutDiluted</f>
        <v>0.2611714976</v>
      </c>
      <c r="AS68" s="216">
        <f>GAAPNetInc/shOutDiluted</f>
        <v>0.2679170479</v>
      </c>
      <c r="AT68" s="216">
        <f>GAAPNetInc/shOutDiluted</f>
        <v>0.2958708476</v>
      </c>
      <c r="AU68" s="216">
        <f>GAAPNetInc/shOutDiluted</f>
        <v>0.3342254408</v>
      </c>
      <c r="AV68" s="224">
        <f>GAAPNetInc/shOutDiluted</f>
        <v>1.157376039</v>
      </c>
      <c r="AW68" s="216">
        <f>GAAPNetInc/shOutDiluted</f>
        <v>0.3472022956</v>
      </c>
      <c r="AX68" s="216">
        <f>GAAPNetInc/shOutDiluted</f>
        <v>0.3279163315</v>
      </c>
      <c r="AY68" s="216">
        <f>GAAPNetInc/shOutDiluted</f>
        <v>0.3247070313</v>
      </c>
      <c r="AZ68" s="216">
        <f>GAAPNetInc/shOutDiluted</f>
        <v>0.4033876007</v>
      </c>
      <c r="BA68" s="224">
        <f>GAAPNetInc/shOutDiluted</f>
        <v>1.402395597</v>
      </c>
      <c r="BB68" s="216">
        <f>(GAAPNetInc+BB$69)/shOutDiluted</f>
        <v>0.2279140074</v>
      </c>
      <c r="BC68" s="216">
        <f>(GAAPNetInc+BC$69)/shOutDiluted</f>
        <v>0.1508179959</v>
      </c>
      <c r="BD68" s="216">
        <f>(GAAPNetInc+BD$69)/shOutDiluted</f>
        <v>0.223079561</v>
      </c>
      <c r="BE68" s="216">
        <f>(GAAPNetInc+BE$69)/shOutDiluted</f>
        <v>0.2558377365</v>
      </c>
      <c r="BF68" s="224">
        <f>(GAAPNetInc+BF$69)/shOutDiluted</f>
        <v>0.8578231293</v>
      </c>
      <c r="BG68" s="216">
        <f>(GAAPNetInc+BG$69)/shOutDiluted</f>
        <v>0.278515492</v>
      </c>
      <c r="BH68" s="216">
        <f>(GAAPNetInc+BH$69)/shOutDiluted</f>
        <v>0.2159878317</v>
      </c>
      <c r="BI68" s="216">
        <f>(GAAPNetInc+BI$69)/shOutDiluted</f>
        <v>0.3001508296</v>
      </c>
      <c r="BJ68" s="216">
        <f>(GAAPNetInc+BJ$69)/shOutDiluted</f>
        <v>0.379258517</v>
      </c>
      <c r="BK68" s="224">
        <f>(GAAPNetInc+BK$69)/shOutDiluted</f>
        <v>1.175202156</v>
      </c>
      <c r="BL68" s="216">
        <f>(GAAPNetInc+BL$69)/shOutDiluted</f>
        <v>0.2454499064</v>
      </c>
      <c r="BM68" s="216">
        <f>(GAAPNetInc+BM$69)/shOutDiluted</f>
        <v>0.2760344828</v>
      </c>
      <c r="BN68" s="216">
        <f>(GAAPNetInc+BN$69)/shOutDiluted</f>
        <v>0.3538299368</v>
      </c>
      <c r="BO68" s="216">
        <f>(GAAPNetInc+BO$69)/shOutDiluted</f>
        <v>0.04161479637</v>
      </c>
      <c r="BP68" s="224">
        <f>(GAAPNetInc+BP$69)/shOutDiluted</f>
        <v>0.9206680585</v>
      </c>
      <c r="BQ68" s="216">
        <f>(GAAPNetInc+BQ$69)/shOutDiluted</f>
        <v>0.1116435925</v>
      </c>
      <c r="BR68" s="216">
        <f>(GAAPNetInc+BR$69)/shOutDiluted</f>
        <v>-0.07009510391</v>
      </c>
      <c r="BS68" s="216">
        <f>(GAAPNetInc+BS$69)/shOutDiluted</f>
        <v>0.3304843305</v>
      </c>
      <c r="BT68" s="216">
        <f>(GAAPNetInc+BT$69)/shOutDiluted</f>
        <v>0.4038938053</v>
      </c>
      <c r="BU68" s="224">
        <f>(GAAPNetInc+BU$69)/shOutDiluted</f>
        <v>0.773959256</v>
      </c>
      <c r="BV68" s="216">
        <f>(GAAPNetInc+BV$69)/shOutDiluted</f>
        <v>0.429853899</v>
      </c>
      <c r="BW68" s="216">
        <f>(GAAPNetInc+BW$69)/shOutDiluted</f>
        <v>0.5055156715</v>
      </c>
      <c r="BX68" s="216">
        <f>(GAAPNetInc+BX$69)/shOutDiluted</f>
        <v>0.518967334</v>
      </c>
      <c r="BY68" s="216">
        <f>(GAAPNetInc+BY$69)/shOutDiluted</f>
        <v>0.5580905581</v>
      </c>
      <c r="BZ68" s="225">
        <f>(GAAPNetInc+BZ$69)/shOutDiluted</f>
        <v>2.012640449</v>
      </c>
      <c r="CA68" s="216">
        <f>(GAAPNetInc+CA$69)/shOutDiluted</f>
        <v>0.5636817695</v>
      </c>
      <c r="CB68" s="226">
        <f>(GAAPNetInc+CB$69)/shOutDiluted</f>
        <v>0.5429149053</v>
      </c>
      <c r="CC68" s="216">
        <f>(GAAPNetInc+CC$69)/shOutDiluted</f>
        <v>0.6494382022</v>
      </c>
      <c r="CD68" s="216">
        <f>(GAAPNetInc+CD$69)/shOutDiluted</f>
        <v>0.6409767264</v>
      </c>
      <c r="CE68" s="225">
        <f>(GAAPNetInc+CE$69)/shOutDiluted</f>
        <v>2.391794493</v>
      </c>
      <c r="CF68" s="216">
        <f>(GAAPNetInc+CF$69)/shOutDiluted</f>
        <v>0.5273497689</v>
      </c>
      <c r="CG68" s="216">
        <f>(GAAPNetInc+CG$69)/shOutDiluted</f>
        <v>0.5437584151</v>
      </c>
      <c r="CH68" s="216">
        <f>(GAAPNetInc+CH$69)/shOutDiluted</f>
        <v>0.5767514069</v>
      </c>
      <c r="CI68" s="216">
        <f>(GAAPNetInc+CI$69)/shOutDiluted</f>
        <v>0.4843964671</v>
      </c>
      <c r="CJ68" s="225">
        <f>(GAAPNetInc+CJ$69)/shOutDiluted</f>
        <v>2.132751938</v>
      </c>
      <c r="CK68" s="216">
        <f>(GAAPNetInc+CK$69)/shOutDiluted</f>
        <v>0.4025590551</v>
      </c>
      <c r="CL68" s="219">
        <f>(GAAPNetInc+CL$69)/shOutDiluted</f>
        <v>0.3916960439</v>
      </c>
      <c r="CM68" s="219">
        <f>(GAAPNetInc+CM$69)/shOutDiluted</f>
        <v>0.5784313725</v>
      </c>
      <c r="CN68" s="220">
        <f>(GAAPNetInc+CN$69)/shOutDiluted</f>
        <v>0.5144032922</v>
      </c>
      <c r="CO68" s="218">
        <f>(GAAPNetInc+CO$69)/shOutDiluted</f>
        <v>1.887292167</v>
      </c>
      <c r="CP68" s="220">
        <f>(GAAPNetInc+CP$69)/shOutDiluted</f>
        <v>0.3816689466</v>
      </c>
      <c r="CQ68" s="219">
        <f>(GAAPNetInc+CQ$69)/shOutDiluted</f>
        <v>0.5457739606</v>
      </c>
      <c r="CR68" s="219">
        <f>(GAAPNetInc+CR$69)/shOutDiluted</f>
        <v>0.6574826561</v>
      </c>
      <c r="CS68" s="219">
        <f>(GAAPNetInc+CS$69)/shOutDiluted</f>
        <v>0.7410931174</v>
      </c>
      <c r="CT68" s="218">
        <f>(GAAPNetInc+CT$69)/shOutDiluted</f>
        <v>2.319422468</v>
      </c>
      <c r="CU68" s="219">
        <f>(GAAPNetInc+CU$69)/shOutDiluted</f>
        <v>0.4053724054</v>
      </c>
      <c r="CV68" s="219">
        <f>(GAAPNetInc+CV$69)/shOutDiluted</f>
        <v>0.5512324302</v>
      </c>
      <c r="CW68" s="219">
        <f>(GAAPNetInc+CW$69)/shOutDiluted</f>
        <v>0.6376127974</v>
      </c>
      <c r="CX68" s="219">
        <f>(GAAPNetInc+CX$69)/shOutDiluted</f>
        <v>0.74097621</v>
      </c>
      <c r="CY68" s="218">
        <f>(GAAPNetInc+CY$69)/shOutDiluted</f>
        <v>2.333588761</v>
      </c>
      <c r="CZ68" s="219">
        <f>(GAAPNetInc+CZ$69)/shOutDiluted</f>
        <v>0.4196923077</v>
      </c>
      <c r="DA68" s="219">
        <f>(GAAPNetInc+DA$69)/shOutDiluted</f>
        <v>0.273325113</v>
      </c>
      <c r="DB68" s="219">
        <f>(GAAPNetInc+DB$69)/shOutDiluted</f>
        <v>0.6926389174</v>
      </c>
      <c r="DC68" s="219">
        <f>(GAAPNetInc+DC$69)/shOutDiluted</f>
        <v>0.7297684901</v>
      </c>
      <c r="DD68" s="218">
        <f>(GAAPNetInc+DD$69)/shOutDiluted</f>
        <v>2.116211088</v>
      </c>
      <c r="DE68" s="219">
        <f>(GAAPNetInc+DE$69)/shOutDiluted</f>
        <v>0.6072526122</v>
      </c>
      <c r="DF68" s="219">
        <f>(GAAPNetInc+DF$69)/shOutDiluted</f>
        <v>0.5795665635</v>
      </c>
      <c r="DG68" s="220">
        <f>(GAAPNetInc+DG$69)/shOutDiluted</f>
        <v>0.9367351172</v>
      </c>
      <c r="DH68" s="219">
        <f>(GAAPNetInc+DH$69)/shOutDiluted</f>
        <v>-0.1434237996</v>
      </c>
      <c r="DI68" s="218">
        <f>(GAAPNetInc+DI$69)/shOutDiluted</f>
        <v>1.986037131</v>
      </c>
      <c r="DJ68" s="220">
        <f>(GAAPNetInc+DJ$69)/shOutDiluted</f>
        <v>0.9298538622</v>
      </c>
      <c r="DK68" s="220">
        <f>(GAAPNetInc+DK$69)/shOutDiluted</f>
        <v>1.054560775</v>
      </c>
      <c r="DL68" s="220">
        <f>(GAAPNetInc+DL$69)/shOutDiluted</f>
        <v>1.376506024</v>
      </c>
      <c r="DM68" s="220">
        <f>(GAAPNetInc+DM$69)/shOutDiluted</f>
        <v>1.124702317</v>
      </c>
      <c r="DN68" s="218">
        <f>(GAAPNetInc+DN$69)/shOutDiluted</f>
        <v>4.478408849</v>
      </c>
      <c r="DO68" s="220">
        <f>(GAAPNetInc+DO$69)/shOutDiluted</f>
        <v>0.8707274321</v>
      </c>
      <c r="DP68" s="220">
        <f>(GAAPNetInc+DP$69)/shOutDiluted</f>
        <v>0.9239442848</v>
      </c>
      <c r="DQ68" s="220">
        <f>(GAAPNetInc+DQ$69)/shOutDiluted</f>
        <v>1.351229416</v>
      </c>
      <c r="DR68" s="220">
        <f>(GAAPNetInc+DR$69)/shOutDiluted</f>
        <v>1.579007546</v>
      </c>
      <c r="DS68" s="218">
        <f>(GAAPNetInc+DS$69)/shOutDiluted</f>
        <v>4.70530375</v>
      </c>
      <c r="DT68" s="220">
        <f>(GAAPNetInc+DT$69)/shOutDiluted</f>
        <v>1.312847866</v>
      </c>
      <c r="DU68" s="220">
        <f>(GAAPNetInc+DU$69)/shOutDiluted</f>
        <v>1.191643324</v>
      </c>
      <c r="DV68" s="220">
        <f>(GAAPNetInc+DV$69)/shOutDiluted</f>
        <v>1.015435763</v>
      </c>
      <c r="DW68" s="220">
        <f>(GAAPNetInc+DW$69)/shOutDiluted</f>
        <v>1.421947075</v>
      </c>
      <c r="DX68" s="218">
        <f>(GAAPNetInc+DX$69)/shOutDiluted</f>
        <v>4.938910552</v>
      </c>
      <c r="DY68" s="220">
        <f>(GAAPNetInc+DY$69)/shOutDiluted</f>
        <v>0.8205566406</v>
      </c>
      <c r="DZ68" s="220">
        <f>(GAAPNetInc+DZ$69)/shOutDiluted</f>
        <v>1.239226249</v>
      </c>
      <c r="EA68" s="220">
        <f>(GAAPNetInc+EA$69)/shOutDiluted</f>
        <v>1.669848262</v>
      </c>
      <c r="EB68" s="220">
        <f>(GAAPNetInc+EB$69)/shOutDiluted</f>
        <v>1.128937729</v>
      </c>
      <c r="EC68" s="218">
        <f>(GAAPNetInc+EC$69)/shOutDiluted</f>
        <v>4.857404804</v>
      </c>
      <c r="ED68" s="220">
        <f>(GAAPNetInc+ED$69)/shOutDiluted</f>
        <v>1.97540784</v>
      </c>
      <c r="EE68" s="220">
        <f>(GAAPNetInc+EE$69)/shOutDiluted</f>
        <v>-0.1107317073</v>
      </c>
      <c r="EF68" s="220">
        <f>(GAAPNetInc+EF$69)/shOutDiluted</f>
        <v>0.247030303</v>
      </c>
      <c r="EG68" s="220">
        <f>(GAAPNetInc+EG$69)/shOutDiluted</f>
        <v>-0.1599322526</v>
      </c>
      <c r="EH68" s="218">
        <f>(GAAPNetInc+EH$69)/shOutDiluted</f>
        <v>1.947646523</v>
      </c>
      <c r="EI68" s="221" t="str">
        <f>(GAAPNetInc+EI$69)/shOutDiluted</f>
        <v>#ERROR!</v>
      </c>
      <c r="EJ68" s="219" t="str">
        <f>(GAAPNetInc+EJ$69)/shOutDiluted</f>
        <v>#ERROR!</v>
      </c>
      <c r="EK68" s="219" t="str">
        <f>(GAAPNetInc+EK$69)/shOutDiluted</f>
        <v>#ERROR!</v>
      </c>
      <c r="EL68" s="219" t="str">
        <f>(GAAPNetInc+EL$69)/shOutDiluted</f>
        <v>#ERROR!</v>
      </c>
      <c r="EM68" s="218" t="str">
        <f>(GAAPNetInc+EM$69)/shOutDiluted</f>
        <v>#ERROR!</v>
      </c>
      <c r="EN68" s="219" t="str">
        <f>(GAAPNetInc+EN$69)/shOutDiluted</f>
        <v>#ERROR!</v>
      </c>
      <c r="EO68" s="219" t="str">
        <f>(GAAPNetInc+EO$69)/shOutDiluted</f>
        <v>#ERROR!</v>
      </c>
      <c r="EP68" s="219" t="str">
        <f>(GAAPNetInc+EP$69)/shOutDiluted</f>
        <v>#ERROR!</v>
      </c>
      <c r="EQ68" s="219" t="str">
        <f>(GAAPNetInc+EQ$69)/shOutDiluted</f>
        <v>#ERROR!</v>
      </c>
      <c r="ER68" s="218" t="str">
        <f>(GAAPNetInc+ER$69)/shOutDiluted</f>
        <v>#ERROR!</v>
      </c>
      <c r="ES68" s="219" t="str">
        <f>(GAAPNetInc+ES$69)/shOutDiluted</f>
        <v>#ERROR!</v>
      </c>
      <c r="ET68" s="219" t="str">
        <f>(GAAPNetInc+ET$69)/shOutDiluted</f>
        <v>#ERROR!</v>
      </c>
      <c r="EU68" s="219" t="str">
        <f>(GAAPNetInc+EU$69)/shOutDiluted</f>
        <v>#ERROR!</v>
      </c>
      <c r="EV68" s="219" t="str">
        <f>(GAAPNetInc+EV$69)/shOutDiluted</f>
        <v>#ERROR!</v>
      </c>
      <c r="EW68" s="218" t="str">
        <f>(GAAPNetInc+EW$69)/shOutDiluted</f>
        <v>#ERROR!</v>
      </c>
      <c r="EX68" s="219" t="str">
        <f>(GAAPNetInc+EX$69)/shOutDiluted</f>
        <v>#ERROR!</v>
      </c>
      <c r="EY68" s="219" t="str">
        <f>(GAAPNetInc+EY$69)/shOutDiluted</f>
        <v>#ERROR!</v>
      </c>
      <c r="EZ68" s="219" t="str">
        <f>(GAAPNetInc+EZ$69)/shOutDiluted</f>
        <v>#ERROR!</v>
      </c>
      <c r="FA68" s="219" t="str">
        <f>(GAAPNetInc+FA$69)/shOutDiluted</f>
        <v>#ERROR!</v>
      </c>
      <c r="FB68" s="218" t="str">
        <f>(GAAPNetInc+FB$69)/shOutDiluted</f>
        <v>#ERROR!</v>
      </c>
      <c r="FC68" s="219" t="str">
        <f>(GAAPNetInc+FC$69)/shOutDiluted</f>
        <v>#ERROR!</v>
      </c>
      <c r="FD68" s="219" t="str">
        <f>(GAAPNetInc+FD$69)/shOutDiluted</f>
        <v>#ERROR!</v>
      </c>
      <c r="FE68" s="219" t="str">
        <f>(GAAPNetInc+FE$69)/shOutDiluted</f>
        <v>#ERROR!</v>
      </c>
      <c r="FF68" s="219" t="str">
        <f>(GAAPNetInc+FF$69)/shOutDiluted</f>
        <v>#ERROR!</v>
      </c>
      <c r="FG68" s="218" t="str">
        <f>(GAAPNetInc+FG$69)/shOutDiluted</f>
        <v>#ERROR!</v>
      </c>
      <c r="FH68" s="222"/>
      <c r="FI68" s="4"/>
      <c r="FJ68" s="4"/>
      <c r="FK68" s="4"/>
      <c r="FL68" s="4"/>
    </row>
    <row r="69" ht="12.75" hidden="1" customHeight="1" outlineLevel="1">
      <c r="A69" s="227"/>
      <c r="B69" s="227" t="s">
        <v>96</v>
      </c>
      <c r="C69" s="228"/>
      <c r="D69" s="229"/>
      <c r="E69" s="229"/>
      <c r="F69" s="229"/>
      <c r="G69" s="229"/>
      <c r="H69" s="230"/>
      <c r="I69" s="229"/>
      <c r="J69" s="229"/>
      <c r="K69" s="229"/>
      <c r="L69" s="229"/>
      <c r="M69" s="230"/>
      <c r="N69" s="229"/>
      <c r="O69" s="229"/>
      <c r="P69" s="229"/>
      <c r="Q69" s="229"/>
      <c r="R69" s="230"/>
      <c r="S69" s="229"/>
      <c r="T69" s="229"/>
      <c r="U69" s="229"/>
      <c r="V69" s="229"/>
      <c r="W69" s="230"/>
      <c r="X69" s="229">
        <v>7.079</v>
      </c>
      <c r="Y69" s="229">
        <v>6.207</v>
      </c>
      <c r="Z69" s="229">
        <v>6.41</v>
      </c>
      <c r="AA69" s="229">
        <f>AB69-SUM(X69:Z69)</f>
        <v>7.811</v>
      </c>
      <c r="AB69" s="230">
        <v>27.507</v>
      </c>
      <c r="AC69" s="229"/>
      <c r="AD69" s="229"/>
      <c r="AE69" s="229"/>
      <c r="AF69" s="229"/>
      <c r="AG69" s="230"/>
      <c r="AH69" s="229"/>
      <c r="AI69" s="229"/>
      <c r="AJ69" s="229"/>
      <c r="AK69" s="229"/>
      <c r="AL69" s="230"/>
      <c r="AM69" s="229"/>
      <c r="AN69" s="229"/>
      <c r="AO69" s="229"/>
      <c r="AP69" s="229"/>
      <c r="AQ69" s="230"/>
      <c r="AR69" s="229"/>
      <c r="AS69" s="229"/>
      <c r="AT69" s="229"/>
      <c r="AU69" s="229"/>
      <c r="AV69" s="230"/>
      <c r="AW69" s="229"/>
      <c r="AX69" s="229"/>
      <c r="AY69" s="229"/>
      <c r="AZ69" s="229"/>
      <c r="BA69" s="230"/>
      <c r="BB69" s="229"/>
      <c r="BC69" s="229"/>
      <c r="BD69" s="229"/>
      <c r="BE69" s="229"/>
      <c r="BF69" s="230"/>
      <c r="BG69" s="229"/>
      <c r="BH69" s="229"/>
      <c r="BI69" s="229"/>
      <c r="BJ69" s="229"/>
      <c r="BK69" s="230"/>
      <c r="BL69" s="229"/>
      <c r="BM69" s="229"/>
      <c r="BN69" s="229"/>
      <c r="BO69" s="229"/>
      <c r="BP69" s="230"/>
      <c r="BQ69" s="229"/>
      <c r="BR69" s="229"/>
      <c r="BS69" s="229"/>
      <c r="BT69" s="229"/>
      <c r="BU69" s="230"/>
      <c r="BV69" s="229"/>
      <c r="BW69" s="229"/>
      <c r="BX69" s="229"/>
      <c r="BY69" s="229"/>
      <c r="BZ69" s="231"/>
      <c r="CA69" s="229"/>
      <c r="CB69" s="229"/>
      <c r="CC69" s="229"/>
      <c r="CD69" s="229"/>
      <c r="CE69" s="231"/>
      <c r="CF69" s="229"/>
      <c r="CG69" s="229"/>
      <c r="CH69" s="229"/>
      <c r="CI69" s="229"/>
      <c r="CJ69" s="231"/>
      <c r="CK69" s="229"/>
      <c r="CL69" s="232"/>
      <c r="CM69" s="232"/>
      <c r="CN69" s="233"/>
      <c r="CO69" s="234"/>
      <c r="CP69" s="233"/>
      <c r="CQ69" s="232"/>
      <c r="CR69" s="232"/>
      <c r="CS69" s="232"/>
      <c r="CT69" s="234"/>
      <c r="CU69" s="232"/>
      <c r="CV69" s="232"/>
      <c r="CW69" s="232"/>
      <c r="CX69" s="232"/>
      <c r="CY69" s="234"/>
      <c r="CZ69" s="232"/>
      <c r="DA69" s="232"/>
      <c r="DB69" s="232"/>
      <c r="DC69" s="232"/>
      <c r="DD69" s="234"/>
      <c r="DE69" s="232"/>
      <c r="DF69" s="232"/>
      <c r="DG69" s="233"/>
      <c r="DH69" s="232"/>
      <c r="DI69" s="234"/>
      <c r="DJ69" s="233"/>
      <c r="DK69" s="233"/>
      <c r="DL69" s="233"/>
      <c r="DM69" s="233"/>
      <c r="DN69" s="234"/>
      <c r="DO69" s="233"/>
      <c r="DP69" s="233"/>
      <c r="DQ69" s="233"/>
      <c r="DR69" s="233"/>
      <c r="DS69" s="234"/>
      <c r="DT69" s="233"/>
      <c r="DU69" s="233"/>
      <c r="DV69" s="233"/>
      <c r="DW69" s="233"/>
      <c r="DX69" s="234"/>
      <c r="DY69" s="233"/>
      <c r="DZ69" s="233"/>
      <c r="EA69" s="233"/>
      <c r="EB69" s="233"/>
      <c r="EC69" s="234"/>
      <c r="ED69" s="233"/>
      <c r="EE69" s="233"/>
      <c r="EF69" s="233"/>
      <c r="EG69" s="233"/>
      <c r="EH69" s="234"/>
      <c r="EI69" s="235"/>
      <c r="EJ69" s="232"/>
      <c r="EK69" s="232"/>
      <c r="EL69" s="232"/>
      <c r="EM69" s="234"/>
      <c r="EN69" s="232"/>
      <c r="EO69" s="232"/>
      <c r="EP69" s="232"/>
      <c r="EQ69" s="232"/>
      <c r="ER69" s="234"/>
      <c r="ES69" s="232"/>
      <c r="ET69" s="232"/>
      <c r="EU69" s="232"/>
      <c r="EV69" s="232"/>
      <c r="EW69" s="234"/>
      <c r="EX69" s="232"/>
      <c r="EY69" s="232"/>
      <c r="EZ69" s="232"/>
      <c r="FA69" s="232"/>
      <c r="FB69" s="234"/>
      <c r="FC69" s="232"/>
      <c r="FD69" s="232"/>
      <c r="FE69" s="232"/>
      <c r="FF69" s="232"/>
      <c r="FG69" s="234"/>
      <c r="FH69" s="236"/>
      <c r="FI69" s="227"/>
      <c r="FJ69" s="227"/>
      <c r="FK69" s="227"/>
      <c r="FL69" s="227"/>
    </row>
    <row r="70" ht="12.75" hidden="1" customHeight="1" outlineLevel="1">
      <c r="A70" s="227"/>
      <c r="B70" s="227" t="s">
        <v>97</v>
      </c>
      <c r="C70" s="228"/>
      <c r="D70" s="229"/>
      <c r="E70" s="229"/>
      <c r="F70" s="229"/>
      <c r="G70" s="229"/>
      <c r="H70" s="230"/>
      <c r="I70" s="229"/>
      <c r="J70" s="229"/>
      <c r="K70" s="229"/>
      <c r="L70" s="229"/>
      <c r="M70" s="230"/>
      <c r="N70" s="229"/>
      <c r="O70" s="229"/>
      <c r="P70" s="229"/>
      <c r="Q70" s="229"/>
      <c r="R70" s="230"/>
      <c r="S70" s="229"/>
      <c r="T70" s="229"/>
      <c r="U70" s="229"/>
      <c r="V70" s="229"/>
      <c r="W70" s="230"/>
      <c r="X70" s="229"/>
      <c r="Y70" s="229"/>
      <c r="Z70" s="229"/>
      <c r="AA70" s="229"/>
      <c r="AB70" s="230"/>
      <c r="AC70" s="229"/>
      <c r="AD70" s="229"/>
      <c r="AE70" s="229"/>
      <c r="AF70" s="229"/>
      <c r="AG70" s="230"/>
      <c r="AH70" s="229"/>
      <c r="AI70" s="229"/>
      <c r="AJ70" s="229"/>
      <c r="AK70" s="229"/>
      <c r="AL70" s="230"/>
      <c r="AM70" s="229"/>
      <c r="AN70" s="229"/>
      <c r="AO70" s="229"/>
      <c r="AP70" s="229"/>
      <c r="AQ70" s="230"/>
      <c r="AR70" s="229"/>
      <c r="AS70" s="229"/>
      <c r="AT70" s="229"/>
      <c r="AU70" s="229"/>
      <c r="AV70" s="230"/>
      <c r="AW70" s="229"/>
      <c r="AX70" s="229"/>
      <c r="AY70" s="229"/>
      <c r="AZ70" s="229"/>
      <c r="BA70" s="230"/>
      <c r="BB70" s="229"/>
      <c r="BC70" s="229"/>
      <c r="BD70" s="229"/>
      <c r="BE70" s="229"/>
      <c r="BF70" s="230"/>
      <c r="BG70" s="229"/>
      <c r="BH70" s="229"/>
      <c r="BI70" s="229"/>
      <c r="BJ70" s="229"/>
      <c r="BK70" s="230"/>
      <c r="BL70" s="229"/>
      <c r="BM70" s="229"/>
      <c r="BN70" s="229"/>
      <c r="BO70" s="229"/>
      <c r="BP70" s="230"/>
      <c r="BQ70" s="229"/>
      <c r="BR70" s="229"/>
      <c r="BS70" s="229"/>
      <c r="BT70" s="229"/>
      <c r="BU70" s="230"/>
      <c r="BV70" s="229"/>
      <c r="BW70" s="229"/>
      <c r="BX70" s="229"/>
      <c r="BY70" s="229"/>
      <c r="BZ70" s="231"/>
      <c r="CA70" s="229"/>
      <c r="CB70" s="229"/>
      <c r="CC70" s="229"/>
      <c r="CD70" s="229"/>
      <c r="CE70" s="231"/>
      <c r="CF70" s="229"/>
      <c r="CG70" s="229"/>
      <c r="CH70" s="229"/>
      <c r="CI70" s="229"/>
      <c r="CJ70" s="231"/>
      <c r="CK70" s="229"/>
      <c r="CL70" s="232"/>
      <c r="CM70" s="232"/>
      <c r="CN70" s="233"/>
      <c r="CO70" s="234"/>
      <c r="CP70" s="233"/>
      <c r="CQ70" s="232"/>
      <c r="CR70" s="232"/>
      <c r="CS70" s="232"/>
      <c r="CT70" s="234"/>
      <c r="CU70" s="232"/>
      <c r="CV70" s="232"/>
      <c r="CW70" s="232"/>
      <c r="CX70" s="232"/>
      <c r="CY70" s="234"/>
      <c r="CZ70" s="194">
        <f>64+226+235+100-132</f>
        <v>493</v>
      </c>
      <c r="DA70" s="237">
        <v>29.0</v>
      </c>
      <c r="DB70" s="194">
        <v>62.0</v>
      </c>
      <c r="DC70" s="195">
        <f>232-70</f>
        <v>162</v>
      </c>
      <c r="DD70" s="196">
        <f>SUM(CZ70:DC70)</f>
        <v>746</v>
      </c>
      <c r="DE70" s="194">
        <f>209-73</f>
        <v>136</v>
      </c>
      <c r="DF70" s="194">
        <f>198-387+745</f>
        <v>556</v>
      </c>
      <c r="DG70" s="195"/>
      <c r="DH70" s="195"/>
      <c r="DI70" s="196">
        <f>SUM(DE70:DH70)</f>
        <v>692</v>
      </c>
      <c r="DJ70" s="195"/>
      <c r="DK70" s="195"/>
      <c r="DL70" s="195"/>
      <c r="DM70" s="195"/>
      <c r="DN70" s="196">
        <f>SUM(DJ70:DM70)</f>
        <v>0</v>
      </c>
      <c r="DO70" s="195"/>
      <c r="DP70" s="195"/>
      <c r="DQ70" s="195"/>
      <c r="DR70" s="195"/>
      <c r="DS70" s="196">
        <f>SUM(DO70:DR70)</f>
        <v>0</v>
      </c>
      <c r="DT70" s="195"/>
      <c r="DU70" s="195"/>
      <c r="DV70" s="195"/>
      <c r="DW70" s="195"/>
      <c r="DX70" s="196">
        <f>SUM(DT70:DW70)</f>
        <v>0</v>
      </c>
      <c r="DY70" s="195"/>
      <c r="DZ70" s="195"/>
      <c r="EA70" s="195"/>
      <c r="EB70" s="195"/>
      <c r="EC70" s="196">
        <f>SUM(DY70:EB70)</f>
        <v>0</v>
      </c>
      <c r="ED70" s="195"/>
      <c r="EE70" s="195"/>
      <c r="EF70" s="195"/>
      <c r="EG70" s="195"/>
      <c r="EH70" s="196">
        <f>SUM(ED70:EG70)</f>
        <v>0</v>
      </c>
      <c r="EI70" s="201"/>
      <c r="EJ70" s="194"/>
      <c r="EK70" s="194"/>
      <c r="EL70" s="194"/>
      <c r="EM70" s="196">
        <f>SUM(EI70:EL70)</f>
        <v>0</v>
      </c>
      <c r="EN70" s="194"/>
      <c r="EO70" s="194"/>
      <c r="EP70" s="194"/>
      <c r="EQ70" s="194"/>
      <c r="ER70" s="196">
        <f>SUM(EN70:EQ70)</f>
        <v>0</v>
      </c>
      <c r="ES70" s="194"/>
      <c r="ET70" s="194"/>
      <c r="EU70" s="194"/>
      <c r="EV70" s="194"/>
      <c r="EW70" s="196">
        <f>SUM(ES70:EV70)</f>
        <v>0</v>
      </c>
      <c r="EX70" s="194"/>
      <c r="EY70" s="194"/>
      <c r="EZ70" s="194"/>
      <c r="FA70" s="194"/>
      <c r="FB70" s="196">
        <f>SUM(EX70:FA70)</f>
        <v>0</v>
      </c>
      <c r="FC70" s="194"/>
      <c r="FD70" s="194"/>
      <c r="FE70" s="194"/>
      <c r="FF70" s="194"/>
      <c r="FG70" s="196">
        <f>SUM(FC70:FF70)</f>
        <v>0</v>
      </c>
      <c r="FH70" s="103"/>
      <c r="FI70" s="227"/>
      <c r="FJ70" s="227"/>
      <c r="FK70" s="227"/>
      <c r="FL70" s="227"/>
    </row>
    <row r="71" ht="12.75" hidden="1" customHeight="1" outlineLevel="1">
      <c r="A71" s="4"/>
      <c r="B71" s="223" t="s">
        <v>98</v>
      </c>
      <c r="C71" s="45"/>
      <c r="D71" s="238"/>
      <c r="E71" s="238"/>
      <c r="F71" s="238"/>
      <c r="G71" s="238"/>
      <c r="H71" s="238"/>
      <c r="I71" s="238"/>
      <c r="J71" s="238"/>
      <c r="K71" s="238"/>
      <c r="L71" s="238"/>
      <c r="M71" s="238"/>
      <c r="N71" s="238">
        <f t="shared" ref="N71:Q71" si="602">+N51/N78</f>
        <v>0.2025922795</v>
      </c>
      <c r="O71" s="238">
        <f t="shared" si="602"/>
        <v>0.1656771275</v>
      </c>
      <c r="P71" s="238">
        <f t="shared" si="602"/>
        <v>0.22467903</v>
      </c>
      <c r="Q71" s="238">
        <f t="shared" si="602"/>
        <v>0.3031700288</v>
      </c>
      <c r="R71" s="238">
        <f>proFormaNetInc/shOutDiluted</f>
        <v>0.8940858686</v>
      </c>
      <c r="S71" s="238">
        <f>proFormaNetInc/shOutDiluted</f>
        <v>0.2899654974</v>
      </c>
      <c r="T71" s="238">
        <f>proFormaNetInc/shOutDiluted</f>
        <v>0.2582704585</v>
      </c>
      <c r="U71" s="238">
        <f>proFormaNetInc/shOutDiluted</f>
        <v>0.2742330405</v>
      </c>
      <c r="V71" s="238">
        <f>proFormaNetInc/shOutDiluted</f>
        <v>0.3455302052</v>
      </c>
      <c r="W71" s="238">
        <f>proFormaNetInc/shOutDiluted</f>
        <v>1.168443804</v>
      </c>
      <c r="X71" s="238">
        <f>proFormaNetInc/shOutDiluted</f>
        <v>0.4343102216</v>
      </c>
      <c r="Y71" s="238">
        <f>proFormaNetInc/shOutDiluted</f>
        <v>0.5022127052</v>
      </c>
      <c r="Z71" s="238">
        <f>proFormaNetInc/shOutDiluted</f>
        <v>0.413729128</v>
      </c>
      <c r="AA71" s="238">
        <f>proFormaNetInc/shOutDiluted</f>
        <v>0.3848371289</v>
      </c>
      <c r="AB71" s="238">
        <f>proFormaNetInc/shOutDiluted</f>
        <v>1.735614085</v>
      </c>
      <c r="AC71" s="238">
        <f>proFormaNetInc/shOutDiluted</f>
        <v>0.1592984491</v>
      </c>
      <c r="AD71" s="238">
        <f>proFormaNetInc/shOutDiluted</f>
        <v>0.1239657425</v>
      </c>
      <c r="AE71" s="238">
        <f>proFormaNetInc/shOutDiluted</f>
        <v>0.09525887144</v>
      </c>
      <c r="AF71" s="238">
        <f>proFormaNetInc/shOutDiluted</f>
        <v>0.1456721646</v>
      </c>
      <c r="AG71" s="238">
        <f>proFormaNetInc/shOutDiluted</f>
        <v>0.5242040994</v>
      </c>
      <c r="AH71" s="238">
        <f>proFormaNetInc/shOutDiluted</f>
        <v>0.1489578779</v>
      </c>
      <c r="AI71" s="238">
        <f>proFormaNetInc/shOutDiluted</f>
        <v>0.09113626341</v>
      </c>
      <c r="AJ71" s="238">
        <f>proFormaNetInc/shOutDiluted</f>
        <v>0.1144219309</v>
      </c>
      <c r="AK71" s="238">
        <f>proFormaNetInc/shOutDiluted</f>
        <v>0.1582582583</v>
      </c>
      <c r="AL71" s="238">
        <f>proFormaNetInc/shOutDiluted</f>
        <v>0.5125018494</v>
      </c>
      <c r="AM71" s="238">
        <f>proFormaNetInc/shOutDiluted</f>
        <v>0.1384266263</v>
      </c>
      <c r="AN71" s="238">
        <f>proFormaNetInc/shOutDiluted</f>
        <v>0.1361702128</v>
      </c>
      <c r="AO71" s="238">
        <f>proFormaNetInc/shOutDiluted</f>
        <v>0.2501132075</v>
      </c>
      <c r="AP71" s="238">
        <f>proFormaNetInc/shOutDiluted</f>
        <v>0.3252885624</v>
      </c>
      <c r="AQ71" s="238">
        <f>proFormaNetInc/shOutDiluted</f>
        <v>0.8515330011</v>
      </c>
      <c r="AR71" s="238">
        <f>proFormaNetInc/shOutDiluted</f>
        <v>0.2611714976</v>
      </c>
      <c r="AS71" s="238">
        <f>proFormaNetInc/shOutDiluted</f>
        <v>0.2679170479</v>
      </c>
      <c r="AT71" s="238">
        <f>proFormaNetInc/shOutDiluted</f>
        <v>0.2958708476</v>
      </c>
      <c r="AU71" s="238">
        <f>proFormaNetInc/shOutDiluted</f>
        <v>0.3342254408</v>
      </c>
      <c r="AV71" s="238">
        <f>proFormaNetInc/shOutDiluted</f>
        <v>1.157376039</v>
      </c>
      <c r="AW71" s="238">
        <f>proFormaNetInc/shOutDiluted</f>
        <v>0.3472022956</v>
      </c>
      <c r="AX71" s="238">
        <f>proFormaNetInc/shOutDiluted</f>
        <v>0.3279163315</v>
      </c>
      <c r="AY71" s="238">
        <f>proFormaNetInc/shOutDiluted</f>
        <v>0.3810279948</v>
      </c>
      <c r="AZ71" s="238">
        <f>proFormaNetInc/shOutDiluted</f>
        <v>0.4033876007</v>
      </c>
      <c r="BA71" s="238">
        <f>proFormaNetInc/shOutDiluted</f>
        <v>1.458406604</v>
      </c>
      <c r="BB71" s="238">
        <f>((proFormaNetInc+BB$69)/shOutDiluted)</f>
        <v>0.2279140074</v>
      </c>
      <c r="BC71" s="238">
        <f>((proFormaNetInc+BC$69)/shOutDiluted)</f>
        <v>0.1508179959</v>
      </c>
      <c r="BD71" s="238">
        <f>((proFormaNetInc+BD$69)/shOutDiluted)</f>
        <v>0.223079561</v>
      </c>
      <c r="BE71" s="238">
        <f>((proFormaNetInc+BE$69)/shOutDiluted)</f>
        <v>0.2558377365</v>
      </c>
      <c r="BF71" s="238">
        <f>((proFormaNetInc+BF$69)/shOutDiluted)</f>
        <v>0.8578231293</v>
      </c>
      <c r="BG71" s="238">
        <f>((proFormaNetInc+BG$69)/shOutDiluted)</f>
        <v>0.2230166837</v>
      </c>
      <c r="BH71" s="238">
        <f>((proFormaNetInc+BH$69)/shOutDiluted)</f>
        <v>0.1853980057</v>
      </c>
      <c r="BI71" s="238">
        <f>((proFormaNetInc+BI$69)/shOutDiluted)</f>
        <v>0.3139024635</v>
      </c>
      <c r="BJ71" s="238">
        <f>((proFormaNetInc+BJ$69)/shOutDiluted)</f>
        <v>0.379258517</v>
      </c>
      <c r="BK71" s="238">
        <f>((proFormaNetInc+BK$69)/shOutDiluted)</f>
        <v>1.103614555</v>
      </c>
      <c r="BL71" s="238">
        <f>((proFormaNetInc+BL$69)/shOutDiluted)</f>
        <v>0.2454499064</v>
      </c>
      <c r="BM71" s="238">
        <f>((proFormaNetInc+BM$69)/shOutDiluted)</f>
        <v>0.2760344828</v>
      </c>
      <c r="BN71" s="238">
        <f>((proFormaNetInc+BN$69)/shOutDiluted)</f>
        <v>0.3538299368</v>
      </c>
      <c r="BO71" s="238">
        <f>((proFormaNetInc+BO$69)/shOutDiluted)</f>
        <v>0.1652635604</v>
      </c>
      <c r="BP71" s="238">
        <f>((proFormaNetInc+BP$69)/shOutDiluted)</f>
        <v>1.041627871</v>
      </c>
      <c r="BQ71" s="238">
        <f>((proFormaNetInc+BQ$69)/shOutDiluted)</f>
        <v>0.1116435925</v>
      </c>
      <c r="BR71" s="238">
        <f>((proFormaNetInc+BR$69)/shOutDiluted)</f>
        <v>0.1847481508</v>
      </c>
      <c r="BS71" s="238">
        <f>((proFormaNetInc+BS$69)/shOutDiluted)</f>
        <v>0.3304843305</v>
      </c>
      <c r="BT71" s="238">
        <f>((proFormaNetInc+BT$69)/shOutDiluted)</f>
        <v>0.5476106195</v>
      </c>
      <c r="BU71" s="238">
        <f>((proFormaNetInc+BU$69)/shOutDiluted)</f>
        <v>1.174137112</v>
      </c>
      <c r="BV71" s="238">
        <f>((proFormaNetInc+BV$69)/shOutDiluted)</f>
        <v>0.429853899</v>
      </c>
      <c r="BW71" s="238">
        <f>((proFormaNetInc+BW$69)/shOutDiluted)</f>
        <v>0.5055156715</v>
      </c>
      <c r="BX71" s="238">
        <f>((proFormaNetInc+BX$69)/shOutDiluted)</f>
        <v>0.518967334</v>
      </c>
      <c r="BY71" s="238">
        <f>((proFormaNetInc+BY$69)/shOutDiluted)</f>
        <v>0.5580905581</v>
      </c>
      <c r="BZ71" s="239">
        <f>((proFormaNetInc+BZ$69)/shOutDiluted)</f>
        <v>2.012640449</v>
      </c>
      <c r="CA71" s="238">
        <f>((proFormaNetInc+CA$69)/shOutDiluted)</f>
        <v>0.5636817695</v>
      </c>
      <c r="CB71" s="238">
        <f>((proFormaNetInc+CB$69)/shOutDiluted)</f>
        <v>0.5429149053</v>
      </c>
      <c r="CC71" s="238">
        <f>((proFormaNetInc+CC$69)/shOutDiluted)</f>
        <v>0.6494382022</v>
      </c>
      <c r="CD71" s="238">
        <f>((proFormaNetInc+CD$69)/shOutDiluted)</f>
        <v>0.6409767264</v>
      </c>
      <c r="CE71" s="239">
        <f>((proFormaNetInc+CE$69)/shOutDiluted)</f>
        <v>2.391794493</v>
      </c>
      <c r="CF71" s="238">
        <f>((proFormaNetInc+CF$69)/shOutDiluted)</f>
        <v>0.5273497689</v>
      </c>
      <c r="CG71" s="238">
        <f>((proFormaNetInc+CG$69)/shOutDiluted)</f>
        <v>0.5437584151</v>
      </c>
      <c r="CH71" s="238">
        <f>((proFormaNetInc+CH$69)/shOutDiluted)</f>
        <v>0.5767514069</v>
      </c>
      <c r="CI71" s="238">
        <f>((proFormaNetInc+CI$69)/shOutDiluted)</f>
        <v>0.4843964671</v>
      </c>
      <c r="CJ71" s="239">
        <f>((proFormaNetInc+CJ$69)/shOutDiluted)</f>
        <v>2.132751938</v>
      </c>
      <c r="CK71" s="238">
        <f>((proFormaNetInc+CK$69)/shOutDiluted)</f>
        <v>0.4025590551</v>
      </c>
      <c r="CL71" s="240">
        <f>((proFormaNetInc+CL$69)/shOutDiluted)</f>
        <v>0.3916960439</v>
      </c>
      <c r="CM71" s="240">
        <f>((proFormaNetInc+CM$69)/shOutDiluted)</f>
        <v>0.5784313725</v>
      </c>
      <c r="CN71" s="241">
        <f>((proFormaNetInc+CN$69)/shOutDiluted)</f>
        <v>0.5144032922</v>
      </c>
      <c r="CO71" s="242">
        <f>((proFormaNetInc+CO$69)/shOutDiluted)</f>
        <v>1.887292167</v>
      </c>
      <c r="CP71" s="241">
        <f>((proFormaNetInc+CP$69)/shOutDiluted)</f>
        <v>0.3816689466</v>
      </c>
      <c r="CQ71" s="240">
        <f>((proFormaNetInc+CQ$69)/shOutDiluted)</f>
        <v>0.5457739606</v>
      </c>
      <c r="CR71" s="240">
        <f>((proFormaNetInc+CR$69)/shOutDiluted)</f>
        <v>0.6574826561</v>
      </c>
      <c r="CS71" s="240">
        <f>((proFormaNetInc+CS$69)/shOutDiluted)</f>
        <v>0.7410931174</v>
      </c>
      <c r="CT71" s="242">
        <f>((proFormaNetInc+CT$69)/shOutDiluted)</f>
        <v>2.346518987</v>
      </c>
      <c r="CU71" s="240">
        <f>((proFormaNetInc+CU$69)/shOutDiluted)</f>
        <v>0.4053724054</v>
      </c>
      <c r="CV71" s="240">
        <f>((proFormaNetInc+CV$69)/shOutDiluted)</f>
        <v>0.5512324302</v>
      </c>
      <c r="CW71" s="240">
        <f>((proFormaNetInc+CW$69)/shOutDiluted)</f>
        <v>0.6376127974</v>
      </c>
      <c r="CX71" s="240">
        <f>((proFormaNetInc+CX$69)/shOutDiluted)</f>
        <v>0.74097621</v>
      </c>
      <c r="CY71" s="242">
        <f>((proFormaNetInc+CY$69)/shOutDiluted)</f>
        <v>2.3550447</v>
      </c>
      <c r="CZ71" s="243">
        <f>((proFormaNetInc+CZ$69)/shOutDiluted)</f>
        <v>0.4196923077</v>
      </c>
      <c r="DA71" s="243">
        <f>((proFormaNetInc+DA$69)/shOutDiluted)</f>
        <v>0.273325113</v>
      </c>
      <c r="DB71" s="243">
        <f>((proFormaNetInc+DB$69)/shOutDiluted)</f>
        <v>0.6926389174</v>
      </c>
      <c r="DC71" s="243">
        <f>((proFormaNetInc+DC$69)/shOutDiluted)</f>
        <v>0.7297684901</v>
      </c>
      <c r="DD71" s="242">
        <f>((proFormaNetInc+DD$69)/shOutDiluted)</f>
        <v>2.116211088</v>
      </c>
      <c r="DE71" s="243">
        <f>((proFormaNetInc+DE$69)/shOutDiluted)</f>
        <v>0.6072526122</v>
      </c>
      <c r="DF71" s="243">
        <f>((proFormaNetInc+DF$69)/shOutDiluted)</f>
        <v>0.5795665635</v>
      </c>
      <c r="DG71" s="244">
        <f>((proFormaNetInc+DG$69)/shOutDiluted)</f>
        <v>0.9367351172</v>
      </c>
      <c r="DH71" s="243">
        <f>((proFormaNetInc+DH$69)/shOutDiluted)</f>
        <v>-0.1434237996</v>
      </c>
      <c r="DI71" s="242">
        <f>((proFormaNetInc+DI$69)/shOutDiluted)</f>
        <v>1.986037131</v>
      </c>
      <c r="DJ71" s="244">
        <f>((proFormaNetInc+DJ$69)/shOutDiluted)</f>
        <v>0.9298538622</v>
      </c>
      <c r="DK71" s="244">
        <f>((proFormaNetInc+DK$69)/shOutDiluted)</f>
        <v>1.054560775</v>
      </c>
      <c r="DL71" s="244">
        <f>((proFormaNetInc+DL$69)/shOutDiluted)</f>
        <v>1.376506024</v>
      </c>
      <c r="DM71" s="244">
        <f>((proFormaNetInc+DM$69)/shOutDiluted)</f>
        <v>1.124702317</v>
      </c>
      <c r="DN71" s="242">
        <f>((proFormaNetInc+DN$69)/shOutDiluted)</f>
        <v>4.478408849</v>
      </c>
      <c r="DO71" s="244">
        <f>((proFormaNetInc+DO$69)/shOutDiluted)</f>
        <v>0.8707274321</v>
      </c>
      <c r="DP71" s="244">
        <f>((proFormaNetInc+DP$69)/shOutDiluted)</f>
        <v>0.9239442848</v>
      </c>
      <c r="DQ71" s="244">
        <f>((proFormaNetInc+DQ$69)/shOutDiluted)</f>
        <v>1.351229416</v>
      </c>
      <c r="DR71" s="244">
        <f>((proFormaNetInc+DR$69)/shOutDiluted)</f>
        <v>1.579007546</v>
      </c>
      <c r="DS71" s="242">
        <f>((proFormaNetInc+DS$69)/shOutDiluted)</f>
        <v>4.70530375</v>
      </c>
      <c r="DT71" s="244">
        <f>((proFormaNetInc+DT$69)/shOutDiluted)</f>
        <v>1.312847866</v>
      </c>
      <c r="DU71" s="244">
        <f>((proFormaNetInc+DU$69)/shOutDiluted)</f>
        <v>1.191643324</v>
      </c>
      <c r="DV71" s="244">
        <f>((proFormaNetInc+DV$69)/shOutDiluted)</f>
        <v>1.015435763</v>
      </c>
      <c r="DW71" s="244">
        <f>((proFormaNetInc+DW$69)/shOutDiluted)</f>
        <v>1.421947075</v>
      </c>
      <c r="DX71" s="242">
        <f>((proFormaNetInc+DX$69)/shOutDiluted)</f>
        <v>4.938910552</v>
      </c>
      <c r="DY71" s="244">
        <f>((proFormaNetInc+DY$69)/shOutDiluted)</f>
        <v>0.8205566406</v>
      </c>
      <c r="DZ71" s="244">
        <f>((proFormaNetInc+DZ$69)/shOutDiluted)</f>
        <v>1.239226249</v>
      </c>
      <c r="EA71" s="244">
        <f>((proFormaNetInc+EA$69)/shOutDiluted)</f>
        <v>1.669848262</v>
      </c>
      <c r="EB71" s="244">
        <f>((proFormaNetInc+EB$69)/shOutDiluted)</f>
        <v>1.128937729</v>
      </c>
      <c r="EC71" s="242">
        <f>((proFormaNetInc+EC$69)/shOutDiluted)</f>
        <v>4.857404804</v>
      </c>
      <c r="ED71" s="244">
        <f>((proFormaNetInc+ED$69)/shOutDiluted)</f>
        <v>1.97540784</v>
      </c>
      <c r="EE71" s="244">
        <f>((proFormaNetInc+EE$69)/shOutDiluted)</f>
        <v>-0.1107317073</v>
      </c>
      <c r="EF71" s="244">
        <f>((proFormaNetInc+EF$69)/shOutDiluted)</f>
        <v>0.247030303</v>
      </c>
      <c r="EG71" s="244">
        <f>((proFormaNetInc+EG$69)/shOutDiluted)</f>
        <v>-0.1599322526</v>
      </c>
      <c r="EH71" s="242">
        <f>((proFormaNetInc+EH$69)/shOutDiluted)</f>
        <v>1.947646523</v>
      </c>
      <c r="EI71" s="245" t="str">
        <f>((proFormaNetInc+EI$69)/shOutDiluted)</f>
        <v>#ERROR!</v>
      </c>
      <c r="EJ71" s="240" t="str">
        <f>((proFormaNetInc+EJ$69)/shOutDiluted)</f>
        <v>#ERROR!</v>
      </c>
      <c r="EK71" s="240" t="str">
        <f>((proFormaNetInc+EK$69)/shOutDiluted)</f>
        <v>#ERROR!</v>
      </c>
      <c r="EL71" s="240" t="str">
        <f>((proFormaNetInc+EL$69)/shOutDiluted)</f>
        <v>#ERROR!</v>
      </c>
      <c r="EM71" s="242" t="str">
        <f>((proFormaNetInc+EM$69)/shOutDiluted)</f>
        <v>#ERROR!</v>
      </c>
      <c r="EN71" s="240" t="str">
        <f>((proFormaNetInc+EN$69)/shOutDiluted)</f>
        <v>#ERROR!</v>
      </c>
      <c r="EO71" s="240" t="str">
        <f>((proFormaNetInc+EO$69)/shOutDiluted)</f>
        <v>#ERROR!</v>
      </c>
      <c r="EP71" s="240" t="str">
        <f>((proFormaNetInc+EP$69)/shOutDiluted)</f>
        <v>#ERROR!</v>
      </c>
      <c r="EQ71" s="240" t="str">
        <f>((proFormaNetInc+EQ$69)/shOutDiluted)</f>
        <v>#ERROR!</v>
      </c>
      <c r="ER71" s="242" t="str">
        <f>((proFormaNetInc+ER$69)/shOutDiluted)</f>
        <v>#ERROR!</v>
      </c>
      <c r="ES71" s="240" t="str">
        <f>((proFormaNetInc+ES$69)/shOutDiluted)</f>
        <v>#ERROR!</v>
      </c>
      <c r="ET71" s="240" t="str">
        <f>((proFormaNetInc+ET$69)/shOutDiluted)</f>
        <v>#ERROR!</v>
      </c>
      <c r="EU71" s="240" t="str">
        <f>((proFormaNetInc+EU$69)/shOutDiluted)</f>
        <v>#ERROR!</v>
      </c>
      <c r="EV71" s="240" t="str">
        <f>((proFormaNetInc+EV$69)/shOutDiluted)</f>
        <v>#ERROR!</v>
      </c>
      <c r="EW71" s="242" t="str">
        <f>((proFormaNetInc+EW$69)/shOutDiluted)</f>
        <v>#ERROR!</v>
      </c>
      <c r="EX71" s="240" t="str">
        <f>((proFormaNetInc+EX$69)/shOutDiluted)</f>
        <v>#ERROR!</v>
      </c>
      <c r="EY71" s="240" t="str">
        <f>((proFormaNetInc+EY$69)/shOutDiluted)</f>
        <v>#ERROR!</v>
      </c>
      <c r="EZ71" s="240" t="str">
        <f>((proFormaNetInc+EZ$69)/shOutDiluted)</f>
        <v>#ERROR!</v>
      </c>
      <c r="FA71" s="240" t="str">
        <f>((proFormaNetInc+FA$69)/shOutDiluted)</f>
        <v>#ERROR!</v>
      </c>
      <c r="FB71" s="242" t="str">
        <f>((proFormaNetInc+FB$69)/shOutDiluted)</f>
        <v>#ERROR!</v>
      </c>
      <c r="FC71" s="240" t="str">
        <f>((proFormaNetInc+FC$69)/shOutDiluted)</f>
        <v>#ERROR!</v>
      </c>
      <c r="FD71" s="240" t="str">
        <f>((proFormaNetInc+FD$69)/shOutDiluted)</f>
        <v>#ERROR!</v>
      </c>
      <c r="FE71" s="240" t="str">
        <f>((proFormaNetInc+FE$69)/shOutDiluted)</f>
        <v>#ERROR!</v>
      </c>
      <c r="FF71" s="240" t="str">
        <f>((proFormaNetInc+FF$69)/shOutDiluted)</f>
        <v>#ERROR!</v>
      </c>
      <c r="FG71" s="242" t="str">
        <f>((proFormaNetInc+FG$69)/shOutDiluted)</f>
        <v>#ERROR!</v>
      </c>
      <c r="FH71" s="241"/>
      <c r="FI71" s="4"/>
      <c r="FJ71" s="4"/>
      <c r="FK71" s="4"/>
      <c r="FL71" s="4"/>
    </row>
    <row r="72" ht="12.75" customHeight="1" collapsed="1">
      <c r="A72" s="105"/>
      <c r="B72" s="246" t="s">
        <v>99</v>
      </c>
      <c r="C72" s="247"/>
      <c r="D72" s="248"/>
      <c r="E72" s="248"/>
      <c r="F72" s="248"/>
      <c r="G72" s="248"/>
      <c r="H72" s="249"/>
      <c r="I72" s="248"/>
      <c r="J72" s="248"/>
      <c r="K72" s="248"/>
      <c r="L72" s="248"/>
      <c r="M72" s="249"/>
      <c r="N72" s="248">
        <f t="shared" ref="N72:BA72" si="603">N71-N57/N78</f>
        <v>0.1915680473</v>
      </c>
      <c r="O72" s="248">
        <f t="shared" si="603"/>
        <v>0.1546154934</v>
      </c>
      <c r="P72" s="248">
        <f t="shared" si="603"/>
        <v>0.2135164051</v>
      </c>
      <c r="Q72" s="248">
        <f t="shared" si="603"/>
        <v>0.2918948127</v>
      </c>
      <c r="R72" s="249">
        <f t="shared" si="603"/>
        <v>0.8495877168</v>
      </c>
      <c r="S72" s="248">
        <f t="shared" si="603"/>
        <v>0.2736486486</v>
      </c>
      <c r="T72" s="248">
        <f t="shared" si="603"/>
        <v>0.2418020894</v>
      </c>
      <c r="U72" s="248">
        <f t="shared" si="603"/>
        <v>0.2578856402</v>
      </c>
      <c r="V72" s="248">
        <f t="shared" si="603"/>
        <v>0.3292437939</v>
      </c>
      <c r="W72" s="249">
        <f t="shared" si="603"/>
        <v>1.103025937</v>
      </c>
      <c r="X72" s="248">
        <f t="shared" si="603"/>
        <v>0.404431737</v>
      </c>
      <c r="Y72" s="248">
        <f t="shared" si="603"/>
        <v>0.4723768737</v>
      </c>
      <c r="Z72" s="248">
        <f t="shared" si="603"/>
        <v>0.3839018125</v>
      </c>
      <c r="AA72" s="248">
        <f t="shared" si="603"/>
        <v>0.3547131738</v>
      </c>
      <c r="AB72" s="249">
        <f t="shared" si="603"/>
        <v>1.615946178</v>
      </c>
      <c r="AC72" s="248">
        <f t="shared" si="603"/>
        <v>0.1217205392</v>
      </c>
      <c r="AD72" s="248">
        <f t="shared" si="603"/>
        <v>0.08633328495</v>
      </c>
      <c r="AE72" s="248">
        <f t="shared" si="603"/>
        <v>0.05755526469</v>
      </c>
      <c r="AF72" s="248">
        <f t="shared" si="603"/>
        <v>0.1078309736</v>
      </c>
      <c r="AG72" s="249">
        <f t="shared" si="603"/>
        <v>0.3734554441</v>
      </c>
      <c r="AH72" s="248">
        <f t="shared" si="603"/>
        <v>0.1071272409</v>
      </c>
      <c r="AI72" s="248">
        <f t="shared" si="603"/>
        <v>0.04571512568</v>
      </c>
      <c r="AJ72" s="248">
        <f t="shared" si="603"/>
        <v>0.07359952324</v>
      </c>
      <c r="AK72" s="248">
        <f t="shared" si="603"/>
        <v>0.1132132132</v>
      </c>
      <c r="AL72" s="249">
        <f t="shared" si="603"/>
        <v>0.3393993194</v>
      </c>
      <c r="AM72" s="248">
        <f t="shared" si="603"/>
        <v>0.09334341906</v>
      </c>
      <c r="AN72" s="248">
        <f t="shared" si="603"/>
        <v>0.09209726444</v>
      </c>
      <c r="AO72" s="248">
        <f t="shared" si="603"/>
        <v>0.2051320755</v>
      </c>
      <c r="AP72" s="248">
        <f t="shared" si="603"/>
        <v>0.3095487933</v>
      </c>
      <c r="AQ72" s="249">
        <f t="shared" si="603"/>
        <v>0.7018577254</v>
      </c>
      <c r="AR72" s="248">
        <f t="shared" si="603"/>
        <v>0.2176932367</v>
      </c>
      <c r="AS72" s="248">
        <f t="shared" si="603"/>
        <v>0.2226288503</v>
      </c>
      <c r="AT72" s="248">
        <f t="shared" si="603"/>
        <v>0.2500776156</v>
      </c>
      <c r="AU72" s="248">
        <f t="shared" si="603"/>
        <v>0.2726700252</v>
      </c>
      <c r="AV72" s="249">
        <f t="shared" si="603"/>
        <v>0.9616569141</v>
      </c>
      <c r="AW72" s="248">
        <f t="shared" si="603"/>
        <v>0.2941176471</v>
      </c>
      <c r="AX72" s="248">
        <f t="shared" si="603"/>
        <v>0.280772325</v>
      </c>
      <c r="AY72" s="248">
        <f t="shared" si="603"/>
        <v>0.3336647135</v>
      </c>
      <c r="AZ72" s="248">
        <f t="shared" si="603"/>
        <v>0.3466535109</v>
      </c>
      <c r="BA72" s="249">
        <f t="shared" si="603"/>
        <v>1.254133376</v>
      </c>
      <c r="BB72" s="248"/>
      <c r="BC72" s="248">
        <f t="shared" ref="BC72:CO72" si="604">BC71</f>
        <v>0.1508179959</v>
      </c>
      <c r="BD72" s="248">
        <f t="shared" si="604"/>
        <v>0.223079561</v>
      </c>
      <c r="BE72" s="248">
        <f t="shared" si="604"/>
        <v>0.2558377365</v>
      </c>
      <c r="BF72" s="249">
        <f t="shared" si="604"/>
        <v>0.8578231293</v>
      </c>
      <c r="BG72" s="248">
        <f t="shared" si="604"/>
        <v>0.2230166837</v>
      </c>
      <c r="BH72" s="248">
        <f t="shared" si="604"/>
        <v>0.1853980057</v>
      </c>
      <c r="BI72" s="248">
        <f t="shared" si="604"/>
        <v>0.3139024635</v>
      </c>
      <c r="BJ72" s="248">
        <f t="shared" si="604"/>
        <v>0.379258517</v>
      </c>
      <c r="BK72" s="249">
        <f t="shared" si="604"/>
        <v>1.103614555</v>
      </c>
      <c r="BL72" s="248">
        <f t="shared" si="604"/>
        <v>0.2454499064</v>
      </c>
      <c r="BM72" s="248">
        <f t="shared" si="604"/>
        <v>0.2760344828</v>
      </c>
      <c r="BN72" s="248">
        <f t="shared" si="604"/>
        <v>0.3538299368</v>
      </c>
      <c r="BO72" s="248">
        <f t="shared" si="604"/>
        <v>0.1652635604</v>
      </c>
      <c r="BP72" s="249">
        <f t="shared" si="604"/>
        <v>1.041627871</v>
      </c>
      <c r="BQ72" s="248">
        <f t="shared" si="604"/>
        <v>0.1116435925</v>
      </c>
      <c r="BR72" s="248">
        <f t="shared" si="604"/>
        <v>0.1847481508</v>
      </c>
      <c r="BS72" s="248">
        <f t="shared" si="604"/>
        <v>0.3304843305</v>
      </c>
      <c r="BT72" s="248">
        <f t="shared" si="604"/>
        <v>0.5476106195</v>
      </c>
      <c r="BU72" s="249">
        <f t="shared" si="604"/>
        <v>1.174137112</v>
      </c>
      <c r="BV72" s="248">
        <f t="shared" si="604"/>
        <v>0.429853899</v>
      </c>
      <c r="BW72" s="250">
        <f t="shared" si="604"/>
        <v>0.5055156715</v>
      </c>
      <c r="BX72" s="248">
        <f t="shared" si="604"/>
        <v>0.518967334</v>
      </c>
      <c r="BY72" s="248">
        <f t="shared" si="604"/>
        <v>0.5580905581</v>
      </c>
      <c r="BZ72" s="248">
        <f t="shared" si="604"/>
        <v>2.012640449</v>
      </c>
      <c r="CA72" s="248">
        <f t="shared" si="604"/>
        <v>0.5636817695</v>
      </c>
      <c r="CB72" s="248">
        <f t="shared" si="604"/>
        <v>0.5429149053</v>
      </c>
      <c r="CC72" s="248">
        <f t="shared" si="604"/>
        <v>0.6494382022</v>
      </c>
      <c r="CD72" s="248">
        <f t="shared" si="604"/>
        <v>0.6409767264</v>
      </c>
      <c r="CE72" s="248">
        <f t="shared" si="604"/>
        <v>2.391794493</v>
      </c>
      <c r="CF72" s="248">
        <f t="shared" si="604"/>
        <v>0.5273497689</v>
      </c>
      <c r="CG72" s="248">
        <f t="shared" si="604"/>
        <v>0.5437584151</v>
      </c>
      <c r="CH72" s="248">
        <f t="shared" si="604"/>
        <v>0.5767514069</v>
      </c>
      <c r="CI72" s="248">
        <f t="shared" si="604"/>
        <v>0.4843964671</v>
      </c>
      <c r="CJ72" s="248">
        <f t="shared" si="604"/>
        <v>2.132751938</v>
      </c>
      <c r="CK72" s="248">
        <f t="shared" si="604"/>
        <v>0.4025590551</v>
      </c>
      <c r="CL72" s="248">
        <f t="shared" si="604"/>
        <v>0.3916960439</v>
      </c>
      <c r="CM72" s="248">
        <f t="shared" si="604"/>
        <v>0.5784313725</v>
      </c>
      <c r="CN72" s="248">
        <f t="shared" si="604"/>
        <v>0.5144032922</v>
      </c>
      <c r="CO72" s="248">
        <f t="shared" si="604"/>
        <v>1.887292167</v>
      </c>
      <c r="CP72" s="251">
        <f>CP64/shOutDiluted</f>
        <v>0.4059018956</v>
      </c>
      <c r="CQ72" s="251">
        <f>CQ64/shOutDiluted</f>
        <v>0.5674409526</v>
      </c>
      <c r="CR72" s="251">
        <f>CR64/shOutDiluted</f>
        <v>0.664420218</v>
      </c>
      <c r="CS72" s="251">
        <f>CS64/shOutDiluted</f>
        <v>0.7631578947</v>
      </c>
      <c r="CT72" s="252">
        <f>SUM(CP72:CS72)</f>
        <v>2.400920961</v>
      </c>
      <c r="CU72" s="251">
        <f>CU64/shOutDiluted</f>
        <v>0.4489214489</v>
      </c>
      <c r="CV72" s="251">
        <f>CV64/shOutDiluted</f>
        <v>0.6223263394</v>
      </c>
      <c r="CW72" s="251">
        <f>CW64/shOutDiluted</f>
        <v>0.6417145201</v>
      </c>
      <c r="CX72" s="251">
        <f>CX64/shOutDiluted</f>
        <v>0.7627153404</v>
      </c>
      <c r="CY72" s="252">
        <f>SUM(CU72:CX72)</f>
        <v>2.475677649</v>
      </c>
      <c r="CZ72" s="251">
        <f>CZ64/shOutDiluted</f>
        <v>0.5392820513</v>
      </c>
      <c r="DA72" s="251">
        <f>DA64/shOutDiluted</f>
        <v>0.5875462392</v>
      </c>
      <c r="DB72" s="251">
        <f>DB64/shOutDiluted</f>
        <v>0.7968013123</v>
      </c>
      <c r="DC72" s="251">
        <f>DC64/shOutDiluted</f>
        <v>0.7918459332</v>
      </c>
      <c r="DD72" s="252">
        <f>SUM(CZ72:DC72)</f>
        <v>2.715475536</v>
      </c>
      <c r="DE72" s="251">
        <f>DE64/shOutDiluted</f>
        <v>0.6592911289</v>
      </c>
      <c r="DF72" s="251">
        <f>DF64/shOutDiluted</f>
        <v>0.7237198142</v>
      </c>
      <c r="DG72" s="251">
        <f>DG64/shOutDiluted</f>
        <v>1.005600498</v>
      </c>
      <c r="DH72" s="251">
        <f>DH64/shOutDiluted</f>
        <v>1.081628392</v>
      </c>
      <c r="DI72" s="252">
        <f>DI64/shOutDiluted</f>
        <v>3.465568082</v>
      </c>
      <c r="DJ72" s="251">
        <f>DJ64/shOutDiluted</f>
        <v>0.8716075157</v>
      </c>
      <c r="DK72" s="251">
        <f>DK64/shOutDiluted</f>
        <v>1.040738361</v>
      </c>
      <c r="DL72" s="251">
        <f>DL64/shOutDiluted</f>
        <v>1.400172117</v>
      </c>
      <c r="DM72" s="251">
        <f>DM64/shOutDiluted</f>
        <v>1.27776575</v>
      </c>
      <c r="DN72" s="252">
        <f>DN64/DN78</f>
        <v>4.578894916</v>
      </c>
      <c r="DO72" s="251">
        <f>DO64/shOutDiluted</f>
        <v>0.8869412796</v>
      </c>
      <c r="DP72" s="251">
        <f>DP64/shOutDiluted</f>
        <v>1.057926155</v>
      </c>
      <c r="DQ72" s="251">
        <f>DQ64/shOutDiluted</f>
        <v>1.418678096</v>
      </c>
      <c r="DR72" s="251">
        <f>DR64/shOutDiluted</f>
        <v>1.523667962</v>
      </c>
      <c r="DS72" s="252">
        <f>DS64/shOutDiluted</f>
        <v>4.870060918</v>
      </c>
      <c r="DT72" s="251">
        <f>DT64/shOutDiluted</f>
        <v>1.445269017</v>
      </c>
      <c r="DU72" s="251">
        <f>DU64/shOutDiluted</f>
        <v>1.232026144</v>
      </c>
      <c r="DV72" s="251">
        <f>DV64/shOutDiluted</f>
        <v>1.110187604</v>
      </c>
      <c r="DW72" s="251">
        <f>DW64/shOutDiluted</f>
        <v>1.516144695</v>
      </c>
      <c r="DX72" s="252">
        <f>DX64/shOutDiluted</f>
        <v>5.300720785</v>
      </c>
      <c r="DY72" s="251">
        <f>DY64/shOutDiluted</f>
        <v>1.390380859</v>
      </c>
      <c r="DZ72" s="251">
        <f>DZ64/shOutDiluted</f>
        <v>1.27668952</v>
      </c>
      <c r="EA72" s="251">
        <f>EA64/shOutDiluted</f>
        <v>1.712432697</v>
      </c>
      <c r="EB72" s="251">
        <f>EB64/shOutDiluted</f>
        <v>1.086935287</v>
      </c>
      <c r="EC72" s="252">
        <f>EC64/shOutDiluted</f>
        <v>5.465925066</v>
      </c>
      <c r="ED72" s="251">
        <f>ED64/shOutDiluted</f>
        <v>0.8731434137</v>
      </c>
      <c r="EE72" s="251">
        <f>EE64/shOutDiluted</f>
        <v>0.2880487805</v>
      </c>
      <c r="EF72" s="251">
        <f>EF64/shOutDiluted</f>
        <v>0.5895757576</v>
      </c>
      <c r="EG72" s="251">
        <f>EG64/shOutDiluted</f>
        <v>0.09533026857</v>
      </c>
      <c r="EH72" s="252">
        <f>EH64/shOutDiluted</f>
        <v>1.844640146</v>
      </c>
      <c r="EI72" s="253" t="str">
        <f>EI64/shOutDiluted</f>
        <v>#ERROR!</v>
      </c>
      <c r="EJ72" s="251" t="str">
        <f>EJ64/shOutDiluted</f>
        <v>#ERROR!</v>
      </c>
      <c r="EK72" s="251" t="str">
        <f>EK64/shOutDiluted</f>
        <v>#ERROR!</v>
      </c>
      <c r="EL72" s="251" t="str">
        <f>EL64/shOutDiluted</f>
        <v>#ERROR!</v>
      </c>
      <c r="EM72" s="252" t="str">
        <f>EM64/shOutDiluted</f>
        <v>#ERROR!</v>
      </c>
      <c r="EN72" s="251" t="str">
        <f>EN64/shOutDiluted</f>
        <v>#ERROR!</v>
      </c>
      <c r="EO72" s="251" t="str">
        <f>EO64/shOutDiluted</f>
        <v>#ERROR!</v>
      </c>
      <c r="EP72" s="251" t="str">
        <f>EP64/shOutDiluted</f>
        <v>#ERROR!</v>
      </c>
      <c r="EQ72" s="251" t="str">
        <f>EQ64/shOutDiluted</f>
        <v>#ERROR!</v>
      </c>
      <c r="ER72" s="252" t="str">
        <f>ER64/shOutDiluted</f>
        <v>#ERROR!</v>
      </c>
      <c r="ES72" s="251" t="str">
        <f>ES64/shOutDiluted</f>
        <v>#ERROR!</v>
      </c>
      <c r="ET72" s="251" t="str">
        <f>ET64/shOutDiluted</f>
        <v>#ERROR!</v>
      </c>
      <c r="EU72" s="251" t="str">
        <f>EU64/shOutDiluted</f>
        <v>#ERROR!</v>
      </c>
      <c r="EV72" s="251" t="str">
        <f>EV64/shOutDiluted</f>
        <v>#ERROR!</v>
      </c>
      <c r="EW72" s="252" t="str">
        <f>EW64/shOutDiluted</f>
        <v>#ERROR!</v>
      </c>
      <c r="EX72" s="251" t="str">
        <f>EX64/shOutDiluted</f>
        <v>#ERROR!</v>
      </c>
      <c r="EY72" s="251" t="str">
        <f>EY64/shOutDiluted</f>
        <v>#ERROR!</v>
      </c>
      <c r="EZ72" s="251" t="str">
        <f>EZ64/shOutDiluted</f>
        <v>#ERROR!</v>
      </c>
      <c r="FA72" s="251" t="str">
        <f>FA64/shOutDiluted</f>
        <v>#ERROR!</v>
      </c>
      <c r="FB72" s="252" t="str">
        <f>FB64/shOutDiluted</f>
        <v>#ERROR!</v>
      </c>
      <c r="FC72" s="251" t="str">
        <f>FC64/shOutDiluted</f>
        <v>#ERROR!</v>
      </c>
      <c r="FD72" s="251" t="str">
        <f>FD64/shOutDiluted</f>
        <v>#ERROR!</v>
      </c>
      <c r="FE72" s="251" t="str">
        <f>FE64/shOutDiluted</f>
        <v>#ERROR!</v>
      </c>
      <c r="FF72" s="251" t="str">
        <f>FF64/shOutDiluted</f>
        <v>#ERROR!</v>
      </c>
      <c r="FG72" s="252" t="str">
        <f>FG64/shOutDiluted</f>
        <v>#ERROR!</v>
      </c>
      <c r="FH72" s="241"/>
      <c r="FI72" s="105"/>
      <c r="FJ72" s="105"/>
      <c r="FK72" s="105"/>
      <c r="FL72" s="105"/>
    </row>
    <row r="73" ht="12.75" hidden="1" customHeight="1" outlineLevel="1">
      <c r="A73" s="254"/>
      <c r="B73" s="255" t="s">
        <v>100</v>
      </c>
      <c r="C73" s="256"/>
      <c r="D73" s="257"/>
      <c r="E73" s="257"/>
      <c r="F73" s="257"/>
      <c r="G73" s="257"/>
      <c r="H73" s="258"/>
      <c r="I73" s="257"/>
      <c r="J73" s="257"/>
      <c r="K73" s="257"/>
      <c r="L73" s="257"/>
      <c r="M73" s="258"/>
      <c r="N73" s="257"/>
      <c r="O73" s="257"/>
      <c r="P73" s="257"/>
      <c r="Q73" s="257"/>
      <c r="R73" s="258"/>
      <c r="S73" s="257"/>
      <c r="T73" s="257"/>
      <c r="U73" s="257"/>
      <c r="V73" s="257"/>
      <c r="W73" s="258"/>
      <c r="X73" s="257"/>
      <c r="Y73" s="257"/>
      <c r="Z73" s="257"/>
      <c r="AA73" s="257"/>
      <c r="AB73" s="258"/>
      <c r="AC73" s="257"/>
      <c r="AD73" s="257"/>
      <c r="AE73" s="257"/>
      <c r="AF73" s="257"/>
      <c r="AG73" s="258"/>
      <c r="AH73" s="257"/>
      <c r="AI73" s="257"/>
      <c r="AJ73" s="257"/>
      <c r="AK73" s="257"/>
      <c r="AL73" s="258"/>
      <c r="AM73" s="257"/>
      <c r="AN73" s="257"/>
      <c r="AO73" s="257"/>
      <c r="AP73" s="257"/>
      <c r="AQ73" s="258"/>
      <c r="AR73" s="257"/>
      <c r="AS73" s="257"/>
      <c r="AT73" s="257"/>
      <c r="AU73" s="257"/>
      <c r="AV73" s="258"/>
      <c r="AW73" s="257"/>
      <c r="AX73" s="257"/>
      <c r="AY73" s="257"/>
      <c r="AZ73" s="257"/>
      <c r="BA73" s="258"/>
      <c r="BB73" s="257">
        <f t="shared" ref="BB73:BB74" si="613">BB71+BB57/(BB78-17)</f>
        <v>0.2723809099</v>
      </c>
      <c r="BC73" s="257">
        <f t="shared" ref="BC73:BC74" si="614">BC71+BC57/(BC78+8)</f>
        <v>0.1914919238</v>
      </c>
      <c r="BD73" s="257">
        <f t="shared" ref="BD73:CO73" si="605">BD71+BD57/BD78</f>
        <v>0.2656035665</v>
      </c>
      <c r="BE73" s="257">
        <f t="shared" si="605"/>
        <v>0.2960627237</v>
      </c>
      <c r="BF73" s="258">
        <f t="shared" si="605"/>
        <v>1.025680272</v>
      </c>
      <c r="BG73" s="257">
        <f t="shared" si="605"/>
        <v>0.2568323474</v>
      </c>
      <c r="BH73" s="257">
        <f t="shared" si="605"/>
        <v>0.2141353029</v>
      </c>
      <c r="BI73" s="257">
        <f t="shared" si="605"/>
        <v>0.3411409418</v>
      </c>
      <c r="BJ73" s="257">
        <f t="shared" si="605"/>
        <v>0.4029839808</v>
      </c>
      <c r="BK73" s="258">
        <f t="shared" si="605"/>
        <v>1.217036367</v>
      </c>
      <c r="BL73" s="257">
        <f t="shared" si="605"/>
        <v>0.2702097082</v>
      </c>
      <c r="BM73" s="257">
        <f t="shared" si="605"/>
        <v>0.3050342144</v>
      </c>
      <c r="BN73" s="257">
        <f t="shared" si="605"/>
        <v>0.3784344188</v>
      </c>
      <c r="BO73" s="257">
        <f t="shared" si="605"/>
        <v>0.1895409924</v>
      </c>
      <c r="BP73" s="258">
        <f t="shared" si="605"/>
        <v>1.144328293</v>
      </c>
      <c r="BQ73" s="257">
        <f t="shared" si="605"/>
        <v>0.1494497693</v>
      </c>
      <c r="BR73" s="257">
        <f t="shared" si="605"/>
        <v>0.218867709</v>
      </c>
      <c r="BS73" s="257">
        <f t="shared" si="605"/>
        <v>0.3589383526</v>
      </c>
      <c r="BT73" s="257">
        <f t="shared" si="605"/>
        <v>0.576109741</v>
      </c>
      <c r="BU73" s="258">
        <f t="shared" si="605"/>
        <v>1.298385106</v>
      </c>
      <c r="BV73" s="257">
        <f t="shared" si="605"/>
        <v>0.4607894088</v>
      </c>
      <c r="BW73" s="257">
        <f t="shared" si="605"/>
        <v>0.5335394793</v>
      </c>
      <c r="BX73" s="257">
        <f t="shared" si="605"/>
        <v>0.5463135309</v>
      </c>
      <c r="BY73" s="257">
        <f t="shared" si="605"/>
        <v>0.5866452756</v>
      </c>
      <c r="BZ73" s="258">
        <f t="shared" si="605"/>
        <v>2.127493438</v>
      </c>
      <c r="CA73" s="257">
        <f t="shared" si="605"/>
        <v>0.6023696055</v>
      </c>
      <c r="CB73" s="257">
        <f t="shared" si="605"/>
        <v>0.579100025</v>
      </c>
      <c r="CC73" s="257">
        <f t="shared" si="605"/>
        <v>0.6826269902</v>
      </c>
      <c r="CD73" s="257">
        <f t="shared" si="605"/>
        <v>0.6746535067</v>
      </c>
      <c r="CE73" s="258">
        <f t="shared" si="605"/>
        <v>2.533437797</v>
      </c>
      <c r="CF73" s="257">
        <f t="shared" si="605"/>
        <v>0.565234886</v>
      </c>
      <c r="CG73" s="257">
        <f t="shared" si="605"/>
        <v>0.5824600816</v>
      </c>
      <c r="CH73" s="257">
        <f t="shared" si="605"/>
        <v>0.6173490576</v>
      </c>
      <c r="CI73" s="257">
        <f t="shared" si="605"/>
        <v>0.5259723187</v>
      </c>
      <c r="CJ73" s="258">
        <f t="shared" si="605"/>
        <v>2.291206244</v>
      </c>
      <c r="CK73" s="257">
        <f t="shared" si="605"/>
        <v>0.4511693381</v>
      </c>
      <c r="CL73" s="259">
        <f t="shared" si="605"/>
        <v>0.4335128328</v>
      </c>
      <c r="CM73" s="259">
        <f t="shared" si="605"/>
        <v>0.620811347</v>
      </c>
      <c r="CN73" s="259">
        <f t="shared" si="605"/>
        <v>0.5549645205</v>
      </c>
      <c r="CO73" s="260">
        <f t="shared" si="605"/>
        <v>2.059394776</v>
      </c>
      <c r="CP73" s="259">
        <f t="shared" ref="CP73:EE73" si="606">CP72</f>
        <v>0.4059018956</v>
      </c>
      <c r="CQ73" s="259">
        <f t="shared" si="606"/>
        <v>0.5674409526</v>
      </c>
      <c r="CR73" s="259">
        <f t="shared" si="606"/>
        <v>0.664420218</v>
      </c>
      <c r="CS73" s="259">
        <f t="shared" si="606"/>
        <v>0.7631578947</v>
      </c>
      <c r="CT73" s="261">
        <f t="shared" si="606"/>
        <v>2.400920961</v>
      </c>
      <c r="CU73" s="259">
        <f t="shared" si="606"/>
        <v>0.4489214489</v>
      </c>
      <c r="CV73" s="259">
        <f t="shared" si="606"/>
        <v>0.6223263394</v>
      </c>
      <c r="CW73" s="259">
        <f t="shared" si="606"/>
        <v>0.6417145201</v>
      </c>
      <c r="CX73" s="259">
        <f t="shared" si="606"/>
        <v>0.7627153404</v>
      </c>
      <c r="CY73" s="261">
        <f t="shared" si="606"/>
        <v>2.475677649</v>
      </c>
      <c r="CZ73" s="259">
        <f t="shared" si="606"/>
        <v>0.5392820513</v>
      </c>
      <c r="DA73" s="259">
        <f t="shared" si="606"/>
        <v>0.5875462392</v>
      </c>
      <c r="DB73" s="259">
        <f t="shared" si="606"/>
        <v>0.7968013123</v>
      </c>
      <c r="DC73" s="259">
        <f t="shared" si="606"/>
        <v>0.7918459332</v>
      </c>
      <c r="DD73" s="261">
        <f t="shared" si="606"/>
        <v>2.715475536</v>
      </c>
      <c r="DE73" s="259">
        <f t="shared" si="606"/>
        <v>0.6592911289</v>
      </c>
      <c r="DF73" s="259">
        <f t="shared" si="606"/>
        <v>0.7237198142</v>
      </c>
      <c r="DG73" s="259">
        <f t="shared" si="606"/>
        <v>1.005600498</v>
      </c>
      <c r="DH73" s="259">
        <f t="shared" si="606"/>
        <v>1.081628392</v>
      </c>
      <c r="DI73" s="261">
        <f t="shared" si="606"/>
        <v>3.465568082</v>
      </c>
      <c r="DJ73" s="259">
        <f t="shared" si="606"/>
        <v>0.8716075157</v>
      </c>
      <c r="DK73" s="259">
        <f t="shared" si="606"/>
        <v>1.040738361</v>
      </c>
      <c r="DL73" s="259">
        <f t="shared" si="606"/>
        <v>1.400172117</v>
      </c>
      <c r="DM73" s="259">
        <f t="shared" si="606"/>
        <v>1.27776575</v>
      </c>
      <c r="DN73" s="261">
        <f t="shared" si="606"/>
        <v>4.578894916</v>
      </c>
      <c r="DO73" s="259">
        <f t="shared" si="606"/>
        <v>0.8869412796</v>
      </c>
      <c r="DP73" s="259">
        <f t="shared" si="606"/>
        <v>1.057926155</v>
      </c>
      <c r="DQ73" s="259">
        <f t="shared" si="606"/>
        <v>1.418678096</v>
      </c>
      <c r="DR73" s="259">
        <f t="shared" si="606"/>
        <v>1.523667962</v>
      </c>
      <c r="DS73" s="261">
        <f t="shared" si="606"/>
        <v>4.870060918</v>
      </c>
      <c r="DT73" s="259">
        <f t="shared" si="606"/>
        <v>1.445269017</v>
      </c>
      <c r="DU73" s="259">
        <f t="shared" si="606"/>
        <v>1.232026144</v>
      </c>
      <c r="DV73" s="259">
        <f t="shared" si="606"/>
        <v>1.110187604</v>
      </c>
      <c r="DW73" s="259">
        <f t="shared" si="606"/>
        <v>1.516144695</v>
      </c>
      <c r="DX73" s="261">
        <f t="shared" si="606"/>
        <v>5.300720785</v>
      </c>
      <c r="DY73" s="259">
        <f t="shared" si="606"/>
        <v>1.390380859</v>
      </c>
      <c r="DZ73" s="259">
        <f t="shared" si="606"/>
        <v>1.27668952</v>
      </c>
      <c r="EA73" s="259">
        <f t="shared" si="606"/>
        <v>1.712432697</v>
      </c>
      <c r="EB73" s="259">
        <f t="shared" si="606"/>
        <v>1.086935287</v>
      </c>
      <c r="EC73" s="261">
        <f t="shared" si="606"/>
        <v>5.465925066</v>
      </c>
      <c r="ED73" s="259">
        <f t="shared" si="606"/>
        <v>0.8731434137</v>
      </c>
      <c r="EE73" s="259">
        <f t="shared" si="606"/>
        <v>0.2880487805</v>
      </c>
      <c r="EF73" s="259">
        <f t="shared" ref="EF73:EG73" si="607">(EF47-EF88-EF49)/EF78</f>
        <v>0.3973333333</v>
      </c>
      <c r="EG73" s="259">
        <f t="shared" si="607"/>
        <v>-0.08274860876</v>
      </c>
      <c r="EH73" s="261">
        <f t="shared" ref="EH73:EH74" si="626">SUM(ED73:EG73)</f>
        <v>1.475776919</v>
      </c>
      <c r="EI73" s="259" t="str">
        <f t="shared" ref="EI73:EL73" si="608">(EI47-EI88-EI49)/EI78</f>
        <v>#ERROR!</v>
      </c>
      <c r="EJ73" s="259" t="str">
        <f t="shared" si="608"/>
        <v>#ERROR!</v>
      </c>
      <c r="EK73" s="259" t="str">
        <f t="shared" si="608"/>
        <v>#ERROR!</v>
      </c>
      <c r="EL73" s="259" t="str">
        <f t="shared" si="608"/>
        <v>#ERROR!</v>
      </c>
      <c r="EM73" s="261" t="str">
        <f t="shared" ref="EM73:EM74" si="628">SUM(EI73:EL73)</f>
        <v>#ERROR!</v>
      </c>
      <c r="EN73" s="259" t="str">
        <f t="shared" ref="EN73:EQ73" si="609">(EN47-EN88-EN49)/EN78</f>
        <v>#ERROR!</v>
      </c>
      <c r="EO73" s="259" t="str">
        <f t="shared" si="609"/>
        <v>#ERROR!</v>
      </c>
      <c r="EP73" s="259" t="str">
        <f t="shared" si="609"/>
        <v>#ERROR!</v>
      </c>
      <c r="EQ73" s="259" t="str">
        <f t="shared" si="609"/>
        <v>#ERROR!</v>
      </c>
      <c r="ER73" s="261" t="str">
        <f t="shared" ref="ER73:ER74" si="630">SUM(EN73:EQ73)</f>
        <v>#ERROR!</v>
      </c>
      <c r="ES73" s="259" t="str">
        <f t="shared" ref="ES73:EV73" si="610">(ES47-ES88-ES49)/ES78</f>
        <v>#ERROR!</v>
      </c>
      <c r="ET73" s="259" t="str">
        <f t="shared" si="610"/>
        <v>#ERROR!</v>
      </c>
      <c r="EU73" s="259" t="str">
        <f t="shared" si="610"/>
        <v>#ERROR!</v>
      </c>
      <c r="EV73" s="259" t="str">
        <f t="shared" si="610"/>
        <v>#ERROR!</v>
      </c>
      <c r="EW73" s="261" t="str">
        <f t="shared" ref="EW73:EW74" si="632">SUM(ES73:EV73)</f>
        <v>#ERROR!</v>
      </c>
      <c r="EX73" s="259" t="str">
        <f t="shared" ref="EX73:FA73" si="611">(EX47-EX88-EX49)/EX78</f>
        <v>#ERROR!</v>
      </c>
      <c r="EY73" s="259" t="str">
        <f t="shared" si="611"/>
        <v>#ERROR!</v>
      </c>
      <c r="EZ73" s="259" t="str">
        <f t="shared" si="611"/>
        <v>#ERROR!</v>
      </c>
      <c r="FA73" s="259" t="str">
        <f t="shared" si="611"/>
        <v>#ERROR!</v>
      </c>
      <c r="FB73" s="261" t="str">
        <f t="shared" ref="FB73:FB74" si="634">SUM(EX73:FA73)</f>
        <v>#ERROR!</v>
      </c>
      <c r="FC73" s="259" t="str">
        <f t="shared" ref="FC73:FF73" si="612">(FC47-FC88-FC49)/FC78</f>
        <v>#ERROR!</v>
      </c>
      <c r="FD73" s="259" t="str">
        <f t="shared" si="612"/>
        <v>#ERROR!</v>
      </c>
      <c r="FE73" s="259" t="str">
        <f t="shared" si="612"/>
        <v>#ERROR!</v>
      </c>
      <c r="FF73" s="259" t="str">
        <f t="shared" si="612"/>
        <v>#ERROR!</v>
      </c>
      <c r="FG73" s="261" t="str">
        <f t="shared" ref="FG73:FG74" si="636">SUM(FC73:FF73)</f>
        <v>#ERROR!</v>
      </c>
      <c r="FH73" s="262"/>
      <c r="FI73" s="254"/>
      <c r="FJ73" s="254"/>
      <c r="FK73" s="254"/>
      <c r="FL73" s="254"/>
    </row>
    <row r="74" ht="12.75" hidden="1" customHeight="1" outlineLevel="1">
      <c r="A74" s="254"/>
      <c r="B74" s="255" t="s">
        <v>101</v>
      </c>
      <c r="C74" s="256"/>
      <c r="D74" s="257"/>
      <c r="E74" s="257"/>
      <c r="F74" s="257"/>
      <c r="G74" s="257"/>
      <c r="H74" s="258"/>
      <c r="I74" s="257"/>
      <c r="J74" s="257"/>
      <c r="K74" s="257"/>
      <c r="L74" s="257"/>
      <c r="M74" s="258"/>
      <c r="N74" s="257"/>
      <c r="O74" s="257"/>
      <c r="P74" s="257"/>
      <c r="Q74" s="257"/>
      <c r="R74" s="258"/>
      <c r="S74" s="257"/>
      <c r="T74" s="257"/>
      <c r="U74" s="257"/>
      <c r="V74" s="257"/>
      <c r="W74" s="258"/>
      <c r="X74" s="257"/>
      <c r="Y74" s="257"/>
      <c r="Z74" s="257"/>
      <c r="AA74" s="257"/>
      <c r="AB74" s="258"/>
      <c r="AC74" s="257"/>
      <c r="AD74" s="257"/>
      <c r="AE74" s="257"/>
      <c r="AF74" s="257"/>
      <c r="AG74" s="258"/>
      <c r="AH74" s="257"/>
      <c r="AI74" s="257"/>
      <c r="AJ74" s="257"/>
      <c r="AK74" s="257"/>
      <c r="AL74" s="258"/>
      <c r="AM74" s="257"/>
      <c r="AN74" s="257"/>
      <c r="AO74" s="257"/>
      <c r="AP74" s="257"/>
      <c r="AQ74" s="258"/>
      <c r="AR74" s="257"/>
      <c r="AS74" s="257"/>
      <c r="AT74" s="257"/>
      <c r="AU74" s="257"/>
      <c r="AV74" s="258"/>
      <c r="AW74" s="257"/>
      <c r="AX74" s="257"/>
      <c r="AY74" s="257"/>
      <c r="AZ74" s="257"/>
      <c r="BA74" s="258"/>
      <c r="BB74" s="257">
        <f t="shared" si="613"/>
        <v>0</v>
      </c>
      <c r="BC74" s="257">
        <f t="shared" si="614"/>
        <v>0.1508179959</v>
      </c>
      <c r="BD74" s="257" t="str">
        <f t="shared" ref="BD74:CO74" si="615">BD72+BD58/BD79</f>
        <v>#DIV/0!</v>
      </c>
      <c r="BE74" s="257" t="str">
        <f t="shared" si="615"/>
        <v>#DIV/0!</v>
      </c>
      <c r="BF74" s="258" t="str">
        <f t="shared" si="615"/>
        <v>#DIV/0!</v>
      </c>
      <c r="BG74" s="257" t="str">
        <f t="shared" si="615"/>
        <v>#DIV/0!</v>
      </c>
      <c r="BH74" s="257" t="str">
        <f t="shared" si="615"/>
        <v>#DIV/0!</v>
      </c>
      <c r="BI74" s="257" t="str">
        <f t="shared" si="615"/>
        <v>#DIV/0!</v>
      </c>
      <c r="BJ74" s="257" t="str">
        <f t="shared" si="615"/>
        <v>#DIV/0!</v>
      </c>
      <c r="BK74" s="258" t="str">
        <f t="shared" si="615"/>
        <v>#DIV/0!</v>
      </c>
      <c r="BL74" s="257" t="str">
        <f t="shared" si="615"/>
        <v>#DIV/0!</v>
      </c>
      <c r="BM74" s="257" t="str">
        <f t="shared" si="615"/>
        <v>#DIV/0!</v>
      </c>
      <c r="BN74" s="257" t="str">
        <f t="shared" si="615"/>
        <v>#DIV/0!</v>
      </c>
      <c r="BO74" s="257" t="str">
        <f t="shared" si="615"/>
        <v>#DIV/0!</v>
      </c>
      <c r="BP74" s="258" t="str">
        <f t="shared" si="615"/>
        <v>#DIV/0!</v>
      </c>
      <c r="BQ74" s="257" t="str">
        <f t="shared" si="615"/>
        <v>#DIV/0!</v>
      </c>
      <c r="BR74" s="257" t="str">
        <f t="shared" si="615"/>
        <v>#DIV/0!</v>
      </c>
      <c r="BS74" s="257" t="str">
        <f t="shared" si="615"/>
        <v>#DIV/0!</v>
      </c>
      <c r="BT74" s="257" t="str">
        <f t="shared" si="615"/>
        <v>#DIV/0!</v>
      </c>
      <c r="BU74" s="258" t="str">
        <f t="shared" si="615"/>
        <v>#DIV/0!</v>
      </c>
      <c r="BV74" s="257" t="str">
        <f t="shared" si="615"/>
        <v>#DIV/0!</v>
      </c>
      <c r="BW74" s="257" t="str">
        <f t="shared" si="615"/>
        <v>#DIV/0!</v>
      </c>
      <c r="BX74" s="257" t="str">
        <f t="shared" si="615"/>
        <v>#DIV/0!</v>
      </c>
      <c r="BY74" s="257" t="str">
        <f t="shared" si="615"/>
        <v>#DIV/0!</v>
      </c>
      <c r="BZ74" s="258" t="str">
        <f t="shared" si="615"/>
        <v>#DIV/0!</v>
      </c>
      <c r="CA74" s="257" t="str">
        <f t="shared" si="615"/>
        <v>#DIV/0!</v>
      </c>
      <c r="CB74" s="257" t="str">
        <f t="shared" si="615"/>
        <v>#DIV/0!</v>
      </c>
      <c r="CC74" s="257" t="str">
        <f t="shared" si="615"/>
        <v>#DIV/0!</v>
      </c>
      <c r="CD74" s="257" t="str">
        <f t="shared" si="615"/>
        <v>#DIV/0!</v>
      </c>
      <c r="CE74" s="258" t="str">
        <f t="shared" si="615"/>
        <v>#DIV/0!</v>
      </c>
      <c r="CF74" s="257" t="str">
        <f t="shared" si="615"/>
        <v>#DIV/0!</v>
      </c>
      <c r="CG74" s="257" t="str">
        <f t="shared" si="615"/>
        <v>#DIV/0!</v>
      </c>
      <c r="CH74" s="257" t="str">
        <f t="shared" si="615"/>
        <v>#DIV/0!</v>
      </c>
      <c r="CI74" s="257" t="str">
        <f t="shared" si="615"/>
        <v>#DIV/0!</v>
      </c>
      <c r="CJ74" s="258" t="str">
        <f t="shared" si="615"/>
        <v>#DIV/0!</v>
      </c>
      <c r="CK74" s="257" t="str">
        <f t="shared" si="615"/>
        <v>#DIV/0!</v>
      </c>
      <c r="CL74" s="259" t="str">
        <f t="shared" si="615"/>
        <v>#DIV/0!</v>
      </c>
      <c r="CM74" s="259" t="str">
        <f t="shared" si="615"/>
        <v>#DIV/0!</v>
      </c>
      <c r="CN74" s="259" t="str">
        <f t="shared" si="615"/>
        <v>#DIV/0!</v>
      </c>
      <c r="CO74" s="260" t="str">
        <f t="shared" si="615"/>
        <v>#DIV/0!</v>
      </c>
      <c r="CP74" s="259">
        <f t="shared" ref="CP74:CS74" si="616">(CP47+CP88-CP49)/CP78</f>
        <v>0.4612077389</v>
      </c>
      <c r="CQ74" s="259">
        <f t="shared" si="616"/>
        <v>0.6265859848</v>
      </c>
      <c r="CR74" s="259">
        <f t="shared" si="616"/>
        <v>0.7201189296</v>
      </c>
      <c r="CS74" s="259">
        <f t="shared" si="616"/>
        <v>0.8200404858</v>
      </c>
      <c r="CT74" s="261">
        <f>SUM(CP74:CS74)</f>
        <v>2.627953139</v>
      </c>
      <c r="CU74" s="259">
        <f t="shared" ref="CU74:CX74" si="617">(CU47+CU88-CU49)/CU78</f>
        <v>0.5238095238</v>
      </c>
      <c r="CV74" s="259">
        <f t="shared" si="617"/>
        <v>0.6899572214</v>
      </c>
      <c r="CW74" s="259">
        <f t="shared" si="617"/>
        <v>0.7050861362</v>
      </c>
      <c r="CX74" s="259">
        <f t="shared" si="617"/>
        <v>0.8234208368</v>
      </c>
      <c r="CY74" s="261">
        <f>SUM(CU74:CX74)</f>
        <v>2.742273718</v>
      </c>
      <c r="CZ74" s="259">
        <f t="shared" ref="CZ74:DC74" si="618">(CZ47+CZ88-CZ49)/CZ78</f>
        <v>0.6311794872</v>
      </c>
      <c r="DA74" s="259">
        <f t="shared" si="618"/>
        <v>0.662351007</v>
      </c>
      <c r="DB74" s="259">
        <f t="shared" si="618"/>
        <v>0.8632355957</v>
      </c>
      <c r="DC74" s="259">
        <f t="shared" si="618"/>
        <v>0.8549477566</v>
      </c>
      <c r="DD74" s="261">
        <f>SUM(CZ74:DC74)</f>
        <v>3.011713846</v>
      </c>
      <c r="DE74" s="259">
        <f t="shared" ref="DE74:DH74" si="619">(DE47+DE88-DE49)/DE78</f>
        <v>0.7406269207</v>
      </c>
      <c r="DF74" s="259">
        <f t="shared" si="619"/>
        <v>0.7914184727</v>
      </c>
      <c r="DG74" s="259">
        <f t="shared" si="619"/>
        <v>1.073221323</v>
      </c>
      <c r="DH74" s="259">
        <f t="shared" si="619"/>
        <v>1.145720251</v>
      </c>
      <c r="DI74" s="261">
        <f>SUM(DE74:DH74)</f>
        <v>3.750986967</v>
      </c>
      <c r="DJ74" s="259">
        <f t="shared" ref="DJ74:DM74" si="620">(DJ47+DJ88-DJ49)/DJ78</f>
        <v>0.9620041754</v>
      </c>
      <c r="DK74" s="259">
        <f t="shared" si="620"/>
        <v>1.122263535</v>
      </c>
      <c r="DL74" s="259">
        <f t="shared" si="620"/>
        <v>1.48257315</v>
      </c>
      <c r="DM74" s="259">
        <f t="shared" si="620"/>
        <v>1.352024248</v>
      </c>
      <c r="DN74" s="261">
        <f>SUM(DJ74:DM74)</f>
        <v>4.918865108</v>
      </c>
      <c r="DO74" s="259">
        <f t="shared" ref="DO74:DR74" si="621">(DO47+DO88-DO49)/DO78</f>
        <v>0.972173532</v>
      </c>
      <c r="DP74" s="259">
        <f t="shared" si="621"/>
        <v>1.161839487</v>
      </c>
      <c r="DQ74" s="259">
        <f t="shared" si="621"/>
        <v>1.515903451</v>
      </c>
      <c r="DR74" s="259">
        <f t="shared" si="621"/>
        <v>1.648443403</v>
      </c>
      <c r="DS74" s="261">
        <f>SUM(DO74:DR74)</f>
        <v>5.298359873</v>
      </c>
      <c r="DT74" s="259">
        <f t="shared" ref="DT74:DW74" si="622">(DT47+DT88-DT49)/DT78</f>
        <v>1.549397032</v>
      </c>
      <c r="DU74" s="259">
        <f t="shared" si="622"/>
        <v>1.346872082</v>
      </c>
      <c r="DV74" s="259">
        <f t="shared" si="622"/>
        <v>1.217525528</v>
      </c>
      <c r="DW74" s="259">
        <f t="shared" si="622"/>
        <v>1.628065064</v>
      </c>
      <c r="DX74" s="261">
        <f>SUM(DT74:DW74)</f>
        <v>5.741859706</v>
      </c>
      <c r="DY74" s="259">
        <f>(DY47+DY88-DY49)/DY78</f>
        <v>1.494140625</v>
      </c>
      <c r="DZ74" s="259" t="s">
        <v>102</v>
      </c>
      <c r="EA74" s="259">
        <f t="shared" ref="EA74:EB74" si="623">(EA47+EA88-EA49)/EA78</f>
        <v>1.845325502</v>
      </c>
      <c r="EB74" s="259">
        <f t="shared" si="623"/>
        <v>1.196581197</v>
      </c>
      <c r="EC74" s="261">
        <f>SUM(DY74:EB74)</f>
        <v>4.536047323</v>
      </c>
      <c r="ED74" s="259">
        <f t="shared" ref="ED74:EE74" si="624">(ED47+ED88-ED49)/ED78</f>
        <v>1.045288532</v>
      </c>
      <c r="EE74" s="259">
        <f t="shared" si="624"/>
        <v>0.5056097561</v>
      </c>
      <c r="EF74" s="259">
        <f t="shared" ref="EF74:EG74" si="625">EF72</f>
        <v>0.5895757576</v>
      </c>
      <c r="EG74" s="259">
        <f t="shared" si="625"/>
        <v>0.09533026857</v>
      </c>
      <c r="EH74" s="261">
        <f t="shared" si="626"/>
        <v>2.235804314</v>
      </c>
      <c r="EI74" s="259" t="str">
        <f t="shared" ref="EI74:EL74" si="627">EI72</f>
        <v>#ERROR!</v>
      </c>
      <c r="EJ74" s="259" t="str">
        <f t="shared" si="627"/>
        <v>#ERROR!</v>
      </c>
      <c r="EK74" s="259" t="str">
        <f t="shared" si="627"/>
        <v>#ERROR!</v>
      </c>
      <c r="EL74" s="259" t="str">
        <f t="shared" si="627"/>
        <v>#ERROR!</v>
      </c>
      <c r="EM74" s="261" t="str">
        <f t="shared" si="628"/>
        <v>#ERROR!</v>
      </c>
      <c r="EN74" s="259" t="str">
        <f t="shared" ref="EN74:EQ74" si="629">EN72</f>
        <v>#ERROR!</v>
      </c>
      <c r="EO74" s="259" t="str">
        <f t="shared" si="629"/>
        <v>#ERROR!</v>
      </c>
      <c r="EP74" s="259" t="str">
        <f t="shared" si="629"/>
        <v>#ERROR!</v>
      </c>
      <c r="EQ74" s="259" t="str">
        <f t="shared" si="629"/>
        <v>#ERROR!</v>
      </c>
      <c r="ER74" s="261" t="str">
        <f t="shared" si="630"/>
        <v>#ERROR!</v>
      </c>
      <c r="ES74" s="259" t="str">
        <f t="shared" ref="ES74:EV74" si="631">ES72</f>
        <v>#ERROR!</v>
      </c>
      <c r="ET74" s="259" t="str">
        <f t="shared" si="631"/>
        <v>#ERROR!</v>
      </c>
      <c r="EU74" s="259" t="str">
        <f t="shared" si="631"/>
        <v>#ERROR!</v>
      </c>
      <c r="EV74" s="259" t="str">
        <f t="shared" si="631"/>
        <v>#ERROR!</v>
      </c>
      <c r="EW74" s="261" t="str">
        <f t="shared" si="632"/>
        <v>#ERROR!</v>
      </c>
      <c r="EX74" s="259" t="str">
        <f t="shared" ref="EX74:FA74" si="633">EX72</f>
        <v>#ERROR!</v>
      </c>
      <c r="EY74" s="259" t="str">
        <f t="shared" si="633"/>
        <v>#ERROR!</v>
      </c>
      <c r="EZ74" s="259" t="str">
        <f t="shared" si="633"/>
        <v>#ERROR!</v>
      </c>
      <c r="FA74" s="259" t="str">
        <f t="shared" si="633"/>
        <v>#ERROR!</v>
      </c>
      <c r="FB74" s="261" t="str">
        <f t="shared" si="634"/>
        <v>#ERROR!</v>
      </c>
      <c r="FC74" s="259" t="str">
        <f t="shared" ref="FC74:FF74" si="635">FC72</f>
        <v>#ERROR!</v>
      </c>
      <c r="FD74" s="259" t="str">
        <f t="shared" si="635"/>
        <v>#ERROR!</v>
      </c>
      <c r="FE74" s="259" t="str">
        <f t="shared" si="635"/>
        <v>#ERROR!</v>
      </c>
      <c r="FF74" s="259" t="str">
        <f t="shared" si="635"/>
        <v>#ERROR!</v>
      </c>
      <c r="FG74" s="261" t="str">
        <f t="shared" si="636"/>
        <v>#ERROR!</v>
      </c>
      <c r="FH74" s="262"/>
      <c r="FI74" s="254"/>
      <c r="FJ74" s="254"/>
      <c r="FK74" s="254"/>
      <c r="FL74" s="254"/>
    </row>
    <row r="75" ht="12.75" customHeight="1" collapsed="1">
      <c r="A75" s="263"/>
      <c r="B75" s="264" t="s">
        <v>103</v>
      </c>
      <c r="C75" s="72"/>
      <c r="D75" s="216"/>
      <c r="E75" s="216"/>
      <c r="F75" s="216"/>
      <c r="G75" s="216"/>
      <c r="H75" s="224"/>
      <c r="I75" s="216"/>
      <c r="J75" s="216"/>
      <c r="K75" s="216"/>
      <c r="L75" s="216"/>
      <c r="M75" s="224"/>
      <c r="N75" s="216">
        <v>0.007464960390006094</v>
      </c>
      <c r="O75" s="216">
        <v>0.007539917208752218</v>
      </c>
      <c r="P75" s="216">
        <v>0.007449344457687724</v>
      </c>
      <c r="Q75" s="216">
        <v>0.010072158749248347</v>
      </c>
      <c r="R75" s="224">
        <v>0.03252398081534772</v>
      </c>
      <c r="S75" s="216">
        <v>0.010078219013237064</v>
      </c>
      <c r="T75" s="216">
        <v>0.015105740181268883</v>
      </c>
      <c r="U75" s="216">
        <v>0.014887218045112782</v>
      </c>
      <c r="V75" s="216">
        <v>0.014985763524651582</v>
      </c>
      <c r="W75" s="224">
        <v>0.055054151624548735</v>
      </c>
      <c r="X75" s="216">
        <v>0.014963339817447255</v>
      </c>
      <c r="Y75" s="216">
        <v>0.014903129657228018</v>
      </c>
      <c r="Z75" s="216">
        <v>0.020092275636255395</v>
      </c>
      <c r="AA75" s="216">
        <v>0.020080321285140562</v>
      </c>
      <c r="AB75" s="224">
        <v>0.07005514979877776</v>
      </c>
      <c r="AC75" s="216">
        <v>0.019937509299211426</v>
      </c>
      <c r="AD75" s="216">
        <v>0.020074349442379184</v>
      </c>
      <c r="AE75" s="216">
        <v>0.020095266448347724</v>
      </c>
      <c r="AF75" s="216">
        <v>0.020005971931919976</v>
      </c>
      <c r="AG75" s="224">
        <v>0.08010720667063728</v>
      </c>
      <c r="AH75" s="216">
        <v>0.02004787552363854</v>
      </c>
      <c r="AI75" s="216">
        <v>0.02006889321551595</v>
      </c>
      <c r="AJ75" s="216">
        <v>0.020012037315678605</v>
      </c>
      <c r="AK75" s="216">
        <v>0.020006062443164597</v>
      </c>
      <c r="AL75" s="224">
        <v>0.08013832506390016</v>
      </c>
      <c r="AM75" s="216">
        <v>0.019981696156192802</v>
      </c>
      <c r="AN75" s="216">
        <v>0.02007662835249042</v>
      </c>
      <c r="AO75" s="216">
        <v>0.020101273592143625</v>
      </c>
      <c r="AP75" s="216">
        <v>0.020116707616707617</v>
      </c>
      <c r="AQ75" s="224">
        <v>0.08028190592921709</v>
      </c>
      <c r="AR75" s="216">
        <v>0.039969135802469136</v>
      </c>
      <c r="AS75" s="216">
        <v>0.040006202512017364</v>
      </c>
      <c r="AT75" s="216">
        <v>0.03968627450980392</v>
      </c>
      <c r="AU75" s="216">
        <v>0.04003813155386082</v>
      </c>
      <c r="AV75" s="224">
        <v>0.1596875</v>
      </c>
      <c r="AW75" s="216">
        <v>0.08001932056029624</v>
      </c>
      <c r="AX75" s="216">
        <v>0.08024088541666667</v>
      </c>
      <c r="AY75" s="216">
        <v>0.08017156054107555</v>
      </c>
      <c r="AZ75" s="216">
        <v>0.08022636484687085</v>
      </c>
      <c r="BA75" s="224">
        <v>0.32066819521781853</v>
      </c>
      <c r="BB75" s="216">
        <v>0.09993167065254527</v>
      </c>
      <c r="BC75" s="216">
        <v>0.10032752973625238</v>
      </c>
      <c r="BD75" s="216">
        <v>0.1000173340266944</v>
      </c>
      <c r="BE75" s="216">
        <v>0.09993060374739764</v>
      </c>
      <c r="BF75" s="224">
        <v>0.4002070036225634</v>
      </c>
      <c r="BG75" s="216">
        <v>0.11251514626969016</v>
      </c>
      <c r="BH75" s="216">
        <v>0.11223962816319505</v>
      </c>
      <c r="BI75" s="216">
        <v>0.11255782079835532</v>
      </c>
      <c r="BJ75" s="216">
        <v>0.1128231467214518</v>
      </c>
      <c r="BK75" s="224">
        <v>0.4501375515818432</v>
      </c>
      <c r="BL75" s="216">
        <v>0.1277000172801106</v>
      </c>
      <c r="BM75" s="216">
        <v>0.1403755044744692</v>
      </c>
      <c r="BN75" s="216">
        <v>0.13974656434053187</v>
      </c>
      <c r="BO75" s="216">
        <v>0.1398777418194894</v>
      </c>
      <c r="BP75" s="224">
        <v>0.5474130319618576</v>
      </c>
      <c r="BQ75" s="216">
        <v>0.13978108738560918</v>
      </c>
      <c r="BR75" s="216">
        <v>0.14012511170688113</v>
      </c>
      <c r="BS75" s="216">
        <v>0.1392450785623984</v>
      </c>
      <c r="BT75" s="216">
        <v>0.14016660630206446</v>
      </c>
      <c r="BU75" s="224">
        <v>0.5592945834083138</v>
      </c>
      <c r="BV75" s="216">
        <v>0.15735214324470972</v>
      </c>
      <c r="BW75" s="216">
        <v>0.1576487506740967</v>
      </c>
      <c r="BX75" s="216">
        <v>0.15730941704035875</v>
      </c>
      <c r="BY75" s="216">
        <v>0.1582643140079222</v>
      </c>
      <c r="BZ75" s="225">
        <v>0.6306030603060306</v>
      </c>
      <c r="CA75" s="216">
        <v>0.1823184152604549</v>
      </c>
      <c r="CB75" s="216">
        <v>0.18152625613902532</v>
      </c>
      <c r="CC75" s="216">
        <v>0.21116788602233347</v>
      </c>
      <c r="CD75" s="216">
        <v>0.2110869994081673</v>
      </c>
      <c r="CE75" s="225">
        <v>0.7851978691019786</v>
      </c>
      <c r="CF75" s="216">
        <v>0.20984196839367875</v>
      </c>
      <c r="CG75" s="216">
        <v>0.21047391477499006</v>
      </c>
      <c r="CH75" s="216">
        <v>0.22518014411529225</v>
      </c>
      <c r="CI75" s="216">
        <v>0.2252415458937198</v>
      </c>
      <c r="CJ75" s="225">
        <v>0.8706965572457966</v>
      </c>
      <c r="CK75" s="216">
        <v>0.22514147130153597</v>
      </c>
      <c r="CL75" s="219">
        <v>0.22559260747288068</v>
      </c>
      <c r="CM75" s="219">
        <v>0.22505520979722948</v>
      </c>
      <c r="CN75" s="220">
        <v>0.22550794608730637</v>
      </c>
      <c r="CO75" s="218">
        <v>0.9012979172955026</v>
      </c>
      <c r="CP75" s="220">
        <v>0.2249698431845597</v>
      </c>
      <c r="CQ75" s="219">
        <v>0.22605902429231078</v>
      </c>
      <c r="CR75" s="219">
        <v>0.22438524590163936</v>
      </c>
      <c r="CS75" s="219">
        <v>0.22415600754875237</v>
      </c>
      <c r="CT75" s="218">
        <v>0.8996123240155071</v>
      </c>
      <c r="CU75" s="219">
        <v>0.2398228221894115</v>
      </c>
      <c r="CV75" s="219">
        <v>0.2408068922042446</v>
      </c>
      <c r="CW75" s="219">
        <v>0.24015167474194227</v>
      </c>
      <c r="CX75" s="219">
        <v>0.2399407030919102</v>
      </c>
      <c r="CY75" s="218">
        <v>0.9607253940639991</v>
      </c>
      <c r="CZ75" s="219">
        <v>0.26005929690808977</v>
      </c>
      <c r="DA75" s="219">
        <v>0.2607316557411715</v>
      </c>
      <c r="DB75" s="219">
        <v>0.26003379805661175</v>
      </c>
      <c r="DC75" s="219">
        <v>0.2604012671594509</v>
      </c>
      <c r="DD75" s="218">
        <v>1.0412262156448202</v>
      </c>
      <c r="DE75" s="219">
        <v>0.2602159644293881</v>
      </c>
      <c r="DF75" s="219">
        <v>0.2732484076433121</v>
      </c>
      <c r="DG75" s="220">
        <v>0.27261092150170646</v>
      </c>
      <c r="DH75" s="219">
        <v>0.2729019859064702</v>
      </c>
      <c r="DI75" s="218">
        <v>1.0789193788555627</v>
      </c>
      <c r="DJ75" s="220">
        <f>CF!DJ78</f>
        <v>0.3</v>
      </c>
      <c r="DK75" s="220">
        <f>CF!DK78</f>
        <v>0.3</v>
      </c>
      <c r="DL75" s="220">
        <f>CF!DL78</f>
        <v>0.3</v>
      </c>
      <c r="DM75" s="220">
        <f>CF!DM78</f>
        <v>0.3</v>
      </c>
      <c r="DN75" s="218">
        <f>CF!DN78</f>
        <v>1.2</v>
      </c>
      <c r="DO75" s="220">
        <f>CF!DO78</f>
        <v>0.315</v>
      </c>
      <c r="DP75" s="220">
        <f>CF!DP78</f>
        <v>0.315</v>
      </c>
      <c r="DQ75" s="220">
        <f>CF!DQ78</f>
        <v>0.315</v>
      </c>
      <c r="DR75" s="220">
        <f>CF!DR78</f>
        <v>0.315</v>
      </c>
      <c r="DS75" s="218">
        <f>CF!DS78</f>
        <v>1.26</v>
      </c>
      <c r="DT75" s="220">
        <f>CF!DT78</f>
        <v>0.33</v>
      </c>
      <c r="DU75" s="220">
        <f>CF!DU78</f>
        <v>0.33</v>
      </c>
      <c r="DV75" s="220">
        <f>CF!DV78</f>
        <v>0.33</v>
      </c>
      <c r="DW75" s="220">
        <f>CF!DW78</f>
        <v>0.33</v>
      </c>
      <c r="DX75" s="218">
        <f>CF!DX78</f>
        <v>1.32</v>
      </c>
      <c r="DY75" s="220">
        <f>CF!DY78</f>
        <v>0.3475</v>
      </c>
      <c r="DZ75" s="220">
        <f>CF!DZ78</f>
        <v>0.3452497551</v>
      </c>
      <c r="EA75" s="220">
        <f>CF!EA78</f>
        <v>0.3450807636</v>
      </c>
      <c r="EB75" s="220">
        <f>CF!EB78</f>
        <v>0.3450807636</v>
      </c>
      <c r="EC75" s="218">
        <f>CF!EC78</f>
        <v>1.382911282</v>
      </c>
      <c r="ED75" s="220">
        <f>CF!ED78</f>
        <v>0.3620647675</v>
      </c>
      <c r="EE75" s="220">
        <f>CF!EE78</f>
        <v>0.3656097561</v>
      </c>
      <c r="EF75" s="220">
        <f>CF!EF78</f>
        <v>0.3641212121</v>
      </c>
      <c r="EG75" s="220">
        <f>CF!EG78</f>
        <v>0.3651100895</v>
      </c>
      <c r="EH75" s="218">
        <f>CF!EH78</f>
        <v>1.456905825</v>
      </c>
      <c r="EI75" s="221">
        <f>CF!EI78</f>
        <v>0.4</v>
      </c>
      <c r="EJ75" s="220">
        <f>CF!EJ78</f>
        <v>0.125</v>
      </c>
      <c r="EK75" s="220">
        <f>CF!EK78</f>
        <v>0.125</v>
      </c>
      <c r="EL75" s="220">
        <f>CF!EL78</f>
        <v>0.125</v>
      </c>
      <c r="EM75" s="218">
        <f>CF!EM78</f>
        <v>0.775</v>
      </c>
      <c r="EN75" s="220">
        <f>CF!EN78</f>
        <v>0.15</v>
      </c>
      <c r="EO75" s="220">
        <f>CF!EO78</f>
        <v>0.2</v>
      </c>
      <c r="EP75" s="220">
        <f>CF!EP78</f>
        <v>0.2</v>
      </c>
      <c r="EQ75" s="220">
        <f>CF!EQ78</f>
        <v>0.2</v>
      </c>
      <c r="ER75" s="218">
        <f>CF!ER78</f>
        <v>0.75</v>
      </c>
      <c r="ES75" s="220">
        <f>CF!ES78</f>
        <v>0.3</v>
      </c>
      <c r="ET75" s="220">
        <f>CF!ET78</f>
        <v>0.3</v>
      </c>
      <c r="EU75" s="220">
        <f>CF!EU78</f>
        <v>0.3</v>
      </c>
      <c r="EV75" s="220">
        <f>CF!EV78</f>
        <v>0.3</v>
      </c>
      <c r="EW75" s="218">
        <f>CF!EW78</f>
        <v>1.2</v>
      </c>
      <c r="EX75" s="220">
        <f>CF!EX78</f>
        <v>0.5</v>
      </c>
      <c r="EY75" s="220">
        <f>CF!EY78</f>
        <v>0.5</v>
      </c>
      <c r="EZ75" s="220">
        <f>CF!EZ78</f>
        <v>0.5</v>
      </c>
      <c r="FA75" s="220">
        <f>CF!FA78</f>
        <v>0.5</v>
      </c>
      <c r="FB75" s="218">
        <f>CF!FB78</f>
        <v>2</v>
      </c>
      <c r="FC75" s="220">
        <f>CF!FC78</f>
        <v>0.6</v>
      </c>
      <c r="FD75" s="220">
        <f>CF!FD78</f>
        <v>0.6</v>
      </c>
      <c r="FE75" s="220">
        <f>CF!FE78</f>
        <v>0.6</v>
      </c>
      <c r="FF75" s="220">
        <f>CF!FF78</f>
        <v>0.6</v>
      </c>
      <c r="FG75" s="218">
        <f>CF!FG78</f>
        <v>2.4</v>
      </c>
      <c r="FH75" s="222"/>
      <c r="FI75" s="4"/>
      <c r="FJ75" s="4"/>
      <c r="FK75" s="4"/>
      <c r="FL75" s="4"/>
    </row>
    <row r="76" ht="12.75" hidden="1" customHeight="1">
      <c r="A76" s="4"/>
      <c r="B76" s="4"/>
      <c r="C76" s="4"/>
      <c r="D76" s="170"/>
      <c r="E76" s="170"/>
      <c r="F76" s="170"/>
      <c r="G76" s="170"/>
      <c r="H76" s="265"/>
      <c r="I76" s="170"/>
      <c r="J76" s="170"/>
      <c r="K76" s="170"/>
      <c r="L76" s="170"/>
      <c r="M76" s="265"/>
      <c r="N76" s="170"/>
      <c r="O76" s="170"/>
      <c r="P76" s="170"/>
      <c r="Q76" s="170"/>
      <c r="R76" s="265"/>
      <c r="S76" s="170"/>
      <c r="T76" s="170"/>
      <c r="U76" s="170"/>
      <c r="V76" s="170"/>
      <c r="W76" s="265"/>
      <c r="X76" s="170"/>
      <c r="Y76" s="170"/>
      <c r="Z76" s="170"/>
      <c r="AA76" s="170"/>
      <c r="AB76" s="265"/>
      <c r="AC76" s="170"/>
      <c r="AD76" s="170"/>
      <c r="AE76" s="170"/>
      <c r="AF76" s="170"/>
      <c r="AG76" s="265"/>
      <c r="AH76" s="170"/>
      <c r="AI76" s="170"/>
      <c r="AJ76" s="170"/>
      <c r="AK76" s="170"/>
      <c r="AL76" s="265"/>
      <c r="AM76" s="170"/>
      <c r="AN76" s="170"/>
      <c r="AO76" s="170"/>
      <c r="AP76" s="170"/>
      <c r="AQ76" s="265"/>
      <c r="AR76" s="170"/>
      <c r="AS76" s="170"/>
      <c r="AT76" s="170"/>
      <c r="AU76" s="170"/>
      <c r="AV76" s="265"/>
      <c r="AW76" s="170"/>
      <c r="AX76" s="170"/>
      <c r="AY76" s="170"/>
      <c r="AZ76" s="170"/>
      <c r="BA76" s="265"/>
      <c r="BB76" s="170"/>
      <c r="BC76" s="170"/>
      <c r="BD76" s="170"/>
      <c r="BE76" s="170"/>
      <c r="BF76" s="265"/>
      <c r="BG76" s="170"/>
      <c r="BH76" s="170"/>
      <c r="BI76" s="170"/>
      <c r="BJ76" s="170"/>
      <c r="BK76" s="265"/>
      <c r="BL76" s="170"/>
      <c r="BM76" s="170"/>
      <c r="BN76" s="170"/>
      <c r="BO76" s="170"/>
      <c r="BP76" s="265"/>
      <c r="BQ76" s="170"/>
      <c r="BR76" s="170"/>
      <c r="BS76" s="170"/>
      <c r="BT76" s="170"/>
      <c r="BU76" s="265"/>
      <c r="BV76" s="170"/>
      <c r="BW76" s="170"/>
      <c r="BX76" s="170"/>
      <c r="BY76" s="170"/>
      <c r="BZ76" s="172"/>
      <c r="CA76" s="170"/>
      <c r="CB76" s="170"/>
      <c r="CC76" s="170"/>
      <c r="CD76" s="170"/>
      <c r="CE76" s="266"/>
      <c r="CF76" s="170"/>
      <c r="CG76" s="170"/>
      <c r="CH76" s="170"/>
      <c r="CI76" s="170"/>
      <c r="CJ76" s="266"/>
      <c r="CK76" s="170"/>
      <c r="CL76" s="175"/>
      <c r="CM76" s="175"/>
      <c r="CN76" s="176"/>
      <c r="CO76" s="172"/>
      <c r="CP76" s="176"/>
      <c r="CQ76" s="175"/>
      <c r="CR76" s="175"/>
      <c r="CS76" s="175"/>
      <c r="CT76" s="172"/>
      <c r="CU76" s="175"/>
      <c r="CV76" s="175"/>
      <c r="CW76" s="175"/>
      <c r="CX76" s="175"/>
      <c r="CY76" s="172"/>
      <c r="CZ76" s="175"/>
      <c r="DA76" s="175"/>
      <c r="DB76" s="175"/>
      <c r="DC76" s="175"/>
      <c r="DD76" s="172"/>
      <c r="DE76" s="175"/>
      <c r="DF76" s="175"/>
      <c r="DG76" s="176"/>
      <c r="DH76" s="175"/>
      <c r="DI76" s="172"/>
      <c r="DJ76" s="176"/>
      <c r="DK76" s="176"/>
      <c r="DL76" s="176"/>
      <c r="DM76" s="176"/>
      <c r="DN76" s="172"/>
      <c r="DO76" s="176"/>
      <c r="DP76" s="176"/>
      <c r="DQ76" s="176"/>
      <c r="DR76" s="176"/>
      <c r="DS76" s="172"/>
      <c r="DT76" s="176"/>
      <c r="DU76" s="176"/>
      <c r="DV76" s="176"/>
      <c r="DW76" s="176"/>
      <c r="DX76" s="172"/>
      <c r="DY76" s="176"/>
      <c r="DZ76" s="176"/>
      <c r="EA76" s="176"/>
      <c r="EB76" s="176"/>
      <c r="EC76" s="172"/>
      <c r="ED76" s="176"/>
      <c r="EE76" s="176"/>
      <c r="EF76" s="176"/>
      <c r="EG76" s="176"/>
      <c r="EH76" s="172"/>
      <c r="EI76" s="177"/>
      <c r="EJ76" s="175"/>
      <c r="EK76" s="175"/>
      <c r="EL76" s="175"/>
      <c r="EM76" s="172"/>
      <c r="EN76" s="175"/>
      <c r="EO76" s="175"/>
      <c r="EP76" s="175"/>
      <c r="EQ76" s="175"/>
      <c r="ER76" s="172"/>
      <c r="ES76" s="175"/>
      <c r="ET76" s="175"/>
      <c r="EU76" s="175"/>
      <c r="EV76" s="175"/>
      <c r="EW76" s="172"/>
      <c r="EX76" s="175"/>
      <c r="EY76" s="175"/>
      <c r="EZ76" s="175"/>
      <c r="FA76" s="175"/>
      <c r="FB76" s="172"/>
      <c r="FC76" s="175"/>
      <c r="FD76" s="175"/>
      <c r="FE76" s="175"/>
      <c r="FF76" s="175"/>
      <c r="FG76" s="172"/>
      <c r="FH76" s="267"/>
      <c r="FI76" s="4"/>
      <c r="FJ76" s="4"/>
      <c r="FK76" s="4"/>
      <c r="FL76" s="4"/>
    </row>
    <row r="77" ht="12.75" customHeight="1" outlineLevel="1">
      <c r="A77" s="4"/>
      <c r="B77" s="4" t="s">
        <v>104</v>
      </c>
      <c r="C77" s="4"/>
      <c r="D77" s="17"/>
      <c r="E77" s="17"/>
      <c r="F77" s="17"/>
      <c r="G77" s="17"/>
      <c r="H77" s="73"/>
      <c r="I77" s="17">
        <v>6552.0</v>
      </c>
      <c r="J77" s="17">
        <v>6540.0</v>
      </c>
      <c r="K77" s="17">
        <v>6540.0</v>
      </c>
      <c r="L77" s="17">
        <v>6532.0</v>
      </c>
      <c r="M77" s="73">
        <f>2*3271</f>
        <v>6542</v>
      </c>
      <c r="N77" s="17">
        <v>6564.0</v>
      </c>
      <c r="O77" s="17">
        <v>6764.0</v>
      </c>
      <c r="P77" s="17">
        <v>6712.0</v>
      </c>
      <c r="Q77" s="17">
        <v>6652.0</v>
      </c>
      <c r="R77" s="73">
        <f>2*3336</f>
        <v>6672</v>
      </c>
      <c r="S77" s="17">
        <v>6648.0</v>
      </c>
      <c r="T77" s="17">
        <v>6620.0</v>
      </c>
      <c r="U77" s="17">
        <v>6650.0</v>
      </c>
      <c r="V77" s="17">
        <v>6673.0</v>
      </c>
      <c r="W77" s="73">
        <v>6648.0</v>
      </c>
      <c r="X77" s="17">
        <v>6683.0</v>
      </c>
      <c r="Y77" s="17">
        <v>6710.0</v>
      </c>
      <c r="Z77" s="17">
        <v>6719.0</v>
      </c>
      <c r="AA77" s="17">
        <v>6723.0</v>
      </c>
      <c r="AB77" s="73">
        <v>6709.0</v>
      </c>
      <c r="AC77" s="17">
        <v>6721.0</v>
      </c>
      <c r="AD77" s="17">
        <v>6725.0</v>
      </c>
      <c r="AE77" s="17">
        <v>6718.0</v>
      </c>
      <c r="AF77" s="17">
        <v>6698.0</v>
      </c>
      <c r="AG77" s="73">
        <v>6716.0</v>
      </c>
      <c r="AH77" s="17">
        <v>6684.0</v>
      </c>
      <c r="AI77" s="17">
        <v>6677.0</v>
      </c>
      <c r="AJ77" s="17">
        <v>6646.0</v>
      </c>
      <c r="AK77" s="17">
        <v>6598.0</v>
      </c>
      <c r="AL77" s="73">
        <v>6651.0</v>
      </c>
      <c r="AM77" s="17">
        <v>6556.0</v>
      </c>
      <c r="AN77" s="17">
        <v>6525.0</v>
      </c>
      <c r="AO77" s="17">
        <v>6517.0</v>
      </c>
      <c r="AP77" s="17">
        <v>6512.0</v>
      </c>
      <c r="AQ77" s="73">
        <v>6527.0</v>
      </c>
      <c r="AR77" s="17">
        <v>6480.0</v>
      </c>
      <c r="AS77" s="17">
        <v>6449.0</v>
      </c>
      <c r="AT77" s="17">
        <v>6375.0</v>
      </c>
      <c r="AU77" s="17">
        <v>6294.0</v>
      </c>
      <c r="AV77" s="73">
        <v>6400.0</v>
      </c>
      <c r="AW77" s="17">
        <v>6211.0</v>
      </c>
      <c r="AX77" s="17">
        <v>6144.0</v>
      </c>
      <c r="AY77" s="17">
        <v>6062.0</v>
      </c>
      <c r="AZ77" s="17">
        <v>6008.0</v>
      </c>
      <c r="BA77" s="73">
        <v>6106.0</v>
      </c>
      <c r="BB77" s="17">
        <v>5854.0</v>
      </c>
      <c r="BC77" s="17">
        <v>5801.0</v>
      </c>
      <c r="BD77" s="17">
        <v>5769.0</v>
      </c>
      <c r="BE77" s="17">
        <v>5764.0</v>
      </c>
      <c r="BF77" s="73">
        <v>5797.0</v>
      </c>
      <c r="BG77" s="17">
        <v>5777.0</v>
      </c>
      <c r="BH77" s="17">
        <v>5809.0</v>
      </c>
      <c r="BI77" s="17">
        <v>5837.0</v>
      </c>
      <c r="BJ77" s="17">
        <v>5841.0</v>
      </c>
      <c r="BK77" s="73">
        <v>5816.0</v>
      </c>
      <c r="BL77" s="17">
        <v>5787.0</v>
      </c>
      <c r="BM77" s="17">
        <v>5699.0</v>
      </c>
      <c r="BN77" s="17">
        <v>5603.0</v>
      </c>
      <c r="BO77" s="17">
        <v>5562.0</v>
      </c>
      <c r="BP77" s="73">
        <v>5663.0</v>
      </c>
      <c r="BQ77" s="17">
        <v>5573.0</v>
      </c>
      <c r="BR77" s="17">
        <v>5595.0</v>
      </c>
      <c r="BS77" s="17">
        <v>5537.0</v>
      </c>
      <c r="BT77" s="17">
        <v>5522.0</v>
      </c>
      <c r="BU77" s="73">
        <v>5557.0</v>
      </c>
      <c r="BV77" s="17">
        <v>5529.0</v>
      </c>
      <c r="BW77" s="17">
        <v>5563.0</v>
      </c>
      <c r="BX77" s="17">
        <v>5575.0</v>
      </c>
      <c r="BY77" s="17">
        <v>5554.0</v>
      </c>
      <c r="BZ77" s="18">
        <v>5555.0</v>
      </c>
      <c r="CA77" s="17">
        <v>5452.0</v>
      </c>
      <c r="CB77" s="17">
        <v>5294.0</v>
      </c>
      <c r="CC77" s="17">
        <v>5194.0</v>
      </c>
      <c r="CD77" s="17">
        <v>5069.0</v>
      </c>
      <c r="CE77" s="18">
        <v>5256.0</v>
      </c>
      <c r="CF77" s="17">
        <v>4999.0</v>
      </c>
      <c r="CG77" s="17">
        <v>5022.0</v>
      </c>
      <c r="CH77" s="17">
        <v>4996.0</v>
      </c>
      <c r="CI77" s="17">
        <v>4968.0</v>
      </c>
      <c r="CJ77" s="18">
        <v>4996.0</v>
      </c>
      <c r="CK77" s="17">
        <v>4948.0</v>
      </c>
      <c r="CL77" s="128">
        <v>4978.0</v>
      </c>
      <c r="CM77" s="128">
        <v>4981.0</v>
      </c>
      <c r="CN77" s="129">
        <v>4971.0</v>
      </c>
      <c r="CO77" s="18">
        <f t="shared" ref="CO77:CO78" si="637">+AVERAGE(CK77:CN77)</f>
        <v>4969.5</v>
      </c>
      <c r="CP77" s="129">
        <v>4974.0</v>
      </c>
      <c r="CQ77" s="128">
        <v>4981.0</v>
      </c>
      <c r="CR77" s="128">
        <v>4880.0</v>
      </c>
      <c r="CS77" s="128">
        <v>4769.0</v>
      </c>
      <c r="CT77" s="18">
        <v>4901.0</v>
      </c>
      <c r="CU77" s="128">
        <v>4741.0</v>
      </c>
      <c r="CV77" s="128">
        <v>4759.0</v>
      </c>
      <c r="CW77" s="128">
        <v>4747.0</v>
      </c>
      <c r="CX77" s="128">
        <v>4722.0</v>
      </c>
      <c r="CY77" s="18">
        <f t="shared" ref="CY77:CY78" si="638">+AVERAGE(CU77:CX77)</f>
        <v>4742.25</v>
      </c>
      <c r="CZ77" s="128">
        <v>4722.0</v>
      </c>
      <c r="DA77" s="128">
        <v>4729.0</v>
      </c>
      <c r="DB77" s="128">
        <v>4734.0</v>
      </c>
      <c r="DC77" s="128">
        <v>4735.0</v>
      </c>
      <c r="DD77" s="18">
        <f t="shared" ref="DD77:DD78" si="639">+AVERAGE(CZ77:DC77)</f>
        <v>4730</v>
      </c>
      <c r="DE77" s="128">
        <v>4723.0</v>
      </c>
      <c r="DF77" s="128">
        <v>4710.0</v>
      </c>
      <c r="DG77" s="129">
        <v>4688.0</v>
      </c>
      <c r="DH77" s="128">
        <v>4683.0</v>
      </c>
      <c r="DI77" s="18">
        <f t="shared" ref="DI77:DI78" si="640">+AVERAGE(DE77:DH77)</f>
        <v>4701</v>
      </c>
      <c r="DJ77" s="129">
        <v>4674.0</v>
      </c>
      <c r="DK77" s="129">
        <v>4649.0</v>
      </c>
      <c r="DL77" s="129">
        <v>4574.0</v>
      </c>
      <c r="DM77" s="129">
        <v>4549.0</v>
      </c>
      <c r="DN77" s="18">
        <v>4611.0</v>
      </c>
      <c r="DO77" s="129">
        <v>4492.0</v>
      </c>
      <c r="DP77" s="129">
        <v>4466.0</v>
      </c>
      <c r="DQ77" s="129">
        <v>4391.0</v>
      </c>
      <c r="DR77" s="129">
        <v>4319.0</v>
      </c>
      <c r="DS77" s="18">
        <f t="shared" ref="DS77:DS78" si="641">+AVERAGE(DO77:DR77)</f>
        <v>4417</v>
      </c>
      <c r="DT77" s="129">
        <v>4266.0</v>
      </c>
      <c r="DU77" s="129">
        <v>4246.0</v>
      </c>
      <c r="DV77" s="129">
        <v>4188.0</v>
      </c>
      <c r="DW77" s="129">
        <v>4094.0</v>
      </c>
      <c r="DX77" s="18">
        <f t="shared" ref="DX77:DX78" si="642">+AVERAGE(DT77:DW77)</f>
        <v>4198.5</v>
      </c>
      <c r="DY77" s="129">
        <v>4056.0</v>
      </c>
      <c r="DZ77" s="129">
        <v>4049.0</v>
      </c>
      <c r="EA77" s="129">
        <v>4061.0</v>
      </c>
      <c r="EB77" s="129">
        <v>4069.0</v>
      </c>
      <c r="EC77" s="18">
        <f t="shared" ref="EC77:EC78" si="643">+AVERAGE(DY77:EB77)</f>
        <v>4058.75</v>
      </c>
      <c r="ED77" s="129">
        <v>4079.0</v>
      </c>
      <c r="EE77" s="129">
        <v>4100.0</v>
      </c>
      <c r="EF77" s="129">
        <v>4118.0</v>
      </c>
      <c r="EG77" s="129">
        <v>4133.0</v>
      </c>
      <c r="EH77" s="18">
        <f t="shared" ref="EH77:EH78" si="644">+AVERAGE(ED77:EG77)</f>
        <v>4107.5</v>
      </c>
      <c r="EI77" s="134">
        <f>EG77*1.001+CF!EI77</f>
        <v>4137.133</v>
      </c>
      <c r="EJ77" s="128">
        <f>EI77*1.001+CF!EJ77</f>
        <v>4141.270133</v>
      </c>
      <c r="EK77" s="128">
        <f>EJ77*1.001+CF!EK77</f>
        <v>4145.411403</v>
      </c>
      <c r="EL77" s="128">
        <f>EK77+CF!EL77</f>
        <v>4145.411403</v>
      </c>
      <c r="EM77" s="18">
        <f t="shared" ref="EM77:EM78" si="645">+AVERAGE(EI77:EL77)</f>
        <v>4142.306485</v>
      </c>
      <c r="EN77" s="128">
        <f>EL77*1.001+CF!EN77</f>
        <v>4132.890148</v>
      </c>
      <c r="EO77" s="128">
        <f>EN77*1.001+CF!EO77</f>
        <v>4120.356371</v>
      </c>
      <c r="EP77" s="128">
        <f>EO77*1.001+CF!EP77</f>
        <v>4107.810061</v>
      </c>
      <c r="EQ77" s="128">
        <f>EP77+CF!EQ77</f>
        <v>4091.143394</v>
      </c>
      <c r="ER77" s="18">
        <f t="shared" ref="ER77:ER78" si="646">+AVERAGE(EN77:EQ77)</f>
        <v>4113.049994</v>
      </c>
      <c r="ES77" s="128">
        <f>EQ77*1.001+CF!ES77</f>
        <v>4080.948823</v>
      </c>
      <c r="ET77" s="128">
        <f>ES77*1.001+CF!ET77</f>
        <v>4070.744058</v>
      </c>
      <c r="EU77" s="128">
        <f>ET77*1.001+CF!EU77</f>
        <v>4060.529088</v>
      </c>
      <c r="EV77" s="128">
        <f>EU77+CF!EV77</f>
        <v>4046.243374</v>
      </c>
      <c r="EW77" s="18">
        <f t="shared" ref="EW77:EW78" si="647">+AVERAGE(ES77:EV77)</f>
        <v>4064.616336</v>
      </c>
      <c r="EX77" s="128">
        <f>EV77*1.001+CF!EX77</f>
        <v>4037.789617</v>
      </c>
      <c r="EY77" s="128">
        <f>EX77*1.001+CF!EY77</f>
        <v>4029.327407</v>
      </c>
      <c r="EZ77" s="128">
        <f>EY77*1.001+CF!EZ77</f>
        <v>4020.856734</v>
      </c>
      <c r="FA77" s="128">
        <f>EZ77+CF!FA77</f>
        <v>4008.356734</v>
      </c>
      <c r="FB77" s="18">
        <f t="shared" ref="FB77:FB78" si="648">+AVERAGE(EX77:FA77)</f>
        <v>4024.082623</v>
      </c>
      <c r="FC77" s="128">
        <f>FA77*1.001+CF!FC77</f>
        <v>3987.365091</v>
      </c>
      <c r="FD77" s="128">
        <f>FC77*1.001+CF!FD77</f>
        <v>3966.352456</v>
      </c>
      <c r="FE77" s="128">
        <f>FD77*1.001+CF!FE77</f>
        <v>3945.318808</v>
      </c>
      <c r="FF77" s="128">
        <f>FE77+CF!FF77</f>
        <v>3920.318808</v>
      </c>
      <c r="FG77" s="18">
        <f t="shared" ref="FG77:FG78" si="649">+AVERAGE(FC77:FF77)</f>
        <v>3954.838791</v>
      </c>
      <c r="FH77" s="74"/>
      <c r="FI77" s="4"/>
      <c r="FJ77" s="4"/>
      <c r="FK77" s="4"/>
      <c r="FL77" s="4"/>
    </row>
    <row r="78" ht="12.75" customHeight="1">
      <c r="A78" s="4"/>
      <c r="B78" s="4" t="s">
        <v>105</v>
      </c>
      <c r="C78" s="268"/>
      <c r="D78" s="17"/>
      <c r="E78" s="17"/>
      <c r="F78" s="17"/>
      <c r="G78" s="17"/>
      <c r="H78" s="73"/>
      <c r="I78" s="17">
        <v>7200.0</v>
      </c>
      <c r="J78" s="17">
        <v>7188.0</v>
      </c>
      <c r="K78" s="17">
        <v>7188.0</v>
      </c>
      <c r="L78" s="17">
        <v>7140.0</v>
      </c>
      <c r="M78" s="73">
        <f>2*3590</f>
        <v>7180</v>
      </c>
      <c r="N78" s="17">
        <v>7098.0</v>
      </c>
      <c r="O78" s="17">
        <v>7074.0</v>
      </c>
      <c r="P78" s="17">
        <v>7010.0</v>
      </c>
      <c r="Q78" s="17">
        <v>6940.0</v>
      </c>
      <c r="R78" s="73">
        <v>7034.0</v>
      </c>
      <c r="S78" s="17">
        <v>6956.0</v>
      </c>
      <c r="T78" s="17">
        <v>6892.0</v>
      </c>
      <c r="U78" s="17">
        <v>6943.0</v>
      </c>
      <c r="V78" s="17">
        <v>6969.0</v>
      </c>
      <c r="W78" s="73">
        <v>6940.0</v>
      </c>
      <c r="X78" s="17">
        <v>6995.0</v>
      </c>
      <c r="Y78" s="17">
        <v>7005.0</v>
      </c>
      <c r="Z78" s="17">
        <v>7007.0</v>
      </c>
      <c r="AA78" s="17">
        <v>6938.0</v>
      </c>
      <c r="AB78" s="73">
        <v>6986.0</v>
      </c>
      <c r="AC78" s="17">
        <v>6899.0</v>
      </c>
      <c r="AD78" s="17">
        <v>6889.0</v>
      </c>
      <c r="AE78" s="17">
        <v>6876.0</v>
      </c>
      <c r="AF78" s="17">
        <v>6851.0</v>
      </c>
      <c r="AG78" s="73">
        <v>6879.0</v>
      </c>
      <c r="AH78" s="17">
        <v>6861.0</v>
      </c>
      <c r="AI78" s="17">
        <v>6803.0</v>
      </c>
      <c r="AJ78" s="17">
        <v>6712.0</v>
      </c>
      <c r="AK78" s="17">
        <v>6660.0</v>
      </c>
      <c r="AL78" s="73">
        <v>6759.0</v>
      </c>
      <c r="AM78" s="17">
        <v>6610.0</v>
      </c>
      <c r="AN78" s="17">
        <v>6580.0</v>
      </c>
      <c r="AO78" s="17">
        <v>6625.0</v>
      </c>
      <c r="AP78" s="17">
        <v>6671.0</v>
      </c>
      <c r="AQ78" s="73">
        <v>6621.0</v>
      </c>
      <c r="AR78" s="17">
        <v>6624.0</v>
      </c>
      <c r="AS78" s="17">
        <v>6558.0</v>
      </c>
      <c r="AT78" s="17">
        <v>6442.0</v>
      </c>
      <c r="AU78" s="17">
        <v>6352.0</v>
      </c>
      <c r="AV78" s="73">
        <v>6494.0</v>
      </c>
      <c r="AW78" s="17">
        <v>6273.0</v>
      </c>
      <c r="AX78" s="17">
        <v>6215.0</v>
      </c>
      <c r="AY78" s="17">
        <v>6144.0</v>
      </c>
      <c r="AZ78" s="17">
        <v>6081.0</v>
      </c>
      <c r="BA78" s="73">
        <v>6178.0</v>
      </c>
      <c r="BB78" s="17">
        <v>5954.0</v>
      </c>
      <c r="BC78" s="17">
        <v>5868.0</v>
      </c>
      <c r="BD78" s="17">
        <v>5832.0</v>
      </c>
      <c r="BE78" s="17">
        <v>5867.0</v>
      </c>
      <c r="BF78" s="73">
        <v>5880.0</v>
      </c>
      <c r="BG78" s="17">
        <v>5874.0</v>
      </c>
      <c r="BH78" s="17">
        <v>5917.0</v>
      </c>
      <c r="BI78" s="17">
        <v>5967.0</v>
      </c>
      <c r="BJ78" s="17">
        <v>5988.0</v>
      </c>
      <c r="BK78" s="73">
        <v>5936.0</v>
      </c>
      <c r="BL78" s="17">
        <v>5879.0</v>
      </c>
      <c r="BM78" s="17">
        <v>5800.0</v>
      </c>
      <c r="BN78" s="17">
        <v>5692.0</v>
      </c>
      <c r="BO78" s="17">
        <v>5623.0</v>
      </c>
      <c r="BP78" s="73">
        <v>5748.0</v>
      </c>
      <c r="BQ78" s="17">
        <v>5634.0</v>
      </c>
      <c r="BR78" s="17">
        <v>5678.0</v>
      </c>
      <c r="BS78" s="17">
        <v>5616.0</v>
      </c>
      <c r="BT78" s="17">
        <v>5650.0</v>
      </c>
      <c r="BU78" s="73">
        <v>5645.0</v>
      </c>
      <c r="BV78" s="17">
        <v>5681.0</v>
      </c>
      <c r="BW78" s="17">
        <v>5711.0</v>
      </c>
      <c r="BX78" s="17">
        <v>5694.0</v>
      </c>
      <c r="BY78" s="17">
        <v>5698.0</v>
      </c>
      <c r="BZ78" s="18">
        <v>5696.0</v>
      </c>
      <c r="CA78" s="17">
        <v>5606.0</v>
      </c>
      <c r="CB78" s="17">
        <v>5441.0</v>
      </c>
      <c r="CC78" s="17">
        <v>5340.0</v>
      </c>
      <c r="CD78" s="17">
        <v>5242.0</v>
      </c>
      <c r="CE78" s="18">
        <v>5411.0</v>
      </c>
      <c r="CF78" s="17">
        <v>5192.0</v>
      </c>
      <c r="CG78" s="17">
        <v>5199.0</v>
      </c>
      <c r="CH78" s="17">
        <v>5153.0</v>
      </c>
      <c r="CI78" s="17">
        <v>5095.0</v>
      </c>
      <c r="CJ78" s="18">
        <v>5160.0</v>
      </c>
      <c r="CK78" s="17">
        <v>5080.0</v>
      </c>
      <c r="CL78" s="128">
        <v>5106.0</v>
      </c>
      <c r="CM78" s="128">
        <v>5100.0</v>
      </c>
      <c r="CN78" s="129">
        <v>5103.0</v>
      </c>
      <c r="CO78" s="18">
        <f t="shared" si="637"/>
        <v>5097.25</v>
      </c>
      <c r="CP78" s="129">
        <v>5117.0</v>
      </c>
      <c r="CQ78" s="128">
        <v>5123.0</v>
      </c>
      <c r="CR78" s="128">
        <v>5045.0</v>
      </c>
      <c r="CS78" s="128">
        <v>4940.0</v>
      </c>
      <c r="CT78" s="18">
        <v>5056.0</v>
      </c>
      <c r="CU78" s="128">
        <v>4914.0</v>
      </c>
      <c r="CV78" s="128">
        <v>4909.0</v>
      </c>
      <c r="CW78" s="128">
        <v>4876.0</v>
      </c>
      <c r="CX78" s="128">
        <v>4876.0</v>
      </c>
      <c r="CY78" s="18">
        <f t="shared" si="638"/>
        <v>4893.75</v>
      </c>
      <c r="CZ78" s="128">
        <v>4875.0</v>
      </c>
      <c r="DA78" s="128">
        <v>4866.0</v>
      </c>
      <c r="DB78" s="128">
        <v>4877.0</v>
      </c>
      <c r="DC78" s="128">
        <v>4881.0</v>
      </c>
      <c r="DD78" s="18">
        <f t="shared" si="639"/>
        <v>4874.75</v>
      </c>
      <c r="DE78" s="128">
        <v>4881.0</v>
      </c>
      <c r="DF78" s="128">
        <v>4845.0</v>
      </c>
      <c r="DG78" s="129">
        <v>4821.0</v>
      </c>
      <c r="DH78" s="128">
        <v>4790.0</v>
      </c>
      <c r="DI78" s="18">
        <f t="shared" si="640"/>
        <v>4834.25</v>
      </c>
      <c r="DJ78" s="129">
        <v>4790.0</v>
      </c>
      <c r="DK78" s="129">
        <v>4747.0</v>
      </c>
      <c r="DL78" s="129">
        <v>4648.0</v>
      </c>
      <c r="DM78" s="129">
        <v>4619.0</v>
      </c>
      <c r="DN78" s="18">
        <f>+AVERAGE(DJ78:DM78)</f>
        <v>4701</v>
      </c>
      <c r="DO78" s="129">
        <f>DO77+53+19</f>
        <v>4564</v>
      </c>
      <c r="DP78" s="129">
        <v>4523.0</v>
      </c>
      <c r="DQ78" s="129">
        <v>4433.0</v>
      </c>
      <c r="DR78" s="129">
        <v>4373.0</v>
      </c>
      <c r="DS78" s="18">
        <f t="shared" si="641"/>
        <v>4473.25</v>
      </c>
      <c r="DT78" s="129">
        <v>4312.0</v>
      </c>
      <c r="DU78" s="129">
        <v>4284.0</v>
      </c>
      <c r="DV78" s="129">
        <v>4211.0</v>
      </c>
      <c r="DW78" s="129">
        <v>4119.0</v>
      </c>
      <c r="DX78" s="18">
        <f t="shared" si="642"/>
        <v>4231.5</v>
      </c>
      <c r="DY78" s="129">
        <v>4096.0</v>
      </c>
      <c r="DZ78" s="129">
        <v>4084.0</v>
      </c>
      <c r="EA78" s="129">
        <v>4086.0</v>
      </c>
      <c r="EB78" s="129">
        <v>4095.0</v>
      </c>
      <c r="EC78" s="18">
        <f t="shared" si="643"/>
        <v>4090.25</v>
      </c>
      <c r="ED78" s="129">
        <v>4107.0</v>
      </c>
      <c r="EE78" s="129">
        <v>4100.0</v>
      </c>
      <c r="EF78" s="129">
        <v>4125.0</v>
      </c>
      <c r="EG78" s="129">
        <v>4133.0</v>
      </c>
      <c r="EH78" s="18">
        <f t="shared" si="644"/>
        <v>4116.25</v>
      </c>
      <c r="EI78" s="134">
        <f>EG78*1.001+CF!EI77</f>
        <v>4137.133</v>
      </c>
      <c r="EJ78" s="128">
        <f>EI78*1.001+CF!EJ77</f>
        <v>4141.270133</v>
      </c>
      <c r="EK78" s="153">
        <f>EJ78*1.001+CF!EK77</f>
        <v>4145.411403</v>
      </c>
      <c r="EL78" s="153">
        <f>EK78*1.001+CF!EL77</f>
        <v>4149.556815</v>
      </c>
      <c r="EM78" s="18">
        <f t="shared" si="645"/>
        <v>4143.342838</v>
      </c>
      <c r="EN78" s="128">
        <f>EL78*1.001+CF!EN77</f>
        <v>4137.039705</v>
      </c>
      <c r="EO78" s="128">
        <f>EN78*1.001+CF!EO77</f>
        <v>4124.510078</v>
      </c>
      <c r="EP78" s="153">
        <f>EO78*1.001+CF!EP77</f>
        <v>4111.967921</v>
      </c>
      <c r="EQ78" s="153">
        <f>EP78*1.001+CF!EQ77</f>
        <v>4099.413222</v>
      </c>
      <c r="ER78" s="18">
        <f t="shared" si="646"/>
        <v>4118.232731</v>
      </c>
      <c r="ES78" s="128">
        <f>EQ78*1.001+CF!ES77</f>
        <v>4089.226921</v>
      </c>
      <c r="ET78" s="128">
        <f>ES78*1.001+CF!ET77</f>
        <v>4079.030434</v>
      </c>
      <c r="EU78" s="153">
        <f>ET78*1.001+CF!EU77</f>
        <v>4068.82375</v>
      </c>
      <c r="EV78" s="153">
        <f>EU78*1.001+CF!EV77</f>
        <v>4058.60686</v>
      </c>
      <c r="EW78" s="18">
        <f t="shared" si="647"/>
        <v>4073.921991</v>
      </c>
      <c r="EX78" s="128">
        <f>EV78*1.001+CF!EX77</f>
        <v>4050.165466</v>
      </c>
      <c r="EY78" s="128">
        <f>EX78*1.001+CF!EY77</f>
        <v>4041.715632</v>
      </c>
      <c r="EZ78" s="153">
        <f>EY78*1.001+CF!EZ77</f>
        <v>4033.257348</v>
      </c>
      <c r="FA78" s="153">
        <f>EZ78*1.001+CF!FA77</f>
        <v>4024.790605</v>
      </c>
      <c r="FB78" s="18">
        <f t="shared" si="648"/>
        <v>4037.482263</v>
      </c>
      <c r="FC78" s="128">
        <f>FA78*1.001+CF!FC77</f>
        <v>4003.815395</v>
      </c>
      <c r="FD78" s="128">
        <f>FC78*1.001+CF!FD77</f>
        <v>3982.819211</v>
      </c>
      <c r="FE78" s="153">
        <f>FD78*1.001+CF!FE77</f>
        <v>3961.80203</v>
      </c>
      <c r="FF78" s="153">
        <f>FE78*1.001+CF!FF77</f>
        <v>3940.763832</v>
      </c>
      <c r="FG78" s="18">
        <f t="shared" si="649"/>
        <v>3972.300117</v>
      </c>
      <c r="FH78" s="74"/>
      <c r="FI78" s="4"/>
      <c r="FJ78" s="4"/>
      <c r="FK78" s="4"/>
      <c r="FL78" s="4"/>
    </row>
    <row r="79" ht="12.75" customHeight="1">
      <c r="A79" s="179"/>
      <c r="B79" s="4" t="s">
        <v>106</v>
      </c>
      <c r="C79" s="268"/>
      <c r="D79" s="6"/>
      <c r="E79" s="6"/>
      <c r="F79" s="6"/>
      <c r="G79" s="6"/>
      <c r="H79" s="5"/>
      <c r="I79" s="6"/>
      <c r="J79" s="6"/>
      <c r="K79" s="6"/>
      <c r="L79" s="6"/>
      <c r="M79" s="5"/>
      <c r="N79" s="6"/>
      <c r="O79" s="6"/>
      <c r="P79" s="6"/>
      <c r="Q79" s="6"/>
      <c r="R79" s="5"/>
      <c r="S79" s="6"/>
      <c r="T79" s="6"/>
      <c r="U79" s="6"/>
      <c r="V79" s="6"/>
      <c r="W79" s="5"/>
      <c r="X79" s="6"/>
      <c r="Y79" s="6"/>
      <c r="Z79" s="6"/>
      <c r="AA79" s="6"/>
      <c r="AB79" s="5"/>
      <c r="AC79" s="6"/>
      <c r="AD79" s="6"/>
      <c r="AE79" s="6"/>
      <c r="AF79" s="6"/>
      <c r="AG79" s="5"/>
      <c r="AH79" s="6"/>
      <c r="AI79" s="6"/>
      <c r="AJ79" s="6"/>
      <c r="AK79" s="6"/>
      <c r="AL79" s="5"/>
      <c r="AM79" s="6"/>
      <c r="AN79" s="6"/>
      <c r="AO79" s="6"/>
      <c r="AP79" s="6"/>
      <c r="AQ79" s="5"/>
      <c r="AR79" s="6"/>
      <c r="AS79" s="6"/>
      <c r="AT79" s="6"/>
      <c r="AU79" s="6"/>
      <c r="AV79" s="5"/>
      <c r="AW79" s="6"/>
      <c r="AX79" s="6"/>
      <c r="AY79" s="6"/>
      <c r="AZ79" s="6"/>
      <c r="BA79" s="5"/>
      <c r="BB79" s="6"/>
      <c r="BC79" s="6"/>
      <c r="BD79" s="6"/>
      <c r="BE79" s="6"/>
      <c r="BF79" s="5"/>
      <c r="BG79" s="6"/>
      <c r="BH79" s="6"/>
      <c r="BI79" s="6"/>
      <c r="BJ79" s="6"/>
      <c r="BK79" s="5"/>
      <c r="BL79" s="6"/>
      <c r="BM79" s="6"/>
      <c r="BN79" s="6"/>
      <c r="BO79" s="6"/>
      <c r="BP79" s="5"/>
      <c r="BQ79" s="17"/>
      <c r="BR79" s="17"/>
      <c r="BS79" s="17"/>
      <c r="BT79" s="17"/>
      <c r="BU79" s="112"/>
      <c r="BV79" s="17"/>
      <c r="BW79" s="17"/>
      <c r="BX79" s="17"/>
      <c r="BY79" s="17"/>
      <c r="BZ79" s="80"/>
      <c r="CA79" s="17"/>
      <c r="CB79" s="17"/>
      <c r="CC79" s="17"/>
      <c r="CD79" s="17"/>
      <c r="CE79" s="80"/>
      <c r="CF79" s="17"/>
      <c r="CG79" s="17"/>
      <c r="CH79" s="17"/>
      <c r="CI79" s="17"/>
      <c r="CJ79" s="80"/>
      <c r="CK79" s="17"/>
      <c r="CL79" s="128"/>
      <c r="CM79" s="128"/>
      <c r="CN79" s="129"/>
      <c r="CO79" s="18"/>
      <c r="CP79" s="129"/>
      <c r="CQ79" s="128"/>
      <c r="CR79" s="128"/>
      <c r="CS79" s="128"/>
      <c r="CT79" s="18"/>
      <c r="CU79" s="128"/>
      <c r="CV79" s="128"/>
      <c r="CW79" s="128"/>
      <c r="CX79" s="128"/>
      <c r="CY79" s="18"/>
      <c r="CZ79" s="128"/>
      <c r="DA79" s="128"/>
      <c r="DB79" s="128"/>
      <c r="DC79" s="128"/>
      <c r="DD79" s="18"/>
      <c r="DE79" s="128"/>
      <c r="DF79" s="128"/>
      <c r="DG79" s="128"/>
      <c r="DH79" s="128"/>
      <c r="DI79" s="18"/>
      <c r="DJ79" s="129"/>
      <c r="DK79" s="129"/>
      <c r="DL79" s="129"/>
      <c r="DM79" s="129"/>
      <c r="DN79" s="18"/>
      <c r="DO79" s="129"/>
      <c r="DP79" s="129"/>
      <c r="DQ79" s="129"/>
      <c r="DR79" s="129"/>
      <c r="DS79" s="18"/>
      <c r="DT79" s="269">
        <f>DT78/DR78-1</f>
        <v>-0.01394923394</v>
      </c>
      <c r="DU79" s="269">
        <f t="shared" ref="DU79:DW79" si="650">DU78/DT78-1</f>
        <v>-0.006493506494</v>
      </c>
      <c r="DV79" s="269">
        <f t="shared" si="650"/>
        <v>-0.01704014939</v>
      </c>
      <c r="DW79" s="269">
        <f t="shared" si="650"/>
        <v>-0.02184754215</v>
      </c>
      <c r="DX79" s="50">
        <f>AVERAGE(DT79:DW79)</f>
        <v>-0.01483260799</v>
      </c>
      <c r="DY79" s="269">
        <f>DY78/DW78-1</f>
        <v>-0.005583879582</v>
      </c>
      <c r="DZ79" s="269">
        <f t="shared" ref="DZ79:EB79" si="651">DZ78/DY78-1</f>
        <v>-0.0029296875</v>
      </c>
      <c r="EA79" s="269">
        <f t="shared" si="651"/>
        <v>0.0004897159647</v>
      </c>
      <c r="EB79" s="269">
        <f t="shared" si="651"/>
        <v>0.002202643172</v>
      </c>
      <c r="EC79" s="50">
        <f>AVERAGE(DY79:EB79)</f>
        <v>-0.001455301986</v>
      </c>
      <c r="ED79" s="269">
        <f>ED78/EB78-1</f>
        <v>0.00293040293</v>
      </c>
      <c r="EE79" s="269">
        <f t="shared" ref="EE79:EG79" si="652">EE78/ED78-1</f>
        <v>-0.00170440711</v>
      </c>
      <c r="EF79" s="269">
        <f t="shared" si="652"/>
        <v>0.006097560976</v>
      </c>
      <c r="EG79" s="269">
        <f t="shared" si="652"/>
        <v>0.001939393939</v>
      </c>
      <c r="EH79" s="18"/>
      <c r="EI79" s="134"/>
      <c r="EJ79" s="128"/>
      <c r="EK79" s="128"/>
      <c r="EL79" s="128"/>
      <c r="EM79" s="18"/>
      <c r="EN79" s="128"/>
      <c r="EO79" s="128"/>
      <c r="EP79" s="128"/>
      <c r="EQ79" s="128"/>
      <c r="ER79" s="18"/>
      <c r="ES79" s="128"/>
      <c r="ET79" s="128"/>
      <c r="EU79" s="128"/>
      <c r="EV79" s="128"/>
      <c r="EW79" s="18"/>
      <c r="EX79" s="128"/>
      <c r="EY79" s="128"/>
      <c r="EZ79" s="128"/>
      <c r="FA79" s="128"/>
      <c r="FB79" s="18"/>
      <c r="FC79" s="128"/>
      <c r="FD79" s="128"/>
      <c r="FE79" s="128"/>
      <c r="FF79" s="128"/>
      <c r="FG79" s="18"/>
      <c r="FH79" s="74"/>
      <c r="FI79" s="179"/>
      <c r="FJ79" s="179"/>
      <c r="FK79" s="179"/>
      <c r="FL79" s="179"/>
    </row>
    <row r="80" ht="12.0" customHeight="1">
      <c r="A80" s="179"/>
      <c r="B80" s="4"/>
      <c r="C80" s="268"/>
      <c r="D80" s="6"/>
      <c r="E80" s="6"/>
      <c r="F80" s="6"/>
      <c r="G80" s="6"/>
      <c r="H80" s="5"/>
      <c r="I80" s="6"/>
      <c r="J80" s="6"/>
      <c r="K80" s="6"/>
      <c r="L80" s="6"/>
      <c r="M80" s="5"/>
      <c r="N80" s="6"/>
      <c r="O80" s="6"/>
      <c r="P80" s="6"/>
      <c r="Q80" s="6"/>
      <c r="R80" s="5"/>
      <c r="S80" s="6"/>
      <c r="T80" s="6"/>
      <c r="U80" s="6"/>
      <c r="V80" s="6"/>
      <c r="W80" s="5"/>
      <c r="X80" s="6"/>
      <c r="Y80" s="6"/>
      <c r="Z80" s="6"/>
      <c r="AA80" s="6"/>
      <c r="AB80" s="5"/>
      <c r="AC80" s="6"/>
      <c r="AD80" s="6"/>
      <c r="AE80" s="6"/>
      <c r="AF80" s="6"/>
      <c r="AG80" s="5"/>
      <c r="AH80" s="6"/>
      <c r="AI80" s="6"/>
      <c r="AJ80" s="6"/>
      <c r="AK80" s="6"/>
      <c r="AL80" s="5"/>
      <c r="AM80" s="6"/>
      <c r="AN80" s="6"/>
      <c r="AO80" s="6"/>
      <c r="AP80" s="6"/>
      <c r="AQ80" s="5"/>
      <c r="AR80" s="6"/>
      <c r="AS80" s="6"/>
      <c r="AT80" s="6"/>
      <c r="AU80" s="6"/>
      <c r="AV80" s="5"/>
      <c r="AW80" s="6"/>
      <c r="AX80" s="6"/>
      <c r="AY80" s="6"/>
      <c r="AZ80" s="6"/>
      <c r="BA80" s="5"/>
      <c r="BB80" s="6"/>
      <c r="BC80" s="6"/>
      <c r="BD80" s="6"/>
      <c r="BE80" s="6"/>
      <c r="BF80" s="5"/>
      <c r="BG80" s="6"/>
      <c r="BH80" s="6"/>
      <c r="BI80" s="6"/>
      <c r="BJ80" s="6"/>
      <c r="BK80" s="5"/>
      <c r="BL80" s="6"/>
      <c r="BM80" s="6"/>
      <c r="BN80" s="6"/>
      <c r="BO80" s="6"/>
      <c r="BP80" s="5"/>
      <c r="BQ80" s="17"/>
      <c r="BR80" s="17"/>
      <c r="BS80" s="17"/>
      <c r="BT80" s="17"/>
      <c r="BU80" s="112"/>
      <c r="BV80" s="17"/>
      <c r="BW80" s="17"/>
      <c r="BX80" s="17"/>
      <c r="BY80" s="17"/>
      <c r="BZ80" s="80"/>
      <c r="CA80" s="17"/>
      <c r="CB80" s="17"/>
      <c r="CC80" s="17"/>
      <c r="CD80" s="17"/>
      <c r="CE80" s="80"/>
      <c r="CF80" s="17"/>
      <c r="CG80" s="17"/>
      <c r="CH80" s="17"/>
      <c r="CI80" s="17"/>
      <c r="CJ80" s="80"/>
      <c r="CK80" s="17"/>
      <c r="CL80" s="128"/>
      <c r="CM80" s="128"/>
      <c r="CN80" s="129"/>
      <c r="CO80" s="18"/>
      <c r="CP80" s="129"/>
      <c r="CQ80" s="128"/>
      <c r="CR80" s="128"/>
      <c r="CS80" s="128"/>
      <c r="CT80" s="18"/>
      <c r="CU80" s="128"/>
      <c r="CV80" s="128"/>
      <c r="CW80" s="128"/>
      <c r="CX80" s="128"/>
      <c r="CY80" s="18"/>
      <c r="CZ80" s="128"/>
      <c r="DA80" s="128"/>
      <c r="DB80" s="128"/>
      <c r="DC80" s="128"/>
      <c r="DD80" s="18"/>
      <c r="DE80" s="128"/>
      <c r="DF80" s="128"/>
      <c r="DG80" s="129"/>
      <c r="DH80" s="128"/>
      <c r="DI80" s="18"/>
      <c r="DJ80" s="129"/>
      <c r="DK80" s="129"/>
      <c r="DL80" s="129"/>
      <c r="DM80" s="129"/>
      <c r="DN80" s="18"/>
      <c r="DO80" s="129"/>
      <c r="DP80" s="129"/>
      <c r="DQ80" s="129"/>
      <c r="DR80" s="129"/>
      <c r="DS80" s="18"/>
      <c r="DT80" s="129"/>
      <c r="DU80" s="129"/>
      <c r="DV80" s="129"/>
      <c r="DW80" s="129"/>
      <c r="DX80" s="18"/>
      <c r="DY80" s="129"/>
      <c r="DZ80" s="129"/>
      <c r="EA80" s="129"/>
      <c r="EB80" s="129"/>
      <c r="EC80" s="18"/>
      <c r="ED80" s="129"/>
      <c r="EE80" s="129"/>
      <c r="EF80" s="129"/>
      <c r="EG80" s="129"/>
      <c r="EH80" s="18"/>
      <c r="EI80" s="134"/>
      <c r="EJ80" s="128"/>
      <c r="EK80" s="128"/>
      <c r="EL80" s="128"/>
      <c r="EM80" s="18"/>
      <c r="EN80" s="128"/>
      <c r="EO80" s="128"/>
      <c r="EP80" s="128"/>
      <c r="EQ80" s="128"/>
      <c r="ER80" s="18"/>
      <c r="ES80" s="128"/>
      <c r="ET80" s="128"/>
      <c r="EU80" s="128"/>
      <c r="EV80" s="128"/>
      <c r="EW80" s="18"/>
      <c r="EX80" s="128"/>
      <c r="EY80" s="128"/>
      <c r="EZ80" s="128"/>
      <c r="FA80" s="128"/>
      <c r="FB80" s="18"/>
      <c r="FC80" s="128"/>
      <c r="FD80" s="128"/>
      <c r="FE80" s="128"/>
      <c r="FF80" s="128"/>
      <c r="FG80" s="18"/>
      <c r="FH80" s="74"/>
      <c r="FI80" s="179"/>
      <c r="FJ80" s="179"/>
      <c r="FK80" s="179"/>
      <c r="FL80" s="179"/>
    </row>
    <row r="81" ht="12.0" customHeight="1">
      <c r="A81" s="179"/>
      <c r="B81" s="4"/>
      <c r="C81" s="268"/>
      <c r="D81" s="6"/>
      <c r="E81" s="6"/>
      <c r="F81" s="6"/>
      <c r="G81" s="6"/>
      <c r="H81" s="5"/>
      <c r="I81" s="6"/>
      <c r="J81" s="6"/>
      <c r="K81" s="6"/>
      <c r="L81" s="6"/>
      <c r="M81" s="5"/>
      <c r="N81" s="6"/>
      <c r="O81" s="6"/>
      <c r="P81" s="6"/>
      <c r="Q81" s="6"/>
      <c r="R81" s="5"/>
      <c r="S81" s="6"/>
      <c r="T81" s="6"/>
      <c r="U81" s="6"/>
      <c r="V81" s="6"/>
      <c r="W81" s="5"/>
      <c r="X81" s="6"/>
      <c r="Y81" s="6"/>
      <c r="Z81" s="6"/>
      <c r="AA81" s="6"/>
      <c r="AB81" s="5"/>
      <c r="AC81" s="6"/>
      <c r="AD81" s="6"/>
      <c r="AE81" s="6"/>
      <c r="AF81" s="6"/>
      <c r="AG81" s="5"/>
      <c r="AH81" s="6"/>
      <c r="AI81" s="6"/>
      <c r="AJ81" s="6"/>
      <c r="AK81" s="6"/>
      <c r="AL81" s="5"/>
      <c r="AM81" s="6"/>
      <c r="AN81" s="6"/>
      <c r="AO81" s="6"/>
      <c r="AP81" s="6"/>
      <c r="AQ81" s="5"/>
      <c r="AR81" s="6"/>
      <c r="AS81" s="6"/>
      <c r="AT81" s="6"/>
      <c r="AU81" s="6"/>
      <c r="AV81" s="5"/>
      <c r="AW81" s="6"/>
      <c r="AX81" s="6"/>
      <c r="AY81" s="6"/>
      <c r="AZ81" s="6"/>
      <c r="BA81" s="5"/>
      <c r="BB81" s="6"/>
      <c r="BC81" s="6"/>
      <c r="BD81" s="6"/>
      <c r="BE81" s="6"/>
      <c r="BF81" s="5"/>
      <c r="BG81" s="6"/>
      <c r="BH81" s="6"/>
      <c r="BI81" s="6"/>
      <c r="BJ81" s="6"/>
      <c r="BK81" s="5"/>
      <c r="BL81" s="6"/>
      <c r="BM81" s="6"/>
      <c r="BN81" s="6"/>
      <c r="BO81" s="6"/>
      <c r="BP81" s="5"/>
      <c r="BQ81" s="17"/>
      <c r="BR81" s="17"/>
      <c r="BS81" s="17"/>
      <c r="BT81" s="17"/>
      <c r="BU81" s="112"/>
      <c r="BV81" s="17"/>
      <c r="BW81" s="17"/>
      <c r="BX81" s="17"/>
      <c r="BY81" s="17"/>
      <c r="BZ81" s="80"/>
      <c r="CA81" s="17"/>
      <c r="CB81" s="17"/>
      <c r="CC81" s="17"/>
      <c r="CD81" s="17"/>
      <c r="CE81" s="80"/>
      <c r="CF81" s="17"/>
      <c r="CG81" s="17"/>
      <c r="CH81" s="17"/>
      <c r="CI81" s="17"/>
      <c r="CJ81" s="80"/>
      <c r="CK81" s="17"/>
      <c r="CL81" s="128"/>
      <c r="CM81" s="128"/>
      <c r="CN81" s="129"/>
      <c r="CO81" s="18"/>
      <c r="CP81" s="129"/>
      <c r="CQ81" s="128"/>
      <c r="CR81" s="128"/>
      <c r="CS81" s="128"/>
      <c r="CT81" s="18"/>
      <c r="CU81" s="128"/>
      <c r="CV81" s="128"/>
      <c r="CW81" s="128"/>
      <c r="CX81" s="128"/>
      <c r="CY81" s="18"/>
      <c r="CZ81" s="128"/>
      <c r="DA81" s="128"/>
      <c r="DB81" s="128"/>
      <c r="DC81" s="128"/>
      <c r="DD81" s="18"/>
      <c r="DE81" s="128"/>
      <c r="DF81" s="128"/>
      <c r="DG81" s="129"/>
      <c r="DH81" s="128"/>
      <c r="DI81" s="18"/>
      <c r="DJ81" s="129"/>
      <c r="DK81" s="129"/>
      <c r="DL81" s="129"/>
      <c r="DM81" s="129"/>
      <c r="DN81" s="18"/>
      <c r="DO81" s="129"/>
      <c r="DP81" s="129"/>
      <c r="DQ81" s="129"/>
      <c r="DR81" s="129"/>
      <c r="DS81" s="18"/>
      <c r="DT81" s="129"/>
      <c r="DU81" s="129"/>
      <c r="DV81" s="129"/>
      <c r="DW81" s="129"/>
      <c r="DX81" s="18"/>
      <c r="DY81" s="129"/>
      <c r="DZ81" s="129"/>
      <c r="EA81" s="129"/>
      <c r="EB81" s="129"/>
      <c r="EC81" s="18"/>
      <c r="ED81" s="129"/>
      <c r="EE81" s="129"/>
      <c r="EF81" s="129"/>
      <c r="EG81" s="129"/>
      <c r="EH81" s="18"/>
      <c r="EI81" s="134"/>
      <c r="EJ81" s="128"/>
      <c r="EK81" s="128"/>
      <c r="EL81" s="128"/>
      <c r="EM81" s="18"/>
      <c r="EN81" s="128"/>
      <c r="EO81" s="128"/>
      <c r="EP81" s="128"/>
      <c r="EQ81" s="128"/>
      <c r="ER81" s="18"/>
      <c r="ES81" s="128"/>
      <c r="ET81" s="128"/>
      <c r="EU81" s="128"/>
      <c r="EV81" s="128"/>
      <c r="EW81" s="18"/>
      <c r="EX81" s="128"/>
      <c r="EY81" s="128"/>
      <c r="EZ81" s="128"/>
      <c r="FA81" s="128"/>
      <c r="FB81" s="18"/>
      <c r="FC81" s="128"/>
      <c r="FD81" s="128"/>
      <c r="FE81" s="128"/>
      <c r="FF81" s="128"/>
      <c r="FG81" s="18"/>
      <c r="FH81" s="74"/>
      <c r="FI81" s="179"/>
      <c r="FJ81" s="179"/>
      <c r="FK81" s="179"/>
      <c r="FL81" s="179"/>
    </row>
    <row r="82" ht="12.0" customHeight="1">
      <c r="A82" s="179"/>
      <c r="B82" s="145" t="s">
        <v>107</v>
      </c>
      <c r="C82" s="268"/>
      <c r="D82" s="6"/>
      <c r="E82" s="6"/>
      <c r="F82" s="6"/>
      <c r="G82" s="6"/>
      <c r="H82" s="5"/>
      <c r="I82" s="6"/>
      <c r="J82" s="6"/>
      <c r="K82" s="6"/>
      <c r="L82" s="6"/>
      <c r="M82" s="5"/>
      <c r="N82" s="6"/>
      <c r="O82" s="6"/>
      <c r="P82" s="6"/>
      <c r="Q82" s="6"/>
      <c r="R82" s="5"/>
      <c r="S82" s="6"/>
      <c r="T82" s="6"/>
      <c r="U82" s="6"/>
      <c r="V82" s="6"/>
      <c r="W82" s="5"/>
      <c r="X82" s="6"/>
      <c r="Y82" s="6"/>
      <c r="Z82" s="6"/>
      <c r="AA82" s="6"/>
      <c r="AB82" s="5"/>
      <c r="AC82" s="6"/>
      <c r="AD82" s="6"/>
      <c r="AE82" s="6"/>
      <c r="AF82" s="6"/>
      <c r="AG82" s="5"/>
      <c r="AH82" s="6"/>
      <c r="AI82" s="6"/>
      <c r="AJ82" s="6"/>
      <c r="AK82" s="6"/>
      <c r="AL82" s="5"/>
      <c r="AM82" s="6"/>
      <c r="AN82" s="6"/>
      <c r="AO82" s="6"/>
      <c r="AP82" s="6"/>
      <c r="AQ82" s="5"/>
      <c r="AR82" s="6"/>
      <c r="AS82" s="6"/>
      <c r="AT82" s="6"/>
      <c r="AU82" s="6"/>
      <c r="AV82" s="5"/>
      <c r="AW82" s="6"/>
      <c r="AX82" s="6"/>
      <c r="AY82" s="6"/>
      <c r="AZ82" s="6"/>
      <c r="BA82" s="5"/>
      <c r="BB82" s="6"/>
      <c r="BC82" s="6"/>
      <c r="BD82" s="6"/>
      <c r="BE82" s="6"/>
      <c r="BF82" s="5"/>
      <c r="BG82" s="6"/>
      <c r="BH82" s="6"/>
      <c r="BI82" s="6"/>
      <c r="BJ82" s="6"/>
      <c r="BK82" s="5"/>
      <c r="BL82" s="6"/>
      <c r="BM82" s="6"/>
      <c r="BN82" s="6"/>
      <c r="BO82" s="6"/>
      <c r="BP82" s="5"/>
      <c r="BQ82" s="17"/>
      <c r="BR82" s="17"/>
      <c r="BS82" s="17"/>
      <c r="BT82" s="17"/>
      <c r="BU82" s="112"/>
      <c r="BV82" s="17"/>
      <c r="BW82" s="17"/>
      <c r="BX82" s="17"/>
      <c r="BY82" s="17"/>
      <c r="BZ82" s="80"/>
      <c r="CA82" s="17"/>
      <c r="CB82" s="17"/>
      <c r="CC82" s="17"/>
      <c r="CD82" s="17"/>
      <c r="CE82" s="80"/>
      <c r="CF82" s="17"/>
      <c r="CG82" s="17"/>
      <c r="CH82" s="17"/>
      <c r="CI82" s="17"/>
      <c r="CJ82" s="80"/>
      <c r="CK82" s="17"/>
      <c r="CL82" s="128"/>
      <c r="CM82" s="128"/>
      <c r="CN82" s="129"/>
      <c r="CO82" s="18"/>
      <c r="CP82" s="153">
        <f t="shared" ref="CP82:CS82" si="653">CP41</f>
        <v>2730</v>
      </c>
      <c r="CQ82" s="153">
        <f t="shared" si="653"/>
        <v>3997</v>
      </c>
      <c r="CR82" s="153">
        <f t="shared" si="653"/>
        <v>4637</v>
      </c>
      <c r="CS82" s="153">
        <f t="shared" si="653"/>
        <v>4582</v>
      </c>
      <c r="CT82" s="18">
        <f t="shared" ref="CT82:CT86" si="667">SUM(CP82:CS82)</f>
        <v>15946</v>
      </c>
      <c r="CU82" s="129">
        <f t="shared" ref="CU82:CX82" si="654">CU41</f>
        <v>2902</v>
      </c>
      <c r="CV82" s="129">
        <f t="shared" si="654"/>
        <v>3287</v>
      </c>
      <c r="CW82" s="129">
        <f t="shared" si="654"/>
        <v>4274</v>
      </c>
      <c r="CX82" s="129">
        <f t="shared" si="654"/>
        <v>4425</v>
      </c>
      <c r="CY82" s="18">
        <f t="shared" ref="CY82:CY86" si="668">SUM(CU82:CX82)</f>
        <v>14888</v>
      </c>
      <c r="CZ82" s="129">
        <f t="shared" ref="CZ82:DC82" si="655">CZ41</f>
        <v>3283</v>
      </c>
      <c r="DA82" s="129">
        <f t="shared" si="655"/>
        <v>3217</v>
      </c>
      <c r="DB82" s="129">
        <f t="shared" si="655"/>
        <v>5143</v>
      </c>
      <c r="DC82" s="129">
        <f t="shared" si="655"/>
        <v>4899</v>
      </c>
      <c r="DD82" s="18">
        <f t="shared" ref="DD82:DD86" si="669">SUM(CZ82:DC82)</f>
        <v>16542</v>
      </c>
      <c r="DE82" s="129">
        <f t="shared" ref="DE82:DH82" si="656">DE41</f>
        <v>3926</v>
      </c>
      <c r="DF82" s="129">
        <f t="shared" si="656"/>
        <v>4167</v>
      </c>
      <c r="DG82" s="129">
        <f t="shared" si="656"/>
        <v>5551</v>
      </c>
      <c r="DH82" s="129">
        <f t="shared" si="656"/>
        <v>5933</v>
      </c>
      <c r="DI82" s="18">
        <f t="shared" ref="DI82:DI86" si="670">SUM(DE82:DH82)</f>
        <v>19577</v>
      </c>
      <c r="DJ82" s="129">
        <f t="shared" ref="DJ82:DM82" si="657">DJ41</f>
        <v>4795</v>
      </c>
      <c r="DK82" s="129">
        <f t="shared" si="657"/>
        <v>5339</v>
      </c>
      <c r="DL82" s="129">
        <f t="shared" si="657"/>
        <v>7603</v>
      </c>
      <c r="DM82" s="129">
        <f t="shared" si="657"/>
        <v>6553</v>
      </c>
      <c r="DN82" s="18">
        <f t="shared" ref="DN82:DN86" si="671">SUM(DJ82:DM82)</f>
        <v>24290</v>
      </c>
      <c r="DO82" s="129">
        <f t="shared" ref="DO82:DR82" si="658">DO41</f>
        <v>4505</v>
      </c>
      <c r="DP82" s="129">
        <f t="shared" si="658"/>
        <v>5138</v>
      </c>
      <c r="DQ82" s="129">
        <f t="shared" si="658"/>
        <v>6889</v>
      </c>
      <c r="DR82" s="129">
        <f t="shared" si="658"/>
        <v>7220</v>
      </c>
      <c r="DS82" s="18">
        <f t="shared" ref="DS82:DS86" si="672">SUM(DO82:DR82)</f>
        <v>23752</v>
      </c>
      <c r="DT82" s="129">
        <f t="shared" ref="DT82:DW82" si="659">DT41</f>
        <v>7539</v>
      </c>
      <c r="DU82" s="129">
        <f t="shared" si="659"/>
        <v>6058</v>
      </c>
      <c r="DV82" s="129">
        <f t="shared" si="659"/>
        <v>5396</v>
      </c>
      <c r="DW82" s="129">
        <f t="shared" si="659"/>
        <v>6299</v>
      </c>
      <c r="DX82" s="18">
        <f t="shared" ref="DX82:DX86" si="673">SUM(DT82:DW82)</f>
        <v>25292</v>
      </c>
      <c r="DY82" s="129">
        <f t="shared" ref="DY82:EB82" si="660">DY41</f>
        <v>6096</v>
      </c>
      <c r="DZ82" s="129">
        <f t="shared" si="660"/>
        <v>5856</v>
      </c>
      <c r="EA82" s="129">
        <f t="shared" si="660"/>
        <v>5202</v>
      </c>
      <c r="EB82" s="129">
        <f t="shared" si="660"/>
        <v>5051</v>
      </c>
      <c r="EC82" s="18">
        <f t="shared" ref="EC82:EC86" si="674">SUM(DY82:EB82)</f>
        <v>22205</v>
      </c>
      <c r="ED82" s="129">
        <f t="shared" ref="ED82:EG82" si="661">ED41</f>
        <v>4241</v>
      </c>
      <c r="EE82" s="129">
        <f t="shared" si="661"/>
        <v>1417</v>
      </c>
      <c r="EF82" s="129">
        <f t="shared" si="661"/>
        <v>1655</v>
      </c>
      <c r="EG82" s="129">
        <f t="shared" si="661"/>
        <v>602</v>
      </c>
      <c r="EH82" s="18">
        <f t="shared" ref="EH82:EH86" si="675">SUM(ED82:EG82)</f>
        <v>7915</v>
      </c>
      <c r="EI82" s="134" t="str">
        <f t="shared" ref="EI82:EL82" si="662">EI41</f>
        <v>#ERROR!</v>
      </c>
      <c r="EJ82" s="129" t="str">
        <f t="shared" si="662"/>
        <v>#ERROR!</v>
      </c>
      <c r="EK82" s="129" t="str">
        <f t="shared" si="662"/>
        <v>#ERROR!</v>
      </c>
      <c r="EL82" s="129" t="str">
        <f t="shared" si="662"/>
        <v>#ERROR!</v>
      </c>
      <c r="EM82" s="18" t="str">
        <f t="shared" ref="EM82:EM86" si="676">SUM(EI82:EL82)</f>
        <v>#ERROR!</v>
      </c>
      <c r="EN82" s="129" t="str">
        <f t="shared" ref="EN82:EQ82" si="663">EN41</f>
        <v>#ERROR!</v>
      </c>
      <c r="EO82" s="129" t="str">
        <f t="shared" si="663"/>
        <v>#ERROR!</v>
      </c>
      <c r="EP82" s="129" t="str">
        <f t="shared" si="663"/>
        <v>#ERROR!</v>
      </c>
      <c r="EQ82" s="129" t="str">
        <f t="shared" si="663"/>
        <v>#ERROR!</v>
      </c>
      <c r="ER82" s="18" t="str">
        <f t="shared" ref="ER82:ER86" si="677">SUM(EN82:EQ82)</f>
        <v>#ERROR!</v>
      </c>
      <c r="ES82" s="129" t="str">
        <f t="shared" ref="ES82:EV82" si="664">ES41</f>
        <v>#ERROR!</v>
      </c>
      <c r="ET82" s="129" t="str">
        <f t="shared" si="664"/>
        <v>#ERROR!</v>
      </c>
      <c r="EU82" s="129" t="str">
        <f t="shared" si="664"/>
        <v>#ERROR!</v>
      </c>
      <c r="EV82" s="129" t="str">
        <f t="shared" si="664"/>
        <v>#ERROR!</v>
      </c>
      <c r="EW82" s="18" t="str">
        <f t="shared" ref="EW82:EW86" si="678">SUM(ES82:EV82)</f>
        <v>#ERROR!</v>
      </c>
      <c r="EX82" s="129" t="str">
        <f t="shared" ref="EX82:FA82" si="665">EX41</f>
        <v>#ERROR!</v>
      </c>
      <c r="EY82" s="129" t="str">
        <f t="shared" si="665"/>
        <v>#ERROR!</v>
      </c>
      <c r="EZ82" s="129" t="str">
        <f t="shared" si="665"/>
        <v>#ERROR!</v>
      </c>
      <c r="FA82" s="129" t="str">
        <f t="shared" si="665"/>
        <v>#ERROR!</v>
      </c>
      <c r="FB82" s="18" t="str">
        <f t="shared" ref="FB82:FB86" si="679">SUM(EX82:FA82)</f>
        <v>#ERROR!</v>
      </c>
      <c r="FC82" s="129" t="str">
        <f t="shared" ref="FC82:FF82" si="666">FC41</f>
        <v>#ERROR!</v>
      </c>
      <c r="FD82" s="129" t="str">
        <f t="shared" si="666"/>
        <v>#ERROR!</v>
      </c>
      <c r="FE82" s="129" t="str">
        <f t="shared" si="666"/>
        <v>#ERROR!</v>
      </c>
      <c r="FF82" s="129" t="str">
        <f t="shared" si="666"/>
        <v>#ERROR!</v>
      </c>
      <c r="FG82" s="18" t="str">
        <f t="shared" ref="FG82:FG86" si="680">SUM(FC82:FF82)</f>
        <v>#ERROR!</v>
      </c>
      <c r="FH82" s="74"/>
      <c r="FI82" s="179"/>
      <c r="FJ82" s="179"/>
      <c r="FK82" s="179"/>
      <c r="FL82" s="179"/>
    </row>
    <row r="83" ht="12.0" customHeight="1">
      <c r="A83" s="179"/>
      <c r="B83" s="72" t="s">
        <v>108</v>
      </c>
      <c r="C83" s="268"/>
      <c r="D83" s="6"/>
      <c r="E83" s="6"/>
      <c r="F83" s="6"/>
      <c r="G83" s="6"/>
      <c r="H83" s="5"/>
      <c r="I83" s="6"/>
      <c r="J83" s="6"/>
      <c r="K83" s="6"/>
      <c r="L83" s="6"/>
      <c r="M83" s="5"/>
      <c r="N83" s="6"/>
      <c r="O83" s="6"/>
      <c r="P83" s="6"/>
      <c r="Q83" s="6"/>
      <c r="R83" s="5"/>
      <c r="S83" s="6"/>
      <c r="T83" s="6"/>
      <c r="U83" s="6"/>
      <c r="V83" s="6"/>
      <c r="W83" s="5"/>
      <c r="X83" s="6"/>
      <c r="Y83" s="6"/>
      <c r="Z83" s="6"/>
      <c r="AA83" s="6"/>
      <c r="AB83" s="5"/>
      <c r="AC83" s="6"/>
      <c r="AD83" s="6"/>
      <c r="AE83" s="6"/>
      <c r="AF83" s="6"/>
      <c r="AG83" s="5"/>
      <c r="AH83" s="6"/>
      <c r="AI83" s="6"/>
      <c r="AJ83" s="6"/>
      <c r="AK83" s="6"/>
      <c r="AL83" s="5"/>
      <c r="AM83" s="6"/>
      <c r="AN83" s="6"/>
      <c r="AO83" s="6"/>
      <c r="AP83" s="6"/>
      <c r="AQ83" s="5"/>
      <c r="AR83" s="6"/>
      <c r="AS83" s="6"/>
      <c r="AT83" s="6"/>
      <c r="AU83" s="6"/>
      <c r="AV83" s="5"/>
      <c r="AW83" s="6"/>
      <c r="AX83" s="6"/>
      <c r="AY83" s="6"/>
      <c r="AZ83" s="6"/>
      <c r="BA83" s="5"/>
      <c r="BB83" s="6"/>
      <c r="BC83" s="6"/>
      <c r="BD83" s="6"/>
      <c r="BE83" s="6"/>
      <c r="BF83" s="5"/>
      <c r="BG83" s="6"/>
      <c r="BH83" s="6"/>
      <c r="BI83" s="6"/>
      <c r="BJ83" s="6"/>
      <c r="BK83" s="5"/>
      <c r="BL83" s="6"/>
      <c r="BM83" s="6"/>
      <c r="BN83" s="6"/>
      <c r="BO83" s="6"/>
      <c r="BP83" s="5"/>
      <c r="BQ83" s="17"/>
      <c r="BR83" s="17"/>
      <c r="BS83" s="17"/>
      <c r="BT83" s="17"/>
      <c r="BU83" s="112"/>
      <c r="BV83" s="17"/>
      <c r="BW83" s="17"/>
      <c r="BX83" s="17"/>
      <c r="BY83" s="17"/>
      <c r="BZ83" s="80"/>
      <c r="CA83" s="17"/>
      <c r="CB83" s="17"/>
      <c r="CC83" s="17"/>
      <c r="CD83" s="17"/>
      <c r="CE83" s="80"/>
      <c r="CF83" s="17"/>
      <c r="CG83" s="17"/>
      <c r="CH83" s="17"/>
      <c r="CI83" s="17"/>
      <c r="CJ83" s="80"/>
      <c r="CK83" s="17"/>
      <c r="CL83" s="128"/>
      <c r="CM83" s="128"/>
      <c r="CN83" s="129"/>
      <c r="CO83" s="18"/>
      <c r="CP83" s="128">
        <f>CF!CP10</f>
        <v>1720</v>
      </c>
      <c r="CQ83" s="128">
        <f>CF!CQ10</f>
        <v>1880</v>
      </c>
      <c r="CR83" s="128">
        <f>CF!CR10</f>
        <v>1891</v>
      </c>
      <c r="CS83" s="128">
        <f>CF!CS10</f>
        <v>1889</v>
      </c>
      <c r="CT83" s="18">
        <f t="shared" si="667"/>
        <v>7380</v>
      </c>
      <c r="CU83" s="128">
        <f>CF!CU10</f>
        <v>1848</v>
      </c>
      <c r="CV83" s="128">
        <f>CF!CV10</f>
        <v>1977</v>
      </c>
      <c r="CW83" s="128">
        <f>CF!CW10</f>
        <v>2060</v>
      </c>
      <c r="CX83" s="128">
        <f>CF!CX10</f>
        <v>1936</v>
      </c>
      <c r="CY83" s="18">
        <f t="shared" si="668"/>
        <v>7821</v>
      </c>
      <c r="CZ83" s="128">
        <f>CF!CZ10</f>
        <v>1619</v>
      </c>
      <c r="DA83" s="128">
        <f>CF!DA10</f>
        <v>1522</v>
      </c>
      <c r="DB83" s="128">
        <f>CF!DB10</f>
        <v>1543</v>
      </c>
      <c r="DC83" s="128">
        <f>CF!DC10</f>
        <v>1582</v>
      </c>
      <c r="DD83" s="18">
        <f t="shared" si="669"/>
        <v>6266</v>
      </c>
      <c r="DE83" s="128">
        <f>CF!DE10</f>
        <v>1625</v>
      </c>
      <c r="DF83" s="128">
        <f>CF!DF10</f>
        <v>1675</v>
      </c>
      <c r="DG83" s="128">
        <f>CF!DG10</f>
        <v>1690</v>
      </c>
      <c r="DH83" s="128">
        <f>CF!DH10</f>
        <v>1762</v>
      </c>
      <c r="DI83" s="18">
        <f t="shared" si="670"/>
        <v>6752</v>
      </c>
      <c r="DJ83" s="129">
        <f>CF!DJ10</f>
        <v>1806</v>
      </c>
      <c r="DK83" s="129">
        <f>CF!DK10</f>
        <v>1730</v>
      </c>
      <c r="DL83" s="129">
        <f>CF!DL10</f>
        <v>1884</v>
      </c>
      <c r="DM83" s="129">
        <f>CF!DM10</f>
        <v>2100</v>
      </c>
      <c r="DN83" s="18">
        <f t="shared" si="671"/>
        <v>7520</v>
      </c>
      <c r="DO83" s="129">
        <f>CF!DO10</f>
        <v>2229</v>
      </c>
      <c r="DP83" s="129">
        <f>CF!DP10</f>
        <v>2150</v>
      </c>
      <c r="DQ83" s="129">
        <f>CF!DQ10</f>
        <v>2268</v>
      </c>
      <c r="DR83" s="129">
        <f>CF!DR10</f>
        <v>2557</v>
      </c>
      <c r="DS83" s="18">
        <f t="shared" si="672"/>
        <v>9204</v>
      </c>
      <c r="DT83" s="129">
        <f>CF!DT10</f>
        <v>2623</v>
      </c>
      <c r="DU83" s="129">
        <f>CF!DU10</f>
        <v>2625</v>
      </c>
      <c r="DV83" s="129">
        <f>CF!DV10</f>
        <v>2677</v>
      </c>
      <c r="DW83" s="129">
        <f>CF!DW10</f>
        <v>2557</v>
      </c>
      <c r="DX83" s="18">
        <f t="shared" si="673"/>
        <v>10482</v>
      </c>
      <c r="DY83" s="129">
        <f>CF!DY10</f>
        <v>2454</v>
      </c>
      <c r="DZ83" s="129">
        <f>CF!DZ10</f>
        <v>2408</v>
      </c>
      <c r="EA83" s="129">
        <f>CF!EA10</f>
        <v>2495</v>
      </c>
      <c r="EB83" s="129">
        <f>CF!EB10</f>
        <v>2596</v>
      </c>
      <c r="EC83" s="18">
        <f t="shared" si="674"/>
        <v>9953</v>
      </c>
      <c r="ED83" s="129">
        <f>CF!ED10</f>
        <v>2847</v>
      </c>
      <c r="EE83" s="129">
        <f>CF!EE10</f>
        <v>2681</v>
      </c>
      <c r="EF83" s="129">
        <f>CF!EF10</f>
        <v>2781</v>
      </c>
      <c r="EG83" s="129">
        <f>CF!EG10</f>
        <v>2819</v>
      </c>
      <c r="EH83" s="18">
        <f t="shared" si="675"/>
        <v>11128</v>
      </c>
      <c r="EI83" s="134">
        <f>CF!EI10</f>
        <v>2855.984375</v>
      </c>
      <c r="EJ83" s="128">
        <f>CF!EJ10</f>
        <v>2891.812988</v>
      </c>
      <c r="EK83" s="128">
        <f>CF!EK10</f>
        <v>2926.365707</v>
      </c>
      <c r="EL83" s="128">
        <f>CF!EL10</f>
        <v>2959.838654</v>
      </c>
      <c r="EM83" s="18">
        <f t="shared" si="676"/>
        <v>11634.00172</v>
      </c>
      <c r="EN83" s="128">
        <f>CF!EN10</f>
        <v>2977.109321</v>
      </c>
      <c r="EO83" s="128">
        <f>CF!EO10</f>
        <v>3021.18403</v>
      </c>
      <c r="EP83" s="128">
        <f>CF!EP10</f>
        <v>3091.225154</v>
      </c>
      <c r="EQ83" s="128">
        <f>CF!EQ10</f>
        <v>3159.077493</v>
      </c>
      <c r="ER83" s="18">
        <f t="shared" si="677"/>
        <v>12248.596</v>
      </c>
      <c r="ES83" s="128">
        <f>CF!ES10</f>
        <v>3224.809446</v>
      </c>
      <c r="ET83" s="128">
        <f>CF!ET10</f>
        <v>3288.487276</v>
      </c>
      <c r="EU83" s="128">
        <f>CF!EU10</f>
        <v>3350.175174</v>
      </c>
      <c r="EV83" s="128">
        <f>CF!EV10</f>
        <v>3409.935324</v>
      </c>
      <c r="EW83" s="18">
        <f t="shared" si="678"/>
        <v>13273.40722</v>
      </c>
      <c r="EX83" s="128">
        <f>CF!EX10</f>
        <v>3467.827971</v>
      </c>
      <c r="EY83" s="128">
        <f>CF!EY10</f>
        <v>3523.911471</v>
      </c>
      <c r="EZ83" s="128">
        <f>CF!EZ10</f>
        <v>3591.914238</v>
      </c>
      <c r="FA83" s="128">
        <f>CF!FA10</f>
        <v>3657.791918</v>
      </c>
      <c r="FB83" s="18">
        <f t="shared" si="679"/>
        <v>14241.4456</v>
      </c>
      <c r="FC83" s="128">
        <f>CF!FC10</f>
        <v>3707.939046</v>
      </c>
      <c r="FD83" s="128">
        <f>CF!FD10</f>
        <v>3756.519075</v>
      </c>
      <c r="FE83" s="128">
        <f>CF!FE10</f>
        <v>3817.252854</v>
      </c>
      <c r="FF83" s="128">
        <f>CF!FF10</f>
        <v>3876.088703</v>
      </c>
      <c r="FG83" s="18">
        <f t="shared" si="680"/>
        <v>15157.79968</v>
      </c>
      <c r="FH83" s="74"/>
      <c r="FI83" s="179"/>
      <c r="FJ83" s="179"/>
      <c r="FK83" s="179"/>
      <c r="FL83" s="179"/>
    </row>
    <row r="84" ht="12.0" customHeight="1">
      <c r="A84" s="179"/>
      <c r="B84" s="72" t="s">
        <v>109</v>
      </c>
      <c r="C84" s="268"/>
      <c r="D84" s="6"/>
      <c r="E84" s="6"/>
      <c r="F84" s="6"/>
      <c r="G84" s="6"/>
      <c r="H84" s="5"/>
      <c r="I84" s="6"/>
      <c r="J84" s="6"/>
      <c r="K84" s="6"/>
      <c r="L84" s="6"/>
      <c r="M84" s="5"/>
      <c r="N84" s="6"/>
      <c r="O84" s="6"/>
      <c r="P84" s="6"/>
      <c r="Q84" s="6"/>
      <c r="R84" s="5"/>
      <c r="S84" s="6"/>
      <c r="T84" s="6"/>
      <c r="U84" s="6"/>
      <c r="V84" s="6"/>
      <c r="W84" s="5"/>
      <c r="X84" s="6"/>
      <c r="Y84" s="6"/>
      <c r="Z84" s="6"/>
      <c r="AA84" s="6"/>
      <c r="AB84" s="5"/>
      <c r="AC84" s="6"/>
      <c r="AD84" s="6"/>
      <c r="AE84" s="6"/>
      <c r="AF84" s="6"/>
      <c r="AG84" s="5"/>
      <c r="AH84" s="6"/>
      <c r="AI84" s="6"/>
      <c r="AJ84" s="6"/>
      <c r="AK84" s="6"/>
      <c r="AL84" s="5"/>
      <c r="AM84" s="6"/>
      <c r="AN84" s="6"/>
      <c r="AO84" s="6"/>
      <c r="AP84" s="6"/>
      <c r="AQ84" s="5"/>
      <c r="AR84" s="6"/>
      <c r="AS84" s="6"/>
      <c r="AT84" s="6"/>
      <c r="AU84" s="6"/>
      <c r="AV84" s="5"/>
      <c r="AW84" s="6"/>
      <c r="AX84" s="6"/>
      <c r="AY84" s="6"/>
      <c r="AZ84" s="6"/>
      <c r="BA84" s="5"/>
      <c r="BB84" s="6"/>
      <c r="BC84" s="6"/>
      <c r="BD84" s="6"/>
      <c r="BE84" s="6"/>
      <c r="BF84" s="5"/>
      <c r="BG84" s="6"/>
      <c r="BH84" s="6"/>
      <c r="BI84" s="6"/>
      <c r="BJ84" s="6"/>
      <c r="BK84" s="5"/>
      <c r="BL84" s="6"/>
      <c r="BM84" s="6"/>
      <c r="BN84" s="6"/>
      <c r="BO84" s="6"/>
      <c r="BP84" s="5"/>
      <c r="BQ84" s="17"/>
      <c r="BR84" s="17"/>
      <c r="BS84" s="17"/>
      <c r="BT84" s="17"/>
      <c r="BU84" s="112"/>
      <c r="BV84" s="17"/>
      <c r="BW84" s="17"/>
      <c r="BX84" s="17"/>
      <c r="BY84" s="17"/>
      <c r="BZ84" s="80"/>
      <c r="CA84" s="17"/>
      <c r="CB84" s="17"/>
      <c r="CC84" s="17"/>
      <c r="CD84" s="17"/>
      <c r="CE84" s="80"/>
      <c r="CF84" s="17"/>
      <c r="CG84" s="17"/>
      <c r="CH84" s="17"/>
      <c r="CI84" s="17"/>
      <c r="CJ84" s="80"/>
      <c r="CK84" s="17"/>
      <c r="CL84" s="128"/>
      <c r="CM84" s="128"/>
      <c r="CN84" s="129"/>
      <c r="CO84" s="18"/>
      <c r="CP84" s="128">
        <f>CF!CP11</f>
        <v>287</v>
      </c>
      <c r="CQ84" s="128">
        <f>CF!CQ11</f>
        <v>290</v>
      </c>
      <c r="CR84" s="128">
        <f>CF!CR11</f>
        <v>307</v>
      </c>
      <c r="CS84" s="128">
        <f>CF!CS11</f>
        <v>285</v>
      </c>
      <c r="CT84" s="18">
        <f t="shared" si="667"/>
        <v>1169</v>
      </c>
      <c r="CU84" s="128">
        <f>CF!CU11</f>
        <v>251</v>
      </c>
      <c r="CV84" s="128">
        <f>CF!CV11</f>
        <v>214</v>
      </c>
      <c r="CW84" s="128">
        <f>CF!CW11</f>
        <v>215</v>
      </c>
      <c r="CX84" s="128">
        <f>CF!CX11</f>
        <v>210</v>
      </c>
      <c r="CY84" s="18">
        <f t="shared" si="668"/>
        <v>890</v>
      </c>
      <c r="CZ84" s="128">
        <f>CF!CZ11</f>
        <v>396</v>
      </c>
      <c r="DA84" s="128">
        <f>CF!DA11</f>
        <v>395</v>
      </c>
      <c r="DB84" s="128">
        <f>CF!DB11</f>
        <v>385</v>
      </c>
      <c r="DC84" s="128">
        <f>CF!DC11</f>
        <v>348</v>
      </c>
      <c r="DD84" s="18">
        <f t="shared" si="669"/>
        <v>1524</v>
      </c>
      <c r="DE84" s="128">
        <f>CF!DE11</f>
        <v>321</v>
      </c>
      <c r="DF84" s="128">
        <f>CF!DF11</f>
        <v>313</v>
      </c>
      <c r="DG84" s="128">
        <f>CF!DG11</f>
        <v>365</v>
      </c>
      <c r="DH84" s="128">
        <f>CF!DH11</f>
        <v>378</v>
      </c>
      <c r="DI84" s="18">
        <f t="shared" si="670"/>
        <v>1377</v>
      </c>
      <c r="DJ84" s="129">
        <f>CF!DJ11</f>
        <v>390</v>
      </c>
      <c r="DK84" s="129">
        <f>CF!DK11</f>
        <v>392</v>
      </c>
      <c r="DL84" s="129">
        <f>CF!DL11</f>
        <v>390</v>
      </c>
      <c r="DM84" s="129">
        <f>CF!DM11</f>
        <v>393</v>
      </c>
      <c r="DN84" s="18">
        <f t="shared" si="671"/>
        <v>1565</v>
      </c>
      <c r="DO84" s="129">
        <f>CF!DO11</f>
        <v>396</v>
      </c>
      <c r="DP84" s="129">
        <f>CF!DP11</f>
        <v>404</v>
      </c>
      <c r="DQ84" s="129">
        <f>CF!DQ11</f>
        <v>411</v>
      </c>
      <c r="DR84" s="129">
        <f>CF!DR11</f>
        <v>411</v>
      </c>
      <c r="DS84" s="18">
        <f t="shared" si="672"/>
        <v>1622</v>
      </c>
      <c r="DT84" s="129">
        <f>CF!DT11</f>
        <v>427</v>
      </c>
      <c r="DU84" s="129">
        <f>CF!DU11</f>
        <v>438</v>
      </c>
      <c r="DV84" s="129">
        <f>CF!DV11</f>
        <v>446</v>
      </c>
      <c r="DW84" s="129">
        <f>CF!DW11</f>
        <v>446</v>
      </c>
      <c r="DX84" s="18">
        <f t="shared" si="673"/>
        <v>1757</v>
      </c>
      <c r="DY84" s="129">
        <f>CF!DY11</f>
        <v>448</v>
      </c>
      <c r="DZ84" s="129">
        <f>CF!DZ11</f>
        <v>449</v>
      </c>
      <c r="EA84" s="129">
        <f>CF!EA11</f>
        <v>464</v>
      </c>
      <c r="EB84" s="129">
        <f>CF!EB11</f>
        <v>478</v>
      </c>
      <c r="EC84" s="18">
        <f t="shared" si="674"/>
        <v>1839</v>
      </c>
      <c r="ED84" s="129">
        <f>CF!ED11</f>
        <v>501</v>
      </c>
      <c r="EE84" s="129">
        <f>CF!EE11</f>
        <v>467</v>
      </c>
      <c r="EF84" s="129">
        <f>CF!EF11</f>
        <v>471</v>
      </c>
      <c r="EG84" s="129">
        <f>CF!EG11</f>
        <v>468</v>
      </c>
      <c r="EH84" s="18">
        <f t="shared" si="675"/>
        <v>1907</v>
      </c>
      <c r="EI84" s="134">
        <f>CF!EI11</f>
        <v>476.75</v>
      </c>
      <c r="EJ84" s="128">
        <f>CF!EJ11</f>
        <v>470.6875</v>
      </c>
      <c r="EK84" s="128">
        <f>CF!EK11</f>
        <v>471.609375</v>
      </c>
      <c r="EL84" s="128">
        <f>CF!EL11</f>
        <v>471.7617188</v>
      </c>
      <c r="EM84" s="18">
        <f t="shared" si="676"/>
        <v>1890.808594</v>
      </c>
      <c r="EN84" s="128">
        <f>CF!EN11</f>
        <v>472.7021484</v>
      </c>
      <c r="EO84" s="128">
        <f>CF!EO11</f>
        <v>471.6901855</v>
      </c>
      <c r="EP84" s="128">
        <f>CF!EP11</f>
        <v>471.9408569</v>
      </c>
      <c r="EQ84" s="128">
        <f>CF!EQ11</f>
        <v>472.0237274</v>
      </c>
      <c r="ER84" s="18">
        <f t="shared" si="677"/>
        <v>1888.356918</v>
      </c>
      <c r="ES84" s="128">
        <f>CF!ES11</f>
        <v>472.0892296</v>
      </c>
      <c r="ET84" s="128">
        <f>CF!ET11</f>
        <v>471.9359999</v>
      </c>
      <c r="EU84" s="128">
        <f>CF!EU11</f>
        <v>471.9974535</v>
      </c>
      <c r="EV84" s="128">
        <f>CF!EV11</f>
        <v>472.0116026</v>
      </c>
      <c r="EW84" s="18">
        <f t="shared" si="678"/>
        <v>1888.034285</v>
      </c>
      <c r="EX84" s="128">
        <f>CF!EX11</f>
        <v>472.0085714</v>
      </c>
      <c r="EY84" s="128">
        <f>CF!EY11</f>
        <v>471.9884068</v>
      </c>
      <c r="EZ84" s="128">
        <f>CF!EZ11</f>
        <v>472.0015086</v>
      </c>
      <c r="FA84" s="128">
        <f>CF!FA11</f>
        <v>472.0025223</v>
      </c>
      <c r="FB84" s="18">
        <f t="shared" si="679"/>
        <v>1888.001009</v>
      </c>
      <c r="FC84" s="128">
        <f>CF!FC11</f>
        <v>472.0002523</v>
      </c>
      <c r="FD84" s="128">
        <f>CF!FD11</f>
        <v>471.9981725</v>
      </c>
      <c r="FE84" s="128">
        <f>CF!FE11</f>
        <v>472.0006139</v>
      </c>
      <c r="FF84" s="128">
        <f>CF!FF11</f>
        <v>472.0003903</v>
      </c>
      <c r="FG84" s="18">
        <f t="shared" si="680"/>
        <v>1887.999429</v>
      </c>
      <c r="FH84" s="74"/>
      <c r="FI84" s="179"/>
      <c r="FJ84" s="179"/>
      <c r="FK84" s="179"/>
      <c r="FL84" s="179"/>
    </row>
    <row r="85" ht="12.0" customHeight="1">
      <c r="A85" s="270"/>
      <c r="B85" s="91" t="s">
        <v>110</v>
      </c>
      <c r="C85" s="271"/>
      <c r="D85" s="272"/>
      <c r="E85" s="272"/>
      <c r="F85" s="272"/>
      <c r="G85" s="272"/>
      <c r="H85" s="273"/>
      <c r="I85" s="272"/>
      <c r="J85" s="272"/>
      <c r="K85" s="272"/>
      <c r="L85" s="272"/>
      <c r="M85" s="273"/>
      <c r="N85" s="272"/>
      <c r="O85" s="272"/>
      <c r="P85" s="272"/>
      <c r="Q85" s="272"/>
      <c r="R85" s="273"/>
      <c r="S85" s="272"/>
      <c r="T85" s="272"/>
      <c r="U85" s="272"/>
      <c r="V85" s="272"/>
      <c r="W85" s="273"/>
      <c r="X85" s="272"/>
      <c r="Y85" s="272"/>
      <c r="Z85" s="272"/>
      <c r="AA85" s="272"/>
      <c r="AB85" s="273"/>
      <c r="AC85" s="272"/>
      <c r="AD85" s="272"/>
      <c r="AE85" s="272"/>
      <c r="AF85" s="272"/>
      <c r="AG85" s="273"/>
      <c r="AH85" s="272"/>
      <c r="AI85" s="272"/>
      <c r="AJ85" s="272"/>
      <c r="AK85" s="272"/>
      <c r="AL85" s="273"/>
      <c r="AM85" s="272"/>
      <c r="AN85" s="272"/>
      <c r="AO85" s="272"/>
      <c r="AP85" s="272"/>
      <c r="AQ85" s="273"/>
      <c r="AR85" s="272"/>
      <c r="AS85" s="272"/>
      <c r="AT85" s="272"/>
      <c r="AU85" s="272"/>
      <c r="AV85" s="273"/>
      <c r="AW85" s="272"/>
      <c r="AX85" s="272"/>
      <c r="AY85" s="272"/>
      <c r="AZ85" s="272"/>
      <c r="BA85" s="273"/>
      <c r="BB85" s="272"/>
      <c r="BC85" s="272"/>
      <c r="BD85" s="272"/>
      <c r="BE85" s="272"/>
      <c r="BF85" s="273"/>
      <c r="BG85" s="272"/>
      <c r="BH85" s="272"/>
      <c r="BI85" s="272"/>
      <c r="BJ85" s="272"/>
      <c r="BK85" s="273"/>
      <c r="BL85" s="272"/>
      <c r="BM85" s="272"/>
      <c r="BN85" s="272"/>
      <c r="BO85" s="272"/>
      <c r="BP85" s="273"/>
      <c r="BQ85" s="92"/>
      <c r="BR85" s="92"/>
      <c r="BS85" s="92"/>
      <c r="BT85" s="92"/>
      <c r="BU85" s="274"/>
      <c r="BV85" s="92"/>
      <c r="BW85" s="92"/>
      <c r="BX85" s="92"/>
      <c r="BY85" s="92"/>
      <c r="BZ85" s="95"/>
      <c r="CA85" s="92"/>
      <c r="CB85" s="92"/>
      <c r="CC85" s="92"/>
      <c r="CD85" s="92"/>
      <c r="CE85" s="95"/>
      <c r="CF85" s="92"/>
      <c r="CG85" s="92"/>
      <c r="CH85" s="92"/>
      <c r="CI85" s="92"/>
      <c r="CJ85" s="95"/>
      <c r="CK85" s="92"/>
      <c r="CL85" s="155"/>
      <c r="CM85" s="155"/>
      <c r="CN85" s="156"/>
      <c r="CO85" s="94"/>
      <c r="CP85" s="155">
        <f>CF!CP13</f>
        <v>283</v>
      </c>
      <c r="CQ85" s="155">
        <f>CF!CQ13</f>
        <v>303</v>
      </c>
      <c r="CR85" s="155">
        <f>CF!CR13</f>
        <v>281</v>
      </c>
      <c r="CS85" s="155">
        <f>CF!CS13</f>
        <v>281</v>
      </c>
      <c r="CT85" s="94">
        <f t="shared" si="667"/>
        <v>1148</v>
      </c>
      <c r="CU85" s="155">
        <f>CF!CU13</f>
        <v>368</v>
      </c>
      <c r="CV85" s="155">
        <f>CF!CV13</f>
        <v>332</v>
      </c>
      <c r="CW85" s="155">
        <f>CF!CW13</f>
        <v>309</v>
      </c>
      <c r="CX85" s="155">
        <f>CF!CX13</f>
        <v>296</v>
      </c>
      <c r="CY85" s="94">
        <f t="shared" si="668"/>
        <v>1305</v>
      </c>
      <c r="CZ85" s="155">
        <f>CF!CZ13</f>
        <v>448</v>
      </c>
      <c r="DA85" s="155">
        <f>CF!DA13</f>
        <v>364</v>
      </c>
      <c r="DB85" s="155">
        <f>CF!DB13</f>
        <v>324</v>
      </c>
      <c r="DC85" s="155">
        <f>CF!DC13</f>
        <v>308</v>
      </c>
      <c r="DD85" s="94">
        <f t="shared" si="669"/>
        <v>1444</v>
      </c>
      <c r="DE85" s="155">
        <f>CF!DE13</f>
        <v>397</v>
      </c>
      <c r="DF85" s="155">
        <f>CF!DF13</f>
        <v>328</v>
      </c>
      <c r="DG85" s="155">
        <f>CF!DG13</f>
        <v>326</v>
      </c>
      <c r="DH85" s="155">
        <f>CF!DH13</f>
        <v>307</v>
      </c>
      <c r="DI85" s="94">
        <f t="shared" si="670"/>
        <v>1358</v>
      </c>
      <c r="DJ85" s="156">
        <f>CF!DJ13</f>
        <v>433</v>
      </c>
      <c r="DK85" s="156">
        <f>CF!DK13</f>
        <v>387</v>
      </c>
      <c r="DL85" s="156">
        <f>CF!DL13</f>
        <v>383</v>
      </c>
      <c r="DM85" s="156">
        <f>CF!DM13</f>
        <v>343</v>
      </c>
      <c r="DN85" s="94">
        <f t="shared" si="671"/>
        <v>1546</v>
      </c>
      <c r="DO85" s="156">
        <f>CF!DO13</f>
        <v>389</v>
      </c>
      <c r="DP85" s="156">
        <f>CF!DP13</f>
        <v>470</v>
      </c>
      <c r="DQ85" s="156">
        <f>CF!DQ13</f>
        <v>431</v>
      </c>
      <c r="DR85" s="156">
        <f>CF!DR13</f>
        <v>415</v>
      </c>
      <c r="DS85" s="94">
        <f t="shared" si="672"/>
        <v>1705</v>
      </c>
      <c r="DT85" s="156">
        <f>CF!DT13</f>
        <v>449</v>
      </c>
      <c r="DU85" s="156">
        <f>CF!DU13</f>
        <v>492</v>
      </c>
      <c r="DV85" s="156">
        <f>CF!DV13</f>
        <v>452</v>
      </c>
      <c r="DW85" s="156">
        <f>CF!DW13</f>
        <v>461</v>
      </c>
      <c r="DX85" s="94">
        <f t="shared" si="673"/>
        <v>1854</v>
      </c>
      <c r="DY85" s="156">
        <f>CF!DY13</f>
        <v>425</v>
      </c>
      <c r="DZ85" s="156">
        <f>CF!DZ13</f>
        <v>619</v>
      </c>
      <c r="EA85" s="156">
        <f>CF!EA13</f>
        <v>543</v>
      </c>
      <c r="EB85" s="156">
        <f>CF!EB13</f>
        <v>449</v>
      </c>
      <c r="EC85" s="94">
        <f t="shared" si="674"/>
        <v>2036</v>
      </c>
      <c r="ED85" s="156">
        <f>CF!ED13</f>
        <v>707</v>
      </c>
      <c r="EE85" s="156">
        <f>CF!EE13</f>
        <v>892</v>
      </c>
      <c r="EF85" s="156">
        <f>CF!EF13</f>
        <v>793</v>
      </c>
      <c r="EG85" s="156">
        <f>CF!EG13</f>
        <v>736</v>
      </c>
      <c r="EH85" s="94">
        <f t="shared" si="675"/>
        <v>3128</v>
      </c>
      <c r="EI85" s="157" t="str">
        <f>CF!EI13</f>
        <v>#ERROR!</v>
      </c>
      <c r="EJ85" s="155" t="str">
        <f>CF!EJ13</f>
        <v>#ERROR!</v>
      </c>
      <c r="EK85" s="155" t="str">
        <f>CF!EK13</f>
        <v>#ERROR!</v>
      </c>
      <c r="EL85" s="155" t="str">
        <f>CF!EL13</f>
        <v>#ERROR!</v>
      </c>
      <c r="EM85" s="94" t="str">
        <f t="shared" si="676"/>
        <v>#ERROR!</v>
      </c>
      <c r="EN85" s="155" t="str">
        <f>CF!EN13</f>
        <v>#ERROR!</v>
      </c>
      <c r="EO85" s="155" t="str">
        <f>CF!EO13</f>
        <v>#ERROR!</v>
      </c>
      <c r="EP85" s="155" t="str">
        <f>CF!EP13</f>
        <v>#ERROR!</v>
      </c>
      <c r="EQ85" s="155" t="str">
        <f>CF!EQ13</f>
        <v>#ERROR!</v>
      </c>
      <c r="ER85" s="94" t="str">
        <f t="shared" si="677"/>
        <v>#ERROR!</v>
      </c>
      <c r="ES85" s="155" t="str">
        <f>CF!ES13</f>
        <v>#ERROR!</v>
      </c>
      <c r="ET85" s="155" t="str">
        <f>CF!ET13</f>
        <v>#ERROR!</v>
      </c>
      <c r="EU85" s="155" t="str">
        <f>CF!EU13</f>
        <v>#ERROR!</v>
      </c>
      <c r="EV85" s="155" t="str">
        <f>CF!EV13</f>
        <v>#ERROR!</v>
      </c>
      <c r="EW85" s="94" t="str">
        <f t="shared" si="678"/>
        <v>#ERROR!</v>
      </c>
      <c r="EX85" s="155" t="str">
        <f>CF!EX13</f>
        <v>#ERROR!</v>
      </c>
      <c r="EY85" s="155" t="str">
        <f>CF!EY13</f>
        <v>#ERROR!</v>
      </c>
      <c r="EZ85" s="155" t="str">
        <f>CF!EZ13</f>
        <v>#ERROR!</v>
      </c>
      <c r="FA85" s="155" t="str">
        <f>CF!FA13</f>
        <v>#ERROR!</v>
      </c>
      <c r="FB85" s="94" t="str">
        <f t="shared" si="679"/>
        <v>#ERROR!</v>
      </c>
      <c r="FC85" s="155" t="str">
        <f>CF!FC13</f>
        <v>#ERROR!</v>
      </c>
      <c r="FD85" s="155" t="str">
        <f>CF!FD13</f>
        <v>#ERROR!</v>
      </c>
      <c r="FE85" s="155" t="str">
        <f>CF!FE13</f>
        <v>#ERROR!</v>
      </c>
      <c r="FF85" s="155" t="str">
        <f>CF!FF13</f>
        <v>#ERROR!</v>
      </c>
      <c r="FG85" s="94" t="str">
        <f t="shared" si="680"/>
        <v>#ERROR!</v>
      </c>
      <c r="FH85" s="98"/>
      <c r="FI85" s="270"/>
      <c r="FJ85" s="270"/>
      <c r="FK85" s="270"/>
      <c r="FL85" s="270"/>
    </row>
    <row r="86" ht="12.0" customHeight="1">
      <c r="A86" s="179"/>
      <c r="B86" s="145" t="s">
        <v>111</v>
      </c>
      <c r="C86" s="268"/>
      <c r="D86" s="6"/>
      <c r="E86" s="6"/>
      <c r="F86" s="6"/>
      <c r="G86" s="6"/>
      <c r="H86" s="5"/>
      <c r="I86" s="6"/>
      <c r="J86" s="6"/>
      <c r="K86" s="6"/>
      <c r="L86" s="6"/>
      <c r="M86" s="5"/>
      <c r="N86" s="6"/>
      <c r="O86" s="6"/>
      <c r="P86" s="6"/>
      <c r="Q86" s="6"/>
      <c r="R86" s="5"/>
      <c r="S86" s="6"/>
      <c r="T86" s="6"/>
      <c r="U86" s="6"/>
      <c r="V86" s="6"/>
      <c r="W86" s="5"/>
      <c r="X86" s="6"/>
      <c r="Y86" s="6"/>
      <c r="Z86" s="6"/>
      <c r="AA86" s="6"/>
      <c r="AB86" s="5"/>
      <c r="AC86" s="6"/>
      <c r="AD86" s="6"/>
      <c r="AE86" s="6"/>
      <c r="AF86" s="6"/>
      <c r="AG86" s="5"/>
      <c r="AH86" s="6"/>
      <c r="AI86" s="6"/>
      <c r="AJ86" s="6"/>
      <c r="AK86" s="6"/>
      <c r="AL86" s="5"/>
      <c r="AM86" s="6"/>
      <c r="AN86" s="6"/>
      <c r="AO86" s="6"/>
      <c r="AP86" s="6"/>
      <c r="AQ86" s="5"/>
      <c r="AR86" s="6"/>
      <c r="AS86" s="6"/>
      <c r="AT86" s="6"/>
      <c r="AU86" s="6"/>
      <c r="AV86" s="5"/>
      <c r="AW86" s="6"/>
      <c r="AX86" s="6"/>
      <c r="AY86" s="6"/>
      <c r="AZ86" s="6"/>
      <c r="BA86" s="5"/>
      <c r="BB86" s="6"/>
      <c r="BC86" s="6"/>
      <c r="BD86" s="6"/>
      <c r="BE86" s="6"/>
      <c r="BF86" s="5"/>
      <c r="BG86" s="6"/>
      <c r="BH86" s="6"/>
      <c r="BI86" s="6"/>
      <c r="BJ86" s="6"/>
      <c r="BK86" s="5"/>
      <c r="BL86" s="6"/>
      <c r="BM86" s="6"/>
      <c r="BN86" s="6"/>
      <c r="BO86" s="6"/>
      <c r="BP86" s="5"/>
      <c r="BQ86" s="17"/>
      <c r="BR86" s="17"/>
      <c r="BS86" s="17"/>
      <c r="BT86" s="17"/>
      <c r="BU86" s="112"/>
      <c r="BV86" s="17"/>
      <c r="BW86" s="17"/>
      <c r="BX86" s="17"/>
      <c r="BY86" s="17"/>
      <c r="BZ86" s="80"/>
      <c r="CA86" s="17"/>
      <c r="CB86" s="17"/>
      <c r="CC86" s="17"/>
      <c r="CD86" s="17"/>
      <c r="CE86" s="80"/>
      <c r="CF86" s="17"/>
      <c r="CG86" s="17"/>
      <c r="CH86" s="17"/>
      <c r="CI86" s="17"/>
      <c r="CJ86" s="80"/>
      <c r="CK86" s="17"/>
      <c r="CL86" s="128"/>
      <c r="CM86" s="128"/>
      <c r="CN86" s="129"/>
      <c r="CO86" s="18"/>
      <c r="CP86" s="73">
        <f t="shared" ref="CP86:CS86" si="681">SUM(CP82:CP85)</f>
        <v>5020</v>
      </c>
      <c r="CQ86" s="73">
        <f t="shared" si="681"/>
        <v>6470</v>
      </c>
      <c r="CR86" s="73">
        <f t="shared" si="681"/>
        <v>7116</v>
      </c>
      <c r="CS86" s="73">
        <f t="shared" si="681"/>
        <v>7037</v>
      </c>
      <c r="CT86" s="18">
        <f t="shared" si="667"/>
        <v>25643</v>
      </c>
      <c r="CU86" s="73">
        <f t="shared" ref="CU86:CX86" si="682">SUM(CU82:CU85)</f>
        <v>5369</v>
      </c>
      <c r="CV86" s="73">
        <f t="shared" si="682"/>
        <v>5810</v>
      </c>
      <c r="CW86" s="73">
        <f t="shared" si="682"/>
        <v>6858</v>
      </c>
      <c r="CX86" s="73">
        <f t="shared" si="682"/>
        <v>6867</v>
      </c>
      <c r="CY86" s="18">
        <f t="shared" si="668"/>
        <v>24904</v>
      </c>
      <c r="CZ86" s="73">
        <f t="shared" ref="CZ86:DC86" si="683">SUM(CZ82:CZ85)</f>
        <v>5746</v>
      </c>
      <c r="DA86" s="73">
        <f t="shared" si="683"/>
        <v>5498</v>
      </c>
      <c r="DB86" s="73">
        <f t="shared" si="683"/>
        <v>7395</v>
      </c>
      <c r="DC86" s="73">
        <f t="shared" si="683"/>
        <v>7137</v>
      </c>
      <c r="DD86" s="18">
        <f t="shared" si="669"/>
        <v>25776</v>
      </c>
      <c r="DE86" s="73">
        <f t="shared" ref="DE86:DH86" si="684">SUM(DE82:DE85)</f>
        <v>6269</v>
      </c>
      <c r="DF86" s="73">
        <f t="shared" si="684"/>
        <v>6483</v>
      </c>
      <c r="DG86" s="73">
        <f t="shared" si="684"/>
        <v>7932</v>
      </c>
      <c r="DH86" s="73">
        <f t="shared" si="684"/>
        <v>8380</v>
      </c>
      <c r="DI86" s="18">
        <f t="shared" si="670"/>
        <v>29064</v>
      </c>
      <c r="DJ86" s="74">
        <f t="shared" ref="DJ86:DM86" si="685">SUM(DJ82:DJ85)</f>
        <v>7424</v>
      </c>
      <c r="DK86" s="74">
        <f t="shared" si="685"/>
        <v>7848</v>
      </c>
      <c r="DL86" s="74">
        <f t="shared" si="685"/>
        <v>10260</v>
      </c>
      <c r="DM86" s="74">
        <f t="shared" si="685"/>
        <v>9389</v>
      </c>
      <c r="DN86" s="18">
        <f t="shared" si="671"/>
        <v>34921</v>
      </c>
      <c r="DO86" s="74">
        <f t="shared" ref="DO86:DR86" si="686">SUM(DO82:DO85)</f>
        <v>7519</v>
      </c>
      <c r="DP86" s="74">
        <f t="shared" si="686"/>
        <v>8162</v>
      </c>
      <c r="DQ86" s="74">
        <f t="shared" si="686"/>
        <v>9999</v>
      </c>
      <c r="DR86" s="74">
        <f t="shared" si="686"/>
        <v>10603</v>
      </c>
      <c r="DS86" s="18">
        <f t="shared" si="672"/>
        <v>36283</v>
      </c>
      <c r="DT86" s="74">
        <f t="shared" ref="DT86:DW86" si="687">SUM(DT82:DT85)</f>
        <v>11038</v>
      </c>
      <c r="DU86" s="74">
        <f t="shared" si="687"/>
        <v>9613</v>
      </c>
      <c r="DV86" s="74">
        <f t="shared" si="687"/>
        <v>8971</v>
      </c>
      <c r="DW86" s="74">
        <f t="shared" si="687"/>
        <v>9763</v>
      </c>
      <c r="DX86" s="18">
        <f t="shared" si="673"/>
        <v>39385</v>
      </c>
      <c r="DY86" s="74">
        <f t="shared" ref="DY86:EB86" si="688">SUM(DY82:DY85)</f>
        <v>9423</v>
      </c>
      <c r="DZ86" s="74">
        <f t="shared" si="688"/>
        <v>9332</v>
      </c>
      <c r="EA86" s="74">
        <f t="shared" si="688"/>
        <v>8704</v>
      </c>
      <c r="EB86" s="74">
        <f t="shared" si="688"/>
        <v>8574</v>
      </c>
      <c r="EC86" s="18">
        <f t="shared" si="674"/>
        <v>36033</v>
      </c>
      <c r="ED86" s="74">
        <f t="shared" ref="ED86:EG86" si="689">SUM(ED82:ED85)</f>
        <v>8296</v>
      </c>
      <c r="EE86" s="74">
        <f t="shared" si="689"/>
        <v>5457</v>
      </c>
      <c r="EF86" s="74">
        <f t="shared" si="689"/>
        <v>5700</v>
      </c>
      <c r="EG86" s="74">
        <f t="shared" si="689"/>
        <v>4625</v>
      </c>
      <c r="EH86" s="18">
        <f t="shared" si="675"/>
        <v>24078</v>
      </c>
      <c r="EI86" s="275" t="str">
        <f t="shared" ref="EI86:EL86" si="690">SUM(EI82:EI85)</f>
        <v>#ERROR!</v>
      </c>
      <c r="EJ86" s="73" t="str">
        <f t="shared" si="690"/>
        <v>#ERROR!</v>
      </c>
      <c r="EK86" s="73" t="str">
        <f t="shared" si="690"/>
        <v>#ERROR!</v>
      </c>
      <c r="EL86" s="73" t="str">
        <f t="shared" si="690"/>
        <v>#ERROR!</v>
      </c>
      <c r="EM86" s="18" t="str">
        <f t="shared" si="676"/>
        <v>#ERROR!</v>
      </c>
      <c r="EN86" s="73" t="str">
        <f t="shared" ref="EN86:EQ86" si="691">SUM(EN82:EN85)</f>
        <v>#ERROR!</v>
      </c>
      <c r="EO86" s="73" t="str">
        <f t="shared" si="691"/>
        <v>#ERROR!</v>
      </c>
      <c r="EP86" s="73" t="str">
        <f t="shared" si="691"/>
        <v>#ERROR!</v>
      </c>
      <c r="EQ86" s="73" t="str">
        <f t="shared" si="691"/>
        <v>#ERROR!</v>
      </c>
      <c r="ER86" s="18" t="str">
        <f t="shared" si="677"/>
        <v>#ERROR!</v>
      </c>
      <c r="ES86" s="73" t="str">
        <f t="shared" ref="ES86:EV86" si="692">SUM(ES82:ES85)</f>
        <v>#ERROR!</v>
      </c>
      <c r="ET86" s="73" t="str">
        <f t="shared" si="692"/>
        <v>#ERROR!</v>
      </c>
      <c r="EU86" s="73" t="str">
        <f t="shared" si="692"/>
        <v>#ERROR!</v>
      </c>
      <c r="EV86" s="73" t="str">
        <f t="shared" si="692"/>
        <v>#ERROR!</v>
      </c>
      <c r="EW86" s="18" t="str">
        <f t="shared" si="678"/>
        <v>#ERROR!</v>
      </c>
      <c r="EX86" s="73" t="str">
        <f t="shared" ref="EX86:FA86" si="693">SUM(EX82:EX85)</f>
        <v>#ERROR!</v>
      </c>
      <c r="EY86" s="73" t="str">
        <f t="shared" si="693"/>
        <v>#ERROR!</v>
      </c>
      <c r="EZ86" s="73" t="str">
        <f t="shared" si="693"/>
        <v>#ERROR!</v>
      </c>
      <c r="FA86" s="73" t="str">
        <f t="shared" si="693"/>
        <v>#ERROR!</v>
      </c>
      <c r="FB86" s="18" t="str">
        <f t="shared" si="679"/>
        <v>#ERROR!</v>
      </c>
      <c r="FC86" s="73" t="str">
        <f t="shared" ref="FC86:FF86" si="694">SUM(FC82:FC85)</f>
        <v>#ERROR!</v>
      </c>
      <c r="FD86" s="73" t="str">
        <f t="shared" si="694"/>
        <v>#ERROR!</v>
      </c>
      <c r="FE86" s="73" t="str">
        <f t="shared" si="694"/>
        <v>#ERROR!</v>
      </c>
      <c r="FF86" s="73" t="str">
        <f t="shared" si="694"/>
        <v>#ERROR!</v>
      </c>
      <c r="FG86" s="18" t="str">
        <f t="shared" si="680"/>
        <v>#ERROR!</v>
      </c>
      <c r="FH86" s="74"/>
      <c r="FI86" s="179"/>
      <c r="FJ86" s="179"/>
      <c r="FK86" s="179"/>
      <c r="FL86" s="179"/>
    </row>
    <row r="87" ht="12.0" customHeight="1">
      <c r="A87" s="179"/>
      <c r="B87" s="4"/>
      <c r="C87" s="268"/>
      <c r="D87" s="6"/>
      <c r="E87" s="6"/>
      <c r="F87" s="6"/>
      <c r="G87" s="6"/>
      <c r="H87" s="5"/>
      <c r="I87" s="6"/>
      <c r="J87" s="6"/>
      <c r="K87" s="6"/>
      <c r="L87" s="6"/>
      <c r="M87" s="5"/>
      <c r="N87" s="6"/>
      <c r="O87" s="6"/>
      <c r="P87" s="6"/>
      <c r="Q87" s="6"/>
      <c r="R87" s="5"/>
      <c r="S87" s="6"/>
      <c r="T87" s="6"/>
      <c r="U87" s="6"/>
      <c r="V87" s="6"/>
      <c r="W87" s="5"/>
      <c r="X87" s="6"/>
      <c r="Y87" s="6"/>
      <c r="Z87" s="6"/>
      <c r="AA87" s="6"/>
      <c r="AB87" s="5"/>
      <c r="AC87" s="6"/>
      <c r="AD87" s="6"/>
      <c r="AE87" s="6"/>
      <c r="AF87" s="6"/>
      <c r="AG87" s="5"/>
      <c r="AH87" s="6"/>
      <c r="AI87" s="6"/>
      <c r="AJ87" s="6"/>
      <c r="AK87" s="6"/>
      <c r="AL87" s="5"/>
      <c r="AM87" s="6"/>
      <c r="AN87" s="6"/>
      <c r="AO87" s="6"/>
      <c r="AP87" s="6"/>
      <c r="AQ87" s="5"/>
      <c r="AR87" s="6"/>
      <c r="AS87" s="6"/>
      <c r="AT87" s="6"/>
      <c r="AU87" s="6"/>
      <c r="AV87" s="5"/>
      <c r="AW87" s="6"/>
      <c r="AX87" s="6"/>
      <c r="AY87" s="6"/>
      <c r="AZ87" s="6"/>
      <c r="BA87" s="5"/>
      <c r="BB87" s="6"/>
      <c r="BC87" s="6"/>
      <c r="BD87" s="6"/>
      <c r="BE87" s="6"/>
      <c r="BF87" s="5"/>
      <c r="BG87" s="6"/>
      <c r="BH87" s="6"/>
      <c r="BI87" s="6"/>
      <c r="BJ87" s="6"/>
      <c r="BK87" s="5"/>
      <c r="BL87" s="6"/>
      <c r="BM87" s="6"/>
      <c r="BN87" s="6"/>
      <c r="BO87" s="6"/>
      <c r="BP87" s="5"/>
      <c r="BQ87" s="17"/>
      <c r="BR87" s="17"/>
      <c r="BS87" s="17"/>
      <c r="BT87" s="17"/>
      <c r="BU87" s="112"/>
      <c r="BV87" s="17"/>
      <c r="BW87" s="17"/>
      <c r="BX87" s="17"/>
      <c r="BY87" s="17"/>
      <c r="BZ87" s="80"/>
      <c r="CA87" s="17"/>
      <c r="CB87" s="17"/>
      <c r="CC87" s="17"/>
      <c r="CD87" s="17"/>
      <c r="CE87" s="80"/>
      <c r="CF87" s="17"/>
      <c r="CG87" s="17"/>
      <c r="CH87" s="17"/>
      <c r="CI87" s="17"/>
      <c r="CJ87" s="80"/>
      <c r="CK87" s="17"/>
      <c r="CL87" s="128"/>
      <c r="CM87" s="128"/>
      <c r="CN87" s="129"/>
      <c r="CO87" s="18"/>
      <c r="CP87" s="129"/>
      <c r="CQ87" s="128"/>
      <c r="CR87" s="128"/>
      <c r="CS87" s="128"/>
      <c r="CT87" s="18"/>
      <c r="CU87" s="128"/>
      <c r="CV87" s="128"/>
      <c r="CW87" s="128"/>
      <c r="CX87" s="128"/>
      <c r="CY87" s="18"/>
      <c r="CZ87" s="128"/>
      <c r="DA87" s="128"/>
      <c r="DB87" s="128"/>
      <c r="DC87" s="128"/>
      <c r="DD87" s="18"/>
      <c r="DE87" s="128"/>
      <c r="DF87" s="128"/>
      <c r="DG87" s="129"/>
      <c r="DH87" s="128"/>
      <c r="DI87" s="18"/>
      <c r="DJ87" s="129"/>
      <c r="DK87" s="129"/>
      <c r="DL87" s="129"/>
      <c r="DM87" s="129"/>
      <c r="DN87" s="18"/>
      <c r="DO87" s="129"/>
      <c r="DP87" s="129"/>
      <c r="DQ87" s="129"/>
      <c r="DR87" s="129"/>
      <c r="DS87" s="18"/>
      <c r="DT87" s="129"/>
      <c r="DU87" s="129"/>
      <c r="DV87" s="129"/>
      <c r="DW87" s="129"/>
      <c r="DX87" s="18"/>
      <c r="DY87" s="129"/>
      <c r="DZ87" s="129"/>
      <c r="EA87" s="129"/>
      <c r="EB87" s="129"/>
      <c r="EC87" s="18"/>
      <c r="ED87" s="129"/>
      <c r="EE87" s="129"/>
      <c r="EF87" s="129"/>
      <c r="EG87" s="129"/>
      <c r="EH87" s="18"/>
      <c r="EI87" s="134"/>
      <c r="EJ87" s="128"/>
      <c r="EK87" s="128"/>
      <c r="EL87" s="128"/>
      <c r="EM87" s="18"/>
      <c r="EN87" s="128"/>
      <c r="EO87" s="128"/>
      <c r="EP87" s="128"/>
      <c r="EQ87" s="128"/>
      <c r="ER87" s="18"/>
      <c r="ES87" s="128"/>
      <c r="ET87" s="128"/>
      <c r="EU87" s="128"/>
      <c r="EV87" s="128"/>
      <c r="EW87" s="18"/>
      <c r="EX87" s="128"/>
      <c r="EY87" s="128"/>
      <c r="EZ87" s="128"/>
      <c r="FA87" s="128"/>
      <c r="FB87" s="18"/>
      <c r="FC87" s="128"/>
      <c r="FD87" s="128"/>
      <c r="FE87" s="128"/>
      <c r="FF87" s="128"/>
      <c r="FG87" s="18"/>
      <c r="FH87" s="74"/>
      <c r="FI87" s="179"/>
      <c r="FJ87" s="179"/>
      <c r="FK87" s="179"/>
      <c r="FL87" s="179"/>
    </row>
    <row r="88" ht="12.75" customHeight="1">
      <c r="A88" s="179"/>
      <c r="B88" s="276" t="s">
        <v>112</v>
      </c>
      <c r="C88" s="268"/>
      <c r="D88" s="6"/>
      <c r="E88" s="6"/>
      <c r="F88" s="6"/>
      <c r="G88" s="6"/>
      <c r="H88" s="5"/>
      <c r="I88" s="6"/>
      <c r="J88" s="6"/>
      <c r="K88" s="6"/>
      <c r="L88" s="6"/>
      <c r="M88" s="5"/>
      <c r="N88" s="6"/>
      <c r="O88" s="6"/>
      <c r="P88" s="6"/>
      <c r="Q88" s="6"/>
      <c r="R88" s="5"/>
      <c r="S88" s="6"/>
      <c r="T88" s="6"/>
      <c r="U88" s="6"/>
      <c r="V88" s="6"/>
      <c r="W88" s="5"/>
      <c r="X88" s="6"/>
      <c r="Y88" s="6"/>
      <c r="Z88" s="6"/>
      <c r="AA88" s="6"/>
      <c r="AB88" s="5"/>
      <c r="AC88" s="6"/>
      <c r="AD88" s="6"/>
      <c r="AE88" s="6"/>
      <c r="AF88" s="6"/>
      <c r="AG88" s="5"/>
      <c r="AH88" s="6"/>
      <c r="AI88" s="6"/>
      <c r="AJ88" s="6"/>
      <c r="AK88" s="6"/>
      <c r="AL88" s="5"/>
      <c r="AM88" s="6"/>
      <c r="AN88" s="6"/>
      <c r="AO88" s="6"/>
      <c r="AP88" s="6"/>
      <c r="AQ88" s="5"/>
      <c r="AR88" s="6"/>
      <c r="AS88" s="6"/>
      <c r="AT88" s="6"/>
      <c r="AU88" s="6"/>
      <c r="AV88" s="5"/>
      <c r="AW88" s="6"/>
      <c r="AX88" s="6"/>
      <c r="AY88" s="6"/>
      <c r="AZ88" s="6"/>
      <c r="BA88" s="5"/>
      <c r="BB88" s="6"/>
      <c r="BC88" s="6"/>
      <c r="BD88" s="6"/>
      <c r="BE88" s="6"/>
      <c r="BF88" s="5"/>
      <c r="BG88" s="6"/>
      <c r="BH88" s="6"/>
      <c r="BI88" s="6"/>
      <c r="BJ88" s="6"/>
      <c r="BK88" s="5"/>
      <c r="BL88" s="6"/>
      <c r="BM88" s="6"/>
      <c r="BN88" s="6"/>
      <c r="BO88" s="6"/>
      <c r="BP88" s="5"/>
      <c r="BQ88" s="17"/>
      <c r="BR88" s="17"/>
      <c r="BS88" s="17"/>
      <c r="BT88" s="17"/>
      <c r="BU88" s="112"/>
      <c r="BV88" s="17"/>
      <c r="BW88" s="17"/>
      <c r="BX88" s="17"/>
      <c r="BY88" s="17"/>
      <c r="BZ88" s="80"/>
      <c r="CA88" s="17"/>
      <c r="CB88" s="17"/>
      <c r="CC88" s="17"/>
      <c r="CD88" s="17"/>
      <c r="CE88" s="80"/>
      <c r="CF88" s="17"/>
      <c r="CG88" s="17"/>
      <c r="CH88" s="17"/>
      <c r="CI88" s="17"/>
      <c r="CJ88" s="80"/>
      <c r="CK88" s="17"/>
      <c r="CL88" s="128"/>
      <c r="CM88" s="128"/>
      <c r="CN88" s="129"/>
      <c r="CO88" s="18"/>
      <c r="CP88" s="129">
        <f>CF!CP13</f>
        <v>283</v>
      </c>
      <c r="CQ88" s="129">
        <f>CF!CQ13</f>
        <v>303</v>
      </c>
      <c r="CR88" s="129">
        <f>CF!CR13</f>
        <v>281</v>
      </c>
      <c r="CS88" s="129">
        <f>CF!CS13</f>
        <v>281</v>
      </c>
      <c r="CT88" s="18">
        <f>SUM(CP88:CS88)</f>
        <v>1148</v>
      </c>
      <c r="CU88" s="129">
        <f>CF!CU13</f>
        <v>368</v>
      </c>
      <c r="CV88" s="129">
        <f>CF!CV13</f>
        <v>332</v>
      </c>
      <c r="CW88" s="129">
        <f>CF!CW13</f>
        <v>309</v>
      </c>
      <c r="CX88" s="129">
        <f>CF!CX13</f>
        <v>296</v>
      </c>
      <c r="CY88" s="18">
        <f>SUM(CU88:CX88)</f>
        <v>1305</v>
      </c>
      <c r="CZ88" s="129">
        <f>CF!CZ13</f>
        <v>448</v>
      </c>
      <c r="DA88" s="129">
        <f>CF!DA13</f>
        <v>364</v>
      </c>
      <c r="DB88" s="129">
        <f>CF!DB13</f>
        <v>324</v>
      </c>
      <c r="DC88" s="129">
        <f>CF!DC13</f>
        <v>308</v>
      </c>
      <c r="DD88" s="18">
        <f>SUM(CZ88:DC88)</f>
        <v>1444</v>
      </c>
      <c r="DE88" s="129">
        <f>CF!DE13</f>
        <v>397</v>
      </c>
      <c r="DF88" s="129">
        <f>CF!DF13</f>
        <v>328</v>
      </c>
      <c r="DG88" s="129">
        <f>CF!DG13</f>
        <v>326</v>
      </c>
      <c r="DH88" s="129">
        <f>CF!DH13</f>
        <v>307</v>
      </c>
      <c r="DI88" s="18">
        <f>SUM(DE88:DH88)</f>
        <v>1358</v>
      </c>
      <c r="DJ88" s="129">
        <f>CF!DJ13</f>
        <v>433</v>
      </c>
      <c r="DK88" s="129">
        <f>CF!DK13</f>
        <v>387</v>
      </c>
      <c r="DL88" s="129">
        <f>CF!DL13</f>
        <v>383</v>
      </c>
      <c r="DM88" s="129">
        <f>CF!DM13</f>
        <v>343</v>
      </c>
      <c r="DN88" s="18">
        <f>SUM(DJ88:DM88)</f>
        <v>1546</v>
      </c>
      <c r="DO88" s="129">
        <f>CF!DO13</f>
        <v>389</v>
      </c>
      <c r="DP88" s="129">
        <f>CF!DP13</f>
        <v>470</v>
      </c>
      <c r="DQ88" s="129">
        <f>CF!DQ13</f>
        <v>431</v>
      </c>
      <c r="DR88" s="129">
        <f>DR89*DR12</f>
        <v>545.643</v>
      </c>
      <c r="DS88" s="18">
        <f>SUM(DO88:DR88)</f>
        <v>1835.643</v>
      </c>
      <c r="DT88" s="129">
        <f>CF!DT13</f>
        <v>449</v>
      </c>
      <c r="DU88" s="129">
        <f>CF!DU13</f>
        <v>492</v>
      </c>
      <c r="DV88" s="129">
        <f>CF!DV13</f>
        <v>452</v>
      </c>
      <c r="DW88" s="129">
        <f>CF!DW13</f>
        <v>461</v>
      </c>
      <c r="DX88" s="18">
        <f>SUM(DT88:DW88)</f>
        <v>1854</v>
      </c>
      <c r="DY88" s="129">
        <f>CF!DY13</f>
        <v>425</v>
      </c>
      <c r="DZ88" s="129">
        <f>CF!DZ13</f>
        <v>619</v>
      </c>
      <c r="EA88" s="129">
        <f>CF!EA13</f>
        <v>543</v>
      </c>
      <c r="EB88" s="129">
        <f>CF!EB13</f>
        <v>449</v>
      </c>
      <c r="EC88" s="18">
        <f>SUM(DY88:EB88)</f>
        <v>2036</v>
      </c>
      <c r="ED88" s="129">
        <f>CF!ED13</f>
        <v>707</v>
      </c>
      <c r="EE88" s="129">
        <f>CF!EE13</f>
        <v>892</v>
      </c>
      <c r="EF88" s="129">
        <f>CF!EF13</f>
        <v>793</v>
      </c>
      <c r="EG88" s="129">
        <f>CF!EG13</f>
        <v>736</v>
      </c>
      <c r="EH88" s="18">
        <f>SUM(ED88:EG88)</f>
        <v>3128</v>
      </c>
      <c r="EI88" s="134" t="str">
        <f t="shared" ref="EI88:EL88" si="695">EI89*EI12</f>
        <v>#ERROR!</v>
      </c>
      <c r="EJ88" s="129" t="str">
        <f t="shared" si="695"/>
        <v>#ERROR!</v>
      </c>
      <c r="EK88" s="129" t="str">
        <f t="shared" si="695"/>
        <v>#ERROR!</v>
      </c>
      <c r="EL88" s="129" t="str">
        <f t="shared" si="695"/>
        <v>#ERROR!</v>
      </c>
      <c r="EM88" s="18" t="str">
        <f>SUM(EI88:EL88)</f>
        <v>#ERROR!</v>
      </c>
      <c r="EN88" s="129" t="str">
        <f t="shared" ref="EN88:EQ88" si="696">EN89*EN12</f>
        <v>#ERROR!</v>
      </c>
      <c r="EO88" s="129" t="str">
        <f t="shared" si="696"/>
        <v>#ERROR!</v>
      </c>
      <c r="EP88" s="129" t="str">
        <f t="shared" si="696"/>
        <v>#ERROR!</v>
      </c>
      <c r="EQ88" s="129" t="str">
        <f t="shared" si="696"/>
        <v>#ERROR!</v>
      </c>
      <c r="ER88" s="18" t="str">
        <f>SUM(EN88:EQ88)</f>
        <v>#ERROR!</v>
      </c>
      <c r="ES88" s="129" t="str">
        <f t="shared" ref="ES88:EV88" si="697">ES89*ES12</f>
        <v>#ERROR!</v>
      </c>
      <c r="ET88" s="129" t="str">
        <f t="shared" si="697"/>
        <v>#ERROR!</v>
      </c>
      <c r="EU88" s="129" t="str">
        <f t="shared" si="697"/>
        <v>#ERROR!</v>
      </c>
      <c r="EV88" s="129" t="str">
        <f t="shared" si="697"/>
        <v>#ERROR!</v>
      </c>
      <c r="EW88" s="18" t="str">
        <f>SUM(ES88:EV88)</f>
        <v>#ERROR!</v>
      </c>
      <c r="EX88" s="129" t="str">
        <f t="shared" ref="EX88:FA88" si="698">EX89*EX12</f>
        <v>#ERROR!</v>
      </c>
      <c r="EY88" s="129" t="str">
        <f t="shared" si="698"/>
        <v>#ERROR!</v>
      </c>
      <c r="EZ88" s="129" t="str">
        <f t="shared" si="698"/>
        <v>#ERROR!</v>
      </c>
      <c r="FA88" s="129" t="str">
        <f t="shared" si="698"/>
        <v>#ERROR!</v>
      </c>
      <c r="FB88" s="18" t="str">
        <f>SUM(EX88:FA88)</f>
        <v>#ERROR!</v>
      </c>
      <c r="FC88" s="129" t="str">
        <f t="shared" ref="FC88:FF88" si="699">FC89*FC12</f>
        <v>#ERROR!</v>
      </c>
      <c r="FD88" s="129" t="str">
        <f t="shared" si="699"/>
        <v>#ERROR!</v>
      </c>
      <c r="FE88" s="129" t="str">
        <f t="shared" si="699"/>
        <v>#ERROR!</v>
      </c>
      <c r="FF88" s="129" t="str">
        <f t="shared" si="699"/>
        <v>#ERROR!</v>
      </c>
      <c r="FG88" s="18" t="str">
        <f>SUM(FC88:FF88)</f>
        <v>#ERROR!</v>
      </c>
      <c r="FH88" s="74"/>
      <c r="FI88" s="179"/>
      <c r="FJ88" s="179"/>
      <c r="FK88" s="179"/>
      <c r="FL88" s="179"/>
    </row>
    <row r="89" ht="12.75" customHeight="1">
      <c r="A89" s="179"/>
      <c r="B89" s="4" t="s">
        <v>113</v>
      </c>
      <c r="C89" s="268"/>
      <c r="D89" s="6"/>
      <c r="E89" s="6"/>
      <c r="F89" s="6"/>
      <c r="G89" s="6"/>
      <c r="H89" s="5"/>
      <c r="I89" s="6"/>
      <c r="J89" s="6"/>
      <c r="K89" s="6"/>
      <c r="L89" s="6"/>
      <c r="M89" s="5"/>
      <c r="N89" s="6"/>
      <c r="O89" s="6"/>
      <c r="P89" s="6"/>
      <c r="Q89" s="6"/>
      <c r="R89" s="5"/>
      <c r="S89" s="6"/>
      <c r="T89" s="6"/>
      <c r="U89" s="6"/>
      <c r="V89" s="6"/>
      <c r="W89" s="5"/>
      <c r="X89" s="6"/>
      <c r="Y89" s="6"/>
      <c r="Z89" s="6"/>
      <c r="AA89" s="6"/>
      <c r="AB89" s="5"/>
      <c r="AC89" s="6"/>
      <c r="AD89" s="6"/>
      <c r="AE89" s="6"/>
      <c r="AF89" s="6"/>
      <c r="AG89" s="5"/>
      <c r="AH89" s="6"/>
      <c r="AI89" s="6"/>
      <c r="AJ89" s="6"/>
      <c r="AK89" s="6"/>
      <c r="AL89" s="5"/>
      <c r="AM89" s="6"/>
      <c r="AN89" s="6"/>
      <c r="AO89" s="6"/>
      <c r="AP89" s="6"/>
      <c r="AQ89" s="5"/>
      <c r="AR89" s="6"/>
      <c r="AS89" s="6"/>
      <c r="AT89" s="6"/>
      <c r="AU89" s="6"/>
      <c r="AV89" s="5"/>
      <c r="AW89" s="6"/>
      <c r="AX89" s="6"/>
      <c r="AY89" s="6"/>
      <c r="AZ89" s="6"/>
      <c r="BA89" s="5"/>
      <c r="BB89" s="6"/>
      <c r="BC89" s="6"/>
      <c r="BD89" s="6"/>
      <c r="BE89" s="6"/>
      <c r="BF89" s="5"/>
      <c r="BG89" s="6"/>
      <c r="BH89" s="6"/>
      <c r="BI89" s="6"/>
      <c r="BJ89" s="6"/>
      <c r="BK89" s="5"/>
      <c r="BL89" s="6"/>
      <c r="BM89" s="6"/>
      <c r="BN89" s="6"/>
      <c r="BO89" s="6"/>
      <c r="BP89" s="5"/>
      <c r="BQ89" s="17"/>
      <c r="BR89" s="17"/>
      <c r="BS89" s="17"/>
      <c r="BT89" s="17"/>
      <c r="BU89" s="112"/>
      <c r="BV89" s="17"/>
      <c r="BW89" s="17"/>
      <c r="BX89" s="17"/>
      <c r="BY89" s="17"/>
      <c r="BZ89" s="80"/>
      <c r="CA89" s="17"/>
      <c r="CB89" s="17"/>
      <c r="CC89" s="17"/>
      <c r="CD89" s="17"/>
      <c r="CE89" s="80"/>
      <c r="CF89" s="17"/>
      <c r="CG89" s="17"/>
      <c r="CH89" s="17"/>
      <c r="CI89" s="17"/>
      <c r="CJ89" s="80"/>
      <c r="CK89" s="17"/>
      <c r="CL89" s="128"/>
      <c r="CM89" s="128"/>
      <c r="CN89" s="129"/>
      <c r="CO89" s="18"/>
      <c r="CP89" s="269">
        <f t="shared" ref="CP89:DQ89" si="700">CP88/CP12</f>
        <v>0.022171733</v>
      </c>
      <c r="CQ89" s="269">
        <f t="shared" si="700"/>
        <v>0.02190730967</v>
      </c>
      <c r="CR89" s="269">
        <f t="shared" si="700"/>
        <v>0.0193074069</v>
      </c>
      <c r="CS89" s="269">
        <f t="shared" si="700"/>
        <v>0.01908837715</v>
      </c>
      <c r="CT89" s="50">
        <f t="shared" si="700"/>
        <v>0.02054770002</v>
      </c>
      <c r="CU89" s="269">
        <f t="shared" si="700"/>
        <v>0.02879273922</v>
      </c>
      <c r="CV89" s="269">
        <f t="shared" si="700"/>
        <v>0.02516104585</v>
      </c>
      <c r="CW89" s="269">
        <f t="shared" si="700"/>
        <v>0.02136190805</v>
      </c>
      <c r="CX89" s="269">
        <f t="shared" si="700"/>
        <v>0.01984712351</v>
      </c>
      <c r="CY89" s="50">
        <f t="shared" si="700"/>
        <v>0.02357510613</v>
      </c>
      <c r="CZ89" s="269">
        <f t="shared" si="700"/>
        <v>0.03246141584</v>
      </c>
      <c r="DA89" s="269">
        <f t="shared" si="700"/>
        <v>0.02689721422</v>
      </c>
      <c r="DB89" s="269">
        <f t="shared" si="700"/>
        <v>0.02053492204</v>
      </c>
      <c r="DC89" s="269">
        <f t="shared" si="700"/>
        <v>0.01881030903</v>
      </c>
      <c r="DD89" s="50">
        <f t="shared" si="700"/>
        <v>0.02427461924</v>
      </c>
      <c r="DE89" s="269">
        <f t="shared" si="700"/>
        <v>0.0268315761</v>
      </c>
      <c r="DF89" s="269">
        <f t="shared" si="700"/>
        <v>0.02221770643</v>
      </c>
      <c r="DG89" s="269">
        <f t="shared" si="700"/>
        <v>0.02018700848</v>
      </c>
      <c r="DH89" s="269">
        <f t="shared" si="700"/>
        <v>0.01800269747</v>
      </c>
      <c r="DI89" s="50">
        <f t="shared" si="700"/>
        <v>0.02163764121</v>
      </c>
      <c r="DJ89" s="269">
        <f t="shared" si="700"/>
        <v>0.02695132578</v>
      </c>
      <c r="DK89" s="269">
        <f t="shared" si="700"/>
        <v>0.0228157057</v>
      </c>
      <c r="DL89" s="269">
        <f t="shared" si="700"/>
        <v>0.01998643219</v>
      </c>
      <c r="DM89" s="269">
        <f t="shared" si="700"/>
        <v>0.01838452056</v>
      </c>
      <c r="DN89" s="50">
        <f t="shared" si="700"/>
        <v>0.02182136405</v>
      </c>
      <c r="DO89" s="269">
        <f t="shared" si="700"/>
        <v>0.02422016064</v>
      </c>
      <c r="DP89" s="269">
        <f t="shared" si="700"/>
        <v>0.02847621933</v>
      </c>
      <c r="DQ89" s="269">
        <f t="shared" si="700"/>
        <v>0.02245961438</v>
      </c>
      <c r="DR89" s="269">
        <v>0.027</v>
      </c>
      <c r="DS89" s="50">
        <f>DS88/DS12</f>
        <v>0.02550744112</v>
      </c>
      <c r="DT89" s="269">
        <v>0.027</v>
      </c>
      <c r="DU89" s="269">
        <v>0.027</v>
      </c>
      <c r="DV89" s="269">
        <v>0.02</v>
      </c>
      <c r="DW89" s="269">
        <v>0.018</v>
      </c>
      <c r="DX89" s="50">
        <f>DX88/DX12</f>
        <v>0.02380982958</v>
      </c>
      <c r="DY89" s="269">
        <v>0.027</v>
      </c>
      <c r="DZ89" s="269">
        <f t="shared" ref="DZ89:EH89" si="701">DZ88/DZ12</f>
        <v>0.03339988129</v>
      </c>
      <c r="EA89" s="269">
        <f t="shared" si="701"/>
        <v>0.03002156245</v>
      </c>
      <c r="EB89" s="269">
        <f t="shared" si="701"/>
        <v>0.02298791726</v>
      </c>
      <c r="EC89" s="50">
        <f t="shared" si="701"/>
        <v>0.02724912337</v>
      </c>
      <c r="ED89" s="269">
        <f t="shared" si="701"/>
        <v>0.03852231243</v>
      </c>
      <c r="EE89" s="269">
        <f t="shared" si="701"/>
        <v>0.05822074277</v>
      </c>
      <c r="EF89" s="269">
        <f t="shared" si="701"/>
        <v>0.05170165602</v>
      </c>
      <c r="EG89" s="269">
        <f t="shared" si="701"/>
        <v>0.05241418601</v>
      </c>
      <c r="EH89" s="50">
        <f t="shared" si="701"/>
        <v>0.04960827227</v>
      </c>
      <c r="EI89" s="277">
        <v>0.045</v>
      </c>
      <c r="EJ89" s="278">
        <v>0.04</v>
      </c>
      <c r="EK89" s="278">
        <v>0.039</v>
      </c>
      <c r="EL89" s="278">
        <v>0.039</v>
      </c>
      <c r="EM89" s="50" t="str">
        <f>EM88/EM12</f>
        <v>#ERROR!</v>
      </c>
      <c r="EN89" s="278">
        <v>0.039</v>
      </c>
      <c r="EO89" s="278">
        <v>0.037</v>
      </c>
      <c r="EP89" s="278">
        <v>0.035</v>
      </c>
      <c r="EQ89" s="278">
        <v>0.035</v>
      </c>
      <c r="ER89" s="50" t="str">
        <f>ER88/ER12</f>
        <v>#ERROR!</v>
      </c>
      <c r="ES89" s="278">
        <v>0.03</v>
      </c>
      <c r="ET89" s="278">
        <v>0.03</v>
      </c>
      <c r="EU89" s="278">
        <v>0.03</v>
      </c>
      <c r="EV89" s="278">
        <v>0.03</v>
      </c>
      <c r="EW89" s="50" t="str">
        <f>EW88/EW12</f>
        <v>#ERROR!</v>
      </c>
      <c r="EX89" s="278">
        <v>0.03</v>
      </c>
      <c r="EY89" s="278">
        <v>0.03</v>
      </c>
      <c r="EZ89" s="278">
        <v>0.03</v>
      </c>
      <c r="FA89" s="278">
        <v>0.03</v>
      </c>
      <c r="FB89" s="50" t="str">
        <f>FB88/FB12</f>
        <v>#ERROR!</v>
      </c>
      <c r="FC89" s="278">
        <v>0.03</v>
      </c>
      <c r="FD89" s="278">
        <v>0.03</v>
      </c>
      <c r="FE89" s="278">
        <v>0.03</v>
      </c>
      <c r="FF89" s="278">
        <v>0.03</v>
      </c>
      <c r="FG89" s="50" t="str">
        <f>FG88/FG12</f>
        <v>#ERROR!</v>
      </c>
      <c r="FH89" s="279"/>
      <c r="FI89" s="179"/>
      <c r="FJ89" s="179"/>
      <c r="FK89" s="179"/>
      <c r="FL89" s="179"/>
    </row>
    <row r="90" ht="12.75" customHeight="1">
      <c r="A90" s="179"/>
      <c r="B90" s="4"/>
      <c r="C90" s="268"/>
      <c r="D90" s="6"/>
      <c r="E90" s="6"/>
      <c r="F90" s="6"/>
      <c r="G90" s="6"/>
      <c r="H90" s="5"/>
      <c r="I90" s="6"/>
      <c r="J90" s="6"/>
      <c r="K90" s="6"/>
      <c r="L90" s="6"/>
      <c r="M90" s="5"/>
      <c r="N90" s="6"/>
      <c r="O90" s="6"/>
      <c r="P90" s="6"/>
      <c r="Q90" s="6"/>
      <c r="R90" s="5"/>
      <c r="S90" s="6"/>
      <c r="T90" s="6"/>
      <c r="U90" s="6"/>
      <c r="V90" s="6"/>
      <c r="W90" s="5"/>
      <c r="X90" s="6"/>
      <c r="Y90" s="6"/>
      <c r="Z90" s="6"/>
      <c r="AA90" s="6"/>
      <c r="AB90" s="5"/>
      <c r="AC90" s="6"/>
      <c r="AD90" s="6"/>
      <c r="AE90" s="6"/>
      <c r="AF90" s="6"/>
      <c r="AG90" s="5"/>
      <c r="AH90" s="6"/>
      <c r="AI90" s="6"/>
      <c r="AJ90" s="6"/>
      <c r="AK90" s="6"/>
      <c r="AL90" s="5"/>
      <c r="AM90" s="6"/>
      <c r="AN90" s="6"/>
      <c r="AO90" s="6"/>
      <c r="AP90" s="6"/>
      <c r="AQ90" s="5"/>
      <c r="AR90" s="6"/>
      <c r="AS90" s="6"/>
      <c r="AT90" s="6"/>
      <c r="AU90" s="6"/>
      <c r="AV90" s="5"/>
      <c r="AW90" s="6"/>
      <c r="AX90" s="6"/>
      <c r="AY90" s="6"/>
      <c r="AZ90" s="6"/>
      <c r="BA90" s="5"/>
      <c r="BB90" s="6"/>
      <c r="BC90" s="6"/>
      <c r="BD90" s="6"/>
      <c r="BE90" s="6"/>
      <c r="BF90" s="5"/>
      <c r="BG90" s="6"/>
      <c r="BH90" s="6"/>
      <c r="BI90" s="6"/>
      <c r="BJ90" s="6"/>
      <c r="BK90" s="5"/>
      <c r="BL90" s="6"/>
      <c r="BM90" s="6"/>
      <c r="BN90" s="6"/>
      <c r="BO90" s="6"/>
      <c r="BP90" s="5"/>
      <c r="BQ90" s="17"/>
      <c r="BR90" s="17"/>
      <c r="BS90" s="17"/>
      <c r="BT90" s="17"/>
      <c r="BU90" s="112"/>
      <c r="BV90" s="17"/>
      <c r="BW90" s="17"/>
      <c r="BX90" s="17"/>
      <c r="BY90" s="17"/>
      <c r="BZ90" s="80"/>
      <c r="CA90" s="17"/>
      <c r="CB90" s="17"/>
      <c r="CC90" s="17"/>
      <c r="CD90" s="17"/>
      <c r="CE90" s="80"/>
      <c r="CF90" s="17"/>
      <c r="CG90" s="17"/>
      <c r="CH90" s="17"/>
      <c r="CI90" s="17"/>
      <c r="CJ90" s="80"/>
      <c r="CK90" s="17"/>
      <c r="CL90" s="128"/>
      <c r="CM90" s="128"/>
      <c r="CN90" s="129"/>
      <c r="CO90" s="18"/>
      <c r="CP90" s="129"/>
      <c r="CQ90" s="128"/>
      <c r="CR90" s="128"/>
      <c r="CS90" s="128"/>
      <c r="CT90" s="18"/>
      <c r="CU90" s="128"/>
      <c r="CV90" s="128"/>
      <c r="CW90" s="128"/>
      <c r="CX90" s="128"/>
      <c r="CY90" s="18"/>
      <c r="CZ90" s="128"/>
      <c r="DA90" s="128"/>
      <c r="DB90" s="128"/>
      <c r="DC90" s="128"/>
      <c r="DD90" s="18"/>
      <c r="DE90" s="128"/>
      <c r="DF90" s="128"/>
      <c r="DG90" s="129"/>
      <c r="DH90" s="128"/>
      <c r="DI90" s="18"/>
      <c r="DJ90" s="129"/>
      <c r="DK90" s="129"/>
      <c r="DL90" s="129"/>
      <c r="DM90" s="129"/>
      <c r="DN90" s="18"/>
      <c r="DO90" s="129"/>
      <c r="DP90" s="129"/>
      <c r="DQ90" s="129"/>
      <c r="DR90" s="129"/>
      <c r="DS90" s="18"/>
      <c r="DT90" s="129"/>
      <c r="DU90" s="129"/>
      <c r="DV90" s="129"/>
      <c r="DW90" s="129"/>
      <c r="DX90" s="18"/>
      <c r="DY90" s="129"/>
      <c r="DZ90" s="129"/>
      <c r="EA90" s="129"/>
      <c r="EB90" s="129"/>
      <c r="EC90" s="18"/>
      <c r="ED90" s="129"/>
      <c r="EE90" s="129"/>
      <c r="EF90" s="129"/>
      <c r="EG90" s="129"/>
      <c r="EH90" s="18"/>
      <c r="EI90" s="134"/>
      <c r="EJ90" s="128"/>
      <c r="EK90" s="128"/>
      <c r="EL90" s="128"/>
      <c r="EM90" s="18"/>
      <c r="EN90" s="128"/>
      <c r="EO90" s="128"/>
      <c r="EP90" s="128"/>
      <c r="EQ90" s="128"/>
      <c r="ER90" s="18"/>
      <c r="ES90" s="128"/>
      <c r="ET90" s="128"/>
      <c r="EU90" s="128"/>
      <c r="EV90" s="128"/>
      <c r="EW90" s="18"/>
      <c r="EX90" s="128"/>
      <c r="EY90" s="128"/>
      <c r="EZ90" s="128"/>
      <c r="FA90" s="128"/>
      <c r="FB90" s="18"/>
      <c r="FC90" s="128"/>
      <c r="FD90" s="128"/>
      <c r="FE90" s="128"/>
      <c r="FF90" s="128"/>
      <c r="FG90" s="18"/>
      <c r="FH90" s="74"/>
      <c r="FI90" s="179"/>
      <c r="FJ90" s="179"/>
      <c r="FK90" s="179"/>
      <c r="FL90" s="179"/>
    </row>
    <row r="91" ht="12.75" customHeight="1">
      <c r="A91" s="179"/>
      <c r="B91" s="4"/>
      <c r="C91" s="268"/>
      <c r="D91" s="6"/>
      <c r="E91" s="6"/>
      <c r="F91" s="6"/>
      <c r="G91" s="6"/>
      <c r="H91" s="5"/>
      <c r="I91" s="6"/>
      <c r="J91" s="6"/>
      <c r="K91" s="6"/>
      <c r="L91" s="6"/>
      <c r="M91" s="5"/>
      <c r="N91" s="6"/>
      <c r="O91" s="6"/>
      <c r="P91" s="6"/>
      <c r="Q91" s="6"/>
      <c r="R91" s="5"/>
      <c r="S91" s="6"/>
      <c r="T91" s="6"/>
      <c r="U91" s="6"/>
      <c r="V91" s="6"/>
      <c r="W91" s="5"/>
      <c r="X91" s="6"/>
      <c r="Y91" s="6"/>
      <c r="Z91" s="6"/>
      <c r="AA91" s="6"/>
      <c r="AB91" s="5"/>
      <c r="AC91" s="6"/>
      <c r="AD91" s="6"/>
      <c r="AE91" s="6"/>
      <c r="AF91" s="6"/>
      <c r="AG91" s="5"/>
      <c r="AH91" s="6"/>
      <c r="AI91" s="6"/>
      <c r="AJ91" s="6"/>
      <c r="AK91" s="6"/>
      <c r="AL91" s="5"/>
      <c r="AM91" s="6"/>
      <c r="AN91" s="6"/>
      <c r="AO91" s="6"/>
      <c r="AP91" s="6"/>
      <c r="AQ91" s="5"/>
      <c r="AR91" s="6"/>
      <c r="AS91" s="6"/>
      <c r="AT91" s="6"/>
      <c r="AU91" s="6"/>
      <c r="AV91" s="5"/>
      <c r="AW91" s="6"/>
      <c r="AX91" s="6"/>
      <c r="AY91" s="6"/>
      <c r="AZ91" s="6"/>
      <c r="BA91" s="5"/>
      <c r="BB91" s="6"/>
      <c r="BC91" s="6"/>
      <c r="BD91" s="6"/>
      <c r="BE91" s="6"/>
      <c r="BF91" s="5"/>
      <c r="BG91" s="6"/>
      <c r="BH91" s="6"/>
      <c r="BI91" s="6"/>
      <c r="BJ91" s="6"/>
      <c r="BK91" s="5"/>
      <c r="BL91" s="6"/>
      <c r="BM91" s="6"/>
      <c r="BN91" s="6"/>
      <c r="BO91" s="6"/>
      <c r="BP91" s="5"/>
      <c r="BQ91" s="17"/>
      <c r="BR91" s="17"/>
      <c r="BS91" s="17"/>
      <c r="BT91" s="17"/>
      <c r="BU91" s="112"/>
      <c r="BV91" s="17"/>
      <c r="BW91" s="17"/>
      <c r="BX91" s="17"/>
      <c r="BY91" s="17"/>
      <c r="BZ91" s="80"/>
      <c r="CA91" s="17"/>
      <c r="CB91" s="17"/>
      <c r="CC91" s="17"/>
      <c r="CD91" s="17"/>
      <c r="CE91" s="80"/>
      <c r="CF91" s="17"/>
      <c r="CG91" s="17"/>
      <c r="CH91" s="17"/>
      <c r="CI91" s="17"/>
      <c r="CJ91" s="80"/>
      <c r="CK91" s="17"/>
      <c r="CL91" s="128"/>
      <c r="CM91" s="128"/>
      <c r="CN91" s="129"/>
      <c r="CO91" s="18"/>
      <c r="CP91" s="129"/>
      <c r="CQ91" s="128"/>
      <c r="CR91" s="128"/>
      <c r="CS91" s="128"/>
      <c r="CT91" s="18"/>
      <c r="CU91" s="128"/>
      <c r="CV91" s="128"/>
      <c r="CW91" s="128"/>
      <c r="CX91" s="128"/>
      <c r="CY91" s="18"/>
      <c r="CZ91" s="128"/>
      <c r="DA91" s="128"/>
      <c r="DB91" s="128"/>
      <c r="DC91" s="128"/>
      <c r="DD91" s="18"/>
      <c r="DE91" s="128"/>
      <c r="DF91" s="128"/>
      <c r="DG91" s="129"/>
      <c r="DH91" s="128"/>
      <c r="DI91" s="18"/>
      <c r="DJ91" s="129"/>
      <c r="DK91" s="129"/>
      <c r="DL91" s="129"/>
      <c r="DM91" s="129"/>
      <c r="DN91" s="18"/>
      <c r="DO91" s="129"/>
      <c r="DP91" s="129"/>
      <c r="DQ91" s="129"/>
      <c r="DR91" s="129"/>
      <c r="DS91" s="18"/>
      <c r="DT91" s="280"/>
      <c r="DU91" s="280"/>
      <c r="DV91" s="280"/>
      <c r="DW91" s="280"/>
      <c r="DX91" s="281"/>
      <c r="DY91" s="280"/>
      <c r="DZ91" s="280"/>
      <c r="EA91" s="280"/>
      <c r="EB91" s="280"/>
      <c r="EC91" s="281"/>
      <c r="ED91" s="280"/>
      <c r="EE91" s="280"/>
      <c r="EF91" s="280"/>
      <c r="EG91" s="280"/>
      <c r="EH91" s="281"/>
      <c r="EI91" s="282"/>
      <c r="EJ91" s="283"/>
      <c r="EK91" s="283"/>
      <c r="EL91" s="283"/>
      <c r="EM91" s="281"/>
      <c r="EN91" s="283"/>
      <c r="EO91" s="283"/>
      <c r="EP91" s="283"/>
      <c r="EQ91" s="283"/>
      <c r="ER91" s="281"/>
      <c r="ES91" s="283"/>
      <c r="ET91" s="283"/>
      <c r="EU91" s="283"/>
      <c r="EV91" s="283"/>
      <c r="EW91" s="281"/>
      <c r="EX91" s="283"/>
      <c r="EY91" s="283"/>
      <c r="EZ91" s="283"/>
      <c r="FA91" s="283"/>
      <c r="FB91" s="281"/>
      <c r="FC91" s="283"/>
      <c r="FD91" s="283"/>
      <c r="FE91" s="283"/>
      <c r="FF91" s="283"/>
      <c r="FG91" s="281"/>
      <c r="FH91" s="284"/>
      <c r="FI91" s="179"/>
      <c r="FJ91" s="179"/>
      <c r="FK91" s="179"/>
      <c r="FL91" s="179"/>
    </row>
    <row r="92" ht="12.75" customHeight="1">
      <c r="A92" s="179"/>
      <c r="B92" s="4"/>
      <c r="C92" s="268"/>
      <c r="D92" s="6"/>
      <c r="E92" s="6"/>
      <c r="F92" s="6"/>
      <c r="G92" s="6"/>
      <c r="H92" s="5"/>
      <c r="I92" s="6"/>
      <c r="J92" s="6"/>
      <c r="K92" s="6"/>
      <c r="L92" s="6"/>
      <c r="M92" s="5"/>
      <c r="N92" s="6"/>
      <c r="O92" s="6"/>
      <c r="P92" s="6"/>
      <c r="Q92" s="6"/>
      <c r="R92" s="5"/>
      <c r="S92" s="6"/>
      <c r="T92" s="6"/>
      <c r="U92" s="6"/>
      <c r="V92" s="6"/>
      <c r="W92" s="5"/>
      <c r="X92" s="6"/>
      <c r="Y92" s="6"/>
      <c r="Z92" s="6"/>
      <c r="AA92" s="6"/>
      <c r="AB92" s="5"/>
      <c r="AC92" s="6"/>
      <c r="AD92" s="6"/>
      <c r="AE92" s="6"/>
      <c r="AF92" s="6"/>
      <c r="AG92" s="5"/>
      <c r="AH92" s="6"/>
      <c r="AI92" s="6"/>
      <c r="AJ92" s="6"/>
      <c r="AK92" s="6"/>
      <c r="AL92" s="5"/>
      <c r="AM92" s="6"/>
      <c r="AN92" s="6"/>
      <c r="AO92" s="6"/>
      <c r="AP92" s="6"/>
      <c r="AQ92" s="5"/>
      <c r="AR92" s="6"/>
      <c r="AS92" s="6"/>
      <c r="AT92" s="6"/>
      <c r="AU92" s="6"/>
      <c r="AV92" s="5"/>
      <c r="AW92" s="6"/>
      <c r="AX92" s="6"/>
      <c r="AY92" s="6"/>
      <c r="AZ92" s="6"/>
      <c r="BA92" s="5"/>
      <c r="BB92" s="6"/>
      <c r="BC92" s="6"/>
      <c r="BD92" s="6"/>
      <c r="BE92" s="6"/>
      <c r="BF92" s="5"/>
      <c r="BG92" s="6"/>
      <c r="BH92" s="6"/>
      <c r="BI92" s="6"/>
      <c r="BJ92" s="6"/>
      <c r="BK92" s="5"/>
      <c r="BL92" s="6"/>
      <c r="BM92" s="6"/>
      <c r="BN92" s="6"/>
      <c r="BO92" s="6"/>
      <c r="BP92" s="5"/>
      <c r="BQ92" s="17"/>
      <c r="BR92" s="17"/>
      <c r="BS92" s="17"/>
      <c r="BT92" s="17"/>
      <c r="BU92" s="112"/>
      <c r="BV92" s="17"/>
      <c r="BW92" s="17"/>
      <c r="BX92" s="17"/>
      <c r="BY92" s="17"/>
      <c r="BZ92" s="80"/>
      <c r="CA92" s="17"/>
      <c r="CB92" s="17"/>
      <c r="CC92" s="17"/>
      <c r="CD92" s="17"/>
      <c r="CE92" s="80"/>
      <c r="CF92" s="17"/>
      <c r="CG92" s="17"/>
      <c r="CH92" s="17"/>
      <c r="CI92" s="17"/>
      <c r="CJ92" s="80"/>
      <c r="CK92" s="17"/>
      <c r="CL92" s="128"/>
      <c r="CM92" s="128"/>
      <c r="CN92" s="129"/>
      <c r="CO92" s="18"/>
      <c r="CP92" s="129"/>
      <c r="CQ92" s="128"/>
      <c r="CR92" s="128"/>
      <c r="CS92" s="128"/>
      <c r="CT92" s="18"/>
      <c r="CU92" s="128"/>
      <c r="CV92" s="128"/>
      <c r="CW92" s="128"/>
      <c r="CX92" s="128"/>
      <c r="CY92" s="18"/>
      <c r="CZ92" s="128"/>
      <c r="DA92" s="128"/>
      <c r="DB92" s="128"/>
      <c r="DC92" s="128"/>
      <c r="DD92" s="18"/>
      <c r="DE92" s="128"/>
      <c r="DF92" s="128"/>
      <c r="DG92" s="129"/>
      <c r="DH92" s="128"/>
      <c r="DI92" s="18"/>
      <c r="DJ92" s="129"/>
      <c r="DK92" s="129"/>
      <c r="DL92" s="129"/>
      <c r="DM92" s="129"/>
      <c r="DN92" s="18"/>
      <c r="DO92" s="129"/>
      <c r="DP92" s="129"/>
      <c r="DQ92" s="129"/>
      <c r="DR92" s="129"/>
      <c r="DS92" s="18"/>
      <c r="DT92" s="280"/>
      <c r="DU92" s="280"/>
      <c r="DV92" s="280"/>
      <c r="DW92" s="280"/>
      <c r="DX92" s="281"/>
      <c r="DY92" s="280"/>
      <c r="DZ92" s="280"/>
      <c r="EA92" s="280"/>
      <c r="EB92" s="280"/>
      <c r="EC92" s="281"/>
      <c r="ED92" s="280"/>
      <c r="EE92" s="280"/>
      <c r="EF92" s="280"/>
      <c r="EG92" s="280"/>
      <c r="EH92" s="281"/>
      <c r="EI92" s="282"/>
      <c r="EJ92" s="283"/>
      <c r="EK92" s="283"/>
      <c r="EL92" s="283"/>
      <c r="EM92" s="281"/>
      <c r="EN92" s="283"/>
      <c r="EO92" s="283"/>
      <c r="EP92" s="283"/>
      <c r="EQ92" s="283"/>
      <c r="ER92" s="281"/>
      <c r="ES92" s="283"/>
      <c r="ET92" s="283"/>
      <c r="EU92" s="283"/>
      <c r="EV92" s="283"/>
      <c r="EW92" s="281"/>
      <c r="EX92" s="283"/>
      <c r="EY92" s="283"/>
      <c r="EZ92" s="283"/>
      <c r="FA92" s="283"/>
      <c r="FB92" s="281"/>
      <c r="FC92" s="283"/>
      <c r="FD92" s="283"/>
      <c r="FE92" s="283"/>
      <c r="FF92" s="283"/>
      <c r="FG92" s="281"/>
      <c r="FH92" s="284"/>
      <c r="FI92" s="179"/>
      <c r="FJ92" s="179"/>
      <c r="FK92" s="179"/>
      <c r="FL92" s="179"/>
    </row>
    <row r="93" ht="12.75" customHeight="1">
      <c r="A93" s="179"/>
      <c r="B93" s="4"/>
      <c r="C93" s="268"/>
      <c r="D93" s="6"/>
      <c r="E93" s="6"/>
      <c r="F93" s="6"/>
      <c r="G93" s="6"/>
      <c r="H93" s="5"/>
      <c r="I93" s="6"/>
      <c r="J93" s="6"/>
      <c r="K93" s="6"/>
      <c r="L93" s="6"/>
      <c r="M93" s="5"/>
      <c r="N93" s="6"/>
      <c r="O93" s="6"/>
      <c r="P93" s="6"/>
      <c r="Q93" s="6"/>
      <c r="R93" s="5"/>
      <c r="S93" s="6"/>
      <c r="T93" s="6"/>
      <c r="U93" s="6"/>
      <c r="V93" s="6"/>
      <c r="W93" s="5"/>
      <c r="X93" s="6"/>
      <c r="Y93" s="6"/>
      <c r="Z93" s="6"/>
      <c r="AA93" s="6"/>
      <c r="AB93" s="5"/>
      <c r="AC93" s="6"/>
      <c r="AD93" s="6"/>
      <c r="AE93" s="6"/>
      <c r="AF93" s="6"/>
      <c r="AG93" s="5"/>
      <c r="AH93" s="6"/>
      <c r="AI93" s="6"/>
      <c r="AJ93" s="6"/>
      <c r="AK93" s="6"/>
      <c r="AL93" s="5"/>
      <c r="AM93" s="6"/>
      <c r="AN93" s="6"/>
      <c r="AO93" s="6"/>
      <c r="AP93" s="6"/>
      <c r="AQ93" s="5"/>
      <c r="AR93" s="6"/>
      <c r="AS93" s="6"/>
      <c r="AT93" s="6"/>
      <c r="AU93" s="6"/>
      <c r="AV93" s="5"/>
      <c r="AW93" s="6"/>
      <c r="AX93" s="6"/>
      <c r="AY93" s="6"/>
      <c r="AZ93" s="6"/>
      <c r="BA93" s="5"/>
      <c r="BB93" s="6"/>
      <c r="BC93" s="6"/>
      <c r="BD93" s="6"/>
      <c r="BE93" s="6"/>
      <c r="BF93" s="5"/>
      <c r="BG93" s="6"/>
      <c r="BH93" s="6"/>
      <c r="BI93" s="6"/>
      <c r="BJ93" s="6"/>
      <c r="BK93" s="5"/>
      <c r="BL93" s="6"/>
      <c r="BM93" s="6"/>
      <c r="BN93" s="6"/>
      <c r="BO93" s="6"/>
      <c r="BP93" s="5"/>
      <c r="BQ93" s="17"/>
      <c r="BR93" s="17"/>
      <c r="BS93" s="17"/>
      <c r="BT93" s="17"/>
      <c r="BU93" s="112"/>
      <c r="BV93" s="17"/>
      <c r="BW93" s="17"/>
      <c r="BX93" s="17"/>
      <c r="BY93" s="17"/>
      <c r="BZ93" s="80"/>
      <c r="CA93" s="17"/>
      <c r="CB93" s="17"/>
      <c r="CC93" s="17"/>
      <c r="CD93" s="17"/>
      <c r="CE93" s="80"/>
      <c r="CF93" s="17"/>
      <c r="CG93" s="17"/>
      <c r="CH93" s="17"/>
      <c r="CI93" s="17"/>
      <c r="CJ93" s="80"/>
      <c r="CK93" s="17"/>
      <c r="CL93" s="128"/>
      <c r="CM93" s="128"/>
      <c r="CN93" s="129"/>
      <c r="CO93" s="18"/>
      <c r="CP93" s="129"/>
      <c r="CQ93" s="128"/>
      <c r="CR93" s="128"/>
      <c r="CS93" s="128"/>
      <c r="CT93" s="18"/>
      <c r="CU93" s="128"/>
      <c r="CV93" s="128"/>
      <c r="CW93" s="128"/>
      <c r="CX93" s="128"/>
      <c r="CY93" s="18"/>
      <c r="CZ93" s="128"/>
      <c r="DA93" s="128"/>
      <c r="DB93" s="128"/>
      <c r="DC93" s="128"/>
      <c r="DD93" s="18"/>
      <c r="DE93" s="128"/>
      <c r="DF93" s="128"/>
      <c r="DG93" s="129"/>
      <c r="DH93" s="128"/>
      <c r="DI93" s="18"/>
      <c r="DJ93" s="129"/>
      <c r="DK93" s="129"/>
      <c r="DL93" s="129"/>
      <c r="DM93" s="129"/>
      <c r="DN93" s="18"/>
      <c r="DO93" s="129"/>
      <c r="DP93" s="129"/>
      <c r="DQ93" s="129"/>
      <c r="DR93" s="129"/>
      <c r="DS93" s="18"/>
      <c r="DT93" s="129"/>
      <c r="DU93" s="129"/>
      <c r="DV93" s="129"/>
      <c r="DW93" s="129"/>
      <c r="DX93" s="18"/>
      <c r="DY93" s="129"/>
      <c r="DZ93" s="129"/>
      <c r="EA93" s="129"/>
      <c r="EB93" s="129"/>
      <c r="EC93" s="18"/>
      <c r="ED93" s="129"/>
      <c r="EE93" s="129"/>
      <c r="EF93" s="129"/>
      <c r="EG93" s="129"/>
      <c r="EH93" s="18"/>
      <c r="EI93" s="134"/>
      <c r="EJ93" s="128"/>
      <c r="EK93" s="128"/>
      <c r="EL93" s="128"/>
      <c r="EM93" s="18"/>
      <c r="EN93" s="128"/>
      <c r="EO93" s="128"/>
      <c r="EP93" s="128"/>
      <c r="EQ93" s="128"/>
      <c r="ER93" s="18"/>
      <c r="ES93" s="128"/>
      <c r="ET93" s="128"/>
      <c r="EU93" s="128"/>
      <c r="EV93" s="128"/>
      <c r="EW93" s="18"/>
      <c r="EX93" s="128"/>
      <c r="EY93" s="128"/>
      <c r="EZ93" s="128"/>
      <c r="FA93" s="128"/>
      <c r="FB93" s="18"/>
      <c r="FC93" s="128"/>
      <c r="FD93" s="128"/>
      <c r="FE93" s="128"/>
      <c r="FF93" s="128"/>
      <c r="FG93" s="18"/>
      <c r="FH93" s="74"/>
      <c r="FI93" s="179"/>
      <c r="FJ93" s="179"/>
      <c r="FK93" s="179"/>
      <c r="FL93" s="179"/>
    </row>
    <row r="94" ht="12.75" customHeight="1">
      <c r="A94" s="4"/>
      <c r="B94" s="4"/>
      <c r="C94" s="4"/>
      <c r="D94" s="6"/>
      <c r="E94" s="6"/>
      <c r="F94" s="6"/>
      <c r="G94" s="7"/>
      <c r="H94" s="7"/>
      <c r="I94" s="6"/>
      <c r="J94" s="6"/>
      <c r="K94" s="6"/>
      <c r="L94" s="7"/>
      <c r="M94" s="7"/>
      <c r="N94" s="6"/>
      <c r="O94" s="6"/>
      <c r="P94" s="6"/>
      <c r="Q94" s="7"/>
      <c r="R94" s="7"/>
      <c r="S94" s="6"/>
      <c r="T94" s="6"/>
      <c r="U94" s="6"/>
      <c r="V94" s="7"/>
      <c r="W94" s="7"/>
      <c r="X94" s="6"/>
      <c r="Y94" s="6"/>
      <c r="Z94" s="6"/>
      <c r="AA94" s="7"/>
      <c r="AB94" s="7"/>
      <c r="AC94" s="6"/>
      <c r="AD94" s="6"/>
      <c r="AE94" s="6"/>
      <c r="AF94" s="7"/>
      <c r="AG94" s="7"/>
      <c r="AH94" s="6"/>
      <c r="AI94" s="6"/>
      <c r="AJ94" s="6"/>
      <c r="AK94" s="7"/>
      <c r="AL94" s="7"/>
      <c r="AM94" s="6"/>
      <c r="AN94" s="6"/>
      <c r="AO94" s="6"/>
      <c r="AP94" s="7"/>
      <c r="AQ94" s="7"/>
      <c r="AR94" s="6"/>
      <c r="AS94" s="6"/>
      <c r="AT94" s="6"/>
      <c r="AU94" s="7"/>
      <c r="AV94" s="7"/>
      <c r="AW94" s="6"/>
      <c r="AX94" s="6"/>
      <c r="AY94" s="6"/>
      <c r="AZ94" s="7"/>
      <c r="BA94" s="7"/>
      <c r="BB94" s="6"/>
      <c r="BC94" s="6"/>
      <c r="BD94" s="6"/>
      <c r="BE94" s="7"/>
      <c r="BF94" s="7"/>
      <c r="BG94" s="6"/>
      <c r="BH94" s="6"/>
      <c r="BI94" s="6"/>
      <c r="BJ94" s="7"/>
      <c r="BK94" s="7"/>
      <c r="BL94" s="6"/>
      <c r="BM94" s="6"/>
      <c r="BN94" s="6"/>
      <c r="BO94" s="7"/>
      <c r="BP94" s="7"/>
      <c r="BQ94" s="17"/>
      <c r="BR94" s="17"/>
      <c r="BS94" s="17"/>
      <c r="BT94" s="17"/>
      <c r="BU94" s="8"/>
      <c r="BV94" s="17"/>
      <c r="BW94" s="17"/>
      <c r="BX94" s="17"/>
      <c r="BY94" s="17"/>
      <c r="BZ94" s="37"/>
      <c r="CA94" s="17"/>
      <c r="CB94" s="17"/>
      <c r="CC94" s="17"/>
      <c r="CD94" s="17"/>
      <c r="CE94" s="37"/>
      <c r="CF94" s="17"/>
      <c r="CG94" s="17"/>
      <c r="CH94" s="17"/>
      <c r="CI94" s="17"/>
      <c r="CJ94" s="10"/>
      <c r="CK94" s="17"/>
      <c r="CL94" s="128"/>
      <c r="CM94" s="128"/>
      <c r="CN94" s="129"/>
      <c r="CO94" s="10"/>
      <c r="CP94" s="129"/>
      <c r="CQ94" s="128"/>
      <c r="CR94" s="128"/>
      <c r="CS94" s="128"/>
      <c r="CT94" s="10"/>
      <c r="CU94" s="128"/>
      <c r="CV94" s="128"/>
      <c r="CW94" s="128"/>
      <c r="CX94" s="128"/>
      <c r="CY94" s="37"/>
      <c r="CZ94" s="128"/>
      <c r="DA94" s="128"/>
      <c r="DB94" s="128"/>
      <c r="DC94" s="128"/>
      <c r="DD94" s="37"/>
      <c r="DE94" s="128"/>
      <c r="DF94" s="128"/>
      <c r="DG94" s="129"/>
      <c r="DH94" s="128"/>
      <c r="DI94" s="37"/>
      <c r="DJ94" s="129"/>
      <c r="DK94" s="129"/>
      <c r="DL94" s="129"/>
      <c r="DM94" s="129"/>
      <c r="DN94" s="37"/>
      <c r="DO94" s="129"/>
      <c r="DP94" s="129"/>
      <c r="DQ94" s="129"/>
      <c r="DR94" s="129"/>
      <c r="DS94" s="37"/>
      <c r="DT94" s="129"/>
      <c r="DU94" s="129"/>
      <c r="DV94" s="129"/>
      <c r="DW94" s="129"/>
      <c r="DX94" s="37"/>
      <c r="DY94" s="129"/>
      <c r="DZ94" s="129"/>
      <c r="EA94" s="129"/>
      <c r="EB94" s="129"/>
      <c r="EC94" s="37"/>
      <c r="ED94" s="129"/>
      <c r="EE94" s="129"/>
      <c r="EF94" s="129"/>
      <c r="EG94" s="129"/>
      <c r="EH94" s="37"/>
      <c r="EI94" s="134"/>
      <c r="EJ94" s="128"/>
      <c r="EK94" s="128"/>
      <c r="EL94" s="128"/>
      <c r="EM94" s="37"/>
      <c r="EN94" s="128"/>
      <c r="EO94" s="128"/>
      <c r="EP94" s="128"/>
      <c r="EQ94" s="128"/>
      <c r="ER94" s="37"/>
      <c r="ES94" s="128"/>
      <c r="ET94" s="128"/>
      <c r="EU94" s="128"/>
      <c r="EV94" s="128"/>
      <c r="EW94" s="37"/>
      <c r="EX94" s="128"/>
      <c r="EY94" s="128"/>
      <c r="EZ94" s="128"/>
      <c r="FA94" s="128"/>
      <c r="FB94" s="37"/>
      <c r="FC94" s="128"/>
      <c r="FD94" s="128"/>
      <c r="FE94" s="128"/>
      <c r="FF94" s="128"/>
      <c r="FG94" s="37"/>
      <c r="FH94" s="35"/>
      <c r="FI94" s="4"/>
      <c r="FJ94" s="4"/>
      <c r="FK94" s="4"/>
      <c r="FL94" s="4"/>
    </row>
    <row r="95" ht="12.75" hidden="1" customHeight="1" outlineLevel="1">
      <c r="A95" s="4"/>
      <c r="B95" s="4" t="s">
        <v>114</v>
      </c>
      <c r="C95" s="4"/>
      <c r="D95" s="285"/>
      <c r="E95" s="285"/>
      <c r="F95" s="285"/>
      <c r="G95" s="285"/>
      <c r="H95" s="286"/>
      <c r="I95" s="285"/>
      <c r="J95" s="285"/>
      <c r="K95" s="285"/>
      <c r="L95" s="285"/>
      <c r="M95" s="286"/>
      <c r="N95" s="285"/>
      <c r="O95" s="285"/>
      <c r="P95" s="285"/>
      <c r="Q95" s="285"/>
      <c r="R95" s="286"/>
      <c r="S95" s="285"/>
      <c r="T95" s="285"/>
      <c r="U95" s="285"/>
      <c r="V95" s="285"/>
      <c r="W95" s="286"/>
      <c r="X95" s="285"/>
      <c r="Y95" s="285"/>
      <c r="Z95" s="285"/>
      <c r="AA95" s="285"/>
      <c r="AB95" s="286"/>
      <c r="AC95" s="285"/>
      <c r="AD95" s="285"/>
      <c r="AE95" s="285"/>
      <c r="AF95" s="285"/>
      <c r="AG95" s="286"/>
      <c r="AH95" s="285"/>
      <c r="AI95" s="285"/>
      <c r="AJ95" s="285"/>
      <c r="AK95" s="285"/>
      <c r="AL95" s="286"/>
      <c r="AM95" s="285"/>
      <c r="AN95" s="285"/>
      <c r="AO95" s="285"/>
      <c r="AP95" s="285"/>
      <c r="AQ95" s="286"/>
      <c r="AR95" s="285"/>
      <c r="AS95" s="285"/>
      <c r="AT95" s="285">
        <v>8444.0</v>
      </c>
      <c r="AU95" s="285">
        <v>9598.0</v>
      </c>
      <c r="AV95" s="286">
        <v>34209.0</v>
      </c>
      <c r="AW95" s="285">
        <v>9434.0</v>
      </c>
      <c r="AX95" s="285">
        <v>9231.0</v>
      </c>
      <c r="AY95" s="285">
        <v>9960.0</v>
      </c>
      <c r="AZ95" s="285">
        <v>10201.0</v>
      </c>
      <c r="BA95" s="286">
        <v>38826.0</v>
      </c>
      <c r="BB95" s="285">
        <v>8940.0</v>
      </c>
      <c r="BC95" s="285">
        <v>8009.0</v>
      </c>
      <c r="BD95" s="285">
        <v>8739.0</v>
      </c>
      <c r="BE95" s="285">
        <v>9694.0</v>
      </c>
      <c r="BF95" s="286">
        <v>35382.0</v>
      </c>
      <c r="BG95" s="285">
        <v>8852.0</v>
      </c>
      <c r="BH95" s="285">
        <v>8680.0</v>
      </c>
      <c r="BI95" s="285">
        <v>8539.11</v>
      </c>
      <c r="BJ95" s="285">
        <v>9037.09</v>
      </c>
      <c r="BK95" s="286">
        <v>32671.9</v>
      </c>
      <c r="BL95" s="285">
        <v>8424.21</v>
      </c>
      <c r="BM95" s="285">
        <v>8340.37</v>
      </c>
      <c r="BN95" s="285">
        <v>8994.01</v>
      </c>
      <c r="BO95" s="285">
        <v>9593.0</v>
      </c>
      <c r="BP95" s="286">
        <v>35269.83</v>
      </c>
      <c r="BQ95" s="285">
        <v>8424.21</v>
      </c>
      <c r="BR95" s="285">
        <v>8340.37</v>
      </c>
      <c r="BS95" s="285">
        <v>8994.01</v>
      </c>
      <c r="BT95" s="285">
        <v>9593.0</v>
      </c>
      <c r="BU95" s="286">
        <v>35269.83</v>
      </c>
      <c r="BV95" s="285">
        <v>8424.21</v>
      </c>
      <c r="BW95" s="285">
        <v>8340.37</v>
      </c>
      <c r="BX95" s="285">
        <v>8994.01</v>
      </c>
      <c r="BY95" s="285">
        <v>9593.0</v>
      </c>
      <c r="BZ95" s="287">
        <v>35269.83</v>
      </c>
      <c r="CA95" s="285"/>
      <c r="CB95" s="285"/>
      <c r="CC95" s="285"/>
      <c r="CD95" s="285"/>
      <c r="CE95" s="287"/>
      <c r="CF95" s="285"/>
      <c r="CG95" s="285"/>
      <c r="CH95" s="285"/>
      <c r="CI95" s="285"/>
      <c r="CJ95" s="287"/>
      <c r="CK95" s="285"/>
      <c r="CL95" s="288"/>
      <c r="CM95" s="288"/>
      <c r="CN95" s="289"/>
      <c r="CO95" s="287"/>
      <c r="CP95" s="289"/>
      <c r="CQ95" s="288"/>
      <c r="CR95" s="288"/>
      <c r="CS95" s="288"/>
      <c r="CT95" s="287"/>
      <c r="CU95" s="288">
        <f t="shared" ref="CU95:DD95" si="702">CU1334</f>
        <v>12824</v>
      </c>
      <c r="CV95" s="288">
        <f t="shared" si="702"/>
        <v>13131</v>
      </c>
      <c r="CW95" s="288">
        <f t="shared" si="702"/>
        <v>14249</v>
      </c>
      <c r="CX95" s="288">
        <f t="shared" si="702"/>
        <v>15004</v>
      </c>
      <c r="CY95" s="287">
        <f t="shared" si="702"/>
        <v>55229</v>
      </c>
      <c r="CZ95" s="288">
        <f t="shared" si="702"/>
        <v>13729</v>
      </c>
      <c r="DA95" s="288">
        <f t="shared" si="702"/>
        <v>14213</v>
      </c>
      <c r="DB95" s="288">
        <f t="shared" si="702"/>
        <v>15606</v>
      </c>
      <c r="DC95" s="288">
        <f t="shared" si="702"/>
        <v>15754</v>
      </c>
      <c r="DD95" s="287">
        <f t="shared" si="702"/>
        <v>58887</v>
      </c>
      <c r="DE95" s="288"/>
      <c r="DF95" s="288"/>
      <c r="DG95" s="290"/>
      <c r="DH95" s="288"/>
      <c r="DI95" s="287"/>
      <c r="DJ95" s="289"/>
      <c r="DK95" s="289"/>
      <c r="DL95" s="289"/>
      <c r="DM95" s="289"/>
      <c r="DN95" s="287"/>
      <c r="DO95" s="289"/>
      <c r="DP95" s="289"/>
      <c r="DQ95" s="289"/>
      <c r="DR95" s="289"/>
      <c r="DS95" s="287"/>
      <c r="DT95" s="289"/>
      <c r="DU95" s="289"/>
      <c r="DV95" s="289"/>
      <c r="DW95" s="289"/>
      <c r="DX95" s="287"/>
      <c r="DY95" s="289"/>
      <c r="DZ95" s="289"/>
      <c r="EA95" s="289"/>
      <c r="EB95" s="289"/>
      <c r="EC95" s="287"/>
      <c r="ED95" s="289"/>
      <c r="EE95" s="289"/>
      <c r="EF95" s="289"/>
      <c r="EG95" s="289"/>
      <c r="EH95" s="287"/>
      <c r="EI95" s="291"/>
      <c r="EJ95" s="288"/>
      <c r="EK95" s="288"/>
      <c r="EL95" s="288"/>
      <c r="EM95" s="287"/>
      <c r="EN95" s="288"/>
      <c r="EO95" s="288"/>
      <c r="EP95" s="288"/>
      <c r="EQ95" s="288"/>
      <c r="ER95" s="287"/>
      <c r="ES95" s="288"/>
      <c r="ET95" s="288"/>
      <c r="EU95" s="288"/>
      <c r="EV95" s="288"/>
      <c r="EW95" s="287"/>
      <c r="EX95" s="288"/>
      <c r="EY95" s="288"/>
      <c r="EZ95" s="288"/>
      <c r="FA95" s="288"/>
      <c r="FB95" s="287"/>
      <c r="FC95" s="288"/>
      <c r="FD95" s="288"/>
      <c r="FE95" s="288"/>
      <c r="FF95" s="288"/>
      <c r="FG95" s="287"/>
      <c r="FH95" s="178"/>
      <c r="FI95" s="4"/>
      <c r="FJ95" s="4"/>
      <c r="FK95" s="4"/>
      <c r="FL95" s="4"/>
    </row>
    <row r="96" ht="12.75" hidden="1" customHeight="1" outlineLevel="1">
      <c r="A96" s="4"/>
      <c r="B96" s="4" t="s">
        <v>115</v>
      </c>
      <c r="C96" s="4"/>
      <c r="D96" s="292"/>
      <c r="E96" s="292"/>
      <c r="F96" s="292"/>
      <c r="G96" s="292"/>
      <c r="H96" s="293"/>
      <c r="I96" s="292"/>
      <c r="J96" s="292"/>
      <c r="K96" s="292"/>
      <c r="L96" s="292"/>
      <c r="M96" s="293"/>
      <c r="N96" s="292"/>
      <c r="O96" s="292"/>
      <c r="P96" s="292"/>
      <c r="Q96" s="292"/>
      <c r="R96" s="293"/>
      <c r="S96" s="292"/>
      <c r="T96" s="292"/>
      <c r="U96" s="292"/>
      <c r="V96" s="292"/>
      <c r="W96" s="293"/>
      <c r="X96" s="292"/>
      <c r="Y96" s="292"/>
      <c r="Z96" s="292"/>
      <c r="AA96" s="292"/>
      <c r="AB96" s="293"/>
      <c r="AC96" s="292"/>
      <c r="AD96" s="292"/>
      <c r="AE96" s="292"/>
      <c r="AF96" s="292"/>
      <c r="AG96" s="293"/>
      <c r="AH96" s="292"/>
      <c r="AI96" s="292"/>
      <c r="AJ96" s="292"/>
      <c r="AK96" s="292"/>
      <c r="AL96" s="293"/>
      <c r="AM96" s="292"/>
      <c r="AN96" s="292"/>
      <c r="AO96" s="292"/>
      <c r="AP96" s="292"/>
      <c r="AQ96" s="293"/>
      <c r="AR96" s="292"/>
      <c r="AS96" s="292"/>
      <c r="AT96" s="292">
        <v>1.18</v>
      </c>
      <c r="AU96" s="292">
        <v>0.33</v>
      </c>
      <c r="AV96" s="293">
        <v>1.16</v>
      </c>
      <c r="AW96" s="292">
        <v>0.34</v>
      </c>
      <c r="AX96" s="292">
        <v>0.33</v>
      </c>
      <c r="AY96" s="292">
        <v>0.32</v>
      </c>
      <c r="AZ96" s="292">
        <v>0.4</v>
      </c>
      <c r="BA96" s="293">
        <v>1.4</v>
      </c>
      <c r="BB96" s="292">
        <v>0.23</v>
      </c>
      <c r="BC96" s="292">
        <v>0.15</v>
      </c>
      <c r="BD96" s="292">
        <v>0.22</v>
      </c>
      <c r="BE96" s="292">
        <v>0.26</v>
      </c>
      <c r="BF96" s="293">
        <v>0.86</v>
      </c>
      <c r="BG96" s="292">
        <v>0.27851549199863807</v>
      </c>
      <c r="BH96" s="292">
        <v>0.21598783167145513</v>
      </c>
      <c r="BI96" s="292">
        <v>0.22</v>
      </c>
      <c r="BJ96" s="292">
        <v>0.29</v>
      </c>
      <c r="BK96" s="293">
        <v>0.57</v>
      </c>
      <c r="BL96" s="292">
        <v>0.24</v>
      </c>
      <c r="BM96" s="292">
        <v>0.23</v>
      </c>
      <c r="BN96" s="292">
        <v>0.29</v>
      </c>
      <c r="BO96" s="292">
        <v>0.35</v>
      </c>
      <c r="BP96" s="293">
        <v>1.11</v>
      </c>
      <c r="BQ96" s="292">
        <v>0.24</v>
      </c>
      <c r="BR96" s="292">
        <v>0.23</v>
      </c>
      <c r="BS96" s="292">
        <v>0.29</v>
      </c>
      <c r="BT96" s="292">
        <v>0.35</v>
      </c>
      <c r="BU96" s="293">
        <v>1.11</v>
      </c>
      <c r="BV96" s="292">
        <v>0.24</v>
      </c>
      <c r="BW96" s="292">
        <v>0.23</v>
      </c>
      <c r="BX96" s="292">
        <v>0.29</v>
      </c>
      <c r="BY96" s="292">
        <v>0.35</v>
      </c>
      <c r="BZ96" s="294">
        <v>1.11</v>
      </c>
      <c r="CA96" s="292"/>
      <c r="CB96" s="292"/>
      <c r="CC96" s="292"/>
      <c r="CD96" s="292"/>
      <c r="CE96" s="294"/>
      <c r="CF96" s="292"/>
      <c r="CG96" s="292"/>
      <c r="CH96" s="292"/>
      <c r="CI96" s="292"/>
      <c r="CJ96" s="294"/>
      <c r="CK96" s="292"/>
      <c r="CL96" s="295"/>
      <c r="CM96" s="295"/>
      <c r="CN96" s="296"/>
      <c r="CO96" s="294"/>
      <c r="CP96" s="296"/>
      <c r="CQ96" s="295"/>
      <c r="CR96" s="295"/>
      <c r="CS96" s="295"/>
      <c r="CT96" s="294"/>
      <c r="CU96" s="295">
        <f t="shared" ref="CU96:DD96" si="703">CU1343</f>
        <v>0.42</v>
      </c>
      <c r="CV96" s="295">
        <f t="shared" si="703"/>
        <v>0.53</v>
      </c>
      <c r="CW96" s="295">
        <f t="shared" si="703"/>
        <v>0.6</v>
      </c>
      <c r="CX96" s="295">
        <f t="shared" si="703"/>
        <v>0.67</v>
      </c>
      <c r="CY96" s="294">
        <f t="shared" si="703"/>
        <v>2.21</v>
      </c>
      <c r="CZ96" s="295">
        <f t="shared" si="703"/>
        <v>0.48</v>
      </c>
      <c r="DA96" s="295">
        <f t="shared" si="703"/>
        <v>0.55</v>
      </c>
      <c r="DB96" s="295">
        <f t="shared" si="703"/>
        <v>0.77</v>
      </c>
      <c r="DC96" s="295">
        <f t="shared" si="703"/>
        <v>0.75</v>
      </c>
      <c r="DD96" s="294">
        <f t="shared" si="703"/>
        <v>2.67</v>
      </c>
      <c r="DE96" s="295"/>
      <c r="DF96" s="295"/>
      <c r="DG96" s="297"/>
      <c r="DH96" s="295"/>
      <c r="DI96" s="294"/>
      <c r="DJ96" s="296"/>
      <c r="DK96" s="296"/>
      <c r="DL96" s="296"/>
      <c r="DM96" s="296"/>
      <c r="DN96" s="294"/>
      <c r="DO96" s="296"/>
      <c r="DP96" s="296"/>
      <c r="DQ96" s="296"/>
      <c r="DR96" s="296"/>
      <c r="DS96" s="294"/>
      <c r="DT96" s="296"/>
      <c r="DU96" s="296"/>
      <c r="DV96" s="296"/>
      <c r="DW96" s="296"/>
      <c r="DX96" s="294"/>
      <c r="DY96" s="296"/>
      <c r="DZ96" s="296"/>
      <c r="EA96" s="296"/>
      <c r="EB96" s="296"/>
      <c r="EC96" s="294"/>
      <c r="ED96" s="296"/>
      <c r="EE96" s="296"/>
      <c r="EF96" s="296"/>
      <c r="EG96" s="296"/>
      <c r="EH96" s="294"/>
      <c r="EI96" s="298"/>
      <c r="EJ96" s="295"/>
      <c r="EK96" s="295"/>
      <c r="EL96" s="295"/>
      <c r="EM96" s="294"/>
      <c r="EN96" s="295"/>
      <c r="EO96" s="295"/>
      <c r="EP96" s="295"/>
      <c r="EQ96" s="295"/>
      <c r="ER96" s="294"/>
      <c r="ES96" s="295"/>
      <c r="ET96" s="295"/>
      <c r="EU96" s="295"/>
      <c r="EV96" s="295"/>
      <c r="EW96" s="294"/>
      <c r="EX96" s="295"/>
      <c r="EY96" s="295"/>
      <c r="EZ96" s="295"/>
      <c r="FA96" s="295"/>
      <c r="FB96" s="294"/>
      <c r="FC96" s="295"/>
      <c r="FD96" s="295"/>
      <c r="FE96" s="295"/>
      <c r="FF96" s="295"/>
      <c r="FG96" s="294"/>
      <c r="FH96" s="267"/>
      <c r="FI96" s="4"/>
      <c r="FJ96" s="4"/>
      <c r="FK96" s="4"/>
      <c r="FL96" s="4"/>
    </row>
    <row r="97" ht="12.75" customHeight="1" collapsed="1">
      <c r="A97" s="4"/>
      <c r="B97" s="299" t="s">
        <v>116</v>
      </c>
      <c r="C97" s="299"/>
      <c r="D97" s="272"/>
      <c r="E97" s="272"/>
      <c r="F97" s="272"/>
      <c r="G97" s="272"/>
      <c r="H97" s="273"/>
      <c r="I97" s="272"/>
      <c r="J97" s="272"/>
      <c r="K97" s="272"/>
      <c r="L97" s="272"/>
      <c r="M97" s="273"/>
      <c r="N97" s="272"/>
      <c r="O97" s="272"/>
      <c r="P97" s="272"/>
      <c r="Q97" s="272"/>
      <c r="R97" s="273"/>
      <c r="S97" s="272"/>
      <c r="T97" s="272"/>
      <c r="U97" s="272"/>
      <c r="V97" s="272"/>
      <c r="W97" s="273"/>
      <c r="X97" s="272"/>
      <c r="Y97" s="272"/>
      <c r="Z97" s="272"/>
      <c r="AA97" s="272"/>
      <c r="AB97" s="273"/>
      <c r="AC97" s="272"/>
      <c r="AD97" s="272"/>
      <c r="AE97" s="272"/>
      <c r="AF97" s="272"/>
      <c r="AG97" s="273"/>
      <c r="AH97" s="272"/>
      <c r="AI97" s="272"/>
      <c r="AJ97" s="272"/>
      <c r="AK97" s="272"/>
      <c r="AL97" s="273"/>
      <c r="AM97" s="272"/>
      <c r="AN97" s="272"/>
      <c r="AO97" s="272"/>
      <c r="AP97" s="272"/>
      <c r="AQ97" s="273"/>
      <c r="AR97" s="272"/>
      <c r="AS97" s="272"/>
      <c r="AT97" s="272"/>
      <c r="AU97" s="272"/>
      <c r="AV97" s="273"/>
      <c r="AW97" s="272"/>
      <c r="AX97" s="272"/>
      <c r="AY97" s="272"/>
      <c r="AZ97" s="272"/>
      <c r="BA97" s="273"/>
      <c r="BB97" s="272"/>
      <c r="BC97" s="272"/>
      <c r="BD97" s="272"/>
      <c r="BE97" s="272"/>
      <c r="BF97" s="273"/>
      <c r="BG97" s="272"/>
      <c r="BH97" s="272"/>
      <c r="BI97" s="272"/>
      <c r="BJ97" s="272"/>
      <c r="BK97" s="273"/>
      <c r="BL97" s="300"/>
      <c r="BM97" s="300"/>
      <c r="BN97" s="90"/>
      <c r="BO97" s="90"/>
      <c r="BP97" s="299"/>
      <c r="BQ97" s="300"/>
      <c r="BR97" s="300"/>
      <c r="BS97" s="90"/>
      <c r="BT97" s="90"/>
      <c r="BU97" s="299"/>
      <c r="BV97" s="300"/>
      <c r="BW97" s="90"/>
      <c r="BX97" s="90"/>
      <c r="BY97" s="90"/>
      <c r="BZ97" s="301"/>
      <c r="CA97" s="300"/>
      <c r="CB97" s="300"/>
      <c r="CC97" s="300"/>
      <c r="CD97" s="90"/>
      <c r="CE97" s="301"/>
      <c r="CF97" s="300"/>
      <c r="CG97" s="90"/>
      <c r="CH97" s="90"/>
      <c r="CI97" s="90"/>
      <c r="CJ97" s="301"/>
      <c r="CK97" s="300"/>
      <c r="CL97" s="270"/>
      <c r="CM97" s="270"/>
      <c r="CN97" s="302"/>
      <c r="CO97" s="303"/>
      <c r="CP97" s="302"/>
      <c r="CQ97" s="270"/>
      <c r="CR97" s="270"/>
      <c r="CS97" s="270"/>
      <c r="CT97" s="303"/>
      <c r="CU97" s="304"/>
      <c r="CV97" s="270"/>
      <c r="CW97" s="270"/>
      <c r="CX97" s="270"/>
      <c r="CY97" s="303"/>
      <c r="CZ97" s="304"/>
      <c r="DA97" s="270"/>
      <c r="DB97" s="270"/>
      <c r="DC97" s="270"/>
      <c r="DD97" s="305"/>
      <c r="DE97" s="306"/>
      <c r="DF97" s="270"/>
      <c r="DG97" s="270"/>
      <c r="DH97" s="270"/>
      <c r="DI97" s="305"/>
      <c r="DJ97" s="307"/>
      <c r="DK97" s="302"/>
      <c r="DL97" s="302"/>
      <c r="DM97" s="302"/>
      <c r="DN97" s="305"/>
      <c r="DO97" s="307"/>
      <c r="DP97" s="307"/>
      <c r="DQ97" s="307"/>
      <c r="DR97" s="307"/>
      <c r="DS97" s="305"/>
      <c r="DT97" s="307"/>
      <c r="DU97" s="307"/>
      <c r="DV97" s="307"/>
      <c r="DW97" s="307"/>
      <c r="DX97" s="305"/>
      <c r="DY97" s="307"/>
      <c r="DZ97" s="307"/>
      <c r="EA97" s="307"/>
      <c r="EB97" s="307"/>
      <c r="EC97" s="305"/>
      <c r="ED97" s="307"/>
      <c r="EE97" s="307"/>
      <c r="EF97" s="307"/>
      <c r="EG97" s="307"/>
      <c r="EH97" s="305"/>
      <c r="EI97" s="308"/>
      <c r="EJ97" s="270"/>
      <c r="EK97" s="270"/>
      <c r="EL97" s="270"/>
      <c r="EM97" s="305"/>
      <c r="EN97" s="306"/>
      <c r="EO97" s="270"/>
      <c r="EP97" s="270"/>
      <c r="EQ97" s="270"/>
      <c r="ER97" s="305"/>
      <c r="ES97" s="306"/>
      <c r="ET97" s="270"/>
      <c r="EU97" s="270"/>
      <c r="EV97" s="270"/>
      <c r="EW97" s="305"/>
      <c r="EX97" s="306"/>
      <c r="EY97" s="270"/>
      <c r="EZ97" s="270"/>
      <c r="FA97" s="270"/>
      <c r="FB97" s="305"/>
      <c r="FC97" s="306"/>
      <c r="FD97" s="270"/>
      <c r="FE97" s="270"/>
      <c r="FF97" s="270"/>
      <c r="FG97" s="305"/>
      <c r="FH97" s="35"/>
      <c r="FI97" s="4"/>
      <c r="FJ97" s="4"/>
      <c r="FK97" s="4"/>
      <c r="FL97" s="4"/>
    </row>
    <row r="98" ht="12.75" customHeight="1" outlineLevel="1">
      <c r="A98" s="4"/>
      <c r="B98" s="72" t="s">
        <v>117</v>
      </c>
      <c r="C98" s="45"/>
      <c r="D98" s="15"/>
      <c r="E98" s="15"/>
      <c r="F98" s="15"/>
      <c r="G98" s="15"/>
      <c r="H98" s="309"/>
      <c r="I98" s="15"/>
      <c r="J98" s="15"/>
      <c r="K98" s="15"/>
      <c r="L98" s="15"/>
      <c r="M98" s="309"/>
      <c r="N98" s="15">
        <f>1-cashCOGS/Sales</f>
        <v>0.6468921846</v>
      </c>
      <c r="O98" s="15">
        <f>1-cashCOGS/Sales</f>
        <v>0.6030032057</v>
      </c>
      <c r="P98" s="15">
        <f>1-cashCOGS/Sales</f>
        <v>0.6372010103</v>
      </c>
      <c r="Q98" s="15">
        <f>1-cashCOGS/Sales</f>
        <v>0.6891252955</v>
      </c>
      <c r="R98" s="309">
        <f>1-cashCOGS/Sales</f>
        <v>0.6467476116</v>
      </c>
      <c r="S98" s="15">
        <f>1-cashCOGS/Sales</f>
        <v>0.7040687034</v>
      </c>
      <c r="T98" s="15">
        <f>1-cashCOGS/Sales</f>
        <v>0.7110880522</v>
      </c>
      <c r="U98" s="15">
        <f>1-cashCOGS/Sales</f>
        <v>0.7132914847</v>
      </c>
      <c r="V98" s="15">
        <f>1-cashCOGS/Sales</f>
        <v>0.7458597175</v>
      </c>
      <c r="W98" s="309">
        <f>1-cashCOGS/Sales</f>
        <v>0.7196570145</v>
      </c>
      <c r="X98" s="15">
        <f>1-cashCOGS/Sales</f>
        <v>0.7774302515</v>
      </c>
      <c r="Y98" s="15">
        <f>1-cashCOGS/Sales</f>
        <v>0.7439759036</v>
      </c>
      <c r="Z98" s="15">
        <f>1-cashCOGS/Sales</f>
        <v>0.7794067117</v>
      </c>
      <c r="AA98" s="15">
        <f>1-cashCOGS/Sales</f>
        <v>0.7718915192</v>
      </c>
      <c r="AB98" s="309">
        <f>1-cashCOGS/Sales</f>
        <v>0.7682796655</v>
      </c>
      <c r="AC98" s="15">
        <f>1-cashCOGS/Sales</f>
        <v>0.7444960312</v>
      </c>
      <c r="AD98" s="15">
        <f>1-cashCOGS/Sales</f>
        <v>0.7374486896</v>
      </c>
      <c r="AE98" s="15">
        <f>1-cashCOGS/Sales</f>
        <v>0.7112299465</v>
      </c>
      <c r="AF98" s="15">
        <f>1-cashCOGS/Sales</f>
        <v>0.7481025347</v>
      </c>
      <c r="AG98" s="309">
        <f>1-cashCOGS/Sales</f>
        <v>0.7355589887</v>
      </c>
      <c r="AH98" s="15">
        <f>1-cashCOGS/Sales</f>
        <v>0.7043208966</v>
      </c>
      <c r="AI98" s="15">
        <f>1-cashCOGS/Sales</f>
        <v>0.6904573508</v>
      </c>
      <c r="AJ98" s="15">
        <f>1-cashCOGS/Sales</f>
        <v>0.6828105781</v>
      </c>
      <c r="AK98" s="15">
        <f>1-cashCOGS/Sales</f>
        <v>0.7097765363</v>
      </c>
      <c r="AL98" s="309">
        <f>1-cashCOGS/Sales</f>
        <v>0.6972799283</v>
      </c>
      <c r="AM98" s="15">
        <f>1-cashCOGS/Sales</f>
        <v>0.707450748</v>
      </c>
      <c r="AN98" s="15">
        <f>1-cashCOGS/Sales</f>
        <v>0.6958626761</v>
      </c>
      <c r="AO98" s="15">
        <f>1-cashCOGS/Sales</f>
        <v>0.7428826759</v>
      </c>
      <c r="AP98" s="15">
        <f>1-cashCOGS/Sales</f>
        <v>0.7809175152</v>
      </c>
      <c r="AQ98" s="309">
        <f>1-cashCOGS/Sales</f>
        <v>0.7353438837</v>
      </c>
      <c r="AR98" s="15">
        <f>1-cashCOGS/Sales</f>
        <v>0.7542948956</v>
      </c>
      <c r="AS98" s="15">
        <f>1-cashCOGS/Sales</f>
        <v>0.7460554106</v>
      </c>
      <c r="AT98" s="15">
        <f>1-cashCOGS/Sales</f>
        <v>0.7010978633</v>
      </c>
      <c r="AU98" s="15">
        <f>1-cashCOGS/Sales</f>
        <v>0.6863929985</v>
      </c>
      <c r="AV98" s="309">
        <f>1-cashCOGS/Sales</f>
        <v>0.720132129</v>
      </c>
      <c r="AW98" s="15">
        <f>1-cashCOGS/Sales</f>
        <v>0.7265210939</v>
      </c>
      <c r="AX98" s="15">
        <f>1-cashCOGS/Sales</f>
        <v>0.6846495504</v>
      </c>
      <c r="AY98" s="15">
        <f>1-cashCOGS/Sales</f>
        <v>0.7230923695</v>
      </c>
      <c r="AZ98" s="15">
        <f>1-cashCOGS/Sales</f>
        <v>0.7262033134</v>
      </c>
      <c r="BA98" s="309">
        <f>1-cashCOGS/Sales</f>
        <v>0.7156029465</v>
      </c>
      <c r="BB98" s="15">
        <f>1-cashCOGS/Sales</f>
        <v>0.6887024609</v>
      </c>
      <c r="BC98" s="15">
        <f>1-cashCOGS/Sales</f>
        <v>0.6724934449</v>
      </c>
      <c r="BD98" s="15">
        <f>1-cashCOGS/Sales</f>
        <v>0.6350841057</v>
      </c>
      <c r="BE98" s="15">
        <f>1-cashCOGS/Sales</f>
        <v>0.6227563441</v>
      </c>
      <c r="BF98" s="309">
        <f>1-cashCOGS/Sales</f>
        <v>0.6537222316</v>
      </c>
      <c r="BG98" s="15">
        <f>1-cashCOGS/Sales</f>
        <v>0.6420018075</v>
      </c>
      <c r="BH98" s="15">
        <f>1-cashCOGS/Sales</f>
        <v>0.6092165899</v>
      </c>
      <c r="BI98" s="15">
        <f>1-cashCOGS/Sales</f>
        <v>0.6389494549</v>
      </c>
      <c r="BJ98" s="15">
        <f>1-cashCOGS/Sales</f>
        <v>0.6905339806</v>
      </c>
      <c r="BK98" s="309">
        <f>1-cashCOGS/Sales</f>
        <v>0.6473365681</v>
      </c>
      <c r="BL98" s="15">
        <f>1-cashCOGS/Sales</f>
        <v>0.658740825</v>
      </c>
      <c r="BM98" s="15">
        <f>1-cashCOGS/Sales</f>
        <v>0.6709609293</v>
      </c>
      <c r="BN98" s="15">
        <f>1-cashCOGS/Sales</f>
        <v>0.6994225311</v>
      </c>
      <c r="BO98" s="15">
        <f>1-cashCOGS/Sales</f>
        <v>0.6793095064</v>
      </c>
      <c r="BP98" s="309">
        <f>1-cashCOGS/Sales</f>
        <v>0.6773798755</v>
      </c>
      <c r="BQ98" s="15">
        <f>1-cashCOGS/Sales</f>
        <v>0.6309307208</v>
      </c>
      <c r="BR98" s="15">
        <f>1-cashCOGS/Sales</f>
        <v>0.6686191426</v>
      </c>
      <c r="BS98" s="15">
        <f>1-cashCOGS/Sales</f>
        <v>0.7071040579</v>
      </c>
      <c r="BT98" s="15">
        <f>1-cashCOGS/Sales</f>
        <v>0.7664868956</v>
      </c>
      <c r="BU98" s="309">
        <f>1-cashCOGS/Sales</f>
        <v>0.7006860819</v>
      </c>
      <c r="BV98" s="15">
        <f>1-cashCOGS/Sales</f>
        <v>0.7447324983</v>
      </c>
      <c r="BW98" s="15">
        <f>1-cashCOGS/Sales</f>
        <v>0.7788202508</v>
      </c>
      <c r="BX98" s="15">
        <f>1-cashCOGS/Sales</f>
        <v>0.762295082</v>
      </c>
      <c r="BY98" s="15">
        <f>1-cashCOGS/Sales</f>
        <v>0.7516801955</v>
      </c>
      <c r="BZ98" s="37">
        <f>1-cashCOGS/Sales</f>
        <v>0.7594388281</v>
      </c>
      <c r="CA98" s="15">
        <f>1-cashCOGS/Sales</f>
        <v>0.7260060715</v>
      </c>
      <c r="CB98" s="15">
        <f>1-cashCOGS/Sales</f>
        <v>0.7217618171</v>
      </c>
      <c r="CC98" s="15">
        <f>1-cashCOGS/Sales</f>
        <v>0.74102438</v>
      </c>
      <c r="CD98" s="15">
        <f>1-cashCOGS/Sales</f>
        <v>0.7590552315</v>
      </c>
      <c r="CE98" s="37">
        <f>1-cashCOGS/Sales</f>
        <v>0.7374395822</v>
      </c>
      <c r="CF98" s="15">
        <f>1-cashCOGS/Sales</f>
        <v>0.7787075779</v>
      </c>
      <c r="CG98" s="15">
        <f>1-cashCOGS/Sales</f>
        <v>0.76979483</v>
      </c>
      <c r="CH98" s="15">
        <f>1-cashCOGS/Sales</f>
        <v>0.7734264695</v>
      </c>
      <c r="CI98" s="15">
        <f>1-cashCOGS/Sales</f>
        <v>0.7287972101</v>
      </c>
      <c r="CJ98" s="37">
        <f>1-cashCOGS/Sales</f>
        <v>0.7625091393</v>
      </c>
      <c r="CK98" s="15">
        <f>1-cashCOGS/Sales</f>
        <v>0.7257551669</v>
      </c>
      <c r="CL98" s="15">
        <f>1-cashCOGS/Sales</f>
        <v>0.7385059714</v>
      </c>
      <c r="CM98" s="15">
        <f>1-cashCOGS/Sales</f>
        <v>0.773937551</v>
      </c>
      <c r="CN98" s="40">
        <f>1-cashCOGS/Sales</f>
        <v>0.7609512795</v>
      </c>
      <c r="CO98" s="37">
        <f>1-cashCOGS/Sales</f>
        <v>0.7504173939</v>
      </c>
      <c r="CP98" s="40">
        <f>1-cashCOGS/Sales</f>
        <v>0.7547007208</v>
      </c>
      <c r="CQ98" s="15">
        <f>1-cashCOGS/Sales</f>
        <v>0.80160509</v>
      </c>
      <c r="CR98" s="15">
        <f>1-cashCOGS/Sales</f>
        <v>0.8008794833</v>
      </c>
      <c r="CS98" s="15">
        <f>1-cashCOGS/Sales</f>
        <v>0.8012363291</v>
      </c>
      <c r="CT98" s="37">
        <f>1-cashCOGS/Sales</f>
        <v>0.790603186</v>
      </c>
      <c r="CU98" s="15">
        <f>1-cashCOGS/Sales</f>
        <v>0.7690321571</v>
      </c>
      <c r="CV98" s="15">
        <f>1-cashCOGS/Sales</f>
        <v>0.7911330049</v>
      </c>
      <c r="CW98" s="15">
        <f>1-cashCOGS/Sales</f>
        <v>0.7871413757</v>
      </c>
      <c r="CX98" s="15">
        <f>1-cashCOGS/Sales</f>
        <v>0.7869116267</v>
      </c>
      <c r="CY98" s="37">
        <f>1-cashCOGS/Sales</f>
        <v>0.7838496974</v>
      </c>
      <c r="CZ98" s="15">
        <f>1-cashCOGS/Sales</f>
        <v>0.7422650533</v>
      </c>
      <c r="DA98" s="15">
        <f>1-cashCOGS/Sales</f>
        <v>0.7308061775</v>
      </c>
      <c r="DB98" s="15">
        <f>1-cashCOGS/Sales</f>
        <v>0.7549119026</v>
      </c>
      <c r="DC98" s="15">
        <f>1-cashCOGS/Sales</f>
        <v>0.735006718</v>
      </c>
      <c r="DD98" s="37">
        <f>1-cashCOGS/Sales</f>
        <v>0.7410146925</v>
      </c>
      <c r="DE98" s="15">
        <f>1-cashCOGS/Sales</f>
        <v>0.7497296567</v>
      </c>
      <c r="DF98" s="15">
        <f>1-cashCOGS/Sales</f>
        <v>0.7509313825</v>
      </c>
      <c r="DG98" s="40">
        <f>1-cashCOGS/Sales</f>
        <v>0.7500154808</v>
      </c>
      <c r="DH98" s="15">
        <f>1-cashCOGS/Sales</f>
        <v>0.7568756231</v>
      </c>
      <c r="DI98" s="37">
        <f>1-cashCOGS/Sales</f>
        <v>0.752027533</v>
      </c>
      <c r="DJ98" s="40">
        <f>1-cashCOGS/Sales</f>
        <v>0.7423752023</v>
      </c>
      <c r="DK98" s="40">
        <f>1-cashCOGS/Sales</f>
        <v>0.7393585662</v>
      </c>
      <c r="DL98" s="40">
        <f>1-cashCOGS/Sales</f>
        <v>0.7636591348</v>
      </c>
      <c r="DM98" s="40">
        <f>1-cashCOGS/Sales</f>
        <v>0.7353808222</v>
      </c>
      <c r="DN98" s="37">
        <f>1-cashCOGS/Sales</f>
        <v>0.7455679765</v>
      </c>
      <c r="DO98" s="40">
        <f>1-cashCOGS/Sales</f>
        <v>0.7293443746</v>
      </c>
      <c r="DP98" s="40">
        <f>1-cashCOGS/Sales</f>
        <v>0.7532262951</v>
      </c>
      <c r="DQ98" s="40">
        <f>1-cashCOGS/Sales</f>
        <v>0.7281917665</v>
      </c>
      <c r="DR98" s="40">
        <f>1-cashCOGS/Sales</f>
        <v>0.7346231877</v>
      </c>
      <c r="DS98" s="37">
        <f>1-cashCOGS/Sales</f>
        <v>0.735996665</v>
      </c>
      <c r="DT98" s="40">
        <f>1-cashCOGS/Sales</f>
        <v>0.7598345774</v>
      </c>
      <c r="DU98" s="40">
        <f>1-cashCOGS/Sales</f>
        <v>0.6878548256</v>
      </c>
      <c r="DV98" s="40">
        <f>1-cashCOGS/Sales</f>
        <v>0.7016854852</v>
      </c>
      <c r="DW98" s="40">
        <f>1-cashCOGS/Sales</f>
        <v>0.7183401742</v>
      </c>
      <c r="DX98" s="37">
        <f>1-cashCOGS/Sales</f>
        <v>0.7172614843</v>
      </c>
      <c r="DY98" s="40">
        <f>1-cashCOGS/Sales</f>
        <v>0.681299149</v>
      </c>
      <c r="DZ98" s="40">
        <f>1-cashCOGS/Sales</f>
        <v>0.6995629418</v>
      </c>
      <c r="EA98" s="40">
        <f>1-cashCOGS/Sales</f>
        <v>0.6966329408</v>
      </c>
      <c r="EB98" s="40">
        <f>1-cashCOGS/Sales</f>
        <v>0.6700286709</v>
      </c>
      <c r="EC98" s="37">
        <f>1-cashCOGS/Sales</f>
        <v>0.6865949303</v>
      </c>
      <c r="ED98" s="40">
        <f>1-cashCOGS/Sales</f>
        <v>0.6861003651</v>
      </c>
      <c r="EE98" s="40">
        <f>1-cashCOGS/Sales</f>
        <v>0.5701324979</v>
      </c>
      <c r="EF98" s="40">
        <f>1-cashCOGS/Sales</f>
        <v>0.6380884079</v>
      </c>
      <c r="EG98" s="40">
        <f>1-cashCOGS/Sales</f>
        <v>0.6257655605</v>
      </c>
      <c r="EH98" s="37">
        <f>1-cashCOGS/Sales</f>
        <v>0.6328068005</v>
      </c>
      <c r="EI98" s="82" t="str">
        <f>1-cashCOGS/Sales</f>
        <v>#ERROR!</v>
      </c>
      <c r="EJ98" s="15" t="str">
        <f>1-cashCOGS/Sales</f>
        <v>#ERROR!</v>
      </c>
      <c r="EK98" s="15" t="str">
        <f>1-cashCOGS/Sales</f>
        <v>#ERROR!</v>
      </c>
      <c r="EL98" s="15" t="str">
        <f>1-cashCOGS/Sales</f>
        <v>#ERROR!</v>
      </c>
      <c r="EM98" s="37" t="str">
        <f>1-cashCOGS/Sales</f>
        <v>#ERROR!</v>
      </c>
      <c r="EN98" s="15" t="str">
        <f>1-cashCOGS/Sales</f>
        <v>#ERROR!</v>
      </c>
      <c r="EO98" s="15" t="str">
        <f>1-cashCOGS/Sales</f>
        <v>#ERROR!</v>
      </c>
      <c r="EP98" s="15" t="str">
        <f>1-cashCOGS/Sales</f>
        <v>#ERROR!</v>
      </c>
      <c r="EQ98" s="15" t="str">
        <f>1-cashCOGS/Sales</f>
        <v>#ERROR!</v>
      </c>
      <c r="ER98" s="37" t="str">
        <f>1-cashCOGS/Sales</f>
        <v>#ERROR!</v>
      </c>
      <c r="ES98" s="15" t="str">
        <f>1-cashCOGS/Sales</f>
        <v>#ERROR!</v>
      </c>
      <c r="ET98" s="15" t="str">
        <f>1-cashCOGS/Sales</f>
        <v>#ERROR!</v>
      </c>
      <c r="EU98" s="15" t="str">
        <f>1-cashCOGS/Sales</f>
        <v>#ERROR!</v>
      </c>
      <c r="EV98" s="15" t="str">
        <f>1-cashCOGS/Sales</f>
        <v>#ERROR!</v>
      </c>
      <c r="EW98" s="37" t="str">
        <f>1-cashCOGS/Sales</f>
        <v>#ERROR!</v>
      </c>
      <c r="EX98" s="15" t="str">
        <f>1-cashCOGS/Sales</f>
        <v>#ERROR!</v>
      </c>
      <c r="EY98" s="15" t="str">
        <f>1-cashCOGS/Sales</f>
        <v>#ERROR!</v>
      </c>
      <c r="EZ98" s="15" t="str">
        <f>1-cashCOGS/Sales</f>
        <v>#ERROR!</v>
      </c>
      <c r="FA98" s="15" t="str">
        <f>1-cashCOGS/Sales</f>
        <v>#ERROR!</v>
      </c>
      <c r="FB98" s="37" t="str">
        <f>1-cashCOGS/Sales</f>
        <v>#ERROR!</v>
      </c>
      <c r="FC98" s="15" t="str">
        <f>1-cashCOGS/Sales</f>
        <v>#ERROR!</v>
      </c>
      <c r="FD98" s="15" t="str">
        <f>1-cashCOGS/Sales</f>
        <v>#ERROR!</v>
      </c>
      <c r="FE98" s="15" t="str">
        <f>1-cashCOGS/Sales</f>
        <v>#ERROR!</v>
      </c>
      <c r="FF98" s="15" t="str">
        <f>1-cashCOGS/Sales</f>
        <v>#ERROR!</v>
      </c>
      <c r="FG98" s="37" t="str">
        <f>1-cashCOGS/Sales</f>
        <v>#ERROR!</v>
      </c>
      <c r="FH98" s="35"/>
      <c r="FI98" s="15"/>
      <c r="FJ98" s="15"/>
      <c r="FK98" s="309"/>
      <c r="FL98" s="15"/>
    </row>
    <row r="99" ht="12.75" customHeight="1" outlineLevel="1">
      <c r="A99" s="4"/>
      <c r="B99" s="72" t="s">
        <v>118</v>
      </c>
      <c r="C99" s="45"/>
      <c r="D99" s="15"/>
      <c r="E99" s="15"/>
      <c r="F99" s="15"/>
      <c r="G99" s="15"/>
      <c r="H99" s="309"/>
      <c r="I99" s="15"/>
      <c r="J99" s="15"/>
      <c r="K99" s="15"/>
      <c r="L99" s="15"/>
      <c r="M99" s="309"/>
      <c r="N99" s="15"/>
      <c r="O99" s="15">
        <f t="shared" ref="O99:Q99" si="704">1-(O19-N19)/(O12-N12)</f>
        <v>4.162162162</v>
      </c>
      <c r="P99" s="15">
        <f t="shared" si="704"/>
        <v>0.8893034826</v>
      </c>
      <c r="Q99" s="15">
        <f t="shared" si="704"/>
        <v>1.084937712</v>
      </c>
      <c r="R99" s="309"/>
      <c r="S99" s="15">
        <f>1-(S19-Q19)/(S12-Q12)</f>
        <v>0.481409002</v>
      </c>
      <c r="T99" s="15">
        <f t="shared" ref="T99:V99" si="705">1-(T19-S19)/(T12-S12)</f>
        <v>0.5714285714</v>
      </c>
      <c r="U99" s="15">
        <f t="shared" si="705"/>
        <v>0.7388316151</v>
      </c>
      <c r="V99" s="15">
        <f t="shared" si="705"/>
        <v>1.015837104</v>
      </c>
      <c r="W99" s="309">
        <f>1-(W19-R19)/(W12-R12)</f>
        <v>1.334403081</v>
      </c>
      <c r="X99" s="15">
        <f>1-(X19-V19)/(X12-V12)</f>
        <v>-0.4063926941</v>
      </c>
      <c r="Y99" s="15">
        <f t="shared" ref="Y99:AA99" si="706">1-(Y19-X19)/(Y12-X12)</f>
        <v>-0.1270358306</v>
      </c>
      <c r="Z99" s="15">
        <f t="shared" si="706"/>
        <v>1.461716937</v>
      </c>
      <c r="AA99" s="15">
        <f t="shared" si="706"/>
        <v>3.034482759</v>
      </c>
      <c r="AB99" s="309">
        <f>1-(AB19-W19)/(AB12-W12)</f>
        <v>1.097763431</v>
      </c>
      <c r="AC99" s="15">
        <f>1-(AC19-AA19)/(AC12-AA12)</f>
        <v>0.8622222222</v>
      </c>
      <c r="AD99" s="15">
        <f t="shared" ref="AD99:AF99" si="707">1-(AD19-AC19)/(AD12-AC12)</f>
        <v>0.8746355685</v>
      </c>
      <c r="AE99" s="15">
        <f t="shared" si="707"/>
        <v>-0.07582938389</v>
      </c>
      <c r="AF99" s="15">
        <f t="shared" si="707"/>
        <v>1.299086758</v>
      </c>
      <c r="AG99" s="309">
        <f>1-(AG19-AB19)/(AG12-AB12)</f>
        <v>0.8891053291</v>
      </c>
      <c r="AH99" s="15">
        <f>1-(AH19-AF19)/(AH12-AF12)</f>
        <v>2.217821782</v>
      </c>
      <c r="AI99" s="15">
        <f t="shared" ref="AI99:AK99" si="708">1-(AI19-AH19)/(AI12-AH12)</f>
        <v>0.8939393939</v>
      </c>
      <c r="AJ99" s="15">
        <f t="shared" si="708"/>
        <v>0.4216216216</v>
      </c>
      <c r="AK99" s="15">
        <f t="shared" si="708"/>
        <v>0.9771341463</v>
      </c>
      <c r="AL99" s="309">
        <f>1-(AL19-AG19)/(AL12-AG12)</f>
        <v>-3.817777778</v>
      </c>
      <c r="AM99" s="15">
        <f>1-(AM19-AK19)/(AM12-AK12)</f>
        <v>0.7481662592</v>
      </c>
      <c r="AN99" s="15">
        <f t="shared" ref="AN99:AP99" si="709">1-(AN19-AM19)/(AN12-AM12)</f>
        <v>-0.5076923077</v>
      </c>
      <c r="AO99" s="15">
        <f t="shared" si="709"/>
        <v>1.058013766</v>
      </c>
      <c r="AP99" s="15">
        <f t="shared" si="709"/>
        <v>1.109030837</v>
      </c>
      <c r="AQ99" s="309">
        <f>1-(AQ19-AL19)/(AQ12-AL12)</f>
        <v>1.037015102</v>
      </c>
      <c r="AR99" s="15">
        <f>1-(AR19-AP19)/(AR12-AP12)</f>
        <v>1.112307692</v>
      </c>
      <c r="AS99" s="15">
        <f t="shared" ref="AS99:AU99" si="710">1-(AS19-AR19)/(AS12-AR12)</f>
        <v>2.333333333</v>
      </c>
      <c r="AT99" s="15">
        <f t="shared" si="710"/>
        <v>-0.1563981043</v>
      </c>
      <c r="AU99" s="15">
        <f t="shared" si="710"/>
        <v>0.5758651287</v>
      </c>
      <c r="AV99" s="309">
        <f>1-(AV19-AQ19)/(AV12-AQ12)</f>
        <v>0.6074237955</v>
      </c>
      <c r="AW99" s="15">
        <f t="shared" ref="AW99:AX99" si="711">1-(AW19-AU19)/(AW12-AU12)</f>
        <v>-1.62195122</v>
      </c>
      <c r="AX99" s="15">
        <f t="shared" si="711"/>
        <v>0.7332452558</v>
      </c>
      <c r="AY99" s="15">
        <f t="shared" ref="AY99:AZ99" si="712">1-(AY19-AX19)/(AY12-AX12)</f>
        <v>1.209876543</v>
      </c>
      <c r="AZ99" s="15">
        <f t="shared" si="712"/>
        <v>0.8547717842</v>
      </c>
      <c r="BA99" s="309">
        <f>1-(BA19-AV19)/(BA12-AV12)</f>
        <v>0.6820446177</v>
      </c>
      <c r="BB99" s="15">
        <f>1-(BB19-AZ19)/(BB12-AZ12)</f>
        <v>0.9920697859</v>
      </c>
      <c r="BC99" s="15">
        <f t="shared" ref="BC99:BE99" si="713">1-(BC19-BB19)/(BC12-BB12)</f>
        <v>0.828141783</v>
      </c>
      <c r="BD99" s="15">
        <f t="shared" si="713"/>
        <v>0.2246575342</v>
      </c>
      <c r="BE99" s="15">
        <f t="shared" si="713"/>
        <v>0.509947644</v>
      </c>
      <c r="BF99" s="309">
        <f>1-(BF19-BA19)/(BF12-BA12)</f>
        <v>1.351335656</v>
      </c>
      <c r="BG99" s="15">
        <f>1-(BG19-BE19)/(BG12-BE12)</f>
        <v>0.4204275534</v>
      </c>
      <c r="BH99" s="15">
        <f t="shared" ref="BH99:BJ99" si="714">1-(BH19-BG19)/(BH12-BG12)</f>
        <v>2.296511628</v>
      </c>
      <c r="BI99" s="15">
        <f t="shared" si="714"/>
        <v>0.8219858156</v>
      </c>
      <c r="BJ99" s="15">
        <f t="shared" si="714"/>
        <v>1.52733119</v>
      </c>
      <c r="BK99" s="309">
        <f>1-(BK19-BF19)/(BK12-BF12)</f>
        <v>0.570799458</v>
      </c>
      <c r="BL99" s="15">
        <f>1-(BL19-BJ19)/(BL12-BJ12)</f>
        <v>0.9865255053</v>
      </c>
      <c r="BM99" s="15">
        <f t="shared" ref="BM99:BO99" si="715">1-(BM19-BL19)/(BM12-BL12)</f>
        <v>0.08866995074</v>
      </c>
      <c r="BN99" s="15">
        <f t="shared" si="715"/>
        <v>1.060240964</v>
      </c>
      <c r="BO99" s="15">
        <f t="shared" si="715"/>
        <v>0.7825213461</v>
      </c>
      <c r="BP99" s="309">
        <f>1-(BP19-BK19)/(BP12-BK12)</f>
        <v>-0.8622994652</v>
      </c>
      <c r="BQ99" s="15">
        <f>1-(BQ19-BO19)/(BQ12-BO12)</f>
        <v>0.9990749306</v>
      </c>
      <c r="BR99" s="15">
        <f t="shared" ref="BR99:BT99" si="716">1-(BR19-BQ19)/(BR12-BQ12)</f>
        <v>0.9749715586</v>
      </c>
      <c r="BS99" s="15">
        <f t="shared" si="716"/>
        <v>0.9333333333</v>
      </c>
      <c r="BT99" s="15">
        <f t="shared" si="716"/>
        <v>1.238983051</v>
      </c>
      <c r="BU99" s="309">
        <f>1-(BU19-BP19)/(BU12-BP12)</f>
        <v>0.344448963</v>
      </c>
      <c r="BV99" s="15">
        <f>1-(BV19-BT19)/(BV12-BT12)</f>
        <v>1.596296296</v>
      </c>
      <c r="BW99" s="15">
        <f t="shared" ref="BW99:BY99" si="717">1-(BW19-BV19)/(BW12-BV12)</f>
        <v>1.532188841</v>
      </c>
      <c r="BX99" s="15">
        <f t="shared" si="717"/>
        <v>0.234421365</v>
      </c>
      <c r="BY99" s="15">
        <f t="shared" si="717"/>
        <v>0.4197183099</v>
      </c>
      <c r="BZ99" s="37">
        <f>1-(BZ19-BU19)/(BZ12-BU12)</f>
        <v>1.002354049</v>
      </c>
      <c r="CA99" s="15">
        <f>1-(CA19-BY19)/(CA12-BY12)</f>
        <v>0.5143884892</v>
      </c>
      <c r="CB99" s="15">
        <f t="shared" ref="CB99:CD99" si="718">1-(CB19-CA19)/(CB12-CA12)</f>
        <v>0.427027027</v>
      </c>
      <c r="CC99" s="15">
        <f t="shared" si="718"/>
        <v>0.950041632</v>
      </c>
      <c r="CD99" s="15">
        <f t="shared" si="718"/>
        <v>0.01734104046</v>
      </c>
      <c r="CE99" s="37">
        <f>1-(CE19-BZ19)/(CE12-BZ12)</f>
        <v>0.6449498843</v>
      </c>
      <c r="CF99" s="15">
        <f>1-(CF19-CD19)/(CF12-CD12)</f>
        <v>0.500509684</v>
      </c>
      <c r="CG99" s="15">
        <f t="shared" ref="CG99:CI99" si="719">1-(CG19-CF19)/(CG12-CF12)</f>
        <v>0.5764705882</v>
      </c>
      <c r="CH99" s="15">
        <f t="shared" si="719"/>
        <v>-0.3409090909</v>
      </c>
      <c r="CI99" s="15">
        <f t="shared" si="719"/>
        <v>-29.3</v>
      </c>
      <c r="CJ99" s="37">
        <f>1-(CJ19-CE19)/(CJ12-CE12)</f>
        <v>-1.294832827</v>
      </c>
      <c r="CK99" s="15">
        <f>1-(CK19-CI19)/(CK12-CI12)</f>
        <v>0.7714604236</v>
      </c>
      <c r="CL99" s="15">
        <f t="shared" ref="CL99:CN99" si="720">1-(CL19-CK19)/(CL12-CK12)</f>
        <v>1.432900433</v>
      </c>
      <c r="CM99" s="15">
        <f t="shared" si="720"/>
        <v>1.449404762</v>
      </c>
      <c r="CN99" s="40">
        <f t="shared" si="720"/>
        <v>0.2621082621</v>
      </c>
      <c r="CO99" s="37">
        <f>1-(CO19-CJ19)/(CO12-CJ12)</f>
        <v>1.769352291</v>
      </c>
      <c r="CP99" s="40">
        <f>1-(CP19-CN19)/(CP12-CN12)</f>
        <v>0.8355140187</v>
      </c>
      <c r="CQ99" s="15">
        <f t="shared" ref="CQ99:CS99" si="721">1-(CQ19-CP19)/(CQ12-CP12)</f>
        <v>1.362699157</v>
      </c>
      <c r="CR99" s="15">
        <f t="shared" si="721"/>
        <v>0.7869986169</v>
      </c>
      <c r="CS99" s="15">
        <f t="shared" si="721"/>
        <v>0.8323353293</v>
      </c>
      <c r="CT99" s="37">
        <f>1-(CT19-CO19)/(CT12-CO12)</f>
        <v>1.460468058</v>
      </c>
      <c r="CU99" s="15">
        <f>1-(CU19-CS19)/(CU12-CS12)</f>
        <v>1.013402062</v>
      </c>
      <c r="CV99" s="15">
        <f t="shared" ref="CV99:CX99" si="722">1-(CV19-CU19)/(CV12-CU12)</f>
        <v>1.473429952</v>
      </c>
      <c r="CW99" s="15">
        <f t="shared" si="722"/>
        <v>0.7456692913</v>
      </c>
      <c r="CX99" s="15">
        <f t="shared" si="722"/>
        <v>0.7795100223</v>
      </c>
      <c r="CY99" s="37">
        <f>1-(CY19-CT19)/(CY12-CT12)</f>
        <v>1.516504854</v>
      </c>
      <c r="CZ99" s="15">
        <f>1-(CZ19-CX19)/(CZ12-CX12)</f>
        <v>1.340521114</v>
      </c>
      <c r="DA99" s="15">
        <f t="shared" ref="DA99:DC99" si="723">1-(DA19-CZ19)/(DA12-CZ12)</f>
        <v>1.320895522</v>
      </c>
      <c r="DB99" s="15">
        <f t="shared" si="723"/>
        <v>0.9002227171</v>
      </c>
      <c r="DC99" s="15">
        <f t="shared" si="723"/>
        <v>0.2080536913</v>
      </c>
      <c r="DD99" s="37">
        <f>1-(DD19-CY19)/(DD12-CY12)</f>
        <v>0.1670297749</v>
      </c>
      <c r="DE99" s="15">
        <f>1-(DE19-DC19)/(DE12-DC12)</f>
        <v>0.5969581749</v>
      </c>
      <c r="DF99" s="15">
        <f t="shared" ref="DF99:DH99" si="724">1-(DF19-DE19)/(DF12-DE12)</f>
        <v>0.2121212121</v>
      </c>
      <c r="DG99" s="40">
        <f t="shared" si="724"/>
        <v>0.7402597403</v>
      </c>
      <c r="DH99" s="15">
        <f t="shared" si="724"/>
        <v>0.8794247788</v>
      </c>
      <c r="DI99" s="37">
        <f>1-(DI19-DD19)/(DI12-DD12)</f>
        <v>0.9520610687</v>
      </c>
      <c r="DJ99" s="40">
        <f>1-(DJ19-DH19)/(DJ12-DH12)</f>
        <v>0.9929078014</v>
      </c>
      <c r="DK99" s="40">
        <f t="shared" ref="DK99:DM99" si="725">1-(DK19-DJ19)/(DK12-DJ12)</f>
        <v>0.6852678571</v>
      </c>
      <c r="DL99" s="40">
        <f t="shared" si="725"/>
        <v>0.9509313948</v>
      </c>
      <c r="DM99" s="40">
        <f t="shared" si="725"/>
        <v>1.806324111</v>
      </c>
      <c r="DN99" s="37">
        <f>1-(DN19-DI19)/(DN12-DI12)</f>
        <v>0.6954371213</v>
      </c>
      <c r="DO99" s="40">
        <f>1-(DO19-DM19)/(DO12-DM12)</f>
        <v>0.7727272727</v>
      </c>
      <c r="DP99" s="40">
        <f t="shared" ref="DP99:DR99" si="726">1-(DP19-DO19)/(DP12-DO12)</f>
        <v>1.617117117</v>
      </c>
      <c r="DQ99" s="40">
        <f t="shared" si="726"/>
        <v>0.574301676</v>
      </c>
      <c r="DR99" s="40">
        <f t="shared" si="726"/>
        <v>0.8557409225</v>
      </c>
      <c r="DS99" s="37">
        <f>1-(DS19-DN19)/(DS12-DN12)</f>
        <v>0.1289167413</v>
      </c>
      <c r="DT99" s="40">
        <f>1-(DT19-DR19)/(DT12-DR12)</f>
        <v>-0.5774278215</v>
      </c>
      <c r="DU99" s="40">
        <f t="shared" ref="DU99:DW99" si="727">1-(DU19-DT19)/(DU12-DT12)</f>
        <v>14.96</v>
      </c>
      <c r="DV99" s="40">
        <f t="shared" si="727"/>
        <v>0.50609319</v>
      </c>
      <c r="DW99" s="40">
        <f t="shared" si="727"/>
        <v>0.9039513678</v>
      </c>
      <c r="DX99" s="37">
        <f>1-(DX19-DS19)/(DX12-DS12)</f>
        <v>0.4888173501</v>
      </c>
      <c r="DY99" s="40">
        <f>1-(DY19-DW19)/(DY12-DW12)</f>
        <v>1.205382436</v>
      </c>
      <c r="DZ99" s="40">
        <f t="shared" ref="DZ99:EB99" si="728">1-(DZ19-DY19)/(DZ12-DY12)</f>
        <v>-9.575757576</v>
      </c>
      <c r="EA99" s="40">
        <f t="shared" si="728"/>
        <v>0.8183856502</v>
      </c>
      <c r="EB99" s="40">
        <f t="shared" si="728"/>
        <v>0.3370242215</v>
      </c>
      <c r="EC99" s="37">
        <f>1-(EC19-DX19)/(EC12-DX12)</f>
        <v>1.444903144</v>
      </c>
      <c r="ED99" s="40">
        <f>1-(ED19-EB19)/(ED12-EB12)</f>
        <v>0.4198473282</v>
      </c>
      <c r="EE99" s="40">
        <f t="shared" ref="EE99:EG99" si="729">1-(EE19-ED19)/(EE12-ED12)</f>
        <v>1.272097625</v>
      </c>
      <c r="EF99" s="40">
        <f t="shared" si="729"/>
        <v>61.88235294</v>
      </c>
      <c r="EG99" s="40">
        <f t="shared" si="729"/>
        <v>0.7716049383</v>
      </c>
      <c r="EH99" s="37">
        <f>1-(EH19-EC19)/(EH12-EC12)</f>
        <v>0.9773662551</v>
      </c>
      <c r="EI99" s="82" t="str">
        <f>1-(EI19-EG19)/(EI12-EG12)</f>
        <v>#ERROR!</v>
      </c>
      <c r="EJ99" s="15" t="str">
        <f t="shared" ref="EJ99:EL99" si="730">1-(EJ19-EI19)/(EJ12-EI12)</f>
        <v>#ERROR!</v>
      </c>
      <c r="EK99" s="15" t="str">
        <f t="shared" si="730"/>
        <v>#ERROR!</v>
      </c>
      <c r="EL99" s="15" t="str">
        <f t="shared" si="730"/>
        <v>#ERROR!</v>
      </c>
      <c r="EM99" s="37" t="str">
        <f>1-(EM19-EH19)/(EM12-EH12)</f>
        <v>#ERROR!</v>
      </c>
      <c r="EN99" s="15" t="str">
        <f>1-(EN19-EL19)/(EN12-EL12)</f>
        <v>#ERROR!</v>
      </c>
      <c r="EO99" s="15" t="str">
        <f t="shared" ref="EO99:EQ99" si="731">1-(EO19-EN19)/(EO12-EN12)</f>
        <v>#ERROR!</v>
      </c>
      <c r="EP99" s="15" t="str">
        <f t="shared" si="731"/>
        <v>#ERROR!</v>
      </c>
      <c r="EQ99" s="15" t="str">
        <f t="shared" si="731"/>
        <v>#ERROR!</v>
      </c>
      <c r="ER99" s="37" t="str">
        <f>1-(ER19-EM19)/(ER12-EM12)</f>
        <v>#ERROR!</v>
      </c>
      <c r="ES99" s="15" t="str">
        <f>1-(ES19-EQ19)/(ES12-EQ12)</f>
        <v>#ERROR!</v>
      </c>
      <c r="ET99" s="15" t="str">
        <f t="shared" ref="ET99:EV99" si="732">1-(ET19-ES19)/(ET12-ES12)</f>
        <v>#ERROR!</v>
      </c>
      <c r="EU99" s="15" t="str">
        <f t="shared" si="732"/>
        <v>#ERROR!</v>
      </c>
      <c r="EV99" s="15" t="str">
        <f t="shared" si="732"/>
        <v>#ERROR!</v>
      </c>
      <c r="EW99" s="37" t="str">
        <f>1-(EW19-ER19)/(EW12-ER12)</f>
        <v>#ERROR!</v>
      </c>
      <c r="EX99" s="15" t="str">
        <f>1-(EX19-EV19)/(EX12-EV12)</f>
        <v>#ERROR!</v>
      </c>
      <c r="EY99" s="15" t="str">
        <f t="shared" ref="EY99:FA99" si="733">1-(EY19-EX19)/(EY12-EX12)</f>
        <v>#ERROR!</v>
      </c>
      <c r="EZ99" s="15" t="str">
        <f t="shared" si="733"/>
        <v>#ERROR!</v>
      </c>
      <c r="FA99" s="15" t="str">
        <f t="shared" si="733"/>
        <v>#ERROR!</v>
      </c>
      <c r="FB99" s="37" t="str">
        <f>1-(FB19-EW19)/(FB12-EW12)</f>
        <v>#ERROR!</v>
      </c>
      <c r="FC99" s="15" t="str">
        <f>1-(FC19-FA19)/(FC12-FA12)</f>
        <v>#ERROR!</v>
      </c>
      <c r="FD99" s="15" t="str">
        <f t="shared" ref="FD99:FF99" si="734">1-(FD19-FC19)/(FD12-FC12)</f>
        <v>#ERROR!</v>
      </c>
      <c r="FE99" s="15" t="str">
        <f t="shared" si="734"/>
        <v>#ERROR!</v>
      </c>
      <c r="FF99" s="15" t="str">
        <f t="shared" si="734"/>
        <v>#ERROR!</v>
      </c>
      <c r="FG99" s="37" t="str">
        <f>1-(FG19-FB19)/(FG12-FB12)</f>
        <v>#ERROR!</v>
      </c>
      <c r="FH99" s="35"/>
      <c r="FI99" s="15"/>
      <c r="FJ99" s="15"/>
      <c r="FK99" s="309"/>
      <c r="FL99" s="15"/>
    </row>
    <row r="100" ht="12.75" customHeight="1" outlineLevel="1">
      <c r="A100" s="4"/>
      <c r="B100" s="72" t="s">
        <v>119</v>
      </c>
      <c r="C100" s="45"/>
      <c r="D100" s="15"/>
      <c r="E100" s="15"/>
      <c r="F100" s="15"/>
      <c r="G100" s="15"/>
      <c r="H100" s="309"/>
      <c r="I100" s="15"/>
      <c r="J100" s="15"/>
      <c r="K100" s="15"/>
      <c r="L100" s="15"/>
      <c r="M100" s="309"/>
      <c r="N100" s="15"/>
      <c r="O100" s="15"/>
      <c r="P100" s="15"/>
      <c r="Q100" s="15"/>
      <c r="R100" s="309"/>
      <c r="S100" s="15">
        <f t="shared" ref="S100:FG100" si="735">S19/N19-1</f>
        <v>-0.008022652194</v>
      </c>
      <c r="T100" s="15">
        <f t="shared" si="735"/>
        <v>-0.1716957076</v>
      </c>
      <c r="U100" s="15">
        <f t="shared" si="735"/>
        <v>-0.1396396396</v>
      </c>
      <c r="V100" s="15">
        <f t="shared" si="735"/>
        <v>-0.1182931981</v>
      </c>
      <c r="W100" s="309">
        <f t="shared" si="735"/>
        <v>-0.1122723844</v>
      </c>
      <c r="X100" s="15">
        <f t="shared" si="735"/>
        <v>-0.1536631779</v>
      </c>
      <c r="Y100" s="15">
        <f t="shared" si="735"/>
        <v>0.09030271934</v>
      </c>
      <c r="Z100" s="15">
        <f t="shared" si="735"/>
        <v>-0.08329366968</v>
      </c>
      <c r="AA100" s="15">
        <f t="shared" si="735"/>
        <v>-0.04887398179</v>
      </c>
      <c r="AB100" s="309">
        <f t="shared" si="735"/>
        <v>-0.05146255614</v>
      </c>
      <c r="AC100" s="15">
        <f t="shared" si="735"/>
        <v>-0.04103428893</v>
      </c>
      <c r="AD100" s="15">
        <f t="shared" si="735"/>
        <v>-0.2174117647</v>
      </c>
      <c r="AE100" s="15">
        <f t="shared" si="735"/>
        <v>-0.01869158879</v>
      </c>
      <c r="AF100" s="15">
        <f t="shared" si="735"/>
        <v>-0.1138539043</v>
      </c>
      <c r="AG100" s="309">
        <f t="shared" si="735"/>
        <v>-0.1019833653</v>
      </c>
      <c r="AH100" s="15">
        <f t="shared" si="735"/>
        <v>0.1752637749</v>
      </c>
      <c r="AI100" s="15">
        <f t="shared" si="735"/>
        <v>0.1761876127</v>
      </c>
      <c r="AJ100" s="15">
        <f t="shared" si="735"/>
        <v>0.09153439153</v>
      </c>
      <c r="AK100" s="15">
        <f t="shared" si="735"/>
        <v>0.1813530415</v>
      </c>
      <c r="AL100" s="309">
        <f t="shared" si="735"/>
        <v>0.1544599601</v>
      </c>
      <c r="AM100" s="15">
        <f t="shared" si="735"/>
        <v>-0.01496259352</v>
      </c>
      <c r="AN100" s="15">
        <f t="shared" si="735"/>
        <v>0.05981595092</v>
      </c>
      <c r="AO100" s="15">
        <f t="shared" si="735"/>
        <v>-0.02375181774</v>
      </c>
      <c r="AP100" s="15">
        <f t="shared" si="735"/>
        <v>-0.07844080847</v>
      </c>
      <c r="AQ100" s="309">
        <f t="shared" si="735"/>
        <v>-0.01542828931</v>
      </c>
      <c r="AR100" s="15">
        <f t="shared" si="735"/>
        <v>0.006582278481</v>
      </c>
      <c r="AS100" s="15">
        <f t="shared" si="735"/>
        <v>-0.01398938736</v>
      </c>
      <c r="AT100" s="15">
        <f t="shared" si="735"/>
        <v>0.2571996028</v>
      </c>
      <c r="AU100" s="15">
        <f t="shared" si="735"/>
        <v>0.5718015666</v>
      </c>
      <c r="AV100" s="309">
        <f t="shared" si="735"/>
        <v>0.2002005767</v>
      </c>
      <c r="AW100" s="15">
        <f t="shared" si="735"/>
        <v>0.2977867203</v>
      </c>
      <c r="AX100" s="15">
        <f t="shared" si="735"/>
        <v>0.4241682975</v>
      </c>
      <c r="AY100" s="15">
        <f t="shared" si="735"/>
        <v>0.08925750395</v>
      </c>
      <c r="AZ100" s="15">
        <f t="shared" si="735"/>
        <v>-0.07209302326</v>
      </c>
      <c r="BA100" s="309">
        <f t="shared" si="735"/>
        <v>0.1533319407</v>
      </c>
      <c r="BB100" s="15">
        <f t="shared" si="735"/>
        <v>0.07868217054</v>
      </c>
      <c r="BC100" s="15">
        <f t="shared" si="735"/>
        <v>-0.09893507386</v>
      </c>
      <c r="BD100" s="15">
        <f t="shared" si="735"/>
        <v>0.1562726613</v>
      </c>
      <c r="BE100" s="15">
        <f t="shared" si="735"/>
        <v>0.3093447905</v>
      </c>
      <c r="BF100" s="309">
        <f t="shared" si="735"/>
        <v>0.1095815975</v>
      </c>
      <c r="BG100" s="15">
        <f t="shared" si="735"/>
        <v>0.1386992454</v>
      </c>
      <c r="BH100" s="15">
        <f t="shared" si="735"/>
        <v>0.293175753</v>
      </c>
      <c r="BI100" s="15">
        <f t="shared" si="735"/>
        <v>0.1423643775</v>
      </c>
      <c r="BJ100" s="15">
        <f t="shared" si="735"/>
        <v>-0.0935192781</v>
      </c>
      <c r="BK100" s="309">
        <f t="shared" si="735"/>
        <v>0.1034116879</v>
      </c>
      <c r="BL100" s="15">
        <f t="shared" si="735"/>
        <v>0.04165351846</v>
      </c>
      <c r="BM100" s="15">
        <f t="shared" si="735"/>
        <v>-0.08136792453</v>
      </c>
      <c r="BN100" s="15">
        <f t="shared" si="735"/>
        <v>-0.1570134505</v>
      </c>
      <c r="BO100" s="15">
        <f t="shared" si="735"/>
        <v>-0.2042232278</v>
      </c>
      <c r="BP100" s="309">
        <f t="shared" si="735"/>
        <v>-0.1030401657</v>
      </c>
      <c r="BQ100" s="15">
        <f t="shared" si="735"/>
        <v>-0.2011511663</v>
      </c>
      <c r="BR100" s="15">
        <f t="shared" si="735"/>
        <v>-0.1466623877</v>
      </c>
      <c r="BS100" s="15">
        <f t="shared" si="735"/>
        <v>-0.104526213</v>
      </c>
      <c r="BT100" s="15">
        <f t="shared" si="735"/>
        <v>-0.06444275967</v>
      </c>
      <c r="BU100" s="309">
        <f t="shared" si="735"/>
        <v>-0.1329374897</v>
      </c>
      <c r="BV100" s="15">
        <f t="shared" si="735"/>
        <v>-0.003033750474</v>
      </c>
      <c r="BW100" s="15">
        <f t="shared" si="735"/>
        <v>-0.1045505829</v>
      </c>
      <c r="BX100" s="15">
        <f t="shared" si="735"/>
        <v>-0.04036363636</v>
      </c>
      <c r="BY100" s="15">
        <f t="shared" si="735"/>
        <v>0.1527552674</v>
      </c>
      <c r="BZ100" s="37">
        <f t="shared" si="735"/>
        <v>-0.001902225604</v>
      </c>
      <c r="CA100" s="15">
        <f t="shared" si="735"/>
        <v>0.3389121339</v>
      </c>
      <c r="CB100" s="15">
        <f t="shared" si="735"/>
        <v>0.5228895422</v>
      </c>
      <c r="CC100" s="15">
        <f t="shared" si="735"/>
        <v>0.3967411898</v>
      </c>
      <c r="CD100" s="15">
        <f t="shared" si="735"/>
        <v>0.1760984183</v>
      </c>
      <c r="CE100" s="37">
        <f t="shared" si="735"/>
        <v>0.3510577473</v>
      </c>
      <c r="CF100" s="15">
        <f t="shared" si="735"/>
        <v>-0.1886363636</v>
      </c>
      <c r="CG100" s="15">
        <f t="shared" si="735"/>
        <v>-0.1428571429</v>
      </c>
      <c r="CH100" s="15">
        <f t="shared" si="735"/>
        <v>-0.1728160608</v>
      </c>
      <c r="CI100" s="15">
        <f t="shared" si="735"/>
        <v>0.09234907352</v>
      </c>
      <c r="CJ100" s="37">
        <f t="shared" si="735"/>
        <v>-0.1065030329</v>
      </c>
      <c r="CK100" s="15">
        <f t="shared" si="735"/>
        <v>0.2079831933</v>
      </c>
      <c r="CL100" s="15">
        <f t="shared" si="735"/>
        <v>0.07786357786</v>
      </c>
      <c r="CM100" s="15">
        <f t="shared" si="735"/>
        <v>-0.0003279763857</v>
      </c>
      <c r="CN100" s="40">
        <f t="shared" si="735"/>
        <v>-0.0952120383</v>
      </c>
      <c r="CO100" s="37">
        <f t="shared" si="735"/>
        <v>0.03844332176</v>
      </c>
      <c r="CP100" s="40">
        <f t="shared" si="735"/>
        <v>-0.09246376812</v>
      </c>
      <c r="CQ100" s="15">
        <f t="shared" si="735"/>
        <v>-0.1808955224</v>
      </c>
      <c r="CR100" s="15">
        <f t="shared" si="735"/>
        <v>-0.04921259843</v>
      </c>
      <c r="CS100" s="15">
        <f t="shared" si="735"/>
        <v>-0.1152101603</v>
      </c>
      <c r="CT100" s="37">
        <f t="shared" si="735"/>
        <v>-0.1106803497</v>
      </c>
      <c r="CU100" s="15">
        <f t="shared" si="735"/>
        <v>-0.05717023315</v>
      </c>
      <c r="CV100" s="15">
        <f t="shared" si="735"/>
        <v>0.004373177843</v>
      </c>
      <c r="CW100" s="15">
        <f t="shared" si="735"/>
        <v>0.0624568668</v>
      </c>
      <c r="CX100" s="15">
        <f t="shared" si="735"/>
        <v>0.08612440191</v>
      </c>
      <c r="CY100" s="37">
        <f t="shared" si="735"/>
        <v>0.02273698607</v>
      </c>
      <c r="CZ100" s="15">
        <f t="shared" si="735"/>
        <v>0.2049457995</v>
      </c>
      <c r="DA100" s="15">
        <f t="shared" si="735"/>
        <v>0.3218432511</v>
      </c>
      <c r="DB100" s="15">
        <f t="shared" si="735"/>
        <v>0.2559272491</v>
      </c>
      <c r="DC100" s="15">
        <f t="shared" si="735"/>
        <v>0.3653241032</v>
      </c>
      <c r="DD100" s="37">
        <f t="shared" si="735"/>
        <v>0.2875888007</v>
      </c>
      <c r="DE100" s="15">
        <f t="shared" si="735"/>
        <v>0.04104582513</v>
      </c>
      <c r="DF100" s="15">
        <f t="shared" si="735"/>
        <v>0.009332967335</v>
      </c>
      <c r="DG100" s="40">
        <f t="shared" si="735"/>
        <v>0.04396172744</v>
      </c>
      <c r="DH100" s="15">
        <f t="shared" si="735"/>
        <v>-0.044480295</v>
      </c>
      <c r="DI100" s="37">
        <f t="shared" si="735"/>
        <v>0.01019083474</v>
      </c>
      <c r="DJ100" s="40">
        <f t="shared" si="735"/>
        <v>0.1177423711</v>
      </c>
      <c r="DK100" s="40">
        <f t="shared" si="735"/>
        <v>0.2023388632</v>
      </c>
      <c r="DL100" s="40">
        <f t="shared" si="735"/>
        <v>0.1218726777</v>
      </c>
      <c r="DM100" s="40">
        <f t="shared" si="735"/>
        <v>0.1907863</v>
      </c>
      <c r="DN100" s="37">
        <f t="shared" si="735"/>
        <v>0.1582599756</v>
      </c>
      <c r="DO100" s="40">
        <f t="shared" si="735"/>
        <v>0.05025368446</v>
      </c>
      <c r="DP100" s="40">
        <f t="shared" si="735"/>
        <v>-0.0787152228</v>
      </c>
      <c r="DQ100" s="40">
        <f t="shared" si="735"/>
        <v>0.1516891146</v>
      </c>
      <c r="DR100" s="40">
        <f t="shared" si="735"/>
        <v>0.08628721896</v>
      </c>
      <c r="DS100" s="37">
        <f t="shared" si="735"/>
        <v>0.05397758793</v>
      </c>
      <c r="DT100" s="40">
        <f t="shared" si="735"/>
        <v>0.09546813895</v>
      </c>
      <c r="DU100" s="40">
        <f t="shared" si="735"/>
        <v>0.5119076848</v>
      </c>
      <c r="DV100" s="40">
        <f t="shared" si="735"/>
        <v>0.04850460123</v>
      </c>
      <c r="DW100" s="40">
        <f t="shared" si="735"/>
        <v>0.04922617938</v>
      </c>
      <c r="DX100" s="37">
        <f t="shared" si="735"/>
        <v>0.1587978315</v>
      </c>
      <c r="DY100" s="40">
        <f t="shared" si="735"/>
        <v>0.2425451491</v>
      </c>
      <c r="DZ100" s="40">
        <f t="shared" si="735"/>
        <v>-0.09581032803</v>
      </c>
      <c r="EA100" s="40">
        <f t="shared" si="735"/>
        <v>0.003291278113</v>
      </c>
      <c r="EB100" s="40">
        <f t="shared" si="735"/>
        <v>0.1453705349</v>
      </c>
      <c r="EC100" s="37">
        <f t="shared" si="735"/>
        <v>0.06363553779</v>
      </c>
      <c r="ED100" s="40">
        <f t="shared" si="735"/>
        <v>-0.02636471185</v>
      </c>
      <c r="EE100" s="40">
        <f t="shared" si="735"/>
        <v>0.1828304598</v>
      </c>
      <c r="EF100" s="40">
        <f t="shared" si="735"/>
        <v>0.01166393293</v>
      </c>
      <c r="EG100" s="40">
        <f t="shared" si="735"/>
        <v>-0.1846392552</v>
      </c>
      <c r="EH100" s="37">
        <f t="shared" si="735"/>
        <v>-0.01127386087</v>
      </c>
      <c r="EI100" s="82" t="str">
        <f t="shared" si="735"/>
        <v>#ERROR!</v>
      </c>
      <c r="EJ100" s="15" t="str">
        <f t="shared" si="735"/>
        <v>#ERROR!</v>
      </c>
      <c r="EK100" s="15" t="str">
        <f t="shared" si="735"/>
        <v>#ERROR!</v>
      </c>
      <c r="EL100" s="15" t="str">
        <f t="shared" si="735"/>
        <v>#ERROR!</v>
      </c>
      <c r="EM100" s="37" t="str">
        <f t="shared" si="735"/>
        <v>#ERROR!</v>
      </c>
      <c r="EN100" s="15" t="str">
        <f t="shared" si="735"/>
        <v>#ERROR!</v>
      </c>
      <c r="EO100" s="15" t="str">
        <f t="shared" si="735"/>
        <v>#ERROR!</v>
      </c>
      <c r="EP100" s="15" t="str">
        <f t="shared" si="735"/>
        <v>#ERROR!</v>
      </c>
      <c r="EQ100" s="15" t="str">
        <f t="shared" si="735"/>
        <v>#ERROR!</v>
      </c>
      <c r="ER100" s="37" t="str">
        <f t="shared" si="735"/>
        <v>#ERROR!</v>
      </c>
      <c r="ES100" s="15" t="str">
        <f t="shared" si="735"/>
        <v>#ERROR!</v>
      </c>
      <c r="ET100" s="15" t="str">
        <f t="shared" si="735"/>
        <v>#ERROR!</v>
      </c>
      <c r="EU100" s="15" t="str">
        <f t="shared" si="735"/>
        <v>#ERROR!</v>
      </c>
      <c r="EV100" s="15" t="str">
        <f t="shared" si="735"/>
        <v>#ERROR!</v>
      </c>
      <c r="EW100" s="37" t="str">
        <f t="shared" si="735"/>
        <v>#ERROR!</v>
      </c>
      <c r="EX100" s="15" t="str">
        <f t="shared" si="735"/>
        <v>#ERROR!</v>
      </c>
      <c r="EY100" s="15" t="str">
        <f t="shared" si="735"/>
        <v>#ERROR!</v>
      </c>
      <c r="EZ100" s="15" t="str">
        <f t="shared" si="735"/>
        <v>#ERROR!</v>
      </c>
      <c r="FA100" s="15" t="str">
        <f t="shared" si="735"/>
        <v>#ERROR!</v>
      </c>
      <c r="FB100" s="37" t="str">
        <f t="shared" si="735"/>
        <v>#ERROR!</v>
      </c>
      <c r="FC100" s="15" t="str">
        <f t="shared" si="735"/>
        <v>#ERROR!</v>
      </c>
      <c r="FD100" s="15" t="str">
        <f t="shared" si="735"/>
        <v>#ERROR!</v>
      </c>
      <c r="FE100" s="15" t="str">
        <f t="shared" si="735"/>
        <v>#ERROR!</v>
      </c>
      <c r="FF100" s="15" t="str">
        <f t="shared" si="735"/>
        <v>#ERROR!</v>
      </c>
      <c r="FG100" s="37" t="str">
        <f t="shared" si="735"/>
        <v>#ERROR!</v>
      </c>
      <c r="FH100" s="35"/>
      <c r="FI100" s="15"/>
      <c r="FJ100" s="15"/>
      <c r="FK100" s="309"/>
      <c r="FL100" s="15"/>
    </row>
    <row r="101" ht="12.75" customHeight="1">
      <c r="A101" s="4"/>
      <c r="B101" s="72" t="s">
        <v>120</v>
      </c>
      <c r="C101" s="45"/>
      <c r="D101" s="15"/>
      <c r="E101" s="15"/>
      <c r="F101" s="15"/>
      <c r="G101" s="15"/>
      <c r="H101" s="309"/>
      <c r="I101" s="15"/>
      <c r="J101" s="15"/>
      <c r="K101" s="15"/>
      <c r="L101" s="15"/>
      <c r="M101" s="309"/>
      <c r="N101" s="15"/>
      <c r="O101" s="15">
        <f t="shared" ref="O101:Q101" si="736">(O22-N22)/(O12-N12)</f>
        <v>4.756756757</v>
      </c>
      <c r="P101" s="15">
        <f t="shared" si="736"/>
        <v>0.8146766169</v>
      </c>
      <c r="Q101" s="15">
        <f t="shared" si="736"/>
        <v>1.045300113</v>
      </c>
      <c r="R101" s="309"/>
      <c r="S101" s="15">
        <f>(S22-Q22)/(S12-Q12)</f>
        <v>0.5264187867</v>
      </c>
      <c r="T101" s="15">
        <f t="shared" ref="T101:V101" si="737">(T22-S22)/(T12-S12)</f>
        <v>0.568627451</v>
      </c>
      <c r="U101" s="15">
        <f t="shared" si="737"/>
        <v>0.5085910653</v>
      </c>
      <c r="V101" s="15">
        <f t="shared" si="737"/>
        <v>0.8303167421</v>
      </c>
      <c r="W101" s="309">
        <f>(W22-R22)/(W12-R12)</f>
        <v>1.080872914</v>
      </c>
      <c r="X101" s="15">
        <f>(X22-V22)/(X12-V12)</f>
        <v>0.1461187215</v>
      </c>
      <c r="Y101" s="15">
        <f t="shared" ref="Y101:AA101" si="738">(Y22-X22)/(Y12-X12)</f>
        <v>0.04234527687</v>
      </c>
      <c r="Z101" s="15">
        <f t="shared" si="738"/>
        <v>1.313225058</v>
      </c>
      <c r="AA101" s="15">
        <f t="shared" si="738"/>
        <v>3.827586207</v>
      </c>
      <c r="AB101" s="309">
        <f>(AB22-W22)/(AB12-W12)</f>
        <v>0.8123126585</v>
      </c>
      <c r="AC101" s="15">
        <f>(AC22-AA22)/(AC12-AA12)</f>
        <v>0.9975308642</v>
      </c>
      <c r="AD101" s="15">
        <f t="shared" ref="AD101:AF101" si="739">(AD22-AC22)/(AD12-AC12)</f>
        <v>1.239067055</v>
      </c>
      <c r="AE101" s="15">
        <f t="shared" si="739"/>
        <v>-0.1658767773</v>
      </c>
      <c r="AF101" s="15">
        <f t="shared" si="739"/>
        <v>1.344748858</v>
      </c>
      <c r="AG101" s="309">
        <f>(AG22-AB22)/(AG12-AB12)</f>
        <v>1.116460275</v>
      </c>
      <c r="AH101" s="15">
        <f>(AH22-AF22)/(AH12-AF12)</f>
        <v>0.5</v>
      </c>
      <c r="AI101" s="15">
        <f t="shared" ref="AI101:AK101" si="740">(AI22-AH22)/(AI12-AH12)</f>
        <v>1.106060606</v>
      </c>
      <c r="AJ101" s="15">
        <f t="shared" si="740"/>
        <v>1.102702703</v>
      </c>
      <c r="AK101" s="15">
        <f t="shared" si="740"/>
        <v>0.7972560976</v>
      </c>
      <c r="AL101" s="309">
        <f>(AL22-AG22)/(AL12-AG12)</f>
        <v>1.182222222</v>
      </c>
      <c r="AM101" s="15">
        <f>(AM22-AK22)/(AM12-AK12)</f>
        <v>0.4498777506</v>
      </c>
      <c r="AN101" s="15">
        <f t="shared" ref="AN101:AP101" si="741">(AN22-AM22)/(AN12-AM12)</f>
        <v>-0.6769230769</v>
      </c>
      <c r="AO101" s="15">
        <f t="shared" si="741"/>
        <v>1.071779744</v>
      </c>
      <c r="AP101" s="15">
        <f t="shared" si="741"/>
        <v>1.099118943</v>
      </c>
      <c r="AQ101" s="309">
        <f>(AQ22-AL22)/(AQ12-AL12)</f>
        <v>1.118152206</v>
      </c>
      <c r="AR101" s="15">
        <f>(AR22-AP22)/(AR12-AP12)</f>
        <v>1.055384615</v>
      </c>
      <c r="AS101" s="15">
        <f t="shared" ref="AS101:AU101" si="742">(AS22-AR22)/(AS12-AR12)</f>
        <v>2.142857143</v>
      </c>
      <c r="AT101" s="15">
        <f t="shared" si="742"/>
        <v>-0.144549763</v>
      </c>
      <c r="AU101" s="15">
        <f t="shared" si="742"/>
        <v>0.5838509317</v>
      </c>
      <c r="AV101" s="309">
        <f>(AV22-AQ22)/(AV12-AQ12)</f>
        <v>0.6519174041</v>
      </c>
      <c r="AW101" s="15">
        <f>(AW22-AU22)/(AW12-AU12)</f>
        <v>-1.347560976</v>
      </c>
      <c r="AX101" s="15">
        <f t="shared" ref="AX101:AZ101" si="743">(AX22-AW22)/(AX12-AW12)</f>
        <v>1.945812808</v>
      </c>
      <c r="AY101" s="15">
        <f t="shared" si="743"/>
        <v>1.21399177</v>
      </c>
      <c r="AZ101" s="15">
        <f t="shared" si="743"/>
        <v>0.8796680498</v>
      </c>
      <c r="BA101" s="309">
        <f>(BA22-AV22)/(BA12-AV12)</f>
        <v>0.7457223305</v>
      </c>
      <c r="BB101" s="15">
        <f>(BB22-AZ22)/(BB12-AZ12)</f>
        <v>1.076130056</v>
      </c>
      <c r="BC101" s="15">
        <f t="shared" ref="BC101:BE101" si="744">(BC22-BB22)/(BC12-BB12)</f>
        <v>0.8292158969</v>
      </c>
      <c r="BD101" s="15">
        <f t="shared" si="744"/>
        <v>0.1684931507</v>
      </c>
      <c r="BE101" s="15">
        <f t="shared" si="744"/>
        <v>0.5403141361</v>
      </c>
      <c r="BF101" s="309">
        <f>(BF22-BA22)/(BF12-BA12)</f>
        <v>1.443379791</v>
      </c>
      <c r="BG101" s="15">
        <f>(BG22-BE22)/(BG12-BE12)</f>
        <v>0.4489311164</v>
      </c>
      <c r="BH101" s="15">
        <f t="shared" ref="BH101:BJ101" si="745">(BH22-BG22)/(BH12-BG12)</f>
        <v>2.075581395</v>
      </c>
      <c r="BI101" s="15">
        <f t="shared" si="745"/>
        <v>0.8574468085</v>
      </c>
      <c r="BJ101" s="15">
        <f t="shared" si="745"/>
        <v>1.514469453</v>
      </c>
      <c r="BK101" s="309">
        <f>(BK22-BF22)/(BK12-BF12)</f>
        <v>0.6094173442</v>
      </c>
      <c r="BL101" s="15">
        <f>(BL22-BJ22)/(BL12-BJ12)</f>
        <v>0.9807507218</v>
      </c>
      <c r="BM101" s="15">
        <f t="shared" ref="BM101:BO101" si="746">(BM22-BL22)/(BM12-BL12)</f>
        <v>-0.2068965517</v>
      </c>
      <c r="BN101" s="15">
        <f t="shared" si="746"/>
        <v>1.030789826</v>
      </c>
      <c r="BO101" s="15">
        <f t="shared" si="746"/>
        <v>0.8287292818</v>
      </c>
      <c r="BP101" s="309">
        <f>(BP22-BK22)/(BP12-BK12)</f>
        <v>-1.105614973</v>
      </c>
      <c r="BQ101" s="15">
        <f>(BQ22-BO22)/(BQ12-BO12)</f>
        <v>1.046253469</v>
      </c>
      <c r="BR101" s="15">
        <f t="shared" ref="BR101:BT101" si="747">(BR22-BQ22)/(BR12-BQ12)</f>
        <v>0.9567690557</v>
      </c>
      <c r="BS101" s="15">
        <f t="shared" si="747"/>
        <v>0.9706959707</v>
      </c>
      <c r="BT101" s="15">
        <f t="shared" si="747"/>
        <v>1.216949153</v>
      </c>
      <c r="BU101" s="309">
        <f>(BU22-BP22)/(BU12-BP12)</f>
        <v>0.5217568117</v>
      </c>
      <c r="BV101" s="15">
        <f>(BV22-BT22)/(BV12-BT12)</f>
        <v>1.151851852</v>
      </c>
      <c r="BW101" s="15">
        <f t="shared" ref="BW101:BY101" si="748">(BW22-BV22)/(BW12-BV12)</f>
        <v>1.515021459</v>
      </c>
      <c r="BX101" s="15">
        <f t="shared" si="748"/>
        <v>0.2551928783</v>
      </c>
      <c r="BY101" s="15">
        <f t="shared" si="748"/>
        <v>0.2394366197</v>
      </c>
      <c r="BZ101" s="37">
        <f>(BZ22-BU22)/(BZ12-BU12)</f>
        <v>1.051082863</v>
      </c>
      <c r="CA101" s="15">
        <f>(CA22-BY22)/(CA12-BY12)</f>
        <v>0.3446043165</v>
      </c>
      <c r="CB101" s="15">
        <f t="shared" ref="CB101:CD101" si="749">(CB22-CA22)/(CB12-CA12)</f>
        <v>0.09189189189</v>
      </c>
      <c r="CC101" s="15">
        <f t="shared" si="749"/>
        <v>0.9292256453</v>
      </c>
      <c r="CD101" s="15">
        <f t="shared" si="749"/>
        <v>0.1907514451</v>
      </c>
      <c r="CE101" s="37">
        <f>(CE22-BZ22)/(CE12-BZ12)</f>
        <v>0.5075173477</v>
      </c>
      <c r="CF101" s="15">
        <f t="shared" ref="CF101:CI101" si="750">(CF22-CE22)/(CF12-CE12)</f>
        <v>0.6203489645</v>
      </c>
      <c r="CG101" s="15">
        <f t="shared" si="750"/>
        <v>0.4857142857</v>
      </c>
      <c r="CH101" s="15">
        <f t="shared" si="750"/>
        <v>0.8863636364</v>
      </c>
      <c r="CI101" s="15">
        <f t="shared" si="750"/>
        <v>-34.9</v>
      </c>
      <c r="CJ101" s="37">
        <f>(CJ22-CE22)/(CJ12-CE12)</f>
        <v>0.9209726444</v>
      </c>
      <c r="CK101" s="15">
        <f t="shared" ref="CK101:CN101" si="751">(CK22-CJ22)/(CK12-CJ12)</f>
        <v>0.6399499522</v>
      </c>
      <c r="CL101" s="15">
        <f t="shared" si="751"/>
        <v>1.748917749</v>
      </c>
      <c r="CM101" s="15">
        <f t="shared" si="751"/>
        <v>1.404761905</v>
      </c>
      <c r="CN101" s="15">
        <f t="shared" si="751"/>
        <v>0.4472934473</v>
      </c>
      <c r="CO101" s="37" t="s">
        <v>121</v>
      </c>
      <c r="CP101" s="15">
        <f t="shared" ref="CP101:CS101" si="752">(CP22-CO22)/(CP12-CO12)</f>
        <v>0.5982124975</v>
      </c>
      <c r="CQ101" s="15">
        <f t="shared" si="752"/>
        <v>1.209934396</v>
      </c>
      <c r="CR101" s="15">
        <f t="shared" si="752"/>
        <v>0.7482710927</v>
      </c>
      <c r="CS101" s="15">
        <f t="shared" si="752"/>
        <v>0.9760479042</v>
      </c>
      <c r="CT101" s="37">
        <f>(CT22-CO22)/(CT12-CO12)</f>
        <v>1.296963947</v>
      </c>
      <c r="CU101" s="15">
        <f>(CU22-CS22)/(CU12-CS12)</f>
        <v>0.974742268</v>
      </c>
      <c r="CV101" s="15">
        <f t="shared" ref="CV101:CX101" si="753">(CV22-CU22)/(CV12-CU12)</f>
        <v>1.251207729</v>
      </c>
      <c r="CW101" s="15">
        <f t="shared" si="753"/>
        <v>0.6795275591</v>
      </c>
      <c r="CX101" s="15">
        <f t="shared" si="753"/>
        <v>1.066815145</v>
      </c>
      <c r="CY101" s="310">
        <f>(CY22-CT22)/(CY12-CT12)</f>
        <v>1.831067961</v>
      </c>
      <c r="CZ101" s="15">
        <f>(CZ22-CX22)/(CZ12-CX12)</f>
        <v>1.311769991</v>
      </c>
      <c r="DA101" s="15">
        <f t="shared" ref="DA101:DC101" si="754">(DA22-CZ22)/(DA12-CZ12)</f>
        <v>0.5858208955</v>
      </c>
      <c r="DB101" s="15">
        <f t="shared" si="754"/>
        <v>0.8953229399</v>
      </c>
      <c r="DC101" s="15">
        <f t="shared" si="754"/>
        <v>0.2046979866</v>
      </c>
      <c r="DD101" s="37">
        <f>(DD22-CY22)/(DD12-CY12)</f>
        <v>0.3660130719</v>
      </c>
      <c r="DE101" s="15">
        <f>(DE22-DC22)/(DE12-DC12)</f>
        <v>0.6070975919</v>
      </c>
      <c r="DF101" s="15">
        <f t="shared" ref="DF101:DH101" si="755">(DF22-DE22)/(DF12-DE12)</f>
        <v>1.484848485</v>
      </c>
      <c r="DG101" s="40">
        <f t="shared" si="755"/>
        <v>0.6919191919</v>
      </c>
      <c r="DH101" s="15">
        <f t="shared" si="755"/>
        <v>0.7853982301</v>
      </c>
      <c r="DI101" s="37">
        <f>(DI22-DD22)/(DI12-DD12)</f>
        <v>0.878778626</v>
      </c>
      <c r="DJ101" s="15">
        <f>(DJ22-DH22)/(DJ12-DH12)</f>
        <v>1.04964539</v>
      </c>
      <c r="DK101" s="40">
        <f t="shared" ref="DK101:DM101" si="756">(DK22-DJ22)/(DK12-DJ12)</f>
        <v>0.7678571429</v>
      </c>
      <c r="DL101" s="40">
        <f t="shared" si="756"/>
        <v>0.8818718764</v>
      </c>
      <c r="DM101" s="40">
        <f t="shared" si="756"/>
        <v>2.239130435</v>
      </c>
      <c r="DN101" s="37">
        <f>(DN22-DI22)/(DN12-DI12)</f>
        <v>0.5772227031</v>
      </c>
      <c r="DO101" s="15">
        <f>(DO22-DM22)/(DO12-DM12)</f>
        <v>0.8235747304</v>
      </c>
      <c r="DP101" s="40">
        <f t="shared" ref="DP101:DR101" si="757">(DP22-DO22)/(DP12-DO12)</f>
        <v>1.777027027</v>
      </c>
      <c r="DQ101" s="40">
        <f t="shared" si="757"/>
        <v>0.5277467412</v>
      </c>
      <c r="DR101" s="40">
        <f t="shared" si="757"/>
        <v>0.5721295388</v>
      </c>
      <c r="DS101" s="37">
        <f>(DS22-DN22)/(DS12-DN12)</f>
        <v>-1.429722471</v>
      </c>
      <c r="DT101" s="15">
        <f>(DT22-DR22)/(DT12-DR12)</f>
        <v>-0.3622047244</v>
      </c>
      <c r="DU101" s="15">
        <f t="shared" ref="DU101:DW101" si="758">(DU22-DT22)/(DU12-DT12)</f>
        <v>15.09</v>
      </c>
      <c r="DV101" s="15">
        <f t="shared" si="758"/>
        <v>0.5491039427</v>
      </c>
      <c r="DW101" s="15">
        <f t="shared" si="758"/>
        <v>0.976899696</v>
      </c>
      <c r="DX101" s="37">
        <f>(DX22-DS22)/(DX12-DS12)</f>
        <v>0.2494069807</v>
      </c>
      <c r="DY101" s="15">
        <f>(DY22-DW22)/(DY12-DW12)</f>
        <v>0.3498583569</v>
      </c>
      <c r="DZ101" s="15">
        <f t="shared" ref="DZ101:EB101" si="759">(DZ22-DY22)/(DZ12-DY12)</f>
        <v>-10.66666667</v>
      </c>
      <c r="EA101" s="15">
        <f t="shared" si="759"/>
        <v>1.031390135</v>
      </c>
      <c r="EB101" s="15">
        <f t="shared" si="759"/>
        <v>0.1820069204</v>
      </c>
      <c r="EC101" s="37">
        <f>(EC22-DX22)/(EC12-DX12)</f>
        <v>-0.0644649095</v>
      </c>
      <c r="ED101" s="15">
        <f>(ED22-EB22)/(ED12-EB12)</f>
        <v>1.497031383</v>
      </c>
      <c r="EE101" s="15">
        <f t="shared" ref="EE101:EG101" si="760">(EE22-ED22)/(EE12-ED12)</f>
        <v>1.206134565</v>
      </c>
      <c r="EF101" s="15">
        <f t="shared" si="760"/>
        <v>55.76470588</v>
      </c>
      <c r="EG101" s="15">
        <f t="shared" si="760"/>
        <v>0.7986111111</v>
      </c>
      <c r="EH101" s="37">
        <f>(EH22-EC22)/(EH12-EC12)</f>
        <v>1.453103567</v>
      </c>
      <c r="EI101" s="82" t="str">
        <f>(EI22-EG22)/(EI12-EG12)</f>
        <v>#ERROR!</v>
      </c>
      <c r="EJ101" s="40" t="str">
        <f t="shared" ref="EJ101:EL101" si="761">(EJ22-EI22)/(EJ12-EI12)</f>
        <v>#ERROR!</v>
      </c>
      <c r="EK101" s="40" t="str">
        <f t="shared" si="761"/>
        <v>#ERROR!</v>
      </c>
      <c r="EL101" s="40" t="str">
        <f t="shared" si="761"/>
        <v>#ERROR!</v>
      </c>
      <c r="EM101" s="37" t="str">
        <f>(EM22-EH22)/(EM12-EH12)</f>
        <v>#ERROR!</v>
      </c>
      <c r="EN101" s="15" t="str">
        <f>(EN22-EL22)/(EN12-EL12)</f>
        <v>#ERROR!</v>
      </c>
      <c r="EO101" s="40" t="str">
        <f t="shared" ref="EO101:EQ101" si="762">(EO22-EN22)/(EO12-EN12)</f>
        <v>#ERROR!</v>
      </c>
      <c r="EP101" s="40" t="str">
        <f t="shared" si="762"/>
        <v>#ERROR!</v>
      </c>
      <c r="EQ101" s="40" t="str">
        <f t="shared" si="762"/>
        <v>#ERROR!</v>
      </c>
      <c r="ER101" s="37" t="str">
        <f>(ER22-EM22)/(ER12-EM12)</f>
        <v>#ERROR!</v>
      </c>
      <c r="ES101" s="15" t="str">
        <f>(ES22-EQ22)/(ES12-EQ12)</f>
        <v>#ERROR!</v>
      </c>
      <c r="ET101" s="40" t="str">
        <f t="shared" ref="ET101:EV101" si="763">(ET22-ES22)/(ET12-ES12)</f>
        <v>#ERROR!</v>
      </c>
      <c r="EU101" s="40" t="str">
        <f t="shared" si="763"/>
        <v>#ERROR!</v>
      </c>
      <c r="EV101" s="40" t="str">
        <f t="shared" si="763"/>
        <v>#ERROR!</v>
      </c>
      <c r="EW101" s="37" t="str">
        <f>(EW22-ER22)/(EW12-ER12)</f>
        <v>#ERROR!</v>
      </c>
      <c r="EX101" s="15" t="str">
        <f>(EX22-EV22)/(EX12-EV12)</f>
        <v>#ERROR!</v>
      </c>
      <c r="EY101" s="40" t="str">
        <f t="shared" ref="EY101:FA101" si="764">(EY22-EX22)/(EY12-EX12)</f>
        <v>#ERROR!</v>
      </c>
      <c r="EZ101" s="40" t="str">
        <f t="shared" si="764"/>
        <v>#ERROR!</v>
      </c>
      <c r="FA101" s="40" t="str">
        <f t="shared" si="764"/>
        <v>#ERROR!</v>
      </c>
      <c r="FB101" s="37" t="str">
        <f>(FB22-EW22)/(FB12-EW12)</f>
        <v>#ERROR!</v>
      </c>
      <c r="FC101" s="15" t="str">
        <f>(FC22-FA22)/(FC12-FA12)</f>
        <v>#ERROR!</v>
      </c>
      <c r="FD101" s="40" t="str">
        <f t="shared" ref="FD101:FF101" si="765">(FD22-FC22)/(FD12-FC12)</f>
        <v>#ERROR!</v>
      </c>
      <c r="FE101" s="40" t="str">
        <f t="shared" si="765"/>
        <v>#ERROR!</v>
      </c>
      <c r="FF101" s="40" t="str">
        <f t="shared" si="765"/>
        <v>#ERROR!</v>
      </c>
      <c r="FG101" s="37" t="str">
        <f>(FG22-FB22)/(FG12-FB12)</f>
        <v>#ERROR!</v>
      </c>
      <c r="FH101" s="35"/>
      <c r="FI101" s="15"/>
      <c r="FJ101" s="15"/>
      <c r="FK101" s="309"/>
      <c r="FL101" s="15"/>
    </row>
    <row r="102" ht="12.75" customHeight="1">
      <c r="A102" s="4"/>
      <c r="B102" s="72" t="str">
        <f>B22</f>
        <v>Gross profits</v>
      </c>
      <c r="C102" s="72"/>
      <c r="D102" s="15"/>
      <c r="E102" s="15"/>
      <c r="F102" s="15"/>
      <c r="G102" s="15"/>
      <c r="H102" s="309"/>
      <c r="I102" s="15"/>
      <c r="J102" s="15"/>
      <c r="K102" s="15"/>
      <c r="L102" s="15"/>
      <c r="M102" s="309"/>
      <c r="N102" s="15">
        <f>grossProfit/Sales</f>
        <v>0.5419096817</v>
      </c>
      <c r="O102" s="15">
        <f>grossProfit/Sales</f>
        <v>0.4892863169</v>
      </c>
      <c r="P102" s="15">
        <f>grossProfit/Sales</f>
        <v>0.5281533205</v>
      </c>
      <c r="Q102" s="15">
        <f>grossProfit/Sales</f>
        <v>0.5881271342</v>
      </c>
      <c r="R102" s="309">
        <f>grossProfit/Sales</f>
        <v>0.5399078902</v>
      </c>
      <c r="S102" s="15">
        <f>grossProfit/Sales</f>
        <v>0.5925665212</v>
      </c>
      <c r="T102" s="15">
        <f>grossProfit/Sales</f>
        <v>0.5938333827</v>
      </c>
      <c r="U102" s="15">
        <f>grossProfit/Sales</f>
        <v>0.5870633188</v>
      </c>
      <c r="V102" s="15">
        <f>grossProfit/Sales</f>
        <v>0.613248904</v>
      </c>
      <c r="W102" s="309">
        <f>grossProfit/Sales</f>
        <v>0.5972642826</v>
      </c>
      <c r="X102" s="15">
        <f>grossProfit/Sales</f>
        <v>0.6260477918</v>
      </c>
      <c r="Y102" s="15">
        <f>grossProfit/Sales</f>
        <v>0.6044578313</v>
      </c>
      <c r="Z102" s="15">
        <f>grossProfit/Sales</f>
        <v>0.6394456534</v>
      </c>
      <c r="AA102" s="15">
        <f>grossProfit/Sales</f>
        <v>0.6288209607</v>
      </c>
      <c r="AB102" s="309">
        <f>grossProfit/Sales</f>
        <v>0.6249184605</v>
      </c>
      <c r="AC102" s="15">
        <f>grossProfit/Sales</f>
        <v>0.5169986521</v>
      </c>
      <c r="AD102" s="15">
        <f>grossProfit/Sales</f>
        <v>0.4778970635</v>
      </c>
      <c r="AE102" s="15">
        <f>grossProfit/Sales</f>
        <v>0.4571428571</v>
      </c>
      <c r="AF102" s="15">
        <f>grossProfit/Sales</f>
        <v>0.5128168409</v>
      </c>
      <c r="AG102" s="309">
        <f>grossProfit/Sales</f>
        <v>0.4918045141</v>
      </c>
      <c r="AH102" s="15">
        <f>grossProfit/Sales</f>
        <v>0.5131986433</v>
      </c>
      <c r="AI102" s="15">
        <f>grossProfit/Sales</f>
        <v>0.4698528248</v>
      </c>
      <c r="AJ102" s="15">
        <f>grossProfit/Sales</f>
        <v>0.4878536285</v>
      </c>
      <c r="AK102" s="15">
        <f>grossProfit/Sales</f>
        <v>0.5162011173</v>
      </c>
      <c r="AL102" s="309">
        <f>grossProfit/Sales</f>
        <v>0.4976087281</v>
      </c>
      <c r="AM102" s="15">
        <f>grossProfit/Sales</f>
        <v>0.5202192268</v>
      </c>
      <c r="AN102" s="15">
        <f t="shared" ref="AN102:AO102" si="766">AN22/AN12</f>
        <v>0.5088028169</v>
      </c>
      <c r="AO102" s="15">
        <f t="shared" si="766"/>
        <v>0.581897102</v>
      </c>
      <c r="AP102" s="15">
        <f>grossProfit/Sales</f>
        <v>0.6356252145</v>
      </c>
      <c r="AQ102" s="309">
        <f>grossProfit/Sales</f>
        <v>0.567134468</v>
      </c>
      <c r="AR102" s="15">
        <f>grossProfit/Sales</f>
        <v>0.6019033494</v>
      </c>
      <c r="AS102" s="15">
        <f>grossProfit/Sales</f>
        <v>0.5938625916</v>
      </c>
      <c r="AT102" s="15">
        <f>grossProfit/Sales</f>
        <v>0.5570770865</v>
      </c>
      <c r="AU102" s="15">
        <f>grossProfit/Sales</f>
        <v>0.5602208793</v>
      </c>
      <c r="AV102" s="309">
        <f>grossProfit/Sales</f>
        <v>0.577216522</v>
      </c>
      <c r="AW102" s="15">
        <f>grossProfit/Sales</f>
        <v>0.5933856265</v>
      </c>
      <c r="AX102" s="15">
        <f>grossProfit/Sales</f>
        <v>0.5636442422</v>
      </c>
      <c r="AY102" s="15">
        <f>grossProfit/Sales</f>
        <v>0.6112449799</v>
      </c>
      <c r="AZ102" s="15">
        <f>grossProfit/Sales</f>
        <v>0.6175865111</v>
      </c>
      <c r="BA102" s="309">
        <f>grossProfit/Sales</f>
        <v>0.5972544171</v>
      </c>
      <c r="BB102" s="15">
        <f>grossProfit/Sales</f>
        <v>0.5529082774</v>
      </c>
      <c r="BC102" s="15">
        <f>grossProfit/Sales</f>
        <v>0.5207891122</v>
      </c>
      <c r="BD102" s="15">
        <f>grossProfit/Sales</f>
        <v>0.4913605676</v>
      </c>
      <c r="BE102" s="15">
        <f>grossProfit/Sales</f>
        <v>0.4961832061</v>
      </c>
      <c r="BF102" s="309">
        <f>grossProfit/Sales</f>
        <v>0.5148945792</v>
      </c>
      <c r="BG102" s="15">
        <f>grossProfit/Sales</f>
        <v>0.5006778129</v>
      </c>
      <c r="BH102" s="15">
        <f>grossProfit/Sales</f>
        <v>0.4694700461</v>
      </c>
      <c r="BI102" s="15">
        <f>grossProfit/Sales</f>
        <v>0.5236868186</v>
      </c>
      <c r="BJ102" s="15">
        <f>grossProfit/Sales</f>
        <v>0.5812173264</v>
      </c>
      <c r="BK102" s="309">
        <f>grossProfit/Sales</f>
        <v>0.5221735274</v>
      </c>
      <c r="BL102" s="15">
        <f>grossProfit/Sales</f>
        <v>0.5383024915</v>
      </c>
      <c r="BM102" s="15">
        <f>grossProfit/Sales</f>
        <v>0.5542766631</v>
      </c>
      <c r="BN102" s="15">
        <f>grossProfit/Sales</f>
        <v>0.5891161789</v>
      </c>
      <c r="BO102" s="15">
        <f>grossProfit/Sales</f>
        <v>0.5311208364</v>
      </c>
      <c r="BP102" s="309">
        <f>grossProfit/Sales</f>
        <v>0.5545681903</v>
      </c>
      <c r="BQ102" s="15">
        <f>grossProfit/Sales</f>
        <v>0.4531840448</v>
      </c>
      <c r="BR102" s="15">
        <f>grossProfit/Sales</f>
        <v>0.5083499501</v>
      </c>
      <c r="BS102" s="15">
        <f>grossProfit/Sales</f>
        <v>0.5755671531</v>
      </c>
      <c r="BT102" s="15">
        <f>grossProfit/Sales</f>
        <v>0.6471757025</v>
      </c>
      <c r="BU102" s="309">
        <f>grossProfit/Sales</f>
        <v>0.5568650895</v>
      </c>
      <c r="BV102" s="15">
        <f>grossProfit/Sales</f>
        <v>0.6339450432</v>
      </c>
      <c r="BW102" s="15">
        <f>grossProfit/Sales</f>
        <v>0.6720854621</v>
      </c>
      <c r="BX102" s="15">
        <f>grossProfit/Sales</f>
        <v>0.6594307332</v>
      </c>
      <c r="BY102" s="15">
        <f>grossProfit/Sales</f>
        <v>0.6464170376</v>
      </c>
      <c r="BZ102" s="37">
        <f>grossProfit/Sales</f>
        <v>0.6531187676</v>
      </c>
      <c r="CA102" s="15">
        <f>grossProfit/Sales</f>
        <v>0.6137619678</v>
      </c>
      <c r="CB102" s="15">
        <f>grossProfit/Sales</f>
        <v>0.6063535912</v>
      </c>
      <c r="CC102" s="15">
        <f>grossProfit/Sales</f>
        <v>0.6335979765</v>
      </c>
      <c r="CD102" s="15">
        <f>grossProfit/Sales</f>
        <v>0.6446316699</v>
      </c>
      <c r="CE102" s="37">
        <f>grossProfit/Sales</f>
        <v>0.6251412063</v>
      </c>
      <c r="CF102" s="15">
        <f>grossProfit/Sales</f>
        <v>0.640399814</v>
      </c>
      <c r="CG102" s="15">
        <f>grossProfit/Sales</f>
        <v>0.6335826976</v>
      </c>
      <c r="CH102" s="15">
        <f>grossProfit/Sales</f>
        <v>0.6327561864</v>
      </c>
      <c r="CI102" s="15">
        <f>grossProfit/Sales</f>
        <v>0.5800252282</v>
      </c>
      <c r="CJ102" s="37">
        <f>grossProfit/Sales</f>
        <v>0.6214919105</v>
      </c>
      <c r="CK102" s="15">
        <f>grossProfit/Sales</f>
        <v>0.5616852146</v>
      </c>
      <c r="CL102" s="15">
        <f>grossProfit/Sales</f>
        <v>0.5830926547</v>
      </c>
      <c r="CM102" s="15">
        <f>grossProfit/Sales</f>
        <v>0.6240450938</v>
      </c>
      <c r="CN102" s="40">
        <f>grossProfit/Sales</f>
        <v>0.6195605031</v>
      </c>
      <c r="CO102" s="37">
        <f>grossProfit/Sales</f>
        <v>0.5980306595</v>
      </c>
      <c r="CP102" s="40">
        <f>grossProfit/Sales</f>
        <v>0.5974616108</v>
      </c>
      <c r="CQ102" s="15">
        <f>grossProfit/Sales</f>
        <v>0.6447111561</v>
      </c>
      <c r="CR102" s="15">
        <f>grossProfit/Sales</f>
        <v>0.6498557098</v>
      </c>
      <c r="CS102" s="15">
        <f>grossProfit/Sales</f>
        <v>0.6535561443</v>
      </c>
      <c r="CT102" s="37">
        <f>grossProfit/Sales</f>
        <v>0.6375872561</v>
      </c>
      <c r="CU102" s="15">
        <f>grossProfit/Sales</f>
        <v>0.6048040059</v>
      </c>
      <c r="CV102" s="15">
        <f>grossProfit/Sales</f>
        <v>0.6250852596</v>
      </c>
      <c r="CW102" s="15">
        <f>grossProfit/Sales</f>
        <v>0.6298651918</v>
      </c>
      <c r="CX102" s="15">
        <f>grossProfit/Sales</f>
        <v>0.6430199812</v>
      </c>
      <c r="CY102" s="37">
        <f>grossProfit/Sales</f>
        <v>0.6264836058</v>
      </c>
      <c r="CZ102" s="15">
        <f>grossProfit/Sales</f>
        <v>0.5890877473</v>
      </c>
      <c r="DA102" s="15">
        <f>grossProfit/Sales</f>
        <v>0.5891524422</v>
      </c>
      <c r="DB102" s="15">
        <f>grossProfit/Sales</f>
        <v>0.6327164406</v>
      </c>
      <c r="DC102" s="15">
        <f>grossProfit/Sales</f>
        <v>0.6171369244</v>
      </c>
      <c r="DD102" s="37">
        <f>grossProfit/Sales</f>
        <v>0.6083952527</v>
      </c>
      <c r="DE102" s="15">
        <f>grossProfit/Sales</f>
        <v>0.6182076237</v>
      </c>
      <c r="DF102" s="15">
        <f>grossProfit/Sales</f>
        <v>0.6162704057</v>
      </c>
      <c r="DG102" s="40">
        <f>grossProfit/Sales</f>
        <v>0.6227630194</v>
      </c>
      <c r="DH102" s="15">
        <f>grossProfit/Sales</f>
        <v>0.6313845071</v>
      </c>
      <c r="DI102" s="37">
        <f>grossProfit/Sales</f>
        <v>0.6225044215</v>
      </c>
      <c r="DJ102" s="40">
        <f>grossProfit/Sales</f>
        <v>0.6056890327</v>
      </c>
      <c r="DK102" s="40">
        <f>grossProfit/Sales</f>
        <v>0.6142553944</v>
      </c>
      <c r="DL102" s="40">
        <f>grossProfit/Sales</f>
        <v>0.6449929552</v>
      </c>
      <c r="DM102" s="40">
        <f>grossProfit/Sales</f>
        <v>0.6017580533</v>
      </c>
      <c r="DN102" s="37">
        <f>grossProfit/Sales</f>
        <v>0.6173357046</v>
      </c>
      <c r="DO102" s="40">
        <f>grossProfit/Sales</f>
        <v>0.5659049872</v>
      </c>
      <c r="DP102" s="40">
        <f>grossProfit/Sales</f>
        <v>0.5984853075</v>
      </c>
      <c r="DQ102" s="40">
        <f>grossProfit/Sales</f>
        <v>0.5885878061</v>
      </c>
      <c r="DR102" s="40">
        <f>grossProfit/Sales</f>
        <v>0.5877579296</v>
      </c>
      <c r="DS102" s="37">
        <f>grossProfit/Sales</f>
        <v>0.5855624262</v>
      </c>
      <c r="DT102" s="40">
        <f>grossProfit/Sales</f>
        <v>0.6060117006</v>
      </c>
      <c r="DU102" s="40">
        <f>grossProfit/Sales</f>
        <v>0.5325932685</v>
      </c>
      <c r="DV102" s="40">
        <f>grossProfit/Sales</f>
        <v>0.5313369334</v>
      </c>
      <c r="DW102" s="40">
        <f>grossProfit/Sales</f>
        <v>0.5680248273</v>
      </c>
      <c r="DX102" s="37">
        <f>grossProfit/Sales</f>
        <v>0.5600832188</v>
      </c>
      <c r="DY102" s="40">
        <f>grossProfit/Sales</f>
        <v>0.5846170419</v>
      </c>
      <c r="DZ102" s="40">
        <f>grossProfit/Sales</f>
        <v>0.6046511628</v>
      </c>
      <c r="EA102" s="40">
        <f>grossProfit/Sales</f>
        <v>0.5941283795</v>
      </c>
      <c r="EB102" s="40">
        <f>grossProfit/Sales</f>
        <v>0.5636391563</v>
      </c>
      <c r="EC102" s="37">
        <f>grossProfit/Sales</f>
        <v>0.5864048824</v>
      </c>
      <c r="ED102" s="40">
        <f>grossProfit/Sales</f>
        <v>0.5036778728</v>
      </c>
      <c r="EE102" s="40">
        <f>grossProfit/Sales</f>
        <v>0.364662881</v>
      </c>
      <c r="EF102" s="40">
        <f>grossProfit/Sales</f>
        <v>0.4260659799</v>
      </c>
      <c r="EG102" s="40">
        <f>grossProfit/Sales</f>
        <v>0.3916820966</v>
      </c>
      <c r="EH102" s="37">
        <f>grossProfit/Sales</f>
        <v>0.4260792337</v>
      </c>
      <c r="EI102" s="82" t="str">
        <f>grossProfit/Sales</f>
        <v>#ERROR!</v>
      </c>
      <c r="EJ102" s="15" t="str">
        <f>grossProfit/Sales</f>
        <v>#ERROR!</v>
      </c>
      <c r="EK102" s="15" t="str">
        <f>grossProfit/Sales</f>
        <v>#ERROR!</v>
      </c>
      <c r="EL102" s="15" t="str">
        <f>grossProfit/Sales</f>
        <v>#ERROR!</v>
      </c>
      <c r="EM102" s="37" t="str">
        <f>grossProfit/Sales</f>
        <v>#ERROR!</v>
      </c>
      <c r="EN102" s="15" t="str">
        <f>grossProfit/Sales</f>
        <v>#ERROR!</v>
      </c>
      <c r="EO102" s="15" t="str">
        <f>grossProfit/Sales</f>
        <v>#ERROR!</v>
      </c>
      <c r="EP102" s="15" t="str">
        <f>grossProfit/Sales</f>
        <v>#ERROR!</v>
      </c>
      <c r="EQ102" s="15" t="str">
        <f>grossProfit/Sales</f>
        <v>#ERROR!</v>
      </c>
      <c r="ER102" s="37" t="str">
        <f>grossProfit/Sales</f>
        <v>#ERROR!</v>
      </c>
      <c r="ES102" s="15" t="str">
        <f>grossProfit/Sales</f>
        <v>#ERROR!</v>
      </c>
      <c r="ET102" s="15" t="str">
        <f>grossProfit/Sales</f>
        <v>#ERROR!</v>
      </c>
      <c r="EU102" s="15" t="str">
        <f>grossProfit/Sales</f>
        <v>#ERROR!</v>
      </c>
      <c r="EV102" s="15" t="str">
        <f>grossProfit/Sales</f>
        <v>#ERROR!</v>
      </c>
      <c r="EW102" s="37" t="str">
        <f>grossProfit/Sales</f>
        <v>#ERROR!</v>
      </c>
      <c r="EX102" s="15" t="str">
        <f>grossProfit/Sales</f>
        <v>#ERROR!</v>
      </c>
      <c r="EY102" s="15" t="str">
        <f>grossProfit/Sales</f>
        <v>#ERROR!</v>
      </c>
      <c r="EZ102" s="15" t="str">
        <f>grossProfit/Sales</f>
        <v>#ERROR!</v>
      </c>
      <c r="FA102" s="15" t="str">
        <f>grossProfit/Sales</f>
        <v>#ERROR!</v>
      </c>
      <c r="FB102" s="37" t="str">
        <f>grossProfit/Sales</f>
        <v>#ERROR!</v>
      </c>
      <c r="FC102" s="15" t="str">
        <f>grossProfit/Sales</f>
        <v>#ERROR!</v>
      </c>
      <c r="FD102" s="15" t="str">
        <f>grossProfit/Sales</f>
        <v>#ERROR!</v>
      </c>
      <c r="FE102" s="15" t="str">
        <f>grossProfit/Sales</f>
        <v>#ERROR!</v>
      </c>
      <c r="FF102" s="15" t="str">
        <f>grossProfit/Sales</f>
        <v>#ERROR!</v>
      </c>
      <c r="FG102" s="37" t="str">
        <f>grossProfit/Sales</f>
        <v>#ERROR!</v>
      </c>
      <c r="FH102" s="35"/>
      <c r="FI102" s="15"/>
      <c r="FJ102" s="15"/>
      <c r="FK102" s="309"/>
      <c r="FL102" s="15"/>
    </row>
    <row r="103" ht="12.75" customHeight="1">
      <c r="A103" s="105"/>
      <c r="B103" s="159" t="s">
        <v>122</v>
      </c>
      <c r="C103" s="159"/>
      <c r="D103" s="311"/>
      <c r="E103" s="311"/>
      <c r="F103" s="311"/>
      <c r="G103" s="311"/>
      <c r="H103" s="312"/>
      <c r="I103" s="311"/>
      <c r="J103" s="311"/>
      <c r="K103" s="311"/>
      <c r="L103" s="311"/>
      <c r="M103" s="312"/>
      <c r="N103" s="311"/>
      <c r="O103" s="311"/>
      <c r="P103" s="311"/>
      <c r="Q103" s="311"/>
      <c r="R103" s="312"/>
      <c r="S103" s="311"/>
      <c r="T103" s="311"/>
      <c r="U103" s="311"/>
      <c r="V103" s="311"/>
      <c r="W103" s="312"/>
      <c r="X103" s="311"/>
      <c r="Y103" s="311"/>
      <c r="Z103" s="311"/>
      <c r="AA103" s="311"/>
      <c r="AB103" s="312"/>
      <c r="AC103" s="311"/>
      <c r="AD103" s="311"/>
      <c r="AE103" s="311"/>
      <c r="AF103" s="311"/>
      <c r="AG103" s="312"/>
      <c r="AH103" s="311"/>
      <c r="AI103" s="311"/>
      <c r="AJ103" s="311"/>
      <c r="AK103" s="311"/>
      <c r="AL103" s="312"/>
      <c r="AM103" s="311"/>
      <c r="AN103" s="311"/>
      <c r="AO103" s="311"/>
      <c r="AP103" s="311"/>
      <c r="AQ103" s="312"/>
      <c r="AR103" s="311"/>
      <c r="AS103" s="311"/>
      <c r="AT103" s="311"/>
      <c r="AU103" s="311"/>
      <c r="AV103" s="312"/>
      <c r="AW103" s="311"/>
      <c r="AX103" s="311"/>
      <c r="AY103" s="311"/>
      <c r="AZ103" s="311"/>
      <c r="BA103" s="312"/>
      <c r="BB103" s="311"/>
      <c r="BC103" s="311"/>
      <c r="BD103" s="311"/>
      <c r="BE103" s="311"/>
      <c r="BF103" s="312"/>
      <c r="BG103" s="311"/>
      <c r="BH103" s="311"/>
      <c r="BI103" s="311"/>
      <c r="BJ103" s="311"/>
      <c r="BK103" s="312"/>
      <c r="BL103" s="311"/>
      <c r="BM103" s="311"/>
      <c r="BN103" s="311"/>
      <c r="BO103" s="311"/>
      <c r="BP103" s="312"/>
      <c r="BQ103" s="311"/>
      <c r="BR103" s="311"/>
      <c r="BS103" s="311"/>
      <c r="BT103" s="311"/>
      <c r="BU103" s="312"/>
      <c r="BV103" s="311"/>
      <c r="BW103" s="311"/>
      <c r="BX103" s="311"/>
      <c r="BY103" s="311"/>
      <c r="BZ103" s="37"/>
      <c r="CA103" s="311"/>
      <c r="CB103" s="311"/>
      <c r="CC103" s="311"/>
      <c r="CD103" s="311"/>
      <c r="CE103" s="37"/>
      <c r="CF103" s="311"/>
      <c r="CG103" s="311"/>
      <c r="CH103" s="311"/>
      <c r="CI103" s="311"/>
      <c r="CJ103" s="37"/>
      <c r="CK103" s="311"/>
      <c r="CL103" s="311"/>
      <c r="CM103" s="311"/>
      <c r="CN103" s="311"/>
      <c r="CO103" s="37"/>
      <c r="CP103" s="311"/>
      <c r="CQ103" s="311"/>
      <c r="CR103" s="311"/>
      <c r="CS103" s="311"/>
      <c r="CT103" s="37"/>
      <c r="CU103" s="311">
        <f t="shared" ref="CU103:FG103" si="767">CU27/CU12</f>
        <v>0.6141929426</v>
      </c>
      <c r="CV103" s="311">
        <f t="shared" si="767"/>
        <v>0.6307692308</v>
      </c>
      <c r="CW103" s="311">
        <f t="shared" si="767"/>
        <v>0.6298651918</v>
      </c>
      <c r="CX103" s="311">
        <f t="shared" si="767"/>
        <v>0.6478476599</v>
      </c>
      <c r="CY103" s="313">
        <f t="shared" si="767"/>
        <v>0.6313070183</v>
      </c>
      <c r="CZ103" s="311">
        <f t="shared" si="767"/>
        <v>0.627128469</v>
      </c>
      <c r="DA103" s="311">
        <f t="shared" si="767"/>
        <v>0.6184142467</v>
      </c>
      <c r="DB103" s="311">
        <f t="shared" si="767"/>
        <v>0.647610597</v>
      </c>
      <c r="DC103" s="311">
        <f t="shared" si="767"/>
        <v>0.6313057286</v>
      </c>
      <c r="DD103" s="313">
        <f t="shared" si="767"/>
        <v>0.6317284739</v>
      </c>
      <c r="DE103" s="311">
        <f t="shared" si="767"/>
        <v>0.632333063</v>
      </c>
      <c r="DF103" s="311">
        <f t="shared" si="767"/>
        <v>0.6296823139</v>
      </c>
      <c r="DG103" s="311">
        <f t="shared" si="767"/>
        <v>0.6394823209</v>
      </c>
      <c r="DH103" s="311">
        <f t="shared" si="767"/>
        <v>0.6483903126</v>
      </c>
      <c r="DI103" s="313">
        <f t="shared" si="767"/>
        <v>0.6379120792</v>
      </c>
      <c r="DJ103" s="311">
        <f t="shared" si="767"/>
        <v>0.6228059256</v>
      </c>
      <c r="DK103" s="311">
        <f t="shared" si="767"/>
        <v>0.6304681052</v>
      </c>
      <c r="DL103" s="311">
        <f t="shared" si="767"/>
        <v>0.6593957105</v>
      </c>
      <c r="DM103" s="311">
        <f t="shared" si="767"/>
        <v>0.616712226</v>
      </c>
      <c r="DN103" s="313">
        <f t="shared" si="767"/>
        <v>0.6329324752</v>
      </c>
      <c r="DO103" s="311">
        <f t="shared" si="767"/>
        <v>0.5834007845</v>
      </c>
      <c r="DP103" s="311">
        <f t="shared" si="767"/>
        <v>0.6158739776</v>
      </c>
      <c r="DQ103" s="311">
        <f t="shared" si="767"/>
        <v>0.6035956227</v>
      </c>
      <c r="DR103" s="311">
        <f t="shared" si="767"/>
        <v>0.6010193478</v>
      </c>
      <c r="DS103" s="313">
        <f t="shared" si="767"/>
        <v>0.6011811297</v>
      </c>
      <c r="DT103" s="311">
        <f t="shared" si="767"/>
        <v>0.6205870486</v>
      </c>
      <c r="DU103" s="311">
        <f t="shared" si="767"/>
        <v>0.5479014599</v>
      </c>
      <c r="DV103" s="311">
        <f t="shared" si="767"/>
        <v>0.5482463318</v>
      </c>
      <c r="DW103" s="311">
        <f t="shared" si="767"/>
        <v>0.5835418961</v>
      </c>
      <c r="DX103" s="313">
        <f t="shared" si="767"/>
        <v>0.5756353783</v>
      </c>
      <c r="DY103" s="311">
        <f t="shared" si="767"/>
        <v>0.5843477324</v>
      </c>
      <c r="DZ103" s="311">
        <f t="shared" si="767"/>
        <v>0.5922408676</v>
      </c>
      <c r="EA103" s="311">
        <f t="shared" si="767"/>
        <v>0.5778736109</v>
      </c>
      <c r="EB103" s="311">
        <f t="shared" si="767"/>
        <v>0.554269916</v>
      </c>
      <c r="EC103" s="313">
        <f t="shared" si="767"/>
        <v>0.5768757194</v>
      </c>
      <c r="ED103" s="311">
        <f t="shared" si="767"/>
        <v>0.5309758623</v>
      </c>
      <c r="EE103" s="311">
        <f t="shared" si="767"/>
        <v>0.4482083415</v>
      </c>
      <c r="EF103" s="311">
        <f t="shared" si="767"/>
        <v>0.4587951493</v>
      </c>
      <c r="EG103" s="311">
        <f t="shared" si="767"/>
        <v>0.4376157243</v>
      </c>
      <c r="EH103" s="313">
        <f t="shared" si="767"/>
        <v>0.4725156215</v>
      </c>
      <c r="EI103" s="82" t="str">
        <f t="shared" si="767"/>
        <v>#ERROR!</v>
      </c>
      <c r="EJ103" s="311" t="str">
        <f t="shared" si="767"/>
        <v>#ERROR!</v>
      </c>
      <c r="EK103" s="311" t="str">
        <f t="shared" si="767"/>
        <v>#ERROR!</v>
      </c>
      <c r="EL103" s="311" t="str">
        <f t="shared" si="767"/>
        <v>#ERROR!</v>
      </c>
      <c r="EM103" s="313" t="str">
        <f t="shared" si="767"/>
        <v>#ERROR!</v>
      </c>
      <c r="EN103" s="311" t="str">
        <f t="shared" si="767"/>
        <v>#ERROR!</v>
      </c>
      <c r="EO103" s="311" t="str">
        <f t="shared" si="767"/>
        <v>#ERROR!</v>
      </c>
      <c r="EP103" s="311" t="str">
        <f t="shared" si="767"/>
        <v>#ERROR!</v>
      </c>
      <c r="EQ103" s="311" t="str">
        <f t="shared" si="767"/>
        <v>#ERROR!</v>
      </c>
      <c r="ER103" s="313" t="str">
        <f t="shared" si="767"/>
        <v>#ERROR!</v>
      </c>
      <c r="ES103" s="311" t="str">
        <f t="shared" si="767"/>
        <v>#ERROR!</v>
      </c>
      <c r="ET103" s="311" t="str">
        <f t="shared" si="767"/>
        <v>#ERROR!</v>
      </c>
      <c r="EU103" s="311" t="str">
        <f t="shared" si="767"/>
        <v>#ERROR!</v>
      </c>
      <c r="EV103" s="311" t="str">
        <f t="shared" si="767"/>
        <v>#ERROR!</v>
      </c>
      <c r="EW103" s="313" t="str">
        <f t="shared" si="767"/>
        <v>#ERROR!</v>
      </c>
      <c r="EX103" s="311" t="str">
        <f t="shared" si="767"/>
        <v>#ERROR!</v>
      </c>
      <c r="EY103" s="311" t="str">
        <f t="shared" si="767"/>
        <v>#ERROR!</v>
      </c>
      <c r="EZ103" s="311" t="str">
        <f t="shared" si="767"/>
        <v>#ERROR!</v>
      </c>
      <c r="FA103" s="311" t="str">
        <f t="shared" si="767"/>
        <v>#ERROR!</v>
      </c>
      <c r="FB103" s="313" t="str">
        <f t="shared" si="767"/>
        <v>#ERROR!</v>
      </c>
      <c r="FC103" s="311" t="str">
        <f t="shared" si="767"/>
        <v>#ERROR!</v>
      </c>
      <c r="FD103" s="311" t="str">
        <f t="shared" si="767"/>
        <v>#ERROR!</v>
      </c>
      <c r="FE103" s="311" t="str">
        <f t="shared" si="767"/>
        <v>#ERROR!</v>
      </c>
      <c r="FF103" s="311" t="str">
        <f t="shared" si="767"/>
        <v>#ERROR!</v>
      </c>
      <c r="FG103" s="313" t="str">
        <f t="shared" si="767"/>
        <v>#ERROR!</v>
      </c>
      <c r="FH103" s="40"/>
      <c r="FI103" s="311"/>
      <c r="FJ103" s="311"/>
      <c r="FK103" s="312"/>
      <c r="FL103" s="311"/>
    </row>
    <row r="104" ht="12.75" customHeight="1">
      <c r="A104" s="4"/>
      <c r="B104" s="72" t="str">
        <f t="shared" ref="B104:B105" si="768">B31</f>
        <v>   R&amp;D expenses</v>
      </c>
      <c r="C104" s="72"/>
      <c r="D104" s="15"/>
      <c r="E104" s="15"/>
      <c r="F104" s="15"/>
      <c r="G104" s="15"/>
      <c r="H104" s="309"/>
      <c r="I104" s="15"/>
      <c r="J104" s="15"/>
      <c r="K104" s="15"/>
      <c r="L104" s="15"/>
      <c r="M104" s="309"/>
      <c r="N104" s="15">
        <f>RD/Sales</f>
        <v>0.09915014164</v>
      </c>
      <c r="O104" s="15">
        <f>RD/Sales</f>
        <v>0.1051121984</v>
      </c>
      <c r="P104" s="15">
        <f>RD/Sales</f>
        <v>0.09166542861</v>
      </c>
      <c r="Q104" s="15">
        <f>RD/Sales</f>
        <v>0.08852114526</v>
      </c>
      <c r="R104" s="309">
        <f>RD/Sales</f>
        <v>0.09549727857</v>
      </c>
      <c r="S104" s="15">
        <f>RD/Sales</f>
        <v>0.0933408419</v>
      </c>
      <c r="T104" s="15">
        <f>RD/Sales</f>
        <v>0.1083605099</v>
      </c>
      <c r="U104" s="15">
        <f>RD/Sales</f>
        <v>0.114628821</v>
      </c>
      <c r="V104" s="15">
        <f>RD/Sales</f>
        <v>0.1067949342</v>
      </c>
      <c r="W104" s="309">
        <f>RD/Sales</f>
        <v>0.1058559325</v>
      </c>
      <c r="X104" s="15">
        <f>RD/Sales</f>
        <v>0.1189791067</v>
      </c>
      <c r="Y104" s="15">
        <f>RD/Sales</f>
        <v>0.1169879518</v>
      </c>
      <c r="Z104" s="15">
        <f>RD/Sales</f>
        <v>0.111900126</v>
      </c>
      <c r="AA104" s="15">
        <f>RD/Sales</f>
        <v>0.114686279</v>
      </c>
      <c r="AB104" s="309">
        <f>RD/Sales</f>
        <v>0.1155488347</v>
      </c>
      <c r="AC104" s="15">
        <f>RD/Sales</f>
        <v>0.1490190205</v>
      </c>
      <c r="AD104" s="15">
        <f>RD/Sales</f>
        <v>0.1450899905</v>
      </c>
      <c r="AE104" s="15">
        <f>RD/Sales</f>
        <v>0.1420932009</v>
      </c>
      <c r="AF104" s="15">
        <f>RD/Sales</f>
        <v>0.1363310898</v>
      </c>
      <c r="AG104" s="309">
        <f>RD/Sales</f>
        <v>0.143034779</v>
      </c>
      <c r="AH104" s="15">
        <f>RD/Sales</f>
        <v>0.1448163988</v>
      </c>
      <c r="AI104" s="15">
        <f>RD/Sales</f>
        <v>0.1620509574</v>
      </c>
      <c r="AJ104" s="15">
        <f>RD/Sales</f>
        <v>0.1546740467</v>
      </c>
      <c r="AK104" s="15">
        <f>RD/Sales</f>
        <v>0.1427374302</v>
      </c>
      <c r="AL104" s="309">
        <f>RD/Sales</f>
        <v>0.1507248543</v>
      </c>
      <c r="AM104" s="15">
        <f>RD/Sales</f>
        <v>0.1509406014</v>
      </c>
      <c r="AN104" s="15">
        <f>RD/Sales</f>
        <v>0.1509683099</v>
      </c>
      <c r="AO104" s="15">
        <f>RD/Sales</f>
        <v>0.144899783</v>
      </c>
      <c r="AP104" s="15">
        <f>RD/Sales</f>
        <v>0.1346527857</v>
      </c>
      <c r="AQ104" s="309">
        <f>RD/Sales</f>
        <v>0.1446534621</v>
      </c>
      <c r="AR104" s="15">
        <f>RD/Sales</f>
        <v>0.1476949697</v>
      </c>
      <c r="AS104" s="15">
        <f>RD/Sales</f>
        <v>0.1473474966</v>
      </c>
      <c r="AT104" s="15">
        <f>RD/Sales</f>
        <v>0.1396529335</v>
      </c>
      <c r="AU104" s="15">
        <f>RD/Sales</f>
        <v>0.1264846843</v>
      </c>
      <c r="AV104" s="309">
        <f>RD/Sales</f>
        <v>0.1396708469</v>
      </c>
      <c r="AW104" s="15">
        <f>RD/Sales</f>
        <v>0.1341954632</v>
      </c>
      <c r="AX104" s="15">
        <f>RD/Sales</f>
        <v>0.1273968151</v>
      </c>
      <c r="AY104" s="15">
        <f>RD/Sales</f>
        <v>0.1346385542</v>
      </c>
      <c r="AZ104" s="15">
        <f>RD/Sales</f>
        <v>0.1335163219</v>
      </c>
      <c r="BA104" s="309">
        <f>RD/Sales</f>
        <v>0.1325142945</v>
      </c>
      <c r="BB104" s="15">
        <f>RD/Sales</f>
        <v>0.1747203579</v>
      </c>
      <c r="BC104" s="15">
        <f>RD/Sales</f>
        <v>0.1867898614</v>
      </c>
      <c r="BD104" s="15">
        <f>RD/Sales</f>
        <v>0.1589426708</v>
      </c>
      <c r="BE104" s="15">
        <f>RD/Sales</f>
        <v>0.1471012998</v>
      </c>
      <c r="BF104" s="309">
        <f>RD/Sales</f>
        <v>0.1659883557</v>
      </c>
      <c r="BG104" s="15">
        <f>RD/Sales</f>
        <v>0.1581563488</v>
      </c>
      <c r="BH104" s="15">
        <f>RD/Sales</f>
        <v>0.155875576</v>
      </c>
      <c r="BI104" s="15">
        <f>RD/Sales</f>
        <v>0.1507433102</v>
      </c>
      <c r="BJ104" s="15">
        <f>RD/Sales</f>
        <v>0.1382561613</v>
      </c>
      <c r="BK104" s="309">
        <f>RD/Sales</f>
        <v>0.1501278239</v>
      </c>
      <c r="BL104" s="15">
        <f>RD/Sales</f>
        <v>0.1516592577</v>
      </c>
      <c r="BM104" s="15">
        <f>RD/Sales</f>
        <v>0.1550158395</v>
      </c>
      <c r="BN104" s="15">
        <f>RD/Sales</f>
        <v>0.1439757267</v>
      </c>
      <c r="BO104" s="15">
        <f>RD/Sales</f>
        <v>0.1599805495</v>
      </c>
      <c r="BP104" s="309">
        <f>RD/Sales</f>
        <v>0.1522375353</v>
      </c>
      <c r="BQ104" s="15">
        <f>RD/Sales</f>
        <v>0.1843247026</v>
      </c>
      <c r="BR104" s="15">
        <f>RD/Sales</f>
        <v>0.1623878365</v>
      </c>
      <c r="BS104" s="15">
        <f>RD/Sales</f>
        <v>0.1523058899</v>
      </c>
      <c r="BT104" s="15">
        <f>RD/Sales</f>
        <v>0.1516699782</v>
      </c>
      <c r="BU104" s="309">
        <f>RD/Sales</f>
        <v>0.1609302815</v>
      </c>
      <c r="BV104" s="15">
        <f>RD/Sales</f>
        <v>0.1518594038</v>
      </c>
      <c r="BW104" s="15">
        <f>RD/Sales</f>
        <v>0.1547607989</v>
      </c>
      <c r="BX104" s="15">
        <f>RD/Sales</f>
        <v>0.1508737164</v>
      </c>
      <c r="BY104" s="15">
        <f>RD/Sales</f>
        <v>0.1458496989</v>
      </c>
      <c r="BZ104" s="37">
        <f>RD/Sales</f>
        <v>0.150746166</v>
      </c>
      <c r="CA104" s="15">
        <f>RD/Sales</f>
        <v>0.149139877</v>
      </c>
      <c r="CB104" s="15">
        <f>RD/Sales</f>
        <v>0.1523941068</v>
      </c>
      <c r="CC104" s="15">
        <f>RD/Sales</f>
        <v>0.1503548092</v>
      </c>
      <c r="CD104" s="15">
        <f>RD/Sales</f>
        <v>0.166198603</v>
      </c>
      <c r="CE104" s="37">
        <f>RD/Sales</f>
        <v>0.1546324932</v>
      </c>
      <c r="CF104" s="15">
        <f>RD/Sales</f>
        <v>0.1860375019</v>
      </c>
      <c r="CG104" s="15">
        <f>RD/Sales</f>
        <v>0.1861343604</v>
      </c>
      <c r="CH104" s="15">
        <f>RD/Sales</f>
        <v>0.1935795497</v>
      </c>
      <c r="CI104" s="15">
        <f>RD/Sales</f>
        <v>0.1950730875</v>
      </c>
      <c r="CJ104" s="37">
        <f>RD/Sales</f>
        <v>0.1902476519</v>
      </c>
      <c r="CK104" s="15">
        <f>RD/Sales</f>
        <v>0.2008744038</v>
      </c>
      <c r="CL104" s="15">
        <f>RD/Sales</f>
        <v>0.1963937241</v>
      </c>
      <c r="CM104" s="15">
        <f>RD/Sales</f>
        <v>0.2033672031</v>
      </c>
      <c r="CN104" s="40">
        <f>RD/Sales</f>
        <v>0.2042793118</v>
      </c>
      <c r="CO104" s="37">
        <f>RD/Sales</f>
        <v>0.2013166882</v>
      </c>
      <c r="CP104" s="40">
        <f>RD/Sales</f>
        <v>0.2229708555</v>
      </c>
      <c r="CQ104" s="15">
        <f>RD/Sales</f>
        <v>0.2067095655</v>
      </c>
      <c r="CR104" s="15">
        <f>RD/Sales</f>
        <v>0.1952727772</v>
      </c>
      <c r="CS104" s="15">
        <f>RD/Sales</f>
        <v>0.2031112017</v>
      </c>
      <c r="CT104" s="37">
        <f>RD/Sales</f>
        <v>0.2064972257</v>
      </c>
      <c r="CU104" s="15">
        <f>RD/Sales</f>
        <v>0.2343322119</v>
      </c>
      <c r="CV104" s="15">
        <f>RD/Sales</f>
        <v>0.2339522546</v>
      </c>
      <c r="CW104" s="15">
        <f>RD/Sales</f>
        <v>0.2023505012</v>
      </c>
      <c r="CX104" s="15">
        <f>RD/Sales</f>
        <v>0.2091323589</v>
      </c>
      <c r="CY104" s="37">
        <f>RD/Sales</f>
        <v>0.2190949327</v>
      </c>
      <c r="CZ104" s="15">
        <f>RD/Sales</f>
        <v>0.2352003478</v>
      </c>
      <c r="DA104" s="15">
        <f>RD/Sales</f>
        <v>0.2323948866</v>
      </c>
      <c r="DB104" s="15">
        <f>RD/Sales</f>
        <v>0.1945113449</v>
      </c>
      <c r="DC104" s="15">
        <f>RD/Sales</f>
        <v>0.2003175766</v>
      </c>
      <c r="DD104" s="37">
        <f>RD/Sales</f>
        <v>0.2141680395</v>
      </c>
      <c r="DE104" s="15">
        <f>RD/Sales</f>
        <v>0.2247904839</v>
      </c>
      <c r="DF104" s="15">
        <f>RD/Sales</f>
        <v>0.2218383797</v>
      </c>
      <c r="DG104" s="40">
        <f>RD/Sales</f>
        <v>0.1995789213</v>
      </c>
      <c r="DH104" s="15">
        <f>RD/Sales</f>
        <v>0.1919896792</v>
      </c>
      <c r="DI104" s="37">
        <f>RD/Sales</f>
        <v>0.2086964835</v>
      </c>
      <c r="DJ104" s="40">
        <f>RD/Sales</f>
        <v>0.2060873895</v>
      </c>
      <c r="DK104" s="40">
        <f>RD/Sales</f>
        <v>0.1987383563</v>
      </c>
      <c r="DL104" s="40">
        <f>RD/Sales</f>
        <v>0.1788863957</v>
      </c>
      <c r="DM104" s="40">
        <f>RD/Sales</f>
        <v>0.1840060031</v>
      </c>
      <c r="DN104" s="37">
        <f>RD/Sales</f>
        <v>0.1911557136</v>
      </c>
      <c r="DO104" s="40">
        <f>RD/Sales</f>
        <v>0.2074590623</v>
      </c>
      <c r="DP104" s="40">
        <f>RD/Sales</f>
        <v>0.208300515</v>
      </c>
      <c r="DQ104" s="40">
        <f>RD/Sales</f>
        <v>0.1671704013</v>
      </c>
      <c r="DR104" s="40">
        <f>RD/Sales</f>
        <v>0.167450146</v>
      </c>
      <c r="DS104" s="37">
        <f>RD/Sales</f>
        <v>0.1856735913</v>
      </c>
      <c r="DT104" s="40">
        <f>RD/Sales</f>
        <v>0.165170466</v>
      </c>
      <c r="DU104" s="40">
        <f>RD/Sales</f>
        <v>0.1700121655</v>
      </c>
      <c r="DV104" s="40">
        <f>RD/Sales</f>
        <v>0.1784759723</v>
      </c>
      <c r="DW104" s="40">
        <f>RD/Sales</f>
        <v>0.1829512464</v>
      </c>
      <c r="DX104" s="37">
        <f>RD/Sales</f>
        <v>0.1740917205</v>
      </c>
      <c r="DY104" s="40">
        <f>RD/Sales</f>
        <v>0.1951416568</v>
      </c>
      <c r="DZ104" s="40">
        <f>RD/Sales</f>
        <v>0.2004532456</v>
      </c>
      <c r="EA104" s="40">
        <f>RD/Sales</f>
        <v>0.2102615138</v>
      </c>
      <c r="EB104" s="40">
        <f>RD/Sales</f>
        <v>0.2073008396</v>
      </c>
      <c r="EC104" s="37">
        <f>RD/Sales</f>
        <v>0.2032977328</v>
      </c>
      <c r="ED104" s="40">
        <f>RD/Sales</f>
        <v>0.2376723152</v>
      </c>
      <c r="EE104" s="40">
        <f>RD/Sales</f>
        <v>0.2871875204</v>
      </c>
      <c r="EF104" s="40">
        <f>RD/Sales</f>
        <v>0.280479854</v>
      </c>
      <c r="EG104" s="40">
        <f>RD/Sales</f>
        <v>0.3179034326</v>
      </c>
      <c r="EH104" s="37">
        <f>RD/Sales</f>
        <v>0.2779839503</v>
      </c>
      <c r="EI104" s="82" t="str">
        <f>RD/Sales</f>
        <v>#ERROR!</v>
      </c>
      <c r="EJ104" s="15" t="str">
        <f>RD/Sales</f>
        <v>#ERROR!</v>
      </c>
      <c r="EK104" s="15" t="str">
        <f>RD/Sales</f>
        <v>#ERROR!</v>
      </c>
      <c r="EL104" s="15" t="str">
        <f>RD/Sales</f>
        <v>#ERROR!</v>
      </c>
      <c r="EM104" s="37" t="str">
        <f>RD/Sales</f>
        <v>#ERROR!</v>
      </c>
      <c r="EN104" s="15" t="str">
        <f>RD/Sales</f>
        <v>#ERROR!</v>
      </c>
      <c r="EO104" s="15" t="str">
        <f>RD/Sales</f>
        <v>#ERROR!</v>
      </c>
      <c r="EP104" s="15" t="str">
        <f>RD/Sales</f>
        <v>#ERROR!</v>
      </c>
      <c r="EQ104" s="15" t="str">
        <f>RD/Sales</f>
        <v>#ERROR!</v>
      </c>
      <c r="ER104" s="37" t="str">
        <f>RD/Sales</f>
        <v>#ERROR!</v>
      </c>
      <c r="ES104" s="15" t="str">
        <f>RD/Sales</f>
        <v>#ERROR!</v>
      </c>
      <c r="ET104" s="15" t="str">
        <f>RD/Sales</f>
        <v>#ERROR!</v>
      </c>
      <c r="EU104" s="15" t="str">
        <f>RD/Sales</f>
        <v>#ERROR!</v>
      </c>
      <c r="EV104" s="15" t="str">
        <f>RD/Sales</f>
        <v>#ERROR!</v>
      </c>
      <c r="EW104" s="37" t="str">
        <f>RD/Sales</f>
        <v>#ERROR!</v>
      </c>
      <c r="EX104" s="15" t="str">
        <f>RD/Sales</f>
        <v>#ERROR!</v>
      </c>
      <c r="EY104" s="15" t="str">
        <f>RD/Sales</f>
        <v>#ERROR!</v>
      </c>
      <c r="EZ104" s="15" t="str">
        <f>RD/Sales</f>
        <v>#ERROR!</v>
      </c>
      <c r="FA104" s="15" t="str">
        <f>RD/Sales</f>
        <v>#ERROR!</v>
      </c>
      <c r="FB104" s="37" t="str">
        <f>RD/Sales</f>
        <v>#ERROR!</v>
      </c>
      <c r="FC104" s="15" t="str">
        <f>RD/Sales</f>
        <v>#ERROR!</v>
      </c>
      <c r="FD104" s="15" t="str">
        <f>RD/Sales</f>
        <v>#ERROR!</v>
      </c>
      <c r="FE104" s="15" t="str">
        <f>RD/Sales</f>
        <v>#ERROR!</v>
      </c>
      <c r="FF104" s="15" t="str">
        <f>RD/Sales</f>
        <v>#ERROR!</v>
      </c>
      <c r="FG104" s="37" t="str">
        <f>RD/Sales</f>
        <v>#ERROR!</v>
      </c>
      <c r="FH104" s="35"/>
      <c r="FI104" s="15"/>
      <c r="FJ104" s="15"/>
      <c r="FK104" s="309"/>
      <c r="FL104" s="15"/>
    </row>
    <row r="105" ht="12.75" customHeight="1">
      <c r="A105" s="4"/>
      <c r="B105" s="72" t="str">
        <f t="shared" si="768"/>
        <v>   MG&amp;A expenses</v>
      </c>
      <c r="C105" s="72"/>
      <c r="D105" s="15"/>
      <c r="E105" s="15"/>
      <c r="F105" s="15"/>
      <c r="G105" s="15"/>
      <c r="H105" s="309"/>
      <c r="I105" s="15"/>
      <c r="J105" s="15"/>
      <c r="K105" s="15"/>
      <c r="L105" s="15"/>
      <c r="M105" s="309"/>
      <c r="N105" s="15">
        <f>MGA/Sales</f>
        <v>0.1184802533</v>
      </c>
      <c r="O105" s="15">
        <f>MGA/Sales</f>
        <v>0.1132107306</v>
      </c>
      <c r="P105" s="15">
        <f>MGA/Sales</f>
        <v>0.1138018125</v>
      </c>
      <c r="Q105" s="15">
        <f>MGA/Sales</f>
        <v>0.121880746</v>
      </c>
      <c r="R105" s="309">
        <f>MGA/Sales</f>
        <v>0.1170783694</v>
      </c>
      <c r="S105" s="15">
        <f>MGA/Sales</f>
        <v>0.1254399549</v>
      </c>
      <c r="T105" s="15">
        <f>MGA/Sales</f>
        <v>0.1369700563</v>
      </c>
      <c r="U105" s="15">
        <f>MGA/Sales</f>
        <v>0.1299126638</v>
      </c>
      <c r="V105" s="15">
        <f>MGA/Sales</f>
        <v>0.1345591817</v>
      </c>
      <c r="W105" s="309">
        <f>MGA/Sales</f>
        <v>0.1317499745</v>
      </c>
      <c r="X105" s="15">
        <f>MGA/Sales</f>
        <v>0.1406230452</v>
      </c>
      <c r="Y105" s="15">
        <f>MGA/Sales</f>
        <v>0.1473493976</v>
      </c>
      <c r="Z105" s="15">
        <f>MGA/Sales</f>
        <v>0.1512999656</v>
      </c>
      <c r="AA105" s="15">
        <f>MGA/Sales</f>
        <v>0.1632957941</v>
      </c>
      <c r="AB105" s="309">
        <f>MGA/Sales</f>
        <v>0.1508924865</v>
      </c>
      <c r="AC105" s="15">
        <f>MGA/Sales</f>
        <v>0.1729818781</v>
      </c>
      <c r="AD105" s="15">
        <f>MGA/Sales</f>
        <v>0.1853489106</v>
      </c>
      <c r="AE105" s="15">
        <f>MGA/Sales</f>
        <v>0.1625668449</v>
      </c>
      <c r="AF105" s="15">
        <f>MGA/Sales</f>
        <v>0.153372476</v>
      </c>
      <c r="AG105" s="309">
        <f>MGA/Sales</f>
        <v>0.1682052828</v>
      </c>
      <c r="AH105" s="15">
        <f>MGA/Sales</f>
        <v>0.1580887775</v>
      </c>
      <c r="AI105" s="15">
        <f>MGA/Sales</f>
        <v>0.1682228201</v>
      </c>
      <c r="AJ105" s="15">
        <f>MGA/Sales</f>
        <v>0.1683579336</v>
      </c>
      <c r="AK105" s="15">
        <f>MGA/Sales</f>
        <v>0.1541899441</v>
      </c>
      <c r="AL105" s="309">
        <f>MGA/Sales</f>
        <v>0.1619339411</v>
      </c>
      <c r="AM105" s="15">
        <f t="shared" ref="AM105:AP105" si="769">AM32/AM12</f>
        <v>0.1507924752</v>
      </c>
      <c r="AN105" s="15">
        <f t="shared" si="769"/>
        <v>0.1583039906</v>
      </c>
      <c r="AO105" s="15">
        <f t="shared" si="769"/>
        <v>0.1335375973</v>
      </c>
      <c r="AP105" s="15">
        <f t="shared" si="769"/>
        <v>0.1298478435</v>
      </c>
      <c r="AQ105" s="309">
        <f>MGA/Sales</f>
        <v>0.1419329153</v>
      </c>
      <c r="AR105" s="15">
        <f t="shared" ref="AR105:AU105" si="770">AR32/AR12</f>
        <v>0.1410208874</v>
      </c>
      <c r="AS105" s="15">
        <f t="shared" si="770"/>
        <v>0.145359672</v>
      </c>
      <c r="AT105" s="15">
        <f t="shared" si="770"/>
        <v>0.1325699445</v>
      </c>
      <c r="AU105" s="15">
        <f t="shared" si="770"/>
        <v>0.1276307564</v>
      </c>
      <c r="AV105" s="309">
        <f>MGA/Sales</f>
        <v>0.1361922301</v>
      </c>
      <c r="AW105" s="15">
        <f t="shared" ref="AW105:AZ105" si="771">AW32/AW12</f>
        <v>0.1337714649</v>
      </c>
      <c r="AX105" s="15">
        <f t="shared" si="771"/>
        <v>0.1453796988</v>
      </c>
      <c r="AY105" s="15">
        <f t="shared" si="771"/>
        <v>0.1483935743</v>
      </c>
      <c r="AZ105" s="15">
        <f t="shared" si="771"/>
        <v>0.1574355455</v>
      </c>
      <c r="BA105" s="309">
        <f>MGA/Sales</f>
        <v>0.1464997682</v>
      </c>
      <c r="BB105" s="15">
        <f t="shared" ref="BB105:BE105" si="772">BB32/BB12</f>
        <v>0.1838926174</v>
      </c>
      <c r="BC105" s="15">
        <f t="shared" si="772"/>
        <v>0.1989012361</v>
      </c>
      <c r="BD105" s="15">
        <f t="shared" si="772"/>
        <v>0.1630621353</v>
      </c>
      <c r="BE105" s="15">
        <f t="shared" si="772"/>
        <v>0.1479265525</v>
      </c>
      <c r="BF105" s="309">
        <f>MGA/Sales</f>
        <v>0.1722909954</v>
      </c>
      <c r="BG105" s="15">
        <f t="shared" ref="BG105:BJ105" si="773">BG32/BG12</f>
        <v>0.1442611839</v>
      </c>
      <c r="BH105" s="15">
        <f t="shared" si="773"/>
        <v>0.1479262673</v>
      </c>
      <c r="BI105" s="15">
        <f t="shared" si="773"/>
        <v>0.1365708622</v>
      </c>
      <c r="BJ105" s="15">
        <f t="shared" si="773"/>
        <v>0.1364824496</v>
      </c>
      <c r="BK105" s="309">
        <f>MGA/Sales</f>
        <v>0.1408932019</v>
      </c>
      <c r="BL105" s="15">
        <f t="shared" ref="BL105:BO105" si="774">BL32/BL12</f>
        <v>0.1394603536</v>
      </c>
      <c r="BM105" s="15">
        <f t="shared" si="774"/>
        <v>0.1510031679</v>
      </c>
      <c r="BN105" s="15">
        <f t="shared" si="774"/>
        <v>0.1385925418</v>
      </c>
      <c r="BO105" s="15">
        <f t="shared" si="774"/>
        <v>0.1535375638</v>
      </c>
      <c r="BP105" s="309">
        <f>MGA/Sales</f>
        <v>0.1452136434</v>
      </c>
      <c r="BQ105" s="15">
        <f>MGA/Sales</f>
        <v>0.1679496151</v>
      </c>
      <c r="BR105" s="15">
        <f>MGA/Sales</f>
        <v>0.155782652</v>
      </c>
      <c r="BS105" s="15">
        <f>MGA/Sales</f>
        <v>0.1405900522</v>
      </c>
      <c r="BT105" s="15">
        <f>MGA/Sales</f>
        <v>0.1388967736</v>
      </c>
      <c r="BU105" s="309">
        <f>MGA/Sales</f>
        <v>0.1491160076</v>
      </c>
      <c r="BV105" s="15">
        <f>MGA/Sales</f>
        <v>0.1470045635</v>
      </c>
      <c r="BW105" s="15">
        <f>MGA/Sales</f>
        <v>0.1471435207</v>
      </c>
      <c r="BX105" s="15">
        <f>MGA/Sales</f>
        <v>0.135651234</v>
      </c>
      <c r="BY105" s="15">
        <f>MGA/Sales</f>
        <v>0.1488173169</v>
      </c>
      <c r="BZ105" s="37">
        <f>MGA/Sales</f>
        <v>0.1446255416</v>
      </c>
      <c r="CA105" s="15">
        <f>MGA/Sales</f>
        <v>0.138164552</v>
      </c>
      <c r="CB105" s="15">
        <f>MGA/Sales</f>
        <v>0.1461786372</v>
      </c>
      <c r="CC105" s="15">
        <f>MGA/Sales</f>
        <v>0.1417129207</v>
      </c>
      <c r="CD105" s="15">
        <f>MGA/Sales</f>
        <v>0.1420753222</v>
      </c>
      <c r="CE105" s="37">
        <f>MGA/Sales</f>
        <v>0.1420396674</v>
      </c>
      <c r="CF105" s="15">
        <f>MGA/Sales</f>
        <v>0.152874632</v>
      </c>
      <c r="CG105" s="15">
        <f>MGA/Sales</f>
        <v>0.15784016</v>
      </c>
      <c r="CH105" s="15">
        <f>MGA/Sales</f>
        <v>0.1482499814</v>
      </c>
      <c r="CI105" s="15">
        <f>MGA/Sales</f>
        <v>0.1452845589</v>
      </c>
      <c r="CJ105" s="37">
        <f>MGA/Sales</f>
        <v>0.151047037</v>
      </c>
      <c r="CK105" s="15">
        <f>MGA/Sales</f>
        <v>0.1547694754</v>
      </c>
      <c r="CL105" s="15">
        <f>MGA/Sales</f>
        <v>0.1689953946</v>
      </c>
      <c r="CM105" s="15">
        <f>MGA/Sales</f>
        <v>0.1461099162</v>
      </c>
      <c r="CN105" s="40">
        <f>MGA/Sales</f>
        <v>0.14500506</v>
      </c>
      <c r="CO105" s="37">
        <f>MGA/Sales</f>
        <v>0.1534491918</v>
      </c>
      <c r="CP105" s="40">
        <f>MGA/Sales</f>
        <v>0.1595894704</v>
      </c>
      <c r="CQ105" s="15">
        <f>MGA/Sales</f>
        <v>0.1490130865</v>
      </c>
      <c r="CR105" s="15">
        <f>MGA/Sales</f>
        <v>0.1359763639</v>
      </c>
      <c r="CS105" s="15">
        <f>MGA/Sales</f>
        <v>0.1391889138</v>
      </c>
      <c r="CT105" s="37">
        <f>MGA/Sales</f>
        <v>0.1454447825</v>
      </c>
      <c r="CU105" s="15">
        <f>MGA/Sales</f>
        <v>0.1528049448</v>
      </c>
      <c r="CV105" s="15">
        <f>MGA/Sales</f>
        <v>0.1477074649</v>
      </c>
      <c r="CW105" s="15">
        <f>MGA/Sales</f>
        <v>0.1320428621</v>
      </c>
      <c r="CX105" s="15">
        <f>MGA/Sales</f>
        <v>0.1420142148</v>
      </c>
      <c r="CY105" s="37">
        <f>MGA/Sales</f>
        <v>0.1432571583</v>
      </c>
      <c r="CZ105" s="15">
        <f>MGA/Sales</f>
        <v>0.16129266</v>
      </c>
      <c r="DA105" s="15">
        <f>MGA/Sales</f>
        <v>0.1483041454</v>
      </c>
      <c r="DB105" s="15">
        <f>MGA/Sales</f>
        <v>0.1271390544</v>
      </c>
      <c r="DC105" s="15">
        <f>MGA/Sales</f>
        <v>0.131794308</v>
      </c>
      <c r="DD105" s="37">
        <f>MGA/Sales</f>
        <v>0.1411592644</v>
      </c>
      <c r="DE105" s="15">
        <f>MGA/Sales</f>
        <v>0.1422005948</v>
      </c>
      <c r="DF105" s="15">
        <f>MGA/Sales</f>
        <v>0.1255842308</v>
      </c>
      <c r="DG105" s="40">
        <f>MGA/Sales</f>
        <v>0.1031642826</v>
      </c>
      <c r="DH105" s="15">
        <f>MGA/Sales</f>
        <v>0.1084853105</v>
      </c>
      <c r="DI105" s="37">
        <f>MGA/Sales</f>
        <v>0.119086694</v>
      </c>
      <c r="DJ105" s="40">
        <f>MGA/Sales</f>
        <v>0.1182621686</v>
      </c>
      <c r="DK105" s="40">
        <f>MGA/Sales</f>
        <v>0.101697913</v>
      </c>
      <c r="DL105" s="40">
        <f>MGA/Sales</f>
        <v>0.08375515316</v>
      </c>
      <c r="DM105" s="40">
        <f>MGA/Sales</f>
        <v>0.08147076164</v>
      </c>
      <c r="DN105" s="37">
        <f>MGA/Sales</f>
        <v>0.09527439024</v>
      </c>
      <c r="DO105" s="40">
        <f>MGA/Sales</f>
        <v>0.0954486022</v>
      </c>
      <c r="DP105" s="40">
        <f>MGA/Sales</f>
        <v>0.09627385641</v>
      </c>
      <c r="DQ105" s="40">
        <f>MGA/Sales</f>
        <v>0.07743616467</v>
      </c>
      <c r="DR105" s="40">
        <f>MGA/Sales</f>
        <v>0.07630263744</v>
      </c>
      <c r="DS105" s="37">
        <f>MGA/Sales</f>
        <v>0.08545820885</v>
      </c>
      <c r="DT105" s="40">
        <f>MGA/Sales</f>
        <v>0.07771837805</v>
      </c>
      <c r="DU105" s="40">
        <f>MGA/Sales</f>
        <v>0.07334752636</v>
      </c>
      <c r="DV105" s="40">
        <f>MGA/Sales</f>
        <v>0.07827415044</v>
      </c>
      <c r="DW105" s="40">
        <f>MGA/Sales</f>
        <v>0.08794674142</v>
      </c>
      <c r="DX105" s="37">
        <f>MGA/Sales</f>
        <v>0.0793660986</v>
      </c>
      <c r="DY105" s="40">
        <f>MGA/Sales</f>
        <v>0.07152860067</v>
      </c>
      <c r="DZ105" s="40">
        <f>MGA/Sales</f>
        <v>0.08627853019</v>
      </c>
      <c r="EA105" s="40">
        <f>MGA/Sales</f>
        <v>0.09255266213</v>
      </c>
      <c r="EB105" s="40">
        <f>MGA/Sales</f>
        <v>0.09942658202</v>
      </c>
      <c r="EC105" s="37">
        <f>MGA/Sales</f>
        <v>0.08756926042</v>
      </c>
      <c r="ED105" s="40">
        <f>MGA/Sales</f>
        <v>0.0954612325</v>
      </c>
      <c r="EE105" s="40">
        <f>MGA/Sales</f>
        <v>0.1174858038</v>
      </c>
      <c r="EF105" s="40">
        <f>MGA/Sales</f>
        <v>0.1137045247</v>
      </c>
      <c r="EG105" s="40">
        <f>MGA/Sales</f>
        <v>0.1214926649</v>
      </c>
      <c r="EH105" s="37">
        <f>MGA/Sales</f>
        <v>0.1110476734</v>
      </c>
      <c r="EI105" s="82" t="str">
        <f>MGA/Sales</f>
        <v>#ERROR!</v>
      </c>
      <c r="EJ105" s="15" t="str">
        <f>MGA/Sales</f>
        <v>#ERROR!</v>
      </c>
      <c r="EK105" s="15" t="str">
        <f>MGA/Sales</f>
        <v>#ERROR!</v>
      </c>
      <c r="EL105" s="15" t="str">
        <f>MGA/Sales</f>
        <v>#ERROR!</v>
      </c>
      <c r="EM105" s="37" t="str">
        <f>MGA/Sales</f>
        <v>#ERROR!</v>
      </c>
      <c r="EN105" s="15" t="str">
        <f>MGA/Sales</f>
        <v>#ERROR!</v>
      </c>
      <c r="EO105" s="15" t="str">
        <f>MGA/Sales</f>
        <v>#ERROR!</v>
      </c>
      <c r="EP105" s="15" t="str">
        <f>MGA/Sales</f>
        <v>#ERROR!</v>
      </c>
      <c r="EQ105" s="15" t="str">
        <f>MGA/Sales</f>
        <v>#ERROR!</v>
      </c>
      <c r="ER105" s="37" t="str">
        <f>MGA/Sales</f>
        <v>#ERROR!</v>
      </c>
      <c r="ES105" s="15" t="str">
        <f>MGA/Sales</f>
        <v>#ERROR!</v>
      </c>
      <c r="ET105" s="15" t="str">
        <f>MGA/Sales</f>
        <v>#ERROR!</v>
      </c>
      <c r="EU105" s="15" t="str">
        <f>MGA/Sales</f>
        <v>#ERROR!</v>
      </c>
      <c r="EV105" s="15" t="str">
        <f>MGA/Sales</f>
        <v>#ERROR!</v>
      </c>
      <c r="EW105" s="37" t="str">
        <f>MGA/Sales</f>
        <v>#ERROR!</v>
      </c>
      <c r="EX105" s="15" t="str">
        <f>MGA/Sales</f>
        <v>#ERROR!</v>
      </c>
      <c r="EY105" s="15" t="str">
        <f>MGA/Sales</f>
        <v>#ERROR!</v>
      </c>
      <c r="EZ105" s="15" t="str">
        <f>MGA/Sales</f>
        <v>#ERROR!</v>
      </c>
      <c r="FA105" s="15" t="str">
        <f>MGA/Sales</f>
        <v>#ERROR!</v>
      </c>
      <c r="FB105" s="37" t="str">
        <f>MGA/Sales</f>
        <v>#ERROR!</v>
      </c>
      <c r="FC105" s="15" t="str">
        <f>MGA/Sales</f>
        <v>#ERROR!</v>
      </c>
      <c r="FD105" s="15" t="str">
        <f>MGA/Sales</f>
        <v>#ERROR!</v>
      </c>
      <c r="FE105" s="15" t="str">
        <f>MGA/Sales</f>
        <v>#ERROR!</v>
      </c>
      <c r="FF105" s="15" t="str">
        <f>MGA/Sales</f>
        <v>#ERROR!</v>
      </c>
      <c r="FG105" s="37" t="str">
        <f>MGA/Sales</f>
        <v>#ERROR!</v>
      </c>
      <c r="FH105" s="35"/>
      <c r="FI105" s="15"/>
      <c r="FJ105" s="15"/>
      <c r="FK105" s="309"/>
      <c r="FL105" s="15"/>
    </row>
    <row r="106" ht="12.75" customHeight="1">
      <c r="A106" s="105"/>
      <c r="B106" s="159" t="s">
        <v>123</v>
      </c>
      <c r="C106" s="159"/>
      <c r="D106" s="311"/>
      <c r="E106" s="311"/>
      <c r="F106" s="311"/>
      <c r="G106" s="311"/>
      <c r="H106" s="312"/>
      <c r="I106" s="311"/>
      <c r="J106" s="311"/>
      <c r="K106" s="311"/>
      <c r="L106" s="311"/>
      <c r="M106" s="312"/>
      <c r="N106" s="311"/>
      <c r="O106" s="311"/>
      <c r="P106" s="311"/>
      <c r="Q106" s="311"/>
      <c r="R106" s="312"/>
      <c r="S106" s="311"/>
      <c r="T106" s="311"/>
      <c r="U106" s="311"/>
      <c r="V106" s="311"/>
      <c r="W106" s="312"/>
      <c r="X106" s="311"/>
      <c r="Y106" s="311"/>
      <c r="Z106" s="311"/>
      <c r="AA106" s="311"/>
      <c r="AB106" s="312"/>
      <c r="AC106" s="311"/>
      <c r="AD106" s="311"/>
      <c r="AE106" s="311"/>
      <c r="AF106" s="311"/>
      <c r="AG106" s="312"/>
      <c r="AH106" s="311"/>
      <c r="AI106" s="311"/>
      <c r="AJ106" s="311"/>
      <c r="AK106" s="311"/>
      <c r="AL106" s="312"/>
      <c r="AM106" s="311"/>
      <c r="AN106" s="311"/>
      <c r="AO106" s="311"/>
      <c r="AP106" s="311"/>
      <c r="AQ106" s="312"/>
      <c r="AR106" s="311"/>
      <c r="AS106" s="311"/>
      <c r="AT106" s="311"/>
      <c r="AU106" s="311"/>
      <c r="AV106" s="312"/>
      <c r="AW106" s="311"/>
      <c r="AX106" s="311"/>
      <c r="AY106" s="311"/>
      <c r="AZ106" s="311"/>
      <c r="BA106" s="312"/>
      <c r="BB106" s="311"/>
      <c r="BC106" s="311"/>
      <c r="BD106" s="311"/>
      <c r="BE106" s="311"/>
      <c r="BF106" s="312"/>
      <c r="BG106" s="311"/>
      <c r="BH106" s="311"/>
      <c r="BI106" s="311"/>
      <c r="BJ106" s="311"/>
      <c r="BK106" s="312"/>
      <c r="BL106" s="311"/>
      <c r="BM106" s="311"/>
      <c r="BN106" s="311"/>
      <c r="BO106" s="311"/>
      <c r="BP106" s="312"/>
      <c r="BQ106" s="311"/>
      <c r="BR106" s="311"/>
      <c r="BS106" s="311"/>
      <c r="BT106" s="311"/>
      <c r="BU106" s="312"/>
      <c r="BV106" s="311"/>
      <c r="BW106" s="311"/>
      <c r="BX106" s="311"/>
      <c r="BY106" s="311"/>
      <c r="BZ106" s="37"/>
      <c r="CA106" s="311"/>
      <c r="CB106" s="311"/>
      <c r="CC106" s="311"/>
      <c r="CD106" s="311"/>
      <c r="CE106" s="37"/>
      <c r="CF106" s="311"/>
      <c r="CG106" s="311"/>
      <c r="CH106" s="311"/>
      <c r="CI106" s="311"/>
      <c r="CJ106" s="37"/>
      <c r="CK106" s="311"/>
      <c r="CL106" s="311"/>
      <c r="CM106" s="311"/>
      <c r="CN106" s="311"/>
      <c r="CO106" s="37"/>
      <c r="CP106" s="311">
        <f t="shared" ref="CP106:FG106" si="775">CP37/CP12</f>
        <v>0.3825603259</v>
      </c>
      <c r="CQ106" s="311">
        <f t="shared" si="775"/>
        <v>0.355722652</v>
      </c>
      <c r="CR106" s="311">
        <f t="shared" si="775"/>
        <v>0.3312491411</v>
      </c>
      <c r="CS106" s="311">
        <f t="shared" si="775"/>
        <v>0.3423001155</v>
      </c>
      <c r="CT106" s="37">
        <f t="shared" si="775"/>
        <v>0.3519420082</v>
      </c>
      <c r="CU106" s="311">
        <f t="shared" si="775"/>
        <v>0.3871371567</v>
      </c>
      <c r="CV106" s="311">
        <f t="shared" si="775"/>
        <v>0.3816597196</v>
      </c>
      <c r="CW106" s="311">
        <f t="shared" si="775"/>
        <v>0.3343933633</v>
      </c>
      <c r="CX106" s="311">
        <f t="shared" si="775"/>
        <v>0.3511465737</v>
      </c>
      <c r="CY106" s="37">
        <f t="shared" si="775"/>
        <v>0.362352091</v>
      </c>
      <c r="CZ106" s="311">
        <f t="shared" si="775"/>
        <v>0.389247156</v>
      </c>
      <c r="DA106" s="311">
        <f t="shared" si="775"/>
        <v>0.380699032</v>
      </c>
      <c r="DB106" s="311">
        <f t="shared" si="775"/>
        <v>0.3216503993</v>
      </c>
      <c r="DC106" s="311">
        <f t="shared" si="775"/>
        <v>0.3321118847</v>
      </c>
      <c r="DD106" s="37">
        <f t="shared" si="775"/>
        <v>0.3536462361</v>
      </c>
      <c r="DE106" s="311">
        <f t="shared" si="775"/>
        <v>0.3669910787</v>
      </c>
      <c r="DF106" s="311">
        <f t="shared" si="775"/>
        <v>0.3474226106</v>
      </c>
      <c r="DG106" s="311">
        <f t="shared" si="775"/>
        <v>0.2957458666</v>
      </c>
      <c r="DH106" s="311">
        <f t="shared" si="775"/>
        <v>0.3004749897</v>
      </c>
      <c r="DI106" s="37">
        <f t="shared" si="775"/>
        <v>0.3259826963</v>
      </c>
      <c r="DJ106" s="311">
        <f t="shared" si="775"/>
        <v>0.3243495581</v>
      </c>
      <c r="DK106" s="311">
        <f t="shared" si="775"/>
        <v>0.3157056951</v>
      </c>
      <c r="DL106" s="311">
        <f t="shared" si="775"/>
        <v>0.2626415488</v>
      </c>
      <c r="DM106" s="311">
        <f t="shared" si="775"/>
        <v>0.2654767648</v>
      </c>
      <c r="DN106" s="37">
        <f t="shared" si="775"/>
        <v>0.2900858175</v>
      </c>
      <c r="DO106" s="311">
        <f t="shared" si="775"/>
        <v>0.3029076645</v>
      </c>
      <c r="DP106" s="311">
        <f t="shared" si="775"/>
        <v>0.3045743714</v>
      </c>
      <c r="DQ106" s="311">
        <f t="shared" si="775"/>
        <v>0.2446065659</v>
      </c>
      <c r="DR106" s="311">
        <f t="shared" si="775"/>
        <v>0.2437527834</v>
      </c>
      <c r="DS106" s="37">
        <f t="shared" si="775"/>
        <v>0.2711318002</v>
      </c>
      <c r="DT106" s="311">
        <f t="shared" si="775"/>
        <v>0.2428888441</v>
      </c>
      <c r="DU106" s="311">
        <f t="shared" si="775"/>
        <v>0.240825223</v>
      </c>
      <c r="DV106" s="311">
        <f t="shared" si="775"/>
        <v>0.2539137075</v>
      </c>
      <c r="DW106" s="311">
        <f t="shared" si="775"/>
        <v>0.2682450696</v>
      </c>
      <c r="DX106" s="37">
        <f t="shared" si="775"/>
        <v>0.2514672454</v>
      </c>
      <c r="DY106" s="311">
        <f t="shared" si="775"/>
        <v>0.2560056016</v>
      </c>
      <c r="DZ106" s="311">
        <f t="shared" si="775"/>
        <v>0.2762639616</v>
      </c>
      <c r="EA106" s="311">
        <f t="shared" si="775"/>
        <v>0.2902637253</v>
      </c>
      <c r="EB106" s="311">
        <f t="shared" si="775"/>
        <v>0.2956686463</v>
      </c>
      <c r="EC106" s="37">
        <f t="shared" si="775"/>
        <v>0.2796916406</v>
      </c>
      <c r="ED106" s="311">
        <f t="shared" si="775"/>
        <v>0.2998964747</v>
      </c>
      <c r="EE106" s="311">
        <f t="shared" si="775"/>
        <v>0.3557209059</v>
      </c>
      <c r="EF106" s="311">
        <f t="shared" si="775"/>
        <v>0.3508932064</v>
      </c>
      <c r="EG106" s="311">
        <f t="shared" si="775"/>
        <v>0.3947443384</v>
      </c>
      <c r="EH106" s="37">
        <f t="shared" si="775"/>
        <v>0.3469882957</v>
      </c>
      <c r="EI106" s="82" t="str">
        <f t="shared" si="775"/>
        <v>#ERROR!</v>
      </c>
      <c r="EJ106" s="311" t="str">
        <f t="shared" si="775"/>
        <v>#ERROR!</v>
      </c>
      <c r="EK106" s="311" t="str">
        <f t="shared" si="775"/>
        <v>#ERROR!</v>
      </c>
      <c r="EL106" s="311" t="str">
        <f t="shared" si="775"/>
        <v>#ERROR!</v>
      </c>
      <c r="EM106" s="37" t="str">
        <f t="shared" si="775"/>
        <v>#ERROR!</v>
      </c>
      <c r="EN106" s="311" t="str">
        <f t="shared" si="775"/>
        <v>#ERROR!</v>
      </c>
      <c r="EO106" s="311" t="str">
        <f t="shared" si="775"/>
        <v>#ERROR!</v>
      </c>
      <c r="EP106" s="311" t="str">
        <f t="shared" si="775"/>
        <v>#ERROR!</v>
      </c>
      <c r="EQ106" s="311" t="str">
        <f t="shared" si="775"/>
        <v>#ERROR!</v>
      </c>
      <c r="ER106" s="37" t="str">
        <f t="shared" si="775"/>
        <v>#ERROR!</v>
      </c>
      <c r="ES106" s="311" t="str">
        <f t="shared" si="775"/>
        <v>#ERROR!</v>
      </c>
      <c r="ET106" s="311" t="str">
        <f t="shared" si="775"/>
        <v>#ERROR!</v>
      </c>
      <c r="EU106" s="311" t="str">
        <f t="shared" si="775"/>
        <v>#ERROR!</v>
      </c>
      <c r="EV106" s="311" t="str">
        <f t="shared" si="775"/>
        <v>#ERROR!</v>
      </c>
      <c r="EW106" s="37" t="str">
        <f t="shared" si="775"/>
        <v>#ERROR!</v>
      </c>
      <c r="EX106" s="311" t="str">
        <f t="shared" si="775"/>
        <v>#ERROR!</v>
      </c>
      <c r="EY106" s="311" t="str">
        <f t="shared" si="775"/>
        <v>#ERROR!</v>
      </c>
      <c r="EZ106" s="311" t="str">
        <f t="shared" si="775"/>
        <v>#ERROR!</v>
      </c>
      <c r="FA106" s="311" t="str">
        <f t="shared" si="775"/>
        <v>#ERROR!</v>
      </c>
      <c r="FB106" s="37" t="str">
        <f t="shared" si="775"/>
        <v>#ERROR!</v>
      </c>
      <c r="FC106" s="311" t="str">
        <f t="shared" si="775"/>
        <v>#ERROR!</v>
      </c>
      <c r="FD106" s="311" t="str">
        <f t="shared" si="775"/>
        <v>#ERROR!</v>
      </c>
      <c r="FE106" s="311" t="str">
        <f t="shared" si="775"/>
        <v>#ERROR!</v>
      </c>
      <c r="FF106" s="311" t="str">
        <f t="shared" si="775"/>
        <v>#ERROR!</v>
      </c>
      <c r="FG106" s="37" t="str">
        <f t="shared" si="775"/>
        <v>#ERROR!</v>
      </c>
      <c r="FH106" s="35"/>
      <c r="FI106" s="311"/>
      <c r="FJ106" s="311"/>
      <c r="FK106" s="312"/>
      <c r="FL106" s="311"/>
    </row>
    <row r="107" ht="12.75" customHeight="1">
      <c r="A107" s="4"/>
      <c r="B107" s="72" t="str">
        <f>B40</f>
        <v>Operating income </v>
      </c>
      <c r="C107" s="72"/>
      <c r="D107" s="15"/>
      <c r="E107" s="15"/>
      <c r="F107" s="15"/>
      <c r="G107" s="15"/>
      <c r="H107" s="309"/>
      <c r="I107" s="15"/>
      <c r="J107" s="15"/>
      <c r="K107" s="15"/>
      <c r="L107" s="15"/>
      <c r="M107" s="309"/>
      <c r="N107" s="15">
        <f>EBIT/Sales</f>
        <v>0.3242792868</v>
      </c>
      <c r="O107" s="15">
        <f>EBIT/Sales</f>
        <v>0.2709633879</v>
      </c>
      <c r="P107" s="15">
        <f>EBIT/Sales</f>
        <v>0.3226860793</v>
      </c>
      <c r="Q107" s="15">
        <f>EBIT/Sales</f>
        <v>0.377725243</v>
      </c>
      <c r="R107" s="309">
        <f>EBIT/Sales</f>
        <v>0.3273322422</v>
      </c>
      <c r="S107" s="15">
        <f>EBIT/Sales</f>
        <v>0.3737857243</v>
      </c>
      <c r="T107" s="15">
        <f>EBIT/Sales</f>
        <v>0.3485028165</v>
      </c>
      <c r="U107" s="15">
        <f>EBIT/Sales</f>
        <v>0.3425218341</v>
      </c>
      <c r="V107" s="15">
        <f>EBIT/Sales</f>
        <v>0.3718947881</v>
      </c>
      <c r="W107" s="309">
        <f>EBIT/Sales</f>
        <v>0.3596583756</v>
      </c>
      <c r="X107" s="15">
        <f>EBIT/Sales</f>
        <v>0.3664456399</v>
      </c>
      <c r="Y107" s="15">
        <f>EBIT/Sales</f>
        <v>0.3401204819</v>
      </c>
      <c r="Z107" s="15">
        <f>EBIT/Sales</f>
        <v>0.3762455618</v>
      </c>
      <c r="AA107" s="15">
        <f>EBIT/Sales</f>
        <v>0.3508388876</v>
      </c>
      <c r="AB107" s="309">
        <f>EBIT/Sales</f>
        <v>0.3584771393</v>
      </c>
      <c r="AC107" s="15">
        <f>EBIT/Sales</f>
        <v>0.1949977535</v>
      </c>
      <c r="AD107" s="15">
        <f>EBIT/Sales</f>
        <v>0.1474581623</v>
      </c>
      <c r="AE107" s="15">
        <f>EBIT/Sales</f>
        <v>0.1524828113</v>
      </c>
      <c r="AF107" s="15">
        <f>EBIT/Sales</f>
        <v>0.2231132751</v>
      </c>
      <c r="AG107" s="309">
        <f>EBIT/Sales</f>
        <v>0.1805644523</v>
      </c>
      <c r="AH107" s="15">
        <f>EBIT/Sales</f>
        <v>0.210293467</v>
      </c>
      <c r="AI107" s="15">
        <f>EBIT/Sales</f>
        <v>0.1395790473</v>
      </c>
      <c r="AJ107" s="15">
        <f>EBIT/Sales</f>
        <v>0.1648216482</v>
      </c>
      <c r="AK107" s="15">
        <f>EBIT/Sales</f>
        <v>0.219273743</v>
      </c>
      <c r="AL107" s="309">
        <f>EBIT/Sales</f>
        <v>0.1849499327</v>
      </c>
      <c r="AM107" s="15">
        <f t="shared" ref="AM107:AP107" si="776">+AM40/AM12</f>
        <v>0.2060435491</v>
      </c>
      <c r="AN107" s="15">
        <f t="shared" si="776"/>
        <v>0.1872065728</v>
      </c>
      <c r="AO107" s="15">
        <f t="shared" si="776"/>
        <v>0.2941401762</v>
      </c>
      <c r="AP107" s="15">
        <f t="shared" si="776"/>
        <v>0.3636883652</v>
      </c>
      <c r="AQ107" s="309">
        <f>EBIT/Sales</f>
        <v>0.2703958064</v>
      </c>
      <c r="AR107" s="15">
        <f t="shared" ref="AR107:AU107" si="777">+AR40/AR12</f>
        <v>0.3060190335</v>
      </c>
      <c r="AS107" s="15">
        <f t="shared" si="777"/>
        <v>0.2958131445</v>
      </c>
      <c r="AT107" s="15">
        <f t="shared" si="777"/>
        <v>0.2801322158</v>
      </c>
      <c r="AU107" s="15">
        <f t="shared" si="777"/>
        <v>0.3021462805</v>
      </c>
      <c r="AV107" s="309">
        <f>EBIT/Sales</f>
        <v>0.2961209039</v>
      </c>
      <c r="AW107" s="15">
        <f t="shared" ref="AW107:AZ107" si="778">+AW40/AW12</f>
        <v>0.3213907144</v>
      </c>
      <c r="AX107" s="15">
        <f t="shared" si="778"/>
        <v>0.2869678258</v>
      </c>
      <c r="AY107" s="15">
        <f t="shared" si="778"/>
        <v>0.3253012048</v>
      </c>
      <c r="AZ107" s="15">
        <f t="shared" si="778"/>
        <v>0.3243799627</v>
      </c>
      <c r="BA107" s="309">
        <f>EBIT/Sales</f>
        <v>0.3149951064</v>
      </c>
      <c r="BB107" s="15">
        <f t="shared" ref="BB107:BE107" si="779">+BB40/BB12</f>
        <v>0.1921700224</v>
      </c>
      <c r="BC107" s="15">
        <f t="shared" si="779"/>
        <v>0.1338494194</v>
      </c>
      <c r="BD107" s="15">
        <f t="shared" si="779"/>
        <v>0.1572262273</v>
      </c>
      <c r="BE107" s="15">
        <f t="shared" si="779"/>
        <v>0.1534970085</v>
      </c>
      <c r="BF107" s="309">
        <f>EBIT/Sales</f>
        <v>0.1597422418</v>
      </c>
      <c r="BG107" s="15">
        <f t="shared" ref="BG107:BJ107" si="780">+BG40/BG12</f>
        <v>0.1892227745</v>
      </c>
      <c r="BH107" s="15">
        <f t="shared" si="780"/>
        <v>0.1555299539</v>
      </c>
      <c r="BI107" s="15">
        <f t="shared" si="780"/>
        <v>0.2236868186</v>
      </c>
      <c r="BJ107" s="15">
        <f t="shared" si="780"/>
        <v>0.2844473488</v>
      </c>
      <c r="BK107" s="309">
        <f>EBIT/Sales</f>
        <v>0.2172744822</v>
      </c>
      <c r="BL107" s="15">
        <f t="shared" ref="BL107:BO107" si="781">+BL40/BL12</f>
        <v>0.2131706813</v>
      </c>
      <c r="BM107" s="15">
        <f t="shared" si="781"/>
        <v>0.2381203801</v>
      </c>
      <c r="BN107" s="15">
        <f t="shared" si="781"/>
        <v>0.3032201233</v>
      </c>
      <c r="BO107" s="15">
        <f t="shared" si="781"/>
        <v>0.1870897155</v>
      </c>
      <c r="BP107" s="309">
        <f>EBIT/Sales</f>
        <v>0.2382269994</v>
      </c>
      <c r="BQ107" s="15">
        <f t="shared" ref="BQ107:BT107" si="782">+BQ40/BQ12</f>
        <v>0.09055283415</v>
      </c>
      <c r="BR107" s="15">
        <f t="shared" si="782"/>
        <v>0.1788384845</v>
      </c>
      <c r="BS107" s="15">
        <f t="shared" si="782"/>
        <v>0.2746831398</v>
      </c>
      <c r="BT107" s="15">
        <f t="shared" si="782"/>
        <v>0.3545273914</v>
      </c>
      <c r="BU107" s="309">
        <f>EBIT/Sales</f>
        <v>0.2393601503</v>
      </c>
      <c r="BV107" s="15">
        <f t="shared" ref="BV107:BY107" si="783">+BV40/BV12</f>
        <v>0.3347897854</v>
      </c>
      <c r="BW107" s="15">
        <f t="shared" si="783"/>
        <v>0.369809568</v>
      </c>
      <c r="BX107" s="15">
        <f t="shared" si="783"/>
        <v>0.3725454873</v>
      </c>
      <c r="BY107" s="15">
        <f t="shared" si="783"/>
        <v>0.3511390416</v>
      </c>
      <c r="BZ107" s="37">
        <f>EBIT/Sales</f>
        <v>0.3573344337</v>
      </c>
      <c r="CA107" s="15">
        <f t="shared" ref="CA107:CD107" si="784">+CA40/CA12</f>
        <v>0.3236553281</v>
      </c>
      <c r="CB107" s="15">
        <f t="shared" si="784"/>
        <v>0.3019490485</v>
      </c>
      <c r="CC107" s="15">
        <f t="shared" si="784"/>
        <v>0.3361905431</v>
      </c>
      <c r="CD107" s="15">
        <f t="shared" si="784"/>
        <v>0.3311730395</v>
      </c>
      <c r="CE107" s="37">
        <f>EBIT/Sales</f>
        <v>0.3236541417</v>
      </c>
      <c r="CF107" s="15">
        <f t="shared" ref="CF107:CI107" si="785">+CF40/CF12</f>
        <v>0.2952115295</v>
      </c>
      <c r="CG107" s="15">
        <f t="shared" si="785"/>
        <v>0.2838308273</v>
      </c>
      <c r="CH107" s="15">
        <f t="shared" si="785"/>
        <v>0.2854276585</v>
      </c>
      <c r="CI107" s="15">
        <f t="shared" si="785"/>
        <v>0.2341025451</v>
      </c>
      <c r="CJ107" s="37">
        <f>EBIT/Sales</f>
        <v>0.2744230517</v>
      </c>
      <c r="CK107" s="15">
        <f t="shared" ref="CK107:CN107" si="786">+CK40/CK12</f>
        <v>0.2002384738</v>
      </c>
      <c r="CL107" s="15">
        <f t="shared" si="786"/>
        <v>0.2122394817</v>
      </c>
      <c r="CM107" s="15">
        <f t="shared" si="786"/>
        <v>0.2598828154</v>
      </c>
      <c r="CN107" s="40">
        <f t="shared" si="786"/>
        <v>0.2565418534</v>
      </c>
      <c r="CO107" s="37">
        <f>EBIT/Sales</f>
        <v>0.2331904075</v>
      </c>
      <c r="CP107" s="40">
        <f t="shared" ref="CP107:CS107" si="787">+CP40/CP12</f>
        <v>0.1984487621</v>
      </c>
      <c r="CQ107" s="15">
        <f t="shared" si="787"/>
        <v>0.2779263972</v>
      </c>
      <c r="CR107" s="15">
        <f t="shared" si="787"/>
        <v>0.3119417342</v>
      </c>
      <c r="CS107" s="15">
        <f t="shared" si="787"/>
        <v>0.3024930372</v>
      </c>
      <c r="CT107" s="37">
        <f>EBIT/Sales</f>
        <v>0.2775550385</v>
      </c>
      <c r="CU107" s="15">
        <f t="shared" ref="CU107:CX107" si="788">+CU40/CU12</f>
        <v>0.204600579</v>
      </c>
      <c r="CV107" s="15">
        <f t="shared" si="788"/>
        <v>0.2194770746</v>
      </c>
      <c r="CW107" s="15">
        <f t="shared" si="788"/>
        <v>0.2898029727</v>
      </c>
      <c r="CX107" s="15">
        <f t="shared" si="788"/>
        <v>0.2882526485</v>
      </c>
      <c r="CY107" s="37">
        <f>EBIT/Sales</f>
        <v>0.254845994</v>
      </c>
      <c r="CZ107" s="15">
        <f t="shared" ref="CZ107:DC107" si="789">+CZ40/CZ12</f>
        <v>0.1860734729</v>
      </c>
      <c r="DA107" s="15">
        <f t="shared" si="789"/>
        <v>0.09739156137</v>
      </c>
      <c r="DB107" s="15">
        <f t="shared" si="789"/>
        <v>0.2827988338</v>
      </c>
      <c r="DC107" s="15">
        <f t="shared" si="789"/>
        <v>0.2764138268</v>
      </c>
      <c r="DD107" s="37">
        <f>EBIT/Sales</f>
        <v>0.2164206704</v>
      </c>
      <c r="DE107" s="15">
        <f t="shared" ref="DE107:DH107" si="790">+DE40/DE12</f>
        <v>0.2432414166</v>
      </c>
      <c r="DF107" s="15">
        <f t="shared" si="790"/>
        <v>0.259229154</v>
      </c>
      <c r="DG107" s="40">
        <f t="shared" si="790"/>
        <v>0.3167378785</v>
      </c>
      <c r="DH107" s="15">
        <f t="shared" si="790"/>
        <v>0.3163666217</v>
      </c>
      <c r="DI107" s="37">
        <f>EBIT/Sales</f>
        <v>0.285782572</v>
      </c>
      <c r="DJ107" s="40">
        <f t="shared" ref="DJ107:DM107" si="791">+DJ40/DJ12</f>
        <v>0.2782273123</v>
      </c>
      <c r="DK107" s="40">
        <f t="shared" si="791"/>
        <v>0.3108713595</v>
      </c>
      <c r="DL107" s="40">
        <f t="shared" si="791"/>
        <v>0.3834994521</v>
      </c>
      <c r="DM107" s="40">
        <f t="shared" si="791"/>
        <v>0.3336013293</v>
      </c>
      <c r="DN107" s="37">
        <f>EBIT/Sales</f>
        <v>0.329098916</v>
      </c>
      <c r="DO107" s="40">
        <f t="shared" ref="DO107:DR107" si="792">+DO40/DO12</f>
        <v>0.2598841915</v>
      </c>
      <c r="DP107" s="40">
        <f t="shared" si="792"/>
        <v>0.2797334141</v>
      </c>
      <c r="DQ107" s="40">
        <f t="shared" si="792"/>
        <v>0.3359562272</v>
      </c>
      <c r="DR107" s="40">
        <f t="shared" si="792"/>
        <v>0.3363352962</v>
      </c>
      <c r="DS107" s="37">
        <f>EBIT/Sales</f>
        <v>0.3061905093</v>
      </c>
      <c r="DT107" s="40">
        <f t="shared" ref="DT107:DW107" si="793">+DT40/DT12</f>
        <v>0.3549525923</v>
      </c>
      <c r="DU107" s="40">
        <f t="shared" si="793"/>
        <v>0.2887773723</v>
      </c>
      <c r="DV107" s="40">
        <f t="shared" si="793"/>
        <v>0.2759504718</v>
      </c>
      <c r="DW107" s="40">
        <f t="shared" si="793"/>
        <v>0.2945239764</v>
      </c>
      <c r="DX107" s="37">
        <f>EBIT/Sales</f>
        <v>0.3040826024</v>
      </c>
      <c r="DY107" s="40">
        <f t="shared" ref="DY107:EB107" si="794">+DY40/DY12</f>
        <v>0.1989658516</v>
      </c>
      <c r="DZ107" s="40">
        <f t="shared" si="794"/>
        <v>0.2992499865</v>
      </c>
      <c r="EA107" s="40">
        <f t="shared" si="794"/>
        <v>0.2889920938</v>
      </c>
      <c r="EB107" s="40">
        <f t="shared" si="794"/>
        <v>0.2554269916</v>
      </c>
      <c r="EC107" s="37">
        <f>EBIT/Sales</f>
        <v>0.2603924088</v>
      </c>
      <c r="ED107" s="40">
        <f t="shared" ref="ED107:EG107" si="795">+ED40/ED12</f>
        <v>0.2365280881</v>
      </c>
      <c r="EE107" s="40">
        <f t="shared" si="795"/>
        <v>-0.0456889237</v>
      </c>
      <c r="EF107" s="40">
        <f t="shared" si="795"/>
        <v>-0.011409571</v>
      </c>
      <c r="EG107" s="40">
        <f t="shared" si="795"/>
        <v>-0.08061529697</v>
      </c>
      <c r="EH107" s="37">
        <f>EBIT/Sales</f>
        <v>0.03701589114</v>
      </c>
      <c r="EI107" s="82" t="str">
        <f t="shared" ref="EI107:EL107" si="796">+EI40/EI12</f>
        <v>#ERROR!</v>
      </c>
      <c r="EJ107" s="15" t="str">
        <f t="shared" si="796"/>
        <v>#ERROR!</v>
      </c>
      <c r="EK107" s="15" t="str">
        <f t="shared" si="796"/>
        <v>#ERROR!</v>
      </c>
      <c r="EL107" s="15" t="str">
        <f t="shared" si="796"/>
        <v>#ERROR!</v>
      </c>
      <c r="EM107" s="37" t="str">
        <f>EBIT/Sales</f>
        <v>#ERROR!</v>
      </c>
      <c r="EN107" s="15" t="str">
        <f t="shared" ref="EN107:EQ107" si="797">+EN40/EN12</f>
        <v>#ERROR!</v>
      </c>
      <c r="EO107" s="15" t="str">
        <f t="shared" si="797"/>
        <v>#ERROR!</v>
      </c>
      <c r="EP107" s="15" t="str">
        <f t="shared" si="797"/>
        <v>#ERROR!</v>
      </c>
      <c r="EQ107" s="15" t="str">
        <f t="shared" si="797"/>
        <v>#ERROR!</v>
      </c>
      <c r="ER107" s="37" t="str">
        <f>EBIT/Sales</f>
        <v>#ERROR!</v>
      </c>
      <c r="ES107" s="15" t="str">
        <f t="shared" ref="ES107:EV107" si="798">+ES40/ES12</f>
        <v>#ERROR!</v>
      </c>
      <c r="ET107" s="15" t="str">
        <f t="shared" si="798"/>
        <v>#ERROR!</v>
      </c>
      <c r="EU107" s="15" t="str">
        <f t="shared" si="798"/>
        <v>#ERROR!</v>
      </c>
      <c r="EV107" s="15" t="str">
        <f t="shared" si="798"/>
        <v>#ERROR!</v>
      </c>
      <c r="EW107" s="37" t="str">
        <f>EBIT/Sales</f>
        <v>#ERROR!</v>
      </c>
      <c r="EX107" s="15" t="str">
        <f t="shared" ref="EX107:FA107" si="799">+EX40/EX12</f>
        <v>#ERROR!</v>
      </c>
      <c r="EY107" s="15" t="str">
        <f t="shared" si="799"/>
        <v>#ERROR!</v>
      </c>
      <c r="EZ107" s="15" t="str">
        <f t="shared" si="799"/>
        <v>#ERROR!</v>
      </c>
      <c r="FA107" s="15" t="str">
        <f t="shared" si="799"/>
        <v>#ERROR!</v>
      </c>
      <c r="FB107" s="37" t="str">
        <f>EBIT/Sales</f>
        <v>#ERROR!</v>
      </c>
      <c r="FC107" s="15" t="str">
        <f t="shared" ref="FC107:FF107" si="800">+FC40/FC12</f>
        <v>#ERROR!</v>
      </c>
      <c r="FD107" s="15" t="str">
        <f t="shared" si="800"/>
        <v>#ERROR!</v>
      </c>
      <c r="FE107" s="15" t="str">
        <f t="shared" si="800"/>
        <v>#ERROR!</v>
      </c>
      <c r="FF107" s="15" t="str">
        <f t="shared" si="800"/>
        <v>#ERROR!</v>
      </c>
      <c r="FG107" s="37" t="str">
        <f>EBIT/Sales</f>
        <v>#ERROR!</v>
      </c>
      <c r="FH107" s="35"/>
      <c r="FI107" s="15"/>
      <c r="FJ107" s="15"/>
      <c r="FK107" s="309"/>
      <c r="FL107" s="15"/>
    </row>
    <row r="108" ht="12.75" customHeight="1">
      <c r="A108" s="4"/>
      <c r="B108" s="72" t="str">
        <f t="shared" ref="B108:B109" si="826">B45</f>
        <v>Other income, net</v>
      </c>
      <c r="C108" s="72"/>
      <c r="D108" s="15"/>
      <c r="E108" s="15"/>
      <c r="F108" s="15"/>
      <c r="G108" s="15"/>
      <c r="H108" s="309"/>
      <c r="I108" s="15"/>
      <c r="J108" s="15"/>
      <c r="K108" s="15"/>
      <c r="L108" s="15"/>
      <c r="M108" s="309"/>
      <c r="N108" s="15">
        <f>N45/Sales</f>
        <v>0.0333277787</v>
      </c>
      <c r="O108" s="15">
        <f>O45/Sales</f>
        <v>0.02429559642</v>
      </c>
      <c r="P108" s="15">
        <f>P45/Sales</f>
        <v>0.02525627693</v>
      </c>
      <c r="Q108" s="15">
        <f>Q45/Sales</f>
        <v>0.03204623063</v>
      </c>
      <c r="R108" s="309">
        <f>R45/Sales</f>
        <v>0.02885091158</v>
      </c>
      <c r="S108" s="15">
        <f>S45/Sales</f>
        <v>0.04885259749</v>
      </c>
      <c r="T108" s="15">
        <f>T45/Sales</f>
        <v>0.04298843759</v>
      </c>
      <c r="U108" s="15">
        <f>U45/Sales</f>
        <v>0.04312227074</v>
      </c>
      <c r="V108" s="15">
        <f>V45/Sales</f>
        <v>0.06186069167</v>
      </c>
      <c r="W108" s="309">
        <f>W45/Sales</f>
        <v>0.04971247746</v>
      </c>
      <c r="X108" s="15">
        <f>X45/Sales</f>
        <v>0.0800700613</v>
      </c>
      <c r="Y108" s="15">
        <f>Y45/Sales</f>
        <v>0.2820481928</v>
      </c>
      <c r="Z108" s="15">
        <f>Z45/Sales</f>
        <v>0.1106402474</v>
      </c>
      <c r="AA108" s="15">
        <f>AA45/Sales</f>
        <v>0.09181797288</v>
      </c>
      <c r="AB108" s="309">
        <f>AB45/Sales</f>
        <v>0.1407222914</v>
      </c>
      <c r="AC108" s="15">
        <f>AC45/Sales</f>
        <v>0.03953871499</v>
      </c>
      <c r="AD108" s="15">
        <f>AD45/Sales</f>
        <v>0.02036627723</v>
      </c>
      <c r="AE108" s="15">
        <f>AE45/Sales</f>
        <v>-0.0385026738</v>
      </c>
      <c r="AF108" s="15">
        <f>AF45/Sales</f>
        <v>-0.03064585422</v>
      </c>
      <c r="AG108" s="309">
        <f>AG45/Sales</f>
        <v>-0.002750668827</v>
      </c>
      <c r="AH108" s="15">
        <f>AH45/Sales</f>
        <v>0.000294941749</v>
      </c>
      <c r="AI108" s="15">
        <f>AI45/Sales</f>
        <v>-0.00253204621</v>
      </c>
      <c r="AJ108" s="15">
        <f>AJ45/Sales</f>
        <v>-0.007226322263</v>
      </c>
      <c r="AK108" s="15">
        <f>AK45/Sales</f>
        <v>-0.01634078212</v>
      </c>
      <c r="AL108" s="309">
        <f>AL45/Sales</f>
        <v>-0.006650724854</v>
      </c>
      <c r="AM108" s="15">
        <f t="shared" ref="AM108:AP108" si="801">+AM45/AM12</f>
        <v>-0.01110946526</v>
      </c>
      <c r="AN108" s="15">
        <f t="shared" si="801"/>
        <v>-0.0007335680751</v>
      </c>
      <c r="AO108" s="15">
        <f t="shared" si="801"/>
        <v>-0.003702285204</v>
      </c>
      <c r="AP108" s="15">
        <f t="shared" si="801"/>
        <v>0.002059260954</v>
      </c>
      <c r="AQ108" s="309">
        <f>AQ45/Sales</f>
        <v>-0.00301914336</v>
      </c>
      <c r="AR108" s="15">
        <f t="shared" ref="AR108:AU108" si="802">+AR45/AR12</f>
        <v>0.008404399951</v>
      </c>
      <c r="AS108" s="15">
        <f t="shared" si="802"/>
        <v>0.0048453224</v>
      </c>
      <c r="AT108" s="15">
        <f t="shared" si="802"/>
        <v>0.006256640302</v>
      </c>
      <c r="AU108" s="15">
        <f t="shared" si="802"/>
        <v>0.01323192332</v>
      </c>
      <c r="AV108" s="309">
        <f>AV45/Sales</f>
        <v>0.008389605075</v>
      </c>
      <c r="AW108" s="15">
        <f t="shared" ref="AW108:AZ108" si="803">+AW45/AW12</f>
        <v>0.01261394954</v>
      </c>
      <c r="AX108" s="15">
        <f t="shared" si="803"/>
        <v>0.01137471563</v>
      </c>
      <c r="AY108" s="15">
        <f t="shared" si="803"/>
        <v>0.01435742972</v>
      </c>
      <c r="AZ108" s="15">
        <f t="shared" si="803"/>
        <v>0.01499852956</v>
      </c>
      <c r="BA108" s="309">
        <f>BA45/Sales</f>
        <v>0.01339308711</v>
      </c>
      <c r="BB108" s="15">
        <f t="shared" ref="BB108:BE108" si="804">+BB45/BB12</f>
        <v>0.01744966443</v>
      </c>
      <c r="BC108" s="15">
        <f t="shared" si="804"/>
        <v>0.02259957548</v>
      </c>
      <c r="BD108" s="15">
        <f t="shared" si="804"/>
        <v>0.05034901018</v>
      </c>
      <c r="BE108" s="15">
        <f t="shared" si="804"/>
        <v>0.0659170621</v>
      </c>
      <c r="BF108" s="309">
        <f>BF45/Sales</f>
        <v>0.04002034933</v>
      </c>
      <c r="BG108" s="15">
        <f t="shared" ref="BG108:BJ108" si="805">+BG45/BG12</f>
        <v>0.02236782648</v>
      </c>
      <c r="BH108" s="15">
        <f t="shared" si="805"/>
        <v>0.02062211982</v>
      </c>
      <c r="BI108" s="15">
        <f t="shared" si="805"/>
        <v>0.03557978196</v>
      </c>
      <c r="BJ108" s="15">
        <f t="shared" si="805"/>
        <v>0.01997759522</v>
      </c>
      <c r="BK108" s="309">
        <f>BK45/Sales</f>
        <v>0.0247821777</v>
      </c>
      <c r="BL108" s="15">
        <f t="shared" ref="BL108:BO108" si="806">+BL45/BL12</f>
        <v>0.01126847927</v>
      </c>
      <c r="BM108" s="15">
        <f t="shared" si="806"/>
        <v>0.006124604013</v>
      </c>
      <c r="BN108" s="15">
        <f t="shared" si="806"/>
        <v>-0.02593716355</v>
      </c>
      <c r="BO108" s="15">
        <f t="shared" si="806"/>
        <v>-0.02820325796</v>
      </c>
      <c r="BP108" s="309">
        <f>BP45/Sales</f>
        <v>-0.008779864843</v>
      </c>
      <c r="BQ108" s="15">
        <f t="shared" ref="BQ108:BT108" si="807">+BQ45/BQ12</f>
        <v>-0.002519244227</v>
      </c>
      <c r="BR108" s="15">
        <f t="shared" si="807"/>
        <v>-0.004735792622</v>
      </c>
      <c r="BS108" s="15">
        <f t="shared" si="807"/>
        <v>-0.005005857919</v>
      </c>
      <c r="BT108" s="15">
        <f t="shared" si="807"/>
        <v>0.009083167755</v>
      </c>
      <c r="BU108" s="309">
        <f>BU45/Sales</f>
        <v>-0.0001992769095</v>
      </c>
      <c r="BV108" s="15">
        <f t="shared" ref="BV108:BY108" si="808">+BV45/BV12</f>
        <v>-0.000194193611</v>
      </c>
      <c r="BW108" s="15">
        <f t="shared" si="808"/>
        <v>0.0189503019</v>
      </c>
      <c r="BX108" s="15">
        <f t="shared" si="808"/>
        <v>0.01035849397</v>
      </c>
      <c r="BY108" s="15">
        <f t="shared" si="808"/>
        <v>0.01221960374</v>
      </c>
      <c r="BZ108" s="37">
        <f>BZ45/Sales</f>
        <v>0.01047612498</v>
      </c>
      <c r="CA108" s="15">
        <f t="shared" ref="CA108:CD108" si="809">+CA45/CA12</f>
        <v>0.01657974624</v>
      </c>
      <c r="CB108" s="15">
        <f t="shared" si="809"/>
        <v>-0.000306936771</v>
      </c>
      <c r="CC108" s="15">
        <f t="shared" si="809"/>
        <v>0.007517740462</v>
      </c>
      <c r="CD108" s="15">
        <f t="shared" si="809"/>
        <v>-0.00086411752</v>
      </c>
      <c r="CE108" s="37">
        <f>CE45/Sales</f>
        <v>0.005629733884</v>
      </c>
      <c r="CF108" s="15">
        <f t="shared" ref="CF108:CI108" si="810">+CF45/CF12</f>
        <v>0.0003099333643</v>
      </c>
      <c r="CG108" s="15">
        <f t="shared" si="810"/>
        <v>0.007554995926</v>
      </c>
      <c r="CH108" s="15">
        <f t="shared" si="810"/>
        <v>0.00594486141</v>
      </c>
      <c r="CI108" s="15">
        <f t="shared" si="810"/>
        <v>0.003635823996</v>
      </c>
      <c r="CJ108" s="37">
        <f>CJ45/Sales</f>
        <v>0.004405616693</v>
      </c>
      <c r="CK108" s="15">
        <f t="shared" ref="CK108:CN108" si="811">+CK45/CK12</f>
        <v>-0.006041335453</v>
      </c>
      <c r="CL108" s="15">
        <f t="shared" si="811"/>
        <v>-0.002029505893</v>
      </c>
      <c r="CM108" s="15">
        <f t="shared" si="811"/>
        <v>0.03115033746</v>
      </c>
      <c r="CN108" s="40">
        <f t="shared" si="811"/>
        <v>0.000144571346</v>
      </c>
      <c r="CO108" s="37">
        <f>CO45/Sales</f>
        <v>0.00607118464</v>
      </c>
      <c r="CP108" s="40">
        <f t="shared" ref="CP108:CS108" si="812">+CP45/CP12</f>
        <v>0.01253525541</v>
      </c>
      <c r="CQ108" s="15">
        <f t="shared" si="812"/>
        <v>0.005639505459</v>
      </c>
      <c r="CR108" s="15">
        <f t="shared" si="812"/>
        <v>0.0006870963309</v>
      </c>
      <c r="CS108" s="15">
        <f t="shared" si="812"/>
        <v>0.01399361456</v>
      </c>
      <c r="CT108" s="37">
        <f>CT45/Sales</f>
        <v>0.008126006802</v>
      </c>
      <c r="CU108" s="15">
        <f t="shared" ref="CU108:CX108" si="813">+CU45/CU12</f>
        <v>0.004537986073</v>
      </c>
      <c r="CV108" s="15">
        <f t="shared" si="813"/>
        <v>0.006593406593</v>
      </c>
      <c r="CW108" s="15">
        <f t="shared" si="813"/>
        <v>0.0042170757</v>
      </c>
      <c r="CX108" s="15">
        <f t="shared" si="813"/>
        <v>0.0002682043717</v>
      </c>
      <c r="CY108" s="37">
        <f>CY45/Sales</f>
        <v>0.00379369524</v>
      </c>
      <c r="CZ108" s="15">
        <f t="shared" ref="CZ108:DC108" si="814">+CZ45/CZ12</f>
        <v>-0.00434751105</v>
      </c>
      <c r="DA108" s="15">
        <f t="shared" si="814"/>
        <v>0.02601049287</v>
      </c>
      <c r="DB108" s="15">
        <f t="shared" si="814"/>
        <v>-0.009126632019</v>
      </c>
      <c r="DC108" s="15">
        <f t="shared" si="814"/>
        <v>-0.005252229144</v>
      </c>
      <c r="DD108" s="37">
        <f>DD45/Sales</f>
        <v>0.001042262045</v>
      </c>
      <c r="DE108" s="15">
        <f t="shared" ref="DE108:DH108" si="815">+DE45/DE12</f>
        <v>0.01459854015</v>
      </c>
      <c r="DF108" s="15">
        <f t="shared" si="815"/>
        <v>0.05046399783</v>
      </c>
      <c r="DG108" s="40">
        <f t="shared" si="815"/>
        <v>0.05046752121</v>
      </c>
      <c r="DH108" s="15">
        <f t="shared" si="815"/>
        <v>0.03753005336</v>
      </c>
      <c r="DI108" s="37">
        <f>DI45/Sales</f>
        <v>0.03849524386</v>
      </c>
      <c r="DJ108" s="40">
        <f t="shared" ref="DJ108:DM108" si="816">+DJ45/DJ12</f>
        <v>0.03367359641</v>
      </c>
      <c r="DK108" s="40">
        <f t="shared" si="816"/>
        <v>0.01509255984</v>
      </c>
      <c r="DL108" s="40">
        <f t="shared" si="816"/>
        <v>-0.01080206648</v>
      </c>
      <c r="DM108" s="40">
        <f t="shared" si="816"/>
        <v>-0.03156992014</v>
      </c>
      <c r="DN108" s="37">
        <f>DN45/Sales</f>
        <v>0.00001411472448</v>
      </c>
      <c r="DO108" s="40">
        <f t="shared" ref="DO108:DR108" si="817">+DO45/DO12</f>
        <v>0.02322395866</v>
      </c>
      <c r="DP108" s="40">
        <f t="shared" si="817"/>
        <v>0.006482883975</v>
      </c>
      <c r="DQ108" s="40">
        <f t="shared" si="817"/>
        <v>0.01417404898</v>
      </c>
      <c r="DR108" s="40">
        <f t="shared" si="817"/>
        <v>0.06289277055</v>
      </c>
      <c r="DS108" s="37">
        <f>DS45/Sales</f>
        <v>0.02811088724</v>
      </c>
      <c r="DT108" s="40">
        <f t="shared" ref="DT108:DW108" si="818">+DT45/DT12</f>
        <v>-0.02138390155</v>
      </c>
      <c r="DU108" s="40">
        <f t="shared" si="818"/>
        <v>0.01206407137</v>
      </c>
      <c r="DV108" s="40">
        <f t="shared" si="818"/>
        <v>-0.0009818360334</v>
      </c>
      <c r="DW108" s="40">
        <f t="shared" si="818"/>
        <v>0.08028831715</v>
      </c>
      <c r="DX108" s="37">
        <f>DX45/Sales</f>
        <v>0.01797937509</v>
      </c>
      <c r="DY108" s="40">
        <f t="shared" ref="DY108:EB108" si="819">+DY45/DY12</f>
        <v>0.0114187224</v>
      </c>
      <c r="DZ108" s="40">
        <f t="shared" si="819"/>
        <v>0.01073760319</v>
      </c>
      <c r="EA108" s="40">
        <f t="shared" si="819"/>
        <v>0.090175264</v>
      </c>
      <c r="EB108" s="40">
        <f t="shared" si="819"/>
        <v>0.01049559697</v>
      </c>
      <c r="EC108" s="37">
        <f>EC45/Sales</f>
        <v>0.03007307476</v>
      </c>
      <c r="ED108" s="40">
        <f t="shared" ref="ED108:EG108" si="820">+ED45/ED12</f>
        <v>0.2898708658</v>
      </c>
      <c r="EE108" s="40">
        <f t="shared" si="820"/>
        <v>-0.01364140722</v>
      </c>
      <c r="EF108" s="40">
        <f t="shared" si="820"/>
        <v>-0.0008475681314</v>
      </c>
      <c r="EG108" s="40">
        <f t="shared" si="820"/>
        <v>0.02392821535</v>
      </c>
      <c r="EH108" s="37">
        <f>EH45/Sales</f>
        <v>0.0861800996</v>
      </c>
      <c r="EI108" s="82" t="str">
        <f t="shared" ref="EI108:EL108" si="821">+EI45/EI12</f>
        <v>#ERROR!</v>
      </c>
      <c r="EJ108" s="15" t="str">
        <f t="shared" si="821"/>
        <v>#ERROR!</v>
      </c>
      <c r="EK108" s="15" t="str">
        <f t="shared" si="821"/>
        <v>#ERROR!</v>
      </c>
      <c r="EL108" s="15" t="str">
        <f t="shared" si="821"/>
        <v>#ERROR!</v>
      </c>
      <c r="EM108" s="37" t="str">
        <f>EM45/Sales</f>
        <v>#ERROR!</v>
      </c>
      <c r="EN108" s="15" t="str">
        <f t="shared" ref="EN108:EQ108" si="822">+EN45/EN12</f>
        <v>#ERROR!</v>
      </c>
      <c r="EO108" s="15" t="str">
        <f t="shared" si="822"/>
        <v>#ERROR!</v>
      </c>
      <c r="EP108" s="15" t="str">
        <f t="shared" si="822"/>
        <v>#ERROR!</v>
      </c>
      <c r="EQ108" s="15" t="str">
        <f t="shared" si="822"/>
        <v>#ERROR!</v>
      </c>
      <c r="ER108" s="37" t="str">
        <f>ER45/Sales</f>
        <v>#ERROR!</v>
      </c>
      <c r="ES108" s="15" t="str">
        <f t="shared" ref="ES108:EV108" si="823">+ES45/ES12</f>
        <v>#ERROR!</v>
      </c>
      <c r="ET108" s="15" t="str">
        <f t="shared" si="823"/>
        <v>#ERROR!</v>
      </c>
      <c r="EU108" s="15" t="str">
        <f t="shared" si="823"/>
        <v>#ERROR!</v>
      </c>
      <c r="EV108" s="15" t="str">
        <f t="shared" si="823"/>
        <v>#ERROR!</v>
      </c>
      <c r="EW108" s="37" t="str">
        <f>EW45/Sales</f>
        <v>#ERROR!</v>
      </c>
      <c r="EX108" s="15" t="str">
        <f t="shared" ref="EX108:FA108" si="824">+EX45/EX12</f>
        <v>#ERROR!</v>
      </c>
      <c r="EY108" s="15" t="str">
        <f t="shared" si="824"/>
        <v>#ERROR!</v>
      </c>
      <c r="EZ108" s="15" t="str">
        <f t="shared" si="824"/>
        <v>#ERROR!</v>
      </c>
      <c r="FA108" s="15" t="str">
        <f t="shared" si="824"/>
        <v>#ERROR!</v>
      </c>
      <c r="FB108" s="37" t="str">
        <f>FB45/Sales</f>
        <v>#ERROR!</v>
      </c>
      <c r="FC108" s="15" t="str">
        <f t="shared" ref="FC108:FF108" si="825">+FC45/FC12</f>
        <v>#ERROR!</v>
      </c>
      <c r="FD108" s="15" t="str">
        <f t="shared" si="825"/>
        <v>#ERROR!</v>
      </c>
      <c r="FE108" s="15" t="str">
        <f t="shared" si="825"/>
        <v>#ERROR!</v>
      </c>
      <c r="FF108" s="15" t="str">
        <f t="shared" si="825"/>
        <v>#ERROR!</v>
      </c>
      <c r="FG108" s="37" t="str">
        <f>FG45/Sales</f>
        <v>#ERROR!</v>
      </c>
      <c r="FH108" s="35"/>
      <c r="FI108" s="15"/>
      <c r="FJ108" s="15"/>
      <c r="FK108" s="309"/>
      <c r="FL108" s="15"/>
    </row>
    <row r="109" ht="12.75" customHeight="1">
      <c r="A109" s="4"/>
      <c r="B109" s="72" t="str">
        <f t="shared" si="826"/>
        <v>Pretax income</v>
      </c>
      <c r="C109" s="72"/>
      <c r="D109" s="15"/>
      <c r="E109" s="15"/>
      <c r="F109" s="15"/>
      <c r="G109" s="15"/>
      <c r="H109" s="309"/>
      <c r="I109" s="15"/>
      <c r="J109" s="15"/>
      <c r="K109" s="15"/>
      <c r="L109" s="15"/>
      <c r="M109" s="309"/>
      <c r="N109" s="15">
        <f>EBT/Sales</f>
        <v>0.3576070655</v>
      </c>
      <c r="O109" s="15">
        <f>EBT/Sales</f>
        <v>0.2952589843</v>
      </c>
      <c r="P109" s="15">
        <f>EBT/Sales</f>
        <v>0.3479423563</v>
      </c>
      <c r="Q109" s="15">
        <f>EBT/Sales</f>
        <v>0.4097714736</v>
      </c>
      <c r="R109" s="309">
        <f>EBT/Sales</f>
        <v>0.3561831538</v>
      </c>
      <c r="S109" s="15">
        <f>EBT/Sales</f>
        <v>0.4226383218</v>
      </c>
      <c r="T109" s="15">
        <f>EBT/Sales</f>
        <v>0.3914912541</v>
      </c>
      <c r="U109" s="15">
        <f>EBT/Sales</f>
        <v>0.3856441048</v>
      </c>
      <c r="V109" s="15">
        <f>EBT/Sales</f>
        <v>0.4337554798</v>
      </c>
      <c r="W109" s="309">
        <f>EBT/Sales</f>
        <v>0.409370853</v>
      </c>
      <c r="X109" s="15">
        <f>EBT/Sales</f>
        <v>0.4465157012</v>
      </c>
      <c r="Y109" s="15">
        <f>EBT/Sales</f>
        <v>0.6221686747</v>
      </c>
      <c r="Z109" s="15">
        <f>EBT/Sales</f>
        <v>0.4868858092</v>
      </c>
      <c r="AA109" s="15">
        <f>EBT/Sales</f>
        <v>0.4426568605</v>
      </c>
      <c r="AB109" s="309">
        <f>EBT/Sales</f>
        <v>0.4991994307</v>
      </c>
      <c r="AC109" s="15">
        <f>EBT/Sales</f>
        <v>0.2345364685</v>
      </c>
      <c r="AD109" s="15">
        <f>EBT/Sales</f>
        <v>0.1678244395</v>
      </c>
      <c r="AE109" s="15">
        <f>EBT/Sales</f>
        <v>0.1139801375</v>
      </c>
      <c r="AF109" s="15">
        <f>EBT/Sales</f>
        <v>0.1924674209</v>
      </c>
      <c r="AG109" s="309">
        <f>EBT/Sales</f>
        <v>0.1778137835</v>
      </c>
      <c r="AH109" s="15">
        <f>EBT/Sales</f>
        <v>0.2105884088</v>
      </c>
      <c r="AI109" s="15">
        <f>EBT/Sales</f>
        <v>0.1370470011</v>
      </c>
      <c r="AJ109" s="15">
        <f>EBT/Sales</f>
        <v>0.157595326</v>
      </c>
      <c r="AK109" s="15">
        <f>EBT/Sales</f>
        <v>0.2029329609</v>
      </c>
      <c r="AL109" s="309">
        <f>EBT/Sales</f>
        <v>0.1782992079</v>
      </c>
      <c r="AM109" s="15">
        <f t="shared" ref="AM109:AP109" si="827">+AM46/AM12</f>
        <v>0.1949340838</v>
      </c>
      <c r="AN109" s="15">
        <f t="shared" si="827"/>
        <v>0.1864730047</v>
      </c>
      <c r="AO109" s="15">
        <f t="shared" si="827"/>
        <v>0.290437891</v>
      </c>
      <c r="AP109" s="15">
        <f t="shared" si="827"/>
        <v>0.3657476261</v>
      </c>
      <c r="AQ109" s="309">
        <f>EBT/Sales</f>
        <v>0.267376663</v>
      </c>
      <c r="AR109" s="15">
        <f t="shared" ref="AR109:AU109" si="828">+AR46/AR12</f>
        <v>0.3144234334</v>
      </c>
      <c r="AS109" s="15">
        <f t="shared" si="828"/>
        <v>0.3006584669</v>
      </c>
      <c r="AT109" s="15">
        <f t="shared" si="828"/>
        <v>0.2863888561</v>
      </c>
      <c r="AU109" s="15">
        <f t="shared" si="828"/>
        <v>0.3153782038</v>
      </c>
      <c r="AV109" s="309">
        <f>EBT/Sales</f>
        <v>0.3045105089</v>
      </c>
      <c r="AW109" s="15">
        <f t="shared" ref="AW109:AZ109" si="829">+AW46/AW12</f>
        <v>0.334004664</v>
      </c>
      <c r="AX109" s="15">
        <f t="shared" si="829"/>
        <v>0.2983425414</v>
      </c>
      <c r="AY109" s="15">
        <f t="shared" si="829"/>
        <v>0.3396586345</v>
      </c>
      <c r="AZ109" s="15">
        <f t="shared" si="829"/>
        <v>0.3393784923</v>
      </c>
      <c r="BA109" s="309">
        <f>EBT/Sales</f>
        <v>0.3283881935</v>
      </c>
      <c r="BB109" s="15">
        <f t="shared" ref="BB109:BE109" si="830">+BB46/BB12</f>
        <v>0.2096196868</v>
      </c>
      <c r="BC109" s="15">
        <f t="shared" si="830"/>
        <v>0.1564489949</v>
      </c>
      <c r="BD109" s="15">
        <f t="shared" si="830"/>
        <v>0.2075752374</v>
      </c>
      <c r="BE109" s="15">
        <f t="shared" si="830"/>
        <v>0.2194140706</v>
      </c>
      <c r="BF109" s="309">
        <f>EBT/Sales</f>
        <v>0.1997625911</v>
      </c>
      <c r="BG109" s="15">
        <f t="shared" ref="BG109:BJ109" si="831">+BG46/BG12</f>
        <v>0.211590601</v>
      </c>
      <c r="BH109" s="15">
        <f t="shared" si="831"/>
        <v>0.1761520737</v>
      </c>
      <c r="BI109" s="15">
        <f t="shared" si="831"/>
        <v>0.2592666006</v>
      </c>
      <c r="BJ109" s="15">
        <f t="shared" si="831"/>
        <v>0.304424944</v>
      </c>
      <c r="BK109" s="309">
        <f>EBT/Sales</f>
        <v>0.2420566599</v>
      </c>
      <c r="BL109" s="15">
        <f t="shared" ref="BL109:BO109" si="832">+BL46/BL12</f>
        <v>0.2244391605</v>
      </c>
      <c r="BM109" s="15">
        <f t="shared" si="832"/>
        <v>0.2442449842</v>
      </c>
      <c r="BN109" s="15">
        <f t="shared" si="832"/>
        <v>0.2772829598</v>
      </c>
      <c r="BO109" s="15">
        <f t="shared" si="832"/>
        <v>0.1588864576</v>
      </c>
      <c r="BP109" s="309">
        <f>EBT/Sales</f>
        <v>0.2294471346</v>
      </c>
      <c r="BQ109" s="15">
        <f t="shared" ref="BQ109:BT109" si="833">+BQ46/BQ12</f>
        <v>0.08803358992</v>
      </c>
      <c r="BR109" s="15">
        <f t="shared" si="833"/>
        <v>0.1741026919</v>
      </c>
      <c r="BS109" s="15">
        <f t="shared" si="833"/>
        <v>0.2696772819</v>
      </c>
      <c r="BT109" s="15">
        <f t="shared" si="833"/>
        <v>0.3636105592</v>
      </c>
      <c r="BU109" s="309">
        <f>EBT/Sales</f>
        <v>0.2391608734</v>
      </c>
      <c r="BV109" s="15">
        <f t="shared" ref="BV109:BY109" si="834">+BV46/BV12</f>
        <v>0.3345955918</v>
      </c>
      <c r="BW109" s="15">
        <f t="shared" si="834"/>
        <v>0.3887598699</v>
      </c>
      <c r="BX109" s="15">
        <f t="shared" si="834"/>
        <v>0.3829039813</v>
      </c>
      <c r="BY109" s="15">
        <f t="shared" si="834"/>
        <v>0.3633586454</v>
      </c>
      <c r="BZ109" s="37">
        <f>EBT/Sales</f>
        <v>0.3678105587</v>
      </c>
      <c r="CA109" s="15">
        <f t="shared" ref="CA109:CD109" si="835">+CA46/CA12</f>
        <v>0.3402350743</v>
      </c>
      <c r="CB109" s="15">
        <f t="shared" si="835"/>
        <v>0.3016421117</v>
      </c>
      <c r="CC109" s="15">
        <f t="shared" si="835"/>
        <v>0.3437082836</v>
      </c>
      <c r="CD109" s="15">
        <f t="shared" si="835"/>
        <v>0.330308922</v>
      </c>
      <c r="CE109" s="37">
        <f>EBT/Sales</f>
        <v>0.3292838756</v>
      </c>
      <c r="CF109" s="15">
        <f t="shared" ref="CF109:CI109" si="836">+CF46/CF12</f>
        <v>0.2955214629</v>
      </c>
      <c r="CG109" s="15">
        <f t="shared" si="836"/>
        <v>0.2913858233</v>
      </c>
      <c r="CH109" s="15">
        <f t="shared" si="836"/>
        <v>0.2913725199</v>
      </c>
      <c r="CI109" s="15">
        <f t="shared" si="836"/>
        <v>0.2377383691</v>
      </c>
      <c r="CJ109" s="37">
        <f>EBT/Sales</f>
        <v>0.2788286684</v>
      </c>
      <c r="CK109" s="15">
        <f t="shared" ref="CK109:CN109" si="837">+CK46/CK12</f>
        <v>0.1941971383</v>
      </c>
      <c r="CL109" s="15">
        <f t="shared" si="837"/>
        <v>0.2102099758</v>
      </c>
      <c r="CM109" s="15">
        <f t="shared" si="837"/>
        <v>0.2910331529</v>
      </c>
      <c r="CN109" s="40">
        <f t="shared" si="837"/>
        <v>0.2566864248</v>
      </c>
      <c r="CO109" s="37">
        <f>EBT/Sales</f>
        <v>0.2392615922</v>
      </c>
      <c r="CP109" s="40">
        <f t="shared" ref="CP109:CS109" si="838">+CP46/CP12</f>
        <v>0.2109840175</v>
      </c>
      <c r="CQ109" s="15">
        <f t="shared" si="838"/>
        <v>0.2835659027</v>
      </c>
      <c r="CR109" s="15">
        <f t="shared" si="838"/>
        <v>0.3126288306</v>
      </c>
      <c r="CS109" s="15">
        <f t="shared" si="838"/>
        <v>0.3164866517</v>
      </c>
      <c r="CT109" s="37">
        <f>EBT/Sales</f>
        <v>0.2856810453</v>
      </c>
      <c r="CU109" s="15">
        <f t="shared" ref="CU109:CX109" si="839">+CU46/CU12</f>
        <v>0.2091385651</v>
      </c>
      <c r="CV109" s="15">
        <f t="shared" si="839"/>
        <v>0.2260704812</v>
      </c>
      <c r="CW109" s="15">
        <f t="shared" si="839"/>
        <v>0.2940200484</v>
      </c>
      <c r="CX109" s="15">
        <f t="shared" si="839"/>
        <v>0.2885208529</v>
      </c>
      <c r="CY109" s="37">
        <f>EBT/Sales</f>
        <v>0.2586396893</v>
      </c>
      <c r="CZ109" s="15">
        <f t="shared" ref="CZ109:DC109" si="840">+CZ46/CZ12</f>
        <v>0.1817259619</v>
      </c>
      <c r="DA109" s="15">
        <f t="shared" si="840"/>
        <v>0.1234020542</v>
      </c>
      <c r="DB109" s="15">
        <f t="shared" si="840"/>
        <v>0.2736722018</v>
      </c>
      <c r="DC109" s="15">
        <f t="shared" si="840"/>
        <v>0.2711615977</v>
      </c>
      <c r="DD109" s="37">
        <f>EBT/Sales</f>
        <v>0.2174629325</v>
      </c>
      <c r="DE109" s="15">
        <f t="shared" ref="DE109:DH109" si="841">+DE46/DE12</f>
        <v>0.2578399567</v>
      </c>
      <c r="DF109" s="15">
        <f t="shared" si="841"/>
        <v>0.3096931518</v>
      </c>
      <c r="DG109" s="40">
        <f t="shared" si="841"/>
        <v>0.3672053997</v>
      </c>
      <c r="DH109" s="15">
        <f t="shared" si="841"/>
        <v>0.3538966751</v>
      </c>
      <c r="DI109" s="37">
        <f>EBT/Sales</f>
        <v>0.3242778158</v>
      </c>
      <c r="DJ109" s="40">
        <f t="shared" ref="DJ109:DM109" si="842">+DJ46/DJ12</f>
        <v>0.3119009088</v>
      </c>
      <c r="DK109" s="40">
        <f t="shared" si="842"/>
        <v>0.3259639193</v>
      </c>
      <c r="DL109" s="40">
        <f t="shared" si="842"/>
        <v>0.3726973856</v>
      </c>
      <c r="DM109" s="40">
        <f t="shared" si="842"/>
        <v>0.3020314091</v>
      </c>
      <c r="DN109" s="37">
        <f>EBT/Sales</f>
        <v>0.3291130307</v>
      </c>
      <c r="DO109" s="40">
        <f t="shared" ref="DO109:DR109" si="843">+DO46/DO12</f>
        <v>0.2831081502</v>
      </c>
      <c r="DP109" s="40">
        <f t="shared" si="843"/>
        <v>0.2862162981</v>
      </c>
      <c r="DQ109" s="40">
        <f t="shared" si="843"/>
        <v>0.3501302762</v>
      </c>
      <c r="DR109" s="40">
        <f t="shared" si="843"/>
        <v>0.3992280667</v>
      </c>
      <c r="DS109" s="37">
        <f>EBT/Sales</f>
        <v>0.3343013965</v>
      </c>
      <c r="DT109" s="40">
        <f t="shared" ref="DT109:DW109" si="844">+DT46/DT12</f>
        <v>0.3335686907</v>
      </c>
      <c r="DU109" s="40">
        <f t="shared" si="844"/>
        <v>0.3008414436</v>
      </c>
      <c r="DV109" s="40">
        <f t="shared" si="844"/>
        <v>0.2749686358</v>
      </c>
      <c r="DW109" s="40">
        <f t="shared" si="844"/>
        <v>0.3748122935</v>
      </c>
      <c r="DX109" s="37">
        <f>EBT/Sales</f>
        <v>0.3220619775</v>
      </c>
      <c r="DY109" s="40">
        <f t="shared" ref="DY109:EB109" si="845">+DY46/DY12</f>
        <v>0.210384574</v>
      </c>
      <c r="DZ109" s="40">
        <f t="shared" si="845"/>
        <v>0.3099875897</v>
      </c>
      <c r="EA109" s="40">
        <f t="shared" si="845"/>
        <v>0.3791673578</v>
      </c>
      <c r="EB109" s="40">
        <f t="shared" si="845"/>
        <v>0.2659225886</v>
      </c>
      <c r="EC109" s="37">
        <f>EBT/Sales</f>
        <v>0.2904654836</v>
      </c>
      <c r="ED109" s="40">
        <f t="shared" ref="ED109:EG109" si="846">+ED46/ED12</f>
        <v>0.5263989538</v>
      </c>
      <c r="EE109" s="40">
        <f t="shared" si="846"/>
        <v>-0.05933033092</v>
      </c>
      <c r="EF109" s="40">
        <f t="shared" si="846"/>
        <v>-0.01225713913</v>
      </c>
      <c r="EG109" s="40">
        <f t="shared" si="846"/>
        <v>-0.05668708161</v>
      </c>
      <c r="EH109" s="37">
        <f>EBT/Sales</f>
        <v>0.1231959907</v>
      </c>
      <c r="EI109" s="82" t="str">
        <f t="shared" ref="EI109:EL109" si="847">+EI46/EI12</f>
        <v>#ERROR!</v>
      </c>
      <c r="EJ109" s="15" t="str">
        <f t="shared" si="847"/>
        <v>#ERROR!</v>
      </c>
      <c r="EK109" s="15" t="str">
        <f t="shared" si="847"/>
        <v>#ERROR!</v>
      </c>
      <c r="EL109" s="15" t="str">
        <f t="shared" si="847"/>
        <v>#ERROR!</v>
      </c>
      <c r="EM109" s="37" t="str">
        <f>EBT/Sales</f>
        <v>#ERROR!</v>
      </c>
      <c r="EN109" s="15" t="str">
        <f t="shared" ref="EN109:EQ109" si="848">+EN46/EN12</f>
        <v>#ERROR!</v>
      </c>
      <c r="EO109" s="15" t="str">
        <f t="shared" si="848"/>
        <v>#ERROR!</v>
      </c>
      <c r="EP109" s="15" t="str">
        <f t="shared" si="848"/>
        <v>#ERROR!</v>
      </c>
      <c r="EQ109" s="15" t="str">
        <f t="shared" si="848"/>
        <v>#ERROR!</v>
      </c>
      <c r="ER109" s="37" t="str">
        <f>EBT/Sales</f>
        <v>#ERROR!</v>
      </c>
      <c r="ES109" s="15" t="str">
        <f t="shared" ref="ES109:EV109" si="849">+ES46/ES12</f>
        <v>#ERROR!</v>
      </c>
      <c r="ET109" s="15" t="str">
        <f t="shared" si="849"/>
        <v>#ERROR!</v>
      </c>
      <c r="EU109" s="15" t="str">
        <f t="shared" si="849"/>
        <v>#ERROR!</v>
      </c>
      <c r="EV109" s="15" t="str">
        <f t="shared" si="849"/>
        <v>#ERROR!</v>
      </c>
      <c r="EW109" s="37" t="str">
        <f>EBT/Sales</f>
        <v>#ERROR!</v>
      </c>
      <c r="EX109" s="15" t="str">
        <f t="shared" ref="EX109:FA109" si="850">+EX46/EX12</f>
        <v>#ERROR!</v>
      </c>
      <c r="EY109" s="15" t="str">
        <f t="shared" si="850"/>
        <v>#ERROR!</v>
      </c>
      <c r="EZ109" s="15" t="str">
        <f t="shared" si="850"/>
        <v>#ERROR!</v>
      </c>
      <c r="FA109" s="15" t="str">
        <f t="shared" si="850"/>
        <v>#ERROR!</v>
      </c>
      <c r="FB109" s="37" t="str">
        <f>EBT/Sales</f>
        <v>#ERROR!</v>
      </c>
      <c r="FC109" s="15" t="str">
        <f t="shared" ref="FC109:FF109" si="851">+FC46/FC12</f>
        <v>#ERROR!</v>
      </c>
      <c r="FD109" s="15" t="str">
        <f t="shared" si="851"/>
        <v>#ERROR!</v>
      </c>
      <c r="FE109" s="15" t="str">
        <f t="shared" si="851"/>
        <v>#ERROR!</v>
      </c>
      <c r="FF109" s="15" t="str">
        <f t="shared" si="851"/>
        <v>#ERROR!</v>
      </c>
      <c r="FG109" s="37" t="str">
        <f>EBT/Sales</f>
        <v>#ERROR!</v>
      </c>
      <c r="FH109" s="35"/>
      <c r="FI109" s="15"/>
      <c r="FJ109" s="15"/>
      <c r="FK109" s="309"/>
      <c r="FL109" s="15"/>
    </row>
    <row r="110" ht="12.75" customHeight="1">
      <c r="A110" s="4"/>
      <c r="B110" s="72" t="str">
        <f>B48</f>
        <v>   Income taxes</v>
      </c>
      <c r="C110" s="72"/>
      <c r="D110" s="15"/>
      <c r="E110" s="15"/>
      <c r="F110" s="15"/>
      <c r="G110" s="15"/>
      <c r="H110" s="309"/>
      <c r="I110" s="15"/>
      <c r="J110" s="15"/>
      <c r="K110" s="15"/>
      <c r="L110" s="15"/>
      <c r="M110" s="309"/>
      <c r="N110" s="15">
        <f>tax/EBT</f>
        <v>0.329916123</v>
      </c>
      <c r="O110" s="15">
        <f>tax/EBT</f>
        <v>0.3302857143</v>
      </c>
      <c r="P110" s="15">
        <f>tax/EBT</f>
        <v>0.3274978651</v>
      </c>
      <c r="Q110" s="15">
        <f>tax/EBT</f>
        <v>0.3256410256</v>
      </c>
      <c r="R110" s="309">
        <f>tax/EBT</f>
        <v>0.3279546912</v>
      </c>
      <c r="S110" s="15">
        <f>tax/EBT</f>
        <v>0.3281145903</v>
      </c>
      <c r="T110" s="15">
        <f>tax/EBT</f>
        <v>0.3260128739</v>
      </c>
      <c r="U110" s="15">
        <f>tax/EBT</f>
        <v>0.3262561925</v>
      </c>
      <c r="V110" s="15">
        <f>tax/EBT</f>
        <v>0.3239752948</v>
      </c>
      <c r="W110" s="309">
        <f>tax/EBT</f>
        <v>0.3259911894</v>
      </c>
      <c r="X110" s="15">
        <f>tax/EBT</f>
        <v>0.1487811712</v>
      </c>
      <c r="Y110" s="15">
        <f>tax/EBT</f>
        <v>0.3187451588</v>
      </c>
      <c r="Z110" s="15">
        <f>tax/EBT</f>
        <v>0.3180428135</v>
      </c>
      <c r="AA110" s="15">
        <f>tax/EBT</f>
        <v>0.3068535826</v>
      </c>
      <c r="AB110" s="309">
        <f>tax/EBT</f>
        <v>0.2798170587</v>
      </c>
      <c r="AC110" s="15">
        <f>tax/EBT</f>
        <v>0.2982120051</v>
      </c>
      <c r="AD110" s="15">
        <f>tax/EBT</f>
        <v>0.1966133584</v>
      </c>
      <c r="AE110" s="15">
        <f>tax/EBT</f>
        <v>0.1219839142</v>
      </c>
      <c r="AF110" s="15">
        <f>tax/EBT</f>
        <v>0.2574404762</v>
      </c>
      <c r="AG110" s="309">
        <f>tax/EBT</f>
        <v>0.235855054</v>
      </c>
      <c r="AH110" s="15">
        <f>tax/EBT</f>
        <v>0.2843137255</v>
      </c>
      <c r="AI110" s="15">
        <f>tax/EBT</f>
        <v>0.2840646651</v>
      </c>
      <c r="AJ110" s="15">
        <f>tax/EBT</f>
        <v>0.2507317073</v>
      </c>
      <c r="AK110" s="15">
        <f>tax/EBT</f>
        <v>0.274604267</v>
      </c>
      <c r="AL110" s="309">
        <f>tax/EBT</f>
        <v>0.2740989103</v>
      </c>
      <c r="AM110" s="15">
        <f t="shared" ref="AM110:AP110" si="852">AM48/AM46</f>
        <v>0.3047112462</v>
      </c>
      <c r="AN110" s="15">
        <f t="shared" si="852"/>
        <v>0.295043273</v>
      </c>
      <c r="AO110" s="15">
        <f t="shared" si="852"/>
        <v>0.2716483516</v>
      </c>
      <c r="AP110" s="15">
        <f t="shared" si="852"/>
        <v>0.3212386612</v>
      </c>
      <c r="AQ110" s="309">
        <f>tax/EBT</f>
        <v>0.3004094801</v>
      </c>
      <c r="AR110" s="15">
        <f t="shared" ref="AR110:AU110" si="853">AR48/AR46</f>
        <v>0.3199685535</v>
      </c>
      <c r="AS110" s="15">
        <f t="shared" si="853"/>
        <v>0.2739669421</v>
      </c>
      <c r="AT110" s="15">
        <f t="shared" si="853"/>
        <v>0.2143446002</v>
      </c>
      <c r="AU110" s="15">
        <f t="shared" si="853"/>
        <v>0.2986455236</v>
      </c>
      <c r="AV110" s="309">
        <f>tax/EBT</f>
        <v>0.2784870884</v>
      </c>
      <c r="AW110" s="15">
        <f t="shared" ref="AW110:AZ110" si="854">AW48/AW46</f>
        <v>0.30879086</v>
      </c>
      <c r="AX110" s="15">
        <f t="shared" si="854"/>
        <v>0.2599854757</v>
      </c>
      <c r="AY110" s="15">
        <f t="shared" si="854"/>
        <v>0.308</v>
      </c>
      <c r="AZ110" s="15">
        <f t="shared" si="854"/>
        <v>0.2914500289</v>
      </c>
      <c r="BA110" s="309">
        <f>tax/EBT</f>
        <v>0.2933305098</v>
      </c>
      <c r="BB110" s="15">
        <f t="shared" ref="BB110:BE110" si="855">BB48/BB46</f>
        <v>0.2758804696</v>
      </c>
      <c r="BC110" s="15">
        <f t="shared" si="855"/>
        <v>0.2936951317</v>
      </c>
      <c r="BD110" s="15">
        <f t="shared" si="855"/>
        <v>0.282800441</v>
      </c>
      <c r="BE110" s="15">
        <f t="shared" si="855"/>
        <v>0.2943112365</v>
      </c>
      <c r="BF110" s="309">
        <f>tax/EBT</f>
        <v>0.286361064</v>
      </c>
      <c r="BG110" s="15">
        <f t="shared" ref="BG110:BJ110" si="856">BG48/BG46</f>
        <v>0.3005872931</v>
      </c>
      <c r="BH110" s="15">
        <f t="shared" si="856"/>
        <v>0.2825376063</v>
      </c>
      <c r="BI110" s="15">
        <f t="shared" si="856"/>
        <v>0.284</v>
      </c>
      <c r="BJ110" s="15">
        <f t="shared" si="856"/>
        <v>0.3035878565</v>
      </c>
      <c r="BK110" s="309">
        <f>tax/EBT</f>
        <v>0.2939911628</v>
      </c>
      <c r="BL110" s="15">
        <f t="shared" ref="BL110:BO110" si="857">BL48/BL46</f>
        <v>0.3353293413</v>
      </c>
      <c r="BM110" s="15">
        <f t="shared" si="857"/>
        <v>0.3078253351</v>
      </c>
      <c r="BN110" s="15">
        <f t="shared" si="857"/>
        <v>0.2890928345</v>
      </c>
      <c r="BO110" s="15">
        <f t="shared" si="857"/>
        <v>0.289</v>
      </c>
      <c r="BP110" s="309">
        <f>tax/EBT</f>
        <v>0.3057424629</v>
      </c>
      <c r="BQ110" s="15">
        <f t="shared" ref="BQ110:BT110" si="858">BQ48/BQ46</f>
        <v>0</v>
      </c>
      <c r="BR110" s="15">
        <f t="shared" si="858"/>
        <v>0.2491052255</v>
      </c>
      <c r="BS110" s="15">
        <f t="shared" si="858"/>
        <v>0.2669826224</v>
      </c>
      <c r="BT110" s="15">
        <f t="shared" si="858"/>
        <v>0.1948998179</v>
      </c>
      <c r="BU110" s="309">
        <f>tax/EBT</f>
        <v>0.2110462035</v>
      </c>
      <c r="BV110" s="15">
        <f t="shared" ref="BV110:BY110" si="859">BV48/BV46</f>
        <v>0.2913522925</v>
      </c>
      <c r="BW110" s="15">
        <f t="shared" si="859"/>
        <v>0.3101553166</v>
      </c>
      <c r="BX110" s="15">
        <f t="shared" si="859"/>
        <v>0.3048694425</v>
      </c>
      <c r="BY110" s="15">
        <f t="shared" si="859"/>
        <v>0.2361277925</v>
      </c>
      <c r="BZ110" s="37">
        <f>tax/EBT</f>
        <v>0.2855095045</v>
      </c>
      <c r="CA110" s="15">
        <f t="shared" ref="CA110:CD110" si="860">CA48/CA46</f>
        <v>0.2770533059</v>
      </c>
      <c r="CB110" s="15">
        <f t="shared" si="860"/>
        <v>0.2485372679</v>
      </c>
      <c r="CC110" s="15">
        <f t="shared" si="860"/>
        <v>0.2910874898</v>
      </c>
      <c r="CD110" s="15">
        <f t="shared" si="860"/>
        <v>0.2674950948</v>
      </c>
      <c r="CE110" s="37">
        <f>tax/EBT</f>
        <v>0.2721444238</v>
      </c>
      <c r="CF110" s="15">
        <f t="shared" ref="CF110:CI110" si="861">CF48/CF46</f>
        <v>0.2821185107</v>
      </c>
      <c r="CG110" s="15">
        <f t="shared" si="861"/>
        <v>0.2813929842</v>
      </c>
      <c r="CH110" s="15">
        <f t="shared" si="861"/>
        <v>0.2420300944</v>
      </c>
      <c r="CI110" s="15">
        <f t="shared" si="861"/>
        <v>0.2297128589</v>
      </c>
      <c r="CJ110" s="37">
        <f>tax/EBT</f>
        <v>0.2600685806</v>
      </c>
      <c r="CK110" s="15">
        <f t="shared" ref="CK110:CN110" si="862">CK48/CK46</f>
        <v>0.1629144494</v>
      </c>
      <c r="CL110" s="15">
        <f t="shared" si="862"/>
        <v>0.2573338284</v>
      </c>
      <c r="CM110" s="15">
        <f t="shared" si="862"/>
        <v>0.248216106</v>
      </c>
      <c r="CN110" s="15">
        <f t="shared" si="862"/>
        <v>0.2607716136</v>
      </c>
      <c r="CO110" s="37">
        <f>tax/EBT</f>
        <v>0.2371738958</v>
      </c>
      <c r="CP110" s="15">
        <f t="shared" ref="CP110:CS110" si="863">CP48/CP46</f>
        <v>0.2747864835</v>
      </c>
      <c r="CQ110" s="15">
        <f t="shared" si="863"/>
        <v>0.2870984192</v>
      </c>
      <c r="CR110" s="15">
        <f t="shared" si="863"/>
        <v>0.270989011</v>
      </c>
      <c r="CS110" s="15">
        <f t="shared" si="863"/>
        <v>0.2142090577</v>
      </c>
      <c r="CT110" s="37">
        <f>tax/EBT</f>
        <v>0.2566881774</v>
      </c>
      <c r="CU110" s="15">
        <f t="shared" ref="CU110:CX110" si="864">CU48/CU46</f>
        <v>0.2547699214</v>
      </c>
      <c r="CV110" s="15">
        <f t="shared" si="864"/>
        <v>0.09285953738</v>
      </c>
      <c r="CW110" s="15">
        <f t="shared" si="864"/>
        <v>0.2689865977</v>
      </c>
      <c r="CX110" s="15">
        <f t="shared" si="864"/>
        <v>0.1603532419</v>
      </c>
      <c r="CY110" s="37">
        <f>tax/EBT</f>
        <v>0.1950129217</v>
      </c>
      <c r="CZ110" s="15">
        <f t="shared" ref="CZ110:DC110" si="865">CZ48/CZ46</f>
        <v>0.1842105263</v>
      </c>
      <c r="DA110" s="15">
        <f t="shared" si="865"/>
        <v>0.2035928144</v>
      </c>
      <c r="DB110" s="15">
        <f t="shared" si="865"/>
        <v>0.2176933766</v>
      </c>
      <c r="DC110" s="15">
        <f t="shared" si="865"/>
        <v>0.1977477477</v>
      </c>
      <c r="DD110" s="37">
        <f>tax/EBT</f>
        <v>0.2025355597</v>
      </c>
      <c r="DE110" s="15">
        <f t="shared" ref="DE110:DM110" si="866">DE48/DE46</f>
        <v>0.2230668414</v>
      </c>
      <c r="DF110" s="15">
        <f t="shared" si="866"/>
        <v>0.3858267717</v>
      </c>
      <c r="DG110" s="15">
        <f t="shared" si="866"/>
        <v>0.2384485666</v>
      </c>
      <c r="DH110" s="15">
        <f t="shared" si="866"/>
        <v>1.113835957</v>
      </c>
      <c r="DI110" s="37">
        <f t="shared" si="866"/>
        <v>0.5282527516</v>
      </c>
      <c r="DJ110" s="15">
        <f t="shared" si="866"/>
        <v>0.111155458</v>
      </c>
      <c r="DK110" s="15">
        <f t="shared" si="866"/>
        <v>0.09459215048</v>
      </c>
      <c r="DL110" s="15">
        <f t="shared" si="866"/>
        <v>0.1041725007</v>
      </c>
      <c r="DM110" s="15">
        <f t="shared" si="866"/>
        <v>0.07808340728</v>
      </c>
      <c r="DN110" s="37">
        <f>tax/EBT</f>
        <v>0.09709653901</v>
      </c>
      <c r="DO110" s="15">
        <f t="shared" ref="DO110:DR110" si="867">DO48/DO46</f>
        <v>0.1260171542</v>
      </c>
      <c r="DP110" s="15">
        <f t="shared" si="867"/>
        <v>0.1153683319</v>
      </c>
      <c r="DQ110" s="15">
        <f t="shared" si="867"/>
        <v>0.1084982884</v>
      </c>
      <c r="DR110" s="15">
        <f t="shared" si="867"/>
        <v>0.1441497273</v>
      </c>
      <c r="DS110" s="37">
        <f>tax/EBT</f>
        <v>0.1251143071</v>
      </c>
      <c r="DT110" s="15">
        <f t="shared" ref="DT110:DW110" si="868">DT48/DT46</f>
        <v>0.1440882976</v>
      </c>
      <c r="DU110" s="15">
        <f t="shared" si="868"/>
        <v>0.1398483572</v>
      </c>
      <c r="DV110" s="15">
        <f t="shared" si="868"/>
        <v>0.151755604</v>
      </c>
      <c r="DW110" s="15">
        <f t="shared" si="868"/>
        <v>0.2178151709</v>
      </c>
      <c r="DX110" s="37">
        <f>tax/EBT</f>
        <v>0.1666400829</v>
      </c>
      <c r="DY110" s="15">
        <f t="shared" ref="DY110:EB110" si="869">DY48/DY46</f>
        <v>0.1395289299</v>
      </c>
      <c r="DZ110" s="15">
        <f t="shared" si="869"/>
        <v>0.1190600522</v>
      </c>
      <c r="EA110" s="15">
        <f t="shared" si="869"/>
        <v>0.005103528726</v>
      </c>
      <c r="EB110" s="15">
        <f t="shared" si="869"/>
        <v>0.1099345399</v>
      </c>
      <c r="EC110" s="37">
        <f>tax/EBT</f>
        <v>0.08455052297</v>
      </c>
      <c r="ED110" s="15">
        <f t="shared" ref="ED110:EG110" si="870">ED48/ED46</f>
        <v>0.1602318601</v>
      </c>
      <c r="EE110" s="15">
        <f t="shared" si="870"/>
        <v>0.500550055</v>
      </c>
      <c r="EF110" s="15">
        <f t="shared" si="870"/>
        <v>6.420212766</v>
      </c>
      <c r="EG110" s="15">
        <f t="shared" si="870"/>
        <v>0.1695979899</v>
      </c>
      <c r="EH110" s="37">
        <f>tax/EBT</f>
        <v>-0.0320545829</v>
      </c>
      <c r="EI110" s="314">
        <v>0.13</v>
      </c>
      <c r="EJ110" s="315">
        <f t="shared" ref="EJ110:EL110" si="871">EI110</f>
        <v>0.13</v>
      </c>
      <c r="EK110" s="315">
        <f t="shared" si="871"/>
        <v>0.13</v>
      </c>
      <c r="EL110" s="315">
        <f t="shared" si="871"/>
        <v>0.13</v>
      </c>
      <c r="EM110" s="37" t="str">
        <f>tax/EBT</f>
        <v>#ERROR!</v>
      </c>
      <c r="EN110" s="315">
        <v>0.15</v>
      </c>
      <c r="EO110" s="315">
        <f t="shared" ref="EO110:EQ110" si="872">EN110</f>
        <v>0.15</v>
      </c>
      <c r="EP110" s="315">
        <f t="shared" si="872"/>
        <v>0.15</v>
      </c>
      <c r="EQ110" s="315">
        <f t="shared" si="872"/>
        <v>0.15</v>
      </c>
      <c r="ER110" s="37" t="str">
        <f>tax/EBT</f>
        <v>#ERROR!</v>
      </c>
      <c r="ES110" s="315">
        <v>0.15</v>
      </c>
      <c r="ET110" s="315">
        <f t="shared" ref="ET110:EV110" si="873">ES110</f>
        <v>0.15</v>
      </c>
      <c r="EU110" s="315">
        <f t="shared" si="873"/>
        <v>0.15</v>
      </c>
      <c r="EV110" s="315">
        <f t="shared" si="873"/>
        <v>0.15</v>
      </c>
      <c r="EW110" s="37" t="str">
        <f>tax/EBT</f>
        <v>#ERROR!</v>
      </c>
      <c r="EX110" s="315">
        <v>0.15</v>
      </c>
      <c r="EY110" s="315">
        <f t="shared" ref="EY110:FA110" si="874">EX110</f>
        <v>0.15</v>
      </c>
      <c r="EZ110" s="315">
        <f t="shared" si="874"/>
        <v>0.15</v>
      </c>
      <c r="FA110" s="315">
        <f t="shared" si="874"/>
        <v>0.15</v>
      </c>
      <c r="FB110" s="37" t="str">
        <f>tax/EBT</f>
        <v>#ERROR!</v>
      </c>
      <c r="FC110" s="315">
        <v>0.15</v>
      </c>
      <c r="FD110" s="315">
        <f t="shared" ref="FD110:FF110" si="875">FC110</f>
        <v>0.15</v>
      </c>
      <c r="FE110" s="315">
        <f t="shared" si="875"/>
        <v>0.15</v>
      </c>
      <c r="FF110" s="315">
        <f t="shared" si="875"/>
        <v>0.15</v>
      </c>
      <c r="FG110" s="37" t="str">
        <f>tax/EBT</f>
        <v>#ERROR!</v>
      </c>
      <c r="FH110" s="35"/>
      <c r="FI110" s="15"/>
      <c r="FJ110" s="15"/>
      <c r="FK110" s="309"/>
      <c r="FL110" s="15"/>
    </row>
    <row r="111" ht="12.75" customHeight="1">
      <c r="A111" s="4"/>
      <c r="B111" s="72" t="str">
        <f>B51</f>
        <v>Net Income</v>
      </c>
      <c r="C111" s="72"/>
      <c r="D111" s="15"/>
      <c r="E111" s="15"/>
      <c r="F111" s="15"/>
      <c r="G111" s="15"/>
      <c r="H111" s="309"/>
      <c r="I111" s="15"/>
      <c r="J111" s="15"/>
      <c r="K111" s="15"/>
      <c r="L111" s="15"/>
      <c r="M111" s="309"/>
      <c r="N111" s="15">
        <f>proFormaNetInc/Sales</f>
        <v>0.2396267289</v>
      </c>
      <c r="O111" s="15">
        <f>proFormaNetInc/Sales</f>
        <v>0.1977391598</v>
      </c>
      <c r="P111" s="15">
        <f>proFormaNetInc/Sales</f>
        <v>0.2339919774</v>
      </c>
      <c r="Q111" s="15">
        <f>proFormaNetInc/Sales</f>
        <v>0.2763330707</v>
      </c>
      <c r="R111" s="309">
        <f>proFormaNetInc/Sales</f>
        <v>0.2393712176</v>
      </c>
      <c r="S111" s="15">
        <f>proFormaNetInc/Sales</f>
        <v>0.283964522</v>
      </c>
      <c r="T111" s="15">
        <f>proFormaNetInc/Sales</f>
        <v>0.2638600652</v>
      </c>
      <c r="U111" s="15">
        <f>proFormaNetInc/Sales</f>
        <v>0.2598253275</v>
      </c>
      <c r="V111" s="15">
        <f>proFormaNetInc/Sales</f>
        <v>0.2932294204</v>
      </c>
      <c r="W111" s="309">
        <f>proFormaNetInc/Sales</f>
        <v>0.2759195617</v>
      </c>
      <c r="X111" s="15">
        <f>proFormaNetInc/Sales</f>
        <v>0.3800825723</v>
      </c>
      <c r="Y111" s="15">
        <f>proFormaNetInc/Sales</f>
        <v>0.4238554217</v>
      </c>
      <c r="Z111" s="15">
        <f>proFormaNetInc/Sales</f>
        <v>0.3320352766</v>
      </c>
      <c r="AA111" s="15">
        <f>proFormaNetInc/Sales</f>
        <v>0.306826017</v>
      </c>
      <c r="AB111" s="309">
        <f>proFormaNetInc/Sales</f>
        <v>0.3595149143</v>
      </c>
      <c r="AC111" s="15">
        <f>proFormaNetInc/Sales</f>
        <v>0.1645948779</v>
      </c>
      <c r="AD111" s="15">
        <f>proFormaNetInc/Sales</f>
        <v>0.1348279129</v>
      </c>
      <c r="AE111" s="15">
        <f>proFormaNetInc/Sales</f>
        <v>0.1000763942</v>
      </c>
      <c r="AF111" s="15">
        <f>proFormaNetInc/Sales</f>
        <v>0.1429185164</v>
      </c>
      <c r="AG111" s="309">
        <f>proFormaNetInc/Sales</f>
        <v>0.135875504</v>
      </c>
      <c r="AH111" s="15">
        <f>proFormaNetInc/Sales</f>
        <v>0.1507152337</v>
      </c>
      <c r="AI111" s="15">
        <f>proFormaNetInc/Sales</f>
        <v>0.09811679063</v>
      </c>
      <c r="AJ111" s="15">
        <f>proFormaNetInc/Sales</f>
        <v>0.1180811808</v>
      </c>
      <c r="AK111" s="15">
        <f>proFormaNetInc/Sales</f>
        <v>0.1472067039</v>
      </c>
      <c r="AL111" s="309">
        <f>proFormaNetInc/Sales</f>
        <v>0.1294275893</v>
      </c>
      <c r="AM111" s="15">
        <f t="shared" ref="AM111:AP111" si="876">+AM51/AM12</f>
        <v>0.1355354762</v>
      </c>
      <c r="AN111" s="15">
        <f t="shared" si="876"/>
        <v>0.1314553991</v>
      </c>
      <c r="AO111" s="15">
        <f t="shared" si="876"/>
        <v>0.2115409166</v>
      </c>
      <c r="AP111" s="15">
        <f t="shared" si="876"/>
        <v>0.2482553484</v>
      </c>
      <c r="AQ111" s="309">
        <f>proFormaNetInc/Sales</f>
        <v>0.1870541787</v>
      </c>
      <c r="AR111" s="15">
        <f t="shared" ref="AR111:AU111" si="877">+AR51/AR12</f>
        <v>0.2138178223</v>
      </c>
      <c r="AS111" s="15">
        <f t="shared" si="877"/>
        <v>0.2182879861</v>
      </c>
      <c r="AT111" s="15">
        <f t="shared" si="877"/>
        <v>0.2250029512</v>
      </c>
      <c r="AU111" s="15">
        <f t="shared" si="877"/>
        <v>0.221191915</v>
      </c>
      <c r="AV111" s="309">
        <f>proFormaNetInc/Sales</f>
        <v>0.2197082639</v>
      </c>
      <c r="AW111" s="15">
        <f t="shared" ref="AW111:AZ111" si="878">+AW51/AW12</f>
        <v>0.2308670765</v>
      </c>
      <c r="AX111" s="15">
        <f t="shared" si="878"/>
        <v>0.2207778139</v>
      </c>
      <c r="AY111" s="15">
        <f t="shared" si="878"/>
        <v>0.2350437751</v>
      </c>
      <c r="AZ111" s="15">
        <f t="shared" si="878"/>
        <v>0.2404666209</v>
      </c>
      <c r="BA111" s="309">
        <f>proFormaNetInc/Sales</f>
        <v>0.2320619173</v>
      </c>
      <c r="BB111" s="15">
        <f t="shared" ref="BB111:BE111" si="879">+BB51/BB12</f>
        <v>0.1517897092</v>
      </c>
      <c r="BC111" s="15">
        <f t="shared" si="879"/>
        <v>0.1105006867</v>
      </c>
      <c r="BD111" s="15">
        <f t="shared" si="879"/>
        <v>0.1488728687</v>
      </c>
      <c r="BE111" s="15">
        <f t="shared" si="879"/>
        <v>0.1548380442</v>
      </c>
      <c r="BF111" s="309">
        <f>proFormaNetInc/Sales</f>
        <v>0.142558363</v>
      </c>
      <c r="BG111" s="15">
        <f t="shared" ref="BG111:BJ111" si="880">+BG51/BG12</f>
        <v>0.147989155</v>
      </c>
      <c r="BH111" s="15">
        <f t="shared" si="880"/>
        <v>0.1263824885</v>
      </c>
      <c r="BI111" s="15">
        <f t="shared" si="880"/>
        <v>0.185634886</v>
      </c>
      <c r="BJ111" s="15">
        <f t="shared" si="880"/>
        <v>0.2120052278</v>
      </c>
      <c r="BK111" s="309">
        <f>proFormaNetInc/Sales</f>
        <v>0.170894141</v>
      </c>
      <c r="BL111" s="15">
        <f t="shared" ref="BL111:BO111" si="881">+BL51/BL12</f>
        <v>0.1491781247</v>
      </c>
      <c r="BM111" s="15">
        <f t="shared" si="881"/>
        <v>0.1690601901</v>
      </c>
      <c r="BN111" s="15">
        <f t="shared" si="881"/>
        <v>0.197122443</v>
      </c>
      <c r="BO111" s="15">
        <f t="shared" si="881"/>
        <v>0.1129682713</v>
      </c>
      <c r="BP111" s="309">
        <f>proFormaNetInc/Sales</f>
        <v>0.1592954025</v>
      </c>
      <c r="BQ111" s="15">
        <f t="shared" ref="BQ111:BT111" si="882">+BQ51/BQ12</f>
        <v>0.08803358992</v>
      </c>
      <c r="BR111" s="15">
        <f t="shared" si="882"/>
        <v>0.1307328016</v>
      </c>
      <c r="BS111" s="15">
        <f t="shared" si="882"/>
        <v>0.197678134</v>
      </c>
      <c r="BT111" s="15">
        <f t="shared" si="882"/>
        <v>0.2927429274</v>
      </c>
      <c r="BU111" s="309">
        <f>proFormaNetInc/Sales</f>
        <v>0.188686879</v>
      </c>
      <c r="BV111" s="15">
        <f t="shared" ref="BV111:BY111" si="883">+BV51/BV12</f>
        <v>0.2371103991</v>
      </c>
      <c r="BW111" s="15">
        <f t="shared" si="883"/>
        <v>0.2681839294</v>
      </c>
      <c r="BX111" s="15">
        <f t="shared" si="883"/>
        <v>0.266168258</v>
      </c>
      <c r="BY111" s="15">
        <f t="shared" si="883"/>
        <v>0.2775595706</v>
      </c>
      <c r="BZ111" s="37">
        <f>proFormaNetInc/Sales</f>
        <v>0.2627971483</v>
      </c>
      <c r="CA111" s="15">
        <f t="shared" ref="CA111:CD111" si="884">+CA51/CA12</f>
        <v>0.2459718222</v>
      </c>
      <c r="CB111" s="15">
        <f t="shared" si="884"/>
        <v>0.2266728054</v>
      </c>
      <c r="CC111" s="15">
        <f t="shared" si="884"/>
        <v>0.2436591021</v>
      </c>
      <c r="CD111" s="15">
        <f t="shared" si="884"/>
        <v>0.2419529056</v>
      </c>
      <c r="CE111" s="37">
        <f>proFormaNetInc/Sales</f>
        <v>0.239671105</v>
      </c>
      <c r="CF111" s="15">
        <f t="shared" ref="CF111:CI111" si="885">+CF51/CF12</f>
        <v>0.2121493879</v>
      </c>
      <c r="CG111" s="15">
        <f t="shared" si="885"/>
        <v>0.2093918969</v>
      </c>
      <c r="CH111" s="15">
        <f t="shared" si="885"/>
        <v>0.2208516014</v>
      </c>
      <c r="CI111" s="15">
        <f t="shared" si="885"/>
        <v>0.1831268086</v>
      </c>
      <c r="CJ111" s="37">
        <f>proFormaNetInc/Sales</f>
        <v>0.2063140923</v>
      </c>
      <c r="CK111" s="15">
        <f t="shared" ref="CK111:CN111" si="886">+CK51/CK12</f>
        <v>0.1625596184</v>
      </c>
      <c r="CL111" s="15">
        <f t="shared" si="886"/>
        <v>0.156115838</v>
      </c>
      <c r="CM111" s="15">
        <f t="shared" si="886"/>
        <v>0.2187940369</v>
      </c>
      <c r="CN111" s="40">
        <f t="shared" si="886"/>
        <v>0.1897498916</v>
      </c>
      <c r="CO111" s="37">
        <f>proFormaNetInc/Sales</f>
        <v>0.1825149882</v>
      </c>
      <c r="CP111" s="40">
        <f t="shared" ref="CP111:CS111" si="887">+CP51/CP12</f>
        <v>0.1530084613</v>
      </c>
      <c r="CQ111" s="15">
        <f t="shared" si="887"/>
        <v>0.2021545803</v>
      </c>
      <c r="CR111" s="15">
        <f t="shared" si="887"/>
        <v>0.227909853</v>
      </c>
      <c r="CS111" s="15">
        <f t="shared" si="887"/>
        <v>0.2486923443</v>
      </c>
      <c r="CT111" s="37">
        <f>proFormaNetInc/Sales</f>
        <v>0.2123500984</v>
      </c>
      <c r="CU111" s="15">
        <f t="shared" ref="CU111:CX111" si="888">+CU51/CU12</f>
        <v>0.1558563493</v>
      </c>
      <c r="CV111" s="15">
        <f t="shared" si="888"/>
        <v>0.2050776809</v>
      </c>
      <c r="CW111" s="15">
        <f t="shared" si="888"/>
        <v>0.2149325959</v>
      </c>
      <c r="CX111" s="15">
        <f t="shared" si="888"/>
        <v>0.2422555988</v>
      </c>
      <c r="CY111" s="37">
        <f>proFormaNetInc/Sales</f>
        <v>0.2082016078</v>
      </c>
      <c r="CZ111" s="15">
        <f t="shared" ref="CZ111:DC111" si="889">+CZ51/CZ12</f>
        <v>0.1482501268</v>
      </c>
      <c r="DA111" s="15">
        <f t="shared" si="889"/>
        <v>0.09827828272</v>
      </c>
      <c r="DB111" s="15">
        <f t="shared" si="889"/>
        <v>0.2140955761</v>
      </c>
      <c r="DC111" s="15">
        <f t="shared" si="889"/>
        <v>0.2175400024</v>
      </c>
      <c r="DD111" s="37">
        <f>proFormaNetInc/Sales</f>
        <v>0.1734189557</v>
      </c>
      <c r="DE111" s="15">
        <f t="shared" ref="DE111:DH111" si="890">+DE51/DE12</f>
        <v>0.200324412</v>
      </c>
      <c r="DF111" s="15">
        <f t="shared" si="890"/>
        <v>0.1902052428</v>
      </c>
      <c r="DG111" s="40">
        <f t="shared" si="890"/>
        <v>0.2796457985</v>
      </c>
      <c r="DH111" s="15">
        <f t="shared" si="890"/>
        <v>-0.04028616666</v>
      </c>
      <c r="DI111" s="37">
        <f>proFormaNetInc/Sales</f>
        <v>0.1529771673</v>
      </c>
      <c r="DJ111" s="40">
        <f t="shared" ref="DJ111:DM111" si="891">+DJ51/DJ12</f>
        <v>0.2772314204</v>
      </c>
      <c r="DK111" s="40">
        <f t="shared" si="891"/>
        <v>0.2951302912</v>
      </c>
      <c r="DL111" s="40">
        <f t="shared" si="891"/>
        <v>0.3338725669</v>
      </c>
      <c r="DM111" s="40">
        <f t="shared" si="891"/>
        <v>0.2784477676</v>
      </c>
      <c r="DN111" s="37">
        <f>proFormaNetInc/Sales</f>
        <v>0.2971572945</v>
      </c>
      <c r="DO111" s="40">
        <f t="shared" ref="DO111:DR111" si="892">+DO51/DO12</f>
        <v>0.2474316668</v>
      </c>
      <c r="DP111" s="40">
        <f t="shared" si="892"/>
        <v>0.2531960012</v>
      </c>
      <c r="DQ111" s="40">
        <f t="shared" si="892"/>
        <v>0.3121417405</v>
      </c>
      <c r="DR111" s="40">
        <f t="shared" si="892"/>
        <v>0.3416794498</v>
      </c>
      <c r="DS111" s="37">
        <f>proFormaNetInc/Sales</f>
        <v>0.2924755089</v>
      </c>
      <c r="DT111" s="40">
        <f t="shared" ref="DT111:DW111" si="893">+DT51/DT12</f>
        <v>0.285505346</v>
      </c>
      <c r="DU111" s="40">
        <f t="shared" si="893"/>
        <v>0.258769262</v>
      </c>
      <c r="DV111" s="40">
        <f t="shared" si="893"/>
        <v>0.2332406044</v>
      </c>
      <c r="DW111" s="40">
        <f t="shared" si="893"/>
        <v>0.2931724897</v>
      </c>
      <c r="DX111" s="37">
        <f>proFormaNetInc/Sales</f>
        <v>0.2683935428</v>
      </c>
      <c r="DY111" s="40">
        <f t="shared" ref="DY111:EB111" si="894">+DY51/DY12</f>
        <v>0.1810298395</v>
      </c>
      <c r="DZ111" s="40">
        <f t="shared" si="894"/>
        <v>0.2730804511</v>
      </c>
      <c r="EA111" s="40">
        <f t="shared" si="894"/>
        <v>0.3772322663</v>
      </c>
      <c r="EB111" s="40">
        <f t="shared" si="894"/>
        <v>0.2366885112</v>
      </c>
      <c r="EC111" s="37">
        <f>proFormaNetInc/Sales</f>
        <v>0.265906475</v>
      </c>
      <c r="ED111" s="40">
        <f t="shared" ref="ED111:EG111" si="895">+ED51/ED12</f>
        <v>0.4420530703</v>
      </c>
      <c r="EE111" s="40">
        <f t="shared" si="895"/>
        <v>-0.02963253051</v>
      </c>
      <c r="EF111" s="40">
        <f t="shared" si="895"/>
        <v>0.066436302</v>
      </c>
      <c r="EG111" s="40">
        <f t="shared" si="895"/>
        <v>-0.04707306651</v>
      </c>
      <c r="EH111" s="37">
        <f>proFormaNetInc/Sales</f>
        <v>0.1271449868</v>
      </c>
      <c r="EI111" s="82" t="str">
        <f t="shared" ref="EI111:EL111" si="896">+EI51/EI12</f>
        <v>#ERROR!</v>
      </c>
      <c r="EJ111" s="15" t="str">
        <f t="shared" si="896"/>
        <v>#ERROR!</v>
      </c>
      <c r="EK111" s="15" t="str">
        <f t="shared" si="896"/>
        <v>#ERROR!</v>
      </c>
      <c r="EL111" s="15" t="str">
        <f t="shared" si="896"/>
        <v>#ERROR!</v>
      </c>
      <c r="EM111" s="37" t="str">
        <f>proFormaNetInc/Sales</f>
        <v>#ERROR!</v>
      </c>
      <c r="EN111" s="15" t="str">
        <f t="shared" ref="EN111:EQ111" si="897">+EN51/EN12</f>
        <v>#ERROR!</v>
      </c>
      <c r="EO111" s="15" t="str">
        <f t="shared" si="897"/>
        <v>#ERROR!</v>
      </c>
      <c r="EP111" s="15" t="str">
        <f t="shared" si="897"/>
        <v>#ERROR!</v>
      </c>
      <c r="EQ111" s="15" t="str">
        <f t="shared" si="897"/>
        <v>#ERROR!</v>
      </c>
      <c r="ER111" s="37" t="str">
        <f>proFormaNetInc/Sales</f>
        <v>#ERROR!</v>
      </c>
      <c r="ES111" s="15" t="str">
        <f t="shared" ref="ES111:EV111" si="898">+ES51/ES12</f>
        <v>#ERROR!</v>
      </c>
      <c r="ET111" s="15" t="str">
        <f t="shared" si="898"/>
        <v>#ERROR!</v>
      </c>
      <c r="EU111" s="15" t="str">
        <f t="shared" si="898"/>
        <v>#ERROR!</v>
      </c>
      <c r="EV111" s="15" t="str">
        <f t="shared" si="898"/>
        <v>#ERROR!</v>
      </c>
      <c r="EW111" s="37" t="str">
        <f>proFormaNetInc/Sales</f>
        <v>#ERROR!</v>
      </c>
      <c r="EX111" s="15" t="str">
        <f t="shared" ref="EX111:FA111" si="899">+EX51/EX12</f>
        <v>#ERROR!</v>
      </c>
      <c r="EY111" s="15" t="str">
        <f t="shared" si="899"/>
        <v>#ERROR!</v>
      </c>
      <c r="EZ111" s="15" t="str">
        <f t="shared" si="899"/>
        <v>#ERROR!</v>
      </c>
      <c r="FA111" s="15" t="str">
        <f t="shared" si="899"/>
        <v>#ERROR!</v>
      </c>
      <c r="FB111" s="37" t="str">
        <f>proFormaNetInc/Sales</f>
        <v>#ERROR!</v>
      </c>
      <c r="FC111" s="15" t="str">
        <f t="shared" ref="FC111:FF111" si="900">+FC51/FC12</f>
        <v>#ERROR!</v>
      </c>
      <c r="FD111" s="15" t="str">
        <f t="shared" si="900"/>
        <v>#ERROR!</v>
      </c>
      <c r="FE111" s="15" t="str">
        <f t="shared" si="900"/>
        <v>#ERROR!</v>
      </c>
      <c r="FF111" s="15" t="str">
        <f t="shared" si="900"/>
        <v>#ERROR!</v>
      </c>
      <c r="FG111" s="37" t="str">
        <f>proFormaNetInc/Sales</f>
        <v>#ERROR!</v>
      </c>
      <c r="FH111" s="35"/>
      <c r="FI111" s="15"/>
      <c r="FJ111" s="15"/>
      <c r="FK111" s="309"/>
      <c r="FL111" s="15"/>
    </row>
    <row r="112" ht="12.75" customHeight="1" outlineLevel="1">
      <c r="A112" s="4"/>
      <c r="B112" s="72" t="s">
        <v>124</v>
      </c>
      <c r="C112" s="72"/>
      <c r="D112" s="15"/>
      <c r="E112" s="15"/>
      <c r="F112" s="15"/>
      <c r="G112" s="15"/>
      <c r="H112" s="309"/>
      <c r="I112" s="15"/>
      <c r="J112" s="15"/>
      <c r="K112" s="15"/>
      <c r="L112" s="15"/>
      <c r="M112" s="309">
        <f>OptionsExpense/Sales</f>
        <v>0.008376211559</v>
      </c>
      <c r="N112" s="15">
        <f>OptionsExpense/proFormaNetInc</f>
        <v>0.05441585535</v>
      </c>
      <c r="O112" s="15">
        <f>OptionsExpense/proFormaNetInc</f>
        <v>0.0667662116</v>
      </c>
      <c r="P112" s="15">
        <f>OptionsExpense/proFormaNetInc</f>
        <v>0.04968253968</v>
      </c>
      <c r="Q112" s="15">
        <f>OptionsExpense/proFormaNetInc</f>
        <v>0.03719106464</v>
      </c>
      <c r="R112" s="309">
        <f>OptionsExpense/proFormaNetInc</f>
        <v>0.0497694387</v>
      </c>
      <c r="S112" s="15">
        <f>OptionsExpense/proFormaNetInc</f>
        <v>0.05627169063</v>
      </c>
      <c r="T112" s="15">
        <f>OptionsExpense/proFormaNetInc</f>
        <v>0.06376404494</v>
      </c>
      <c r="U112" s="15">
        <f>OptionsExpense/proFormaNetInc</f>
        <v>0.05961134454</v>
      </c>
      <c r="V112" s="15">
        <f>OptionsExpense/proFormaNetInc</f>
        <v>0.0471345515</v>
      </c>
      <c r="W112" s="309">
        <f>OptionsExpense/proFormaNetInc</f>
        <v>0.05598717474</v>
      </c>
      <c r="X112" s="15">
        <f>OptionsExpense/proFormaNetInc</f>
        <v>0.06879526004</v>
      </c>
      <c r="Y112" s="15">
        <f>OptionsExpense/proFormaNetInc</f>
        <v>0.05940875497</v>
      </c>
      <c r="Z112" s="15">
        <f>OptionsExpense/proFormaNetInc</f>
        <v>0.07209382546</v>
      </c>
      <c r="AA112" s="15">
        <f>OptionsExpense/proFormaNetInc</f>
        <v>0.07827715356</v>
      </c>
      <c r="AB112" s="309">
        <f>OptionsExpense/proFormaNetInc</f>
        <v>0.06894845361</v>
      </c>
      <c r="AC112" s="15">
        <f>OptionsExpense/proFormaNetInc</f>
        <v>0.2358962693</v>
      </c>
      <c r="AD112" s="15">
        <f>OptionsExpense/proFormaNetInc</f>
        <v>0.3035714286</v>
      </c>
      <c r="AE112" s="15">
        <f>OptionsExpense/proFormaNetInc</f>
        <v>0.3958015267</v>
      </c>
      <c r="AF112" s="15">
        <f>OptionsExpense/proFormaNetInc</f>
        <v>0.2597695391</v>
      </c>
      <c r="AG112" s="309">
        <f>OptionsExpense/proFormaNetInc</f>
        <v>0.2875762618</v>
      </c>
      <c r="AH112" s="15">
        <f>OptionsExpense/proFormaNetInc</f>
        <v>0.2808219178</v>
      </c>
      <c r="AI112" s="15">
        <f>OptionsExpense/proFormaNetInc</f>
        <v>0.4983870968</v>
      </c>
      <c r="AJ112" s="15">
        <f>OptionsExpense/proFormaNetInc</f>
        <v>0.3567708333</v>
      </c>
      <c r="AK112" s="15">
        <f>OptionsExpense/proFormaNetInc</f>
        <v>0.284629981</v>
      </c>
      <c r="AL112" s="309">
        <f>OptionsExpense/proFormaNetInc</f>
        <v>0.3377598152</v>
      </c>
      <c r="AM112" s="15">
        <f>OptionsExpense/proFormaNetInc</f>
        <v>0.3256830601</v>
      </c>
      <c r="AN112" s="15">
        <f>OptionsExpense/proFormaNetInc</f>
        <v>0.3236607143</v>
      </c>
      <c r="AO112" s="15">
        <f>OptionsExpense/proFormaNetInc</f>
        <v>0.1798430899</v>
      </c>
      <c r="AP112" s="15">
        <f>OptionsExpense/proFormaNetInc</f>
        <v>0.04838709677</v>
      </c>
      <c r="AQ112" s="309">
        <f>OptionsExpense/proFormaNetInc</f>
        <v>0.1757715502</v>
      </c>
      <c r="AR112" s="15">
        <f>OptionsExpense/proFormaNetInc</f>
        <v>0.1664739884</v>
      </c>
      <c r="AS112" s="15">
        <f>OptionsExpense/proFormaNetInc</f>
        <v>0.1690381332</v>
      </c>
      <c r="AT112" s="15">
        <f>OptionsExpense/proFormaNetInc</f>
        <v>0.1547743966</v>
      </c>
      <c r="AU112" s="15">
        <f>OptionsExpense/proFormaNetInc</f>
        <v>0.1841733396</v>
      </c>
      <c r="AV112" s="309">
        <f>OptionsExpense/proFormaNetInc</f>
        <v>0.1691059074</v>
      </c>
      <c r="AW112" s="15">
        <f>OptionsExpense/proFormaNetInc</f>
        <v>0.152892562</v>
      </c>
      <c r="AX112" s="15">
        <f>OptionsExpense/proFormaNetInc</f>
        <v>0.1437684004</v>
      </c>
      <c r="AY112" s="15">
        <f>OptionsExpense/proFormaNetInc</f>
        <v>0.1243039406</v>
      </c>
      <c r="AZ112" s="15">
        <f>OptionsExpense/proFormaNetInc</f>
        <v>0.1406441093</v>
      </c>
      <c r="BA112" s="309">
        <f>OptionsExpense/proFormaNetInc</f>
        <v>0.140066033</v>
      </c>
      <c r="BB112" s="15">
        <f>OptionsExpense/proFormaNetInc</f>
        <v>0.1945467944</v>
      </c>
      <c r="BC112" s="15">
        <f>OptionsExpense/proFormaNetInc</f>
        <v>0.2700564972</v>
      </c>
      <c r="BD112" s="15">
        <f>OptionsExpense/proFormaNetInc</f>
        <v>0.190622598</v>
      </c>
      <c r="BE112" s="15">
        <f>OptionsExpense/proFormaNetInc</f>
        <v>0.1572285143</v>
      </c>
      <c r="BF112" s="309">
        <f>OptionsExpense/proFormaNetInc</f>
        <v>0.1956780333</v>
      </c>
      <c r="BG112" s="15">
        <f>OptionsExpense/proFormaNetInc</f>
        <v>0.1516284036</v>
      </c>
      <c r="BH112" s="15">
        <f>OptionsExpense/proFormaNetInc</f>
        <v>0.1550032701</v>
      </c>
      <c r="BI112" s="15">
        <f>OptionsExpense/proFormaNetInc</f>
        <v>0.08677370031</v>
      </c>
      <c r="BJ112" s="15">
        <f>OptionsExpense/proFormaNetInc</f>
        <v>0.0625574977</v>
      </c>
      <c r="BK112" s="309">
        <f>OptionsExpense/proFormaNetInc</f>
        <v>0.1027730298</v>
      </c>
      <c r="BL112" s="15">
        <f>OptionsExpense/proFormaNetInc</f>
        <v>0.1008751727</v>
      </c>
      <c r="BM112" s="15">
        <f>OptionsExpense/proFormaNetInc</f>
        <v>0.1050583658</v>
      </c>
      <c r="BN112" s="15">
        <f>OptionsExpense/proFormaNetInc</f>
        <v>0.06953759266</v>
      </c>
      <c r="BO112" s="15">
        <f>OptionsExpense/proFormaNetInc</f>
        <v>0.1469013007</v>
      </c>
      <c r="BP112" s="309">
        <f>OptionsExpense/proFormaNetInc</f>
        <v>0.09859607789</v>
      </c>
      <c r="BQ112" s="15">
        <f>OptionsExpense/proFormaNetInc</f>
        <v>0.3386327504</v>
      </c>
      <c r="BR112" s="15">
        <f>OptionsExpense/proFormaNetInc</f>
        <v>0.1846814603</v>
      </c>
      <c r="BS112" s="15">
        <f>OptionsExpense/proFormaNetInc</f>
        <v>0.08609794629</v>
      </c>
      <c r="BT112" s="15">
        <f>OptionsExpense/proFormaNetInc</f>
        <v>0.05204267499</v>
      </c>
      <c r="BU112" s="309">
        <f>OptionsExpense/proFormaNetInc</f>
        <v>0.1058206852</v>
      </c>
      <c r="BV112" s="15">
        <f>OptionsExpense/proFormaNetInc</f>
        <v>0.07196749855</v>
      </c>
      <c r="BW112" s="15">
        <f>OptionsExpense/proFormaNetInc</f>
        <v>0.05543608124</v>
      </c>
      <c r="BX112" s="15">
        <f>OptionsExpense/proFormaNetInc</f>
        <v>0.05269348389</v>
      </c>
      <c r="BY112" s="15">
        <f>OptionsExpense/proFormaNetInc</f>
        <v>0.05116502522</v>
      </c>
      <c r="BZ112" s="37">
        <f>OptionsExpense/proFormaNetInc</f>
        <v>0.05706582546</v>
      </c>
      <c r="CA112" s="15">
        <f>OptionsExpense/proFormaNetInc</f>
        <v>0.06863417982</v>
      </c>
      <c r="CB112" s="15">
        <f>OptionsExpense/proFormaNetInc</f>
        <v>0.06664970745</v>
      </c>
      <c r="CC112" s="15">
        <f>OptionsExpense/proFormaNetInc</f>
        <v>0.05110384301</v>
      </c>
      <c r="CD112" s="15">
        <f>OptionsExpense/proFormaNetInc</f>
        <v>0.05253978635</v>
      </c>
      <c r="CE112" s="37">
        <f>OptionsExpense/proFormaNetInc</f>
        <v>0.05922051628</v>
      </c>
      <c r="CF112" s="15">
        <f>OptionsExpense/proFormaNetInc</f>
        <v>0.07184058731</v>
      </c>
      <c r="CG112" s="15">
        <f>OptionsExpense/proFormaNetInc</f>
        <v>0.07117437722</v>
      </c>
      <c r="CH112" s="15">
        <f>OptionsExpense/proFormaNetInc</f>
        <v>0.07039020658</v>
      </c>
      <c r="CI112" s="15">
        <f>OptionsExpense/proFormaNetInc</f>
        <v>0.08583021223</v>
      </c>
      <c r="CJ112" s="37">
        <f>OptionsExpense/proFormaNetInc</f>
        <v>0.07429570362</v>
      </c>
      <c r="CK112" s="15">
        <f>OptionsExpense/proFormaNetInc</f>
        <v>0.1207531723</v>
      </c>
      <c r="CL112" s="15">
        <f>OptionsExpense/proFormaNetInc</f>
        <v>0.1067582622</v>
      </c>
      <c r="CM112" s="15">
        <f>OptionsExpense/proFormaNetInc</f>
        <v>0.07326707441</v>
      </c>
      <c r="CN112" s="40">
        <f>OptionsExpense/proFormaNetInc</f>
        <v>0.07885102788</v>
      </c>
      <c r="CO112" s="37">
        <f>OptionsExpense/proFormaNetInc</f>
        <v>0.09119023075</v>
      </c>
      <c r="CP112" s="40">
        <f>OptionsExpense/proFormaNetInc</f>
        <v>0.1050872633</v>
      </c>
      <c r="CQ112" s="15">
        <f>OptionsExpense/proFormaNetInc</f>
        <v>0.07725650178</v>
      </c>
      <c r="CR112" s="15">
        <f>OptionsExpense/proFormaNetInc</f>
        <v>0.06175824176</v>
      </c>
      <c r="CS112" s="15">
        <f>OptionsExpense/proFormaNetInc</f>
        <v>0.06074264864</v>
      </c>
      <c r="CT112" s="37">
        <f>OptionsExpense/proFormaNetInc</f>
        <v>0.07205062339</v>
      </c>
      <c r="CU112" s="15">
        <f>OptionsExpense/proFormaNetInc</f>
        <v>0.1376730266</v>
      </c>
      <c r="CV112" s="15">
        <f>OptionsExpense/proFormaNetInc</f>
        <v>0.1112973517</v>
      </c>
      <c r="CW112" s="15">
        <f>OptionsExpense/proFormaNetInc</f>
        <v>0.07265459676</v>
      </c>
      <c r="CX112" s="15">
        <f>OptionsExpense/proFormaNetInc</f>
        <v>0.06878921683</v>
      </c>
      <c r="CY112" s="37">
        <f>OptionsExpense/proFormaNetInc</f>
        <v>0.09115038067</v>
      </c>
      <c r="CZ112" s="15">
        <f>OptionsExpense/proFormaNetInc</f>
        <v>0.1786283892</v>
      </c>
      <c r="DA112" s="15">
        <f>OptionsExpense/proFormaNetInc</f>
        <v>0.2179640719</v>
      </c>
      <c r="DB112" s="15">
        <f>OptionsExpense/proFormaNetInc</f>
        <v>0.0750347383</v>
      </c>
      <c r="DC112" s="15">
        <f>OptionsExpense/proFormaNetInc</f>
        <v>0.06936936937</v>
      </c>
      <c r="DD112" s="37">
        <f>OptionsExpense/proFormaNetInc</f>
        <v>0.1116264688</v>
      </c>
      <c r="DE112" s="15">
        <f>OptionsExpense/proFormaNetInc</f>
        <v>0.1040629096</v>
      </c>
      <c r="DF112" s="15">
        <f>OptionsExpense/proFormaNetInc</f>
        <v>0.07174103237</v>
      </c>
      <c r="DG112" s="40">
        <f>OptionsExpense/proFormaNetInc</f>
        <v>0.05902192243</v>
      </c>
      <c r="DH112" s="15">
        <f>OptionsExpense/proFormaNetInc</f>
        <v>0.057995029</v>
      </c>
      <c r="DI112" s="37">
        <f>OptionsExpense/proFormaNetInc</f>
        <v>0.07001768868</v>
      </c>
      <c r="DJ112" s="40">
        <f>OptionsExpense/proFormaNetInc</f>
        <v>0.08640989822</v>
      </c>
      <c r="DK112" s="40">
        <f>OptionsExpense/proFormaNetInc</f>
        <v>0.06999457406</v>
      </c>
      <c r="DL112" s="40">
        <f>OptionsExpense/proFormaNetInc</f>
        <v>0.05362643517</v>
      </c>
      <c r="DM112" s="40">
        <f>OptionsExpense/proFormaNetInc</f>
        <v>0.06086956522</v>
      </c>
      <c r="DN112" s="37">
        <f>OptionsExpense/proFormaNetInc</f>
        <v>0.06630355535</v>
      </c>
      <c r="DO112" s="40">
        <f>OptionsExpense/proFormaNetInc</f>
        <v>0.08555091269</v>
      </c>
      <c r="DP112" s="40">
        <f>OptionsExpense/proFormaNetInc</f>
        <v>0.09949195597</v>
      </c>
      <c r="DQ112" s="40">
        <f>OptionsExpense/proFormaNetInc</f>
        <v>0.06414645036</v>
      </c>
      <c r="DR112" s="40">
        <f>OptionsExpense/proFormaNetInc</f>
        <v>0.06763051562</v>
      </c>
      <c r="DS112" s="37">
        <f>OptionsExpense/proFormaNetInc</f>
        <v>0.07630073157</v>
      </c>
      <c r="DT112" s="40">
        <f>OptionsExpense/proFormaNetInc</f>
        <v>0.06788630178</v>
      </c>
      <c r="DU112" s="40">
        <f>OptionsExpense/proFormaNetInc</f>
        <v>0.08289806234</v>
      </c>
      <c r="DV112" s="40">
        <f>OptionsExpense/proFormaNetInc</f>
        <v>0.08966474906</v>
      </c>
      <c r="DW112" s="40">
        <f>DV112</f>
        <v>0.08966474906</v>
      </c>
      <c r="DX112" s="37">
        <f>OptionsExpense/proFormaNetInc</f>
        <v>0.07392934046</v>
      </c>
      <c r="DY112" s="40">
        <f>DW112</f>
        <v>0.08966474906</v>
      </c>
      <c r="DZ112" s="40">
        <f t="shared" ref="DZ112:EB112" si="901">DY112</f>
        <v>0.08966474906</v>
      </c>
      <c r="EA112" s="40">
        <f t="shared" si="901"/>
        <v>0.08966474906</v>
      </c>
      <c r="EB112" s="40">
        <f t="shared" si="901"/>
        <v>0.08966474906</v>
      </c>
      <c r="EC112" s="37">
        <f>OptionsExpense/proFormaNetInc</f>
        <v>0.0938119154</v>
      </c>
      <c r="ED112" s="40">
        <f>EB112</f>
        <v>0.08966474906</v>
      </c>
      <c r="EE112" s="40">
        <f t="shared" ref="EE112:EG112" si="902">ED112</f>
        <v>0.08966474906</v>
      </c>
      <c r="EF112" s="40">
        <f t="shared" si="902"/>
        <v>0.08966474906</v>
      </c>
      <c r="EG112" s="40">
        <f t="shared" si="902"/>
        <v>0.08966474906</v>
      </c>
      <c r="EH112" s="37">
        <f>OptionsExpense/proFormaNetInc</f>
        <v>0.4026776519</v>
      </c>
      <c r="EI112" s="82" t="str">
        <f>OptionsExpense/proFormaNetInc</f>
        <v>#ERROR!</v>
      </c>
      <c r="EJ112" s="15" t="str">
        <f>OptionsExpense/proFormaNetInc</f>
        <v>#ERROR!</v>
      </c>
      <c r="EK112" s="15" t="str">
        <f>OptionsExpense/proFormaNetInc</f>
        <v>#ERROR!</v>
      </c>
      <c r="EL112" s="15" t="str">
        <f>OptionsExpense/proFormaNetInc</f>
        <v>#ERROR!</v>
      </c>
      <c r="EM112" s="37" t="str">
        <f>OptionsExpense/proFormaNetInc</f>
        <v>#ERROR!</v>
      </c>
      <c r="EN112" s="15" t="str">
        <f>OptionsExpense/proFormaNetInc</f>
        <v>#ERROR!</v>
      </c>
      <c r="EO112" s="15" t="str">
        <f>OptionsExpense/proFormaNetInc</f>
        <v>#ERROR!</v>
      </c>
      <c r="EP112" s="15" t="str">
        <f>OptionsExpense/proFormaNetInc</f>
        <v>#ERROR!</v>
      </c>
      <c r="EQ112" s="15" t="str">
        <f>OptionsExpense/proFormaNetInc</f>
        <v>#ERROR!</v>
      </c>
      <c r="ER112" s="37" t="str">
        <f>OptionsExpense/proFormaNetInc</f>
        <v>#ERROR!</v>
      </c>
      <c r="ES112" s="15" t="str">
        <f>OptionsExpense/proFormaNetInc</f>
        <v>#ERROR!</v>
      </c>
      <c r="ET112" s="15" t="str">
        <f>OptionsExpense/proFormaNetInc</f>
        <v>#ERROR!</v>
      </c>
      <c r="EU112" s="15" t="str">
        <f>OptionsExpense/proFormaNetInc</f>
        <v>#ERROR!</v>
      </c>
      <c r="EV112" s="15" t="str">
        <f>OptionsExpense/proFormaNetInc</f>
        <v>#ERROR!</v>
      </c>
      <c r="EW112" s="37" t="str">
        <f>OptionsExpense/proFormaNetInc</f>
        <v>#ERROR!</v>
      </c>
      <c r="EX112" s="15" t="str">
        <f>OptionsExpense/proFormaNetInc</f>
        <v>#ERROR!</v>
      </c>
      <c r="EY112" s="15" t="str">
        <f>OptionsExpense/proFormaNetInc</f>
        <v>#ERROR!</v>
      </c>
      <c r="EZ112" s="15" t="str">
        <f>OptionsExpense/proFormaNetInc</f>
        <v>#ERROR!</v>
      </c>
      <c r="FA112" s="15" t="str">
        <f>OptionsExpense/proFormaNetInc</f>
        <v>#ERROR!</v>
      </c>
      <c r="FB112" s="37" t="str">
        <f>OptionsExpense/proFormaNetInc</f>
        <v>#ERROR!</v>
      </c>
      <c r="FC112" s="15" t="str">
        <f>OptionsExpense/proFormaNetInc</f>
        <v>#ERROR!</v>
      </c>
      <c r="FD112" s="15" t="str">
        <f>OptionsExpense/proFormaNetInc</f>
        <v>#ERROR!</v>
      </c>
      <c r="FE112" s="15" t="str">
        <f>OptionsExpense/proFormaNetInc</f>
        <v>#ERROR!</v>
      </c>
      <c r="FF112" s="15" t="str">
        <f>OptionsExpense/proFormaNetInc</f>
        <v>#ERROR!</v>
      </c>
      <c r="FG112" s="37" t="str">
        <f>OptionsExpense/proFormaNetInc</f>
        <v>#ERROR!</v>
      </c>
      <c r="FH112" s="35"/>
      <c r="FI112" s="15"/>
      <c r="FJ112" s="15"/>
      <c r="FK112" s="309"/>
      <c r="FL112" s="15"/>
    </row>
    <row r="113" ht="12.75" customHeight="1">
      <c r="A113" s="4"/>
      <c r="B113" s="72" t="s">
        <v>125</v>
      </c>
      <c r="C113" s="72"/>
      <c r="D113" s="15"/>
      <c r="E113" s="15"/>
      <c r="F113" s="15"/>
      <c r="G113" s="15"/>
      <c r="H113" s="309"/>
      <c r="I113" s="15"/>
      <c r="J113" s="15"/>
      <c r="K113" s="15"/>
      <c r="L113" s="15"/>
      <c r="M113" s="309"/>
      <c r="N113" s="15"/>
      <c r="O113" s="15"/>
      <c r="P113" s="15"/>
      <c r="Q113" s="316">
        <f>SUM(P12:Q12)/R12</f>
        <v>0.5459977924</v>
      </c>
      <c r="R113" s="309"/>
      <c r="S113" s="15"/>
      <c r="T113" s="15"/>
      <c r="U113" s="15"/>
      <c r="V113" s="316">
        <f>SUM(U12:V12)/W12</f>
        <v>0.5287692674</v>
      </c>
      <c r="W113" s="309"/>
      <c r="X113" s="15"/>
      <c r="Y113" s="15"/>
      <c r="Z113" s="15"/>
      <c r="AA113" s="316">
        <f>SUM(Z12:AA12)/AB12</f>
        <v>0.5169009073</v>
      </c>
      <c r="AB113" s="309"/>
      <c r="AC113" s="15"/>
      <c r="AD113" s="15"/>
      <c r="AE113" s="15"/>
      <c r="AF113" s="316">
        <f>SUM(AE12:AF12)/AG12</f>
        <v>0.5097403821</v>
      </c>
      <c r="AG113" s="309"/>
      <c r="AH113" s="15"/>
      <c r="AI113" s="15"/>
      <c r="AJ113" s="15"/>
      <c r="AK113" s="316">
        <f>SUM(AJ12:AK12)/AL12</f>
        <v>0.5105365416</v>
      </c>
      <c r="AL113" s="309"/>
      <c r="AM113" s="15"/>
      <c r="AN113" s="15"/>
      <c r="AO113" s="15"/>
      <c r="AP113" s="316">
        <f>SUM(AO12:AP12)/AQ12</f>
        <v>0.5498822202</v>
      </c>
      <c r="AQ113" s="309"/>
      <c r="AR113" s="15"/>
      <c r="AS113" s="15"/>
      <c r="AT113" s="15"/>
      <c r="AU113" s="316">
        <f>SUM(AT12:AU12)/AV12</f>
        <v>0.5281943348</v>
      </c>
      <c r="AV113" s="309"/>
      <c r="AW113" s="15"/>
      <c r="AX113" s="15"/>
      <c r="AY113" s="15"/>
      <c r="AZ113" s="316">
        <f>SUM(AY12:AZ12)/BA12</f>
        <v>0.5192654407</v>
      </c>
      <c r="BA113" s="309"/>
      <c r="BB113" s="15"/>
      <c r="BC113" s="15"/>
      <c r="BD113" s="15"/>
      <c r="BE113" s="316">
        <f>SUM(BD12:BE12)/BF12</f>
        <v>0.5209711153</v>
      </c>
      <c r="BF113" s="309"/>
      <c r="BG113" s="15"/>
      <c r="BH113" s="15"/>
      <c r="BI113" s="15"/>
      <c r="BJ113" s="316">
        <f>SUM(BI12:BJ12)/BK12</f>
        <v>0.5426514321</v>
      </c>
      <c r="BK113" s="309"/>
      <c r="BL113" s="15"/>
      <c r="BM113" s="15"/>
      <c r="BN113" s="15"/>
      <c r="BO113" s="316">
        <f>SUM(BN12:BO12)/BP12</f>
        <v>0.4906880221</v>
      </c>
      <c r="BP113" s="309"/>
      <c r="BQ113" s="15"/>
      <c r="BR113" s="15"/>
      <c r="BS113" s="15"/>
      <c r="BT113" s="316">
        <f>SUM(BS12:BT12)/BU12</f>
        <v>0.5681669371</v>
      </c>
      <c r="BU113" s="309"/>
      <c r="BV113" s="15"/>
      <c r="BW113" s="15"/>
      <c r="BX113" s="15"/>
      <c r="BY113" s="316">
        <f>SUM(BX12:BY12)/BZ12</f>
        <v>0.5171354561</v>
      </c>
      <c r="BZ113" s="37"/>
      <c r="CA113" s="15"/>
      <c r="CB113" s="15"/>
      <c r="CC113" s="15"/>
      <c r="CD113" s="316">
        <f>SUM(CC12:CD12)/CE12</f>
        <v>0.5207503843</v>
      </c>
      <c r="CE113" s="37"/>
      <c r="CF113" s="15"/>
      <c r="CG113" s="15"/>
      <c r="CH113" s="15"/>
      <c r="CI113" s="316">
        <f>SUM(CH12:CI12)/CJ12</f>
        <v>0.5049399149</v>
      </c>
      <c r="CJ113" s="37"/>
      <c r="CK113" s="15"/>
      <c r="CL113" s="15"/>
      <c r="CM113" s="15"/>
      <c r="CN113" s="316">
        <f>SUM(CM12:CN12)/CO12</f>
        <v>0.5182704713</v>
      </c>
      <c r="CO113" s="37"/>
      <c r="CP113" s="40"/>
      <c r="CQ113" s="15"/>
      <c r="CR113" s="15"/>
      <c r="CS113" s="316">
        <f>SUM(CR12:CS12)/CT12</f>
        <v>0.5239842491</v>
      </c>
      <c r="CT113" s="37"/>
      <c r="CU113" s="15"/>
      <c r="CV113" s="15"/>
      <c r="CW113" s="15"/>
      <c r="CX113" s="316">
        <f>SUM(CW12:CX12)/CY12</f>
        <v>0.5307379641</v>
      </c>
      <c r="CY113" s="37"/>
      <c r="CZ113" s="15"/>
      <c r="DA113" s="15"/>
      <c r="DB113" s="15"/>
      <c r="DC113" s="316">
        <f>SUM(DB12:DC12)/DD12</f>
        <v>0.5404969236</v>
      </c>
      <c r="DD113" s="37"/>
      <c r="DE113" s="15"/>
      <c r="DF113" s="15"/>
      <c r="DG113" s="40"/>
      <c r="DH113" s="316">
        <f>SUM(DG12:DH12)/DI12</f>
        <v>0.5290228008</v>
      </c>
      <c r="DI113" s="37"/>
      <c r="DJ113" s="40"/>
      <c r="DK113" s="40"/>
      <c r="DL113" s="40"/>
      <c r="DM113" s="316">
        <f>SUM(DL12:DM12)/DN12</f>
        <v>0.5338188799</v>
      </c>
      <c r="DN113" s="37"/>
      <c r="DO113" s="40"/>
      <c r="DP113" s="40"/>
      <c r="DQ113" s="40"/>
      <c r="DR113" s="316">
        <f>SUM(DQ12:DR12)/DS12</f>
        <v>0.5474744668</v>
      </c>
      <c r="DS113" s="37"/>
      <c r="DT113" s="40"/>
      <c r="DU113" s="40"/>
      <c r="DV113" s="40"/>
      <c r="DW113" s="40">
        <f>SUM(DV12:DW12)/DX12</f>
        <v>0.4920055993</v>
      </c>
      <c r="DX113" s="37"/>
      <c r="DY113" s="40"/>
      <c r="DZ113" s="40"/>
      <c r="EA113" s="40"/>
      <c r="EB113" s="40">
        <f>SUM(EA12:EB12)/EC12</f>
        <v>0.5034797505</v>
      </c>
      <c r="EC113" s="37"/>
      <c r="ED113" s="40"/>
      <c r="EE113" s="40"/>
      <c r="EF113" s="40"/>
      <c r="EG113" s="40">
        <f>SUM(EF12:EG12)/EH12</f>
        <v>0.4659498208</v>
      </c>
      <c r="EH113" s="37"/>
      <c r="EI113" s="317"/>
      <c r="EJ113" s="15"/>
      <c r="EK113" s="15"/>
      <c r="EL113" s="316" t="str">
        <f>SUM(EK12:EL12)/EM12</f>
        <v>#ERROR!</v>
      </c>
      <c r="EM113" s="37"/>
      <c r="EN113" s="15"/>
      <c r="EO113" s="15"/>
      <c r="EP113" s="15"/>
      <c r="EQ113" s="316" t="str">
        <f>SUM(EP12:EQ12)/ER12</f>
        <v>#ERROR!</v>
      </c>
      <c r="ER113" s="37"/>
      <c r="ES113" s="15"/>
      <c r="ET113" s="15"/>
      <c r="EU113" s="15"/>
      <c r="EV113" s="316" t="str">
        <f>SUM(EU12:EV12)/EW12</f>
        <v>#ERROR!</v>
      </c>
      <c r="EW113" s="37"/>
      <c r="EX113" s="15"/>
      <c r="EY113" s="15"/>
      <c r="EZ113" s="15"/>
      <c r="FA113" s="316" t="str">
        <f>SUM(EZ12:FA12)/FB12</f>
        <v>#ERROR!</v>
      </c>
      <c r="FB113" s="37"/>
      <c r="FC113" s="15"/>
      <c r="FD113" s="15"/>
      <c r="FE113" s="15"/>
      <c r="FF113" s="316" t="str">
        <f>SUM(FE12:FF12)/FG12</f>
        <v>#ERROR!</v>
      </c>
      <c r="FG113" s="37"/>
      <c r="FH113" s="35"/>
      <c r="FI113" s="15"/>
      <c r="FJ113" s="15"/>
      <c r="FK113" s="309"/>
      <c r="FL113" s="15"/>
    </row>
    <row r="114" ht="13.5" hidden="1" customHeight="1">
      <c r="A114" s="318"/>
      <c r="B114" s="319" t="s">
        <v>126</v>
      </c>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f t="shared" ref="AR114:AU114" si="903">AVERAGE(S118,X118,AC118,AH118,AM118)</f>
        <v>-0.08250738564</v>
      </c>
      <c r="AS114" s="319">
        <f t="shared" si="903"/>
        <v>-0.0243451125</v>
      </c>
      <c r="AT114" s="319">
        <f t="shared" si="903"/>
        <v>0.06999957434</v>
      </c>
      <c r="AU114" s="319">
        <f t="shared" si="903"/>
        <v>0.08020276773</v>
      </c>
      <c r="AV114" s="319">
        <f>AVERAGE(R127,W127,AB127,AG127,AL127,AQ127)</f>
        <v>0.03927871044</v>
      </c>
      <c r="AW114" s="319">
        <f t="shared" ref="AW114:AZ114" si="904">AVERAGE(S118,X118,AC118,AH118,AM118,AR118)</f>
        <v>-0.08114985489</v>
      </c>
      <c r="AX114" s="319">
        <f t="shared" si="904"/>
        <v>-0.02115275257</v>
      </c>
      <c r="AY114" s="319">
        <f t="shared" si="904"/>
        <v>0.06707112414</v>
      </c>
      <c r="AZ114" s="319">
        <f t="shared" si="904"/>
        <v>0.0890093304</v>
      </c>
      <c r="BA114" s="319">
        <f>AVERAGE(W127,AB127,AG127,AL127,AQ127,AV127)</f>
        <v>0.05378234742</v>
      </c>
      <c r="BB114" s="319">
        <f t="shared" ref="BB114:BE114" si="905">AVERAGE(X118,AC118,AH118,AM118,AR118,AW118)</f>
        <v>-0.07281213499</v>
      </c>
      <c r="BC114" s="319">
        <f t="shared" si="905"/>
        <v>-0.01636232934</v>
      </c>
      <c r="BD114" s="319">
        <f t="shared" si="905"/>
        <v>0.06585440389</v>
      </c>
      <c r="BE114" s="319">
        <f t="shared" si="905"/>
        <v>0.07293659696</v>
      </c>
      <c r="BF114" s="319">
        <f>AVERAGE(AB127,AG127,AL127,AQ127,AV127,BA127)</f>
        <v>0.05650962043</v>
      </c>
      <c r="BG114" s="319">
        <f t="shared" ref="BG114:BJ114" si="906">AVERAGE(AC118,AH118,AM118,AR118,AW118,BB118)</f>
        <v>-0.08896997524</v>
      </c>
      <c r="BH114" s="319">
        <f t="shared" si="906"/>
        <v>-0.04012021433</v>
      </c>
      <c r="BI114" s="319">
        <f t="shared" si="906"/>
        <v>0.07239102861</v>
      </c>
      <c r="BJ114" s="319">
        <f t="shared" si="906"/>
        <v>0.09170355299</v>
      </c>
      <c r="BK114" s="319">
        <f>AVERAGE(AG127,AL127,AQ127,AV127,BA127,BF127)</f>
        <v>0.01713034259</v>
      </c>
      <c r="BL114" s="319">
        <f t="shared" ref="BL114:BO114" si="907">AVERAGE(AH118,AM118,AR118,AW118,BB118,BG118)</f>
        <v>-0.06466209607</v>
      </c>
      <c r="BM114" s="319">
        <f t="shared" si="907"/>
        <v>-0.03479692454</v>
      </c>
      <c r="BN114" s="319">
        <f t="shared" si="907"/>
        <v>0.09391271417</v>
      </c>
      <c r="BO114" s="319">
        <f t="shared" si="907"/>
        <v>0.09082419953</v>
      </c>
      <c r="BP114" s="319">
        <f>AVERAGE(AL127,AQ127,AV127,BA127,BF127,BK127)</f>
        <v>0.06655233249</v>
      </c>
      <c r="BQ114" s="319">
        <f t="shared" ref="BQ114:BT114" si="908">AVERAGE(AM118,AR118,AW118,BB118,BG118,BL118)</f>
        <v>-0.07600653445</v>
      </c>
      <c r="BR114" s="319">
        <f t="shared" si="908"/>
        <v>-0.0269393756</v>
      </c>
      <c r="BS114" s="319">
        <f t="shared" si="908"/>
        <v>0.1021800294</v>
      </c>
      <c r="BT114" s="319">
        <f t="shared" si="908"/>
        <v>0.04153548261</v>
      </c>
      <c r="BU114" s="319">
        <f>AVERAGE(AQ127,AV127,BA127,BF127,BK127,BP127)</f>
        <v>0.06188720033</v>
      </c>
      <c r="BV114" s="319">
        <f t="shared" ref="BV114:BY114" si="909">AVERAGE(AR118,AW118,BB118,BG118,BL118,BQ118)</f>
        <v>-0.08838814931</v>
      </c>
      <c r="BW114" s="319">
        <f t="shared" si="909"/>
        <v>-0.008040227293</v>
      </c>
      <c r="BX114" s="319">
        <f t="shared" si="909"/>
        <v>0.1056645143</v>
      </c>
      <c r="BY114" s="319">
        <f t="shared" si="909"/>
        <v>0.04316200922</v>
      </c>
      <c r="BZ114" s="320">
        <f>AVERAGE(AV127,BA127,BF127,BK127,BP127,BU127)</f>
        <v>0.02995382532</v>
      </c>
      <c r="CA114" s="319">
        <f t="shared" ref="CA114:CD114" si="910">AVERAGE(AW118,BB118,BG118,BL118,BQ118,BV118)</f>
        <v>-0.08025218401</v>
      </c>
      <c r="CB114" s="319">
        <f t="shared" si="910"/>
        <v>0.0003661167535</v>
      </c>
      <c r="CC114" s="319">
        <f t="shared" si="910"/>
        <v>0.1021438948</v>
      </c>
      <c r="CD114" s="319">
        <f t="shared" si="910"/>
        <v>0.02631768867</v>
      </c>
      <c r="CE114" s="320">
        <f>AVERAGE(BA127,BF127,BK127,BP127,BU127,BZ127)</f>
        <v>0.0477704204</v>
      </c>
      <c r="CF114" s="319">
        <f t="shared" ref="CF114:CI114" si="911">AVERAGE(BB118,BG118,BL118,BQ118,BV118,CA118)</f>
        <v>-0.05718383374</v>
      </c>
      <c r="CG114" s="319">
        <f t="shared" si="911"/>
        <v>0.006352477256</v>
      </c>
      <c r="CH114" s="319">
        <f t="shared" si="911"/>
        <v>0.1043413514</v>
      </c>
      <c r="CI114" s="319">
        <f t="shared" si="911"/>
        <v>0.01823327368</v>
      </c>
      <c r="CJ114" s="320">
        <f>AVERAGE(BF127,BK127,BP127,BU127,BZ127,CE127)</f>
        <v>0.06491903603</v>
      </c>
      <c r="CK114" s="319">
        <f t="shared" ref="CK114:CN114" si="912">AVERAGE(BG118,BL118,BQ118,BV118,CA118,CF118)</f>
        <v>-0.04835487965</v>
      </c>
      <c r="CL114" s="319">
        <f t="shared" si="912"/>
        <v>0.03139269232</v>
      </c>
      <c r="CM114" s="319">
        <f t="shared" si="912"/>
        <v>0.08860693857</v>
      </c>
      <c r="CN114" s="321">
        <f t="shared" si="912"/>
        <v>0.0002676032358</v>
      </c>
      <c r="CO114" s="320"/>
      <c r="CP114" s="321"/>
      <c r="CQ114" s="319"/>
      <c r="CR114" s="319"/>
      <c r="CS114" s="319"/>
      <c r="CT114" s="320"/>
      <c r="CU114" s="319"/>
      <c r="CV114" s="319"/>
      <c r="CW114" s="319"/>
      <c r="CX114" s="319"/>
      <c r="CY114" s="320"/>
      <c r="CZ114" s="319"/>
      <c r="DA114" s="319"/>
      <c r="DB114" s="319"/>
      <c r="DC114" s="319"/>
      <c r="DD114" s="320"/>
      <c r="DE114" s="319"/>
      <c r="DF114" s="319"/>
      <c r="DG114" s="321"/>
      <c r="DH114" s="319"/>
      <c r="DI114" s="320"/>
      <c r="DJ114" s="321"/>
      <c r="DK114" s="321"/>
      <c r="DL114" s="321"/>
      <c r="DM114" s="321"/>
      <c r="DN114" s="320"/>
      <c r="DO114" s="321"/>
      <c r="DP114" s="321"/>
      <c r="DQ114" s="321"/>
      <c r="DR114" s="321"/>
      <c r="DS114" s="320"/>
      <c r="DT114" s="321"/>
      <c r="DU114" s="321"/>
      <c r="DV114" s="321"/>
      <c r="DW114" s="321"/>
      <c r="DX114" s="320"/>
      <c r="DY114" s="321"/>
      <c r="DZ114" s="321"/>
      <c r="EA114" s="321"/>
      <c r="EB114" s="321"/>
      <c r="EC114" s="320"/>
      <c r="ED114" s="321"/>
      <c r="EE114" s="321"/>
      <c r="EF114" s="321"/>
      <c r="EG114" s="321"/>
      <c r="EH114" s="320"/>
      <c r="EI114" s="322"/>
      <c r="EJ114" s="319"/>
      <c r="EK114" s="319"/>
      <c r="EL114" s="319"/>
      <c r="EM114" s="320"/>
      <c r="EN114" s="319"/>
      <c r="EO114" s="319"/>
      <c r="EP114" s="319"/>
      <c r="EQ114" s="319"/>
      <c r="ER114" s="320"/>
      <c r="ES114" s="319"/>
      <c r="ET114" s="319"/>
      <c r="EU114" s="319"/>
      <c r="EV114" s="319"/>
      <c r="EW114" s="320"/>
      <c r="EX114" s="319"/>
      <c r="EY114" s="319"/>
      <c r="EZ114" s="319"/>
      <c r="FA114" s="319"/>
      <c r="FB114" s="320"/>
      <c r="FC114" s="319"/>
      <c r="FD114" s="319"/>
      <c r="FE114" s="319"/>
      <c r="FF114" s="319"/>
      <c r="FG114" s="320"/>
      <c r="FH114" s="321"/>
      <c r="FI114" s="319"/>
      <c r="FJ114" s="319"/>
      <c r="FK114" s="319"/>
      <c r="FL114" s="319"/>
    </row>
    <row r="115" ht="12.75" hidden="1" customHeight="1">
      <c r="A115" s="4"/>
      <c r="B115" s="4" t="s">
        <v>127</v>
      </c>
      <c r="C115" s="4"/>
      <c r="D115" s="15"/>
      <c r="E115" s="15"/>
      <c r="F115" s="15"/>
      <c r="G115" s="15"/>
      <c r="H115" s="323"/>
      <c r="I115" s="15"/>
      <c r="J115" s="15"/>
      <c r="K115" s="15"/>
      <c r="L115" s="15"/>
      <c r="M115" s="323"/>
      <c r="N115" s="15"/>
      <c r="O115" s="15"/>
      <c r="P115" s="15"/>
      <c r="Q115" s="15"/>
      <c r="R115" s="323"/>
      <c r="S115" s="15"/>
      <c r="T115" s="15"/>
      <c r="U115" s="15"/>
      <c r="V115" s="15"/>
      <c r="W115" s="323"/>
      <c r="X115" s="15"/>
      <c r="Y115" s="15"/>
      <c r="Z115" s="15"/>
      <c r="AA115" s="15"/>
      <c r="AB115" s="323"/>
      <c r="AC115" s="15"/>
      <c r="AD115" s="15"/>
      <c r="AE115" s="15"/>
      <c r="AF115" s="15"/>
      <c r="AG115" s="323"/>
      <c r="AH115" s="15"/>
      <c r="AI115" s="15"/>
      <c r="AJ115" s="15"/>
      <c r="AK115" s="15"/>
      <c r="AL115" s="323"/>
      <c r="AM115" s="15"/>
      <c r="AN115" s="15"/>
      <c r="AO115" s="15"/>
      <c r="AP115" s="15"/>
      <c r="AQ115" s="323"/>
      <c r="AR115" s="15">
        <f>SUM(AM12,AH12,AC12,X12,S12)/SUM(AQ12,AL12,AG12,AB12,W12)</f>
        <v>0.2408927463</v>
      </c>
      <c r="AS115" s="15">
        <f>SUM(AN12,AI12,AD12,Y12,T12)/SUM(AQ12,AL12,AG12,AB12,W12)</f>
        <v>0.2355024256</v>
      </c>
      <c r="AT115" s="15">
        <f>SUM(AO12,AJ12,AE12,Z12,U12)/SUM(AQ12,AL12,AG12,AB12,W12)</f>
        <v>0.2520554862</v>
      </c>
      <c r="AU115" s="15">
        <f>SUM(AP12,AK12,AF12,AA12,V12)/SUM(AQ12,AL12,AG12,AB12,W12)</f>
        <v>0.2715493419</v>
      </c>
      <c r="AV115" s="323">
        <v>0.034608738797835145</v>
      </c>
      <c r="AW115" s="15">
        <f>SUM(AR12,AM12,AH12,AC12,X12)/SUM(AV12,AQ12,AL12,AG12,AB12)</f>
        <v>0.2397492387</v>
      </c>
      <c r="AX115" s="15">
        <f>SUM(AS12,AN12,AI12,AD12,Y12)/SUM(AV12,AQ12,AL12,AG12,AB12)</f>
        <v>0.236611419</v>
      </c>
      <c r="AY115" s="15">
        <f>SUM(AT12,AO12,AJ12,AE12,Z12)/SUM(AV12,AQ12,AL12,AG12,AB12)</f>
        <v>0.2515804702</v>
      </c>
      <c r="AZ115" s="15">
        <f>SUM(AU12,AP12,AK12,AF12,AA12)/SUM(AV12,AQ12,AL12,AG12,AB12)</f>
        <v>0.2720588721</v>
      </c>
      <c r="BA115" s="323"/>
      <c r="BB115" s="15">
        <f>SUM(AW12,AR12,AM12,AH12,AC12)/SUM(BA12,AV12,AQ12,AL12,AG12)</f>
        <v>0.2411441791</v>
      </c>
      <c r="BC115" s="15">
        <f>SUM(AX12,AS12,AN12,AI12,AD12)/SUM(BA12,AV12,AQ12,AL12,AG12)</f>
        <v>0.2348494047</v>
      </c>
      <c r="BD115" s="15">
        <f>SUM(AY12,AT12,AO12,AJ12,AE12)/SUM(BA12,AV12,AQ12,AL12,AG12)</f>
        <v>0.25123499</v>
      </c>
      <c r="BE115" s="15">
        <f>SUM(AZ12,AU12,AP12,AK12,AF12)/SUM(BA12,AV12,AQ12,AL12,AG12)</f>
        <v>0.2727714262</v>
      </c>
      <c r="BF115" s="323"/>
      <c r="BG115" s="15">
        <f>SUM(BB12,AW12,AR12,AM12,AH12)/SUM(BF12,BA12,AV12,AQ12,AL12)</f>
        <v>0.2419339229</v>
      </c>
      <c r="BH115" s="15">
        <f>SUM(BC12,AX12,AS12,AN12,AI12)/SUM(BF12,BA12,AV12,AQ12,AL12)</f>
        <v>0.2324191578</v>
      </c>
      <c r="BI115" s="15">
        <f>SUM(BD12,AY12,AT12,AO12,AJ12)/SUM(BF12,BA12,AV12,AQ12,AL12)</f>
        <v>0.2510676135</v>
      </c>
      <c r="BJ115" s="15">
        <f>SUM(BE12,AZ12,AU12,AP12,AK12)/SUM(BF12,BA12,AV12,AQ12,AL12)</f>
        <v>0.2745793058</v>
      </c>
      <c r="BK115" s="323"/>
      <c r="BL115" s="15">
        <f>SUM(BG12,BB12,AW12,AR12,AM12)/SUM(BK12,BF12,BA12,AV12,AQ12)</f>
        <v>0.2378174253</v>
      </c>
      <c r="BM115" s="15">
        <f>SUM(BH12,BC12,AX12,AS12,AN12)/SUM(BK12,BF12,BA12,AV12,AQ12)</f>
        <v>0.2305644122</v>
      </c>
      <c r="BN115" s="15">
        <f>SUM(BI12,BD12,AY12,AT12,AO12)/SUM(BK12,BF12,BA12,AV12,AQ12)</f>
        <v>0.2549182552</v>
      </c>
      <c r="BO115" s="15">
        <f>SUM(BJ12,BE12,AZ12,AU12,AP12)/SUM(BK12,BF12,BA12,AV12,AQ12)</f>
        <v>0.2766999073</v>
      </c>
      <c r="BP115" s="323"/>
      <c r="BQ115" s="15">
        <f>SUM(BL12,BG12,BB12,AW12,AR12)/SUM(BP12,BK12,BF12,BA12,AV12)</f>
        <v>0.2440638613</v>
      </c>
      <c r="BR115" s="15">
        <f>SUM(BM12,BH12,BC12,AX12,AS12)/SUM(BP12,BK12,BF12,BA12,AV12)</f>
        <v>0.2356499238</v>
      </c>
      <c r="BS115" s="15">
        <f>SUM(BN12,BI12,BD12,AY12,AT12)/SUM(BP12,BK12,BF12,BA12,AV12)</f>
        <v>0.2575554555</v>
      </c>
      <c r="BT115" s="15">
        <f>SUM(BO12,BJ12,BE12,AZ12,AU12)/SUM(BP12,BK12,BF12,BA12,AV12)</f>
        <v>0.2627307594</v>
      </c>
      <c r="BU115" s="323"/>
      <c r="BV115" s="15">
        <f>SUM(BQ12,BL12,BG12,BB12,AW12)/SUM(BU12,BP12,BK12,BF12,BA12)</f>
        <v>0.237747969</v>
      </c>
      <c r="BW115" s="15">
        <f>SUM(BR12,BM12,BH12,BC12,AX12)/SUM(BU12,BP12,BK12,BF12,BA12)</f>
        <v>0.2343472511</v>
      </c>
      <c r="BX115" s="15">
        <f>SUM(BS12,BN12,BI12,BD12,AY12)/SUM(BU12,BP12,BK12,BF12,BA12)</f>
        <v>0.2612345146</v>
      </c>
      <c r="BY115" s="15">
        <f>SUM(BT12,BO12,BJ12,BE12,AZ12)/SUM(BU12,BP12,BK12,BF12,BA12)</f>
        <v>0.2666702653</v>
      </c>
      <c r="BZ115" s="324"/>
      <c r="CA115" s="15">
        <f>SUM(BV12,BQ12,BL12,BG12,BB12)/SUM(BZ12,BU12,BP12,BK12,BF12)</f>
        <v>0.2362984867</v>
      </c>
      <c r="CB115" s="15">
        <f>SUM(BW12,BR12,BM12,BH12,BC12)/SUM(BZ12,BU12,BP12,BK12,BF12)</f>
        <v>0.2365036937</v>
      </c>
      <c r="CC115" s="15">
        <f>SUM(BX12,BS12,BN12,BI12,BD12)/SUM(BZ12,BU12,BP12,BK12,BF12)</f>
        <v>0.2606497169</v>
      </c>
      <c r="CD115" s="15">
        <f>SUM(BY12,BT12,BO12,BJ12,BE12)/SUM(BZ12,BU12,BP12,BK12,BF12)</f>
        <v>0.2665481026</v>
      </c>
      <c r="CE115" s="324"/>
      <c r="CF115" s="15">
        <f>SUM(CA12,BV12,BQ12,BL12,BG12)/SUM(CE12,BZ12,BU12,BP12,BK12)</f>
        <v>0.2339398761</v>
      </c>
      <c r="CG115" s="15">
        <f>SUM(CB12,BW12,BR12,BM12,BH12)/SUM(CE12,BZ12,BU12,BP12,BK12)</f>
        <v>0.2394749579</v>
      </c>
      <c r="CH115" s="15">
        <f>SUM(CC12,BX12,BS12,BN12,BI12)/SUM(CE12,BZ12,BU12,BP12,BK12)</f>
        <v>0.2637238881</v>
      </c>
      <c r="CI115" s="15">
        <f>SUM(CD12,BY12,BT12,BO12,BJ12)/SUM(CE12,BZ12,BU12,BP12,BK12)</f>
        <v>0.2628612779</v>
      </c>
      <c r="CJ115" s="324"/>
      <c r="CK115" s="15">
        <f>SUM(CF12,CA12,BV12,BQ12,BL12)/SUM(CJ12,CE12,BZ12,BU12,BP12)</f>
        <v>0.2363686761</v>
      </c>
      <c r="CL115" s="15">
        <f>SUM(CG12,CB12,BW12,BR12,BM12)/SUM(CJ12,CE12,BZ12,BU12,BP12)</f>
        <v>0.2449614621</v>
      </c>
      <c r="CM115" s="15">
        <f>SUM(CH12,CC12,BX12,BS12,BN12)/SUM(CJ12,CE12,BZ12,BU12,BP12)</f>
        <v>0.261082995</v>
      </c>
      <c r="CN115" s="40">
        <f>SUM(CI12,CD12,BY12,BT12,BO12)/SUM(CJ12,CE12,BZ12,BU12,BP12)</f>
        <v>0.2575868667</v>
      </c>
      <c r="CO115" s="324"/>
      <c r="CP115" s="40"/>
      <c r="CQ115" s="15"/>
      <c r="CR115" s="15"/>
      <c r="CS115" s="15"/>
      <c r="CT115" s="324"/>
      <c r="CU115" s="15"/>
      <c r="CV115" s="15"/>
      <c r="CW115" s="15"/>
      <c r="CX115" s="15"/>
      <c r="CY115" s="324"/>
      <c r="CZ115" s="15"/>
      <c r="DA115" s="15"/>
      <c r="DB115" s="15"/>
      <c r="DC115" s="15"/>
      <c r="DD115" s="324"/>
      <c r="DE115" s="15"/>
      <c r="DF115" s="15"/>
      <c r="DG115" s="40"/>
      <c r="DH115" s="15"/>
      <c r="DI115" s="324"/>
      <c r="DJ115" s="40"/>
      <c r="DK115" s="40"/>
      <c r="DL115" s="40"/>
      <c r="DM115" s="40"/>
      <c r="DN115" s="324"/>
      <c r="DO115" s="40"/>
      <c r="DP115" s="40"/>
      <c r="DQ115" s="40"/>
      <c r="DR115" s="40"/>
      <c r="DS115" s="324"/>
      <c r="DT115" s="40"/>
      <c r="DU115" s="40"/>
      <c r="DV115" s="40"/>
      <c r="DW115" s="40"/>
      <c r="DX115" s="324"/>
      <c r="DY115" s="40"/>
      <c r="DZ115" s="40"/>
      <c r="EA115" s="40"/>
      <c r="EB115" s="40"/>
      <c r="EC115" s="324"/>
      <c r="ED115" s="40"/>
      <c r="EE115" s="40"/>
      <c r="EF115" s="40"/>
      <c r="EG115" s="40"/>
      <c r="EH115" s="324"/>
      <c r="EI115" s="82"/>
      <c r="EJ115" s="15"/>
      <c r="EK115" s="15"/>
      <c r="EL115" s="15"/>
      <c r="EM115" s="324"/>
      <c r="EN115" s="15"/>
      <c r="EO115" s="15"/>
      <c r="EP115" s="15"/>
      <c r="EQ115" s="15"/>
      <c r="ER115" s="324"/>
      <c r="ES115" s="15"/>
      <c r="ET115" s="15"/>
      <c r="EU115" s="15"/>
      <c r="EV115" s="15"/>
      <c r="EW115" s="324"/>
      <c r="EX115" s="15"/>
      <c r="EY115" s="15"/>
      <c r="EZ115" s="15"/>
      <c r="FA115" s="15"/>
      <c r="FB115" s="324"/>
      <c r="FC115" s="15"/>
      <c r="FD115" s="15"/>
      <c r="FE115" s="15"/>
      <c r="FF115" s="15"/>
      <c r="FG115" s="324"/>
      <c r="FH115" s="325"/>
      <c r="FI115" s="15"/>
      <c r="FJ115" s="15"/>
      <c r="FK115" s="323"/>
      <c r="FL115" s="15"/>
    </row>
    <row r="116" ht="12.75" customHeight="1" outlineLevel="2">
      <c r="A116" s="4"/>
      <c r="B116" s="4" t="s">
        <v>128</v>
      </c>
      <c r="C116" s="4"/>
      <c r="D116" s="326"/>
      <c r="E116" s="15"/>
      <c r="F116" s="326"/>
      <c r="G116" s="15"/>
      <c r="H116" s="323"/>
      <c r="I116" s="326"/>
      <c r="J116" s="15"/>
      <c r="K116" s="326"/>
      <c r="L116" s="15"/>
      <c r="M116" s="323"/>
      <c r="N116" s="326"/>
      <c r="O116" s="15"/>
      <c r="P116" s="326"/>
      <c r="Q116" s="15">
        <f>SUM(P12:Q12)/SUM(N12:O12)-1</f>
        <v>0.2026324614</v>
      </c>
      <c r="R116" s="323"/>
      <c r="S116" s="326"/>
      <c r="T116" s="15">
        <f>SUM(S12:T12)/SUM(P12:Q12)-1</f>
        <v>-0.03457650749</v>
      </c>
      <c r="U116" s="326"/>
      <c r="V116" s="15">
        <f>SUM(U12:V12)/SUM(S12:T12)-1</f>
        <v>0.1221026789</v>
      </c>
      <c r="W116" s="323"/>
      <c r="X116" s="326"/>
      <c r="Y116" s="15">
        <f>SUM(X12:Y12)/SUM(U12:V12)-1</f>
        <v>0.04845559846</v>
      </c>
      <c r="Z116" s="326"/>
      <c r="AA116" s="15">
        <f>SUM(Z12:AA12)/SUM(X12:Y12)-1</f>
        <v>0.06996869821</v>
      </c>
      <c r="AB116" s="323"/>
      <c r="AC116" s="326"/>
      <c r="AD116" s="15">
        <f>SUM(AC12:AD12)/SUM(Z12:AA12)-1</f>
        <v>-0.2536568577</v>
      </c>
      <c r="AE116" s="326"/>
      <c r="AF116" s="15">
        <f>SUM(AE12:AF12)/SUM(AC12:AD12)-1</f>
        <v>0.03973560833</v>
      </c>
      <c r="AG116" s="323"/>
      <c r="AH116" s="326"/>
      <c r="AI116" s="15">
        <f>SUM(AH12:AI12)/SUM(AE12:AF12)-1</f>
        <v>-0.03163808397</v>
      </c>
      <c r="AJ116" s="326"/>
      <c r="AK116" s="15">
        <f>SUM(AJ12:AK12)/SUM(AH12:AI12)-1</f>
        <v>0.04305343511</v>
      </c>
      <c r="AL116" s="323"/>
      <c r="AM116" s="326"/>
      <c r="AN116" s="15">
        <f>SUM(AM12:AN12)/SUM(AJ12:AK12)-1</f>
        <v>-0.007098946136</v>
      </c>
      <c r="AO116" s="326"/>
      <c r="AP116" s="15">
        <f>SUM(AO12:AP12)/SUM(AM12:AN12)-1</f>
        <v>0.2216407459</v>
      </c>
      <c r="AQ116" s="323"/>
      <c r="AR116" s="326"/>
      <c r="AS116" s="15">
        <f>SUM(AR12:AS12)/SUM(AO12:AP12)-1</f>
        <v>-0.02618559189</v>
      </c>
      <c r="AT116" s="326"/>
      <c r="AU116" s="15">
        <f>SUM(AT12:AU12)/SUM(AR12:AS12)-1</f>
        <v>0.1195167286</v>
      </c>
      <c r="AV116" s="323"/>
      <c r="AW116" s="326"/>
      <c r="AX116" s="15">
        <f>SUM(AW12:AX12)/SUM(AT12:AU12)-1</f>
        <v>0.03298466988</v>
      </c>
      <c r="AY116" s="326"/>
      <c r="AZ116" s="15">
        <f>SUM(AY12:AZ12)/SUM(AW12:AX12)-1</f>
        <v>0.08015001339</v>
      </c>
      <c r="BA116" s="323"/>
      <c r="BB116" s="326"/>
      <c r="BC116" s="15">
        <f>SUM(BB12:BC12)/SUM(AY12:AZ12)-1</f>
        <v>-0.1593174942</v>
      </c>
      <c r="BD116" s="326"/>
      <c r="BE116" s="15">
        <f>SUM(BD12:BE12)/SUM(BB12:BC12)-1</f>
        <v>0.08755678801</v>
      </c>
      <c r="BF116" s="323"/>
      <c r="BG116" s="326"/>
      <c r="BH116" s="15">
        <f>SUM(BG12:BH12)/SUM(BD12:BE12)-1</f>
        <v>-0.04887972658</v>
      </c>
      <c r="BI116" s="326"/>
      <c r="BJ116" s="15">
        <f>SUM(BI12:BJ12)/SUM(BG12:BH12)-1</f>
        <v>0.1865160849</v>
      </c>
      <c r="BK116" s="323"/>
      <c r="BL116" s="326"/>
      <c r="BM116" s="15">
        <f>SUM(BL12:BM12)/SUM(BI12:BJ12)-1</f>
        <v>-0.07975194693</v>
      </c>
      <c r="BN116" s="326"/>
      <c r="BO116" s="15">
        <f>SUM(BN12:BO12)/SUM(BL12:BM12)-1</f>
        <v>-0.03656689129</v>
      </c>
      <c r="BP116" s="323"/>
      <c r="BQ116" s="326"/>
      <c r="BR116" s="15">
        <f>SUM(BQ12:BR12)/SUM(BN12:BO12)-1</f>
        <v>-0.1775199263</v>
      </c>
      <c r="BS116" s="326"/>
      <c r="BT116" s="15">
        <f>SUM(BS12:BT12)/SUM(BQ12:BR12)-1</f>
        <v>0.315709671</v>
      </c>
      <c r="BU116" s="323"/>
      <c r="BV116" s="326"/>
      <c r="BW116" s="15">
        <f>SUM(BV12:BW12)/SUM(BS12:BT12)-1</f>
        <v>0.05541637439</v>
      </c>
      <c r="BX116" s="326"/>
      <c r="BY116" s="15">
        <f>SUM(BX12:BY12)/SUM(BV12:BW12)-1</f>
        <v>0.07097417395</v>
      </c>
      <c r="BZ116" s="324"/>
      <c r="CA116" s="326"/>
      <c r="CB116" s="15">
        <f>SUM(CA12:CB12)/SUM(BX12:BY12)-1</f>
        <v>0.147169644</v>
      </c>
      <c r="CC116" s="326"/>
      <c r="CD116" s="15">
        <f>SUM(CC12:CD12)/SUM(CA12:CB12)-1</f>
        <v>0.08659530894</v>
      </c>
      <c r="CE116" s="324"/>
      <c r="CF116" s="326"/>
      <c r="CG116" s="15">
        <f>SUM(CF12:CG12)/SUM(CC12:CD12)-1</f>
        <v>-0.06091749644</v>
      </c>
      <c r="CH116" s="326"/>
      <c r="CI116" s="15">
        <f>SUM(CH12:CI12)/SUM(CF12:CG12)-1</f>
        <v>0.01995682963</v>
      </c>
      <c r="CJ116" s="324"/>
      <c r="CK116" s="326"/>
      <c r="CL116" s="15">
        <f>SUM(CK12:CL12)/SUM(CH12:CI12)-1</f>
        <v>-0.05728818594</v>
      </c>
      <c r="CM116" s="15"/>
      <c r="CN116" s="40">
        <f>SUM(CM12:CN12)/SUM(CK12:CL12)-1</f>
        <v>0.07585364893</v>
      </c>
      <c r="CO116" s="324"/>
      <c r="CP116" s="40"/>
      <c r="CQ116" s="15">
        <f>SUM(CP12:CQ12)/SUM(CM12:CN12)-1</f>
        <v>-0.02643042794</v>
      </c>
      <c r="CR116" s="326"/>
      <c r="CS116" s="15">
        <f>SUM(CR12:CS12)/SUM(CP12:CQ12)-1</f>
        <v>0.1007708216</v>
      </c>
      <c r="CT116" s="324"/>
      <c r="CU116" s="326"/>
      <c r="CV116" s="326">
        <f>SUM(CU12:CV12)/SUM(CR12:CS12)-1</f>
        <v>-0.1126900085</v>
      </c>
      <c r="CW116" s="326"/>
      <c r="CX116" s="15">
        <f>SUM(CW12:CX12)/SUM(CU12:CV12)-1</f>
        <v>0.1310055436</v>
      </c>
      <c r="CY116" s="324"/>
      <c r="CZ116" s="326"/>
      <c r="DA116" s="15">
        <f>SUM(CZ12:DA12)/SUM(CW12:CX12)-1</f>
        <v>-0.0696075428</v>
      </c>
      <c r="DB116" s="326"/>
      <c r="DC116" s="15">
        <f>SUM(DB12:DC12)/SUM(CZ12:DA12)-1</f>
        <v>0.1762639936</v>
      </c>
      <c r="DD116" s="324"/>
      <c r="DE116" s="326"/>
      <c r="DF116" s="15">
        <f>SUM(DE12:DF12)/SUM(DB12:DC12)-1</f>
        <v>-0.08064817119</v>
      </c>
      <c r="DG116" s="327"/>
      <c r="DH116" s="15">
        <f>SUM(DG12:DH12)/SUM(DE12:DF12)-1</f>
        <v>0.1232450354</v>
      </c>
      <c r="DI116" s="324"/>
      <c r="DJ116" s="327"/>
      <c r="DK116" s="40">
        <f>SUM(DJ12:DK12)/SUM(DG12:DH12)-1</f>
        <v>-0.005240648154</v>
      </c>
      <c r="DL116" s="327"/>
      <c r="DM116" s="40">
        <f>SUM(DL12:DM12)/SUM(DJ12:DK12)-1</f>
        <v>0.1450890154</v>
      </c>
      <c r="DN116" s="324"/>
      <c r="DO116" s="327"/>
      <c r="DP116" s="327">
        <f>SUM(DO12:DP12)/SUM(DL12:DM12)-1</f>
        <v>-0.1389212057</v>
      </c>
      <c r="DQ116" s="327"/>
      <c r="DR116" s="327">
        <f>SUM(DQ12:DR12)/SUM(DO12:DP12)-1</f>
        <v>0.2098200577</v>
      </c>
      <c r="DS116" s="324"/>
      <c r="DT116" s="327"/>
      <c r="DU116" s="327">
        <f>SUM(DT12:DU12)/SUM(DQ12:DR12)-1</f>
        <v>0.003984872713</v>
      </c>
      <c r="DV116" s="327"/>
      <c r="DW116" s="327">
        <f>SUM(DV12:DW12)/SUM(DT12:DU12)-1</f>
        <v>-0.03147436546</v>
      </c>
      <c r="DX116" s="324"/>
      <c r="DY116" s="327"/>
      <c r="DZ116" s="327">
        <f>SUM(DY12:DZ12)/SUM(DV12:DW12)-1</f>
        <v>-0.03163582261</v>
      </c>
      <c r="EA116" s="327"/>
      <c r="EB116" s="327">
        <f>SUM(EA12:EB12)/SUM(DY12:DZ12)-1</f>
        <v>0.01401655031</v>
      </c>
      <c r="EC116" s="324"/>
      <c r="ED116" s="327"/>
      <c r="EE116" s="327">
        <f>SUM(ED12:EE12)/SUM(EA12:EB12)-1</f>
        <v>-0.1048672214</v>
      </c>
      <c r="EF116" s="327"/>
      <c r="EG116" s="327">
        <f>SUM(EF12:EG12)/SUM(ED12:EE12)-1</f>
        <v>-0.1275167785</v>
      </c>
      <c r="EH116" s="324"/>
      <c r="EI116" s="82"/>
      <c r="EJ116" s="15" t="str">
        <f>SUM(EI12:EJ12)/SUM(EF12:EG12)-1</f>
        <v>#ERROR!</v>
      </c>
      <c r="EK116" s="326"/>
      <c r="EL116" s="15" t="str">
        <f>SUM(EK12:EL12)/SUM(EI12:EJ12)-1</f>
        <v>#ERROR!</v>
      </c>
      <c r="EM116" s="324"/>
      <c r="EN116" s="326"/>
      <c r="EO116" s="15" t="str">
        <f>SUM(EN12:EO12)/SUM(EK12:EL12)-1</f>
        <v>#ERROR!</v>
      </c>
      <c r="EP116" s="326"/>
      <c r="EQ116" s="15" t="str">
        <f>SUM(EP12:EQ12)/SUM(EN12:EO12)-1</f>
        <v>#ERROR!</v>
      </c>
      <c r="ER116" s="324"/>
      <c r="ES116" s="326"/>
      <c r="ET116" s="15" t="str">
        <f>SUM(ES12:ET12)/SUM(EP12:EQ12)-1</f>
        <v>#ERROR!</v>
      </c>
      <c r="EU116" s="326"/>
      <c r="EV116" s="15" t="str">
        <f>SUM(EU12:EV12)/SUM(ES12:ET12)-1</f>
        <v>#ERROR!</v>
      </c>
      <c r="EW116" s="324"/>
      <c r="EX116" s="326"/>
      <c r="EY116" s="15" t="str">
        <f>SUM(EX12:EY12)/SUM(EU12:EV12)-1</f>
        <v>#ERROR!</v>
      </c>
      <c r="EZ116" s="326"/>
      <c r="FA116" s="15" t="str">
        <f>SUM(EZ12:FA12)/SUM(EX12:EY12)-1</f>
        <v>#ERROR!</v>
      </c>
      <c r="FB116" s="324"/>
      <c r="FC116" s="326"/>
      <c r="FD116" s="15" t="str">
        <f>SUM(FC12:FD12)/SUM(EZ12:FA12)-1</f>
        <v>#ERROR!</v>
      </c>
      <c r="FE116" s="326"/>
      <c r="FF116" s="15" t="str">
        <f>SUM(FE12:FF12)/SUM(FC12:FD12)-1</f>
        <v>#ERROR!</v>
      </c>
      <c r="FG116" s="324"/>
      <c r="FH116" s="325"/>
      <c r="FI116" s="326"/>
      <c r="FJ116" s="15"/>
      <c r="FK116" s="323"/>
      <c r="FL116" s="326"/>
    </row>
    <row r="117" ht="12.75" customHeight="1">
      <c r="A117" s="227"/>
      <c r="B117" s="328" t="s">
        <v>129</v>
      </c>
      <c r="C117" s="328"/>
      <c r="D117" s="329"/>
      <c r="E117" s="329"/>
      <c r="F117" s="329"/>
      <c r="G117" s="329"/>
      <c r="H117" s="328"/>
      <c r="I117" s="329"/>
      <c r="J117" s="329"/>
      <c r="K117" s="329"/>
      <c r="L117" s="329"/>
      <c r="M117" s="328"/>
      <c r="N117" s="329"/>
      <c r="O117" s="329"/>
      <c r="P117" s="329"/>
      <c r="Q117" s="329"/>
      <c r="R117" s="328"/>
      <c r="S117" s="329"/>
      <c r="T117" s="329"/>
      <c r="U117" s="329"/>
      <c r="V117" s="329"/>
      <c r="W117" s="328"/>
      <c r="X117" s="329"/>
      <c r="Y117" s="329"/>
      <c r="Z117" s="329"/>
      <c r="AA117" s="329"/>
      <c r="AB117" s="328"/>
      <c r="AC117" s="329"/>
      <c r="AD117" s="329"/>
      <c r="AE117" s="329"/>
      <c r="AF117" s="329"/>
      <c r="AG117" s="328"/>
      <c r="AH117" s="329"/>
      <c r="AI117" s="329"/>
      <c r="AJ117" s="329"/>
      <c r="AK117" s="329"/>
      <c r="AL117" s="328"/>
      <c r="AM117" s="329"/>
      <c r="AN117" s="329"/>
      <c r="AO117" s="329"/>
      <c r="AP117" s="329"/>
      <c r="AQ117" s="328"/>
      <c r="AR117" s="329"/>
      <c r="AS117" s="329"/>
      <c r="AT117" s="329"/>
      <c r="AU117" s="329"/>
      <c r="AV117" s="328"/>
      <c r="AW117" s="329"/>
      <c r="AX117" s="329"/>
      <c r="AY117" s="329"/>
      <c r="AZ117" s="329"/>
      <c r="BA117" s="328"/>
      <c r="BB117" s="329"/>
      <c r="BC117" s="329"/>
      <c r="BD117" s="329"/>
      <c r="BE117" s="329"/>
      <c r="BF117" s="328"/>
      <c r="BG117" s="329"/>
      <c r="BH117" s="329"/>
      <c r="BI117" s="329"/>
      <c r="BJ117" s="329"/>
      <c r="BK117" s="328"/>
      <c r="BL117" s="329"/>
      <c r="BM117" s="329"/>
      <c r="BN117" s="329"/>
      <c r="BO117" s="329"/>
      <c r="BP117" s="328"/>
      <c r="BQ117" s="329"/>
      <c r="BR117" s="329"/>
      <c r="BS117" s="329"/>
      <c r="BT117" s="329"/>
      <c r="BU117" s="328"/>
      <c r="BV117" s="329"/>
      <c r="BW117" s="329"/>
      <c r="BX117" s="329"/>
      <c r="BY117" s="329"/>
      <c r="BZ117" s="330"/>
      <c r="CA117" s="329"/>
      <c r="CB117" s="329"/>
      <c r="CC117" s="329"/>
      <c r="CD117" s="329"/>
      <c r="CE117" s="330"/>
      <c r="CF117" s="329"/>
      <c r="CG117" s="329"/>
      <c r="CH117" s="329"/>
      <c r="CI117" s="329"/>
      <c r="CJ117" s="330"/>
      <c r="CK117" s="329"/>
      <c r="CL117" s="329"/>
      <c r="CM117" s="329"/>
      <c r="CN117" s="331"/>
      <c r="CO117" s="330"/>
      <c r="CP117" s="331"/>
      <c r="CQ117" s="329"/>
      <c r="CR117" s="329"/>
      <c r="CS117" s="329"/>
      <c r="CT117" s="330"/>
      <c r="CU117" s="329"/>
      <c r="CV117" s="329"/>
      <c r="CW117" s="329"/>
      <c r="CX117" s="329"/>
      <c r="CY117" s="330"/>
      <c r="CZ117" s="329"/>
      <c r="DA117" s="329"/>
      <c r="DB117" s="329"/>
      <c r="DC117" s="329"/>
      <c r="DD117" s="330"/>
      <c r="DE117" s="329"/>
      <c r="DF117" s="329"/>
      <c r="DG117" s="329"/>
      <c r="DH117" s="329"/>
      <c r="DI117" s="330"/>
      <c r="DJ117" s="331"/>
      <c r="DK117" s="331"/>
      <c r="DL117" s="331"/>
      <c r="DM117" s="331"/>
      <c r="DN117" s="330"/>
      <c r="DO117" s="331"/>
      <c r="DP117" s="331"/>
      <c r="DQ117" s="331"/>
      <c r="DR117" s="331"/>
      <c r="DS117" s="330"/>
      <c r="DT117" s="331"/>
      <c r="DU117" s="331"/>
      <c r="DV117" s="331"/>
      <c r="DW117" s="331"/>
      <c r="DX117" s="330"/>
      <c r="DY117" s="331"/>
      <c r="DZ117" s="331"/>
      <c r="EA117" s="331"/>
      <c r="EB117" s="331"/>
      <c r="EC117" s="330"/>
      <c r="ED117" s="331"/>
      <c r="EE117" s="331"/>
      <c r="EF117" s="331"/>
      <c r="EG117" s="331"/>
      <c r="EH117" s="330"/>
      <c r="EI117" s="332"/>
      <c r="EJ117" s="329"/>
      <c r="EK117" s="329"/>
      <c r="EL117" s="329"/>
      <c r="EM117" s="330"/>
      <c r="EN117" s="329"/>
      <c r="EO117" s="329"/>
      <c r="EP117" s="329"/>
      <c r="EQ117" s="329"/>
      <c r="ER117" s="330"/>
      <c r="ES117" s="329"/>
      <c r="ET117" s="329"/>
      <c r="EU117" s="329"/>
      <c r="EV117" s="329"/>
      <c r="EW117" s="330"/>
      <c r="EX117" s="329"/>
      <c r="EY117" s="329"/>
      <c r="EZ117" s="329"/>
      <c r="FA117" s="329"/>
      <c r="FB117" s="330"/>
      <c r="FC117" s="329"/>
      <c r="FD117" s="329"/>
      <c r="FE117" s="329"/>
      <c r="FF117" s="329"/>
      <c r="FG117" s="330"/>
      <c r="FH117" s="333" t="s">
        <v>130</v>
      </c>
      <c r="FI117" s="333" t="s">
        <v>131</v>
      </c>
      <c r="FJ117" s="333" t="s">
        <v>132</v>
      </c>
      <c r="FK117" s="333" t="s">
        <v>133</v>
      </c>
      <c r="FL117" s="334" t="s">
        <v>134</v>
      </c>
    </row>
    <row r="118" ht="13.5" customHeight="1">
      <c r="A118" s="318"/>
      <c r="B118" s="319" t="str">
        <f>Sales</f>
        <v>Total Revenues</v>
      </c>
      <c r="C118" s="319"/>
      <c r="D118" s="319"/>
      <c r="E118" s="319"/>
      <c r="F118" s="319"/>
      <c r="G118" s="319"/>
      <c r="H118" s="319" t="s">
        <v>135</v>
      </c>
      <c r="I118" s="319"/>
      <c r="J118" s="319"/>
      <c r="K118" s="319"/>
      <c r="L118" s="319"/>
      <c r="M118" s="319" t="s">
        <v>135</v>
      </c>
      <c r="N118" s="319"/>
      <c r="O118" s="319">
        <f t="shared" ref="O118:Q118" si="913">+O12/N12-1</f>
        <v>-0.01233127812</v>
      </c>
      <c r="P118" s="319">
        <f t="shared" si="913"/>
        <v>0.1356504134</v>
      </c>
      <c r="Q118" s="319">
        <f t="shared" si="913"/>
        <v>0.1311840737</v>
      </c>
      <c r="R118" s="319" t="s">
        <v>135</v>
      </c>
      <c r="S118" s="319">
        <f>+S12/Q12-1</f>
        <v>-0.0671132125</v>
      </c>
      <c r="T118" s="319">
        <f t="shared" ref="T118:V118" si="914">+T12/S12-1</f>
        <v>-0.05026045333</v>
      </c>
      <c r="U118" s="319">
        <f t="shared" si="914"/>
        <v>0.08627334717</v>
      </c>
      <c r="V118" s="319">
        <f t="shared" si="914"/>
        <v>0.1206331878</v>
      </c>
      <c r="W118" s="319" t="s">
        <v>135</v>
      </c>
      <c r="X118" s="319">
        <f>+X12/V12-1</f>
        <v>-0.02666829031</v>
      </c>
      <c r="Y118" s="319">
        <f t="shared" ref="Y118:AA118" si="915">+Y12/X12-1</f>
        <v>0.03840860753</v>
      </c>
      <c r="Z118" s="319">
        <f t="shared" si="915"/>
        <v>0.05192771084</v>
      </c>
      <c r="AA118" s="319">
        <f t="shared" si="915"/>
        <v>-0.00332149811</v>
      </c>
      <c r="AB118" s="319" t="s">
        <v>135</v>
      </c>
      <c r="AC118" s="319">
        <f>+AC12/AA12-1</f>
        <v>-0.2327051253</v>
      </c>
      <c r="AD118" s="319">
        <f t="shared" ref="AD118:AF118" si="916">AD12/AC12-1</f>
        <v>-0.05137037592</v>
      </c>
      <c r="AE118" s="319">
        <f t="shared" si="916"/>
        <v>0.03331228292</v>
      </c>
      <c r="AF118" s="319">
        <f t="shared" si="916"/>
        <v>0.06692131398</v>
      </c>
      <c r="AG118" s="319"/>
      <c r="AH118" s="319">
        <f>+AH12/AF12-1</f>
        <v>-0.0289273951</v>
      </c>
      <c r="AI118" s="319">
        <f t="shared" ref="AI118:AK118" si="917">AI12/AH12-1</f>
        <v>-0.06813154402</v>
      </c>
      <c r="AJ118" s="319">
        <f t="shared" si="917"/>
        <v>0.0292767843</v>
      </c>
      <c r="AK118" s="319">
        <f t="shared" si="917"/>
        <v>0.1008610086</v>
      </c>
      <c r="AL118" s="319"/>
      <c r="AM118" s="319">
        <f>+AM12/AK12-1</f>
        <v>-0.05712290503</v>
      </c>
      <c r="AN118" s="319">
        <f t="shared" ref="AN118:AP118" si="918">AN12/AM12-1</f>
        <v>0.009628203229</v>
      </c>
      <c r="AO118" s="319">
        <f t="shared" si="918"/>
        <v>0.1492077465</v>
      </c>
      <c r="AP118" s="319">
        <f t="shared" si="918"/>
        <v>0.1159198264</v>
      </c>
      <c r="AQ118" s="319"/>
      <c r="AR118" s="319">
        <f>+AR12/AP12-1</f>
        <v>-0.07436220112</v>
      </c>
      <c r="AS118" s="319">
        <f t="shared" ref="AS118:AU118" si="919">AS12/AR12-1</f>
        <v>-0.005190952911</v>
      </c>
      <c r="AT118" s="319">
        <f t="shared" si="919"/>
        <v>0.05242887315</v>
      </c>
      <c r="AU118" s="319">
        <f t="shared" si="919"/>
        <v>0.1330421438</v>
      </c>
      <c r="AV118" s="319"/>
      <c r="AW118" s="319">
        <f>+AW12/AU12-1</f>
        <v>-0.0170868931</v>
      </c>
      <c r="AX118" s="319">
        <f t="shared" ref="AX118:AZ118" si="920">AX12/AW12-1</f>
        <v>-0.02151791393</v>
      </c>
      <c r="AY118" s="319">
        <f t="shared" si="920"/>
        <v>0.07897302567</v>
      </c>
      <c r="AZ118" s="319">
        <f t="shared" si="920"/>
        <v>0.02419678715</v>
      </c>
      <c r="BA118" s="319"/>
      <c r="BB118" s="319">
        <f>+BB12/AZ12-1</f>
        <v>-0.1236153318</v>
      </c>
      <c r="BC118" s="319">
        <f t="shared" ref="BC118:BE118" si="921">BC12/BB12-1</f>
        <v>-0.1041387025</v>
      </c>
      <c r="BD118" s="319">
        <f t="shared" si="921"/>
        <v>0.09114745911</v>
      </c>
      <c r="BE118" s="319">
        <f t="shared" si="921"/>
        <v>0.109280238</v>
      </c>
      <c r="BF118" s="319"/>
      <c r="BG118" s="319">
        <f>+BG12/BE12-1</f>
        <v>-0.08685785022</v>
      </c>
      <c r="BH118" s="319">
        <f t="shared" ref="BH118:BJ118" si="922">BH12/BG12-1</f>
        <v>-0.01943063714</v>
      </c>
      <c r="BI118" s="319">
        <f t="shared" si="922"/>
        <v>0.1624423963</v>
      </c>
      <c r="BJ118" s="319">
        <f t="shared" si="922"/>
        <v>0.06164519326</v>
      </c>
      <c r="BK118" s="319"/>
      <c r="BL118" s="319">
        <f>+BL12/BJ12-1</f>
        <v>-0.09699402539</v>
      </c>
      <c r="BM118" s="319">
        <f t="shared" ref="BM118:BO118" si="923">BM12/BL12-1</f>
        <v>-0.02098625039</v>
      </c>
      <c r="BN118" s="319">
        <f t="shared" si="923"/>
        <v>0.07888067582</v>
      </c>
      <c r="BO118" s="319">
        <f t="shared" si="923"/>
        <v>-0.1948712929</v>
      </c>
      <c r="BP118" s="319"/>
      <c r="BQ118" s="319">
        <f>+BQ12/BO12-1</f>
        <v>-0.1314125942</v>
      </c>
      <c r="BR118" s="319">
        <f t="shared" ref="BR118:BT118" si="924">BR12/BQ12-1</f>
        <v>0.1230230931</v>
      </c>
      <c r="BS118" s="319">
        <f t="shared" si="924"/>
        <v>0.170114656</v>
      </c>
      <c r="BT118" s="319">
        <f t="shared" si="924"/>
        <v>0.125678986</v>
      </c>
      <c r="BU118" s="319"/>
      <c r="BV118" s="319">
        <f>+BV12/BT12-1</f>
        <v>-0.02554640931</v>
      </c>
      <c r="BW118" s="319">
        <f t="shared" ref="BW118:BY118" si="925">BW12/BV12-1</f>
        <v>0.04524711137</v>
      </c>
      <c r="BX118" s="319">
        <f t="shared" si="925"/>
        <v>0.0313051556</v>
      </c>
      <c r="BY118" s="319">
        <f t="shared" si="925"/>
        <v>0.0319762205</v>
      </c>
      <c r="BZ118" s="320"/>
      <c r="CA118" s="319">
        <f>+CA12/BY12-1</f>
        <v>0.1213232085</v>
      </c>
      <c r="CB118" s="319">
        <f t="shared" ref="CB118:CD118" si="926">CB12/CA12-1</f>
        <v>0.01440024909</v>
      </c>
      <c r="CC118" s="319">
        <f t="shared" si="926"/>
        <v>0.0921577655</v>
      </c>
      <c r="CD118" s="319">
        <f t="shared" si="926"/>
        <v>-0.0243097028</v>
      </c>
      <c r="CE118" s="320"/>
      <c r="CF118" s="319">
        <f>+CF12/CD12-1</f>
        <v>-0.07064160726</v>
      </c>
      <c r="CG118" s="319">
        <f t="shared" ref="CG118:CI118" si="927">CG12/CF12-1</f>
        <v>0.04610258794</v>
      </c>
      <c r="CH118" s="319">
        <f t="shared" si="927"/>
        <v>-0.003259017851</v>
      </c>
      <c r="CI118" s="319">
        <f t="shared" si="927"/>
        <v>0.001486215353</v>
      </c>
      <c r="CJ118" s="320"/>
      <c r="CK118" s="319">
        <f>+CK12/CI12-1</f>
        <v>-0.06655783928</v>
      </c>
      <c r="CL118" s="319">
        <f t="shared" ref="CL118:CN118" si="928">CL12/CK12-1</f>
        <v>0.01836248013</v>
      </c>
      <c r="CM118" s="319">
        <f t="shared" si="928"/>
        <v>0.05245492155</v>
      </c>
      <c r="CN118" s="321">
        <f t="shared" si="928"/>
        <v>0.02603278202</v>
      </c>
      <c r="CO118" s="320"/>
      <c r="CP118" s="321">
        <f>+CP12/CN12-1</f>
        <v>-0.07734567009</v>
      </c>
      <c r="CQ118" s="319">
        <f t="shared" ref="CQ118:CS118" si="929">CQ12/CP12-1</f>
        <v>0.08359448449</v>
      </c>
      <c r="CR118" s="319">
        <f t="shared" si="929"/>
        <v>0.05227387752</v>
      </c>
      <c r="CS118" s="319">
        <f t="shared" si="929"/>
        <v>0.01147450873</v>
      </c>
      <c r="CT118" s="320"/>
      <c r="CU118" s="319">
        <f>+CU12/CS12-1</f>
        <v>-0.1317845255</v>
      </c>
      <c r="CV118" s="319">
        <f t="shared" ref="CV118:CX118" si="930">CV12/CU12-1</f>
        <v>0.03239183163</v>
      </c>
      <c r="CW118" s="319">
        <f t="shared" si="930"/>
        <v>0.09624857901</v>
      </c>
      <c r="CX118" s="319">
        <f t="shared" si="930"/>
        <v>0.03104044245</v>
      </c>
      <c r="CY118" s="320"/>
      <c r="CZ118" s="319">
        <f>+CZ12/CX12-1</f>
        <v>-0.07462786643</v>
      </c>
      <c r="DA118" s="319">
        <f t="shared" ref="DA118:DC118" si="931">DA12/CZ12-1</f>
        <v>-0.01941888269</v>
      </c>
      <c r="DB118" s="319">
        <f t="shared" si="931"/>
        <v>0.1658907855</v>
      </c>
      <c r="DC118" s="319">
        <f t="shared" si="931"/>
        <v>0.03777411586</v>
      </c>
      <c r="DD118" s="320"/>
      <c r="DE118" s="319">
        <f>+DE12/DC12-1</f>
        <v>-0.09637229754</v>
      </c>
      <c r="DF118" s="319">
        <f t="shared" ref="DF118:DH118" si="932">DF12/DE12-1</f>
        <v>-0.002230332522</v>
      </c>
      <c r="DG118" s="321">
        <f t="shared" si="932"/>
        <v>0.09388335704</v>
      </c>
      <c r="DH118" s="319">
        <f t="shared" si="932"/>
        <v>0.05597869837</v>
      </c>
      <c r="DI118" s="320"/>
      <c r="DJ118" s="321">
        <f>+DJ12/DH12-1</f>
        <v>-0.05787837917</v>
      </c>
      <c r="DK118" s="321">
        <f t="shared" ref="DK118:DM118" si="933">DK12/DJ12-1</f>
        <v>0.05576994896</v>
      </c>
      <c r="DL118" s="321">
        <f t="shared" si="933"/>
        <v>0.1297606414</v>
      </c>
      <c r="DM118" s="321">
        <f t="shared" si="933"/>
        <v>-0.0264050514</v>
      </c>
      <c r="DN118" s="320"/>
      <c r="DO118" s="321">
        <f>+DO12/DM12-1</f>
        <v>-0.139143485</v>
      </c>
      <c r="DP118" s="321">
        <f t="shared" ref="DP118:DR118" si="934">DP12/DO12-1</f>
        <v>0.02764460494</v>
      </c>
      <c r="DQ118" s="321">
        <f t="shared" si="934"/>
        <v>0.1626779764</v>
      </c>
      <c r="DR118" s="321">
        <f t="shared" si="934"/>
        <v>0.05310057322</v>
      </c>
      <c r="DS118" s="320"/>
      <c r="DT118" s="321">
        <f>+DT12/DR12-1</f>
        <v>-0.01885298629</v>
      </c>
      <c r="DU118" s="321">
        <f t="shared" ref="DU118:DW118" si="935">DU12/DT12-1</f>
        <v>-0.005043373008</v>
      </c>
      <c r="DV118" s="321">
        <f t="shared" si="935"/>
        <v>-0.07071167883</v>
      </c>
      <c r="DW118" s="321">
        <f t="shared" si="935"/>
        <v>0.08972890416</v>
      </c>
      <c r="DX118" s="320"/>
      <c r="DY118" s="321">
        <f>+DY12/DW12-1</f>
        <v>-0.07067774552</v>
      </c>
      <c r="DZ118" s="321">
        <f t="shared" ref="DZ118:EB118" si="936">DZ12/DY12-1</f>
        <v>-0.001777442637</v>
      </c>
      <c r="EA118" s="321">
        <f t="shared" si="936"/>
        <v>-0.02406518103</v>
      </c>
      <c r="EB118" s="321">
        <f t="shared" si="936"/>
        <v>0.07989163488</v>
      </c>
      <c r="EC118" s="320"/>
      <c r="ED118" s="321">
        <f>+ED12/EB12-1</f>
        <v>-0.06036248208</v>
      </c>
      <c r="EE118" s="321">
        <f t="shared" ref="EE118:EG118" si="937">EE12/ED12-1</f>
        <v>-0.1652045987</v>
      </c>
      <c r="EF118" s="321">
        <f t="shared" si="937"/>
        <v>0.001109588147</v>
      </c>
      <c r="EG118" s="321">
        <f t="shared" si="937"/>
        <v>-0.08449602295</v>
      </c>
      <c r="EH118" s="320"/>
      <c r="EI118" s="322" t="str">
        <f>+EI12/EG12-1</f>
        <v>#ERROR!</v>
      </c>
      <c r="EJ118" s="319" t="str">
        <f t="shared" ref="EJ118:EL118" si="938">EJ12/EI12-1</f>
        <v>#ERROR!</v>
      </c>
      <c r="EK118" s="319" t="str">
        <f t="shared" si="938"/>
        <v>#ERROR!</v>
      </c>
      <c r="EL118" s="319" t="str">
        <f t="shared" si="938"/>
        <v>#ERROR!</v>
      </c>
      <c r="EM118" s="320"/>
      <c r="EN118" s="319" t="str">
        <f>+EN12/EL12-1</f>
        <v>#ERROR!</v>
      </c>
      <c r="EO118" s="319" t="str">
        <f t="shared" ref="EO118:EQ118" si="939">EO12/EN12-1</f>
        <v>#ERROR!</v>
      </c>
      <c r="EP118" s="319" t="str">
        <f t="shared" si="939"/>
        <v>#ERROR!</v>
      </c>
      <c r="EQ118" s="319" t="str">
        <f t="shared" si="939"/>
        <v>#ERROR!</v>
      </c>
      <c r="ER118" s="320"/>
      <c r="ES118" s="319" t="str">
        <f>+ES12/EQ12-1</f>
        <v>#ERROR!</v>
      </c>
      <c r="ET118" s="319" t="str">
        <f t="shared" ref="ET118:EV118" si="940">ET12/ES12-1</f>
        <v>#ERROR!</v>
      </c>
      <c r="EU118" s="319" t="str">
        <f t="shared" si="940"/>
        <v>#ERROR!</v>
      </c>
      <c r="EV118" s="319" t="str">
        <f t="shared" si="940"/>
        <v>#ERROR!</v>
      </c>
      <c r="EW118" s="320"/>
      <c r="EX118" s="319" t="str">
        <f>+EX12/EV12-1</f>
        <v>#ERROR!</v>
      </c>
      <c r="EY118" s="319" t="str">
        <f t="shared" ref="EY118:FA118" si="941">EY12/EX12-1</f>
        <v>#ERROR!</v>
      </c>
      <c r="EZ118" s="319" t="str">
        <f t="shared" si="941"/>
        <v>#ERROR!</v>
      </c>
      <c r="FA118" s="319" t="str">
        <f t="shared" si="941"/>
        <v>#ERROR!</v>
      </c>
      <c r="FB118" s="320"/>
      <c r="FC118" s="319" t="str">
        <f>+FC12/FA12-1</f>
        <v>#ERROR!</v>
      </c>
      <c r="FD118" s="319" t="str">
        <f t="shared" ref="FD118:FF118" si="942">FD12/FC12-1</f>
        <v>#ERROR!</v>
      </c>
      <c r="FE118" s="319" t="str">
        <f t="shared" si="942"/>
        <v>#ERROR!</v>
      </c>
      <c r="FF118" s="319" t="str">
        <f t="shared" si="942"/>
        <v>#ERROR!</v>
      </c>
      <c r="FG118" s="320"/>
      <c r="FH118" s="319">
        <f t="shared" ref="FH118:FK118" si="943">AVERAGE(BV118,CA118,CF118,CK118,CP118)</f>
        <v>-0.02375366348</v>
      </c>
      <c r="FI118" s="319">
        <f t="shared" si="943"/>
        <v>0.0415413826</v>
      </c>
      <c r="FJ118" s="319">
        <f t="shared" si="943"/>
        <v>0.04498654046</v>
      </c>
      <c r="FK118" s="319">
        <f t="shared" si="943"/>
        <v>0.00933200476</v>
      </c>
      <c r="FL118" s="335"/>
    </row>
    <row r="119" ht="13.5" customHeight="1">
      <c r="A119" s="318"/>
      <c r="B119" s="319" t="s">
        <v>136</v>
      </c>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19"/>
      <c r="AV119" s="319"/>
      <c r="AW119" s="319"/>
      <c r="AX119" s="319"/>
      <c r="AY119" s="319"/>
      <c r="AZ119" s="319"/>
      <c r="BA119" s="319"/>
      <c r="BB119" s="319"/>
      <c r="BC119" s="319"/>
      <c r="BD119" s="319"/>
      <c r="BE119" s="319"/>
      <c r="BF119" s="319"/>
      <c r="BG119" s="319"/>
      <c r="BH119" s="319"/>
      <c r="BI119" s="319"/>
      <c r="BJ119" s="319"/>
      <c r="BK119" s="319"/>
      <c r="BL119" s="319"/>
      <c r="BM119" s="319"/>
      <c r="BN119" s="319"/>
      <c r="BO119" s="319"/>
      <c r="BP119" s="319"/>
      <c r="BQ119" s="319"/>
      <c r="BR119" s="319"/>
      <c r="BS119" s="319"/>
      <c r="BT119" s="319"/>
      <c r="BU119" s="319"/>
      <c r="BV119" s="319"/>
      <c r="BW119" s="319"/>
      <c r="BX119" s="319"/>
      <c r="BY119" s="319"/>
      <c r="BZ119" s="320"/>
      <c r="CA119" s="319"/>
      <c r="CB119" s="319"/>
      <c r="CC119" s="319"/>
      <c r="CD119" s="319"/>
      <c r="CE119" s="320"/>
      <c r="CF119" s="319"/>
      <c r="CG119" s="319"/>
      <c r="CH119" s="319"/>
      <c r="CI119" s="319"/>
      <c r="CJ119" s="320"/>
      <c r="CK119" s="319"/>
      <c r="CL119" s="319"/>
      <c r="CM119" s="319"/>
      <c r="CN119" s="321"/>
      <c r="CO119" s="320"/>
      <c r="CP119" s="321"/>
      <c r="CQ119" s="319"/>
      <c r="CR119" s="319"/>
      <c r="CS119" s="319"/>
      <c r="CT119" s="320"/>
      <c r="CU119" s="319"/>
      <c r="CV119" s="319"/>
      <c r="CW119" s="319"/>
      <c r="CX119" s="319"/>
      <c r="CY119" s="320"/>
      <c r="CZ119" s="319"/>
      <c r="DA119" s="319"/>
      <c r="DB119" s="319"/>
      <c r="DC119" s="319"/>
      <c r="DD119" s="320"/>
      <c r="DE119" s="319"/>
      <c r="DF119" s="319"/>
      <c r="DG119" s="321"/>
      <c r="DH119" s="319"/>
      <c r="DI119" s="320"/>
      <c r="DJ119" s="321"/>
      <c r="DK119" s="321"/>
      <c r="DL119" s="321"/>
      <c r="DM119" s="321"/>
      <c r="DN119" s="320"/>
      <c r="DO119" s="321"/>
      <c r="DP119" s="321"/>
      <c r="DQ119" s="321"/>
      <c r="DR119" s="321"/>
      <c r="DS119" s="320"/>
      <c r="DT119" s="321"/>
      <c r="DU119" s="321"/>
      <c r="DV119" s="321"/>
      <c r="DW119" s="321"/>
      <c r="DX119" s="320"/>
      <c r="DY119" s="321"/>
      <c r="DZ119" s="321"/>
      <c r="EA119" s="321"/>
      <c r="EB119" s="321"/>
      <c r="EC119" s="320"/>
      <c r="ED119" s="321"/>
      <c r="EE119" s="321"/>
      <c r="EF119" s="321"/>
      <c r="EG119" s="321"/>
      <c r="EH119" s="320"/>
      <c r="EI119" s="322"/>
      <c r="EJ119" s="319"/>
      <c r="EK119" s="319"/>
      <c r="EL119" s="319"/>
      <c r="EM119" s="320"/>
      <c r="EN119" s="319"/>
      <c r="EO119" s="319"/>
      <c r="EP119" s="319"/>
      <c r="EQ119" s="319"/>
      <c r="ER119" s="320"/>
      <c r="ES119" s="319"/>
      <c r="ET119" s="319"/>
      <c r="EU119" s="319"/>
      <c r="EV119" s="319"/>
      <c r="EW119" s="320"/>
      <c r="EX119" s="319"/>
      <c r="EY119" s="319"/>
      <c r="EZ119" s="319"/>
      <c r="FA119" s="319"/>
      <c r="FB119" s="320"/>
      <c r="FC119" s="319"/>
      <c r="FD119" s="319"/>
      <c r="FE119" s="319"/>
      <c r="FF119" s="319"/>
      <c r="FG119" s="320"/>
      <c r="FH119" s="321"/>
      <c r="FI119" s="319"/>
      <c r="FJ119" s="319"/>
      <c r="FK119" s="319"/>
      <c r="FL119" s="335"/>
    </row>
    <row r="120" ht="13.5" customHeight="1">
      <c r="A120" s="318"/>
      <c r="B120" s="319" t="s">
        <v>137</v>
      </c>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19"/>
      <c r="BY120" s="319"/>
      <c r="BZ120" s="320"/>
      <c r="CA120" s="319"/>
      <c r="CB120" s="319"/>
      <c r="CC120" s="319"/>
      <c r="CD120" s="319"/>
      <c r="CE120" s="320"/>
      <c r="CF120" s="319"/>
      <c r="CG120" s="319"/>
      <c r="CH120" s="319"/>
      <c r="CI120" s="319"/>
      <c r="CJ120" s="320"/>
      <c r="CK120" s="319"/>
      <c r="CL120" s="319"/>
      <c r="CM120" s="319"/>
      <c r="CN120" s="321"/>
      <c r="CO120" s="320"/>
      <c r="CP120" s="321"/>
      <c r="CQ120" s="319"/>
      <c r="CR120" s="319"/>
      <c r="CS120" s="319"/>
      <c r="CT120" s="320"/>
      <c r="CU120" s="319"/>
      <c r="CV120" s="319"/>
      <c r="CW120" s="319"/>
      <c r="CX120" s="319"/>
      <c r="CY120" s="320"/>
      <c r="CZ120" s="319"/>
      <c r="DA120" s="319"/>
      <c r="DB120" s="319"/>
      <c r="DC120" s="319"/>
      <c r="DD120" s="320"/>
      <c r="DE120" s="319"/>
      <c r="DF120" s="319"/>
      <c r="DG120" s="321"/>
      <c r="DH120" s="319"/>
      <c r="DI120" s="320"/>
      <c r="DJ120" s="321"/>
      <c r="DK120" s="321"/>
      <c r="DL120" s="321"/>
      <c r="DM120" s="321"/>
      <c r="DN120" s="320"/>
      <c r="DO120" s="321"/>
      <c r="DP120" s="321"/>
      <c r="DQ120" s="321"/>
      <c r="DR120" s="321"/>
      <c r="DS120" s="320"/>
      <c r="DT120" s="321"/>
      <c r="DU120" s="321"/>
      <c r="DV120" s="321"/>
      <c r="DW120" s="321"/>
      <c r="DX120" s="320"/>
      <c r="DY120" s="321"/>
      <c r="DZ120" s="321"/>
      <c r="EA120" s="321"/>
      <c r="EB120" s="321"/>
      <c r="EC120" s="320"/>
      <c r="ED120" s="321"/>
      <c r="EE120" s="321"/>
      <c r="EF120" s="321"/>
      <c r="EG120" s="321"/>
      <c r="EH120" s="320"/>
      <c r="EI120" s="322"/>
      <c r="EJ120" s="319"/>
      <c r="EK120" s="319"/>
      <c r="EL120" s="319"/>
      <c r="EM120" s="320"/>
      <c r="EN120" s="319"/>
      <c r="EO120" s="319"/>
      <c r="EP120" s="319"/>
      <c r="EQ120" s="319"/>
      <c r="ER120" s="320"/>
      <c r="ES120" s="319"/>
      <c r="ET120" s="319"/>
      <c r="EU120" s="319"/>
      <c r="EV120" s="319"/>
      <c r="EW120" s="320"/>
      <c r="EX120" s="319"/>
      <c r="EY120" s="319"/>
      <c r="EZ120" s="319"/>
      <c r="FA120" s="319"/>
      <c r="FB120" s="320"/>
      <c r="FC120" s="319"/>
      <c r="FD120" s="319"/>
      <c r="FE120" s="319"/>
      <c r="FF120" s="319"/>
      <c r="FG120" s="320"/>
      <c r="FH120" s="321"/>
      <c r="FI120" s="319"/>
      <c r="FJ120" s="319"/>
      <c r="FK120" s="319"/>
      <c r="FL120" s="335"/>
    </row>
    <row r="121" ht="12.75" customHeight="1">
      <c r="A121" s="318"/>
      <c r="B121" s="319" t="s">
        <v>138</v>
      </c>
      <c r="C121" s="319"/>
      <c r="D121" s="319"/>
      <c r="E121" s="319"/>
      <c r="F121" s="319"/>
      <c r="G121" s="319"/>
      <c r="H121" s="319"/>
      <c r="I121" s="319"/>
      <c r="J121" s="319"/>
      <c r="K121" s="319"/>
      <c r="L121" s="319"/>
      <c r="M121" s="319"/>
      <c r="N121" s="319"/>
      <c r="O121" s="319"/>
      <c r="P121" s="319">
        <f>(RD+MGA)/(O31+O32)-1</f>
        <v>0.06877897991</v>
      </c>
      <c r="Q121" s="319">
        <f>(RD+MGA)/(P31+P32)-1</f>
        <v>0.15835141</v>
      </c>
      <c r="R121" s="319">
        <f>(RD+MGA)/(Q31+Q32)-1</f>
        <v>2.486267166</v>
      </c>
      <c r="S121" s="319">
        <f>(RD+MGA)/(Q31+Q32)-1</f>
        <v>-0.02996254682</v>
      </c>
      <c r="T121" s="319">
        <f>(RD+MGA)/(S31+S32)-1</f>
        <v>0.06499356499</v>
      </c>
      <c r="U121" s="319">
        <f>(RD+MGA)/(T31+T32)-1</f>
        <v>0.08277945619</v>
      </c>
      <c r="V121" s="319">
        <f>(RD+MGA)/(U31+U32)-1</f>
        <v>0.1060267857</v>
      </c>
      <c r="W121" s="319"/>
      <c r="X121" s="319">
        <f>(RD+MGA)/(V31+V32)-1</f>
        <v>0.04692230071</v>
      </c>
      <c r="Y121" s="319">
        <f>(RD+MGA)/(X31+X32)-1</f>
        <v>0.05734939759</v>
      </c>
      <c r="Z121" s="319">
        <f>(RD+MGA)/(Y31+Y32)-1</f>
        <v>0.04740200547</v>
      </c>
      <c r="AA121" s="319">
        <f>(RD+MGA)/(Z31+Z32)-1</f>
        <v>0.05265448216</v>
      </c>
      <c r="AB121" s="319"/>
      <c r="AC121" s="319">
        <f>(RD+MGA)/(AA31+AA32)-1</f>
        <v>-0.1112029764</v>
      </c>
      <c r="AD121" s="319">
        <f>(RD+MGA)/(AC31+AC32)-1</f>
        <v>-0.02651162791</v>
      </c>
      <c r="AE121" s="319">
        <f>(RD+MGA)/(AD31+AD32)-1</f>
        <v>-0.04730052556</v>
      </c>
      <c r="AF121" s="319">
        <f>(RD+MGA)/(AE31+AE32)-1</f>
        <v>0.01454363089</v>
      </c>
      <c r="AG121" s="319"/>
      <c r="AH121" s="319">
        <f>(RD+MGA)/(AF31+AF32)-1</f>
        <v>0.01532377657</v>
      </c>
      <c r="AI121" s="319">
        <f>(RD+MGA)/(AH31+AH32)-1</f>
        <v>0.01606621227</v>
      </c>
      <c r="AJ121" s="319">
        <f>(RD+MGA)/(AI31+AI32)-1</f>
        <v>0.006708193579</v>
      </c>
      <c r="AK121" s="319">
        <f>(RD+MGA)/(AJ31+AJ32)-1</f>
        <v>0.01189909567</v>
      </c>
      <c r="AL121" s="319"/>
      <c r="AM121" s="319">
        <f>(RD+MGA)/(AK31+AK32)-1</f>
        <v>-0.04186265287</v>
      </c>
      <c r="AN121" s="319">
        <f>(RD+MGA)/(AM31+AM32)-1</f>
        <v>0.03485517919</v>
      </c>
      <c r="AO121" s="319">
        <f>(RD+MGA)/(AN31+AN32)-1</f>
        <v>0.03462998102</v>
      </c>
      <c r="AP121" s="319">
        <f>(RD+MGA)/(AO31+AO32)-1</f>
        <v>0.06006419074</v>
      </c>
      <c r="AQ121" s="319"/>
      <c r="AR121" s="319">
        <f>(RD+MGA)/(AP31+AP32)-1</f>
        <v>0.01038062284</v>
      </c>
      <c r="AS121" s="319">
        <f>(RD+MGA)/(AR31+AR32)-1</f>
        <v>0.008561643836</v>
      </c>
      <c r="AT121" s="319">
        <f>(RD+MGA)/(AS31+AS32)-1</f>
        <v>-0.02122241087</v>
      </c>
      <c r="AU121" s="319">
        <f>(RD+MGA)/(AT31+AT32)-1</f>
        <v>0.05767562879</v>
      </c>
      <c r="AV121" s="319"/>
      <c r="AW121" s="319">
        <f>(RD+MGA)/(AU31+AU32)-1</f>
        <v>0.0364903649</v>
      </c>
      <c r="AX121" s="319">
        <f>(RD+MGA)/(AW31+AW32)-1</f>
        <v>-0.003955696203</v>
      </c>
      <c r="AY121" s="319">
        <f>(RD+MGA)/(AX31+AX32)-1</f>
        <v>0.1195393169</v>
      </c>
      <c r="AZ121" s="319">
        <f>(RD+MGA)/(AY31+AY32)-1</f>
        <v>0.05285562256</v>
      </c>
      <c r="BA121" s="319"/>
      <c r="BB121" s="319">
        <f>(RD+MGA)/(AZ31+AZ32)-1</f>
        <v>0.08018867925</v>
      </c>
      <c r="BC121" s="319">
        <f>(RD+MGA)/(BB31+BB32)-1</f>
        <v>-0.03649407361</v>
      </c>
      <c r="BD121" s="319">
        <f>(RD+MGA)/(BC31+BC32)-1</f>
        <v>-0.08902557462</v>
      </c>
      <c r="BE121" s="319">
        <f>(RD+MGA)/(BD31+BD32)-1</f>
        <v>0.01634683724</v>
      </c>
      <c r="BF121" s="319"/>
      <c r="BG121" s="319">
        <f>(RD+MGA)/(BE31+BE32)-1</f>
        <v>-0.06398601399</v>
      </c>
      <c r="BH121" s="319">
        <f>(RD+MGA)/(BG31+BG32)-1</f>
        <v>-0.01494209936</v>
      </c>
      <c r="BI121" s="319">
        <f>(RD+MGA)/(BH31+BH32)-1</f>
        <v>0.09935532802</v>
      </c>
      <c r="BJ121" s="319">
        <f>(RD+MGA)/(BI31+BI32)-1</f>
        <v>0.01517764746</v>
      </c>
      <c r="BK121" s="319"/>
      <c r="BL121" s="319">
        <f>(RD+MGA)/(BJ31+BJ32)-1</f>
        <v>-0.04315324499</v>
      </c>
      <c r="BM121" s="319">
        <f>(RD+MGA)/(BL31+BL32)-1</f>
        <v>0.02911931818</v>
      </c>
      <c r="BN121" s="319">
        <f>(RD+MGA)/(BM31+BM32)-1</f>
        <v>-0.003795721187</v>
      </c>
      <c r="BO121" s="319">
        <f>(RD+MGA)/(BN31+BN32)-1</f>
        <v>-0.1066851403</v>
      </c>
      <c r="BP121" s="319"/>
      <c r="BQ121" s="319">
        <f>(RD+MGA)/(BO31+BO32)-1</f>
        <v>-0.02404032571</v>
      </c>
      <c r="BR121" s="319">
        <f>(RD+MGA)/(BQ31+BQ32)-1</f>
        <v>0.01430274136</v>
      </c>
      <c r="BS121" s="319">
        <f>(RD+MGA)/(BR31+BR32)-1</f>
        <v>0.07716412064</v>
      </c>
      <c r="BT121" s="319">
        <f>(RD+MGA)/(BS31+BS32)-1</f>
        <v>0.1167272727</v>
      </c>
      <c r="BU121" s="319"/>
      <c r="BV121" s="319">
        <f>(RD+MGA)/(BT31+BT32)-1</f>
        <v>0.002279387822</v>
      </c>
      <c r="BW121" s="319">
        <f>(RD+MGA)/(BV31+BV32)-1</f>
        <v>0.05588044185</v>
      </c>
      <c r="BX121" s="319">
        <f>(RD+MGA)/(BW31+BW32)-1</f>
        <v>-0.02123076923</v>
      </c>
      <c r="BY121" s="319">
        <f>(RD+MGA)/(BX31+BX32)-1</f>
        <v>0.06130147752</v>
      </c>
      <c r="BZ121" s="320"/>
      <c r="CA121" s="319">
        <f>(RD+MGA)/(BY31+BY32)-1</f>
        <v>0.0933056872</v>
      </c>
      <c r="CB121" s="319">
        <f>(RD+MGA)/(CA31+CA32)-1</f>
        <v>0.05418585749</v>
      </c>
      <c r="CC121" s="319">
        <f>(RD+MGA)/(CB31+CB32)-1</f>
        <v>0.06836288872</v>
      </c>
      <c r="CD121" s="319">
        <f>(RD+MGA)/(CC31+CC32)-1</f>
        <v>0.02982920375</v>
      </c>
      <c r="CE121" s="320"/>
      <c r="CF121" s="319">
        <f>(RD+MGA)/(CD31+CD32)-1</f>
        <v>0.02172389629</v>
      </c>
      <c r="CG121" s="319">
        <f>(RD+MGA)/(CF31+CF32)-1</f>
        <v>0.06172839506</v>
      </c>
      <c r="CH121" s="319">
        <f>(RD+MGA)/(CG31+CG32)-1</f>
        <v>-0.00947459087</v>
      </c>
      <c r="CI121" s="319">
        <f>(RD+MGA)/(CH31+CH32)-1</f>
        <v>-0.002826086957</v>
      </c>
      <c r="CJ121" s="320"/>
      <c r="CK121" s="319">
        <f>(RD+MGA)/(CI31+CI32)-1</f>
        <v>-0.02463483758</v>
      </c>
      <c r="CL121" s="319">
        <f>(RD+MGA)/(CK31+CK32)-1</f>
        <v>0.04626732231</v>
      </c>
      <c r="CM121" s="319">
        <f>(RD+MGA)/(CL31+CL32)-1</f>
        <v>0.006622516556</v>
      </c>
      <c r="CN121" s="321">
        <f>(RD+MGA)/(CM31+CM32)-1</f>
        <v>0.02546689304</v>
      </c>
      <c r="CO121" s="320"/>
      <c r="CP121" s="321">
        <f>(RD+MGA)/(CN31+CN32)-1</f>
        <v>0.01055463576</v>
      </c>
      <c r="CQ121" s="319">
        <f>(RD+MGA)/(CP31+CP32)-1</f>
        <v>0.007577309031</v>
      </c>
      <c r="CR121" s="319">
        <f>(RD+MGA)/(CQ31+CQ32)-1</f>
        <v>-0.02012195122</v>
      </c>
      <c r="CS121" s="319">
        <f>(RD+MGA)/(CR31+CR32)-1</f>
        <v>0.04521883427</v>
      </c>
      <c r="CT121" s="320"/>
      <c r="CU121" s="319">
        <f>(RD+MGA)/(CS31+CS32)-1</f>
        <v>-0.01805913872</v>
      </c>
      <c r="CV121" s="319">
        <f>(RD+MGA)/(CU31+CU32)-1</f>
        <v>0.01778496362</v>
      </c>
      <c r="CW121" s="319">
        <f>(RD+MGA)/(CV31+CV32)-1</f>
        <v>-0.03951548848</v>
      </c>
      <c r="CX121" s="319">
        <f>(RD+MGA)/(CW31+CW32)-1</f>
        <v>0.08269588588</v>
      </c>
      <c r="CY121" s="320"/>
      <c r="CZ121" s="319">
        <f>(RD+MGA)/(CX31+CX32)-1</f>
        <v>0.0448730189</v>
      </c>
      <c r="DA121" s="319">
        <f>(RD+MGA)/(CZ31+CZ32)-1</f>
        <v>-0.05847953216</v>
      </c>
      <c r="DB121" s="319">
        <f>(RD+MGA)/(DA31+DA32)-1</f>
        <v>-0.01494565217</v>
      </c>
      <c r="DC121" s="319">
        <f>(RD+MGA)/(DB31+DB32)-1</f>
        <v>0.0715270936</v>
      </c>
      <c r="DD121" s="320"/>
      <c r="DE121" s="319">
        <f>(RD+MGA)/(DC31+DC32)-1</f>
        <v>-0.001471129092</v>
      </c>
      <c r="DF121" s="319">
        <f>(RD+MGA)/(DE31+DE32)-1</f>
        <v>-0.05543278085</v>
      </c>
      <c r="DG121" s="321">
        <f>(RD+MGA)/(DF31+DF32)-1</f>
        <v>-0.04679274712</v>
      </c>
      <c r="DH121" s="319">
        <f>(RD+MGA)/(DG31+DG32)-1</f>
        <v>0.04806708938</v>
      </c>
      <c r="DI121" s="320"/>
      <c r="DJ121" s="321">
        <f>(RD+MGA)/(DH31+DH32)-1</f>
        <v>0.01697892272</v>
      </c>
      <c r="DK121" s="321">
        <f>(RD+MGA)/(DJ31+DJ32)-1</f>
        <v>-0.02206870083</v>
      </c>
      <c r="DL121" s="321">
        <f>(RD+MGA)/(DK31+DK32)-1</f>
        <v>-0.01236263736</v>
      </c>
      <c r="DM121" s="321">
        <f>(RD+MGA)/(DL31+DL32)-1</f>
        <v>-0.01589509239</v>
      </c>
      <c r="DN121" s="320"/>
      <c r="DO121" s="321">
        <f>(RD+MGA)/(DM31+DM32)-1</f>
        <v>-0.01776700989</v>
      </c>
      <c r="DP121" s="321">
        <f>(RD+MGA)/(DO31+DO32)-1</f>
        <v>0.03329907503</v>
      </c>
      <c r="DQ121" s="321">
        <f>(RD+MGA)/(DP31+DP32)-1</f>
        <v>-0.06624229163</v>
      </c>
      <c r="DR121" s="321">
        <f>(RD+MGA)/(DQ31+DQ32)-1</f>
        <v>0.04942479761</v>
      </c>
      <c r="DS121" s="320"/>
      <c r="DT121" s="321">
        <f>(RD+MGA)/(DR31+DR32)-1</f>
        <v>-0.02233049127</v>
      </c>
      <c r="DU121" s="321">
        <f>(RD+MGA)/(DT31+DT32)-1</f>
        <v>-0.00311461794</v>
      </c>
      <c r="DV121" s="321">
        <f>(RD+MGA)/(DU31+DU32)-1</f>
        <v>-0.01957925432</v>
      </c>
      <c r="DW121" s="321">
        <f>(RD+MGA)/(DV31+DV32)-1</f>
        <v>0.149776928</v>
      </c>
      <c r="DX121" s="320"/>
      <c r="DY121" s="321">
        <f>(RD+MGA)/(DW31+DW32)-1</f>
        <v>-0.08518107908</v>
      </c>
      <c r="DZ121" s="321">
        <f>(RD+MGA)/(DY31+DY32)-1</f>
        <v>0.07331852151</v>
      </c>
      <c r="EA121" s="321">
        <f>(RD+MGA)/(DZ31+DZ32)-1</f>
        <v>0.03067369213</v>
      </c>
      <c r="EB121" s="321">
        <f>(RD+MGA)/(EA31+EA32)-1</f>
        <v>0.09384699653</v>
      </c>
      <c r="EC121" s="320"/>
      <c r="ED121" s="321">
        <f>(RD+MGA)/(EB31+EB32)-1</f>
        <v>0.02053079619</v>
      </c>
      <c r="EE121" s="321">
        <f>(RD+MGA)/(ED31+ED32)-1</f>
        <v>0.01406607785</v>
      </c>
      <c r="EF121" s="321">
        <f>(RD+MGA)/(EE31+EE32)-1</f>
        <v>-0.02483870968</v>
      </c>
      <c r="EG121" s="321">
        <f>(RD+MGA)/(EF31+EF32)-1</f>
        <v>0.02050942772</v>
      </c>
      <c r="EH121" s="320"/>
      <c r="EI121" s="322">
        <f>(RD+MGA)/(EG31+EG32)-1</f>
        <v>-0.1085899514</v>
      </c>
      <c r="EJ121" s="319">
        <f>(RD+MGA)/(EI31+EI32)-1</f>
        <v>-0.06363636364</v>
      </c>
      <c r="EK121" s="319">
        <f>(RD+MGA)/(EJ31+EJ32)-1</f>
        <v>-0.06796116505</v>
      </c>
      <c r="EL121" s="319">
        <f>(RD+MGA)/(EK31+EK32)-1</f>
        <v>-0.0625</v>
      </c>
      <c r="EM121" s="320"/>
      <c r="EN121" s="319">
        <f>(RD+MGA)/(EL31+EL32)-1</f>
        <v>0</v>
      </c>
      <c r="EO121" s="319">
        <f>(RD+MGA)/(EN31+EN32)-1</f>
        <v>0.02222222222</v>
      </c>
      <c r="EP121" s="319">
        <f>(RD+MGA)/(EO31+EO32)-1</f>
        <v>0.02173913043</v>
      </c>
      <c r="EQ121" s="319">
        <f>(RD+MGA)/(EP31+EP32)-1</f>
        <v>0.01063829787</v>
      </c>
      <c r="ER121" s="320"/>
      <c r="ES121" s="319">
        <f>(RD+MGA)/(EQ31+EQ32)-1</f>
        <v>0.01052631579</v>
      </c>
      <c r="ET121" s="319">
        <f>(RD+MGA)/(ES31+ES32)-1</f>
        <v>0.01041666667</v>
      </c>
      <c r="EU121" s="319">
        <f>(RD+MGA)/(ET31+ET32)-1</f>
        <v>0.01030927835</v>
      </c>
      <c r="EV121" s="319">
        <f>(RD+MGA)/(EU31+EU32)-1</f>
        <v>0.01020408163</v>
      </c>
      <c r="EW121" s="320"/>
      <c r="EX121" s="319">
        <f>(RD+MGA)/(EV31+EV32)-1</f>
        <v>0.0303030303</v>
      </c>
      <c r="EY121" s="319">
        <f>(RD+MGA)/(EX31+EX32)-1</f>
        <v>0.02941176471</v>
      </c>
      <c r="EZ121" s="319">
        <f>(RD+MGA)/(EY31+EY32)-1</f>
        <v>0.009523809524</v>
      </c>
      <c r="FA121" s="319">
        <f>(RD+MGA)/(EZ31+EZ32)-1</f>
        <v>0.009433962264</v>
      </c>
      <c r="FB121" s="320"/>
      <c r="FC121" s="319">
        <f>(RD+MGA)/(FA31+FA32)-1</f>
        <v>0.009345794393</v>
      </c>
      <c r="FD121" s="319">
        <f>(RD+MGA)/(FC31+FC32)-1</f>
        <v>0.02777777778</v>
      </c>
      <c r="FE121" s="319">
        <f>(RD+MGA)/(FD31+FD32)-1</f>
        <v>0.009009009009</v>
      </c>
      <c r="FF121" s="319">
        <f>(RD+MGA)/(FE31+FE32)-1</f>
        <v>0.008928571429</v>
      </c>
      <c r="FG121" s="320"/>
      <c r="FH121" s="321"/>
      <c r="FI121" s="319"/>
      <c r="FJ121" s="319"/>
      <c r="FK121" s="319"/>
      <c r="FL121" s="335"/>
    </row>
    <row r="122" ht="12.75" customHeight="1">
      <c r="A122" s="318"/>
      <c r="B122" s="319" t="s">
        <v>139</v>
      </c>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319"/>
      <c r="BV122" s="319"/>
      <c r="BW122" s="319"/>
      <c r="BX122" s="319"/>
      <c r="BY122" s="319"/>
      <c r="BZ122" s="320"/>
      <c r="CA122" s="319"/>
      <c r="CB122" s="319"/>
      <c r="CC122" s="319"/>
      <c r="CD122" s="319"/>
      <c r="CE122" s="320"/>
      <c r="CF122" s="319"/>
      <c r="CG122" s="319"/>
      <c r="CH122" s="319"/>
      <c r="CI122" s="319"/>
      <c r="CJ122" s="320"/>
      <c r="CK122" s="319"/>
      <c r="CL122" s="319"/>
      <c r="CM122" s="319"/>
      <c r="CN122" s="321"/>
      <c r="CO122" s="320"/>
      <c r="CP122" s="321"/>
      <c r="CQ122" s="319"/>
      <c r="CR122" s="319"/>
      <c r="CS122" s="319"/>
      <c r="CT122" s="320"/>
      <c r="CU122" s="321">
        <f>(CU41-CS41)/(CU12-CS12)</f>
        <v>0.8659793814</v>
      </c>
      <c r="CV122" s="321">
        <f t="shared" ref="CV122:CX122" si="944">(CV41-CU41)/(CV12-CU12)</f>
        <v>0.9299516908</v>
      </c>
      <c r="CW122" s="321">
        <f t="shared" si="944"/>
        <v>0.7771653543</v>
      </c>
      <c r="CX122" s="321">
        <f t="shared" si="944"/>
        <v>0.3363028953</v>
      </c>
      <c r="CY122" s="320"/>
      <c r="CZ122" s="321">
        <f>(CZ41-CX41)/(CZ12-CX12)</f>
        <v>1.026055705</v>
      </c>
      <c r="DA122" s="321">
        <f t="shared" ref="DA122:DC122" si="945">(DA41-CZ41)/(DA12-CZ12)</f>
        <v>0.2462686567</v>
      </c>
      <c r="DB122" s="321">
        <f t="shared" si="945"/>
        <v>0.8579064588</v>
      </c>
      <c r="DC122" s="321">
        <f t="shared" si="945"/>
        <v>-0.4093959732</v>
      </c>
      <c r="DD122" s="320">
        <f>(DD41-CY41)/(DD12-CY12)</f>
        <v>0.4003873154</v>
      </c>
      <c r="DE122" s="321">
        <f>(DE41-DC41)/(DE12-DC12)</f>
        <v>0.6166032953</v>
      </c>
      <c r="DF122" s="321">
        <f t="shared" ref="DF122:DH122" si="946">(DF41-DE41)/(DF12-DE12)</f>
        <v>-7.303030303</v>
      </c>
      <c r="DG122" s="321">
        <f t="shared" si="946"/>
        <v>0.9985569986</v>
      </c>
      <c r="DH122" s="321">
        <f t="shared" si="946"/>
        <v>0.4225663717</v>
      </c>
      <c r="DI122" s="320">
        <f>(DI41-DD41)/(DI12-DD12)</f>
        <v>0.9267175573</v>
      </c>
      <c r="DJ122" s="321">
        <f>(DJ41-DH41)/(DJ12-DH12)</f>
        <v>1.152988855</v>
      </c>
      <c r="DK122" s="321">
        <f t="shared" ref="DK122:DM122" si="947">(DK41-DJ41)/(DK12-DJ12)</f>
        <v>0.6071428571</v>
      </c>
      <c r="DL122" s="321">
        <f t="shared" si="947"/>
        <v>1.028623353</v>
      </c>
      <c r="DM122" s="321">
        <f t="shared" si="947"/>
        <v>2.075098814</v>
      </c>
      <c r="DN122" s="320">
        <f>(DN41-DI41)/(DN12-DI12)</f>
        <v>0.5827871893</v>
      </c>
      <c r="DO122" s="321">
        <f>(DO41-DM41)/(DO12-DM12)</f>
        <v>0.7889060092</v>
      </c>
      <c r="DP122" s="321">
        <f t="shared" ref="DP122:DR122" si="948">(DP41-DO41)/(DP12-DO12)</f>
        <v>1.425675676</v>
      </c>
      <c r="DQ122" s="321">
        <f t="shared" si="948"/>
        <v>0.652141527</v>
      </c>
      <c r="DR122" s="321">
        <f t="shared" si="948"/>
        <v>0.324828263</v>
      </c>
      <c r="DS122" s="320">
        <f>(DS41-DN41)/(DS12-DN12)</f>
        <v>-0.4816472695</v>
      </c>
      <c r="DT122" s="321">
        <f>(DT41-DR41)/(DT12-DR12)</f>
        <v>-0.8372703412</v>
      </c>
      <c r="DU122" s="321">
        <f t="shared" ref="DU122:DW122" si="949">(DU41-DT41)/(DU12-DT12)</f>
        <v>14.81</v>
      </c>
      <c r="DV122" s="321">
        <f t="shared" si="949"/>
        <v>0.4745519713</v>
      </c>
      <c r="DW122" s="321">
        <f t="shared" si="949"/>
        <v>0.5489361702</v>
      </c>
      <c r="DX122" s="320">
        <f>(DX41-DS41)/(DX12-DS12)</f>
        <v>0.2609284988</v>
      </c>
      <c r="DY122" s="321">
        <f>(DY41-DW41)/(DY12-DW12)</f>
        <v>0.1437677054</v>
      </c>
      <c r="DZ122" s="321">
        <f t="shared" ref="DZ122:EB122" si="950">(DZ41-DY41)/(DZ12-DY12)</f>
        <v>7.272727273</v>
      </c>
      <c r="EA122" s="321">
        <f t="shared" si="950"/>
        <v>1.466367713</v>
      </c>
      <c r="EB122" s="321">
        <f t="shared" si="950"/>
        <v>-0.1044982699</v>
      </c>
      <c r="EC122" s="320">
        <f>(EC41-DX41)/(EC12-DX12)</f>
        <v>0.9803112099</v>
      </c>
      <c r="ED122" s="321">
        <f>(ED41-EB41)/(ED12-EB12)</f>
        <v>0.6870229008</v>
      </c>
      <c r="EE122" s="321">
        <f t="shared" ref="EE122:EG122" si="951">(EE41-ED41)/(EE12-ED12)</f>
        <v>0.9313984169</v>
      </c>
      <c r="EF122" s="321">
        <f t="shared" si="951"/>
        <v>14</v>
      </c>
      <c r="EG122" s="321">
        <f t="shared" si="951"/>
        <v>0.8125</v>
      </c>
      <c r="EH122" s="320">
        <f>(EH41-EC41)/(EH12-EC12)</f>
        <v>1.225137174</v>
      </c>
      <c r="EI122" s="322" t="str">
        <f>(EI41-EG41)/(EI12-EG12)</f>
        <v>#ERROR!</v>
      </c>
      <c r="EJ122" s="321" t="str">
        <f t="shared" ref="EJ122:EL122" si="952">(EJ41-EI41)/(EJ12-EI12)</f>
        <v>#ERROR!</v>
      </c>
      <c r="EK122" s="321" t="str">
        <f t="shared" si="952"/>
        <v>#ERROR!</v>
      </c>
      <c r="EL122" s="321" t="str">
        <f t="shared" si="952"/>
        <v>#ERROR!</v>
      </c>
      <c r="EM122" s="320" t="str">
        <f>(EM41-EH41)/(EM12-EH12)</f>
        <v>#ERROR!</v>
      </c>
      <c r="EN122" s="321" t="str">
        <f>(EN41-EL41)/(EN12-EL12)</f>
        <v>#ERROR!</v>
      </c>
      <c r="EO122" s="321" t="str">
        <f t="shared" ref="EO122:EQ122" si="953">(EO41-EN41)/(EO12-EN12)</f>
        <v>#ERROR!</v>
      </c>
      <c r="EP122" s="321" t="str">
        <f t="shared" si="953"/>
        <v>#ERROR!</v>
      </c>
      <c r="EQ122" s="321" t="str">
        <f t="shared" si="953"/>
        <v>#ERROR!</v>
      </c>
      <c r="ER122" s="320" t="str">
        <f>(ER41-EM41)/(ER12-EM12)</f>
        <v>#ERROR!</v>
      </c>
      <c r="ES122" s="321" t="str">
        <f>(ES41-EQ41)/(ES12-EQ12)</f>
        <v>#ERROR!</v>
      </c>
      <c r="ET122" s="321" t="str">
        <f t="shared" ref="ET122:EV122" si="954">(ET41-ES41)/(ET12-ES12)</f>
        <v>#ERROR!</v>
      </c>
      <c r="EU122" s="321" t="str">
        <f t="shared" si="954"/>
        <v>#ERROR!</v>
      </c>
      <c r="EV122" s="321" t="str">
        <f t="shared" si="954"/>
        <v>#ERROR!</v>
      </c>
      <c r="EW122" s="320" t="str">
        <f>(EW41-ER41)/(EW12-ER12)</f>
        <v>#ERROR!</v>
      </c>
      <c r="EX122" s="321" t="str">
        <f>(EX41-EV41)/(EX12-EV12)</f>
        <v>#ERROR!</v>
      </c>
      <c r="EY122" s="321" t="str">
        <f t="shared" ref="EY122:FA122" si="955">(EY41-EX41)/(EY12-EX12)</f>
        <v>#ERROR!</v>
      </c>
      <c r="EZ122" s="321" t="str">
        <f t="shared" si="955"/>
        <v>#ERROR!</v>
      </c>
      <c r="FA122" s="321" t="str">
        <f t="shared" si="955"/>
        <v>#ERROR!</v>
      </c>
      <c r="FB122" s="320" t="str">
        <f>(FB41-EW41)/(FB12-EW12)</f>
        <v>#ERROR!</v>
      </c>
      <c r="FC122" s="321" t="str">
        <f>(FC41-FA41)/(FC12-FA12)</f>
        <v>#ERROR!</v>
      </c>
      <c r="FD122" s="321" t="str">
        <f t="shared" ref="FD122:FF122" si="956">(FD41-FC41)/(FD12-FC12)</f>
        <v>#ERROR!</v>
      </c>
      <c r="FE122" s="321" t="str">
        <f t="shared" si="956"/>
        <v>#ERROR!</v>
      </c>
      <c r="FF122" s="321" t="str">
        <f t="shared" si="956"/>
        <v>#ERROR!</v>
      </c>
      <c r="FG122" s="320" t="str">
        <f>(FG41-FB41)/(FG12-FB12)</f>
        <v>#ERROR!</v>
      </c>
      <c r="FH122" s="321"/>
      <c r="FI122" s="319"/>
      <c r="FJ122" s="319"/>
      <c r="FK122" s="319"/>
      <c r="FL122" s="335"/>
    </row>
    <row r="123" ht="13.5" customHeight="1" outlineLevel="1">
      <c r="A123" s="318"/>
      <c r="B123" s="319" t="str">
        <f>proFormaNetInc</f>
        <v>Net Income</v>
      </c>
      <c r="C123" s="319"/>
      <c r="D123" s="319"/>
      <c r="E123" s="319"/>
      <c r="F123" s="319"/>
      <c r="G123" s="319"/>
      <c r="H123" s="319" t="s">
        <v>135</v>
      </c>
      <c r="I123" s="319"/>
      <c r="J123" s="319"/>
      <c r="K123" s="319"/>
      <c r="L123" s="319"/>
      <c r="M123" s="319" t="s">
        <v>135</v>
      </c>
      <c r="N123" s="319"/>
      <c r="O123" s="319">
        <f t="shared" ref="O123:Q123" si="957">+O51/N51-1</f>
        <v>-0.1849791377</v>
      </c>
      <c r="P123" s="319">
        <f t="shared" si="957"/>
        <v>0.3438566553</v>
      </c>
      <c r="Q123" s="319">
        <f t="shared" si="957"/>
        <v>0.3358730159</v>
      </c>
      <c r="R123" s="319" t="s">
        <v>135</v>
      </c>
      <c r="S123" s="319">
        <f>+S51/Q51-1</f>
        <v>-0.04134980989</v>
      </c>
      <c r="T123" s="319">
        <f t="shared" ref="T123:V123" si="958">+T51/S51-1</f>
        <v>-0.1175012395</v>
      </c>
      <c r="U123" s="319">
        <f t="shared" si="958"/>
        <v>0.06966292135</v>
      </c>
      <c r="V123" s="319">
        <f t="shared" si="958"/>
        <v>0.2647058824</v>
      </c>
      <c r="W123" s="319" t="s">
        <v>135</v>
      </c>
      <c r="X123" s="319">
        <f>+X51/V51-1</f>
        <v>0.261627907</v>
      </c>
      <c r="Y123" s="319">
        <f t="shared" ref="Y123:AA123" si="959">+Y51/X51-1</f>
        <v>0.1579986833</v>
      </c>
      <c r="Z123" s="319">
        <f t="shared" si="959"/>
        <v>-0.1759522456</v>
      </c>
      <c r="AA123" s="319">
        <f t="shared" si="959"/>
        <v>-0.07899275612</v>
      </c>
      <c r="AB123" s="319" t="s">
        <v>135</v>
      </c>
      <c r="AC123" s="319">
        <f>+AC51/AA51-1</f>
        <v>-0.5883895131</v>
      </c>
      <c r="AD123" s="319">
        <f t="shared" ref="AD123:AF123" si="960">AD51/AC51-1</f>
        <v>-0.2229299363</v>
      </c>
      <c r="AE123" s="319">
        <f t="shared" si="960"/>
        <v>-0.2330210773</v>
      </c>
      <c r="AF123" s="319">
        <f t="shared" si="960"/>
        <v>0.5236641221</v>
      </c>
      <c r="AG123" s="319"/>
      <c r="AH123" s="319">
        <f>+AH51/AF51-1</f>
        <v>0.02404809619</v>
      </c>
      <c r="AI123" s="319">
        <f t="shared" ref="AI123:AK123" si="961">AI51/AH51-1</f>
        <v>-0.3933463796</v>
      </c>
      <c r="AJ123" s="319">
        <f t="shared" si="961"/>
        <v>0.2387096774</v>
      </c>
      <c r="AK123" s="319">
        <f t="shared" si="961"/>
        <v>0.3723958333</v>
      </c>
      <c r="AL123" s="319"/>
      <c r="AM123" s="319">
        <f>+AM51/AK51-1</f>
        <v>-0.1318785579</v>
      </c>
      <c r="AN123" s="319">
        <f t="shared" ref="AN123:AP123" si="962">AN51/AM51-1</f>
        <v>-0.02076502732</v>
      </c>
      <c r="AO123" s="319">
        <f t="shared" si="962"/>
        <v>0.8493303571</v>
      </c>
      <c r="AP123" s="319">
        <f t="shared" si="962"/>
        <v>0.3095956548</v>
      </c>
      <c r="AQ123" s="319"/>
      <c r="AR123" s="319">
        <f>+AR51/AP51-1</f>
        <v>-0.202764977</v>
      </c>
      <c r="AS123" s="319">
        <f t="shared" ref="AS123:AU123" si="963">AS51/AR51-1</f>
        <v>0.01560693642</v>
      </c>
      <c r="AT123" s="319">
        <f t="shared" si="963"/>
        <v>0.08480364257</v>
      </c>
      <c r="AU123" s="319">
        <f t="shared" si="963"/>
        <v>0.1138509969</v>
      </c>
      <c r="AV123" s="319"/>
      <c r="AW123" s="319">
        <f>+AW51/AU51-1</f>
        <v>0.02590673575</v>
      </c>
      <c r="AX123" s="319">
        <f t="shared" ref="AX123:AZ123" si="964">AX51/AW51-1</f>
        <v>-0.06427915519</v>
      </c>
      <c r="AY123" s="319">
        <f t="shared" si="964"/>
        <v>0.1486928361</v>
      </c>
      <c r="AZ123" s="319">
        <f t="shared" si="964"/>
        <v>0.0478266887</v>
      </c>
      <c r="BA123" s="319"/>
      <c r="BB123" s="319">
        <f>+BB51/(AZ51-AZ57)-1</f>
        <v>-0.3562618596</v>
      </c>
      <c r="BC123" s="319">
        <f t="shared" ref="BC123:BE123" si="965">BC51/BB51-1</f>
        <v>-0.347826087</v>
      </c>
      <c r="BD123" s="319">
        <f t="shared" si="965"/>
        <v>0.4700564972</v>
      </c>
      <c r="BE123" s="319">
        <f t="shared" si="965"/>
        <v>0.1537279016</v>
      </c>
      <c r="BF123" s="319"/>
      <c r="BG123" s="319">
        <f>+BG51/BE51-1</f>
        <v>-0.127248501</v>
      </c>
      <c r="BH123" s="319">
        <f t="shared" ref="BH123:BJ123" si="966">BH51/BG51-1</f>
        <v>-0.1625954198</v>
      </c>
      <c r="BI123" s="319">
        <f t="shared" si="966"/>
        <v>0.7074348222</v>
      </c>
      <c r="BJ123" s="319">
        <f t="shared" si="966"/>
        <v>0.2124570755</v>
      </c>
      <c r="BK123" s="319"/>
      <c r="BL123" s="319">
        <f>+BL51/BJ51-1</f>
        <v>-0.3645970938</v>
      </c>
      <c r="BM123" s="319">
        <f t="shared" ref="BM123:BO123" si="967">BM51/BL51-1</f>
        <v>0.1094941095</v>
      </c>
      <c r="BN123" s="319">
        <f t="shared" si="967"/>
        <v>0.2579637726</v>
      </c>
      <c r="BO123" s="319">
        <f t="shared" si="967"/>
        <v>-0.5385913605</v>
      </c>
      <c r="BP123" s="319"/>
      <c r="BQ123" s="319">
        <f>+BQ51/BO51-1</f>
        <v>-0.3231297019</v>
      </c>
      <c r="BR123" s="319">
        <f t="shared" ref="BR123:BT123" si="968">BR51/BQ51-1</f>
        <v>0.6677265501</v>
      </c>
      <c r="BS123" s="319">
        <f t="shared" si="968"/>
        <v>0.7693040991</v>
      </c>
      <c r="BT123" s="319">
        <f t="shared" si="968"/>
        <v>0.6670258621</v>
      </c>
      <c r="BU123" s="319"/>
      <c r="BV123" s="319">
        <f>+BV51/BT51-1</f>
        <v>-0.210730446</v>
      </c>
      <c r="BW123" s="319">
        <f t="shared" ref="BW123:BY123" si="969">BW51/BV51-1</f>
        <v>0.1822276822</v>
      </c>
      <c r="BX123" s="319">
        <f t="shared" si="969"/>
        <v>0.02355386214</v>
      </c>
      <c r="BY123" s="319">
        <f t="shared" si="969"/>
        <v>0.07614213198</v>
      </c>
      <c r="BZ123" s="320"/>
      <c r="CA123" s="319">
        <f>+CA51/BY51-1</f>
        <v>-0.006289308176</v>
      </c>
      <c r="CB123" s="319">
        <f t="shared" ref="CB123:CD123" si="970">CB51/CA51-1</f>
        <v>-0.06518987342</v>
      </c>
      <c r="CC123" s="319">
        <f t="shared" si="970"/>
        <v>0.1740013541</v>
      </c>
      <c r="CD123" s="319">
        <f t="shared" si="970"/>
        <v>-0.03114186851</v>
      </c>
      <c r="CE123" s="320"/>
      <c r="CF123" s="319">
        <f>+CF51/CD51-1</f>
        <v>-0.1851190476</v>
      </c>
      <c r="CG123" s="319">
        <f t="shared" ref="CG123:CI123" si="971">CG51/CF51-1</f>
        <v>0.03250547845</v>
      </c>
      <c r="CH123" s="319">
        <f t="shared" si="971"/>
        <v>0.05129112133</v>
      </c>
      <c r="CI123" s="319">
        <f t="shared" si="971"/>
        <v>-0.1695827725</v>
      </c>
      <c r="CJ123" s="320"/>
      <c r="CK123" s="319">
        <f>+CK51/CI51-1</f>
        <v>-0.1713938412</v>
      </c>
      <c r="CL123" s="319">
        <f t="shared" ref="CL123:CN123" si="972">CL51/CK51-1</f>
        <v>-0.02200488998</v>
      </c>
      <c r="CM123" s="319">
        <f t="shared" si="972"/>
        <v>0.475</v>
      </c>
      <c r="CN123" s="321">
        <f t="shared" si="972"/>
        <v>-0.1101694915</v>
      </c>
      <c r="CO123" s="320"/>
      <c r="CP123" s="321">
        <f>+CP51/CN51-1</f>
        <v>-0.256</v>
      </c>
      <c r="CQ123" s="319">
        <f t="shared" ref="CQ123:CS123" si="973">CQ51/CP51-1</f>
        <v>0.4316436252</v>
      </c>
      <c r="CR123" s="319">
        <f t="shared" si="973"/>
        <v>0.1863376252</v>
      </c>
      <c r="CS123" s="319">
        <f t="shared" si="973"/>
        <v>0.10370817</v>
      </c>
      <c r="CT123" s="320"/>
      <c r="CU123" s="319">
        <f>+CU51/CS51-1</f>
        <v>-0.4558863698</v>
      </c>
      <c r="CV123" s="319">
        <f t="shared" ref="CV123:CX123" si="974">CV51/CU51-1</f>
        <v>0.3584337349</v>
      </c>
      <c r="CW123" s="319">
        <f t="shared" si="974"/>
        <v>0.1489283075</v>
      </c>
      <c r="CX123" s="319">
        <f t="shared" si="974"/>
        <v>0.1621100032</v>
      </c>
      <c r="CY123" s="320"/>
      <c r="CZ123" s="319">
        <f>+CZ51/CX51-1</f>
        <v>-0.433711597</v>
      </c>
      <c r="DA123" s="319">
        <f t="shared" ref="DA123:DC123" si="975">DA51/CZ51-1</f>
        <v>-0.3499511241</v>
      </c>
      <c r="DB123" s="319">
        <f t="shared" si="975"/>
        <v>1.539849624</v>
      </c>
      <c r="DC123" s="319">
        <f t="shared" si="975"/>
        <v>0.05447010065</v>
      </c>
      <c r="DD123" s="320"/>
      <c r="DE123" s="319">
        <f>+DE51/DC51-1</f>
        <v>-0.1678832117</v>
      </c>
      <c r="DF123" s="319">
        <f t="shared" ref="DF123:DH123" si="976">DF51/DE51-1</f>
        <v>-0.05263157895</v>
      </c>
      <c r="DG123" s="321">
        <f t="shared" si="976"/>
        <v>0.6082621083</v>
      </c>
      <c r="DH123" s="319">
        <f t="shared" si="976"/>
        <v>-1.152125775</v>
      </c>
      <c r="DI123" s="320"/>
      <c r="DJ123" s="321">
        <f>+DJ51/DH51-1</f>
        <v>-7.483260553</v>
      </c>
      <c r="DK123" s="321">
        <f t="shared" ref="DK123:DM123" si="977">DK51/DJ51-1</f>
        <v>0.1239335429</v>
      </c>
      <c r="DL123" s="321">
        <f t="shared" si="977"/>
        <v>0.2780663204</v>
      </c>
      <c r="DM123" s="321">
        <f t="shared" si="977"/>
        <v>-0.1880275086</v>
      </c>
      <c r="DN123" s="320"/>
      <c r="DO123" s="321">
        <f>+DO51/DM51-1</f>
        <v>-0.2350336862</v>
      </c>
      <c r="DP123" s="321">
        <f t="shared" ref="DP123:DR123" si="978">DP51/DO51-1</f>
        <v>0.05158530448</v>
      </c>
      <c r="DQ123" s="321">
        <f t="shared" si="978"/>
        <v>0.4333572625</v>
      </c>
      <c r="DR123" s="321">
        <f t="shared" si="978"/>
        <v>0.152754591</v>
      </c>
      <c r="DS123" s="320"/>
      <c r="DT123" s="321">
        <f>+DT51/DR51-1</f>
        <v>-0.1801593049</v>
      </c>
      <c r="DU123" s="321">
        <f t="shared" ref="DU123:DW123" si="979">DU51/DT51-1</f>
        <v>-0.09821586292</v>
      </c>
      <c r="DV123" s="321">
        <f t="shared" si="979"/>
        <v>-0.1623898139</v>
      </c>
      <c r="DW123" s="321">
        <f t="shared" si="979"/>
        <v>0.369738073</v>
      </c>
      <c r="DX123" s="320"/>
      <c r="DY123" s="321">
        <f>+DY51/DW51-1</f>
        <v>-0.4261567355</v>
      </c>
      <c r="DZ123" s="321">
        <f t="shared" ref="DZ123:EB123" si="980">DZ51/DY51-1</f>
        <v>0.5058018447</v>
      </c>
      <c r="EA123" s="321">
        <f t="shared" si="980"/>
        <v>0.348152539</v>
      </c>
      <c r="EB123" s="321">
        <f t="shared" si="980"/>
        <v>-0.3224388099</v>
      </c>
      <c r="EC123" s="320"/>
      <c r="ED123" s="321">
        <f>+ED51/EB51-1</f>
        <v>0.7549210469</v>
      </c>
      <c r="EE123" s="321">
        <f t="shared" ref="EE123:EG123" si="981">EE51/ED51-1</f>
        <v>-1.055959571</v>
      </c>
      <c r="EF123" s="321">
        <f t="shared" si="981"/>
        <v>-3.244493392</v>
      </c>
      <c r="EG123" s="321">
        <f t="shared" si="981"/>
        <v>-1.648675172</v>
      </c>
      <c r="EH123" s="320"/>
      <c r="EI123" s="322" t="str">
        <f>+EI51/EG51-1</f>
        <v>#ERROR!</v>
      </c>
      <c r="EJ123" s="319" t="str">
        <f t="shared" ref="EJ123:EL123" si="982">EJ51/EI51-1</f>
        <v>#ERROR!</v>
      </c>
      <c r="EK123" s="319" t="str">
        <f t="shared" si="982"/>
        <v>#ERROR!</v>
      </c>
      <c r="EL123" s="319" t="str">
        <f t="shared" si="982"/>
        <v>#ERROR!</v>
      </c>
      <c r="EM123" s="320"/>
      <c r="EN123" s="319" t="str">
        <f>+EN51/EL51-1</f>
        <v>#ERROR!</v>
      </c>
      <c r="EO123" s="319" t="str">
        <f t="shared" ref="EO123:EQ123" si="983">EO51/EN51-1</f>
        <v>#ERROR!</v>
      </c>
      <c r="EP123" s="319" t="str">
        <f t="shared" si="983"/>
        <v>#ERROR!</v>
      </c>
      <c r="EQ123" s="319" t="str">
        <f t="shared" si="983"/>
        <v>#ERROR!</v>
      </c>
      <c r="ER123" s="320"/>
      <c r="ES123" s="319" t="str">
        <f>+ES51/EQ51-1</f>
        <v>#ERROR!</v>
      </c>
      <c r="ET123" s="319" t="str">
        <f t="shared" ref="ET123:EV123" si="984">ET51/ES51-1</f>
        <v>#ERROR!</v>
      </c>
      <c r="EU123" s="319" t="str">
        <f t="shared" si="984"/>
        <v>#ERROR!</v>
      </c>
      <c r="EV123" s="319" t="str">
        <f t="shared" si="984"/>
        <v>#ERROR!</v>
      </c>
      <c r="EW123" s="320"/>
      <c r="EX123" s="319" t="str">
        <f>+EX51/EV51-1</f>
        <v>#ERROR!</v>
      </c>
      <c r="EY123" s="319" t="str">
        <f t="shared" ref="EY123:FA123" si="985">EY51/EX51-1</f>
        <v>#ERROR!</v>
      </c>
      <c r="EZ123" s="319" t="str">
        <f t="shared" si="985"/>
        <v>#ERROR!</v>
      </c>
      <c r="FA123" s="319" t="str">
        <f t="shared" si="985"/>
        <v>#ERROR!</v>
      </c>
      <c r="FB123" s="320"/>
      <c r="FC123" s="319" t="str">
        <f>+FC51/FA51-1</f>
        <v>#ERROR!</v>
      </c>
      <c r="FD123" s="319" t="str">
        <f t="shared" ref="FD123:FF123" si="986">FD51/FC51-1</f>
        <v>#ERROR!</v>
      </c>
      <c r="FE123" s="319" t="str">
        <f t="shared" si="986"/>
        <v>#ERROR!</v>
      </c>
      <c r="FF123" s="319" t="str">
        <f t="shared" si="986"/>
        <v>#ERROR!</v>
      </c>
      <c r="FG123" s="320"/>
      <c r="FH123" s="321"/>
      <c r="FI123" s="319"/>
      <c r="FJ123" s="319"/>
      <c r="FK123" s="319"/>
      <c r="FL123" s="335"/>
    </row>
    <row r="124" ht="12.75" customHeight="1">
      <c r="A124" s="318"/>
      <c r="B124" s="319" t="str">
        <f>B71</f>
        <v>UBS adjusted diluted EPS</v>
      </c>
      <c r="C124" s="319"/>
      <c r="D124" s="319"/>
      <c r="E124" s="319"/>
      <c r="F124" s="319"/>
      <c r="G124" s="319"/>
      <c r="H124" s="319" t="s">
        <v>135</v>
      </c>
      <c r="I124" s="319"/>
      <c r="J124" s="319"/>
      <c r="K124" s="319"/>
      <c r="L124" s="319"/>
      <c r="M124" s="319" t="s">
        <v>135</v>
      </c>
      <c r="N124" s="319"/>
      <c r="O124" s="319">
        <f t="shared" ref="O124:Q124" si="987">+O71/N71-1</f>
        <v>-0.1822140118</v>
      </c>
      <c r="P124" s="319">
        <f t="shared" si="987"/>
        <v>0.3561258173</v>
      </c>
      <c r="Q124" s="319">
        <f t="shared" si="987"/>
        <v>0.3493472394</v>
      </c>
      <c r="R124" s="319" t="s">
        <v>135</v>
      </c>
      <c r="S124" s="319">
        <f>+S71/Q71-1</f>
        <v>-0.0435548707</v>
      </c>
      <c r="T124" s="319">
        <f t="shared" ref="T124:V124" si="988">+T71/S71-1</f>
        <v>-0.1093062423</v>
      </c>
      <c r="U124" s="319">
        <f t="shared" si="988"/>
        <v>0.06180568255</v>
      </c>
      <c r="V124" s="319">
        <f t="shared" si="988"/>
        <v>0.2599875077</v>
      </c>
      <c r="W124" s="319" t="s">
        <v>135</v>
      </c>
      <c r="X124" s="319">
        <f>+X71/V71-1</f>
        <v>0.2569385109</v>
      </c>
      <c r="Y124" s="319">
        <f t="shared" ref="Y124:AA124" si="989">+Y71/X71-1</f>
        <v>0.1563455803</v>
      </c>
      <c r="Z124" s="319">
        <f t="shared" si="989"/>
        <v>-0.1761874526</v>
      </c>
      <c r="AA124" s="319">
        <f t="shared" si="989"/>
        <v>-0.06983312801</v>
      </c>
      <c r="AB124" s="319" t="s">
        <v>135</v>
      </c>
      <c r="AC124" s="319">
        <f>+AC71/AA71-1</f>
        <v>-0.5860626818</v>
      </c>
      <c r="AD124" s="319">
        <f t="shared" ref="AD124:AF124" si="990">+AD71/AC71-1</f>
        <v>-0.2218019496</v>
      </c>
      <c r="AE124" s="319">
        <f t="shared" si="990"/>
        <v>-0.2315710008</v>
      </c>
      <c r="AF124" s="319">
        <f t="shared" si="990"/>
        <v>0.5292241284</v>
      </c>
      <c r="AG124" s="319"/>
      <c r="AH124" s="319">
        <f>+AH71/AF71-1</f>
        <v>0.02255553229</v>
      </c>
      <c r="AI124" s="319">
        <f t="shared" ref="AI124:AK124" si="991">+AI71/AH71-1</f>
        <v>-0.3881742629</v>
      </c>
      <c r="AJ124" s="319">
        <f t="shared" si="991"/>
        <v>0.255503864</v>
      </c>
      <c r="AK124" s="319">
        <f t="shared" si="991"/>
        <v>0.3831112362</v>
      </c>
      <c r="AL124" s="319"/>
      <c r="AM124" s="319">
        <f>+AM71/AK71-1</f>
        <v>-0.1253118299</v>
      </c>
      <c r="AN124" s="319">
        <f t="shared" ref="AN124:AP124" si="992">+AN71/AM71-1</f>
        <v>-0.01630043018</v>
      </c>
      <c r="AO124" s="319">
        <f t="shared" si="992"/>
        <v>0.8367688679</v>
      </c>
      <c r="AP124" s="319">
        <f t="shared" si="992"/>
        <v>0.3005653145</v>
      </c>
      <c r="AQ124" s="319"/>
      <c r="AR124" s="319">
        <f>+AR71/AP71-1</f>
        <v>-0.1971082671</v>
      </c>
      <c r="AS124" s="319">
        <f t="shared" ref="AS124:AU124" si="993">+AS71/AR71-1</f>
        <v>0.02582804923</v>
      </c>
      <c r="AT124" s="319">
        <f t="shared" si="993"/>
        <v>0.1043375175</v>
      </c>
      <c r="AU124" s="319">
        <f t="shared" si="993"/>
        <v>0.1296328907</v>
      </c>
      <c r="AV124" s="319"/>
      <c r="AW124" s="319">
        <f>+AW71/AU71-1</f>
        <v>0.0388266516</v>
      </c>
      <c r="AX124" s="319">
        <f t="shared" ref="AX124:AZ124" si="994">+AX71/AW71-1</f>
        <v>-0.05554676436</v>
      </c>
      <c r="AY124" s="319">
        <f t="shared" si="994"/>
        <v>0.1619671186</v>
      </c>
      <c r="AZ124" s="319">
        <f t="shared" si="994"/>
        <v>0.05868231793</v>
      </c>
      <c r="BA124" s="319"/>
      <c r="BB124" s="319">
        <f>+BB71/AZ72-1</f>
        <v>-0.3425307975</v>
      </c>
      <c r="BC124" s="319">
        <f t="shared" ref="BC124:BE124" si="995">+BC71/BB71-1</f>
        <v>-0.3382679826</v>
      </c>
      <c r="BD124" s="319">
        <f t="shared" si="995"/>
        <v>0.47913092</v>
      </c>
      <c r="BE124" s="319">
        <f t="shared" si="995"/>
        <v>0.1468452569</v>
      </c>
      <c r="BF124" s="319"/>
      <c r="BG124" s="319">
        <f>+BG71/BE71-1</f>
        <v>-0.1282885522</v>
      </c>
      <c r="BH124" s="319">
        <f t="shared" ref="BH124:BJ124" si="996">+BH71/BG71-1</f>
        <v>-0.1686810032</v>
      </c>
      <c r="BI124" s="319">
        <f t="shared" si="996"/>
        <v>0.6931275085</v>
      </c>
      <c r="BJ124" s="319">
        <f t="shared" si="996"/>
        <v>0.2082049715</v>
      </c>
      <c r="BK124" s="319"/>
      <c r="BL124" s="319">
        <f>+BL71/BJ71-1</f>
        <v>-0.3528163629</v>
      </c>
      <c r="BM124" s="319">
        <f t="shared" ref="BM124:BO124" si="997">+BM71/BL71-1</f>
        <v>0.1246061844</v>
      </c>
      <c r="BN124" s="319">
        <f t="shared" si="997"/>
        <v>0.2818323755</v>
      </c>
      <c r="BO124" s="319">
        <f t="shared" si="997"/>
        <v>-0.5329294014</v>
      </c>
      <c r="BP124" s="319"/>
      <c r="BQ124" s="319">
        <f>+BQ71/BO71-1</f>
        <v>-0.3244512449</v>
      </c>
      <c r="BR124" s="319">
        <f t="shared" ref="BR124:BT124" si="998">+BR71/BQ71-1</f>
        <v>0.654802991</v>
      </c>
      <c r="BS124" s="319">
        <f t="shared" si="998"/>
        <v>0.7888370148</v>
      </c>
      <c r="BT124" s="319">
        <f t="shared" si="998"/>
        <v>0.656994202</v>
      </c>
      <c r="BU124" s="319"/>
      <c r="BV124" s="319">
        <f>+BV71/BT71-1</f>
        <v>-0.2150373209</v>
      </c>
      <c r="BW124" s="319">
        <f t="shared" ref="BW124:BY124" si="999">+BW71/BV71-1</f>
        <v>0.176017416</v>
      </c>
      <c r="BX124" s="319">
        <f t="shared" si="999"/>
        <v>0.0266097834</v>
      </c>
      <c r="BY124" s="319">
        <f t="shared" si="999"/>
        <v>0.07538667945</v>
      </c>
      <c r="BZ124" s="320"/>
      <c r="CA124" s="319">
        <f>+CA71/BY71-1</f>
        <v>0.01001846629</v>
      </c>
      <c r="CB124" s="319">
        <f t="shared" ref="CB124:CD124" si="1000">+CB71/CA71-1</f>
        <v>-0.03684146855</v>
      </c>
      <c r="CC124" s="319">
        <f t="shared" si="1000"/>
        <v>0.1962062486</v>
      </c>
      <c r="CD124" s="319">
        <f t="shared" si="1000"/>
        <v>-0.01302891603</v>
      </c>
      <c r="CE124" s="320"/>
      <c r="CF124" s="319">
        <f>+CF71/CD71-1</f>
        <v>-0.1772715808</v>
      </c>
      <c r="CG124" s="319">
        <f t="shared" ref="CG124:CI124" si="1001">+CG71/CF71-1</f>
        <v>0.03111529989</v>
      </c>
      <c r="CH124" s="319">
        <f t="shared" si="1001"/>
        <v>0.06067582763</v>
      </c>
      <c r="CI124" s="319">
        <f t="shared" si="1001"/>
        <v>-0.160129544</v>
      </c>
      <c r="CJ124" s="320"/>
      <c r="CK124" s="319">
        <f>+CK71/CI71-1</f>
        <v>-0.1689471694</v>
      </c>
      <c r="CL124" s="319">
        <f t="shared" ref="CL124:CN124" si="1002">+CL71/CK71-1</f>
        <v>-0.02698488858</v>
      </c>
      <c r="CM124" s="319">
        <f t="shared" si="1002"/>
        <v>0.4767352941</v>
      </c>
      <c r="CN124" s="321">
        <f t="shared" si="1002"/>
        <v>-0.1106926135</v>
      </c>
      <c r="CO124" s="320"/>
      <c r="CP124" s="321">
        <f>+CP71/CN71-1</f>
        <v>-0.2580355677</v>
      </c>
      <c r="CQ124" s="319">
        <f t="shared" ref="CQ124:CS124" si="1003">+CQ71/CP71-1</f>
        <v>0.4299669003</v>
      </c>
      <c r="CR124" s="319">
        <f t="shared" si="1003"/>
        <v>0.204679416</v>
      </c>
      <c r="CS124" s="319">
        <f t="shared" si="1003"/>
        <v>0.1271675542</v>
      </c>
      <c r="CT124" s="320"/>
      <c r="CU124" s="319">
        <f>+CU71/CS71-1</f>
        <v>-0.4530074617</v>
      </c>
      <c r="CV124" s="319">
        <f t="shared" ref="CV124:CX124" si="1004">+CV71/CU71-1</f>
        <v>0.3598173505</v>
      </c>
      <c r="CW124" s="319">
        <f t="shared" si="1004"/>
        <v>0.1567040733</v>
      </c>
      <c r="CX124" s="319">
        <f t="shared" si="1004"/>
        <v>0.1621100032</v>
      </c>
      <c r="CY124" s="320"/>
      <c r="CZ124" s="319">
        <f>+CZ71/CX71-1</f>
        <v>-0.4335954353</v>
      </c>
      <c r="DA124" s="319">
        <f t="shared" ref="DA124:DC124" si="1005">+DA71/CZ71-1</f>
        <v>-0.3487488143</v>
      </c>
      <c r="DB124" s="319">
        <f t="shared" si="1005"/>
        <v>1.534121032</v>
      </c>
      <c r="DC124" s="319">
        <f t="shared" si="1005"/>
        <v>0.05360595798</v>
      </c>
      <c r="DD124" s="320"/>
      <c r="DE124" s="319">
        <f>+DE71/DC71-1</f>
        <v>-0.1678832117</v>
      </c>
      <c r="DF124" s="319">
        <f t="shared" ref="DF124:DH124" si="1006">+DF71/DE71-1</f>
        <v>-0.04559230895</v>
      </c>
      <c r="DG124" s="319">
        <f t="shared" si="1006"/>
        <v>0.6162683913</v>
      </c>
      <c r="DH124" s="319">
        <f t="shared" si="1006"/>
        <v>-1.153110305</v>
      </c>
      <c r="DI124" s="320"/>
      <c r="DJ124" s="321">
        <f>+DJ71/DH71-1</f>
        <v>-7.483260553</v>
      </c>
      <c r="DK124" s="321">
        <f t="shared" ref="DK124:DM124" si="1007">+DK71/DJ71-1</f>
        <v>0.1341145293</v>
      </c>
      <c r="DL124" s="321">
        <f t="shared" si="1007"/>
        <v>0.3052884731</v>
      </c>
      <c r="DM124" s="321">
        <f t="shared" si="1007"/>
        <v>-0.1829296081</v>
      </c>
      <c r="DN124" s="320"/>
      <c r="DO124" s="321">
        <f>+DO71/DM71-1</f>
        <v>-0.2258152052</v>
      </c>
      <c r="DP124" s="321">
        <f t="shared" ref="DP124:DR124" si="1008">+DP71/DO71-1</f>
        <v>0.06111769393</v>
      </c>
      <c r="DQ124" s="321">
        <f t="shared" si="1008"/>
        <v>0.4624576806</v>
      </c>
      <c r="DR124" s="321">
        <f t="shared" si="1008"/>
        <v>0.1685710272</v>
      </c>
      <c r="DS124" s="320"/>
      <c r="DT124" s="321">
        <f>+DT71/DR71-1</f>
        <v>-0.1685613729</v>
      </c>
      <c r="DU124" s="321">
        <f t="shared" ref="DU124:DW124" si="1009">+DU71/DT71-1</f>
        <v>-0.09232184895</v>
      </c>
      <c r="DV124" s="321">
        <f t="shared" si="1009"/>
        <v>-0.1478693809</v>
      </c>
      <c r="DW124" s="321">
        <f t="shared" si="1009"/>
        <v>0.4003318828</v>
      </c>
      <c r="DX124" s="320"/>
      <c r="DY124" s="321">
        <f>+DY71/DW71-1</f>
        <v>-0.4229344711</v>
      </c>
      <c r="DZ124" s="321">
        <f t="shared" ref="DZ124:EB124" si="1010">+DZ71/DY71-1</f>
        <v>0.5102263359</v>
      </c>
      <c r="EA124" s="321">
        <f t="shared" si="1010"/>
        <v>0.3474926504</v>
      </c>
      <c r="EB124" s="321">
        <f t="shared" si="1010"/>
        <v>-0.3239279554</v>
      </c>
      <c r="EC124" s="320"/>
      <c r="ED124" s="321">
        <f>+ED71/EB71-1</f>
        <v>0.7497934471</v>
      </c>
      <c r="EE124" s="321">
        <f t="shared" ref="EE124:EG124" si="1011">+EE71/ED71-1</f>
        <v>-1.056055112</v>
      </c>
      <c r="EF124" s="321">
        <f t="shared" si="1011"/>
        <v>-3.230890402</v>
      </c>
      <c r="EG124" s="321">
        <f t="shared" si="1011"/>
        <v>-1.64741957</v>
      </c>
      <c r="EH124" s="320"/>
      <c r="EI124" s="322" t="str">
        <f>+EI71/EG71-1</f>
        <v>#ERROR!</v>
      </c>
      <c r="EJ124" s="319" t="str">
        <f t="shared" ref="EJ124:EL124" si="1012">+EJ71/EI71-1</f>
        <v>#ERROR!</v>
      </c>
      <c r="EK124" s="319" t="str">
        <f t="shared" si="1012"/>
        <v>#ERROR!</v>
      </c>
      <c r="EL124" s="319" t="str">
        <f t="shared" si="1012"/>
        <v>#ERROR!</v>
      </c>
      <c r="EM124" s="320"/>
      <c r="EN124" s="319" t="str">
        <f>+EN71/EL71-1</f>
        <v>#ERROR!</v>
      </c>
      <c r="EO124" s="319" t="str">
        <f t="shared" ref="EO124:EQ124" si="1013">+EO71/EN71-1</f>
        <v>#ERROR!</v>
      </c>
      <c r="EP124" s="319" t="str">
        <f t="shared" si="1013"/>
        <v>#ERROR!</v>
      </c>
      <c r="EQ124" s="319" t="str">
        <f t="shared" si="1013"/>
        <v>#ERROR!</v>
      </c>
      <c r="ER124" s="320"/>
      <c r="ES124" s="319" t="str">
        <f>+ES71/EQ71-1</f>
        <v>#ERROR!</v>
      </c>
      <c r="ET124" s="319" t="str">
        <f t="shared" ref="ET124:EV124" si="1014">+ET71/ES71-1</f>
        <v>#ERROR!</v>
      </c>
      <c r="EU124" s="319" t="str">
        <f t="shared" si="1014"/>
        <v>#ERROR!</v>
      </c>
      <c r="EV124" s="319" t="str">
        <f t="shared" si="1014"/>
        <v>#ERROR!</v>
      </c>
      <c r="EW124" s="320"/>
      <c r="EX124" s="319" t="str">
        <f>+EX71/EV71-1</f>
        <v>#ERROR!</v>
      </c>
      <c r="EY124" s="319" t="str">
        <f t="shared" ref="EY124:FA124" si="1015">+EY71/EX71-1</f>
        <v>#ERROR!</v>
      </c>
      <c r="EZ124" s="319" t="str">
        <f t="shared" si="1015"/>
        <v>#ERROR!</v>
      </c>
      <c r="FA124" s="319" t="str">
        <f t="shared" si="1015"/>
        <v>#ERROR!</v>
      </c>
      <c r="FB124" s="320"/>
      <c r="FC124" s="319" t="str">
        <f>+FC71/FA71-1</f>
        <v>#ERROR!</v>
      </c>
      <c r="FD124" s="319" t="str">
        <f t="shared" ref="FD124:FF124" si="1016">+FD71/FC71-1</f>
        <v>#ERROR!</v>
      </c>
      <c r="FE124" s="319" t="str">
        <f t="shared" si="1016"/>
        <v>#ERROR!</v>
      </c>
      <c r="FF124" s="319" t="str">
        <f t="shared" si="1016"/>
        <v>#ERROR!</v>
      </c>
      <c r="FG124" s="320"/>
      <c r="FH124" s="321"/>
      <c r="FI124" s="319"/>
      <c r="FJ124" s="319"/>
      <c r="FK124" s="319"/>
      <c r="FL124" s="335"/>
    </row>
    <row r="125" ht="12.75" customHeight="1">
      <c r="A125" s="227"/>
      <c r="B125" s="336"/>
      <c r="C125" s="336"/>
      <c r="D125" s="336"/>
      <c r="E125" s="336"/>
      <c r="F125" s="336"/>
      <c r="G125" s="336"/>
      <c r="H125" s="337"/>
      <c r="I125" s="336"/>
      <c r="J125" s="336"/>
      <c r="K125" s="336"/>
      <c r="L125" s="336"/>
      <c r="M125" s="337"/>
      <c r="N125" s="336"/>
      <c r="O125" s="336"/>
      <c r="P125" s="336"/>
      <c r="Q125" s="336"/>
      <c r="R125" s="337"/>
      <c r="S125" s="336"/>
      <c r="T125" s="336"/>
      <c r="U125" s="336"/>
      <c r="V125" s="336"/>
      <c r="W125" s="337"/>
      <c r="X125" s="336"/>
      <c r="Y125" s="336"/>
      <c r="Z125" s="336"/>
      <c r="AA125" s="336"/>
      <c r="AB125" s="337"/>
      <c r="AC125" s="336"/>
      <c r="AD125" s="336"/>
      <c r="AE125" s="336"/>
      <c r="AF125" s="336"/>
      <c r="AG125" s="337"/>
      <c r="AH125" s="336"/>
      <c r="AI125" s="336"/>
      <c r="AJ125" s="336"/>
      <c r="AK125" s="336"/>
      <c r="AL125" s="337"/>
      <c r="AM125" s="336"/>
      <c r="AN125" s="336"/>
      <c r="AO125" s="336"/>
      <c r="AP125" s="336"/>
      <c r="AQ125" s="337"/>
      <c r="AR125" s="336"/>
      <c r="AS125" s="336"/>
      <c r="AT125" s="336"/>
      <c r="AU125" s="336"/>
      <c r="AV125" s="337"/>
      <c r="AW125" s="336"/>
      <c r="AX125" s="336"/>
      <c r="AY125" s="336"/>
      <c r="AZ125" s="336"/>
      <c r="BA125" s="337"/>
      <c r="BB125" s="336"/>
      <c r="BC125" s="336"/>
      <c r="BD125" s="336"/>
      <c r="BE125" s="336"/>
      <c r="BF125" s="337"/>
      <c r="BG125" s="336"/>
      <c r="BH125" s="336"/>
      <c r="BI125" s="336"/>
      <c r="BJ125" s="336"/>
      <c r="BK125" s="337"/>
      <c r="BL125" s="336"/>
      <c r="BM125" s="336"/>
      <c r="BN125" s="336"/>
      <c r="BO125" s="336"/>
      <c r="BP125" s="337"/>
      <c r="BQ125" s="336"/>
      <c r="BR125" s="336"/>
      <c r="BS125" s="336"/>
      <c r="BT125" s="336"/>
      <c r="BU125" s="337"/>
      <c r="BV125" s="336"/>
      <c r="BW125" s="336"/>
      <c r="BX125" s="336"/>
      <c r="BY125" s="336"/>
      <c r="BZ125" s="338"/>
      <c r="CA125" s="336"/>
      <c r="CB125" s="336"/>
      <c r="CC125" s="336"/>
      <c r="CD125" s="336"/>
      <c r="CE125" s="338"/>
      <c r="CF125" s="336"/>
      <c r="CG125" s="336"/>
      <c r="CH125" s="336"/>
      <c r="CI125" s="336"/>
      <c r="CJ125" s="338"/>
      <c r="CK125" s="336"/>
      <c r="CL125" s="336"/>
      <c r="CM125" s="336"/>
      <c r="CN125" s="339"/>
      <c r="CO125" s="338"/>
      <c r="CP125" s="339"/>
      <c r="CQ125" s="336"/>
      <c r="CR125" s="336"/>
      <c r="CS125" s="336"/>
      <c r="CT125" s="338"/>
      <c r="CU125" s="336"/>
      <c r="CV125" s="336"/>
      <c r="CW125" s="336"/>
      <c r="CX125" s="336"/>
      <c r="CY125" s="338"/>
      <c r="CZ125" s="336"/>
      <c r="DA125" s="336"/>
      <c r="DB125" s="336"/>
      <c r="DC125" s="336"/>
      <c r="DD125" s="338"/>
      <c r="DE125" s="336"/>
      <c r="DF125" s="336"/>
      <c r="DG125" s="336"/>
      <c r="DH125" s="336"/>
      <c r="DI125" s="338"/>
      <c r="DJ125" s="339"/>
      <c r="DK125" s="339"/>
      <c r="DL125" s="339"/>
      <c r="DM125" s="339"/>
      <c r="DN125" s="338"/>
      <c r="DO125" s="339" t="str">
        <f>a</f>
        <v>#NAME?</v>
      </c>
      <c r="DP125" s="339"/>
      <c r="DQ125" s="339"/>
      <c r="DR125" s="339"/>
      <c r="DS125" s="338"/>
      <c r="DT125" s="339"/>
      <c r="DU125" s="339"/>
      <c r="DV125" s="339"/>
      <c r="DW125" s="339"/>
      <c r="DX125" s="338"/>
      <c r="DY125" s="339"/>
      <c r="DZ125" s="339"/>
      <c r="EA125" s="339"/>
      <c r="EB125" s="339"/>
      <c r="EC125" s="338"/>
      <c r="ED125" s="339"/>
      <c r="EE125" s="339"/>
      <c r="EF125" s="339"/>
      <c r="EG125" s="339"/>
      <c r="EH125" s="338"/>
      <c r="EI125" s="340"/>
      <c r="EJ125" s="336"/>
      <c r="EK125" s="336"/>
      <c r="EL125" s="336"/>
      <c r="EM125" s="338"/>
      <c r="EN125" s="336"/>
      <c r="EO125" s="336"/>
      <c r="EP125" s="336"/>
      <c r="EQ125" s="336"/>
      <c r="ER125" s="338"/>
      <c r="ES125" s="336"/>
      <c r="ET125" s="336"/>
      <c r="EU125" s="336"/>
      <c r="EV125" s="336"/>
      <c r="EW125" s="338"/>
      <c r="EX125" s="336"/>
      <c r="EY125" s="336"/>
      <c r="EZ125" s="336"/>
      <c r="FA125" s="336"/>
      <c r="FB125" s="338"/>
      <c r="FC125" s="336"/>
      <c r="FD125" s="336"/>
      <c r="FE125" s="336"/>
      <c r="FF125" s="336"/>
      <c r="FG125" s="338"/>
      <c r="FH125" s="341"/>
      <c r="FI125" s="336"/>
      <c r="FJ125" s="336"/>
      <c r="FK125" s="337"/>
      <c r="FL125" s="337"/>
    </row>
    <row r="126" ht="12.75" customHeight="1">
      <c r="A126" s="227"/>
      <c r="B126" s="328" t="s">
        <v>140</v>
      </c>
      <c r="C126" s="328"/>
      <c r="D126" s="329"/>
      <c r="E126" s="329"/>
      <c r="F126" s="329"/>
      <c r="G126" s="329"/>
      <c r="H126" s="328"/>
      <c r="I126" s="329"/>
      <c r="J126" s="329"/>
      <c r="K126" s="329"/>
      <c r="L126" s="329"/>
      <c r="M126" s="328"/>
      <c r="N126" s="329"/>
      <c r="O126" s="329"/>
      <c r="P126" s="329"/>
      <c r="Q126" s="329"/>
      <c r="R126" s="328"/>
      <c r="S126" s="329"/>
      <c r="T126" s="329"/>
      <c r="U126" s="329"/>
      <c r="V126" s="329"/>
      <c r="W126" s="328"/>
      <c r="X126" s="329"/>
      <c r="Y126" s="329"/>
      <c r="Z126" s="329"/>
      <c r="AA126" s="329"/>
      <c r="AB126" s="328"/>
      <c r="AC126" s="329"/>
      <c r="AD126" s="329"/>
      <c r="AE126" s="329"/>
      <c r="AF126" s="329"/>
      <c r="AG126" s="328"/>
      <c r="AH126" s="329"/>
      <c r="AI126" s="329"/>
      <c r="AJ126" s="329"/>
      <c r="AK126" s="329"/>
      <c r="AL126" s="328"/>
      <c r="AM126" s="329"/>
      <c r="AN126" s="329"/>
      <c r="AO126" s="329"/>
      <c r="AP126" s="329"/>
      <c r="AQ126" s="328"/>
      <c r="AR126" s="329"/>
      <c r="AS126" s="329"/>
      <c r="AT126" s="329"/>
      <c r="AU126" s="329"/>
      <c r="AV126" s="328"/>
      <c r="AW126" s="329"/>
      <c r="AX126" s="329"/>
      <c r="AY126" s="329"/>
      <c r="AZ126" s="329"/>
      <c r="BA126" s="328"/>
      <c r="BB126" s="329"/>
      <c r="BC126" s="329"/>
      <c r="BD126" s="329"/>
      <c r="BE126" s="329"/>
      <c r="BF126" s="328"/>
      <c r="BG126" s="329"/>
      <c r="BH126" s="329"/>
      <c r="BI126" s="329"/>
      <c r="BJ126" s="329"/>
      <c r="BK126" s="328"/>
      <c r="BL126" s="329"/>
      <c r="BM126" s="329"/>
      <c r="BN126" s="329"/>
      <c r="BO126" s="329"/>
      <c r="BP126" s="328"/>
      <c r="BQ126" s="329"/>
      <c r="BR126" s="329"/>
      <c r="BS126" s="329"/>
      <c r="BT126" s="329"/>
      <c r="BU126" s="328"/>
      <c r="BV126" s="329"/>
      <c r="BW126" s="329"/>
      <c r="BX126" s="329"/>
      <c r="BY126" s="329"/>
      <c r="BZ126" s="330"/>
      <c r="CA126" s="329"/>
      <c r="CB126" s="329"/>
      <c r="CC126" s="329"/>
      <c r="CD126" s="329"/>
      <c r="CE126" s="330"/>
      <c r="CF126" s="329"/>
      <c r="CG126" s="329"/>
      <c r="CH126" s="329"/>
      <c r="CI126" s="329"/>
      <c r="CJ126" s="330"/>
      <c r="CK126" s="329"/>
      <c r="CL126" s="329"/>
      <c r="CM126" s="329"/>
      <c r="CN126" s="331"/>
      <c r="CO126" s="330"/>
      <c r="CP126" s="331"/>
      <c r="CQ126" s="329"/>
      <c r="CR126" s="329"/>
      <c r="CS126" s="329"/>
      <c r="CT126" s="330"/>
      <c r="CU126" s="329"/>
      <c r="CV126" s="329"/>
      <c r="CW126" s="329"/>
      <c r="CX126" s="329"/>
      <c r="CY126" s="330"/>
      <c r="CZ126" s="329"/>
      <c r="DA126" s="329"/>
      <c r="DB126" s="329"/>
      <c r="DC126" s="329"/>
      <c r="DD126" s="330"/>
      <c r="DE126" s="329"/>
      <c r="DF126" s="329"/>
      <c r="DG126" s="329"/>
      <c r="DH126" s="329"/>
      <c r="DI126" s="330"/>
      <c r="DJ126" s="331"/>
      <c r="DK126" s="331"/>
      <c r="DL126" s="331"/>
      <c r="DM126" s="331"/>
      <c r="DN126" s="330"/>
      <c r="DO126" s="331"/>
      <c r="DP126" s="331"/>
      <c r="DQ126" s="331"/>
      <c r="DR126" s="331"/>
      <c r="DS126" s="330"/>
      <c r="DT126" s="331"/>
      <c r="DU126" s="331"/>
      <c r="DV126" s="331"/>
      <c r="DW126" s="331"/>
      <c r="DX126" s="330"/>
      <c r="DY126" s="331"/>
      <c r="DZ126" s="331"/>
      <c r="EA126" s="331"/>
      <c r="EB126" s="331"/>
      <c r="EC126" s="330"/>
      <c r="ED126" s="331"/>
      <c r="EE126" s="331"/>
      <c r="EF126" s="331"/>
      <c r="EG126" s="331"/>
      <c r="EH126" s="330"/>
      <c r="EI126" s="332"/>
      <c r="EJ126" s="329"/>
      <c r="EK126" s="329"/>
      <c r="EL126" s="329"/>
      <c r="EM126" s="330"/>
      <c r="EN126" s="329"/>
      <c r="EO126" s="329"/>
      <c r="EP126" s="329"/>
      <c r="EQ126" s="329"/>
      <c r="ER126" s="330"/>
      <c r="ES126" s="329"/>
      <c r="ET126" s="329"/>
      <c r="EU126" s="329"/>
      <c r="EV126" s="329"/>
      <c r="EW126" s="330"/>
      <c r="EX126" s="329"/>
      <c r="EY126" s="329"/>
      <c r="EZ126" s="329"/>
      <c r="FA126" s="329"/>
      <c r="FB126" s="330"/>
      <c r="FC126" s="329"/>
      <c r="FD126" s="329"/>
      <c r="FE126" s="329"/>
      <c r="FF126" s="329"/>
      <c r="FG126" s="330"/>
      <c r="FH126" s="333" t="s">
        <v>130</v>
      </c>
      <c r="FI126" s="333" t="s">
        <v>131</v>
      </c>
      <c r="FJ126" s="333" t="s">
        <v>132</v>
      </c>
      <c r="FK126" s="333" t="s">
        <v>133</v>
      </c>
      <c r="FL126" s="334" t="s">
        <v>134</v>
      </c>
    </row>
    <row r="127" ht="12.75" customHeight="1">
      <c r="A127" s="318"/>
      <c r="B127" s="319" t="str">
        <f>B118</f>
        <v>Total Revenues</v>
      </c>
      <c r="C127" s="319"/>
      <c r="D127" s="319"/>
      <c r="E127" s="319"/>
      <c r="F127" s="319"/>
      <c r="G127" s="319"/>
      <c r="H127" s="335"/>
      <c r="I127" s="319"/>
      <c r="J127" s="319"/>
      <c r="K127" s="319"/>
      <c r="L127" s="319"/>
      <c r="M127" s="335">
        <f>+M12/H12-1</f>
        <v>0.2026190819</v>
      </c>
      <c r="N127" s="319"/>
      <c r="O127" s="319"/>
      <c r="P127" s="319"/>
      <c r="Q127" s="319"/>
      <c r="R127" s="335">
        <f t="shared" ref="R127:FG127" si="1017">+R12/M12-1</f>
        <v>0.0479438395</v>
      </c>
      <c r="S127" s="319">
        <f t="shared" si="1017"/>
        <v>0.1836360607</v>
      </c>
      <c r="T127" s="319">
        <f t="shared" si="1017"/>
        <v>0.1381812047</v>
      </c>
      <c r="U127" s="319">
        <f t="shared" si="1017"/>
        <v>0.08869410192</v>
      </c>
      <c r="V127" s="319">
        <f t="shared" si="1017"/>
        <v>0.07853953244</v>
      </c>
      <c r="W127" s="335">
        <f t="shared" si="1017"/>
        <v>0.118600845</v>
      </c>
      <c r="X127" s="319">
        <f t="shared" si="1017"/>
        <v>0.1252991694</v>
      </c>
      <c r="Y127" s="319">
        <f t="shared" si="1017"/>
        <v>0.2303587311</v>
      </c>
      <c r="Z127" s="319">
        <f t="shared" si="1017"/>
        <v>0.1914574236</v>
      </c>
      <c r="AA127" s="319">
        <f t="shared" si="1017"/>
        <v>0.0596687774</v>
      </c>
      <c r="AB127" s="335">
        <f t="shared" si="1017"/>
        <v>0.1475722209</v>
      </c>
      <c r="AC127" s="319">
        <f t="shared" si="1017"/>
        <v>-0.1646440636</v>
      </c>
      <c r="AD127" s="319">
        <f t="shared" si="1017"/>
        <v>-0.2368674699</v>
      </c>
      <c r="AE127" s="319">
        <f t="shared" si="1017"/>
        <v>-0.2503722369</v>
      </c>
      <c r="AF127" s="319">
        <f t="shared" si="1017"/>
        <v>-0.1975407952</v>
      </c>
      <c r="AG127" s="335">
        <f t="shared" si="1017"/>
        <v>-0.2130996857</v>
      </c>
      <c r="AH127" s="319">
        <f t="shared" si="1017"/>
        <v>0.01557585742</v>
      </c>
      <c r="AI127" s="319">
        <f t="shared" si="1017"/>
        <v>-0.002368171771</v>
      </c>
      <c r="AJ127" s="319">
        <f t="shared" si="1017"/>
        <v>-0.006264323911</v>
      </c>
      <c r="AK127" s="319">
        <f t="shared" si="1017"/>
        <v>0.02534727195</v>
      </c>
      <c r="AL127" s="335">
        <f t="shared" si="1017"/>
        <v>0.00847808885</v>
      </c>
      <c r="AM127" s="319">
        <f t="shared" si="1017"/>
        <v>-0.004424126235</v>
      </c>
      <c r="AN127" s="319">
        <f t="shared" si="1017"/>
        <v>0.07865168539</v>
      </c>
      <c r="AO127" s="319">
        <f t="shared" si="1017"/>
        <v>0.2043357934</v>
      </c>
      <c r="AP127" s="319">
        <f t="shared" si="1017"/>
        <v>0.2208100559</v>
      </c>
      <c r="AQ127" s="335">
        <f t="shared" si="1017"/>
        <v>0.1261769541</v>
      </c>
      <c r="AR127" s="319">
        <f t="shared" si="1017"/>
        <v>0.1984891127</v>
      </c>
      <c r="AS127" s="319">
        <f t="shared" si="1017"/>
        <v>0.1808978873</v>
      </c>
      <c r="AT127" s="319">
        <f t="shared" si="1017"/>
        <v>0.08145027448</v>
      </c>
      <c r="AU127" s="319">
        <f t="shared" si="1017"/>
        <v>0.09804370209</v>
      </c>
      <c r="AV127" s="335">
        <f t="shared" si="1017"/>
        <v>0.1349656614</v>
      </c>
      <c r="AW127" s="319">
        <f t="shared" si="1017"/>
        <v>0.165986899</v>
      </c>
      <c r="AX127" s="319">
        <f t="shared" si="1017"/>
        <v>0.1468505404</v>
      </c>
      <c r="AY127" s="319">
        <f t="shared" si="1017"/>
        <v>0.1757761775</v>
      </c>
      <c r="AZ127" s="319">
        <f t="shared" si="1017"/>
        <v>0.06282558866</v>
      </c>
      <c r="BA127" s="335">
        <f t="shared" si="1017"/>
        <v>0.134964483</v>
      </c>
      <c r="BB127" s="319">
        <f t="shared" si="1017"/>
        <v>-0.05236379054</v>
      </c>
      <c r="BC127" s="319">
        <f t="shared" si="1017"/>
        <v>-0.1323800238</v>
      </c>
      <c r="BD127" s="319">
        <f t="shared" si="1017"/>
        <v>-0.1225903614</v>
      </c>
      <c r="BE127" s="319">
        <f t="shared" si="1017"/>
        <v>-0.0497010097</v>
      </c>
      <c r="BF127" s="335">
        <f t="shared" si="1017"/>
        <v>-0.08870344614</v>
      </c>
      <c r="BG127" s="319">
        <f t="shared" si="1017"/>
        <v>-0.009843400447</v>
      </c>
      <c r="BH127" s="319">
        <f t="shared" si="1017"/>
        <v>0.08378074666</v>
      </c>
      <c r="BI127" s="319">
        <f t="shared" si="1017"/>
        <v>0.1545943472</v>
      </c>
      <c r="BJ127" s="319">
        <f t="shared" si="1017"/>
        <v>0.1050134104</v>
      </c>
      <c r="BK127" s="335">
        <f t="shared" si="1017"/>
        <v>0.08343225369</v>
      </c>
      <c r="BL127" s="319">
        <f t="shared" si="1017"/>
        <v>0.09274740172</v>
      </c>
      <c r="BM127" s="319">
        <f t="shared" si="1017"/>
        <v>0.09101382488</v>
      </c>
      <c r="BN127" s="319">
        <f t="shared" si="1017"/>
        <v>0.01258671952</v>
      </c>
      <c r="BO127" s="319">
        <f t="shared" si="1017"/>
        <v>-0.2320761763</v>
      </c>
      <c r="BP127" s="335">
        <f t="shared" si="1017"/>
        <v>-0.01951270413</v>
      </c>
      <c r="BQ127" s="319">
        <f t="shared" si="1017"/>
        <v>-0.2613460147</v>
      </c>
      <c r="BR127" s="319">
        <f t="shared" si="1017"/>
        <v>-0.1526927138</v>
      </c>
      <c r="BS127" s="319">
        <f t="shared" si="1017"/>
        <v>-0.08104140159</v>
      </c>
      <c r="BT127" s="319">
        <f t="shared" si="1017"/>
        <v>0.2848285923</v>
      </c>
      <c r="BU127" s="335">
        <f t="shared" si="1017"/>
        <v>-0.06542329591</v>
      </c>
      <c r="BV127" s="319">
        <f t="shared" si="1017"/>
        <v>0.4414275717</v>
      </c>
      <c r="BW127" s="319">
        <f t="shared" si="1017"/>
        <v>0.3416001994</v>
      </c>
      <c r="BX127" s="319">
        <f t="shared" si="1017"/>
        <v>0.182447545</v>
      </c>
      <c r="BY127" s="319">
        <f t="shared" si="1017"/>
        <v>0.08401930173</v>
      </c>
      <c r="BZ127" s="342">
        <f t="shared" si="1017"/>
        <v>0.2418652319</v>
      </c>
      <c r="CA127" s="319">
        <f t="shared" si="1017"/>
        <v>0.2474026605</v>
      </c>
      <c r="CB127" s="319">
        <f t="shared" si="1017"/>
        <v>0.2105898746</v>
      </c>
      <c r="CC127" s="319">
        <f t="shared" si="1017"/>
        <v>0.2820212574</v>
      </c>
      <c r="CD127" s="319">
        <f t="shared" si="1017"/>
        <v>0.2120974077</v>
      </c>
      <c r="CE127" s="342">
        <f t="shared" si="1017"/>
        <v>0.2378561768</v>
      </c>
      <c r="CF127" s="319">
        <f t="shared" si="1017"/>
        <v>0.00459251187</v>
      </c>
      <c r="CG127" s="319">
        <f t="shared" si="1017"/>
        <v>0.0359883364</v>
      </c>
      <c r="CH127" s="319">
        <f t="shared" si="1017"/>
        <v>-0.05452118317</v>
      </c>
      <c r="CI127" s="319">
        <f t="shared" si="1017"/>
        <v>-0.02952401527</v>
      </c>
      <c r="CJ127" s="342">
        <f t="shared" si="1017"/>
        <v>-0.01218541084</v>
      </c>
      <c r="CK127" s="319">
        <f t="shared" si="1017"/>
        <v>-0.02525956919</v>
      </c>
      <c r="CL127" s="319">
        <f t="shared" si="1017"/>
        <v>-0.05110732538</v>
      </c>
      <c r="CM127" s="319">
        <f t="shared" si="1017"/>
        <v>0.001932079958</v>
      </c>
      <c r="CN127" s="321">
        <f t="shared" si="1017"/>
        <v>0.02648957483</v>
      </c>
      <c r="CO127" s="342">
        <f t="shared" si="1017"/>
        <v>-0.01186704411</v>
      </c>
      <c r="CP127" s="321">
        <f t="shared" si="1017"/>
        <v>0.0146263911</v>
      </c>
      <c r="CQ127" s="319">
        <f t="shared" si="1017"/>
        <v>0.07961907736</v>
      </c>
      <c r="CR127" s="319">
        <f t="shared" si="1017"/>
        <v>0.07943336053</v>
      </c>
      <c r="CS127" s="319">
        <f t="shared" si="1017"/>
        <v>0.06411739193</v>
      </c>
      <c r="CT127" s="342">
        <f t="shared" si="1017"/>
        <v>0.05999089322</v>
      </c>
      <c r="CU127" s="319">
        <f t="shared" si="1017"/>
        <v>0.001331870887</v>
      </c>
      <c r="CV127" s="319">
        <f t="shared" si="1017"/>
        <v>-0.04598365989</v>
      </c>
      <c r="CW127" s="319">
        <f t="shared" si="1017"/>
        <v>-0.006115157345</v>
      </c>
      <c r="CX127" s="319">
        <f t="shared" si="1017"/>
        <v>0.01311052238</v>
      </c>
      <c r="CY127" s="342">
        <f t="shared" si="1017"/>
        <v>-0.009217827099</v>
      </c>
      <c r="CZ127" s="319">
        <f t="shared" si="1017"/>
        <v>0.07980596197</v>
      </c>
      <c r="DA127" s="319">
        <f t="shared" si="1017"/>
        <v>0.02561576355</v>
      </c>
      <c r="DB127" s="319">
        <f t="shared" si="1017"/>
        <v>0.09077082613</v>
      </c>
      <c r="DC127" s="319">
        <f t="shared" si="1017"/>
        <v>0.09789459568</v>
      </c>
      <c r="DD127" s="342">
        <f t="shared" si="1017"/>
        <v>0.07462740493</v>
      </c>
      <c r="DE127" s="319">
        <f t="shared" si="1017"/>
        <v>0.07209622491</v>
      </c>
      <c r="DF127" s="319">
        <f t="shared" si="1017"/>
        <v>0.09088893815</v>
      </c>
      <c r="DG127" s="321">
        <f t="shared" si="1017"/>
        <v>0.02351375333</v>
      </c>
      <c r="DH127" s="319">
        <f t="shared" si="1017"/>
        <v>0.04146818126</v>
      </c>
      <c r="DI127" s="342">
        <f t="shared" si="1017"/>
        <v>0.05505497092</v>
      </c>
      <c r="DJ127" s="321">
        <f t="shared" si="1017"/>
        <v>0.08583400919</v>
      </c>
      <c r="DK127" s="321">
        <f t="shared" si="1017"/>
        <v>0.1489534647</v>
      </c>
      <c r="DL127" s="321">
        <f t="shared" si="1017"/>
        <v>0.1866369435</v>
      </c>
      <c r="DM127" s="321">
        <f t="shared" si="1017"/>
        <v>0.09405969624</v>
      </c>
      <c r="DN127" s="342">
        <f t="shared" si="1017"/>
        <v>0.1288539061</v>
      </c>
      <c r="DO127" s="321">
        <f t="shared" si="1017"/>
        <v>-0.000311216233</v>
      </c>
      <c r="DP127" s="321">
        <f t="shared" si="1017"/>
        <v>-0.02694257753</v>
      </c>
      <c r="DQ127" s="321">
        <f t="shared" si="1017"/>
        <v>0.001408965193</v>
      </c>
      <c r="DR127" s="321">
        <f t="shared" si="1017"/>
        <v>0.08318593557</v>
      </c>
      <c r="DS127" s="342">
        <f t="shared" si="1017"/>
        <v>0.01576614724</v>
      </c>
      <c r="DT127" s="321">
        <f t="shared" si="1017"/>
        <v>0.2345433037</v>
      </c>
      <c r="DU127" s="321">
        <f t="shared" si="1017"/>
        <v>0.1952741593</v>
      </c>
      <c r="DV127" s="321">
        <f t="shared" si="1017"/>
        <v>-0.04465867639</v>
      </c>
      <c r="DW127" s="321">
        <f t="shared" si="1017"/>
        <v>-0.01143055074</v>
      </c>
      <c r="DX127" s="342">
        <f t="shared" si="1017"/>
        <v>0.08201208921</v>
      </c>
      <c r="DY127" s="321">
        <f t="shared" si="1017"/>
        <v>-0.06364736736</v>
      </c>
      <c r="DZ127" s="321">
        <f t="shared" si="1017"/>
        <v>-0.06057380373</v>
      </c>
      <c r="EA127" s="321">
        <f t="shared" si="1017"/>
        <v>-0.01341842579</v>
      </c>
      <c r="EB127" s="321">
        <f t="shared" si="1017"/>
        <v>-0.02232455701</v>
      </c>
      <c r="EC127" s="342">
        <f t="shared" si="1017"/>
        <v>-0.04044075154</v>
      </c>
      <c r="ED127" s="321">
        <f t="shared" si="1017"/>
        <v>-0.01147258429</v>
      </c>
      <c r="EE127" s="321">
        <f t="shared" si="1017"/>
        <v>-0.1733124696</v>
      </c>
      <c r="EF127" s="321">
        <f t="shared" si="1017"/>
        <v>-0.1519876154</v>
      </c>
      <c r="EG127" s="321">
        <f t="shared" si="1017"/>
        <v>-0.2810772066</v>
      </c>
      <c r="EH127" s="342">
        <f t="shared" si="1017"/>
        <v>-0.1561069622</v>
      </c>
      <c r="EI127" s="322" t="str">
        <f t="shared" si="1017"/>
        <v>#ERROR!</v>
      </c>
      <c r="EJ127" s="319" t="str">
        <f t="shared" si="1017"/>
        <v>#ERROR!</v>
      </c>
      <c r="EK127" s="319" t="str">
        <f t="shared" si="1017"/>
        <v>#ERROR!</v>
      </c>
      <c r="EL127" s="319" t="str">
        <f t="shared" si="1017"/>
        <v>#ERROR!</v>
      </c>
      <c r="EM127" s="342" t="str">
        <f t="shared" si="1017"/>
        <v>#ERROR!</v>
      </c>
      <c r="EN127" s="319" t="str">
        <f t="shared" si="1017"/>
        <v>#ERROR!</v>
      </c>
      <c r="EO127" s="319" t="str">
        <f t="shared" si="1017"/>
        <v>#ERROR!</v>
      </c>
      <c r="EP127" s="319" t="str">
        <f t="shared" si="1017"/>
        <v>#ERROR!</v>
      </c>
      <c r="EQ127" s="319" t="str">
        <f t="shared" si="1017"/>
        <v>#ERROR!</v>
      </c>
      <c r="ER127" s="342" t="str">
        <f t="shared" si="1017"/>
        <v>#ERROR!</v>
      </c>
      <c r="ES127" s="319" t="str">
        <f t="shared" si="1017"/>
        <v>#ERROR!</v>
      </c>
      <c r="ET127" s="319" t="str">
        <f t="shared" si="1017"/>
        <v>#ERROR!</v>
      </c>
      <c r="EU127" s="319" t="str">
        <f t="shared" si="1017"/>
        <v>#ERROR!</v>
      </c>
      <c r="EV127" s="319" t="str">
        <f t="shared" si="1017"/>
        <v>#ERROR!</v>
      </c>
      <c r="EW127" s="342" t="str">
        <f t="shared" si="1017"/>
        <v>#ERROR!</v>
      </c>
      <c r="EX127" s="319" t="str">
        <f t="shared" si="1017"/>
        <v>#ERROR!</v>
      </c>
      <c r="EY127" s="319" t="str">
        <f t="shared" si="1017"/>
        <v>#ERROR!</v>
      </c>
      <c r="EZ127" s="319" t="str">
        <f t="shared" si="1017"/>
        <v>#ERROR!</v>
      </c>
      <c r="FA127" s="319" t="str">
        <f t="shared" si="1017"/>
        <v>#ERROR!</v>
      </c>
      <c r="FB127" s="342" t="str">
        <f t="shared" si="1017"/>
        <v>#ERROR!</v>
      </c>
      <c r="FC127" s="319" t="str">
        <f t="shared" si="1017"/>
        <v>#ERROR!</v>
      </c>
      <c r="FD127" s="319" t="str">
        <f t="shared" si="1017"/>
        <v>#ERROR!</v>
      </c>
      <c r="FE127" s="319" t="str">
        <f t="shared" si="1017"/>
        <v>#ERROR!</v>
      </c>
      <c r="FF127" s="319" t="str">
        <f t="shared" si="1017"/>
        <v>#ERROR!</v>
      </c>
      <c r="FG127" s="342" t="str">
        <f t="shared" si="1017"/>
        <v>#ERROR!</v>
      </c>
      <c r="FH127" s="319">
        <f t="shared" ref="FH127:FL127" si="1018">AVERAGE(BV127,CA127,CF127,CK127,CP127)</f>
        <v>0.1365579132</v>
      </c>
      <c r="FI127" s="319">
        <f t="shared" si="1018"/>
        <v>0.1233380325</v>
      </c>
      <c r="FJ127" s="319">
        <f t="shared" si="1018"/>
        <v>0.09826261195</v>
      </c>
      <c r="FK127" s="319">
        <f t="shared" si="1018"/>
        <v>0.07143993219</v>
      </c>
      <c r="FL127" s="335">
        <f t="shared" si="1018"/>
        <v>0.1031319694</v>
      </c>
    </row>
    <row r="128" ht="12.75" customHeight="1">
      <c r="A128" s="318"/>
      <c r="B128" s="319" t="s">
        <v>141</v>
      </c>
      <c r="C128" s="319"/>
      <c r="D128" s="319"/>
      <c r="E128" s="319"/>
      <c r="F128" s="319"/>
      <c r="G128" s="319"/>
      <c r="H128" s="335"/>
      <c r="I128" s="319"/>
      <c r="J128" s="319"/>
      <c r="K128" s="319"/>
      <c r="L128" s="319"/>
      <c r="M128" s="335" t="str">
        <f>+M22/H22-1</f>
        <v>#DIV/0!</v>
      </c>
      <c r="N128" s="319"/>
      <c r="O128" s="319"/>
      <c r="P128" s="319"/>
      <c r="Q128" s="319"/>
      <c r="R128" s="335" t="str">
        <f t="shared" ref="R128:FG128" si="1019">+R22/M22-1</f>
        <v>#DIV/0!</v>
      </c>
      <c r="S128" s="319">
        <f t="shared" si="1019"/>
        <v>0.2942804428</v>
      </c>
      <c r="T128" s="319">
        <f t="shared" si="1019"/>
        <v>0.3813793103</v>
      </c>
      <c r="U128" s="319">
        <f t="shared" si="1019"/>
        <v>0.2101265823</v>
      </c>
      <c r="V128" s="319">
        <f t="shared" si="1019"/>
        <v>0.1246092005</v>
      </c>
      <c r="W128" s="335">
        <f t="shared" si="1019"/>
        <v>0.2374339091</v>
      </c>
      <c r="X128" s="319">
        <f t="shared" si="1019"/>
        <v>0.1888809694</v>
      </c>
      <c r="Y128" s="319">
        <f t="shared" si="1019"/>
        <v>0.2523714428</v>
      </c>
      <c r="Z128" s="319">
        <f t="shared" si="1019"/>
        <v>0.2977684798</v>
      </c>
      <c r="AA128" s="319">
        <f t="shared" si="1019"/>
        <v>0.08657664813</v>
      </c>
      <c r="AB128" s="335">
        <f t="shared" si="1019"/>
        <v>0.2007064319</v>
      </c>
      <c r="AC128" s="319">
        <f t="shared" si="1019"/>
        <v>-0.3101518785</v>
      </c>
      <c r="AD128" s="319">
        <f t="shared" si="1019"/>
        <v>-0.3966513853</v>
      </c>
      <c r="AE128" s="319">
        <f t="shared" si="1019"/>
        <v>-0.4640874082</v>
      </c>
      <c r="AF128" s="319">
        <f t="shared" si="1019"/>
        <v>-0.3455774854</v>
      </c>
      <c r="AG128" s="335">
        <f t="shared" si="1019"/>
        <v>-0.3807174037</v>
      </c>
      <c r="AH128" s="319">
        <f t="shared" si="1019"/>
        <v>0.008111239861</v>
      </c>
      <c r="AI128" s="319">
        <f t="shared" si="1019"/>
        <v>-0.01916088537</v>
      </c>
      <c r="AJ128" s="319">
        <f t="shared" si="1019"/>
        <v>0.06049465241</v>
      </c>
      <c r="AK128" s="319">
        <f t="shared" si="1019"/>
        <v>0.03211393466</v>
      </c>
      <c r="AL128" s="335">
        <f t="shared" si="1019"/>
        <v>0.02038001839</v>
      </c>
      <c r="AM128" s="319">
        <f t="shared" si="1019"/>
        <v>0.009195402299</v>
      </c>
      <c r="AN128" s="319">
        <f t="shared" si="1019"/>
        <v>0.1680700573</v>
      </c>
      <c r="AO128" s="319">
        <f t="shared" si="1019"/>
        <v>0.4364954302</v>
      </c>
      <c r="AP128" s="319">
        <f t="shared" si="1019"/>
        <v>0.5032467532</v>
      </c>
      <c r="AQ128" s="335">
        <f t="shared" si="1019"/>
        <v>0.283526055</v>
      </c>
      <c r="AR128" s="319">
        <f t="shared" si="1019"/>
        <v>0.3866742597</v>
      </c>
      <c r="AS128" s="319">
        <f t="shared" si="1019"/>
        <v>0.3783160323</v>
      </c>
      <c r="AT128" s="319">
        <f t="shared" si="1019"/>
        <v>0.03532250987</v>
      </c>
      <c r="AU128" s="319">
        <f t="shared" si="1019"/>
        <v>-0.03221742261</v>
      </c>
      <c r="AV128" s="335">
        <f t="shared" si="1019"/>
        <v>0.1551421551</v>
      </c>
      <c r="AW128" s="319">
        <f t="shared" si="1019"/>
        <v>0.149486653</v>
      </c>
      <c r="AX128" s="319">
        <f t="shared" si="1019"/>
        <v>0.08849372385</v>
      </c>
      <c r="AY128" s="319">
        <f t="shared" si="1019"/>
        <v>0.2901038356</v>
      </c>
      <c r="AZ128" s="319">
        <f t="shared" si="1019"/>
        <v>0.1716570578</v>
      </c>
      <c r="BA128" s="335">
        <f t="shared" si="1019"/>
        <v>0.1743644282</v>
      </c>
      <c r="BB128" s="319">
        <f t="shared" si="1019"/>
        <v>-0.1170060736</v>
      </c>
      <c r="BC128" s="319">
        <f t="shared" si="1019"/>
        <v>-0.1983471074</v>
      </c>
      <c r="BD128" s="319">
        <f t="shared" si="1019"/>
        <v>-0.2946780552</v>
      </c>
      <c r="BE128" s="319">
        <f t="shared" si="1019"/>
        <v>-0.2365079365</v>
      </c>
      <c r="BF128" s="335">
        <f t="shared" si="1019"/>
        <v>-0.2143688818</v>
      </c>
      <c r="BG128" s="319">
        <f t="shared" si="1019"/>
        <v>-0.1033785151</v>
      </c>
      <c r="BH128" s="319">
        <f t="shared" si="1019"/>
        <v>-0.02301606329</v>
      </c>
      <c r="BI128" s="319">
        <f t="shared" si="1019"/>
        <v>0.2305542618</v>
      </c>
      <c r="BJ128" s="319">
        <f t="shared" si="1019"/>
        <v>0.2943866944</v>
      </c>
      <c r="BK128" s="335">
        <f t="shared" si="1019"/>
        <v>0.0987484905</v>
      </c>
      <c r="BL128" s="319">
        <f t="shared" si="1019"/>
        <v>0.1748646209</v>
      </c>
      <c r="BM128" s="319">
        <f t="shared" si="1019"/>
        <v>0.2880981595</v>
      </c>
      <c r="BN128" s="319">
        <f t="shared" si="1019"/>
        <v>0.1390991673</v>
      </c>
      <c r="BO128" s="319">
        <f t="shared" si="1019"/>
        <v>-0.2982653389</v>
      </c>
      <c r="BP128" s="335">
        <f t="shared" si="1019"/>
        <v>0.04131488235</v>
      </c>
      <c r="BQ128" s="319">
        <f t="shared" si="1019"/>
        <v>-0.3781448051</v>
      </c>
      <c r="BR128" s="319">
        <f t="shared" si="1019"/>
        <v>-0.2228995999</v>
      </c>
      <c r="BS128" s="319">
        <f t="shared" si="1019"/>
        <v>-0.1021764413</v>
      </c>
      <c r="BT128" s="319">
        <f t="shared" si="1019"/>
        <v>0.5655756466</v>
      </c>
      <c r="BU128" s="335">
        <f t="shared" si="1019"/>
        <v>-0.06155248513</v>
      </c>
      <c r="BV128" s="319">
        <f t="shared" si="1019"/>
        <v>1.016368128</v>
      </c>
      <c r="BW128" s="319">
        <f t="shared" si="1019"/>
        <v>0.7737190488</v>
      </c>
      <c r="BX128" s="319">
        <f t="shared" si="1019"/>
        <v>0.3547372317</v>
      </c>
      <c r="BY128" s="319">
        <f t="shared" si="1019"/>
        <v>0.08274853801</v>
      </c>
      <c r="BZ128" s="342">
        <f t="shared" si="1019"/>
        <v>0.4565206278</v>
      </c>
      <c r="CA128" s="319">
        <f t="shared" si="1019"/>
        <v>0.2076887732</v>
      </c>
      <c r="CB128" s="319">
        <f t="shared" si="1019"/>
        <v>0.09219073946</v>
      </c>
      <c r="CC128" s="319">
        <f t="shared" si="1019"/>
        <v>0.2317989346</v>
      </c>
      <c r="CD128" s="319">
        <f t="shared" si="1019"/>
        <v>0.2087496624</v>
      </c>
      <c r="CE128" s="342">
        <f t="shared" si="1019"/>
        <v>0.1848302973</v>
      </c>
      <c r="CF128" s="319">
        <f t="shared" si="1019"/>
        <v>0.04819277108</v>
      </c>
      <c r="CG128" s="319">
        <f t="shared" si="1019"/>
        <v>0.08251075677</v>
      </c>
      <c r="CH128" s="319">
        <f t="shared" si="1019"/>
        <v>-0.05577733422</v>
      </c>
      <c r="CI128" s="319">
        <f t="shared" si="1019"/>
        <v>-0.1267873101</v>
      </c>
      <c r="CJ128" s="342">
        <f t="shared" si="1019"/>
        <v>-0.01795183221</v>
      </c>
      <c r="CK128" s="319">
        <f t="shared" si="1019"/>
        <v>-0.1450695705</v>
      </c>
      <c r="CL128" s="319">
        <f t="shared" si="1019"/>
        <v>-0.1267243395</v>
      </c>
      <c r="CM128" s="319">
        <f t="shared" si="1019"/>
        <v>-0.01186142102</v>
      </c>
      <c r="CN128" s="321">
        <f t="shared" si="1019"/>
        <v>0.09645644109</v>
      </c>
      <c r="CO128" s="342">
        <f t="shared" si="1019"/>
        <v>-0.04916895418</v>
      </c>
      <c r="CP128" s="321">
        <f t="shared" si="1019"/>
        <v>0.07925275969</v>
      </c>
      <c r="CQ128" s="319">
        <f t="shared" si="1019"/>
        <v>0.193708166</v>
      </c>
      <c r="CR128" s="319">
        <f t="shared" si="1019"/>
        <v>0.1240789161</v>
      </c>
      <c r="CS128" s="319">
        <f t="shared" si="1019"/>
        <v>0.1225061253</v>
      </c>
      <c r="CT128" s="342">
        <f t="shared" si="1019"/>
        <v>0.1301037404</v>
      </c>
      <c r="CU128" s="319">
        <f t="shared" si="1019"/>
        <v>0.01363755573</v>
      </c>
      <c r="CV128" s="319">
        <f t="shared" si="1019"/>
        <v>-0.0750252327</v>
      </c>
      <c r="CW128" s="319">
        <f t="shared" si="1019"/>
        <v>-0.03668851766</v>
      </c>
      <c r="CX128" s="319">
        <f t="shared" si="1019"/>
        <v>-0.003222118283</v>
      </c>
      <c r="CY128" s="342">
        <f t="shared" si="1019"/>
        <v>-0.02647240469</v>
      </c>
      <c r="CZ128" s="319">
        <f t="shared" si="1019"/>
        <v>0.05174644243</v>
      </c>
      <c r="DA128" s="319">
        <f t="shared" si="1019"/>
        <v>-0.0333414161</v>
      </c>
      <c r="DB128" s="319">
        <f t="shared" si="1019"/>
        <v>0.09570848425</v>
      </c>
      <c r="DC128" s="319">
        <f t="shared" si="1019"/>
        <v>0.05370177268</v>
      </c>
      <c r="DD128" s="342">
        <f t="shared" si="1019"/>
        <v>0.04359987312</v>
      </c>
      <c r="DE128" s="319">
        <f t="shared" si="1019"/>
        <v>0.1250922509</v>
      </c>
      <c r="DF128" s="319">
        <f t="shared" si="1019"/>
        <v>0.1411012166</v>
      </c>
      <c r="DG128" s="321">
        <f t="shared" si="1019"/>
        <v>0.007412601422</v>
      </c>
      <c r="DH128" s="319">
        <f t="shared" si="1019"/>
        <v>0.06551212271</v>
      </c>
      <c r="DI128" s="342">
        <f t="shared" si="1019"/>
        <v>0.07952253323</v>
      </c>
      <c r="DJ128" s="321">
        <f t="shared" si="1019"/>
        <v>0.06384606975</v>
      </c>
      <c r="DK128" s="321">
        <f t="shared" si="1019"/>
        <v>0.1451967465</v>
      </c>
      <c r="DL128" s="321">
        <f t="shared" si="1019"/>
        <v>0.22899473</v>
      </c>
      <c r="DM128" s="321">
        <f t="shared" si="1019"/>
        <v>0.04272313551</v>
      </c>
      <c r="DN128" s="342">
        <f t="shared" si="1019"/>
        <v>0.1194809184</v>
      </c>
      <c r="DO128" s="321">
        <f t="shared" si="1019"/>
        <v>-0.06597471997</v>
      </c>
      <c r="DP128" s="321">
        <f t="shared" si="1019"/>
        <v>-0.05192436894</v>
      </c>
      <c r="DQ128" s="321">
        <f t="shared" si="1019"/>
        <v>-0.08616504854</v>
      </c>
      <c r="DR128" s="321">
        <f t="shared" si="1019"/>
        <v>0.05798521422</v>
      </c>
      <c r="DS128" s="342">
        <f t="shared" si="1019"/>
        <v>-0.03651370693</v>
      </c>
      <c r="DT128" s="321">
        <f t="shared" si="1019"/>
        <v>0.3220376279</v>
      </c>
      <c r="DU128" s="321">
        <f t="shared" si="1019"/>
        <v>0.06367685766</v>
      </c>
      <c r="DV128" s="321">
        <f t="shared" si="1019"/>
        <v>-0.1375830013</v>
      </c>
      <c r="DW128" s="321">
        <f t="shared" si="1019"/>
        <v>-0.04462030645</v>
      </c>
      <c r="DX128" s="342">
        <f t="shared" si="1019"/>
        <v>0.03493118178</v>
      </c>
      <c r="DY128" s="321">
        <f t="shared" si="1019"/>
        <v>-0.09670439414</v>
      </c>
      <c r="DZ128" s="321">
        <f t="shared" si="1019"/>
        <v>0.06652707719</v>
      </c>
      <c r="EA128" s="321">
        <f t="shared" si="1019"/>
        <v>0.1031721589</v>
      </c>
      <c r="EB128" s="321">
        <f t="shared" si="1019"/>
        <v>-0.02987310539</v>
      </c>
      <c r="EC128" s="342">
        <f t="shared" si="1019"/>
        <v>0.004654682198</v>
      </c>
      <c r="ED128" s="321">
        <f t="shared" si="1019"/>
        <v>-0.148332412</v>
      </c>
      <c r="EE128" s="321">
        <f t="shared" si="1019"/>
        <v>-0.5014278065</v>
      </c>
      <c r="EF128" s="321">
        <f t="shared" si="1019"/>
        <v>-0.3918667411</v>
      </c>
      <c r="EG128" s="321">
        <f t="shared" si="1019"/>
        <v>-0.5004087565</v>
      </c>
      <c r="EH128" s="342">
        <f t="shared" si="1019"/>
        <v>-0.386830994</v>
      </c>
      <c r="EI128" s="322" t="str">
        <f t="shared" si="1019"/>
        <v>#ERROR!</v>
      </c>
      <c r="EJ128" s="319" t="str">
        <f t="shared" si="1019"/>
        <v>#ERROR!</v>
      </c>
      <c r="EK128" s="319" t="str">
        <f t="shared" si="1019"/>
        <v>#ERROR!</v>
      </c>
      <c r="EL128" s="319" t="str">
        <f t="shared" si="1019"/>
        <v>#ERROR!</v>
      </c>
      <c r="EM128" s="342" t="str">
        <f t="shared" si="1019"/>
        <v>#ERROR!</v>
      </c>
      <c r="EN128" s="319" t="str">
        <f t="shared" si="1019"/>
        <v>#ERROR!</v>
      </c>
      <c r="EO128" s="319" t="str">
        <f t="shared" si="1019"/>
        <v>#ERROR!</v>
      </c>
      <c r="EP128" s="319" t="str">
        <f t="shared" si="1019"/>
        <v>#ERROR!</v>
      </c>
      <c r="EQ128" s="319" t="str">
        <f t="shared" si="1019"/>
        <v>#ERROR!</v>
      </c>
      <c r="ER128" s="342" t="str">
        <f t="shared" si="1019"/>
        <v>#ERROR!</v>
      </c>
      <c r="ES128" s="319" t="str">
        <f t="shared" si="1019"/>
        <v>#ERROR!</v>
      </c>
      <c r="ET128" s="319" t="str">
        <f t="shared" si="1019"/>
        <v>#ERROR!</v>
      </c>
      <c r="EU128" s="319" t="str">
        <f t="shared" si="1019"/>
        <v>#ERROR!</v>
      </c>
      <c r="EV128" s="319" t="str">
        <f t="shared" si="1019"/>
        <v>#ERROR!</v>
      </c>
      <c r="EW128" s="342" t="str">
        <f t="shared" si="1019"/>
        <v>#ERROR!</v>
      </c>
      <c r="EX128" s="319" t="str">
        <f t="shared" si="1019"/>
        <v>#ERROR!</v>
      </c>
      <c r="EY128" s="319" t="str">
        <f t="shared" si="1019"/>
        <v>#ERROR!</v>
      </c>
      <c r="EZ128" s="319" t="str">
        <f t="shared" si="1019"/>
        <v>#ERROR!</v>
      </c>
      <c r="FA128" s="319" t="str">
        <f t="shared" si="1019"/>
        <v>#ERROR!</v>
      </c>
      <c r="FB128" s="342" t="str">
        <f t="shared" si="1019"/>
        <v>#ERROR!</v>
      </c>
      <c r="FC128" s="319" t="str">
        <f t="shared" si="1019"/>
        <v>#ERROR!</v>
      </c>
      <c r="FD128" s="319" t="str">
        <f t="shared" si="1019"/>
        <v>#ERROR!</v>
      </c>
      <c r="FE128" s="319" t="str">
        <f t="shared" si="1019"/>
        <v>#ERROR!</v>
      </c>
      <c r="FF128" s="319" t="str">
        <f t="shared" si="1019"/>
        <v>#ERROR!</v>
      </c>
      <c r="FG128" s="342" t="str">
        <f t="shared" si="1019"/>
        <v>#ERROR!</v>
      </c>
      <c r="FH128" s="343"/>
      <c r="FI128" s="319"/>
      <c r="FJ128" s="319"/>
      <c r="FK128" s="335"/>
      <c r="FL128" s="319"/>
    </row>
    <row r="129" ht="12.75" customHeight="1">
      <c r="A129" s="318"/>
      <c r="B129" s="319" t="s">
        <v>138</v>
      </c>
      <c r="C129" s="319"/>
      <c r="D129" s="319"/>
      <c r="E129" s="319"/>
      <c r="F129" s="319"/>
      <c r="G129" s="319"/>
      <c r="H129" s="335"/>
      <c r="I129" s="319"/>
      <c r="J129" s="319"/>
      <c r="K129" s="319"/>
      <c r="L129" s="319"/>
      <c r="M129" s="335"/>
      <c r="N129" s="319"/>
      <c r="O129" s="319"/>
      <c r="P129" s="319"/>
      <c r="Q129" s="319"/>
      <c r="R129" s="335">
        <f>(RD+MGA)/(Q44+Q45)-1</f>
        <v>21.88934426</v>
      </c>
      <c r="S129" s="319">
        <f>(RD+MGA)/(N31+N32)-1</f>
        <v>0.1898928025</v>
      </c>
      <c r="T129" s="319">
        <f>(RD+MGA)/(O31+O32)-1</f>
        <v>0.2789799073</v>
      </c>
      <c r="U129" s="319">
        <f>(RD+MGA)/(P31+P32)-1</f>
        <v>0.2957339118</v>
      </c>
      <c r="V129" s="319">
        <f>(RD+MGA)/(Q31+Q32)-1</f>
        <v>0.2372034956</v>
      </c>
      <c r="W129" s="335">
        <f>(RD+MGA)/(R31+R32)-1</f>
        <v>0.2503133393</v>
      </c>
      <c r="X129" s="319">
        <f>(RD+MGA)/(S31+S32)-1</f>
        <v>0.3352638353</v>
      </c>
      <c r="Y129" s="319">
        <f>(RD+MGA)/(T31+T32)-1</f>
        <v>0.3256797583</v>
      </c>
      <c r="Z129" s="319">
        <f>(RD+MGA)/(U31+U32)-1</f>
        <v>0.2823660714</v>
      </c>
      <c r="AA129" s="319">
        <f>(RD+MGA)/(V31+V32)-1</f>
        <v>0.2204843592</v>
      </c>
      <c r="AB129" s="335">
        <f>(RD+MGA)/(W31+W32)-1</f>
        <v>0.2868394673</v>
      </c>
      <c r="AC129" s="319">
        <f>(RD+MGA)/(X31+X32)-1</f>
        <v>0.03614457831</v>
      </c>
      <c r="AD129" s="319">
        <f>(RD+MGA)/(Y31+Y32)-1</f>
        <v>-0.04603463993</v>
      </c>
      <c r="AE129" s="319">
        <f>(RD+MGA)/(Z31+Z32)-1</f>
        <v>-0.1322889469</v>
      </c>
      <c r="AF129" s="319">
        <f>(RD+MGA)/(AA31+AA32)-1</f>
        <v>-0.1637040099</v>
      </c>
      <c r="AG129" s="335">
        <f>(RD+MGA)/(AB31+AB32)-1</f>
        <v>-0.08079234365</v>
      </c>
      <c r="AH129" s="319">
        <f>(RD+MGA)/(AC31+AC32)-1</f>
        <v>-0.04465116279</v>
      </c>
      <c r="AI129" s="319">
        <f>(RD+MGA)/(AD31+AD32)-1</f>
        <v>-0.002866698519</v>
      </c>
      <c r="AJ129" s="319">
        <f>(RD+MGA)/(AE31+AE32)-1</f>
        <v>0.05366098295</v>
      </c>
      <c r="AK129" s="319">
        <f>(RD+MGA)/(AF31+AF32)-1</f>
        <v>0.05091448344</v>
      </c>
      <c r="AL129" s="335">
        <f>(RD+MGA)/(AG31+AG32)-1</f>
        <v>0.01307506053</v>
      </c>
      <c r="AM129" s="319">
        <f>(RD+MGA)/(AH31+AH32)-1</f>
        <v>-0.008276533593</v>
      </c>
      <c r="AN129" s="319">
        <f>(RD+MGA)/(AI31+AI32)-1</f>
        <v>0.01006229037</v>
      </c>
      <c r="AO129" s="319">
        <f>(RD+MGA)/(AJ31+AJ32)-1</f>
        <v>0.03807710614</v>
      </c>
      <c r="AP129" s="319">
        <f>(RD+MGA)/(AK31+AK32)-1</f>
        <v>0.08748824083</v>
      </c>
      <c r="AQ129" s="335">
        <f>(RD+MGA)/(AL31+AL32)-1</f>
        <v>0.03226577438</v>
      </c>
      <c r="AR129" s="319">
        <f>(RD+MGA)/(AM31+AM32)-1</f>
        <v>0.146784487</v>
      </c>
      <c r="AS129" s="319">
        <f>(RD+MGA)/(AN31+AN32)-1</f>
        <v>0.1176470588</v>
      </c>
      <c r="AT129" s="319">
        <f>(RD+MGA)/(AO31+AO32)-1</f>
        <v>0.0573131591</v>
      </c>
      <c r="AU129" s="319">
        <f>(RD+MGA)/(AP31+AP32)-1</f>
        <v>0.05493079585</v>
      </c>
      <c r="AV129" s="335">
        <f>(RD+MGA)/(AQ31+AQ32)-1</f>
        <v>0.09249826349</v>
      </c>
      <c r="AW129" s="319">
        <f>(RD+MGA)/(AR31+AR32)-1</f>
        <v>0.08219178082</v>
      </c>
      <c r="AX129" s="319">
        <f>(RD+MGA)/(AS31+AS32)-1</f>
        <v>0.06876061121</v>
      </c>
      <c r="AY129" s="319">
        <f>(RD+MGA)/(AT31+AT32)-1</f>
        <v>0.2224631396</v>
      </c>
      <c r="AZ129" s="319">
        <f>(RD+MGA)/(AU31+AU32)-1</f>
        <v>0.2168921689</v>
      </c>
      <c r="BA129" s="335">
        <f>(RD+MGA)/(AV31+AV32)-1</f>
        <v>0.1479283671</v>
      </c>
      <c r="BB129" s="319">
        <f>(RD+MGA)/(AW31+AW32)-1</f>
        <v>0.2681962025</v>
      </c>
      <c r="BC129" s="319">
        <f>(RD+MGA)/(AX31+AX32)-1</f>
        <v>0.2267672756</v>
      </c>
      <c r="BD129" s="319">
        <f>(RD+MGA)/(AY31+AY32)-1</f>
        <v>-0.001773678609</v>
      </c>
      <c r="BE129" s="319">
        <f>(RD+MGA)/(AZ31+AZ32)-1</f>
        <v>-0.03638814016</v>
      </c>
      <c r="BF129" s="335">
        <f>(RD+MGA)/(BA31+BA32)-1</f>
        <v>0.1048647651</v>
      </c>
      <c r="BG129" s="319">
        <f>(RD+MGA)/(BB31+BB32)-1</f>
        <v>-0.1650031192</v>
      </c>
      <c r="BH129" s="319">
        <f>(RD+MGA)/(BC31+BC32)-1</f>
        <v>-0.1463256717</v>
      </c>
      <c r="BI129" s="319">
        <f>(RD+MGA)/(BD31+BD32)-1</f>
        <v>0.0302061123</v>
      </c>
      <c r="BJ129" s="319">
        <f>(RD+MGA)/(BE31+BE32)-1</f>
        <v>0.02902097902</v>
      </c>
      <c r="BK129" s="335">
        <f>(RD+MGA)/(BF31+BF32)-1</f>
        <v>-0.06792547414</v>
      </c>
      <c r="BL129" s="319">
        <f>(RD+MGA)/(BG31+BG32)-1</f>
        <v>0.05192379529</v>
      </c>
      <c r="BM129" s="319">
        <f>(RD+MGA)/(BH31+BH32)-1</f>
        <v>0.09897610922</v>
      </c>
      <c r="BN129" s="319">
        <f>(RD+MGA)/(BI31+BI32)-1</f>
        <v>-0.004139358399</v>
      </c>
      <c r="BO129" s="319">
        <f>(RD+MGA)/(BJ31+BJ32)-1</f>
        <v>-0.1236833163</v>
      </c>
      <c r="BP129" s="335">
        <f>(RD+MGA)/(BK31+BK32)-1</f>
        <v>0.002151308713</v>
      </c>
      <c r="BQ129" s="319">
        <f>(RD+MGA)/(BL31+BL32)-1</f>
        <v>-0.1061789773</v>
      </c>
      <c r="BR129" s="319">
        <f>(RD+MGA)/(BM31+BM32)-1</f>
        <v>-0.119047619</v>
      </c>
      <c r="BS129" s="319">
        <f>(RD+MGA)/(BN31+BN32)-1</f>
        <v>-0.04745410461</v>
      </c>
      <c r="BT129" s="319">
        <f>(RD+MGA)/(BO31+BO32)-1</f>
        <v>0.1907716169</v>
      </c>
      <c r="BU129" s="335">
        <f>(RD+MGA)/(BP31+BP32)-1</f>
        <v>-0.02585008945</v>
      </c>
      <c r="BV129" s="319">
        <f>(RD+MGA)/(BQ31+BQ32)-1</f>
        <v>0.2228843862</v>
      </c>
      <c r="BW129" s="319">
        <f>(RD+MGA)/(BR31+BR32)-1</f>
        <v>0.2730121426</v>
      </c>
      <c r="BX129" s="319">
        <f>(RD+MGA)/(BS31+BS32)-1</f>
        <v>0.1567272727</v>
      </c>
      <c r="BY129" s="319">
        <f>(RD+MGA)/(BT31+BT32)-1</f>
        <v>0.09931618365</v>
      </c>
      <c r="BZ129" s="342">
        <f>(RD+MGA)/(BU31+BU32)-1</f>
        <v>0.183087387</v>
      </c>
      <c r="CA129" s="319">
        <f>(RD+MGA)/(BV31+BV32)-1</f>
        <v>0.1991552956</v>
      </c>
      <c r="CB129" s="319">
        <f>(RD+MGA)/(BW31+BW32)-1</f>
        <v>0.1972307692</v>
      </c>
      <c r="CC129" s="319">
        <f>(RD+MGA)/(BX31+BX32)-1</f>
        <v>0.3068217542</v>
      </c>
      <c r="CD129" s="319">
        <f>(RD+MGA)/(BY31+BY32)-1</f>
        <v>0.2680687204</v>
      </c>
      <c r="CE129" s="342">
        <f>(RD+MGA)/(BZ31+BZ32)-1</f>
        <v>0.24330617</v>
      </c>
      <c r="CF129" s="319">
        <f>(RD+MGA)/(CA31+CA32)-1</f>
        <v>0.1850447033</v>
      </c>
      <c r="CG129" s="319">
        <f>(RD+MGA)/(CB31+CB32)-1</f>
        <v>0.1935235158</v>
      </c>
      <c r="CH129" s="319">
        <f>(RD+MGA)/(CC31+CC32)-1</f>
        <v>0.106567236</v>
      </c>
      <c r="CI129" s="319">
        <f>(RD+MGA)/(CD31+CD32)-1</f>
        <v>0.07147862649</v>
      </c>
      <c r="CJ129" s="342">
        <f>(RD+MGA)/(CE31+CE32)-1</f>
        <v>0.13639201</v>
      </c>
      <c r="CK129" s="319">
        <f>(RD+MGA)/(CF31+CF32)-1</f>
        <v>0.02286236854</v>
      </c>
      <c r="CL129" s="319">
        <f>(RD+MGA)/(CG31+CG32)-1</f>
        <v>0.007967269595</v>
      </c>
      <c r="CM129" s="319">
        <f>(RD+MGA)/(CH31+CH32)-1</f>
        <v>0.02434782609</v>
      </c>
      <c r="CN129" s="321">
        <f>(RD+MGA)/(CI31+CI32)-1</f>
        <v>0.053411816</v>
      </c>
      <c r="CO129" s="342">
        <f>(RD+MGA)/(CJ31+CJ32)-1</f>
        <v>0.02713540236</v>
      </c>
      <c r="CP129" s="321">
        <f>(RD+MGA)/(CK31+CK32)-1</f>
        <v>0.09141707644</v>
      </c>
      <c r="CQ129" s="319">
        <f>(RD+MGA)/(CL31+CL32)-1</f>
        <v>0.05105746635</v>
      </c>
      <c r="CR129" s="319">
        <f>(RD+MGA)/(CM31+CM32)-1</f>
        <v>0.02313242784</v>
      </c>
      <c r="CS129" s="319">
        <f>(RD+MGA)/(CN31+CN32)-1</f>
        <v>0.04283940397</v>
      </c>
      <c r="CT129" s="342">
        <f>(RD+MGA)/(CO31+CO32)-1</f>
        <v>0.05155355901</v>
      </c>
      <c r="CU129" s="319">
        <f>(RD+MGA)/(CP31+CP32)-1</f>
        <v>0.01331148884</v>
      </c>
      <c r="CV129" s="319">
        <f>(RD+MGA)/(CQ31+CQ32)-1</f>
        <v>0.02357723577</v>
      </c>
      <c r="CW129" s="319">
        <f>(RD+MGA)/(CR31+CR32)-1</f>
        <v>0.003318813524</v>
      </c>
      <c r="CX129" s="319">
        <f>(RD+MGA)/(CS31+CS32)-1</f>
        <v>0.03929351062</v>
      </c>
      <c r="CY129" s="342">
        <f>(RD+MGA)/(CT31+CT32)-1</f>
        <v>0.02008849107</v>
      </c>
      <c r="CZ129" s="319">
        <f>(RD+MGA)/(CU31+CU32)-1</f>
        <v>0.1059013743</v>
      </c>
      <c r="DA129" s="319">
        <f>(RD+MGA)/(CV31+CV32)-1</f>
        <v>0.02303415409</v>
      </c>
      <c r="DB129" s="319">
        <f>(RD+MGA)/(CW31+CW32)-1</f>
        <v>0.0492040521</v>
      </c>
      <c r="DC129" s="319">
        <f>(RD+MGA)/(CX31+CX32)-1</f>
        <v>0.03838075234</v>
      </c>
      <c r="DD129" s="342">
        <f>(RD+MGA)/(CY31+CY32)-1</f>
        <v>0.05379399741</v>
      </c>
      <c r="DE129" s="319">
        <f>(RD+MGA)/(CZ31+CZ32)-1</f>
        <v>-0.007675438596</v>
      </c>
      <c r="DF129" s="319">
        <f>(RD+MGA)/(DA31+DA32)-1</f>
        <v>-0.004464285714</v>
      </c>
      <c r="DG129" s="321">
        <f>(RD+MGA)/(DB31+DB32)-1</f>
        <v>-0.03665024631</v>
      </c>
      <c r="DH129" s="319">
        <f>(RD+MGA)/(DC31+DC32)-1</f>
        <v>-0.05774181684</v>
      </c>
      <c r="DI129" s="342">
        <f>(RD+MGA)/(DD31+DD32)-1</f>
        <v>-0.02673037801</v>
      </c>
      <c r="DJ129" s="321">
        <f>(RD+MGA)/(DE31+DE32)-1</f>
        <v>-0.04033149171</v>
      </c>
      <c r="DK129" s="321">
        <f>(RD+MGA)/(DF31+DF32)-1</f>
        <v>-0.00643400273</v>
      </c>
      <c r="DL129" s="321">
        <f>(RD+MGA)/(DG31+DG32)-1</f>
        <v>0.02945387605</v>
      </c>
      <c r="DM129" s="321">
        <f>(RD+MGA)/(DH31+DH32)-1</f>
        <v>-0.03337236534</v>
      </c>
      <c r="DN129" s="342">
        <f>(RD+MGA)/(DI31+DI32)-1</f>
        <v>-0.01356212327</v>
      </c>
      <c r="DO129" s="321">
        <f>(RD+MGA)/(DJ31+DJ32)-1</f>
        <v>-0.06639800422</v>
      </c>
      <c r="DP129" s="321">
        <f>(RD+MGA)/(DK31+DK32)-1</f>
        <v>-0.0135400314</v>
      </c>
      <c r="DQ129" s="321">
        <f>(RD+MGA)/(DL31+DL32)-1</f>
        <v>-0.067355454</v>
      </c>
      <c r="DR129" s="321">
        <f>(RD+MGA)/(DM31+DM32)-1</f>
        <v>-0.005451241672</v>
      </c>
      <c r="DS129" s="342">
        <f>(RD+MGA)/(DN31+DN32)-1</f>
        <v>-0.0384861775</v>
      </c>
      <c r="DT129" s="321">
        <f>(RD+MGA)/(DO31+DO32)-1</f>
        <v>-0.01007194245</v>
      </c>
      <c r="DU129" s="321">
        <f>(RD+MGA)/(DP31+DP32)-1</f>
        <v>-0.04495723095</v>
      </c>
      <c r="DV129" s="321">
        <f>(RD+MGA)/(DQ31+DQ32)-1</f>
        <v>0.00276949297</v>
      </c>
      <c r="DW129" s="321">
        <f>(RD+MGA)/(DR31+DR32)-1</f>
        <v>0.09866017052</v>
      </c>
      <c r="DX129" s="342">
        <f>(RD+MGA)/(DS31+DS32)-1</f>
        <v>0.0114801148</v>
      </c>
      <c r="DY129" s="321">
        <f>(RD+MGA)/(DT31+DT32)-1</f>
        <v>0.02803156146</v>
      </c>
      <c r="DZ129" s="321">
        <f>(RD+MGA)/(DU31+DU32)-1</f>
        <v>0.106852739</v>
      </c>
      <c r="EA129" s="321">
        <f>(RD+MGA)/(DV31+DV32)-1</f>
        <v>0.1635861483</v>
      </c>
      <c r="EB129" s="321">
        <f>(RD+MGA)/(DW31+DW32)-1</f>
        <v>0.1069844789</v>
      </c>
      <c r="EC129" s="342">
        <f>(RD+MGA)/(DX31+DX32)-1</f>
        <v>0.1011856506</v>
      </c>
      <c r="ED129" s="321">
        <f>(RD+MGA)/(DY31+DY32)-1</f>
        <v>0.23490204</v>
      </c>
      <c r="EE129" s="321">
        <f>(RD+MGA)/(DZ31+DZ32)-1</f>
        <v>0.1667293941</v>
      </c>
      <c r="EF129" s="321">
        <f>(RD+MGA)/(EA31+EA32)-1</f>
        <v>0.1038889903</v>
      </c>
      <c r="EG129" s="321">
        <f>(RD+MGA)/(EB31+EB32)-1</f>
        <v>0.02987815056</v>
      </c>
      <c r="EH129" s="342">
        <f>(RD+MGA)/(EC31+EC32)-1</f>
        <v>0.1286982929</v>
      </c>
      <c r="EI129" s="322">
        <f>(RD+MGA)/(ED31+ED32)-1</f>
        <v>-0.1004252535</v>
      </c>
      <c r="EJ129" s="319">
        <f>(RD+MGA)/(EE31+EE32)-1</f>
        <v>-0.1693548387</v>
      </c>
      <c r="EK129" s="319">
        <f>(RD+MGA)/(EF31+EF32)-1</f>
        <v>-0.2060866689</v>
      </c>
      <c r="EL129" s="319">
        <f>(RD+MGA)/(EG31+EG32)-1</f>
        <v>-0.2706645057</v>
      </c>
      <c r="EM129" s="342">
        <f>(RD+MGA)/(EH31+EH32)-1</f>
        <v>-0.1867101508</v>
      </c>
      <c r="EN129" s="319">
        <f>(RD+MGA)/(EI31+EI32)-1</f>
        <v>-0.1818181818</v>
      </c>
      <c r="EO129" s="319">
        <f>(RD+MGA)/(EJ31+EJ32)-1</f>
        <v>-0.1067961165</v>
      </c>
      <c r="EP129" s="319">
        <f>(RD+MGA)/(EK31+EK32)-1</f>
        <v>-0.02083333333</v>
      </c>
      <c r="EQ129" s="319">
        <f>(RD+MGA)/(EL31+EL32)-1</f>
        <v>0.05555555556</v>
      </c>
      <c r="ER129" s="342">
        <f>(RD+MGA)/(EM31+EM32)-1</f>
        <v>-0.0701754386</v>
      </c>
      <c r="ES129" s="319">
        <f>(RD+MGA)/(EN31+EN32)-1</f>
        <v>0.06666666667</v>
      </c>
      <c r="ET129" s="319">
        <f>(RD+MGA)/(EO31+EO32)-1</f>
        <v>0.05434782609</v>
      </c>
      <c r="EU129" s="319">
        <f>(RD+MGA)/(EP31+EP32)-1</f>
        <v>0.04255319149</v>
      </c>
      <c r="EV129" s="319">
        <f>(RD+MGA)/(EQ31+EQ32)-1</f>
        <v>0.04210526316</v>
      </c>
      <c r="EW129" s="342">
        <f>(RD+MGA)/(ER31+ER32)-1</f>
        <v>0.05121293801</v>
      </c>
      <c r="EX129" s="319">
        <f>(RD+MGA)/(ES31+ES32)-1</f>
        <v>0.0625</v>
      </c>
      <c r="EY129" s="319">
        <f>(RD+MGA)/(ET31+ET32)-1</f>
        <v>0.0824742268</v>
      </c>
      <c r="EZ129" s="319">
        <f>(RD+MGA)/(EU31+EU32)-1</f>
        <v>0.08163265306</v>
      </c>
      <c r="FA129" s="319">
        <f>(RD+MGA)/(EV31+EV32)-1</f>
        <v>0.08080808081</v>
      </c>
      <c r="FB129" s="342">
        <f>(RD+MGA)/(EW31+EW32)-1</f>
        <v>0.07692307692</v>
      </c>
      <c r="FC129" s="319">
        <f>(RD+MGA)/(EX31+EX32)-1</f>
        <v>0.05882352941</v>
      </c>
      <c r="FD129" s="319">
        <f>(RD+MGA)/(EY31+EY32)-1</f>
        <v>0.05714285714</v>
      </c>
      <c r="FE129" s="319">
        <f>(RD+MGA)/(EZ31+EZ32)-1</f>
        <v>0.05660377358</v>
      </c>
      <c r="FF129" s="319">
        <f>(RD+MGA)/(FA31+FA32)-1</f>
        <v>0.05607476636</v>
      </c>
      <c r="FG129" s="342">
        <f>(RD+MGA)/(FB31+FB32)-1</f>
        <v>0.05714285714</v>
      </c>
      <c r="FH129" s="343"/>
      <c r="FI129" s="319"/>
      <c r="FJ129" s="319"/>
      <c r="FK129" s="335"/>
      <c r="FL129" s="319"/>
    </row>
    <row r="130" ht="13.5" customHeight="1" outlineLevel="1">
      <c r="A130" s="318"/>
      <c r="B130" s="319" t="str">
        <f t="shared" ref="B130:B131" si="1023">B123</f>
        <v>Net Income</v>
      </c>
      <c r="C130" s="319"/>
      <c r="D130" s="319"/>
      <c r="E130" s="319"/>
      <c r="F130" s="319"/>
      <c r="G130" s="319"/>
      <c r="H130" s="335"/>
      <c r="I130" s="319"/>
      <c r="J130" s="319"/>
      <c r="K130" s="319"/>
      <c r="L130" s="319"/>
      <c r="M130" s="335"/>
      <c r="N130" s="319"/>
      <c r="O130" s="319"/>
      <c r="P130" s="319"/>
      <c r="Q130" s="319"/>
      <c r="R130" s="335" t="s">
        <v>135</v>
      </c>
      <c r="S130" s="319">
        <f t="shared" ref="S130:BA130" si="1020">+S51/N51-1</f>
        <v>0.4026425591</v>
      </c>
      <c r="T130" s="319">
        <f t="shared" si="1020"/>
        <v>0.5187713311</v>
      </c>
      <c r="U130" s="319">
        <f t="shared" si="1020"/>
        <v>0.2088888889</v>
      </c>
      <c r="V130" s="319">
        <f t="shared" si="1020"/>
        <v>0.144486692</v>
      </c>
      <c r="W130" s="335">
        <f t="shared" si="1020"/>
        <v>0.2893941803</v>
      </c>
      <c r="X130" s="319">
        <f t="shared" si="1020"/>
        <v>0.5061973228</v>
      </c>
      <c r="Y130" s="319">
        <f t="shared" si="1020"/>
        <v>0.9764044944</v>
      </c>
      <c r="Z130" s="319">
        <f t="shared" si="1020"/>
        <v>0.5225840336</v>
      </c>
      <c r="AA130" s="319">
        <f t="shared" si="1020"/>
        <v>0.1088039867</v>
      </c>
      <c r="AB130" s="335">
        <f t="shared" si="1020"/>
        <v>0.4952521889</v>
      </c>
      <c r="AC130" s="319">
        <f t="shared" si="1020"/>
        <v>-0.6382488479</v>
      </c>
      <c r="AD130" s="319">
        <f t="shared" si="1020"/>
        <v>-0.7572484366</v>
      </c>
      <c r="AE130" s="319">
        <f t="shared" si="1020"/>
        <v>-0.7740600207</v>
      </c>
      <c r="AF130" s="319">
        <f t="shared" si="1020"/>
        <v>-0.6262172285</v>
      </c>
      <c r="AG130" s="335">
        <f t="shared" si="1020"/>
        <v>-0.7025979381</v>
      </c>
      <c r="AH130" s="319">
        <f t="shared" si="1020"/>
        <v>-0.07006369427</v>
      </c>
      <c r="AI130" s="319">
        <f t="shared" si="1020"/>
        <v>-0.2740046838</v>
      </c>
      <c r="AJ130" s="319">
        <f t="shared" si="1020"/>
        <v>0.172519084</v>
      </c>
      <c r="AK130" s="319">
        <f t="shared" si="1020"/>
        <v>0.05611222445</v>
      </c>
      <c r="AL130" s="335">
        <f t="shared" si="1020"/>
        <v>-0.03937881309</v>
      </c>
      <c r="AM130" s="319">
        <f t="shared" si="1020"/>
        <v>-0.1046966732</v>
      </c>
      <c r="AN130" s="319">
        <f t="shared" si="1020"/>
        <v>0.4451612903</v>
      </c>
      <c r="AO130" s="319">
        <f t="shared" si="1020"/>
        <v>1.157552083</v>
      </c>
      <c r="AP130" s="319">
        <f t="shared" si="1020"/>
        <v>1.058823529</v>
      </c>
      <c r="AQ130" s="335">
        <f t="shared" si="1020"/>
        <v>0.6275981524</v>
      </c>
      <c r="AR130" s="319">
        <f t="shared" si="1020"/>
        <v>0.8907103825</v>
      </c>
      <c r="AS130" s="319">
        <f t="shared" si="1020"/>
        <v>0.9609375</v>
      </c>
      <c r="AT130" s="319">
        <f t="shared" si="1020"/>
        <v>0.1502715751</v>
      </c>
      <c r="AU130" s="319">
        <f t="shared" si="1020"/>
        <v>-0.02165898618</v>
      </c>
      <c r="AV130" s="335">
        <f t="shared" si="1020"/>
        <v>0.3330968429</v>
      </c>
      <c r="AW130" s="319">
        <f t="shared" si="1020"/>
        <v>0.2589595376</v>
      </c>
      <c r="AX130" s="319">
        <f t="shared" si="1020"/>
        <v>0.1599317018</v>
      </c>
      <c r="AY130" s="319">
        <f t="shared" si="1020"/>
        <v>0.2282455404</v>
      </c>
      <c r="AZ130" s="319">
        <f t="shared" si="1020"/>
        <v>0.1554404145</v>
      </c>
      <c r="BA130" s="335">
        <f t="shared" si="1020"/>
        <v>0.1987807344</v>
      </c>
      <c r="BB130" s="319">
        <f t="shared" ref="BB130:BF130" si="1021">BB51/(AW51-AW57)-1</f>
        <v>-0.264498645</v>
      </c>
      <c r="BC130" s="319">
        <f t="shared" si="1021"/>
        <v>-0.4928366762</v>
      </c>
      <c r="BD130" s="319">
        <f t="shared" si="1021"/>
        <v>-0.3653769983</v>
      </c>
      <c r="BE130" s="319">
        <f t="shared" si="1021"/>
        <v>-0.2879506641</v>
      </c>
      <c r="BF130" s="335">
        <f t="shared" si="1021"/>
        <v>-0.3489963134</v>
      </c>
      <c r="BG130" s="319">
        <f t="shared" ref="BG130:FG130" si="1022">+BG51/BB51-1</f>
        <v>-0.03463522476</v>
      </c>
      <c r="BH130" s="319">
        <f t="shared" si="1022"/>
        <v>0.2395480226</v>
      </c>
      <c r="BI130" s="319">
        <f t="shared" si="1022"/>
        <v>0.4397048424</v>
      </c>
      <c r="BJ130" s="319">
        <f t="shared" si="1022"/>
        <v>0.5129913391</v>
      </c>
      <c r="BK130" s="335">
        <f t="shared" si="1022"/>
        <v>0.2987819191</v>
      </c>
      <c r="BL130" s="319">
        <f t="shared" si="1022"/>
        <v>0.1015267176</v>
      </c>
      <c r="BM130" s="319">
        <f t="shared" si="1022"/>
        <v>0.4594348222</v>
      </c>
      <c r="BN130" s="319">
        <f t="shared" si="1022"/>
        <v>0.07524815062</v>
      </c>
      <c r="BO130" s="319">
        <f t="shared" si="1022"/>
        <v>-0.5908071334</v>
      </c>
      <c r="BP130" s="335">
        <f t="shared" si="1022"/>
        <v>-0.08605925518</v>
      </c>
      <c r="BQ130" s="319">
        <f t="shared" si="1022"/>
        <v>-0.5641025641</v>
      </c>
      <c r="BR130" s="319">
        <f t="shared" si="1022"/>
        <v>-0.3447845097</v>
      </c>
      <c r="BS130" s="319">
        <f t="shared" si="1022"/>
        <v>-0.07845084409</v>
      </c>
      <c r="BT130" s="319">
        <f t="shared" si="1022"/>
        <v>2.329470115</v>
      </c>
      <c r="BU130" s="335">
        <f t="shared" si="1022"/>
        <v>0.1070147581</v>
      </c>
      <c r="BV130" s="319">
        <f t="shared" si="1022"/>
        <v>2.882352941</v>
      </c>
      <c r="BW130" s="319">
        <f t="shared" si="1022"/>
        <v>1.7521449</v>
      </c>
      <c r="BX130" s="319">
        <f t="shared" si="1022"/>
        <v>0.5921336207</v>
      </c>
      <c r="BY130" s="319">
        <f t="shared" si="1022"/>
        <v>0.02779573368</v>
      </c>
      <c r="BZ130" s="342">
        <f t="shared" si="1022"/>
        <v>0.729630821</v>
      </c>
      <c r="CA130" s="319">
        <f t="shared" si="1022"/>
        <v>0.294021294</v>
      </c>
      <c r="CB130" s="319">
        <f t="shared" si="1022"/>
        <v>0.02320748182</v>
      </c>
      <c r="CC130" s="319">
        <f t="shared" si="1022"/>
        <v>0.1736040609</v>
      </c>
      <c r="CD130" s="319">
        <f t="shared" si="1022"/>
        <v>0.05660377358</v>
      </c>
      <c r="CE130" s="342">
        <f t="shared" si="1022"/>
        <v>0.1289253315</v>
      </c>
      <c r="CF130" s="319">
        <f t="shared" si="1022"/>
        <v>-0.1335443038</v>
      </c>
      <c r="CG130" s="319">
        <f t="shared" si="1022"/>
        <v>-0.04299255247</v>
      </c>
      <c r="CH130" s="319">
        <f t="shared" si="1022"/>
        <v>-0.1430219146</v>
      </c>
      <c r="CI130" s="319">
        <f t="shared" si="1022"/>
        <v>-0.2654761905</v>
      </c>
      <c r="CJ130" s="342">
        <f t="shared" si="1022"/>
        <v>-0.1496677484</v>
      </c>
      <c r="CK130" s="319">
        <f t="shared" si="1022"/>
        <v>-0.2531044558</v>
      </c>
      <c r="CL130" s="319">
        <f t="shared" si="1022"/>
        <v>-0.2925362575</v>
      </c>
      <c r="CM130" s="319">
        <f t="shared" si="1022"/>
        <v>-0.007402422611</v>
      </c>
      <c r="CN130" s="321">
        <f t="shared" si="1022"/>
        <v>0.06361426256</v>
      </c>
      <c r="CO130" s="342">
        <f t="shared" si="1022"/>
        <v>-0.1258518855</v>
      </c>
      <c r="CP130" s="321">
        <f t="shared" si="1022"/>
        <v>-0.04498777506</v>
      </c>
      <c r="CQ130" s="319">
        <f t="shared" si="1022"/>
        <v>0.398</v>
      </c>
      <c r="CR130" s="319">
        <f t="shared" si="1022"/>
        <v>0.1244067797</v>
      </c>
      <c r="CS130" s="319">
        <f t="shared" si="1022"/>
        <v>0.3946666667</v>
      </c>
      <c r="CT130" s="342">
        <f t="shared" si="1022"/>
        <v>0.2332640333</v>
      </c>
      <c r="CU130" s="319">
        <f t="shared" si="1022"/>
        <v>0.01996927803</v>
      </c>
      <c r="CV130" s="319">
        <f t="shared" si="1022"/>
        <v>-0.0321888412</v>
      </c>
      <c r="CW130" s="319">
        <f t="shared" si="1022"/>
        <v>-0.0627072656</v>
      </c>
      <c r="CX130" s="319">
        <f t="shared" si="1022"/>
        <v>-0.01311117181</v>
      </c>
      <c r="CY130" s="342">
        <f t="shared" si="1022"/>
        <v>-0.02857383682</v>
      </c>
      <c r="CZ130" s="319">
        <f t="shared" si="1022"/>
        <v>0.02710843373</v>
      </c>
      <c r="DA130" s="319">
        <f t="shared" si="1022"/>
        <v>-0.5084996305</v>
      </c>
      <c r="DB130" s="319">
        <f t="shared" si="1022"/>
        <v>0.08652299775</v>
      </c>
      <c r="DC130" s="319">
        <f t="shared" si="1022"/>
        <v>-0.01411569333</v>
      </c>
      <c r="DD130" s="342">
        <f t="shared" si="1022"/>
        <v>-0.1049023861</v>
      </c>
      <c r="DE130" s="319">
        <f t="shared" si="1022"/>
        <v>0.4486803519</v>
      </c>
      <c r="DF130" s="319">
        <f t="shared" si="1022"/>
        <v>1.111278195</v>
      </c>
      <c r="DG130" s="321">
        <f t="shared" si="1022"/>
        <v>0.3368857312</v>
      </c>
      <c r="DH130" s="319">
        <f t="shared" si="1022"/>
        <v>-1.192869175</v>
      </c>
      <c r="DI130" s="342">
        <f t="shared" si="1022"/>
        <v>-0.06930981</v>
      </c>
      <c r="DJ130" s="321">
        <f t="shared" si="1022"/>
        <v>0.5026990553</v>
      </c>
      <c r="DK130" s="321">
        <f t="shared" si="1022"/>
        <v>0.7827635328</v>
      </c>
      <c r="DL130" s="321">
        <f t="shared" si="1022"/>
        <v>0.4167404783</v>
      </c>
      <c r="DM130" s="321">
        <f t="shared" si="1022"/>
        <v>-8.561863173</v>
      </c>
      <c r="DN130" s="342">
        <f t="shared" si="1022"/>
        <v>1.192792417</v>
      </c>
      <c r="DO130" s="321">
        <f t="shared" si="1022"/>
        <v>-0.1077682982</v>
      </c>
      <c r="DP130" s="321">
        <f t="shared" si="1022"/>
        <v>-0.1652017579</v>
      </c>
      <c r="DQ130" s="321">
        <f t="shared" si="1022"/>
        <v>-0.0637699281</v>
      </c>
      <c r="DR130" s="321">
        <f t="shared" si="1022"/>
        <v>0.3291626564</v>
      </c>
      <c r="DS130" s="342">
        <f t="shared" si="1022"/>
        <v>-0.0002374958438</v>
      </c>
      <c r="DT130" s="321">
        <f t="shared" si="1022"/>
        <v>0.4245093105</v>
      </c>
      <c r="DU130" s="321">
        <f t="shared" si="1022"/>
        <v>0.221584111</v>
      </c>
      <c r="DV130" s="321">
        <f t="shared" si="1022"/>
        <v>-0.2861435726</v>
      </c>
      <c r="DW130" s="321">
        <f t="shared" si="1022"/>
        <v>-0.1517740768</v>
      </c>
      <c r="DX130" s="342">
        <f t="shared" si="1022"/>
        <v>-0.007079057393</v>
      </c>
      <c r="DY130" s="321">
        <f t="shared" si="1022"/>
        <v>-0.4062886416</v>
      </c>
      <c r="DZ130" s="321">
        <f t="shared" si="1022"/>
        <v>-0.008619000979</v>
      </c>
      <c r="EA130" s="321">
        <f t="shared" si="1022"/>
        <v>0.5956501403</v>
      </c>
      <c r="EB130" s="321">
        <f t="shared" si="1022"/>
        <v>-0.2106880656</v>
      </c>
      <c r="EC130" s="342">
        <f t="shared" si="1022"/>
        <v>-0.04933250395</v>
      </c>
      <c r="ED130" s="321">
        <f t="shared" si="1022"/>
        <v>1.413864921</v>
      </c>
      <c r="EE130" s="321">
        <f t="shared" si="1022"/>
        <v>-1.089705592</v>
      </c>
      <c r="EF130" s="321">
        <f t="shared" si="1022"/>
        <v>-0.8506522058</v>
      </c>
      <c r="EG130" s="321">
        <f t="shared" si="1022"/>
        <v>-1.142980748</v>
      </c>
      <c r="EH130" s="342">
        <f t="shared" si="1022"/>
        <v>-0.596486813</v>
      </c>
      <c r="EI130" s="322" t="str">
        <f t="shared" si="1022"/>
        <v>#ERROR!</v>
      </c>
      <c r="EJ130" s="319" t="str">
        <f t="shared" si="1022"/>
        <v>#ERROR!</v>
      </c>
      <c r="EK130" s="319" t="str">
        <f t="shared" si="1022"/>
        <v>#ERROR!</v>
      </c>
      <c r="EL130" s="319" t="str">
        <f t="shared" si="1022"/>
        <v>#ERROR!</v>
      </c>
      <c r="EM130" s="342" t="str">
        <f t="shared" si="1022"/>
        <v>#ERROR!</v>
      </c>
      <c r="EN130" s="319" t="str">
        <f t="shared" si="1022"/>
        <v>#ERROR!</v>
      </c>
      <c r="EO130" s="319" t="str">
        <f t="shared" si="1022"/>
        <v>#ERROR!</v>
      </c>
      <c r="EP130" s="319" t="str">
        <f t="shared" si="1022"/>
        <v>#ERROR!</v>
      </c>
      <c r="EQ130" s="319" t="str">
        <f t="shared" si="1022"/>
        <v>#ERROR!</v>
      </c>
      <c r="ER130" s="342" t="str">
        <f t="shared" si="1022"/>
        <v>#ERROR!</v>
      </c>
      <c r="ES130" s="319" t="str">
        <f t="shared" si="1022"/>
        <v>#ERROR!</v>
      </c>
      <c r="ET130" s="319" t="str">
        <f t="shared" si="1022"/>
        <v>#ERROR!</v>
      </c>
      <c r="EU130" s="319" t="str">
        <f t="shared" si="1022"/>
        <v>#ERROR!</v>
      </c>
      <c r="EV130" s="319" t="str">
        <f t="shared" si="1022"/>
        <v>#ERROR!</v>
      </c>
      <c r="EW130" s="342" t="str">
        <f t="shared" si="1022"/>
        <v>#ERROR!</v>
      </c>
      <c r="EX130" s="319" t="str">
        <f t="shared" si="1022"/>
        <v>#ERROR!</v>
      </c>
      <c r="EY130" s="319" t="str">
        <f t="shared" si="1022"/>
        <v>#ERROR!</v>
      </c>
      <c r="EZ130" s="319" t="str">
        <f t="shared" si="1022"/>
        <v>#ERROR!</v>
      </c>
      <c r="FA130" s="319" t="str">
        <f t="shared" si="1022"/>
        <v>#ERROR!</v>
      </c>
      <c r="FB130" s="342" t="str">
        <f t="shared" si="1022"/>
        <v>#ERROR!</v>
      </c>
      <c r="FC130" s="319" t="str">
        <f t="shared" si="1022"/>
        <v>#ERROR!</v>
      </c>
      <c r="FD130" s="319" t="str">
        <f t="shared" si="1022"/>
        <v>#ERROR!</v>
      </c>
      <c r="FE130" s="319" t="str">
        <f t="shared" si="1022"/>
        <v>#ERROR!</v>
      </c>
      <c r="FF130" s="319" t="str">
        <f t="shared" si="1022"/>
        <v>#ERROR!</v>
      </c>
      <c r="FG130" s="342" t="str">
        <f t="shared" si="1022"/>
        <v>#ERROR!</v>
      </c>
      <c r="FH130" s="343"/>
      <c r="FI130" s="319"/>
      <c r="FJ130" s="319"/>
      <c r="FK130" s="335"/>
      <c r="FL130" s="319"/>
    </row>
    <row r="131" ht="12.75" customHeight="1">
      <c r="A131" s="318"/>
      <c r="B131" s="319" t="str">
        <f t="shared" si="1023"/>
        <v>UBS adjusted diluted EPS</v>
      </c>
      <c r="C131" s="319"/>
      <c r="D131" s="319"/>
      <c r="E131" s="319"/>
      <c r="F131" s="319"/>
      <c r="G131" s="319"/>
      <c r="H131" s="335"/>
      <c r="I131" s="319"/>
      <c r="J131" s="319"/>
      <c r="K131" s="319"/>
      <c r="L131" s="319"/>
      <c r="M131" s="335"/>
      <c r="N131" s="319"/>
      <c r="O131" s="319"/>
      <c r="P131" s="319"/>
      <c r="Q131" s="319"/>
      <c r="R131" s="335"/>
      <c r="S131" s="319">
        <f t="shared" ref="S131:BA131" si="1024">+S71/N71-1</f>
        <v>0.4312761479</v>
      </c>
      <c r="T131" s="319">
        <f t="shared" si="1024"/>
        <v>0.558878177</v>
      </c>
      <c r="U131" s="319">
        <f t="shared" si="1024"/>
        <v>0.2205546754</v>
      </c>
      <c r="V131" s="319">
        <f t="shared" si="1024"/>
        <v>0.1397241559</v>
      </c>
      <c r="W131" s="335">
        <f t="shared" si="1024"/>
        <v>0.3068585972</v>
      </c>
      <c r="X131" s="319">
        <f t="shared" si="1024"/>
        <v>0.4977996536</v>
      </c>
      <c r="Y131" s="319">
        <f t="shared" si="1024"/>
        <v>0.9445224519</v>
      </c>
      <c r="Z131" s="319">
        <f t="shared" si="1024"/>
        <v>0.5086771722</v>
      </c>
      <c r="AA131" s="319">
        <f t="shared" si="1024"/>
        <v>0.1137582853</v>
      </c>
      <c r="AB131" s="335">
        <f t="shared" si="1024"/>
        <v>0.4854065547</v>
      </c>
      <c r="AC131" s="319">
        <f t="shared" si="1024"/>
        <v>-0.6332150589</v>
      </c>
      <c r="AD131" s="319">
        <f t="shared" si="1024"/>
        <v>-0.7531608794</v>
      </c>
      <c r="AE131" s="319">
        <f t="shared" si="1024"/>
        <v>-0.7697554632</v>
      </c>
      <c r="AF131" s="319">
        <f t="shared" si="1024"/>
        <v>-0.6214706074</v>
      </c>
      <c r="AG131" s="335">
        <f t="shared" si="1024"/>
        <v>-0.6979719721</v>
      </c>
      <c r="AH131" s="319">
        <f t="shared" si="1024"/>
        <v>-0.0649131944</v>
      </c>
      <c r="AI131" s="319">
        <f t="shared" si="1024"/>
        <v>-0.2648270273</v>
      </c>
      <c r="AJ131" s="319">
        <f t="shared" si="1024"/>
        <v>0.2011682392</v>
      </c>
      <c r="AK131" s="319">
        <f t="shared" si="1024"/>
        <v>0.08640012758</v>
      </c>
      <c r="AL131" s="335">
        <f t="shared" si="1024"/>
        <v>-0.02232384306</v>
      </c>
      <c r="AM131" s="319">
        <f t="shared" si="1024"/>
        <v>-0.07069952719</v>
      </c>
      <c r="AN131" s="319">
        <f t="shared" si="1024"/>
        <v>0.494138641</v>
      </c>
      <c r="AO131" s="319">
        <f t="shared" si="1024"/>
        <v>1.18588522</v>
      </c>
      <c r="AP131" s="319">
        <f t="shared" si="1024"/>
        <v>1.055428677</v>
      </c>
      <c r="AQ131" s="335">
        <f t="shared" si="1024"/>
        <v>0.6615218112</v>
      </c>
      <c r="AR131" s="319">
        <f t="shared" si="1024"/>
        <v>0.8867143159</v>
      </c>
      <c r="AS131" s="319">
        <f t="shared" si="1024"/>
        <v>0.9675158204</v>
      </c>
      <c r="AT131" s="319">
        <f t="shared" si="1024"/>
        <v>0.1829477158</v>
      </c>
      <c r="AU131" s="319">
        <f t="shared" si="1024"/>
        <v>0.02747369383</v>
      </c>
      <c r="AV131" s="335">
        <f t="shared" si="1024"/>
        <v>0.3591675695</v>
      </c>
      <c r="AW131" s="319">
        <f t="shared" si="1024"/>
        <v>0.3294034715</v>
      </c>
      <c r="AX131" s="319">
        <f t="shared" si="1024"/>
        <v>0.2239472406</v>
      </c>
      <c r="AY131" s="319">
        <f t="shared" si="1024"/>
        <v>0.2878186477</v>
      </c>
      <c r="AZ131" s="319">
        <f t="shared" si="1024"/>
        <v>0.2069326612</v>
      </c>
      <c r="BA131" s="335">
        <f t="shared" si="1024"/>
        <v>0.260097457</v>
      </c>
      <c r="BB131" s="319">
        <f t="shared" ref="BB131:BF131" si="1025">+BB71/AW72-1</f>
        <v>-0.2250923749</v>
      </c>
      <c r="BC131" s="319">
        <f t="shared" si="1025"/>
        <v>-0.4628459343</v>
      </c>
      <c r="BD131" s="319">
        <f t="shared" si="1025"/>
        <v>-0.3314259735</v>
      </c>
      <c r="BE131" s="319">
        <f t="shared" si="1025"/>
        <v>-0.261978522</v>
      </c>
      <c r="BF131" s="335">
        <f t="shared" si="1025"/>
        <v>-0.3160032694</v>
      </c>
      <c r="BG131" s="319">
        <f t="shared" ref="BG131:CX131" si="1026">+BG71/BB71-1</f>
        <v>-0.02148759418</v>
      </c>
      <c r="BH131" s="319">
        <f t="shared" si="1026"/>
        <v>0.2292830483</v>
      </c>
      <c r="BI131" s="319">
        <f t="shared" si="1026"/>
        <v>0.4071323347</v>
      </c>
      <c r="BJ131" s="319">
        <f t="shared" si="1026"/>
        <v>0.4824182008</v>
      </c>
      <c r="BK131" s="335">
        <f t="shared" si="1026"/>
        <v>0.2865292595</v>
      </c>
      <c r="BL131" s="319">
        <f t="shared" si="1026"/>
        <v>0.1005898859</v>
      </c>
      <c r="BM131" s="319">
        <f t="shared" si="1026"/>
        <v>0.4888751454</v>
      </c>
      <c r="BN131" s="319">
        <f t="shared" si="1026"/>
        <v>0.1271970686</v>
      </c>
      <c r="BO131" s="319">
        <f t="shared" si="1026"/>
        <v>-0.5642456189</v>
      </c>
      <c r="BP131" s="335">
        <f t="shared" si="1026"/>
        <v>-0.05616696916</v>
      </c>
      <c r="BQ131" s="319">
        <f t="shared" si="1026"/>
        <v>-0.5451471378</v>
      </c>
      <c r="BR131" s="319">
        <f t="shared" si="1026"/>
        <v>-0.3307062621</v>
      </c>
      <c r="BS131" s="319">
        <f t="shared" si="1026"/>
        <v>-0.06597973728</v>
      </c>
      <c r="BT131" s="319">
        <f t="shared" si="1026"/>
        <v>2.313559373</v>
      </c>
      <c r="BU131" s="335">
        <f t="shared" si="1026"/>
        <v>0.1272136102</v>
      </c>
      <c r="BV131" s="319">
        <f t="shared" si="1026"/>
        <v>2.850233492</v>
      </c>
      <c r="BW131" s="319">
        <f t="shared" si="1026"/>
        <v>1.736242119</v>
      </c>
      <c r="BX131" s="319">
        <f t="shared" si="1026"/>
        <v>0.5703235711</v>
      </c>
      <c r="BY131" s="319">
        <f t="shared" si="1026"/>
        <v>0.01913757376</v>
      </c>
      <c r="BZ131" s="342">
        <f t="shared" si="1026"/>
        <v>0.7141443091</v>
      </c>
      <c r="CA131" s="319">
        <f t="shared" si="1026"/>
        <v>0.3113333877</v>
      </c>
      <c r="CB131" s="319">
        <f t="shared" si="1026"/>
        <v>0.07398234307</v>
      </c>
      <c r="CC131" s="319">
        <f t="shared" si="1026"/>
        <v>0.2514047796</v>
      </c>
      <c r="CD131" s="319">
        <f t="shared" si="1026"/>
        <v>0.1485174174</v>
      </c>
      <c r="CE131" s="342">
        <f t="shared" si="1026"/>
        <v>0.1883863774</v>
      </c>
      <c r="CF131" s="319">
        <f t="shared" si="1026"/>
        <v>-0.06445480876</v>
      </c>
      <c r="CG131" s="319">
        <f t="shared" si="1026"/>
        <v>0.001553668399</v>
      </c>
      <c r="CH131" s="319">
        <f t="shared" si="1026"/>
        <v>-0.1119225741</v>
      </c>
      <c r="CI131" s="319">
        <f t="shared" si="1026"/>
        <v>-0.244283845</v>
      </c>
      <c r="CJ131" s="342">
        <f t="shared" si="1026"/>
        <v>-0.1083046873</v>
      </c>
      <c r="CK131" s="319">
        <f t="shared" si="1026"/>
        <v>-0.2366374674</v>
      </c>
      <c r="CL131" s="319">
        <f t="shared" si="1026"/>
        <v>-0.2796506077</v>
      </c>
      <c r="CM131" s="319">
        <f t="shared" si="1026"/>
        <v>0.002912807115</v>
      </c>
      <c r="CN131" s="321">
        <f t="shared" si="1026"/>
        <v>0.06194682887</v>
      </c>
      <c r="CO131" s="342">
        <f t="shared" si="1026"/>
        <v>-0.115090633</v>
      </c>
      <c r="CP131" s="321">
        <f t="shared" si="1026"/>
        <v>-0.05189327679</v>
      </c>
      <c r="CQ131" s="319">
        <f t="shared" si="1026"/>
        <v>0.3933609213</v>
      </c>
      <c r="CR131" s="319">
        <f t="shared" si="1026"/>
        <v>0.1366649309</v>
      </c>
      <c r="CS131" s="319">
        <f t="shared" si="1026"/>
        <v>0.4406850202</v>
      </c>
      <c r="CT131" s="342">
        <f t="shared" si="1026"/>
        <v>0.2433257701</v>
      </c>
      <c r="CU131" s="319">
        <f t="shared" si="1026"/>
        <v>0.06210476103</v>
      </c>
      <c r="CV131" s="319">
        <f t="shared" si="1026"/>
        <v>0.01000133765</v>
      </c>
      <c r="CW131" s="319">
        <f t="shared" si="1026"/>
        <v>-0.03022111463</v>
      </c>
      <c r="CX131" s="319">
        <f t="shared" si="1026"/>
        <v>-0.000157749948</v>
      </c>
      <c r="CY131" s="342">
        <f>+CY72/CT72-1</f>
        <v>0.03113667175</v>
      </c>
      <c r="CZ131" s="319">
        <f t="shared" ref="CZ131:DC131" si="1027">+CZ71/CU71-1</f>
        <v>0.0353253012</v>
      </c>
      <c r="DA131" s="319">
        <f t="shared" si="1027"/>
        <v>-0.5041563267</v>
      </c>
      <c r="DB131" s="319">
        <f t="shared" si="1027"/>
        <v>0.08630021264</v>
      </c>
      <c r="DC131" s="319">
        <f t="shared" si="1027"/>
        <v>-0.01512561374</v>
      </c>
      <c r="DD131" s="342">
        <f>+DD72/CY72-1</f>
        <v>0.09686151477</v>
      </c>
      <c r="DE131" s="319">
        <f t="shared" ref="DE131:DH131" si="1028">+DE71/CZ71-1</f>
        <v>0.4468995525</v>
      </c>
      <c r="DF131" s="319">
        <f t="shared" si="1028"/>
        <v>1.120429246</v>
      </c>
      <c r="DG131" s="321">
        <f t="shared" si="1028"/>
        <v>0.3524147918</v>
      </c>
      <c r="DH131" s="319">
        <f t="shared" si="1028"/>
        <v>-1.196533286</v>
      </c>
      <c r="DI131" s="342">
        <f>+DI72/DD72-1</f>
        <v>0.276228799</v>
      </c>
      <c r="DJ131" s="321">
        <f t="shared" ref="DJ131:DM131" si="1029">+DJ71/DE71-1</f>
        <v>0.5312472002</v>
      </c>
      <c r="DK131" s="321">
        <f t="shared" si="1029"/>
        <v>0.8195680043</v>
      </c>
      <c r="DL131" s="321">
        <f t="shared" si="1029"/>
        <v>0.4694719978</v>
      </c>
      <c r="DM131" s="321">
        <f t="shared" si="1029"/>
        <v>-8.841810911</v>
      </c>
      <c r="DN131" s="342">
        <f>+DN72/DI72-1</f>
        <v>0.3212537765</v>
      </c>
      <c r="DO131" s="321">
        <f t="shared" ref="DO131:DR131" si="1030">+DO71/DJ71-1</f>
        <v>-0.06358679846</v>
      </c>
      <c r="DP131" s="321">
        <f t="shared" si="1030"/>
        <v>-0.1238586656</v>
      </c>
      <c r="DQ131" s="321">
        <f t="shared" si="1030"/>
        <v>-0.01836287521</v>
      </c>
      <c r="DR131" s="321">
        <f t="shared" si="1030"/>
        <v>0.4039337548</v>
      </c>
      <c r="DS131" s="342">
        <f>+DS72/DN72-1</f>
        <v>0.0635887058</v>
      </c>
      <c r="DT131" s="321">
        <f t="shared" ref="DT131:DW131" si="1031">+DT71/DO71-1</f>
        <v>0.5077598546</v>
      </c>
      <c r="DU131" s="321">
        <f t="shared" si="1031"/>
        <v>0.2897350453</v>
      </c>
      <c r="DV131" s="321">
        <f t="shared" si="1031"/>
        <v>-0.2485097263</v>
      </c>
      <c r="DW131" s="321">
        <f t="shared" si="1031"/>
        <v>-0.09946784114</v>
      </c>
      <c r="DX131" s="342">
        <f>+DX72/DS72-1</f>
        <v>0.08843007802</v>
      </c>
      <c r="DY131" s="321">
        <f t="shared" ref="DY131:EB131" si="1032">+DY71/DT71-1</f>
        <v>-0.3749796442</v>
      </c>
      <c r="DZ131" s="321">
        <f t="shared" si="1032"/>
        <v>0.03993050926</v>
      </c>
      <c r="EA131" s="321">
        <f t="shared" si="1032"/>
        <v>0.6444646943</v>
      </c>
      <c r="EB131" s="321">
        <f t="shared" si="1032"/>
        <v>-0.2060620616</v>
      </c>
      <c r="EC131" s="342">
        <f>+EC72/DX72-1</f>
        <v>0.03116638054</v>
      </c>
      <c r="ED131" s="321">
        <f t="shared" ref="ED131:EG131" si="1033">+ED71/DY71-1</f>
        <v>1.407399736</v>
      </c>
      <c r="EE131" s="321">
        <f t="shared" si="1033"/>
        <v>-1.089355521</v>
      </c>
      <c r="EF131" s="321">
        <f t="shared" si="1033"/>
        <v>-0.8520642213</v>
      </c>
      <c r="EG131" s="321">
        <f t="shared" si="1033"/>
        <v>-1.141666142</v>
      </c>
      <c r="EH131" s="342">
        <f>+EH72/EC72-1</f>
        <v>-0.6625200449</v>
      </c>
      <c r="EI131" s="322" t="str">
        <f t="shared" ref="EI131:EL131" si="1034">+EI71/ED71-1</f>
        <v>#ERROR!</v>
      </c>
      <c r="EJ131" s="319" t="str">
        <f t="shared" si="1034"/>
        <v>#ERROR!</v>
      </c>
      <c r="EK131" s="319" t="str">
        <f t="shared" si="1034"/>
        <v>#ERROR!</v>
      </c>
      <c r="EL131" s="319" t="str">
        <f t="shared" si="1034"/>
        <v>#ERROR!</v>
      </c>
      <c r="EM131" s="342" t="str">
        <f>+EM72/EH72-1</f>
        <v>#ERROR!</v>
      </c>
      <c r="EN131" s="319" t="str">
        <f t="shared" ref="EN131:EQ131" si="1035">+EN71/EI71-1</f>
        <v>#ERROR!</v>
      </c>
      <c r="EO131" s="319" t="str">
        <f t="shared" si="1035"/>
        <v>#ERROR!</v>
      </c>
      <c r="EP131" s="319" t="str">
        <f t="shared" si="1035"/>
        <v>#ERROR!</v>
      </c>
      <c r="EQ131" s="319" t="str">
        <f t="shared" si="1035"/>
        <v>#ERROR!</v>
      </c>
      <c r="ER131" s="342" t="str">
        <f>+ER72/EM72-1</f>
        <v>#ERROR!</v>
      </c>
      <c r="ES131" s="319" t="str">
        <f t="shared" ref="ES131:EV131" si="1036">+ES71/EN71-1</f>
        <v>#ERROR!</v>
      </c>
      <c r="ET131" s="319" t="str">
        <f t="shared" si="1036"/>
        <v>#ERROR!</v>
      </c>
      <c r="EU131" s="319" t="str">
        <f t="shared" si="1036"/>
        <v>#ERROR!</v>
      </c>
      <c r="EV131" s="319" t="str">
        <f t="shared" si="1036"/>
        <v>#ERROR!</v>
      </c>
      <c r="EW131" s="342" t="str">
        <f>+EW72/ER72-1</f>
        <v>#ERROR!</v>
      </c>
      <c r="EX131" s="319" t="str">
        <f t="shared" ref="EX131:FA131" si="1037">+EX71/ES71-1</f>
        <v>#ERROR!</v>
      </c>
      <c r="EY131" s="319" t="str">
        <f t="shared" si="1037"/>
        <v>#ERROR!</v>
      </c>
      <c r="EZ131" s="319" t="str">
        <f t="shared" si="1037"/>
        <v>#ERROR!</v>
      </c>
      <c r="FA131" s="319" t="str">
        <f t="shared" si="1037"/>
        <v>#ERROR!</v>
      </c>
      <c r="FB131" s="342" t="str">
        <f>+FB72/EW72-1</f>
        <v>#ERROR!</v>
      </c>
      <c r="FC131" s="319" t="str">
        <f t="shared" ref="FC131:FF131" si="1038">+FC71/EX71-1</f>
        <v>#ERROR!</v>
      </c>
      <c r="FD131" s="319" t="str">
        <f t="shared" si="1038"/>
        <v>#ERROR!</v>
      </c>
      <c r="FE131" s="319" t="str">
        <f t="shared" si="1038"/>
        <v>#ERROR!</v>
      </c>
      <c r="FF131" s="319" t="str">
        <f t="shared" si="1038"/>
        <v>#ERROR!</v>
      </c>
      <c r="FG131" s="342" t="str">
        <f>+FG72/FB72-1</f>
        <v>#ERROR!</v>
      </c>
      <c r="FH131" s="343"/>
      <c r="FI131" s="319"/>
      <c r="FJ131" s="319"/>
      <c r="FK131" s="335"/>
      <c r="FL131" s="319"/>
    </row>
    <row r="132" ht="12.75" customHeight="1">
      <c r="A132" s="4"/>
      <c r="B132" s="344"/>
      <c r="C132" s="344"/>
      <c r="D132" s="158"/>
      <c r="E132" s="158"/>
      <c r="F132" s="158"/>
      <c r="G132" s="158"/>
      <c r="H132" s="344"/>
      <c r="I132" s="158"/>
      <c r="J132" s="158"/>
      <c r="K132" s="158"/>
      <c r="L132" s="158"/>
      <c r="M132" s="344"/>
      <c r="N132" s="158"/>
      <c r="O132" s="158"/>
      <c r="P132" s="158"/>
      <c r="Q132" s="158"/>
      <c r="R132" s="344"/>
      <c r="S132" s="158"/>
      <c r="T132" s="158"/>
      <c r="U132" s="158"/>
      <c r="V132" s="158"/>
      <c r="W132" s="344"/>
      <c r="X132" s="158"/>
      <c r="Y132" s="158"/>
      <c r="Z132" s="158"/>
      <c r="AA132" s="158"/>
      <c r="AB132" s="344"/>
      <c r="AC132" s="158"/>
      <c r="AD132" s="158"/>
      <c r="AE132" s="158"/>
      <c r="AF132" s="158"/>
      <c r="AG132" s="344"/>
      <c r="AH132" s="158"/>
      <c r="AI132" s="158"/>
      <c r="AJ132" s="158"/>
      <c r="AK132" s="158"/>
      <c r="AL132" s="344"/>
      <c r="AM132" s="158"/>
      <c r="AN132" s="158"/>
      <c r="AO132" s="158"/>
      <c r="AP132" s="158"/>
      <c r="AQ132" s="344"/>
      <c r="AR132" s="158"/>
      <c r="AS132" s="158"/>
      <c r="AT132" s="158"/>
      <c r="AU132" s="158"/>
      <c r="AV132" s="344"/>
      <c r="AW132" s="158"/>
      <c r="AX132" s="158"/>
      <c r="AY132" s="158"/>
      <c r="AZ132" s="158"/>
      <c r="BA132" s="344"/>
      <c r="BB132" s="158"/>
      <c r="BC132" s="158"/>
      <c r="BD132" s="158"/>
      <c r="BE132" s="158"/>
      <c r="BF132" s="344"/>
      <c r="BG132" s="158"/>
      <c r="BH132" s="158"/>
      <c r="BI132" s="158"/>
      <c r="BJ132" s="158"/>
      <c r="BK132" s="344"/>
      <c r="BL132" s="158"/>
      <c r="BM132" s="158"/>
      <c r="BN132" s="158"/>
      <c r="BO132" s="158"/>
      <c r="BP132" s="344"/>
      <c r="BQ132" s="158"/>
      <c r="BR132" s="158"/>
      <c r="BS132" s="158"/>
      <c r="BT132" s="158"/>
      <c r="BU132" s="344"/>
      <c r="BV132" s="158"/>
      <c r="BW132" s="158"/>
      <c r="BX132" s="158"/>
      <c r="BY132" s="158"/>
      <c r="BZ132" s="345"/>
      <c r="CA132" s="158"/>
      <c r="CB132" s="158"/>
      <c r="CC132" s="158"/>
      <c r="CD132" s="158"/>
      <c r="CE132" s="345"/>
      <c r="CF132" s="158"/>
      <c r="CG132" s="158"/>
      <c r="CH132" s="158"/>
      <c r="CI132" s="158"/>
      <c r="CJ132" s="345"/>
      <c r="CK132" s="158"/>
      <c r="CL132" s="158"/>
      <c r="CM132" s="158"/>
      <c r="CN132" s="346"/>
      <c r="CO132" s="345"/>
      <c r="CP132" s="347"/>
      <c r="CQ132" s="347"/>
      <c r="CR132" s="347"/>
      <c r="CS132" s="347"/>
      <c r="CT132" s="345"/>
      <c r="CU132" s="158"/>
      <c r="CV132" s="158"/>
      <c r="CW132" s="158"/>
      <c r="CX132" s="158"/>
      <c r="CY132" s="345"/>
      <c r="CZ132" s="158"/>
      <c r="DA132" s="158"/>
      <c r="DB132" s="158"/>
      <c r="DC132" s="158"/>
      <c r="DD132" s="345"/>
      <c r="DE132" s="158"/>
      <c r="DF132" s="158"/>
      <c r="DG132" s="158"/>
      <c r="DH132" s="158"/>
      <c r="DI132" s="345"/>
      <c r="DJ132" s="346"/>
      <c r="DK132" s="346"/>
      <c r="DL132" s="346"/>
      <c r="DM132" s="346"/>
      <c r="DN132" s="345"/>
      <c r="DO132" s="346"/>
      <c r="DP132" s="346"/>
      <c r="DQ132" s="346"/>
      <c r="DR132" s="346"/>
      <c r="DS132" s="345"/>
      <c r="DT132" s="346"/>
      <c r="DU132" s="346"/>
      <c r="DV132" s="346"/>
      <c r="DW132" s="346"/>
      <c r="DX132" s="345"/>
      <c r="DY132" s="346"/>
      <c r="DZ132" s="346"/>
      <c r="EA132" s="346"/>
      <c r="EB132" s="346"/>
      <c r="EC132" s="345"/>
      <c r="ED132" s="346"/>
      <c r="EE132" s="346"/>
      <c r="EF132" s="346"/>
      <c r="EG132" s="346"/>
      <c r="EH132" s="345"/>
      <c r="EI132" s="348"/>
      <c r="EJ132" s="158"/>
      <c r="EK132" s="158"/>
      <c r="EL132" s="158"/>
      <c r="EM132" s="345"/>
      <c r="EN132" s="158"/>
      <c r="EO132" s="158"/>
      <c r="EP132" s="158"/>
      <c r="EQ132" s="158"/>
      <c r="ER132" s="345"/>
      <c r="ES132" s="158"/>
      <c r="ET132" s="158"/>
      <c r="EU132" s="158"/>
      <c r="EV132" s="158"/>
      <c r="EW132" s="345"/>
      <c r="EX132" s="158"/>
      <c r="EY132" s="158"/>
      <c r="EZ132" s="158"/>
      <c r="FA132" s="158"/>
      <c r="FB132" s="345"/>
      <c r="FC132" s="158"/>
      <c r="FD132" s="158"/>
      <c r="FE132" s="158"/>
      <c r="FF132" s="158"/>
      <c r="FG132" s="345"/>
      <c r="FH132" s="349"/>
      <c r="FI132" s="158"/>
      <c r="FJ132" s="158"/>
      <c r="FK132" s="344"/>
      <c r="FL132" s="158"/>
    </row>
    <row r="133" ht="12.75" customHeight="1">
      <c r="A133" s="4"/>
      <c r="B133" s="45"/>
      <c r="C133" s="45"/>
      <c r="D133" s="4"/>
      <c r="E133" s="4"/>
      <c r="F133" s="4"/>
      <c r="G133" s="4"/>
      <c r="H133" s="45"/>
      <c r="I133" s="4"/>
      <c r="J133" s="4"/>
      <c r="K133" s="4"/>
      <c r="L133" s="4"/>
      <c r="M133" s="45"/>
      <c r="N133" s="4"/>
      <c r="O133" s="4"/>
      <c r="P133" s="4"/>
      <c r="Q133" s="4"/>
      <c r="R133" s="45"/>
      <c r="S133" s="4"/>
      <c r="T133" s="4"/>
      <c r="U133" s="4"/>
      <c r="V133" s="4"/>
      <c r="W133" s="45"/>
      <c r="X133" s="4"/>
      <c r="Y133" s="4"/>
      <c r="Z133" s="4"/>
      <c r="AA133" s="4"/>
      <c r="AB133" s="45"/>
      <c r="AC133" s="4"/>
      <c r="AD133" s="4"/>
      <c r="AE133" s="4"/>
      <c r="AF133" s="4"/>
      <c r="AG133" s="45"/>
      <c r="AH133" s="4"/>
      <c r="AI133" s="4"/>
      <c r="AJ133" s="4"/>
      <c r="AK133" s="4"/>
      <c r="AL133" s="45"/>
      <c r="AM133" s="4"/>
      <c r="AN133" s="4"/>
      <c r="AO133" s="4"/>
      <c r="AP133" s="4"/>
      <c r="AQ133" s="45"/>
      <c r="AR133" s="4"/>
      <c r="AS133" s="4"/>
      <c r="AT133" s="4"/>
      <c r="AU133" s="4"/>
      <c r="AV133" s="45"/>
      <c r="AW133" s="4"/>
      <c r="AX133" s="4"/>
      <c r="AY133" s="4"/>
      <c r="AZ133" s="4"/>
      <c r="BA133" s="45"/>
      <c r="BB133" s="4"/>
      <c r="BC133" s="4"/>
      <c r="BD133" s="4"/>
      <c r="BE133" s="4"/>
      <c r="BF133" s="45"/>
      <c r="BG133" s="4"/>
      <c r="BH133" s="4"/>
      <c r="BI133" s="4"/>
      <c r="BJ133" s="4"/>
      <c r="BK133" s="45"/>
      <c r="BL133" s="4"/>
      <c r="BM133" s="4"/>
      <c r="BN133" s="4"/>
      <c r="BO133" s="4"/>
      <c r="BP133" s="45"/>
      <c r="BQ133" s="4"/>
      <c r="BR133" s="4"/>
      <c r="BS133" s="4"/>
      <c r="BT133" s="4"/>
      <c r="BU133" s="45"/>
      <c r="BV133" s="4"/>
      <c r="BW133" s="4"/>
      <c r="BX133" s="4"/>
      <c r="BY133" s="4"/>
      <c r="BZ133" s="350"/>
      <c r="CA133" s="4"/>
      <c r="CB133" s="4"/>
      <c r="CC133" s="4"/>
      <c r="CD133" s="4"/>
      <c r="CE133" s="350"/>
      <c r="CF133" s="4"/>
      <c r="CG133" s="4"/>
      <c r="CH133" s="4"/>
      <c r="CI133" s="4"/>
      <c r="CJ133" s="350"/>
      <c r="CK133" s="4"/>
      <c r="CL133" s="4"/>
      <c r="CM133" s="4"/>
      <c r="CN133" s="16"/>
      <c r="CO133" s="350"/>
      <c r="CP133" s="104"/>
      <c r="CQ133" s="104"/>
      <c r="CR133" s="104"/>
      <c r="CS133" s="104"/>
      <c r="CT133" s="350"/>
      <c r="CU133" s="4"/>
      <c r="CV133" s="4"/>
      <c r="CW133" s="4"/>
      <c r="CX133" s="4"/>
      <c r="CY133" s="350"/>
      <c r="CZ133" s="4"/>
      <c r="DA133" s="4"/>
      <c r="DB133" s="4"/>
      <c r="DC133" s="4"/>
      <c r="DD133" s="350"/>
      <c r="DE133" s="4"/>
      <c r="DF133" s="4"/>
      <c r="DG133" s="4"/>
      <c r="DH133" s="4"/>
      <c r="DI133" s="350"/>
      <c r="DJ133" s="16"/>
      <c r="DK133" s="16"/>
      <c r="DL133" s="16"/>
      <c r="DM133" s="16"/>
      <c r="DN133" s="350"/>
      <c r="DO133" s="16"/>
      <c r="DP133" s="16"/>
      <c r="DQ133" s="16"/>
      <c r="DR133" s="16"/>
      <c r="DS133" s="350"/>
      <c r="DT133" s="16"/>
      <c r="DU133" s="16"/>
      <c r="DV133" s="16"/>
      <c r="DW133" s="16"/>
      <c r="DX133" s="350"/>
      <c r="DY133" s="16"/>
      <c r="DZ133" s="16"/>
      <c r="EA133" s="16"/>
      <c r="EB133" s="16"/>
      <c r="EC133" s="350"/>
      <c r="ED133" s="16"/>
      <c r="EE133" s="16"/>
      <c r="EF133" s="16"/>
      <c r="EG133" s="16"/>
      <c r="EH133" s="350"/>
      <c r="EI133" s="214"/>
      <c r="EJ133" s="4"/>
      <c r="EK133" s="4"/>
      <c r="EL133" s="4"/>
      <c r="EM133" s="350"/>
      <c r="EN133" s="4"/>
      <c r="EO133" s="4"/>
      <c r="EP133" s="4"/>
      <c r="EQ133" s="4"/>
      <c r="ER133" s="350"/>
      <c r="ES133" s="4"/>
      <c r="ET133" s="4"/>
      <c r="EU133" s="4"/>
      <c r="EV133" s="4"/>
      <c r="EW133" s="350"/>
      <c r="EX133" s="4"/>
      <c r="EY133" s="4"/>
      <c r="EZ133" s="4"/>
      <c r="FA133" s="4"/>
      <c r="FB133" s="350"/>
      <c r="FC133" s="4"/>
      <c r="FD133" s="4"/>
      <c r="FE133" s="4"/>
      <c r="FF133" s="4"/>
      <c r="FG133" s="350"/>
      <c r="FH133" s="145"/>
      <c r="FI133" s="4"/>
      <c r="FJ133" s="4"/>
      <c r="FK133" s="45"/>
      <c r="FL133" s="4"/>
    </row>
    <row r="134" ht="12.75" customHeight="1">
      <c r="A134" s="4"/>
      <c r="B134" s="45"/>
      <c r="C134" s="45"/>
      <c r="D134" s="4"/>
      <c r="E134" s="4"/>
      <c r="F134" s="4"/>
      <c r="G134" s="4"/>
      <c r="H134" s="45"/>
      <c r="I134" s="4"/>
      <c r="J134" s="4"/>
      <c r="K134" s="4"/>
      <c r="L134" s="4"/>
      <c r="M134" s="45"/>
      <c r="N134" s="4"/>
      <c r="O134" s="4"/>
      <c r="P134" s="4"/>
      <c r="Q134" s="4"/>
      <c r="R134" s="45"/>
      <c r="S134" s="4"/>
      <c r="T134" s="4"/>
      <c r="U134" s="4"/>
      <c r="V134" s="4"/>
      <c r="W134" s="45"/>
      <c r="X134" s="4"/>
      <c r="Y134" s="4"/>
      <c r="Z134" s="4"/>
      <c r="AA134" s="4"/>
      <c r="AB134" s="45"/>
      <c r="AC134" s="4"/>
      <c r="AD134" s="4"/>
      <c r="AE134" s="4"/>
      <c r="AF134" s="4"/>
      <c r="AG134" s="45"/>
      <c r="AH134" s="4"/>
      <c r="AI134" s="4"/>
      <c r="AJ134" s="4"/>
      <c r="AK134" s="4"/>
      <c r="AL134" s="45"/>
      <c r="AM134" s="4"/>
      <c r="AN134" s="4"/>
      <c r="AO134" s="4"/>
      <c r="AP134" s="4"/>
      <c r="AQ134" s="45"/>
      <c r="AR134" s="4"/>
      <c r="AS134" s="4"/>
      <c r="AT134" s="4"/>
      <c r="AU134" s="4"/>
      <c r="AV134" s="45"/>
      <c r="AW134" s="4"/>
      <c r="AX134" s="4"/>
      <c r="AY134" s="4"/>
      <c r="AZ134" s="4"/>
      <c r="BA134" s="45"/>
      <c r="BB134" s="4"/>
      <c r="BC134" s="4"/>
      <c r="BD134" s="4"/>
      <c r="BE134" s="4"/>
      <c r="BF134" s="45"/>
      <c r="BG134" s="4"/>
      <c r="BH134" s="4"/>
      <c r="BI134" s="4"/>
      <c r="BJ134" s="4"/>
      <c r="BK134" s="45"/>
      <c r="BL134" s="4"/>
      <c r="BM134" s="4"/>
      <c r="BN134" s="4"/>
      <c r="BO134" s="4"/>
      <c r="BP134" s="45"/>
      <c r="BQ134" s="4"/>
      <c r="BR134" s="4"/>
      <c r="BS134" s="4"/>
      <c r="BT134" s="4"/>
      <c r="BU134" s="45"/>
      <c r="BV134" s="4"/>
      <c r="BW134" s="4"/>
      <c r="BX134" s="4"/>
      <c r="BY134" s="4"/>
      <c r="BZ134" s="350"/>
      <c r="CA134" s="4"/>
      <c r="CB134" s="4"/>
      <c r="CC134" s="4"/>
      <c r="CD134" s="4"/>
      <c r="CE134" s="350"/>
      <c r="CF134" s="4"/>
      <c r="CG134" s="4"/>
      <c r="CH134" s="4"/>
      <c r="CI134" s="4"/>
      <c r="CJ134" s="350"/>
      <c r="CK134" s="4"/>
      <c r="CL134" s="4"/>
      <c r="CM134" s="4"/>
      <c r="CN134" s="16"/>
      <c r="CO134" s="350"/>
      <c r="CP134" s="104"/>
      <c r="CQ134" s="104"/>
      <c r="CR134" s="104"/>
      <c r="CS134" s="104"/>
      <c r="CT134" s="350"/>
      <c r="CU134" s="4"/>
      <c r="CV134" s="4"/>
      <c r="CW134" s="4"/>
      <c r="CX134" s="4"/>
      <c r="CY134" s="350"/>
      <c r="CZ134" s="4"/>
      <c r="DA134" s="4"/>
      <c r="DB134" s="4"/>
      <c r="DC134" s="4"/>
      <c r="DD134" s="350"/>
      <c r="DE134" s="4"/>
      <c r="DF134" s="4"/>
      <c r="DG134" s="4"/>
      <c r="DH134" s="4"/>
      <c r="DI134" s="350"/>
      <c r="DJ134" s="16"/>
      <c r="DK134" s="16"/>
      <c r="DL134" s="16"/>
      <c r="DM134" s="16"/>
      <c r="DN134" s="350"/>
      <c r="DO134" s="16"/>
      <c r="DP134" s="16"/>
      <c r="DQ134" s="16"/>
      <c r="DR134" s="16"/>
      <c r="DS134" s="350"/>
      <c r="DT134" s="16"/>
      <c r="DU134" s="16"/>
      <c r="DV134" s="16"/>
      <c r="DW134" s="16"/>
      <c r="DX134" s="350"/>
      <c r="DY134" s="16"/>
      <c r="DZ134" s="16"/>
      <c r="EA134" s="16"/>
      <c r="EB134" s="16"/>
      <c r="EC134" s="350"/>
      <c r="ED134" s="16"/>
      <c r="EE134" s="16"/>
      <c r="EF134" s="16"/>
      <c r="EG134" s="16"/>
      <c r="EH134" s="350"/>
      <c r="EI134" s="214"/>
      <c r="EJ134" s="4"/>
      <c r="EK134" s="4"/>
      <c r="EL134" s="4"/>
      <c r="EM134" s="350"/>
      <c r="EN134" s="4"/>
      <c r="EO134" s="4"/>
      <c r="EP134" s="4"/>
      <c r="EQ134" s="4"/>
      <c r="ER134" s="350"/>
      <c r="ES134" s="4"/>
      <c r="ET134" s="4"/>
      <c r="EU134" s="4"/>
      <c r="EV134" s="4"/>
      <c r="EW134" s="350"/>
      <c r="EX134" s="4"/>
      <c r="EY134" s="4"/>
      <c r="EZ134" s="4"/>
      <c r="FA134" s="4"/>
      <c r="FB134" s="350"/>
      <c r="FC134" s="4"/>
      <c r="FD134" s="4"/>
      <c r="FE134" s="4"/>
      <c r="FF134" s="4"/>
      <c r="FG134" s="350"/>
      <c r="FH134" s="145"/>
      <c r="FI134" s="4"/>
      <c r="FJ134" s="4"/>
      <c r="FK134" s="45"/>
      <c r="FL134" s="4"/>
    </row>
    <row r="135" ht="12.75" customHeight="1">
      <c r="A135" s="4"/>
      <c r="B135" s="351" t="s">
        <v>142</v>
      </c>
      <c r="C135" s="45"/>
      <c r="D135" s="4"/>
      <c r="E135" s="4"/>
      <c r="F135" s="4"/>
      <c r="G135" s="4"/>
      <c r="H135" s="45"/>
      <c r="I135" s="4"/>
      <c r="J135" s="4"/>
      <c r="K135" s="4"/>
      <c r="L135" s="4"/>
      <c r="M135" s="45"/>
      <c r="N135" s="4"/>
      <c r="O135" s="4"/>
      <c r="P135" s="4"/>
      <c r="Q135" s="4"/>
      <c r="R135" s="45"/>
      <c r="S135" s="4"/>
      <c r="T135" s="4"/>
      <c r="U135" s="4"/>
      <c r="V135" s="4"/>
      <c r="W135" s="45"/>
      <c r="X135" s="4"/>
      <c r="Y135" s="4"/>
      <c r="Z135" s="4"/>
      <c r="AA135" s="4"/>
      <c r="AB135" s="45"/>
      <c r="AC135" s="4"/>
      <c r="AD135" s="4"/>
      <c r="AE135" s="4"/>
      <c r="AF135" s="4"/>
      <c r="AG135" s="45"/>
      <c r="AH135" s="4"/>
      <c r="AI135" s="4"/>
      <c r="AJ135" s="4"/>
      <c r="AK135" s="4"/>
      <c r="AL135" s="45"/>
      <c r="AM135" s="4"/>
      <c r="AN135" s="4"/>
      <c r="AO135" s="4"/>
      <c r="AP135" s="4"/>
      <c r="AQ135" s="45"/>
      <c r="AR135" s="4"/>
      <c r="AS135" s="4"/>
      <c r="AT135" s="4"/>
      <c r="AU135" s="4"/>
      <c r="AV135" s="45"/>
      <c r="AW135" s="4"/>
      <c r="AX135" s="4"/>
      <c r="AY135" s="4"/>
      <c r="AZ135" s="4"/>
      <c r="BA135" s="45"/>
      <c r="BB135" s="4"/>
      <c r="BC135" s="4"/>
      <c r="BD135" s="4"/>
      <c r="BE135" s="4"/>
      <c r="BF135" s="45"/>
      <c r="BG135" s="4"/>
      <c r="BH135" s="4"/>
      <c r="BI135" s="4"/>
      <c r="BJ135" s="4"/>
      <c r="BK135" s="45"/>
      <c r="BL135" s="4"/>
      <c r="BM135" s="4"/>
      <c r="BN135" s="4"/>
      <c r="BO135" s="4"/>
      <c r="BP135" s="45"/>
      <c r="BQ135" s="4"/>
      <c r="BR135" s="4"/>
      <c r="BS135" s="4"/>
      <c r="BT135" s="4"/>
      <c r="BU135" s="45"/>
      <c r="BV135" s="4"/>
      <c r="BW135" s="4"/>
      <c r="BX135" s="4"/>
      <c r="BY135" s="4"/>
      <c r="BZ135" s="350"/>
      <c r="CA135" s="4"/>
      <c r="CB135" s="4"/>
      <c r="CC135" s="4"/>
      <c r="CD135" s="4"/>
      <c r="CE135" s="350"/>
      <c r="CF135" s="4"/>
      <c r="CG135" s="4"/>
      <c r="CH135" s="4"/>
      <c r="CI135" s="4"/>
      <c r="CJ135" s="350"/>
      <c r="CK135" s="4"/>
      <c r="CL135" s="4"/>
      <c r="CM135" s="4"/>
      <c r="CN135" s="16"/>
      <c r="CO135" s="350"/>
      <c r="CP135" s="104"/>
      <c r="CQ135" s="104"/>
      <c r="CR135" s="104"/>
      <c r="CS135" s="104"/>
      <c r="CT135" s="350"/>
      <c r="CU135" s="4"/>
      <c r="CV135" s="4"/>
      <c r="CW135" s="4"/>
      <c r="CX135" s="4"/>
      <c r="CY135" s="350"/>
      <c r="CZ135" s="4"/>
      <c r="DA135" s="4"/>
      <c r="DB135" s="4"/>
      <c r="DC135" s="4"/>
      <c r="DD135" s="350"/>
      <c r="DE135" s="4"/>
      <c r="DF135" s="4"/>
      <c r="DG135" s="4"/>
      <c r="DH135" s="4"/>
      <c r="DI135" s="350"/>
      <c r="DJ135" s="16"/>
      <c r="DK135" s="16"/>
      <c r="DL135" s="16"/>
      <c r="DM135" s="16"/>
      <c r="DN135" s="350"/>
      <c r="DO135" s="16"/>
      <c r="DP135" s="16"/>
      <c r="DQ135" s="16"/>
      <c r="DR135" s="16"/>
      <c r="DS135" s="350"/>
      <c r="DT135" s="16"/>
      <c r="DU135" s="16"/>
      <c r="DV135" s="16"/>
      <c r="DW135" s="16"/>
      <c r="DX135" s="350"/>
      <c r="DY135" s="16"/>
      <c r="DZ135" s="16"/>
      <c r="EA135" s="16"/>
      <c r="EB135" s="16"/>
      <c r="EC135" s="350"/>
      <c r="ED135" s="16"/>
      <c r="EE135" s="16"/>
      <c r="EF135" s="16"/>
      <c r="EG135" s="16"/>
      <c r="EH135" s="350"/>
      <c r="EI135" s="214"/>
      <c r="EJ135" s="4"/>
      <c r="EK135" s="4"/>
      <c r="EL135" s="4"/>
      <c r="EM135" s="350"/>
      <c r="EN135" s="4"/>
      <c r="EO135" s="4"/>
      <c r="EP135" s="4"/>
      <c r="EQ135" s="4"/>
      <c r="ER135" s="350"/>
      <c r="ES135" s="4"/>
      <c r="ET135" s="4"/>
      <c r="EU135" s="4"/>
      <c r="EV135" s="4"/>
      <c r="EW135" s="350"/>
      <c r="EX135" s="4"/>
      <c r="EY135" s="4"/>
      <c r="EZ135" s="4"/>
      <c r="FA135" s="4"/>
      <c r="FB135" s="350"/>
      <c r="FC135" s="4"/>
      <c r="FD135" s="4"/>
      <c r="FE135" s="4"/>
      <c r="FF135" s="4"/>
      <c r="FG135" s="350"/>
      <c r="FH135" s="145"/>
      <c r="FI135" s="4"/>
      <c r="FJ135" s="4"/>
      <c r="FK135" s="45"/>
      <c r="FL135" s="4"/>
    </row>
    <row r="136" ht="12.75" customHeight="1">
      <c r="A136" s="4"/>
      <c r="B136" s="45"/>
      <c r="C136" s="45"/>
      <c r="D136" s="4"/>
      <c r="E136" s="4"/>
      <c r="F136" s="4"/>
      <c r="G136" s="4"/>
      <c r="H136" s="45"/>
      <c r="I136" s="4"/>
      <c r="J136" s="4"/>
      <c r="K136" s="4"/>
      <c r="L136" s="4"/>
      <c r="M136" s="45"/>
      <c r="N136" s="4"/>
      <c r="O136" s="4"/>
      <c r="P136" s="4"/>
      <c r="Q136" s="4"/>
      <c r="R136" s="45"/>
      <c r="S136" s="4"/>
      <c r="T136" s="4"/>
      <c r="U136" s="4"/>
      <c r="V136" s="4"/>
      <c r="W136" s="45"/>
      <c r="X136" s="4"/>
      <c r="Y136" s="4"/>
      <c r="Z136" s="4"/>
      <c r="AA136" s="4"/>
      <c r="AB136" s="45"/>
      <c r="AC136" s="4"/>
      <c r="AD136" s="4"/>
      <c r="AE136" s="4"/>
      <c r="AF136" s="4"/>
      <c r="AG136" s="45"/>
      <c r="AH136" s="4"/>
      <c r="AI136" s="4"/>
      <c r="AJ136" s="4"/>
      <c r="AK136" s="4"/>
      <c r="AL136" s="45"/>
      <c r="AM136" s="4"/>
      <c r="AN136" s="4"/>
      <c r="AO136" s="4"/>
      <c r="AP136" s="4"/>
      <c r="AQ136" s="45"/>
      <c r="AR136" s="4"/>
      <c r="AS136" s="4"/>
      <c r="AT136" s="4"/>
      <c r="AU136" s="4"/>
      <c r="AV136" s="45"/>
      <c r="AW136" s="4"/>
      <c r="AX136" s="4"/>
      <c r="AY136" s="4"/>
      <c r="AZ136" s="4"/>
      <c r="BA136" s="45"/>
      <c r="BB136" s="4"/>
      <c r="BC136" s="4"/>
      <c r="BD136" s="4"/>
      <c r="BE136" s="4"/>
      <c r="BF136" s="45"/>
      <c r="BG136" s="4"/>
      <c r="BH136" s="4"/>
      <c r="BI136" s="4"/>
      <c r="BJ136" s="4"/>
      <c r="BK136" s="45"/>
      <c r="BL136" s="4"/>
      <c r="BM136" s="4"/>
      <c r="BN136" s="4"/>
      <c r="BO136" s="4"/>
      <c r="BP136" s="45"/>
      <c r="BQ136" s="4"/>
      <c r="BR136" s="4"/>
      <c r="BS136" s="4"/>
      <c r="BT136" s="4"/>
      <c r="BU136" s="45"/>
      <c r="BV136" s="4"/>
      <c r="BW136" s="4"/>
      <c r="BX136" s="4"/>
      <c r="BY136" s="4"/>
      <c r="BZ136" s="350"/>
      <c r="CA136" s="4"/>
      <c r="CB136" s="4"/>
      <c r="CC136" s="4"/>
      <c r="CD136" s="4"/>
      <c r="CE136" s="350"/>
      <c r="CF136" s="4"/>
      <c r="CG136" s="4"/>
      <c r="CH136" s="4"/>
      <c r="CI136" s="4"/>
      <c r="CJ136" s="350"/>
      <c r="CK136" s="4"/>
      <c r="CL136" s="4"/>
      <c r="CM136" s="4"/>
      <c r="CN136" s="16"/>
      <c r="CO136" s="350"/>
      <c r="CP136" s="104"/>
      <c r="CQ136" s="104"/>
      <c r="CR136" s="104"/>
      <c r="CS136" s="104"/>
      <c r="CT136" s="350"/>
      <c r="CU136" s="4"/>
      <c r="CV136" s="4"/>
      <c r="CW136" s="4"/>
      <c r="CX136" s="4"/>
      <c r="CY136" s="350"/>
      <c r="CZ136" s="4"/>
      <c r="DA136" s="4"/>
      <c r="DB136" s="4"/>
      <c r="DC136" s="4"/>
      <c r="DD136" s="350"/>
      <c r="DE136" s="4"/>
      <c r="DF136" s="4"/>
      <c r="DG136" s="4"/>
      <c r="DH136" s="4"/>
      <c r="DI136" s="350"/>
      <c r="DJ136" s="16"/>
      <c r="DK136" s="16"/>
      <c r="DL136" s="16"/>
      <c r="DM136" s="16"/>
      <c r="DN136" s="350"/>
      <c r="DO136" s="16"/>
      <c r="DP136" s="16"/>
      <c r="DQ136" s="16"/>
      <c r="DR136" s="16"/>
      <c r="DS136" s="350"/>
      <c r="DT136" s="16"/>
      <c r="DU136" s="16"/>
      <c r="DV136" s="16"/>
      <c r="DW136" s="16"/>
      <c r="DX136" s="350"/>
      <c r="DY136" s="352">
        <f t="shared" ref="DY136:EB136" si="1039">DY138-DY265</f>
        <v>118</v>
      </c>
      <c r="DZ136" s="352">
        <f t="shared" si="1039"/>
        <v>144</v>
      </c>
      <c r="EA136" s="352">
        <f t="shared" si="1039"/>
        <v>124</v>
      </c>
      <c r="EB136" s="352">
        <f t="shared" si="1039"/>
        <v>170</v>
      </c>
      <c r="EC136" s="350"/>
      <c r="ED136" s="16"/>
      <c r="EE136" s="16"/>
      <c r="EF136" s="16"/>
      <c r="EG136" s="16"/>
      <c r="EH136" s="350"/>
      <c r="EI136" s="214"/>
      <c r="EJ136" s="4"/>
      <c r="EK136" s="4"/>
      <c r="EL136" s="4"/>
      <c r="EM136" s="350"/>
      <c r="EN136" s="4"/>
      <c r="EO136" s="4"/>
      <c r="EP136" s="4"/>
      <c r="EQ136" s="4"/>
      <c r="ER136" s="350"/>
      <c r="ES136" s="4"/>
      <c r="ET136" s="4"/>
      <c r="EU136" s="4"/>
      <c r="EV136" s="4"/>
      <c r="EW136" s="350"/>
      <c r="EX136" s="4"/>
      <c r="EY136" s="4"/>
      <c r="EZ136" s="4"/>
      <c r="FA136" s="4"/>
      <c r="FB136" s="350"/>
      <c r="FC136" s="4"/>
      <c r="FD136" s="4"/>
      <c r="FE136" s="4"/>
      <c r="FF136" s="4"/>
      <c r="FG136" s="350"/>
      <c r="FH136" s="145"/>
      <c r="FI136" s="4"/>
      <c r="FJ136" s="4"/>
      <c r="FK136" s="45"/>
      <c r="FL136" s="4"/>
    </row>
    <row r="137" ht="12.75" customHeight="1">
      <c r="A137" s="4"/>
      <c r="B137" s="45" t="s">
        <v>143</v>
      </c>
      <c r="C137" s="45"/>
      <c r="D137" s="4"/>
      <c r="E137" s="4"/>
      <c r="F137" s="4"/>
      <c r="G137" s="4"/>
      <c r="H137" s="45"/>
      <c r="I137" s="4"/>
      <c r="J137" s="4"/>
      <c r="K137" s="4"/>
      <c r="L137" s="4"/>
      <c r="M137" s="45"/>
      <c r="N137" s="4"/>
      <c r="O137" s="4"/>
      <c r="P137" s="4"/>
      <c r="Q137" s="4"/>
      <c r="R137" s="45"/>
      <c r="S137" s="4"/>
      <c r="T137" s="4"/>
      <c r="U137" s="4"/>
      <c r="V137" s="4"/>
      <c r="W137" s="45"/>
      <c r="X137" s="4"/>
      <c r="Y137" s="4"/>
      <c r="Z137" s="4"/>
      <c r="AA137" s="4"/>
      <c r="AB137" s="45"/>
      <c r="AC137" s="4"/>
      <c r="AD137" s="4"/>
      <c r="AE137" s="4"/>
      <c r="AF137" s="4"/>
      <c r="AG137" s="45"/>
      <c r="AH137" s="4"/>
      <c r="AI137" s="4"/>
      <c r="AJ137" s="4"/>
      <c r="AK137" s="4"/>
      <c r="AL137" s="45"/>
      <c r="AM137" s="4"/>
      <c r="AN137" s="4"/>
      <c r="AO137" s="4"/>
      <c r="AP137" s="4"/>
      <c r="AQ137" s="45"/>
      <c r="AR137" s="4"/>
      <c r="AS137" s="4"/>
      <c r="AT137" s="4"/>
      <c r="AU137" s="4"/>
      <c r="AV137" s="45"/>
      <c r="AW137" s="4"/>
      <c r="AX137" s="4"/>
      <c r="AY137" s="4"/>
      <c r="AZ137" s="4"/>
      <c r="BA137" s="45"/>
      <c r="BB137" s="4"/>
      <c r="BC137" s="4"/>
      <c r="BD137" s="4"/>
      <c r="BE137" s="4"/>
      <c r="BF137" s="45"/>
      <c r="BG137" s="4"/>
      <c r="BH137" s="4"/>
      <c r="BI137" s="4"/>
      <c r="BJ137" s="4"/>
      <c r="BK137" s="45"/>
      <c r="BL137" s="4"/>
      <c r="BM137" s="4"/>
      <c r="BN137" s="4"/>
      <c r="BO137" s="4"/>
      <c r="BP137" s="45"/>
      <c r="BQ137" s="4"/>
      <c r="BR137" s="4"/>
      <c r="BS137" s="4"/>
      <c r="BT137" s="4"/>
      <c r="BU137" s="45"/>
      <c r="BV137" s="4"/>
      <c r="BW137" s="4"/>
      <c r="BX137" s="4"/>
      <c r="BY137" s="4"/>
      <c r="BZ137" s="350"/>
      <c r="CA137" s="4"/>
      <c r="CB137" s="4"/>
      <c r="CC137" s="4"/>
      <c r="CD137" s="4"/>
      <c r="CE137" s="350"/>
      <c r="CF137" s="4"/>
      <c r="CG137" s="4"/>
      <c r="CH137" s="4"/>
      <c r="CI137" s="4"/>
      <c r="CJ137" s="350"/>
      <c r="CK137" s="4"/>
      <c r="CL137" s="4"/>
      <c r="CM137" s="4"/>
      <c r="CN137" s="16"/>
      <c r="CO137" s="350"/>
      <c r="CP137" s="104"/>
      <c r="CQ137" s="104"/>
      <c r="CR137" s="104"/>
      <c r="CS137" s="104"/>
      <c r="CT137" s="350"/>
      <c r="CU137" s="4"/>
      <c r="CV137" s="4"/>
      <c r="CW137" s="4"/>
      <c r="CX137" s="4"/>
      <c r="CY137" s="350"/>
      <c r="CZ137" s="4"/>
      <c r="DA137" s="4"/>
      <c r="DB137" s="4"/>
      <c r="DC137" s="4"/>
      <c r="DD137" s="350"/>
      <c r="DE137" s="4"/>
      <c r="DF137" s="4"/>
      <c r="DG137" s="4"/>
      <c r="DH137" s="4"/>
      <c r="DI137" s="350"/>
      <c r="DJ137" s="16"/>
      <c r="DK137" s="16"/>
      <c r="DL137" s="16"/>
      <c r="DM137" s="16"/>
      <c r="DN137" s="350"/>
      <c r="DO137" s="16"/>
      <c r="DP137" s="16"/>
      <c r="DQ137" s="16"/>
      <c r="DR137" s="16"/>
      <c r="DS137" s="350"/>
      <c r="DT137" s="16"/>
      <c r="DU137" s="16"/>
      <c r="DV137" s="16"/>
      <c r="DW137" s="16"/>
      <c r="DX137" s="350"/>
      <c r="DY137" s="4"/>
      <c r="DZ137" s="4"/>
      <c r="EA137" s="4"/>
      <c r="EB137" s="4"/>
      <c r="EC137" s="350"/>
      <c r="ED137" s="4"/>
      <c r="EE137" s="4"/>
      <c r="EF137" s="4"/>
      <c r="EG137" s="4"/>
      <c r="EH137" s="353"/>
      <c r="EI137" s="354"/>
      <c r="EJ137" s="355"/>
      <c r="EK137" s="355"/>
      <c r="EL137" s="355"/>
      <c r="EM137" s="353"/>
      <c r="EN137" s="355"/>
      <c r="EO137" s="355"/>
      <c r="EP137" s="355"/>
      <c r="EQ137" s="355"/>
      <c r="ER137" s="353"/>
      <c r="ES137" s="4"/>
      <c r="ET137" s="4"/>
      <c r="EU137" s="4"/>
      <c r="EV137" s="4"/>
      <c r="EW137" s="350"/>
      <c r="EX137" s="4"/>
      <c r="EY137" s="4"/>
      <c r="EZ137" s="4"/>
      <c r="FA137" s="4"/>
      <c r="FB137" s="350"/>
      <c r="FC137" s="4"/>
      <c r="FD137" s="4"/>
      <c r="FE137" s="4"/>
      <c r="FF137" s="4"/>
      <c r="FG137" s="350"/>
      <c r="FH137" s="145"/>
      <c r="FI137" s="4"/>
      <c r="FJ137" s="4"/>
      <c r="FK137" s="45"/>
      <c r="FL137" s="4"/>
    </row>
    <row r="138" ht="12.75" customHeight="1">
      <c r="A138" s="4"/>
      <c r="B138" s="72" t="s">
        <v>144</v>
      </c>
      <c r="C138" s="45"/>
      <c r="D138" s="4"/>
      <c r="E138" s="4"/>
      <c r="F138" s="4"/>
      <c r="G138" s="4"/>
      <c r="H138" s="45"/>
      <c r="I138" s="4"/>
      <c r="J138" s="4"/>
      <c r="K138" s="4"/>
      <c r="L138" s="4"/>
      <c r="M138" s="45"/>
      <c r="N138" s="4"/>
      <c r="O138" s="4"/>
      <c r="P138" s="4"/>
      <c r="Q138" s="4"/>
      <c r="R138" s="45"/>
      <c r="S138" s="4"/>
      <c r="T138" s="4"/>
      <c r="U138" s="4"/>
      <c r="V138" s="4"/>
      <c r="W138" s="45"/>
      <c r="X138" s="4"/>
      <c r="Y138" s="4"/>
      <c r="Z138" s="4"/>
      <c r="AA138" s="4"/>
      <c r="AB138" s="45"/>
      <c r="AC138" s="4"/>
      <c r="AD138" s="4"/>
      <c r="AE138" s="4"/>
      <c r="AF138" s="4"/>
      <c r="AG138" s="45"/>
      <c r="AH138" s="4"/>
      <c r="AI138" s="4"/>
      <c r="AJ138" s="4"/>
      <c r="AK138" s="4"/>
      <c r="AL138" s="45"/>
      <c r="AM138" s="4"/>
      <c r="AN138" s="4"/>
      <c r="AO138" s="4"/>
      <c r="AP138" s="4"/>
      <c r="AQ138" s="45"/>
      <c r="AR138" s="4"/>
      <c r="AS138" s="4"/>
      <c r="AT138" s="4"/>
      <c r="AU138" s="4"/>
      <c r="AV138" s="45"/>
      <c r="AW138" s="4"/>
      <c r="AX138" s="4"/>
      <c r="AY138" s="4"/>
      <c r="AZ138" s="4"/>
      <c r="BA138" s="45"/>
      <c r="BB138" s="4"/>
      <c r="BC138" s="4"/>
      <c r="BD138" s="4"/>
      <c r="BE138" s="4"/>
      <c r="BF138" s="45"/>
      <c r="BG138" s="4"/>
      <c r="BH138" s="4"/>
      <c r="BI138" s="4"/>
      <c r="BJ138" s="4"/>
      <c r="BK138" s="45"/>
      <c r="BL138" s="4"/>
      <c r="BM138" s="4"/>
      <c r="BN138" s="4"/>
      <c r="BO138" s="4"/>
      <c r="BP138" s="45"/>
      <c r="BQ138" s="4"/>
      <c r="BR138" s="4"/>
      <c r="BS138" s="4"/>
      <c r="BT138" s="4"/>
      <c r="BU138" s="45"/>
      <c r="BV138" s="4"/>
      <c r="BW138" s="4"/>
      <c r="BX138" s="4"/>
      <c r="BY138" s="4"/>
      <c r="BZ138" s="350"/>
      <c r="CA138" s="4"/>
      <c r="CB138" s="4"/>
      <c r="CC138" s="4"/>
      <c r="CD138" s="4"/>
      <c r="CE138" s="350"/>
      <c r="CF138" s="4"/>
      <c r="CG138" s="4"/>
      <c r="CH138" s="4"/>
      <c r="CI138" s="4"/>
      <c r="CJ138" s="350"/>
      <c r="CK138" s="4"/>
      <c r="CL138" s="4"/>
      <c r="CM138" s="4"/>
      <c r="CN138" s="16"/>
      <c r="CO138" s="350"/>
      <c r="CP138" s="104"/>
      <c r="CQ138" s="104"/>
      <c r="CR138" s="104"/>
      <c r="CS138" s="104"/>
      <c r="CT138" s="350"/>
      <c r="CU138" s="4"/>
      <c r="CV138" s="4"/>
      <c r="CW138" s="4"/>
      <c r="CX138" s="4"/>
      <c r="CY138" s="350"/>
      <c r="CZ138" s="4"/>
      <c r="DA138" s="4"/>
      <c r="DB138" s="4"/>
      <c r="DC138" s="4"/>
      <c r="DD138" s="350"/>
      <c r="DE138" s="4"/>
      <c r="DF138" s="4"/>
      <c r="DG138" s="4"/>
      <c r="DH138" s="4"/>
      <c r="DI138" s="350"/>
      <c r="DJ138" s="16"/>
      <c r="DK138" s="16"/>
      <c r="DL138" s="16"/>
      <c r="DM138" s="16"/>
      <c r="DN138" s="350"/>
      <c r="DO138" s="16"/>
      <c r="DP138" s="16"/>
      <c r="DQ138" s="16"/>
      <c r="DR138" s="16"/>
      <c r="DS138" s="356">
        <v>37938.0</v>
      </c>
      <c r="DT138" s="16"/>
      <c r="DU138" s="16"/>
      <c r="DV138" s="16"/>
      <c r="DW138" s="16"/>
      <c r="DX138" s="356">
        <v>40535.0</v>
      </c>
      <c r="DY138" s="357">
        <v>10723.0</v>
      </c>
      <c r="DZ138" s="357">
        <v>10253.0</v>
      </c>
      <c r="EA138" s="357">
        <v>9788.0</v>
      </c>
      <c r="EB138" s="357">
        <v>10303.0</v>
      </c>
      <c r="EC138" s="356">
        <f>SUM(DY138:EB138)</f>
        <v>41067</v>
      </c>
      <c r="ED138" s="357">
        <f t="shared" ref="ED138:EG138" si="1040">ED143+ED159+ED175</f>
        <v>9294</v>
      </c>
      <c r="EE138" s="357">
        <f t="shared" si="1040"/>
        <v>7665</v>
      </c>
      <c r="EF138" s="357">
        <f t="shared" si="1040"/>
        <v>8124</v>
      </c>
      <c r="EG138" s="357">
        <f t="shared" si="1040"/>
        <v>6625</v>
      </c>
      <c r="EH138" s="356">
        <f>SUM(ED138:EG138)</f>
        <v>31708</v>
      </c>
      <c r="EI138" s="358" t="str">
        <f t="shared" ref="EI138:EL138" si="1041">EI143+EI159+EI175</f>
        <v>#ERROR!</v>
      </c>
      <c r="EJ138" s="357" t="str">
        <f t="shared" si="1041"/>
        <v>#ERROR!</v>
      </c>
      <c r="EK138" s="357" t="str">
        <f t="shared" si="1041"/>
        <v>#ERROR!</v>
      </c>
      <c r="EL138" s="357" t="str">
        <f t="shared" si="1041"/>
        <v>#ERROR!</v>
      </c>
      <c r="EM138" s="356" t="str">
        <f>SUM(EI138:EL138)</f>
        <v>#ERROR!</v>
      </c>
      <c r="EN138" s="357" t="str">
        <f t="shared" ref="EN138:EQ138" si="1042">EN143+EN159+EN175</f>
        <v>#ERROR!</v>
      </c>
      <c r="EO138" s="357" t="str">
        <f t="shared" si="1042"/>
        <v>#ERROR!</v>
      </c>
      <c r="EP138" s="357" t="str">
        <f t="shared" si="1042"/>
        <v>#ERROR!</v>
      </c>
      <c r="EQ138" s="357" t="str">
        <f t="shared" si="1042"/>
        <v>#ERROR!</v>
      </c>
      <c r="ER138" s="356" t="str">
        <f>SUM(EN138:EQ138)</f>
        <v>#ERROR!</v>
      </c>
      <c r="ES138" s="357" t="str">
        <f t="shared" ref="ES138:EV138" si="1043">ES143+ES159+ES175</f>
        <v>#ERROR!</v>
      </c>
      <c r="ET138" s="357" t="str">
        <f t="shared" si="1043"/>
        <v>#ERROR!</v>
      </c>
      <c r="EU138" s="357" t="str">
        <f t="shared" si="1043"/>
        <v>#ERROR!</v>
      </c>
      <c r="EV138" s="357" t="str">
        <f t="shared" si="1043"/>
        <v>#ERROR!</v>
      </c>
      <c r="EW138" s="356" t="str">
        <f>SUM(ES138:EV138)</f>
        <v>#ERROR!</v>
      </c>
      <c r="EX138" s="357" t="str">
        <f t="shared" ref="EX138:FA138" si="1044">EX143+EX159+EX175</f>
        <v>#ERROR!</v>
      </c>
      <c r="EY138" s="357" t="str">
        <f t="shared" si="1044"/>
        <v>#ERROR!</v>
      </c>
      <c r="EZ138" s="357" t="str">
        <f t="shared" si="1044"/>
        <v>#ERROR!</v>
      </c>
      <c r="FA138" s="357" t="str">
        <f t="shared" si="1044"/>
        <v>#ERROR!</v>
      </c>
      <c r="FB138" s="356" t="str">
        <f>SUM(EX138:FA138)</f>
        <v>#ERROR!</v>
      </c>
      <c r="FC138" s="357" t="str">
        <f t="shared" ref="FC138:FF138" si="1045">FC143+FC159+FC175</f>
        <v>#ERROR!</v>
      </c>
      <c r="FD138" s="357" t="str">
        <f t="shared" si="1045"/>
        <v>#ERROR!</v>
      </c>
      <c r="FE138" s="357" t="str">
        <f t="shared" si="1045"/>
        <v>#ERROR!</v>
      </c>
      <c r="FF138" s="357" t="str">
        <f t="shared" si="1045"/>
        <v>#ERROR!</v>
      </c>
      <c r="FG138" s="356" t="str">
        <f>SUM(FC138:FF138)</f>
        <v>#ERROR!</v>
      </c>
      <c r="FH138" s="359"/>
      <c r="FI138" s="4"/>
      <c r="FJ138" s="4"/>
      <c r="FK138" s="45"/>
      <c r="FL138" s="4"/>
    </row>
    <row r="139" ht="12.75" customHeight="1">
      <c r="A139" s="4"/>
      <c r="B139" s="72" t="s">
        <v>145</v>
      </c>
      <c r="C139" s="45"/>
      <c r="D139" s="4"/>
      <c r="E139" s="4"/>
      <c r="F139" s="4"/>
      <c r="G139" s="4"/>
      <c r="H139" s="45"/>
      <c r="I139" s="4"/>
      <c r="J139" s="4"/>
      <c r="K139" s="4"/>
      <c r="L139" s="4"/>
      <c r="M139" s="45"/>
      <c r="N139" s="4"/>
      <c r="O139" s="4"/>
      <c r="P139" s="4"/>
      <c r="Q139" s="4"/>
      <c r="R139" s="45"/>
      <c r="S139" s="4"/>
      <c r="T139" s="4"/>
      <c r="U139" s="4"/>
      <c r="V139" s="4"/>
      <c r="W139" s="45"/>
      <c r="X139" s="4"/>
      <c r="Y139" s="4"/>
      <c r="Z139" s="4"/>
      <c r="AA139" s="4"/>
      <c r="AB139" s="45"/>
      <c r="AC139" s="4"/>
      <c r="AD139" s="4"/>
      <c r="AE139" s="4"/>
      <c r="AF139" s="4"/>
      <c r="AG139" s="45"/>
      <c r="AH139" s="4"/>
      <c r="AI139" s="4"/>
      <c r="AJ139" s="4"/>
      <c r="AK139" s="4"/>
      <c r="AL139" s="45"/>
      <c r="AM139" s="4"/>
      <c r="AN139" s="4"/>
      <c r="AO139" s="4"/>
      <c r="AP139" s="4"/>
      <c r="AQ139" s="45"/>
      <c r="AR139" s="4"/>
      <c r="AS139" s="4"/>
      <c r="AT139" s="4"/>
      <c r="AU139" s="4"/>
      <c r="AV139" s="45"/>
      <c r="AW139" s="4"/>
      <c r="AX139" s="4"/>
      <c r="AY139" s="4"/>
      <c r="AZ139" s="4"/>
      <c r="BA139" s="45"/>
      <c r="BB139" s="4"/>
      <c r="BC139" s="4"/>
      <c r="BD139" s="4"/>
      <c r="BE139" s="4"/>
      <c r="BF139" s="45"/>
      <c r="BG139" s="4"/>
      <c r="BH139" s="4"/>
      <c r="BI139" s="4"/>
      <c r="BJ139" s="4"/>
      <c r="BK139" s="45"/>
      <c r="BL139" s="4"/>
      <c r="BM139" s="4"/>
      <c r="BN139" s="4"/>
      <c r="BO139" s="4"/>
      <c r="BP139" s="45"/>
      <c r="BQ139" s="4"/>
      <c r="BR139" s="4"/>
      <c r="BS139" s="4"/>
      <c r="BT139" s="4"/>
      <c r="BU139" s="45"/>
      <c r="BV139" s="4"/>
      <c r="BW139" s="4"/>
      <c r="BX139" s="4"/>
      <c r="BY139" s="4"/>
      <c r="BZ139" s="350"/>
      <c r="CA139" s="4"/>
      <c r="CB139" s="4"/>
      <c r="CC139" s="4"/>
      <c r="CD139" s="4"/>
      <c r="CE139" s="350"/>
      <c r="CF139" s="4"/>
      <c r="CG139" s="4"/>
      <c r="CH139" s="4"/>
      <c r="CI139" s="4"/>
      <c r="CJ139" s="350"/>
      <c r="CK139" s="4"/>
      <c r="CL139" s="4"/>
      <c r="CM139" s="4"/>
      <c r="CN139" s="16"/>
      <c r="CO139" s="350"/>
      <c r="CP139" s="104"/>
      <c r="CQ139" s="104"/>
      <c r="CR139" s="104"/>
      <c r="CS139" s="104"/>
      <c r="CT139" s="350"/>
      <c r="CU139" s="4"/>
      <c r="CV139" s="4"/>
      <c r="CW139" s="4"/>
      <c r="CX139" s="4"/>
      <c r="CY139" s="350"/>
      <c r="CZ139" s="4"/>
      <c r="DA139" s="4"/>
      <c r="DB139" s="4"/>
      <c r="DC139" s="4"/>
      <c r="DD139" s="350"/>
      <c r="DE139" s="4"/>
      <c r="DF139" s="4"/>
      <c r="DG139" s="4"/>
      <c r="DH139" s="4"/>
      <c r="DI139" s="350"/>
      <c r="DJ139" s="16"/>
      <c r="DK139" s="16"/>
      <c r="DL139" s="16"/>
      <c r="DM139" s="16"/>
      <c r="DN139" s="350"/>
      <c r="DO139" s="16"/>
      <c r="DP139" s="16"/>
      <c r="DQ139" s="16"/>
      <c r="DR139" s="16"/>
      <c r="DS139" s="350"/>
      <c r="DT139" s="16"/>
      <c r="DU139" s="16"/>
      <c r="DV139" s="16"/>
      <c r="DW139" s="16"/>
      <c r="DX139" s="350"/>
      <c r="DY139" s="16"/>
      <c r="DZ139" s="321">
        <f t="shared" ref="DZ139:EB139" si="1046">DZ138/DY138-1</f>
        <v>-0.04383101744</v>
      </c>
      <c r="EA139" s="321">
        <f t="shared" si="1046"/>
        <v>-0.04535257973</v>
      </c>
      <c r="EB139" s="321">
        <f t="shared" si="1046"/>
        <v>0.05261544749</v>
      </c>
      <c r="EC139" s="350"/>
      <c r="ED139" s="321">
        <f>ED138/EB138-1</f>
        <v>-0.09793264098</v>
      </c>
      <c r="EE139" s="321">
        <f t="shared" ref="EE139:EG139" si="1047">EE138/ED138-1</f>
        <v>-0.1752743706</v>
      </c>
      <c r="EF139" s="321">
        <f t="shared" si="1047"/>
        <v>0.05988258317</v>
      </c>
      <c r="EG139" s="321">
        <f t="shared" si="1047"/>
        <v>-0.1845150172</v>
      </c>
      <c r="EH139" s="350"/>
      <c r="EI139" s="322" t="str">
        <f>EI138/EG138-1</f>
        <v>#ERROR!</v>
      </c>
      <c r="EJ139" s="321" t="str">
        <f t="shared" ref="EJ139:EL139" si="1048">EJ138/EI138-1</f>
        <v>#ERROR!</v>
      </c>
      <c r="EK139" s="321" t="str">
        <f t="shared" si="1048"/>
        <v>#ERROR!</v>
      </c>
      <c r="EL139" s="321" t="str">
        <f t="shared" si="1048"/>
        <v>#ERROR!</v>
      </c>
      <c r="EM139" s="350"/>
      <c r="EN139" s="321" t="str">
        <f>EN138/EL138-1</f>
        <v>#ERROR!</v>
      </c>
      <c r="EO139" s="321" t="str">
        <f t="shared" ref="EO139:EQ139" si="1049">EO138/EN138-1</f>
        <v>#ERROR!</v>
      </c>
      <c r="EP139" s="321" t="str">
        <f t="shared" si="1049"/>
        <v>#ERROR!</v>
      </c>
      <c r="EQ139" s="321" t="str">
        <f t="shared" si="1049"/>
        <v>#ERROR!</v>
      </c>
      <c r="ER139" s="350"/>
      <c r="ES139" s="321" t="str">
        <f>ES138/EQ138-1</f>
        <v>#ERROR!</v>
      </c>
      <c r="ET139" s="321" t="str">
        <f t="shared" ref="ET139:EV139" si="1050">ET138/ES138-1</f>
        <v>#ERROR!</v>
      </c>
      <c r="EU139" s="321" t="str">
        <f t="shared" si="1050"/>
        <v>#ERROR!</v>
      </c>
      <c r="EV139" s="321" t="str">
        <f t="shared" si="1050"/>
        <v>#ERROR!</v>
      </c>
      <c r="EW139" s="350"/>
      <c r="EX139" s="321" t="str">
        <f>EX138/EV138-1</f>
        <v>#ERROR!</v>
      </c>
      <c r="EY139" s="321" t="str">
        <f t="shared" ref="EY139:FA139" si="1051">EY138/EX138-1</f>
        <v>#ERROR!</v>
      </c>
      <c r="EZ139" s="321" t="str">
        <f t="shared" si="1051"/>
        <v>#ERROR!</v>
      </c>
      <c r="FA139" s="321" t="str">
        <f t="shared" si="1051"/>
        <v>#ERROR!</v>
      </c>
      <c r="FB139" s="350"/>
      <c r="FC139" s="321" t="str">
        <f>FC138/FA138-1</f>
        <v>#ERROR!</v>
      </c>
      <c r="FD139" s="321" t="str">
        <f t="shared" ref="FD139:FF139" si="1052">FD138/FC138-1</f>
        <v>#ERROR!</v>
      </c>
      <c r="FE139" s="321" t="str">
        <f t="shared" si="1052"/>
        <v>#ERROR!</v>
      </c>
      <c r="FF139" s="321" t="str">
        <f t="shared" si="1052"/>
        <v>#ERROR!</v>
      </c>
      <c r="FG139" s="350"/>
      <c r="FH139" s="145"/>
      <c r="FI139" s="4"/>
      <c r="FJ139" s="4"/>
      <c r="FK139" s="45"/>
      <c r="FL139" s="4"/>
    </row>
    <row r="140" ht="12.75" customHeight="1">
      <c r="A140" s="4"/>
      <c r="B140" s="72" t="s">
        <v>146</v>
      </c>
      <c r="C140" s="45"/>
      <c r="D140" s="4"/>
      <c r="E140" s="4"/>
      <c r="F140" s="4"/>
      <c r="G140" s="4"/>
      <c r="H140" s="45"/>
      <c r="I140" s="4"/>
      <c r="J140" s="4"/>
      <c r="K140" s="4"/>
      <c r="L140" s="4"/>
      <c r="M140" s="45"/>
      <c r="N140" s="4"/>
      <c r="O140" s="4"/>
      <c r="P140" s="4"/>
      <c r="Q140" s="4"/>
      <c r="R140" s="45"/>
      <c r="S140" s="4"/>
      <c r="T140" s="4"/>
      <c r="U140" s="4"/>
      <c r="V140" s="4"/>
      <c r="W140" s="45"/>
      <c r="X140" s="4"/>
      <c r="Y140" s="4"/>
      <c r="Z140" s="4"/>
      <c r="AA140" s="4"/>
      <c r="AB140" s="45"/>
      <c r="AC140" s="4"/>
      <c r="AD140" s="4"/>
      <c r="AE140" s="4"/>
      <c r="AF140" s="4"/>
      <c r="AG140" s="45"/>
      <c r="AH140" s="4"/>
      <c r="AI140" s="4"/>
      <c r="AJ140" s="4"/>
      <c r="AK140" s="4"/>
      <c r="AL140" s="45"/>
      <c r="AM140" s="4"/>
      <c r="AN140" s="4"/>
      <c r="AO140" s="4"/>
      <c r="AP140" s="4"/>
      <c r="AQ140" s="45"/>
      <c r="AR140" s="4"/>
      <c r="AS140" s="4"/>
      <c r="AT140" s="4"/>
      <c r="AU140" s="4"/>
      <c r="AV140" s="45"/>
      <c r="AW140" s="4"/>
      <c r="AX140" s="4"/>
      <c r="AY140" s="4"/>
      <c r="AZ140" s="4"/>
      <c r="BA140" s="45"/>
      <c r="BB140" s="4"/>
      <c r="BC140" s="4"/>
      <c r="BD140" s="4"/>
      <c r="BE140" s="4"/>
      <c r="BF140" s="45"/>
      <c r="BG140" s="4"/>
      <c r="BH140" s="4"/>
      <c r="BI140" s="4"/>
      <c r="BJ140" s="4"/>
      <c r="BK140" s="45"/>
      <c r="BL140" s="4"/>
      <c r="BM140" s="4"/>
      <c r="BN140" s="4"/>
      <c r="BO140" s="4"/>
      <c r="BP140" s="45"/>
      <c r="BQ140" s="4"/>
      <c r="BR140" s="4"/>
      <c r="BS140" s="4"/>
      <c r="BT140" s="4"/>
      <c r="BU140" s="45"/>
      <c r="BV140" s="4"/>
      <c r="BW140" s="4"/>
      <c r="BX140" s="4"/>
      <c r="BY140" s="4"/>
      <c r="BZ140" s="350"/>
      <c r="CA140" s="4"/>
      <c r="CB140" s="4"/>
      <c r="CC140" s="4"/>
      <c r="CD140" s="4"/>
      <c r="CE140" s="350"/>
      <c r="CF140" s="4"/>
      <c r="CG140" s="4"/>
      <c r="CH140" s="4"/>
      <c r="CI140" s="4"/>
      <c r="CJ140" s="350"/>
      <c r="CK140" s="4"/>
      <c r="CL140" s="4"/>
      <c r="CM140" s="4"/>
      <c r="CN140" s="16"/>
      <c r="CO140" s="350"/>
      <c r="CP140" s="104"/>
      <c r="CQ140" s="104"/>
      <c r="CR140" s="104"/>
      <c r="CS140" s="104"/>
      <c r="CT140" s="350"/>
      <c r="CU140" s="4"/>
      <c r="CV140" s="4"/>
      <c r="CW140" s="4"/>
      <c r="CX140" s="4"/>
      <c r="CY140" s="350"/>
      <c r="CZ140" s="4"/>
      <c r="DA140" s="4"/>
      <c r="DB140" s="4"/>
      <c r="DC140" s="4"/>
      <c r="DD140" s="350"/>
      <c r="DE140" s="4"/>
      <c r="DF140" s="4"/>
      <c r="DG140" s="4"/>
      <c r="DH140" s="4"/>
      <c r="DI140" s="350"/>
      <c r="DJ140" s="16"/>
      <c r="DK140" s="16"/>
      <c r="DL140" s="16"/>
      <c r="DM140" s="16"/>
      <c r="DN140" s="350"/>
      <c r="DO140" s="16"/>
      <c r="DP140" s="16"/>
      <c r="DQ140" s="16"/>
      <c r="DR140" s="16"/>
      <c r="DS140" s="342"/>
      <c r="DT140" s="16"/>
      <c r="DU140" s="16"/>
      <c r="DV140" s="16"/>
      <c r="DW140" s="16"/>
      <c r="DX140" s="342">
        <f>DX138/DS138-1</f>
        <v>0.06845379303</v>
      </c>
      <c r="DY140" s="16"/>
      <c r="DZ140" s="16"/>
      <c r="EA140" s="16"/>
      <c r="EB140" s="16"/>
      <c r="EC140" s="342">
        <f t="shared" ref="EC140:FG140" si="1053">EC138/DX138-1</f>
        <v>0.01312446034</v>
      </c>
      <c r="ED140" s="321">
        <f t="shared" si="1053"/>
        <v>-0.1332649445</v>
      </c>
      <c r="EE140" s="321">
        <f t="shared" si="1053"/>
        <v>-0.2524139276</v>
      </c>
      <c r="EF140" s="321">
        <f t="shared" si="1053"/>
        <v>-0.1700040866</v>
      </c>
      <c r="EG140" s="321">
        <f t="shared" si="1053"/>
        <v>-0.3569834029</v>
      </c>
      <c r="EH140" s="342">
        <f t="shared" si="1053"/>
        <v>-0.2278958775</v>
      </c>
      <c r="EI140" s="322" t="str">
        <f t="shared" si="1053"/>
        <v>#ERROR!</v>
      </c>
      <c r="EJ140" s="321" t="str">
        <f t="shared" si="1053"/>
        <v>#ERROR!</v>
      </c>
      <c r="EK140" s="321" t="str">
        <f t="shared" si="1053"/>
        <v>#ERROR!</v>
      </c>
      <c r="EL140" s="321" t="str">
        <f t="shared" si="1053"/>
        <v>#ERROR!</v>
      </c>
      <c r="EM140" s="342" t="str">
        <f t="shared" si="1053"/>
        <v>#ERROR!</v>
      </c>
      <c r="EN140" s="321" t="str">
        <f t="shared" si="1053"/>
        <v>#ERROR!</v>
      </c>
      <c r="EO140" s="321" t="str">
        <f t="shared" si="1053"/>
        <v>#ERROR!</v>
      </c>
      <c r="EP140" s="321" t="str">
        <f t="shared" si="1053"/>
        <v>#ERROR!</v>
      </c>
      <c r="EQ140" s="321" t="str">
        <f t="shared" si="1053"/>
        <v>#ERROR!</v>
      </c>
      <c r="ER140" s="342" t="str">
        <f t="shared" si="1053"/>
        <v>#ERROR!</v>
      </c>
      <c r="ES140" s="321" t="str">
        <f t="shared" si="1053"/>
        <v>#ERROR!</v>
      </c>
      <c r="ET140" s="321" t="str">
        <f t="shared" si="1053"/>
        <v>#ERROR!</v>
      </c>
      <c r="EU140" s="321" t="str">
        <f t="shared" si="1053"/>
        <v>#ERROR!</v>
      </c>
      <c r="EV140" s="321" t="str">
        <f t="shared" si="1053"/>
        <v>#ERROR!</v>
      </c>
      <c r="EW140" s="342" t="str">
        <f t="shared" si="1053"/>
        <v>#ERROR!</v>
      </c>
      <c r="EX140" s="321" t="str">
        <f t="shared" si="1053"/>
        <v>#ERROR!</v>
      </c>
      <c r="EY140" s="321" t="str">
        <f t="shared" si="1053"/>
        <v>#ERROR!</v>
      </c>
      <c r="EZ140" s="321" t="str">
        <f t="shared" si="1053"/>
        <v>#ERROR!</v>
      </c>
      <c r="FA140" s="321" t="str">
        <f t="shared" si="1053"/>
        <v>#ERROR!</v>
      </c>
      <c r="FB140" s="342" t="str">
        <f t="shared" si="1053"/>
        <v>#ERROR!</v>
      </c>
      <c r="FC140" s="321" t="str">
        <f t="shared" si="1053"/>
        <v>#ERROR!</v>
      </c>
      <c r="FD140" s="321" t="str">
        <f t="shared" si="1053"/>
        <v>#ERROR!</v>
      </c>
      <c r="FE140" s="321" t="str">
        <f t="shared" si="1053"/>
        <v>#ERROR!</v>
      </c>
      <c r="FF140" s="321" t="str">
        <f t="shared" si="1053"/>
        <v>#ERROR!</v>
      </c>
      <c r="FG140" s="342" t="str">
        <f t="shared" si="1053"/>
        <v>#ERROR!</v>
      </c>
      <c r="FH140" s="343"/>
      <c r="FI140" s="4"/>
      <c r="FJ140" s="4"/>
      <c r="FK140" s="45"/>
      <c r="FL140" s="4"/>
    </row>
    <row r="141" ht="12.75" customHeight="1">
      <c r="A141" s="4"/>
      <c r="B141" s="84" t="s">
        <v>147</v>
      </c>
      <c r="C141" s="45"/>
      <c r="D141" s="4"/>
      <c r="E141" s="4"/>
      <c r="F141" s="4"/>
      <c r="G141" s="4"/>
      <c r="H141" s="45"/>
      <c r="I141" s="4"/>
      <c r="J141" s="4"/>
      <c r="K141" s="4"/>
      <c r="L141" s="4"/>
      <c r="M141" s="45"/>
      <c r="N141" s="4"/>
      <c r="O141" s="4"/>
      <c r="P141" s="4"/>
      <c r="Q141" s="4"/>
      <c r="R141" s="45"/>
      <c r="S141" s="4"/>
      <c r="T141" s="4"/>
      <c r="U141" s="4"/>
      <c r="V141" s="4"/>
      <c r="W141" s="45"/>
      <c r="X141" s="4"/>
      <c r="Y141" s="4"/>
      <c r="Z141" s="4"/>
      <c r="AA141" s="4"/>
      <c r="AB141" s="45"/>
      <c r="AC141" s="4"/>
      <c r="AD141" s="4"/>
      <c r="AE141" s="4"/>
      <c r="AF141" s="4"/>
      <c r="AG141" s="45"/>
      <c r="AH141" s="4"/>
      <c r="AI141" s="4"/>
      <c r="AJ141" s="4"/>
      <c r="AK141" s="4"/>
      <c r="AL141" s="45"/>
      <c r="AM141" s="4"/>
      <c r="AN141" s="4"/>
      <c r="AO141" s="4"/>
      <c r="AP141" s="4"/>
      <c r="AQ141" s="45"/>
      <c r="AR141" s="4"/>
      <c r="AS141" s="4"/>
      <c r="AT141" s="4"/>
      <c r="AU141" s="4"/>
      <c r="AV141" s="45"/>
      <c r="AW141" s="4"/>
      <c r="AX141" s="4"/>
      <c r="AY141" s="4"/>
      <c r="AZ141" s="4"/>
      <c r="BA141" s="45"/>
      <c r="BB141" s="4"/>
      <c r="BC141" s="4"/>
      <c r="BD141" s="4"/>
      <c r="BE141" s="4"/>
      <c r="BF141" s="45"/>
      <c r="BG141" s="4"/>
      <c r="BH141" s="4"/>
      <c r="BI141" s="4"/>
      <c r="BJ141" s="4"/>
      <c r="BK141" s="45"/>
      <c r="BL141" s="4"/>
      <c r="BM141" s="4"/>
      <c r="BN141" s="4"/>
      <c r="BO141" s="4"/>
      <c r="BP141" s="45"/>
      <c r="BQ141" s="4"/>
      <c r="BR141" s="4"/>
      <c r="BS141" s="4"/>
      <c r="BT141" s="4"/>
      <c r="BU141" s="45"/>
      <c r="BV141" s="4"/>
      <c r="BW141" s="4"/>
      <c r="BX141" s="4"/>
      <c r="BY141" s="4"/>
      <c r="BZ141" s="350"/>
      <c r="CA141" s="4"/>
      <c r="CB141" s="4"/>
      <c r="CC141" s="4"/>
      <c r="CD141" s="4"/>
      <c r="CE141" s="350"/>
      <c r="CF141" s="4"/>
      <c r="CG141" s="4"/>
      <c r="CH141" s="4"/>
      <c r="CI141" s="4"/>
      <c r="CJ141" s="350"/>
      <c r="CK141" s="4"/>
      <c r="CL141" s="4"/>
      <c r="CM141" s="4"/>
      <c r="CN141" s="16"/>
      <c r="CO141" s="350"/>
      <c r="CP141" s="104"/>
      <c r="CQ141" s="104"/>
      <c r="CR141" s="104"/>
      <c r="CS141" s="104"/>
      <c r="CT141" s="350"/>
      <c r="CU141" s="4"/>
      <c r="CV141" s="4"/>
      <c r="CW141" s="4"/>
      <c r="CX141" s="4"/>
      <c r="CY141" s="350"/>
      <c r="CZ141" s="4"/>
      <c r="DA141" s="4"/>
      <c r="DB141" s="4"/>
      <c r="DC141" s="4"/>
      <c r="DD141" s="350"/>
      <c r="DE141" s="4"/>
      <c r="DF141" s="4"/>
      <c r="DG141" s="4"/>
      <c r="DH141" s="4"/>
      <c r="DI141" s="350"/>
      <c r="DJ141" s="16"/>
      <c r="DK141" s="16"/>
      <c r="DL141" s="16"/>
      <c r="DM141" s="16"/>
      <c r="DN141" s="350"/>
      <c r="DO141" s="16"/>
      <c r="DP141" s="16"/>
      <c r="DQ141" s="16"/>
      <c r="DR141" s="16"/>
      <c r="DS141" s="342"/>
      <c r="DT141" s="16"/>
      <c r="DU141" s="16"/>
      <c r="DV141" s="16"/>
      <c r="DW141" s="16"/>
      <c r="DX141" s="342"/>
      <c r="DY141" s="40">
        <f t="shared" ref="DY141:EB141" si="1054">DY268</f>
        <v>-0.05994981003</v>
      </c>
      <c r="DZ141" s="40">
        <f t="shared" si="1054"/>
        <v>-0.01520435999</v>
      </c>
      <c r="EA141" s="40">
        <f t="shared" si="1054"/>
        <v>0.03037389692</v>
      </c>
      <c r="EB141" s="40">
        <f t="shared" si="1054"/>
        <v>0.06347650396</v>
      </c>
      <c r="EC141" s="342"/>
      <c r="ED141" s="321"/>
      <c r="EE141" s="321"/>
      <c r="EF141" s="321"/>
      <c r="EG141" s="321"/>
      <c r="EH141" s="342"/>
      <c r="EI141" s="322"/>
      <c r="EJ141" s="321"/>
      <c r="EK141" s="321"/>
      <c r="EL141" s="321"/>
      <c r="EM141" s="342"/>
      <c r="EN141" s="321"/>
      <c r="EO141" s="321"/>
      <c r="EP141" s="321"/>
      <c r="EQ141" s="321"/>
      <c r="ER141" s="342"/>
      <c r="ES141" s="321"/>
      <c r="ET141" s="321"/>
      <c r="EU141" s="321"/>
      <c r="EV141" s="321"/>
      <c r="EW141" s="342"/>
      <c r="EX141" s="321"/>
      <c r="EY141" s="321"/>
      <c r="EZ141" s="321"/>
      <c r="FA141" s="321"/>
      <c r="FB141" s="342"/>
      <c r="FC141" s="321"/>
      <c r="FD141" s="321"/>
      <c r="FE141" s="321"/>
      <c r="FF141" s="321"/>
      <c r="FG141" s="342"/>
      <c r="FH141" s="343"/>
      <c r="FI141" s="4"/>
      <c r="FJ141" s="4"/>
      <c r="FK141" s="45"/>
      <c r="FL141" s="4"/>
    </row>
    <row r="142" ht="12.75" customHeight="1">
      <c r="A142" s="4"/>
      <c r="B142" s="84"/>
      <c r="C142" s="45"/>
      <c r="D142" s="4"/>
      <c r="E142" s="4"/>
      <c r="F142" s="4"/>
      <c r="G142" s="4"/>
      <c r="H142" s="45"/>
      <c r="I142" s="4"/>
      <c r="J142" s="4"/>
      <c r="K142" s="4"/>
      <c r="L142" s="4"/>
      <c r="M142" s="45"/>
      <c r="N142" s="4"/>
      <c r="O142" s="4"/>
      <c r="P142" s="4"/>
      <c r="Q142" s="4"/>
      <c r="R142" s="45"/>
      <c r="S142" s="4"/>
      <c r="T142" s="4"/>
      <c r="U142" s="4"/>
      <c r="V142" s="4"/>
      <c r="W142" s="45"/>
      <c r="X142" s="4"/>
      <c r="Y142" s="4"/>
      <c r="Z142" s="4"/>
      <c r="AA142" s="4"/>
      <c r="AB142" s="45"/>
      <c r="AC142" s="4"/>
      <c r="AD142" s="4"/>
      <c r="AE142" s="4"/>
      <c r="AF142" s="4"/>
      <c r="AG142" s="45"/>
      <c r="AH142" s="4"/>
      <c r="AI142" s="4"/>
      <c r="AJ142" s="4"/>
      <c r="AK142" s="4"/>
      <c r="AL142" s="45"/>
      <c r="AM142" s="4"/>
      <c r="AN142" s="4"/>
      <c r="AO142" s="4"/>
      <c r="AP142" s="4"/>
      <c r="AQ142" s="45"/>
      <c r="AR142" s="4"/>
      <c r="AS142" s="4"/>
      <c r="AT142" s="4"/>
      <c r="AU142" s="4"/>
      <c r="AV142" s="45"/>
      <c r="AW142" s="4"/>
      <c r="AX142" s="4"/>
      <c r="AY142" s="4"/>
      <c r="AZ142" s="4"/>
      <c r="BA142" s="45"/>
      <c r="BB142" s="4"/>
      <c r="BC142" s="4"/>
      <c r="BD142" s="4"/>
      <c r="BE142" s="4"/>
      <c r="BF142" s="45"/>
      <c r="BG142" s="4"/>
      <c r="BH142" s="4"/>
      <c r="BI142" s="4"/>
      <c r="BJ142" s="4"/>
      <c r="BK142" s="45"/>
      <c r="BL142" s="4"/>
      <c r="BM142" s="4"/>
      <c r="BN142" s="4"/>
      <c r="BO142" s="4"/>
      <c r="BP142" s="45"/>
      <c r="BQ142" s="4"/>
      <c r="BR142" s="4"/>
      <c r="BS142" s="4"/>
      <c r="BT142" s="4"/>
      <c r="BU142" s="45"/>
      <c r="BV142" s="4"/>
      <c r="BW142" s="4"/>
      <c r="BX142" s="4"/>
      <c r="BY142" s="4"/>
      <c r="BZ142" s="350"/>
      <c r="CA142" s="4"/>
      <c r="CB142" s="4"/>
      <c r="CC142" s="4"/>
      <c r="CD142" s="4"/>
      <c r="CE142" s="350"/>
      <c r="CF142" s="4"/>
      <c r="CG142" s="4"/>
      <c r="CH142" s="4"/>
      <c r="CI142" s="4"/>
      <c r="CJ142" s="350"/>
      <c r="CK142" s="4"/>
      <c r="CL142" s="4"/>
      <c r="CM142" s="4"/>
      <c r="CN142" s="16"/>
      <c r="CO142" s="350"/>
      <c r="CP142" s="104"/>
      <c r="CQ142" s="104"/>
      <c r="CR142" s="104"/>
      <c r="CS142" s="104"/>
      <c r="CT142" s="350"/>
      <c r="CU142" s="4"/>
      <c r="CV142" s="4"/>
      <c r="CW142" s="4"/>
      <c r="CX142" s="4"/>
      <c r="CY142" s="350"/>
      <c r="CZ142" s="4"/>
      <c r="DA142" s="4"/>
      <c r="DB142" s="4"/>
      <c r="DC142" s="4"/>
      <c r="DD142" s="350"/>
      <c r="DE142" s="4"/>
      <c r="DF142" s="4"/>
      <c r="DG142" s="4"/>
      <c r="DH142" s="4"/>
      <c r="DI142" s="350"/>
      <c r="DJ142" s="16"/>
      <c r="DK142" s="16"/>
      <c r="DL142" s="16"/>
      <c r="DM142" s="16"/>
      <c r="DN142" s="350"/>
      <c r="DO142" s="16"/>
      <c r="DP142" s="16"/>
      <c r="DQ142" s="16"/>
      <c r="DR142" s="16"/>
      <c r="DS142" s="342"/>
      <c r="DT142" s="16"/>
      <c r="DU142" s="16"/>
      <c r="DV142" s="16"/>
      <c r="DW142" s="16"/>
      <c r="DX142" s="342"/>
      <c r="DY142" s="40"/>
      <c r="DZ142" s="40"/>
      <c r="EA142" s="40"/>
      <c r="EB142" s="40"/>
      <c r="EC142" s="342"/>
      <c r="ED142" s="321"/>
      <c r="EE142" s="321"/>
      <c r="EF142" s="321"/>
      <c r="EG142" s="321"/>
      <c r="EH142" s="342"/>
      <c r="EI142" s="322"/>
      <c r="EJ142" s="321"/>
      <c r="EK142" s="321"/>
      <c r="EL142" s="321"/>
      <c r="EM142" s="342"/>
      <c r="EN142" s="321"/>
      <c r="EO142" s="321"/>
      <c r="EP142" s="321"/>
      <c r="EQ142" s="321"/>
      <c r="ER142" s="342"/>
      <c r="ES142" s="321"/>
      <c r="ET142" s="321"/>
      <c r="EU142" s="321"/>
      <c r="EV142" s="321"/>
      <c r="EW142" s="342"/>
      <c r="EX142" s="321"/>
      <c r="EY142" s="321"/>
      <c r="EZ142" s="321"/>
      <c r="FA142" s="321"/>
      <c r="FB142" s="342"/>
      <c r="FC142" s="321"/>
      <c r="FD142" s="321"/>
      <c r="FE142" s="321"/>
      <c r="FF142" s="321"/>
      <c r="FG142" s="342"/>
      <c r="FH142" s="343"/>
      <c r="FI142" s="4"/>
      <c r="FJ142" s="4"/>
      <c r="FK142" s="45"/>
      <c r="FL142" s="4"/>
    </row>
    <row r="143" ht="12.75" customHeight="1">
      <c r="A143" s="4"/>
      <c r="B143" s="72" t="s">
        <v>148</v>
      </c>
      <c r="C143" s="45"/>
      <c r="D143" s="4"/>
      <c r="E143" s="4"/>
      <c r="F143" s="4"/>
      <c r="G143" s="4"/>
      <c r="H143" s="45"/>
      <c r="I143" s="4"/>
      <c r="J143" s="4"/>
      <c r="K143" s="4"/>
      <c r="L143" s="4"/>
      <c r="M143" s="45"/>
      <c r="N143" s="4"/>
      <c r="O143" s="4"/>
      <c r="P143" s="4"/>
      <c r="Q143" s="4"/>
      <c r="R143" s="45"/>
      <c r="S143" s="4"/>
      <c r="T143" s="4"/>
      <c r="U143" s="4"/>
      <c r="V143" s="4"/>
      <c r="W143" s="45"/>
      <c r="X143" s="4"/>
      <c r="Y143" s="4"/>
      <c r="Z143" s="4"/>
      <c r="AA143" s="4"/>
      <c r="AB143" s="45"/>
      <c r="AC143" s="4"/>
      <c r="AD143" s="4"/>
      <c r="AE143" s="4"/>
      <c r="AF143" s="4"/>
      <c r="AG143" s="45"/>
      <c r="AH143" s="4"/>
      <c r="AI143" s="4"/>
      <c r="AJ143" s="4"/>
      <c r="AK143" s="4"/>
      <c r="AL143" s="45"/>
      <c r="AM143" s="4"/>
      <c r="AN143" s="4"/>
      <c r="AO143" s="4"/>
      <c r="AP143" s="4"/>
      <c r="AQ143" s="45"/>
      <c r="AR143" s="4"/>
      <c r="AS143" s="4"/>
      <c r="AT143" s="4"/>
      <c r="AU143" s="4"/>
      <c r="AV143" s="45"/>
      <c r="AW143" s="4"/>
      <c r="AX143" s="4"/>
      <c r="AY143" s="4"/>
      <c r="AZ143" s="4"/>
      <c r="BA143" s="45"/>
      <c r="BB143" s="4"/>
      <c r="BC143" s="4"/>
      <c r="BD143" s="4"/>
      <c r="BE143" s="4"/>
      <c r="BF143" s="45"/>
      <c r="BG143" s="4"/>
      <c r="BH143" s="4"/>
      <c r="BI143" s="4"/>
      <c r="BJ143" s="4"/>
      <c r="BK143" s="45"/>
      <c r="BL143" s="4"/>
      <c r="BM143" s="4"/>
      <c r="BN143" s="4"/>
      <c r="BO143" s="4"/>
      <c r="BP143" s="45"/>
      <c r="BQ143" s="4"/>
      <c r="BR143" s="4"/>
      <c r="BS143" s="4"/>
      <c r="BT143" s="4"/>
      <c r="BU143" s="45"/>
      <c r="BV143" s="4"/>
      <c r="BW143" s="4"/>
      <c r="BX143" s="4"/>
      <c r="BY143" s="4"/>
      <c r="BZ143" s="350"/>
      <c r="CA143" s="4"/>
      <c r="CB143" s="4"/>
      <c r="CC143" s="4"/>
      <c r="CD143" s="4"/>
      <c r="CE143" s="350"/>
      <c r="CF143" s="4"/>
      <c r="CG143" s="4"/>
      <c r="CH143" s="4"/>
      <c r="CI143" s="4"/>
      <c r="CJ143" s="350"/>
      <c r="CK143" s="4"/>
      <c r="CL143" s="4"/>
      <c r="CM143" s="4"/>
      <c r="CN143" s="16"/>
      <c r="CO143" s="350"/>
      <c r="CP143" s="104"/>
      <c r="CQ143" s="104"/>
      <c r="CR143" s="104"/>
      <c r="CS143" s="104"/>
      <c r="CT143" s="350"/>
      <c r="CU143" s="4"/>
      <c r="CV143" s="4"/>
      <c r="CW143" s="4"/>
      <c r="CX143" s="4"/>
      <c r="CY143" s="350"/>
      <c r="CZ143" s="4"/>
      <c r="DA143" s="4"/>
      <c r="DB143" s="4"/>
      <c r="DC143" s="4"/>
      <c r="DD143" s="350"/>
      <c r="DE143" s="4"/>
      <c r="DF143" s="4"/>
      <c r="DG143" s="4"/>
      <c r="DH143" s="4"/>
      <c r="DI143" s="350"/>
      <c r="DJ143" s="16"/>
      <c r="DK143" s="16"/>
      <c r="DL143" s="16"/>
      <c r="DM143" s="16"/>
      <c r="DN143" s="350"/>
      <c r="DO143" s="16"/>
      <c r="DP143" s="16"/>
      <c r="DQ143" s="16"/>
      <c r="DR143" s="16"/>
      <c r="DS143" s="342"/>
      <c r="DT143" s="16"/>
      <c r="DU143" s="16"/>
      <c r="DV143" s="16"/>
      <c r="DW143" s="16"/>
      <c r="DX143" s="342"/>
      <c r="DY143" s="357">
        <v>2770.0</v>
      </c>
      <c r="DZ143" s="357">
        <v>2792.0</v>
      </c>
      <c r="EA143" s="357">
        <v>3119.0</v>
      </c>
      <c r="EB143" s="357"/>
      <c r="EC143" s="342"/>
      <c r="ED143" s="357">
        <v>2641.0</v>
      </c>
      <c r="EE143" s="357">
        <v>2289.0</v>
      </c>
      <c r="EF143" s="357">
        <v>3222.0</v>
      </c>
      <c r="EG143" s="357">
        <v>2509.0</v>
      </c>
      <c r="EH143" s="356">
        <f>SUM(ED143:EG143)</f>
        <v>10661</v>
      </c>
      <c r="EI143" s="358" t="str">
        <f t="shared" ref="EI143:EL143" si="1055">EI147*EI154/1000</f>
        <v>#ERROR!</v>
      </c>
      <c r="EJ143" s="357" t="str">
        <f t="shared" si="1055"/>
        <v>#ERROR!</v>
      </c>
      <c r="EK143" s="357" t="str">
        <f t="shared" si="1055"/>
        <v>#ERROR!</v>
      </c>
      <c r="EL143" s="357" t="str">
        <f t="shared" si="1055"/>
        <v>#ERROR!</v>
      </c>
      <c r="EM143" s="356" t="str">
        <f>SUM(EI143:EL143)</f>
        <v>#ERROR!</v>
      </c>
      <c r="EN143" s="357" t="str">
        <f t="shared" ref="EN143:EQ143" si="1056">EN147*EN154/1000</f>
        <v>#ERROR!</v>
      </c>
      <c r="EO143" s="357" t="str">
        <f t="shared" si="1056"/>
        <v>#ERROR!</v>
      </c>
      <c r="EP143" s="357" t="str">
        <f t="shared" si="1056"/>
        <v>#ERROR!</v>
      </c>
      <c r="EQ143" s="357" t="str">
        <f t="shared" si="1056"/>
        <v>#ERROR!</v>
      </c>
      <c r="ER143" s="356" t="str">
        <f>SUM(EN143:EQ143)</f>
        <v>#ERROR!</v>
      </c>
      <c r="ES143" s="357" t="str">
        <f t="shared" ref="ES143:EV143" si="1057">ES147*ES154/1000</f>
        <v>#ERROR!</v>
      </c>
      <c r="ET143" s="357" t="str">
        <f t="shared" si="1057"/>
        <v>#ERROR!</v>
      </c>
      <c r="EU143" s="357" t="str">
        <f t="shared" si="1057"/>
        <v>#ERROR!</v>
      </c>
      <c r="EV143" s="357" t="str">
        <f t="shared" si="1057"/>
        <v>#ERROR!</v>
      </c>
      <c r="EW143" s="356" t="str">
        <f>SUM(ES143:EV143)</f>
        <v>#ERROR!</v>
      </c>
      <c r="EX143" s="357" t="str">
        <f t="shared" ref="EX143:FA143" si="1058">EX147*EX154/1000</f>
        <v>#ERROR!</v>
      </c>
      <c r="EY143" s="357" t="str">
        <f t="shared" si="1058"/>
        <v>#ERROR!</v>
      </c>
      <c r="EZ143" s="357" t="str">
        <f t="shared" si="1058"/>
        <v>#ERROR!</v>
      </c>
      <c r="FA143" s="357" t="str">
        <f t="shared" si="1058"/>
        <v>#ERROR!</v>
      </c>
      <c r="FB143" s="356" t="str">
        <f>SUM(EX143:FA143)</f>
        <v>#ERROR!</v>
      </c>
      <c r="FC143" s="357" t="str">
        <f t="shared" ref="FC143:FF143" si="1059">FC147*FC154/1000</f>
        <v>#ERROR!</v>
      </c>
      <c r="FD143" s="357" t="str">
        <f t="shared" si="1059"/>
        <v>#ERROR!</v>
      </c>
      <c r="FE143" s="357" t="str">
        <f t="shared" si="1059"/>
        <v>#ERROR!</v>
      </c>
      <c r="FF143" s="357" t="str">
        <f t="shared" si="1059"/>
        <v>#ERROR!</v>
      </c>
      <c r="FG143" s="356" t="str">
        <f>SUM(FC143:FF143)</f>
        <v>#ERROR!</v>
      </c>
      <c r="FH143" s="359"/>
      <c r="FI143" s="4"/>
      <c r="FJ143" s="4"/>
      <c r="FK143" s="45"/>
      <c r="FL143" s="4"/>
    </row>
    <row r="144" ht="12.75" customHeight="1">
      <c r="A144" s="4"/>
      <c r="B144" s="72" t="s">
        <v>145</v>
      </c>
      <c r="C144" s="45"/>
      <c r="D144" s="4"/>
      <c r="E144" s="4"/>
      <c r="F144" s="4"/>
      <c r="G144" s="4"/>
      <c r="H144" s="45"/>
      <c r="I144" s="4"/>
      <c r="J144" s="4"/>
      <c r="K144" s="4"/>
      <c r="L144" s="4"/>
      <c r="M144" s="45"/>
      <c r="N144" s="4"/>
      <c r="O144" s="4"/>
      <c r="P144" s="4"/>
      <c r="Q144" s="4"/>
      <c r="R144" s="45"/>
      <c r="S144" s="4"/>
      <c r="T144" s="4"/>
      <c r="U144" s="4"/>
      <c r="V144" s="4"/>
      <c r="W144" s="45"/>
      <c r="X144" s="4"/>
      <c r="Y144" s="4"/>
      <c r="Z144" s="4"/>
      <c r="AA144" s="4"/>
      <c r="AB144" s="45"/>
      <c r="AC144" s="4"/>
      <c r="AD144" s="4"/>
      <c r="AE144" s="4"/>
      <c r="AF144" s="4"/>
      <c r="AG144" s="45"/>
      <c r="AH144" s="4"/>
      <c r="AI144" s="4"/>
      <c r="AJ144" s="4"/>
      <c r="AK144" s="4"/>
      <c r="AL144" s="45"/>
      <c r="AM144" s="4"/>
      <c r="AN144" s="4"/>
      <c r="AO144" s="4"/>
      <c r="AP144" s="4"/>
      <c r="AQ144" s="45"/>
      <c r="AR144" s="4"/>
      <c r="AS144" s="4"/>
      <c r="AT144" s="4"/>
      <c r="AU144" s="4"/>
      <c r="AV144" s="45"/>
      <c r="AW144" s="4"/>
      <c r="AX144" s="4"/>
      <c r="AY144" s="4"/>
      <c r="AZ144" s="4"/>
      <c r="BA144" s="45"/>
      <c r="BB144" s="4"/>
      <c r="BC144" s="4"/>
      <c r="BD144" s="4"/>
      <c r="BE144" s="4"/>
      <c r="BF144" s="45"/>
      <c r="BG144" s="4"/>
      <c r="BH144" s="4"/>
      <c r="BI144" s="4"/>
      <c r="BJ144" s="4"/>
      <c r="BK144" s="45"/>
      <c r="BL144" s="4"/>
      <c r="BM144" s="4"/>
      <c r="BN144" s="4"/>
      <c r="BO144" s="4"/>
      <c r="BP144" s="45"/>
      <c r="BQ144" s="4"/>
      <c r="BR144" s="4"/>
      <c r="BS144" s="4"/>
      <c r="BT144" s="4"/>
      <c r="BU144" s="45"/>
      <c r="BV144" s="4"/>
      <c r="BW144" s="4"/>
      <c r="BX144" s="4"/>
      <c r="BY144" s="4"/>
      <c r="BZ144" s="350"/>
      <c r="CA144" s="4"/>
      <c r="CB144" s="4"/>
      <c r="CC144" s="4"/>
      <c r="CD144" s="4"/>
      <c r="CE144" s="350"/>
      <c r="CF144" s="4"/>
      <c r="CG144" s="4"/>
      <c r="CH144" s="4"/>
      <c r="CI144" s="4"/>
      <c r="CJ144" s="350"/>
      <c r="CK144" s="4"/>
      <c r="CL144" s="4"/>
      <c r="CM144" s="4"/>
      <c r="CN144" s="16"/>
      <c r="CO144" s="350"/>
      <c r="CP144" s="104"/>
      <c r="CQ144" s="104"/>
      <c r="CR144" s="104"/>
      <c r="CS144" s="104"/>
      <c r="CT144" s="350"/>
      <c r="CU144" s="4"/>
      <c r="CV144" s="4"/>
      <c r="CW144" s="4"/>
      <c r="CX144" s="4"/>
      <c r="CY144" s="350"/>
      <c r="CZ144" s="4"/>
      <c r="DA144" s="4"/>
      <c r="DB144" s="4"/>
      <c r="DC144" s="4"/>
      <c r="DD144" s="350"/>
      <c r="DE144" s="4"/>
      <c r="DF144" s="4"/>
      <c r="DG144" s="4"/>
      <c r="DH144" s="4"/>
      <c r="DI144" s="350"/>
      <c r="DJ144" s="16"/>
      <c r="DK144" s="16"/>
      <c r="DL144" s="16"/>
      <c r="DM144" s="16"/>
      <c r="DN144" s="350"/>
      <c r="DO144" s="16"/>
      <c r="DP144" s="16"/>
      <c r="DQ144" s="16"/>
      <c r="DR144" s="16"/>
      <c r="DS144" s="342"/>
      <c r="DT144" s="16"/>
      <c r="DU144" s="16"/>
      <c r="DV144" s="16"/>
      <c r="DW144" s="16"/>
      <c r="DX144" s="342"/>
      <c r="DY144" s="16"/>
      <c r="DZ144" s="16"/>
      <c r="EA144" s="16"/>
      <c r="EB144" s="16"/>
      <c r="EC144" s="342"/>
      <c r="ED144" s="357"/>
      <c r="EE144" s="360">
        <f t="shared" ref="EE144:EG144" si="1060">EE143/ED143-1</f>
        <v>-0.1332828474</v>
      </c>
      <c r="EF144" s="360">
        <f t="shared" si="1060"/>
        <v>0.4076015727</v>
      </c>
      <c r="EG144" s="360">
        <f t="shared" si="1060"/>
        <v>-0.2212911235</v>
      </c>
      <c r="EH144" s="356"/>
      <c r="EI144" s="361" t="str">
        <f>EI143/EG143-1</f>
        <v>#ERROR!</v>
      </c>
      <c r="EJ144" s="321" t="str">
        <f t="shared" ref="EJ144:EL144" si="1061">EJ143/EI143-1</f>
        <v>#ERROR!</v>
      </c>
      <c r="EK144" s="321" t="str">
        <f t="shared" si="1061"/>
        <v>#ERROR!</v>
      </c>
      <c r="EL144" s="321" t="str">
        <f t="shared" si="1061"/>
        <v>#ERROR!</v>
      </c>
      <c r="EM144" s="356"/>
      <c r="EN144" s="321" t="str">
        <f>EN143/EL143-1</f>
        <v>#ERROR!</v>
      </c>
      <c r="EO144" s="321" t="str">
        <f t="shared" ref="EO144:EQ144" si="1062">EO143/EN143-1</f>
        <v>#ERROR!</v>
      </c>
      <c r="EP144" s="321" t="str">
        <f t="shared" si="1062"/>
        <v>#ERROR!</v>
      </c>
      <c r="EQ144" s="321" t="str">
        <f t="shared" si="1062"/>
        <v>#ERROR!</v>
      </c>
      <c r="ER144" s="356"/>
      <c r="ES144" s="321" t="str">
        <f>ES143/EQ143-1</f>
        <v>#ERROR!</v>
      </c>
      <c r="ET144" s="321" t="str">
        <f t="shared" ref="ET144:EV144" si="1063">ET143/ES143-1</f>
        <v>#ERROR!</v>
      </c>
      <c r="EU144" s="321" t="str">
        <f t="shared" si="1063"/>
        <v>#ERROR!</v>
      </c>
      <c r="EV144" s="321" t="str">
        <f t="shared" si="1063"/>
        <v>#ERROR!</v>
      </c>
      <c r="EW144" s="356"/>
      <c r="EX144" s="321" t="str">
        <f>EX143/EV143-1</f>
        <v>#ERROR!</v>
      </c>
      <c r="EY144" s="321" t="str">
        <f t="shared" ref="EY144:FA144" si="1064">EY143/EX143-1</f>
        <v>#ERROR!</v>
      </c>
      <c r="EZ144" s="321" t="str">
        <f t="shared" si="1064"/>
        <v>#ERROR!</v>
      </c>
      <c r="FA144" s="321" t="str">
        <f t="shared" si="1064"/>
        <v>#ERROR!</v>
      </c>
      <c r="FB144" s="356"/>
      <c r="FC144" s="321" t="str">
        <f>FC143/FA143-1</f>
        <v>#ERROR!</v>
      </c>
      <c r="FD144" s="321" t="str">
        <f t="shared" ref="FD144:FF144" si="1065">FD143/FC143-1</f>
        <v>#ERROR!</v>
      </c>
      <c r="FE144" s="321" t="str">
        <f t="shared" si="1065"/>
        <v>#ERROR!</v>
      </c>
      <c r="FF144" s="321" t="str">
        <f t="shared" si="1065"/>
        <v>#ERROR!</v>
      </c>
      <c r="FG144" s="356"/>
      <c r="FH144" s="359"/>
      <c r="FI144" s="4"/>
      <c r="FJ144" s="4"/>
      <c r="FK144" s="45"/>
      <c r="FL144" s="4"/>
    </row>
    <row r="145" ht="12.75" customHeight="1">
      <c r="A145" s="4"/>
      <c r="B145" s="72" t="s">
        <v>146</v>
      </c>
      <c r="C145" s="45"/>
      <c r="D145" s="4"/>
      <c r="E145" s="4"/>
      <c r="F145" s="4"/>
      <c r="G145" s="4"/>
      <c r="H145" s="45"/>
      <c r="I145" s="4"/>
      <c r="J145" s="4"/>
      <c r="K145" s="4"/>
      <c r="L145" s="4"/>
      <c r="M145" s="45"/>
      <c r="N145" s="4"/>
      <c r="O145" s="4"/>
      <c r="P145" s="4"/>
      <c r="Q145" s="4"/>
      <c r="R145" s="45"/>
      <c r="S145" s="4"/>
      <c r="T145" s="4"/>
      <c r="U145" s="4"/>
      <c r="V145" s="4"/>
      <c r="W145" s="45"/>
      <c r="X145" s="4"/>
      <c r="Y145" s="4"/>
      <c r="Z145" s="4"/>
      <c r="AA145" s="4"/>
      <c r="AB145" s="45"/>
      <c r="AC145" s="4"/>
      <c r="AD145" s="4"/>
      <c r="AE145" s="4"/>
      <c r="AF145" s="4"/>
      <c r="AG145" s="45"/>
      <c r="AH145" s="4"/>
      <c r="AI145" s="4"/>
      <c r="AJ145" s="4"/>
      <c r="AK145" s="4"/>
      <c r="AL145" s="45"/>
      <c r="AM145" s="4"/>
      <c r="AN145" s="4"/>
      <c r="AO145" s="4"/>
      <c r="AP145" s="4"/>
      <c r="AQ145" s="45"/>
      <c r="AR145" s="4"/>
      <c r="AS145" s="4"/>
      <c r="AT145" s="4"/>
      <c r="AU145" s="4"/>
      <c r="AV145" s="45"/>
      <c r="AW145" s="4"/>
      <c r="AX145" s="4"/>
      <c r="AY145" s="4"/>
      <c r="AZ145" s="4"/>
      <c r="BA145" s="45"/>
      <c r="BB145" s="4"/>
      <c r="BC145" s="4"/>
      <c r="BD145" s="4"/>
      <c r="BE145" s="4"/>
      <c r="BF145" s="45"/>
      <c r="BG145" s="4"/>
      <c r="BH145" s="4"/>
      <c r="BI145" s="4"/>
      <c r="BJ145" s="4"/>
      <c r="BK145" s="45"/>
      <c r="BL145" s="4"/>
      <c r="BM145" s="4"/>
      <c r="BN145" s="4"/>
      <c r="BO145" s="4"/>
      <c r="BP145" s="45"/>
      <c r="BQ145" s="4"/>
      <c r="BR145" s="4"/>
      <c r="BS145" s="4"/>
      <c r="BT145" s="4"/>
      <c r="BU145" s="45"/>
      <c r="BV145" s="4"/>
      <c r="BW145" s="4"/>
      <c r="BX145" s="4"/>
      <c r="BY145" s="4"/>
      <c r="BZ145" s="350"/>
      <c r="CA145" s="4"/>
      <c r="CB145" s="4"/>
      <c r="CC145" s="4"/>
      <c r="CD145" s="4"/>
      <c r="CE145" s="350"/>
      <c r="CF145" s="4"/>
      <c r="CG145" s="4"/>
      <c r="CH145" s="4"/>
      <c r="CI145" s="4"/>
      <c r="CJ145" s="350"/>
      <c r="CK145" s="4"/>
      <c r="CL145" s="4"/>
      <c r="CM145" s="4"/>
      <c r="CN145" s="16"/>
      <c r="CO145" s="350"/>
      <c r="CP145" s="104"/>
      <c r="CQ145" s="104"/>
      <c r="CR145" s="104"/>
      <c r="CS145" s="104"/>
      <c r="CT145" s="350"/>
      <c r="CU145" s="4"/>
      <c r="CV145" s="4"/>
      <c r="CW145" s="4"/>
      <c r="CX145" s="4"/>
      <c r="CY145" s="350"/>
      <c r="CZ145" s="4"/>
      <c r="DA145" s="4"/>
      <c r="DB145" s="4"/>
      <c r="DC145" s="4"/>
      <c r="DD145" s="350"/>
      <c r="DE145" s="4"/>
      <c r="DF145" s="4"/>
      <c r="DG145" s="4"/>
      <c r="DH145" s="4"/>
      <c r="DI145" s="350"/>
      <c r="DJ145" s="16"/>
      <c r="DK145" s="16"/>
      <c r="DL145" s="16"/>
      <c r="DM145" s="16"/>
      <c r="DN145" s="350"/>
      <c r="DO145" s="16"/>
      <c r="DP145" s="16"/>
      <c r="DQ145" s="16"/>
      <c r="DR145" s="16"/>
      <c r="DS145" s="342"/>
      <c r="DT145" s="16"/>
      <c r="DU145" s="16"/>
      <c r="DV145" s="16"/>
      <c r="DW145" s="16"/>
      <c r="DX145" s="342"/>
      <c r="DY145" s="16"/>
      <c r="DZ145" s="16"/>
      <c r="EA145" s="16"/>
      <c r="EB145" s="16"/>
      <c r="EC145" s="342"/>
      <c r="ED145" s="321">
        <f t="shared" ref="ED145:EG145" si="1066">ED143/DY143-1</f>
        <v>-0.04657039711</v>
      </c>
      <c r="EE145" s="321">
        <f t="shared" si="1066"/>
        <v>-0.1801575931</v>
      </c>
      <c r="EF145" s="321">
        <f t="shared" si="1066"/>
        <v>0.03302340494</v>
      </c>
      <c r="EG145" s="321" t="str">
        <f t="shared" si="1066"/>
        <v>#DIV/0!</v>
      </c>
      <c r="EH145" s="356"/>
      <c r="EI145" s="322" t="str">
        <f t="shared" ref="EI145:FG145" si="1067">EI143/ED143-1</f>
        <v>#ERROR!</v>
      </c>
      <c r="EJ145" s="321" t="str">
        <f t="shared" si="1067"/>
        <v>#ERROR!</v>
      </c>
      <c r="EK145" s="321" t="str">
        <f t="shared" si="1067"/>
        <v>#ERROR!</v>
      </c>
      <c r="EL145" s="321" t="str">
        <f t="shared" si="1067"/>
        <v>#ERROR!</v>
      </c>
      <c r="EM145" s="342" t="str">
        <f t="shared" si="1067"/>
        <v>#ERROR!</v>
      </c>
      <c r="EN145" s="321" t="str">
        <f t="shared" si="1067"/>
        <v>#ERROR!</v>
      </c>
      <c r="EO145" s="321" t="str">
        <f t="shared" si="1067"/>
        <v>#ERROR!</v>
      </c>
      <c r="EP145" s="321" t="str">
        <f t="shared" si="1067"/>
        <v>#ERROR!</v>
      </c>
      <c r="EQ145" s="321" t="str">
        <f t="shared" si="1067"/>
        <v>#ERROR!</v>
      </c>
      <c r="ER145" s="342" t="str">
        <f t="shared" si="1067"/>
        <v>#ERROR!</v>
      </c>
      <c r="ES145" s="321" t="str">
        <f t="shared" si="1067"/>
        <v>#ERROR!</v>
      </c>
      <c r="ET145" s="321" t="str">
        <f t="shared" si="1067"/>
        <v>#ERROR!</v>
      </c>
      <c r="EU145" s="321" t="str">
        <f t="shared" si="1067"/>
        <v>#ERROR!</v>
      </c>
      <c r="EV145" s="321" t="str">
        <f t="shared" si="1067"/>
        <v>#ERROR!</v>
      </c>
      <c r="EW145" s="342" t="str">
        <f t="shared" si="1067"/>
        <v>#ERROR!</v>
      </c>
      <c r="EX145" s="321" t="str">
        <f t="shared" si="1067"/>
        <v>#ERROR!</v>
      </c>
      <c r="EY145" s="321" t="str">
        <f t="shared" si="1067"/>
        <v>#ERROR!</v>
      </c>
      <c r="EZ145" s="321" t="str">
        <f t="shared" si="1067"/>
        <v>#ERROR!</v>
      </c>
      <c r="FA145" s="321" t="str">
        <f t="shared" si="1067"/>
        <v>#ERROR!</v>
      </c>
      <c r="FB145" s="342" t="str">
        <f t="shared" si="1067"/>
        <v>#ERROR!</v>
      </c>
      <c r="FC145" s="321" t="str">
        <f t="shared" si="1067"/>
        <v>#ERROR!</v>
      </c>
      <c r="FD145" s="321" t="str">
        <f t="shared" si="1067"/>
        <v>#ERROR!</v>
      </c>
      <c r="FE145" s="321" t="str">
        <f t="shared" si="1067"/>
        <v>#ERROR!</v>
      </c>
      <c r="FF145" s="321" t="str">
        <f t="shared" si="1067"/>
        <v>#ERROR!</v>
      </c>
      <c r="FG145" s="342" t="str">
        <f t="shared" si="1067"/>
        <v>#ERROR!</v>
      </c>
      <c r="FH145" s="343"/>
      <c r="FI145" s="4"/>
      <c r="FJ145" s="4"/>
      <c r="FK145" s="45"/>
      <c r="FL145" s="4"/>
    </row>
    <row r="146" ht="12.75" customHeight="1">
      <c r="A146" s="4"/>
      <c r="B146" s="84" t="s">
        <v>18</v>
      </c>
      <c r="C146" s="45"/>
      <c r="D146" s="4"/>
      <c r="E146" s="4"/>
      <c r="F146" s="4"/>
      <c r="G146" s="4"/>
      <c r="H146" s="45"/>
      <c r="I146" s="4"/>
      <c r="J146" s="4"/>
      <c r="K146" s="4"/>
      <c r="L146" s="4"/>
      <c r="M146" s="45"/>
      <c r="N146" s="4"/>
      <c r="O146" s="4"/>
      <c r="P146" s="4"/>
      <c r="Q146" s="4"/>
      <c r="R146" s="45"/>
      <c r="S146" s="4"/>
      <c r="T146" s="4"/>
      <c r="U146" s="4"/>
      <c r="V146" s="4"/>
      <c r="W146" s="45"/>
      <c r="X146" s="4"/>
      <c r="Y146" s="4"/>
      <c r="Z146" s="4"/>
      <c r="AA146" s="4"/>
      <c r="AB146" s="45"/>
      <c r="AC146" s="4"/>
      <c r="AD146" s="4"/>
      <c r="AE146" s="4"/>
      <c r="AF146" s="4"/>
      <c r="AG146" s="45"/>
      <c r="AH146" s="4"/>
      <c r="AI146" s="4"/>
      <c r="AJ146" s="4"/>
      <c r="AK146" s="4"/>
      <c r="AL146" s="45"/>
      <c r="AM146" s="4"/>
      <c r="AN146" s="4"/>
      <c r="AO146" s="4"/>
      <c r="AP146" s="4"/>
      <c r="AQ146" s="45"/>
      <c r="AR146" s="4"/>
      <c r="AS146" s="4"/>
      <c r="AT146" s="4"/>
      <c r="AU146" s="4"/>
      <c r="AV146" s="45"/>
      <c r="AW146" s="4"/>
      <c r="AX146" s="4"/>
      <c r="AY146" s="4"/>
      <c r="AZ146" s="4"/>
      <c r="BA146" s="45"/>
      <c r="BB146" s="4"/>
      <c r="BC146" s="4"/>
      <c r="BD146" s="4"/>
      <c r="BE146" s="4"/>
      <c r="BF146" s="45"/>
      <c r="BG146" s="4"/>
      <c r="BH146" s="4"/>
      <c r="BI146" s="4"/>
      <c r="BJ146" s="4"/>
      <c r="BK146" s="45"/>
      <c r="BL146" s="4"/>
      <c r="BM146" s="4"/>
      <c r="BN146" s="4"/>
      <c r="BO146" s="4"/>
      <c r="BP146" s="45"/>
      <c r="BQ146" s="4"/>
      <c r="BR146" s="4"/>
      <c r="BS146" s="4"/>
      <c r="BT146" s="4"/>
      <c r="BU146" s="45"/>
      <c r="BV146" s="4"/>
      <c r="BW146" s="4"/>
      <c r="BX146" s="4"/>
      <c r="BY146" s="4"/>
      <c r="BZ146" s="350"/>
      <c r="CA146" s="4"/>
      <c r="CB146" s="4"/>
      <c r="CC146" s="4"/>
      <c r="CD146" s="4"/>
      <c r="CE146" s="350"/>
      <c r="CF146" s="4"/>
      <c r="CG146" s="4"/>
      <c r="CH146" s="4"/>
      <c r="CI146" s="4"/>
      <c r="CJ146" s="350"/>
      <c r="CK146" s="4"/>
      <c r="CL146" s="4"/>
      <c r="CM146" s="4"/>
      <c r="CN146" s="16"/>
      <c r="CO146" s="350"/>
      <c r="CP146" s="104"/>
      <c r="CQ146" s="104"/>
      <c r="CR146" s="104"/>
      <c r="CS146" s="104"/>
      <c r="CT146" s="350"/>
      <c r="CU146" s="4"/>
      <c r="CV146" s="4"/>
      <c r="CW146" s="4"/>
      <c r="CX146" s="4"/>
      <c r="CY146" s="350"/>
      <c r="CZ146" s="4"/>
      <c r="DA146" s="4"/>
      <c r="DB146" s="4"/>
      <c r="DC146" s="4"/>
      <c r="DD146" s="350"/>
      <c r="DE146" s="4"/>
      <c r="DF146" s="4"/>
      <c r="DG146" s="4"/>
      <c r="DH146" s="4"/>
      <c r="DI146" s="350"/>
      <c r="DJ146" s="85" t="str">
        <f t="shared" ref="DJ146:DM146" si="1068">AVERAGE(CU275,CZ275,DE275)</f>
        <v>#ERROR!</v>
      </c>
      <c r="DK146" s="85" t="str">
        <f t="shared" si="1068"/>
        <v>#ERROR!</v>
      </c>
      <c r="DL146" s="85" t="str">
        <f t="shared" si="1068"/>
        <v>#ERROR!</v>
      </c>
      <c r="DM146" s="85" t="str">
        <f t="shared" si="1068"/>
        <v>#ERROR!</v>
      </c>
      <c r="DN146" s="350"/>
      <c r="DO146" s="85" t="str">
        <f t="shared" ref="DO146:DR146" si="1069">AVERAGE(CZ275,DE275,DJ275)</f>
        <v>#ERROR!</v>
      </c>
      <c r="DP146" s="85" t="str">
        <f t="shared" si="1069"/>
        <v>#ERROR!</v>
      </c>
      <c r="DQ146" s="85" t="str">
        <f t="shared" si="1069"/>
        <v>#ERROR!</v>
      </c>
      <c r="DR146" s="85" t="str">
        <f t="shared" si="1069"/>
        <v>#ERROR!</v>
      </c>
      <c r="DS146" s="342"/>
      <c r="DT146" s="85" t="str">
        <f t="shared" ref="DT146:DW146" si="1070">AVERAGE(DE275,DJ275,DO275)</f>
        <v>#ERROR!</v>
      </c>
      <c r="DU146" s="85" t="str">
        <f t="shared" si="1070"/>
        <v>#ERROR!</v>
      </c>
      <c r="DV146" s="85" t="str">
        <f t="shared" si="1070"/>
        <v>#ERROR!</v>
      </c>
      <c r="DW146" s="85" t="str">
        <f t="shared" si="1070"/>
        <v>#ERROR!</v>
      </c>
      <c r="DX146" s="342"/>
      <c r="DY146" s="85" t="str">
        <f t="shared" ref="DY146:EB146" si="1071">AVERAGE(DJ275,DO275,DT275)</f>
        <v>#ERROR!</v>
      </c>
      <c r="DZ146" s="85" t="str">
        <f t="shared" si="1071"/>
        <v>#ERROR!</v>
      </c>
      <c r="EA146" s="85" t="str">
        <f t="shared" si="1071"/>
        <v>#ERROR!</v>
      </c>
      <c r="EB146" s="85" t="str">
        <f t="shared" si="1071"/>
        <v>#ERROR!</v>
      </c>
      <c r="EC146" s="342"/>
      <c r="ED146" s="85" t="str">
        <f t="shared" ref="ED146:EG146" si="1072">AVERAGE(DO275,DT275,DY275)</f>
        <v>#ERROR!</v>
      </c>
      <c r="EE146" s="85" t="str">
        <f t="shared" si="1072"/>
        <v>#ERROR!</v>
      </c>
      <c r="EF146" s="85" t="str">
        <f t="shared" si="1072"/>
        <v>#ERROR!</v>
      </c>
      <c r="EG146" s="85" t="str">
        <f t="shared" si="1072"/>
        <v>#ERROR!</v>
      </c>
      <c r="EH146" s="356"/>
      <c r="EI146" s="362" t="str">
        <f>AVERAGE(DT275,DY275,ED275)</f>
        <v>#ERROR!</v>
      </c>
      <c r="EJ146" s="85" t="str">
        <f t="shared" ref="EJ146:EL146" si="1073">AVERAGE(DU275,DZ275,EE144)</f>
        <v>#ERROR!</v>
      </c>
      <c r="EK146" s="85" t="str">
        <f t="shared" si="1073"/>
        <v>#ERROR!</v>
      </c>
      <c r="EL146" s="85" t="str">
        <f t="shared" si="1073"/>
        <v>#ERROR!</v>
      </c>
      <c r="EM146" s="356"/>
      <c r="EN146" s="85" t="str">
        <f t="shared" ref="EN146:EQ146" si="1074">AVERAGE(DY275,ED144,EI144)</f>
        <v>#ERROR!</v>
      </c>
      <c r="EO146" s="85" t="str">
        <f t="shared" si="1074"/>
        <v>#ERROR!</v>
      </c>
      <c r="EP146" s="85" t="str">
        <f t="shared" si="1074"/>
        <v>#ERROR!</v>
      </c>
      <c r="EQ146" s="85" t="str">
        <f t="shared" si="1074"/>
        <v>#ERROR!</v>
      </c>
      <c r="ER146" s="356"/>
      <c r="ES146" s="85" t="str">
        <f t="shared" ref="ES146:EV146" si="1075">AVERAGE(ED144,EI144,EN144)</f>
        <v>#ERROR!</v>
      </c>
      <c r="ET146" s="85" t="str">
        <f t="shared" si="1075"/>
        <v>#ERROR!</v>
      </c>
      <c r="EU146" s="85" t="str">
        <f t="shared" si="1075"/>
        <v>#ERROR!</v>
      </c>
      <c r="EV146" s="85" t="str">
        <f t="shared" si="1075"/>
        <v>#ERROR!</v>
      </c>
      <c r="EW146" s="356"/>
      <c r="EX146" s="85" t="str">
        <f t="shared" ref="EX146:FA146" si="1076">AVERAGE(EI144,EN144,ES144)</f>
        <v>#ERROR!</v>
      </c>
      <c r="EY146" s="85" t="str">
        <f t="shared" si="1076"/>
        <v>#ERROR!</v>
      </c>
      <c r="EZ146" s="85" t="str">
        <f t="shared" si="1076"/>
        <v>#ERROR!</v>
      </c>
      <c r="FA146" s="85" t="str">
        <f t="shared" si="1076"/>
        <v>#ERROR!</v>
      </c>
      <c r="FB146" s="356"/>
      <c r="FC146" s="85" t="str">
        <f t="shared" ref="FC146:FF146" si="1077">AVERAGE(EN144,ES144,EX144)</f>
        <v>#ERROR!</v>
      </c>
      <c r="FD146" s="85" t="str">
        <f t="shared" si="1077"/>
        <v>#ERROR!</v>
      </c>
      <c r="FE146" s="85" t="str">
        <f t="shared" si="1077"/>
        <v>#ERROR!</v>
      </c>
      <c r="FF146" s="85" t="str">
        <f t="shared" si="1077"/>
        <v>#ERROR!</v>
      </c>
      <c r="FG146" s="356"/>
      <c r="FH146" s="359"/>
      <c r="FI146" s="4"/>
      <c r="FJ146" s="4"/>
      <c r="FK146" s="45"/>
      <c r="FL146" s="4"/>
    </row>
    <row r="147" ht="12.75" customHeight="1">
      <c r="A147" s="4"/>
      <c r="B147" s="215" t="s">
        <v>149</v>
      </c>
      <c r="C147" s="45"/>
      <c r="D147" s="4"/>
      <c r="E147" s="4"/>
      <c r="F147" s="4"/>
      <c r="G147" s="4"/>
      <c r="H147" s="45"/>
      <c r="I147" s="4"/>
      <c r="J147" s="4"/>
      <c r="K147" s="4"/>
      <c r="L147" s="4"/>
      <c r="M147" s="45"/>
      <c r="N147" s="4"/>
      <c r="O147" s="4"/>
      <c r="P147" s="4"/>
      <c r="Q147" s="4"/>
      <c r="R147" s="45"/>
      <c r="S147" s="4"/>
      <c r="T147" s="4"/>
      <c r="U147" s="4"/>
      <c r="V147" s="4"/>
      <c r="W147" s="45"/>
      <c r="X147" s="4"/>
      <c r="Y147" s="4"/>
      <c r="Z147" s="4"/>
      <c r="AA147" s="4"/>
      <c r="AB147" s="45"/>
      <c r="AC147" s="4"/>
      <c r="AD147" s="4"/>
      <c r="AE147" s="4"/>
      <c r="AF147" s="4"/>
      <c r="AG147" s="45"/>
      <c r="AH147" s="4"/>
      <c r="AI147" s="4"/>
      <c r="AJ147" s="4"/>
      <c r="AK147" s="4"/>
      <c r="AL147" s="45"/>
      <c r="AM147" s="4"/>
      <c r="AN147" s="4"/>
      <c r="AO147" s="4"/>
      <c r="AP147" s="4"/>
      <c r="AQ147" s="45"/>
      <c r="AR147" s="4"/>
      <c r="AS147" s="4"/>
      <c r="AT147" s="4"/>
      <c r="AU147" s="4"/>
      <c r="AV147" s="45"/>
      <c r="AW147" s="4"/>
      <c r="AX147" s="4"/>
      <c r="AY147" s="4"/>
      <c r="AZ147" s="4"/>
      <c r="BA147" s="45"/>
      <c r="BB147" s="4"/>
      <c r="BC147" s="4"/>
      <c r="BD147" s="4"/>
      <c r="BE147" s="4"/>
      <c r="BF147" s="45"/>
      <c r="BG147" s="4"/>
      <c r="BH147" s="4"/>
      <c r="BI147" s="4"/>
      <c r="BJ147" s="4"/>
      <c r="BK147" s="45"/>
      <c r="BL147" s="4"/>
      <c r="BM147" s="4"/>
      <c r="BN147" s="4"/>
      <c r="BO147" s="4"/>
      <c r="BP147" s="45"/>
      <c r="BQ147" s="4"/>
      <c r="BR147" s="4"/>
      <c r="BS147" s="4"/>
      <c r="BT147" s="4"/>
      <c r="BU147" s="45"/>
      <c r="BV147" s="4"/>
      <c r="BW147" s="4"/>
      <c r="BX147" s="4"/>
      <c r="BY147" s="4"/>
      <c r="BZ147" s="350"/>
      <c r="CA147" s="4"/>
      <c r="CB147" s="4"/>
      <c r="CC147" s="4"/>
      <c r="CD147" s="4"/>
      <c r="CE147" s="350"/>
      <c r="CF147" s="4"/>
      <c r="CG147" s="4"/>
      <c r="CH147" s="4"/>
      <c r="CI147" s="4"/>
      <c r="CJ147" s="350"/>
      <c r="CK147" s="4"/>
      <c r="CL147" s="4"/>
      <c r="CM147" s="4"/>
      <c r="CN147" s="16"/>
      <c r="CO147" s="350"/>
      <c r="CP147" s="17" t="str">
        <f t="shared" ref="CP147:CS147" si="1078">CP276</f>
        <v>#ERROR!</v>
      </c>
      <c r="CQ147" s="17" t="str">
        <f t="shared" si="1078"/>
        <v>#ERROR!</v>
      </c>
      <c r="CR147" s="17" t="str">
        <f t="shared" si="1078"/>
        <v>#ERROR!</v>
      </c>
      <c r="CS147" s="17" t="str">
        <f t="shared" si="1078"/>
        <v>#ERROR!</v>
      </c>
      <c r="CT147" s="363" t="str">
        <f>SUM(CP147:CS147)</f>
        <v>#ERROR!</v>
      </c>
      <c r="CU147" s="17" t="str">
        <f t="shared" ref="CU147:CX147" si="1079">CU276</f>
        <v>#ERROR!</v>
      </c>
      <c r="CV147" s="17" t="str">
        <f t="shared" si="1079"/>
        <v>#ERROR!</v>
      </c>
      <c r="CW147" s="17" t="str">
        <f t="shared" si="1079"/>
        <v>#ERROR!</v>
      </c>
      <c r="CX147" s="17" t="str">
        <f t="shared" si="1079"/>
        <v>#ERROR!</v>
      </c>
      <c r="CY147" s="363" t="str">
        <f>SUM(CU147:CX147)</f>
        <v>#ERROR!</v>
      </c>
      <c r="CZ147" s="17" t="str">
        <f t="shared" ref="CZ147:DC147" si="1080">CZ276</f>
        <v>#ERROR!</v>
      </c>
      <c r="DA147" s="17" t="str">
        <f t="shared" si="1080"/>
        <v>#ERROR!</v>
      </c>
      <c r="DB147" s="17" t="str">
        <f t="shared" si="1080"/>
        <v>#ERROR!</v>
      </c>
      <c r="DC147" s="17" t="str">
        <f t="shared" si="1080"/>
        <v>#ERROR!</v>
      </c>
      <c r="DD147" s="363" t="str">
        <f>SUM(CZ147:DC147)</f>
        <v>#ERROR!</v>
      </c>
      <c r="DE147" s="17" t="str">
        <f t="shared" ref="DE147:DH147" si="1081">DE276</f>
        <v>#ERROR!</v>
      </c>
      <c r="DF147" s="17" t="str">
        <f t="shared" si="1081"/>
        <v>#ERROR!</v>
      </c>
      <c r="DG147" s="17" t="str">
        <f t="shared" si="1081"/>
        <v>#ERROR!</v>
      </c>
      <c r="DH147" s="17" t="str">
        <f t="shared" si="1081"/>
        <v>#ERROR!</v>
      </c>
      <c r="DI147" s="363" t="str">
        <f>SUM(DE147:DH147)</f>
        <v>#ERROR!</v>
      </c>
      <c r="DJ147" s="17" t="str">
        <f t="shared" ref="DJ147:DM147" si="1082">DJ276</f>
        <v>#ERROR!</v>
      </c>
      <c r="DK147" s="17" t="str">
        <f t="shared" si="1082"/>
        <v>#ERROR!</v>
      </c>
      <c r="DL147" s="17" t="str">
        <f t="shared" si="1082"/>
        <v>#ERROR!</v>
      </c>
      <c r="DM147" s="17" t="str">
        <f t="shared" si="1082"/>
        <v>#ERROR!</v>
      </c>
      <c r="DN147" s="363" t="str">
        <f>SUM(DJ147:DM147)</f>
        <v>#ERROR!</v>
      </c>
      <c r="DO147" s="17" t="str">
        <f t="shared" ref="DO147:DR147" si="1083">DO276</f>
        <v>#ERROR!</v>
      </c>
      <c r="DP147" s="17" t="str">
        <f t="shared" si="1083"/>
        <v>#ERROR!</v>
      </c>
      <c r="DQ147" s="17" t="str">
        <f t="shared" si="1083"/>
        <v>#ERROR!</v>
      </c>
      <c r="DR147" s="17" t="str">
        <f t="shared" si="1083"/>
        <v>#ERROR!</v>
      </c>
      <c r="DS147" s="363" t="str">
        <f>SUM(DO147:DR147)</f>
        <v>#ERROR!</v>
      </c>
      <c r="DT147" s="17" t="str">
        <f t="shared" ref="DT147:DW147" si="1084">DT276</f>
        <v>#ERROR!</v>
      </c>
      <c r="DU147" s="17" t="str">
        <f t="shared" si="1084"/>
        <v>#ERROR!</v>
      </c>
      <c r="DV147" s="17" t="str">
        <f t="shared" si="1084"/>
        <v>#ERROR!</v>
      </c>
      <c r="DW147" s="17" t="str">
        <f t="shared" si="1084"/>
        <v>#ERROR!</v>
      </c>
      <c r="DX147" s="363" t="str">
        <f>SUM(DT147:DW147)</f>
        <v>#ERROR!</v>
      </c>
      <c r="DY147" s="17" t="str">
        <f t="shared" ref="DY147:EB147" si="1085">DY276</f>
        <v>#ERROR!</v>
      </c>
      <c r="DZ147" s="17" t="str">
        <f t="shared" si="1085"/>
        <v>#ERROR!</v>
      </c>
      <c r="EA147" s="17" t="str">
        <f t="shared" si="1085"/>
        <v>#ERROR!</v>
      </c>
      <c r="EB147" s="17" t="str">
        <f t="shared" si="1085"/>
        <v>#ERROR!</v>
      </c>
      <c r="EC147" s="363" t="str">
        <f>SUM(DY147:EB147)</f>
        <v>#ERROR!</v>
      </c>
      <c r="ED147" s="17" t="str">
        <f t="shared" ref="ED147:EG147" si="1086">DY147*(1+ED149)</f>
        <v>#ERROR!</v>
      </c>
      <c r="EE147" s="17" t="str">
        <f t="shared" si="1086"/>
        <v>#ERROR!</v>
      </c>
      <c r="EF147" s="17" t="str">
        <f t="shared" si="1086"/>
        <v>#ERROR!</v>
      </c>
      <c r="EG147" s="17" t="str">
        <f t="shared" si="1086"/>
        <v>#ERROR!</v>
      </c>
      <c r="EH147" s="363" t="str">
        <f>SUM(ED147:EG147)</f>
        <v>#ERROR!</v>
      </c>
      <c r="EI147" s="134" t="str">
        <f>EG147*(1+EI148)</f>
        <v>#ERROR!</v>
      </c>
      <c r="EJ147" s="17" t="str">
        <f t="shared" ref="EJ147:EL147" si="1087">EI147*(1+EJ148)</f>
        <v>#ERROR!</v>
      </c>
      <c r="EK147" s="17" t="str">
        <f t="shared" si="1087"/>
        <v>#ERROR!</v>
      </c>
      <c r="EL147" s="17" t="str">
        <f t="shared" si="1087"/>
        <v>#ERROR!</v>
      </c>
      <c r="EM147" s="363" t="str">
        <f>SUM(EI147:EL147)</f>
        <v>#ERROR!</v>
      </c>
      <c r="EN147" s="17" t="str">
        <f>EL147*(1+EN148)</f>
        <v>#ERROR!</v>
      </c>
      <c r="EO147" s="17" t="str">
        <f t="shared" ref="EO147:EQ147" si="1088">EN147*(1+EO148)</f>
        <v>#ERROR!</v>
      </c>
      <c r="EP147" s="17" t="str">
        <f t="shared" si="1088"/>
        <v>#ERROR!</v>
      </c>
      <c r="EQ147" s="17" t="str">
        <f t="shared" si="1088"/>
        <v>#ERROR!</v>
      </c>
      <c r="ER147" s="363" t="str">
        <f>SUM(EN147:EQ147)</f>
        <v>#ERROR!</v>
      </c>
      <c r="ES147" s="17" t="str">
        <f>EQ147*(1+ES148)</f>
        <v>#ERROR!</v>
      </c>
      <c r="ET147" s="17" t="str">
        <f t="shared" ref="ET147:EV147" si="1089">ES147*(1+ET148)</f>
        <v>#ERROR!</v>
      </c>
      <c r="EU147" s="17" t="str">
        <f t="shared" si="1089"/>
        <v>#ERROR!</v>
      </c>
      <c r="EV147" s="17" t="str">
        <f t="shared" si="1089"/>
        <v>#ERROR!</v>
      </c>
      <c r="EW147" s="363" t="str">
        <f>SUM(ES147:EV147)</f>
        <v>#ERROR!</v>
      </c>
      <c r="EX147" s="17" t="str">
        <f>EV147*(1+EX148)</f>
        <v>#ERROR!</v>
      </c>
      <c r="EY147" s="17" t="str">
        <f t="shared" ref="EY147:FA147" si="1090">EX147*(1+EY148)</f>
        <v>#ERROR!</v>
      </c>
      <c r="EZ147" s="17" t="str">
        <f t="shared" si="1090"/>
        <v>#ERROR!</v>
      </c>
      <c r="FA147" s="17" t="str">
        <f t="shared" si="1090"/>
        <v>#ERROR!</v>
      </c>
      <c r="FB147" s="363" t="str">
        <f>SUM(EX147:FA147)</f>
        <v>#ERROR!</v>
      </c>
      <c r="FC147" s="17" t="str">
        <f>FA147*(1+FC148)</f>
        <v>#ERROR!</v>
      </c>
      <c r="FD147" s="17" t="str">
        <f t="shared" ref="FD147:FF147" si="1091">FC147*(1+FD148)</f>
        <v>#ERROR!</v>
      </c>
      <c r="FE147" s="17" t="str">
        <f t="shared" si="1091"/>
        <v>#ERROR!</v>
      </c>
      <c r="FF147" s="17" t="str">
        <f t="shared" si="1091"/>
        <v>#ERROR!</v>
      </c>
      <c r="FG147" s="363" t="str">
        <f>SUM(FC147:FF147)</f>
        <v>#ERROR!</v>
      </c>
      <c r="FH147" s="364"/>
      <c r="FI147" s="4"/>
      <c r="FJ147" s="4"/>
      <c r="FK147" s="45"/>
      <c r="FL147" s="4"/>
    </row>
    <row r="148" ht="12.75" customHeight="1">
      <c r="A148" s="4"/>
      <c r="B148" s="72" t="s">
        <v>150</v>
      </c>
      <c r="C148" s="45"/>
      <c r="D148" s="4"/>
      <c r="E148" s="4"/>
      <c r="F148" s="4"/>
      <c r="G148" s="4"/>
      <c r="H148" s="45"/>
      <c r="I148" s="4"/>
      <c r="J148" s="4"/>
      <c r="K148" s="4"/>
      <c r="L148" s="4"/>
      <c r="M148" s="45"/>
      <c r="N148" s="4"/>
      <c r="O148" s="4"/>
      <c r="P148" s="4"/>
      <c r="Q148" s="4"/>
      <c r="R148" s="45"/>
      <c r="S148" s="4"/>
      <c r="T148" s="4"/>
      <c r="U148" s="4"/>
      <c r="V148" s="4"/>
      <c r="W148" s="45"/>
      <c r="X148" s="4"/>
      <c r="Y148" s="4"/>
      <c r="Z148" s="4"/>
      <c r="AA148" s="4"/>
      <c r="AB148" s="45"/>
      <c r="AC148" s="4"/>
      <c r="AD148" s="4"/>
      <c r="AE148" s="4"/>
      <c r="AF148" s="4"/>
      <c r="AG148" s="45"/>
      <c r="AH148" s="4"/>
      <c r="AI148" s="4"/>
      <c r="AJ148" s="4"/>
      <c r="AK148" s="4"/>
      <c r="AL148" s="45"/>
      <c r="AM148" s="4"/>
      <c r="AN148" s="4"/>
      <c r="AO148" s="4"/>
      <c r="AP148" s="4"/>
      <c r="AQ148" s="45"/>
      <c r="AR148" s="4"/>
      <c r="AS148" s="4"/>
      <c r="AT148" s="4"/>
      <c r="AU148" s="4"/>
      <c r="AV148" s="45"/>
      <c r="AW148" s="4"/>
      <c r="AX148" s="4"/>
      <c r="AY148" s="4"/>
      <c r="AZ148" s="4"/>
      <c r="BA148" s="45"/>
      <c r="BB148" s="4"/>
      <c r="BC148" s="4"/>
      <c r="BD148" s="4"/>
      <c r="BE148" s="4"/>
      <c r="BF148" s="45"/>
      <c r="BG148" s="4"/>
      <c r="BH148" s="4"/>
      <c r="BI148" s="4"/>
      <c r="BJ148" s="4"/>
      <c r="BK148" s="45"/>
      <c r="BL148" s="4"/>
      <c r="BM148" s="4"/>
      <c r="BN148" s="4"/>
      <c r="BO148" s="4"/>
      <c r="BP148" s="45"/>
      <c r="BQ148" s="4"/>
      <c r="BR148" s="4"/>
      <c r="BS148" s="4"/>
      <c r="BT148" s="4"/>
      <c r="BU148" s="45"/>
      <c r="BV148" s="4"/>
      <c r="BW148" s="4"/>
      <c r="BX148" s="4"/>
      <c r="BY148" s="4"/>
      <c r="BZ148" s="350"/>
      <c r="CA148" s="4"/>
      <c r="CB148" s="4"/>
      <c r="CC148" s="4"/>
      <c r="CD148" s="4"/>
      <c r="CE148" s="350"/>
      <c r="CF148" s="4"/>
      <c r="CG148" s="4"/>
      <c r="CH148" s="4"/>
      <c r="CI148" s="4"/>
      <c r="CJ148" s="350"/>
      <c r="CK148" s="4"/>
      <c r="CL148" s="4"/>
      <c r="CM148" s="4"/>
      <c r="CN148" s="16"/>
      <c r="CO148" s="350"/>
      <c r="CP148" s="15"/>
      <c r="CQ148" s="15" t="str">
        <f t="shared" ref="CQ148:CS148" si="1092">CQ147/CP147-1</f>
        <v>#ERROR!</v>
      </c>
      <c r="CR148" s="15" t="str">
        <f t="shared" si="1092"/>
        <v>#ERROR!</v>
      </c>
      <c r="CS148" s="15" t="str">
        <f t="shared" si="1092"/>
        <v>#ERROR!</v>
      </c>
      <c r="CT148" s="23"/>
      <c r="CU148" s="15" t="str">
        <f>CU147/CP147-1</f>
        <v>#ERROR!</v>
      </c>
      <c r="CV148" s="15" t="str">
        <f t="shared" ref="CV148:CX148" si="1093">CV147/CU147-1</f>
        <v>#ERROR!</v>
      </c>
      <c r="CW148" s="15" t="str">
        <f t="shared" si="1093"/>
        <v>#ERROR!</v>
      </c>
      <c r="CX148" s="15" t="str">
        <f t="shared" si="1093"/>
        <v>#ERROR!</v>
      </c>
      <c r="CY148" s="23"/>
      <c r="CZ148" s="15" t="str">
        <f>CZ147/CU147-1</f>
        <v>#ERROR!</v>
      </c>
      <c r="DA148" s="15" t="str">
        <f t="shared" ref="DA148:DC148" si="1094">DA147/CZ147-1</f>
        <v>#ERROR!</v>
      </c>
      <c r="DB148" s="15" t="str">
        <f t="shared" si="1094"/>
        <v>#ERROR!</v>
      </c>
      <c r="DC148" s="15" t="str">
        <f t="shared" si="1094"/>
        <v>#ERROR!</v>
      </c>
      <c r="DD148" s="23"/>
      <c r="DE148" s="15" t="str">
        <f>DE147/CZ147-1</f>
        <v>#ERROR!</v>
      </c>
      <c r="DF148" s="15" t="str">
        <f t="shared" ref="DF148:DH148" si="1095">DF147/DE147-1</f>
        <v>#ERROR!</v>
      </c>
      <c r="DG148" s="15" t="str">
        <f t="shared" si="1095"/>
        <v>#ERROR!</v>
      </c>
      <c r="DH148" s="15" t="str">
        <f t="shared" si="1095"/>
        <v>#ERROR!</v>
      </c>
      <c r="DI148" s="23"/>
      <c r="DJ148" s="15" t="str">
        <f>DJ147/DE147-1</f>
        <v>#ERROR!</v>
      </c>
      <c r="DK148" s="15" t="str">
        <f t="shared" ref="DK148:DM148" si="1096">DK147/DJ147-1</f>
        <v>#ERROR!</v>
      </c>
      <c r="DL148" s="15" t="str">
        <f t="shared" si="1096"/>
        <v>#ERROR!</v>
      </c>
      <c r="DM148" s="15" t="str">
        <f t="shared" si="1096"/>
        <v>#ERROR!</v>
      </c>
      <c r="DN148" s="350"/>
      <c r="DO148" s="15" t="str">
        <f>DO147/DM147-1</f>
        <v>#ERROR!</v>
      </c>
      <c r="DP148" s="15" t="str">
        <f t="shared" ref="DP148:DR148" si="1097">DP147/DO147-1</f>
        <v>#ERROR!</v>
      </c>
      <c r="DQ148" s="15" t="str">
        <f t="shared" si="1097"/>
        <v>#ERROR!</v>
      </c>
      <c r="DR148" s="15" t="str">
        <f t="shared" si="1097"/>
        <v>#ERROR!</v>
      </c>
      <c r="DS148" s="342"/>
      <c r="DT148" s="15" t="str">
        <f>DT147/DR147-1</f>
        <v>#ERROR!</v>
      </c>
      <c r="DU148" s="15" t="str">
        <f t="shared" ref="DU148:DW148" si="1098">DU147/DT147-1</f>
        <v>#ERROR!</v>
      </c>
      <c r="DV148" s="15" t="str">
        <f t="shared" si="1098"/>
        <v>#ERROR!</v>
      </c>
      <c r="DW148" s="15" t="str">
        <f t="shared" si="1098"/>
        <v>#ERROR!</v>
      </c>
      <c r="DX148" s="342"/>
      <c r="DY148" s="15" t="str">
        <f>DY147/DW147-1</f>
        <v>#ERROR!</v>
      </c>
      <c r="DZ148" s="15" t="str">
        <f t="shared" ref="DZ148:EB148" si="1099">DZ147/DY147-1</f>
        <v>#ERROR!</v>
      </c>
      <c r="EA148" s="15" t="str">
        <f t="shared" si="1099"/>
        <v>#ERROR!</v>
      </c>
      <c r="EB148" s="15" t="str">
        <f t="shared" si="1099"/>
        <v>#ERROR!</v>
      </c>
      <c r="EC148" s="342"/>
      <c r="ED148" s="15" t="str">
        <f>ED147/EB147-1</f>
        <v>#ERROR!</v>
      </c>
      <c r="EE148" s="15" t="str">
        <f t="shared" ref="EE148:EG148" si="1100">EE147/ED147-1</f>
        <v>#ERROR!</v>
      </c>
      <c r="EF148" s="15" t="str">
        <f t="shared" si="1100"/>
        <v>#ERROR!</v>
      </c>
      <c r="EG148" s="15" t="str">
        <f t="shared" si="1100"/>
        <v>#ERROR!</v>
      </c>
      <c r="EH148" s="342"/>
      <c r="EI148" s="314">
        <v>-0.4</v>
      </c>
      <c r="EJ148" s="365">
        <v>0.1</v>
      </c>
      <c r="EK148" s="365">
        <v>0.3</v>
      </c>
      <c r="EL148" s="365">
        <v>0.4</v>
      </c>
      <c r="EM148" s="356"/>
      <c r="EN148" s="365">
        <v>-0.1</v>
      </c>
      <c r="EO148" s="365">
        <v>-0.08</v>
      </c>
      <c r="EP148" s="365">
        <v>0.03</v>
      </c>
      <c r="EQ148" s="365">
        <v>0.03</v>
      </c>
      <c r="ER148" s="356"/>
      <c r="ES148" s="365">
        <v>0.0</v>
      </c>
      <c r="ET148" s="365">
        <v>0.0</v>
      </c>
      <c r="EU148" s="365">
        <v>0.02</v>
      </c>
      <c r="EV148" s="365">
        <v>0.05</v>
      </c>
      <c r="EW148" s="356"/>
      <c r="EX148" s="365">
        <v>-0.05</v>
      </c>
      <c r="EY148" s="365">
        <v>-0.01</v>
      </c>
      <c r="EZ148" s="365">
        <v>0.08</v>
      </c>
      <c r="FA148" s="365">
        <v>0.05</v>
      </c>
      <c r="FB148" s="356"/>
      <c r="FC148" s="365">
        <v>-0.06</v>
      </c>
      <c r="FD148" s="365">
        <v>-0.01</v>
      </c>
      <c r="FE148" s="365">
        <v>0.07</v>
      </c>
      <c r="FF148" s="365">
        <v>0.04</v>
      </c>
      <c r="FG148" s="356"/>
      <c r="FH148" s="359"/>
      <c r="FI148" s="4"/>
      <c r="FJ148" s="4"/>
      <c r="FK148" s="45"/>
      <c r="FL148" s="4"/>
    </row>
    <row r="149" ht="12.75" customHeight="1">
      <c r="A149" s="4"/>
      <c r="B149" s="72" t="s">
        <v>146</v>
      </c>
      <c r="C149" s="45"/>
      <c r="D149" s="4"/>
      <c r="E149" s="4"/>
      <c r="F149" s="4"/>
      <c r="G149" s="4"/>
      <c r="H149" s="45"/>
      <c r="I149" s="4"/>
      <c r="J149" s="4"/>
      <c r="K149" s="4"/>
      <c r="L149" s="4"/>
      <c r="M149" s="45"/>
      <c r="N149" s="4"/>
      <c r="O149" s="4"/>
      <c r="P149" s="4"/>
      <c r="Q149" s="4"/>
      <c r="R149" s="45"/>
      <c r="S149" s="4"/>
      <c r="T149" s="4"/>
      <c r="U149" s="4"/>
      <c r="V149" s="4"/>
      <c r="W149" s="45"/>
      <c r="X149" s="4"/>
      <c r="Y149" s="4"/>
      <c r="Z149" s="4"/>
      <c r="AA149" s="4"/>
      <c r="AB149" s="45"/>
      <c r="AC149" s="4"/>
      <c r="AD149" s="4"/>
      <c r="AE149" s="4"/>
      <c r="AF149" s="4"/>
      <c r="AG149" s="45"/>
      <c r="AH149" s="4"/>
      <c r="AI149" s="4"/>
      <c r="AJ149" s="4"/>
      <c r="AK149" s="4"/>
      <c r="AL149" s="45"/>
      <c r="AM149" s="4"/>
      <c r="AN149" s="4"/>
      <c r="AO149" s="4"/>
      <c r="AP149" s="4"/>
      <c r="AQ149" s="45"/>
      <c r="AR149" s="4"/>
      <c r="AS149" s="4"/>
      <c r="AT149" s="4"/>
      <c r="AU149" s="4"/>
      <c r="AV149" s="45"/>
      <c r="AW149" s="4"/>
      <c r="AX149" s="4"/>
      <c r="AY149" s="4"/>
      <c r="AZ149" s="4"/>
      <c r="BA149" s="45"/>
      <c r="BB149" s="4"/>
      <c r="BC149" s="4"/>
      <c r="BD149" s="4"/>
      <c r="BE149" s="4"/>
      <c r="BF149" s="45"/>
      <c r="BG149" s="4"/>
      <c r="BH149" s="4"/>
      <c r="BI149" s="4"/>
      <c r="BJ149" s="4"/>
      <c r="BK149" s="45"/>
      <c r="BL149" s="4"/>
      <c r="BM149" s="4"/>
      <c r="BN149" s="4"/>
      <c r="BO149" s="4"/>
      <c r="BP149" s="45"/>
      <c r="BQ149" s="4"/>
      <c r="BR149" s="4"/>
      <c r="BS149" s="4"/>
      <c r="BT149" s="4"/>
      <c r="BU149" s="45"/>
      <c r="BV149" s="4"/>
      <c r="BW149" s="4"/>
      <c r="BX149" s="4"/>
      <c r="BY149" s="4"/>
      <c r="BZ149" s="350"/>
      <c r="CA149" s="4"/>
      <c r="CB149" s="4"/>
      <c r="CC149" s="4"/>
      <c r="CD149" s="4"/>
      <c r="CE149" s="350"/>
      <c r="CF149" s="4"/>
      <c r="CG149" s="4"/>
      <c r="CH149" s="4"/>
      <c r="CI149" s="4"/>
      <c r="CJ149" s="350"/>
      <c r="CK149" s="4"/>
      <c r="CL149" s="4"/>
      <c r="CM149" s="4"/>
      <c r="CN149" s="16"/>
      <c r="CO149" s="350"/>
      <c r="CP149" s="104"/>
      <c r="CQ149" s="104"/>
      <c r="CR149" s="104"/>
      <c r="CS149" s="104"/>
      <c r="CT149" s="350"/>
      <c r="CU149" s="15" t="str">
        <f t="shared" ref="CU149:EC149" si="1101">CU147/CP147-1</f>
        <v>#ERROR!</v>
      </c>
      <c r="CV149" s="15" t="str">
        <f t="shared" si="1101"/>
        <v>#ERROR!</v>
      </c>
      <c r="CW149" s="15" t="str">
        <f t="shared" si="1101"/>
        <v>#ERROR!</v>
      </c>
      <c r="CX149" s="15" t="str">
        <f t="shared" si="1101"/>
        <v>#ERROR!</v>
      </c>
      <c r="CY149" s="37" t="str">
        <f t="shared" si="1101"/>
        <v>#ERROR!</v>
      </c>
      <c r="CZ149" s="15" t="str">
        <f t="shared" si="1101"/>
        <v>#ERROR!</v>
      </c>
      <c r="DA149" s="15" t="str">
        <f t="shared" si="1101"/>
        <v>#ERROR!</v>
      </c>
      <c r="DB149" s="15" t="str">
        <f t="shared" si="1101"/>
        <v>#ERROR!</v>
      </c>
      <c r="DC149" s="15" t="str">
        <f t="shared" si="1101"/>
        <v>#ERROR!</v>
      </c>
      <c r="DD149" s="37" t="str">
        <f t="shared" si="1101"/>
        <v>#ERROR!</v>
      </c>
      <c r="DE149" s="15" t="str">
        <f t="shared" si="1101"/>
        <v>#ERROR!</v>
      </c>
      <c r="DF149" s="15" t="str">
        <f t="shared" si="1101"/>
        <v>#ERROR!</v>
      </c>
      <c r="DG149" s="15" t="str">
        <f t="shared" si="1101"/>
        <v>#ERROR!</v>
      </c>
      <c r="DH149" s="15" t="str">
        <f t="shared" si="1101"/>
        <v>#ERROR!</v>
      </c>
      <c r="DI149" s="37" t="str">
        <f t="shared" si="1101"/>
        <v>#ERROR!</v>
      </c>
      <c r="DJ149" s="15" t="str">
        <f t="shared" si="1101"/>
        <v>#ERROR!</v>
      </c>
      <c r="DK149" s="15" t="str">
        <f t="shared" si="1101"/>
        <v>#ERROR!</v>
      </c>
      <c r="DL149" s="15" t="str">
        <f t="shared" si="1101"/>
        <v>#ERROR!</v>
      </c>
      <c r="DM149" s="15" t="str">
        <f t="shared" si="1101"/>
        <v>#ERROR!</v>
      </c>
      <c r="DN149" s="37" t="str">
        <f t="shared" si="1101"/>
        <v>#ERROR!</v>
      </c>
      <c r="DO149" s="15" t="str">
        <f t="shared" si="1101"/>
        <v>#ERROR!</v>
      </c>
      <c r="DP149" s="15" t="str">
        <f t="shared" si="1101"/>
        <v>#ERROR!</v>
      </c>
      <c r="DQ149" s="15" t="str">
        <f t="shared" si="1101"/>
        <v>#ERROR!</v>
      </c>
      <c r="DR149" s="15" t="str">
        <f t="shared" si="1101"/>
        <v>#ERROR!</v>
      </c>
      <c r="DS149" s="37" t="str">
        <f t="shared" si="1101"/>
        <v>#ERROR!</v>
      </c>
      <c r="DT149" s="15" t="str">
        <f t="shared" si="1101"/>
        <v>#ERROR!</v>
      </c>
      <c r="DU149" s="15" t="str">
        <f t="shared" si="1101"/>
        <v>#ERROR!</v>
      </c>
      <c r="DV149" s="15" t="str">
        <f t="shared" si="1101"/>
        <v>#ERROR!</v>
      </c>
      <c r="DW149" s="15" t="str">
        <f t="shared" si="1101"/>
        <v>#ERROR!</v>
      </c>
      <c r="DX149" s="37" t="str">
        <f t="shared" si="1101"/>
        <v>#ERROR!</v>
      </c>
      <c r="DY149" s="15" t="str">
        <f t="shared" si="1101"/>
        <v>#ERROR!</v>
      </c>
      <c r="DZ149" s="15" t="str">
        <f t="shared" si="1101"/>
        <v>#ERROR!</v>
      </c>
      <c r="EA149" s="15" t="str">
        <f t="shared" si="1101"/>
        <v>#ERROR!</v>
      </c>
      <c r="EB149" s="15" t="str">
        <f t="shared" si="1101"/>
        <v>#ERROR!</v>
      </c>
      <c r="EC149" s="37" t="str">
        <f t="shared" si="1101"/>
        <v>#ERROR!</v>
      </c>
      <c r="ED149" s="365">
        <v>-0.11</v>
      </c>
      <c r="EE149" s="365">
        <v>-0.19</v>
      </c>
      <c r="EF149" s="365">
        <v>-0.02</v>
      </c>
      <c r="EG149" s="365">
        <v>-0.37</v>
      </c>
      <c r="EH149" s="37" t="str">
        <f t="shared" ref="EH149:FG149" si="1102">EH147/EC147-1</f>
        <v>#ERROR!</v>
      </c>
      <c r="EI149" s="82" t="str">
        <f t="shared" si="1102"/>
        <v>#ERROR!</v>
      </c>
      <c r="EJ149" s="321" t="str">
        <f t="shared" si="1102"/>
        <v>#ERROR!</v>
      </c>
      <c r="EK149" s="321" t="str">
        <f t="shared" si="1102"/>
        <v>#ERROR!</v>
      </c>
      <c r="EL149" s="321" t="str">
        <f t="shared" si="1102"/>
        <v>#ERROR!</v>
      </c>
      <c r="EM149" s="342" t="str">
        <f t="shared" si="1102"/>
        <v>#ERROR!</v>
      </c>
      <c r="EN149" s="321" t="str">
        <f t="shared" si="1102"/>
        <v>#ERROR!</v>
      </c>
      <c r="EO149" s="321" t="str">
        <f t="shared" si="1102"/>
        <v>#ERROR!</v>
      </c>
      <c r="EP149" s="321" t="str">
        <f t="shared" si="1102"/>
        <v>#ERROR!</v>
      </c>
      <c r="EQ149" s="321" t="str">
        <f t="shared" si="1102"/>
        <v>#ERROR!</v>
      </c>
      <c r="ER149" s="342" t="str">
        <f t="shared" si="1102"/>
        <v>#ERROR!</v>
      </c>
      <c r="ES149" s="321" t="str">
        <f t="shared" si="1102"/>
        <v>#ERROR!</v>
      </c>
      <c r="ET149" s="321" t="str">
        <f t="shared" si="1102"/>
        <v>#ERROR!</v>
      </c>
      <c r="EU149" s="321" t="str">
        <f t="shared" si="1102"/>
        <v>#ERROR!</v>
      </c>
      <c r="EV149" s="321" t="str">
        <f t="shared" si="1102"/>
        <v>#ERROR!</v>
      </c>
      <c r="EW149" s="342" t="str">
        <f t="shared" si="1102"/>
        <v>#ERROR!</v>
      </c>
      <c r="EX149" s="321" t="str">
        <f t="shared" si="1102"/>
        <v>#ERROR!</v>
      </c>
      <c r="EY149" s="321" t="str">
        <f t="shared" si="1102"/>
        <v>#ERROR!</v>
      </c>
      <c r="EZ149" s="321" t="str">
        <f t="shared" si="1102"/>
        <v>#ERROR!</v>
      </c>
      <c r="FA149" s="321" t="str">
        <f t="shared" si="1102"/>
        <v>#ERROR!</v>
      </c>
      <c r="FB149" s="342" t="str">
        <f t="shared" si="1102"/>
        <v>#ERROR!</v>
      </c>
      <c r="FC149" s="321" t="str">
        <f t="shared" si="1102"/>
        <v>#ERROR!</v>
      </c>
      <c r="FD149" s="321" t="str">
        <f t="shared" si="1102"/>
        <v>#ERROR!</v>
      </c>
      <c r="FE149" s="321" t="str">
        <f t="shared" si="1102"/>
        <v>#ERROR!</v>
      </c>
      <c r="FF149" s="321" t="str">
        <f t="shared" si="1102"/>
        <v>#ERROR!</v>
      </c>
      <c r="FG149" s="342" t="str">
        <f t="shared" si="1102"/>
        <v>#ERROR!</v>
      </c>
      <c r="FH149" s="343"/>
      <c r="FI149" s="4"/>
      <c r="FJ149" s="4"/>
      <c r="FK149" s="45"/>
      <c r="FL149" s="4"/>
    </row>
    <row r="150" ht="12.75" customHeight="1">
      <c r="A150" s="366"/>
      <c r="B150" s="367" t="s">
        <v>151</v>
      </c>
      <c r="C150" s="368"/>
      <c r="D150" s="366"/>
      <c r="E150" s="366"/>
      <c r="F150" s="366"/>
      <c r="G150" s="366"/>
      <c r="H150" s="368"/>
      <c r="I150" s="366"/>
      <c r="J150" s="366"/>
      <c r="K150" s="366"/>
      <c r="L150" s="366"/>
      <c r="M150" s="368"/>
      <c r="N150" s="366"/>
      <c r="O150" s="366"/>
      <c r="P150" s="366"/>
      <c r="Q150" s="366"/>
      <c r="R150" s="368"/>
      <c r="S150" s="366"/>
      <c r="T150" s="366"/>
      <c r="U150" s="366"/>
      <c r="V150" s="366"/>
      <c r="W150" s="368"/>
      <c r="X150" s="366"/>
      <c r="Y150" s="366"/>
      <c r="Z150" s="366"/>
      <c r="AA150" s="366"/>
      <c r="AB150" s="368"/>
      <c r="AC150" s="366"/>
      <c r="AD150" s="366"/>
      <c r="AE150" s="366"/>
      <c r="AF150" s="366"/>
      <c r="AG150" s="368"/>
      <c r="AH150" s="366"/>
      <c r="AI150" s="366"/>
      <c r="AJ150" s="366"/>
      <c r="AK150" s="366"/>
      <c r="AL150" s="368"/>
      <c r="AM150" s="366"/>
      <c r="AN150" s="366"/>
      <c r="AO150" s="366"/>
      <c r="AP150" s="366"/>
      <c r="AQ150" s="368"/>
      <c r="AR150" s="366"/>
      <c r="AS150" s="366"/>
      <c r="AT150" s="366"/>
      <c r="AU150" s="366"/>
      <c r="AV150" s="368"/>
      <c r="AW150" s="366"/>
      <c r="AX150" s="366"/>
      <c r="AY150" s="366"/>
      <c r="AZ150" s="366"/>
      <c r="BA150" s="368"/>
      <c r="BB150" s="366"/>
      <c r="BC150" s="366"/>
      <c r="BD150" s="366"/>
      <c r="BE150" s="366"/>
      <c r="BF150" s="368"/>
      <c r="BG150" s="366"/>
      <c r="BH150" s="366"/>
      <c r="BI150" s="366"/>
      <c r="BJ150" s="366"/>
      <c r="BK150" s="368"/>
      <c r="BL150" s="366"/>
      <c r="BM150" s="366"/>
      <c r="BN150" s="366"/>
      <c r="BO150" s="366"/>
      <c r="BP150" s="368"/>
      <c r="BQ150" s="366"/>
      <c r="BR150" s="366"/>
      <c r="BS150" s="366"/>
      <c r="BT150" s="366"/>
      <c r="BU150" s="368"/>
      <c r="BV150" s="366"/>
      <c r="BW150" s="366"/>
      <c r="BX150" s="366"/>
      <c r="BY150" s="366"/>
      <c r="BZ150" s="369"/>
      <c r="CA150" s="366"/>
      <c r="CB150" s="366"/>
      <c r="CC150" s="366"/>
      <c r="CD150" s="366"/>
      <c r="CE150" s="369"/>
      <c r="CF150" s="366"/>
      <c r="CG150" s="366"/>
      <c r="CH150" s="366"/>
      <c r="CI150" s="366"/>
      <c r="CJ150" s="369"/>
      <c r="CK150" s="366"/>
      <c r="CL150" s="366"/>
      <c r="CM150" s="366"/>
      <c r="CN150" s="370"/>
      <c r="CO150" s="369"/>
      <c r="CP150" s="371"/>
      <c r="CQ150" s="371"/>
      <c r="CR150" s="371"/>
      <c r="CS150" s="371"/>
      <c r="CT150" s="369"/>
      <c r="CU150" s="366"/>
      <c r="CV150" s="366"/>
      <c r="CW150" s="366"/>
      <c r="CX150" s="366"/>
      <c r="CY150" s="369"/>
      <c r="CZ150" s="366"/>
      <c r="DA150" s="366"/>
      <c r="DB150" s="366"/>
      <c r="DC150" s="366"/>
      <c r="DD150" s="369"/>
      <c r="DE150" s="372" t="str">
        <f t="shared" ref="DE150:DH150" si="1103">AVERAGE(CP148,CU148,CZ148)</f>
        <v>#ERROR!</v>
      </c>
      <c r="DF150" s="372" t="str">
        <f t="shared" si="1103"/>
        <v>#ERROR!</v>
      </c>
      <c r="DG150" s="372" t="str">
        <f t="shared" si="1103"/>
        <v>#ERROR!</v>
      </c>
      <c r="DH150" s="372" t="str">
        <f t="shared" si="1103"/>
        <v>#ERROR!</v>
      </c>
      <c r="DI150" s="369"/>
      <c r="DJ150" s="372" t="str">
        <f t="shared" ref="DJ150:DM150" si="1104">AVERAGE(CU148,CZ148,DE148)</f>
        <v>#ERROR!</v>
      </c>
      <c r="DK150" s="372" t="str">
        <f t="shared" si="1104"/>
        <v>#ERROR!</v>
      </c>
      <c r="DL150" s="372" t="str">
        <f t="shared" si="1104"/>
        <v>#ERROR!</v>
      </c>
      <c r="DM150" s="372" t="str">
        <f t="shared" si="1104"/>
        <v>#ERROR!</v>
      </c>
      <c r="DN150" s="369"/>
      <c r="DO150" s="372" t="str">
        <f t="shared" ref="DO150:DR150" si="1105">AVERAGE(CZ148,DE148,DJ148)</f>
        <v>#ERROR!</v>
      </c>
      <c r="DP150" s="372" t="str">
        <f t="shared" si="1105"/>
        <v>#ERROR!</v>
      </c>
      <c r="DQ150" s="372" t="str">
        <f t="shared" si="1105"/>
        <v>#ERROR!</v>
      </c>
      <c r="DR150" s="372" t="str">
        <f t="shared" si="1105"/>
        <v>#ERROR!</v>
      </c>
      <c r="DS150" s="373"/>
      <c r="DT150" s="372" t="str">
        <f t="shared" ref="DT150:DW150" si="1106">AVERAGE(DE148,DJ148,DO148)</f>
        <v>#ERROR!</v>
      </c>
      <c r="DU150" s="372" t="str">
        <f t="shared" si="1106"/>
        <v>#ERROR!</v>
      </c>
      <c r="DV150" s="372" t="str">
        <f t="shared" si="1106"/>
        <v>#ERROR!</v>
      </c>
      <c r="DW150" s="372" t="str">
        <f t="shared" si="1106"/>
        <v>#ERROR!</v>
      </c>
      <c r="DX150" s="373"/>
      <c r="DY150" s="372" t="str">
        <f t="shared" ref="DY150:EB150" si="1107">AVERAGE(DJ148,DO148,DT148)</f>
        <v>#ERROR!</v>
      </c>
      <c r="DZ150" s="372" t="str">
        <f t="shared" si="1107"/>
        <v>#ERROR!</v>
      </c>
      <c r="EA150" s="372" t="str">
        <f t="shared" si="1107"/>
        <v>#ERROR!</v>
      </c>
      <c r="EB150" s="372" t="str">
        <f t="shared" si="1107"/>
        <v>#ERROR!</v>
      </c>
      <c r="EC150" s="373"/>
      <c r="ED150" s="85" t="str">
        <f t="shared" ref="ED150:EG150" si="1108">AVERAGE(DO148,DT148,DY148)</f>
        <v>#ERROR!</v>
      </c>
      <c r="EE150" s="85" t="str">
        <f t="shared" si="1108"/>
        <v>#ERROR!</v>
      </c>
      <c r="EF150" s="85" t="str">
        <f t="shared" si="1108"/>
        <v>#ERROR!</v>
      </c>
      <c r="EG150" s="85" t="str">
        <f t="shared" si="1108"/>
        <v>#ERROR!</v>
      </c>
      <c r="EH150" s="374"/>
      <c r="EI150" s="362" t="str">
        <f t="shared" ref="EI150:EL150" si="1109">AVERAGE(DT148,DY148,ED148)</f>
        <v>#ERROR!</v>
      </c>
      <c r="EJ150" s="372" t="str">
        <f t="shared" si="1109"/>
        <v>#ERROR!</v>
      </c>
      <c r="EK150" s="372" t="str">
        <f t="shared" si="1109"/>
        <v>#ERROR!</v>
      </c>
      <c r="EL150" s="372" t="str">
        <f t="shared" si="1109"/>
        <v>#ERROR!</v>
      </c>
      <c r="EM150" s="374"/>
      <c r="EN150" s="372" t="str">
        <f t="shared" ref="EN150:EQ150" si="1110">AVERAGE(DY148,ED148,EI148)</f>
        <v>#ERROR!</v>
      </c>
      <c r="EO150" s="372" t="str">
        <f t="shared" si="1110"/>
        <v>#ERROR!</v>
      </c>
      <c r="EP150" s="372" t="str">
        <f t="shared" si="1110"/>
        <v>#ERROR!</v>
      </c>
      <c r="EQ150" s="372" t="str">
        <f t="shared" si="1110"/>
        <v>#ERROR!</v>
      </c>
      <c r="ER150" s="374"/>
      <c r="ES150" s="372" t="str">
        <f t="shared" ref="ES150:EV150" si="1111">AVERAGE(ED148,EI148,EN148)</f>
        <v>#ERROR!</v>
      </c>
      <c r="ET150" s="372" t="str">
        <f t="shared" si="1111"/>
        <v>#ERROR!</v>
      </c>
      <c r="EU150" s="372" t="str">
        <f t="shared" si="1111"/>
        <v>#ERROR!</v>
      </c>
      <c r="EV150" s="372" t="str">
        <f t="shared" si="1111"/>
        <v>#ERROR!</v>
      </c>
      <c r="EW150" s="374"/>
      <c r="EX150" s="372">
        <f t="shared" ref="EX150:FA150" si="1112">AVERAGE(EI148,EN148,ES148)</f>
        <v>-0.1666666667</v>
      </c>
      <c r="EY150" s="372">
        <f t="shared" si="1112"/>
        <v>0.006666666667</v>
      </c>
      <c r="EZ150" s="372">
        <f t="shared" si="1112"/>
        <v>0.1166666667</v>
      </c>
      <c r="FA150" s="372">
        <f t="shared" si="1112"/>
        <v>0.16</v>
      </c>
      <c r="FB150" s="374"/>
      <c r="FC150" s="372">
        <f t="shared" ref="FC150:FF150" si="1113">AVERAGE(EN148,ES148,EX148)</f>
        <v>-0.05</v>
      </c>
      <c r="FD150" s="372">
        <f t="shared" si="1113"/>
        <v>-0.03</v>
      </c>
      <c r="FE150" s="372">
        <f t="shared" si="1113"/>
        <v>0.04333333333</v>
      </c>
      <c r="FF150" s="372">
        <f t="shared" si="1113"/>
        <v>0.04333333333</v>
      </c>
      <c r="FG150" s="374"/>
      <c r="FH150" s="375"/>
      <c r="FI150" s="366"/>
      <c r="FJ150" s="366"/>
      <c r="FK150" s="368"/>
      <c r="FL150" s="366"/>
    </row>
    <row r="151" ht="12.75" customHeight="1">
      <c r="A151" s="366"/>
      <c r="B151" s="84" t="s">
        <v>152</v>
      </c>
      <c r="C151" s="368"/>
      <c r="D151" s="366"/>
      <c r="E151" s="366"/>
      <c r="F151" s="366"/>
      <c r="G151" s="366"/>
      <c r="H151" s="368"/>
      <c r="I151" s="366"/>
      <c r="J151" s="366"/>
      <c r="K151" s="366"/>
      <c r="L151" s="366"/>
      <c r="M151" s="368"/>
      <c r="N151" s="366"/>
      <c r="O151" s="366"/>
      <c r="P151" s="366"/>
      <c r="Q151" s="366"/>
      <c r="R151" s="368"/>
      <c r="S151" s="366"/>
      <c r="T151" s="366"/>
      <c r="U151" s="366"/>
      <c r="V151" s="366"/>
      <c r="W151" s="368"/>
      <c r="X151" s="366"/>
      <c r="Y151" s="366"/>
      <c r="Z151" s="366"/>
      <c r="AA151" s="366"/>
      <c r="AB151" s="368"/>
      <c r="AC151" s="366"/>
      <c r="AD151" s="366"/>
      <c r="AE151" s="366"/>
      <c r="AF151" s="366"/>
      <c r="AG151" s="368"/>
      <c r="AH151" s="366"/>
      <c r="AI151" s="366"/>
      <c r="AJ151" s="366"/>
      <c r="AK151" s="366"/>
      <c r="AL151" s="368"/>
      <c r="AM151" s="366"/>
      <c r="AN151" s="366"/>
      <c r="AO151" s="366"/>
      <c r="AP151" s="366"/>
      <c r="AQ151" s="368"/>
      <c r="AR151" s="366"/>
      <c r="AS151" s="366"/>
      <c r="AT151" s="366"/>
      <c r="AU151" s="366"/>
      <c r="AV151" s="368"/>
      <c r="AW151" s="366"/>
      <c r="AX151" s="366"/>
      <c r="AY151" s="366"/>
      <c r="AZ151" s="366"/>
      <c r="BA151" s="368"/>
      <c r="BB151" s="366"/>
      <c r="BC151" s="366"/>
      <c r="BD151" s="366"/>
      <c r="BE151" s="366"/>
      <c r="BF151" s="368"/>
      <c r="BG151" s="366"/>
      <c r="BH151" s="366"/>
      <c r="BI151" s="366"/>
      <c r="BJ151" s="366"/>
      <c r="BK151" s="368"/>
      <c r="BL151" s="366"/>
      <c r="BM151" s="366"/>
      <c r="BN151" s="366"/>
      <c r="BO151" s="366"/>
      <c r="BP151" s="368"/>
      <c r="BQ151" s="366"/>
      <c r="BR151" s="366"/>
      <c r="BS151" s="366"/>
      <c r="BT151" s="366"/>
      <c r="BU151" s="368"/>
      <c r="BV151" s="366"/>
      <c r="BW151" s="366"/>
      <c r="BX151" s="366"/>
      <c r="BY151" s="366"/>
      <c r="BZ151" s="369"/>
      <c r="CA151" s="366"/>
      <c r="CB151" s="366"/>
      <c r="CC151" s="366"/>
      <c r="CD151" s="366"/>
      <c r="CE151" s="369"/>
      <c r="CF151" s="366"/>
      <c r="CG151" s="366"/>
      <c r="CH151" s="366"/>
      <c r="CI151" s="366"/>
      <c r="CJ151" s="369"/>
      <c r="CK151" s="366"/>
      <c r="CL151" s="366"/>
      <c r="CM151" s="366"/>
      <c r="CN151" s="370"/>
      <c r="CO151" s="369"/>
      <c r="CP151" s="371"/>
      <c r="CQ151" s="371"/>
      <c r="CR151" s="371"/>
      <c r="CS151" s="371"/>
      <c r="CT151" s="369"/>
      <c r="CU151" s="366"/>
      <c r="CV151" s="366"/>
      <c r="CW151" s="366"/>
      <c r="CX151" s="366"/>
      <c r="CY151" s="369"/>
      <c r="CZ151" s="376">
        <v>22094.7779999912</v>
      </c>
      <c r="DA151" s="376">
        <v>21269.522699991354</v>
      </c>
      <c r="DB151" s="376">
        <v>23057.667449996923</v>
      </c>
      <c r="DC151" s="376">
        <v>22764.848890012694</v>
      </c>
      <c r="DD151" s="374"/>
      <c r="DE151" s="376">
        <v>20232.61695000388</v>
      </c>
      <c r="DF151" s="376">
        <v>20695.213499997153</v>
      </c>
      <c r="DG151" s="376">
        <v>21579.6326400037</v>
      </c>
      <c r="DH151" s="376">
        <v>22174.343750000866</v>
      </c>
      <c r="DI151" s="374"/>
      <c r="DJ151" s="376">
        <v>19076.66879999911</v>
      </c>
      <c r="DK151" s="376">
        <v>18936.81920001135</v>
      </c>
      <c r="DL151" s="376">
        <v>22102.46499997757</v>
      </c>
      <c r="DM151" s="376">
        <v>20250.501999996402</v>
      </c>
      <c r="DN151" s="374"/>
      <c r="DO151" s="376">
        <v>17785.4228999947</v>
      </c>
      <c r="DP151" s="376">
        <v>16888.071599994015</v>
      </c>
      <c r="DQ151" s="376">
        <v>19493.457499997883</v>
      </c>
      <c r="DR151" s="376">
        <v>21655.999999999996</v>
      </c>
      <c r="DS151" s="374"/>
      <c r="DT151" s="376">
        <v>16996.778139996528</v>
      </c>
      <c r="DU151" s="376">
        <v>14516.937600001233</v>
      </c>
      <c r="DV151" s="376">
        <v>15973.89663000172</v>
      </c>
      <c r="DW151" s="376">
        <v>20041.184590003577</v>
      </c>
      <c r="DX151" s="374"/>
      <c r="DY151" s="376">
        <v>16271.24289999031</v>
      </c>
      <c r="DZ151" s="376">
        <v>16675.414099985243</v>
      </c>
      <c r="EA151" s="376">
        <v>18569.023200008403</v>
      </c>
      <c r="EB151" s="376">
        <v>21399.266719992098</v>
      </c>
      <c r="EC151" s="374"/>
      <c r="ED151" s="376">
        <v>14411.837800007697</v>
      </c>
      <c r="EE151" s="376">
        <v>13426.129700005351</v>
      </c>
      <c r="EF151" s="376">
        <v>18902.9999999997</v>
      </c>
      <c r="EG151" s="376">
        <v>18153.999999999996</v>
      </c>
      <c r="EH151" s="374"/>
      <c r="EI151" s="376">
        <v>15433.0</v>
      </c>
      <c r="EJ151" s="376">
        <v>14788.0</v>
      </c>
      <c r="EK151" s="376">
        <v>17258.0</v>
      </c>
      <c r="EL151" s="376">
        <v>18390.0</v>
      </c>
      <c r="EM151" s="374"/>
      <c r="EN151" s="372"/>
      <c r="EO151" s="372"/>
      <c r="EP151" s="372"/>
      <c r="EQ151" s="372"/>
      <c r="ER151" s="374"/>
      <c r="ES151" s="372"/>
      <c r="ET151" s="372"/>
      <c r="EU151" s="372"/>
      <c r="EV151" s="372"/>
      <c r="EW151" s="374"/>
      <c r="EX151" s="372"/>
      <c r="EY151" s="372"/>
      <c r="EZ151" s="372"/>
      <c r="FA151" s="372"/>
      <c r="FB151" s="374"/>
      <c r="FC151" s="372"/>
      <c r="FD151" s="372"/>
      <c r="FE151" s="372"/>
      <c r="FF151" s="372"/>
      <c r="FG151" s="374"/>
      <c r="FH151" s="375"/>
      <c r="FI151" s="366"/>
      <c r="FJ151" s="366"/>
      <c r="FK151" s="368"/>
      <c r="FL151" s="366"/>
    </row>
    <row r="152" ht="12.75" customHeight="1">
      <c r="A152" s="4"/>
      <c r="B152" s="84" t="s">
        <v>153</v>
      </c>
      <c r="C152" s="45"/>
      <c r="D152" s="4"/>
      <c r="E152" s="4"/>
      <c r="F152" s="4"/>
      <c r="G152" s="4"/>
      <c r="H152" s="45"/>
      <c r="I152" s="4"/>
      <c r="J152" s="4"/>
      <c r="K152" s="4"/>
      <c r="L152" s="4"/>
      <c r="M152" s="45"/>
      <c r="N152" s="4"/>
      <c r="O152" s="4"/>
      <c r="P152" s="4"/>
      <c r="Q152" s="4"/>
      <c r="R152" s="45"/>
      <c r="S152" s="4"/>
      <c r="T152" s="4"/>
      <c r="U152" s="4"/>
      <c r="V152" s="4"/>
      <c r="W152" s="45"/>
      <c r="X152" s="4"/>
      <c r="Y152" s="4"/>
      <c r="Z152" s="4"/>
      <c r="AA152" s="4"/>
      <c r="AB152" s="45"/>
      <c r="AC152" s="4"/>
      <c r="AD152" s="4"/>
      <c r="AE152" s="4"/>
      <c r="AF152" s="4"/>
      <c r="AG152" s="45"/>
      <c r="AH152" s="4"/>
      <c r="AI152" s="4"/>
      <c r="AJ152" s="4"/>
      <c r="AK152" s="4"/>
      <c r="AL152" s="45"/>
      <c r="AM152" s="4"/>
      <c r="AN152" s="4"/>
      <c r="AO152" s="4"/>
      <c r="AP152" s="4"/>
      <c r="AQ152" s="45"/>
      <c r="AR152" s="4"/>
      <c r="AS152" s="4"/>
      <c r="AT152" s="4"/>
      <c r="AU152" s="4"/>
      <c r="AV152" s="45"/>
      <c r="AW152" s="4"/>
      <c r="AX152" s="4"/>
      <c r="AY152" s="4"/>
      <c r="AZ152" s="4"/>
      <c r="BA152" s="45"/>
      <c r="BB152" s="4"/>
      <c r="BC152" s="4"/>
      <c r="BD152" s="4"/>
      <c r="BE152" s="4"/>
      <c r="BF152" s="45"/>
      <c r="BG152" s="4"/>
      <c r="BH152" s="4"/>
      <c r="BI152" s="4"/>
      <c r="BJ152" s="4"/>
      <c r="BK152" s="45"/>
      <c r="BL152" s="4"/>
      <c r="BM152" s="4"/>
      <c r="BN152" s="4"/>
      <c r="BO152" s="4"/>
      <c r="BP152" s="45"/>
      <c r="BQ152" s="4"/>
      <c r="BR152" s="4"/>
      <c r="BS152" s="4"/>
      <c r="BT152" s="4"/>
      <c r="BU152" s="45"/>
      <c r="BV152" s="4"/>
      <c r="BW152" s="4"/>
      <c r="BX152" s="4"/>
      <c r="BY152" s="4"/>
      <c r="BZ152" s="350"/>
      <c r="CA152" s="4"/>
      <c r="CB152" s="4"/>
      <c r="CC152" s="4"/>
      <c r="CD152" s="4"/>
      <c r="CE152" s="350"/>
      <c r="CF152" s="4"/>
      <c r="CG152" s="4"/>
      <c r="CH152" s="4"/>
      <c r="CI152" s="4"/>
      <c r="CJ152" s="350"/>
      <c r="CK152" s="4"/>
      <c r="CL152" s="4"/>
      <c r="CM152" s="4"/>
      <c r="CN152" s="16"/>
      <c r="CO152" s="350"/>
      <c r="CP152" s="104"/>
      <c r="CQ152" s="104"/>
      <c r="CR152" s="104"/>
      <c r="CS152" s="104"/>
      <c r="CT152" s="350"/>
      <c r="CU152" s="4"/>
      <c r="CV152" s="4"/>
      <c r="CW152" s="4"/>
      <c r="CX152" s="4"/>
      <c r="CY152" s="350"/>
      <c r="CZ152" s="377">
        <f t="shared" ref="CZ152:DC152" si="1114">CZ280</f>
        <v>29054</v>
      </c>
      <c r="DA152" s="377">
        <f t="shared" si="1114"/>
        <v>26400</v>
      </c>
      <c r="DB152" s="377">
        <f t="shared" si="1114"/>
        <v>28086</v>
      </c>
      <c r="DC152" s="377">
        <f t="shared" si="1114"/>
        <v>30432</v>
      </c>
      <c r="DD152" s="363">
        <f>SUM(CZ152:DC152)</f>
        <v>113972</v>
      </c>
      <c r="DE152" s="377">
        <f t="shared" ref="DE152:DH152" si="1115">DE280</f>
        <v>22947</v>
      </c>
      <c r="DF152" s="377">
        <f t="shared" si="1115"/>
        <v>23372</v>
      </c>
      <c r="DG152" s="377">
        <f t="shared" si="1115"/>
        <v>24298</v>
      </c>
      <c r="DH152" s="377">
        <f t="shared" si="1115"/>
        <v>25246</v>
      </c>
      <c r="DI152" s="363">
        <f>SUM(DE152:DH152)</f>
        <v>95863</v>
      </c>
      <c r="DJ152" s="377">
        <f t="shared" ref="DJ152:DM152" si="1116">DJ280</f>
        <v>21781.6688</v>
      </c>
      <c r="DK152" s="377">
        <f t="shared" si="1116"/>
        <v>21635.8192</v>
      </c>
      <c r="DL152" s="377">
        <f t="shared" si="1116"/>
        <v>25461.465</v>
      </c>
      <c r="DM152" s="377">
        <f t="shared" si="1116"/>
        <v>24105.502</v>
      </c>
      <c r="DN152" s="363">
        <f>SUM(DJ152:DM152)</f>
        <v>92984.455</v>
      </c>
      <c r="DO152" s="377">
        <f t="shared" ref="DO152:DR152" si="1117">DO280</f>
        <v>21488.4229</v>
      </c>
      <c r="DP152" s="377">
        <f t="shared" si="1117"/>
        <v>20393.0716</v>
      </c>
      <c r="DQ152" s="377">
        <f t="shared" si="1117"/>
        <v>23793.4575</v>
      </c>
      <c r="DR152" s="377">
        <f t="shared" si="1117"/>
        <v>26511</v>
      </c>
      <c r="DS152" s="363">
        <f>SUM(DO152:DR152)</f>
        <v>92185.952</v>
      </c>
      <c r="DT152" s="377">
        <f t="shared" ref="DT152:DW152" si="1118">DT280</f>
        <v>20906.77814</v>
      </c>
      <c r="DU152" s="377">
        <f t="shared" si="1118"/>
        <v>17986.9376</v>
      </c>
      <c r="DV152" s="377">
        <f t="shared" si="1118"/>
        <v>20003.89663</v>
      </c>
      <c r="DW152" s="377">
        <f t="shared" si="1118"/>
        <v>24841.18459</v>
      </c>
      <c r="DX152" s="363">
        <f>SUM(DT152:DW152)</f>
        <v>83738.79696</v>
      </c>
      <c r="DY152" s="377">
        <f t="shared" ref="DY152:EB152" si="1119">DY280</f>
        <v>20191.2429</v>
      </c>
      <c r="DZ152" s="377">
        <f t="shared" si="1119"/>
        <v>20126.4141</v>
      </c>
      <c r="EA152" s="377">
        <f t="shared" si="1119"/>
        <v>22389.0232</v>
      </c>
      <c r="EB152" s="377">
        <f t="shared" si="1119"/>
        <v>25538.26672</v>
      </c>
      <c r="EC152" s="363">
        <f>SUM(DY152:EB152)</f>
        <v>88244.94692</v>
      </c>
      <c r="ED152" s="377">
        <f t="shared" ref="ED152:EG152" si="1120">ED280</f>
        <v>17649.8378</v>
      </c>
      <c r="EE152" s="377">
        <f t="shared" si="1120"/>
        <v>16902.1297</v>
      </c>
      <c r="EF152" s="377">
        <f t="shared" si="1120"/>
        <v>21962</v>
      </c>
      <c r="EG152" s="377">
        <f t="shared" si="1120"/>
        <v>21086</v>
      </c>
      <c r="EH152" s="363">
        <f>SUM(ED152:EG152)</f>
        <v>77599.9675</v>
      </c>
      <c r="EI152" s="134">
        <f t="shared" ref="EI152:EL152" si="1121">EI280</f>
        <v>18570</v>
      </c>
      <c r="EJ152" s="377">
        <f t="shared" si="1121"/>
        <v>17794</v>
      </c>
      <c r="EK152" s="377">
        <f t="shared" si="1121"/>
        <v>20766</v>
      </c>
      <c r="EL152" s="377">
        <f t="shared" si="1121"/>
        <v>22128</v>
      </c>
      <c r="EM152" s="363">
        <f>SUM(EI152:EL152)</f>
        <v>79258</v>
      </c>
      <c r="EN152" s="85"/>
      <c r="EO152" s="85"/>
      <c r="EP152" s="85"/>
      <c r="EQ152" s="85"/>
      <c r="ER152" s="356"/>
      <c r="ES152" s="85"/>
      <c r="ET152" s="85"/>
      <c r="EU152" s="85"/>
      <c r="EV152" s="85"/>
      <c r="EW152" s="356"/>
      <c r="EX152" s="85"/>
      <c r="EY152" s="85"/>
      <c r="EZ152" s="85"/>
      <c r="FA152" s="85"/>
      <c r="FB152" s="356"/>
      <c r="FC152" s="85"/>
      <c r="FD152" s="85"/>
      <c r="FE152" s="85"/>
      <c r="FF152" s="85"/>
      <c r="FG152" s="356"/>
      <c r="FH152" s="359"/>
      <c r="FI152" s="4"/>
      <c r="FJ152" s="4"/>
      <c r="FK152" s="45"/>
      <c r="FL152" s="4"/>
    </row>
    <row r="153" ht="12.75" customHeight="1">
      <c r="A153" s="4"/>
      <c r="B153" s="84" t="s">
        <v>154</v>
      </c>
      <c r="C153" s="45"/>
      <c r="D153" s="4"/>
      <c r="E153" s="4"/>
      <c r="F153" s="4"/>
      <c r="G153" s="4"/>
      <c r="H153" s="45"/>
      <c r="I153" s="4"/>
      <c r="J153" s="4"/>
      <c r="K153" s="4"/>
      <c r="L153" s="4"/>
      <c r="M153" s="45"/>
      <c r="N153" s="4"/>
      <c r="O153" s="4"/>
      <c r="P153" s="4"/>
      <c r="Q153" s="4"/>
      <c r="R153" s="45"/>
      <c r="S153" s="4"/>
      <c r="T153" s="4"/>
      <c r="U153" s="4"/>
      <c r="V153" s="4"/>
      <c r="W153" s="45"/>
      <c r="X153" s="4"/>
      <c r="Y153" s="4"/>
      <c r="Z153" s="4"/>
      <c r="AA153" s="4"/>
      <c r="AB153" s="45"/>
      <c r="AC153" s="4"/>
      <c r="AD153" s="4"/>
      <c r="AE153" s="4"/>
      <c r="AF153" s="4"/>
      <c r="AG153" s="45"/>
      <c r="AH153" s="4"/>
      <c r="AI153" s="4"/>
      <c r="AJ153" s="4"/>
      <c r="AK153" s="4"/>
      <c r="AL153" s="45"/>
      <c r="AM153" s="4"/>
      <c r="AN153" s="4"/>
      <c r="AO153" s="4"/>
      <c r="AP153" s="4"/>
      <c r="AQ153" s="45"/>
      <c r="AR153" s="4"/>
      <c r="AS153" s="4"/>
      <c r="AT153" s="4"/>
      <c r="AU153" s="4"/>
      <c r="AV153" s="45"/>
      <c r="AW153" s="4"/>
      <c r="AX153" s="4"/>
      <c r="AY153" s="4"/>
      <c r="AZ153" s="4"/>
      <c r="BA153" s="45"/>
      <c r="BB153" s="4"/>
      <c r="BC153" s="4"/>
      <c r="BD153" s="4"/>
      <c r="BE153" s="4"/>
      <c r="BF153" s="45"/>
      <c r="BG153" s="4"/>
      <c r="BH153" s="4"/>
      <c r="BI153" s="4"/>
      <c r="BJ153" s="4"/>
      <c r="BK153" s="45"/>
      <c r="BL153" s="4"/>
      <c r="BM153" s="4"/>
      <c r="BN153" s="4"/>
      <c r="BO153" s="4"/>
      <c r="BP153" s="45"/>
      <c r="BQ153" s="4"/>
      <c r="BR153" s="4"/>
      <c r="BS153" s="4"/>
      <c r="BT153" s="4"/>
      <c r="BU153" s="45"/>
      <c r="BV153" s="4"/>
      <c r="BW153" s="4"/>
      <c r="BX153" s="4"/>
      <c r="BY153" s="4"/>
      <c r="BZ153" s="350"/>
      <c r="CA153" s="4"/>
      <c r="CB153" s="4"/>
      <c r="CC153" s="4"/>
      <c r="CD153" s="4"/>
      <c r="CE153" s="350"/>
      <c r="CF153" s="4"/>
      <c r="CG153" s="4"/>
      <c r="CH153" s="4"/>
      <c r="CI153" s="4"/>
      <c r="CJ153" s="350"/>
      <c r="CK153" s="4"/>
      <c r="CL153" s="4"/>
      <c r="CM153" s="4"/>
      <c r="CN153" s="16"/>
      <c r="CO153" s="350"/>
      <c r="CP153" s="104"/>
      <c r="CQ153" s="104"/>
      <c r="CR153" s="104"/>
      <c r="CS153" s="104"/>
      <c r="CT153" s="350"/>
      <c r="CU153" s="4"/>
      <c r="CV153" s="4"/>
      <c r="CW153" s="4"/>
      <c r="CX153" s="4"/>
      <c r="CY153" s="350"/>
      <c r="CZ153" s="40" t="str">
        <f t="shared" ref="CZ153:EM153" si="1122">CZ147/CZ152</f>
        <v>#ERROR!</v>
      </c>
      <c r="DA153" s="40" t="str">
        <f t="shared" si="1122"/>
        <v>#ERROR!</v>
      </c>
      <c r="DB153" s="40" t="str">
        <f t="shared" si="1122"/>
        <v>#ERROR!</v>
      </c>
      <c r="DC153" s="40" t="str">
        <f t="shared" si="1122"/>
        <v>#ERROR!</v>
      </c>
      <c r="DD153" s="37" t="str">
        <f t="shared" si="1122"/>
        <v>#ERROR!</v>
      </c>
      <c r="DE153" s="40" t="str">
        <f t="shared" si="1122"/>
        <v>#ERROR!</v>
      </c>
      <c r="DF153" s="40" t="str">
        <f t="shared" si="1122"/>
        <v>#ERROR!</v>
      </c>
      <c r="DG153" s="40" t="str">
        <f t="shared" si="1122"/>
        <v>#ERROR!</v>
      </c>
      <c r="DH153" s="40" t="str">
        <f t="shared" si="1122"/>
        <v>#ERROR!</v>
      </c>
      <c r="DI153" s="37" t="str">
        <f t="shared" si="1122"/>
        <v>#ERROR!</v>
      </c>
      <c r="DJ153" s="40" t="str">
        <f t="shared" si="1122"/>
        <v>#ERROR!</v>
      </c>
      <c r="DK153" s="40" t="str">
        <f t="shared" si="1122"/>
        <v>#ERROR!</v>
      </c>
      <c r="DL153" s="40" t="str">
        <f t="shared" si="1122"/>
        <v>#ERROR!</v>
      </c>
      <c r="DM153" s="40" t="str">
        <f t="shared" si="1122"/>
        <v>#ERROR!</v>
      </c>
      <c r="DN153" s="37" t="str">
        <f t="shared" si="1122"/>
        <v>#ERROR!</v>
      </c>
      <c r="DO153" s="40" t="str">
        <f t="shared" si="1122"/>
        <v>#ERROR!</v>
      </c>
      <c r="DP153" s="40" t="str">
        <f t="shared" si="1122"/>
        <v>#ERROR!</v>
      </c>
      <c r="DQ153" s="40" t="str">
        <f t="shared" si="1122"/>
        <v>#ERROR!</v>
      </c>
      <c r="DR153" s="40" t="str">
        <f t="shared" si="1122"/>
        <v>#ERROR!</v>
      </c>
      <c r="DS153" s="37" t="str">
        <f t="shared" si="1122"/>
        <v>#ERROR!</v>
      </c>
      <c r="DT153" s="40" t="str">
        <f t="shared" si="1122"/>
        <v>#ERROR!</v>
      </c>
      <c r="DU153" s="40" t="str">
        <f t="shared" si="1122"/>
        <v>#ERROR!</v>
      </c>
      <c r="DV153" s="40" t="str">
        <f t="shared" si="1122"/>
        <v>#ERROR!</v>
      </c>
      <c r="DW153" s="40" t="str">
        <f t="shared" si="1122"/>
        <v>#ERROR!</v>
      </c>
      <c r="DX153" s="37" t="str">
        <f t="shared" si="1122"/>
        <v>#ERROR!</v>
      </c>
      <c r="DY153" s="40" t="str">
        <f t="shared" si="1122"/>
        <v>#ERROR!</v>
      </c>
      <c r="DZ153" s="40" t="str">
        <f t="shared" si="1122"/>
        <v>#ERROR!</v>
      </c>
      <c r="EA153" s="40" t="str">
        <f t="shared" si="1122"/>
        <v>#ERROR!</v>
      </c>
      <c r="EB153" s="40" t="str">
        <f t="shared" si="1122"/>
        <v>#ERROR!</v>
      </c>
      <c r="EC153" s="37" t="str">
        <f t="shared" si="1122"/>
        <v>#ERROR!</v>
      </c>
      <c r="ED153" s="40" t="str">
        <f t="shared" si="1122"/>
        <v>#ERROR!</v>
      </c>
      <c r="EE153" s="40" t="str">
        <f t="shared" si="1122"/>
        <v>#ERROR!</v>
      </c>
      <c r="EF153" s="40" t="str">
        <f t="shared" si="1122"/>
        <v>#ERROR!</v>
      </c>
      <c r="EG153" s="40" t="str">
        <f t="shared" si="1122"/>
        <v>#ERROR!</v>
      </c>
      <c r="EH153" s="37" t="str">
        <f t="shared" si="1122"/>
        <v>#ERROR!</v>
      </c>
      <c r="EI153" s="82" t="str">
        <f t="shared" si="1122"/>
        <v>#ERROR!</v>
      </c>
      <c r="EJ153" s="40" t="str">
        <f t="shared" si="1122"/>
        <v>#ERROR!</v>
      </c>
      <c r="EK153" s="40" t="str">
        <f t="shared" si="1122"/>
        <v>#ERROR!</v>
      </c>
      <c r="EL153" s="40" t="str">
        <f t="shared" si="1122"/>
        <v>#ERROR!</v>
      </c>
      <c r="EM153" s="37" t="str">
        <f t="shared" si="1122"/>
        <v>#ERROR!</v>
      </c>
      <c r="EN153" s="85"/>
      <c r="EO153" s="85"/>
      <c r="EP153" s="85"/>
      <c r="EQ153" s="85"/>
      <c r="ER153" s="356"/>
      <c r="ES153" s="85"/>
      <c r="ET153" s="85"/>
      <c r="EU153" s="85"/>
      <c r="EV153" s="85"/>
      <c r="EW153" s="356"/>
      <c r="EX153" s="85"/>
      <c r="EY153" s="85"/>
      <c r="EZ153" s="85"/>
      <c r="FA153" s="85"/>
      <c r="FB153" s="356"/>
      <c r="FC153" s="85"/>
      <c r="FD153" s="85"/>
      <c r="FE153" s="85"/>
      <c r="FF153" s="85"/>
      <c r="FG153" s="356"/>
      <c r="FH153" s="359"/>
      <c r="FI153" s="4"/>
      <c r="FJ153" s="4"/>
      <c r="FK153" s="45"/>
      <c r="FL153" s="4"/>
    </row>
    <row r="154" ht="12.75" customHeight="1">
      <c r="A154" s="4"/>
      <c r="B154" s="215" t="s">
        <v>155</v>
      </c>
      <c r="C154" s="45"/>
      <c r="D154" s="4"/>
      <c r="E154" s="4"/>
      <c r="F154" s="4"/>
      <c r="G154" s="4"/>
      <c r="H154" s="45"/>
      <c r="I154" s="4"/>
      <c r="J154" s="4"/>
      <c r="K154" s="4"/>
      <c r="L154" s="4"/>
      <c r="M154" s="45"/>
      <c r="N154" s="4"/>
      <c r="O154" s="4"/>
      <c r="P154" s="4"/>
      <c r="Q154" s="4"/>
      <c r="R154" s="45"/>
      <c r="S154" s="4"/>
      <c r="T154" s="4"/>
      <c r="U154" s="4"/>
      <c r="V154" s="4"/>
      <c r="W154" s="45"/>
      <c r="X154" s="4"/>
      <c r="Y154" s="4"/>
      <c r="Z154" s="4"/>
      <c r="AA154" s="4"/>
      <c r="AB154" s="45"/>
      <c r="AC154" s="4"/>
      <c r="AD154" s="4"/>
      <c r="AE154" s="4"/>
      <c r="AF154" s="4"/>
      <c r="AG154" s="45"/>
      <c r="AH154" s="4"/>
      <c r="AI154" s="4"/>
      <c r="AJ154" s="4"/>
      <c r="AK154" s="4"/>
      <c r="AL154" s="45"/>
      <c r="AM154" s="4"/>
      <c r="AN154" s="4"/>
      <c r="AO154" s="4"/>
      <c r="AP154" s="4"/>
      <c r="AQ154" s="45"/>
      <c r="AR154" s="4"/>
      <c r="AS154" s="4"/>
      <c r="AT154" s="4"/>
      <c r="AU154" s="4"/>
      <c r="AV154" s="45"/>
      <c r="AW154" s="4"/>
      <c r="AX154" s="4"/>
      <c r="AY154" s="4"/>
      <c r="AZ154" s="4"/>
      <c r="BA154" s="45"/>
      <c r="BB154" s="4"/>
      <c r="BC154" s="4"/>
      <c r="BD154" s="4"/>
      <c r="BE154" s="4"/>
      <c r="BF154" s="45"/>
      <c r="BG154" s="4"/>
      <c r="BH154" s="4"/>
      <c r="BI154" s="4"/>
      <c r="BJ154" s="4"/>
      <c r="BK154" s="45"/>
      <c r="BL154" s="4"/>
      <c r="BM154" s="4"/>
      <c r="BN154" s="4"/>
      <c r="BO154" s="4"/>
      <c r="BP154" s="45"/>
      <c r="BQ154" s="4"/>
      <c r="BR154" s="4"/>
      <c r="BS154" s="4"/>
      <c r="BT154" s="4"/>
      <c r="BU154" s="45"/>
      <c r="BV154" s="4"/>
      <c r="BW154" s="4"/>
      <c r="BX154" s="4"/>
      <c r="BY154" s="4"/>
      <c r="BZ154" s="350"/>
      <c r="CA154" s="4"/>
      <c r="CB154" s="4"/>
      <c r="CC154" s="4"/>
      <c r="CD154" s="4"/>
      <c r="CE154" s="350"/>
      <c r="CF154" s="4"/>
      <c r="CG154" s="4"/>
      <c r="CH154" s="4"/>
      <c r="CI154" s="4"/>
      <c r="CJ154" s="350"/>
      <c r="CK154" s="4"/>
      <c r="CL154" s="4"/>
      <c r="CM154" s="4"/>
      <c r="CN154" s="16"/>
      <c r="CO154" s="350"/>
      <c r="CP154" s="378" t="str">
        <f t="shared" ref="CP154:CS154" si="1123">CP282</f>
        <v>#ERROR!</v>
      </c>
      <c r="CQ154" s="378" t="str">
        <f t="shared" si="1123"/>
        <v>#ERROR!</v>
      </c>
      <c r="CR154" s="378" t="str">
        <f t="shared" si="1123"/>
        <v>#ERROR!</v>
      </c>
      <c r="CS154" s="378" t="str">
        <f t="shared" si="1123"/>
        <v>#ERROR!</v>
      </c>
      <c r="CT154" s="363"/>
      <c r="CU154" s="378">
        <f t="shared" ref="CU154:CX154" si="1124">CU282</f>
        <v>112.5</v>
      </c>
      <c r="CV154" s="378">
        <f t="shared" si="1124"/>
        <v>111.7</v>
      </c>
      <c r="CW154" s="378">
        <f t="shared" si="1124"/>
        <v>111.4</v>
      </c>
      <c r="CX154" s="378">
        <f t="shared" si="1124"/>
        <v>111.4</v>
      </c>
      <c r="CY154" s="356"/>
      <c r="CZ154" s="378">
        <f t="shared" ref="CZ154:DC154" si="1125">CZ282</f>
        <v>119.25</v>
      </c>
      <c r="DA154" s="378">
        <f t="shared" si="1125"/>
        <v>112.817</v>
      </c>
      <c r="DB154" s="378">
        <f t="shared" si="1125"/>
        <v>111.4</v>
      </c>
      <c r="DC154" s="378">
        <f t="shared" si="1125"/>
        <v>113.628</v>
      </c>
      <c r="DD154" s="356"/>
      <c r="DE154" s="378">
        <f t="shared" ref="DE154:DH154" si="1126">DE282</f>
        <v>126.405</v>
      </c>
      <c r="DF154" s="378">
        <f t="shared" si="1126"/>
        <v>111.68883</v>
      </c>
      <c r="DG154" s="378">
        <f t="shared" si="1126"/>
        <v>111.4</v>
      </c>
      <c r="DH154" s="378">
        <f t="shared" si="1126"/>
        <v>111.35544</v>
      </c>
      <c r="DI154" s="356"/>
      <c r="DJ154" s="378">
        <f t="shared" ref="DJ154:DM154" si="1127">DJ282</f>
        <v>135.25335</v>
      </c>
      <c r="DK154" s="378">
        <f t="shared" si="1127"/>
        <v>126.6551332</v>
      </c>
      <c r="DL154" s="378">
        <f t="shared" si="1127"/>
        <v>125.3885819</v>
      </c>
      <c r="DM154" s="378">
        <f t="shared" si="1127"/>
        <v>131.658011</v>
      </c>
      <c r="DN154" s="356"/>
      <c r="DO154" s="378">
        <f t="shared" ref="DO154:DR154" si="1128">DO282</f>
        <v>144.8238121</v>
      </c>
      <c r="DP154" s="378">
        <f t="shared" si="1128"/>
        <v>141.9273358</v>
      </c>
      <c r="DQ154" s="378">
        <f t="shared" si="1128"/>
        <v>139.0887891</v>
      </c>
      <c r="DR154" s="378">
        <f t="shared" si="1128"/>
        <v>135.6115694</v>
      </c>
      <c r="DS154" s="356"/>
      <c r="DT154" s="378">
        <f t="shared" ref="DT154:DW154" si="1129">DT282</f>
        <v>150.528842</v>
      </c>
      <c r="DU154" s="378">
        <f t="shared" si="1129"/>
        <v>146.0129768</v>
      </c>
      <c r="DV154" s="378">
        <f t="shared" si="1129"/>
        <v>138.7123279</v>
      </c>
      <c r="DW154" s="378">
        <f t="shared" si="1129"/>
        <v>135.9380814</v>
      </c>
      <c r="DX154" s="356"/>
      <c r="DY154" s="378">
        <f t="shared" ref="DY154:EB154" si="1130">DY282</f>
        <v>141.3756046</v>
      </c>
      <c r="DZ154" s="378">
        <f t="shared" si="1130"/>
        <v>137.1343365</v>
      </c>
      <c r="EA154" s="378">
        <f t="shared" si="1130"/>
        <v>139.8770232</v>
      </c>
      <c r="EB154" s="378">
        <f t="shared" si="1130"/>
        <v>145.4721041</v>
      </c>
      <c r="EC154" s="356"/>
      <c r="ED154" s="378" t="str">
        <f t="shared" ref="ED154:EG154" si="1131">(ED143/(ED147/1000))</f>
        <v>#ERROR!</v>
      </c>
      <c r="EE154" s="378" t="str">
        <f t="shared" si="1131"/>
        <v>#ERROR!</v>
      </c>
      <c r="EF154" s="378" t="str">
        <f t="shared" si="1131"/>
        <v>#ERROR!</v>
      </c>
      <c r="EG154" s="378" t="str">
        <f t="shared" si="1131"/>
        <v>#ERROR!</v>
      </c>
      <c r="EH154" s="356" t="str">
        <f>(EH143*1000)/EH147</f>
        <v>#ERROR!</v>
      </c>
      <c r="EI154" s="379" t="str">
        <f>EG154*(1+EI155)</f>
        <v>#ERROR!</v>
      </c>
      <c r="EJ154" s="378" t="str">
        <f t="shared" ref="EJ154:EL154" si="1132">EI154*(1+EJ155)</f>
        <v>#ERROR!</v>
      </c>
      <c r="EK154" s="378" t="str">
        <f t="shared" si="1132"/>
        <v>#ERROR!</v>
      </c>
      <c r="EL154" s="378" t="str">
        <f t="shared" si="1132"/>
        <v>#ERROR!</v>
      </c>
      <c r="EM154" s="356" t="str">
        <f>(EM143*1000)/EM147</f>
        <v>#ERROR!</v>
      </c>
      <c r="EN154" s="378" t="str">
        <f>EL154*(1+EN155)</f>
        <v>#ERROR!</v>
      </c>
      <c r="EO154" s="378" t="str">
        <f t="shared" ref="EO154:EQ154" si="1133">EN154*(1+EO155)</f>
        <v>#ERROR!</v>
      </c>
      <c r="EP154" s="378" t="str">
        <f t="shared" si="1133"/>
        <v>#ERROR!</v>
      </c>
      <c r="EQ154" s="378" t="str">
        <f t="shared" si="1133"/>
        <v>#ERROR!</v>
      </c>
      <c r="ER154" s="356" t="str">
        <f>(ER143*1000)/ER147</f>
        <v>#ERROR!</v>
      </c>
      <c r="ES154" s="378" t="str">
        <f>EQ154*(1+ES155)</f>
        <v>#ERROR!</v>
      </c>
      <c r="ET154" s="378" t="str">
        <f t="shared" ref="ET154:EV154" si="1134">ES154*(1+ET155)</f>
        <v>#ERROR!</v>
      </c>
      <c r="EU154" s="378" t="str">
        <f t="shared" si="1134"/>
        <v>#ERROR!</v>
      </c>
      <c r="EV154" s="378" t="str">
        <f t="shared" si="1134"/>
        <v>#ERROR!</v>
      </c>
      <c r="EW154" s="356" t="str">
        <f>(EW143*1000)/EW147</f>
        <v>#ERROR!</v>
      </c>
      <c r="EX154" s="378" t="str">
        <f>EV154*(1+EX155)</f>
        <v>#ERROR!</v>
      </c>
      <c r="EY154" s="378" t="str">
        <f t="shared" ref="EY154:FA154" si="1135">EX154*(1+EY155)</f>
        <v>#ERROR!</v>
      </c>
      <c r="EZ154" s="378" t="str">
        <f t="shared" si="1135"/>
        <v>#ERROR!</v>
      </c>
      <c r="FA154" s="378" t="str">
        <f t="shared" si="1135"/>
        <v>#ERROR!</v>
      </c>
      <c r="FB154" s="356" t="str">
        <f>(FB143*1000)/FB147</f>
        <v>#ERROR!</v>
      </c>
      <c r="FC154" s="378" t="str">
        <f>FA154*(1+FC155)</f>
        <v>#ERROR!</v>
      </c>
      <c r="FD154" s="378" t="str">
        <f t="shared" ref="FD154:FF154" si="1136">FC154*(1+FD155)</f>
        <v>#ERROR!</v>
      </c>
      <c r="FE154" s="378" t="str">
        <f t="shared" si="1136"/>
        <v>#ERROR!</v>
      </c>
      <c r="FF154" s="378" t="str">
        <f t="shared" si="1136"/>
        <v>#ERROR!</v>
      </c>
      <c r="FG154" s="356" t="str">
        <f>(FG143*1000)/FG147</f>
        <v>#ERROR!</v>
      </c>
      <c r="FH154" s="359"/>
      <c r="FI154" s="4"/>
      <c r="FJ154" s="4"/>
      <c r="FK154" s="45"/>
      <c r="FL154" s="4"/>
    </row>
    <row r="155" ht="12.75" customHeight="1">
      <c r="A155" s="4"/>
      <c r="B155" s="72" t="s">
        <v>150</v>
      </c>
      <c r="C155" s="45"/>
      <c r="D155" s="4"/>
      <c r="E155" s="4"/>
      <c r="F155" s="4"/>
      <c r="G155" s="4"/>
      <c r="H155" s="45"/>
      <c r="I155" s="4"/>
      <c r="J155" s="4"/>
      <c r="K155" s="4"/>
      <c r="L155" s="4"/>
      <c r="M155" s="45"/>
      <c r="N155" s="4"/>
      <c r="O155" s="4"/>
      <c r="P155" s="4"/>
      <c r="Q155" s="4"/>
      <c r="R155" s="45"/>
      <c r="S155" s="4"/>
      <c r="T155" s="4"/>
      <c r="U155" s="4"/>
      <c r="V155" s="4"/>
      <c r="W155" s="45"/>
      <c r="X155" s="4"/>
      <c r="Y155" s="4"/>
      <c r="Z155" s="4"/>
      <c r="AA155" s="4"/>
      <c r="AB155" s="45"/>
      <c r="AC155" s="4"/>
      <c r="AD155" s="4"/>
      <c r="AE155" s="4"/>
      <c r="AF155" s="4"/>
      <c r="AG155" s="45"/>
      <c r="AH155" s="4"/>
      <c r="AI155" s="4"/>
      <c r="AJ155" s="4"/>
      <c r="AK155" s="4"/>
      <c r="AL155" s="45"/>
      <c r="AM155" s="4"/>
      <c r="AN155" s="4"/>
      <c r="AO155" s="4"/>
      <c r="AP155" s="4"/>
      <c r="AQ155" s="45"/>
      <c r="AR155" s="4"/>
      <c r="AS155" s="4"/>
      <c r="AT155" s="4"/>
      <c r="AU155" s="4"/>
      <c r="AV155" s="45"/>
      <c r="AW155" s="4"/>
      <c r="AX155" s="4"/>
      <c r="AY155" s="4"/>
      <c r="AZ155" s="4"/>
      <c r="BA155" s="45"/>
      <c r="BB155" s="4"/>
      <c r="BC155" s="4"/>
      <c r="BD155" s="4"/>
      <c r="BE155" s="4"/>
      <c r="BF155" s="45"/>
      <c r="BG155" s="4"/>
      <c r="BH155" s="4"/>
      <c r="BI155" s="4"/>
      <c r="BJ155" s="4"/>
      <c r="BK155" s="45"/>
      <c r="BL155" s="4"/>
      <c r="BM155" s="4"/>
      <c r="BN155" s="4"/>
      <c r="BO155" s="4"/>
      <c r="BP155" s="45"/>
      <c r="BQ155" s="4"/>
      <c r="BR155" s="4"/>
      <c r="BS155" s="4"/>
      <c r="BT155" s="4"/>
      <c r="BU155" s="45"/>
      <c r="BV155" s="4"/>
      <c r="BW155" s="4"/>
      <c r="BX155" s="4"/>
      <c r="BY155" s="4"/>
      <c r="BZ155" s="350"/>
      <c r="CA155" s="4"/>
      <c r="CB155" s="4"/>
      <c r="CC155" s="4"/>
      <c r="CD155" s="4"/>
      <c r="CE155" s="350"/>
      <c r="CF155" s="4"/>
      <c r="CG155" s="4"/>
      <c r="CH155" s="4"/>
      <c r="CI155" s="4"/>
      <c r="CJ155" s="350"/>
      <c r="CK155" s="4"/>
      <c r="CL155" s="4"/>
      <c r="CM155" s="4"/>
      <c r="CN155" s="16"/>
      <c r="CO155" s="350"/>
      <c r="CP155" s="15"/>
      <c r="CQ155" s="15" t="str">
        <f t="shared" ref="CQ155:CS155" si="1137">CQ154/CP154-1</f>
        <v>#ERROR!</v>
      </c>
      <c r="CR155" s="15" t="str">
        <f t="shared" si="1137"/>
        <v>#ERROR!</v>
      </c>
      <c r="CS155" s="15" t="str">
        <f t="shared" si="1137"/>
        <v>#ERROR!</v>
      </c>
      <c r="CT155" s="23"/>
      <c r="CU155" s="15" t="str">
        <f>CU154/CP154-1</f>
        <v>#ERROR!</v>
      </c>
      <c r="CV155" s="15">
        <f t="shared" ref="CV155:CX155" si="1138">CV154/CU154-1</f>
        <v>-0.007111111111</v>
      </c>
      <c r="CW155" s="15">
        <f t="shared" si="1138"/>
        <v>-0.002685765443</v>
      </c>
      <c r="CX155" s="15">
        <f t="shared" si="1138"/>
        <v>0</v>
      </c>
      <c r="CY155" s="23"/>
      <c r="CZ155" s="15">
        <f>CZ154/CU154-1</f>
        <v>0.06</v>
      </c>
      <c r="DA155" s="15">
        <f t="shared" ref="DA155:DC155" si="1139">DA154/CZ154-1</f>
        <v>-0.05394549266</v>
      </c>
      <c r="DB155" s="15">
        <f t="shared" si="1139"/>
        <v>-0.01256016381</v>
      </c>
      <c r="DC155" s="15">
        <f t="shared" si="1139"/>
        <v>0.02</v>
      </c>
      <c r="DD155" s="23"/>
      <c r="DE155" s="15">
        <f>DE154/CZ154-1</f>
        <v>0.06</v>
      </c>
      <c r="DF155" s="15">
        <f t="shared" ref="DF155:DH155" si="1140">DF154/DE154-1</f>
        <v>-0.1164207903</v>
      </c>
      <c r="DG155" s="15">
        <f t="shared" si="1140"/>
        <v>-0.002586024046</v>
      </c>
      <c r="DH155" s="15">
        <f t="shared" si="1140"/>
        <v>-0.0004</v>
      </c>
      <c r="DI155" s="23"/>
      <c r="DJ155" s="15">
        <f>DJ154/DE154-1</f>
        <v>0.07</v>
      </c>
      <c r="DK155" s="15">
        <f t="shared" ref="DK155:DM155" si="1141">DK154/DJ154-1</f>
        <v>-0.06357119273</v>
      </c>
      <c r="DL155" s="15">
        <f t="shared" si="1141"/>
        <v>-0.01</v>
      </c>
      <c r="DM155" s="15">
        <f t="shared" si="1141"/>
        <v>0.05</v>
      </c>
      <c r="DN155" s="350"/>
      <c r="DO155" s="15">
        <f>DO154/DM154-1</f>
        <v>0.1</v>
      </c>
      <c r="DP155" s="15">
        <f t="shared" ref="DP155:DR155" si="1142">DP154/DO154-1</f>
        <v>-0.02</v>
      </c>
      <c r="DQ155" s="15">
        <f t="shared" si="1142"/>
        <v>-0.02</v>
      </c>
      <c r="DR155" s="15">
        <f t="shared" si="1142"/>
        <v>-0.025</v>
      </c>
      <c r="DS155" s="342"/>
      <c r="DT155" s="15">
        <f>DT154/DR154-1</f>
        <v>0.11</v>
      </c>
      <c r="DU155" s="15">
        <f t="shared" ref="DU155:DW155" si="1143">DU154/DT154-1</f>
        <v>-0.03</v>
      </c>
      <c r="DV155" s="15">
        <f t="shared" si="1143"/>
        <v>-0.05</v>
      </c>
      <c r="DW155" s="15">
        <f t="shared" si="1143"/>
        <v>-0.02</v>
      </c>
      <c r="DX155" s="342"/>
      <c r="DY155" s="15">
        <f>DY154/DW154-1</f>
        <v>0.04</v>
      </c>
      <c r="DZ155" s="15">
        <f t="shared" ref="DZ155:EB155" si="1144">DZ154/DY154-1</f>
        <v>-0.03</v>
      </c>
      <c r="EA155" s="15">
        <f t="shared" si="1144"/>
        <v>0.02</v>
      </c>
      <c r="EB155" s="15">
        <f t="shared" si="1144"/>
        <v>0.04</v>
      </c>
      <c r="EC155" s="342"/>
      <c r="ED155" s="15" t="str">
        <f>ED154/EB154-1</f>
        <v>#ERROR!</v>
      </c>
      <c r="EE155" s="15" t="str">
        <f t="shared" ref="EE155:EG155" si="1145">EE154/ED154-1</f>
        <v>#ERROR!</v>
      </c>
      <c r="EF155" s="15" t="str">
        <f t="shared" si="1145"/>
        <v>#ERROR!</v>
      </c>
      <c r="EG155" s="15" t="str">
        <f t="shared" si="1145"/>
        <v>#ERROR!</v>
      </c>
      <c r="EH155" s="356"/>
      <c r="EI155" s="314">
        <v>0.0</v>
      </c>
      <c r="EJ155" s="315">
        <v>0.05</v>
      </c>
      <c r="EK155" s="315">
        <v>0.0</v>
      </c>
      <c r="EL155" s="315">
        <v>0.0</v>
      </c>
      <c r="EM155" s="356"/>
      <c r="EN155" s="315">
        <v>0.01</v>
      </c>
      <c r="EO155" s="315">
        <v>0.01</v>
      </c>
      <c r="EP155" s="315">
        <v>0.01</v>
      </c>
      <c r="EQ155" s="315">
        <v>0.01</v>
      </c>
      <c r="ER155" s="356"/>
      <c r="ES155" s="380">
        <v>0.01</v>
      </c>
      <c r="ET155" s="380">
        <v>0.01</v>
      </c>
      <c r="EU155" s="380">
        <v>0.01</v>
      </c>
      <c r="EV155" s="380">
        <v>0.01</v>
      </c>
      <c r="EW155" s="356"/>
      <c r="EX155" s="380">
        <v>0.01</v>
      </c>
      <c r="EY155" s="380">
        <v>0.01</v>
      </c>
      <c r="EZ155" s="380">
        <v>0.01</v>
      </c>
      <c r="FA155" s="380">
        <v>0.01</v>
      </c>
      <c r="FB155" s="356"/>
      <c r="FC155" s="380">
        <v>0.01</v>
      </c>
      <c r="FD155" s="380">
        <v>0.01</v>
      </c>
      <c r="FE155" s="380">
        <v>0.01</v>
      </c>
      <c r="FF155" s="380">
        <v>0.01</v>
      </c>
      <c r="FG155" s="356"/>
      <c r="FH155" s="359"/>
      <c r="FI155" s="4"/>
      <c r="FJ155" s="4"/>
      <c r="FK155" s="45"/>
      <c r="FL155" s="4"/>
    </row>
    <row r="156" ht="12.75" customHeight="1">
      <c r="A156" s="4"/>
      <c r="B156" s="72" t="s">
        <v>146</v>
      </c>
      <c r="C156" s="45"/>
      <c r="D156" s="4"/>
      <c r="E156" s="4"/>
      <c r="F156" s="4"/>
      <c r="G156" s="4"/>
      <c r="H156" s="45"/>
      <c r="I156" s="4"/>
      <c r="J156" s="4"/>
      <c r="K156" s="4"/>
      <c r="L156" s="4"/>
      <c r="M156" s="45"/>
      <c r="N156" s="4"/>
      <c r="O156" s="4"/>
      <c r="P156" s="4"/>
      <c r="Q156" s="4"/>
      <c r="R156" s="45"/>
      <c r="S156" s="4"/>
      <c r="T156" s="4"/>
      <c r="U156" s="4"/>
      <c r="V156" s="4"/>
      <c r="W156" s="45"/>
      <c r="X156" s="4"/>
      <c r="Y156" s="4"/>
      <c r="Z156" s="4"/>
      <c r="AA156" s="4"/>
      <c r="AB156" s="45"/>
      <c r="AC156" s="4"/>
      <c r="AD156" s="4"/>
      <c r="AE156" s="4"/>
      <c r="AF156" s="4"/>
      <c r="AG156" s="45"/>
      <c r="AH156" s="4"/>
      <c r="AI156" s="4"/>
      <c r="AJ156" s="4"/>
      <c r="AK156" s="4"/>
      <c r="AL156" s="45"/>
      <c r="AM156" s="4"/>
      <c r="AN156" s="4"/>
      <c r="AO156" s="4"/>
      <c r="AP156" s="4"/>
      <c r="AQ156" s="45"/>
      <c r="AR156" s="4"/>
      <c r="AS156" s="4"/>
      <c r="AT156" s="4"/>
      <c r="AU156" s="4"/>
      <c r="AV156" s="45"/>
      <c r="AW156" s="4"/>
      <c r="AX156" s="4"/>
      <c r="AY156" s="4"/>
      <c r="AZ156" s="4"/>
      <c r="BA156" s="45"/>
      <c r="BB156" s="4"/>
      <c r="BC156" s="4"/>
      <c r="BD156" s="4"/>
      <c r="BE156" s="4"/>
      <c r="BF156" s="45"/>
      <c r="BG156" s="4"/>
      <c r="BH156" s="4"/>
      <c r="BI156" s="4"/>
      <c r="BJ156" s="4"/>
      <c r="BK156" s="45"/>
      <c r="BL156" s="4"/>
      <c r="BM156" s="4"/>
      <c r="BN156" s="4"/>
      <c r="BO156" s="4"/>
      <c r="BP156" s="45"/>
      <c r="BQ156" s="4"/>
      <c r="BR156" s="4"/>
      <c r="BS156" s="4"/>
      <c r="BT156" s="4"/>
      <c r="BU156" s="45"/>
      <c r="BV156" s="4"/>
      <c r="BW156" s="4"/>
      <c r="BX156" s="4"/>
      <c r="BY156" s="4"/>
      <c r="BZ156" s="350"/>
      <c r="CA156" s="4"/>
      <c r="CB156" s="4"/>
      <c r="CC156" s="4"/>
      <c r="CD156" s="4"/>
      <c r="CE156" s="350"/>
      <c r="CF156" s="4"/>
      <c r="CG156" s="4"/>
      <c r="CH156" s="4"/>
      <c r="CI156" s="4"/>
      <c r="CJ156" s="350"/>
      <c r="CK156" s="4"/>
      <c r="CL156" s="4"/>
      <c r="CM156" s="4"/>
      <c r="CN156" s="16"/>
      <c r="CO156" s="350"/>
      <c r="CP156" s="104"/>
      <c r="CQ156" s="104"/>
      <c r="CR156" s="104"/>
      <c r="CS156" s="104"/>
      <c r="CT156" s="350"/>
      <c r="CU156" s="15" t="str">
        <f t="shared" ref="CU156:CX156" si="1146">CU154/CP154-1</f>
        <v>#ERROR!</v>
      </c>
      <c r="CV156" s="15" t="str">
        <f t="shared" si="1146"/>
        <v>#ERROR!</v>
      </c>
      <c r="CW156" s="15" t="str">
        <f t="shared" si="1146"/>
        <v>#ERROR!</v>
      </c>
      <c r="CX156" s="15" t="str">
        <f t="shared" si="1146"/>
        <v>#ERROR!</v>
      </c>
      <c r="CY156" s="37"/>
      <c r="CZ156" s="15">
        <f t="shared" ref="CZ156:DC156" si="1147">CZ154/CU154-1</f>
        <v>0.06</v>
      </c>
      <c r="DA156" s="15">
        <f t="shared" si="1147"/>
        <v>0.01</v>
      </c>
      <c r="DB156" s="15">
        <f t="shared" si="1147"/>
        <v>0</v>
      </c>
      <c r="DC156" s="15">
        <f t="shared" si="1147"/>
        <v>0.02</v>
      </c>
      <c r="DD156" s="37"/>
      <c r="DE156" s="15">
        <f t="shared" ref="DE156:DH156" si="1148">DE154/CZ154-1</f>
        <v>0.06</v>
      </c>
      <c r="DF156" s="15">
        <f t="shared" si="1148"/>
        <v>-0.01</v>
      </c>
      <c r="DG156" s="15">
        <f t="shared" si="1148"/>
        <v>0</v>
      </c>
      <c r="DH156" s="15">
        <f t="shared" si="1148"/>
        <v>-0.02</v>
      </c>
      <c r="DI156" s="37"/>
      <c r="DJ156" s="15">
        <f t="shared" ref="DJ156:DM156" si="1149">DJ154/DE154-1</f>
        <v>0.07</v>
      </c>
      <c r="DK156" s="15">
        <f t="shared" si="1149"/>
        <v>0.134</v>
      </c>
      <c r="DL156" s="15">
        <f t="shared" si="1149"/>
        <v>0.125570753</v>
      </c>
      <c r="DM156" s="15">
        <f t="shared" si="1149"/>
        <v>0.1823222196</v>
      </c>
      <c r="DN156" s="37"/>
      <c r="DO156" s="15">
        <f t="shared" ref="DO156:DR156" si="1150">DO154/DJ154-1</f>
        <v>0.07075951967</v>
      </c>
      <c r="DP156" s="15">
        <f t="shared" si="1150"/>
        <v>0.120581</v>
      </c>
      <c r="DQ156" s="15">
        <f t="shared" si="1150"/>
        <v>0.109262</v>
      </c>
      <c r="DR156" s="15">
        <f t="shared" si="1150"/>
        <v>0.030029</v>
      </c>
      <c r="DS156" s="37"/>
      <c r="DT156" s="15">
        <f t="shared" ref="DT156:DW156" si="1151">DT154/DO154-1</f>
        <v>0.0393929</v>
      </c>
      <c r="DU156" s="15">
        <f t="shared" si="1151"/>
        <v>0.02878685</v>
      </c>
      <c r="DV156" s="15">
        <f t="shared" si="1151"/>
        <v>-0.002706625</v>
      </c>
      <c r="DW156" s="15">
        <f t="shared" si="1151"/>
        <v>0.0024077</v>
      </c>
      <c r="DX156" s="37"/>
      <c r="DY156" s="15">
        <f t="shared" ref="DY156:EB156" si="1152">DY154/DT154-1</f>
        <v>-0.0608072</v>
      </c>
      <c r="DZ156" s="15">
        <f t="shared" si="1152"/>
        <v>-0.0608072</v>
      </c>
      <c r="EA156" s="15">
        <f t="shared" si="1152"/>
        <v>0.00839648</v>
      </c>
      <c r="EB156" s="15">
        <f t="shared" si="1152"/>
        <v>0.07013504</v>
      </c>
      <c r="EC156" s="37"/>
      <c r="ED156" s="15" t="str">
        <f t="shared" ref="ED156:EG156" si="1153">ED154/DY154-1</f>
        <v>#ERROR!</v>
      </c>
      <c r="EE156" s="15" t="str">
        <f t="shared" si="1153"/>
        <v>#ERROR!</v>
      </c>
      <c r="EF156" s="15" t="str">
        <f t="shared" si="1153"/>
        <v>#ERROR!</v>
      </c>
      <c r="EG156" s="15" t="str">
        <f t="shared" si="1153"/>
        <v>#ERROR!</v>
      </c>
      <c r="EH156" s="37"/>
      <c r="EI156" s="82" t="str">
        <f t="shared" ref="EI156:FG156" si="1154">EI154/ED154-1</f>
        <v>#ERROR!</v>
      </c>
      <c r="EJ156" s="321" t="str">
        <f t="shared" si="1154"/>
        <v>#ERROR!</v>
      </c>
      <c r="EK156" s="321" t="str">
        <f t="shared" si="1154"/>
        <v>#ERROR!</v>
      </c>
      <c r="EL156" s="321" t="str">
        <f t="shared" si="1154"/>
        <v>#ERROR!</v>
      </c>
      <c r="EM156" s="342" t="str">
        <f t="shared" si="1154"/>
        <v>#ERROR!</v>
      </c>
      <c r="EN156" s="321" t="str">
        <f t="shared" si="1154"/>
        <v>#ERROR!</v>
      </c>
      <c r="EO156" s="321" t="str">
        <f t="shared" si="1154"/>
        <v>#ERROR!</v>
      </c>
      <c r="EP156" s="321" t="str">
        <f t="shared" si="1154"/>
        <v>#ERROR!</v>
      </c>
      <c r="EQ156" s="321" t="str">
        <f t="shared" si="1154"/>
        <v>#ERROR!</v>
      </c>
      <c r="ER156" s="342" t="str">
        <f t="shared" si="1154"/>
        <v>#ERROR!</v>
      </c>
      <c r="ES156" s="321" t="str">
        <f t="shared" si="1154"/>
        <v>#ERROR!</v>
      </c>
      <c r="ET156" s="321" t="str">
        <f t="shared" si="1154"/>
        <v>#ERROR!</v>
      </c>
      <c r="EU156" s="321" t="str">
        <f t="shared" si="1154"/>
        <v>#ERROR!</v>
      </c>
      <c r="EV156" s="321" t="str">
        <f t="shared" si="1154"/>
        <v>#ERROR!</v>
      </c>
      <c r="EW156" s="342" t="str">
        <f t="shared" si="1154"/>
        <v>#ERROR!</v>
      </c>
      <c r="EX156" s="321" t="str">
        <f t="shared" si="1154"/>
        <v>#ERROR!</v>
      </c>
      <c r="EY156" s="321" t="str">
        <f t="shared" si="1154"/>
        <v>#ERROR!</v>
      </c>
      <c r="EZ156" s="321" t="str">
        <f t="shared" si="1154"/>
        <v>#ERROR!</v>
      </c>
      <c r="FA156" s="321" t="str">
        <f t="shared" si="1154"/>
        <v>#ERROR!</v>
      </c>
      <c r="FB156" s="342" t="str">
        <f t="shared" si="1154"/>
        <v>#ERROR!</v>
      </c>
      <c r="FC156" s="321" t="str">
        <f t="shared" si="1154"/>
        <v>#ERROR!</v>
      </c>
      <c r="FD156" s="321" t="str">
        <f t="shared" si="1154"/>
        <v>#ERROR!</v>
      </c>
      <c r="FE156" s="321" t="str">
        <f t="shared" si="1154"/>
        <v>#ERROR!</v>
      </c>
      <c r="FF156" s="321" t="str">
        <f t="shared" si="1154"/>
        <v>#ERROR!</v>
      </c>
      <c r="FG156" s="342" t="str">
        <f t="shared" si="1154"/>
        <v>#ERROR!</v>
      </c>
      <c r="FH156" s="343"/>
      <c r="FI156" s="4"/>
      <c r="FJ156" s="4"/>
      <c r="FK156" s="45"/>
      <c r="FL156" s="4"/>
    </row>
    <row r="157" ht="12.75" customHeight="1">
      <c r="A157" s="4"/>
      <c r="B157" s="84" t="s">
        <v>151</v>
      </c>
      <c r="C157" s="45"/>
      <c r="D157" s="4"/>
      <c r="E157" s="4"/>
      <c r="F157" s="4"/>
      <c r="G157" s="4"/>
      <c r="H157" s="45"/>
      <c r="I157" s="4"/>
      <c r="J157" s="4"/>
      <c r="K157" s="4"/>
      <c r="L157" s="4"/>
      <c r="M157" s="45"/>
      <c r="N157" s="4"/>
      <c r="O157" s="4"/>
      <c r="P157" s="4"/>
      <c r="Q157" s="4"/>
      <c r="R157" s="45"/>
      <c r="S157" s="4"/>
      <c r="T157" s="4"/>
      <c r="U157" s="4"/>
      <c r="V157" s="4"/>
      <c r="W157" s="45"/>
      <c r="X157" s="4"/>
      <c r="Y157" s="4"/>
      <c r="Z157" s="4"/>
      <c r="AA157" s="4"/>
      <c r="AB157" s="45"/>
      <c r="AC157" s="4"/>
      <c r="AD157" s="4"/>
      <c r="AE157" s="4"/>
      <c r="AF157" s="4"/>
      <c r="AG157" s="45"/>
      <c r="AH157" s="4"/>
      <c r="AI157" s="4"/>
      <c r="AJ157" s="4"/>
      <c r="AK157" s="4"/>
      <c r="AL157" s="45"/>
      <c r="AM157" s="4"/>
      <c r="AN157" s="4"/>
      <c r="AO157" s="4"/>
      <c r="AP157" s="4"/>
      <c r="AQ157" s="45"/>
      <c r="AR157" s="4"/>
      <c r="AS157" s="4"/>
      <c r="AT157" s="4"/>
      <c r="AU157" s="4"/>
      <c r="AV157" s="45"/>
      <c r="AW157" s="4"/>
      <c r="AX157" s="4"/>
      <c r="AY157" s="4"/>
      <c r="AZ157" s="4"/>
      <c r="BA157" s="45"/>
      <c r="BB157" s="4"/>
      <c r="BC157" s="4"/>
      <c r="BD157" s="4"/>
      <c r="BE157" s="4"/>
      <c r="BF157" s="45"/>
      <c r="BG157" s="4"/>
      <c r="BH157" s="4"/>
      <c r="BI157" s="4"/>
      <c r="BJ157" s="4"/>
      <c r="BK157" s="45"/>
      <c r="BL157" s="4"/>
      <c r="BM157" s="4"/>
      <c r="BN157" s="4"/>
      <c r="BO157" s="4"/>
      <c r="BP157" s="45"/>
      <c r="BQ157" s="4"/>
      <c r="BR157" s="4"/>
      <c r="BS157" s="4"/>
      <c r="BT157" s="4"/>
      <c r="BU157" s="45"/>
      <c r="BV157" s="4"/>
      <c r="BW157" s="4"/>
      <c r="BX157" s="4"/>
      <c r="BY157" s="4"/>
      <c r="BZ157" s="350"/>
      <c r="CA157" s="4"/>
      <c r="CB157" s="4"/>
      <c r="CC157" s="4"/>
      <c r="CD157" s="4"/>
      <c r="CE157" s="350"/>
      <c r="CF157" s="4"/>
      <c r="CG157" s="4"/>
      <c r="CH157" s="4"/>
      <c r="CI157" s="4"/>
      <c r="CJ157" s="350"/>
      <c r="CK157" s="4"/>
      <c r="CL157" s="4"/>
      <c r="CM157" s="4"/>
      <c r="CN157" s="16"/>
      <c r="CO157" s="350"/>
      <c r="CP157" s="104"/>
      <c r="CQ157" s="104"/>
      <c r="CR157" s="104"/>
      <c r="CS157" s="104"/>
      <c r="CT157" s="350"/>
      <c r="CU157" s="4"/>
      <c r="CV157" s="4"/>
      <c r="CW157" s="4"/>
      <c r="CX157" s="4"/>
      <c r="CY157" s="350"/>
      <c r="CZ157" s="4"/>
      <c r="DA157" s="4"/>
      <c r="DB157" s="4"/>
      <c r="DC157" s="4"/>
      <c r="DD157" s="350"/>
      <c r="DE157" s="372" t="str">
        <f t="shared" ref="DE157:DH157" si="1155">AVERAGE(CP155,CU155,CZ155)</f>
        <v>#ERROR!</v>
      </c>
      <c r="DF157" s="372" t="str">
        <f t="shared" si="1155"/>
        <v>#ERROR!</v>
      </c>
      <c r="DG157" s="372" t="str">
        <f t="shared" si="1155"/>
        <v>#ERROR!</v>
      </c>
      <c r="DH157" s="372" t="str">
        <f t="shared" si="1155"/>
        <v>#ERROR!</v>
      </c>
      <c r="DI157" s="369"/>
      <c r="DJ157" s="372" t="str">
        <f t="shared" ref="DJ157:DM157" si="1156">AVERAGE(CU155,CZ155,DE155)</f>
        <v>#ERROR!</v>
      </c>
      <c r="DK157" s="372">
        <f t="shared" si="1156"/>
        <v>-0.05915913136</v>
      </c>
      <c r="DL157" s="372">
        <f t="shared" si="1156"/>
        <v>-0.005943984431</v>
      </c>
      <c r="DM157" s="372">
        <f t="shared" si="1156"/>
        <v>0.006533333333</v>
      </c>
      <c r="DN157" s="369"/>
      <c r="DO157" s="372">
        <f t="shared" ref="DO157:DR157" si="1157">AVERAGE(CZ155,DE155,DJ155)</f>
        <v>0.06333333333</v>
      </c>
      <c r="DP157" s="372">
        <f t="shared" si="1157"/>
        <v>-0.07797915857</v>
      </c>
      <c r="DQ157" s="372">
        <f t="shared" si="1157"/>
        <v>-0.008382062617</v>
      </c>
      <c r="DR157" s="372">
        <f t="shared" si="1157"/>
        <v>0.0232</v>
      </c>
      <c r="DS157" s="373"/>
      <c r="DT157" s="372">
        <f t="shared" ref="DT157:DW157" si="1158">AVERAGE(DE155,DJ155,DO155)</f>
        <v>0.07666666667</v>
      </c>
      <c r="DU157" s="372">
        <f t="shared" si="1158"/>
        <v>-0.06666399435</v>
      </c>
      <c r="DV157" s="372">
        <f t="shared" si="1158"/>
        <v>-0.01086200802</v>
      </c>
      <c r="DW157" s="372">
        <f t="shared" si="1158"/>
        <v>0.0082</v>
      </c>
      <c r="DX157" s="373"/>
      <c r="DY157" s="372">
        <f t="shared" ref="DY157:EB157" si="1159">AVERAGE(DJ155,DO155,DT155)</f>
        <v>0.09333333333</v>
      </c>
      <c r="DZ157" s="372">
        <f t="shared" si="1159"/>
        <v>-0.03785706424</v>
      </c>
      <c r="EA157" s="372">
        <f t="shared" si="1159"/>
        <v>-0.02666666667</v>
      </c>
      <c r="EB157" s="372">
        <f t="shared" si="1159"/>
        <v>0.001666666667</v>
      </c>
      <c r="EC157" s="342"/>
      <c r="ED157" s="372">
        <f t="shared" ref="ED157:EG157" si="1160">AVERAGE(DO155,DT155,DY155)</f>
        <v>0.08333333333</v>
      </c>
      <c r="EE157" s="372">
        <f t="shared" si="1160"/>
        <v>-0.02666666667</v>
      </c>
      <c r="EF157" s="372">
        <f t="shared" si="1160"/>
        <v>-0.01666666667</v>
      </c>
      <c r="EG157" s="372">
        <f t="shared" si="1160"/>
        <v>-0.001666666667</v>
      </c>
      <c r="EH157" s="356"/>
      <c r="EI157" s="362" t="str">
        <f t="shared" ref="EI157:EL157" si="1161">AVERAGE(DT155,DY155,ED155)</f>
        <v>#ERROR!</v>
      </c>
      <c r="EJ157" s="372" t="str">
        <f t="shared" si="1161"/>
        <v>#ERROR!</v>
      </c>
      <c r="EK157" s="372" t="str">
        <f t="shared" si="1161"/>
        <v>#ERROR!</v>
      </c>
      <c r="EL157" s="372" t="str">
        <f t="shared" si="1161"/>
        <v>#ERROR!</v>
      </c>
      <c r="EM157" s="356"/>
      <c r="EN157" s="372" t="str">
        <f t="shared" ref="EN157:EQ157" si="1162">AVERAGE(DY155,ED155,EI155)</f>
        <v>#ERROR!</v>
      </c>
      <c r="EO157" s="372" t="str">
        <f t="shared" si="1162"/>
        <v>#ERROR!</v>
      </c>
      <c r="EP157" s="372" t="str">
        <f t="shared" si="1162"/>
        <v>#ERROR!</v>
      </c>
      <c r="EQ157" s="372" t="str">
        <f t="shared" si="1162"/>
        <v>#ERROR!</v>
      </c>
      <c r="ER157" s="356"/>
      <c r="ES157" s="372" t="str">
        <f t="shared" ref="ES157:EV157" si="1163">AVERAGE(ED155,EI155,EN155)</f>
        <v>#ERROR!</v>
      </c>
      <c r="ET157" s="372" t="str">
        <f t="shared" si="1163"/>
        <v>#ERROR!</v>
      </c>
      <c r="EU157" s="372" t="str">
        <f t="shared" si="1163"/>
        <v>#ERROR!</v>
      </c>
      <c r="EV157" s="372" t="str">
        <f t="shared" si="1163"/>
        <v>#ERROR!</v>
      </c>
      <c r="EW157" s="356"/>
      <c r="EX157" s="372">
        <f t="shared" ref="EX157:FA157" si="1164">AVERAGE(EI155,EN155,ES155)</f>
        <v>0.006666666667</v>
      </c>
      <c r="EY157" s="372">
        <f t="shared" si="1164"/>
        <v>0.02333333333</v>
      </c>
      <c r="EZ157" s="372">
        <f t="shared" si="1164"/>
        <v>0.006666666667</v>
      </c>
      <c r="FA157" s="372">
        <f t="shared" si="1164"/>
        <v>0.006666666667</v>
      </c>
      <c r="FB157" s="356"/>
      <c r="FC157" s="372">
        <f t="shared" ref="FC157:FF157" si="1165">AVERAGE(EN155,ES155,EX155)</f>
        <v>0.01</v>
      </c>
      <c r="FD157" s="372">
        <f t="shared" si="1165"/>
        <v>0.01</v>
      </c>
      <c r="FE157" s="372">
        <f t="shared" si="1165"/>
        <v>0.01</v>
      </c>
      <c r="FF157" s="372">
        <f t="shared" si="1165"/>
        <v>0.01</v>
      </c>
      <c r="FG157" s="356"/>
      <c r="FH157" s="359"/>
      <c r="FI157" s="4"/>
      <c r="FJ157" s="4"/>
      <c r="FK157" s="45"/>
      <c r="FL157" s="4"/>
    </row>
    <row r="158" ht="12.75" customHeight="1">
      <c r="A158" s="4"/>
      <c r="B158" s="84"/>
      <c r="C158" s="45"/>
      <c r="D158" s="4"/>
      <c r="E158" s="4"/>
      <c r="F158" s="4"/>
      <c r="G158" s="4"/>
      <c r="H158" s="45"/>
      <c r="I158" s="4"/>
      <c r="J158" s="4"/>
      <c r="K158" s="4"/>
      <c r="L158" s="4"/>
      <c r="M158" s="45"/>
      <c r="N158" s="4"/>
      <c r="O158" s="4"/>
      <c r="P158" s="4"/>
      <c r="Q158" s="4"/>
      <c r="R158" s="45"/>
      <c r="S158" s="4"/>
      <c r="T158" s="4"/>
      <c r="U158" s="4"/>
      <c r="V158" s="4"/>
      <c r="W158" s="45"/>
      <c r="X158" s="4"/>
      <c r="Y158" s="4"/>
      <c r="Z158" s="4"/>
      <c r="AA158" s="4"/>
      <c r="AB158" s="45"/>
      <c r="AC158" s="4"/>
      <c r="AD158" s="4"/>
      <c r="AE158" s="4"/>
      <c r="AF158" s="4"/>
      <c r="AG158" s="45"/>
      <c r="AH158" s="4"/>
      <c r="AI158" s="4"/>
      <c r="AJ158" s="4"/>
      <c r="AK158" s="4"/>
      <c r="AL158" s="45"/>
      <c r="AM158" s="4"/>
      <c r="AN158" s="4"/>
      <c r="AO158" s="4"/>
      <c r="AP158" s="4"/>
      <c r="AQ158" s="45"/>
      <c r="AR158" s="4"/>
      <c r="AS158" s="4"/>
      <c r="AT158" s="4"/>
      <c r="AU158" s="4"/>
      <c r="AV158" s="45"/>
      <c r="AW158" s="4"/>
      <c r="AX158" s="4"/>
      <c r="AY158" s="4"/>
      <c r="AZ158" s="4"/>
      <c r="BA158" s="45"/>
      <c r="BB158" s="4"/>
      <c r="BC158" s="4"/>
      <c r="BD158" s="4"/>
      <c r="BE158" s="4"/>
      <c r="BF158" s="45"/>
      <c r="BG158" s="4"/>
      <c r="BH158" s="4"/>
      <c r="BI158" s="4"/>
      <c r="BJ158" s="4"/>
      <c r="BK158" s="45"/>
      <c r="BL158" s="4"/>
      <c r="BM158" s="4"/>
      <c r="BN158" s="4"/>
      <c r="BO158" s="4"/>
      <c r="BP158" s="45"/>
      <c r="BQ158" s="4"/>
      <c r="BR158" s="4"/>
      <c r="BS158" s="4"/>
      <c r="BT158" s="4"/>
      <c r="BU158" s="45"/>
      <c r="BV158" s="4"/>
      <c r="BW158" s="4"/>
      <c r="BX158" s="4"/>
      <c r="BY158" s="4"/>
      <c r="BZ158" s="350"/>
      <c r="CA158" s="4"/>
      <c r="CB158" s="4"/>
      <c r="CC158" s="4"/>
      <c r="CD158" s="4"/>
      <c r="CE158" s="350"/>
      <c r="CF158" s="4"/>
      <c r="CG158" s="4"/>
      <c r="CH158" s="4"/>
      <c r="CI158" s="4"/>
      <c r="CJ158" s="350"/>
      <c r="CK158" s="4"/>
      <c r="CL158" s="4"/>
      <c r="CM158" s="4"/>
      <c r="CN158" s="16"/>
      <c r="CO158" s="350"/>
      <c r="CP158" s="104"/>
      <c r="CQ158" s="104"/>
      <c r="CR158" s="104"/>
      <c r="CS158" s="104"/>
      <c r="CT158" s="350"/>
      <c r="CU158" s="4"/>
      <c r="CV158" s="4"/>
      <c r="CW158" s="4"/>
      <c r="CX158" s="4"/>
      <c r="CY158" s="350"/>
      <c r="CZ158" s="4"/>
      <c r="DA158" s="4"/>
      <c r="DB158" s="4"/>
      <c r="DC158" s="4"/>
      <c r="DD158" s="350"/>
      <c r="DE158" s="4"/>
      <c r="DF158" s="4"/>
      <c r="DG158" s="4"/>
      <c r="DH158" s="4"/>
      <c r="DI158" s="350"/>
      <c r="DJ158" s="85"/>
      <c r="DK158" s="85"/>
      <c r="DL158" s="85"/>
      <c r="DM158" s="85"/>
      <c r="DN158" s="350"/>
      <c r="DO158" s="85"/>
      <c r="DP158" s="85"/>
      <c r="DQ158" s="85"/>
      <c r="DR158" s="85"/>
      <c r="DS158" s="342"/>
      <c r="DT158" s="85"/>
      <c r="DU158" s="85"/>
      <c r="DV158" s="85"/>
      <c r="DW158" s="85"/>
      <c r="DX158" s="342"/>
      <c r="DY158" s="85"/>
      <c r="DZ158" s="85"/>
      <c r="EA158" s="85"/>
      <c r="EB158" s="85"/>
      <c r="EC158" s="342"/>
      <c r="ED158" s="85"/>
      <c r="EE158" s="85"/>
      <c r="EF158" s="85"/>
      <c r="EG158" s="85"/>
      <c r="EH158" s="356"/>
      <c r="EI158" s="362"/>
      <c r="EJ158" s="377"/>
      <c r="EK158" s="377"/>
      <c r="EL158" s="377"/>
      <c r="EM158" s="356"/>
      <c r="EN158" s="377"/>
      <c r="EO158" s="377"/>
      <c r="EP158" s="377"/>
      <c r="EQ158" s="377"/>
      <c r="ER158" s="356"/>
      <c r="ES158" s="377"/>
      <c r="ET158" s="377"/>
      <c r="EU158" s="377"/>
      <c r="EV158" s="377"/>
      <c r="EW158" s="356"/>
      <c r="EX158" s="377"/>
      <c r="EY158" s="377"/>
      <c r="EZ158" s="377"/>
      <c r="FA158" s="377"/>
      <c r="FB158" s="356"/>
      <c r="FC158" s="377"/>
      <c r="FD158" s="377"/>
      <c r="FE158" s="377"/>
      <c r="FF158" s="377"/>
      <c r="FG158" s="356"/>
      <c r="FH158" s="359"/>
      <c r="FI158" s="4"/>
      <c r="FJ158" s="4"/>
      <c r="FK158" s="45"/>
      <c r="FL158" s="4"/>
    </row>
    <row r="159" ht="12.75" customHeight="1">
      <c r="A159" s="4"/>
      <c r="B159" s="72" t="s">
        <v>156</v>
      </c>
      <c r="C159" s="45"/>
      <c r="D159" s="4"/>
      <c r="E159" s="4"/>
      <c r="F159" s="4"/>
      <c r="G159" s="4"/>
      <c r="H159" s="45"/>
      <c r="I159" s="4"/>
      <c r="J159" s="4"/>
      <c r="K159" s="4"/>
      <c r="L159" s="4"/>
      <c r="M159" s="45"/>
      <c r="N159" s="4"/>
      <c r="O159" s="4"/>
      <c r="P159" s="4"/>
      <c r="Q159" s="4"/>
      <c r="R159" s="45"/>
      <c r="S159" s="4"/>
      <c r="T159" s="4"/>
      <c r="U159" s="4"/>
      <c r="V159" s="4"/>
      <c r="W159" s="45"/>
      <c r="X159" s="4"/>
      <c r="Y159" s="4"/>
      <c r="Z159" s="4"/>
      <c r="AA159" s="4"/>
      <c r="AB159" s="45"/>
      <c r="AC159" s="4"/>
      <c r="AD159" s="4"/>
      <c r="AE159" s="4"/>
      <c r="AF159" s="4"/>
      <c r="AG159" s="45"/>
      <c r="AH159" s="4"/>
      <c r="AI159" s="4"/>
      <c r="AJ159" s="4"/>
      <c r="AK159" s="4"/>
      <c r="AL159" s="45"/>
      <c r="AM159" s="4"/>
      <c r="AN159" s="4"/>
      <c r="AO159" s="4"/>
      <c r="AP159" s="4"/>
      <c r="AQ159" s="45"/>
      <c r="AR159" s="4"/>
      <c r="AS159" s="4"/>
      <c r="AT159" s="4"/>
      <c r="AU159" s="4"/>
      <c r="AV159" s="45"/>
      <c r="AW159" s="4"/>
      <c r="AX159" s="4"/>
      <c r="AY159" s="4"/>
      <c r="AZ159" s="4"/>
      <c r="BA159" s="45"/>
      <c r="BB159" s="4"/>
      <c r="BC159" s="4"/>
      <c r="BD159" s="4"/>
      <c r="BE159" s="4"/>
      <c r="BF159" s="45"/>
      <c r="BG159" s="4"/>
      <c r="BH159" s="4"/>
      <c r="BI159" s="4"/>
      <c r="BJ159" s="4"/>
      <c r="BK159" s="45"/>
      <c r="BL159" s="4"/>
      <c r="BM159" s="4"/>
      <c r="BN159" s="4"/>
      <c r="BO159" s="4"/>
      <c r="BP159" s="45"/>
      <c r="BQ159" s="4"/>
      <c r="BR159" s="4"/>
      <c r="BS159" s="4"/>
      <c r="BT159" s="4"/>
      <c r="BU159" s="45"/>
      <c r="BV159" s="4"/>
      <c r="BW159" s="4"/>
      <c r="BX159" s="4"/>
      <c r="BY159" s="4"/>
      <c r="BZ159" s="350"/>
      <c r="CA159" s="4"/>
      <c r="CB159" s="4"/>
      <c r="CC159" s="4"/>
      <c r="CD159" s="4"/>
      <c r="CE159" s="350"/>
      <c r="CF159" s="4"/>
      <c r="CG159" s="4"/>
      <c r="CH159" s="4"/>
      <c r="CI159" s="4"/>
      <c r="CJ159" s="350"/>
      <c r="CK159" s="4"/>
      <c r="CL159" s="4"/>
      <c r="CM159" s="4"/>
      <c r="CN159" s="16"/>
      <c r="CO159" s="350"/>
      <c r="CP159" s="104"/>
      <c r="CQ159" s="104"/>
      <c r="CR159" s="104"/>
      <c r="CS159" s="104"/>
      <c r="CT159" s="350"/>
      <c r="CU159" s="4"/>
      <c r="CV159" s="4"/>
      <c r="CW159" s="4"/>
      <c r="CX159" s="4"/>
      <c r="CY159" s="350"/>
      <c r="CZ159" s="4"/>
      <c r="DA159" s="4"/>
      <c r="DB159" s="4"/>
      <c r="DC159" s="4"/>
      <c r="DD159" s="350"/>
      <c r="DE159" s="4"/>
      <c r="DF159" s="4"/>
      <c r="DG159" s="4"/>
      <c r="DH159" s="4"/>
      <c r="DI159" s="350"/>
      <c r="DJ159" s="16"/>
      <c r="DK159" s="16"/>
      <c r="DL159" s="16"/>
      <c r="DM159" s="16"/>
      <c r="DN159" s="350"/>
      <c r="DO159" s="16"/>
      <c r="DP159" s="16"/>
      <c r="DQ159" s="16"/>
      <c r="DR159" s="16"/>
      <c r="DS159" s="342"/>
      <c r="DT159" s="16"/>
      <c r="DU159" s="16"/>
      <c r="DV159" s="16"/>
      <c r="DW159" s="16"/>
      <c r="DX159" s="342"/>
      <c r="DY159" s="357">
        <v>6956.0</v>
      </c>
      <c r="DZ159" s="357">
        <v>6734.0</v>
      </c>
      <c r="EA159" s="16">
        <v>5944.0</v>
      </c>
      <c r="EB159" s="16"/>
      <c r="EC159" s="342"/>
      <c r="ED159" s="357">
        <v>5959.0</v>
      </c>
      <c r="EE159" s="357">
        <v>4751.0</v>
      </c>
      <c r="EF159" s="357">
        <v>4410.0</v>
      </c>
      <c r="EG159" s="357">
        <v>3663.0</v>
      </c>
      <c r="EH159" s="356">
        <f>SUM(ED159:EG159)</f>
        <v>18783</v>
      </c>
      <c r="EI159" s="358" t="str">
        <f t="shared" ref="EI159:EL159" si="1166">EI163*EI170/1000</f>
        <v>#ERROR!</v>
      </c>
      <c r="EJ159" s="357" t="str">
        <f t="shared" si="1166"/>
        <v>#ERROR!</v>
      </c>
      <c r="EK159" s="357" t="str">
        <f t="shared" si="1166"/>
        <v>#ERROR!</v>
      </c>
      <c r="EL159" s="357" t="str">
        <f t="shared" si="1166"/>
        <v>#ERROR!</v>
      </c>
      <c r="EM159" s="356" t="str">
        <f>SUM(EI159:EL159)</f>
        <v>#ERROR!</v>
      </c>
      <c r="EN159" s="357" t="str">
        <f t="shared" ref="EN159:EQ159" si="1167">EN163*EN170/1000</f>
        <v>#ERROR!</v>
      </c>
      <c r="EO159" s="357" t="str">
        <f t="shared" si="1167"/>
        <v>#ERROR!</v>
      </c>
      <c r="EP159" s="357" t="str">
        <f t="shared" si="1167"/>
        <v>#ERROR!</v>
      </c>
      <c r="EQ159" s="357" t="str">
        <f t="shared" si="1167"/>
        <v>#ERROR!</v>
      </c>
      <c r="ER159" s="356" t="str">
        <f>SUM(EN159:EQ159)</f>
        <v>#ERROR!</v>
      </c>
      <c r="ES159" s="357" t="str">
        <f t="shared" ref="ES159:EV159" si="1168">ES163*ES170/1000</f>
        <v>#ERROR!</v>
      </c>
      <c r="ET159" s="357" t="str">
        <f t="shared" si="1168"/>
        <v>#ERROR!</v>
      </c>
      <c r="EU159" s="357" t="str">
        <f t="shared" si="1168"/>
        <v>#ERROR!</v>
      </c>
      <c r="EV159" s="357" t="str">
        <f t="shared" si="1168"/>
        <v>#ERROR!</v>
      </c>
      <c r="EW159" s="356" t="str">
        <f>SUM(ES159:EV159)</f>
        <v>#ERROR!</v>
      </c>
      <c r="EX159" s="357" t="str">
        <f t="shared" ref="EX159:FA159" si="1169">EX163*EX170/1000</f>
        <v>#ERROR!</v>
      </c>
      <c r="EY159" s="357" t="str">
        <f t="shared" si="1169"/>
        <v>#ERROR!</v>
      </c>
      <c r="EZ159" s="357" t="str">
        <f t="shared" si="1169"/>
        <v>#ERROR!</v>
      </c>
      <c r="FA159" s="357" t="str">
        <f t="shared" si="1169"/>
        <v>#ERROR!</v>
      </c>
      <c r="FB159" s="356" t="str">
        <f>SUM(EX159:FA159)</f>
        <v>#ERROR!</v>
      </c>
      <c r="FC159" s="357" t="str">
        <f t="shared" ref="FC159:FF159" si="1170">FC163*FC170/1000</f>
        <v>#ERROR!</v>
      </c>
      <c r="FD159" s="357" t="str">
        <f t="shared" si="1170"/>
        <v>#ERROR!</v>
      </c>
      <c r="FE159" s="357" t="str">
        <f t="shared" si="1170"/>
        <v>#ERROR!</v>
      </c>
      <c r="FF159" s="357" t="str">
        <f t="shared" si="1170"/>
        <v>#ERROR!</v>
      </c>
      <c r="FG159" s="356" t="str">
        <f>SUM(FC159:FF159)</f>
        <v>#ERROR!</v>
      </c>
      <c r="FH159" s="359"/>
      <c r="FI159" s="4"/>
      <c r="FJ159" s="4"/>
      <c r="FK159" s="45"/>
      <c r="FL159" s="4"/>
    </row>
    <row r="160" ht="12.75" customHeight="1">
      <c r="A160" s="4"/>
      <c r="B160" s="72" t="s">
        <v>145</v>
      </c>
      <c r="C160" s="45"/>
      <c r="D160" s="4"/>
      <c r="E160" s="4"/>
      <c r="F160" s="4"/>
      <c r="G160" s="4"/>
      <c r="H160" s="45"/>
      <c r="I160" s="4"/>
      <c r="J160" s="4"/>
      <c r="K160" s="4"/>
      <c r="L160" s="4"/>
      <c r="M160" s="45"/>
      <c r="N160" s="4"/>
      <c r="O160" s="4"/>
      <c r="P160" s="4"/>
      <c r="Q160" s="4"/>
      <c r="R160" s="45"/>
      <c r="S160" s="4"/>
      <c r="T160" s="4"/>
      <c r="U160" s="4"/>
      <c r="V160" s="4"/>
      <c r="W160" s="45"/>
      <c r="X160" s="4"/>
      <c r="Y160" s="4"/>
      <c r="Z160" s="4"/>
      <c r="AA160" s="4"/>
      <c r="AB160" s="45"/>
      <c r="AC160" s="4"/>
      <c r="AD160" s="4"/>
      <c r="AE160" s="4"/>
      <c r="AF160" s="4"/>
      <c r="AG160" s="45"/>
      <c r="AH160" s="4"/>
      <c r="AI160" s="4"/>
      <c r="AJ160" s="4"/>
      <c r="AK160" s="4"/>
      <c r="AL160" s="45"/>
      <c r="AM160" s="4"/>
      <c r="AN160" s="4"/>
      <c r="AO160" s="4"/>
      <c r="AP160" s="4"/>
      <c r="AQ160" s="45"/>
      <c r="AR160" s="4"/>
      <c r="AS160" s="4"/>
      <c r="AT160" s="4"/>
      <c r="AU160" s="4"/>
      <c r="AV160" s="45"/>
      <c r="AW160" s="4"/>
      <c r="AX160" s="4"/>
      <c r="AY160" s="4"/>
      <c r="AZ160" s="4"/>
      <c r="BA160" s="45"/>
      <c r="BB160" s="4"/>
      <c r="BC160" s="4"/>
      <c r="BD160" s="4"/>
      <c r="BE160" s="4"/>
      <c r="BF160" s="45"/>
      <c r="BG160" s="4"/>
      <c r="BH160" s="4"/>
      <c r="BI160" s="4"/>
      <c r="BJ160" s="4"/>
      <c r="BK160" s="45"/>
      <c r="BL160" s="4"/>
      <c r="BM160" s="4"/>
      <c r="BN160" s="4"/>
      <c r="BO160" s="4"/>
      <c r="BP160" s="45"/>
      <c r="BQ160" s="4"/>
      <c r="BR160" s="4"/>
      <c r="BS160" s="4"/>
      <c r="BT160" s="4"/>
      <c r="BU160" s="45"/>
      <c r="BV160" s="4"/>
      <c r="BW160" s="4"/>
      <c r="BX160" s="4"/>
      <c r="BY160" s="4"/>
      <c r="BZ160" s="350"/>
      <c r="CA160" s="4"/>
      <c r="CB160" s="4"/>
      <c r="CC160" s="4"/>
      <c r="CD160" s="4"/>
      <c r="CE160" s="350"/>
      <c r="CF160" s="4"/>
      <c r="CG160" s="4"/>
      <c r="CH160" s="4"/>
      <c r="CI160" s="4"/>
      <c r="CJ160" s="350"/>
      <c r="CK160" s="4"/>
      <c r="CL160" s="4"/>
      <c r="CM160" s="4"/>
      <c r="CN160" s="16"/>
      <c r="CO160" s="350"/>
      <c r="CP160" s="104"/>
      <c r="CQ160" s="104"/>
      <c r="CR160" s="104"/>
      <c r="CS160" s="104"/>
      <c r="CT160" s="350"/>
      <c r="CU160" s="4"/>
      <c r="CV160" s="4"/>
      <c r="CW160" s="4"/>
      <c r="CX160" s="4"/>
      <c r="CY160" s="350"/>
      <c r="CZ160" s="4"/>
      <c r="DA160" s="4"/>
      <c r="DB160" s="4"/>
      <c r="DC160" s="4"/>
      <c r="DD160" s="350"/>
      <c r="DE160" s="4"/>
      <c r="DF160" s="4"/>
      <c r="DG160" s="4"/>
      <c r="DH160" s="4"/>
      <c r="DI160" s="350"/>
      <c r="DJ160" s="16"/>
      <c r="DK160" s="16"/>
      <c r="DL160" s="16"/>
      <c r="DM160" s="16"/>
      <c r="DN160" s="350"/>
      <c r="DO160" s="16"/>
      <c r="DP160" s="16"/>
      <c r="DQ160" s="16"/>
      <c r="DR160" s="16"/>
      <c r="DS160" s="342"/>
      <c r="DT160" s="16"/>
      <c r="DU160" s="16"/>
      <c r="DV160" s="16"/>
      <c r="DW160" s="16"/>
      <c r="DX160" s="342"/>
      <c r="DY160" s="16"/>
      <c r="DZ160" s="16"/>
      <c r="EA160" s="16"/>
      <c r="EB160" s="16"/>
      <c r="EC160" s="342"/>
      <c r="ED160" s="357"/>
      <c r="EE160" s="327">
        <f t="shared" ref="EE160:EG160" si="1171">EE159/ED159-1</f>
        <v>-0.2027185769</v>
      </c>
      <c r="EF160" s="327">
        <f t="shared" si="1171"/>
        <v>-0.07177436329</v>
      </c>
      <c r="EG160" s="327">
        <f t="shared" si="1171"/>
        <v>-0.1693877551</v>
      </c>
      <c r="EH160" s="356"/>
      <c r="EI160" s="361" t="str">
        <f>EI159/EG159-1</f>
        <v>#ERROR!</v>
      </c>
      <c r="EJ160" s="321" t="str">
        <f t="shared" ref="EJ160:EL160" si="1172">EJ159/EI159-1</f>
        <v>#ERROR!</v>
      </c>
      <c r="EK160" s="321" t="str">
        <f t="shared" si="1172"/>
        <v>#ERROR!</v>
      </c>
      <c r="EL160" s="321" t="str">
        <f t="shared" si="1172"/>
        <v>#ERROR!</v>
      </c>
      <c r="EM160" s="356"/>
      <c r="EN160" s="321" t="str">
        <f>EN159/EL159-1</f>
        <v>#ERROR!</v>
      </c>
      <c r="EO160" s="321" t="str">
        <f t="shared" ref="EO160:EQ160" si="1173">EO159/EN159-1</f>
        <v>#ERROR!</v>
      </c>
      <c r="EP160" s="321" t="str">
        <f t="shared" si="1173"/>
        <v>#ERROR!</v>
      </c>
      <c r="EQ160" s="321" t="str">
        <f t="shared" si="1173"/>
        <v>#ERROR!</v>
      </c>
      <c r="ER160" s="356"/>
      <c r="ES160" s="321" t="str">
        <f>ES159/EQ159-1</f>
        <v>#ERROR!</v>
      </c>
      <c r="ET160" s="321" t="str">
        <f t="shared" ref="ET160:EV160" si="1174">ET159/ES159-1</f>
        <v>#ERROR!</v>
      </c>
      <c r="EU160" s="321" t="str">
        <f t="shared" si="1174"/>
        <v>#ERROR!</v>
      </c>
      <c r="EV160" s="321" t="str">
        <f t="shared" si="1174"/>
        <v>#ERROR!</v>
      </c>
      <c r="EW160" s="356"/>
      <c r="EX160" s="321" t="str">
        <f>EX159/EV159-1</f>
        <v>#ERROR!</v>
      </c>
      <c r="EY160" s="321" t="str">
        <f t="shared" ref="EY160:FA160" si="1175">EY159/EX159-1</f>
        <v>#ERROR!</v>
      </c>
      <c r="EZ160" s="321" t="str">
        <f t="shared" si="1175"/>
        <v>#ERROR!</v>
      </c>
      <c r="FA160" s="321" t="str">
        <f t="shared" si="1175"/>
        <v>#ERROR!</v>
      </c>
      <c r="FB160" s="356"/>
      <c r="FC160" s="321" t="str">
        <f>FC159/FA159-1</f>
        <v>#ERROR!</v>
      </c>
      <c r="FD160" s="321" t="str">
        <f t="shared" ref="FD160:FF160" si="1176">FD159/FC159-1</f>
        <v>#ERROR!</v>
      </c>
      <c r="FE160" s="321" t="str">
        <f t="shared" si="1176"/>
        <v>#ERROR!</v>
      </c>
      <c r="FF160" s="321" t="str">
        <f t="shared" si="1176"/>
        <v>#ERROR!</v>
      </c>
      <c r="FG160" s="356"/>
      <c r="FH160" s="359"/>
      <c r="FI160" s="4"/>
      <c r="FJ160" s="4"/>
      <c r="FK160" s="45"/>
      <c r="FL160" s="4"/>
    </row>
    <row r="161" ht="12.75" customHeight="1">
      <c r="A161" s="4"/>
      <c r="B161" s="72" t="s">
        <v>146</v>
      </c>
      <c r="C161" s="45"/>
      <c r="D161" s="4"/>
      <c r="E161" s="4"/>
      <c r="F161" s="4"/>
      <c r="G161" s="4"/>
      <c r="H161" s="45"/>
      <c r="I161" s="4"/>
      <c r="J161" s="4"/>
      <c r="K161" s="4"/>
      <c r="L161" s="4"/>
      <c r="M161" s="45"/>
      <c r="N161" s="4"/>
      <c r="O161" s="4"/>
      <c r="P161" s="4"/>
      <c r="Q161" s="4"/>
      <c r="R161" s="45"/>
      <c r="S161" s="4"/>
      <c r="T161" s="4"/>
      <c r="U161" s="4"/>
      <c r="V161" s="4"/>
      <c r="W161" s="45"/>
      <c r="X161" s="4"/>
      <c r="Y161" s="4"/>
      <c r="Z161" s="4"/>
      <c r="AA161" s="4"/>
      <c r="AB161" s="45"/>
      <c r="AC161" s="4"/>
      <c r="AD161" s="4"/>
      <c r="AE161" s="4"/>
      <c r="AF161" s="4"/>
      <c r="AG161" s="45"/>
      <c r="AH161" s="4"/>
      <c r="AI161" s="4"/>
      <c r="AJ161" s="4"/>
      <c r="AK161" s="4"/>
      <c r="AL161" s="45"/>
      <c r="AM161" s="4"/>
      <c r="AN161" s="4"/>
      <c r="AO161" s="4"/>
      <c r="AP161" s="4"/>
      <c r="AQ161" s="45"/>
      <c r="AR161" s="4"/>
      <c r="AS161" s="4"/>
      <c r="AT161" s="4"/>
      <c r="AU161" s="4"/>
      <c r="AV161" s="45"/>
      <c r="AW161" s="4"/>
      <c r="AX161" s="4"/>
      <c r="AY161" s="4"/>
      <c r="AZ161" s="4"/>
      <c r="BA161" s="45"/>
      <c r="BB161" s="4"/>
      <c r="BC161" s="4"/>
      <c r="BD161" s="4"/>
      <c r="BE161" s="4"/>
      <c r="BF161" s="45"/>
      <c r="BG161" s="4"/>
      <c r="BH161" s="4"/>
      <c r="BI161" s="4"/>
      <c r="BJ161" s="4"/>
      <c r="BK161" s="45"/>
      <c r="BL161" s="4"/>
      <c r="BM161" s="4"/>
      <c r="BN161" s="4"/>
      <c r="BO161" s="4"/>
      <c r="BP161" s="45"/>
      <c r="BQ161" s="4"/>
      <c r="BR161" s="4"/>
      <c r="BS161" s="4"/>
      <c r="BT161" s="4"/>
      <c r="BU161" s="45"/>
      <c r="BV161" s="4"/>
      <c r="BW161" s="4"/>
      <c r="BX161" s="4"/>
      <c r="BY161" s="4"/>
      <c r="BZ161" s="350"/>
      <c r="CA161" s="4"/>
      <c r="CB161" s="4"/>
      <c r="CC161" s="4"/>
      <c r="CD161" s="4"/>
      <c r="CE161" s="350"/>
      <c r="CF161" s="4"/>
      <c r="CG161" s="4"/>
      <c r="CH161" s="4"/>
      <c r="CI161" s="4"/>
      <c r="CJ161" s="350"/>
      <c r="CK161" s="4"/>
      <c r="CL161" s="4"/>
      <c r="CM161" s="4"/>
      <c r="CN161" s="16"/>
      <c r="CO161" s="350"/>
      <c r="CP161" s="104"/>
      <c r="CQ161" s="104"/>
      <c r="CR161" s="104"/>
      <c r="CS161" s="104"/>
      <c r="CT161" s="350"/>
      <c r="CU161" s="4"/>
      <c r="CV161" s="4"/>
      <c r="CW161" s="4"/>
      <c r="CX161" s="4"/>
      <c r="CY161" s="350"/>
      <c r="CZ161" s="4"/>
      <c r="DA161" s="4"/>
      <c r="DB161" s="4"/>
      <c r="DC161" s="4"/>
      <c r="DD161" s="350"/>
      <c r="DE161" s="4"/>
      <c r="DF161" s="4"/>
      <c r="DG161" s="4"/>
      <c r="DH161" s="4"/>
      <c r="DI161" s="350"/>
      <c r="DJ161" s="16"/>
      <c r="DK161" s="16"/>
      <c r="DL161" s="16"/>
      <c r="DM161" s="16"/>
      <c r="DN161" s="350"/>
      <c r="DO161" s="16"/>
      <c r="DP161" s="16"/>
      <c r="DQ161" s="16"/>
      <c r="DR161" s="16"/>
      <c r="DS161" s="342"/>
      <c r="DT161" s="16"/>
      <c r="DU161" s="16"/>
      <c r="DV161" s="16"/>
      <c r="DW161" s="16"/>
      <c r="DX161" s="342"/>
      <c r="DY161" s="16"/>
      <c r="DZ161" s="16"/>
      <c r="EA161" s="16"/>
      <c r="EB161" s="16"/>
      <c r="EC161" s="342"/>
      <c r="ED161" s="321">
        <f t="shared" ref="ED161:EG161" si="1177">ED159/DY159-1</f>
        <v>-0.1433294997</v>
      </c>
      <c r="EE161" s="321">
        <f t="shared" si="1177"/>
        <v>-0.2944757945</v>
      </c>
      <c r="EF161" s="321">
        <f t="shared" si="1177"/>
        <v>-0.2580753701</v>
      </c>
      <c r="EG161" s="321" t="str">
        <f t="shared" si="1177"/>
        <v>#DIV/0!</v>
      </c>
      <c r="EH161" s="356"/>
      <c r="EI161" s="322" t="str">
        <f t="shared" ref="EI161:FG161" si="1178">EI159/ED159-1</f>
        <v>#ERROR!</v>
      </c>
      <c r="EJ161" s="321" t="str">
        <f t="shared" si="1178"/>
        <v>#ERROR!</v>
      </c>
      <c r="EK161" s="321" t="str">
        <f t="shared" si="1178"/>
        <v>#ERROR!</v>
      </c>
      <c r="EL161" s="321" t="str">
        <f t="shared" si="1178"/>
        <v>#ERROR!</v>
      </c>
      <c r="EM161" s="342" t="str">
        <f t="shared" si="1178"/>
        <v>#ERROR!</v>
      </c>
      <c r="EN161" s="321" t="str">
        <f t="shared" si="1178"/>
        <v>#ERROR!</v>
      </c>
      <c r="EO161" s="321" t="str">
        <f t="shared" si="1178"/>
        <v>#ERROR!</v>
      </c>
      <c r="EP161" s="321" t="str">
        <f t="shared" si="1178"/>
        <v>#ERROR!</v>
      </c>
      <c r="EQ161" s="321" t="str">
        <f t="shared" si="1178"/>
        <v>#ERROR!</v>
      </c>
      <c r="ER161" s="342" t="str">
        <f t="shared" si="1178"/>
        <v>#ERROR!</v>
      </c>
      <c r="ES161" s="321" t="str">
        <f t="shared" si="1178"/>
        <v>#ERROR!</v>
      </c>
      <c r="ET161" s="321" t="str">
        <f t="shared" si="1178"/>
        <v>#ERROR!</v>
      </c>
      <c r="EU161" s="321" t="str">
        <f t="shared" si="1178"/>
        <v>#ERROR!</v>
      </c>
      <c r="EV161" s="321" t="str">
        <f t="shared" si="1178"/>
        <v>#ERROR!</v>
      </c>
      <c r="EW161" s="342" t="str">
        <f t="shared" si="1178"/>
        <v>#ERROR!</v>
      </c>
      <c r="EX161" s="321" t="str">
        <f t="shared" si="1178"/>
        <v>#ERROR!</v>
      </c>
      <c r="EY161" s="321" t="str">
        <f t="shared" si="1178"/>
        <v>#ERROR!</v>
      </c>
      <c r="EZ161" s="321" t="str">
        <f t="shared" si="1178"/>
        <v>#ERROR!</v>
      </c>
      <c r="FA161" s="321" t="str">
        <f t="shared" si="1178"/>
        <v>#ERROR!</v>
      </c>
      <c r="FB161" s="342" t="str">
        <f t="shared" si="1178"/>
        <v>#ERROR!</v>
      </c>
      <c r="FC161" s="321" t="str">
        <f t="shared" si="1178"/>
        <v>#ERROR!</v>
      </c>
      <c r="FD161" s="321" t="str">
        <f t="shared" si="1178"/>
        <v>#ERROR!</v>
      </c>
      <c r="FE161" s="321" t="str">
        <f t="shared" si="1178"/>
        <v>#ERROR!</v>
      </c>
      <c r="FF161" s="321" t="str">
        <f t="shared" si="1178"/>
        <v>#ERROR!</v>
      </c>
      <c r="FG161" s="342" t="str">
        <f t="shared" si="1178"/>
        <v>#ERROR!</v>
      </c>
      <c r="FH161" s="343"/>
      <c r="FI161" s="4"/>
      <c r="FJ161" s="4"/>
      <c r="FK161" s="45"/>
      <c r="FL161" s="4"/>
    </row>
    <row r="162" ht="12.75" customHeight="1">
      <c r="A162" s="4"/>
      <c r="B162" s="84" t="s">
        <v>18</v>
      </c>
      <c r="C162" s="45"/>
      <c r="D162" s="4"/>
      <c r="E162" s="4"/>
      <c r="F162" s="4"/>
      <c r="G162" s="4"/>
      <c r="H162" s="45"/>
      <c r="I162" s="4"/>
      <c r="J162" s="4"/>
      <c r="K162" s="4"/>
      <c r="L162" s="4"/>
      <c r="M162" s="45"/>
      <c r="N162" s="4"/>
      <c r="O162" s="4"/>
      <c r="P162" s="4"/>
      <c r="Q162" s="4"/>
      <c r="R162" s="45"/>
      <c r="S162" s="4"/>
      <c r="T162" s="4"/>
      <c r="U162" s="4"/>
      <c r="V162" s="4"/>
      <c r="W162" s="45"/>
      <c r="X162" s="4"/>
      <c r="Y162" s="4"/>
      <c r="Z162" s="4"/>
      <c r="AA162" s="4"/>
      <c r="AB162" s="45"/>
      <c r="AC162" s="4"/>
      <c r="AD162" s="4"/>
      <c r="AE162" s="4"/>
      <c r="AF162" s="4"/>
      <c r="AG162" s="45"/>
      <c r="AH162" s="4"/>
      <c r="AI162" s="4"/>
      <c r="AJ162" s="4"/>
      <c r="AK162" s="4"/>
      <c r="AL162" s="45"/>
      <c r="AM162" s="4"/>
      <c r="AN162" s="4"/>
      <c r="AO162" s="4"/>
      <c r="AP162" s="4"/>
      <c r="AQ162" s="45"/>
      <c r="AR162" s="4"/>
      <c r="AS162" s="4"/>
      <c r="AT162" s="4"/>
      <c r="AU162" s="4"/>
      <c r="AV162" s="45"/>
      <c r="AW162" s="4"/>
      <c r="AX162" s="4"/>
      <c r="AY162" s="4"/>
      <c r="AZ162" s="4"/>
      <c r="BA162" s="45"/>
      <c r="BB162" s="4"/>
      <c r="BC162" s="4"/>
      <c r="BD162" s="4"/>
      <c r="BE162" s="4"/>
      <c r="BF162" s="45"/>
      <c r="BG162" s="4"/>
      <c r="BH162" s="4"/>
      <c r="BI162" s="4"/>
      <c r="BJ162" s="4"/>
      <c r="BK162" s="45"/>
      <c r="BL162" s="4"/>
      <c r="BM162" s="4"/>
      <c r="BN162" s="4"/>
      <c r="BO162" s="4"/>
      <c r="BP162" s="45"/>
      <c r="BQ162" s="4"/>
      <c r="BR162" s="4"/>
      <c r="BS162" s="4"/>
      <c r="BT162" s="4"/>
      <c r="BU162" s="45"/>
      <c r="BV162" s="4"/>
      <c r="BW162" s="4"/>
      <c r="BX162" s="4"/>
      <c r="BY162" s="4"/>
      <c r="BZ162" s="350"/>
      <c r="CA162" s="4"/>
      <c r="CB162" s="4"/>
      <c r="CC162" s="4"/>
      <c r="CD162" s="4"/>
      <c r="CE162" s="350"/>
      <c r="CF162" s="4"/>
      <c r="CG162" s="4"/>
      <c r="CH162" s="4"/>
      <c r="CI162" s="4"/>
      <c r="CJ162" s="350"/>
      <c r="CK162" s="4"/>
      <c r="CL162" s="4"/>
      <c r="CM162" s="4"/>
      <c r="CN162" s="16"/>
      <c r="CO162" s="350"/>
      <c r="CP162" s="104"/>
      <c r="CQ162" s="104"/>
      <c r="CR162" s="104"/>
      <c r="CS162" s="104"/>
      <c r="CT162" s="350"/>
      <c r="CU162" s="4"/>
      <c r="CV162" s="4"/>
      <c r="CW162" s="4"/>
      <c r="CX162" s="4"/>
      <c r="CY162" s="350"/>
      <c r="CZ162" s="4"/>
      <c r="DA162" s="4"/>
      <c r="DB162" s="4"/>
      <c r="DC162" s="4"/>
      <c r="DD162" s="350"/>
      <c r="DE162" s="4"/>
      <c r="DF162" s="4"/>
      <c r="DG162" s="4"/>
      <c r="DH162" s="4"/>
      <c r="DI162" s="350"/>
      <c r="DJ162" s="85" t="str">
        <f t="shared" ref="DJ162:DM162" si="1179">AVERAGE(CU288,CZ288,DE288)</f>
        <v>#ERROR!</v>
      </c>
      <c r="DK162" s="85" t="str">
        <f t="shared" si="1179"/>
        <v>#ERROR!</v>
      </c>
      <c r="DL162" s="85" t="str">
        <f t="shared" si="1179"/>
        <v>#ERROR!</v>
      </c>
      <c r="DM162" s="85" t="str">
        <f t="shared" si="1179"/>
        <v>#ERROR!</v>
      </c>
      <c r="DN162" s="350"/>
      <c r="DO162" s="85" t="str">
        <f t="shared" ref="DO162:DR162" si="1180">AVERAGE(CZ288,DE288,DJ288)</f>
        <v>#ERROR!</v>
      </c>
      <c r="DP162" s="85" t="str">
        <f t="shared" si="1180"/>
        <v>#ERROR!</v>
      </c>
      <c r="DQ162" s="85" t="str">
        <f t="shared" si="1180"/>
        <v>#ERROR!</v>
      </c>
      <c r="DR162" s="85" t="str">
        <f t="shared" si="1180"/>
        <v>#ERROR!</v>
      </c>
      <c r="DS162" s="342"/>
      <c r="DT162" s="85" t="str">
        <f t="shared" ref="DT162:DW162" si="1181">AVERAGE(DE288,DJ288,DO288)</f>
        <v>#ERROR!</v>
      </c>
      <c r="DU162" s="85" t="str">
        <f t="shared" si="1181"/>
        <v>#ERROR!</v>
      </c>
      <c r="DV162" s="85" t="str">
        <f t="shared" si="1181"/>
        <v>#ERROR!</v>
      </c>
      <c r="DW162" s="85" t="str">
        <f t="shared" si="1181"/>
        <v>#ERROR!</v>
      </c>
      <c r="DX162" s="342"/>
      <c r="DY162" s="85" t="str">
        <f t="shared" ref="DY162:EB162" si="1182">AVERAGE(DJ288,DO288,DT288)</f>
        <v>#ERROR!</v>
      </c>
      <c r="DZ162" s="85" t="str">
        <f t="shared" si="1182"/>
        <v>#ERROR!</v>
      </c>
      <c r="EA162" s="85" t="str">
        <f t="shared" si="1182"/>
        <v>#ERROR!</v>
      </c>
      <c r="EB162" s="85" t="str">
        <f t="shared" si="1182"/>
        <v>#ERROR!</v>
      </c>
      <c r="EC162" s="342"/>
      <c r="ED162" s="85" t="str">
        <f t="shared" ref="ED162:EG162" si="1183">AVERAGE(DO288,DT288,DY288)</f>
        <v>#ERROR!</v>
      </c>
      <c r="EE162" s="85" t="str">
        <f t="shared" si="1183"/>
        <v>#ERROR!</v>
      </c>
      <c r="EF162" s="85" t="str">
        <f t="shared" si="1183"/>
        <v>#ERROR!</v>
      </c>
      <c r="EG162" s="85" t="str">
        <f t="shared" si="1183"/>
        <v>#ERROR!</v>
      </c>
      <c r="EH162" s="356"/>
      <c r="EI162" s="362" t="str">
        <f>AVERAGE(DT288,DY288,ED288)</f>
        <v>#ERROR!</v>
      </c>
      <c r="EJ162" s="85" t="str">
        <f t="shared" ref="EJ162:EL162" si="1184">AVERAGE(DU288,DZ288,EE160)</f>
        <v>#ERROR!</v>
      </c>
      <c r="EK162" s="85" t="str">
        <f t="shared" si="1184"/>
        <v>#ERROR!</v>
      </c>
      <c r="EL162" s="85" t="str">
        <f t="shared" si="1184"/>
        <v>#ERROR!</v>
      </c>
      <c r="EM162" s="356"/>
      <c r="EN162" s="85" t="str">
        <f t="shared" ref="EN162:EQ162" si="1185">AVERAGE(DY288,ED160,EI160)</f>
        <v>#ERROR!</v>
      </c>
      <c r="EO162" s="85" t="str">
        <f t="shared" si="1185"/>
        <v>#ERROR!</v>
      </c>
      <c r="EP162" s="85" t="str">
        <f t="shared" si="1185"/>
        <v>#ERROR!</v>
      </c>
      <c r="EQ162" s="85" t="str">
        <f t="shared" si="1185"/>
        <v>#ERROR!</v>
      </c>
      <c r="ER162" s="356"/>
      <c r="ES162" s="85" t="str">
        <f t="shared" ref="ES162:EV162" si="1186">AVERAGE(ED160,EI160,EN160)</f>
        <v>#ERROR!</v>
      </c>
      <c r="ET162" s="85" t="str">
        <f t="shared" si="1186"/>
        <v>#ERROR!</v>
      </c>
      <c r="EU162" s="85" t="str">
        <f t="shared" si="1186"/>
        <v>#ERROR!</v>
      </c>
      <c r="EV162" s="85" t="str">
        <f t="shared" si="1186"/>
        <v>#ERROR!</v>
      </c>
      <c r="EW162" s="356"/>
      <c r="EX162" s="85" t="str">
        <f t="shared" ref="EX162:FA162" si="1187">AVERAGE(EI160,EN160,ES160)</f>
        <v>#ERROR!</v>
      </c>
      <c r="EY162" s="85" t="str">
        <f t="shared" si="1187"/>
        <v>#ERROR!</v>
      </c>
      <c r="EZ162" s="85" t="str">
        <f t="shared" si="1187"/>
        <v>#ERROR!</v>
      </c>
      <c r="FA162" s="85" t="str">
        <f t="shared" si="1187"/>
        <v>#ERROR!</v>
      </c>
      <c r="FB162" s="356"/>
      <c r="FC162" s="85" t="str">
        <f t="shared" ref="FC162:FF162" si="1188">AVERAGE(EN160,ES160,EX160)</f>
        <v>#ERROR!</v>
      </c>
      <c r="FD162" s="85" t="str">
        <f t="shared" si="1188"/>
        <v>#ERROR!</v>
      </c>
      <c r="FE162" s="85" t="str">
        <f t="shared" si="1188"/>
        <v>#ERROR!</v>
      </c>
      <c r="FF162" s="85" t="str">
        <f t="shared" si="1188"/>
        <v>#ERROR!</v>
      </c>
      <c r="FG162" s="356"/>
      <c r="FH162" s="359"/>
      <c r="FI162" s="4"/>
      <c r="FJ162" s="4"/>
      <c r="FK162" s="45"/>
      <c r="FL162" s="4"/>
    </row>
    <row r="163" ht="12.75" customHeight="1">
      <c r="A163" s="4"/>
      <c r="B163" s="215" t="s">
        <v>157</v>
      </c>
      <c r="C163" s="45"/>
      <c r="D163" s="4"/>
      <c r="E163" s="4"/>
      <c r="F163" s="4"/>
      <c r="G163" s="4"/>
      <c r="H163" s="45"/>
      <c r="I163" s="4"/>
      <c r="J163" s="4"/>
      <c r="K163" s="4"/>
      <c r="L163" s="4"/>
      <c r="M163" s="45"/>
      <c r="N163" s="4"/>
      <c r="O163" s="4"/>
      <c r="P163" s="4"/>
      <c r="Q163" s="4"/>
      <c r="R163" s="45"/>
      <c r="S163" s="4"/>
      <c r="T163" s="4"/>
      <c r="U163" s="4"/>
      <c r="V163" s="4"/>
      <c r="W163" s="45"/>
      <c r="X163" s="4"/>
      <c r="Y163" s="4"/>
      <c r="Z163" s="4"/>
      <c r="AA163" s="4"/>
      <c r="AB163" s="45"/>
      <c r="AC163" s="4"/>
      <c r="AD163" s="4"/>
      <c r="AE163" s="4"/>
      <c r="AF163" s="4"/>
      <c r="AG163" s="45"/>
      <c r="AH163" s="4"/>
      <c r="AI163" s="4"/>
      <c r="AJ163" s="4"/>
      <c r="AK163" s="4"/>
      <c r="AL163" s="45"/>
      <c r="AM163" s="4"/>
      <c r="AN163" s="4"/>
      <c r="AO163" s="4"/>
      <c r="AP163" s="4"/>
      <c r="AQ163" s="45"/>
      <c r="AR163" s="4"/>
      <c r="AS163" s="4"/>
      <c r="AT163" s="4"/>
      <c r="AU163" s="4"/>
      <c r="AV163" s="45"/>
      <c r="AW163" s="4"/>
      <c r="AX163" s="4"/>
      <c r="AY163" s="4"/>
      <c r="AZ163" s="4"/>
      <c r="BA163" s="45"/>
      <c r="BB163" s="4"/>
      <c r="BC163" s="4"/>
      <c r="BD163" s="4"/>
      <c r="BE163" s="4"/>
      <c r="BF163" s="45"/>
      <c r="BG163" s="4"/>
      <c r="BH163" s="4"/>
      <c r="BI163" s="4"/>
      <c r="BJ163" s="4"/>
      <c r="BK163" s="45"/>
      <c r="BL163" s="4"/>
      <c r="BM163" s="4"/>
      <c r="BN163" s="4"/>
      <c r="BO163" s="4"/>
      <c r="BP163" s="45"/>
      <c r="BQ163" s="4"/>
      <c r="BR163" s="4"/>
      <c r="BS163" s="4"/>
      <c r="BT163" s="4"/>
      <c r="BU163" s="45"/>
      <c r="BV163" s="4"/>
      <c r="BW163" s="4"/>
      <c r="BX163" s="4"/>
      <c r="BY163" s="4"/>
      <c r="BZ163" s="350"/>
      <c r="CA163" s="4"/>
      <c r="CB163" s="4"/>
      <c r="CC163" s="4"/>
      <c r="CD163" s="4"/>
      <c r="CE163" s="350"/>
      <c r="CF163" s="4"/>
      <c r="CG163" s="4"/>
      <c r="CH163" s="4"/>
      <c r="CI163" s="4"/>
      <c r="CJ163" s="350"/>
      <c r="CK163" s="4"/>
      <c r="CL163" s="4"/>
      <c r="CM163" s="4"/>
      <c r="CN163" s="16"/>
      <c r="CO163" s="350"/>
      <c r="CP163" s="17">
        <f t="shared" ref="CP163:CS163" si="1189">CP289</f>
        <v>36897</v>
      </c>
      <c r="CQ163" s="17">
        <f t="shared" si="1189"/>
        <v>42556</v>
      </c>
      <c r="CR163" s="17">
        <f t="shared" si="1189"/>
        <v>47271</v>
      </c>
      <c r="CS163" s="17">
        <f t="shared" si="1189"/>
        <v>44828</v>
      </c>
      <c r="CT163" s="363">
        <f>SUM(CP163:CS163)</f>
        <v>171552</v>
      </c>
      <c r="CU163" s="17">
        <f t="shared" ref="CU163:CX163" si="1190">CU289</f>
        <v>38055</v>
      </c>
      <c r="CV163" s="17">
        <f t="shared" si="1190"/>
        <v>37549</v>
      </c>
      <c r="CW163" s="17">
        <f t="shared" si="1190"/>
        <v>41352</v>
      </c>
      <c r="CX163" s="17">
        <f t="shared" si="1190"/>
        <v>40428</v>
      </c>
      <c r="CY163" s="363">
        <f>SUM(CU163:CX163)</f>
        <v>157384</v>
      </c>
      <c r="CZ163" s="17">
        <f t="shared" ref="CZ163:DC163" si="1191">CZ289</f>
        <v>37293.9</v>
      </c>
      <c r="DA163" s="17">
        <f t="shared" si="1191"/>
        <v>35671.55</v>
      </c>
      <c r="DB163" s="17">
        <f t="shared" si="1191"/>
        <v>43006.08</v>
      </c>
      <c r="DC163" s="17">
        <f t="shared" si="1191"/>
        <v>40428</v>
      </c>
      <c r="DD163" s="363">
        <f>SUM(CZ163:DC163)</f>
        <v>156399.53</v>
      </c>
      <c r="DE163" s="17">
        <f t="shared" ref="DE163:DH163" si="1192">DE289</f>
        <v>36550</v>
      </c>
      <c r="DF163" s="17">
        <f t="shared" si="1192"/>
        <v>40375</v>
      </c>
      <c r="DG163" s="17">
        <f t="shared" si="1192"/>
        <v>42277</v>
      </c>
      <c r="DH163" s="17">
        <f t="shared" si="1192"/>
        <v>42277</v>
      </c>
      <c r="DI163" s="363">
        <f>SUM(DE163:DH163)</f>
        <v>161479</v>
      </c>
      <c r="DJ163" s="17" t="str">
        <f t="shared" ref="DJ163:DM163" si="1193">DJ289</f>
        <v>#ERROR!</v>
      </c>
      <c r="DK163" s="17" t="str">
        <f t="shared" si="1193"/>
        <v>#ERROR!</v>
      </c>
      <c r="DL163" s="17" t="str">
        <f t="shared" si="1193"/>
        <v>#ERROR!</v>
      </c>
      <c r="DM163" s="17" t="str">
        <f t="shared" si="1193"/>
        <v>#ERROR!</v>
      </c>
      <c r="DN163" s="363" t="str">
        <f>SUM(DJ163:DM163)</f>
        <v>#ERROR!</v>
      </c>
      <c r="DO163" s="17" t="str">
        <f t="shared" ref="DO163:DR163" si="1194">DO289</f>
        <v>#ERROR!</v>
      </c>
      <c r="DP163" s="17" t="str">
        <f t="shared" si="1194"/>
        <v>#ERROR!</v>
      </c>
      <c r="DQ163" s="17" t="str">
        <f t="shared" si="1194"/>
        <v>#ERROR!</v>
      </c>
      <c r="DR163" s="17" t="str">
        <f t="shared" si="1194"/>
        <v>#ERROR!</v>
      </c>
      <c r="DS163" s="363" t="str">
        <f>SUM(DO163:DR163)</f>
        <v>#ERROR!</v>
      </c>
      <c r="DT163" s="17" t="str">
        <f t="shared" ref="DT163:DW163" si="1195">DT289</f>
        <v>#ERROR!</v>
      </c>
      <c r="DU163" s="17" t="str">
        <f t="shared" si="1195"/>
        <v>#ERROR!</v>
      </c>
      <c r="DV163" s="17" t="str">
        <f t="shared" si="1195"/>
        <v>#ERROR!</v>
      </c>
      <c r="DW163" s="17" t="str">
        <f t="shared" si="1195"/>
        <v>#ERROR!</v>
      </c>
      <c r="DX163" s="363" t="str">
        <f>SUM(DT163:DW163)</f>
        <v>#ERROR!</v>
      </c>
      <c r="DY163" s="17" t="str">
        <f t="shared" ref="DY163:EB163" si="1196">DY289</f>
        <v>#ERROR!</v>
      </c>
      <c r="DZ163" s="17" t="str">
        <f t="shared" si="1196"/>
        <v>#ERROR!</v>
      </c>
      <c r="EA163" s="17" t="str">
        <f t="shared" si="1196"/>
        <v>#ERROR!</v>
      </c>
      <c r="EB163" s="17" t="str">
        <f t="shared" si="1196"/>
        <v>#ERROR!</v>
      </c>
      <c r="EC163" s="363" t="str">
        <f>SUM(DY163:EB163)</f>
        <v>#ERROR!</v>
      </c>
      <c r="ED163" s="17" t="str">
        <f t="shared" ref="ED163:EG163" si="1197">DY163*(1+ED165)</f>
        <v>#ERROR!</v>
      </c>
      <c r="EE163" s="17" t="str">
        <f t="shared" si="1197"/>
        <v>#ERROR!</v>
      </c>
      <c r="EF163" s="17" t="str">
        <f t="shared" si="1197"/>
        <v>#ERROR!</v>
      </c>
      <c r="EG163" s="17" t="str">
        <f t="shared" si="1197"/>
        <v>#ERROR!</v>
      </c>
      <c r="EH163" s="363" t="str">
        <f>SUM(ED163:EG163)</f>
        <v>#ERROR!</v>
      </c>
      <c r="EI163" s="134" t="str">
        <f>EG163*(1+EI164)</f>
        <v>#ERROR!</v>
      </c>
      <c r="EJ163" s="17" t="str">
        <f t="shared" ref="EJ163:EL163" si="1198">EI163*(1+EJ164)</f>
        <v>#ERROR!</v>
      </c>
      <c r="EK163" s="17" t="str">
        <f t="shared" si="1198"/>
        <v>#ERROR!</v>
      </c>
      <c r="EL163" s="17" t="str">
        <f t="shared" si="1198"/>
        <v>#ERROR!</v>
      </c>
      <c r="EM163" s="363" t="str">
        <f>SUM(EI163:EL163)</f>
        <v>#ERROR!</v>
      </c>
      <c r="EN163" s="17" t="str">
        <f>EL163*(1+EN164)</f>
        <v>#ERROR!</v>
      </c>
      <c r="EO163" s="17" t="str">
        <f t="shared" ref="EO163:EQ163" si="1199">EN163*(1+EO164)</f>
        <v>#ERROR!</v>
      </c>
      <c r="EP163" s="17" t="str">
        <f t="shared" si="1199"/>
        <v>#ERROR!</v>
      </c>
      <c r="EQ163" s="17" t="str">
        <f t="shared" si="1199"/>
        <v>#ERROR!</v>
      </c>
      <c r="ER163" s="363" t="str">
        <f>SUM(EN163:EQ163)</f>
        <v>#ERROR!</v>
      </c>
      <c r="ES163" s="17" t="str">
        <f>EQ163*(1+ES164)</f>
        <v>#ERROR!</v>
      </c>
      <c r="ET163" s="17" t="str">
        <f t="shared" ref="ET163:EV163" si="1200">ES163*(1+ET164)</f>
        <v>#ERROR!</v>
      </c>
      <c r="EU163" s="17" t="str">
        <f t="shared" si="1200"/>
        <v>#ERROR!</v>
      </c>
      <c r="EV163" s="17" t="str">
        <f t="shared" si="1200"/>
        <v>#ERROR!</v>
      </c>
      <c r="EW163" s="363" t="str">
        <f>SUM(ES163:EV163)</f>
        <v>#ERROR!</v>
      </c>
      <c r="EX163" s="17" t="str">
        <f>EV163*(1+EX164)</f>
        <v>#ERROR!</v>
      </c>
      <c r="EY163" s="17" t="str">
        <f t="shared" ref="EY163:FA163" si="1201">EX163*(1+EY164)</f>
        <v>#ERROR!</v>
      </c>
      <c r="EZ163" s="17" t="str">
        <f t="shared" si="1201"/>
        <v>#ERROR!</v>
      </c>
      <c r="FA163" s="17" t="str">
        <f t="shared" si="1201"/>
        <v>#ERROR!</v>
      </c>
      <c r="FB163" s="363" t="str">
        <f>SUM(EX163:FA163)</f>
        <v>#ERROR!</v>
      </c>
      <c r="FC163" s="17" t="str">
        <f>FA163*(1+FC164)</f>
        <v>#ERROR!</v>
      </c>
      <c r="FD163" s="17" t="str">
        <f t="shared" ref="FD163:FF163" si="1202">FC163*(1+FD164)</f>
        <v>#ERROR!</v>
      </c>
      <c r="FE163" s="17" t="str">
        <f t="shared" si="1202"/>
        <v>#ERROR!</v>
      </c>
      <c r="FF163" s="17" t="str">
        <f t="shared" si="1202"/>
        <v>#ERROR!</v>
      </c>
      <c r="FG163" s="363" t="str">
        <f>SUM(FC163:FF163)</f>
        <v>#ERROR!</v>
      </c>
      <c r="FH163" s="364"/>
      <c r="FI163" s="4"/>
      <c r="FJ163" s="4"/>
      <c r="FK163" s="45"/>
      <c r="FL163" s="4"/>
    </row>
    <row r="164" ht="12.75" customHeight="1">
      <c r="A164" s="4"/>
      <c r="B164" s="72" t="s">
        <v>150</v>
      </c>
      <c r="C164" s="45"/>
      <c r="D164" s="4"/>
      <c r="E164" s="4"/>
      <c r="F164" s="4"/>
      <c r="G164" s="4"/>
      <c r="H164" s="45"/>
      <c r="I164" s="4"/>
      <c r="J164" s="4"/>
      <c r="K164" s="4"/>
      <c r="L164" s="4"/>
      <c r="M164" s="45"/>
      <c r="N164" s="4"/>
      <c r="O164" s="4"/>
      <c r="P164" s="4"/>
      <c r="Q164" s="4"/>
      <c r="R164" s="45"/>
      <c r="S164" s="4"/>
      <c r="T164" s="4"/>
      <c r="U164" s="4"/>
      <c r="V164" s="4"/>
      <c r="W164" s="45"/>
      <c r="X164" s="4"/>
      <c r="Y164" s="4"/>
      <c r="Z164" s="4"/>
      <c r="AA164" s="4"/>
      <c r="AB164" s="45"/>
      <c r="AC164" s="4"/>
      <c r="AD164" s="4"/>
      <c r="AE164" s="4"/>
      <c r="AF164" s="4"/>
      <c r="AG164" s="45"/>
      <c r="AH164" s="4"/>
      <c r="AI164" s="4"/>
      <c r="AJ164" s="4"/>
      <c r="AK164" s="4"/>
      <c r="AL164" s="45"/>
      <c r="AM164" s="4"/>
      <c r="AN164" s="4"/>
      <c r="AO164" s="4"/>
      <c r="AP164" s="4"/>
      <c r="AQ164" s="45"/>
      <c r="AR164" s="4"/>
      <c r="AS164" s="4"/>
      <c r="AT164" s="4"/>
      <c r="AU164" s="4"/>
      <c r="AV164" s="45"/>
      <c r="AW164" s="4"/>
      <c r="AX164" s="4"/>
      <c r="AY164" s="4"/>
      <c r="AZ164" s="4"/>
      <c r="BA164" s="45"/>
      <c r="BB164" s="4"/>
      <c r="BC164" s="4"/>
      <c r="BD164" s="4"/>
      <c r="BE164" s="4"/>
      <c r="BF164" s="45"/>
      <c r="BG164" s="4"/>
      <c r="BH164" s="4"/>
      <c r="BI164" s="4"/>
      <c r="BJ164" s="4"/>
      <c r="BK164" s="45"/>
      <c r="BL164" s="4"/>
      <c r="BM164" s="4"/>
      <c r="BN164" s="4"/>
      <c r="BO164" s="4"/>
      <c r="BP164" s="45"/>
      <c r="BQ164" s="4"/>
      <c r="BR164" s="4"/>
      <c r="BS164" s="4"/>
      <c r="BT164" s="4"/>
      <c r="BU164" s="45"/>
      <c r="BV164" s="4"/>
      <c r="BW164" s="4"/>
      <c r="BX164" s="4"/>
      <c r="BY164" s="4"/>
      <c r="BZ164" s="350"/>
      <c r="CA164" s="4"/>
      <c r="CB164" s="4"/>
      <c r="CC164" s="4"/>
      <c r="CD164" s="4"/>
      <c r="CE164" s="350"/>
      <c r="CF164" s="4"/>
      <c r="CG164" s="4"/>
      <c r="CH164" s="4"/>
      <c r="CI164" s="4"/>
      <c r="CJ164" s="350"/>
      <c r="CK164" s="4"/>
      <c r="CL164" s="4"/>
      <c r="CM164" s="4"/>
      <c r="CN164" s="16"/>
      <c r="CO164" s="350"/>
      <c r="CP164" s="15"/>
      <c r="CQ164" s="15">
        <f t="shared" ref="CQ164:CS164" si="1203">CQ163/CP163-1</f>
        <v>0.1533729029</v>
      </c>
      <c r="CR164" s="15">
        <f t="shared" si="1203"/>
        <v>0.1107951875</v>
      </c>
      <c r="CS164" s="15">
        <f t="shared" si="1203"/>
        <v>-0.05168073449</v>
      </c>
      <c r="CT164" s="23"/>
      <c r="CU164" s="15">
        <f>CU163/CP163-1</f>
        <v>0.03138466542</v>
      </c>
      <c r="CV164" s="15">
        <f t="shared" ref="CV164:CX164" si="1204">CV163/CU163-1</f>
        <v>-0.01329654448</v>
      </c>
      <c r="CW164" s="15">
        <f t="shared" si="1204"/>
        <v>0.1012809928</v>
      </c>
      <c r="CX164" s="15">
        <f t="shared" si="1204"/>
        <v>-0.02234474753</v>
      </c>
      <c r="CY164" s="23"/>
      <c r="CZ164" s="15">
        <f>CZ163/CU163-1</f>
        <v>-0.02</v>
      </c>
      <c r="DA164" s="15">
        <f t="shared" ref="DA164:DC164" si="1205">DA163/CZ163-1</f>
        <v>-0.0435017523</v>
      </c>
      <c r="DB164" s="15">
        <f t="shared" si="1205"/>
        <v>0.2056128764</v>
      </c>
      <c r="DC164" s="15">
        <f t="shared" si="1205"/>
        <v>-0.05994687263</v>
      </c>
      <c r="DD164" s="23"/>
      <c r="DE164" s="15">
        <f>DE163/CZ163-1</f>
        <v>-0.01994696184</v>
      </c>
      <c r="DF164" s="15">
        <f t="shared" ref="DF164:DH164" si="1206">DF163/DE163-1</f>
        <v>0.1046511628</v>
      </c>
      <c r="DG164" s="15">
        <f t="shared" si="1206"/>
        <v>0.04710835913</v>
      </c>
      <c r="DH164" s="15">
        <f t="shared" si="1206"/>
        <v>0</v>
      </c>
      <c r="DI164" s="23"/>
      <c r="DJ164" s="15" t="str">
        <f>DJ163/DE163-1</f>
        <v>#ERROR!</v>
      </c>
      <c r="DK164" s="15" t="str">
        <f t="shared" ref="DK164:DM164" si="1207">DK163/DJ163-1</f>
        <v>#ERROR!</v>
      </c>
      <c r="DL164" s="15" t="str">
        <f t="shared" si="1207"/>
        <v>#ERROR!</v>
      </c>
      <c r="DM164" s="15" t="str">
        <f t="shared" si="1207"/>
        <v>#ERROR!</v>
      </c>
      <c r="DN164" s="350"/>
      <c r="DO164" s="15" t="str">
        <f>DO163/DM163-1</f>
        <v>#ERROR!</v>
      </c>
      <c r="DP164" s="15" t="str">
        <f t="shared" ref="DP164:DR164" si="1208">DP163/DO163-1</f>
        <v>#ERROR!</v>
      </c>
      <c r="DQ164" s="15" t="str">
        <f t="shared" si="1208"/>
        <v>#ERROR!</v>
      </c>
      <c r="DR164" s="15" t="str">
        <f t="shared" si="1208"/>
        <v>#ERROR!</v>
      </c>
      <c r="DS164" s="342"/>
      <c r="DT164" s="15" t="str">
        <f>DT163/DR163-1</f>
        <v>#ERROR!</v>
      </c>
      <c r="DU164" s="15" t="str">
        <f t="shared" ref="DU164:DW164" si="1209">DU163/DT163-1</f>
        <v>#ERROR!</v>
      </c>
      <c r="DV164" s="15" t="str">
        <f t="shared" si="1209"/>
        <v>#ERROR!</v>
      </c>
      <c r="DW164" s="15" t="str">
        <f t="shared" si="1209"/>
        <v>#ERROR!</v>
      </c>
      <c r="DX164" s="342"/>
      <c r="DY164" s="15" t="str">
        <f>DY163/DW163-1</f>
        <v>#ERROR!</v>
      </c>
      <c r="DZ164" s="15" t="str">
        <f t="shared" ref="DZ164:EB164" si="1210">DZ163/DY163-1</f>
        <v>#ERROR!</v>
      </c>
      <c r="EA164" s="15" t="str">
        <f t="shared" si="1210"/>
        <v>#ERROR!</v>
      </c>
      <c r="EB164" s="15" t="str">
        <f t="shared" si="1210"/>
        <v>#ERROR!</v>
      </c>
      <c r="EC164" s="342"/>
      <c r="ED164" s="15" t="str">
        <f>ED163/EB163-1</f>
        <v>#ERROR!</v>
      </c>
      <c r="EE164" s="15" t="str">
        <f t="shared" ref="EE164:EG164" si="1211">EE163/ED163-1</f>
        <v>#ERROR!</v>
      </c>
      <c r="EF164" s="15" t="str">
        <f t="shared" si="1211"/>
        <v>#ERROR!</v>
      </c>
      <c r="EG164" s="15" t="str">
        <f t="shared" si="1211"/>
        <v>#ERROR!</v>
      </c>
      <c r="EH164" s="356"/>
      <c r="EI164" s="314">
        <v>-0.3</v>
      </c>
      <c r="EJ164" s="365">
        <v>0.1</v>
      </c>
      <c r="EK164" s="365">
        <v>0.3</v>
      </c>
      <c r="EL164" s="365">
        <v>0.4</v>
      </c>
      <c r="EM164" s="356"/>
      <c r="EN164" s="365">
        <v>-0.1</v>
      </c>
      <c r="EO164" s="365">
        <v>-0.08</v>
      </c>
      <c r="EP164" s="365">
        <v>0.03</v>
      </c>
      <c r="EQ164" s="365">
        <v>0.03</v>
      </c>
      <c r="ER164" s="356"/>
      <c r="ES164" s="365">
        <v>0.0</v>
      </c>
      <c r="ET164" s="365">
        <v>0.0</v>
      </c>
      <c r="EU164" s="365">
        <v>0.02</v>
      </c>
      <c r="EV164" s="365">
        <v>0.05</v>
      </c>
      <c r="EW164" s="356"/>
      <c r="EX164" s="365">
        <v>-0.05</v>
      </c>
      <c r="EY164" s="365">
        <v>-0.01</v>
      </c>
      <c r="EZ164" s="365">
        <v>0.08</v>
      </c>
      <c r="FA164" s="365">
        <v>0.05</v>
      </c>
      <c r="FB164" s="356"/>
      <c r="FC164" s="365">
        <v>-0.06</v>
      </c>
      <c r="FD164" s="365">
        <v>-0.01</v>
      </c>
      <c r="FE164" s="365">
        <v>0.07</v>
      </c>
      <c r="FF164" s="365">
        <v>0.04</v>
      </c>
      <c r="FG164" s="356"/>
      <c r="FH164" s="359"/>
      <c r="FI164" s="4"/>
      <c r="FJ164" s="4"/>
      <c r="FK164" s="45"/>
      <c r="FL164" s="4"/>
    </row>
    <row r="165" ht="12.75" customHeight="1">
      <c r="A165" s="4"/>
      <c r="B165" s="72" t="s">
        <v>146</v>
      </c>
      <c r="C165" s="45"/>
      <c r="D165" s="4"/>
      <c r="E165" s="4"/>
      <c r="F165" s="4"/>
      <c r="G165" s="4"/>
      <c r="H165" s="45"/>
      <c r="I165" s="4"/>
      <c r="J165" s="4"/>
      <c r="K165" s="4"/>
      <c r="L165" s="4"/>
      <c r="M165" s="45"/>
      <c r="N165" s="4"/>
      <c r="O165" s="4"/>
      <c r="P165" s="4"/>
      <c r="Q165" s="4"/>
      <c r="R165" s="45"/>
      <c r="S165" s="4"/>
      <c r="T165" s="4"/>
      <c r="U165" s="4"/>
      <c r="V165" s="4"/>
      <c r="W165" s="45"/>
      <c r="X165" s="4"/>
      <c r="Y165" s="4"/>
      <c r="Z165" s="4"/>
      <c r="AA165" s="4"/>
      <c r="AB165" s="45"/>
      <c r="AC165" s="4"/>
      <c r="AD165" s="4"/>
      <c r="AE165" s="4"/>
      <c r="AF165" s="4"/>
      <c r="AG165" s="45"/>
      <c r="AH165" s="4"/>
      <c r="AI165" s="4"/>
      <c r="AJ165" s="4"/>
      <c r="AK165" s="4"/>
      <c r="AL165" s="45"/>
      <c r="AM165" s="4"/>
      <c r="AN165" s="4"/>
      <c r="AO165" s="4"/>
      <c r="AP165" s="4"/>
      <c r="AQ165" s="45"/>
      <c r="AR165" s="4"/>
      <c r="AS165" s="4"/>
      <c r="AT165" s="4"/>
      <c r="AU165" s="4"/>
      <c r="AV165" s="45"/>
      <c r="AW165" s="4"/>
      <c r="AX165" s="4"/>
      <c r="AY165" s="4"/>
      <c r="AZ165" s="4"/>
      <c r="BA165" s="45"/>
      <c r="BB165" s="4"/>
      <c r="BC165" s="4"/>
      <c r="BD165" s="4"/>
      <c r="BE165" s="4"/>
      <c r="BF165" s="45"/>
      <c r="BG165" s="4"/>
      <c r="BH165" s="4"/>
      <c r="BI165" s="4"/>
      <c r="BJ165" s="4"/>
      <c r="BK165" s="45"/>
      <c r="BL165" s="4"/>
      <c r="BM165" s="4"/>
      <c r="BN165" s="4"/>
      <c r="BO165" s="4"/>
      <c r="BP165" s="45"/>
      <c r="BQ165" s="4"/>
      <c r="BR165" s="4"/>
      <c r="BS165" s="4"/>
      <c r="BT165" s="4"/>
      <c r="BU165" s="45"/>
      <c r="BV165" s="4"/>
      <c r="BW165" s="4"/>
      <c r="BX165" s="4"/>
      <c r="BY165" s="4"/>
      <c r="BZ165" s="350"/>
      <c r="CA165" s="4"/>
      <c r="CB165" s="4"/>
      <c r="CC165" s="4"/>
      <c r="CD165" s="4"/>
      <c r="CE165" s="350"/>
      <c r="CF165" s="4"/>
      <c r="CG165" s="4"/>
      <c r="CH165" s="4"/>
      <c r="CI165" s="4"/>
      <c r="CJ165" s="350"/>
      <c r="CK165" s="4"/>
      <c r="CL165" s="4"/>
      <c r="CM165" s="4"/>
      <c r="CN165" s="16"/>
      <c r="CO165" s="350"/>
      <c r="CP165" s="104"/>
      <c r="CQ165" s="104"/>
      <c r="CR165" s="104"/>
      <c r="CS165" s="104"/>
      <c r="CT165" s="350"/>
      <c r="CU165" s="15">
        <f t="shared" ref="CU165:EC165" si="1212">CU163/CP163-1</f>
        <v>0.03138466542</v>
      </c>
      <c r="CV165" s="15">
        <f t="shared" si="1212"/>
        <v>-0.1176567347</v>
      </c>
      <c r="CW165" s="15">
        <f t="shared" si="1212"/>
        <v>-0.1252141905</v>
      </c>
      <c r="CX165" s="15">
        <f t="shared" si="1212"/>
        <v>-0.09815294013</v>
      </c>
      <c r="CY165" s="37">
        <f t="shared" si="1212"/>
        <v>-0.08258720388</v>
      </c>
      <c r="CZ165" s="15">
        <f t="shared" si="1212"/>
        <v>-0.02</v>
      </c>
      <c r="DA165" s="15">
        <f t="shared" si="1212"/>
        <v>-0.05</v>
      </c>
      <c r="DB165" s="15">
        <f t="shared" si="1212"/>
        <v>0.04</v>
      </c>
      <c r="DC165" s="15">
        <f t="shared" si="1212"/>
        <v>0</v>
      </c>
      <c r="DD165" s="37">
        <f t="shared" si="1212"/>
        <v>-0.006255210187</v>
      </c>
      <c r="DE165" s="15">
        <f t="shared" si="1212"/>
        <v>-0.01994696184</v>
      </c>
      <c r="DF165" s="15">
        <f t="shared" si="1212"/>
        <v>0.1318543769</v>
      </c>
      <c r="DG165" s="15">
        <f t="shared" si="1212"/>
        <v>-0.01695295177</v>
      </c>
      <c r="DH165" s="15">
        <f t="shared" si="1212"/>
        <v>0.04573562877</v>
      </c>
      <c r="DI165" s="37">
        <f t="shared" si="1212"/>
        <v>0.03247752727</v>
      </c>
      <c r="DJ165" s="15" t="str">
        <f t="shared" si="1212"/>
        <v>#ERROR!</v>
      </c>
      <c r="DK165" s="15" t="str">
        <f t="shared" si="1212"/>
        <v>#ERROR!</v>
      </c>
      <c r="DL165" s="15" t="str">
        <f t="shared" si="1212"/>
        <v>#ERROR!</v>
      </c>
      <c r="DM165" s="15" t="str">
        <f t="shared" si="1212"/>
        <v>#ERROR!</v>
      </c>
      <c r="DN165" s="37" t="str">
        <f t="shared" si="1212"/>
        <v>#ERROR!</v>
      </c>
      <c r="DO165" s="15" t="str">
        <f t="shared" si="1212"/>
        <v>#ERROR!</v>
      </c>
      <c r="DP165" s="15" t="str">
        <f t="shared" si="1212"/>
        <v>#ERROR!</v>
      </c>
      <c r="DQ165" s="15" t="str">
        <f t="shared" si="1212"/>
        <v>#ERROR!</v>
      </c>
      <c r="DR165" s="15" t="str">
        <f t="shared" si="1212"/>
        <v>#ERROR!</v>
      </c>
      <c r="DS165" s="37" t="str">
        <f t="shared" si="1212"/>
        <v>#ERROR!</v>
      </c>
      <c r="DT165" s="15" t="str">
        <f t="shared" si="1212"/>
        <v>#ERROR!</v>
      </c>
      <c r="DU165" s="15" t="str">
        <f t="shared" si="1212"/>
        <v>#ERROR!</v>
      </c>
      <c r="DV165" s="15" t="str">
        <f t="shared" si="1212"/>
        <v>#ERROR!</v>
      </c>
      <c r="DW165" s="15" t="str">
        <f t="shared" si="1212"/>
        <v>#ERROR!</v>
      </c>
      <c r="DX165" s="37" t="str">
        <f t="shared" si="1212"/>
        <v>#ERROR!</v>
      </c>
      <c r="DY165" s="15" t="str">
        <f t="shared" si="1212"/>
        <v>#ERROR!</v>
      </c>
      <c r="DZ165" s="15" t="str">
        <f t="shared" si="1212"/>
        <v>#ERROR!</v>
      </c>
      <c r="EA165" s="15" t="str">
        <f t="shared" si="1212"/>
        <v>#ERROR!</v>
      </c>
      <c r="EB165" s="15" t="str">
        <f t="shared" si="1212"/>
        <v>#ERROR!</v>
      </c>
      <c r="EC165" s="37" t="str">
        <f t="shared" si="1212"/>
        <v>#ERROR!</v>
      </c>
      <c r="ED165" s="365">
        <v>-0.35</v>
      </c>
      <c r="EE165" s="365">
        <v>-0.38</v>
      </c>
      <c r="EF165" s="365">
        <v>-0.28</v>
      </c>
      <c r="EG165" s="365">
        <v>-0.45</v>
      </c>
      <c r="EH165" s="37" t="str">
        <f t="shared" ref="EH165:FG165" si="1213">EH163/EC163-1</f>
        <v>#ERROR!</v>
      </c>
      <c r="EI165" s="82" t="str">
        <f t="shared" si="1213"/>
        <v>#ERROR!</v>
      </c>
      <c r="EJ165" s="321" t="str">
        <f t="shared" si="1213"/>
        <v>#ERROR!</v>
      </c>
      <c r="EK165" s="321" t="str">
        <f t="shared" si="1213"/>
        <v>#ERROR!</v>
      </c>
      <c r="EL165" s="321" t="str">
        <f t="shared" si="1213"/>
        <v>#ERROR!</v>
      </c>
      <c r="EM165" s="342" t="str">
        <f t="shared" si="1213"/>
        <v>#ERROR!</v>
      </c>
      <c r="EN165" s="321" t="str">
        <f t="shared" si="1213"/>
        <v>#ERROR!</v>
      </c>
      <c r="EO165" s="321" t="str">
        <f t="shared" si="1213"/>
        <v>#ERROR!</v>
      </c>
      <c r="EP165" s="321" t="str">
        <f t="shared" si="1213"/>
        <v>#ERROR!</v>
      </c>
      <c r="EQ165" s="321" t="str">
        <f t="shared" si="1213"/>
        <v>#ERROR!</v>
      </c>
      <c r="ER165" s="342" t="str">
        <f t="shared" si="1213"/>
        <v>#ERROR!</v>
      </c>
      <c r="ES165" s="321" t="str">
        <f t="shared" si="1213"/>
        <v>#ERROR!</v>
      </c>
      <c r="ET165" s="321" t="str">
        <f t="shared" si="1213"/>
        <v>#ERROR!</v>
      </c>
      <c r="EU165" s="321" t="str">
        <f t="shared" si="1213"/>
        <v>#ERROR!</v>
      </c>
      <c r="EV165" s="321" t="str">
        <f t="shared" si="1213"/>
        <v>#ERROR!</v>
      </c>
      <c r="EW165" s="342" t="str">
        <f t="shared" si="1213"/>
        <v>#ERROR!</v>
      </c>
      <c r="EX165" s="321" t="str">
        <f t="shared" si="1213"/>
        <v>#ERROR!</v>
      </c>
      <c r="EY165" s="321" t="str">
        <f t="shared" si="1213"/>
        <v>#ERROR!</v>
      </c>
      <c r="EZ165" s="321" t="str">
        <f t="shared" si="1213"/>
        <v>#ERROR!</v>
      </c>
      <c r="FA165" s="321" t="str">
        <f t="shared" si="1213"/>
        <v>#ERROR!</v>
      </c>
      <c r="FB165" s="342" t="str">
        <f t="shared" si="1213"/>
        <v>#ERROR!</v>
      </c>
      <c r="FC165" s="321" t="str">
        <f t="shared" si="1213"/>
        <v>#ERROR!</v>
      </c>
      <c r="FD165" s="321" t="str">
        <f t="shared" si="1213"/>
        <v>#ERROR!</v>
      </c>
      <c r="FE165" s="321" t="str">
        <f t="shared" si="1213"/>
        <v>#ERROR!</v>
      </c>
      <c r="FF165" s="321" t="str">
        <f t="shared" si="1213"/>
        <v>#ERROR!</v>
      </c>
      <c r="FG165" s="342" t="str">
        <f t="shared" si="1213"/>
        <v>#ERROR!</v>
      </c>
      <c r="FH165" s="343"/>
      <c r="FI165" s="4"/>
      <c r="FJ165" s="4"/>
      <c r="FK165" s="45"/>
      <c r="FL165" s="4"/>
    </row>
    <row r="166" ht="12.75" customHeight="1">
      <c r="A166" s="366"/>
      <c r="B166" s="367" t="s">
        <v>151</v>
      </c>
      <c r="C166" s="368"/>
      <c r="D166" s="366"/>
      <c r="E166" s="366"/>
      <c r="F166" s="366"/>
      <c r="G166" s="366"/>
      <c r="H166" s="368"/>
      <c r="I166" s="366"/>
      <c r="J166" s="366"/>
      <c r="K166" s="366"/>
      <c r="L166" s="366"/>
      <c r="M166" s="368"/>
      <c r="N166" s="366"/>
      <c r="O166" s="366"/>
      <c r="P166" s="366"/>
      <c r="Q166" s="366"/>
      <c r="R166" s="368"/>
      <c r="S166" s="366"/>
      <c r="T166" s="366"/>
      <c r="U166" s="366"/>
      <c r="V166" s="366"/>
      <c r="W166" s="368"/>
      <c r="X166" s="366"/>
      <c r="Y166" s="366"/>
      <c r="Z166" s="366"/>
      <c r="AA166" s="366"/>
      <c r="AB166" s="368"/>
      <c r="AC166" s="366"/>
      <c r="AD166" s="366"/>
      <c r="AE166" s="366"/>
      <c r="AF166" s="366"/>
      <c r="AG166" s="368"/>
      <c r="AH166" s="366"/>
      <c r="AI166" s="366"/>
      <c r="AJ166" s="366"/>
      <c r="AK166" s="366"/>
      <c r="AL166" s="368"/>
      <c r="AM166" s="366"/>
      <c r="AN166" s="366"/>
      <c r="AO166" s="366"/>
      <c r="AP166" s="366"/>
      <c r="AQ166" s="368"/>
      <c r="AR166" s="366"/>
      <c r="AS166" s="366"/>
      <c r="AT166" s="366"/>
      <c r="AU166" s="366"/>
      <c r="AV166" s="368"/>
      <c r="AW166" s="366"/>
      <c r="AX166" s="366"/>
      <c r="AY166" s="366"/>
      <c r="AZ166" s="366"/>
      <c r="BA166" s="368"/>
      <c r="BB166" s="366"/>
      <c r="BC166" s="366"/>
      <c r="BD166" s="366"/>
      <c r="BE166" s="366"/>
      <c r="BF166" s="368"/>
      <c r="BG166" s="366"/>
      <c r="BH166" s="366"/>
      <c r="BI166" s="366"/>
      <c r="BJ166" s="366"/>
      <c r="BK166" s="368"/>
      <c r="BL166" s="366"/>
      <c r="BM166" s="366"/>
      <c r="BN166" s="366"/>
      <c r="BO166" s="366"/>
      <c r="BP166" s="368"/>
      <c r="BQ166" s="366"/>
      <c r="BR166" s="366"/>
      <c r="BS166" s="366"/>
      <c r="BT166" s="366"/>
      <c r="BU166" s="368"/>
      <c r="BV166" s="366"/>
      <c r="BW166" s="366"/>
      <c r="BX166" s="366"/>
      <c r="BY166" s="366"/>
      <c r="BZ166" s="369"/>
      <c r="CA166" s="366"/>
      <c r="CB166" s="366"/>
      <c r="CC166" s="366"/>
      <c r="CD166" s="366"/>
      <c r="CE166" s="369"/>
      <c r="CF166" s="366"/>
      <c r="CG166" s="366"/>
      <c r="CH166" s="366"/>
      <c r="CI166" s="366"/>
      <c r="CJ166" s="369"/>
      <c r="CK166" s="366"/>
      <c r="CL166" s="366"/>
      <c r="CM166" s="366"/>
      <c r="CN166" s="370"/>
      <c r="CO166" s="369"/>
      <c r="CP166" s="371"/>
      <c r="CQ166" s="371"/>
      <c r="CR166" s="371"/>
      <c r="CS166" s="371"/>
      <c r="CT166" s="369"/>
      <c r="CU166" s="366"/>
      <c r="CV166" s="366"/>
      <c r="CW166" s="366"/>
      <c r="CX166" s="366"/>
      <c r="CY166" s="369"/>
      <c r="CZ166" s="366"/>
      <c r="DA166" s="366"/>
      <c r="DB166" s="366"/>
      <c r="DC166" s="366"/>
      <c r="DD166" s="369"/>
      <c r="DE166" s="372">
        <f t="shared" ref="DE166:DH166" si="1214">AVERAGE(CP164,CU164,CZ164)</f>
        <v>0.00569233271</v>
      </c>
      <c r="DF166" s="372">
        <f t="shared" si="1214"/>
        <v>0.03219153539</v>
      </c>
      <c r="DG166" s="372">
        <f t="shared" si="1214"/>
        <v>0.1392296856</v>
      </c>
      <c r="DH166" s="372">
        <f t="shared" si="1214"/>
        <v>-0.04465745155</v>
      </c>
      <c r="DI166" s="369"/>
      <c r="DJ166" s="372">
        <f t="shared" ref="DJ166:DM166" si="1215">AVERAGE(CU164,CZ164,DE164)</f>
        <v>-0.002854098805</v>
      </c>
      <c r="DK166" s="372">
        <f t="shared" si="1215"/>
        <v>0.01595095534</v>
      </c>
      <c r="DL166" s="372">
        <f t="shared" si="1215"/>
        <v>0.1180007428</v>
      </c>
      <c r="DM166" s="372">
        <f t="shared" si="1215"/>
        <v>-0.02743054005</v>
      </c>
      <c r="DN166" s="369"/>
      <c r="DO166" s="372" t="str">
        <f t="shared" ref="DO166:DR166" si="1216">AVERAGE(CZ164,DE164,DJ164)</f>
        <v>#ERROR!</v>
      </c>
      <c r="DP166" s="372" t="str">
        <f t="shared" si="1216"/>
        <v>#ERROR!</v>
      </c>
      <c r="DQ166" s="372" t="str">
        <f t="shared" si="1216"/>
        <v>#ERROR!</v>
      </c>
      <c r="DR166" s="372" t="str">
        <f t="shared" si="1216"/>
        <v>#ERROR!</v>
      </c>
      <c r="DS166" s="373"/>
      <c r="DT166" s="372" t="str">
        <f t="shared" ref="DT166:DW166" si="1217">AVERAGE(DE164,DJ164,DO164)</f>
        <v>#ERROR!</v>
      </c>
      <c r="DU166" s="372" t="str">
        <f t="shared" si="1217"/>
        <v>#ERROR!</v>
      </c>
      <c r="DV166" s="372" t="str">
        <f t="shared" si="1217"/>
        <v>#ERROR!</v>
      </c>
      <c r="DW166" s="372" t="str">
        <f t="shared" si="1217"/>
        <v>#ERROR!</v>
      </c>
      <c r="DX166" s="373"/>
      <c r="DY166" s="372" t="str">
        <f t="shared" ref="DY166:EB166" si="1218">AVERAGE(DJ164,DO164,DT164)</f>
        <v>#ERROR!</v>
      </c>
      <c r="DZ166" s="372" t="str">
        <f t="shared" si="1218"/>
        <v>#ERROR!</v>
      </c>
      <c r="EA166" s="372" t="str">
        <f t="shared" si="1218"/>
        <v>#ERROR!</v>
      </c>
      <c r="EB166" s="372" t="str">
        <f t="shared" si="1218"/>
        <v>#ERROR!</v>
      </c>
      <c r="EC166" s="373"/>
      <c r="ED166" s="85" t="str">
        <f t="shared" ref="ED166:EG166" si="1219">AVERAGE(DO164,DT164,DY164)</f>
        <v>#ERROR!</v>
      </c>
      <c r="EE166" s="85" t="str">
        <f t="shared" si="1219"/>
        <v>#ERROR!</v>
      </c>
      <c r="EF166" s="85" t="str">
        <f t="shared" si="1219"/>
        <v>#ERROR!</v>
      </c>
      <c r="EG166" s="85" t="str">
        <f t="shared" si="1219"/>
        <v>#ERROR!</v>
      </c>
      <c r="EH166" s="374"/>
      <c r="EI166" s="362" t="str">
        <f t="shared" ref="EI166:EL166" si="1220">AVERAGE(DT164,DY164,ED164)</f>
        <v>#ERROR!</v>
      </c>
      <c r="EJ166" s="372" t="str">
        <f t="shared" si="1220"/>
        <v>#ERROR!</v>
      </c>
      <c r="EK166" s="372" t="str">
        <f t="shared" si="1220"/>
        <v>#ERROR!</v>
      </c>
      <c r="EL166" s="372" t="str">
        <f t="shared" si="1220"/>
        <v>#ERROR!</v>
      </c>
      <c r="EM166" s="374"/>
      <c r="EN166" s="372" t="str">
        <f t="shared" ref="EN166:EQ166" si="1221">AVERAGE(DY164,ED164,EI164)</f>
        <v>#ERROR!</v>
      </c>
      <c r="EO166" s="372" t="str">
        <f t="shared" si="1221"/>
        <v>#ERROR!</v>
      </c>
      <c r="EP166" s="372" t="str">
        <f t="shared" si="1221"/>
        <v>#ERROR!</v>
      </c>
      <c r="EQ166" s="372" t="str">
        <f t="shared" si="1221"/>
        <v>#ERROR!</v>
      </c>
      <c r="ER166" s="374"/>
      <c r="ES166" s="372" t="str">
        <f t="shared" ref="ES166:EV166" si="1222">AVERAGE(ED164,EI164,EN164)</f>
        <v>#ERROR!</v>
      </c>
      <c r="ET166" s="372" t="str">
        <f t="shared" si="1222"/>
        <v>#ERROR!</v>
      </c>
      <c r="EU166" s="372" t="str">
        <f t="shared" si="1222"/>
        <v>#ERROR!</v>
      </c>
      <c r="EV166" s="372" t="str">
        <f t="shared" si="1222"/>
        <v>#ERROR!</v>
      </c>
      <c r="EW166" s="374"/>
      <c r="EX166" s="372">
        <f t="shared" ref="EX166:FA166" si="1223">AVERAGE(EI164,EN164,ES164)</f>
        <v>-0.1333333333</v>
      </c>
      <c r="EY166" s="372">
        <f t="shared" si="1223"/>
        <v>0.006666666667</v>
      </c>
      <c r="EZ166" s="372">
        <f t="shared" si="1223"/>
        <v>0.1166666667</v>
      </c>
      <c r="FA166" s="372">
        <f t="shared" si="1223"/>
        <v>0.16</v>
      </c>
      <c r="FB166" s="374"/>
      <c r="FC166" s="372">
        <f t="shared" ref="FC166:FF166" si="1224">AVERAGE(EN164,ES164,EX164)</f>
        <v>-0.05</v>
      </c>
      <c r="FD166" s="372">
        <f t="shared" si="1224"/>
        <v>-0.03</v>
      </c>
      <c r="FE166" s="372">
        <f t="shared" si="1224"/>
        <v>0.04333333333</v>
      </c>
      <c r="FF166" s="372">
        <f t="shared" si="1224"/>
        <v>0.04333333333</v>
      </c>
      <c r="FG166" s="374"/>
      <c r="FH166" s="375"/>
      <c r="FI166" s="366"/>
      <c r="FJ166" s="366"/>
      <c r="FK166" s="368"/>
      <c r="FL166" s="366"/>
    </row>
    <row r="167" ht="12.75" customHeight="1">
      <c r="A167" s="366"/>
      <c r="B167" s="84" t="s">
        <v>152</v>
      </c>
      <c r="C167" s="368"/>
      <c r="D167" s="366"/>
      <c r="E167" s="366"/>
      <c r="F167" s="366"/>
      <c r="G167" s="366"/>
      <c r="H167" s="368"/>
      <c r="I167" s="366"/>
      <c r="J167" s="366"/>
      <c r="K167" s="366"/>
      <c r="L167" s="366"/>
      <c r="M167" s="368"/>
      <c r="N167" s="366"/>
      <c r="O167" s="366"/>
      <c r="P167" s="366"/>
      <c r="Q167" s="366"/>
      <c r="R167" s="368"/>
      <c r="S167" s="366"/>
      <c r="T167" s="366"/>
      <c r="U167" s="366"/>
      <c r="V167" s="366"/>
      <c r="W167" s="368"/>
      <c r="X167" s="366"/>
      <c r="Y167" s="366"/>
      <c r="Z167" s="366"/>
      <c r="AA167" s="366"/>
      <c r="AB167" s="368"/>
      <c r="AC167" s="366"/>
      <c r="AD167" s="366"/>
      <c r="AE167" s="366"/>
      <c r="AF167" s="366"/>
      <c r="AG167" s="368"/>
      <c r="AH167" s="366"/>
      <c r="AI167" s="366"/>
      <c r="AJ167" s="366"/>
      <c r="AK167" s="366"/>
      <c r="AL167" s="368"/>
      <c r="AM167" s="366"/>
      <c r="AN167" s="366"/>
      <c r="AO167" s="366"/>
      <c r="AP167" s="366"/>
      <c r="AQ167" s="368"/>
      <c r="AR167" s="366"/>
      <c r="AS167" s="366"/>
      <c r="AT167" s="366"/>
      <c r="AU167" s="366"/>
      <c r="AV167" s="368"/>
      <c r="AW167" s="366"/>
      <c r="AX167" s="366"/>
      <c r="AY167" s="366"/>
      <c r="AZ167" s="366"/>
      <c r="BA167" s="368"/>
      <c r="BB167" s="366"/>
      <c r="BC167" s="366"/>
      <c r="BD167" s="366"/>
      <c r="BE167" s="366"/>
      <c r="BF167" s="368"/>
      <c r="BG167" s="366"/>
      <c r="BH167" s="366"/>
      <c r="BI167" s="366"/>
      <c r="BJ167" s="366"/>
      <c r="BK167" s="368"/>
      <c r="BL167" s="366"/>
      <c r="BM167" s="366"/>
      <c r="BN167" s="366"/>
      <c r="BO167" s="366"/>
      <c r="BP167" s="368"/>
      <c r="BQ167" s="366"/>
      <c r="BR167" s="366"/>
      <c r="BS167" s="366"/>
      <c r="BT167" s="366"/>
      <c r="BU167" s="368"/>
      <c r="BV167" s="366"/>
      <c r="BW167" s="366"/>
      <c r="BX167" s="366"/>
      <c r="BY167" s="366"/>
      <c r="BZ167" s="369"/>
      <c r="CA167" s="366"/>
      <c r="CB167" s="366"/>
      <c r="CC167" s="366"/>
      <c r="CD167" s="366"/>
      <c r="CE167" s="369"/>
      <c r="CF167" s="366"/>
      <c r="CG167" s="366"/>
      <c r="CH167" s="366"/>
      <c r="CI167" s="366"/>
      <c r="CJ167" s="369"/>
      <c r="CK167" s="366"/>
      <c r="CL167" s="366"/>
      <c r="CM167" s="366"/>
      <c r="CN167" s="370"/>
      <c r="CO167" s="369"/>
      <c r="CP167" s="371"/>
      <c r="CQ167" s="371"/>
      <c r="CR167" s="371"/>
      <c r="CS167" s="371"/>
      <c r="CT167" s="369"/>
      <c r="CU167" s="366"/>
      <c r="CV167" s="366"/>
      <c r="CW167" s="366"/>
      <c r="CX167" s="366"/>
      <c r="CY167" s="369"/>
      <c r="CZ167" s="376">
        <v>40624.22900000001</v>
      </c>
      <c r="DA167" s="376">
        <v>40890.3453</v>
      </c>
      <c r="DB167" s="376">
        <v>48857.132267999994</v>
      </c>
      <c r="DC167" s="376">
        <v>45110.90702</v>
      </c>
      <c r="DD167" s="374"/>
      <c r="DE167" s="376">
        <v>38861.588139999985</v>
      </c>
      <c r="DF167" s="376">
        <v>41884.841700000004</v>
      </c>
      <c r="DG167" s="376">
        <v>44268.85632</v>
      </c>
      <c r="DH167" s="376">
        <v>42247.99442</v>
      </c>
      <c r="DI167" s="374"/>
      <c r="DJ167" s="376">
        <v>37554.5184</v>
      </c>
      <c r="DK167" s="376">
        <v>40972.5264</v>
      </c>
      <c r="DL167" s="376">
        <v>45631.7125</v>
      </c>
      <c r="DM167" s="376">
        <v>40923.689999999995</v>
      </c>
      <c r="DN167" s="374"/>
      <c r="DO167" s="376">
        <v>34610.553</v>
      </c>
      <c r="DP167" s="376">
        <v>39655.218400000005</v>
      </c>
      <c r="DQ167" s="376">
        <v>40885.355</v>
      </c>
      <c r="DR167" s="376">
        <v>40372.0</v>
      </c>
      <c r="DS167" s="374"/>
      <c r="DT167" s="376">
        <v>42016.29902</v>
      </c>
      <c r="DU167" s="376">
        <v>42733.1592</v>
      </c>
      <c r="DV167" s="376">
        <v>50864.14186</v>
      </c>
      <c r="DW167" s="376">
        <v>61964.462700000004</v>
      </c>
      <c r="DX167" s="374"/>
      <c r="DY167" s="376">
        <v>64829.659400000004</v>
      </c>
      <c r="DZ167" s="376">
        <v>59633.8064</v>
      </c>
      <c r="EA167" s="376">
        <v>43949.9632</v>
      </c>
      <c r="EB167" s="376">
        <v>45781.10935999999</v>
      </c>
      <c r="EC167" s="374"/>
      <c r="ED167" s="376">
        <v>41934.9698</v>
      </c>
      <c r="EE167" s="376">
        <v>37252.59129999999</v>
      </c>
      <c r="EF167" s="376">
        <v>31631.0</v>
      </c>
      <c r="EG167" s="376">
        <v>29376.0</v>
      </c>
      <c r="EH167" s="374"/>
      <c r="EI167" s="376">
        <v>25205.0</v>
      </c>
      <c r="EJ167" s="376">
        <v>28570.0</v>
      </c>
      <c r="EK167" s="376">
        <v>29343.0</v>
      </c>
      <c r="EL167" s="376">
        <v>31421.0</v>
      </c>
      <c r="EM167" s="374"/>
      <c r="EN167" s="372"/>
      <c r="EO167" s="372"/>
      <c r="EP167" s="372"/>
      <c r="EQ167" s="372"/>
      <c r="ER167" s="374"/>
      <c r="ES167" s="372"/>
      <c r="ET167" s="372"/>
      <c r="EU167" s="372"/>
      <c r="EV167" s="372"/>
      <c r="EW167" s="374"/>
      <c r="EX167" s="372"/>
      <c r="EY167" s="372"/>
      <c r="EZ167" s="372"/>
      <c r="FA167" s="372"/>
      <c r="FB167" s="374"/>
      <c r="FC167" s="372"/>
      <c r="FD167" s="372"/>
      <c r="FE167" s="372"/>
      <c r="FF167" s="372"/>
      <c r="FG167" s="374"/>
      <c r="FH167" s="375"/>
      <c r="FI167" s="366"/>
      <c r="FJ167" s="366"/>
      <c r="FK167" s="368"/>
      <c r="FL167" s="366"/>
    </row>
    <row r="168" ht="12.75" customHeight="1">
      <c r="A168" s="4"/>
      <c r="B168" s="84" t="s">
        <v>158</v>
      </c>
      <c r="C168" s="45"/>
      <c r="D168" s="4"/>
      <c r="E168" s="4"/>
      <c r="F168" s="4"/>
      <c r="G168" s="4"/>
      <c r="H168" s="45"/>
      <c r="I168" s="4"/>
      <c r="J168" s="4"/>
      <c r="K168" s="4"/>
      <c r="L168" s="4"/>
      <c r="M168" s="45"/>
      <c r="N168" s="4"/>
      <c r="O168" s="4"/>
      <c r="P168" s="4"/>
      <c r="Q168" s="4"/>
      <c r="R168" s="45"/>
      <c r="S168" s="4"/>
      <c r="T168" s="4"/>
      <c r="U168" s="4"/>
      <c r="V168" s="4"/>
      <c r="W168" s="45"/>
      <c r="X168" s="4"/>
      <c r="Y168" s="4"/>
      <c r="Z168" s="4"/>
      <c r="AA168" s="4"/>
      <c r="AB168" s="45"/>
      <c r="AC168" s="4"/>
      <c r="AD168" s="4"/>
      <c r="AE168" s="4"/>
      <c r="AF168" s="4"/>
      <c r="AG168" s="45"/>
      <c r="AH168" s="4"/>
      <c r="AI168" s="4"/>
      <c r="AJ168" s="4"/>
      <c r="AK168" s="4"/>
      <c r="AL168" s="45"/>
      <c r="AM168" s="4"/>
      <c r="AN168" s="4"/>
      <c r="AO168" s="4"/>
      <c r="AP168" s="4"/>
      <c r="AQ168" s="45"/>
      <c r="AR168" s="4"/>
      <c r="AS168" s="4"/>
      <c r="AT168" s="4"/>
      <c r="AU168" s="4"/>
      <c r="AV168" s="45"/>
      <c r="AW168" s="4"/>
      <c r="AX168" s="4"/>
      <c r="AY168" s="4"/>
      <c r="AZ168" s="4"/>
      <c r="BA168" s="45"/>
      <c r="BB168" s="4"/>
      <c r="BC168" s="4"/>
      <c r="BD168" s="4"/>
      <c r="BE168" s="4"/>
      <c r="BF168" s="45"/>
      <c r="BG168" s="4"/>
      <c r="BH168" s="4"/>
      <c r="BI168" s="4"/>
      <c r="BJ168" s="4"/>
      <c r="BK168" s="45"/>
      <c r="BL168" s="4"/>
      <c r="BM168" s="4"/>
      <c r="BN168" s="4"/>
      <c r="BO168" s="4"/>
      <c r="BP168" s="45"/>
      <c r="BQ168" s="4"/>
      <c r="BR168" s="4"/>
      <c r="BS168" s="4"/>
      <c r="BT168" s="4"/>
      <c r="BU168" s="45"/>
      <c r="BV168" s="4"/>
      <c r="BW168" s="4"/>
      <c r="BX168" s="4"/>
      <c r="BY168" s="4"/>
      <c r="BZ168" s="350"/>
      <c r="CA168" s="4"/>
      <c r="CB168" s="4"/>
      <c r="CC168" s="4"/>
      <c r="CD168" s="4"/>
      <c r="CE168" s="350"/>
      <c r="CF168" s="4"/>
      <c r="CG168" s="4"/>
      <c r="CH168" s="4"/>
      <c r="CI168" s="4"/>
      <c r="CJ168" s="350"/>
      <c r="CK168" s="4"/>
      <c r="CL168" s="4"/>
      <c r="CM168" s="4"/>
      <c r="CN168" s="16"/>
      <c r="CO168" s="350"/>
      <c r="CP168" s="104"/>
      <c r="CQ168" s="104"/>
      <c r="CR168" s="104"/>
      <c r="CS168" s="104"/>
      <c r="CT168" s="350"/>
      <c r="CU168" s="4"/>
      <c r="CV168" s="4"/>
      <c r="CW168" s="4"/>
      <c r="CX168" s="4"/>
      <c r="CY168" s="350"/>
      <c r="CZ168" s="377">
        <f t="shared" ref="CZ168:DC168" si="1225">CZ293</f>
        <v>44100</v>
      </c>
      <c r="DA168" s="377">
        <f t="shared" si="1225"/>
        <v>44113</v>
      </c>
      <c r="DB168" s="377">
        <f t="shared" si="1225"/>
        <v>52405</v>
      </c>
      <c r="DC168" s="377">
        <f t="shared" si="1225"/>
        <v>50117</v>
      </c>
      <c r="DD168" s="363">
        <f>SUM(CZ168:DC168)</f>
        <v>190735</v>
      </c>
      <c r="DE168" s="377">
        <f t="shared" ref="DE168:DH168" si="1226">DE293</f>
        <v>41934</v>
      </c>
      <c r="DF168" s="377">
        <f t="shared" si="1226"/>
        <v>45032</v>
      </c>
      <c r="DG168" s="377">
        <f t="shared" si="1226"/>
        <v>47481</v>
      </c>
      <c r="DH168" s="377">
        <f t="shared" si="1226"/>
        <v>45360</v>
      </c>
      <c r="DI168" s="363">
        <f>SUM(DE168:DH168)</f>
        <v>179807</v>
      </c>
      <c r="DJ168" s="377">
        <f t="shared" ref="DJ168:DM168" si="1227">DJ293</f>
        <v>40819.5184</v>
      </c>
      <c r="DK168" s="377">
        <f t="shared" si="1227"/>
        <v>44923.5264</v>
      </c>
      <c r="DL168" s="377">
        <f t="shared" si="1227"/>
        <v>51202.7125</v>
      </c>
      <c r="DM168" s="377">
        <f t="shared" si="1227"/>
        <v>46574.69</v>
      </c>
      <c r="DN168" s="363">
        <f>SUM(DJ168:DM168)</f>
        <v>183520.4473</v>
      </c>
      <c r="DO168" s="377">
        <f t="shared" ref="DO168:DR168" si="1228">DO293</f>
        <v>39814.553</v>
      </c>
      <c r="DP168" s="377">
        <f t="shared" si="1228"/>
        <v>46140.2184</v>
      </c>
      <c r="DQ168" s="377">
        <f t="shared" si="1228"/>
        <v>47935.355</v>
      </c>
      <c r="DR168" s="377">
        <f t="shared" si="1228"/>
        <v>48162</v>
      </c>
      <c r="DS168" s="363">
        <f>SUM(DO168:DR168)</f>
        <v>182052.1264</v>
      </c>
      <c r="DT168" s="377">
        <f t="shared" ref="DT168:DW168" si="1229">DT293</f>
        <v>50606.29902</v>
      </c>
      <c r="DU168" s="377">
        <f t="shared" si="1229"/>
        <v>53328.1592</v>
      </c>
      <c r="DV168" s="377">
        <f t="shared" si="1229"/>
        <v>63749.14186</v>
      </c>
      <c r="DW168" s="377">
        <f t="shared" si="1229"/>
        <v>76524.4627</v>
      </c>
      <c r="DX168" s="363">
        <f>SUM(DT168:DW168)</f>
        <v>244208.0628</v>
      </c>
      <c r="DY168" s="377">
        <f t="shared" ref="DY168:EB168" si="1230">DY293</f>
        <v>79089.6594</v>
      </c>
      <c r="DZ168" s="377">
        <f t="shared" si="1230"/>
        <v>74522.8064</v>
      </c>
      <c r="EA168" s="377">
        <f t="shared" si="1230"/>
        <v>56359.9632</v>
      </c>
      <c r="EB168" s="377">
        <f t="shared" si="1230"/>
        <v>58378.10936</v>
      </c>
      <c r="EC168" s="363">
        <f>SUM(DY168:EB168)</f>
        <v>268350.5384</v>
      </c>
      <c r="ED168" s="377">
        <f t="shared" ref="ED168:EG168" si="1231">ED293</f>
        <v>54094.9698</v>
      </c>
      <c r="EE168" s="377">
        <f t="shared" si="1231"/>
        <v>49517.5913</v>
      </c>
      <c r="EF168" s="377">
        <f t="shared" si="1231"/>
        <v>37501</v>
      </c>
      <c r="EG168" s="377">
        <f t="shared" si="1231"/>
        <v>35021</v>
      </c>
      <c r="EH168" s="363">
        <f>SUM(ED168:EG168)</f>
        <v>176134.5611</v>
      </c>
      <c r="EI168" s="134">
        <f t="shared" ref="EI168:EL168" si="1232">EI293</f>
        <v>31436</v>
      </c>
      <c r="EJ168" s="377">
        <f t="shared" si="1232"/>
        <v>37166</v>
      </c>
      <c r="EK168" s="377">
        <f t="shared" si="1232"/>
        <v>39062</v>
      </c>
      <c r="EL168" s="377">
        <f t="shared" si="1232"/>
        <v>42407</v>
      </c>
      <c r="EM168" s="363">
        <f>SUM(EI168:EL168)</f>
        <v>150071</v>
      </c>
      <c r="EN168" s="85"/>
      <c r="EO168" s="85"/>
      <c r="EP168" s="85"/>
      <c r="EQ168" s="85"/>
      <c r="ER168" s="356"/>
      <c r="ES168" s="85"/>
      <c r="ET168" s="85"/>
      <c r="EU168" s="85"/>
      <c r="EV168" s="85"/>
      <c r="EW168" s="356"/>
      <c r="EX168" s="85"/>
      <c r="EY168" s="85"/>
      <c r="EZ168" s="85"/>
      <c r="FA168" s="85"/>
      <c r="FB168" s="356"/>
      <c r="FC168" s="85"/>
      <c r="FD168" s="85"/>
      <c r="FE168" s="85"/>
      <c r="FF168" s="85"/>
      <c r="FG168" s="356"/>
      <c r="FH168" s="359"/>
      <c r="FI168" s="4"/>
      <c r="FJ168" s="4"/>
      <c r="FK168" s="45"/>
      <c r="FL168" s="4"/>
    </row>
    <row r="169" ht="12.75" customHeight="1">
      <c r="A169" s="4"/>
      <c r="B169" s="84" t="s">
        <v>159</v>
      </c>
      <c r="C169" s="45"/>
      <c r="D169" s="4"/>
      <c r="E169" s="4"/>
      <c r="F169" s="4"/>
      <c r="G169" s="4"/>
      <c r="H169" s="45"/>
      <c r="I169" s="4"/>
      <c r="J169" s="4"/>
      <c r="K169" s="4"/>
      <c r="L169" s="4"/>
      <c r="M169" s="45"/>
      <c r="N169" s="4"/>
      <c r="O169" s="4"/>
      <c r="P169" s="4"/>
      <c r="Q169" s="4"/>
      <c r="R169" s="45"/>
      <c r="S169" s="4"/>
      <c r="T169" s="4"/>
      <c r="U169" s="4"/>
      <c r="V169" s="4"/>
      <c r="W169" s="45"/>
      <c r="X169" s="4"/>
      <c r="Y169" s="4"/>
      <c r="Z169" s="4"/>
      <c r="AA169" s="4"/>
      <c r="AB169" s="45"/>
      <c r="AC169" s="4"/>
      <c r="AD169" s="4"/>
      <c r="AE169" s="4"/>
      <c r="AF169" s="4"/>
      <c r="AG169" s="45"/>
      <c r="AH169" s="4"/>
      <c r="AI169" s="4"/>
      <c r="AJ169" s="4"/>
      <c r="AK169" s="4"/>
      <c r="AL169" s="45"/>
      <c r="AM169" s="4"/>
      <c r="AN169" s="4"/>
      <c r="AO169" s="4"/>
      <c r="AP169" s="4"/>
      <c r="AQ169" s="45"/>
      <c r="AR169" s="4"/>
      <c r="AS169" s="4"/>
      <c r="AT169" s="4"/>
      <c r="AU169" s="4"/>
      <c r="AV169" s="45"/>
      <c r="AW169" s="4"/>
      <c r="AX169" s="4"/>
      <c r="AY169" s="4"/>
      <c r="AZ169" s="4"/>
      <c r="BA169" s="45"/>
      <c r="BB169" s="4"/>
      <c r="BC169" s="4"/>
      <c r="BD169" s="4"/>
      <c r="BE169" s="4"/>
      <c r="BF169" s="45"/>
      <c r="BG169" s="4"/>
      <c r="BH169" s="4"/>
      <c r="BI169" s="4"/>
      <c r="BJ169" s="4"/>
      <c r="BK169" s="45"/>
      <c r="BL169" s="4"/>
      <c r="BM169" s="4"/>
      <c r="BN169" s="4"/>
      <c r="BO169" s="4"/>
      <c r="BP169" s="45"/>
      <c r="BQ169" s="4"/>
      <c r="BR169" s="4"/>
      <c r="BS169" s="4"/>
      <c r="BT169" s="4"/>
      <c r="BU169" s="45"/>
      <c r="BV169" s="4"/>
      <c r="BW169" s="4"/>
      <c r="BX169" s="4"/>
      <c r="BY169" s="4"/>
      <c r="BZ169" s="350"/>
      <c r="CA169" s="4"/>
      <c r="CB169" s="4"/>
      <c r="CC169" s="4"/>
      <c r="CD169" s="4"/>
      <c r="CE169" s="350"/>
      <c r="CF169" s="4"/>
      <c r="CG169" s="4"/>
      <c r="CH169" s="4"/>
      <c r="CI169" s="4"/>
      <c r="CJ169" s="350"/>
      <c r="CK169" s="4"/>
      <c r="CL169" s="4"/>
      <c r="CM169" s="4"/>
      <c r="CN169" s="16"/>
      <c r="CO169" s="350"/>
      <c r="CP169" s="104"/>
      <c r="CQ169" s="104"/>
      <c r="CR169" s="104"/>
      <c r="CS169" s="104"/>
      <c r="CT169" s="350"/>
      <c r="CU169" s="4"/>
      <c r="CV169" s="4"/>
      <c r="CW169" s="4"/>
      <c r="CX169" s="4"/>
      <c r="CY169" s="350"/>
      <c r="CZ169" s="40">
        <f t="shared" ref="CZ169:EM169" si="1233">CZ163/CZ168</f>
        <v>0.8456666667</v>
      </c>
      <c r="DA169" s="40">
        <f t="shared" si="1233"/>
        <v>0.8086403101</v>
      </c>
      <c r="DB169" s="40">
        <f t="shared" si="1233"/>
        <v>0.8206484114</v>
      </c>
      <c r="DC169" s="40">
        <f t="shared" si="1233"/>
        <v>0.8066723866</v>
      </c>
      <c r="DD169" s="37">
        <f t="shared" si="1233"/>
        <v>0.8199833801</v>
      </c>
      <c r="DE169" s="40">
        <f t="shared" si="1233"/>
        <v>0.8716077646</v>
      </c>
      <c r="DF169" s="40">
        <f t="shared" si="1233"/>
        <v>0.8965846509</v>
      </c>
      <c r="DG169" s="40">
        <f t="shared" si="1233"/>
        <v>0.8903982646</v>
      </c>
      <c r="DH169" s="40">
        <f t="shared" si="1233"/>
        <v>0.9320326279</v>
      </c>
      <c r="DI169" s="37">
        <f t="shared" si="1233"/>
        <v>0.8980684845</v>
      </c>
      <c r="DJ169" s="40" t="str">
        <f t="shared" si="1233"/>
        <v>#ERROR!</v>
      </c>
      <c r="DK169" s="40" t="str">
        <f t="shared" si="1233"/>
        <v>#ERROR!</v>
      </c>
      <c r="DL169" s="40" t="str">
        <f t="shared" si="1233"/>
        <v>#ERROR!</v>
      </c>
      <c r="DM169" s="40" t="str">
        <f t="shared" si="1233"/>
        <v>#ERROR!</v>
      </c>
      <c r="DN169" s="37" t="str">
        <f t="shared" si="1233"/>
        <v>#ERROR!</v>
      </c>
      <c r="DO169" s="40" t="str">
        <f t="shared" si="1233"/>
        <v>#ERROR!</v>
      </c>
      <c r="DP169" s="40" t="str">
        <f t="shared" si="1233"/>
        <v>#ERROR!</v>
      </c>
      <c r="DQ169" s="40" t="str">
        <f t="shared" si="1233"/>
        <v>#ERROR!</v>
      </c>
      <c r="DR169" s="40" t="str">
        <f t="shared" si="1233"/>
        <v>#ERROR!</v>
      </c>
      <c r="DS169" s="37" t="str">
        <f t="shared" si="1233"/>
        <v>#ERROR!</v>
      </c>
      <c r="DT169" s="40" t="str">
        <f t="shared" si="1233"/>
        <v>#ERROR!</v>
      </c>
      <c r="DU169" s="40" t="str">
        <f t="shared" si="1233"/>
        <v>#ERROR!</v>
      </c>
      <c r="DV169" s="40" t="str">
        <f t="shared" si="1233"/>
        <v>#ERROR!</v>
      </c>
      <c r="DW169" s="40" t="str">
        <f t="shared" si="1233"/>
        <v>#ERROR!</v>
      </c>
      <c r="DX169" s="37" t="str">
        <f t="shared" si="1233"/>
        <v>#ERROR!</v>
      </c>
      <c r="DY169" s="40" t="str">
        <f t="shared" si="1233"/>
        <v>#ERROR!</v>
      </c>
      <c r="DZ169" s="40" t="str">
        <f t="shared" si="1233"/>
        <v>#ERROR!</v>
      </c>
      <c r="EA169" s="40" t="str">
        <f t="shared" si="1233"/>
        <v>#ERROR!</v>
      </c>
      <c r="EB169" s="40" t="str">
        <f t="shared" si="1233"/>
        <v>#ERROR!</v>
      </c>
      <c r="EC169" s="37" t="str">
        <f t="shared" si="1233"/>
        <v>#ERROR!</v>
      </c>
      <c r="ED169" s="40" t="str">
        <f t="shared" si="1233"/>
        <v>#ERROR!</v>
      </c>
      <c r="EE169" s="40" t="str">
        <f t="shared" si="1233"/>
        <v>#ERROR!</v>
      </c>
      <c r="EF169" s="40" t="str">
        <f t="shared" si="1233"/>
        <v>#ERROR!</v>
      </c>
      <c r="EG169" s="40" t="str">
        <f t="shared" si="1233"/>
        <v>#ERROR!</v>
      </c>
      <c r="EH169" s="37" t="str">
        <f t="shared" si="1233"/>
        <v>#ERROR!</v>
      </c>
      <c r="EI169" s="82" t="str">
        <f t="shared" si="1233"/>
        <v>#ERROR!</v>
      </c>
      <c r="EJ169" s="40" t="str">
        <f t="shared" si="1233"/>
        <v>#ERROR!</v>
      </c>
      <c r="EK169" s="40" t="str">
        <f t="shared" si="1233"/>
        <v>#ERROR!</v>
      </c>
      <c r="EL169" s="40" t="str">
        <f t="shared" si="1233"/>
        <v>#ERROR!</v>
      </c>
      <c r="EM169" s="37" t="str">
        <f t="shared" si="1233"/>
        <v>#ERROR!</v>
      </c>
      <c r="EN169" s="85"/>
      <c r="EO169" s="85"/>
      <c r="EP169" s="85"/>
      <c r="EQ169" s="85"/>
      <c r="ER169" s="356"/>
      <c r="ES169" s="85"/>
      <c r="ET169" s="85"/>
      <c r="EU169" s="85"/>
      <c r="EV169" s="85"/>
      <c r="EW169" s="356"/>
      <c r="EX169" s="85"/>
      <c r="EY169" s="85"/>
      <c r="EZ169" s="85"/>
      <c r="FA169" s="85"/>
      <c r="FB169" s="356"/>
      <c r="FC169" s="85"/>
      <c r="FD169" s="85"/>
      <c r="FE169" s="85"/>
      <c r="FF169" s="85"/>
      <c r="FG169" s="356"/>
      <c r="FH169" s="359"/>
      <c r="FI169" s="4"/>
      <c r="FJ169" s="4"/>
      <c r="FK169" s="45"/>
      <c r="FL169" s="4"/>
    </row>
    <row r="170" ht="12.75" customHeight="1">
      <c r="A170" s="4"/>
      <c r="B170" s="215" t="s">
        <v>160</v>
      </c>
      <c r="C170" s="45"/>
      <c r="D170" s="4"/>
      <c r="E170" s="4"/>
      <c r="F170" s="4"/>
      <c r="G170" s="4"/>
      <c r="H170" s="45"/>
      <c r="I170" s="4"/>
      <c r="J170" s="4"/>
      <c r="K170" s="4"/>
      <c r="L170" s="4"/>
      <c r="M170" s="45"/>
      <c r="N170" s="4"/>
      <c r="O170" s="4"/>
      <c r="P170" s="4"/>
      <c r="Q170" s="4"/>
      <c r="R170" s="45"/>
      <c r="S170" s="4"/>
      <c r="T170" s="4"/>
      <c r="U170" s="4"/>
      <c r="V170" s="4"/>
      <c r="W170" s="45"/>
      <c r="X170" s="4"/>
      <c r="Y170" s="4"/>
      <c r="Z170" s="4"/>
      <c r="AA170" s="4"/>
      <c r="AB170" s="45"/>
      <c r="AC170" s="4"/>
      <c r="AD170" s="4"/>
      <c r="AE170" s="4"/>
      <c r="AF170" s="4"/>
      <c r="AG170" s="45"/>
      <c r="AH170" s="4"/>
      <c r="AI170" s="4"/>
      <c r="AJ170" s="4"/>
      <c r="AK170" s="4"/>
      <c r="AL170" s="45"/>
      <c r="AM170" s="4"/>
      <c r="AN170" s="4"/>
      <c r="AO170" s="4"/>
      <c r="AP170" s="4"/>
      <c r="AQ170" s="45"/>
      <c r="AR170" s="4"/>
      <c r="AS170" s="4"/>
      <c r="AT170" s="4"/>
      <c r="AU170" s="4"/>
      <c r="AV170" s="45"/>
      <c r="AW170" s="4"/>
      <c r="AX170" s="4"/>
      <c r="AY170" s="4"/>
      <c r="AZ170" s="4"/>
      <c r="BA170" s="45"/>
      <c r="BB170" s="4"/>
      <c r="BC170" s="4"/>
      <c r="BD170" s="4"/>
      <c r="BE170" s="4"/>
      <c r="BF170" s="45"/>
      <c r="BG170" s="4"/>
      <c r="BH170" s="4"/>
      <c r="BI170" s="4"/>
      <c r="BJ170" s="4"/>
      <c r="BK170" s="45"/>
      <c r="BL170" s="4"/>
      <c r="BM170" s="4"/>
      <c r="BN170" s="4"/>
      <c r="BO170" s="4"/>
      <c r="BP170" s="45"/>
      <c r="BQ170" s="4"/>
      <c r="BR170" s="4"/>
      <c r="BS170" s="4"/>
      <c r="BT170" s="4"/>
      <c r="BU170" s="45"/>
      <c r="BV170" s="4"/>
      <c r="BW170" s="4"/>
      <c r="BX170" s="4"/>
      <c r="BY170" s="4"/>
      <c r="BZ170" s="350"/>
      <c r="CA170" s="4"/>
      <c r="CB170" s="4"/>
      <c r="CC170" s="4"/>
      <c r="CD170" s="4"/>
      <c r="CE170" s="350"/>
      <c r="CF170" s="4"/>
      <c r="CG170" s="4"/>
      <c r="CH170" s="4"/>
      <c r="CI170" s="4"/>
      <c r="CJ170" s="350"/>
      <c r="CK170" s="4"/>
      <c r="CL170" s="4"/>
      <c r="CM170" s="4"/>
      <c r="CN170" s="16"/>
      <c r="CO170" s="350"/>
      <c r="CP170" s="378" t="str">
        <f t="shared" ref="CP170:CS170" si="1234">CP295</f>
        <v>#ERROR!</v>
      </c>
      <c r="CQ170" s="378" t="str">
        <f t="shared" si="1234"/>
        <v>#ERROR!</v>
      </c>
      <c r="CR170" s="378" t="str">
        <f t="shared" si="1234"/>
        <v>#ERROR!</v>
      </c>
      <c r="CS170" s="378" t="str">
        <f t="shared" si="1234"/>
        <v>#ERROR!</v>
      </c>
      <c r="CT170" s="363"/>
      <c r="CU170" s="378" t="str">
        <f t="shared" ref="CU170:CX170" si="1235">CU295</f>
        <v>#ERROR!</v>
      </c>
      <c r="CV170" s="378" t="str">
        <f t="shared" si="1235"/>
        <v>#ERROR!</v>
      </c>
      <c r="CW170" s="378" t="str">
        <f t="shared" si="1235"/>
        <v>#ERROR!</v>
      </c>
      <c r="CX170" s="378" t="str">
        <f t="shared" si="1235"/>
        <v>#ERROR!</v>
      </c>
      <c r="CY170" s="356"/>
      <c r="CZ170" s="378" t="str">
        <f t="shared" ref="CZ170:DC170" si="1236">CZ295</f>
        <v>#ERROR!</v>
      </c>
      <c r="DA170" s="378" t="str">
        <f t="shared" si="1236"/>
        <v>#ERROR!</v>
      </c>
      <c r="DB170" s="378" t="str">
        <f t="shared" si="1236"/>
        <v>#ERROR!</v>
      </c>
      <c r="DC170" s="378" t="str">
        <f t="shared" si="1236"/>
        <v>#ERROR!</v>
      </c>
      <c r="DD170" s="356"/>
      <c r="DE170" s="378" t="str">
        <f t="shared" ref="DE170:DH170" si="1237">DE295</f>
        <v>#ERROR!</v>
      </c>
      <c r="DF170" s="378" t="str">
        <f t="shared" si="1237"/>
        <v>#ERROR!</v>
      </c>
      <c r="DG170" s="378" t="str">
        <f t="shared" si="1237"/>
        <v>#ERROR!</v>
      </c>
      <c r="DH170" s="378" t="str">
        <f t="shared" si="1237"/>
        <v>#ERROR!</v>
      </c>
      <c r="DI170" s="356"/>
      <c r="DJ170" s="378" t="str">
        <f t="shared" ref="DJ170:DM170" si="1238">DJ295</f>
        <v>#ERROR!</v>
      </c>
      <c r="DK170" s="378" t="str">
        <f t="shared" si="1238"/>
        <v>#ERROR!</v>
      </c>
      <c r="DL170" s="378" t="str">
        <f t="shared" si="1238"/>
        <v>#ERROR!</v>
      </c>
      <c r="DM170" s="378" t="str">
        <f t="shared" si="1238"/>
        <v>#ERROR!</v>
      </c>
      <c r="DN170" s="356"/>
      <c r="DO170" s="378" t="str">
        <f t="shared" ref="DO170:DR170" si="1239">DO295</f>
        <v>#ERROR!</v>
      </c>
      <c r="DP170" s="378" t="str">
        <f t="shared" si="1239"/>
        <v>#ERROR!</v>
      </c>
      <c r="DQ170" s="378" t="str">
        <f t="shared" si="1239"/>
        <v>#ERROR!</v>
      </c>
      <c r="DR170" s="378" t="str">
        <f t="shared" si="1239"/>
        <v>#ERROR!</v>
      </c>
      <c r="DS170" s="356"/>
      <c r="DT170" s="378" t="str">
        <f t="shared" ref="DT170:DW170" si="1240">DT295</f>
        <v>#ERROR!</v>
      </c>
      <c r="DU170" s="378" t="str">
        <f t="shared" si="1240"/>
        <v>#ERROR!</v>
      </c>
      <c r="DV170" s="378" t="str">
        <f t="shared" si="1240"/>
        <v>#ERROR!</v>
      </c>
      <c r="DW170" s="378" t="str">
        <f t="shared" si="1240"/>
        <v>#ERROR!</v>
      </c>
      <c r="DX170" s="356"/>
      <c r="DY170" s="378" t="str">
        <f t="shared" ref="DY170:EB170" si="1241">DY295</f>
        <v>#ERROR!</v>
      </c>
      <c r="DZ170" s="378" t="str">
        <f t="shared" si="1241"/>
        <v>#ERROR!</v>
      </c>
      <c r="EA170" s="378" t="str">
        <f t="shared" si="1241"/>
        <v>#ERROR!</v>
      </c>
      <c r="EB170" s="378" t="str">
        <f t="shared" si="1241"/>
        <v>#ERROR!</v>
      </c>
      <c r="EC170" s="356"/>
      <c r="ED170" s="378" t="str">
        <f t="shared" ref="ED170:EG170" si="1242">(ED159/(ED163/1000))</f>
        <v>#ERROR!</v>
      </c>
      <c r="EE170" s="378" t="str">
        <f t="shared" si="1242"/>
        <v>#ERROR!</v>
      </c>
      <c r="EF170" s="378" t="str">
        <f t="shared" si="1242"/>
        <v>#ERROR!</v>
      </c>
      <c r="EG170" s="378" t="str">
        <f t="shared" si="1242"/>
        <v>#ERROR!</v>
      </c>
      <c r="EH170" s="356" t="str">
        <f>(EH159*1000)/EH163</f>
        <v>#ERROR!</v>
      </c>
      <c r="EI170" s="379" t="str">
        <f>EG170*(1+EI171)</f>
        <v>#ERROR!</v>
      </c>
      <c r="EJ170" s="378" t="str">
        <f t="shared" ref="EJ170:EL170" si="1243">EI170*(1+EJ171)</f>
        <v>#ERROR!</v>
      </c>
      <c r="EK170" s="378" t="str">
        <f t="shared" si="1243"/>
        <v>#ERROR!</v>
      </c>
      <c r="EL170" s="378" t="str">
        <f t="shared" si="1243"/>
        <v>#ERROR!</v>
      </c>
      <c r="EM170" s="356" t="str">
        <f>(EM159*1000)/EM163</f>
        <v>#ERROR!</v>
      </c>
      <c r="EN170" s="378" t="str">
        <f>EL170*(1+EN171)</f>
        <v>#ERROR!</v>
      </c>
      <c r="EO170" s="378" t="str">
        <f t="shared" ref="EO170:EQ170" si="1244">EN170*(1+EO171)</f>
        <v>#ERROR!</v>
      </c>
      <c r="EP170" s="378" t="str">
        <f t="shared" si="1244"/>
        <v>#ERROR!</v>
      </c>
      <c r="EQ170" s="378" t="str">
        <f t="shared" si="1244"/>
        <v>#ERROR!</v>
      </c>
      <c r="ER170" s="356" t="str">
        <f>(ER159*1000)/ER163</f>
        <v>#ERROR!</v>
      </c>
      <c r="ES170" s="378" t="str">
        <f>EQ170*(1+ES171)</f>
        <v>#ERROR!</v>
      </c>
      <c r="ET170" s="378" t="str">
        <f t="shared" ref="ET170:EV170" si="1245">ES170*(1+ET171)</f>
        <v>#ERROR!</v>
      </c>
      <c r="EU170" s="378" t="str">
        <f t="shared" si="1245"/>
        <v>#ERROR!</v>
      </c>
      <c r="EV170" s="378" t="str">
        <f t="shared" si="1245"/>
        <v>#ERROR!</v>
      </c>
      <c r="EW170" s="356" t="str">
        <f>(EW159*1000)/EW163</f>
        <v>#ERROR!</v>
      </c>
      <c r="EX170" s="378" t="str">
        <f>EV170*(1+EX171)</f>
        <v>#ERROR!</v>
      </c>
      <c r="EY170" s="378" t="str">
        <f t="shared" ref="EY170:FA170" si="1246">EX170*(1+EY171)</f>
        <v>#ERROR!</v>
      </c>
      <c r="EZ170" s="378" t="str">
        <f t="shared" si="1246"/>
        <v>#ERROR!</v>
      </c>
      <c r="FA170" s="378" t="str">
        <f t="shared" si="1246"/>
        <v>#ERROR!</v>
      </c>
      <c r="FB170" s="356" t="str">
        <f>(FB159*1000)/FB163</f>
        <v>#ERROR!</v>
      </c>
      <c r="FC170" s="378" t="str">
        <f>FA170*(1+FC171)</f>
        <v>#ERROR!</v>
      </c>
      <c r="FD170" s="378" t="str">
        <f t="shared" ref="FD170:FF170" si="1247">FC170*(1+FD171)</f>
        <v>#ERROR!</v>
      </c>
      <c r="FE170" s="378" t="str">
        <f t="shared" si="1247"/>
        <v>#ERROR!</v>
      </c>
      <c r="FF170" s="378" t="str">
        <f t="shared" si="1247"/>
        <v>#ERROR!</v>
      </c>
      <c r="FG170" s="356" t="str">
        <f>(FG159*1000)/FG163</f>
        <v>#ERROR!</v>
      </c>
      <c r="FH170" s="359"/>
      <c r="FI170" s="4"/>
      <c r="FJ170" s="4"/>
      <c r="FK170" s="45"/>
      <c r="FL170" s="4"/>
    </row>
    <row r="171" ht="12.75" customHeight="1">
      <c r="A171" s="4"/>
      <c r="B171" s="72" t="s">
        <v>150</v>
      </c>
      <c r="C171" s="45"/>
      <c r="D171" s="4"/>
      <c r="E171" s="4"/>
      <c r="F171" s="4"/>
      <c r="G171" s="4"/>
      <c r="H171" s="45"/>
      <c r="I171" s="4"/>
      <c r="J171" s="4"/>
      <c r="K171" s="4"/>
      <c r="L171" s="4"/>
      <c r="M171" s="45"/>
      <c r="N171" s="4"/>
      <c r="O171" s="4"/>
      <c r="P171" s="4"/>
      <c r="Q171" s="4"/>
      <c r="R171" s="45"/>
      <c r="S171" s="4"/>
      <c r="T171" s="4"/>
      <c r="U171" s="4"/>
      <c r="V171" s="4"/>
      <c r="W171" s="45"/>
      <c r="X171" s="4"/>
      <c r="Y171" s="4"/>
      <c r="Z171" s="4"/>
      <c r="AA171" s="4"/>
      <c r="AB171" s="45"/>
      <c r="AC171" s="4"/>
      <c r="AD171" s="4"/>
      <c r="AE171" s="4"/>
      <c r="AF171" s="4"/>
      <c r="AG171" s="45"/>
      <c r="AH171" s="4"/>
      <c r="AI171" s="4"/>
      <c r="AJ171" s="4"/>
      <c r="AK171" s="4"/>
      <c r="AL171" s="45"/>
      <c r="AM171" s="4"/>
      <c r="AN171" s="4"/>
      <c r="AO171" s="4"/>
      <c r="AP171" s="4"/>
      <c r="AQ171" s="45"/>
      <c r="AR171" s="4"/>
      <c r="AS171" s="4"/>
      <c r="AT171" s="4"/>
      <c r="AU171" s="4"/>
      <c r="AV171" s="45"/>
      <c r="AW171" s="4"/>
      <c r="AX171" s="4"/>
      <c r="AY171" s="4"/>
      <c r="AZ171" s="4"/>
      <c r="BA171" s="45"/>
      <c r="BB171" s="4"/>
      <c r="BC171" s="4"/>
      <c r="BD171" s="4"/>
      <c r="BE171" s="4"/>
      <c r="BF171" s="45"/>
      <c r="BG171" s="4"/>
      <c r="BH171" s="4"/>
      <c r="BI171" s="4"/>
      <c r="BJ171" s="4"/>
      <c r="BK171" s="45"/>
      <c r="BL171" s="4"/>
      <c r="BM171" s="4"/>
      <c r="BN171" s="4"/>
      <c r="BO171" s="4"/>
      <c r="BP171" s="45"/>
      <c r="BQ171" s="4"/>
      <c r="BR171" s="4"/>
      <c r="BS171" s="4"/>
      <c r="BT171" s="4"/>
      <c r="BU171" s="45"/>
      <c r="BV171" s="4"/>
      <c r="BW171" s="4"/>
      <c r="BX171" s="4"/>
      <c r="BY171" s="4"/>
      <c r="BZ171" s="350"/>
      <c r="CA171" s="4"/>
      <c r="CB171" s="4"/>
      <c r="CC171" s="4"/>
      <c r="CD171" s="4"/>
      <c r="CE171" s="350"/>
      <c r="CF171" s="4"/>
      <c r="CG171" s="4"/>
      <c r="CH171" s="4"/>
      <c r="CI171" s="4"/>
      <c r="CJ171" s="350"/>
      <c r="CK171" s="4"/>
      <c r="CL171" s="4"/>
      <c r="CM171" s="4"/>
      <c r="CN171" s="16"/>
      <c r="CO171" s="350"/>
      <c r="CP171" s="15"/>
      <c r="CQ171" s="15" t="str">
        <f t="shared" ref="CQ171:CS171" si="1248">CQ170/CP170-1</f>
        <v>#ERROR!</v>
      </c>
      <c r="CR171" s="15" t="str">
        <f t="shared" si="1248"/>
        <v>#ERROR!</v>
      </c>
      <c r="CS171" s="15" t="str">
        <f t="shared" si="1248"/>
        <v>#ERROR!</v>
      </c>
      <c r="CT171" s="23"/>
      <c r="CU171" s="15" t="str">
        <f>CU170/CP170-1</f>
        <v>#ERROR!</v>
      </c>
      <c r="CV171" s="15" t="str">
        <f t="shared" ref="CV171:CX171" si="1249">CV170/CU170-1</f>
        <v>#ERROR!</v>
      </c>
      <c r="CW171" s="15" t="str">
        <f t="shared" si="1249"/>
        <v>#ERROR!</v>
      </c>
      <c r="CX171" s="15" t="str">
        <f t="shared" si="1249"/>
        <v>#ERROR!</v>
      </c>
      <c r="CY171" s="23"/>
      <c r="CZ171" s="15" t="str">
        <f>CZ170/CU170-1</f>
        <v>#ERROR!</v>
      </c>
      <c r="DA171" s="15" t="str">
        <f t="shared" ref="DA171:DC171" si="1250">DA170/CZ170-1</f>
        <v>#ERROR!</v>
      </c>
      <c r="DB171" s="15" t="str">
        <f t="shared" si="1250"/>
        <v>#ERROR!</v>
      </c>
      <c r="DC171" s="15" t="str">
        <f t="shared" si="1250"/>
        <v>#ERROR!</v>
      </c>
      <c r="DD171" s="23"/>
      <c r="DE171" s="15" t="str">
        <f>DE170/CZ170-1</f>
        <v>#ERROR!</v>
      </c>
      <c r="DF171" s="15" t="str">
        <f t="shared" ref="DF171:DH171" si="1251">DF170/DE170-1</f>
        <v>#ERROR!</v>
      </c>
      <c r="DG171" s="15" t="str">
        <f t="shared" si="1251"/>
        <v>#ERROR!</v>
      </c>
      <c r="DH171" s="15" t="str">
        <f t="shared" si="1251"/>
        <v>#ERROR!</v>
      </c>
      <c r="DI171" s="23"/>
      <c r="DJ171" s="15" t="str">
        <f>DJ170/DE170-1</f>
        <v>#ERROR!</v>
      </c>
      <c r="DK171" s="15" t="str">
        <f t="shared" ref="DK171:DM171" si="1252">DK170/DJ170-1</f>
        <v>#ERROR!</v>
      </c>
      <c r="DL171" s="15" t="str">
        <f t="shared" si="1252"/>
        <v>#ERROR!</v>
      </c>
      <c r="DM171" s="15" t="str">
        <f t="shared" si="1252"/>
        <v>#ERROR!</v>
      </c>
      <c r="DN171" s="350"/>
      <c r="DO171" s="15" t="str">
        <f>DO170/DM170-1</f>
        <v>#ERROR!</v>
      </c>
      <c r="DP171" s="15" t="str">
        <f t="shared" ref="DP171:DR171" si="1253">DP170/DO170-1</f>
        <v>#ERROR!</v>
      </c>
      <c r="DQ171" s="15" t="str">
        <f t="shared" si="1253"/>
        <v>#ERROR!</v>
      </c>
      <c r="DR171" s="15" t="str">
        <f t="shared" si="1253"/>
        <v>#ERROR!</v>
      </c>
      <c r="DS171" s="342"/>
      <c r="DT171" s="15" t="str">
        <f>DT170/DR170-1</f>
        <v>#ERROR!</v>
      </c>
      <c r="DU171" s="15" t="str">
        <f t="shared" ref="DU171:DW171" si="1254">DU170/DT170-1</f>
        <v>#ERROR!</v>
      </c>
      <c r="DV171" s="15" t="str">
        <f t="shared" si="1254"/>
        <v>#ERROR!</v>
      </c>
      <c r="DW171" s="15" t="str">
        <f t="shared" si="1254"/>
        <v>#ERROR!</v>
      </c>
      <c r="DX171" s="342"/>
      <c r="DY171" s="15" t="str">
        <f>DY170/DW170-1</f>
        <v>#ERROR!</v>
      </c>
      <c r="DZ171" s="15" t="str">
        <f t="shared" ref="DZ171:EB171" si="1255">DZ170/DY170-1</f>
        <v>#ERROR!</v>
      </c>
      <c r="EA171" s="15" t="str">
        <f t="shared" si="1255"/>
        <v>#ERROR!</v>
      </c>
      <c r="EB171" s="15" t="str">
        <f t="shared" si="1255"/>
        <v>#ERROR!</v>
      </c>
      <c r="EC171" s="342"/>
      <c r="ED171" s="15" t="str">
        <f>ED170/EB170-1</f>
        <v>#ERROR!</v>
      </c>
      <c r="EE171" s="15" t="str">
        <f t="shared" ref="EE171:EG171" si="1256">EE170/ED170-1</f>
        <v>#ERROR!</v>
      </c>
      <c r="EF171" s="15" t="str">
        <f t="shared" si="1256"/>
        <v>#ERROR!</v>
      </c>
      <c r="EG171" s="15" t="str">
        <f t="shared" si="1256"/>
        <v>#ERROR!</v>
      </c>
      <c r="EH171" s="356"/>
      <c r="EI171" s="314">
        <v>0.0</v>
      </c>
      <c r="EJ171" s="315">
        <v>0.0</v>
      </c>
      <c r="EK171" s="315">
        <v>0.0</v>
      </c>
      <c r="EL171" s="315">
        <v>0.0</v>
      </c>
      <c r="EM171" s="356"/>
      <c r="EN171" s="315">
        <v>0.0</v>
      </c>
      <c r="EO171" s="315">
        <v>0.0</v>
      </c>
      <c r="EP171" s="315">
        <v>0.0</v>
      </c>
      <c r="EQ171" s="315">
        <v>0.0</v>
      </c>
      <c r="ER171" s="356"/>
      <c r="ES171" s="315">
        <v>0.0</v>
      </c>
      <c r="ET171" s="315">
        <v>0.0</v>
      </c>
      <c r="EU171" s="315">
        <v>0.0</v>
      </c>
      <c r="EV171" s="315">
        <v>0.0</v>
      </c>
      <c r="EW171" s="356"/>
      <c r="EX171" s="315">
        <v>0.0</v>
      </c>
      <c r="EY171" s="315">
        <v>0.0</v>
      </c>
      <c r="EZ171" s="315">
        <v>0.0</v>
      </c>
      <c r="FA171" s="315">
        <v>0.0</v>
      </c>
      <c r="FB171" s="356"/>
      <c r="FC171" s="315">
        <v>0.0</v>
      </c>
      <c r="FD171" s="315">
        <v>0.0</v>
      </c>
      <c r="FE171" s="315">
        <v>0.0</v>
      </c>
      <c r="FF171" s="315">
        <v>0.0</v>
      </c>
      <c r="FG171" s="356"/>
      <c r="FH171" s="359"/>
      <c r="FI171" s="4"/>
      <c r="FJ171" s="4"/>
      <c r="FK171" s="45"/>
      <c r="FL171" s="4"/>
    </row>
    <row r="172" ht="12.75" customHeight="1">
      <c r="A172" s="4"/>
      <c r="B172" s="72" t="s">
        <v>146</v>
      </c>
      <c r="C172" s="45"/>
      <c r="D172" s="4"/>
      <c r="E172" s="4"/>
      <c r="F172" s="4"/>
      <c r="G172" s="4"/>
      <c r="H172" s="45"/>
      <c r="I172" s="4"/>
      <c r="J172" s="4"/>
      <c r="K172" s="4"/>
      <c r="L172" s="4"/>
      <c r="M172" s="45"/>
      <c r="N172" s="4"/>
      <c r="O172" s="4"/>
      <c r="P172" s="4"/>
      <c r="Q172" s="4"/>
      <c r="R172" s="45"/>
      <c r="S172" s="4"/>
      <c r="T172" s="4"/>
      <c r="U172" s="4"/>
      <c r="V172" s="4"/>
      <c r="W172" s="45"/>
      <c r="X172" s="4"/>
      <c r="Y172" s="4"/>
      <c r="Z172" s="4"/>
      <c r="AA172" s="4"/>
      <c r="AB172" s="45"/>
      <c r="AC172" s="4"/>
      <c r="AD172" s="4"/>
      <c r="AE172" s="4"/>
      <c r="AF172" s="4"/>
      <c r="AG172" s="45"/>
      <c r="AH172" s="4"/>
      <c r="AI172" s="4"/>
      <c r="AJ172" s="4"/>
      <c r="AK172" s="4"/>
      <c r="AL172" s="45"/>
      <c r="AM172" s="4"/>
      <c r="AN172" s="4"/>
      <c r="AO172" s="4"/>
      <c r="AP172" s="4"/>
      <c r="AQ172" s="45"/>
      <c r="AR172" s="4"/>
      <c r="AS172" s="4"/>
      <c r="AT172" s="4"/>
      <c r="AU172" s="4"/>
      <c r="AV172" s="45"/>
      <c r="AW172" s="4"/>
      <c r="AX172" s="4"/>
      <c r="AY172" s="4"/>
      <c r="AZ172" s="4"/>
      <c r="BA172" s="45"/>
      <c r="BB172" s="4"/>
      <c r="BC172" s="4"/>
      <c r="BD172" s="4"/>
      <c r="BE172" s="4"/>
      <c r="BF172" s="45"/>
      <c r="BG172" s="4"/>
      <c r="BH172" s="4"/>
      <c r="BI172" s="4"/>
      <c r="BJ172" s="4"/>
      <c r="BK172" s="45"/>
      <c r="BL172" s="4"/>
      <c r="BM172" s="4"/>
      <c r="BN172" s="4"/>
      <c r="BO172" s="4"/>
      <c r="BP172" s="45"/>
      <c r="BQ172" s="4"/>
      <c r="BR172" s="4"/>
      <c r="BS172" s="4"/>
      <c r="BT172" s="4"/>
      <c r="BU172" s="45"/>
      <c r="BV172" s="4"/>
      <c r="BW172" s="4"/>
      <c r="BX172" s="4"/>
      <c r="BY172" s="4"/>
      <c r="BZ172" s="350"/>
      <c r="CA172" s="4"/>
      <c r="CB172" s="4"/>
      <c r="CC172" s="4"/>
      <c r="CD172" s="4"/>
      <c r="CE172" s="350"/>
      <c r="CF172" s="4"/>
      <c r="CG172" s="4"/>
      <c r="CH172" s="4"/>
      <c r="CI172" s="4"/>
      <c r="CJ172" s="350"/>
      <c r="CK172" s="4"/>
      <c r="CL172" s="4"/>
      <c r="CM172" s="4"/>
      <c r="CN172" s="16"/>
      <c r="CO172" s="350"/>
      <c r="CP172" s="104"/>
      <c r="CQ172" s="104"/>
      <c r="CR172" s="104"/>
      <c r="CS172" s="104"/>
      <c r="CT172" s="350"/>
      <c r="CU172" s="4"/>
      <c r="CV172" s="4"/>
      <c r="CW172" s="4"/>
      <c r="CX172" s="4"/>
      <c r="CY172" s="350"/>
      <c r="CZ172" s="4"/>
      <c r="DA172" s="4"/>
      <c r="DB172" s="4"/>
      <c r="DC172" s="4"/>
      <c r="DD172" s="350"/>
      <c r="DE172" s="4"/>
      <c r="DF172" s="4"/>
      <c r="DG172" s="4"/>
      <c r="DH172" s="4"/>
      <c r="DI172" s="350"/>
      <c r="DJ172" s="16"/>
      <c r="DK172" s="16"/>
      <c r="DL172" s="16"/>
      <c r="DM172" s="16"/>
      <c r="DN172" s="350"/>
      <c r="DO172" s="16"/>
      <c r="DP172" s="16"/>
      <c r="DQ172" s="16"/>
      <c r="DR172" s="16"/>
      <c r="DS172" s="342"/>
      <c r="DT172" s="16"/>
      <c r="DU172" s="16"/>
      <c r="DV172" s="16"/>
      <c r="DW172" s="16"/>
      <c r="DX172" s="342"/>
      <c r="DY172" s="16"/>
      <c r="DZ172" s="16"/>
      <c r="EA172" s="16"/>
      <c r="EB172" s="16"/>
      <c r="EC172" s="342"/>
      <c r="ED172" s="321" t="str">
        <f t="shared" ref="ED172:EG172" si="1257">ED170/DY170-1</f>
        <v>#ERROR!</v>
      </c>
      <c r="EE172" s="321" t="str">
        <f t="shared" si="1257"/>
        <v>#ERROR!</v>
      </c>
      <c r="EF172" s="321" t="str">
        <f t="shared" si="1257"/>
        <v>#ERROR!</v>
      </c>
      <c r="EG172" s="321" t="str">
        <f t="shared" si="1257"/>
        <v>#ERROR!</v>
      </c>
      <c r="EH172" s="356"/>
      <c r="EI172" s="322" t="str">
        <f t="shared" ref="EI172:FG172" si="1258">EI170/ED170-1</f>
        <v>#ERROR!</v>
      </c>
      <c r="EJ172" s="321" t="str">
        <f t="shared" si="1258"/>
        <v>#ERROR!</v>
      </c>
      <c r="EK172" s="321" t="str">
        <f t="shared" si="1258"/>
        <v>#ERROR!</v>
      </c>
      <c r="EL172" s="321" t="str">
        <f t="shared" si="1258"/>
        <v>#ERROR!</v>
      </c>
      <c r="EM172" s="342" t="str">
        <f t="shared" si="1258"/>
        <v>#ERROR!</v>
      </c>
      <c r="EN172" s="321" t="str">
        <f t="shared" si="1258"/>
        <v>#ERROR!</v>
      </c>
      <c r="EO172" s="321" t="str">
        <f t="shared" si="1258"/>
        <v>#ERROR!</v>
      </c>
      <c r="EP172" s="321" t="str">
        <f t="shared" si="1258"/>
        <v>#ERROR!</v>
      </c>
      <c r="EQ172" s="321" t="str">
        <f t="shared" si="1258"/>
        <v>#ERROR!</v>
      </c>
      <c r="ER172" s="342" t="str">
        <f t="shared" si="1258"/>
        <v>#ERROR!</v>
      </c>
      <c r="ES172" s="321" t="str">
        <f t="shared" si="1258"/>
        <v>#ERROR!</v>
      </c>
      <c r="ET172" s="321" t="str">
        <f t="shared" si="1258"/>
        <v>#ERROR!</v>
      </c>
      <c r="EU172" s="321" t="str">
        <f t="shared" si="1258"/>
        <v>#ERROR!</v>
      </c>
      <c r="EV172" s="321" t="str">
        <f t="shared" si="1258"/>
        <v>#ERROR!</v>
      </c>
      <c r="EW172" s="342" t="str">
        <f t="shared" si="1258"/>
        <v>#ERROR!</v>
      </c>
      <c r="EX172" s="321" t="str">
        <f t="shared" si="1258"/>
        <v>#ERROR!</v>
      </c>
      <c r="EY172" s="321" t="str">
        <f t="shared" si="1258"/>
        <v>#ERROR!</v>
      </c>
      <c r="EZ172" s="321" t="str">
        <f t="shared" si="1258"/>
        <v>#ERROR!</v>
      </c>
      <c r="FA172" s="321" t="str">
        <f t="shared" si="1258"/>
        <v>#ERROR!</v>
      </c>
      <c r="FB172" s="342" t="str">
        <f t="shared" si="1258"/>
        <v>#ERROR!</v>
      </c>
      <c r="FC172" s="321" t="str">
        <f t="shared" si="1258"/>
        <v>#ERROR!</v>
      </c>
      <c r="FD172" s="321" t="str">
        <f t="shared" si="1258"/>
        <v>#ERROR!</v>
      </c>
      <c r="FE172" s="321" t="str">
        <f t="shared" si="1258"/>
        <v>#ERROR!</v>
      </c>
      <c r="FF172" s="321" t="str">
        <f t="shared" si="1258"/>
        <v>#ERROR!</v>
      </c>
      <c r="FG172" s="342" t="str">
        <f t="shared" si="1258"/>
        <v>#ERROR!</v>
      </c>
      <c r="FH172" s="343"/>
      <c r="FI172" s="4"/>
      <c r="FJ172" s="4"/>
      <c r="FK172" s="45"/>
      <c r="FL172" s="4"/>
    </row>
    <row r="173" ht="12.75" customHeight="1">
      <c r="A173" s="4"/>
      <c r="B173" s="84" t="s">
        <v>161</v>
      </c>
      <c r="C173" s="45"/>
      <c r="D173" s="4"/>
      <c r="E173" s="4"/>
      <c r="F173" s="4"/>
      <c r="G173" s="4"/>
      <c r="H173" s="45"/>
      <c r="I173" s="4"/>
      <c r="J173" s="4"/>
      <c r="K173" s="4"/>
      <c r="L173" s="4"/>
      <c r="M173" s="45"/>
      <c r="N173" s="4"/>
      <c r="O173" s="4"/>
      <c r="P173" s="4"/>
      <c r="Q173" s="4"/>
      <c r="R173" s="45"/>
      <c r="S173" s="4"/>
      <c r="T173" s="4"/>
      <c r="U173" s="4"/>
      <c r="V173" s="4"/>
      <c r="W173" s="45"/>
      <c r="X173" s="4"/>
      <c r="Y173" s="4"/>
      <c r="Z173" s="4"/>
      <c r="AA173" s="4"/>
      <c r="AB173" s="45"/>
      <c r="AC173" s="4"/>
      <c r="AD173" s="4"/>
      <c r="AE173" s="4"/>
      <c r="AF173" s="4"/>
      <c r="AG173" s="45"/>
      <c r="AH173" s="4"/>
      <c r="AI173" s="4"/>
      <c r="AJ173" s="4"/>
      <c r="AK173" s="4"/>
      <c r="AL173" s="45"/>
      <c r="AM173" s="4"/>
      <c r="AN173" s="4"/>
      <c r="AO173" s="4"/>
      <c r="AP173" s="4"/>
      <c r="AQ173" s="45"/>
      <c r="AR173" s="4"/>
      <c r="AS173" s="4"/>
      <c r="AT173" s="4"/>
      <c r="AU173" s="4"/>
      <c r="AV173" s="45"/>
      <c r="AW173" s="4"/>
      <c r="AX173" s="4"/>
      <c r="AY173" s="4"/>
      <c r="AZ173" s="4"/>
      <c r="BA173" s="45"/>
      <c r="BB173" s="4"/>
      <c r="BC173" s="4"/>
      <c r="BD173" s="4"/>
      <c r="BE173" s="4"/>
      <c r="BF173" s="45"/>
      <c r="BG173" s="4"/>
      <c r="BH173" s="4"/>
      <c r="BI173" s="4"/>
      <c r="BJ173" s="4"/>
      <c r="BK173" s="45"/>
      <c r="BL173" s="4"/>
      <c r="BM173" s="4"/>
      <c r="BN173" s="4"/>
      <c r="BO173" s="4"/>
      <c r="BP173" s="45"/>
      <c r="BQ173" s="4"/>
      <c r="BR173" s="4"/>
      <c r="BS173" s="4"/>
      <c r="BT173" s="4"/>
      <c r="BU173" s="45"/>
      <c r="BV173" s="4"/>
      <c r="BW173" s="4"/>
      <c r="BX173" s="4"/>
      <c r="BY173" s="4"/>
      <c r="BZ173" s="350"/>
      <c r="CA173" s="4"/>
      <c r="CB173" s="4"/>
      <c r="CC173" s="4"/>
      <c r="CD173" s="4"/>
      <c r="CE173" s="350"/>
      <c r="CF173" s="4"/>
      <c r="CG173" s="4"/>
      <c r="CH173" s="4"/>
      <c r="CI173" s="4"/>
      <c r="CJ173" s="350"/>
      <c r="CK173" s="4"/>
      <c r="CL173" s="4"/>
      <c r="CM173" s="4"/>
      <c r="CN173" s="16"/>
      <c r="CO173" s="350"/>
      <c r="CP173" s="104"/>
      <c r="CQ173" s="104"/>
      <c r="CR173" s="104"/>
      <c r="CS173" s="104"/>
      <c r="CT173" s="350"/>
      <c r="CU173" s="4"/>
      <c r="CV173" s="4"/>
      <c r="CW173" s="4"/>
      <c r="CX173" s="4"/>
      <c r="CY173" s="350"/>
      <c r="CZ173" s="4"/>
      <c r="DA173" s="4"/>
      <c r="DB173" s="4"/>
      <c r="DC173" s="4"/>
      <c r="DD173" s="350"/>
      <c r="DE173" s="4"/>
      <c r="DF173" s="4"/>
      <c r="DG173" s="4"/>
      <c r="DH173" s="4"/>
      <c r="DI173" s="350"/>
      <c r="DJ173" s="85" t="str">
        <f t="shared" ref="DJ173:DM173" si="1259">AVERAGE(CU298,CZ298,DE298)</f>
        <v>#ERROR!</v>
      </c>
      <c r="DK173" s="85" t="str">
        <f t="shared" si="1259"/>
        <v>#ERROR!</v>
      </c>
      <c r="DL173" s="85" t="str">
        <f t="shared" si="1259"/>
        <v>#ERROR!</v>
      </c>
      <c r="DM173" s="85" t="str">
        <f t="shared" si="1259"/>
        <v>#ERROR!</v>
      </c>
      <c r="DN173" s="350"/>
      <c r="DO173" s="85" t="str">
        <f t="shared" ref="DO173:DR173" si="1260">AVERAGE(CZ298,DE298,DJ298)</f>
        <v>#ERROR!</v>
      </c>
      <c r="DP173" s="85" t="str">
        <f t="shared" si="1260"/>
        <v>#ERROR!</v>
      </c>
      <c r="DQ173" s="85" t="str">
        <f t="shared" si="1260"/>
        <v>#ERROR!</v>
      </c>
      <c r="DR173" s="85" t="str">
        <f t="shared" si="1260"/>
        <v>#ERROR!</v>
      </c>
      <c r="DS173" s="342"/>
      <c r="DT173" s="85" t="str">
        <f t="shared" ref="DT173:DW173" si="1261">AVERAGE(DE298,DJ298,DO298)</f>
        <v>#ERROR!</v>
      </c>
      <c r="DU173" s="85" t="str">
        <f t="shared" si="1261"/>
        <v>#ERROR!</v>
      </c>
      <c r="DV173" s="85" t="str">
        <f t="shared" si="1261"/>
        <v>#ERROR!</v>
      </c>
      <c r="DW173" s="85" t="str">
        <f t="shared" si="1261"/>
        <v>#ERROR!</v>
      </c>
      <c r="DX173" s="342"/>
      <c r="DY173" s="85" t="str">
        <f t="shared" ref="DY173:EB173" si="1262">AVERAGE(DJ298,DO298,DT298)</f>
        <v>#ERROR!</v>
      </c>
      <c r="DZ173" s="85" t="str">
        <f t="shared" si="1262"/>
        <v>#ERROR!</v>
      </c>
      <c r="EA173" s="85" t="str">
        <f t="shared" si="1262"/>
        <v>#ERROR!</v>
      </c>
      <c r="EB173" s="85" t="str">
        <f t="shared" si="1262"/>
        <v>#ERROR!</v>
      </c>
      <c r="EC173" s="342"/>
      <c r="ED173" s="85" t="str">
        <f t="shared" ref="ED173:EG173" si="1263">AVERAGE(DO298,DT298,DY298)</f>
        <v>#ERROR!</v>
      </c>
      <c r="EE173" s="85" t="str">
        <f t="shared" si="1263"/>
        <v>#ERROR!</v>
      </c>
      <c r="EF173" s="85">
        <f t="shared" si="1263"/>
        <v>0</v>
      </c>
      <c r="EG173" s="85">
        <f t="shared" si="1263"/>
        <v>-0.01755555556</v>
      </c>
      <c r="EH173" s="356"/>
      <c r="EI173" s="362" t="str">
        <f>AVERAGE(DT298,DY298,ED298)</f>
        <v>#ERROR!</v>
      </c>
      <c r="EJ173" s="85" t="str">
        <f t="shared" ref="EJ173:EL173" si="1264">AVERAGE(DU298,DZ298,EE171)</f>
        <v>#ERROR!</v>
      </c>
      <c r="EK173" s="85" t="str">
        <f t="shared" si="1264"/>
        <v>#ERROR!</v>
      </c>
      <c r="EL173" s="85" t="str">
        <f t="shared" si="1264"/>
        <v>#ERROR!</v>
      </c>
      <c r="EM173" s="356"/>
      <c r="EN173" s="85" t="str">
        <f t="shared" ref="EN173:EQ173" si="1265">AVERAGE(DY298,ED171,EI171)</f>
        <v>#ERROR!</v>
      </c>
      <c r="EO173" s="85" t="str">
        <f t="shared" si="1265"/>
        <v>#ERROR!</v>
      </c>
      <c r="EP173" s="85" t="str">
        <f t="shared" si="1265"/>
        <v>#ERROR!</v>
      </c>
      <c r="EQ173" s="85" t="str">
        <f t="shared" si="1265"/>
        <v>#ERROR!</v>
      </c>
      <c r="ER173" s="356"/>
      <c r="ES173" s="85" t="str">
        <f t="shared" ref="ES173:EV173" si="1266">AVERAGE(ED171,EI171,EN171)</f>
        <v>#ERROR!</v>
      </c>
      <c r="ET173" s="85" t="str">
        <f t="shared" si="1266"/>
        <v>#ERROR!</v>
      </c>
      <c r="EU173" s="85" t="str">
        <f t="shared" si="1266"/>
        <v>#ERROR!</v>
      </c>
      <c r="EV173" s="85" t="str">
        <f t="shared" si="1266"/>
        <v>#ERROR!</v>
      </c>
      <c r="EW173" s="356"/>
      <c r="EX173" s="85">
        <f t="shared" ref="EX173:FA173" si="1267">AVERAGE(EI171,EN171,ES171)</f>
        <v>0</v>
      </c>
      <c r="EY173" s="85">
        <f t="shared" si="1267"/>
        <v>0</v>
      </c>
      <c r="EZ173" s="85">
        <f t="shared" si="1267"/>
        <v>0</v>
      </c>
      <c r="FA173" s="85">
        <f t="shared" si="1267"/>
        <v>0</v>
      </c>
      <c r="FB173" s="356"/>
      <c r="FC173" s="85">
        <f t="shared" ref="FC173:FF173" si="1268">AVERAGE(EN171,ES171,EX171)</f>
        <v>0</v>
      </c>
      <c r="FD173" s="85">
        <f t="shared" si="1268"/>
        <v>0</v>
      </c>
      <c r="FE173" s="85">
        <f t="shared" si="1268"/>
        <v>0</v>
      </c>
      <c r="FF173" s="85">
        <f t="shared" si="1268"/>
        <v>0</v>
      </c>
      <c r="FG173" s="356"/>
      <c r="FH173" s="359"/>
      <c r="FI173" s="4"/>
      <c r="FJ173" s="4"/>
      <c r="FK173" s="45"/>
      <c r="FL173" s="4"/>
    </row>
    <row r="174" ht="12.75" customHeight="1">
      <c r="A174" s="4"/>
      <c r="B174" s="84"/>
      <c r="C174" s="45"/>
      <c r="D174" s="4"/>
      <c r="E174" s="4"/>
      <c r="F174" s="4"/>
      <c r="G174" s="4"/>
      <c r="H174" s="45"/>
      <c r="I174" s="4"/>
      <c r="J174" s="4"/>
      <c r="K174" s="4"/>
      <c r="L174" s="4"/>
      <c r="M174" s="45"/>
      <c r="N174" s="4"/>
      <c r="O174" s="4"/>
      <c r="P174" s="4"/>
      <c r="Q174" s="4"/>
      <c r="R174" s="45"/>
      <c r="S174" s="4"/>
      <c r="T174" s="4"/>
      <c r="U174" s="4"/>
      <c r="V174" s="4"/>
      <c r="W174" s="45"/>
      <c r="X174" s="4"/>
      <c r="Y174" s="4"/>
      <c r="Z174" s="4"/>
      <c r="AA174" s="4"/>
      <c r="AB174" s="45"/>
      <c r="AC174" s="4"/>
      <c r="AD174" s="4"/>
      <c r="AE174" s="4"/>
      <c r="AF174" s="4"/>
      <c r="AG174" s="45"/>
      <c r="AH174" s="4"/>
      <c r="AI174" s="4"/>
      <c r="AJ174" s="4"/>
      <c r="AK174" s="4"/>
      <c r="AL174" s="45"/>
      <c r="AM174" s="4"/>
      <c r="AN174" s="4"/>
      <c r="AO174" s="4"/>
      <c r="AP174" s="4"/>
      <c r="AQ174" s="45"/>
      <c r="AR174" s="4"/>
      <c r="AS174" s="4"/>
      <c r="AT174" s="4"/>
      <c r="AU174" s="4"/>
      <c r="AV174" s="45"/>
      <c r="AW174" s="4"/>
      <c r="AX174" s="4"/>
      <c r="AY174" s="4"/>
      <c r="AZ174" s="4"/>
      <c r="BA174" s="45"/>
      <c r="BB174" s="4"/>
      <c r="BC174" s="4"/>
      <c r="BD174" s="4"/>
      <c r="BE174" s="4"/>
      <c r="BF174" s="45"/>
      <c r="BG174" s="4"/>
      <c r="BH174" s="4"/>
      <c r="BI174" s="4"/>
      <c r="BJ174" s="4"/>
      <c r="BK174" s="45"/>
      <c r="BL174" s="4"/>
      <c r="BM174" s="4"/>
      <c r="BN174" s="4"/>
      <c r="BO174" s="4"/>
      <c r="BP174" s="45"/>
      <c r="BQ174" s="4"/>
      <c r="BR174" s="4"/>
      <c r="BS174" s="4"/>
      <c r="BT174" s="4"/>
      <c r="BU174" s="45"/>
      <c r="BV174" s="4"/>
      <c r="BW174" s="4"/>
      <c r="BX174" s="4"/>
      <c r="BY174" s="4"/>
      <c r="BZ174" s="350"/>
      <c r="CA174" s="4"/>
      <c r="CB174" s="4"/>
      <c r="CC174" s="4"/>
      <c r="CD174" s="4"/>
      <c r="CE174" s="350"/>
      <c r="CF174" s="4"/>
      <c r="CG174" s="4"/>
      <c r="CH174" s="4"/>
      <c r="CI174" s="4"/>
      <c r="CJ174" s="350"/>
      <c r="CK174" s="4"/>
      <c r="CL174" s="4"/>
      <c r="CM174" s="4"/>
      <c r="CN174" s="16"/>
      <c r="CO174" s="350"/>
      <c r="CP174" s="104"/>
      <c r="CQ174" s="104"/>
      <c r="CR174" s="104"/>
      <c r="CS174" s="104"/>
      <c r="CT174" s="350"/>
      <c r="CU174" s="4"/>
      <c r="CV174" s="4"/>
      <c r="CW174" s="4"/>
      <c r="CX174" s="4"/>
      <c r="CY174" s="350"/>
      <c r="CZ174" s="4"/>
      <c r="DA174" s="4"/>
      <c r="DB174" s="4"/>
      <c r="DC174" s="4"/>
      <c r="DD174" s="350"/>
      <c r="DE174" s="4"/>
      <c r="DF174" s="4"/>
      <c r="DG174" s="4"/>
      <c r="DH174" s="4"/>
      <c r="DI174" s="350"/>
      <c r="DJ174" s="85"/>
      <c r="DK174" s="85"/>
      <c r="DL174" s="85"/>
      <c r="DM174" s="85"/>
      <c r="DN174" s="350"/>
      <c r="DO174" s="85"/>
      <c r="DP174" s="85"/>
      <c r="DQ174" s="85"/>
      <c r="DR174" s="85"/>
      <c r="DS174" s="342"/>
      <c r="DT174" s="85"/>
      <c r="DU174" s="85"/>
      <c r="DV174" s="85"/>
      <c r="DW174" s="85"/>
      <c r="DX174" s="342"/>
      <c r="DY174" s="85"/>
      <c r="DZ174" s="85"/>
      <c r="EA174" s="85"/>
      <c r="EB174" s="85"/>
      <c r="EC174" s="342"/>
      <c r="ED174" s="85"/>
      <c r="EE174" s="85"/>
      <c r="EF174" s="85"/>
      <c r="EG174" s="85"/>
      <c r="EH174" s="356"/>
      <c r="EI174" s="362"/>
      <c r="EJ174" s="85"/>
      <c r="EK174" s="85"/>
      <c r="EL174" s="85"/>
      <c r="EM174" s="356"/>
      <c r="EN174" s="85"/>
      <c r="EO174" s="85"/>
      <c r="EP174" s="85"/>
      <c r="EQ174" s="85"/>
      <c r="ER174" s="356"/>
      <c r="ES174" s="85"/>
      <c r="ET174" s="85"/>
      <c r="EU174" s="85"/>
      <c r="EV174" s="85"/>
      <c r="EW174" s="356"/>
      <c r="EX174" s="85"/>
      <c r="EY174" s="85"/>
      <c r="EZ174" s="85"/>
      <c r="FA174" s="85"/>
      <c r="FB174" s="356"/>
      <c r="FC174" s="85"/>
      <c r="FD174" s="85"/>
      <c r="FE174" s="85"/>
      <c r="FF174" s="85"/>
      <c r="FG174" s="356"/>
      <c r="FH174" s="359"/>
      <c r="FI174" s="4"/>
      <c r="FJ174" s="4"/>
      <c r="FK174" s="45"/>
      <c r="FL174" s="4"/>
    </row>
    <row r="175" ht="12.75" customHeight="1">
      <c r="A175" s="4"/>
      <c r="B175" s="72" t="s">
        <v>162</v>
      </c>
      <c r="C175" s="45"/>
      <c r="D175" s="4"/>
      <c r="E175" s="4"/>
      <c r="F175" s="4"/>
      <c r="G175" s="4"/>
      <c r="H175" s="45"/>
      <c r="I175" s="4"/>
      <c r="J175" s="4"/>
      <c r="K175" s="4"/>
      <c r="L175" s="4"/>
      <c r="M175" s="45"/>
      <c r="N175" s="4"/>
      <c r="O175" s="4"/>
      <c r="P175" s="4"/>
      <c r="Q175" s="4"/>
      <c r="R175" s="45"/>
      <c r="S175" s="4"/>
      <c r="T175" s="4"/>
      <c r="U175" s="4"/>
      <c r="V175" s="4"/>
      <c r="W175" s="45"/>
      <c r="X175" s="4"/>
      <c r="Y175" s="4"/>
      <c r="Z175" s="4"/>
      <c r="AA175" s="4"/>
      <c r="AB175" s="45"/>
      <c r="AC175" s="4"/>
      <c r="AD175" s="4"/>
      <c r="AE175" s="4"/>
      <c r="AF175" s="4"/>
      <c r="AG175" s="45"/>
      <c r="AH175" s="4"/>
      <c r="AI175" s="4"/>
      <c r="AJ175" s="4"/>
      <c r="AK175" s="4"/>
      <c r="AL175" s="45"/>
      <c r="AM175" s="4"/>
      <c r="AN175" s="4"/>
      <c r="AO175" s="4"/>
      <c r="AP175" s="4"/>
      <c r="AQ175" s="45"/>
      <c r="AR175" s="4"/>
      <c r="AS175" s="4"/>
      <c r="AT175" s="4"/>
      <c r="AU175" s="4"/>
      <c r="AV175" s="45"/>
      <c r="AW175" s="4"/>
      <c r="AX175" s="4"/>
      <c r="AY175" s="4"/>
      <c r="AZ175" s="4"/>
      <c r="BA175" s="45"/>
      <c r="BB175" s="4"/>
      <c r="BC175" s="4"/>
      <c r="BD175" s="4"/>
      <c r="BE175" s="4"/>
      <c r="BF175" s="45"/>
      <c r="BG175" s="4"/>
      <c r="BH175" s="4"/>
      <c r="BI175" s="4"/>
      <c r="BJ175" s="4"/>
      <c r="BK175" s="45"/>
      <c r="BL175" s="4"/>
      <c r="BM175" s="4"/>
      <c r="BN175" s="4"/>
      <c r="BO175" s="4"/>
      <c r="BP175" s="45"/>
      <c r="BQ175" s="4"/>
      <c r="BR175" s="4"/>
      <c r="BS175" s="4"/>
      <c r="BT175" s="4"/>
      <c r="BU175" s="45"/>
      <c r="BV175" s="4"/>
      <c r="BW175" s="4"/>
      <c r="BX175" s="4"/>
      <c r="BY175" s="4"/>
      <c r="BZ175" s="350"/>
      <c r="CA175" s="4"/>
      <c r="CB175" s="4"/>
      <c r="CC175" s="4"/>
      <c r="CD175" s="4"/>
      <c r="CE175" s="350"/>
      <c r="CF175" s="4"/>
      <c r="CG175" s="4"/>
      <c r="CH175" s="4"/>
      <c r="CI175" s="4"/>
      <c r="CJ175" s="350"/>
      <c r="CK175" s="4"/>
      <c r="CL175" s="4"/>
      <c r="CM175" s="4"/>
      <c r="CN175" s="16"/>
      <c r="CO175" s="350"/>
      <c r="CP175" s="104"/>
      <c r="CQ175" s="104"/>
      <c r="CR175" s="104"/>
      <c r="CS175" s="104"/>
      <c r="CT175" s="350"/>
      <c r="CU175" s="4"/>
      <c r="CV175" s="4"/>
      <c r="CW175" s="4"/>
      <c r="CX175" s="4"/>
      <c r="CY175" s="350"/>
      <c r="CZ175" s="4"/>
      <c r="DA175" s="4"/>
      <c r="DB175" s="4"/>
      <c r="DC175" s="4"/>
      <c r="DD175" s="350"/>
      <c r="DE175" s="4"/>
      <c r="DF175" s="4"/>
      <c r="DG175" s="4"/>
      <c r="DH175" s="4"/>
      <c r="DI175" s="350"/>
      <c r="DJ175" s="16"/>
      <c r="DK175" s="16"/>
      <c r="DL175" s="16"/>
      <c r="DM175" s="16"/>
      <c r="DN175" s="350"/>
      <c r="DO175" s="16"/>
      <c r="DP175" s="16"/>
      <c r="DQ175" s="16"/>
      <c r="DR175" s="16"/>
      <c r="DS175" s="342"/>
      <c r="DT175" s="16"/>
      <c r="DU175" s="16"/>
      <c r="DV175" s="16"/>
      <c r="DW175" s="16"/>
      <c r="DX175" s="342"/>
      <c r="DY175" s="16">
        <v>997.0</v>
      </c>
      <c r="DZ175" s="16">
        <v>727.0</v>
      </c>
      <c r="EA175" s="16">
        <v>725.0</v>
      </c>
      <c r="EB175" s="16"/>
      <c r="EC175" s="342"/>
      <c r="ED175" s="357">
        <v>694.0</v>
      </c>
      <c r="EE175" s="357">
        <v>625.0</v>
      </c>
      <c r="EF175" s="357">
        <v>492.0</v>
      </c>
      <c r="EG175" s="357">
        <v>453.0</v>
      </c>
      <c r="EH175" s="356">
        <f>SUM(ED175:EG175)</f>
        <v>2264</v>
      </c>
      <c r="EI175" s="358">
        <f>EG175*(1+EI176)</f>
        <v>457.53</v>
      </c>
      <c r="EJ175" s="357">
        <f t="shared" ref="EJ175:EL175" si="1269">EI175*(1+EJ176)</f>
        <v>462.1053</v>
      </c>
      <c r="EK175" s="357">
        <f t="shared" si="1269"/>
        <v>466.726353</v>
      </c>
      <c r="EL175" s="357">
        <f t="shared" si="1269"/>
        <v>471.3936165</v>
      </c>
      <c r="EM175" s="356">
        <f>SUM(EI175:EL175)</f>
        <v>1857.75527</v>
      </c>
      <c r="EN175" s="357">
        <f>EL175*(1+EN176)</f>
        <v>476.1075527</v>
      </c>
      <c r="EO175" s="357">
        <f t="shared" ref="EO175:EQ175" si="1270">EN175*(1+EO176)</f>
        <v>480.8686282</v>
      </c>
      <c r="EP175" s="357">
        <f t="shared" si="1270"/>
        <v>485.6773145</v>
      </c>
      <c r="EQ175" s="357">
        <f t="shared" si="1270"/>
        <v>490.5340876</v>
      </c>
      <c r="ER175" s="356">
        <f>SUM(EN175:EQ175)</f>
        <v>1933.187583</v>
      </c>
      <c r="ES175" s="357">
        <f>EQ175*(1+ES176)</f>
        <v>495.4394285</v>
      </c>
      <c r="ET175" s="357">
        <f t="shared" ref="ET175:EV175" si="1271">ES175*(1+ET176)</f>
        <v>500.3938228</v>
      </c>
      <c r="EU175" s="357">
        <f t="shared" si="1271"/>
        <v>505.397761</v>
      </c>
      <c r="EV175" s="357">
        <f t="shared" si="1271"/>
        <v>510.4517386</v>
      </c>
      <c r="EW175" s="356">
        <f>SUM(ES175:EV175)</f>
        <v>2011.682751</v>
      </c>
      <c r="EX175" s="357">
        <f>EV175*(1+EX176)</f>
        <v>515.556256</v>
      </c>
      <c r="EY175" s="357">
        <f t="shared" ref="EY175:FA175" si="1272">EX175*(1+EY176)</f>
        <v>520.7118186</v>
      </c>
      <c r="EZ175" s="357">
        <f t="shared" si="1272"/>
        <v>525.9189368</v>
      </c>
      <c r="FA175" s="357">
        <f t="shared" si="1272"/>
        <v>531.1781262</v>
      </c>
      <c r="FB175" s="356">
        <f>SUM(EX175:FA175)</f>
        <v>2093.365138</v>
      </c>
      <c r="FC175" s="357">
        <f>FA175*(1+FC176)</f>
        <v>536.4899074</v>
      </c>
      <c r="FD175" s="357">
        <f t="shared" ref="FD175:FF175" si="1273">FC175*(1+FD176)</f>
        <v>541.8548065</v>
      </c>
      <c r="FE175" s="357">
        <f t="shared" si="1273"/>
        <v>547.2733546</v>
      </c>
      <c r="FF175" s="357">
        <f t="shared" si="1273"/>
        <v>552.7460881</v>
      </c>
      <c r="FG175" s="356">
        <f>SUM(FC175:FF175)</f>
        <v>2178.364157</v>
      </c>
      <c r="FH175" s="359"/>
      <c r="FI175" s="4"/>
      <c r="FJ175" s="4"/>
      <c r="FK175" s="45"/>
      <c r="FL175" s="4"/>
    </row>
    <row r="176" ht="12.75" customHeight="1">
      <c r="A176" s="4"/>
      <c r="B176" s="72" t="s">
        <v>145</v>
      </c>
      <c r="C176" s="45"/>
      <c r="D176" s="4"/>
      <c r="E176" s="4"/>
      <c r="F176" s="4"/>
      <c r="G176" s="4"/>
      <c r="H176" s="45"/>
      <c r="I176" s="4"/>
      <c r="J176" s="4"/>
      <c r="K176" s="4"/>
      <c r="L176" s="4"/>
      <c r="M176" s="45"/>
      <c r="N176" s="4"/>
      <c r="O176" s="4"/>
      <c r="P176" s="4"/>
      <c r="Q176" s="4"/>
      <c r="R176" s="45"/>
      <c r="S176" s="4"/>
      <c r="T176" s="4"/>
      <c r="U176" s="4"/>
      <c r="V176" s="4"/>
      <c r="W176" s="45"/>
      <c r="X176" s="4"/>
      <c r="Y176" s="4"/>
      <c r="Z176" s="4"/>
      <c r="AA176" s="4"/>
      <c r="AB176" s="45"/>
      <c r="AC176" s="4"/>
      <c r="AD176" s="4"/>
      <c r="AE176" s="4"/>
      <c r="AF176" s="4"/>
      <c r="AG176" s="45"/>
      <c r="AH176" s="4"/>
      <c r="AI176" s="4"/>
      <c r="AJ176" s="4"/>
      <c r="AK176" s="4"/>
      <c r="AL176" s="45"/>
      <c r="AM176" s="4"/>
      <c r="AN176" s="4"/>
      <c r="AO176" s="4"/>
      <c r="AP176" s="4"/>
      <c r="AQ176" s="45"/>
      <c r="AR176" s="4"/>
      <c r="AS176" s="4"/>
      <c r="AT176" s="4"/>
      <c r="AU176" s="4"/>
      <c r="AV176" s="45"/>
      <c r="AW176" s="4"/>
      <c r="AX176" s="4"/>
      <c r="AY176" s="4"/>
      <c r="AZ176" s="4"/>
      <c r="BA176" s="45"/>
      <c r="BB176" s="4"/>
      <c r="BC176" s="4"/>
      <c r="BD176" s="4"/>
      <c r="BE176" s="4"/>
      <c r="BF176" s="45"/>
      <c r="BG176" s="4"/>
      <c r="BH176" s="4"/>
      <c r="BI176" s="4"/>
      <c r="BJ176" s="4"/>
      <c r="BK176" s="45"/>
      <c r="BL176" s="4"/>
      <c r="BM176" s="4"/>
      <c r="BN176" s="4"/>
      <c r="BO176" s="4"/>
      <c r="BP176" s="45"/>
      <c r="BQ176" s="4"/>
      <c r="BR176" s="4"/>
      <c r="BS176" s="4"/>
      <c r="BT176" s="4"/>
      <c r="BU176" s="45"/>
      <c r="BV176" s="4"/>
      <c r="BW176" s="4"/>
      <c r="BX176" s="4"/>
      <c r="BY176" s="4"/>
      <c r="BZ176" s="350"/>
      <c r="CA176" s="4"/>
      <c r="CB176" s="4"/>
      <c r="CC176" s="4"/>
      <c r="CD176" s="4"/>
      <c r="CE176" s="350"/>
      <c r="CF176" s="4"/>
      <c r="CG176" s="4"/>
      <c r="CH176" s="4"/>
      <c r="CI176" s="4"/>
      <c r="CJ176" s="350"/>
      <c r="CK176" s="4"/>
      <c r="CL176" s="4"/>
      <c r="CM176" s="4"/>
      <c r="CN176" s="16"/>
      <c r="CO176" s="350"/>
      <c r="CP176" s="104"/>
      <c r="CQ176" s="104"/>
      <c r="CR176" s="104"/>
      <c r="CS176" s="104"/>
      <c r="CT176" s="350"/>
      <c r="CU176" s="4"/>
      <c r="CV176" s="4"/>
      <c r="CW176" s="4"/>
      <c r="CX176" s="4"/>
      <c r="CY176" s="350"/>
      <c r="CZ176" s="4"/>
      <c r="DA176" s="4"/>
      <c r="DB176" s="4"/>
      <c r="DC176" s="4"/>
      <c r="DD176" s="350"/>
      <c r="DE176" s="4"/>
      <c r="DF176" s="4"/>
      <c r="DG176" s="4"/>
      <c r="DH176" s="4"/>
      <c r="DI176" s="350"/>
      <c r="DJ176" s="16"/>
      <c r="DK176" s="16"/>
      <c r="DL176" s="16"/>
      <c r="DM176" s="16"/>
      <c r="DN176" s="350"/>
      <c r="DO176" s="16"/>
      <c r="DP176" s="16"/>
      <c r="DQ176" s="16"/>
      <c r="DR176" s="16"/>
      <c r="DS176" s="342"/>
      <c r="DT176" s="16"/>
      <c r="DU176" s="16"/>
      <c r="DV176" s="16"/>
      <c r="DW176" s="16"/>
      <c r="DX176" s="342"/>
      <c r="DY176" s="16"/>
      <c r="DZ176" s="16"/>
      <c r="EA176" s="16"/>
      <c r="EB176" s="16"/>
      <c r="EC176" s="342"/>
      <c r="ED176" s="357"/>
      <c r="EE176" s="327">
        <f t="shared" ref="EE176:EG176" si="1274">EE175/ED175-1</f>
        <v>-0.09942363112</v>
      </c>
      <c r="EF176" s="327">
        <f t="shared" si="1274"/>
        <v>-0.2128</v>
      </c>
      <c r="EG176" s="327">
        <f t="shared" si="1274"/>
        <v>-0.07926829268</v>
      </c>
      <c r="EH176" s="356"/>
      <c r="EI176" s="381">
        <v>0.01</v>
      </c>
      <c r="EJ176" s="382">
        <v>0.01</v>
      </c>
      <c r="EK176" s="382">
        <v>0.01</v>
      </c>
      <c r="EL176" s="382">
        <v>0.01</v>
      </c>
      <c r="EM176" s="356"/>
      <c r="EN176" s="382">
        <v>0.01</v>
      </c>
      <c r="EO176" s="382">
        <v>0.01</v>
      </c>
      <c r="EP176" s="382">
        <v>0.01</v>
      </c>
      <c r="EQ176" s="382">
        <v>0.01</v>
      </c>
      <c r="ER176" s="356"/>
      <c r="ES176" s="382">
        <v>0.01</v>
      </c>
      <c r="ET176" s="382">
        <v>0.01</v>
      </c>
      <c r="EU176" s="382">
        <v>0.01</v>
      </c>
      <c r="EV176" s="382">
        <v>0.01</v>
      </c>
      <c r="EW176" s="356"/>
      <c r="EX176" s="382">
        <v>0.01</v>
      </c>
      <c r="EY176" s="382">
        <v>0.01</v>
      </c>
      <c r="EZ176" s="382">
        <v>0.01</v>
      </c>
      <c r="FA176" s="382">
        <v>0.01</v>
      </c>
      <c r="FB176" s="356"/>
      <c r="FC176" s="382">
        <v>0.01</v>
      </c>
      <c r="FD176" s="382">
        <v>0.01</v>
      </c>
      <c r="FE176" s="382">
        <v>0.01</v>
      </c>
      <c r="FF176" s="382">
        <v>0.01</v>
      </c>
      <c r="FG176" s="356"/>
      <c r="FH176" s="359"/>
      <c r="FI176" s="4"/>
      <c r="FJ176" s="4"/>
      <c r="FK176" s="45"/>
      <c r="FL176" s="4"/>
    </row>
    <row r="177" ht="12.75" customHeight="1">
      <c r="A177" s="4"/>
      <c r="B177" s="72" t="s">
        <v>146</v>
      </c>
      <c r="C177" s="45"/>
      <c r="D177" s="4"/>
      <c r="E177" s="4"/>
      <c r="F177" s="4"/>
      <c r="G177" s="4"/>
      <c r="H177" s="45"/>
      <c r="I177" s="4"/>
      <c r="J177" s="4"/>
      <c r="K177" s="4"/>
      <c r="L177" s="4"/>
      <c r="M177" s="45"/>
      <c r="N177" s="4"/>
      <c r="O177" s="4"/>
      <c r="P177" s="4"/>
      <c r="Q177" s="4"/>
      <c r="R177" s="45"/>
      <c r="S177" s="4"/>
      <c r="T177" s="4"/>
      <c r="U177" s="4"/>
      <c r="V177" s="4"/>
      <c r="W177" s="45"/>
      <c r="X177" s="4"/>
      <c r="Y177" s="4"/>
      <c r="Z177" s="4"/>
      <c r="AA177" s="4"/>
      <c r="AB177" s="45"/>
      <c r="AC177" s="4"/>
      <c r="AD177" s="4"/>
      <c r="AE177" s="4"/>
      <c r="AF177" s="4"/>
      <c r="AG177" s="45"/>
      <c r="AH177" s="4"/>
      <c r="AI177" s="4"/>
      <c r="AJ177" s="4"/>
      <c r="AK177" s="4"/>
      <c r="AL177" s="45"/>
      <c r="AM177" s="4"/>
      <c r="AN177" s="4"/>
      <c r="AO177" s="4"/>
      <c r="AP177" s="4"/>
      <c r="AQ177" s="45"/>
      <c r="AR177" s="4"/>
      <c r="AS177" s="4"/>
      <c r="AT177" s="4"/>
      <c r="AU177" s="4"/>
      <c r="AV177" s="45"/>
      <c r="AW177" s="4"/>
      <c r="AX177" s="4"/>
      <c r="AY177" s="4"/>
      <c r="AZ177" s="4"/>
      <c r="BA177" s="45"/>
      <c r="BB177" s="4"/>
      <c r="BC177" s="4"/>
      <c r="BD177" s="4"/>
      <c r="BE177" s="4"/>
      <c r="BF177" s="45"/>
      <c r="BG177" s="4"/>
      <c r="BH177" s="4"/>
      <c r="BI177" s="4"/>
      <c r="BJ177" s="4"/>
      <c r="BK177" s="45"/>
      <c r="BL177" s="4"/>
      <c r="BM177" s="4"/>
      <c r="BN177" s="4"/>
      <c r="BO177" s="4"/>
      <c r="BP177" s="45"/>
      <c r="BQ177" s="4"/>
      <c r="BR177" s="4"/>
      <c r="BS177" s="4"/>
      <c r="BT177" s="4"/>
      <c r="BU177" s="45"/>
      <c r="BV177" s="4"/>
      <c r="BW177" s="4"/>
      <c r="BX177" s="4"/>
      <c r="BY177" s="4"/>
      <c r="BZ177" s="350"/>
      <c r="CA177" s="4"/>
      <c r="CB177" s="4"/>
      <c r="CC177" s="4"/>
      <c r="CD177" s="4"/>
      <c r="CE177" s="350"/>
      <c r="CF177" s="4"/>
      <c r="CG177" s="4"/>
      <c r="CH177" s="4"/>
      <c r="CI177" s="4"/>
      <c r="CJ177" s="350"/>
      <c r="CK177" s="4"/>
      <c r="CL177" s="4"/>
      <c r="CM177" s="4"/>
      <c r="CN177" s="16"/>
      <c r="CO177" s="350"/>
      <c r="CP177" s="104"/>
      <c r="CQ177" s="104"/>
      <c r="CR177" s="104"/>
      <c r="CS177" s="104"/>
      <c r="CT177" s="350"/>
      <c r="CU177" s="4"/>
      <c r="CV177" s="4"/>
      <c r="CW177" s="4"/>
      <c r="CX177" s="4"/>
      <c r="CY177" s="350"/>
      <c r="CZ177" s="4"/>
      <c r="DA177" s="4"/>
      <c r="DB177" s="4"/>
      <c r="DC177" s="4"/>
      <c r="DD177" s="350"/>
      <c r="DE177" s="4"/>
      <c r="DF177" s="4"/>
      <c r="DG177" s="4"/>
      <c r="DH177" s="4"/>
      <c r="DI177" s="350"/>
      <c r="DJ177" s="16"/>
      <c r="DK177" s="16"/>
      <c r="DL177" s="16"/>
      <c r="DM177" s="16"/>
      <c r="DN177" s="350"/>
      <c r="DO177" s="16"/>
      <c r="DP177" s="16"/>
      <c r="DQ177" s="16"/>
      <c r="DR177" s="16"/>
      <c r="DS177" s="342"/>
      <c r="DT177" s="16"/>
      <c r="DU177" s="16"/>
      <c r="DV177" s="16"/>
      <c r="DW177" s="16"/>
      <c r="DX177" s="342"/>
      <c r="DY177" s="16"/>
      <c r="DZ177" s="16"/>
      <c r="EA177" s="16"/>
      <c r="EB177" s="16"/>
      <c r="EC177" s="342"/>
      <c r="ED177" s="327">
        <f t="shared" ref="ED177:FG177" si="1275">ED175/DY175-1</f>
        <v>-0.3039117352</v>
      </c>
      <c r="EE177" s="327">
        <f t="shared" si="1275"/>
        <v>-0.1403026135</v>
      </c>
      <c r="EF177" s="327">
        <f t="shared" si="1275"/>
        <v>-0.3213793103</v>
      </c>
      <c r="EG177" s="327" t="str">
        <f t="shared" si="1275"/>
        <v>#DIV/0!</v>
      </c>
      <c r="EH177" s="350" t="str">
        <f t="shared" si="1275"/>
        <v>#DIV/0!</v>
      </c>
      <c r="EI177" s="214">
        <f t="shared" si="1275"/>
        <v>-0.3407348703</v>
      </c>
      <c r="EJ177" s="327">
        <f t="shared" si="1275"/>
        <v>-0.26063152</v>
      </c>
      <c r="EK177" s="327">
        <f t="shared" si="1275"/>
        <v>-0.05136920122</v>
      </c>
      <c r="EL177" s="327">
        <f t="shared" si="1275"/>
        <v>0.04060401</v>
      </c>
      <c r="EM177" s="342">
        <f t="shared" si="1275"/>
        <v>-0.1794367184</v>
      </c>
      <c r="EN177" s="327">
        <f t="shared" si="1275"/>
        <v>0.04060401</v>
      </c>
      <c r="EO177" s="327">
        <f t="shared" si="1275"/>
        <v>0.04060401</v>
      </c>
      <c r="EP177" s="327">
        <f t="shared" si="1275"/>
        <v>0.04060401</v>
      </c>
      <c r="EQ177" s="327">
        <f t="shared" si="1275"/>
        <v>0.04060401</v>
      </c>
      <c r="ER177" s="342">
        <f t="shared" si="1275"/>
        <v>0.04060401</v>
      </c>
      <c r="ES177" s="327">
        <f t="shared" si="1275"/>
        <v>0.04060401</v>
      </c>
      <c r="ET177" s="327">
        <f t="shared" si="1275"/>
        <v>0.04060401</v>
      </c>
      <c r="EU177" s="327">
        <f t="shared" si="1275"/>
        <v>0.04060401</v>
      </c>
      <c r="EV177" s="327">
        <f t="shared" si="1275"/>
        <v>0.04060401</v>
      </c>
      <c r="EW177" s="342">
        <f t="shared" si="1275"/>
        <v>0.04060401</v>
      </c>
      <c r="EX177" s="327">
        <f t="shared" si="1275"/>
        <v>0.04060401</v>
      </c>
      <c r="EY177" s="327">
        <f t="shared" si="1275"/>
        <v>0.04060401</v>
      </c>
      <c r="EZ177" s="327">
        <f t="shared" si="1275"/>
        <v>0.04060401</v>
      </c>
      <c r="FA177" s="327">
        <f t="shared" si="1275"/>
        <v>0.04060401</v>
      </c>
      <c r="FB177" s="342">
        <f t="shared" si="1275"/>
        <v>0.04060401</v>
      </c>
      <c r="FC177" s="327">
        <f t="shared" si="1275"/>
        <v>0.04060401</v>
      </c>
      <c r="FD177" s="327">
        <f t="shared" si="1275"/>
        <v>0.04060401</v>
      </c>
      <c r="FE177" s="327">
        <f t="shared" si="1275"/>
        <v>0.04060401</v>
      </c>
      <c r="FF177" s="327">
        <f t="shared" si="1275"/>
        <v>0.04060401</v>
      </c>
      <c r="FG177" s="342">
        <f t="shared" si="1275"/>
        <v>0.04060401</v>
      </c>
      <c r="FH177" s="343"/>
      <c r="FI177" s="4"/>
      <c r="FJ177" s="4"/>
      <c r="FK177" s="45"/>
      <c r="FL177" s="4"/>
    </row>
    <row r="178" ht="12.75" customHeight="1">
      <c r="A178" s="4"/>
      <c r="B178" s="72" t="s">
        <v>163</v>
      </c>
      <c r="C178" s="45"/>
      <c r="D178" s="4"/>
      <c r="E178" s="4"/>
      <c r="F178" s="4"/>
      <c r="G178" s="4"/>
      <c r="H178" s="45"/>
      <c r="I178" s="4"/>
      <c r="J178" s="4"/>
      <c r="K178" s="4"/>
      <c r="L178" s="4"/>
      <c r="M178" s="45"/>
      <c r="N178" s="4"/>
      <c r="O178" s="4"/>
      <c r="P178" s="4"/>
      <c r="Q178" s="4"/>
      <c r="R178" s="45"/>
      <c r="S178" s="4"/>
      <c r="T178" s="4"/>
      <c r="U178" s="4"/>
      <c r="V178" s="4"/>
      <c r="W178" s="45"/>
      <c r="X178" s="4"/>
      <c r="Y178" s="4"/>
      <c r="Z178" s="4"/>
      <c r="AA178" s="4"/>
      <c r="AB178" s="45"/>
      <c r="AC178" s="4"/>
      <c r="AD178" s="4"/>
      <c r="AE178" s="4"/>
      <c r="AF178" s="4"/>
      <c r="AG178" s="45"/>
      <c r="AH178" s="4"/>
      <c r="AI178" s="4"/>
      <c r="AJ178" s="4"/>
      <c r="AK178" s="4"/>
      <c r="AL178" s="45"/>
      <c r="AM178" s="4"/>
      <c r="AN178" s="4"/>
      <c r="AO178" s="4"/>
      <c r="AP178" s="4"/>
      <c r="AQ178" s="45"/>
      <c r="AR178" s="4"/>
      <c r="AS178" s="4"/>
      <c r="AT178" s="4"/>
      <c r="AU178" s="4"/>
      <c r="AV178" s="45"/>
      <c r="AW178" s="4"/>
      <c r="AX178" s="4"/>
      <c r="AY178" s="4"/>
      <c r="AZ178" s="4"/>
      <c r="BA178" s="45"/>
      <c r="BB178" s="4"/>
      <c r="BC178" s="4"/>
      <c r="BD178" s="4"/>
      <c r="BE178" s="4"/>
      <c r="BF178" s="45"/>
      <c r="BG178" s="4"/>
      <c r="BH178" s="4"/>
      <c r="BI178" s="4"/>
      <c r="BJ178" s="4"/>
      <c r="BK178" s="45"/>
      <c r="BL178" s="4"/>
      <c r="BM178" s="4"/>
      <c r="BN178" s="4"/>
      <c r="BO178" s="4"/>
      <c r="BP178" s="45"/>
      <c r="BQ178" s="4"/>
      <c r="BR178" s="4"/>
      <c r="BS178" s="4"/>
      <c r="BT178" s="4"/>
      <c r="BU178" s="45"/>
      <c r="BV178" s="4"/>
      <c r="BW178" s="4"/>
      <c r="BX178" s="4"/>
      <c r="BY178" s="4"/>
      <c r="BZ178" s="350"/>
      <c r="CA178" s="4"/>
      <c r="CB178" s="4"/>
      <c r="CC178" s="4"/>
      <c r="CD178" s="4"/>
      <c r="CE178" s="350"/>
      <c r="CF178" s="4"/>
      <c r="CG178" s="4"/>
      <c r="CH178" s="4"/>
      <c r="CI178" s="4"/>
      <c r="CJ178" s="350"/>
      <c r="CK178" s="4"/>
      <c r="CL178" s="4"/>
      <c r="CM178" s="4"/>
      <c r="CN178" s="16"/>
      <c r="CO178" s="350"/>
      <c r="CP178" s="104"/>
      <c r="CQ178" s="104"/>
      <c r="CR178" s="104"/>
      <c r="CS178" s="104"/>
      <c r="CT178" s="350"/>
      <c r="CU178" s="4"/>
      <c r="CV178" s="4"/>
      <c r="CW178" s="4"/>
      <c r="CX178" s="4"/>
      <c r="CY178" s="350"/>
      <c r="CZ178" s="4"/>
      <c r="DA178" s="4"/>
      <c r="DB178" s="4"/>
      <c r="DC178" s="4"/>
      <c r="DD178" s="350"/>
      <c r="DE178" s="4"/>
      <c r="DF178" s="4"/>
      <c r="DG178" s="4"/>
      <c r="DH178" s="4"/>
      <c r="DI178" s="350"/>
      <c r="DJ178" s="16"/>
      <c r="DK178" s="16"/>
      <c r="DL178" s="16"/>
      <c r="DM178" s="16"/>
      <c r="DN178" s="350"/>
      <c r="DO178" s="16"/>
      <c r="DP178" s="16"/>
      <c r="DQ178" s="16"/>
      <c r="DR178" s="16"/>
      <c r="DS178" s="356">
        <v>16160.0</v>
      </c>
      <c r="DT178" s="16"/>
      <c r="DU178" s="16"/>
      <c r="DV178" s="16"/>
      <c r="DW178" s="16"/>
      <c r="DX178" s="356">
        <v>15800.0</v>
      </c>
      <c r="DY178" s="357">
        <v>4288.0</v>
      </c>
      <c r="DZ178" s="357">
        <v>4029.0</v>
      </c>
      <c r="EA178" s="357">
        <v>3592.0</v>
      </c>
      <c r="EB178" s="357">
        <v>3795.0</v>
      </c>
      <c r="EC178" s="356">
        <f>SUM(DY178:EB178)</f>
        <v>15704</v>
      </c>
      <c r="ED178" s="357">
        <v>2827.0</v>
      </c>
      <c r="EE178" s="357">
        <v>1085.0</v>
      </c>
      <c r="EF178" s="357">
        <v>1655.0</v>
      </c>
      <c r="EG178" s="357">
        <v>699.0</v>
      </c>
      <c r="EH178" s="356">
        <f>SUM(ED178:EG178)</f>
        <v>6266</v>
      </c>
      <c r="EI178" s="214"/>
      <c r="EJ178" s="16"/>
      <c r="EK178" s="4"/>
      <c r="EL178" s="4"/>
      <c r="EM178" s="356">
        <f>SUM(EI178:EL178)</f>
        <v>0</v>
      </c>
      <c r="EN178" s="357"/>
      <c r="EO178" s="16"/>
      <c r="EP178" s="4"/>
      <c r="EQ178" s="4"/>
      <c r="ER178" s="356">
        <f>SUM(EN178:EQ178)</f>
        <v>0</v>
      </c>
      <c r="ES178" s="357"/>
      <c r="ET178" s="16"/>
      <c r="EU178" s="4"/>
      <c r="EV178" s="4"/>
      <c r="EW178" s="356">
        <f>SUM(ES178:EV178)</f>
        <v>0</v>
      </c>
      <c r="EX178" s="357"/>
      <c r="EY178" s="16"/>
      <c r="EZ178" s="4"/>
      <c r="FA178" s="4"/>
      <c r="FB178" s="356">
        <f>SUM(EX178:FA178)</f>
        <v>0</v>
      </c>
      <c r="FC178" s="357"/>
      <c r="FD178" s="16"/>
      <c r="FE178" s="4"/>
      <c r="FF178" s="4"/>
      <c r="FG178" s="356">
        <f>SUM(FC178:FF178)</f>
        <v>0</v>
      </c>
      <c r="FH178" s="359"/>
      <c r="FI178" s="4"/>
      <c r="FJ178" s="4"/>
      <c r="FK178" s="45"/>
      <c r="FL178" s="4"/>
    </row>
    <row r="179" ht="12.75" customHeight="1">
      <c r="A179" s="4"/>
      <c r="B179" s="72" t="s">
        <v>164</v>
      </c>
      <c r="C179" s="45"/>
      <c r="D179" s="4"/>
      <c r="E179" s="4"/>
      <c r="F179" s="4"/>
      <c r="G179" s="4"/>
      <c r="H179" s="45"/>
      <c r="I179" s="4"/>
      <c r="J179" s="4"/>
      <c r="K179" s="4"/>
      <c r="L179" s="4"/>
      <c r="M179" s="45"/>
      <c r="N179" s="4"/>
      <c r="O179" s="4"/>
      <c r="P179" s="4"/>
      <c r="Q179" s="4"/>
      <c r="R179" s="45"/>
      <c r="S179" s="4"/>
      <c r="T179" s="4"/>
      <c r="U179" s="4"/>
      <c r="V179" s="4"/>
      <c r="W179" s="45"/>
      <c r="X179" s="4"/>
      <c r="Y179" s="4"/>
      <c r="Z179" s="4"/>
      <c r="AA179" s="4"/>
      <c r="AB179" s="45"/>
      <c r="AC179" s="4"/>
      <c r="AD179" s="4"/>
      <c r="AE179" s="4"/>
      <c r="AF179" s="4"/>
      <c r="AG179" s="45"/>
      <c r="AH179" s="4"/>
      <c r="AI179" s="4"/>
      <c r="AJ179" s="4"/>
      <c r="AK179" s="4"/>
      <c r="AL179" s="45"/>
      <c r="AM179" s="4"/>
      <c r="AN179" s="4"/>
      <c r="AO179" s="4"/>
      <c r="AP179" s="4"/>
      <c r="AQ179" s="45"/>
      <c r="AR179" s="4"/>
      <c r="AS179" s="4"/>
      <c r="AT179" s="4"/>
      <c r="AU179" s="4"/>
      <c r="AV179" s="45"/>
      <c r="AW179" s="4"/>
      <c r="AX179" s="4"/>
      <c r="AY179" s="4"/>
      <c r="AZ179" s="4"/>
      <c r="BA179" s="45"/>
      <c r="BB179" s="4"/>
      <c r="BC179" s="4"/>
      <c r="BD179" s="4"/>
      <c r="BE179" s="4"/>
      <c r="BF179" s="45"/>
      <c r="BG179" s="4"/>
      <c r="BH179" s="4"/>
      <c r="BI179" s="4"/>
      <c r="BJ179" s="4"/>
      <c r="BK179" s="45"/>
      <c r="BL179" s="4"/>
      <c r="BM179" s="4"/>
      <c r="BN179" s="4"/>
      <c r="BO179" s="4"/>
      <c r="BP179" s="45"/>
      <c r="BQ179" s="4"/>
      <c r="BR179" s="4"/>
      <c r="BS179" s="4"/>
      <c r="BT179" s="4"/>
      <c r="BU179" s="45"/>
      <c r="BV179" s="4"/>
      <c r="BW179" s="4"/>
      <c r="BX179" s="4"/>
      <c r="BY179" s="4"/>
      <c r="BZ179" s="350"/>
      <c r="CA179" s="4"/>
      <c r="CB179" s="4"/>
      <c r="CC179" s="4"/>
      <c r="CD179" s="4"/>
      <c r="CE179" s="350"/>
      <c r="CF179" s="4"/>
      <c r="CG179" s="4"/>
      <c r="CH179" s="4"/>
      <c r="CI179" s="4"/>
      <c r="CJ179" s="350"/>
      <c r="CK179" s="4"/>
      <c r="CL179" s="4"/>
      <c r="CM179" s="4"/>
      <c r="CN179" s="16"/>
      <c r="CO179" s="350"/>
      <c r="CP179" s="104"/>
      <c r="CQ179" s="104"/>
      <c r="CR179" s="104"/>
      <c r="CS179" s="104"/>
      <c r="CT179" s="350"/>
      <c r="CU179" s="4"/>
      <c r="CV179" s="4"/>
      <c r="CW179" s="4"/>
      <c r="CX179" s="4"/>
      <c r="CY179" s="350"/>
      <c r="CZ179" s="4"/>
      <c r="DA179" s="4"/>
      <c r="DB179" s="4"/>
      <c r="DC179" s="4"/>
      <c r="DD179" s="350"/>
      <c r="DE179" s="4"/>
      <c r="DF179" s="4"/>
      <c r="DG179" s="4"/>
      <c r="DH179" s="4"/>
      <c r="DI179" s="350"/>
      <c r="DJ179" s="16"/>
      <c r="DK179" s="16"/>
      <c r="DL179" s="16"/>
      <c r="DM179" s="16"/>
      <c r="DN179" s="350"/>
      <c r="DO179" s="16"/>
      <c r="DP179" s="16"/>
      <c r="DQ179" s="16"/>
      <c r="DR179" s="16"/>
      <c r="DS179" s="37">
        <f>DS178/DS138</f>
        <v>0.4259581422</v>
      </c>
      <c r="DT179" s="16"/>
      <c r="DU179" s="16"/>
      <c r="DV179" s="16"/>
      <c r="DW179" s="16"/>
      <c r="DX179" s="37">
        <f t="shared" ref="DX179:FG179" si="1276">DX178/DX138</f>
        <v>0.3897866042</v>
      </c>
      <c r="DY179" s="40">
        <f t="shared" si="1276"/>
        <v>0.399888091</v>
      </c>
      <c r="DZ179" s="40">
        <f t="shared" si="1276"/>
        <v>0.3929581586</v>
      </c>
      <c r="EA179" s="40">
        <f t="shared" si="1276"/>
        <v>0.3669799755</v>
      </c>
      <c r="EB179" s="40">
        <f t="shared" si="1276"/>
        <v>0.3683393186</v>
      </c>
      <c r="EC179" s="37">
        <f t="shared" si="1276"/>
        <v>0.3823994935</v>
      </c>
      <c r="ED179" s="40">
        <f t="shared" si="1276"/>
        <v>0.3041747364</v>
      </c>
      <c r="EE179" s="40">
        <f t="shared" si="1276"/>
        <v>0.1415525114</v>
      </c>
      <c r="EF179" s="40">
        <f t="shared" si="1276"/>
        <v>0.2037173806</v>
      </c>
      <c r="EG179" s="40">
        <f t="shared" si="1276"/>
        <v>0.105509434</v>
      </c>
      <c r="EH179" s="37">
        <f t="shared" si="1276"/>
        <v>0.1976157437</v>
      </c>
      <c r="EI179" s="214" t="str">
        <f t="shared" si="1276"/>
        <v>#ERROR!</v>
      </c>
      <c r="EJ179" s="40" t="str">
        <f t="shared" si="1276"/>
        <v>#ERROR!</v>
      </c>
      <c r="EK179" s="40" t="str">
        <f t="shared" si="1276"/>
        <v>#ERROR!</v>
      </c>
      <c r="EL179" s="40" t="str">
        <f t="shared" si="1276"/>
        <v>#ERROR!</v>
      </c>
      <c r="EM179" s="37" t="str">
        <f t="shared" si="1276"/>
        <v>#ERROR!</v>
      </c>
      <c r="EN179" s="40" t="str">
        <f t="shared" si="1276"/>
        <v>#ERROR!</v>
      </c>
      <c r="EO179" s="40" t="str">
        <f t="shared" si="1276"/>
        <v>#ERROR!</v>
      </c>
      <c r="EP179" s="40" t="str">
        <f t="shared" si="1276"/>
        <v>#ERROR!</v>
      </c>
      <c r="EQ179" s="40" t="str">
        <f t="shared" si="1276"/>
        <v>#ERROR!</v>
      </c>
      <c r="ER179" s="37" t="str">
        <f t="shared" si="1276"/>
        <v>#ERROR!</v>
      </c>
      <c r="ES179" s="40" t="str">
        <f t="shared" si="1276"/>
        <v>#ERROR!</v>
      </c>
      <c r="ET179" s="40" t="str">
        <f t="shared" si="1276"/>
        <v>#ERROR!</v>
      </c>
      <c r="EU179" s="40" t="str">
        <f t="shared" si="1276"/>
        <v>#ERROR!</v>
      </c>
      <c r="EV179" s="40" t="str">
        <f t="shared" si="1276"/>
        <v>#ERROR!</v>
      </c>
      <c r="EW179" s="37" t="str">
        <f t="shared" si="1276"/>
        <v>#ERROR!</v>
      </c>
      <c r="EX179" s="40" t="str">
        <f t="shared" si="1276"/>
        <v>#ERROR!</v>
      </c>
      <c r="EY179" s="40" t="str">
        <f t="shared" si="1276"/>
        <v>#ERROR!</v>
      </c>
      <c r="EZ179" s="40" t="str">
        <f t="shared" si="1276"/>
        <v>#ERROR!</v>
      </c>
      <c r="FA179" s="40" t="str">
        <f t="shared" si="1276"/>
        <v>#ERROR!</v>
      </c>
      <c r="FB179" s="37" t="str">
        <f t="shared" si="1276"/>
        <v>#ERROR!</v>
      </c>
      <c r="FC179" s="40" t="str">
        <f t="shared" si="1276"/>
        <v>#ERROR!</v>
      </c>
      <c r="FD179" s="40" t="str">
        <f t="shared" si="1276"/>
        <v>#ERROR!</v>
      </c>
      <c r="FE179" s="40" t="str">
        <f t="shared" si="1276"/>
        <v>#ERROR!</v>
      </c>
      <c r="FF179" s="40" t="str">
        <f t="shared" si="1276"/>
        <v>#ERROR!</v>
      </c>
      <c r="FG179" s="37" t="str">
        <f t="shared" si="1276"/>
        <v>#ERROR!</v>
      </c>
      <c r="FH179" s="35"/>
      <c r="FI179" s="4"/>
      <c r="FJ179" s="4"/>
      <c r="FK179" s="45"/>
      <c r="FL179" s="4"/>
    </row>
    <row r="180" ht="12.75" customHeight="1">
      <c r="A180" s="4"/>
      <c r="B180" s="72"/>
      <c r="C180" s="45"/>
      <c r="D180" s="4"/>
      <c r="E180" s="4"/>
      <c r="F180" s="4"/>
      <c r="G180" s="4"/>
      <c r="H180" s="45"/>
      <c r="I180" s="4"/>
      <c r="J180" s="4"/>
      <c r="K180" s="4"/>
      <c r="L180" s="4"/>
      <c r="M180" s="45"/>
      <c r="N180" s="4"/>
      <c r="O180" s="4"/>
      <c r="P180" s="4"/>
      <c r="Q180" s="4"/>
      <c r="R180" s="45"/>
      <c r="S180" s="4"/>
      <c r="T180" s="4"/>
      <c r="U180" s="4"/>
      <c r="V180" s="4"/>
      <c r="W180" s="45"/>
      <c r="X180" s="4"/>
      <c r="Y180" s="4"/>
      <c r="Z180" s="4"/>
      <c r="AA180" s="4"/>
      <c r="AB180" s="45"/>
      <c r="AC180" s="4"/>
      <c r="AD180" s="4"/>
      <c r="AE180" s="4"/>
      <c r="AF180" s="4"/>
      <c r="AG180" s="45"/>
      <c r="AH180" s="4"/>
      <c r="AI180" s="4"/>
      <c r="AJ180" s="4"/>
      <c r="AK180" s="4"/>
      <c r="AL180" s="45"/>
      <c r="AM180" s="4"/>
      <c r="AN180" s="4"/>
      <c r="AO180" s="4"/>
      <c r="AP180" s="4"/>
      <c r="AQ180" s="45"/>
      <c r="AR180" s="4"/>
      <c r="AS180" s="4"/>
      <c r="AT180" s="4"/>
      <c r="AU180" s="4"/>
      <c r="AV180" s="45"/>
      <c r="AW180" s="4"/>
      <c r="AX180" s="4"/>
      <c r="AY180" s="4"/>
      <c r="AZ180" s="4"/>
      <c r="BA180" s="45"/>
      <c r="BB180" s="4"/>
      <c r="BC180" s="4"/>
      <c r="BD180" s="4"/>
      <c r="BE180" s="4"/>
      <c r="BF180" s="45"/>
      <c r="BG180" s="4"/>
      <c r="BH180" s="4"/>
      <c r="BI180" s="4"/>
      <c r="BJ180" s="4"/>
      <c r="BK180" s="45"/>
      <c r="BL180" s="4"/>
      <c r="BM180" s="4"/>
      <c r="BN180" s="4"/>
      <c r="BO180" s="4"/>
      <c r="BP180" s="45"/>
      <c r="BQ180" s="4"/>
      <c r="BR180" s="4"/>
      <c r="BS180" s="4"/>
      <c r="BT180" s="4"/>
      <c r="BU180" s="45"/>
      <c r="BV180" s="4"/>
      <c r="BW180" s="4"/>
      <c r="BX180" s="4"/>
      <c r="BY180" s="4"/>
      <c r="BZ180" s="350"/>
      <c r="CA180" s="4"/>
      <c r="CB180" s="4"/>
      <c r="CC180" s="4"/>
      <c r="CD180" s="4"/>
      <c r="CE180" s="350"/>
      <c r="CF180" s="4"/>
      <c r="CG180" s="4"/>
      <c r="CH180" s="4"/>
      <c r="CI180" s="4"/>
      <c r="CJ180" s="350"/>
      <c r="CK180" s="4"/>
      <c r="CL180" s="4"/>
      <c r="CM180" s="4"/>
      <c r="CN180" s="16"/>
      <c r="CO180" s="350"/>
      <c r="CP180" s="104"/>
      <c r="CQ180" s="104"/>
      <c r="CR180" s="104"/>
      <c r="CS180" s="104"/>
      <c r="CT180" s="350"/>
      <c r="CU180" s="4"/>
      <c r="CV180" s="4"/>
      <c r="CW180" s="4"/>
      <c r="CX180" s="4"/>
      <c r="CY180" s="350"/>
      <c r="CZ180" s="4"/>
      <c r="DA180" s="4"/>
      <c r="DB180" s="4"/>
      <c r="DC180" s="4"/>
      <c r="DD180" s="350"/>
      <c r="DE180" s="4"/>
      <c r="DF180" s="4"/>
      <c r="DG180" s="4"/>
      <c r="DH180" s="4"/>
      <c r="DI180" s="350"/>
      <c r="DJ180" s="16"/>
      <c r="DK180" s="16"/>
      <c r="DL180" s="16"/>
      <c r="DM180" s="16"/>
      <c r="DN180" s="350"/>
      <c r="DO180" s="16"/>
      <c r="DP180" s="16"/>
      <c r="DQ180" s="16"/>
      <c r="DR180" s="16"/>
      <c r="DS180" s="350"/>
      <c r="DT180" s="16"/>
      <c r="DU180" s="16"/>
      <c r="DV180" s="16"/>
      <c r="DW180" s="16"/>
      <c r="DX180" s="350"/>
      <c r="DY180" s="16"/>
      <c r="DZ180" s="16"/>
      <c r="EA180" s="16"/>
      <c r="EB180" s="16"/>
      <c r="EC180" s="350"/>
      <c r="ED180" s="16"/>
      <c r="EE180" s="16"/>
      <c r="EF180" s="16"/>
      <c r="EG180" s="16"/>
      <c r="EH180" s="350"/>
      <c r="EI180" s="214"/>
      <c r="EJ180" s="16"/>
      <c r="EK180" s="4"/>
      <c r="EL180" s="4"/>
      <c r="EM180" s="350"/>
      <c r="EN180" s="16"/>
      <c r="EO180" s="16"/>
      <c r="EP180" s="4"/>
      <c r="EQ180" s="4"/>
      <c r="ER180" s="350"/>
      <c r="ES180" s="16"/>
      <c r="ET180" s="16"/>
      <c r="EU180" s="4"/>
      <c r="EV180" s="4"/>
      <c r="EW180" s="350"/>
      <c r="EX180" s="16"/>
      <c r="EY180" s="16"/>
      <c r="EZ180" s="4"/>
      <c r="FA180" s="4"/>
      <c r="FB180" s="350"/>
      <c r="FC180" s="16"/>
      <c r="FD180" s="16"/>
      <c r="FE180" s="4"/>
      <c r="FF180" s="4"/>
      <c r="FG180" s="350"/>
      <c r="FH180" s="145"/>
      <c r="FI180" s="4"/>
      <c r="FJ180" s="4"/>
      <c r="FK180" s="45"/>
      <c r="FL180" s="4"/>
    </row>
    <row r="181" ht="12.75" customHeight="1">
      <c r="A181" s="4"/>
      <c r="B181" s="45" t="s">
        <v>165</v>
      </c>
      <c r="C181" s="45"/>
      <c r="D181" s="4"/>
      <c r="E181" s="4"/>
      <c r="F181" s="4"/>
      <c r="G181" s="4"/>
      <c r="H181" s="45"/>
      <c r="I181" s="4"/>
      <c r="J181" s="4"/>
      <c r="K181" s="4"/>
      <c r="L181" s="4"/>
      <c r="M181" s="45"/>
      <c r="N181" s="4"/>
      <c r="O181" s="4"/>
      <c r="P181" s="4"/>
      <c r="Q181" s="4"/>
      <c r="R181" s="45"/>
      <c r="S181" s="4"/>
      <c r="T181" s="4"/>
      <c r="U181" s="4"/>
      <c r="V181" s="4"/>
      <c r="W181" s="45"/>
      <c r="X181" s="4"/>
      <c r="Y181" s="4"/>
      <c r="Z181" s="4"/>
      <c r="AA181" s="4"/>
      <c r="AB181" s="45"/>
      <c r="AC181" s="4"/>
      <c r="AD181" s="4"/>
      <c r="AE181" s="4"/>
      <c r="AF181" s="4"/>
      <c r="AG181" s="45"/>
      <c r="AH181" s="4"/>
      <c r="AI181" s="4"/>
      <c r="AJ181" s="4"/>
      <c r="AK181" s="4"/>
      <c r="AL181" s="45"/>
      <c r="AM181" s="4"/>
      <c r="AN181" s="4"/>
      <c r="AO181" s="4"/>
      <c r="AP181" s="4"/>
      <c r="AQ181" s="45"/>
      <c r="AR181" s="4"/>
      <c r="AS181" s="4"/>
      <c r="AT181" s="4"/>
      <c r="AU181" s="4"/>
      <c r="AV181" s="45"/>
      <c r="AW181" s="4"/>
      <c r="AX181" s="4"/>
      <c r="AY181" s="4"/>
      <c r="AZ181" s="4"/>
      <c r="BA181" s="45"/>
      <c r="BB181" s="4"/>
      <c r="BC181" s="4"/>
      <c r="BD181" s="4"/>
      <c r="BE181" s="4"/>
      <c r="BF181" s="45"/>
      <c r="BG181" s="4"/>
      <c r="BH181" s="4"/>
      <c r="BI181" s="4"/>
      <c r="BJ181" s="4"/>
      <c r="BK181" s="45"/>
      <c r="BL181" s="4"/>
      <c r="BM181" s="4"/>
      <c r="BN181" s="4"/>
      <c r="BO181" s="4"/>
      <c r="BP181" s="45"/>
      <c r="BQ181" s="4"/>
      <c r="BR181" s="4"/>
      <c r="BS181" s="4"/>
      <c r="BT181" s="4"/>
      <c r="BU181" s="45"/>
      <c r="BV181" s="4"/>
      <c r="BW181" s="4"/>
      <c r="BX181" s="4"/>
      <c r="BY181" s="4"/>
      <c r="BZ181" s="350"/>
      <c r="CA181" s="4"/>
      <c r="CB181" s="4"/>
      <c r="CC181" s="4"/>
      <c r="CD181" s="4"/>
      <c r="CE181" s="350"/>
      <c r="CF181" s="4"/>
      <c r="CG181" s="4"/>
      <c r="CH181" s="4"/>
      <c r="CI181" s="4"/>
      <c r="CJ181" s="350"/>
      <c r="CK181" s="4"/>
      <c r="CL181" s="4"/>
      <c r="CM181" s="4"/>
      <c r="CN181" s="16"/>
      <c r="CO181" s="350"/>
      <c r="CP181" s="104"/>
      <c r="CQ181" s="104"/>
      <c r="CR181" s="104"/>
      <c r="CS181" s="104"/>
      <c r="CT181" s="350"/>
      <c r="CU181" s="4"/>
      <c r="CV181" s="4"/>
      <c r="CW181" s="4"/>
      <c r="CX181" s="4"/>
      <c r="CY181" s="350"/>
      <c r="CZ181" s="4"/>
      <c r="DA181" s="4"/>
      <c r="DB181" s="4"/>
      <c r="DC181" s="4"/>
      <c r="DD181" s="350"/>
      <c r="DE181" s="4"/>
      <c r="DF181" s="4"/>
      <c r="DG181" s="4"/>
      <c r="DH181" s="4"/>
      <c r="DI181" s="350"/>
      <c r="DJ181" s="16"/>
      <c r="DK181" s="16"/>
      <c r="DL181" s="16"/>
      <c r="DM181" s="16"/>
      <c r="DN181" s="350"/>
      <c r="DO181" s="16"/>
      <c r="DP181" s="16"/>
      <c r="DQ181" s="16"/>
      <c r="DR181" s="16"/>
      <c r="DS181" s="350"/>
      <c r="DT181" s="16"/>
      <c r="DU181" s="16"/>
      <c r="DV181" s="16"/>
      <c r="DW181" s="16"/>
      <c r="DX181" s="350"/>
      <c r="DY181" s="4"/>
      <c r="DZ181" s="4"/>
      <c r="EA181" s="4"/>
      <c r="EB181" s="4"/>
      <c r="EC181" s="350"/>
      <c r="ED181" s="4"/>
      <c r="EE181" s="4"/>
      <c r="EF181" s="4"/>
      <c r="EG181" s="4"/>
      <c r="EH181" s="353"/>
      <c r="EI181" s="354"/>
      <c r="EJ181" s="383"/>
      <c r="EK181" s="355"/>
      <c r="EL181" s="355"/>
      <c r="EM181" s="353"/>
      <c r="EN181" s="355"/>
      <c r="EO181" s="383"/>
      <c r="EP181" s="355"/>
      <c r="EQ181" s="355"/>
      <c r="ER181" s="353"/>
      <c r="ES181" s="4"/>
      <c r="ET181" s="16"/>
      <c r="EU181" s="4"/>
      <c r="EV181" s="4"/>
      <c r="EW181" s="350"/>
      <c r="EX181" s="4"/>
      <c r="EY181" s="16"/>
      <c r="EZ181" s="4"/>
      <c r="FA181" s="4"/>
      <c r="FB181" s="350"/>
      <c r="FC181" s="4"/>
      <c r="FD181" s="16"/>
      <c r="FE181" s="4"/>
      <c r="FF181" s="4"/>
      <c r="FG181" s="350"/>
      <c r="FH181" s="145"/>
      <c r="FI181" s="4"/>
      <c r="FJ181" s="4"/>
      <c r="FK181" s="45"/>
      <c r="FL181" s="4"/>
    </row>
    <row r="182" ht="12.75" customHeight="1">
      <c r="A182" s="4"/>
      <c r="B182" s="72" t="s">
        <v>144</v>
      </c>
      <c r="C182" s="45"/>
      <c r="D182" s="4"/>
      <c r="E182" s="4"/>
      <c r="F182" s="4"/>
      <c r="G182" s="4"/>
      <c r="H182" s="45"/>
      <c r="I182" s="4"/>
      <c r="J182" s="4"/>
      <c r="K182" s="4"/>
      <c r="L182" s="4"/>
      <c r="M182" s="45"/>
      <c r="N182" s="4"/>
      <c r="O182" s="4"/>
      <c r="P182" s="4"/>
      <c r="Q182" s="4"/>
      <c r="R182" s="45"/>
      <c r="S182" s="4"/>
      <c r="T182" s="4"/>
      <c r="U182" s="4"/>
      <c r="V182" s="4"/>
      <c r="W182" s="45"/>
      <c r="X182" s="4"/>
      <c r="Y182" s="4"/>
      <c r="Z182" s="4"/>
      <c r="AA182" s="4"/>
      <c r="AB182" s="45"/>
      <c r="AC182" s="4"/>
      <c r="AD182" s="4"/>
      <c r="AE182" s="4"/>
      <c r="AF182" s="4"/>
      <c r="AG182" s="45"/>
      <c r="AH182" s="4"/>
      <c r="AI182" s="4"/>
      <c r="AJ182" s="4"/>
      <c r="AK182" s="4"/>
      <c r="AL182" s="45"/>
      <c r="AM182" s="4"/>
      <c r="AN182" s="4"/>
      <c r="AO182" s="4"/>
      <c r="AP182" s="4"/>
      <c r="AQ182" s="45"/>
      <c r="AR182" s="4"/>
      <c r="AS182" s="4"/>
      <c r="AT182" s="4"/>
      <c r="AU182" s="4"/>
      <c r="AV182" s="45"/>
      <c r="AW182" s="4"/>
      <c r="AX182" s="4"/>
      <c r="AY182" s="4"/>
      <c r="AZ182" s="4"/>
      <c r="BA182" s="45"/>
      <c r="BB182" s="4"/>
      <c r="BC182" s="4"/>
      <c r="BD182" s="4"/>
      <c r="BE182" s="4"/>
      <c r="BF182" s="45"/>
      <c r="BG182" s="4"/>
      <c r="BH182" s="4"/>
      <c r="BI182" s="4"/>
      <c r="BJ182" s="4"/>
      <c r="BK182" s="45"/>
      <c r="BL182" s="4"/>
      <c r="BM182" s="4"/>
      <c r="BN182" s="4"/>
      <c r="BO182" s="4"/>
      <c r="BP182" s="45"/>
      <c r="BQ182" s="4"/>
      <c r="BR182" s="4"/>
      <c r="BS182" s="4"/>
      <c r="BT182" s="4"/>
      <c r="BU182" s="45"/>
      <c r="BV182" s="4"/>
      <c r="BW182" s="4"/>
      <c r="BX182" s="4"/>
      <c r="BY182" s="4"/>
      <c r="BZ182" s="350"/>
      <c r="CA182" s="4"/>
      <c r="CB182" s="4"/>
      <c r="CC182" s="4"/>
      <c r="CD182" s="4"/>
      <c r="CE182" s="350"/>
      <c r="CF182" s="4"/>
      <c r="CG182" s="4"/>
      <c r="CH182" s="4"/>
      <c r="CI182" s="4"/>
      <c r="CJ182" s="350"/>
      <c r="CK182" s="4"/>
      <c r="CL182" s="4"/>
      <c r="CM182" s="4"/>
      <c r="CN182" s="16"/>
      <c r="CO182" s="350"/>
      <c r="CP182" s="104"/>
      <c r="CQ182" s="104"/>
      <c r="CR182" s="104"/>
      <c r="CS182" s="104"/>
      <c r="CT182" s="350"/>
      <c r="CU182" s="4"/>
      <c r="CV182" s="4"/>
      <c r="CW182" s="4"/>
      <c r="CX182" s="4"/>
      <c r="CY182" s="350"/>
      <c r="CZ182" s="4"/>
      <c r="DA182" s="4"/>
      <c r="DB182" s="4"/>
      <c r="DC182" s="4"/>
      <c r="DD182" s="350"/>
      <c r="DE182" s="4"/>
      <c r="DF182" s="4"/>
      <c r="DG182" s="4"/>
      <c r="DH182" s="4"/>
      <c r="DI182" s="350"/>
      <c r="DJ182" s="16"/>
      <c r="DK182" s="16"/>
      <c r="DL182" s="16"/>
      <c r="DM182" s="16"/>
      <c r="DN182" s="350"/>
      <c r="DO182" s="16"/>
      <c r="DP182" s="16"/>
      <c r="DQ182" s="16"/>
      <c r="DR182" s="16"/>
      <c r="DS182" s="356">
        <v>21696.0</v>
      </c>
      <c r="DT182" s="16"/>
      <c r="DU182" s="16"/>
      <c r="DV182" s="16"/>
      <c r="DW182" s="16"/>
      <c r="DX182" s="356">
        <v>23413.0</v>
      </c>
      <c r="DY182" s="357">
        <v>4940.0</v>
      </c>
      <c r="DZ182" s="357">
        <v>5547.0</v>
      </c>
      <c r="EA182" s="357">
        <v>5778.0</v>
      </c>
      <c r="EB182" s="357">
        <v>6426.0</v>
      </c>
      <c r="EC182" s="356">
        <f>SUM(DY182:EB182)</f>
        <v>22691</v>
      </c>
      <c r="ED182" s="357">
        <v>6034.0</v>
      </c>
      <c r="EE182" s="357">
        <v>4649.0</v>
      </c>
      <c r="EF182" s="357">
        <v>4209.0</v>
      </c>
      <c r="EG182" s="357">
        <v>4304.0</v>
      </c>
      <c r="EH182" s="356">
        <f>SUM(ED182:EG182)</f>
        <v>19196</v>
      </c>
      <c r="EI182" s="358" t="str">
        <f t="shared" ref="EI182:EL182" si="1277">EI186*(EI195/1000)</f>
        <v>#ERROR!</v>
      </c>
      <c r="EJ182" s="357" t="str">
        <f t="shared" si="1277"/>
        <v>#ERROR!</v>
      </c>
      <c r="EK182" s="357" t="str">
        <f t="shared" si="1277"/>
        <v>#ERROR!</v>
      </c>
      <c r="EL182" s="357" t="str">
        <f t="shared" si="1277"/>
        <v>#ERROR!</v>
      </c>
      <c r="EM182" s="356" t="str">
        <f>SUM(EI182:EL182)</f>
        <v>#ERROR!</v>
      </c>
      <c r="EN182" s="357" t="str">
        <f t="shared" ref="EN182:EQ182" si="1278">EN186*(EN195/1000)</f>
        <v>#ERROR!</v>
      </c>
      <c r="EO182" s="357" t="str">
        <f t="shared" si="1278"/>
        <v>#ERROR!</v>
      </c>
      <c r="EP182" s="357" t="str">
        <f t="shared" si="1278"/>
        <v>#ERROR!</v>
      </c>
      <c r="EQ182" s="357" t="str">
        <f t="shared" si="1278"/>
        <v>#ERROR!</v>
      </c>
      <c r="ER182" s="356" t="str">
        <f>SUM(EN182:EQ182)</f>
        <v>#ERROR!</v>
      </c>
      <c r="ES182" s="357" t="str">
        <f t="shared" ref="ES182:EV182" si="1279">ES186*(ES195/1000)</f>
        <v>#ERROR!</v>
      </c>
      <c r="ET182" s="357" t="str">
        <f t="shared" si="1279"/>
        <v>#ERROR!</v>
      </c>
      <c r="EU182" s="357" t="str">
        <f t="shared" si="1279"/>
        <v>#ERROR!</v>
      </c>
      <c r="EV182" s="357" t="str">
        <f t="shared" si="1279"/>
        <v>#ERROR!</v>
      </c>
      <c r="EW182" s="356" t="str">
        <f>SUM(ES182:EV182)</f>
        <v>#ERROR!</v>
      </c>
      <c r="EX182" s="357" t="str">
        <f t="shared" ref="EX182:FA182" si="1280">EX186*(EX195/1000)</f>
        <v>#ERROR!</v>
      </c>
      <c r="EY182" s="357" t="str">
        <f t="shared" si="1280"/>
        <v>#ERROR!</v>
      </c>
      <c r="EZ182" s="357" t="str">
        <f t="shared" si="1280"/>
        <v>#ERROR!</v>
      </c>
      <c r="FA182" s="357" t="str">
        <f t="shared" si="1280"/>
        <v>#ERROR!</v>
      </c>
      <c r="FB182" s="356" t="str">
        <f>SUM(EX182:FA182)</f>
        <v>#ERROR!</v>
      </c>
      <c r="FC182" s="357" t="str">
        <f t="shared" ref="FC182:FF182" si="1281">FC186*(FC195/1000)</f>
        <v>#ERROR!</v>
      </c>
      <c r="FD182" s="357" t="str">
        <f t="shared" si="1281"/>
        <v>#ERROR!</v>
      </c>
      <c r="FE182" s="357" t="str">
        <f t="shared" si="1281"/>
        <v>#ERROR!</v>
      </c>
      <c r="FF182" s="357" t="str">
        <f t="shared" si="1281"/>
        <v>#ERROR!</v>
      </c>
      <c r="FG182" s="356" t="str">
        <f>SUM(FC182:FF182)</f>
        <v>#ERROR!</v>
      </c>
      <c r="FH182" s="359"/>
      <c r="FI182" s="4"/>
      <c r="FJ182" s="4"/>
      <c r="FK182" s="45"/>
      <c r="FL182" s="4"/>
    </row>
    <row r="183" ht="12.75" customHeight="1">
      <c r="A183" s="4"/>
      <c r="B183" s="72" t="s">
        <v>145</v>
      </c>
      <c r="C183" s="45"/>
      <c r="D183" s="4"/>
      <c r="E183" s="4"/>
      <c r="F183" s="4"/>
      <c r="G183" s="4"/>
      <c r="H183" s="45"/>
      <c r="I183" s="4"/>
      <c r="J183" s="4"/>
      <c r="K183" s="4"/>
      <c r="L183" s="4"/>
      <c r="M183" s="45"/>
      <c r="N183" s="4"/>
      <c r="O183" s="4"/>
      <c r="P183" s="4"/>
      <c r="Q183" s="4"/>
      <c r="R183" s="45"/>
      <c r="S183" s="4"/>
      <c r="T183" s="4"/>
      <c r="U183" s="4"/>
      <c r="V183" s="4"/>
      <c r="W183" s="45"/>
      <c r="X183" s="4"/>
      <c r="Y183" s="4"/>
      <c r="Z183" s="4"/>
      <c r="AA183" s="4"/>
      <c r="AB183" s="45"/>
      <c r="AC183" s="4"/>
      <c r="AD183" s="4"/>
      <c r="AE183" s="4"/>
      <c r="AF183" s="4"/>
      <c r="AG183" s="45"/>
      <c r="AH183" s="4"/>
      <c r="AI183" s="4"/>
      <c r="AJ183" s="4"/>
      <c r="AK183" s="4"/>
      <c r="AL183" s="45"/>
      <c r="AM183" s="4"/>
      <c r="AN183" s="4"/>
      <c r="AO183" s="4"/>
      <c r="AP183" s="4"/>
      <c r="AQ183" s="45"/>
      <c r="AR183" s="4"/>
      <c r="AS183" s="4"/>
      <c r="AT183" s="4"/>
      <c r="AU183" s="4"/>
      <c r="AV183" s="45"/>
      <c r="AW183" s="4"/>
      <c r="AX183" s="4"/>
      <c r="AY183" s="4"/>
      <c r="AZ183" s="4"/>
      <c r="BA183" s="45"/>
      <c r="BB183" s="4"/>
      <c r="BC183" s="4"/>
      <c r="BD183" s="4"/>
      <c r="BE183" s="4"/>
      <c r="BF183" s="45"/>
      <c r="BG183" s="4"/>
      <c r="BH183" s="4"/>
      <c r="BI183" s="4"/>
      <c r="BJ183" s="4"/>
      <c r="BK183" s="45"/>
      <c r="BL183" s="4"/>
      <c r="BM183" s="4"/>
      <c r="BN183" s="4"/>
      <c r="BO183" s="4"/>
      <c r="BP183" s="45"/>
      <c r="BQ183" s="4"/>
      <c r="BR183" s="4"/>
      <c r="BS183" s="4"/>
      <c r="BT183" s="4"/>
      <c r="BU183" s="45"/>
      <c r="BV183" s="4"/>
      <c r="BW183" s="4"/>
      <c r="BX183" s="4"/>
      <c r="BY183" s="4"/>
      <c r="BZ183" s="350"/>
      <c r="CA183" s="4"/>
      <c r="CB183" s="4"/>
      <c r="CC183" s="4"/>
      <c r="CD183" s="4"/>
      <c r="CE183" s="350"/>
      <c r="CF183" s="4"/>
      <c r="CG183" s="4"/>
      <c r="CH183" s="4"/>
      <c r="CI183" s="4"/>
      <c r="CJ183" s="350"/>
      <c r="CK183" s="4"/>
      <c r="CL183" s="4"/>
      <c r="CM183" s="4"/>
      <c r="CN183" s="16"/>
      <c r="CO183" s="350"/>
      <c r="CP183" s="104"/>
      <c r="CQ183" s="104"/>
      <c r="CR183" s="104"/>
      <c r="CS183" s="104"/>
      <c r="CT183" s="350"/>
      <c r="CU183" s="4"/>
      <c r="CV183" s="4"/>
      <c r="CW183" s="4"/>
      <c r="CX183" s="4"/>
      <c r="CY183" s="350"/>
      <c r="CZ183" s="4"/>
      <c r="DA183" s="4"/>
      <c r="DB183" s="4"/>
      <c r="DC183" s="4"/>
      <c r="DD183" s="350"/>
      <c r="DE183" s="4"/>
      <c r="DF183" s="4"/>
      <c r="DG183" s="4"/>
      <c r="DH183" s="4"/>
      <c r="DI183" s="350"/>
      <c r="DJ183" s="16"/>
      <c r="DK183" s="16"/>
      <c r="DL183" s="16"/>
      <c r="DM183" s="16"/>
      <c r="DN183" s="350"/>
      <c r="DO183" s="16"/>
      <c r="DP183" s="16"/>
      <c r="DQ183" s="16"/>
      <c r="DR183" s="16"/>
      <c r="DS183" s="350"/>
      <c r="DT183" s="16"/>
      <c r="DU183" s="16"/>
      <c r="DV183" s="16"/>
      <c r="DW183" s="16"/>
      <c r="DX183" s="350"/>
      <c r="DY183" s="16"/>
      <c r="DZ183" s="321">
        <f t="shared" ref="DZ183:EB183" si="1282">DZ182/DY182-1</f>
        <v>0.1228744939</v>
      </c>
      <c r="EA183" s="321">
        <f t="shared" si="1282"/>
        <v>0.04164413196</v>
      </c>
      <c r="EB183" s="321">
        <f t="shared" si="1282"/>
        <v>0.1121495327</v>
      </c>
      <c r="EC183" s="350"/>
      <c r="ED183" s="321">
        <f>ED182/EB182-1</f>
        <v>-0.06100217865</v>
      </c>
      <c r="EE183" s="321">
        <f t="shared" ref="EE183:EG183" si="1283">EE182/ED182-1</f>
        <v>-0.2295326483</v>
      </c>
      <c r="EF183" s="321">
        <f t="shared" si="1283"/>
        <v>-0.09464400946</v>
      </c>
      <c r="EG183" s="321">
        <f t="shared" si="1283"/>
        <v>0.02257068187</v>
      </c>
      <c r="EH183" s="350"/>
      <c r="EI183" s="361" t="str">
        <f>EI182/EG182-1</f>
        <v>#ERROR!</v>
      </c>
      <c r="EJ183" s="321" t="str">
        <f t="shared" ref="EJ183:EL183" si="1284">EJ182/EI182-1</f>
        <v>#ERROR!</v>
      </c>
      <c r="EK183" s="321" t="str">
        <f t="shared" si="1284"/>
        <v>#ERROR!</v>
      </c>
      <c r="EL183" s="321" t="str">
        <f t="shared" si="1284"/>
        <v>#ERROR!</v>
      </c>
      <c r="EM183" s="350"/>
      <c r="EN183" s="321" t="str">
        <f>EN182/EL182-1</f>
        <v>#ERROR!</v>
      </c>
      <c r="EO183" s="321" t="str">
        <f t="shared" ref="EO183:EQ183" si="1285">EO182/EN182-1</f>
        <v>#ERROR!</v>
      </c>
      <c r="EP183" s="321" t="str">
        <f t="shared" si="1285"/>
        <v>#ERROR!</v>
      </c>
      <c r="EQ183" s="321" t="str">
        <f t="shared" si="1285"/>
        <v>#ERROR!</v>
      </c>
      <c r="ER183" s="350"/>
      <c r="ES183" s="321" t="str">
        <f>ES182/EQ182-1</f>
        <v>#ERROR!</v>
      </c>
      <c r="ET183" s="321" t="str">
        <f t="shared" ref="ET183:EV183" si="1286">ET182/ES182-1</f>
        <v>#ERROR!</v>
      </c>
      <c r="EU183" s="321" t="str">
        <f t="shared" si="1286"/>
        <v>#ERROR!</v>
      </c>
      <c r="EV183" s="321" t="str">
        <f t="shared" si="1286"/>
        <v>#ERROR!</v>
      </c>
      <c r="EW183" s="350"/>
      <c r="EX183" s="321" t="str">
        <f>EX182/EV182-1</f>
        <v>#ERROR!</v>
      </c>
      <c r="EY183" s="321" t="str">
        <f t="shared" ref="EY183:FA183" si="1287">EY182/EX182-1</f>
        <v>#ERROR!</v>
      </c>
      <c r="EZ183" s="321" t="str">
        <f t="shared" si="1287"/>
        <v>#ERROR!</v>
      </c>
      <c r="FA183" s="321" t="str">
        <f t="shared" si="1287"/>
        <v>#ERROR!</v>
      </c>
      <c r="FB183" s="350"/>
      <c r="FC183" s="321" t="str">
        <f>FC182/FA182-1</f>
        <v>#ERROR!</v>
      </c>
      <c r="FD183" s="321" t="str">
        <f t="shared" ref="FD183:FF183" si="1288">FD182/FC182-1</f>
        <v>#ERROR!</v>
      </c>
      <c r="FE183" s="321" t="str">
        <f t="shared" si="1288"/>
        <v>#ERROR!</v>
      </c>
      <c r="FF183" s="321" t="str">
        <f t="shared" si="1288"/>
        <v>#ERROR!</v>
      </c>
      <c r="FG183" s="350"/>
      <c r="FH183" s="145"/>
      <c r="FI183" s="4"/>
      <c r="FJ183" s="4"/>
      <c r="FK183" s="45"/>
      <c r="FL183" s="4"/>
    </row>
    <row r="184" ht="12.75" customHeight="1">
      <c r="A184" s="4"/>
      <c r="B184" s="72" t="s">
        <v>146</v>
      </c>
      <c r="C184" s="45"/>
      <c r="D184" s="4"/>
      <c r="E184" s="4"/>
      <c r="F184" s="4"/>
      <c r="G184" s="4"/>
      <c r="H184" s="45"/>
      <c r="I184" s="4"/>
      <c r="J184" s="4"/>
      <c r="K184" s="4"/>
      <c r="L184" s="4"/>
      <c r="M184" s="45"/>
      <c r="N184" s="4"/>
      <c r="O184" s="4"/>
      <c r="P184" s="4"/>
      <c r="Q184" s="4"/>
      <c r="R184" s="45"/>
      <c r="S184" s="4"/>
      <c r="T184" s="4"/>
      <c r="U184" s="4"/>
      <c r="V184" s="4"/>
      <c r="W184" s="45"/>
      <c r="X184" s="4"/>
      <c r="Y184" s="4"/>
      <c r="Z184" s="4"/>
      <c r="AA184" s="4"/>
      <c r="AB184" s="45"/>
      <c r="AC184" s="4"/>
      <c r="AD184" s="4"/>
      <c r="AE184" s="4"/>
      <c r="AF184" s="4"/>
      <c r="AG184" s="45"/>
      <c r="AH184" s="4"/>
      <c r="AI184" s="4"/>
      <c r="AJ184" s="4"/>
      <c r="AK184" s="4"/>
      <c r="AL184" s="45"/>
      <c r="AM184" s="4"/>
      <c r="AN184" s="4"/>
      <c r="AO184" s="4"/>
      <c r="AP184" s="4"/>
      <c r="AQ184" s="45"/>
      <c r="AR184" s="4"/>
      <c r="AS184" s="4"/>
      <c r="AT184" s="4"/>
      <c r="AU184" s="4"/>
      <c r="AV184" s="45"/>
      <c r="AW184" s="4"/>
      <c r="AX184" s="4"/>
      <c r="AY184" s="4"/>
      <c r="AZ184" s="4"/>
      <c r="BA184" s="45"/>
      <c r="BB184" s="4"/>
      <c r="BC184" s="4"/>
      <c r="BD184" s="4"/>
      <c r="BE184" s="4"/>
      <c r="BF184" s="45"/>
      <c r="BG184" s="4"/>
      <c r="BH184" s="4"/>
      <c r="BI184" s="4"/>
      <c r="BJ184" s="4"/>
      <c r="BK184" s="45"/>
      <c r="BL184" s="4"/>
      <c r="BM184" s="4"/>
      <c r="BN184" s="4"/>
      <c r="BO184" s="4"/>
      <c r="BP184" s="45"/>
      <c r="BQ184" s="4"/>
      <c r="BR184" s="4"/>
      <c r="BS184" s="4"/>
      <c r="BT184" s="4"/>
      <c r="BU184" s="45"/>
      <c r="BV184" s="4"/>
      <c r="BW184" s="4"/>
      <c r="BX184" s="4"/>
      <c r="BY184" s="4"/>
      <c r="BZ184" s="350"/>
      <c r="CA184" s="4"/>
      <c r="CB184" s="4"/>
      <c r="CC184" s="4"/>
      <c r="CD184" s="4"/>
      <c r="CE184" s="350"/>
      <c r="CF184" s="4"/>
      <c r="CG184" s="4"/>
      <c r="CH184" s="4"/>
      <c r="CI184" s="4"/>
      <c r="CJ184" s="350"/>
      <c r="CK184" s="4"/>
      <c r="CL184" s="4"/>
      <c r="CM184" s="4"/>
      <c r="CN184" s="16"/>
      <c r="CO184" s="350"/>
      <c r="CP184" s="104"/>
      <c r="CQ184" s="104"/>
      <c r="CR184" s="104"/>
      <c r="CS184" s="104"/>
      <c r="CT184" s="350"/>
      <c r="CU184" s="4"/>
      <c r="CV184" s="4"/>
      <c r="CW184" s="4"/>
      <c r="CX184" s="4"/>
      <c r="CY184" s="350"/>
      <c r="CZ184" s="4"/>
      <c r="DA184" s="4"/>
      <c r="DB184" s="4"/>
      <c r="DC184" s="4"/>
      <c r="DD184" s="350"/>
      <c r="DE184" s="4"/>
      <c r="DF184" s="4"/>
      <c r="DG184" s="4"/>
      <c r="DH184" s="4"/>
      <c r="DI184" s="350"/>
      <c r="DJ184" s="16"/>
      <c r="DK184" s="16"/>
      <c r="DL184" s="16"/>
      <c r="DM184" s="16"/>
      <c r="DN184" s="350"/>
      <c r="DO184" s="16"/>
      <c r="DP184" s="16"/>
      <c r="DQ184" s="16"/>
      <c r="DR184" s="16"/>
      <c r="DS184" s="342"/>
      <c r="DT184" s="16"/>
      <c r="DU184" s="16"/>
      <c r="DV184" s="16"/>
      <c r="DW184" s="16"/>
      <c r="DX184" s="342">
        <f>DX182/DS182-1</f>
        <v>0.0791390118</v>
      </c>
      <c r="DY184" s="16"/>
      <c r="DZ184" s="16"/>
      <c r="EA184" s="16"/>
      <c r="EB184" s="16"/>
      <c r="EC184" s="342">
        <f t="shared" ref="EC184:FG184" si="1289">EC182/DX182-1</f>
        <v>-0.03083756887</v>
      </c>
      <c r="ED184" s="321">
        <f t="shared" si="1289"/>
        <v>0.2214574899</v>
      </c>
      <c r="EE184" s="321">
        <f t="shared" si="1289"/>
        <v>-0.1618893095</v>
      </c>
      <c r="EF184" s="321">
        <f t="shared" si="1289"/>
        <v>-0.2715472482</v>
      </c>
      <c r="EG184" s="321">
        <f t="shared" si="1289"/>
        <v>-0.3302209773</v>
      </c>
      <c r="EH184" s="342">
        <f t="shared" si="1289"/>
        <v>-0.1540258252</v>
      </c>
      <c r="EI184" s="322" t="str">
        <f t="shared" si="1289"/>
        <v>#ERROR!</v>
      </c>
      <c r="EJ184" s="321" t="str">
        <f t="shared" si="1289"/>
        <v>#ERROR!</v>
      </c>
      <c r="EK184" s="321" t="str">
        <f t="shared" si="1289"/>
        <v>#ERROR!</v>
      </c>
      <c r="EL184" s="321" t="str">
        <f t="shared" si="1289"/>
        <v>#ERROR!</v>
      </c>
      <c r="EM184" s="342" t="str">
        <f t="shared" si="1289"/>
        <v>#ERROR!</v>
      </c>
      <c r="EN184" s="321" t="str">
        <f t="shared" si="1289"/>
        <v>#ERROR!</v>
      </c>
      <c r="EO184" s="321" t="str">
        <f t="shared" si="1289"/>
        <v>#ERROR!</v>
      </c>
      <c r="EP184" s="321" t="str">
        <f t="shared" si="1289"/>
        <v>#ERROR!</v>
      </c>
      <c r="EQ184" s="321" t="str">
        <f t="shared" si="1289"/>
        <v>#ERROR!</v>
      </c>
      <c r="ER184" s="342" t="str">
        <f t="shared" si="1289"/>
        <v>#ERROR!</v>
      </c>
      <c r="ES184" s="321" t="str">
        <f t="shared" si="1289"/>
        <v>#ERROR!</v>
      </c>
      <c r="ET184" s="321" t="str">
        <f t="shared" si="1289"/>
        <v>#ERROR!</v>
      </c>
      <c r="EU184" s="321" t="str">
        <f t="shared" si="1289"/>
        <v>#ERROR!</v>
      </c>
      <c r="EV184" s="321" t="str">
        <f t="shared" si="1289"/>
        <v>#ERROR!</v>
      </c>
      <c r="EW184" s="342" t="str">
        <f t="shared" si="1289"/>
        <v>#ERROR!</v>
      </c>
      <c r="EX184" s="321" t="str">
        <f t="shared" si="1289"/>
        <v>#ERROR!</v>
      </c>
      <c r="EY184" s="321" t="str">
        <f t="shared" si="1289"/>
        <v>#ERROR!</v>
      </c>
      <c r="EZ184" s="321" t="str">
        <f t="shared" si="1289"/>
        <v>#ERROR!</v>
      </c>
      <c r="FA184" s="321" t="str">
        <f t="shared" si="1289"/>
        <v>#ERROR!</v>
      </c>
      <c r="FB184" s="342" t="str">
        <f t="shared" si="1289"/>
        <v>#ERROR!</v>
      </c>
      <c r="FC184" s="321" t="str">
        <f t="shared" si="1289"/>
        <v>#ERROR!</v>
      </c>
      <c r="FD184" s="321" t="str">
        <f t="shared" si="1289"/>
        <v>#ERROR!</v>
      </c>
      <c r="FE184" s="321" t="str">
        <f t="shared" si="1289"/>
        <v>#ERROR!</v>
      </c>
      <c r="FF184" s="321" t="str">
        <f t="shared" si="1289"/>
        <v>#ERROR!</v>
      </c>
      <c r="FG184" s="342" t="str">
        <f t="shared" si="1289"/>
        <v>#ERROR!</v>
      </c>
      <c r="FH184" s="343"/>
      <c r="FI184" s="4"/>
      <c r="FJ184" s="4"/>
      <c r="FK184" s="45"/>
      <c r="FL184" s="4"/>
    </row>
    <row r="185" ht="12.75" customHeight="1">
      <c r="A185" s="4"/>
      <c r="B185" s="84" t="s">
        <v>147</v>
      </c>
      <c r="C185" s="45"/>
      <c r="D185" s="4"/>
      <c r="E185" s="4"/>
      <c r="F185" s="4"/>
      <c r="G185" s="4"/>
      <c r="H185" s="45"/>
      <c r="I185" s="4"/>
      <c r="J185" s="4"/>
      <c r="K185" s="4"/>
      <c r="L185" s="4"/>
      <c r="M185" s="45"/>
      <c r="N185" s="4"/>
      <c r="O185" s="4"/>
      <c r="P185" s="4"/>
      <c r="Q185" s="4"/>
      <c r="R185" s="45"/>
      <c r="S185" s="4"/>
      <c r="T185" s="4"/>
      <c r="U185" s="4"/>
      <c r="V185" s="4"/>
      <c r="W185" s="45"/>
      <c r="X185" s="4"/>
      <c r="Y185" s="4"/>
      <c r="Z185" s="4"/>
      <c r="AA185" s="4"/>
      <c r="AB185" s="45"/>
      <c r="AC185" s="4"/>
      <c r="AD185" s="4"/>
      <c r="AE185" s="4"/>
      <c r="AF185" s="4"/>
      <c r="AG185" s="45"/>
      <c r="AH185" s="4"/>
      <c r="AI185" s="4"/>
      <c r="AJ185" s="4"/>
      <c r="AK185" s="4"/>
      <c r="AL185" s="45"/>
      <c r="AM185" s="4"/>
      <c r="AN185" s="4"/>
      <c r="AO185" s="4"/>
      <c r="AP185" s="4"/>
      <c r="AQ185" s="45"/>
      <c r="AR185" s="4"/>
      <c r="AS185" s="4"/>
      <c r="AT185" s="4"/>
      <c r="AU185" s="4"/>
      <c r="AV185" s="45"/>
      <c r="AW185" s="4"/>
      <c r="AX185" s="4"/>
      <c r="AY185" s="4"/>
      <c r="AZ185" s="4"/>
      <c r="BA185" s="45"/>
      <c r="BB185" s="4"/>
      <c r="BC185" s="4"/>
      <c r="BD185" s="4"/>
      <c r="BE185" s="4"/>
      <c r="BF185" s="45"/>
      <c r="BG185" s="4"/>
      <c r="BH185" s="4"/>
      <c r="BI185" s="4"/>
      <c r="BJ185" s="4"/>
      <c r="BK185" s="45"/>
      <c r="BL185" s="4"/>
      <c r="BM185" s="4"/>
      <c r="BN185" s="4"/>
      <c r="BO185" s="4"/>
      <c r="BP185" s="45"/>
      <c r="BQ185" s="4"/>
      <c r="BR185" s="4"/>
      <c r="BS185" s="4"/>
      <c r="BT185" s="4"/>
      <c r="BU185" s="45"/>
      <c r="BV185" s="4"/>
      <c r="BW185" s="4"/>
      <c r="BX185" s="4"/>
      <c r="BY185" s="4"/>
      <c r="BZ185" s="350"/>
      <c r="CA185" s="4"/>
      <c r="CB185" s="4"/>
      <c r="CC185" s="4"/>
      <c r="CD185" s="4"/>
      <c r="CE185" s="350"/>
      <c r="CF185" s="4"/>
      <c r="CG185" s="4"/>
      <c r="CH185" s="4"/>
      <c r="CI185" s="4"/>
      <c r="CJ185" s="350"/>
      <c r="CK185" s="4"/>
      <c r="CL185" s="4"/>
      <c r="CM185" s="4"/>
      <c r="CN185" s="16"/>
      <c r="CO185" s="350"/>
      <c r="CP185" s="104"/>
      <c r="CQ185" s="104"/>
      <c r="CR185" s="104"/>
      <c r="CS185" s="104"/>
      <c r="CT185" s="350"/>
      <c r="CU185" s="4"/>
      <c r="CV185" s="4"/>
      <c r="CW185" s="4"/>
      <c r="CX185" s="4"/>
      <c r="CY185" s="350"/>
      <c r="CZ185" s="4"/>
      <c r="DA185" s="4"/>
      <c r="DB185" s="4"/>
      <c r="DC185" s="4"/>
      <c r="DD185" s="350"/>
      <c r="DE185" s="4"/>
      <c r="DF185" s="4"/>
      <c r="DG185" s="4"/>
      <c r="DH185" s="4"/>
      <c r="DI185" s="350"/>
      <c r="DJ185" s="16"/>
      <c r="DK185" s="16"/>
      <c r="DL185" s="16"/>
      <c r="DM185" s="16"/>
      <c r="DN185" s="350"/>
      <c r="DO185" s="16"/>
      <c r="DP185" s="16"/>
      <c r="DQ185" s="16"/>
      <c r="DR185" s="16"/>
      <c r="DS185" s="342"/>
      <c r="DT185" s="16"/>
      <c r="DU185" s="16"/>
      <c r="DV185" s="16"/>
      <c r="DW185" s="16"/>
      <c r="DX185" s="342"/>
      <c r="DY185" s="40">
        <f t="shared" ref="DY185:EB185" si="1290">DY337</f>
        <v>-0.09504413719</v>
      </c>
      <c r="DZ185" s="40">
        <f t="shared" si="1290"/>
        <v>0.02835914565</v>
      </c>
      <c r="EA185" s="40">
        <f t="shared" si="1290"/>
        <v>0.07561353093</v>
      </c>
      <c r="EB185" s="40">
        <f t="shared" si="1290"/>
        <v>0.0498736924</v>
      </c>
      <c r="EC185" s="342"/>
      <c r="ED185" s="321"/>
      <c r="EE185" s="321"/>
      <c r="EF185" s="321"/>
      <c r="EG185" s="321"/>
      <c r="EH185" s="342"/>
      <c r="EI185" s="322"/>
      <c r="EJ185" s="321"/>
      <c r="EK185" s="321"/>
      <c r="EL185" s="321"/>
      <c r="EM185" s="342"/>
      <c r="EN185" s="321"/>
      <c r="EO185" s="321"/>
      <c r="EP185" s="321"/>
      <c r="EQ185" s="321"/>
      <c r="ER185" s="342"/>
      <c r="ES185" s="321"/>
      <c r="ET185" s="321"/>
      <c r="EU185" s="321"/>
      <c r="EV185" s="321"/>
      <c r="EW185" s="342"/>
      <c r="EX185" s="321"/>
      <c r="EY185" s="321"/>
      <c r="EZ185" s="321"/>
      <c r="FA185" s="321"/>
      <c r="FB185" s="342"/>
      <c r="FC185" s="321"/>
      <c r="FD185" s="321"/>
      <c r="FE185" s="321"/>
      <c r="FF185" s="321"/>
      <c r="FG185" s="342"/>
      <c r="FH185" s="343"/>
      <c r="FI185" s="4"/>
      <c r="FJ185" s="4"/>
      <c r="FK185" s="45"/>
      <c r="FL185" s="4"/>
    </row>
    <row r="186" ht="12.75" customHeight="1">
      <c r="A186" s="4"/>
      <c r="B186" s="215" t="s">
        <v>166</v>
      </c>
      <c r="C186" s="45"/>
      <c r="D186" s="4"/>
      <c r="E186" s="4"/>
      <c r="F186" s="4"/>
      <c r="G186" s="4"/>
      <c r="H186" s="45"/>
      <c r="I186" s="4"/>
      <c r="J186" s="4"/>
      <c r="K186" s="4"/>
      <c r="L186" s="4"/>
      <c r="M186" s="45"/>
      <c r="N186" s="4"/>
      <c r="O186" s="4"/>
      <c r="P186" s="4"/>
      <c r="Q186" s="4"/>
      <c r="R186" s="45"/>
      <c r="S186" s="4"/>
      <c r="T186" s="4"/>
      <c r="U186" s="4"/>
      <c r="V186" s="4"/>
      <c r="W186" s="45"/>
      <c r="X186" s="4"/>
      <c r="Y186" s="4"/>
      <c r="Z186" s="4"/>
      <c r="AA186" s="4"/>
      <c r="AB186" s="45"/>
      <c r="AC186" s="4"/>
      <c r="AD186" s="4"/>
      <c r="AE186" s="4"/>
      <c r="AF186" s="4"/>
      <c r="AG186" s="45"/>
      <c r="AH186" s="4"/>
      <c r="AI186" s="4"/>
      <c r="AJ186" s="4"/>
      <c r="AK186" s="4"/>
      <c r="AL186" s="45"/>
      <c r="AM186" s="4"/>
      <c r="AN186" s="4"/>
      <c r="AO186" s="4"/>
      <c r="AP186" s="4"/>
      <c r="AQ186" s="45"/>
      <c r="AR186" s="4"/>
      <c r="AS186" s="4"/>
      <c r="AT186" s="4"/>
      <c r="AU186" s="4"/>
      <c r="AV186" s="45"/>
      <c r="AW186" s="4"/>
      <c r="AX186" s="4"/>
      <c r="AY186" s="4"/>
      <c r="AZ186" s="4"/>
      <c r="BA186" s="45"/>
      <c r="BB186" s="4"/>
      <c r="BC186" s="4"/>
      <c r="BD186" s="4"/>
      <c r="BE186" s="4"/>
      <c r="BF186" s="45"/>
      <c r="BG186" s="4"/>
      <c r="BH186" s="4"/>
      <c r="BI186" s="4"/>
      <c r="BJ186" s="4"/>
      <c r="BK186" s="45"/>
      <c r="BL186" s="4"/>
      <c r="BM186" s="4"/>
      <c r="BN186" s="4"/>
      <c r="BO186" s="4"/>
      <c r="BP186" s="45"/>
      <c r="BQ186" s="4"/>
      <c r="BR186" s="4"/>
      <c r="BS186" s="4"/>
      <c r="BT186" s="4"/>
      <c r="BU186" s="45"/>
      <c r="BV186" s="4"/>
      <c r="BW186" s="4"/>
      <c r="BX186" s="4"/>
      <c r="BY186" s="4"/>
      <c r="BZ186" s="350"/>
      <c r="CA186" s="4"/>
      <c r="CB186" s="4"/>
      <c r="CC186" s="4"/>
      <c r="CD186" s="4"/>
      <c r="CE186" s="350"/>
      <c r="CF186" s="4"/>
      <c r="CG186" s="4"/>
      <c r="CH186" s="4"/>
      <c r="CI186" s="4"/>
      <c r="CJ186" s="350"/>
      <c r="CK186" s="4"/>
      <c r="CL186" s="4"/>
      <c r="CM186" s="4"/>
      <c r="CN186" s="16"/>
      <c r="CO186" s="350"/>
      <c r="CP186" s="17" t="str">
        <f t="shared" ref="CP186:CS186" si="1291">CP341</f>
        <v>#ERROR!</v>
      </c>
      <c r="CQ186" s="17" t="str">
        <f t="shared" si="1291"/>
        <v>#ERROR!</v>
      </c>
      <c r="CR186" s="17" t="str">
        <f t="shared" si="1291"/>
        <v>#ERROR!</v>
      </c>
      <c r="CS186" s="17" t="str">
        <f t="shared" si="1291"/>
        <v>#ERROR!</v>
      </c>
      <c r="CT186" s="363" t="str">
        <f>SUM(CP186:CS186)</f>
        <v>#ERROR!</v>
      </c>
      <c r="CU186" s="17" t="str">
        <f t="shared" ref="CU186:CX186" si="1292">CU341</f>
        <v>#ERROR!</v>
      </c>
      <c r="CV186" s="17" t="str">
        <f t="shared" si="1292"/>
        <v>#ERROR!</v>
      </c>
      <c r="CW186" s="17" t="str">
        <f t="shared" si="1292"/>
        <v>#ERROR!</v>
      </c>
      <c r="CX186" s="17" t="str">
        <f t="shared" si="1292"/>
        <v>#ERROR!</v>
      </c>
      <c r="CY186" s="363" t="str">
        <f>SUM(CU186:CX186)</f>
        <v>#ERROR!</v>
      </c>
      <c r="CZ186" s="17" t="str">
        <f t="shared" ref="CZ186:DC186" si="1293">CZ341</f>
        <v>#ERROR!</v>
      </c>
      <c r="DA186" s="17" t="str">
        <f t="shared" si="1293"/>
        <v>#ERROR!</v>
      </c>
      <c r="DB186" s="17" t="str">
        <f t="shared" si="1293"/>
        <v>#ERROR!</v>
      </c>
      <c r="DC186" s="17" t="str">
        <f t="shared" si="1293"/>
        <v>#ERROR!</v>
      </c>
      <c r="DD186" s="363" t="str">
        <f>SUM(CZ186:DC186)</f>
        <v>#ERROR!</v>
      </c>
      <c r="DE186" s="17" t="str">
        <f t="shared" ref="DE186:DH186" si="1294">DE341</f>
        <v>#ERROR!</v>
      </c>
      <c r="DF186" s="17" t="str">
        <f t="shared" si="1294"/>
        <v>#ERROR!</v>
      </c>
      <c r="DG186" s="17" t="str">
        <f t="shared" si="1294"/>
        <v>#ERROR!</v>
      </c>
      <c r="DH186" s="17" t="str">
        <f t="shared" si="1294"/>
        <v>#ERROR!</v>
      </c>
      <c r="DI186" s="363" t="str">
        <f>SUM(DE186:DH186)</f>
        <v>#ERROR!</v>
      </c>
      <c r="DJ186" s="17" t="str">
        <f t="shared" ref="DJ186:DM186" si="1295">DJ341</f>
        <v>#ERROR!</v>
      </c>
      <c r="DK186" s="17" t="str">
        <f t="shared" si="1295"/>
        <v>#ERROR!</v>
      </c>
      <c r="DL186" s="17" t="str">
        <f t="shared" si="1295"/>
        <v>#ERROR!</v>
      </c>
      <c r="DM186" s="17" t="str">
        <f t="shared" si="1295"/>
        <v>#ERROR!</v>
      </c>
      <c r="DN186" s="363" t="str">
        <f>SUM(DJ186:DM186)</f>
        <v>#ERROR!</v>
      </c>
      <c r="DO186" s="17" t="str">
        <f t="shared" ref="DO186:DR186" si="1296">DO341</f>
        <v>#ERROR!</v>
      </c>
      <c r="DP186" s="17" t="str">
        <f t="shared" si="1296"/>
        <v>#ERROR!</v>
      </c>
      <c r="DQ186" s="17" t="str">
        <f t="shared" si="1296"/>
        <v>#ERROR!</v>
      </c>
      <c r="DR186" s="17" t="str">
        <f t="shared" si="1296"/>
        <v>#ERROR!</v>
      </c>
      <c r="DS186" s="363" t="str">
        <f>SUM(DO186:DR186)</f>
        <v>#ERROR!</v>
      </c>
      <c r="DT186" s="17" t="str">
        <f t="shared" ref="DT186:DW186" si="1297">DT341</f>
        <v>#ERROR!</v>
      </c>
      <c r="DU186" s="17" t="str">
        <f t="shared" si="1297"/>
        <v>#ERROR!</v>
      </c>
      <c r="DV186" s="17" t="str">
        <f t="shared" si="1297"/>
        <v>#ERROR!</v>
      </c>
      <c r="DW186" s="17" t="str">
        <f t="shared" si="1297"/>
        <v>#ERROR!</v>
      </c>
      <c r="DX186" s="363" t="str">
        <f>SUM(DT186:DW186)</f>
        <v>#ERROR!</v>
      </c>
      <c r="DY186" s="17" t="str">
        <f t="shared" ref="DY186:EB186" si="1298">DY341</f>
        <v>#ERROR!</v>
      </c>
      <c r="DZ186" s="17" t="str">
        <f t="shared" si="1298"/>
        <v>#ERROR!</v>
      </c>
      <c r="EA186" s="17" t="str">
        <f t="shared" si="1298"/>
        <v>#ERROR!</v>
      </c>
      <c r="EB186" s="17" t="str">
        <f t="shared" si="1298"/>
        <v>#ERROR!</v>
      </c>
      <c r="EC186" s="363" t="str">
        <f>SUM(DY186:EB186)</f>
        <v>#ERROR!</v>
      </c>
      <c r="ED186" s="17" t="str">
        <f t="shared" ref="ED186:EG186" si="1299">DY186*(1+ED188)</f>
        <v>#ERROR!</v>
      </c>
      <c r="EE186" s="17" t="str">
        <f t="shared" si="1299"/>
        <v>#ERROR!</v>
      </c>
      <c r="EF186" s="17" t="str">
        <f t="shared" si="1299"/>
        <v>#ERROR!</v>
      </c>
      <c r="EG186" s="17" t="str">
        <f t="shared" si="1299"/>
        <v>#ERROR!</v>
      </c>
      <c r="EH186" s="363" t="str">
        <f>SUM(ED186:EG186)</f>
        <v>#ERROR!</v>
      </c>
      <c r="EI186" s="134" t="str">
        <f>EG186*(1+EI187)</f>
        <v>#ERROR!</v>
      </c>
      <c r="EJ186" s="17" t="str">
        <f t="shared" ref="EJ186:EL186" si="1300">EI186*(1+EJ187)</f>
        <v>#ERROR!</v>
      </c>
      <c r="EK186" s="17" t="str">
        <f t="shared" si="1300"/>
        <v>#ERROR!</v>
      </c>
      <c r="EL186" s="17" t="str">
        <f t="shared" si="1300"/>
        <v>#ERROR!</v>
      </c>
      <c r="EM186" s="363" t="str">
        <f>SUM(EI186:EL186)</f>
        <v>#ERROR!</v>
      </c>
      <c r="EN186" s="17" t="str">
        <f>EL186*(1+EN187)</f>
        <v>#ERROR!</v>
      </c>
      <c r="EO186" s="17" t="str">
        <f t="shared" ref="EO186:EQ186" si="1301">EN186*(1+EO187)</f>
        <v>#ERROR!</v>
      </c>
      <c r="EP186" s="17" t="str">
        <f t="shared" si="1301"/>
        <v>#ERROR!</v>
      </c>
      <c r="EQ186" s="17" t="str">
        <f t="shared" si="1301"/>
        <v>#ERROR!</v>
      </c>
      <c r="ER186" s="363" t="str">
        <f>SUM(EN186:EQ186)</f>
        <v>#ERROR!</v>
      </c>
      <c r="ES186" s="17" t="str">
        <f>EQ186*(1+ES187)</f>
        <v>#ERROR!</v>
      </c>
      <c r="ET186" s="17" t="str">
        <f t="shared" ref="ET186:EV186" si="1302">ES186*(1+ET187)</f>
        <v>#ERROR!</v>
      </c>
      <c r="EU186" s="17" t="str">
        <f t="shared" si="1302"/>
        <v>#ERROR!</v>
      </c>
      <c r="EV186" s="17" t="str">
        <f t="shared" si="1302"/>
        <v>#ERROR!</v>
      </c>
      <c r="EW186" s="363" t="str">
        <f>SUM(ES186:EV186)</f>
        <v>#ERROR!</v>
      </c>
      <c r="EX186" s="17" t="str">
        <f>EV186*(1+EX187)</f>
        <v>#ERROR!</v>
      </c>
      <c r="EY186" s="17" t="str">
        <f t="shared" ref="EY186:FA186" si="1303">EX186*(1+EY187)</f>
        <v>#ERROR!</v>
      </c>
      <c r="EZ186" s="17" t="str">
        <f t="shared" si="1303"/>
        <v>#ERROR!</v>
      </c>
      <c r="FA186" s="17" t="str">
        <f t="shared" si="1303"/>
        <v>#ERROR!</v>
      </c>
      <c r="FB186" s="363" t="str">
        <f>SUM(EX186:FA186)</f>
        <v>#ERROR!</v>
      </c>
      <c r="FC186" s="17" t="str">
        <f>FA186*(1+FC187)</f>
        <v>#ERROR!</v>
      </c>
      <c r="FD186" s="17" t="str">
        <f t="shared" ref="FD186:FF186" si="1304">FC186*(1+FD187)</f>
        <v>#ERROR!</v>
      </c>
      <c r="FE186" s="17" t="str">
        <f t="shared" si="1304"/>
        <v>#ERROR!</v>
      </c>
      <c r="FF186" s="17" t="str">
        <f t="shared" si="1304"/>
        <v>#ERROR!</v>
      </c>
      <c r="FG186" s="363" t="str">
        <f>SUM(FC186:FF186)</f>
        <v>#ERROR!</v>
      </c>
      <c r="FH186" s="364"/>
      <c r="FI186" s="4"/>
      <c r="FJ186" s="4"/>
      <c r="FK186" s="45"/>
      <c r="FL186" s="4"/>
    </row>
    <row r="187" ht="12.75" customHeight="1">
      <c r="A187" s="4"/>
      <c r="B187" s="72" t="s">
        <v>150</v>
      </c>
      <c r="C187" s="45"/>
      <c r="D187" s="4"/>
      <c r="E187" s="4"/>
      <c r="F187" s="4"/>
      <c r="G187" s="4"/>
      <c r="H187" s="45"/>
      <c r="I187" s="4"/>
      <c r="J187" s="4"/>
      <c r="K187" s="4"/>
      <c r="L187" s="4"/>
      <c r="M187" s="45"/>
      <c r="N187" s="4"/>
      <c r="O187" s="4"/>
      <c r="P187" s="4"/>
      <c r="Q187" s="4"/>
      <c r="R187" s="45"/>
      <c r="S187" s="4"/>
      <c r="T187" s="4"/>
      <c r="U187" s="4"/>
      <c r="V187" s="4"/>
      <c r="W187" s="45"/>
      <c r="X187" s="4"/>
      <c r="Y187" s="4"/>
      <c r="Z187" s="4"/>
      <c r="AA187" s="4"/>
      <c r="AB187" s="45"/>
      <c r="AC187" s="4"/>
      <c r="AD187" s="4"/>
      <c r="AE187" s="4"/>
      <c r="AF187" s="4"/>
      <c r="AG187" s="45"/>
      <c r="AH187" s="4"/>
      <c r="AI187" s="4"/>
      <c r="AJ187" s="4"/>
      <c r="AK187" s="4"/>
      <c r="AL187" s="45"/>
      <c r="AM187" s="4"/>
      <c r="AN187" s="4"/>
      <c r="AO187" s="4"/>
      <c r="AP187" s="4"/>
      <c r="AQ187" s="45"/>
      <c r="AR187" s="4"/>
      <c r="AS187" s="4"/>
      <c r="AT187" s="4"/>
      <c r="AU187" s="4"/>
      <c r="AV187" s="45"/>
      <c r="AW187" s="4"/>
      <c r="AX187" s="4"/>
      <c r="AY187" s="4"/>
      <c r="AZ187" s="4"/>
      <c r="BA187" s="45"/>
      <c r="BB187" s="4"/>
      <c r="BC187" s="4"/>
      <c r="BD187" s="4"/>
      <c r="BE187" s="4"/>
      <c r="BF187" s="45"/>
      <c r="BG187" s="4"/>
      <c r="BH187" s="4"/>
      <c r="BI187" s="4"/>
      <c r="BJ187" s="4"/>
      <c r="BK187" s="45"/>
      <c r="BL187" s="4"/>
      <c r="BM187" s="4"/>
      <c r="BN187" s="4"/>
      <c r="BO187" s="4"/>
      <c r="BP187" s="45"/>
      <c r="BQ187" s="4"/>
      <c r="BR187" s="4"/>
      <c r="BS187" s="4"/>
      <c r="BT187" s="4"/>
      <c r="BU187" s="45"/>
      <c r="BV187" s="4"/>
      <c r="BW187" s="4"/>
      <c r="BX187" s="4"/>
      <c r="BY187" s="4"/>
      <c r="BZ187" s="350"/>
      <c r="CA187" s="4"/>
      <c r="CB187" s="4"/>
      <c r="CC187" s="4"/>
      <c r="CD187" s="4"/>
      <c r="CE187" s="350"/>
      <c r="CF187" s="4"/>
      <c r="CG187" s="4"/>
      <c r="CH187" s="4"/>
      <c r="CI187" s="4"/>
      <c r="CJ187" s="350"/>
      <c r="CK187" s="4"/>
      <c r="CL187" s="4"/>
      <c r="CM187" s="4"/>
      <c r="CN187" s="16"/>
      <c r="CO187" s="350"/>
      <c r="CP187" s="15"/>
      <c r="CQ187" s="15" t="str">
        <f t="shared" ref="CQ187:CS187" si="1305">CQ186/CP186-1</f>
        <v>#ERROR!</v>
      </c>
      <c r="CR187" s="15" t="str">
        <f t="shared" si="1305"/>
        <v>#ERROR!</v>
      </c>
      <c r="CS187" s="15" t="str">
        <f t="shared" si="1305"/>
        <v>#ERROR!</v>
      </c>
      <c r="CT187" s="23"/>
      <c r="CU187" s="15" t="str">
        <f>CU186/CP186-1</f>
        <v>#ERROR!</v>
      </c>
      <c r="CV187" s="15" t="str">
        <f t="shared" ref="CV187:CX187" si="1306">CV186/CU186-1</f>
        <v>#ERROR!</v>
      </c>
      <c r="CW187" s="15" t="str">
        <f t="shared" si="1306"/>
        <v>#ERROR!</v>
      </c>
      <c r="CX187" s="15" t="str">
        <f t="shared" si="1306"/>
        <v>#ERROR!</v>
      </c>
      <c r="CY187" s="23"/>
      <c r="CZ187" s="15" t="str">
        <f>CZ186/CU186-1</f>
        <v>#ERROR!</v>
      </c>
      <c r="DA187" s="15" t="str">
        <f t="shared" ref="DA187:DC187" si="1307">DA186/CZ186-1</f>
        <v>#ERROR!</v>
      </c>
      <c r="DB187" s="15" t="str">
        <f t="shared" si="1307"/>
        <v>#ERROR!</v>
      </c>
      <c r="DC187" s="15" t="str">
        <f t="shared" si="1307"/>
        <v>#ERROR!</v>
      </c>
      <c r="DD187" s="23"/>
      <c r="DE187" s="15" t="str">
        <f>DE186/CZ186-1</f>
        <v>#ERROR!</v>
      </c>
      <c r="DF187" s="15" t="str">
        <f t="shared" ref="DF187:DH187" si="1308">DF186/DE186-1</f>
        <v>#ERROR!</v>
      </c>
      <c r="DG187" s="15" t="str">
        <f t="shared" si="1308"/>
        <v>#ERROR!</v>
      </c>
      <c r="DH187" s="15" t="str">
        <f t="shared" si="1308"/>
        <v>#ERROR!</v>
      </c>
      <c r="DI187" s="23"/>
      <c r="DJ187" s="15" t="str">
        <f>DJ186/DE186-1</f>
        <v>#ERROR!</v>
      </c>
      <c r="DK187" s="15" t="str">
        <f t="shared" ref="DK187:DM187" si="1309">DK186/DJ186-1</f>
        <v>#ERROR!</v>
      </c>
      <c r="DL187" s="15" t="str">
        <f t="shared" si="1309"/>
        <v>#ERROR!</v>
      </c>
      <c r="DM187" s="15" t="str">
        <f t="shared" si="1309"/>
        <v>#ERROR!</v>
      </c>
      <c r="DN187" s="350"/>
      <c r="DO187" s="15" t="str">
        <f>DO186/DM186-1</f>
        <v>#ERROR!</v>
      </c>
      <c r="DP187" s="15" t="str">
        <f t="shared" ref="DP187:DR187" si="1310">DP186/DO186-1</f>
        <v>#ERROR!</v>
      </c>
      <c r="DQ187" s="15" t="str">
        <f t="shared" si="1310"/>
        <v>#ERROR!</v>
      </c>
      <c r="DR187" s="15" t="str">
        <f t="shared" si="1310"/>
        <v>#ERROR!</v>
      </c>
      <c r="DS187" s="342"/>
      <c r="DT187" s="15" t="str">
        <f>DT186/DR186-1</f>
        <v>#ERROR!</v>
      </c>
      <c r="DU187" s="15" t="str">
        <f t="shared" ref="DU187:DW187" si="1311">DU186/DT186-1</f>
        <v>#ERROR!</v>
      </c>
      <c r="DV187" s="15" t="str">
        <f t="shared" si="1311"/>
        <v>#ERROR!</v>
      </c>
      <c r="DW187" s="15" t="str">
        <f t="shared" si="1311"/>
        <v>#ERROR!</v>
      </c>
      <c r="DX187" s="342"/>
      <c r="DY187" s="15" t="str">
        <f>DY186/DW186-1</f>
        <v>#ERROR!</v>
      </c>
      <c r="DZ187" s="15" t="str">
        <f t="shared" ref="DZ187:EB187" si="1312">DZ186/DY186-1</f>
        <v>#ERROR!</v>
      </c>
      <c r="EA187" s="15" t="str">
        <f t="shared" si="1312"/>
        <v>#ERROR!</v>
      </c>
      <c r="EB187" s="15" t="str">
        <f t="shared" si="1312"/>
        <v>#ERROR!</v>
      </c>
      <c r="EC187" s="342"/>
      <c r="ED187" s="15" t="str">
        <f>ED186/EB186-1</f>
        <v>#ERROR!</v>
      </c>
      <c r="EE187" s="15" t="str">
        <f t="shared" ref="EE187:EG187" si="1313">EE186/ED186-1</f>
        <v>#ERROR!</v>
      </c>
      <c r="EF187" s="15" t="str">
        <f t="shared" si="1313"/>
        <v>#ERROR!</v>
      </c>
      <c r="EG187" s="15" t="str">
        <f t="shared" si="1313"/>
        <v>#ERROR!</v>
      </c>
      <c r="EH187" s="356"/>
      <c r="EI187" s="314">
        <v>-0.1</v>
      </c>
      <c r="EJ187" s="365">
        <v>0.0</v>
      </c>
      <c r="EK187" s="365">
        <v>0.07</v>
      </c>
      <c r="EL187" s="365">
        <v>0.07</v>
      </c>
      <c r="EM187" s="356"/>
      <c r="EN187" s="365">
        <v>-0.01</v>
      </c>
      <c r="EO187" s="365">
        <v>0.02</v>
      </c>
      <c r="EP187" s="365">
        <v>0.02</v>
      </c>
      <c r="EQ187" s="365">
        <v>0.03</v>
      </c>
      <c r="ER187" s="356"/>
      <c r="ES187" s="365">
        <v>0.04</v>
      </c>
      <c r="ET187" s="365">
        <v>0.04</v>
      </c>
      <c r="EU187" s="365">
        <v>0.04</v>
      </c>
      <c r="EV187" s="365">
        <v>0.06</v>
      </c>
      <c r="EW187" s="356"/>
      <c r="EX187" s="365">
        <v>0.01</v>
      </c>
      <c r="EY187" s="365">
        <v>0.03</v>
      </c>
      <c r="EZ187" s="365">
        <v>0.03</v>
      </c>
      <c r="FA187" s="365">
        <v>0.02</v>
      </c>
      <c r="FB187" s="356"/>
      <c r="FC187" s="365">
        <v>0.03</v>
      </c>
      <c r="FD187" s="365">
        <v>0.03</v>
      </c>
      <c r="FE187" s="365">
        <v>0.03</v>
      </c>
      <c r="FF187" s="365">
        <v>0.02</v>
      </c>
      <c r="FG187" s="356"/>
      <c r="FH187" s="359"/>
      <c r="FI187" s="4"/>
      <c r="FJ187" s="4"/>
      <c r="FK187" s="45"/>
      <c r="FL187" s="4"/>
    </row>
    <row r="188" ht="12.75" customHeight="1">
      <c r="A188" s="4"/>
      <c r="B188" s="72" t="s">
        <v>146</v>
      </c>
      <c r="C188" s="45"/>
      <c r="D188" s="4"/>
      <c r="E188" s="4"/>
      <c r="F188" s="4"/>
      <c r="G188" s="4"/>
      <c r="H188" s="45"/>
      <c r="I188" s="4"/>
      <c r="J188" s="4"/>
      <c r="K188" s="4"/>
      <c r="L188" s="4"/>
      <c r="M188" s="45"/>
      <c r="N188" s="4"/>
      <c r="O188" s="4"/>
      <c r="P188" s="4"/>
      <c r="Q188" s="4"/>
      <c r="R188" s="45"/>
      <c r="S188" s="4"/>
      <c r="T188" s="4"/>
      <c r="U188" s="4"/>
      <c r="V188" s="4"/>
      <c r="W188" s="45"/>
      <c r="X188" s="4"/>
      <c r="Y188" s="4"/>
      <c r="Z188" s="4"/>
      <c r="AA188" s="4"/>
      <c r="AB188" s="45"/>
      <c r="AC188" s="4"/>
      <c r="AD188" s="4"/>
      <c r="AE188" s="4"/>
      <c r="AF188" s="4"/>
      <c r="AG188" s="45"/>
      <c r="AH188" s="4"/>
      <c r="AI188" s="4"/>
      <c r="AJ188" s="4"/>
      <c r="AK188" s="4"/>
      <c r="AL188" s="45"/>
      <c r="AM188" s="4"/>
      <c r="AN188" s="4"/>
      <c r="AO188" s="4"/>
      <c r="AP188" s="4"/>
      <c r="AQ188" s="45"/>
      <c r="AR188" s="4"/>
      <c r="AS188" s="4"/>
      <c r="AT188" s="4"/>
      <c r="AU188" s="4"/>
      <c r="AV188" s="45"/>
      <c r="AW188" s="4"/>
      <c r="AX188" s="4"/>
      <c r="AY188" s="4"/>
      <c r="AZ188" s="4"/>
      <c r="BA188" s="45"/>
      <c r="BB188" s="4"/>
      <c r="BC188" s="4"/>
      <c r="BD188" s="4"/>
      <c r="BE188" s="4"/>
      <c r="BF188" s="45"/>
      <c r="BG188" s="4"/>
      <c r="BH188" s="4"/>
      <c r="BI188" s="4"/>
      <c r="BJ188" s="4"/>
      <c r="BK188" s="45"/>
      <c r="BL188" s="4"/>
      <c r="BM188" s="4"/>
      <c r="BN188" s="4"/>
      <c r="BO188" s="4"/>
      <c r="BP188" s="45"/>
      <c r="BQ188" s="4"/>
      <c r="BR188" s="4"/>
      <c r="BS188" s="4"/>
      <c r="BT188" s="4"/>
      <c r="BU188" s="45"/>
      <c r="BV188" s="4"/>
      <c r="BW188" s="4"/>
      <c r="BX188" s="4"/>
      <c r="BY188" s="4"/>
      <c r="BZ188" s="350"/>
      <c r="CA188" s="4"/>
      <c r="CB188" s="4"/>
      <c r="CC188" s="4"/>
      <c r="CD188" s="4"/>
      <c r="CE188" s="350"/>
      <c r="CF188" s="4"/>
      <c r="CG188" s="4"/>
      <c r="CH188" s="4"/>
      <c r="CI188" s="4"/>
      <c r="CJ188" s="350"/>
      <c r="CK188" s="4"/>
      <c r="CL188" s="4"/>
      <c r="CM188" s="4"/>
      <c r="CN188" s="16"/>
      <c r="CO188" s="350"/>
      <c r="CP188" s="104"/>
      <c r="CQ188" s="104"/>
      <c r="CR188" s="104"/>
      <c r="CS188" s="104"/>
      <c r="CT188" s="350"/>
      <c r="CU188" s="15" t="str">
        <f t="shared" ref="CU188:EC188" si="1314">CU186/CP186-1</f>
        <v>#ERROR!</v>
      </c>
      <c r="CV188" s="15" t="str">
        <f t="shared" si="1314"/>
        <v>#ERROR!</v>
      </c>
      <c r="CW188" s="15" t="str">
        <f t="shared" si="1314"/>
        <v>#ERROR!</v>
      </c>
      <c r="CX188" s="15" t="str">
        <f t="shared" si="1314"/>
        <v>#ERROR!</v>
      </c>
      <c r="CY188" s="37" t="str">
        <f t="shared" si="1314"/>
        <v>#ERROR!</v>
      </c>
      <c r="CZ188" s="15" t="str">
        <f t="shared" si="1314"/>
        <v>#ERROR!</v>
      </c>
      <c r="DA188" s="15" t="str">
        <f t="shared" si="1314"/>
        <v>#ERROR!</v>
      </c>
      <c r="DB188" s="15" t="str">
        <f t="shared" si="1314"/>
        <v>#ERROR!</v>
      </c>
      <c r="DC188" s="15" t="str">
        <f t="shared" si="1314"/>
        <v>#ERROR!</v>
      </c>
      <c r="DD188" s="37" t="str">
        <f t="shared" si="1314"/>
        <v>#ERROR!</v>
      </c>
      <c r="DE188" s="15" t="str">
        <f t="shared" si="1314"/>
        <v>#ERROR!</v>
      </c>
      <c r="DF188" s="15" t="str">
        <f t="shared" si="1314"/>
        <v>#ERROR!</v>
      </c>
      <c r="DG188" s="15" t="str">
        <f t="shared" si="1314"/>
        <v>#ERROR!</v>
      </c>
      <c r="DH188" s="15" t="str">
        <f t="shared" si="1314"/>
        <v>#ERROR!</v>
      </c>
      <c r="DI188" s="37" t="str">
        <f t="shared" si="1314"/>
        <v>#ERROR!</v>
      </c>
      <c r="DJ188" s="15" t="str">
        <f t="shared" si="1314"/>
        <v>#ERROR!</v>
      </c>
      <c r="DK188" s="15" t="str">
        <f t="shared" si="1314"/>
        <v>#ERROR!</v>
      </c>
      <c r="DL188" s="15" t="str">
        <f t="shared" si="1314"/>
        <v>#ERROR!</v>
      </c>
      <c r="DM188" s="15" t="str">
        <f t="shared" si="1314"/>
        <v>#ERROR!</v>
      </c>
      <c r="DN188" s="37" t="str">
        <f t="shared" si="1314"/>
        <v>#ERROR!</v>
      </c>
      <c r="DO188" s="15" t="str">
        <f t="shared" si="1314"/>
        <v>#ERROR!</v>
      </c>
      <c r="DP188" s="15" t="str">
        <f t="shared" si="1314"/>
        <v>#ERROR!</v>
      </c>
      <c r="DQ188" s="15" t="str">
        <f t="shared" si="1314"/>
        <v>#ERROR!</v>
      </c>
      <c r="DR188" s="15" t="str">
        <f t="shared" si="1314"/>
        <v>#ERROR!</v>
      </c>
      <c r="DS188" s="37" t="str">
        <f t="shared" si="1314"/>
        <v>#ERROR!</v>
      </c>
      <c r="DT188" s="15" t="str">
        <f t="shared" si="1314"/>
        <v>#ERROR!</v>
      </c>
      <c r="DU188" s="15" t="str">
        <f t="shared" si="1314"/>
        <v>#ERROR!</v>
      </c>
      <c r="DV188" s="15" t="str">
        <f t="shared" si="1314"/>
        <v>#ERROR!</v>
      </c>
      <c r="DW188" s="15" t="str">
        <f t="shared" si="1314"/>
        <v>#ERROR!</v>
      </c>
      <c r="DX188" s="37" t="str">
        <f t="shared" si="1314"/>
        <v>#ERROR!</v>
      </c>
      <c r="DY188" s="15" t="str">
        <f t="shared" si="1314"/>
        <v>#ERROR!</v>
      </c>
      <c r="DZ188" s="15" t="str">
        <f t="shared" si="1314"/>
        <v>#ERROR!</v>
      </c>
      <c r="EA188" s="15" t="str">
        <f t="shared" si="1314"/>
        <v>#ERROR!</v>
      </c>
      <c r="EB188" s="15" t="str">
        <f t="shared" si="1314"/>
        <v>#ERROR!</v>
      </c>
      <c r="EC188" s="37" t="str">
        <f t="shared" si="1314"/>
        <v>#ERROR!</v>
      </c>
      <c r="ED188" s="365">
        <v>0.28</v>
      </c>
      <c r="EE188" s="365">
        <v>-0.12</v>
      </c>
      <c r="EF188" s="365">
        <v>-0.29</v>
      </c>
      <c r="EG188" s="365">
        <v>-0.35</v>
      </c>
      <c r="EH188" s="37" t="str">
        <f t="shared" ref="EH188:FG188" si="1315">EH186/EC186-1</f>
        <v>#ERROR!</v>
      </c>
      <c r="EI188" s="82" t="str">
        <f t="shared" si="1315"/>
        <v>#ERROR!</v>
      </c>
      <c r="EJ188" s="321" t="str">
        <f t="shared" si="1315"/>
        <v>#ERROR!</v>
      </c>
      <c r="EK188" s="321" t="str">
        <f t="shared" si="1315"/>
        <v>#ERROR!</v>
      </c>
      <c r="EL188" s="321" t="str">
        <f t="shared" si="1315"/>
        <v>#ERROR!</v>
      </c>
      <c r="EM188" s="342" t="str">
        <f t="shared" si="1315"/>
        <v>#ERROR!</v>
      </c>
      <c r="EN188" s="321" t="str">
        <f t="shared" si="1315"/>
        <v>#ERROR!</v>
      </c>
      <c r="EO188" s="321" t="str">
        <f t="shared" si="1315"/>
        <v>#ERROR!</v>
      </c>
      <c r="EP188" s="321" t="str">
        <f t="shared" si="1315"/>
        <v>#ERROR!</v>
      </c>
      <c r="EQ188" s="321" t="str">
        <f t="shared" si="1315"/>
        <v>#ERROR!</v>
      </c>
      <c r="ER188" s="342" t="str">
        <f t="shared" si="1315"/>
        <v>#ERROR!</v>
      </c>
      <c r="ES188" s="321" t="str">
        <f t="shared" si="1315"/>
        <v>#ERROR!</v>
      </c>
      <c r="ET188" s="321" t="str">
        <f t="shared" si="1315"/>
        <v>#ERROR!</v>
      </c>
      <c r="EU188" s="321" t="str">
        <f t="shared" si="1315"/>
        <v>#ERROR!</v>
      </c>
      <c r="EV188" s="321" t="str">
        <f t="shared" si="1315"/>
        <v>#ERROR!</v>
      </c>
      <c r="EW188" s="342" t="str">
        <f t="shared" si="1315"/>
        <v>#ERROR!</v>
      </c>
      <c r="EX188" s="321" t="str">
        <f t="shared" si="1315"/>
        <v>#ERROR!</v>
      </c>
      <c r="EY188" s="321" t="str">
        <f t="shared" si="1315"/>
        <v>#ERROR!</v>
      </c>
      <c r="EZ188" s="321" t="str">
        <f t="shared" si="1315"/>
        <v>#ERROR!</v>
      </c>
      <c r="FA188" s="321" t="str">
        <f t="shared" si="1315"/>
        <v>#ERROR!</v>
      </c>
      <c r="FB188" s="342" t="str">
        <f t="shared" si="1315"/>
        <v>#ERROR!</v>
      </c>
      <c r="FC188" s="321" t="str">
        <f t="shared" si="1315"/>
        <v>#ERROR!</v>
      </c>
      <c r="FD188" s="321" t="str">
        <f t="shared" si="1315"/>
        <v>#ERROR!</v>
      </c>
      <c r="FE188" s="321" t="str">
        <f t="shared" si="1315"/>
        <v>#ERROR!</v>
      </c>
      <c r="FF188" s="321" t="str">
        <f t="shared" si="1315"/>
        <v>#ERROR!</v>
      </c>
      <c r="FG188" s="342" t="str">
        <f t="shared" si="1315"/>
        <v>#ERROR!</v>
      </c>
      <c r="FH188" s="343"/>
      <c r="FI188" s="4"/>
      <c r="FJ188" s="4"/>
      <c r="FK188" s="45"/>
      <c r="FL188" s="4"/>
    </row>
    <row r="189" ht="12.75" customHeight="1">
      <c r="A189" s="366"/>
      <c r="B189" s="367" t="s">
        <v>151</v>
      </c>
      <c r="C189" s="368"/>
      <c r="D189" s="366"/>
      <c r="E189" s="366"/>
      <c r="F189" s="366"/>
      <c r="G189" s="366"/>
      <c r="H189" s="368"/>
      <c r="I189" s="366"/>
      <c r="J189" s="366"/>
      <c r="K189" s="366"/>
      <c r="L189" s="366"/>
      <c r="M189" s="368"/>
      <c r="N189" s="366"/>
      <c r="O189" s="366"/>
      <c r="P189" s="366"/>
      <c r="Q189" s="366"/>
      <c r="R189" s="368"/>
      <c r="S189" s="366"/>
      <c r="T189" s="366"/>
      <c r="U189" s="366"/>
      <c r="V189" s="366"/>
      <c r="W189" s="368"/>
      <c r="X189" s="366"/>
      <c r="Y189" s="366"/>
      <c r="Z189" s="366"/>
      <c r="AA189" s="366"/>
      <c r="AB189" s="368"/>
      <c r="AC189" s="366"/>
      <c r="AD189" s="366"/>
      <c r="AE189" s="366"/>
      <c r="AF189" s="366"/>
      <c r="AG189" s="368"/>
      <c r="AH189" s="366"/>
      <c r="AI189" s="366"/>
      <c r="AJ189" s="366"/>
      <c r="AK189" s="366"/>
      <c r="AL189" s="368"/>
      <c r="AM189" s="366"/>
      <c r="AN189" s="366"/>
      <c r="AO189" s="366"/>
      <c r="AP189" s="366"/>
      <c r="AQ189" s="368"/>
      <c r="AR189" s="366"/>
      <c r="AS189" s="366"/>
      <c r="AT189" s="366"/>
      <c r="AU189" s="366"/>
      <c r="AV189" s="368"/>
      <c r="AW189" s="366"/>
      <c r="AX189" s="366"/>
      <c r="AY189" s="366"/>
      <c r="AZ189" s="366"/>
      <c r="BA189" s="368"/>
      <c r="BB189" s="366"/>
      <c r="BC189" s="366"/>
      <c r="BD189" s="366"/>
      <c r="BE189" s="366"/>
      <c r="BF189" s="368"/>
      <c r="BG189" s="366"/>
      <c r="BH189" s="366"/>
      <c r="BI189" s="366"/>
      <c r="BJ189" s="366"/>
      <c r="BK189" s="368"/>
      <c r="BL189" s="366"/>
      <c r="BM189" s="366"/>
      <c r="BN189" s="366"/>
      <c r="BO189" s="366"/>
      <c r="BP189" s="368"/>
      <c r="BQ189" s="366"/>
      <c r="BR189" s="366"/>
      <c r="BS189" s="366"/>
      <c r="BT189" s="366"/>
      <c r="BU189" s="368"/>
      <c r="BV189" s="366"/>
      <c r="BW189" s="366"/>
      <c r="BX189" s="366"/>
      <c r="BY189" s="366"/>
      <c r="BZ189" s="369"/>
      <c r="CA189" s="366"/>
      <c r="CB189" s="366"/>
      <c r="CC189" s="366"/>
      <c r="CD189" s="366"/>
      <c r="CE189" s="369"/>
      <c r="CF189" s="366"/>
      <c r="CG189" s="366"/>
      <c r="CH189" s="366"/>
      <c r="CI189" s="366"/>
      <c r="CJ189" s="369"/>
      <c r="CK189" s="366"/>
      <c r="CL189" s="366"/>
      <c r="CM189" s="366"/>
      <c r="CN189" s="370"/>
      <c r="CO189" s="369"/>
      <c r="CP189" s="371"/>
      <c r="CQ189" s="371"/>
      <c r="CR189" s="371"/>
      <c r="CS189" s="371"/>
      <c r="CT189" s="369"/>
      <c r="CU189" s="366"/>
      <c r="CV189" s="366"/>
      <c r="CW189" s="366"/>
      <c r="CX189" s="366"/>
      <c r="CY189" s="369"/>
      <c r="CZ189" s="366"/>
      <c r="DA189" s="366"/>
      <c r="DB189" s="366"/>
      <c r="DC189" s="366"/>
      <c r="DD189" s="369"/>
      <c r="DE189" s="372" t="str">
        <f t="shared" ref="DE189:DH189" si="1316">AVERAGE(CP187,CU187,CZ187)</f>
        <v>#ERROR!</v>
      </c>
      <c r="DF189" s="372" t="str">
        <f t="shared" si="1316"/>
        <v>#ERROR!</v>
      </c>
      <c r="DG189" s="372" t="str">
        <f t="shared" si="1316"/>
        <v>#ERROR!</v>
      </c>
      <c r="DH189" s="372" t="str">
        <f t="shared" si="1316"/>
        <v>#ERROR!</v>
      </c>
      <c r="DI189" s="369"/>
      <c r="DJ189" s="372" t="str">
        <f t="shared" ref="DJ189:DM189" si="1317">AVERAGE(CU187,CZ187,DE187)</f>
        <v>#ERROR!</v>
      </c>
      <c r="DK189" s="372" t="str">
        <f t="shared" si="1317"/>
        <v>#ERROR!</v>
      </c>
      <c r="DL189" s="372" t="str">
        <f t="shared" si="1317"/>
        <v>#ERROR!</v>
      </c>
      <c r="DM189" s="372" t="str">
        <f t="shared" si="1317"/>
        <v>#ERROR!</v>
      </c>
      <c r="DN189" s="369"/>
      <c r="DO189" s="372" t="str">
        <f t="shared" ref="DO189:DR189" si="1318">AVERAGE(CZ187,DE187,DJ187)</f>
        <v>#ERROR!</v>
      </c>
      <c r="DP189" s="372" t="str">
        <f t="shared" si="1318"/>
        <v>#ERROR!</v>
      </c>
      <c r="DQ189" s="372" t="str">
        <f t="shared" si="1318"/>
        <v>#ERROR!</v>
      </c>
      <c r="DR189" s="372" t="str">
        <f t="shared" si="1318"/>
        <v>#ERROR!</v>
      </c>
      <c r="DS189" s="373"/>
      <c r="DT189" s="372" t="str">
        <f t="shared" ref="DT189:DW189" si="1319">AVERAGE(DE187,DJ187,DO187)</f>
        <v>#ERROR!</v>
      </c>
      <c r="DU189" s="372" t="str">
        <f t="shared" si="1319"/>
        <v>#ERROR!</v>
      </c>
      <c r="DV189" s="372" t="str">
        <f t="shared" si="1319"/>
        <v>#ERROR!</v>
      </c>
      <c r="DW189" s="372" t="str">
        <f t="shared" si="1319"/>
        <v>#ERROR!</v>
      </c>
      <c r="DX189" s="373"/>
      <c r="DY189" s="372" t="str">
        <f t="shared" ref="DY189:EB189" si="1320">AVERAGE(DJ187,DO187,DT187)</f>
        <v>#ERROR!</v>
      </c>
      <c r="DZ189" s="372" t="str">
        <f t="shared" si="1320"/>
        <v>#ERROR!</v>
      </c>
      <c r="EA189" s="372" t="str">
        <f t="shared" si="1320"/>
        <v>#ERROR!</v>
      </c>
      <c r="EB189" s="372" t="str">
        <f t="shared" si="1320"/>
        <v>#ERROR!</v>
      </c>
      <c r="EC189" s="373"/>
      <c r="ED189" s="85" t="str">
        <f t="shared" ref="ED189:EG189" si="1321">AVERAGE(DO187,DT187,DY187)</f>
        <v>#ERROR!</v>
      </c>
      <c r="EE189" s="85" t="str">
        <f t="shared" si="1321"/>
        <v>#ERROR!</v>
      </c>
      <c r="EF189" s="85" t="str">
        <f t="shared" si="1321"/>
        <v>#ERROR!</v>
      </c>
      <c r="EG189" s="85" t="str">
        <f t="shared" si="1321"/>
        <v>#ERROR!</v>
      </c>
      <c r="EH189" s="374"/>
      <c r="EI189" s="362" t="str">
        <f t="shared" ref="EI189:EL189" si="1322">AVERAGE(DT187,DY187,ED187)</f>
        <v>#ERROR!</v>
      </c>
      <c r="EJ189" s="372" t="str">
        <f t="shared" si="1322"/>
        <v>#ERROR!</v>
      </c>
      <c r="EK189" s="372" t="str">
        <f t="shared" si="1322"/>
        <v>#ERROR!</v>
      </c>
      <c r="EL189" s="372" t="str">
        <f t="shared" si="1322"/>
        <v>#ERROR!</v>
      </c>
      <c r="EM189" s="374"/>
      <c r="EN189" s="372" t="str">
        <f t="shared" ref="EN189:EQ189" si="1323">AVERAGE(DY187,ED187,EI187)</f>
        <v>#ERROR!</v>
      </c>
      <c r="EO189" s="372" t="str">
        <f t="shared" si="1323"/>
        <v>#ERROR!</v>
      </c>
      <c r="EP189" s="372" t="str">
        <f t="shared" si="1323"/>
        <v>#ERROR!</v>
      </c>
      <c r="EQ189" s="372" t="str">
        <f t="shared" si="1323"/>
        <v>#ERROR!</v>
      </c>
      <c r="ER189" s="374"/>
      <c r="ES189" s="372" t="str">
        <f t="shared" ref="ES189:EV189" si="1324">AVERAGE(ED187,EI187,EN187)</f>
        <v>#ERROR!</v>
      </c>
      <c r="ET189" s="372" t="str">
        <f t="shared" si="1324"/>
        <v>#ERROR!</v>
      </c>
      <c r="EU189" s="372" t="str">
        <f t="shared" si="1324"/>
        <v>#ERROR!</v>
      </c>
      <c r="EV189" s="372" t="str">
        <f t="shared" si="1324"/>
        <v>#ERROR!</v>
      </c>
      <c r="EW189" s="374"/>
      <c r="EX189" s="372">
        <f t="shared" ref="EX189:FA189" si="1325">AVERAGE(EI187,EN187,ES187)</f>
        <v>-0.02333333333</v>
      </c>
      <c r="EY189" s="372">
        <f t="shared" si="1325"/>
        <v>0.02</v>
      </c>
      <c r="EZ189" s="372">
        <f t="shared" si="1325"/>
        <v>0.04333333333</v>
      </c>
      <c r="FA189" s="372">
        <f t="shared" si="1325"/>
        <v>0.05333333333</v>
      </c>
      <c r="FB189" s="374"/>
      <c r="FC189" s="372">
        <f t="shared" ref="FC189:FF189" si="1326">AVERAGE(EN187,ES187,EX187)</f>
        <v>0.01333333333</v>
      </c>
      <c r="FD189" s="372">
        <f t="shared" si="1326"/>
        <v>0.03</v>
      </c>
      <c r="FE189" s="372">
        <f t="shared" si="1326"/>
        <v>0.03</v>
      </c>
      <c r="FF189" s="372">
        <f t="shared" si="1326"/>
        <v>0.03666666667</v>
      </c>
      <c r="FG189" s="374"/>
      <c r="FH189" s="375"/>
      <c r="FI189" s="366"/>
      <c r="FJ189" s="366"/>
      <c r="FK189" s="368"/>
      <c r="FL189" s="366"/>
    </row>
    <row r="190" ht="12.75" customHeight="1">
      <c r="A190" s="366"/>
      <c r="B190" s="84" t="s">
        <v>152</v>
      </c>
      <c r="C190" s="368"/>
      <c r="D190" s="366"/>
      <c r="E190" s="366"/>
      <c r="F190" s="366"/>
      <c r="G190" s="366"/>
      <c r="H190" s="368"/>
      <c r="I190" s="366"/>
      <c r="J190" s="366"/>
      <c r="K190" s="366"/>
      <c r="L190" s="366"/>
      <c r="M190" s="368"/>
      <c r="N190" s="366"/>
      <c r="O190" s="366"/>
      <c r="P190" s="366"/>
      <c r="Q190" s="366"/>
      <c r="R190" s="368"/>
      <c r="S190" s="366"/>
      <c r="T190" s="366"/>
      <c r="U190" s="366"/>
      <c r="V190" s="366"/>
      <c r="W190" s="368"/>
      <c r="X190" s="366"/>
      <c r="Y190" s="366"/>
      <c r="Z190" s="366"/>
      <c r="AA190" s="366"/>
      <c r="AB190" s="368"/>
      <c r="AC190" s="366"/>
      <c r="AD190" s="366"/>
      <c r="AE190" s="366"/>
      <c r="AF190" s="366"/>
      <c r="AG190" s="368"/>
      <c r="AH190" s="366"/>
      <c r="AI190" s="366"/>
      <c r="AJ190" s="366"/>
      <c r="AK190" s="366"/>
      <c r="AL190" s="368"/>
      <c r="AM190" s="366"/>
      <c r="AN190" s="366"/>
      <c r="AO190" s="366"/>
      <c r="AP190" s="366"/>
      <c r="AQ190" s="368"/>
      <c r="AR190" s="366"/>
      <c r="AS190" s="366"/>
      <c r="AT190" s="366"/>
      <c r="AU190" s="366"/>
      <c r="AV190" s="368"/>
      <c r="AW190" s="366"/>
      <c r="AX190" s="366"/>
      <c r="AY190" s="366"/>
      <c r="AZ190" s="366"/>
      <c r="BA190" s="368"/>
      <c r="BB190" s="366"/>
      <c r="BC190" s="366"/>
      <c r="BD190" s="366"/>
      <c r="BE190" s="366"/>
      <c r="BF190" s="368"/>
      <c r="BG190" s="366"/>
      <c r="BH190" s="366"/>
      <c r="BI190" s="366"/>
      <c r="BJ190" s="366"/>
      <c r="BK190" s="368"/>
      <c r="BL190" s="366"/>
      <c r="BM190" s="366"/>
      <c r="BN190" s="366"/>
      <c r="BO190" s="366"/>
      <c r="BP190" s="368"/>
      <c r="BQ190" s="366"/>
      <c r="BR190" s="366"/>
      <c r="BS190" s="366"/>
      <c r="BT190" s="366"/>
      <c r="BU190" s="368"/>
      <c r="BV190" s="366"/>
      <c r="BW190" s="366"/>
      <c r="BX190" s="366"/>
      <c r="BY190" s="366"/>
      <c r="BZ190" s="369"/>
      <c r="CA190" s="366"/>
      <c r="CB190" s="366"/>
      <c r="CC190" s="366"/>
      <c r="CD190" s="366"/>
      <c r="CE190" s="369"/>
      <c r="CF190" s="366"/>
      <c r="CG190" s="366"/>
      <c r="CH190" s="366"/>
      <c r="CI190" s="366"/>
      <c r="CJ190" s="369"/>
      <c r="CK190" s="366"/>
      <c r="CL190" s="366"/>
      <c r="CM190" s="366"/>
      <c r="CN190" s="370"/>
      <c r="CO190" s="369"/>
      <c r="CP190" s="371"/>
      <c r="CQ190" s="371"/>
      <c r="CR190" s="371"/>
      <c r="CS190" s="371"/>
      <c r="CT190" s="369"/>
      <c r="CU190" s="366"/>
      <c r="CV190" s="366"/>
      <c r="CW190" s="366"/>
      <c r="CX190" s="366"/>
      <c r="CY190" s="369"/>
      <c r="CZ190" s="376">
        <v>5366.293000000001</v>
      </c>
      <c r="DA190" s="376">
        <v>5997.882</v>
      </c>
      <c r="DB190" s="376">
        <v>6630.012882000001</v>
      </c>
      <c r="DC190" s="376">
        <v>6711.20309</v>
      </c>
      <c r="DD190" s="374"/>
      <c r="DE190" s="376">
        <v>6265.652909999999</v>
      </c>
      <c r="DF190" s="376">
        <v>6428.884800000001</v>
      </c>
      <c r="DG190" s="376">
        <v>7167.70304</v>
      </c>
      <c r="DH190" s="376">
        <v>7292.99783</v>
      </c>
      <c r="DI190" s="374"/>
      <c r="DJ190" s="376">
        <v>7164.4439999999995</v>
      </c>
      <c r="DK190" s="376">
        <v>7355.192</v>
      </c>
      <c r="DL190" s="376">
        <v>8163.897499999999</v>
      </c>
      <c r="DM190" s="376">
        <v>7992.608000000001</v>
      </c>
      <c r="DN190" s="374"/>
      <c r="DO190" s="376">
        <v>6722.0496</v>
      </c>
      <c r="DP190" s="376">
        <v>6556.8812</v>
      </c>
      <c r="DQ190" s="376">
        <v>7769.825</v>
      </c>
      <c r="DR190" s="376">
        <v>8930.0</v>
      </c>
      <c r="DS190" s="374"/>
      <c r="DT190" s="376">
        <v>8505.49944</v>
      </c>
      <c r="DU190" s="376">
        <v>8434.742399999997</v>
      </c>
      <c r="DV190" s="376">
        <v>8084.15505</v>
      </c>
      <c r="DW190" s="376">
        <v>8140.77705</v>
      </c>
      <c r="DX190" s="374"/>
      <c r="DY190" s="376">
        <v>7404.0538</v>
      </c>
      <c r="DZ190" s="376">
        <v>8316.503499999997</v>
      </c>
      <c r="EA190" s="376">
        <v>8772.7991</v>
      </c>
      <c r="EB190" s="376">
        <v>9502.78696</v>
      </c>
      <c r="EC190" s="374"/>
      <c r="ED190" s="376">
        <v>9202.1021</v>
      </c>
      <c r="EE190" s="376">
        <v>7937.631</v>
      </c>
      <c r="EF190" s="376">
        <v>6720.0</v>
      </c>
      <c r="EG190" s="376">
        <v>6619.0</v>
      </c>
      <c r="EH190" s="374"/>
      <c r="EI190" s="384">
        <v>7061.0</v>
      </c>
      <c r="EJ190" s="376">
        <v>7527.0</v>
      </c>
      <c r="EK190" s="376">
        <v>7652.0</v>
      </c>
      <c r="EL190" s="376">
        <v>7416.0</v>
      </c>
      <c r="EM190" s="374"/>
      <c r="EN190" s="372"/>
      <c r="EO190" s="372"/>
      <c r="EP190" s="372"/>
      <c r="EQ190" s="372"/>
      <c r="ER190" s="374"/>
      <c r="ES190" s="372"/>
      <c r="ET190" s="372"/>
      <c r="EU190" s="372"/>
      <c r="EV190" s="372"/>
      <c r="EW190" s="374"/>
      <c r="EX190" s="372"/>
      <c r="EY190" s="372"/>
      <c r="EZ190" s="372"/>
      <c r="FA190" s="372"/>
      <c r="FB190" s="374"/>
      <c r="FC190" s="372"/>
      <c r="FD190" s="372"/>
      <c r="FE190" s="372"/>
      <c r="FF190" s="372"/>
      <c r="FG190" s="374"/>
      <c r="FH190" s="375"/>
      <c r="FI190" s="366"/>
      <c r="FJ190" s="366"/>
      <c r="FK190" s="368"/>
      <c r="FL190" s="366"/>
    </row>
    <row r="191" ht="12.75" customHeight="1">
      <c r="A191" s="4"/>
      <c r="B191" s="84" t="s">
        <v>167</v>
      </c>
      <c r="C191" s="45"/>
      <c r="D191" s="4"/>
      <c r="E191" s="4"/>
      <c r="F191" s="4"/>
      <c r="G191" s="4"/>
      <c r="H191" s="45"/>
      <c r="I191" s="4"/>
      <c r="J191" s="4"/>
      <c r="K191" s="4"/>
      <c r="L191" s="4"/>
      <c r="M191" s="45"/>
      <c r="N191" s="4"/>
      <c r="O191" s="4"/>
      <c r="P191" s="4"/>
      <c r="Q191" s="4"/>
      <c r="R191" s="45"/>
      <c r="S191" s="4"/>
      <c r="T191" s="4"/>
      <c r="U191" s="4"/>
      <c r="V191" s="4"/>
      <c r="W191" s="45"/>
      <c r="X191" s="4"/>
      <c r="Y191" s="4"/>
      <c r="Z191" s="4"/>
      <c r="AA191" s="4"/>
      <c r="AB191" s="45"/>
      <c r="AC191" s="4"/>
      <c r="AD191" s="4"/>
      <c r="AE191" s="4"/>
      <c r="AF191" s="4"/>
      <c r="AG191" s="45"/>
      <c r="AH191" s="4"/>
      <c r="AI191" s="4"/>
      <c r="AJ191" s="4"/>
      <c r="AK191" s="4"/>
      <c r="AL191" s="45"/>
      <c r="AM191" s="4"/>
      <c r="AN191" s="4"/>
      <c r="AO191" s="4"/>
      <c r="AP191" s="4"/>
      <c r="AQ191" s="45"/>
      <c r="AR191" s="4"/>
      <c r="AS191" s="4"/>
      <c r="AT191" s="4"/>
      <c r="AU191" s="4"/>
      <c r="AV191" s="45"/>
      <c r="AW191" s="4"/>
      <c r="AX191" s="4"/>
      <c r="AY191" s="4"/>
      <c r="AZ191" s="4"/>
      <c r="BA191" s="45"/>
      <c r="BB191" s="4"/>
      <c r="BC191" s="4"/>
      <c r="BD191" s="4"/>
      <c r="BE191" s="4"/>
      <c r="BF191" s="45"/>
      <c r="BG191" s="4"/>
      <c r="BH191" s="4"/>
      <c r="BI191" s="4"/>
      <c r="BJ191" s="4"/>
      <c r="BK191" s="45"/>
      <c r="BL191" s="4"/>
      <c r="BM191" s="4"/>
      <c r="BN191" s="4"/>
      <c r="BO191" s="4"/>
      <c r="BP191" s="45"/>
      <c r="BQ191" s="4"/>
      <c r="BR191" s="4"/>
      <c r="BS191" s="4"/>
      <c r="BT191" s="4"/>
      <c r="BU191" s="45"/>
      <c r="BV191" s="4"/>
      <c r="BW191" s="4"/>
      <c r="BX191" s="4"/>
      <c r="BY191" s="4"/>
      <c r="BZ191" s="350"/>
      <c r="CA191" s="4"/>
      <c r="CB191" s="4"/>
      <c r="CC191" s="4"/>
      <c r="CD191" s="4"/>
      <c r="CE191" s="350"/>
      <c r="CF191" s="4"/>
      <c r="CG191" s="4"/>
      <c r="CH191" s="4"/>
      <c r="CI191" s="4"/>
      <c r="CJ191" s="350"/>
      <c r="CK191" s="4"/>
      <c r="CL191" s="4"/>
      <c r="CM191" s="4"/>
      <c r="CN191" s="16"/>
      <c r="CO191" s="350"/>
      <c r="CP191" s="104"/>
      <c r="CQ191" s="104"/>
      <c r="CR191" s="104"/>
      <c r="CS191" s="104"/>
      <c r="CT191" s="350"/>
      <c r="CU191" s="377">
        <f t="shared" ref="CU191:CX191" si="1327">CU345</f>
        <v>5253</v>
      </c>
      <c r="CV191" s="377">
        <f t="shared" si="1327"/>
        <v>5384</v>
      </c>
      <c r="CW191" s="377">
        <f t="shared" si="1327"/>
        <v>6381</v>
      </c>
      <c r="CX191" s="377">
        <f t="shared" si="1327"/>
        <v>6127</v>
      </c>
      <c r="CY191" s="363">
        <f>SUM(CU191:CX191)</f>
        <v>23145</v>
      </c>
      <c r="CZ191" s="377">
        <f t="shared" ref="CZ191:DC191" si="1328">CZ345</f>
        <v>5740</v>
      </c>
      <c r="DA191" s="377">
        <f t="shared" si="1328"/>
        <v>6275</v>
      </c>
      <c r="DB191" s="377">
        <f t="shared" si="1328"/>
        <v>6894</v>
      </c>
      <c r="DC191" s="377">
        <f t="shared" si="1328"/>
        <v>7060</v>
      </c>
      <c r="DD191" s="363">
        <f>SUM(CZ191:DC191)</f>
        <v>25969</v>
      </c>
      <c r="DE191" s="377">
        <f t="shared" ref="DE191:DH191" si="1329">DE345</f>
        <v>6285</v>
      </c>
      <c r="DF191" s="377">
        <f t="shared" si="1329"/>
        <v>6466</v>
      </c>
      <c r="DG191" s="377">
        <f t="shared" si="1329"/>
        <v>7216</v>
      </c>
      <c r="DH191" s="377">
        <f t="shared" si="1329"/>
        <v>7351</v>
      </c>
      <c r="DI191" s="363">
        <f>SUM(DE191:DH191)</f>
        <v>27318</v>
      </c>
      <c r="DJ191" s="377">
        <f t="shared" ref="DJ191:DM191" si="1330">DJ345</f>
        <v>7238.444</v>
      </c>
      <c r="DK191" s="377">
        <f t="shared" si="1330"/>
        <v>7459.192</v>
      </c>
      <c r="DL191" s="377">
        <f t="shared" si="1330"/>
        <v>8297.8975</v>
      </c>
      <c r="DM191" s="377">
        <f t="shared" si="1330"/>
        <v>8252.608</v>
      </c>
      <c r="DN191" s="363">
        <f>SUM(DJ191:DM191)</f>
        <v>31248.1415</v>
      </c>
      <c r="DO191" s="377">
        <f t="shared" ref="DO191:DR191" si="1331">DO345</f>
        <v>6920.0496</v>
      </c>
      <c r="DP191" s="377">
        <f t="shared" si="1331"/>
        <v>6786.8812</v>
      </c>
      <c r="DQ191" s="377">
        <f t="shared" si="1331"/>
        <v>8120.825</v>
      </c>
      <c r="DR191" s="377">
        <f t="shared" si="1331"/>
        <v>9355</v>
      </c>
      <c r="DS191" s="363">
        <f>SUM(DO191:DR191)</f>
        <v>31182.7558</v>
      </c>
      <c r="DT191" s="377">
        <f t="shared" ref="DT191:DW191" si="1332">DT345</f>
        <v>8965.49944</v>
      </c>
      <c r="DU191" s="377">
        <f t="shared" si="1332"/>
        <v>8953.7424</v>
      </c>
      <c r="DV191" s="377">
        <f t="shared" si="1332"/>
        <v>8657.15505</v>
      </c>
      <c r="DW191" s="377">
        <f t="shared" si="1332"/>
        <v>8765.77705</v>
      </c>
      <c r="DX191" s="363">
        <f>SUM(DT191:DW191)</f>
        <v>35342.17394</v>
      </c>
      <c r="DY191" s="377">
        <f t="shared" ref="DY191:EB191" si="1333">DY345</f>
        <v>8129.0538</v>
      </c>
      <c r="DZ191" s="377">
        <f t="shared" si="1333"/>
        <v>9191.5035</v>
      </c>
      <c r="EA191" s="377">
        <f t="shared" si="1333"/>
        <v>9767.7991</v>
      </c>
      <c r="EB191" s="377">
        <f t="shared" si="1333"/>
        <v>10645.78696</v>
      </c>
      <c r="EC191" s="363">
        <f>SUM(DY191:EB191)</f>
        <v>37734.14336</v>
      </c>
      <c r="ED191" s="377">
        <f t="shared" ref="ED191:EG191" si="1334">ED345</f>
        <v>10414.1021</v>
      </c>
      <c r="EE191" s="377">
        <f t="shared" si="1334"/>
        <v>9219.631</v>
      </c>
      <c r="EF191" s="377">
        <f t="shared" si="1334"/>
        <v>8146</v>
      </c>
      <c r="EG191" s="377">
        <f t="shared" si="1334"/>
        <v>8052</v>
      </c>
      <c r="EH191" s="363">
        <f>SUM(ED191:EG191)</f>
        <v>35831.7331</v>
      </c>
      <c r="EI191" s="131">
        <v>7600.0</v>
      </c>
      <c r="EJ191" s="385">
        <v>7500.0</v>
      </c>
      <c r="EK191" s="385">
        <v>8500.0</v>
      </c>
      <c r="EL191" s="385">
        <v>9000.0</v>
      </c>
      <c r="EM191" s="363">
        <f>SUM(EI191:EL191)</f>
        <v>32600</v>
      </c>
      <c r="EN191" s="321"/>
      <c r="EO191" s="321"/>
      <c r="EP191" s="321"/>
      <c r="EQ191" s="321"/>
      <c r="ER191" s="342"/>
      <c r="ES191" s="321"/>
      <c r="ET191" s="321"/>
      <c r="EU191" s="321"/>
      <c r="EV191" s="321"/>
      <c r="EW191" s="342"/>
      <c r="EX191" s="321"/>
      <c r="EY191" s="321"/>
      <c r="EZ191" s="321"/>
      <c r="FA191" s="321"/>
      <c r="FB191" s="342"/>
      <c r="FC191" s="321"/>
      <c r="FD191" s="321"/>
      <c r="FE191" s="321"/>
      <c r="FF191" s="321"/>
      <c r="FG191" s="342"/>
      <c r="FH191" s="343"/>
      <c r="FI191" s="4"/>
      <c r="FJ191" s="4"/>
      <c r="FK191" s="45"/>
      <c r="FL191" s="4"/>
    </row>
    <row r="192" ht="12.75" customHeight="1">
      <c r="A192" s="4"/>
      <c r="B192" s="84" t="s">
        <v>168</v>
      </c>
      <c r="C192" s="45"/>
      <c r="D192" s="4"/>
      <c r="E192" s="4"/>
      <c r="F192" s="4"/>
      <c r="G192" s="4"/>
      <c r="H192" s="45"/>
      <c r="I192" s="4"/>
      <c r="J192" s="4"/>
      <c r="K192" s="4"/>
      <c r="L192" s="4"/>
      <c r="M192" s="45"/>
      <c r="N192" s="4"/>
      <c r="O192" s="4"/>
      <c r="P192" s="4"/>
      <c r="Q192" s="4"/>
      <c r="R192" s="45"/>
      <c r="S192" s="4"/>
      <c r="T192" s="4"/>
      <c r="U192" s="4"/>
      <c r="V192" s="4"/>
      <c r="W192" s="45"/>
      <c r="X192" s="4"/>
      <c r="Y192" s="4"/>
      <c r="Z192" s="4"/>
      <c r="AA192" s="4"/>
      <c r="AB192" s="45"/>
      <c r="AC192" s="4"/>
      <c r="AD192" s="4"/>
      <c r="AE192" s="4"/>
      <c r="AF192" s="4"/>
      <c r="AG192" s="45"/>
      <c r="AH192" s="4"/>
      <c r="AI192" s="4"/>
      <c r="AJ192" s="4"/>
      <c r="AK192" s="4"/>
      <c r="AL192" s="45"/>
      <c r="AM192" s="4"/>
      <c r="AN192" s="4"/>
      <c r="AO192" s="4"/>
      <c r="AP192" s="4"/>
      <c r="AQ192" s="45"/>
      <c r="AR192" s="4"/>
      <c r="AS192" s="4"/>
      <c r="AT192" s="4"/>
      <c r="AU192" s="4"/>
      <c r="AV192" s="45"/>
      <c r="AW192" s="4"/>
      <c r="AX192" s="4"/>
      <c r="AY192" s="4"/>
      <c r="AZ192" s="4"/>
      <c r="BA192" s="45"/>
      <c r="BB192" s="4"/>
      <c r="BC192" s="4"/>
      <c r="BD192" s="4"/>
      <c r="BE192" s="4"/>
      <c r="BF192" s="45"/>
      <c r="BG192" s="4"/>
      <c r="BH192" s="4"/>
      <c r="BI192" s="4"/>
      <c r="BJ192" s="4"/>
      <c r="BK192" s="45"/>
      <c r="BL192" s="4"/>
      <c r="BM192" s="4"/>
      <c r="BN192" s="4"/>
      <c r="BO192" s="4"/>
      <c r="BP192" s="45"/>
      <c r="BQ192" s="4"/>
      <c r="BR192" s="4"/>
      <c r="BS192" s="4"/>
      <c r="BT192" s="4"/>
      <c r="BU192" s="45"/>
      <c r="BV192" s="4"/>
      <c r="BW192" s="4"/>
      <c r="BX192" s="4"/>
      <c r="BY192" s="4"/>
      <c r="BZ192" s="350"/>
      <c r="CA192" s="4"/>
      <c r="CB192" s="4"/>
      <c r="CC192" s="4"/>
      <c r="CD192" s="4"/>
      <c r="CE192" s="350"/>
      <c r="CF192" s="4"/>
      <c r="CG192" s="4"/>
      <c r="CH192" s="4"/>
      <c r="CI192" s="4"/>
      <c r="CJ192" s="350"/>
      <c r="CK192" s="4"/>
      <c r="CL192" s="4"/>
      <c r="CM192" s="4"/>
      <c r="CN192" s="16"/>
      <c r="CO192" s="350"/>
      <c r="CP192" s="104"/>
      <c r="CQ192" s="104"/>
      <c r="CR192" s="104"/>
      <c r="CS192" s="104"/>
      <c r="CT192" s="350"/>
      <c r="CU192" s="377"/>
      <c r="CV192" s="377"/>
      <c r="CW192" s="377"/>
      <c r="CX192" s="377"/>
      <c r="CY192" s="363"/>
      <c r="CZ192" s="377"/>
      <c r="DA192" s="377"/>
      <c r="DB192" s="377"/>
      <c r="DC192" s="377"/>
      <c r="DD192" s="363"/>
      <c r="DE192" s="377"/>
      <c r="DF192" s="377"/>
      <c r="DG192" s="377"/>
      <c r="DH192" s="377"/>
      <c r="DI192" s="363"/>
      <c r="DJ192" s="377"/>
      <c r="DK192" s="377"/>
      <c r="DL192" s="377"/>
      <c r="DM192" s="377"/>
      <c r="DN192" s="363"/>
      <c r="DO192" s="377"/>
      <c r="DP192" s="377"/>
      <c r="DQ192" s="377"/>
      <c r="DR192" s="377"/>
      <c r="DS192" s="363"/>
      <c r="DT192" s="377"/>
      <c r="DU192" s="377"/>
      <c r="DV192" s="377"/>
      <c r="DW192" s="377"/>
      <c r="DX192" s="363"/>
      <c r="DY192" s="377"/>
      <c r="DZ192" s="377"/>
      <c r="EA192" s="377"/>
      <c r="EB192" s="377"/>
      <c r="EC192" s="363"/>
      <c r="ED192" s="377"/>
      <c r="EE192" s="377"/>
      <c r="EF192" s="377"/>
      <c r="EG192" s="377"/>
      <c r="EH192" s="363"/>
      <c r="EI192" s="386">
        <f>EI191/EG191-1</f>
        <v>-0.05613512171</v>
      </c>
      <c r="EJ192" s="326">
        <f t="shared" ref="EJ192:EL192" si="1335">EJ191/EI191-1</f>
        <v>-0.01315789474</v>
      </c>
      <c r="EK192" s="326">
        <f t="shared" si="1335"/>
        <v>0.1333333333</v>
      </c>
      <c r="EL192" s="326">
        <f t="shared" si="1335"/>
        <v>0.05882352941</v>
      </c>
      <c r="EM192" s="363"/>
      <c r="EN192" s="321"/>
      <c r="EO192" s="321"/>
      <c r="EP192" s="321"/>
      <c r="EQ192" s="321"/>
      <c r="ER192" s="342"/>
      <c r="ES192" s="321"/>
      <c r="ET192" s="321"/>
      <c r="EU192" s="321"/>
      <c r="EV192" s="321"/>
      <c r="EW192" s="342"/>
      <c r="EX192" s="321"/>
      <c r="EY192" s="321"/>
      <c r="EZ192" s="321"/>
      <c r="FA192" s="321"/>
      <c r="FB192" s="342"/>
      <c r="FC192" s="321"/>
      <c r="FD192" s="321"/>
      <c r="FE192" s="321"/>
      <c r="FF192" s="321"/>
      <c r="FG192" s="342"/>
      <c r="FH192" s="343"/>
      <c r="FI192" s="4"/>
      <c r="FJ192" s="4"/>
      <c r="FK192" s="45"/>
      <c r="FL192" s="4"/>
    </row>
    <row r="193" ht="12.75" customHeight="1">
      <c r="A193" s="4"/>
      <c r="B193" s="84" t="s">
        <v>169</v>
      </c>
      <c r="C193" s="45"/>
      <c r="D193" s="4"/>
      <c r="E193" s="4"/>
      <c r="F193" s="4"/>
      <c r="G193" s="4"/>
      <c r="H193" s="45"/>
      <c r="I193" s="4"/>
      <c r="J193" s="4"/>
      <c r="K193" s="4"/>
      <c r="L193" s="4"/>
      <c r="M193" s="45"/>
      <c r="N193" s="4"/>
      <c r="O193" s="4"/>
      <c r="P193" s="4"/>
      <c r="Q193" s="4"/>
      <c r="R193" s="45"/>
      <c r="S193" s="4"/>
      <c r="T193" s="4"/>
      <c r="U193" s="4"/>
      <c r="V193" s="4"/>
      <c r="W193" s="45"/>
      <c r="X193" s="4"/>
      <c r="Y193" s="4"/>
      <c r="Z193" s="4"/>
      <c r="AA193" s="4"/>
      <c r="AB193" s="45"/>
      <c r="AC193" s="4"/>
      <c r="AD193" s="4"/>
      <c r="AE193" s="4"/>
      <c r="AF193" s="4"/>
      <c r="AG193" s="45"/>
      <c r="AH193" s="4"/>
      <c r="AI193" s="4"/>
      <c r="AJ193" s="4"/>
      <c r="AK193" s="4"/>
      <c r="AL193" s="45"/>
      <c r="AM193" s="4"/>
      <c r="AN193" s="4"/>
      <c r="AO193" s="4"/>
      <c r="AP193" s="4"/>
      <c r="AQ193" s="45"/>
      <c r="AR193" s="4"/>
      <c r="AS193" s="4"/>
      <c r="AT193" s="4"/>
      <c r="AU193" s="4"/>
      <c r="AV193" s="45"/>
      <c r="AW193" s="4"/>
      <c r="AX193" s="4"/>
      <c r="AY193" s="4"/>
      <c r="AZ193" s="4"/>
      <c r="BA193" s="45"/>
      <c r="BB193" s="4"/>
      <c r="BC193" s="4"/>
      <c r="BD193" s="4"/>
      <c r="BE193" s="4"/>
      <c r="BF193" s="45"/>
      <c r="BG193" s="4"/>
      <c r="BH193" s="4"/>
      <c r="BI193" s="4"/>
      <c r="BJ193" s="4"/>
      <c r="BK193" s="45"/>
      <c r="BL193" s="4"/>
      <c r="BM193" s="4"/>
      <c r="BN193" s="4"/>
      <c r="BO193" s="4"/>
      <c r="BP193" s="45"/>
      <c r="BQ193" s="4"/>
      <c r="BR193" s="4"/>
      <c r="BS193" s="4"/>
      <c r="BT193" s="4"/>
      <c r="BU193" s="45"/>
      <c r="BV193" s="4"/>
      <c r="BW193" s="4"/>
      <c r="BX193" s="4"/>
      <c r="BY193" s="4"/>
      <c r="BZ193" s="350"/>
      <c r="CA193" s="4"/>
      <c r="CB193" s="4"/>
      <c r="CC193" s="4"/>
      <c r="CD193" s="4"/>
      <c r="CE193" s="350"/>
      <c r="CF193" s="4"/>
      <c r="CG193" s="4"/>
      <c r="CH193" s="4"/>
      <c r="CI193" s="4"/>
      <c r="CJ193" s="350"/>
      <c r="CK193" s="4"/>
      <c r="CL193" s="4"/>
      <c r="CM193" s="4"/>
      <c r="CN193" s="16"/>
      <c r="CO193" s="350"/>
      <c r="CP193" s="104"/>
      <c r="CQ193" s="104"/>
      <c r="CR193" s="104"/>
      <c r="CS193" s="104"/>
      <c r="CT193" s="350"/>
      <c r="CU193" s="377"/>
      <c r="CV193" s="377"/>
      <c r="CW193" s="377"/>
      <c r="CX193" s="377"/>
      <c r="CY193" s="363"/>
      <c r="CZ193" s="377"/>
      <c r="DA193" s="377"/>
      <c r="DB193" s="377"/>
      <c r="DC193" s="377"/>
      <c r="DD193" s="363"/>
      <c r="DE193" s="377"/>
      <c r="DF193" s="377"/>
      <c r="DG193" s="377"/>
      <c r="DH193" s="377"/>
      <c r="DI193" s="363"/>
      <c r="DJ193" s="377"/>
      <c r="DK193" s="377"/>
      <c r="DL193" s="377"/>
      <c r="DM193" s="377"/>
      <c r="DN193" s="363"/>
      <c r="DO193" s="377"/>
      <c r="DP193" s="377"/>
      <c r="DQ193" s="377"/>
      <c r="DR193" s="377"/>
      <c r="DS193" s="363"/>
      <c r="DT193" s="377"/>
      <c r="DU193" s="377"/>
      <c r="DV193" s="377"/>
      <c r="DW193" s="377"/>
      <c r="DX193" s="363"/>
      <c r="DY193" s="377"/>
      <c r="DZ193" s="377"/>
      <c r="EA193" s="377"/>
      <c r="EB193" s="377"/>
      <c r="EC193" s="363"/>
      <c r="ED193" s="377"/>
      <c r="EE193" s="377"/>
      <c r="EF193" s="377"/>
      <c r="EG193" s="377"/>
      <c r="EH193" s="363"/>
      <c r="EI193" s="386">
        <f t="shared" ref="EI193:EL193" si="1336">EI191/ED191-1</f>
        <v>-0.2702203294</v>
      </c>
      <c r="EJ193" s="326">
        <f t="shared" si="1336"/>
        <v>-0.1865184192</v>
      </c>
      <c r="EK193" s="326">
        <f t="shared" si="1336"/>
        <v>0.04345691137</v>
      </c>
      <c r="EL193" s="326">
        <f t="shared" si="1336"/>
        <v>0.1177347243</v>
      </c>
      <c r="EM193" s="363"/>
      <c r="EN193" s="321"/>
      <c r="EO193" s="321"/>
      <c r="EP193" s="321"/>
      <c r="EQ193" s="321"/>
      <c r="ER193" s="342"/>
      <c r="ES193" s="321"/>
      <c r="ET193" s="321"/>
      <c r="EU193" s="321"/>
      <c r="EV193" s="321"/>
      <c r="EW193" s="342"/>
      <c r="EX193" s="321"/>
      <c r="EY193" s="321"/>
      <c r="EZ193" s="321"/>
      <c r="FA193" s="321"/>
      <c r="FB193" s="342"/>
      <c r="FC193" s="321"/>
      <c r="FD193" s="321"/>
      <c r="FE193" s="321"/>
      <c r="FF193" s="321"/>
      <c r="FG193" s="342"/>
      <c r="FH193" s="343"/>
      <c r="FI193" s="4"/>
      <c r="FJ193" s="4"/>
      <c r="FK193" s="45"/>
      <c r="FL193" s="4"/>
    </row>
    <row r="194" ht="12.75" customHeight="1">
      <c r="A194" s="4"/>
      <c r="B194" s="84" t="s">
        <v>170</v>
      </c>
      <c r="C194" s="45"/>
      <c r="D194" s="4"/>
      <c r="E194" s="4"/>
      <c r="F194" s="4"/>
      <c r="G194" s="4"/>
      <c r="H194" s="45"/>
      <c r="I194" s="4"/>
      <c r="J194" s="4"/>
      <c r="K194" s="4"/>
      <c r="L194" s="4"/>
      <c r="M194" s="45"/>
      <c r="N194" s="4"/>
      <c r="O194" s="4"/>
      <c r="P194" s="4"/>
      <c r="Q194" s="4"/>
      <c r="R194" s="45"/>
      <c r="S194" s="4"/>
      <c r="T194" s="4"/>
      <c r="U194" s="4"/>
      <c r="V194" s="4"/>
      <c r="W194" s="45"/>
      <c r="X194" s="4"/>
      <c r="Y194" s="4"/>
      <c r="Z194" s="4"/>
      <c r="AA194" s="4"/>
      <c r="AB194" s="45"/>
      <c r="AC194" s="4"/>
      <c r="AD194" s="4"/>
      <c r="AE194" s="4"/>
      <c r="AF194" s="4"/>
      <c r="AG194" s="45"/>
      <c r="AH194" s="4"/>
      <c r="AI194" s="4"/>
      <c r="AJ194" s="4"/>
      <c r="AK194" s="4"/>
      <c r="AL194" s="45"/>
      <c r="AM194" s="4"/>
      <c r="AN194" s="4"/>
      <c r="AO194" s="4"/>
      <c r="AP194" s="4"/>
      <c r="AQ194" s="45"/>
      <c r="AR194" s="4"/>
      <c r="AS194" s="4"/>
      <c r="AT194" s="4"/>
      <c r="AU194" s="4"/>
      <c r="AV194" s="45"/>
      <c r="AW194" s="4"/>
      <c r="AX194" s="4"/>
      <c r="AY194" s="4"/>
      <c r="AZ194" s="4"/>
      <c r="BA194" s="45"/>
      <c r="BB194" s="4"/>
      <c r="BC194" s="4"/>
      <c r="BD194" s="4"/>
      <c r="BE194" s="4"/>
      <c r="BF194" s="45"/>
      <c r="BG194" s="4"/>
      <c r="BH194" s="4"/>
      <c r="BI194" s="4"/>
      <c r="BJ194" s="4"/>
      <c r="BK194" s="45"/>
      <c r="BL194" s="4"/>
      <c r="BM194" s="4"/>
      <c r="BN194" s="4"/>
      <c r="BO194" s="4"/>
      <c r="BP194" s="45"/>
      <c r="BQ194" s="4"/>
      <c r="BR194" s="4"/>
      <c r="BS194" s="4"/>
      <c r="BT194" s="4"/>
      <c r="BU194" s="45"/>
      <c r="BV194" s="4"/>
      <c r="BW194" s="4"/>
      <c r="BX194" s="4"/>
      <c r="BY194" s="4"/>
      <c r="BZ194" s="350"/>
      <c r="CA194" s="4"/>
      <c r="CB194" s="4"/>
      <c r="CC194" s="4"/>
      <c r="CD194" s="4"/>
      <c r="CE194" s="350"/>
      <c r="CF194" s="4"/>
      <c r="CG194" s="4"/>
      <c r="CH194" s="4"/>
      <c r="CI194" s="4"/>
      <c r="CJ194" s="350"/>
      <c r="CK194" s="4"/>
      <c r="CL194" s="4"/>
      <c r="CM194" s="4"/>
      <c r="CN194" s="16"/>
      <c r="CO194" s="350"/>
      <c r="CP194" s="104"/>
      <c r="CQ194" s="104"/>
      <c r="CR194" s="104"/>
      <c r="CS194" s="104"/>
      <c r="CT194" s="350"/>
      <c r="CU194" s="4"/>
      <c r="CV194" s="4"/>
      <c r="CW194" s="4"/>
      <c r="CX194" s="4"/>
      <c r="CY194" s="350"/>
      <c r="CZ194" s="40" t="str">
        <f t="shared" ref="CZ194:EM194" si="1337">CZ186/CZ191</f>
        <v>#ERROR!</v>
      </c>
      <c r="DA194" s="40" t="str">
        <f t="shared" si="1337"/>
        <v>#ERROR!</v>
      </c>
      <c r="DB194" s="40" t="str">
        <f t="shared" si="1337"/>
        <v>#ERROR!</v>
      </c>
      <c r="DC194" s="40" t="str">
        <f t="shared" si="1337"/>
        <v>#ERROR!</v>
      </c>
      <c r="DD194" s="37" t="str">
        <f t="shared" si="1337"/>
        <v>#ERROR!</v>
      </c>
      <c r="DE194" s="40" t="str">
        <f t="shared" si="1337"/>
        <v>#ERROR!</v>
      </c>
      <c r="DF194" s="40" t="str">
        <f t="shared" si="1337"/>
        <v>#ERROR!</v>
      </c>
      <c r="DG194" s="40" t="str">
        <f t="shared" si="1337"/>
        <v>#ERROR!</v>
      </c>
      <c r="DH194" s="40" t="str">
        <f t="shared" si="1337"/>
        <v>#ERROR!</v>
      </c>
      <c r="DI194" s="37" t="str">
        <f t="shared" si="1337"/>
        <v>#ERROR!</v>
      </c>
      <c r="DJ194" s="40" t="str">
        <f t="shared" si="1337"/>
        <v>#ERROR!</v>
      </c>
      <c r="DK194" s="40" t="str">
        <f t="shared" si="1337"/>
        <v>#ERROR!</v>
      </c>
      <c r="DL194" s="40" t="str">
        <f t="shared" si="1337"/>
        <v>#ERROR!</v>
      </c>
      <c r="DM194" s="40" t="str">
        <f t="shared" si="1337"/>
        <v>#ERROR!</v>
      </c>
      <c r="DN194" s="37" t="str">
        <f t="shared" si="1337"/>
        <v>#ERROR!</v>
      </c>
      <c r="DO194" s="40" t="str">
        <f t="shared" si="1337"/>
        <v>#ERROR!</v>
      </c>
      <c r="DP194" s="40" t="str">
        <f t="shared" si="1337"/>
        <v>#ERROR!</v>
      </c>
      <c r="DQ194" s="40" t="str">
        <f t="shared" si="1337"/>
        <v>#ERROR!</v>
      </c>
      <c r="DR194" s="40" t="str">
        <f t="shared" si="1337"/>
        <v>#ERROR!</v>
      </c>
      <c r="DS194" s="37" t="str">
        <f t="shared" si="1337"/>
        <v>#ERROR!</v>
      </c>
      <c r="DT194" s="40" t="str">
        <f t="shared" si="1337"/>
        <v>#ERROR!</v>
      </c>
      <c r="DU194" s="40" t="str">
        <f t="shared" si="1337"/>
        <v>#ERROR!</v>
      </c>
      <c r="DV194" s="40" t="str">
        <f t="shared" si="1337"/>
        <v>#ERROR!</v>
      </c>
      <c r="DW194" s="40" t="str">
        <f t="shared" si="1337"/>
        <v>#ERROR!</v>
      </c>
      <c r="DX194" s="37" t="str">
        <f t="shared" si="1337"/>
        <v>#ERROR!</v>
      </c>
      <c r="DY194" s="40" t="str">
        <f t="shared" si="1337"/>
        <v>#ERROR!</v>
      </c>
      <c r="DZ194" s="40" t="str">
        <f t="shared" si="1337"/>
        <v>#ERROR!</v>
      </c>
      <c r="EA194" s="40" t="str">
        <f t="shared" si="1337"/>
        <v>#ERROR!</v>
      </c>
      <c r="EB194" s="40" t="str">
        <f t="shared" si="1337"/>
        <v>#ERROR!</v>
      </c>
      <c r="EC194" s="37" t="str">
        <f t="shared" si="1337"/>
        <v>#ERROR!</v>
      </c>
      <c r="ED194" s="40" t="str">
        <f t="shared" si="1337"/>
        <v>#ERROR!</v>
      </c>
      <c r="EE194" s="40" t="str">
        <f t="shared" si="1337"/>
        <v>#ERROR!</v>
      </c>
      <c r="EF194" s="40" t="str">
        <f t="shared" si="1337"/>
        <v>#ERROR!</v>
      </c>
      <c r="EG194" s="40" t="str">
        <f t="shared" si="1337"/>
        <v>#ERROR!</v>
      </c>
      <c r="EH194" s="37" t="str">
        <f t="shared" si="1337"/>
        <v>#ERROR!</v>
      </c>
      <c r="EI194" s="82" t="str">
        <f t="shared" si="1337"/>
        <v>#ERROR!</v>
      </c>
      <c r="EJ194" s="40" t="str">
        <f t="shared" si="1337"/>
        <v>#ERROR!</v>
      </c>
      <c r="EK194" s="40" t="str">
        <f t="shared" si="1337"/>
        <v>#ERROR!</v>
      </c>
      <c r="EL194" s="40" t="str">
        <f t="shared" si="1337"/>
        <v>#ERROR!</v>
      </c>
      <c r="EM194" s="37" t="str">
        <f t="shared" si="1337"/>
        <v>#ERROR!</v>
      </c>
      <c r="EN194" s="85"/>
      <c r="EO194" s="85"/>
      <c r="EP194" s="85"/>
      <c r="EQ194" s="85"/>
      <c r="ER194" s="356"/>
      <c r="ES194" s="85"/>
      <c r="ET194" s="85"/>
      <c r="EU194" s="85"/>
      <c r="EV194" s="85"/>
      <c r="EW194" s="356"/>
      <c r="EX194" s="85"/>
      <c r="EY194" s="85"/>
      <c r="EZ194" s="85"/>
      <c r="FA194" s="85"/>
      <c r="FB194" s="356"/>
      <c r="FC194" s="85"/>
      <c r="FD194" s="85"/>
      <c r="FE194" s="85"/>
      <c r="FF194" s="85"/>
      <c r="FG194" s="356"/>
      <c r="FH194" s="359"/>
      <c r="FI194" s="4"/>
      <c r="FJ194" s="4"/>
      <c r="FK194" s="45"/>
      <c r="FL194" s="4"/>
    </row>
    <row r="195" ht="12.75" customHeight="1">
      <c r="A195" s="4"/>
      <c r="B195" s="215" t="s">
        <v>171</v>
      </c>
      <c r="C195" s="45"/>
      <c r="D195" s="4"/>
      <c r="E195" s="4"/>
      <c r="F195" s="4"/>
      <c r="G195" s="4"/>
      <c r="H195" s="45"/>
      <c r="I195" s="4"/>
      <c r="J195" s="4"/>
      <c r="K195" s="4"/>
      <c r="L195" s="4"/>
      <c r="M195" s="45"/>
      <c r="N195" s="4"/>
      <c r="O195" s="4"/>
      <c r="P195" s="4"/>
      <c r="Q195" s="4"/>
      <c r="R195" s="45"/>
      <c r="S195" s="4"/>
      <c r="T195" s="4"/>
      <c r="U195" s="4"/>
      <c r="V195" s="4"/>
      <c r="W195" s="45"/>
      <c r="X195" s="4"/>
      <c r="Y195" s="4"/>
      <c r="Z195" s="4"/>
      <c r="AA195" s="4"/>
      <c r="AB195" s="45"/>
      <c r="AC195" s="4"/>
      <c r="AD195" s="4"/>
      <c r="AE195" s="4"/>
      <c r="AF195" s="4"/>
      <c r="AG195" s="45"/>
      <c r="AH195" s="4"/>
      <c r="AI195" s="4"/>
      <c r="AJ195" s="4"/>
      <c r="AK195" s="4"/>
      <c r="AL195" s="45"/>
      <c r="AM195" s="4"/>
      <c r="AN195" s="4"/>
      <c r="AO195" s="4"/>
      <c r="AP195" s="4"/>
      <c r="AQ195" s="45"/>
      <c r="AR195" s="4"/>
      <c r="AS195" s="4"/>
      <c r="AT195" s="4"/>
      <c r="AU195" s="4"/>
      <c r="AV195" s="45"/>
      <c r="AW195" s="4"/>
      <c r="AX195" s="4"/>
      <c r="AY195" s="4"/>
      <c r="AZ195" s="4"/>
      <c r="BA195" s="45"/>
      <c r="BB195" s="4"/>
      <c r="BC195" s="4"/>
      <c r="BD195" s="4"/>
      <c r="BE195" s="4"/>
      <c r="BF195" s="45"/>
      <c r="BG195" s="4"/>
      <c r="BH195" s="4"/>
      <c r="BI195" s="4"/>
      <c r="BJ195" s="4"/>
      <c r="BK195" s="45"/>
      <c r="BL195" s="4"/>
      <c r="BM195" s="4"/>
      <c r="BN195" s="4"/>
      <c r="BO195" s="4"/>
      <c r="BP195" s="45"/>
      <c r="BQ195" s="4"/>
      <c r="BR195" s="4"/>
      <c r="BS195" s="4"/>
      <c r="BT195" s="4"/>
      <c r="BU195" s="45"/>
      <c r="BV195" s="4"/>
      <c r="BW195" s="4"/>
      <c r="BX195" s="4"/>
      <c r="BY195" s="4"/>
      <c r="BZ195" s="350"/>
      <c r="CA195" s="4"/>
      <c r="CB195" s="4"/>
      <c r="CC195" s="4"/>
      <c r="CD195" s="4"/>
      <c r="CE195" s="350"/>
      <c r="CF195" s="4"/>
      <c r="CG195" s="4"/>
      <c r="CH195" s="4"/>
      <c r="CI195" s="4"/>
      <c r="CJ195" s="350"/>
      <c r="CK195" s="4"/>
      <c r="CL195" s="4"/>
      <c r="CM195" s="4"/>
      <c r="CN195" s="16"/>
      <c r="CO195" s="350"/>
      <c r="CP195" s="378" t="str">
        <f t="shared" ref="CP195:CS195" si="1338">CP348</f>
        <v>#ERROR!</v>
      </c>
      <c r="CQ195" s="378" t="str">
        <f t="shared" si="1338"/>
        <v>#ERROR!</v>
      </c>
      <c r="CR195" s="378" t="str">
        <f t="shared" si="1338"/>
        <v>#ERROR!</v>
      </c>
      <c r="CS195" s="378" t="str">
        <f t="shared" si="1338"/>
        <v>#ERROR!</v>
      </c>
      <c r="CT195" s="363"/>
      <c r="CU195" s="378" t="str">
        <f t="shared" ref="CU195:CX195" si="1339">CU348</f>
        <v>#ERROR!</v>
      </c>
      <c r="CV195" s="378" t="str">
        <f t="shared" si="1339"/>
        <v>#ERROR!</v>
      </c>
      <c r="CW195" s="378" t="str">
        <f t="shared" si="1339"/>
        <v>#ERROR!</v>
      </c>
      <c r="CX195" s="378" t="str">
        <f t="shared" si="1339"/>
        <v>#ERROR!</v>
      </c>
      <c r="CY195" s="356"/>
      <c r="CZ195" s="378" t="str">
        <f t="shared" ref="CZ195:DC195" si="1340">CZ348</f>
        <v>#ERROR!</v>
      </c>
      <c r="DA195" s="378" t="str">
        <f t="shared" si="1340"/>
        <v>#ERROR!</v>
      </c>
      <c r="DB195" s="378" t="str">
        <f t="shared" si="1340"/>
        <v>#ERROR!</v>
      </c>
      <c r="DC195" s="378" t="str">
        <f t="shared" si="1340"/>
        <v>#ERROR!</v>
      </c>
      <c r="DD195" s="356"/>
      <c r="DE195" s="378" t="str">
        <f t="shared" ref="DE195:DH195" si="1341">DE348</f>
        <v>#ERROR!</v>
      </c>
      <c r="DF195" s="378" t="str">
        <f t="shared" si="1341"/>
        <v>#ERROR!</v>
      </c>
      <c r="DG195" s="378" t="str">
        <f t="shared" si="1341"/>
        <v>#ERROR!</v>
      </c>
      <c r="DH195" s="378" t="str">
        <f t="shared" si="1341"/>
        <v>#ERROR!</v>
      </c>
      <c r="DI195" s="356"/>
      <c r="DJ195" s="378" t="str">
        <f t="shared" ref="DJ195:DM195" si="1342">DJ348</f>
        <v>#ERROR!</v>
      </c>
      <c r="DK195" s="378" t="str">
        <f t="shared" si="1342"/>
        <v>#ERROR!</v>
      </c>
      <c r="DL195" s="378" t="str">
        <f t="shared" si="1342"/>
        <v>#ERROR!</v>
      </c>
      <c r="DM195" s="378" t="str">
        <f t="shared" si="1342"/>
        <v>#ERROR!</v>
      </c>
      <c r="DN195" s="356"/>
      <c r="DO195" s="378" t="str">
        <f t="shared" ref="DO195:DR195" si="1343">DO348</f>
        <v>#ERROR!</v>
      </c>
      <c r="DP195" s="378" t="str">
        <f t="shared" si="1343"/>
        <v>#ERROR!</v>
      </c>
      <c r="DQ195" s="378" t="str">
        <f t="shared" si="1343"/>
        <v>#ERROR!</v>
      </c>
      <c r="DR195" s="378" t="str">
        <f t="shared" si="1343"/>
        <v>#ERROR!</v>
      </c>
      <c r="DS195" s="356"/>
      <c r="DT195" s="378" t="str">
        <f t="shared" ref="DT195:DW195" si="1344">DT348</f>
        <v>#ERROR!</v>
      </c>
      <c r="DU195" s="378" t="str">
        <f t="shared" si="1344"/>
        <v>#ERROR!</v>
      </c>
      <c r="DV195" s="378" t="str">
        <f t="shared" si="1344"/>
        <v>#ERROR!</v>
      </c>
      <c r="DW195" s="378" t="str">
        <f t="shared" si="1344"/>
        <v>#ERROR!</v>
      </c>
      <c r="DX195" s="356"/>
      <c r="DY195" s="378" t="str">
        <f t="shared" ref="DY195:EB195" si="1345">DY348</f>
        <v>#ERROR!</v>
      </c>
      <c r="DZ195" s="378" t="str">
        <f t="shared" si="1345"/>
        <v>#ERROR!</v>
      </c>
      <c r="EA195" s="378" t="str">
        <f t="shared" si="1345"/>
        <v>#ERROR!</v>
      </c>
      <c r="EB195" s="378" t="str">
        <f t="shared" si="1345"/>
        <v>#ERROR!</v>
      </c>
      <c r="EC195" s="356"/>
      <c r="ED195" s="378" t="str">
        <f t="shared" ref="ED195:EF195" si="1346">ED348</f>
        <v>#ERROR!</v>
      </c>
      <c r="EE195" s="378" t="str">
        <f t="shared" si="1346"/>
        <v>#ERROR!</v>
      </c>
      <c r="EF195" s="378" t="str">
        <f t="shared" si="1346"/>
        <v>#ERROR!</v>
      </c>
      <c r="EG195" s="378" t="str">
        <f>EG182/EG186*1000</f>
        <v>#ERROR!</v>
      </c>
      <c r="EH195" s="356" t="str">
        <f>(EH182*1000)/EH186</f>
        <v>#ERROR!</v>
      </c>
      <c r="EI195" s="379" t="str">
        <f>EG195*(1+EI196)</f>
        <v>#ERROR!</v>
      </c>
      <c r="EJ195" s="378" t="str">
        <f t="shared" ref="EJ195:EL195" si="1347">EI195*(1+EJ196)</f>
        <v>#ERROR!</v>
      </c>
      <c r="EK195" s="378" t="str">
        <f t="shared" si="1347"/>
        <v>#ERROR!</v>
      </c>
      <c r="EL195" s="378" t="str">
        <f t="shared" si="1347"/>
        <v>#ERROR!</v>
      </c>
      <c r="EM195" s="356" t="str">
        <f>(EM182*1000)/EM186</f>
        <v>#ERROR!</v>
      </c>
      <c r="EN195" s="357" t="str">
        <f>EL195*(1+EN196)</f>
        <v>#ERROR!</v>
      </c>
      <c r="EO195" s="378" t="str">
        <f t="shared" ref="EO195:EQ195" si="1348">EN195*(1+EO196)</f>
        <v>#ERROR!</v>
      </c>
      <c r="EP195" s="378" t="str">
        <f t="shared" si="1348"/>
        <v>#ERROR!</v>
      </c>
      <c r="EQ195" s="378" t="str">
        <f t="shared" si="1348"/>
        <v>#ERROR!</v>
      </c>
      <c r="ER195" s="356" t="str">
        <f>(ER182*1000)/ER186</f>
        <v>#ERROR!</v>
      </c>
      <c r="ES195" s="357" t="str">
        <f>EQ195*(1+ES196)</f>
        <v>#ERROR!</v>
      </c>
      <c r="ET195" s="378" t="str">
        <f t="shared" ref="ET195:EV195" si="1349">ES195*(1+ET196)</f>
        <v>#ERROR!</v>
      </c>
      <c r="EU195" s="378" t="str">
        <f t="shared" si="1349"/>
        <v>#ERROR!</v>
      </c>
      <c r="EV195" s="378" t="str">
        <f t="shared" si="1349"/>
        <v>#ERROR!</v>
      </c>
      <c r="EW195" s="356" t="str">
        <f>(EW182*1000)/EW186</f>
        <v>#ERROR!</v>
      </c>
      <c r="EX195" s="357" t="str">
        <f>EV195*(1+EX196)</f>
        <v>#ERROR!</v>
      </c>
      <c r="EY195" s="378" t="str">
        <f t="shared" ref="EY195:FA195" si="1350">EX195*(1+EY196)</f>
        <v>#ERROR!</v>
      </c>
      <c r="EZ195" s="378" t="str">
        <f t="shared" si="1350"/>
        <v>#ERROR!</v>
      </c>
      <c r="FA195" s="378" t="str">
        <f t="shared" si="1350"/>
        <v>#ERROR!</v>
      </c>
      <c r="FB195" s="356" t="str">
        <f>(FB182*1000)/FB186</f>
        <v>#ERROR!</v>
      </c>
      <c r="FC195" s="357" t="str">
        <f>FA195*(1+FC196)</f>
        <v>#ERROR!</v>
      </c>
      <c r="FD195" s="378" t="str">
        <f t="shared" ref="FD195:FF195" si="1351">FC195*(1+FD196)</f>
        <v>#ERROR!</v>
      </c>
      <c r="FE195" s="378" t="str">
        <f t="shared" si="1351"/>
        <v>#ERROR!</v>
      </c>
      <c r="FF195" s="378" t="str">
        <f t="shared" si="1351"/>
        <v>#ERROR!</v>
      </c>
      <c r="FG195" s="356" t="str">
        <f>(FG182*1000)/FG186</f>
        <v>#ERROR!</v>
      </c>
      <c r="FH195" s="359"/>
      <c r="FI195" s="4"/>
      <c r="FJ195" s="4"/>
      <c r="FK195" s="45"/>
      <c r="FL195" s="4"/>
    </row>
    <row r="196" ht="12.75" customHeight="1">
      <c r="A196" s="4"/>
      <c r="B196" s="72" t="s">
        <v>150</v>
      </c>
      <c r="C196" s="45"/>
      <c r="D196" s="4"/>
      <c r="E196" s="4"/>
      <c r="F196" s="4"/>
      <c r="G196" s="4"/>
      <c r="H196" s="45"/>
      <c r="I196" s="4"/>
      <c r="J196" s="4"/>
      <c r="K196" s="4"/>
      <c r="L196" s="4"/>
      <c r="M196" s="45"/>
      <c r="N196" s="4"/>
      <c r="O196" s="4"/>
      <c r="P196" s="4"/>
      <c r="Q196" s="4"/>
      <c r="R196" s="45"/>
      <c r="S196" s="4"/>
      <c r="T196" s="4"/>
      <c r="U196" s="4"/>
      <c r="V196" s="4"/>
      <c r="W196" s="45"/>
      <c r="X196" s="4"/>
      <c r="Y196" s="4"/>
      <c r="Z196" s="4"/>
      <c r="AA196" s="4"/>
      <c r="AB196" s="45"/>
      <c r="AC196" s="4"/>
      <c r="AD196" s="4"/>
      <c r="AE196" s="4"/>
      <c r="AF196" s="4"/>
      <c r="AG196" s="45"/>
      <c r="AH196" s="4"/>
      <c r="AI196" s="4"/>
      <c r="AJ196" s="4"/>
      <c r="AK196" s="4"/>
      <c r="AL196" s="45"/>
      <c r="AM196" s="4"/>
      <c r="AN196" s="4"/>
      <c r="AO196" s="4"/>
      <c r="AP196" s="4"/>
      <c r="AQ196" s="45"/>
      <c r="AR196" s="4"/>
      <c r="AS196" s="4"/>
      <c r="AT196" s="4"/>
      <c r="AU196" s="4"/>
      <c r="AV196" s="45"/>
      <c r="AW196" s="4"/>
      <c r="AX196" s="4"/>
      <c r="AY196" s="4"/>
      <c r="AZ196" s="4"/>
      <c r="BA196" s="45"/>
      <c r="BB196" s="4"/>
      <c r="BC196" s="4"/>
      <c r="BD196" s="4"/>
      <c r="BE196" s="4"/>
      <c r="BF196" s="45"/>
      <c r="BG196" s="4"/>
      <c r="BH196" s="4"/>
      <c r="BI196" s="4"/>
      <c r="BJ196" s="4"/>
      <c r="BK196" s="45"/>
      <c r="BL196" s="4"/>
      <c r="BM196" s="4"/>
      <c r="BN196" s="4"/>
      <c r="BO196" s="4"/>
      <c r="BP196" s="45"/>
      <c r="BQ196" s="4"/>
      <c r="BR196" s="4"/>
      <c r="BS196" s="4"/>
      <c r="BT196" s="4"/>
      <c r="BU196" s="45"/>
      <c r="BV196" s="4"/>
      <c r="BW196" s="4"/>
      <c r="BX196" s="4"/>
      <c r="BY196" s="4"/>
      <c r="BZ196" s="350"/>
      <c r="CA196" s="4"/>
      <c r="CB196" s="4"/>
      <c r="CC196" s="4"/>
      <c r="CD196" s="4"/>
      <c r="CE196" s="350"/>
      <c r="CF196" s="4"/>
      <c r="CG196" s="4"/>
      <c r="CH196" s="4"/>
      <c r="CI196" s="4"/>
      <c r="CJ196" s="350"/>
      <c r="CK196" s="4"/>
      <c r="CL196" s="4"/>
      <c r="CM196" s="4"/>
      <c r="CN196" s="16"/>
      <c r="CO196" s="350"/>
      <c r="CP196" s="15"/>
      <c r="CQ196" s="15" t="str">
        <f t="shared" ref="CQ196:CS196" si="1352">CQ195/CP195-1</f>
        <v>#ERROR!</v>
      </c>
      <c r="CR196" s="15" t="str">
        <f t="shared" si="1352"/>
        <v>#ERROR!</v>
      </c>
      <c r="CS196" s="15" t="str">
        <f t="shared" si="1352"/>
        <v>#ERROR!</v>
      </c>
      <c r="CT196" s="23"/>
      <c r="CU196" s="15" t="str">
        <f>CU195/CP195-1</f>
        <v>#ERROR!</v>
      </c>
      <c r="CV196" s="15" t="str">
        <f t="shared" ref="CV196:CX196" si="1353">CV195/CU195-1</f>
        <v>#ERROR!</v>
      </c>
      <c r="CW196" s="15" t="str">
        <f t="shared" si="1353"/>
        <v>#ERROR!</v>
      </c>
      <c r="CX196" s="15" t="str">
        <f t="shared" si="1353"/>
        <v>#ERROR!</v>
      </c>
      <c r="CY196" s="23"/>
      <c r="CZ196" s="15" t="str">
        <f>CZ195/CU195-1</f>
        <v>#ERROR!</v>
      </c>
      <c r="DA196" s="15" t="str">
        <f t="shared" ref="DA196:DC196" si="1354">DA195/CZ195-1</f>
        <v>#ERROR!</v>
      </c>
      <c r="DB196" s="15" t="str">
        <f t="shared" si="1354"/>
        <v>#ERROR!</v>
      </c>
      <c r="DC196" s="15" t="str">
        <f t="shared" si="1354"/>
        <v>#ERROR!</v>
      </c>
      <c r="DD196" s="23"/>
      <c r="DE196" s="15" t="str">
        <f>DE195/CZ195-1</f>
        <v>#ERROR!</v>
      </c>
      <c r="DF196" s="15" t="str">
        <f t="shared" ref="DF196:DH196" si="1355">DF195/DE195-1</f>
        <v>#ERROR!</v>
      </c>
      <c r="DG196" s="15" t="str">
        <f t="shared" si="1355"/>
        <v>#ERROR!</v>
      </c>
      <c r="DH196" s="15" t="str">
        <f t="shared" si="1355"/>
        <v>#ERROR!</v>
      </c>
      <c r="DI196" s="23"/>
      <c r="DJ196" s="15" t="str">
        <f>DJ195/DE195-1</f>
        <v>#ERROR!</v>
      </c>
      <c r="DK196" s="15" t="str">
        <f t="shared" ref="DK196:DM196" si="1356">DK195/DJ195-1</f>
        <v>#ERROR!</v>
      </c>
      <c r="DL196" s="15" t="str">
        <f t="shared" si="1356"/>
        <v>#ERROR!</v>
      </c>
      <c r="DM196" s="15" t="str">
        <f t="shared" si="1356"/>
        <v>#ERROR!</v>
      </c>
      <c r="DN196" s="350"/>
      <c r="DO196" s="15" t="str">
        <f>DO195/DM195-1</f>
        <v>#ERROR!</v>
      </c>
      <c r="DP196" s="15" t="str">
        <f t="shared" ref="DP196:DR196" si="1357">DP195/DO195-1</f>
        <v>#ERROR!</v>
      </c>
      <c r="DQ196" s="15" t="str">
        <f t="shared" si="1357"/>
        <v>#ERROR!</v>
      </c>
      <c r="DR196" s="15" t="str">
        <f t="shared" si="1357"/>
        <v>#ERROR!</v>
      </c>
      <c r="DS196" s="342"/>
      <c r="DT196" s="15" t="str">
        <f>DT195/DR195-1</f>
        <v>#ERROR!</v>
      </c>
      <c r="DU196" s="15" t="str">
        <f t="shared" ref="DU196:DW196" si="1358">DU195/DT195-1</f>
        <v>#ERROR!</v>
      </c>
      <c r="DV196" s="15" t="str">
        <f t="shared" si="1358"/>
        <v>#ERROR!</v>
      </c>
      <c r="DW196" s="15" t="str">
        <f t="shared" si="1358"/>
        <v>#ERROR!</v>
      </c>
      <c r="DX196" s="342"/>
      <c r="DY196" s="15" t="str">
        <f>DY195/DW195-1</f>
        <v>#ERROR!</v>
      </c>
      <c r="DZ196" s="15" t="str">
        <f t="shared" ref="DZ196:EB196" si="1359">DZ195/DY195-1</f>
        <v>#ERROR!</v>
      </c>
      <c r="EA196" s="15" t="str">
        <f t="shared" si="1359"/>
        <v>#ERROR!</v>
      </c>
      <c r="EB196" s="15" t="str">
        <f t="shared" si="1359"/>
        <v>#ERROR!</v>
      </c>
      <c r="EC196" s="342"/>
      <c r="ED196" s="15" t="str">
        <f>ED195/EB195-1</f>
        <v>#ERROR!</v>
      </c>
      <c r="EE196" s="15" t="str">
        <f t="shared" ref="EE196:EG196" si="1360">EE195/ED195-1</f>
        <v>#ERROR!</v>
      </c>
      <c r="EF196" s="15" t="str">
        <f t="shared" si="1360"/>
        <v>#ERROR!</v>
      </c>
      <c r="EG196" s="15" t="str">
        <f t="shared" si="1360"/>
        <v>#ERROR!</v>
      </c>
      <c r="EH196" s="356"/>
      <c r="EI196" s="314">
        <v>-0.05</v>
      </c>
      <c r="EJ196" s="315">
        <v>-0.05</v>
      </c>
      <c r="EK196" s="315">
        <v>0.0</v>
      </c>
      <c r="EL196" s="315">
        <v>0.0</v>
      </c>
      <c r="EM196" s="387"/>
      <c r="EN196" s="315">
        <v>0.0</v>
      </c>
      <c r="EO196" s="315">
        <v>0.0</v>
      </c>
      <c r="EP196" s="315">
        <v>0.0</v>
      </c>
      <c r="EQ196" s="315">
        <v>0.01</v>
      </c>
      <c r="ER196" s="387"/>
      <c r="ES196" s="315">
        <v>0.02</v>
      </c>
      <c r="ET196" s="315">
        <v>0.02</v>
      </c>
      <c r="EU196" s="315">
        <v>0.01</v>
      </c>
      <c r="EV196" s="315">
        <v>0.01</v>
      </c>
      <c r="EW196" s="387"/>
      <c r="EX196" s="315">
        <v>0.019999999999999796</v>
      </c>
      <c r="EY196" s="315">
        <v>0.019801980198019598</v>
      </c>
      <c r="EZ196" s="315">
        <v>0.01980198019801982</v>
      </c>
      <c r="FA196" s="315">
        <v>0.019607843137255054</v>
      </c>
      <c r="FB196" s="356"/>
      <c r="FC196" s="315">
        <v>0.019999999999999796</v>
      </c>
      <c r="FD196" s="315">
        <v>0.019801980198019598</v>
      </c>
      <c r="FE196" s="315">
        <v>0.01980198019801982</v>
      </c>
      <c r="FF196" s="315">
        <v>0.019607843137255054</v>
      </c>
      <c r="FG196" s="356"/>
      <c r="FH196" s="359"/>
      <c r="FI196" s="4"/>
      <c r="FJ196" s="4"/>
      <c r="FK196" s="45"/>
      <c r="FL196" s="4"/>
    </row>
    <row r="197" ht="12.75" customHeight="1">
      <c r="A197" s="4"/>
      <c r="B197" s="72" t="s">
        <v>146</v>
      </c>
      <c r="C197" s="45"/>
      <c r="D197" s="4"/>
      <c r="E197" s="4"/>
      <c r="F197" s="4"/>
      <c r="G197" s="4"/>
      <c r="H197" s="45"/>
      <c r="I197" s="4"/>
      <c r="J197" s="4"/>
      <c r="K197" s="4"/>
      <c r="L197" s="4"/>
      <c r="M197" s="45"/>
      <c r="N197" s="4"/>
      <c r="O197" s="4"/>
      <c r="P197" s="4"/>
      <c r="Q197" s="4"/>
      <c r="R197" s="45"/>
      <c r="S197" s="4"/>
      <c r="T197" s="4"/>
      <c r="U197" s="4"/>
      <c r="V197" s="4"/>
      <c r="W197" s="45"/>
      <c r="X197" s="4"/>
      <c r="Y197" s="4"/>
      <c r="Z197" s="4"/>
      <c r="AA197" s="4"/>
      <c r="AB197" s="45"/>
      <c r="AC197" s="4"/>
      <c r="AD197" s="4"/>
      <c r="AE197" s="4"/>
      <c r="AF197" s="4"/>
      <c r="AG197" s="45"/>
      <c r="AH197" s="4"/>
      <c r="AI197" s="4"/>
      <c r="AJ197" s="4"/>
      <c r="AK197" s="4"/>
      <c r="AL197" s="45"/>
      <c r="AM197" s="4"/>
      <c r="AN197" s="4"/>
      <c r="AO197" s="4"/>
      <c r="AP197" s="4"/>
      <c r="AQ197" s="45"/>
      <c r="AR197" s="4"/>
      <c r="AS197" s="4"/>
      <c r="AT197" s="4"/>
      <c r="AU197" s="4"/>
      <c r="AV197" s="45"/>
      <c r="AW197" s="4"/>
      <c r="AX197" s="4"/>
      <c r="AY197" s="4"/>
      <c r="AZ197" s="4"/>
      <c r="BA197" s="45"/>
      <c r="BB197" s="4"/>
      <c r="BC197" s="4"/>
      <c r="BD197" s="4"/>
      <c r="BE197" s="4"/>
      <c r="BF197" s="45"/>
      <c r="BG197" s="4"/>
      <c r="BH197" s="4"/>
      <c r="BI197" s="4"/>
      <c r="BJ197" s="4"/>
      <c r="BK197" s="45"/>
      <c r="BL197" s="4"/>
      <c r="BM197" s="4"/>
      <c r="BN197" s="4"/>
      <c r="BO197" s="4"/>
      <c r="BP197" s="45"/>
      <c r="BQ197" s="4"/>
      <c r="BR197" s="4"/>
      <c r="BS197" s="4"/>
      <c r="BT197" s="4"/>
      <c r="BU197" s="45"/>
      <c r="BV197" s="4"/>
      <c r="BW197" s="4"/>
      <c r="BX197" s="4"/>
      <c r="BY197" s="4"/>
      <c r="BZ197" s="350"/>
      <c r="CA197" s="4"/>
      <c r="CB197" s="4"/>
      <c r="CC197" s="4"/>
      <c r="CD197" s="4"/>
      <c r="CE197" s="350"/>
      <c r="CF197" s="4"/>
      <c r="CG197" s="4"/>
      <c r="CH197" s="4"/>
      <c r="CI197" s="4"/>
      <c r="CJ197" s="350"/>
      <c r="CK197" s="4"/>
      <c r="CL197" s="4"/>
      <c r="CM197" s="4"/>
      <c r="CN197" s="16"/>
      <c r="CO197" s="350"/>
      <c r="CP197" s="104"/>
      <c r="CQ197" s="104"/>
      <c r="CR197" s="104"/>
      <c r="CS197" s="104"/>
      <c r="CT197" s="350"/>
      <c r="CU197" s="15" t="str">
        <f t="shared" ref="CU197:CX197" si="1361">CU195/CP195-1</f>
        <v>#ERROR!</v>
      </c>
      <c r="CV197" s="15" t="str">
        <f t="shared" si="1361"/>
        <v>#ERROR!</v>
      </c>
      <c r="CW197" s="15" t="str">
        <f t="shared" si="1361"/>
        <v>#ERROR!</v>
      </c>
      <c r="CX197" s="15" t="str">
        <f t="shared" si="1361"/>
        <v>#ERROR!</v>
      </c>
      <c r="CY197" s="37"/>
      <c r="CZ197" s="15" t="str">
        <f t="shared" ref="CZ197:DC197" si="1362">CZ195/CU195-1</f>
        <v>#ERROR!</v>
      </c>
      <c r="DA197" s="15" t="str">
        <f t="shared" si="1362"/>
        <v>#ERROR!</v>
      </c>
      <c r="DB197" s="15" t="str">
        <f t="shared" si="1362"/>
        <v>#ERROR!</v>
      </c>
      <c r="DC197" s="15" t="str">
        <f t="shared" si="1362"/>
        <v>#ERROR!</v>
      </c>
      <c r="DD197" s="37"/>
      <c r="DE197" s="15" t="str">
        <f t="shared" ref="DE197:DH197" si="1363">DE195/CZ195-1</f>
        <v>#ERROR!</v>
      </c>
      <c r="DF197" s="15" t="str">
        <f t="shared" si="1363"/>
        <v>#ERROR!</v>
      </c>
      <c r="DG197" s="15" t="str">
        <f t="shared" si="1363"/>
        <v>#ERROR!</v>
      </c>
      <c r="DH197" s="15" t="str">
        <f t="shared" si="1363"/>
        <v>#ERROR!</v>
      </c>
      <c r="DI197" s="37"/>
      <c r="DJ197" s="15" t="str">
        <f t="shared" ref="DJ197:DM197" si="1364">DJ195/DE195-1</f>
        <v>#ERROR!</v>
      </c>
      <c r="DK197" s="15" t="str">
        <f t="shared" si="1364"/>
        <v>#ERROR!</v>
      </c>
      <c r="DL197" s="15" t="str">
        <f t="shared" si="1364"/>
        <v>#ERROR!</v>
      </c>
      <c r="DM197" s="15" t="str">
        <f t="shared" si="1364"/>
        <v>#ERROR!</v>
      </c>
      <c r="DN197" s="37"/>
      <c r="DO197" s="15" t="str">
        <f t="shared" ref="DO197:DR197" si="1365">DO195/DJ195-1</f>
        <v>#ERROR!</v>
      </c>
      <c r="DP197" s="15" t="str">
        <f t="shared" si="1365"/>
        <v>#ERROR!</v>
      </c>
      <c r="DQ197" s="15" t="str">
        <f t="shared" si="1365"/>
        <v>#ERROR!</v>
      </c>
      <c r="DR197" s="15" t="str">
        <f t="shared" si="1365"/>
        <v>#ERROR!</v>
      </c>
      <c r="DS197" s="37"/>
      <c r="DT197" s="15" t="str">
        <f t="shared" ref="DT197:DW197" si="1366">DT195/DO195-1</f>
        <v>#ERROR!</v>
      </c>
      <c r="DU197" s="15" t="str">
        <f t="shared" si="1366"/>
        <v>#ERROR!</v>
      </c>
      <c r="DV197" s="15" t="str">
        <f t="shared" si="1366"/>
        <v>#ERROR!</v>
      </c>
      <c r="DW197" s="15" t="str">
        <f t="shared" si="1366"/>
        <v>#ERROR!</v>
      </c>
      <c r="DX197" s="37"/>
      <c r="DY197" s="15" t="str">
        <f t="shared" ref="DY197:EB197" si="1367">DY195/DT195-1</f>
        <v>#ERROR!</v>
      </c>
      <c r="DZ197" s="15" t="str">
        <f t="shared" si="1367"/>
        <v>#ERROR!</v>
      </c>
      <c r="EA197" s="15" t="str">
        <f t="shared" si="1367"/>
        <v>#ERROR!</v>
      </c>
      <c r="EB197" s="15" t="str">
        <f t="shared" si="1367"/>
        <v>#ERROR!</v>
      </c>
      <c r="EC197" s="37"/>
      <c r="ED197" s="15" t="str">
        <f t="shared" ref="ED197:EG197" si="1368">ED195/DY195-1</f>
        <v>#ERROR!</v>
      </c>
      <c r="EE197" s="15" t="str">
        <f t="shared" si="1368"/>
        <v>#ERROR!</v>
      </c>
      <c r="EF197" s="15" t="str">
        <f t="shared" si="1368"/>
        <v>#ERROR!</v>
      </c>
      <c r="EG197" s="15" t="str">
        <f t="shared" si="1368"/>
        <v>#ERROR!</v>
      </c>
      <c r="EH197" s="37"/>
      <c r="EI197" s="82" t="str">
        <f t="shared" ref="EI197:FG197" si="1369">EI195/ED195-1</f>
        <v>#ERROR!</v>
      </c>
      <c r="EJ197" s="321" t="str">
        <f t="shared" si="1369"/>
        <v>#ERROR!</v>
      </c>
      <c r="EK197" s="321" t="str">
        <f t="shared" si="1369"/>
        <v>#ERROR!</v>
      </c>
      <c r="EL197" s="321" t="str">
        <f t="shared" si="1369"/>
        <v>#ERROR!</v>
      </c>
      <c r="EM197" s="342" t="str">
        <f t="shared" si="1369"/>
        <v>#ERROR!</v>
      </c>
      <c r="EN197" s="321" t="str">
        <f t="shared" si="1369"/>
        <v>#ERROR!</v>
      </c>
      <c r="EO197" s="321" t="str">
        <f t="shared" si="1369"/>
        <v>#ERROR!</v>
      </c>
      <c r="EP197" s="321" t="str">
        <f t="shared" si="1369"/>
        <v>#ERROR!</v>
      </c>
      <c r="EQ197" s="321" t="str">
        <f t="shared" si="1369"/>
        <v>#ERROR!</v>
      </c>
      <c r="ER197" s="342" t="str">
        <f t="shared" si="1369"/>
        <v>#ERROR!</v>
      </c>
      <c r="ES197" s="321" t="str">
        <f t="shared" si="1369"/>
        <v>#ERROR!</v>
      </c>
      <c r="ET197" s="321" t="str">
        <f t="shared" si="1369"/>
        <v>#ERROR!</v>
      </c>
      <c r="EU197" s="321" t="str">
        <f t="shared" si="1369"/>
        <v>#ERROR!</v>
      </c>
      <c r="EV197" s="321" t="str">
        <f t="shared" si="1369"/>
        <v>#ERROR!</v>
      </c>
      <c r="EW197" s="342" t="str">
        <f t="shared" si="1369"/>
        <v>#ERROR!</v>
      </c>
      <c r="EX197" s="321" t="str">
        <f t="shared" si="1369"/>
        <v>#ERROR!</v>
      </c>
      <c r="EY197" s="321" t="str">
        <f t="shared" si="1369"/>
        <v>#ERROR!</v>
      </c>
      <c r="EZ197" s="321" t="str">
        <f t="shared" si="1369"/>
        <v>#ERROR!</v>
      </c>
      <c r="FA197" s="321" t="str">
        <f t="shared" si="1369"/>
        <v>#ERROR!</v>
      </c>
      <c r="FB197" s="342" t="str">
        <f t="shared" si="1369"/>
        <v>#ERROR!</v>
      </c>
      <c r="FC197" s="321" t="str">
        <f t="shared" si="1369"/>
        <v>#ERROR!</v>
      </c>
      <c r="FD197" s="321" t="str">
        <f t="shared" si="1369"/>
        <v>#ERROR!</v>
      </c>
      <c r="FE197" s="321" t="str">
        <f t="shared" si="1369"/>
        <v>#ERROR!</v>
      </c>
      <c r="FF197" s="321" t="str">
        <f t="shared" si="1369"/>
        <v>#ERROR!</v>
      </c>
      <c r="FG197" s="342" t="str">
        <f t="shared" si="1369"/>
        <v>#ERROR!</v>
      </c>
      <c r="FH197" s="343"/>
      <c r="FI197" s="4"/>
      <c r="FJ197" s="4"/>
      <c r="FK197" s="45"/>
      <c r="FL197" s="4"/>
    </row>
    <row r="198" ht="12.75" customHeight="1">
      <c r="A198" s="4"/>
      <c r="B198" s="84" t="s">
        <v>151</v>
      </c>
      <c r="C198" s="45"/>
      <c r="D198" s="4"/>
      <c r="E198" s="4"/>
      <c r="F198" s="4"/>
      <c r="G198" s="4"/>
      <c r="H198" s="45"/>
      <c r="I198" s="4"/>
      <c r="J198" s="4"/>
      <c r="K198" s="4"/>
      <c r="L198" s="4"/>
      <c r="M198" s="45"/>
      <c r="N198" s="4"/>
      <c r="O198" s="4"/>
      <c r="P198" s="4"/>
      <c r="Q198" s="4"/>
      <c r="R198" s="45"/>
      <c r="S198" s="4"/>
      <c r="T198" s="4"/>
      <c r="U198" s="4"/>
      <c r="V198" s="4"/>
      <c r="W198" s="45"/>
      <c r="X198" s="4"/>
      <c r="Y198" s="4"/>
      <c r="Z198" s="4"/>
      <c r="AA198" s="4"/>
      <c r="AB198" s="45"/>
      <c r="AC198" s="4"/>
      <c r="AD198" s="4"/>
      <c r="AE198" s="4"/>
      <c r="AF198" s="4"/>
      <c r="AG198" s="45"/>
      <c r="AH198" s="4"/>
      <c r="AI198" s="4"/>
      <c r="AJ198" s="4"/>
      <c r="AK198" s="4"/>
      <c r="AL198" s="45"/>
      <c r="AM198" s="4"/>
      <c r="AN198" s="4"/>
      <c r="AO198" s="4"/>
      <c r="AP198" s="4"/>
      <c r="AQ198" s="45"/>
      <c r="AR198" s="4"/>
      <c r="AS198" s="4"/>
      <c r="AT198" s="4"/>
      <c r="AU198" s="4"/>
      <c r="AV198" s="45"/>
      <c r="AW198" s="4"/>
      <c r="AX198" s="4"/>
      <c r="AY198" s="4"/>
      <c r="AZ198" s="4"/>
      <c r="BA198" s="45"/>
      <c r="BB198" s="4"/>
      <c r="BC198" s="4"/>
      <c r="BD198" s="4"/>
      <c r="BE198" s="4"/>
      <c r="BF198" s="45"/>
      <c r="BG198" s="4"/>
      <c r="BH198" s="4"/>
      <c r="BI198" s="4"/>
      <c r="BJ198" s="4"/>
      <c r="BK198" s="45"/>
      <c r="BL198" s="4"/>
      <c r="BM198" s="4"/>
      <c r="BN198" s="4"/>
      <c r="BO198" s="4"/>
      <c r="BP198" s="45"/>
      <c r="BQ198" s="4"/>
      <c r="BR198" s="4"/>
      <c r="BS198" s="4"/>
      <c r="BT198" s="4"/>
      <c r="BU198" s="45"/>
      <c r="BV198" s="4"/>
      <c r="BW198" s="4"/>
      <c r="BX198" s="4"/>
      <c r="BY198" s="4"/>
      <c r="BZ198" s="350"/>
      <c r="CA198" s="4"/>
      <c r="CB198" s="4"/>
      <c r="CC198" s="4"/>
      <c r="CD198" s="4"/>
      <c r="CE198" s="350"/>
      <c r="CF198" s="4"/>
      <c r="CG198" s="4"/>
      <c r="CH198" s="4"/>
      <c r="CI198" s="4"/>
      <c r="CJ198" s="350"/>
      <c r="CK198" s="4"/>
      <c r="CL198" s="4"/>
      <c r="CM198" s="4"/>
      <c r="CN198" s="16"/>
      <c r="CO198" s="350"/>
      <c r="CP198" s="104"/>
      <c r="CQ198" s="104"/>
      <c r="CR198" s="104"/>
      <c r="CS198" s="104"/>
      <c r="CT198" s="350"/>
      <c r="CU198" s="4"/>
      <c r="CV198" s="4"/>
      <c r="CW198" s="4"/>
      <c r="CX198" s="4"/>
      <c r="CY198" s="350"/>
      <c r="CZ198" s="4"/>
      <c r="DA198" s="4"/>
      <c r="DB198" s="4"/>
      <c r="DC198" s="4"/>
      <c r="DD198" s="350"/>
      <c r="DE198" s="372" t="str">
        <f t="shared" ref="DE198:DH198" si="1370">AVERAGE(CP196,CU196,CZ196)</f>
        <v>#ERROR!</v>
      </c>
      <c r="DF198" s="372" t="str">
        <f t="shared" si="1370"/>
        <v>#ERROR!</v>
      </c>
      <c r="DG198" s="372" t="str">
        <f t="shared" si="1370"/>
        <v>#ERROR!</v>
      </c>
      <c r="DH198" s="372" t="str">
        <f t="shared" si="1370"/>
        <v>#ERROR!</v>
      </c>
      <c r="DI198" s="369"/>
      <c r="DJ198" s="372" t="str">
        <f t="shared" ref="DJ198:DM198" si="1371">AVERAGE(CU196,CZ196,DE196)</f>
        <v>#ERROR!</v>
      </c>
      <c r="DK198" s="372" t="str">
        <f t="shared" si="1371"/>
        <v>#ERROR!</v>
      </c>
      <c r="DL198" s="372" t="str">
        <f t="shared" si="1371"/>
        <v>#ERROR!</v>
      </c>
      <c r="DM198" s="372" t="str">
        <f t="shared" si="1371"/>
        <v>#ERROR!</v>
      </c>
      <c r="DN198" s="369"/>
      <c r="DO198" s="372" t="str">
        <f t="shared" ref="DO198:DR198" si="1372">AVERAGE(CZ196,DE196,DJ196)</f>
        <v>#ERROR!</v>
      </c>
      <c r="DP198" s="372" t="str">
        <f t="shared" si="1372"/>
        <v>#ERROR!</v>
      </c>
      <c r="DQ198" s="372" t="str">
        <f t="shared" si="1372"/>
        <v>#ERROR!</v>
      </c>
      <c r="DR198" s="372" t="str">
        <f t="shared" si="1372"/>
        <v>#ERROR!</v>
      </c>
      <c r="DS198" s="373"/>
      <c r="DT198" s="372" t="str">
        <f t="shared" ref="DT198:DW198" si="1373">AVERAGE(DE196,DJ196,DO196)</f>
        <v>#ERROR!</v>
      </c>
      <c r="DU198" s="372" t="str">
        <f t="shared" si="1373"/>
        <v>#ERROR!</v>
      </c>
      <c r="DV198" s="372" t="str">
        <f t="shared" si="1373"/>
        <v>#ERROR!</v>
      </c>
      <c r="DW198" s="372" t="str">
        <f t="shared" si="1373"/>
        <v>#ERROR!</v>
      </c>
      <c r="DX198" s="373"/>
      <c r="DY198" s="372" t="str">
        <f t="shared" ref="DY198:EB198" si="1374">AVERAGE(DJ196,DO196,DT196)</f>
        <v>#ERROR!</v>
      </c>
      <c r="DZ198" s="372" t="str">
        <f t="shared" si="1374"/>
        <v>#ERROR!</v>
      </c>
      <c r="EA198" s="372" t="str">
        <f t="shared" si="1374"/>
        <v>#ERROR!</v>
      </c>
      <c r="EB198" s="372" t="str">
        <f t="shared" si="1374"/>
        <v>#ERROR!</v>
      </c>
      <c r="EC198" s="342"/>
      <c r="ED198" s="372" t="str">
        <f t="shared" ref="ED198:EG198" si="1375">AVERAGE(DO196,DT196,DY196)</f>
        <v>#ERROR!</v>
      </c>
      <c r="EE198" s="372" t="str">
        <f t="shared" si="1375"/>
        <v>#ERROR!</v>
      </c>
      <c r="EF198" s="372" t="str">
        <f t="shared" si="1375"/>
        <v>#ERROR!</v>
      </c>
      <c r="EG198" s="372" t="str">
        <f t="shared" si="1375"/>
        <v>#ERROR!</v>
      </c>
      <c r="EH198" s="356"/>
      <c r="EI198" s="362" t="str">
        <f t="shared" ref="EI198:EL198" si="1376">AVERAGE(DT196,DY196,ED196)</f>
        <v>#ERROR!</v>
      </c>
      <c r="EJ198" s="372" t="str">
        <f t="shared" si="1376"/>
        <v>#ERROR!</v>
      </c>
      <c r="EK198" s="372" t="str">
        <f t="shared" si="1376"/>
        <v>#ERROR!</v>
      </c>
      <c r="EL198" s="372" t="str">
        <f t="shared" si="1376"/>
        <v>#ERROR!</v>
      </c>
      <c r="EM198" s="356"/>
      <c r="EN198" s="372" t="str">
        <f t="shared" ref="EN198:EQ198" si="1377">AVERAGE(DY196,ED196,EI196)</f>
        <v>#ERROR!</v>
      </c>
      <c r="EO198" s="372" t="str">
        <f t="shared" si="1377"/>
        <v>#ERROR!</v>
      </c>
      <c r="EP198" s="372" t="str">
        <f t="shared" si="1377"/>
        <v>#ERROR!</v>
      </c>
      <c r="EQ198" s="372" t="str">
        <f t="shared" si="1377"/>
        <v>#ERROR!</v>
      </c>
      <c r="ER198" s="356"/>
      <c r="ES198" s="372" t="str">
        <f t="shared" ref="ES198:EV198" si="1378">AVERAGE(ED196,EI196,EN196)</f>
        <v>#ERROR!</v>
      </c>
      <c r="ET198" s="372" t="str">
        <f t="shared" si="1378"/>
        <v>#ERROR!</v>
      </c>
      <c r="EU198" s="372" t="str">
        <f t="shared" si="1378"/>
        <v>#ERROR!</v>
      </c>
      <c r="EV198" s="372" t="str">
        <f t="shared" si="1378"/>
        <v>#ERROR!</v>
      </c>
      <c r="EW198" s="356"/>
      <c r="EX198" s="372">
        <f t="shared" ref="EX198:FA198" si="1379">AVERAGE(EI196,EN196,ES196)</f>
        <v>-0.01</v>
      </c>
      <c r="EY198" s="372">
        <f t="shared" si="1379"/>
        <v>-0.01</v>
      </c>
      <c r="EZ198" s="372">
        <f t="shared" si="1379"/>
        <v>0.003333333333</v>
      </c>
      <c r="FA198" s="372">
        <f t="shared" si="1379"/>
        <v>0.006666666667</v>
      </c>
      <c r="FB198" s="356"/>
      <c r="FC198" s="372">
        <f t="shared" ref="FC198:FF198" si="1380">AVERAGE(EN196,ES196,EX196)</f>
        <v>0.01333333333</v>
      </c>
      <c r="FD198" s="372">
        <f t="shared" si="1380"/>
        <v>0.01326732673</v>
      </c>
      <c r="FE198" s="372">
        <f t="shared" si="1380"/>
        <v>0.009933993399</v>
      </c>
      <c r="FF198" s="372">
        <f t="shared" si="1380"/>
        <v>0.01320261438</v>
      </c>
      <c r="FG198" s="356"/>
      <c r="FH198" s="359"/>
      <c r="FI198" s="4"/>
      <c r="FJ198" s="4"/>
      <c r="FK198" s="45"/>
      <c r="FL198" s="4"/>
    </row>
    <row r="199" ht="12.75" customHeight="1">
      <c r="A199" s="4"/>
      <c r="B199" s="84"/>
      <c r="C199" s="45"/>
      <c r="D199" s="4"/>
      <c r="E199" s="4"/>
      <c r="F199" s="4"/>
      <c r="G199" s="4"/>
      <c r="H199" s="45"/>
      <c r="I199" s="4"/>
      <c r="J199" s="4"/>
      <c r="K199" s="4"/>
      <c r="L199" s="4"/>
      <c r="M199" s="45"/>
      <c r="N199" s="4"/>
      <c r="O199" s="4"/>
      <c r="P199" s="4"/>
      <c r="Q199" s="4"/>
      <c r="R199" s="45"/>
      <c r="S199" s="4"/>
      <c r="T199" s="4"/>
      <c r="U199" s="4"/>
      <c r="V199" s="4"/>
      <c r="W199" s="45"/>
      <c r="X199" s="4"/>
      <c r="Y199" s="4"/>
      <c r="Z199" s="4"/>
      <c r="AA199" s="4"/>
      <c r="AB199" s="45"/>
      <c r="AC199" s="4"/>
      <c r="AD199" s="4"/>
      <c r="AE199" s="4"/>
      <c r="AF199" s="4"/>
      <c r="AG199" s="45"/>
      <c r="AH199" s="4"/>
      <c r="AI199" s="4"/>
      <c r="AJ199" s="4"/>
      <c r="AK199" s="4"/>
      <c r="AL199" s="45"/>
      <c r="AM199" s="4"/>
      <c r="AN199" s="4"/>
      <c r="AO199" s="4"/>
      <c r="AP199" s="4"/>
      <c r="AQ199" s="45"/>
      <c r="AR199" s="4"/>
      <c r="AS199" s="4"/>
      <c r="AT199" s="4"/>
      <c r="AU199" s="4"/>
      <c r="AV199" s="45"/>
      <c r="AW199" s="4"/>
      <c r="AX199" s="4"/>
      <c r="AY199" s="4"/>
      <c r="AZ199" s="4"/>
      <c r="BA199" s="45"/>
      <c r="BB199" s="4"/>
      <c r="BC199" s="4"/>
      <c r="BD199" s="4"/>
      <c r="BE199" s="4"/>
      <c r="BF199" s="45"/>
      <c r="BG199" s="4"/>
      <c r="BH199" s="4"/>
      <c r="BI199" s="4"/>
      <c r="BJ199" s="4"/>
      <c r="BK199" s="45"/>
      <c r="BL199" s="4"/>
      <c r="BM199" s="4"/>
      <c r="BN199" s="4"/>
      <c r="BO199" s="4"/>
      <c r="BP199" s="45"/>
      <c r="BQ199" s="4"/>
      <c r="BR199" s="4"/>
      <c r="BS199" s="4"/>
      <c r="BT199" s="4"/>
      <c r="BU199" s="45"/>
      <c r="BV199" s="4"/>
      <c r="BW199" s="4"/>
      <c r="BX199" s="4"/>
      <c r="BY199" s="4"/>
      <c r="BZ199" s="350"/>
      <c r="CA199" s="4"/>
      <c r="CB199" s="4"/>
      <c r="CC199" s="4"/>
      <c r="CD199" s="4"/>
      <c r="CE199" s="350"/>
      <c r="CF199" s="4"/>
      <c r="CG199" s="4"/>
      <c r="CH199" s="4"/>
      <c r="CI199" s="4"/>
      <c r="CJ199" s="350"/>
      <c r="CK199" s="4"/>
      <c r="CL199" s="4"/>
      <c r="CM199" s="4"/>
      <c r="CN199" s="16"/>
      <c r="CO199" s="350"/>
      <c r="CP199" s="104"/>
      <c r="CQ199" s="104"/>
      <c r="CR199" s="104"/>
      <c r="CS199" s="104"/>
      <c r="CT199" s="350"/>
      <c r="CU199" s="4"/>
      <c r="CV199" s="4"/>
      <c r="CW199" s="4"/>
      <c r="CX199" s="4"/>
      <c r="CY199" s="350"/>
      <c r="CZ199" s="4"/>
      <c r="DA199" s="4"/>
      <c r="DB199" s="4"/>
      <c r="DC199" s="4"/>
      <c r="DD199" s="350"/>
      <c r="DE199" s="4"/>
      <c r="DF199" s="4"/>
      <c r="DG199" s="4"/>
      <c r="DH199" s="4"/>
      <c r="DI199" s="350"/>
      <c r="DJ199" s="16"/>
      <c r="DK199" s="16"/>
      <c r="DL199" s="16"/>
      <c r="DM199" s="16"/>
      <c r="DN199" s="350"/>
      <c r="DO199" s="16"/>
      <c r="DP199" s="16"/>
      <c r="DQ199" s="16"/>
      <c r="DR199" s="16"/>
      <c r="DS199" s="342"/>
      <c r="DT199" s="16"/>
      <c r="DU199" s="16"/>
      <c r="DV199" s="16"/>
      <c r="DW199" s="16"/>
      <c r="DX199" s="342"/>
      <c r="DY199" s="40"/>
      <c r="DZ199" s="40"/>
      <c r="EA199" s="40"/>
      <c r="EB199" s="40"/>
      <c r="EC199" s="342"/>
      <c r="ED199" s="321"/>
      <c r="EE199" s="321"/>
      <c r="EF199" s="321"/>
      <c r="EG199" s="321"/>
      <c r="EH199" s="342"/>
      <c r="EI199" s="322"/>
      <c r="EJ199" s="321"/>
      <c r="EK199" s="321"/>
      <c r="EL199" s="321"/>
      <c r="EM199" s="342"/>
      <c r="EN199" s="321"/>
      <c r="EO199" s="321"/>
      <c r="EP199" s="321"/>
      <c r="EQ199" s="321"/>
      <c r="ER199" s="342"/>
      <c r="ES199" s="321"/>
      <c r="ET199" s="321"/>
      <c r="EU199" s="321"/>
      <c r="EV199" s="321"/>
      <c r="EW199" s="342"/>
      <c r="EX199" s="321"/>
      <c r="EY199" s="321"/>
      <c r="EZ199" s="321"/>
      <c r="FA199" s="321"/>
      <c r="FB199" s="342"/>
      <c r="FC199" s="321"/>
      <c r="FD199" s="321"/>
      <c r="FE199" s="321"/>
      <c r="FF199" s="321"/>
      <c r="FG199" s="342"/>
      <c r="FH199" s="343"/>
      <c r="FI199" s="4"/>
      <c r="FJ199" s="4"/>
      <c r="FK199" s="45"/>
      <c r="FL199" s="4"/>
    </row>
    <row r="200" ht="12.75" customHeight="1">
      <c r="A200" s="4"/>
      <c r="B200" s="72" t="s">
        <v>163</v>
      </c>
      <c r="C200" s="45"/>
      <c r="D200" s="4"/>
      <c r="E200" s="4"/>
      <c r="F200" s="4"/>
      <c r="G200" s="4"/>
      <c r="H200" s="45"/>
      <c r="I200" s="4"/>
      <c r="J200" s="4"/>
      <c r="K200" s="4"/>
      <c r="L200" s="4"/>
      <c r="M200" s="45"/>
      <c r="N200" s="4"/>
      <c r="O200" s="4"/>
      <c r="P200" s="4"/>
      <c r="Q200" s="4"/>
      <c r="R200" s="45"/>
      <c r="S200" s="4"/>
      <c r="T200" s="4"/>
      <c r="U200" s="4"/>
      <c r="V200" s="4"/>
      <c r="W200" s="45"/>
      <c r="X200" s="4"/>
      <c r="Y200" s="4"/>
      <c r="Z200" s="4"/>
      <c r="AA200" s="4"/>
      <c r="AB200" s="45"/>
      <c r="AC200" s="4"/>
      <c r="AD200" s="4"/>
      <c r="AE200" s="4"/>
      <c r="AF200" s="4"/>
      <c r="AG200" s="45"/>
      <c r="AH200" s="4"/>
      <c r="AI200" s="4"/>
      <c r="AJ200" s="4"/>
      <c r="AK200" s="4"/>
      <c r="AL200" s="45"/>
      <c r="AM200" s="4"/>
      <c r="AN200" s="4"/>
      <c r="AO200" s="4"/>
      <c r="AP200" s="4"/>
      <c r="AQ200" s="45"/>
      <c r="AR200" s="4"/>
      <c r="AS200" s="4"/>
      <c r="AT200" s="4"/>
      <c r="AU200" s="4"/>
      <c r="AV200" s="45"/>
      <c r="AW200" s="4"/>
      <c r="AX200" s="4"/>
      <c r="AY200" s="4"/>
      <c r="AZ200" s="4"/>
      <c r="BA200" s="45"/>
      <c r="BB200" s="4"/>
      <c r="BC200" s="4"/>
      <c r="BD200" s="4"/>
      <c r="BE200" s="4"/>
      <c r="BF200" s="45"/>
      <c r="BG200" s="4"/>
      <c r="BH200" s="4"/>
      <c r="BI200" s="4"/>
      <c r="BJ200" s="4"/>
      <c r="BK200" s="45"/>
      <c r="BL200" s="4"/>
      <c r="BM200" s="4"/>
      <c r="BN200" s="4"/>
      <c r="BO200" s="4"/>
      <c r="BP200" s="45"/>
      <c r="BQ200" s="4"/>
      <c r="BR200" s="4"/>
      <c r="BS200" s="4"/>
      <c r="BT200" s="4"/>
      <c r="BU200" s="45"/>
      <c r="BV200" s="4"/>
      <c r="BW200" s="4"/>
      <c r="BX200" s="4"/>
      <c r="BY200" s="4"/>
      <c r="BZ200" s="350"/>
      <c r="CA200" s="4"/>
      <c r="CB200" s="4"/>
      <c r="CC200" s="4"/>
      <c r="CD200" s="4"/>
      <c r="CE200" s="350"/>
      <c r="CF200" s="4"/>
      <c r="CG200" s="4"/>
      <c r="CH200" s="4"/>
      <c r="CI200" s="4"/>
      <c r="CJ200" s="350"/>
      <c r="CK200" s="4"/>
      <c r="CL200" s="4"/>
      <c r="CM200" s="4"/>
      <c r="CN200" s="16"/>
      <c r="CO200" s="350"/>
      <c r="CP200" s="104"/>
      <c r="CQ200" s="104"/>
      <c r="CR200" s="104"/>
      <c r="CS200" s="104"/>
      <c r="CT200" s="350"/>
      <c r="CU200" s="4"/>
      <c r="CV200" s="4"/>
      <c r="CW200" s="4"/>
      <c r="CX200" s="4"/>
      <c r="CY200" s="350"/>
      <c r="CZ200" s="4"/>
      <c r="DA200" s="4"/>
      <c r="DB200" s="4"/>
      <c r="DC200" s="4"/>
      <c r="DD200" s="350"/>
      <c r="DE200" s="4"/>
      <c r="DF200" s="4"/>
      <c r="DG200" s="4"/>
      <c r="DH200" s="4"/>
      <c r="DI200" s="350"/>
      <c r="DJ200" s="16"/>
      <c r="DK200" s="16"/>
      <c r="DL200" s="16"/>
      <c r="DM200" s="16"/>
      <c r="DN200" s="350"/>
      <c r="DO200" s="16"/>
      <c r="DP200" s="16"/>
      <c r="DQ200" s="16"/>
      <c r="DR200" s="16"/>
      <c r="DS200" s="356">
        <v>9927.0</v>
      </c>
      <c r="DT200" s="16"/>
      <c r="DU200" s="16"/>
      <c r="DV200" s="16"/>
      <c r="DW200" s="16"/>
      <c r="DX200" s="356">
        <v>11076.0</v>
      </c>
      <c r="DY200" s="357">
        <v>1706.0</v>
      </c>
      <c r="DZ200" s="357">
        <v>2090.0</v>
      </c>
      <c r="EA200" s="357">
        <v>2293.0</v>
      </c>
      <c r="EB200" s="357">
        <v>2350.0</v>
      </c>
      <c r="EC200" s="356">
        <f>SUM(DY200:EB200)</f>
        <v>8439</v>
      </c>
      <c r="ED200" s="357">
        <v>1686.0</v>
      </c>
      <c r="EE200" s="357">
        <v>214.0</v>
      </c>
      <c r="EF200" s="357">
        <v>17.0</v>
      </c>
      <c r="EG200" s="357">
        <v>371.0</v>
      </c>
      <c r="EH200" s="356">
        <f>SUM(ED200:EG200)</f>
        <v>2288</v>
      </c>
      <c r="EI200" s="214"/>
      <c r="EJ200" s="16"/>
      <c r="EK200" s="4"/>
      <c r="EL200" s="4"/>
      <c r="EM200" s="356">
        <f>SUM(EI200:EL200)</f>
        <v>0</v>
      </c>
      <c r="EN200" s="357"/>
      <c r="EO200" s="16"/>
      <c r="EP200" s="4"/>
      <c r="EQ200" s="4"/>
      <c r="ER200" s="356">
        <f>SUM(EN200:EQ200)</f>
        <v>0</v>
      </c>
      <c r="ES200" s="357"/>
      <c r="ET200" s="16"/>
      <c r="EU200" s="4"/>
      <c r="EV200" s="4"/>
      <c r="EW200" s="356">
        <f>SUM(ES200:EV200)</f>
        <v>0</v>
      </c>
      <c r="EX200" s="357"/>
      <c r="EY200" s="16"/>
      <c r="EZ200" s="4"/>
      <c r="FA200" s="4"/>
      <c r="FB200" s="356">
        <f>SUM(EX200:FA200)</f>
        <v>0</v>
      </c>
      <c r="FC200" s="357"/>
      <c r="FD200" s="16"/>
      <c r="FE200" s="4"/>
      <c r="FF200" s="4"/>
      <c r="FG200" s="356">
        <f>SUM(FC200:FF200)</f>
        <v>0</v>
      </c>
      <c r="FH200" s="359"/>
      <c r="FI200" s="4"/>
      <c r="FJ200" s="4"/>
      <c r="FK200" s="45"/>
      <c r="FL200" s="4"/>
    </row>
    <row r="201" ht="12.75" customHeight="1">
      <c r="A201" s="4"/>
      <c r="B201" s="72" t="s">
        <v>164</v>
      </c>
      <c r="C201" s="45"/>
      <c r="D201" s="4"/>
      <c r="E201" s="4"/>
      <c r="F201" s="4"/>
      <c r="G201" s="4"/>
      <c r="H201" s="45"/>
      <c r="I201" s="4"/>
      <c r="J201" s="4"/>
      <c r="K201" s="4"/>
      <c r="L201" s="4"/>
      <c r="M201" s="45"/>
      <c r="N201" s="4"/>
      <c r="O201" s="4"/>
      <c r="P201" s="4"/>
      <c r="Q201" s="4"/>
      <c r="R201" s="45"/>
      <c r="S201" s="4"/>
      <c r="T201" s="4"/>
      <c r="U201" s="4"/>
      <c r="V201" s="4"/>
      <c r="W201" s="45"/>
      <c r="X201" s="4"/>
      <c r="Y201" s="4"/>
      <c r="Z201" s="4"/>
      <c r="AA201" s="4"/>
      <c r="AB201" s="45"/>
      <c r="AC201" s="4"/>
      <c r="AD201" s="4"/>
      <c r="AE201" s="4"/>
      <c r="AF201" s="4"/>
      <c r="AG201" s="45"/>
      <c r="AH201" s="4"/>
      <c r="AI201" s="4"/>
      <c r="AJ201" s="4"/>
      <c r="AK201" s="4"/>
      <c r="AL201" s="45"/>
      <c r="AM201" s="4"/>
      <c r="AN201" s="4"/>
      <c r="AO201" s="4"/>
      <c r="AP201" s="4"/>
      <c r="AQ201" s="45"/>
      <c r="AR201" s="4"/>
      <c r="AS201" s="4"/>
      <c r="AT201" s="4"/>
      <c r="AU201" s="4"/>
      <c r="AV201" s="45"/>
      <c r="AW201" s="4"/>
      <c r="AX201" s="4"/>
      <c r="AY201" s="4"/>
      <c r="AZ201" s="4"/>
      <c r="BA201" s="45"/>
      <c r="BB201" s="4"/>
      <c r="BC201" s="4"/>
      <c r="BD201" s="4"/>
      <c r="BE201" s="4"/>
      <c r="BF201" s="45"/>
      <c r="BG201" s="4"/>
      <c r="BH201" s="4"/>
      <c r="BI201" s="4"/>
      <c r="BJ201" s="4"/>
      <c r="BK201" s="45"/>
      <c r="BL201" s="4"/>
      <c r="BM201" s="4"/>
      <c r="BN201" s="4"/>
      <c r="BO201" s="4"/>
      <c r="BP201" s="45"/>
      <c r="BQ201" s="4"/>
      <c r="BR201" s="4"/>
      <c r="BS201" s="4"/>
      <c r="BT201" s="4"/>
      <c r="BU201" s="45"/>
      <c r="BV201" s="4"/>
      <c r="BW201" s="4"/>
      <c r="BX201" s="4"/>
      <c r="BY201" s="4"/>
      <c r="BZ201" s="350"/>
      <c r="CA201" s="4"/>
      <c r="CB201" s="4"/>
      <c r="CC201" s="4"/>
      <c r="CD201" s="4"/>
      <c r="CE201" s="350"/>
      <c r="CF201" s="4"/>
      <c r="CG201" s="4"/>
      <c r="CH201" s="4"/>
      <c r="CI201" s="4"/>
      <c r="CJ201" s="350"/>
      <c r="CK201" s="4"/>
      <c r="CL201" s="4"/>
      <c r="CM201" s="4"/>
      <c r="CN201" s="16"/>
      <c r="CO201" s="350"/>
      <c r="CP201" s="104"/>
      <c r="CQ201" s="104"/>
      <c r="CR201" s="104"/>
      <c r="CS201" s="104"/>
      <c r="CT201" s="350"/>
      <c r="CU201" s="4"/>
      <c r="CV201" s="4"/>
      <c r="CW201" s="4"/>
      <c r="CX201" s="4"/>
      <c r="CY201" s="350"/>
      <c r="CZ201" s="4"/>
      <c r="DA201" s="4"/>
      <c r="DB201" s="4"/>
      <c r="DC201" s="4"/>
      <c r="DD201" s="350"/>
      <c r="DE201" s="4"/>
      <c r="DF201" s="4"/>
      <c r="DG201" s="4"/>
      <c r="DH201" s="4"/>
      <c r="DI201" s="350"/>
      <c r="DJ201" s="16"/>
      <c r="DK201" s="16"/>
      <c r="DL201" s="16"/>
      <c r="DM201" s="16"/>
      <c r="DN201" s="350"/>
      <c r="DO201" s="16"/>
      <c r="DP201" s="16"/>
      <c r="DQ201" s="16"/>
      <c r="DR201" s="16"/>
      <c r="DS201" s="37">
        <f>DS200/DS182</f>
        <v>0.4575497788</v>
      </c>
      <c r="DT201" s="16"/>
      <c r="DU201" s="16"/>
      <c r="DV201" s="16"/>
      <c r="DW201" s="16"/>
      <c r="DX201" s="37">
        <f t="shared" ref="DX201:FG201" si="1381">DX200/DX182</f>
        <v>0.4730705164</v>
      </c>
      <c r="DY201" s="40">
        <f t="shared" si="1381"/>
        <v>0.3453441296</v>
      </c>
      <c r="DZ201" s="40">
        <f t="shared" si="1381"/>
        <v>0.3767802416</v>
      </c>
      <c r="EA201" s="40">
        <f t="shared" si="1381"/>
        <v>0.3968501211</v>
      </c>
      <c r="EB201" s="40">
        <f t="shared" si="1381"/>
        <v>0.3657018363</v>
      </c>
      <c r="EC201" s="37">
        <f t="shared" si="1381"/>
        <v>0.3719095677</v>
      </c>
      <c r="ED201" s="40">
        <f t="shared" si="1381"/>
        <v>0.279416639</v>
      </c>
      <c r="EE201" s="40">
        <f t="shared" si="1381"/>
        <v>0.0460314046</v>
      </c>
      <c r="EF201" s="40">
        <f t="shared" si="1381"/>
        <v>0.004038964124</v>
      </c>
      <c r="EG201" s="40">
        <f t="shared" si="1381"/>
        <v>0.08619888476</v>
      </c>
      <c r="EH201" s="37">
        <f t="shared" si="1381"/>
        <v>0.1191914982</v>
      </c>
      <c r="EI201" s="214" t="str">
        <f t="shared" si="1381"/>
        <v>#ERROR!</v>
      </c>
      <c r="EJ201" s="40" t="str">
        <f t="shared" si="1381"/>
        <v>#ERROR!</v>
      </c>
      <c r="EK201" s="40" t="str">
        <f t="shared" si="1381"/>
        <v>#ERROR!</v>
      </c>
      <c r="EL201" s="40" t="str">
        <f t="shared" si="1381"/>
        <v>#ERROR!</v>
      </c>
      <c r="EM201" s="37" t="str">
        <f t="shared" si="1381"/>
        <v>#ERROR!</v>
      </c>
      <c r="EN201" s="40" t="str">
        <f t="shared" si="1381"/>
        <v>#ERROR!</v>
      </c>
      <c r="EO201" s="40" t="str">
        <f t="shared" si="1381"/>
        <v>#ERROR!</v>
      </c>
      <c r="EP201" s="40" t="str">
        <f t="shared" si="1381"/>
        <v>#ERROR!</v>
      </c>
      <c r="EQ201" s="40" t="str">
        <f t="shared" si="1381"/>
        <v>#ERROR!</v>
      </c>
      <c r="ER201" s="37" t="str">
        <f t="shared" si="1381"/>
        <v>#ERROR!</v>
      </c>
      <c r="ES201" s="40" t="str">
        <f t="shared" si="1381"/>
        <v>#ERROR!</v>
      </c>
      <c r="ET201" s="40" t="str">
        <f t="shared" si="1381"/>
        <v>#ERROR!</v>
      </c>
      <c r="EU201" s="40" t="str">
        <f t="shared" si="1381"/>
        <v>#ERROR!</v>
      </c>
      <c r="EV201" s="40" t="str">
        <f t="shared" si="1381"/>
        <v>#ERROR!</v>
      </c>
      <c r="EW201" s="37" t="str">
        <f t="shared" si="1381"/>
        <v>#ERROR!</v>
      </c>
      <c r="EX201" s="40" t="str">
        <f t="shared" si="1381"/>
        <v>#ERROR!</v>
      </c>
      <c r="EY201" s="40" t="str">
        <f t="shared" si="1381"/>
        <v>#ERROR!</v>
      </c>
      <c r="EZ201" s="40" t="str">
        <f t="shared" si="1381"/>
        <v>#ERROR!</v>
      </c>
      <c r="FA201" s="40" t="str">
        <f t="shared" si="1381"/>
        <v>#ERROR!</v>
      </c>
      <c r="FB201" s="37" t="str">
        <f t="shared" si="1381"/>
        <v>#ERROR!</v>
      </c>
      <c r="FC201" s="40" t="str">
        <f t="shared" si="1381"/>
        <v>#ERROR!</v>
      </c>
      <c r="FD201" s="40" t="str">
        <f t="shared" si="1381"/>
        <v>#ERROR!</v>
      </c>
      <c r="FE201" s="40" t="str">
        <f t="shared" si="1381"/>
        <v>#ERROR!</v>
      </c>
      <c r="FF201" s="40" t="str">
        <f t="shared" si="1381"/>
        <v>#ERROR!</v>
      </c>
      <c r="FG201" s="37" t="str">
        <f t="shared" si="1381"/>
        <v>#ERROR!</v>
      </c>
      <c r="FH201" s="35"/>
      <c r="FI201" s="4"/>
      <c r="FJ201" s="4"/>
      <c r="FK201" s="45"/>
      <c r="FL201" s="4"/>
    </row>
    <row r="202" ht="12.75" customHeight="1">
      <c r="A202" s="4"/>
      <c r="B202" s="72"/>
      <c r="C202" s="45"/>
      <c r="D202" s="4"/>
      <c r="E202" s="4"/>
      <c r="F202" s="4"/>
      <c r="G202" s="4"/>
      <c r="H202" s="45"/>
      <c r="I202" s="4"/>
      <c r="J202" s="4"/>
      <c r="K202" s="4"/>
      <c r="L202" s="4"/>
      <c r="M202" s="45"/>
      <c r="N202" s="4"/>
      <c r="O202" s="4"/>
      <c r="P202" s="4"/>
      <c r="Q202" s="4"/>
      <c r="R202" s="45"/>
      <c r="S202" s="4"/>
      <c r="T202" s="4"/>
      <c r="U202" s="4"/>
      <c r="V202" s="4"/>
      <c r="W202" s="45"/>
      <c r="X202" s="4"/>
      <c r="Y202" s="4"/>
      <c r="Z202" s="4"/>
      <c r="AA202" s="4"/>
      <c r="AB202" s="45"/>
      <c r="AC202" s="4"/>
      <c r="AD202" s="4"/>
      <c r="AE202" s="4"/>
      <c r="AF202" s="4"/>
      <c r="AG202" s="45"/>
      <c r="AH202" s="4"/>
      <c r="AI202" s="4"/>
      <c r="AJ202" s="4"/>
      <c r="AK202" s="4"/>
      <c r="AL202" s="45"/>
      <c r="AM202" s="4"/>
      <c r="AN202" s="4"/>
      <c r="AO202" s="4"/>
      <c r="AP202" s="4"/>
      <c r="AQ202" s="45"/>
      <c r="AR202" s="4"/>
      <c r="AS202" s="4"/>
      <c r="AT202" s="4"/>
      <c r="AU202" s="4"/>
      <c r="AV202" s="45"/>
      <c r="AW202" s="4"/>
      <c r="AX202" s="4"/>
      <c r="AY202" s="4"/>
      <c r="AZ202" s="4"/>
      <c r="BA202" s="45"/>
      <c r="BB202" s="4"/>
      <c r="BC202" s="4"/>
      <c r="BD202" s="4"/>
      <c r="BE202" s="4"/>
      <c r="BF202" s="45"/>
      <c r="BG202" s="4"/>
      <c r="BH202" s="4"/>
      <c r="BI202" s="4"/>
      <c r="BJ202" s="4"/>
      <c r="BK202" s="45"/>
      <c r="BL202" s="4"/>
      <c r="BM202" s="4"/>
      <c r="BN202" s="4"/>
      <c r="BO202" s="4"/>
      <c r="BP202" s="45"/>
      <c r="BQ202" s="4"/>
      <c r="BR202" s="4"/>
      <c r="BS202" s="4"/>
      <c r="BT202" s="4"/>
      <c r="BU202" s="45"/>
      <c r="BV202" s="4"/>
      <c r="BW202" s="4"/>
      <c r="BX202" s="4"/>
      <c r="BY202" s="4"/>
      <c r="BZ202" s="350"/>
      <c r="CA202" s="4"/>
      <c r="CB202" s="4"/>
      <c r="CC202" s="4"/>
      <c r="CD202" s="4"/>
      <c r="CE202" s="350"/>
      <c r="CF202" s="4"/>
      <c r="CG202" s="4"/>
      <c r="CH202" s="4"/>
      <c r="CI202" s="4"/>
      <c r="CJ202" s="350"/>
      <c r="CK202" s="4"/>
      <c r="CL202" s="4"/>
      <c r="CM202" s="4"/>
      <c r="CN202" s="16"/>
      <c r="CO202" s="350"/>
      <c r="CP202" s="104"/>
      <c r="CQ202" s="104"/>
      <c r="CR202" s="104"/>
      <c r="CS202" s="104"/>
      <c r="CT202" s="350"/>
      <c r="CU202" s="4"/>
      <c r="CV202" s="4"/>
      <c r="CW202" s="4"/>
      <c r="CX202" s="4"/>
      <c r="CY202" s="350"/>
      <c r="CZ202" s="4"/>
      <c r="DA202" s="4"/>
      <c r="DB202" s="4"/>
      <c r="DC202" s="4"/>
      <c r="DD202" s="350"/>
      <c r="DE202" s="4"/>
      <c r="DF202" s="4"/>
      <c r="DG202" s="4"/>
      <c r="DH202" s="4"/>
      <c r="DI202" s="350"/>
      <c r="DJ202" s="16"/>
      <c r="DK202" s="16"/>
      <c r="DL202" s="16"/>
      <c r="DM202" s="16"/>
      <c r="DN202" s="350"/>
      <c r="DO202" s="16"/>
      <c r="DP202" s="16"/>
      <c r="DQ202" s="16"/>
      <c r="DR202" s="16"/>
      <c r="DS202" s="350"/>
      <c r="DT202" s="16"/>
      <c r="DU202" s="16"/>
      <c r="DV202" s="16"/>
      <c r="DW202" s="16"/>
      <c r="DX202" s="350"/>
      <c r="DY202" s="16"/>
      <c r="DZ202" s="16"/>
      <c r="EA202" s="16"/>
      <c r="EB202" s="16"/>
      <c r="EC202" s="350"/>
      <c r="ED202" s="16"/>
      <c r="EE202" s="16"/>
      <c r="EF202" s="16"/>
      <c r="EG202" s="16"/>
      <c r="EH202" s="350"/>
      <c r="EI202" s="214"/>
      <c r="EJ202" s="16"/>
      <c r="EK202" s="4"/>
      <c r="EL202" s="4"/>
      <c r="EM202" s="350"/>
      <c r="EN202" s="16"/>
      <c r="EO202" s="16"/>
      <c r="EP202" s="4"/>
      <c r="EQ202" s="4"/>
      <c r="ER202" s="350"/>
      <c r="ES202" s="16"/>
      <c r="ET202" s="16"/>
      <c r="EU202" s="4"/>
      <c r="EV202" s="4"/>
      <c r="EW202" s="350"/>
      <c r="EX202" s="16"/>
      <c r="EY202" s="16"/>
      <c r="EZ202" s="4"/>
      <c r="FA202" s="4"/>
      <c r="FB202" s="350"/>
      <c r="FC202" s="16"/>
      <c r="FD202" s="16"/>
      <c r="FE202" s="4"/>
      <c r="FF202" s="4"/>
      <c r="FG202" s="350"/>
      <c r="FH202" s="145"/>
      <c r="FI202" s="4"/>
      <c r="FJ202" s="4"/>
      <c r="FK202" s="45"/>
      <c r="FL202" s="4"/>
    </row>
    <row r="203" ht="12.75" customHeight="1">
      <c r="A203" s="4"/>
      <c r="B203" s="45" t="s">
        <v>172</v>
      </c>
      <c r="C203" s="45"/>
      <c r="D203" s="4"/>
      <c r="E203" s="4"/>
      <c r="F203" s="4"/>
      <c r="G203" s="4"/>
      <c r="H203" s="45"/>
      <c r="I203" s="4"/>
      <c r="J203" s="4"/>
      <c r="K203" s="4"/>
      <c r="L203" s="4"/>
      <c r="M203" s="45"/>
      <c r="N203" s="4"/>
      <c r="O203" s="4"/>
      <c r="P203" s="4"/>
      <c r="Q203" s="4"/>
      <c r="R203" s="45"/>
      <c r="S203" s="4"/>
      <c r="T203" s="4"/>
      <c r="U203" s="4"/>
      <c r="V203" s="4"/>
      <c r="W203" s="45"/>
      <c r="X203" s="4"/>
      <c r="Y203" s="4"/>
      <c r="Z203" s="4"/>
      <c r="AA203" s="4"/>
      <c r="AB203" s="45"/>
      <c r="AC203" s="4"/>
      <c r="AD203" s="4"/>
      <c r="AE203" s="4"/>
      <c r="AF203" s="4"/>
      <c r="AG203" s="45"/>
      <c r="AH203" s="4"/>
      <c r="AI203" s="4"/>
      <c r="AJ203" s="4"/>
      <c r="AK203" s="4"/>
      <c r="AL203" s="45"/>
      <c r="AM203" s="4"/>
      <c r="AN203" s="4"/>
      <c r="AO203" s="4"/>
      <c r="AP203" s="4"/>
      <c r="AQ203" s="45"/>
      <c r="AR203" s="4"/>
      <c r="AS203" s="4"/>
      <c r="AT203" s="4"/>
      <c r="AU203" s="4"/>
      <c r="AV203" s="45"/>
      <c r="AW203" s="4"/>
      <c r="AX203" s="4"/>
      <c r="AY203" s="4"/>
      <c r="AZ203" s="4"/>
      <c r="BA203" s="45"/>
      <c r="BB203" s="4"/>
      <c r="BC203" s="4"/>
      <c r="BD203" s="4"/>
      <c r="BE203" s="4"/>
      <c r="BF203" s="45"/>
      <c r="BG203" s="4"/>
      <c r="BH203" s="4"/>
      <c r="BI203" s="4"/>
      <c r="BJ203" s="4"/>
      <c r="BK203" s="45"/>
      <c r="BL203" s="4"/>
      <c r="BM203" s="4"/>
      <c r="BN203" s="4"/>
      <c r="BO203" s="4"/>
      <c r="BP203" s="45"/>
      <c r="BQ203" s="4"/>
      <c r="BR203" s="4"/>
      <c r="BS203" s="4"/>
      <c r="BT203" s="4"/>
      <c r="BU203" s="45"/>
      <c r="BV203" s="4"/>
      <c r="BW203" s="4"/>
      <c r="BX203" s="4"/>
      <c r="BY203" s="4"/>
      <c r="BZ203" s="350"/>
      <c r="CA203" s="4"/>
      <c r="CB203" s="4"/>
      <c r="CC203" s="4"/>
      <c r="CD203" s="4"/>
      <c r="CE203" s="350"/>
      <c r="CF203" s="4"/>
      <c r="CG203" s="4"/>
      <c r="CH203" s="4"/>
      <c r="CI203" s="4"/>
      <c r="CJ203" s="350"/>
      <c r="CK203" s="4"/>
      <c r="CL203" s="4"/>
      <c r="CM203" s="4"/>
      <c r="CN203" s="16"/>
      <c r="CO203" s="350"/>
      <c r="CP203" s="104"/>
      <c r="CQ203" s="104"/>
      <c r="CR203" s="104"/>
      <c r="CS203" s="104"/>
      <c r="CT203" s="350"/>
      <c r="CU203" s="4"/>
      <c r="CV203" s="4"/>
      <c r="CW203" s="4"/>
      <c r="CX203" s="4"/>
      <c r="CY203" s="350"/>
      <c r="CZ203" s="4"/>
      <c r="DA203" s="4"/>
      <c r="DB203" s="4"/>
      <c r="DC203" s="4"/>
      <c r="DD203" s="350"/>
      <c r="DE203" s="4"/>
      <c r="DF203" s="4"/>
      <c r="DG203" s="4"/>
      <c r="DH203" s="4"/>
      <c r="DI203" s="350"/>
      <c r="DJ203" s="16"/>
      <c r="DK203" s="16"/>
      <c r="DL203" s="16"/>
      <c r="DM203" s="16"/>
      <c r="DN203" s="350"/>
      <c r="DO203" s="16"/>
      <c r="DP203" s="16"/>
      <c r="DQ203" s="16"/>
      <c r="DR203" s="16"/>
      <c r="DS203" s="350"/>
      <c r="DT203" s="16"/>
      <c r="DU203" s="16"/>
      <c r="DV203" s="16"/>
      <c r="DW203" s="16"/>
      <c r="DX203" s="350"/>
      <c r="DY203" s="4"/>
      <c r="DZ203" s="4"/>
      <c r="EA203" s="4"/>
      <c r="EB203" s="4"/>
      <c r="EC203" s="350"/>
      <c r="ED203" s="4"/>
      <c r="EE203" s="4"/>
      <c r="EF203" s="4"/>
      <c r="EG203" s="4"/>
      <c r="EH203" s="350"/>
      <c r="EI203" s="214"/>
      <c r="EJ203" s="16"/>
      <c r="EK203" s="4"/>
      <c r="EL203" s="4"/>
      <c r="EM203" s="350"/>
      <c r="EN203" s="4"/>
      <c r="EO203" s="16"/>
      <c r="EP203" s="4"/>
      <c r="EQ203" s="4"/>
      <c r="ER203" s="350"/>
      <c r="ES203" s="4"/>
      <c r="ET203" s="16"/>
      <c r="EU203" s="4"/>
      <c r="EV203" s="4"/>
      <c r="EW203" s="350"/>
      <c r="EX203" s="4"/>
      <c r="EY203" s="16"/>
      <c r="EZ203" s="4"/>
      <c r="FA203" s="4"/>
      <c r="FB203" s="350"/>
      <c r="FC203" s="4"/>
      <c r="FD203" s="16"/>
      <c r="FE203" s="4"/>
      <c r="FF203" s="4"/>
      <c r="FG203" s="350"/>
      <c r="FH203" s="145"/>
      <c r="FI203" s="4"/>
      <c r="FJ203" s="4"/>
      <c r="FK203" s="45"/>
      <c r="FL203" s="4"/>
    </row>
    <row r="204" ht="12.75" customHeight="1">
      <c r="A204" s="4"/>
      <c r="B204" s="72" t="s">
        <v>144</v>
      </c>
      <c r="C204" s="45"/>
      <c r="D204" s="4"/>
      <c r="E204" s="4"/>
      <c r="F204" s="4"/>
      <c r="G204" s="4"/>
      <c r="H204" s="45"/>
      <c r="I204" s="4"/>
      <c r="J204" s="4"/>
      <c r="K204" s="4"/>
      <c r="L204" s="4"/>
      <c r="M204" s="45"/>
      <c r="N204" s="4"/>
      <c r="O204" s="4"/>
      <c r="P204" s="4"/>
      <c r="Q204" s="4"/>
      <c r="R204" s="45"/>
      <c r="S204" s="4"/>
      <c r="T204" s="4"/>
      <c r="U204" s="4"/>
      <c r="V204" s="4"/>
      <c r="W204" s="45"/>
      <c r="X204" s="4"/>
      <c r="Y204" s="4"/>
      <c r="Z204" s="4"/>
      <c r="AA204" s="4"/>
      <c r="AB204" s="45"/>
      <c r="AC204" s="4"/>
      <c r="AD204" s="4"/>
      <c r="AE204" s="4"/>
      <c r="AF204" s="4"/>
      <c r="AG204" s="45"/>
      <c r="AH204" s="4"/>
      <c r="AI204" s="4"/>
      <c r="AJ204" s="4"/>
      <c r="AK204" s="4"/>
      <c r="AL204" s="45"/>
      <c r="AM204" s="4"/>
      <c r="AN204" s="4"/>
      <c r="AO204" s="4"/>
      <c r="AP204" s="4"/>
      <c r="AQ204" s="45"/>
      <c r="AR204" s="4"/>
      <c r="AS204" s="4"/>
      <c r="AT204" s="4"/>
      <c r="AU204" s="4"/>
      <c r="AV204" s="45"/>
      <c r="AW204" s="4"/>
      <c r="AX204" s="4"/>
      <c r="AY204" s="4"/>
      <c r="AZ204" s="4"/>
      <c r="BA204" s="45"/>
      <c r="BB204" s="4"/>
      <c r="BC204" s="4"/>
      <c r="BD204" s="4"/>
      <c r="BE204" s="4"/>
      <c r="BF204" s="45"/>
      <c r="BG204" s="4"/>
      <c r="BH204" s="4"/>
      <c r="BI204" s="4"/>
      <c r="BJ204" s="4"/>
      <c r="BK204" s="45"/>
      <c r="BL204" s="4"/>
      <c r="BM204" s="4"/>
      <c r="BN204" s="4"/>
      <c r="BO204" s="4"/>
      <c r="BP204" s="45"/>
      <c r="BQ204" s="4"/>
      <c r="BR204" s="4"/>
      <c r="BS204" s="4"/>
      <c r="BT204" s="4"/>
      <c r="BU204" s="45"/>
      <c r="BV204" s="4"/>
      <c r="BW204" s="4"/>
      <c r="BX204" s="4"/>
      <c r="BY204" s="4"/>
      <c r="BZ204" s="350"/>
      <c r="CA204" s="4"/>
      <c r="CB204" s="4"/>
      <c r="CC204" s="4"/>
      <c r="CD204" s="4"/>
      <c r="CE204" s="350"/>
      <c r="CF204" s="4"/>
      <c r="CG204" s="4"/>
      <c r="CH204" s="4"/>
      <c r="CI204" s="4"/>
      <c r="CJ204" s="350"/>
      <c r="CK204" s="4"/>
      <c r="CL204" s="4"/>
      <c r="CM204" s="4"/>
      <c r="CN204" s="16"/>
      <c r="CO204" s="350"/>
      <c r="CP204" s="104"/>
      <c r="CQ204" s="104"/>
      <c r="CR204" s="104"/>
      <c r="CS204" s="104"/>
      <c r="CT204" s="350"/>
      <c r="CU204" s="4"/>
      <c r="CV204" s="4"/>
      <c r="CW204" s="4"/>
      <c r="CX204" s="4"/>
      <c r="CY204" s="350"/>
      <c r="CZ204" s="4"/>
      <c r="DA204" s="4"/>
      <c r="DB204" s="4"/>
      <c r="DC204" s="4"/>
      <c r="DD204" s="350"/>
      <c r="DE204" s="4"/>
      <c r="DF204" s="4"/>
      <c r="DG204" s="4"/>
      <c r="DH204" s="4"/>
      <c r="DI204" s="350"/>
      <c r="DJ204" s="16"/>
      <c r="DK204" s="16"/>
      <c r="DL204" s="16"/>
      <c r="DM204" s="16"/>
      <c r="DN204" s="350"/>
      <c r="DO204" s="16"/>
      <c r="DP204" s="16"/>
      <c r="DQ204" s="16"/>
      <c r="DR204" s="16"/>
      <c r="DS204" s="356">
        <v>6829.0</v>
      </c>
      <c r="DT204" s="16"/>
      <c r="DU204" s="16"/>
      <c r="DV204" s="16"/>
      <c r="DW204" s="16"/>
      <c r="DX204" s="356">
        <v>7132.0</v>
      </c>
      <c r="DY204" s="357">
        <v>1799.0</v>
      </c>
      <c r="DZ204" s="357">
        <v>2105.0</v>
      </c>
      <c r="EA204" s="357">
        <v>1986.0</v>
      </c>
      <c r="EB204" s="357">
        <v>2086.0</v>
      </c>
      <c r="EC204" s="356">
        <f>SUM(DY204:EB204)</f>
        <v>7976</v>
      </c>
      <c r="ED204" s="357">
        <v>2213.0</v>
      </c>
      <c r="EE204" s="357">
        <v>2333.0</v>
      </c>
      <c r="EF204" s="357">
        <v>2266.0</v>
      </c>
      <c r="EG204" s="357">
        <v>2061.0</v>
      </c>
      <c r="EH204" s="356">
        <f>SUM(ED204:EG204)</f>
        <v>8873</v>
      </c>
      <c r="EI204" s="358">
        <f>EG204*(1+EI205)</f>
        <v>1854.9</v>
      </c>
      <c r="EJ204" s="357">
        <f t="shared" ref="EJ204:EL204" si="1382">EI204*(1+EJ205)</f>
        <v>1762.155</v>
      </c>
      <c r="EK204" s="357">
        <f t="shared" si="1382"/>
        <v>1762.155</v>
      </c>
      <c r="EL204" s="357">
        <f t="shared" si="1382"/>
        <v>1850.26275</v>
      </c>
      <c r="EM204" s="356">
        <f>SUM(EI204:EL204)</f>
        <v>7229.47275</v>
      </c>
      <c r="EN204" s="357">
        <f>EL204*(1+EN205)</f>
        <v>1887.268005</v>
      </c>
      <c r="EO204" s="357">
        <f t="shared" ref="EO204:EQ204" si="1383">EN204*(1+EO205)</f>
        <v>2038.249445</v>
      </c>
      <c r="EP204" s="357">
        <f t="shared" si="1383"/>
        <v>2242.07439</v>
      </c>
      <c r="EQ204" s="357">
        <f t="shared" si="1383"/>
        <v>2331.757366</v>
      </c>
      <c r="ER204" s="356">
        <f>SUM(EN204:EQ204)</f>
        <v>8499.349206</v>
      </c>
      <c r="ES204" s="357">
        <f>EQ204*(1+ES205)</f>
        <v>2425.02766</v>
      </c>
      <c r="ET204" s="357">
        <f t="shared" ref="ET204:EV204" si="1384">ES204*(1+ET205)</f>
        <v>2522.028767</v>
      </c>
      <c r="EU204" s="357">
        <f t="shared" si="1384"/>
        <v>2622.909917</v>
      </c>
      <c r="EV204" s="357">
        <f t="shared" si="1384"/>
        <v>2727.826314</v>
      </c>
      <c r="EW204" s="356">
        <f>SUM(ES204:EV204)</f>
        <v>10297.79266</v>
      </c>
      <c r="EX204" s="357">
        <f>EV204*(1+EX205)</f>
        <v>2875.128935</v>
      </c>
      <c r="EY204" s="357">
        <f t="shared" ref="EY204:FA204" si="1385">EX204*(1+EY205)</f>
        <v>3030.385897</v>
      </c>
      <c r="EZ204" s="357">
        <f t="shared" si="1385"/>
        <v>3194.026736</v>
      </c>
      <c r="FA204" s="357">
        <f t="shared" si="1385"/>
        <v>3366.50418</v>
      </c>
      <c r="FB204" s="356">
        <f>SUM(EX204:FA204)</f>
        <v>12466.04575</v>
      </c>
      <c r="FC204" s="357">
        <f>FA204*(1+FC205)</f>
        <v>3534.829389</v>
      </c>
      <c r="FD204" s="357">
        <f t="shared" ref="FD204:FF204" si="1386">FC204*(1+FD205)</f>
        <v>3711.570858</v>
      </c>
      <c r="FE204" s="357">
        <f t="shared" si="1386"/>
        <v>3897.149401</v>
      </c>
      <c r="FF204" s="357">
        <f t="shared" si="1386"/>
        <v>4092.006871</v>
      </c>
      <c r="FG204" s="356">
        <f>SUM(FC204:FF204)</f>
        <v>15235.55652</v>
      </c>
      <c r="FH204" s="359"/>
      <c r="FI204" s="4"/>
      <c r="FJ204" s="4"/>
      <c r="FK204" s="45"/>
      <c r="FL204" s="4"/>
    </row>
    <row r="205" ht="12.75" customHeight="1">
      <c r="A205" s="4"/>
      <c r="B205" s="72" t="s">
        <v>145</v>
      </c>
      <c r="C205" s="45"/>
      <c r="D205" s="4"/>
      <c r="E205" s="4"/>
      <c r="F205" s="4"/>
      <c r="G205" s="4"/>
      <c r="H205" s="45"/>
      <c r="I205" s="4"/>
      <c r="J205" s="4"/>
      <c r="K205" s="4"/>
      <c r="L205" s="4"/>
      <c r="M205" s="45"/>
      <c r="N205" s="4"/>
      <c r="O205" s="4"/>
      <c r="P205" s="4"/>
      <c r="Q205" s="4"/>
      <c r="R205" s="45"/>
      <c r="S205" s="4"/>
      <c r="T205" s="4"/>
      <c r="U205" s="4"/>
      <c r="V205" s="4"/>
      <c r="W205" s="45"/>
      <c r="X205" s="4"/>
      <c r="Y205" s="4"/>
      <c r="Z205" s="4"/>
      <c r="AA205" s="4"/>
      <c r="AB205" s="45"/>
      <c r="AC205" s="4"/>
      <c r="AD205" s="4"/>
      <c r="AE205" s="4"/>
      <c r="AF205" s="4"/>
      <c r="AG205" s="45"/>
      <c r="AH205" s="4"/>
      <c r="AI205" s="4"/>
      <c r="AJ205" s="4"/>
      <c r="AK205" s="4"/>
      <c r="AL205" s="45"/>
      <c r="AM205" s="4"/>
      <c r="AN205" s="4"/>
      <c r="AO205" s="4"/>
      <c r="AP205" s="4"/>
      <c r="AQ205" s="45"/>
      <c r="AR205" s="4"/>
      <c r="AS205" s="4"/>
      <c r="AT205" s="4"/>
      <c r="AU205" s="4"/>
      <c r="AV205" s="45"/>
      <c r="AW205" s="4"/>
      <c r="AX205" s="4"/>
      <c r="AY205" s="4"/>
      <c r="AZ205" s="4"/>
      <c r="BA205" s="45"/>
      <c r="BB205" s="4"/>
      <c r="BC205" s="4"/>
      <c r="BD205" s="4"/>
      <c r="BE205" s="4"/>
      <c r="BF205" s="45"/>
      <c r="BG205" s="4"/>
      <c r="BH205" s="4"/>
      <c r="BI205" s="4"/>
      <c r="BJ205" s="4"/>
      <c r="BK205" s="45"/>
      <c r="BL205" s="4"/>
      <c r="BM205" s="4"/>
      <c r="BN205" s="4"/>
      <c r="BO205" s="4"/>
      <c r="BP205" s="45"/>
      <c r="BQ205" s="4"/>
      <c r="BR205" s="4"/>
      <c r="BS205" s="4"/>
      <c r="BT205" s="4"/>
      <c r="BU205" s="45"/>
      <c r="BV205" s="4"/>
      <c r="BW205" s="4"/>
      <c r="BX205" s="4"/>
      <c r="BY205" s="4"/>
      <c r="BZ205" s="350"/>
      <c r="CA205" s="4"/>
      <c r="CB205" s="4"/>
      <c r="CC205" s="4"/>
      <c r="CD205" s="4"/>
      <c r="CE205" s="350"/>
      <c r="CF205" s="4"/>
      <c r="CG205" s="4"/>
      <c r="CH205" s="4"/>
      <c r="CI205" s="4"/>
      <c r="CJ205" s="350"/>
      <c r="CK205" s="4"/>
      <c r="CL205" s="4"/>
      <c r="CM205" s="4"/>
      <c r="CN205" s="16"/>
      <c r="CO205" s="350"/>
      <c r="CP205" s="104"/>
      <c r="CQ205" s="104"/>
      <c r="CR205" s="104"/>
      <c r="CS205" s="104"/>
      <c r="CT205" s="350"/>
      <c r="CU205" s="4"/>
      <c r="CV205" s="4"/>
      <c r="CW205" s="4"/>
      <c r="CX205" s="4"/>
      <c r="CY205" s="350"/>
      <c r="CZ205" s="4"/>
      <c r="DA205" s="4"/>
      <c r="DB205" s="4"/>
      <c r="DC205" s="4"/>
      <c r="DD205" s="350"/>
      <c r="DE205" s="4"/>
      <c r="DF205" s="4"/>
      <c r="DG205" s="4"/>
      <c r="DH205" s="4"/>
      <c r="DI205" s="350"/>
      <c r="DJ205" s="16"/>
      <c r="DK205" s="16"/>
      <c r="DL205" s="16"/>
      <c r="DM205" s="16"/>
      <c r="DN205" s="350"/>
      <c r="DO205" s="16"/>
      <c r="DP205" s="16"/>
      <c r="DQ205" s="16"/>
      <c r="DR205" s="16"/>
      <c r="DS205" s="350"/>
      <c r="DT205" s="16"/>
      <c r="DU205" s="16"/>
      <c r="DV205" s="16"/>
      <c r="DW205" s="16"/>
      <c r="DX205" s="350"/>
      <c r="DY205" s="16"/>
      <c r="DZ205" s="321">
        <f t="shared" ref="DZ205:EB205" si="1387">DZ204/DY204-1</f>
        <v>0.1700944969</v>
      </c>
      <c r="EA205" s="321">
        <f t="shared" si="1387"/>
        <v>-0.05653206651</v>
      </c>
      <c r="EB205" s="321">
        <f t="shared" si="1387"/>
        <v>0.05035246727</v>
      </c>
      <c r="EC205" s="350"/>
      <c r="ED205" s="321">
        <f>ED204/EB204-1</f>
        <v>0.06088207095</v>
      </c>
      <c r="EE205" s="321">
        <f t="shared" ref="EE205:EG205" si="1388">EE204/ED204-1</f>
        <v>0.05422503389</v>
      </c>
      <c r="EF205" s="321">
        <f t="shared" si="1388"/>
        <v>-0.02871838834</v>
      </c>
      <c r="EG205" s="321">
        <f t="shared" si="1388"/>
        <v>-0.09046778464</v>
      </c>
      <c r="EH205" s="350"/>
      <c r="EI205" s="381">
        <v>-0.1</v>
      </c>
      <c r="EJ205" s="382">
        <v>-0.05</v>
      </c>
      <c r="EK205" s="382">
        <v>0.0</v>
      </c>
      <c r="EL205" s="382">
        <v>0.05</v>
      </c>
      <c r="EM205" s="350"/>
      <c r="EN205" s="382">
        <v>0.02</v>
      </c>
      <c r="EO205" s="382">
        <v>0.08</v>
      </c>
      <c r="EP205" s="382">
        <v>0.1</v>
      </c>
      <c r="EQ205" s="382">
        <v>0.04</v>
      </c>
      <c r="ER205" s="350"/>
      <c r="ES205" s="382">
        <v>0.04</v>
      </c>
      <c r="ET205" s="382">
        <v>0.04</v>
      </c>
      <c r="EU205" s="382">
        <v>0.04</v>
      </c>
      <c r="EV205" s="382">
        <v>0.04</v>
      </c>
      <c r="EW205" s="350"/>
      <c r="EX205" s="382">
        <v>0.054</v>
      </c>
      <c r="EY205" s="382">
        <v>0.054</v>
      </c>
      <c r="EZ205" s="382">
        <v>0.054</v>
      </c>
      <c r="FA205" s="382">
        <v>0.054</v>
      </c>
      <c r="FB205" s="350"/>
      <c r="FC205" s="382">
        <v>0.05</v>
      </c>
      <c r="FD205" s="382">
        <v>0.05</v>
      </c>
      <c r="FE205" s="382">
        <v>0.05</v>
      </c>
      <c r="FF205" s="382">
        <v>0.05</v>
      </c>
      <c r="FG205" s="350"/>
      <c r="FH205" s="145"/>
      <c r="FI205" s="4"/>
      <c r="FJ205" s="4"/>
      <c r="FK205" s="45"/>
      <c r="FL205" s="4"/>
    </row>
    <row r="206" ht="12.75" customHeight="1">
      <c r="A206" s="4"/>
      <c r="B206" s="72" t="s">
        <v>146</v>
      </c>
      <c r="C206" s="45"/>
      <c r="D206" s="4"/>
      <c r="E206" s="4"/>
      <c r="F206" s="4"/>
      <c r="G206" s="4"/>
      <c r="H206" s="45"/>
      <c r="I206" s="4"/>
      <c r="J206" s="4"/>
      <c r="K206" s="4"/>
      <c r="L206" s="4"/>
      <c r="M206" s="45"/>
      <c r="N206" s="4"/>
      <c r="O206" s="4"/>
      <c r="P206" s="4"/>
      <c r="Q206" s="4"/>
      <c r="R206" s="45"/>
      <c r="S206" s="4"/>
      <c r="T206" s="4"/>
      <c r="U206" s="4"/>
      <c r="V206" s="4"/>
      <c r="W206" s="45"/>
      <c r="X206" s="4"/>
      <c r="Y206" s="4"/>
      <c r="Z206" s="4"/>
      <c r="AA206" s="4"/>
      <c r="AB206" s="45"/>
      <c r="AC206" s="4"/>
      <c r="AD206" s="4"/>
      <c r="AE206" s="4"/>
      <c r="AF206" s="4"/>
      <c r="AG206" s="45"/>
      <c r="AH206" s="4"/>
      <c r="AI206" s="4"/>
      <c r="AJ206" s="4"/>
      <c r="AK206" s="4"/>
      <c r="AL206" s="45"/>
      <c r="AM206" s="4"/>
      <c r="AN206" s="4"/>
      <c r="AO206" s="4"/>
      <c r="AP206" s="4"/>
      <c r="AQ206" s="45"/>
      <c r="AR206" s="4"/>
      <c r="AS206" s="4"/>
      <c r="AT206" s="4"/>
      <c r="AU206" s="4"/>
      <c r="AV206" s="45"/>
      <c r="AW206" s="4"/>
      <c r="AX206" s="4"/>
      <c r="AY206" s="4"/>
      <c r="AZ206" s="4"/>
      <c r="BA206" s="45"/>
      <c r="BB206" s="4"/>
      <c r="BC206" s="4"/>
      <c r="BD206" s="4"/>
      <c r="BE206" s="4"/>
      <c r="BF206" s="45"/>
      <c r="BG206" s="4"/>
      <c r="BH206" s="4"/>
      <c r="BI206" s="4"/>
      <c r="BJ206" s="4"/>
      <c r="BK206" s="45"/>
      <c r="BL206" s="4"/>
      <c r="BM206" s="4"/>
      <c r="BN206" s="4"/>
      <c r="BO206" s="4"/>
      <c r="BP206" s="45"/>
      <c r="BQ206" s="4"/>
      <c r="BR206" s="4"/>
      <c r="BS206" s="4"/>
      <c r="BT206" s="4"/>
      <c r="BU206" s="45"/>
      <c r="BV206" s="4"/>
      <c r="BW206" s="4"/>
      <c r="BX206" s="4"/>
      <c r="BY206" s="4"/>
      <c r="BZ206" s="350"/>
      <c r="CA206" s="4"/>
      <c r="CB206" s="4"/>
      <c r="CC206" s="4"/>
      <c r="CD206" s="4"/>
      <c r="CE206" s="350"/>
      <c r="CF206" s="4"/>
      <c r="CG206" s="4"/>
      <c r="CH206" s="4"/>
      <c r="CI206" s="4"/>
      <c r="CJ206" s="350"/>
      <c r="CK206" s="4"/>
      <c r="CL206" s="4"/>
      <c r="CM206" s="4"/>
      <c r="CN206" s="16"/>
      <c r="CO206" s="350"/>
      <c r="CP206" s="104"/>
      <c r="CQ206" s="104"/>
      <c r="CR206" s="104"/>
      <c r="CS206" s="104"/>
      <c r="CT206" s="350"/>
      <c r="CU206" s="4"/>
      <c r="CV206" s="4"/>
      <c r="CW206" s="4"/>
      <c r="CX206" s="4"/>
      <c r="CY206" s="350"/>
      <c r="CZ206" s="4"/>
      <c r="DA206" s="4"/>
      <c r="DB206" s="4"/>
      <c r="DC206" s="4"/>
      <c r="DD206" s="350"/>
      <c r="DE206" s="4"/>
      <c r="DF206" s="4"/>
      <c r="DG206" s="4"/>
      <c r="DH206" s="4"/>
      <c r="DI206" s="350"/>
      <c r="DJ206" s="16"/>
      <c r="DK206" s="16"/>
      <c r="DL206" s="16"/>
      <c r="DM206" s="16"/>
      <c r="DN206" s="350"/>
      <c r="DO206" s="16"/>
      <c r="DP206" s="16"/>
      <c r="DQ206" s="16"/>
      <c r="DR206" s="16"/>
      <c r="DS206" s="342"/>
      <c r="DT206" s="16"/>
      <c r="DU206" s="16"/>
      <c r="DV206" s="16"/>
      <c r="DW206" s="16"/>
      <c r="DX206" s="342">
        <f>DX204/DS204-1</f>
        <v>0.04436960023</v>
      </c>
      <c r="DY206" s="16"/>
      <c r="DZ206" s="16"/>
      <c r="EA206" s="16"/>
      <c r="EB206" s="16"/>
      <c r="EC206" s="342">
        <f t="shared" ref="EC206:FG206" si="1389">EC204/DX204-1</f>
        <v>0.1183398766</v>
      </c>
      <c r="ED206" s="321">
        <f t="shared" si="1389"/>
        <v>0.2301278488</v>
      </c>
      <c r="EE206" s="321">
        <f t="shared" si="1389"/>
        <v>0.1083135392</v>
      </c>
      <c r="EF206" s="321">
        <f t="shared" si="1389"/>
        <v>0.1409869084</v>
      </c>
      <c r="EG206" s="321">
        <f t="shared" si="1389"/>
        <v>-0.01198465964</v>
      </c>
      <c r="EH206" s="342">
        <f t="shared" si="1389"/>
        <v>0.1124623872</v>
      </c>
      <c r="EI206" s="322">
        <f t="shared" si="1389"/>
        <v>-0.1618165386</v>
      </c>
      <c r="EJ206" s="321">
        <f t="shared" si="1389"/>
        <v>-0.2446828118</v>
      </c>
      <c r="EK206" s="321">
        <f t="shared" si="1389"/>
        <v>-0.2223499559</v>
      </c>
      <c r="EL206" s="321">
        <f t="shared" si="1389"/>
        <v>-0.10225</v>
      </c>
      <c r="EM206" s="342">
        <f t="shared" si="1389"/>
        <v>-0.1852279105</v>
      </c>
      <c r="EN206" s="321">
        <f t="shared" si="1389"/>
        <v>0.01745</v>
      </c>
      <c r="EO206" s="321">
        <f t="shared" si="1389"/>
        <v>0.15668</v>
      </c>
      <c r="EP206" s="321">
        <f t="shared" si="1389"/>
        <v>0.272348</v>
      </c>
      <c r="EQ206" s="321">
        <f t="shared" si="1389"/>
        <v>0.2602304</v>
      </c>
      <c r="ER206" s="342">
        <f t="shared" si="1389"/>
        <v>0.1756527066</v>
      </c>
      <c r="ES206" s="321">
        <f t="shared" si="1389"/>
        <v>0.2849408</v>
      </c>
      <c r="ET206" s="321">
        <f t="shared" si="1389"/>
        <v>0.2373504</v>
      </c>
      <c r="EU206" s="321">
        <f t="shared" si="1389"/>
        <v>0.16985856</v>
      </c>
      <c r="EV206" s="321">
        <f t="shared" si="1389"/>
        <v>0.16985856</v>
      </c>
      <c r="EW206" s="342">
        <f t="shared" si="1389"/>
        <v>0.2115977834</v>
      </c>
      <c r="EX206" s="321">
        <f t="shared" si="1389"/>
        <v>0.185606656</v>
      </c>
      <c r="EY206" s="321">
        <f t="shared" si="1389"/>
        <v>0.2015667456</v>
      </c>
      <c r="EZ206" s="321">
        <f t="shared" si="1389"/>
        <v>0.2177416826</v>
      </c>
      <c r="FA206" s="321">
        <f t="shared" si="1389"/>
        <v>0.2341343591</v>
      </c>
      <c r="FB206" s="342">
        <f t="shared" si="1389"/>
        <v>0.2105551317</v>
      </c>
      <c r="FC206" s="321">
        <f t="shared" si="1389"/>
        <v>0.2294507372</v>
      </c>
      <c r="FD206" s="321">
        <f t="shared" si="1389"/>
        <v>0.22478489</v>
      </c>
      <c r="FE206" s="321">
        <f t="shared" si="1389"/>
        <v>0.22013675</v>
      </c>
      <c r="FF206" s="321">
        <f t="shared" si="1389"/>
        <v>0.21550625</v>
      </c>
      <c r="FG206" s="342">
        <f t="shared" si="1389"/>
        <v>0.2221643356</v>
      </c>
      <c r="FH206" s="343"/>
      <c r="FI206" s="4"/>
      <c r="FJ206" s="4"/>
      <c r="FK206" s="45"/>
      <c r="FL206" s="4"/>
    </row>
    <row r="207" ht="12.75" customHeight="1">
      <c r="A207" s="4"/>
      <c r="B207" s="72" t="s">
        <v>163</v>
      </c>
      <c r="C207" s="45"/>
      <c r="D207" s="4"/>
      <c r="E207" s="4"/>
      <c r="F207" s="4"/>
      <c r="G207" s="4"/>
      <c r="H207" s="45"/>
      <c r="I207" s="4"/>
      <c r="J207" s="4"/>
      <c r="K207" s="4"/>
      <c r="L207" s="4"/>
      <c r="M207" s="45"/>
      <c r="N207" s="4"/>
      <c r="O207" s="4"/>
      <c r="P207" s="4"/>
      <c r="Q207" s="4"/>
      <c r="R207" s="45"/>
      <c r="S207" s="4"/>
      <c r="T207" s="4"/>
      <c r="U207" s="4"/>
      <c r="V207" s="4"/>
      <c r="W207" s="45"/>
      <c r="X207" s="4"/>
      <c r="Y207" s="4"/>
      <c r="Z207" s="4"/>
      <c r="AA207" s="4"/>
      <c r="AB207" s="45"/>
      <c r="AC207" s="4"/>
      <c r="AD207" s="4"/>
      <c r="AE207" s="4"/>
      <c r="AF207" s="4"/>
      <c r="AG207" s="45"/>
      <c r="AH207" s="4"/>
      <c r="AI207" s="4"/>
      <c r="AJ207" s="4"/>
      <c r="AK207" s="4"/>
      <c r="AL207" s="45"/>
      <c r="AM207" s="4"/>
      <c r="AN207" s="4"/>
      <c r="AO207" s="4"/>
      <c r="AP207" s="4"/>
      <c r="AQ207" s="45"/>
      <c r="AR207" s="4"/>
      <c r="AS207" s="4"/>
      <c r="AT207" s="4"/>
      <c r="AU207" s="4"/>
      <c r="AV207" s="45"/>
      <c r="AW207" s="4"/>
      <c r="AX207" s="4"/>
      <c r="AY207" s="4"/>
      <c r="AZ207" s="4"/>
      <c r="BA207" s="45"/>
      <c r="BB207" s="4"/>
      <c r="BC207" s="4"/>
      <c r="BD207" s="4"/>
      <c r="BE207" s="4"/>
      <c r="BF207" s="45"/>
      <c r="BG207" s="4"/>
      <c r="BH207" s="4"/>
      <c r="BI207" s="4"/>
      <c r="BJ207" s="4"/>
      <c r="BK207" s="45"/>
      <c r="BL207" s="4"/>
      <c r="BM207" s="4"/>
      <c r="BN207" s="4"/>
      <c r="BO207" s="4"/>
      <c r="BP207" s="45"/>
      <c r="BQ207" s="4"/>
      <c r="BR207" s="4"/>
      <c r="BS207" s="4"/>
      <c r="BT207" s="4"/>
      <c r="BU207" s="45"/>
      <c r="BV207" s="4"/>
      <c r="BW207" s="4"/>
      <c r="BX207" s="4"/>
      <c r="BY207" s="4"/>
      <c r="BZ207" s="350"/>
      <c r="CA207" s="4"/>
      <c r="CB207" s="4"/>
      <c r="CC207" s="4"/>
      <c r="CD207" s="4"/>
      <c r="CE207" s="350"/>
      <c r="CF207" s="4"/>
      <c r="CG207" s="4"/>
      <c r="CH207" s="4"/>
      <c r="CI207" s="4"/>
      <c r="CJ207" s="350"/>
      <c r="CK207" s="4"/>
      <c r="CL207" s="4"/>
      <c r="CM207" s="4"/>
      <c r="CN207" s="16"/>
      <c r="CO207" s="350"/>
      <c r="CP207" s="104"/>
      <c r="CQ207" s="104"/>
      <c r="CR207" s="104"/>
      <c r="CS207" s="104"/>
      <c r="CT207" s="350"/>
      <c r="CU207" s="4"/>
      <c r="CV207" s="4"/>
      <c r="CW207" s="4"/>
      <c r="CX207" s="4"/>
      <c r="CY207" s="350"/>
      <c r="CZ207" s="4"/>
      <c r="DA207" s="4"/>
      <c r="DB207" s="4"/>
      <c r="DC207" s="4"/>
      <c r="DD207" s="350"/>
      <c r="DE207" s="4"/>
      <c r="DF207" s="4"/>
      <c r="DG207" s="4"/>
      <c r="DH207" s="4"/>
      <c r="DI207" s="350"/>
      <c r="DJ207" s="16"/>
      <c r="DK207" s="16"/>
      <c r="DL207" s="16"/>
      <c r="DM207" s="16"/>
      <c r="DN207" s="350"/>
      <c r="DO207" s="16"/>
      <c r="DP207" s="16"/>
      <c r="DQ207" s="16"/>
      <c r="DR207" s="16"/>
      <c r="DS207" s="356">
        <v>1739.0</v>
      </c>
      <c r="DT207" s="16"/>
      <c r="DU207" s="16"/>
      <c r="DV207" s="16"/>
      <c r="DW207" s="16"/>
      <c r="DX207" s="356">
        <v>846.0</v>
      </c>
      <c r="DY207" s="357">
        <v>243.0</v>
      </c>
      <c r="DZ207" s="357">
        <v>605.0</v>
      </c>
      <c r="EA207" s="357">
        <v>511.0</v>
      </c>
      <c r="EB207" s="357">
        <v>352.0</v>
      </c>
      <c r="EC207" s="356">
        <f>SUM(DY207:EB207)</f>
        <v>1711</v>
      </c>
      <c r="ED207" s="357">
        <v>366.0</v>
      </c>
      <c r="EE207" s="357">
        <v>241.0</v>
      </c>
      <c r="EF207" s="357">
        <v>75.0</v>
      </c>
      <c r="EG207" s="357">
        <v>58.0</v>
      </c>
      <c r="EH207" s="356">
        <f>SUM(ED207:EG207)</f>
        <v>740</v>
      </c>
      <c r="EI207" s="214">
        <v>0.0</v>
      </c>
      <c r="EJ207" s="16"/>
      <c r="EK207" s="4"/>
      <c r="EL207" s="4"/>
      <c r="EM207" s="356">
        <f>SUM(EI207:EL207)</f>
        <v>0</v>
      </c>
      <c r="EN207" s="357">
        <v>0.0</v>
      </c>
      <c r="EO207" s="16"/>
      <c r="EP207" s="4"/>
      <c r="EQ207" s="4"/>
      <c r="ER207" s="356">
        <f>SUM(EN207:EQ207)</f>
        <v>0</v>
      </c>
      <c r="ES207" s="357">
        <v>0.0</v>
      </c>
      <c r="ET207" s="16"/>
      <c r="EU207" s="4"/>
      <c r="EV207" s="4"/>
      <c r="EW207" s="356">
        <f>SUM(ES207:EV207)</f>
        <v>0</v>
      </c>
      <c r="EX207" s="357">
        <v>0.0</v>
      </c>
      <c r="EY207" s="16"/>
      <c r="EZ207" s="4"/>
      <c r="FA207" s="4"/>
      <c r="FB207" s="356">
        <f>SUM(EX207:FA207)</f>
        <v>0</v>
      </c>
      <c r="FC207" s="357">
        <v>0.0</v>
      </c>
      <c r="FD207" s="16"/>
      <c r="FE207" s="4"/>
      <c r="FF207" s="4"/>
      <c r="FG207" s="356">
        <f>SUM(FC207:FF207)</f>
        <v>0</v>
      </c>
      <c r="FH207" s="359"/>
      <c r="FI207" s="4"/>
      <c r="FJ207" s="4"/>
      <c r="FK207" s="45"/>
      <c r="FL207" s="4"/>
    </row>
    <row r="208" ht="12.75" customHeight="1">
      <c r="A208" s="4"/>
      <c r="B208" s="72" t="s">
        <v>164</v>
      </c>
      <c r="C208" s="45"/>
      <c r="D208" s="4"/>
      <c r="E208" s="4"/>
      <c r="F208" s="4"/>
      <c r="G208" s="4"/>
      <c r="H208" s="45"/>
      <c r="I208" s="4"/>
      <c r="J208" s="4"/>
      <c r="K208" s="4"/>
      <c r="L208" s="4"/>
      <c r="M208" s="45"/>
      <c r="N208" s="4"/>
      <c r="O208" s="4"/>
      <c r="P208" s="4"/>
      <c r="Q208" s="4"/>
      <c r="R208" s="45"/>
      <c r="S208" s="4"/>
      <c r="T208" s="4"/>
      <c r="U208" s="4"/>
      <c r="V208" s="4"/>
      <c r="W208" s="45"/>
      <c r="X208" s="4"/>
      <c r="Y208" s="4"/>
      <c r="Z208" s="4"/>
      <c r="AA208" s="4"/>
      <c r="AB208" s="45"/>
      <c r="AC208" s="4"/>
      <c r="AD208" s="4"/>
      <c r="AE208" s="4"/>
      <c r="AF208" s="4"/>
      <c r="AG208" s="45"/>
      <c r="AH208" s="4"/>
      <c r="AI208" s="4"/>
      <c r="AJ208" s="4"/>
      <c r="AK208" s="4"/>
      <c r="AL208" s="45"/>
      <c r="AM208" s="4"/>
      <c r="AN208" s="4"/>
      <c r="AO208" s="4"/>
      <c r="AP208" s="4"/>
      <c r="AQ208" s="45"/>
      <c r="AR208" s="4"/>
      <c r="AS208" s="4"/>
      <c r="AT208" s="4"/>
      <c r="AU208" s="4"/>
      <c r="AV208" s="45"/>
      <c r="AW208" s="4"/>
      <c r="AX208" s="4"/>
      <c r="AY208" s="4"/>
      <c r="AZ208" s="4"/>
      <c r="BA208" s="45"/>
      <c r="BB208" s="4"/>
      <c r="BC208" s="4"/>
      <c r="BD208" s="4"/>
      <c r="BE208" s="4"/>
      <c r="BF208" s="45"/>
      <c r="BG208" s="4"/>
      <c r="BH208" s="4"/>
      <c r="BI208" s="4"/>
      <c r="BJ208" s="4"/>
      <c r="BK208" s="45"/>
      <c r="BL208" s="4"/>
      <c r="BM208" s="4"/>
      <c r="BN208" s="4"/>
      <c r="BO208" s="4"/>
      <c r="BP208" s="45"/>
      <c r="BQ208" s="4"/>
      <c r="BR208" s="4"/>
      <c r="BS208" s="4"/>
      <c r="BT208" s="4"/>
      <c r="BU208" s="45"/>
      <c r="BV208" s="4"/>
      <c r="BW208" s="4"/>
      <c r="BX208" s="4"/>
      <c r="BY208" s="4"/>
      <c r="BZ208" s="350"/>
      <c r="CA208" s="4"/>
      <c r="CB208" s="4"/>
      <c r="CC208" s="4"/>
      <c r="CD208" s="4"/>
      <c r="CE208" s="350"/>
      <c r="CF208" s="4"/>
      <c r="CG208" s="4"/>
      <c r="CH208" s="4"/>
      <c r="CI208" s="4"/>
      <c r="CJ208" s="350"/>
      <c r="CK208" s="4"/>
      <c r="CL208" s="4"/>
      <c r="CM208" s="4"/>
      <c r="CN208" s="16"/>
      <c r="CO208" s="350"/>
      <c r="CP208" s="104"/>
      <c r="CQ208" s="104"/>
      <c r="CR208" s="104"/>
      <c r="CS208" s="104"/>
      <c r="CT208" s="350"/>
      <c r="CU208" s="4"/>
      <c r="CV208" s="4"/>
      <c r="CW208" s="4"/>
      <c r="CX208" s="4"/>
      <c r="CY208" s="350"/>
      <c r="CZ208" s="4"/>
      <c r="DA208" s="4"/>
      <c r="DB208" s="4"/>
      <c r="DC208" s="4"/>
      <c r="DD208" s="350"/>
      <c r="DE208" s="4"/>
      <c r="DF208" s="4"/>
      <c r="DG208" s="4"/>
      <c r="DH208" s="4"/>
      <c r="DI208" s="350"/>
      <c r="DJ208" s="16"/>
      <c r="DK208" s="16"/>
      <c r="DL208" s="16"/>
      <c r="DM208" s="16"/>
      <c r="DN208" s="350"/>
      <c r="DO208" s="16"/>
      <c r="DP208" s="16"/>
      <c r="DQ208" s="16"/>
      <c r="DR208" s="16"/>
      <c r="DS208" s="37">
        <f>DS207/DS204</f>
        <v>0.2546492898</v>
      </c>
      <c r="DT208" s="16"/>
      <c r="DU208" s="16"/>
      <c r="DV208" s="16"/>
      <c r="DW208" s="16"/>
      <c r="DX208" s="37">
        <f t="shared" ref="DX208:EI208" si="1390">DX207/DX204</f>
        <v>0.1186203029</v>
      </c>
      <c r="DY208" s="40">
        <f t="shared" si="1390"/>
        <v>0.1350750417</v>
      </c>
      <c r="DZ208" s="40">
        <f t="shared" si="1390"/>
        <v>0.2874109264</v>
      </c>
      <c r="EA208" s="40">
        <f t="shared" si="1390"/>
        <v>0.2573011078</v>
      </c>
      <c r="EB208" s="40">
        <f t="shared" si="1390"/>
        <v>0.1687440077</v>
      </c>
      <c r="EC208" s="37">
        <f t="shared" si="1390"/>
        <v>0.2145185557</v>
      </c>
      <c r="ED208" s="40">
        <f t="shared" si="1390"/>
        <v>0.1653863534</v>
      </c>
      <c r="EE208" s="40">
        <f t="shared" si="1390"/>
        <v>0.1033004715</v>
      </c>
      <c r="EF208" s="40">
        <f t="shared" si="1390"/>
        <v>0.03309796999</v>
      </c>
      <c r="EG208" s="40">
        <f t="shared" si="1390"/>
        <v>0.0281416788</v>
      </c>
      <c r="EH208" s="37">
        <f t="shared" si="1390"/>
        <v>0.08339907585</v>
      </c>
      <c r="EI208" s="214">
        <f t="shared" si="1390"/>
        <v>0</v>
      </c>
      <c r="EJ208" s="16"/>
      <c r="EK208" s="4"/>
      <c r="EL208" s="4"/>
      <c r="EM208" s="37">
        <f t="shared" ref="EM208:EN208" si="1391">EM207/EM204</f>
        <v>0</v>
      </c>
      <c r="EN208" s="40">
        <f t="shared" si="1391"/>
        <v>0</v>
      </c>
      <c r="EO208" s="16"/>
      <c r="EP208" s="4"/>
      <c r="EQ208" s="4"/>
      <c r="ER208" s="37">
        <f t="shared" ref="ER208:ES208" si="1392">ER207/ER204</f>
        <v>0</v>
      </c>
      <c r="ES208" s="40">
        <f t="shared" si="1392"/>
        <v>0</v>
      </c>
      <c r="ET208" s="16"/>
      <c r="EU208" s="4"/>
      <c r="EV208" s="4"/>
      <c r="EW208" s="37">
        <f t="shared" ref="EW208:EX208" si="1393">EW207/EW204</f>
        <v>0</v>
      </c>
      <c r="EX208" s="40">
        <f t="shared" si="1393"/>
        <v>0</v>
      </c>
      <c r="EY208" s="16"/>
      <c r="EZ208" s="4"/>
      <c r="FA208" s="4"/>
      <c r="FB208" s="37">
        <f t="shared" ref="FB208:FC208" si="1394">FB207/FB204</f>
        <v>0</v>
      </c>
      <c r="FC208" s="40">
        <f t="shared" si="1394"/>
        <v>0</v>
      </c>
      <c r="FD208" s="16"/>
      <c r="FE208" s="4"/>
      <c r="FF208" s="4"/>
      <c r="FG208" s="37">
        <f>FG207/FG204</f>
        <v>0</v>
      </c>
      <c r="FH208" s="35"/>
      <c r="FI208" s="4"/>
      <c r="FJ208" s="4"/>
      <c r="FK208" s="45"/>
      <c r="FL208" s="4"/>
    </row>
    <row r="209" ht="12.75" customHeight="1">
      <c r="A209" s="4"/>
      <c r="B209" s="72"/>
      <c r="C209" s="45"/>
      <c r="D209" s="4"/>
      <c r="E209" s="4"/>
      <c r="F209" s="4"/>
      <c r="G209" s="4"/>
      <c r="H209" s="45"/>
      <c r="I209" s="4"/>
      <c r="J209" s="4"/>
      <c r="K209" s="4"/>
      <c r="L209" s="4"/>
      <c r="M209" s="45"/>
      <c r="N209" s="4"/>
      <c r="O209" s="4"/>
      <c r="P209" s="4"/>
      <c r="Q209" s="4"/>
      <c r="R209" s="45"/>
      <c r="S209" s="4"/>
      <c r="T209" s="4"/>
      <c r="U209" s="4"/>
      <c r="V209" s="4"/>
      <c r="W209" s="45"/>
      <c r="X209" s="4"/>
      <c r="Y209" s="4"/>
      <c r="Z209" s="4"/>
      <c r="AA209" s="4"/>
      <c r="AB209" s="45"/>
      <c r="AC209" s="4"/>
      <c r="AD209" s="4"/>
      <c r="AE209" s="4"/>
      <c r="AF209" s="4"/>
      <c r="AG209" s="45"/>
      <c r="AH209" s="4"/>
      <c r="AI209" s="4"/>
      <c r="AJ209" s="4"/>
      <c r="AK209" s="4"/>
      <c r="AL209" s="45"/>
      <c r="AM209" s="4"/>
      <c r="AN209" s="4"/>
      <c r="AO209" s="4"/>
      <c r="AP209" s="4"/>
      <c r="AQ209" s="45"/>
      <c r="AR209" s="4"/>
      <c r="AS209" s="4"/>
      <c r="AT209" s="4"/>
      <c r="AU209" s="4"/>
      <c r="AV209" s="45"/>
      <c r="AW209" s="4"/>
      <c r="AX209" s="4"/>
      <c r="AY209" s="4"/>
      <c r="AZ209" s="4"/>
      <c r="BA209" s="45"/>
      <c r="BB209" s="4"/>
      <c r="BC209" s="4"/>
      <c r="BD209" s="4"/>
      <c r="BE209" s="4"/>
      <c r="BF209" s="45"/>
      <c r="BG209" s="4"/>
      <c r="BH209" s="4"/>
      <c r="BI209" s="4"/>
      <c r="BJ209" s="4"/>
      <c r="BK209" s="45"/>
      <c r="BL209" s="4"/>
      <c r="BM209" s="4"/>
      <c r="BN209" s="4"/>
      <c r="BO209" s="4"/>
      <c r="BP209" s="45"/>
      <c r="BQ209" s="4"/>
      <c r="BR209" s="4"/>
      <c r="BS209" s="4"/>
      <c r="BT209" s="4"/>
      <c r="BU209" s="45"/>
      <c r="BV209" s="4"/>
      <c r="BW209" s="4"/>
      <c r="BX209" s="4"/>
      <c r="BY209" s="4"/>
      <c r="BZ209" s="350"/>
      <c r="CA209" s="4"/>
      <c r="CB209" s="4"/>
      <c r="CC209" s="4"/>
      <c r="CD209" s="4"/>
      <c r="CE209" s="350"/>
      <c r="CF209" s="4"/>
      <c r="CG209" s="4"/>
      <c r="CH209" s="4"/>
      <c r="CI209" s="4"/>
      <c r="CJ209" s="350"/>
      <c r="CK209" s="4"/>
      <c r="CL209" s="4"/>
      <c r="CM209" s="4"/>
      <c r="CN209" s="16"/>
      <c r="CO209" s="350"/>
      <c r="CP209" s="104"/>
      <c r="CQ209" s="104"/>
      <c r="CR209" s="104"/>
      <c r="CS209" s="104"/>
      <c r="CT209" s="350"/>
      <c r="CU209" s="4"/>
      <c r="CV209" s="4"/>
      <c r="CW209" s="4"/>
      <c r="CX209" s="4"/>
      <c r="CY209" s="350"/>
      <c r="CZ209" s="4"/>
      <c r="DA209" s="4"/>
      <c r="DB209" s="4"/>
      <c r="DC209" s="4"/>
      <c r="DD209" s="350"/>
      <c r="DE209" s="4"/>
      <c r="DF209" s="4"/>
      <c r="DG209" s="4"/>
      <c r="DH209" s="4"/>
      <c r="DI209" s="350"/>
      <c r="DJ209" s="16"/>
      <c r="DK209" s="16"/>
      <c r="DL209" s="16"/>
      <c r="DM209" s="16"/>
      <c r="DN209" s="350"/>
      <c r="DO209" s="16"/>
      <c r="DP209" s="16"/>
      <c r="DQ209" s="16"/>
      <c r="DR209" s="16"/>
      <c r="DS209" s="350"/>
      <c r="DT209" s="16"/>
      <c r="DU209" s="16"/>
      <c r="DV209" s="16"/>
      <c r="DW209" s="16"/>
      <c r="DX209" s="350"/>
      <c r="DY209" s="16"/>
      <c r="DZ209" s="16"/>
      <c r="EA209" s="16"/>
      <c r="EB209" s="16"/>
      <c r="EC209" s="350"/>
      <c r="ED209" s="16"/>
      <c r="EE209" s="16"/>
      <c r="EF209" s="16"/>
      <c r="EG209" s="16"/>
      <c r="EH209" s="350"/>
      <c r="EI209" s="214"/>
      <c r="EJ209" s="16"/>
      <c r="EK209" s="4"/>
      <c r="EL209" s="4"/>
      <c r="EM209" s="350"/>
      <c r="EN209" s="16"/>
      <c r="EO209" s="16"/>
      <c r="EP209" s="4"/>
      <c r="EQ209" s="4"/>
      <c r="ER209" s="350"/>
      <c r="ES209" s="16"/>
      <c r="ET209" s="16"/>
      <c r="EU209" s="4"/>
      <c r="EV209" s="4"/>
      <c r="EW209" s="350"/>
      <c r="EX209" s="16"/>
      <c r="EY209" s="16"/>
      <c r="EZ209" s="4"/>
      <c r="FA209" s="4"/>
      <c r="FB209" s="350"/>
      <c r="FC209" s="16"/>
      <c r="FD209" s="16"/>
      <c r="FE209" s="4"/>
      <c r="FF209" s="4"/>
      <c r="FG209" s="350"/>
      <c r="FH209" s="145"/>
      <c r="FI209" s="4"/>
      <c r="FJ209" s="4"/>
      <c r="FK209" s="45"/>
      <c r="FL209" s="4"/>
    </row>
    <row r="210" ht="12.75" customHeight="1">
      <c r="A210" s="4"/>
      <c r="B210" s="45" t="s">
        <v>173</v>
      </c>
      <c r="C210" s="45"/>
      <c r="D210" s="4"/>
      <c r="E210" s="4"/>
      <c r="F210" s="4"/>
      <c r="G210" s="4"/>
      <c r="H210" s="45"/>
      <c r="I210" s="4"/>
      <c r="J210" s="4"/>
      <c r="K210" s="4"/>
      <c r="L210" s="4"/>
      <c r="M210" s="45"/>
      <c r="N210" s="4"/>
      <c r="O210" s="4"/>
      <c r="P210" s="4"/>
      <c r="Q210" s="4"/>
      <c r="R210" s="45"/>
      <c r="S210" s="4"/>
      <c r="T210" s="4"/>
      <c r="U210" s="4"/>
      <c r="V210" s="4"/>
      <c r="W210" s="45"/>
      <c r="X210" s="4"/>
      <c r="Y210" s="4"/>
      <c r="Z210" s="4"/>
      <c r="AA210" s="4"/>
      <c r="AB210" s="45"/>
      <c r="AC210" s="4"/>
      <c r="AD210" s="4"/>
      <c r="AE210" s="4"/>
      <c r="AF210" s="4"/>
      <c r="AG210" s="45"/>
      <c r="AH210" s="4"/>
      <c r="AI210" s="4"/>
      <c r="AJ210" s="4"/>
      <c r="AK210" s="4"/>
      <c r="AL210" s="45"/>
      <c r="AM210" s="4"/>
      <c r="AN210" s="4"/>
      <c r="AO210" s="4"/>
      <c r="AP210" s="4"/>
      <c r="AQ210" s="45"/>
      <c r="AR210" s="4"/>
      <c r="AS210" s="4"/>
      <c r="AT210" s="4"/>
      <c r="AU210" s="4"/>
      <c r="AV210" s="45"/>
      <c r="AW210" s="4"/>
      <c r="AX210" s="4"/>
      <c r="AY210" s="4"/>
      <c r="AZ210" s="4"/>
      <c r="BA210" s="45"/>
      <c r="BB210" s="4"/>
      <c r="BC210" s="4"/>
      <c r="BD210" s="4"/>
      <c r="BE210" s="4"/>
      <c r="BF210" s="45"/>
      <c r="BG210" s="4"/>
      <c r="BH210" s="4"/>
      <c r="BI210" s="4"/>
      <c r="BJ210" s="4"/>
      <c r="BK210" s="45"/>
      <c r="BL210" s="4"/>
      <c r="BM210" s="4"/>
      <c r="BN210" s="4"/>
      <c r="BO210" s="4"/>
      <c r="BP210" s="45"/>
      <c r="BQ210" s="4"/>
      <c r="BR210" s="4"/>
      <c r="BS210" s="4"/>
      <c r="BT210" s="4"/>
      <c r="BU210" s="45"/>
      <c r="BV210" s="4"/>
      <c r="BW210" s="4"/>
      <c r="BX210" s="4"/>
      <c r="BY210" s="4"/>
      <c r="BZ210" s="350"/>
      <c r="CA210" s="4"/>
      <c r="CB210" s="4"/>
      <c r="CC210" s="4"/>
      <c r="CD210" s="4"/>
      <c r="CE210" s="350"/>
      <c r="CF210" s="4"/>
      <c r="CG210" s="4"/>
      <c r="CH210" s="4"/>
      <c r="CI210" s="4"/>
      <c r="CJ210" s="350"/>
      <c r="CK210" s="4"/>
      <c r="CL210" s="4"/>
      <c r="CM210" s="4"/>
      <c r="CN210" s="16"/>
      <c r="CO210" s="350"/>
      <c r="CP210" s="104"/>
      <c r="CQ210" s="104"/>
      <c r="CR210" s="104"/>
      <c r="CS210" s="104"/>
      <c r="CT210" s="350"/>
      <c r="CU210" s="4"/>
      <c r="CV210" s="4"/>
      <c r="CW210" s="4"/>
      <c r="CX210" s="4"/>
      <c r="CY210" s="350"/>
      <c r="CZ210" s="4"/>
      <c r="DA210" s="4"/>
      <c r="DB210" s="4"/>
      <c r="DC210" s="4"/>
      <c r="DD210" s="350"/>
      <c r="DE210" s="4"/>
      <c r="DF210" s="4"/>
      <c r="DG210" s="4"/>
      <c r="DH210" s="4"/>
      <c r="DI210" s="350"/>
      <c r="DJ210" s="16"/>
      <c r="DK210" s="16"/>
      <c r="DL210" s="16"/>
      <c r="DM210" s="16"/>
      <c r="DN210" s="350"/>
      <c r="DO210" s="16"/>
      <c r="DP210" s="16"/>
      <c r="DQ210" s="16"/>
      <c r="DR210" s="16"/>
      <c r="DS210" s="350"/>
      <c r="DT210" s="16"/>
      <c r="DU210" s="16"/>
      <c r="DV210" s="16"/>
      <c r="DW210" s="16"/>
      <c r="DX210" s="350"/>
      <c r="DY210" s="4"/>
      <c r="DZ210" s="4"/>
      <c r="EA210" s="4"/>
      <c r="EB210" s="4"/>
      <c r="EC210" s="350"/>
      <c r="ED210" s="4"/>
      <c r="EE210" s="4"/>
      <c r="EF210" s="4"/>
      <c r="EG210" s="4"/>
      <c r="EH210" s="350"/>
      <c r="EI210" s="214"/>
      <c r="EJ210" s="16"/>
      <c r="EK210" s="4"/>
      <c r="EL210" s="4"/>
      <c r="EM210" s="350"/>
      <c r="EN210" s="4"/>
      <c r="EO210" s="16"/>
      <c r="EP210" s="4"/>
      <c r="EQ210" s="4"/>
      <c r="ER210" s="350"/>
      <c r="ES210" s="4"/>
      <c r="ET210" s="16"/>
      <c r="EU210" s="4"/>
      <c r="EV210" s="4"/>
      <c r="EW210" s="350"/>
      <c r="EX210" s="4"/>
      <c r="EY210" s="16"/>
      <c r="EZ210" s="4"/>
      <c r="FA210" s="4"/>
      <c r="FB210" s="350"/>
      <c r="FC210" s="4"/>
      <c r="FD210" s="16"/>
      <c r="FE210" s="4"/>
      <c r="FF210" s="4"/>
      <c r="FG210" s="350"/>
      <c r="FH210" s="145"/>
      <c r="FI210" s="4"/>
      <c r="FJ210" s="4"/>
      <c r="FK210" s="45"/>
      <c r="FL210" s="4"/>
    </row>
    <row r="211" ht="12.75" customHeight="1">
      <c r="A211" s="4"/>
      <c r="B211" s="72" t="s">
        <v>144</v>
      </c>
      <c r="C211" s="45"/>
      <c r="D211" s="4"/>
      <c r="E211" s="4"/>
      <c r="F211" s="4"/>
      <c r="G211" s="4"/>
      <c r="H211" s="45"/>
      <c r="I211" s="4"/>
      <c r="J211" s="4"/>
      <c r="K211" s="4"/>
      <c r="L211" s="4"/>
      <c r="M211" s="45"/>
      <c r="N211" s="4"/>
      <c r="O211" s="4"/>
      <c r="P211" s="4"/>
      <c r="Q211" s="4"/>
      <c r="R211" s="45"/>
      <c r="S211" s="4"/>
      <c r="T211" s="4"/>
      <c r="U211" s="4"/>
      <c r="V211" s="4"/>
      <c r="W211" s="45"/>
      <c r="X211" s="4"/>
      <c r="Y211" s="4"/>
      <c r="Z211" s="4"/>
      <c r="AA211" s="4"/>
      <c r="AB211" s="45"/>
      <c r="AC211" s="4"/>
      <c r="AD211" s="4"/>
      <c r="AE211" s="4"/>
      <c r="AF211" s="4"/>
      <c r="AG211" s="45"/>
      <c r="AH211" s="4"/>
      <c r="AI211" s="4"/>
      <c r="AJ211" s="4"/>
      <c r="AK211" s="4"/>
      <c r="AL211" s="45"/>
      <c r="AM211" s="4"/>
      <c r="AN211" s="4"/>
      <c r="AO211" s="4"/>
      <c r="AP211" s="4"/>
      <c r="AQ211" s="45"/>
      <c r="AR211" s="4"/>
      <c r="AS211" s="4"/>
      <c r="AT211" s="4"/>
      <c r="AU211" s="4"/>
      <c r="AV211" s="45"/>
      <c r="AW211" s="4"/>
      <c r="AX211" s="4"/>
      <c r="AY211" s="4"/>
      <c r="AZ211" s="4"/>
      <c r="BA211" s="45"/>
      <c r="BB211" s="4"/>
      <c r="BC211" s="4"/>
      <c r="BD211" s="4"/>
      <c r="BE211" s="4"/>
      <c r="BF211" s="45"/>
      <c r="BG211" s="4"/>
      <c r="BH211" s="4"/>
      <c r="BI211" s="4"/>
      <c r="BJ211" s="4"/>
      <c r="BK211" s="45"/>
      <c r="BL211" s="4"/>
      <c r="BM211" s="4"/>
      <c r="BN211" s="4"/>
      <c r="BO211" s="4"/>
      <c r="BP211" s="45"/>
      <c r="BQ211" s="4"/>
      <c r="BR211" s="4"/>
      <c r="BS211" s="4"/>
      <c r="BT211" s="4"/>
      <c r="BU211" s="45"/>
      <c r="BV211" s="4"/>
      <c r="BW211" s="4"/>
      <c r="BX211" s="4"/>
      <c r="BY211" s="4"/>
      <c r="BZ211" s="350"/>
      <c r="CA211" s="4"/>
      <c r="CB211" s="4"/>
      <c r="CC211" s="4"/>
      <c r="CD211" s="4"/>
      <c r="CE211" s="350"/>
      <c r="CF211" s="4"/>
      <c r="CG211" s="4"/>
      <c r="CH211" s="4"/>
      <c r="CI211" s="4"/>
      <c r="CJ211" s="350"/>
      <c r="CK211" s="4"/>
      <c r="CL211" s="4"/>
      <c r="CM211" s="4"/>
      <c r="CN211" s="16"/>
      <c r="CO211" s="350"/>
      <c r="CP211" s="104"/>
      <c r="CQ211" s="104"/>
      <c r="CR211" s="104"/>
      <c r="CS211" s="104"/>
      <c r="CT211" s="350"/>
      <c r="CU211" s="4"/>
      <c r="CV211" s="4"/>
      <c r="CW211" s="4"/>
      <c r="CX211" s="4"/>
      <c r="CY211" s="350"/>
      <c r="CZ211" s="4"/>
      <c r="DA211" s="4"/>
      <c r="DB211" s="4"/>
      <c r="DC211" s="4"/>
      <c r="DD211" s="350"/>
      <c r="DE211" s="4"/>
      <c r="DF211" s="4"/>
      <c r="DG211" s="4"/>
      <c r="DH211" s="4"/>
      <c r="DI211" s="350"/>
      <c r="DJ211" s="16"/>
      <c r="DK211" s="16"/>
      <c r="DL211" s="16"/>
      <c r="DM211" s="16"/>
      <c r="DN211" s="350"/>
      <c r="DO211" s="16"/>
      <c r="DP211" s="16"/>
      <c r="DQ211" s="16"/>
      <c r="DR211" s="16"/>
      <c r="DS211" s="356">
        <v>606.0</v>
      </c>
      <c r="DT211" s="16"/>
      <c r="DU211" s="16"/>
      <c r="DV211" s="16"/>
      <c r="DW211" s="16"/>
      <c r="DX211" s="356">
        <v>651.0</v>
      </c>
      <c r="DY211" s="357">
        <v>181.0</v>
      </c>
      <c r="DZ211" s="357">
        <v>177.0</v>
      </c>
      <c r="EA211" s="357">
        <v>171.0</v>
      </c>
      <c r="EB211" s="357">
        <v>245.0</v>
      </c>
      <c r="EC211" s="356">
        <f>SUM(DY211:EB211)</f>
        <v>774</v>
      </c>
      <c r="ED211" s="357">
        <v>219.0</v>
      </c>
      <c r="EE211" s="357">
        <v>186.0</v>
      </c>
      <c r="EF211" s="357">
        <v>185.0</v>
      </c>
      <c r="EG211" s="357">
        <v>247.0</v>
      </c>
      <c r="EH211" s="356">
        <f>SUM(ED211:EG211)</f>
        <v>837</v>
      </c>
      <c r="EI211" s="358">
        <f>EG211*(1+EI212)</f>
        <v>247</v>
      </c>
      <c r="EJ211" s="357">
        <f t="shared" ref="EJ211:EL211" si="1395">EI211*(1+EJ212)</f>
        <v>264.29</v>
      </c>
      <c r="EK211" s="357">
        <f t="shared" si="1395"/>
        <v>282.7903</v>
      </c>
      <c r="EL211" s="357">
        <f t="shared" si="1395"/>
        <v>302.585621</v>
      </c>
      <c r="EM211" s="356">
        <f>SUM(EI211:EL211)</f>
        <v>1096.665921</v>
      </c>
      <c r="EN211" s="357">
        <f>EL211*(1+EN212)</f>
        <v>338.8958955</v>
      </c>
      <c r="EO211" s="357">
        <f t="shared" ref="EO211:EQ211" si="1396">EN211*(1+EO212)</f>
        <v>379.563403</v>
      </c>
      <c r="EP211" s="357">
        <f t="shared" si="1396"/>
        <v>425.1110113</v>
      </c>
      <c r="EQ211" s="357">
        <f t="shared" si="1396"/>
        <v>476.1243327</v>
      </c>
      <c r="ER211" s="356">
        <f>SUM(EN211:EQ211)</f>
        <v>1619.694643</v>
      </c>
      <c r="ES211" s="357">
        <f>EQ211*(1+ES212)</f>
        <v>516.594901</v>
      </c>
      <c r="ET211" s="357">
        <f t="shared" ref="ET211:EV211" si="1397">ES211*(1+ET212)</f>
        <v>560.5054676</v>
      </c>
      <c r="EU211" s="357">
        <f t="shared" si="1397"/>
        <v>608.1484323</v>
      </c>
      <c r="EV211" s="357">
        <f t="shared" si="1397"/>
        <v>659.8410491</v>
      </c>
      <c r="EW211" s="356">
        <f>SUM(ES211:EV211)</f>
        <v>2345.08985</v>
      </c>
      <c r="EX211" s="357">
        <f>EV211*(1+EX212)</f>
        <v>725.825154</v>
      </c>
      <c r="EY211" s="357">
        <f t="shared" ref="EY211:FA211" si="1398">EX211*(1+EY212)</f>
        <v>798.4076694</v>
      </c>
      <c r="EZ211" s="357">
        <f t="shared" si="1398"/>
        <v>878.2484363</v>
      </c>
      <c r="FA211" s="357">
        <f t="shared" si="1398"/>
        <v>966.0732799</v>
      </c>
      <c r="FB211" s="356">
        <f>SUM(EX211:FA211)</f>
        <v>3368.55454</v>
      </c>
      <c r="FC211" s="357">
        <f>FA211*(1+FC212)</f>
        <v>1062.680608</v>
      </c>
      <c r="FD211" s="357">
        <f t="shared" ref="FD211:FF211" si="1399">FC211*(1+FD212)</f>
        <v>1168.948669</v>
      </c>
      <c r="FE211" s="357">
        <f t="shared" si="1399"/>
        <v>1285.843536</v>
      </c>
      <c r="FF211" s="357">
        <f t="shared" si="1399"/>
        <v>1414.427889</v>
      </c>
      <c r="FG211" s="356">
        <f>SUM(FC211:FF211)</f>
        <v>4931.900701</v>
      </c>
      <c r="FH211" s="359"/>
      <c r="FI211" s="4"/>
      <c r="FJ211" s="4"/>
      <c r="FK211" s="45"/>
      <c r="FL211" s="4"/>
    </row>
    <row r="212" ht="12.75" customHeight="1">
      <c r="A212" s="4"/>
      <c r="B212" s="72" t="s">
        <v>145</v>
      </c>
      <c r="C212" s="45"/>
      <c r="D212" s="4"/>
      <c r="E212" s="4"/>
      <c r="F212" s="4"/>
      <c r="G212" s="4"/>
      <c r="H212" s="45"/>
      <c r="I212" s="4"/>
      <c r="J212" s="4"/>
      <c r="K212" s="4"/>
      <c r="L212" s="4"/>
      <c r="M212" s="45"/>
      <c r="N212" s="4"/>
      <c r="O212" s="4"/>
      <c r="P212" s="4"/>
      <c r="Q212" s="4"/>
      <c r="R212" s="45"/>
      <c r="S212" s="4"/>
      <c r="T212" s="4"/>
      <c r="U212" s="4"/>
      <c r="V212" s="4"/>
      <c r="W212" s="45"/>
      <c r="X212" s="4"/>
      <c r="Y212" s="4"/>
      <c r="Z212" s="4"/>
      <c r="AA212" s="4"/>
      <c r="AB212" s="45"/>
      <c r="AC212" s="4"/>
      <c r="AD212" s="4"/>
      <c r="AE212" s="4"/>
      <c r="AF212" s="4"/>
      <c r="AG212" s="45"/>
      <c r="AH212" s="4"/>
      <c r="AI212" s="4"/>
      <c r="AJ212" s="4"/>
      <c r="AK212" s="4"/>
      <c r="AL212" s="45"/>
      <c r="AM212" s="4"/>
      <c r="AN212" s="4"/>
      <c r="AO212" s="4"/>
      <c r="AP212" s="4"/>
      <c r="AQ212" s="45"/>
      <c r="AR212" s="4"/>
      <c r="AS212" s="4"/>
      <c r="AT212" s="4"/>
      <c r="AU212" s="4"/>
      <c r="AV212" s="45"/>
      <c r="AW212" s="4"/>
      <c r="AX212" s="4"/>
      <c r="AY212" s="4"/>
      <c r="AZ212" s="4"/>
      <c r="BA212" s="45"/>
      <c r="BB212" s="4"/>
      <c r="BC212" s="4"/>
      <c r="BD212" s="4"/>
      <c r="BE212" s="4"/>
      <c r="BF212" s="45"/>
      <c r="BG212" s="4"/>
      <c r="BH212" s="4"/>
      <c r="BI212" s="4"/>
      <c r="BJ212" s="4"/>
      <c r="BK212" s="45"/>
      <c r="BL212" s="4"/>
      <c r="BM212" s="4"/>
      <c r="BN212" s="4"/>
      <c r="BO212" s="4"/>
      <c r="BP212" s="45"/>
      <c r="BQ212" s="4"/>
      <c r="BR212" s="4"/>
      <c r="BS212" s="4"/>
      <c r="BT212" s="4"/>
      <c r="BU212" s="45"/>
      <c r="BV212" s="4"/>
      <c r="BW212" s="4"/>
      <c r="BX212" s="4"/>
      <c r="BY212" s="4"/>
      <c r="BZ212" s="350"/>
      <c r="CA212" s="4"/>
      <c r="CB212" s="4"/>
      <c r="CC212" s="4"/>
      <c r="CD212" s="4"/>
      <c r="CE212" s="350"/>
      <c r="CF212" s="4"/>
      <c r="CG212" s="4"/>
      <c r="CH212" s="4"/>
      <c r="CI212" s="4"/>
      <c r="CJ212" s="350"/>
      <c r="CK212" s="4"/>
      <c r="CL212" s="4"/>
      <c r="CM212" s="4"/>
      <c r="CN212" s="16"/>
      <c r="CO212" s="350"/>
      <c r="CP212" s="104"/>
      <c r="CQ212" s="104"/>
      <c r="CR212" s="104"/>
      <c r="CS212" s="104"/>
      <c r="CT212" s="350"/>
      <c r="CU212" s="4"/>
      <c r="CV212" s="4"/>
      <c r="CW212" s="4"/>
      <c r="CX212" s="4"/>
      <c r="CY212" s="350"/>
      <c r="CZ212" s="4"/>
      <c r="DA212" s="4"/>
      <c r="DB212" s="4"/>
      <c r="DC212" s="4"/>
      <c r="DD212" s="350"/>
      <c r="DE212" s="4"/>
      <c r="DF212" s="4"/>
      <c r="DG212" s="4"/>
      <c r="DH212" s="4"/>
      <c r="DI212" s="350"/>
      <c r="DJ212" s="16"/>
      <c r="DK212" s="16"/>
      <c r="DL212" s="16"/>
      <c r="DM212" s="16"/>
      <c r="DN212" s="350"/>
      <c r="DO212" s="16"/>
      <c r="DP212" s="16"/>
      <c r="DQ212" s="16"/>
      <c r="DR212" s="16"/>
      <c r="DS212" s="350"/>
      <c r="DT212" s="16"/>
      <c r="DU212" s="16"/>
      <c r="DV212" s="16"/>
      <c r="DW212" s="16"/>
      <c r="DX212" s="350"/>
      <c r="DY212" s="16"/>
      <c r="DZ212" s="321">
        <f t="shared" ref="DZ212:EB212" si="1400">DZ211/DY211-1</f>
        <v>-0.02209944751</v>
      </c>
      <c r="EA212" s="321">
        <f t="shared" si="1400"/>
        <v>-0.03389830508</v>
      </c>
      <c r="EB212" s="321">
        <f t="shared" si="1400"/>
        <v>0.432748538</v>
      </c>
      <c r="EC212" s="350"/>
      <c r="ED212" s="321">
        <f>ED211/EB211-1</f>
        <v>-0.106122449</v>
      </c>
      <c r="EE212" s="321">
        <f t="shared" ref="EE212:EG212" si="1401">EE211/ED211-1</f>
        <v>-0.1506849315</v>
      </c>
      <c r="EF212" s="321">
        <f t="shared" si="1401"/>
        <v>-0.005376344086</v>
      </c>
      <c r="EG212" s="321">
        <f t="shared" si="1401"/>
        <v>0.3351351351</v>
      </c>
      <c r="EH212" s="350"/>
      <c r="EI212" s="381">
        <v>0.0</v>
      </c>
      <c r="EJ212" s="382">
        <v>0.07</v>
      </c>
      <c r="EK212" s="382">
        <v>0.07</v>
      </c>
      <c r="EL212" s="382">
        <v>0.07</v>
      </c>
      <c r="EM212" s="350"/>
      <c r="EN212" s="382">
        <v>0.12</v>
      </c>
      <c r="EO212" s="382">
        <v>0.12</v>
      </c>
      <c r="EP212" s="382">
        <v>0.12</v>
      </c>
      <c r="EQ212" s="382">
        <v>0.12</v>
      </c>
      <c r="ER212" s="350"/>
      <c r="ES212" s="382">
        <v>0.085</v>
      </c>
      <c r="ET212" s="382">
        <v>0.085</v>
      </c>
      <c r="EU212" s="382">
        <v>0.085</v>
      </c>
      <c r="EV212" s="382">
        <v>0.085</v>
      </c>
      <c r="EW212" s="350"/>
      <c r="EX212" s="382">
        <v>0.1</v>
      </c>
      <c r="EY212" s="382">
        <v>0.1</v>
      </c>
      <c r="EZ212" s="382">
        <v>0.1</v>
      </c>
      <c r="FA212" s="382">
        <v>0.1</v>
      </c>
      <c r="FB212" s="350"/>
      <c r="FC212" s="382">
        <v>0.1</v>
      </c>
      <c r="FD212" s="382">
        <v>0.1</v>
      </c>
      <c r="FE212" s="382">
        <v>0.1</v>
      </c>
      <c r="FF212" s="382">
        <v>0.1</v>
      </c>
      <c r="FG212" s="350"/>
      <c r="FH212" s="145"/>
      <c r="FI212" s="4"/>
      <c r="FJ212" s="4"/>
      <c r="FK212" s="45"/>
      <c r="FL212" s="4"/>
    </row>
    <row r="213" ht="12.75" customHeight="1">
      <c r="A213" s="4"/>
      <c r="B213" s="72" t="s">
        <v>146</v>
      </c>
      <c r="C213" s="45"/>
      <c r="D213" s="4"/>
      <c r="E213" s="4"/>
      <c r="F213" s="4"/>
      <c r="G213" s="4"/>
      <c r="H213" s="45"/>
      <c r="I213" s="4"/>
      <c r="J213" s="4"/>
      <c r="K213" s="4"/>
      <c r="L213" s="4"/>
      <c r="M213" s="45"/>
      <c r="N213" s="4"/>
      <c r="O213" s="4"/>
      <c r="P213" s="4"/>
      <c r="Q213" s="4"/>
      <c r="R213" s="45"/>
      <c r="S213" s="4"/>
      <c r="T213" s="4"/>
      <c r="U213" s="4"/>
      <c r="V213" s="4"/>
      <c r="W213" s="45"/>
      <c r="X213" s="4"/>
      <c r="Y213" s="4"/>
      <c r="Z213" s="4"/>
      <c r="AA213" s="4"/>
      <c r="AB213" s="45"/>
      <c r="AC213" s="4"/>
      <c r="AD213" s="4"/>
      <c r="AE213" s="4"/>
      <c r="AF213" s="4"/>
      <c r="AG213" s="45"/>
      <c r="AH213" s="4"/>
      <c r="AI213" s="4"/>
      <c r="AJ213" s="4"/>
      <c r="AK213" s="4"/>
      <c r="AL213" s="45"/>
      <c r="AM213" s="4"/>
      <c r="AN213" s="4"/>
      <c r="AO213" s="4"/>
      <c r="AP213" s="4"/>
      <c r="AQ213" s="45"/>
      <c r="AR213" s="4"/>
      <c r="AS213" s="4"/>
      <c r="AT213" s="4"/>
      <c r="AU213" s="4"/>
      <c r="AV213" s="45"/>
      <c r="AW213" s="4"/>
      <c r="AX213" s="4"/>
      <c r="AY213" s="4"/>
      <c r="AZ213" s="4"/>
      <c r="BA213" s="45"/>
      <c r="BB213" s="4"/>
      <c r="BC213" s="4"/>
      <c r="BD213" s="4"/>
      <c r="BE213" s="4"/>
      <c r="BF213" s="45"/>
      <c r="BG213" s="4"/>
      <c r="BH213" s="4"/>
      <c r="BI213" s="4"/>
      <c r="BJ213" s="4"/>
      <c r="BK213" s="45"/>
      <c r="BL213" s="4"/>
      <c r="BM213" s="4"/>
      <c r="BN213" s="4"/>
      <c r="BO213" s="4"/>
      <c r="BP213" s="45"/>
      <c r="BQ213" s="4"/>
      <c r="BR213" s="4"/>
      <c r="BS213" s="4"/>
      <c r="BT213" s="4"/>
      <c r="BU213" s="45"/>
      <c r="BV213" s="4"/>
      <c r="BW213" s="4"/>
      <c r="BX213" s="4"/>
      <c r="BY213" s="4"/>
      <c r="BZ213" s="350"/>
      <c r="CA213" s="4"/>
      <c r="CB213" s="4"/>
      <c r="CC213" s="4"/>
      <c r="CD213" s="4"/>
      <c r="CE213" s="350"/>
      <c r="CF213" s="4"/>
      <c r="CG213" s="4"/>
      <c r="CH213" s="4"/>
      <c r="CI213" s="4"/>
      <c r="CJ213" s="350"/>
      <c r="CK213" s="4"/>
      <c r="CL213" s="4"/>
      <c r="CM213" s="4"/>
      <c r="CN213" s="16"/>
      <c r="CO213" s="350"/>
      <c r="CP213" s="104"/>
      <c r="CQ213" s="104"/>
      <c r="CR213" s="104"/>
      <c r="CS213" s="104"/>
      <c r="CT213" s="350"/>
      <c r="CU213" s="4"/>
      <c r="CV213" s="4"/>
      <c r="CW213" s="4"/>
      <c r="CX213" s="4"/>
      <c r="CY213" s="350"/>
      <c r="CZ213" s="4"/>
      <c r="DA213" s="4"/>
      <c r="DB213" s="4"/>
      <c r="DC213" s="4"/>
      <c r="DD213" s="350"/>
      <c r="DE213" s="4"/>
      <c r="DF213" s="4"/>
      <c r="DG213" s="4"/>
      <c r="DH213" s="4"/>
      <c r="DI213" s="350"/>
      <c r="DJ213" s="16"/>
      <c r="DK213" s="16"/>
      <c r="DL213" s="16"/>
      <c r="DM213" s="16"/>
      <c r="DN213" s="350"/>
      <c r="DO213" s="16"/>
      <c r="DP213" s="16"/>
      <c r="DQ213" s="16"/>
      <c r="DR213" s="16"/>
      <c r="DS213" s="342"/>
      <c r="DT213" s="16"/>
      <c r="DU213" s="16"/>
      <c r="DV213" s="16"/>
      <c r="DW213" s="16"/>
      <c r="DX213" s="342">
        <f>DX211/DS211-1</f>
        <v>0.07425742574</v>
      </c>
      <c r="DY213" s="16"/>
      <c r="DZ213" s="16"/>
      <c r="EA213" s="16"/>
      <c r="EB213" s="16"/>
      <c r="EC213" s="342">
        <f t="shared" ref="EC213:FG213" si="1402">EC211/DX211-1</f>
        <v>0.1889400922</v>
      </c>
      <c r="ED213" s="321">
        <f t="shared" si="1402"/>
        <v>0.2099447514</v>
      </c>
      <c r="EE213" s="321">
        <f t="shared" si="1402"/>
        <v>0.05084745763</v>
      </c>
      <c r="EF213" s="321">
        <f t="shared" si="1402"/>
        <v>0.08187134503</v>
      </c>
      <c r="EG213" s="321">
        <f t="shared" si="1402"/>
        <v>0.008163265306</v>
      </c>
      <c r="EH213" s="342">
        <f t="shared" si="1402"/>
        <v>0.08139534884</v>
      </c>
      <c r="EI213" s="322">
        <f t="shared" si="1402"/>
        <v>0.1278538813</v>
      </c>
      <c r="EJ213" s="321">
        <f t="shared" si="1402"/>
        <v>0.4209139785</v>
      </c>
      <c r="EK213" s="321">
        <f t="shared" si="1402"/>
        <v>0.5285962162</v>
      </c>
      <c r="EL213" s="321">
        <f t="shared" si="1402"/>
        <v>0.225043</v>
      </c>
      <c r="EM213" s="342">
        <f t="shared" si="1402"/>
        <v>0.3102340753</v>
      </c>
      <c r="EN213" s="321">
        <f t="shared" si="1402"/>
        <v>0.37204816</v>
      </c>
      <c r="EO213" s="321">
        <f t="shared" si="1402"/>
        <v>0.43616256</v>
      </c>
      <c r="EP213" s="321">
        <f t="shared" si="1402"/>
        <v>0.50327296</v>
      </c>
      <c r="EQ213" s="321">
        <f t="shared" si="1402"/>
        <v>0.57351936</v>
      </c>
      <c r="ER213" s="342">
        <f t="shared" si="1402"/>
        <v>0.4769262102</v>
      </c>
      <c r="ES213" s="321">
        <f t="shared" si="1402"/>
        <v>0.52434688</v>
      </c>
      <c r="ET213" s="321">
        <f t="shared" si="1402"/>
        <v>0.47671104</v>
      </c>
      <c r="EU213" s="321">
        <f t="shared" si="1402"/>
        <v>0.43056382</v>
      </c>
      <c r="EV213" s="321">
        <f t="shared" si="1402"/>
        <v>0.3858587006</v>
      </c>
      <c r="EW213" s="342">
        <f t="shared" si="1402"/>
        <v>0.4478592374</v>
      </c>
      <c r="EX213" s="321">
        <f t="shared" si="1402"/>
        <v>0.4050180375</v>
      </c>
      <c r="EY213" s="321">
        <f t="shared" si="1402"/>
        <v>0.42444225</v>
      </c>
      <c r="EZ213" s="321">
        <f t="shared" si="1402"/>
        <v>0.444135</v>
      </c>
      <c r="FA213" s="321">
        <f t="shared" si="1402"/>
        <v>0.4641</v>
      </c>
      <c r="FB213" s="342">
        <f t="shared" si="1402"/>
        <v>0.4364287746</v>
      </c>
      <c r="FC213" s="321">
        <f t="shared" si="1402"/>
        <v>0.4641</v>
      </c>
      <c r="FD213" s="321">
        <f t="shared" si="1402"/>
        <v>0.4641</v>
      </c>
      <c r="FE213" s="321">
        <f t="shared" si="1402"/>
        <v>0.4641</v>
      </c>
      <c r="FF213" s="321">
        <f t="shared" si="1402"/>
        <v>0.4641</v>
      </c>
      <c r="FG213" s="342">
        <f t="shared" si="1402"/>
        <v>0.4641</v>
      </c>
      <c r="FH213" s="343"/>
      <c r="FI213" s="4"/>
      <c r="FJ213" s="4"/>
      <c r="FK213" s="45"/>
      <c r="FL213" s="4"/>
    </row>
    <row r="214" ht="12.75" customHeight="1">
      <c r="A214" s="4"/>
      <c r="B214" s="72" t="s">
        <v>163</v>
      </c>
      <c r="C214" s="45"/>
      <c r="D214" s="4"/>
      <c r="E214" s="4"/>
      <c r="F214" s="4"/>
      <c r="G214" s="4"/>
      <c r="H214" s="45"/>
      <c r="I214" s="4"/>
      <c r="J214" s="4"/>
      <c r="K214" s="4"/>
      <c r="L214" s="4"/>
      <c r="M214" s="45"/>
      <c r="N214" s="4"/>
      <c r="O214" s="4"/>
      <c r="P214" s="4"/>
      <c r="Q214" s="4"/>
      <c r="R214" s="45"/>
      <c r="S214" s="4"/>
      <c r="T214" s="4"/>
      <c r="U214" s="4"/>
      <c r="V214" s="4"/>
      <c r="W214" s="45"/>
      <c r="X214" s="4"/>
      <c r="Y214" s="4"/>
      <c r="Z214" s="4"/>
      <c r="AA214" s="4"/>
      <c r="AB214" s="45"/>
      <c r="AC214" s="4"/>
      <c r="AD214" s="4"/>
      <c r="AE214" s="4"/>
      <c r="AF214" s="4"/>
      <c r="AG214" s="45"/>
      <c r="AH214" s="4"/>
      <c r="AI214" s="4"/>
      <c r="AJ214" s="4"/>
      <c r="AK214" s="4"/>
      <c r="AL214" s="45"/>
      <c r="AM214" s="4"/>
      <c r="AN214" s="4"/>
      <c r="AO214" s="4"/>
      <c r="AP214" s="4"/>
      <c r="AQ214" s="45"/>
      <c r="AR214" s="4"/>
      <c r="AS214" s="4"/>
      <c r="AT214" s="4"/>
      <c r="AU214" s="4"/>
      <c r="AV214" s="45"/>
      <c r="AW214" s="4"/>
      <c r="AX214" s="4"/>
      <c r="AY214" s="4"/>
      <c r="AZ214" s="4"/>
      <c r="BA214" s="45"/>
      <c r="BB214" s="4"/>
      <c r="BC214" s="4"/>
      <c r="BD214" s="4"/>
      <c r="BE214" s="4"/>
      <c r="BF214" s="45"/>
      <c r="BG214" s="4"/>
      <c r="BH214" s="4"/>
      <c r="BI214" s="4"/>
      <c r="BJ214" s="4"/>
      <c r="BK214" s="45"/>
      <c r="BL214" s="4"/>
      <c r="BM214" s="4"/>
      <c r="BN214" s="4"/>
      <c r="BO214" s="4"/>
      <c r="BP214" s="45"/>
      <c r="BQ214" s="4"/>
      <c r="BR214" s="4"/>
      <c r="BS214" s="4"/>
      <c r="BT214" s="4"/>
      <c r="BU214" s="45"/>
      <c r="BV214" s="4"/>
      <c r="BW214" s="4"/>
      <c r="BX214" s="4"/>
      <c r="BY214" s="4"/>
      <c r="BZ214" s="350"/>
      <c r="CA214" s="4"/>
      <c r="CB214" s="4"/>
      <c r="CC214" s="4"/>
      <c r="CD214" s="4"/>
      <c r="CE214" s="350"/>
      <c r="CF214" s="4"/>
      <c r="CG214" s="4"/>
      <c r="CH214" s="4"/>
      <c r="CI214" s="4"/>
      <c r="CJ214" s="350"/>
      <c r="CK214" s="4"/>
      <c r="CL214" s="4"/>
      <c r="CM214" s="4"/>
      <c r="CN214" s="16"/>
      <c r="CO214" s="350"/>
      <c r="CP214" s="104"/>
      <c r="CQ214" s="104"/>
      <c r="CR214" s="104"/>
      <c r="CS214" s="104"/>
      <c r="CT214" s="350"/>
      <c r="CU214" s="4"/>
      <c r="CV214" s="4"/>
      <c r="CW214" s="4"/>
      <c r="CX214" s="4"/>
      <c r="CY214" s="350"/>
      <c r="CZ214" s="4"/>
      <c r="DA214" s="4"/>
      <c r="DB214" s="4"/>
      <c r="DC214" s="4"/>
      <c r="DD214" s="350"/>
      <c r="DE214" s="4"/>
      <c r="DF214" s="4"/>
      <c r="DG214" s="4"/>
      <c r="DH214" s="4"/>
      <c r="DI214" s="350"/>
      <c r="DJ214" s="16"/>
      <c r="DK214" s="16"/>
      <c r="DL214" s="16"/>
      <c r="DM214" s="16"/>
      <c r="DN214" s="350"/>
      <c r="DO214" s="16"/>
      <c r="DP214" s="16"/>
      <c r="DQ214" s="16"/>
      <c r="DR214" s="16"/>
      <c r="DS214" s="356">
        <v>-353.0</v>
      </c>
      <c r="DT214" s="16"/>
      <c r="DU214" s="16"/>
      <c r="DV214" s="16"/>
      <c r="DW214" s="16"/>
      <c r="DX214" s="356">
        <v>-403.0</v>
      </c>
      <c r="DY214" s="357">
        <v>-176.0</v>
      </c>
      <c r="DZ214" s="357">
        <v>-168.0</v>
      </c>
      <c r="EA214" s="357">
        <v>-222.0</v>
      </c>
      <c r="EB214" s="357">
        <v>-641.0</v>
      </c>
      <c r="EC214" s="356">
        <f>SUM(DY214:EB214)</f>
        <v>-1207</v>
      </c>
      <c r="ED214" s="357">
        <v>-390.0</v>
      </c>
      <c r="EE214" s="357">
        <v>-507.0</v>
      </c>
      <c r="EF214" s="357">
        <v>-378.0</v>
      </c>
      <c r="EG214" s="357">
        <v>-441.0</v>
      </c>
      <c r="EH214" s="356">
        <f>SUM(ED214:EG214)</f>
        <v>-1716</v>
      </c>
      <c r="EI214" s="214">
        <v>0.0</v>
      </c>
      <c r="EJ214" s="16"/>
      <c r="EK214" s="4"/>
      <c r="EL214" s="4"/>
      <c r="EM214" s="356">
        <f>SUM(EI214:EL214)</f>
        <v>0</v>
      </c>
      <c r="EN214" s="357">
        <v>0.0</v>
      </c>
      <c r="EO214" s="16"/>
      <c r="EP214" s="4"/>
      <c r="EQ214" s="4"/>
      <c r="ER214" s="356">
        <f>SUM(EN214:EQ214)</f>
        <v>0</v>
      </c>
      <c r="ES214" s="357">
        <v>0.0</v>
      </c>
      <c r="ET214" s="16"/>
      <c r="EU214" s="4"/>
      <c r="EV214" s="4"/>
      <c r="EW214" s="356">
        <f>SUM(ES214:EV214)</f>
        <v>0</v>
      </c>
      <c r="EX214" s="357">
        <v>0.0</v>
      </c>
      <c r="EY214" s="16"/>
      <c r="EZ214" s="4"/>
      <c r="FA214" s="4"/>
      <c r="FB214" s="356">
        <f>SUM(EX214:FA214)</f>
        <v>0</v>
      </c>
      <c r="FC214" s="357">
        <v>0.0</v>
      </c>
      <c r="FD214" s="16"/>
      <c r="FE214" s="4"/>
      <c r="FF214" s="4"/>
      <c r="FG214" s="356">
        <f>SUM(FC214:FF214)</f>
        <v>0</v>
      </c>
      <c r="FH214" s="359"/>
      <c r="FI214" s="4"/>
      <c r="FJ214" s="4"/>
      <c r="FK214" s="45"/>
      <c r="FL214" s="4"/>
    </row>
    <row r="215" ht="12.75" customHeight="1">
      <c r="A215" s="4"/>
      <c r="B215" s="72" t="s">
        <v>164</v>
      </c>
      <c r="C215" s="45"/>
      <c r="D215" s="4"/>
      <c r="E215" s="4"/>
      <c r="F215" s="4"/>
      <c r="G215" s="4"/>
      <c r="H215" s="45"/>
      <c r="I215" s="4"/>
      <c r="J215" s="4"/>
      <c r="K215" s="4"/>
      <c r="L215" s="4"/>
      <c r="M215" s="45"/>
      <c r="N215" s="4"/>
      <c r="O215" s="4"/>
      <c r="P215" s="4"/>
      <c r="Q215" s="4"/>
      <c r="R215" s="45"/>
      <c r="S215" s="4"/>
      <c r="T215" s="4"/>
      <c r="U215" s="4"/>
      <c r="V215" s="4"/>
      <c r="W215" s="45"/>
      <c r="X215" s="4"/>
      <c r="Y215" s="4"/>
      <c r="Z215" s="4"/>
      <c r="AA215" s="4"/>
      <c r="AB215" s="45"/>
      <c r="AC215" s="4"/>
      <c r="AD215" s="4"/>
      <c r="AE215" s="4"/>
      <c r="AF215" s="4"/>
      <c r="AG215" s="45"/>
      <c r="AH215" s="4"/>
      <c r="AI215" s="4"/>
      <c r="AJ215" s="4"/>
      <c r="AK215" s="4"/>
      <c r="AL215" s="45"/>
      <c r="AM215" s="4"/>
      <c r="AN215" s="4"/>
      <c r="AO215" s="4"/>
      <c r="AP215" s="4"/>
      <c r="AQ215" s="45"/>
      <c r="AR215" s="4"/>
      <c r="AS215" s="4"/>
      <c r="AT215" s="4"/>
      <c r="AU215" s="4"/>
      <c r="AV215" s="45"/>
      <c r="AW215" s="4"/>
      <c r="AX215" s="4"/>
      <c r="AY215" s="4"/>
      <c r="AZ215" s="4"/>
      <c r="BA215" s="45"/>
      <c r="BB215" s="4"/>
      <c r="BC215" s="4"/>
      <c r="BD215" s="4"/>
      <c r="BE215" s="4"/>
      <c r="BF215" s="45"/>
      <c r="BG215" s="4"/>
      <c r="BH215" s="4"/>
      <c r="BI215" s="4"/>
      <c r="BJ215" s="4"/>
      <c r="BK215" s="45"/>
      <c r="BL215" s="4"/>
      <c r="BM215" s="4"/>
      <c r="BN215" s="4"/>
      <c r="BO215" s="4"/>
      <c r="BP215" s="45"/>
      <c r="BQ215" s="4"/>
      <c r="BR215" s="4"/>
      <c r="BS215" s="4"/>
      <c r="BT215" s="4"/>
      <c r="BU215" s="45"/>
      <c r="BV215" s="4"/>
      <c r="BW215" s="4"/>
      <c r="BX215" s="4"/>
      <c r="BY215" s="4"/>
      <c r="BZ215" s="350"/>
      <c r="CA215" s="4"/>
      <c r="CB215" s="4"/>
      <c r="CC215" s="4"/>
      <c r="CD215" s="4"/>
      <c r="CE215" s="350"/>
      <c r="CF215" s="4"/>
      <c r="CG215" s="4"/>
      <c r="CH215" s="4"/>
      <c r="CI215" s="4"/>
      <c r="CJ215" s="350"/>
      <c r="CK215" s="4"/>
      <c r="CL215" s="4"/>
      <c r="CM215" s="4"/>
      <c r="CN215" s="16"/>
      <c r="CO215" s="350"/>
      <c r="CP215" s="104"/>
      <c r="CQ215" s="104"/>
      <c r="CR215" s="104"/>
      <c r="CS215" s="104"/>
      <c r="CT215" s="350"/>
      <c r="CU215" s="4"/>
      <c r="CV215" s="4"/>
      <c r="CW215" s="4"/>
      <c r="CX215" s="4"/>
      <c r="CY215" s="350"/>
      <c r="CZ215" s="4"/>
      <c r="DA215" s="4"/>
      <c r="DB215" s="4"/>
      <c r="DC215" s="4"/>
      <c r="DD215" s="350"/>
      <c r="DE215" s="4"/>
      <c r="DF215" s="4"/>
      <c r="DG215" s="4"/>
      <c r="DH215" s="4"/>
      <c r="DI215" s="350"/>
      <c r="DJ215" s="16"/>
      <c r="DK215" s="16"/>
      <c r="DL215" s="16"/>
      <c r="DM215" s="16"/>
      <c r="DN215" s="350"/>
      <c r="DO215" s="16"/>
      <c r="DP215" s="16"/>
      <c r="DQ215" s="16"/>
      <c r="DR215" s="16"/>
      <c r="DS215" s="37">
        <f>DS214/DS211</f>
        <v>-0.5825082508</v>
      </c>
      <c r="DT215" s="16"/>
      <c r="DU215" s="16"/>
      <c r="DV215" s="16"/>
      <c r="DW215" s="16"/>
      <c r="DX215" s="37">
        <f t="shared" ref="DX215:EI215" si="1403">DX214/DX211</f>
        <v>-0.619047619</v>
      </c>
      <c r="DY215" s="40">
        <f t="shared" si="1403"/>
        <v>-0.9723756906</v>
      </c>
      <c r="DZ215" s="40">
        <f t="shared" si="1403"/>
        <v>-0.9491525424</v>
      </c>
      <c r="EA215" s="40">
        <f t="shared" si="1403"/>
        <v>-1.298245614</v>
      </c>
      <c r="EB215" s="40">
        <f t="shared" si="1403"/>
        <v>-2.616326531</v>
      </c>
      <c r="EC215" s="37">
        <f t="shared" si="1403"/>
        <v>-1.559431525</v>
      </c>
      <c r="ED215" s="40">
        <f t="shared" si="1403"/>
        <v>-1.780821918</v>
      </c>
      <c r="EE215" s="40">
        <f t="shared" si="1403"/>
        <v>-2.725806452</v>
      </c>
      <c r="EF215" s="40">
        <f t="shared" si="1403"/>
        <v>-2.043243243</v>
      </c>
      <c r="EG215" s="40">
        <f t="shared" si="1403"/>
        <v>-1.785425101</v>
      </c>
      <c r="EH215" s="37">
        <f t="shared" si="1403"/>
        <v>-2.050179211</v>
      </c>
      <c r="EI215" s="214">
        <f t="shared" si="1403"/>
        <v>0</v>
      </c>
      <c r="EJ215" s="16"/>
      <c r="EK215" s="4"/>
      <c r="EL215" s="4"/>
      <c r="EM215" s="37">
        <f t="shared" ref="EM215:EN215" si="1404">EM214/EM211</f>
        <v>0</v>
      </c>
      <c r="EN215" s="40">
        <f t="shared" si="1404"/>
        <v>0</v>
      </c>
      <c r="EO215" s="16"/>
      <c r="EP215" s="4"/>
      <c r="EQ215" s="4"/>
      <c r="ER215" s="37">
        <f t="shared" ref="ER215:ES215" si="1405">ER214/ER211</f>
        <v>0</v>
      </c>
      <c r="ES215" s="40">
        <f t="shared" si="1405"/>
        <v>0</v>
      </c>
      <c r="ET215" s="16"/>
      <c r="EU215" s="4"/>
      <c r="EV215" s="4"/>
      <c r="EW215" s="37">
        <f t="shared" ref="EW215:EX215" si="1406">EW214/EW211</f>
        <v>0</v>
      </c>
      <c r="EX215" s="40">
        <f t="shared" si="1406"/>
        <v>0</v>
      </c>
      <c r="EY215" s="16"/>
      <c r="EZ215" s="4"/>
      <c r="FA215" s="4"/>
      <c r="FB215" s="37">
        <f t="shared" ref="FB215:FC215" si="1407">FB214/FB211</f>
        <v>0</v>
      </c>
      <c r="FC215" s="40">
        <f t="shared" si="1407"/>
        <v>0</v>
      </c>
      <c r="FD215" s="16"/>
      <c r="FE215" s="4"/>
      <c r="FF215" s="4"/>
      <c r="FG215" s="37">
        <f>FG214/FG211</f>
        <v>0</v>
      </c>
      <c r="FH215" s="35"/>
      <c r="FI215" s="4"/>
      <c r="FJ215" s="4"/>
      <c r="FK215" s="45"/>
      <c r="FL215" s="4"/>
    </row>
    <row r="216" ht="12.75" customHeight="1">
      <c r="A216" s="4"/>
      <c r="B216" s="72"/>
      <c r="C216" s="45"/>
      <c r="D216" s="4"/>
      <c r="E216" s="4"/>
      <c r="F216" s="4"/>
      <c r="G216" s="4"/>
      <c r="H216" s="45"/>
      <c r="I216" s="4"/>
      <c r="J216" s="4"/>
      <c r="K216" s="4"/>
      <c r="L216" s="4"/>
      <c r="M216" s="45"/>
      <c r="N216" s="4"/>
      <c r="O216" s="4"/>
      <c r="P216" s="4"/>
      <c r="Q216" s="4"/>
      <c r="R216" s="45"/>
      <c r="S216" s="4"/>
      <c r="T216" s="4"/>
      <c r="U216" s="4"/>
      <c r="V216" s="4"/>
      <c r="W216" s="45"/>
      <c r="X216" s="4"/>
      <c r="Y216" s="4"/>
      <c r="Z216" s="4"/>
      <c r="AA216" s="4"/>
      <c r="AB216" s="45"/>
      <c r="AC216" s="4"/>
      <c r="AD216" s="4"/>
      <c r="AE216" s="4"/>
      <c r="AF216" s="4"/>
      <c r="AG216" s="45"/>
      <c r="AH216" s="4"/>
      <c r="AI216" s="4"/>
      <c r="AJ216" s="4"/>
      <c r="AK216" s="4"/>
      <c r="AL216" s="45"/>
      <c r="AM216" s="4"/>
      <c r="AN216" s="4"/>
      <c r="AO216" s="4"/>
      <c r="AP216" s="4"/>
      <c r="AQ216" s="45"/>
      <c r="AR216" s="4"/>
      <c r="AS216" s="4"/>
      <c r="AT216" s="4"/>
      <c r="AU216" s="4"/>
      <c r="AV216" s="45"/>
      <c r="AW216" s="4"/>
      <c r="AX216" s="4"/>
      <c r="AY216" s="4"/>
      <c r="AZ216" s="4"/>
      <c r="BA216" s="45"/>
      <c r="BB216" s="4"/>
      <c r="BC216" s="4"/>
      <c r="BD216" s="4"/>
      <c r="BE216" s="4"/>
      <c r="BF216" s="45"/>
      <c r="BG216" s="4"/>
      <c r="BH216" s="4"/>
      <c r="BI216" s="4"/>
      <c r="BJ216" s="4"/>
      <c r="BK216" s="45"/>
      <c r="BL216" s="4"/>
      <c r="BM216" s="4"/>
      <c r="BN216" s="4"/>
      <c r="BO216" s="4"/>
      <c r="BP216" s="45"/>
      <c r="BQ216" s="4"/>
      <c r="BR216" s="4"/>
      <c r="BS216" s="4"/>
      <c r="BT216" s="4"/>
      <c r="BU216" s="45"/>
      <c r="BV216" s="4"/>
      <c r="BW216" s="4"/>
      <c r="BX216" s="4"/>
      <c r="BY216" s="4"/>
      <c r="BZ216" s="350"/>
      <c r="CA216" s="4"/>
      <c r="CB216" s="4"/>
      <c r="CC216" s="4"/>
      <c r="CD216" s="4"/>
      <c r="CE216" s="350"/>
      <c r="CF216" s="4"/>
      <c r="CG216" s="4"/>
      <c r="CH216" s="4"/>
      <c r="CI216" s="4"/>
      <c r="CJ216" s="350"/>
      <c r="CK216" s="4"/>
      <c r="CL216" s="4"/>
      <c r="CM216" s="4"/>
      <c r="CN216" s="16"/>
      <c r="CO216" s="350"/>
      <c r="CP216" s="104"/>
      <c r="CQ216" s="104"/>
      <c r="CR216" s="104"/>
      <c r="CS216" s="104"/>
      <c r="CT216" s="350"/>
      <c r="CU216" s="4"/>
      <c r="CV216" s="4"/>
      <c r="CW216" s="4"/>
      <c r="CX216" s="4"/>
      <c r="CY216" s="350"/>
      <c r="CZ216" s="4"/>
      <c r="DA216" s="4"/>
      <c r="DB216" s="4"/>
      <c r="DC216" s="4"/>
      <c r="DD216" s="350"/>
      <c r="DE216" s="4"/>
      <c r="DF216" s="4"/>
      <c r="DG216" s="4"/>
      <c r="DH216" s="4"/>
      <c r="DI216" s="350"/>
      <c r="DJ216" s="16"/>
      <c r="DK216" s="16"/>
      <c r="DL216" s="16"/>
      <c r="DM216" s="16"/>
      <c r="DN216" s="350"/>
      <c r="DO216" s="16"/>
      <c r="DP216" s="16"/>
      <c r="DQ216" s="16"/>
      <c r="DR216" s="16"/>
      <c r="DS216" s="350"/>
      <c r="DT216" s="16"/>
      <c r="DU216" s="16"/>
      <c r="DV216" s="16"/>
      <c r="DW216" s="16"/>
      <c r="DX216" s="350"/>
      <c r="DY216" s="16"/>
      <c r="DZ216" s="16"/>
      <c r="EA216" s="16"/>
      <c r="EB216" s="16"/>
      <c r="EC216" s="350"/>
      <c r="ED216" s="16"/>
      <c r="EE216" s="16"/>
      <c r="EF216" s="16"/>
      <c r="EG216" s="16"/>
      <c r="EH216" s="350"/>
      <c r="EI216" s="214"/>
      <c r="EJ216" s="16"/>
      <c r="EK216" s="4"/>
      <c r="EL216" s="4"/>
      <c r="EM216" s="350"/>
      <c r="EN216" s="16"/>
      <c r="EO216" s="16"/>
      <c r="EP216" s="4"/>
      <c r="EQ216" s="4"/>
      <c r="ER216" s="350"/>
      <c r="ES216" s="16"/>
      <c r="ET216" s="16"/>
      <c r="EU216" s="4"/>
      <c r="EV216" s="4"/>
      <c r="EW216" s="350"/>
      <c r="EX216" s="16"/>
      <c r="EY216" s="16"/>
      <c r="EZ216" s="4"/>
      <c r="FA216" s="4"/>
      <c r="FB216" s="350"/>
      <c r="FC216" s="16"/>
      <c r="FD216" s="16"/>
      <c r="FE216" s="4"/>
      <c r="FF216" s="4"/>
      <c r="FG216" s="350"/>
      <c r="FH216" s="145"/>
      <c r="FI216" s="4"/>
      <c r="FJ216" s="4"/>
      <c r="FK216" s="45"/>
      <c r="FL216" s="4"/>
    </row>
    <row r="217" ht="12.75" customHeight="1">
      <c r="A217" s="4"/>
      <c r="B217" s="45" t="s">
        <v>174</v>
      </c>
      <c r="C217" s="45"/>
      <c r="D217" s="4"/>
      <c r="E217" s="4"/>
      <c r="F217" s="4"/>
      <c r="G217" s="4"/>
      <c r="H217" s="45"/>
      <c r="I217" s="4"/>
      <c r="J217" s="4"/>
      <c r="K217" s="4"/>
      <c r="L217" s="4"/>
      <c r="M217" s="45"/>
      <c r="N217" s="4"/>
      <c r="O217" s="4"/>
      <c r="P217" s="4"/>
      <c r="Q217" s="4"/>
      <c r="R217" s="45"/>
      <c r="S217" s="4"/>
      <c r="T217" s="4"/>
      <c r="U217" s="4"/>
      <c r="V217" s="4"/>
      <c r="W217" s="45"/>
      <c r="X217" s="4"/>
      <c r="Y217" s="4"/>
      <c r="Z217" s="4"/>
      <c r="AA217" s="4"/>
      <c r="AB217" s="45"/>
      <c r="AC217" s="4"/>
      <c r="AD217" s="4"/>
      <c r="AE217" s="4"/>
      <c r="AF217" s="4"/>
      <c r="AG217" s="45"/>
      <c r="AH217" s="4"/>
      <c r="AI217" s="4"/>
      <c r="AJ217" s="4"/>
      <c r="AK217" s="4"/>
      <c r="AL217" s="45"/>
      <c r="AM217" s="4"/>
      <c r="AN217" s="4"/>
      <c r="AO217" s="4"/>
      <c r="AP217" s="4"/>
      <c r="AQ217" s="45"/>
      <c r="AR217" s="4"/>
      <c r="AS217" s="4"/>
      <c r="AT217" s="4"/>
      <c r="AU217" s="4"/>
      <c r="AV217" s="45"/>
      <c r="AW217" s="4"/>
      <c r="AX217" s="4"/>
      <c r="AY217" s="4"/>
      <c r="AZ217" s="4"/>
      <c r="BA217" s="45"/>
      <c r="BB217" s="4"/>
      <c r="BC217" s="4"/>
      <c r="BD217" s="4"/>
      <c r="BE217" s="4"/>
      <c r="BF217" s="45"/>
      <c r="BG217" s="4"/>
      <c r="BH217" s="4"/>
      <c r="BI217" s="4"/>
      <c r="BJ217" s="4"/>
      <c r="BK217" s="45"/>
      <c r="BL217" s="4"/>
      <c r="BM217" s="4"/>
      <c r="BN217" s="4"/>
      <c r="BO217" s="4"/>
      <c r="BP217" s="45"/>
      <c r="BQ217" s="4"/>
      <c r="BR217" s="4"/>
      <c r="BS217" s="4"/>
      <c r="BT217" s="4"/>
      <c r="BU217" s="45"/>
      <c r="BV217" s="4"/>
      <c r="BW217" s="4"/>
      <c r="BX217" s="4"/>
      <c r="BY217" s="4"/>
      <c r="BZ217" s="350"/>
      <c r="CA217" s="4"/>
      <c r="CB217" s="4"/>
      <c r="CC217" s="4"/>
      <c r="CD217" s="4"/>
      <c r="CE217" s="350"/>
      <c r="CF217" s="4"/>
      <c r="CG217" s="4"/>
      <c r="CH217" s="4"/>
      <c r="CI217" s="4"/>
      <c r="CJ217" s="350"/>
      <c r="CK217" s="4"/>
      <c r="CL217" s="4"/>
      <c r="CM217" s="4"/>
      <c r="CN217" s="16"/>
      <c r="CO217" s="350"/>
      <c r="CP217" s="104"/>
      <c r="CQ217" s="104"/>
      <c r="CR217" s="104"/>
      <c r="CS217" s="104"/>
      <c r="CT217" s="350"/>
      <c r="CU217" s="4"/>
      <c r="CV217" s="4"/>
      <c r="CW217" s="4"/>
      <c r="CX217" s="4"/>
      <c r="CY217" s="350"/>
      <c r="CZ217" s="4"/>
      <c r="DA217" s="4"/>
      <c r="DB217" s="4"/>
      <c r="DC217" s="4"/>
      <c r="DD217" s="350"/>
      <c r="DE217" s="4"/>
      <c r="DF217" s="4"/>
      <c r="DG217" s="4"/>
      <c r="DH217" s="4"/>
      <c r="DI217" s="350"/>
      <c r="DJ217" s="16"/>
      <c r="DK217" s="16"/>
      <c r="DL217" s="16"/>
      <c r="DM217" s="16"/>
      <c r="DN217" s="350"/>
      <c r="DO217" s="16"/>
      <c r="DP217" s="16"/>
      <c r="DQ217" s="16"/>
      <c r="DR217" s="16"/>
      <c r="DS217" s="350"/>
      <c r="DT217" s="16"/>
      <c r="DU217" s="16"/>
      <c r="DV217" s="16"/>
      <c r="DW217" s="16"/>
      <c r="DX217" s="350"/>
      <c r="DY217" s="4"/>
      <c r="DZ217" s="4"/>
      <c r="EA217" s="4"/>
      <c r="EB217" s="4"/>
      <c r="EC217" s="350"/>
      <c r="ED217" s="4"/>
      <c r="EE217" s="4"/>
      <c r="EF217" s="4"/>
      <c r="EG217" s="4"/>
      <c r="EH217" s="350"/>
      <c r="EI217" s="214"/>
      <c r="EJ217" s="16"/>
      <c r="EK217" s="4"/>
      <c r="EL217" s="4"/>
      <c r="EM217" s="350"/>
      <c r="EN217" s="4"/>
      <c r="EO217" s="16"/>
      <c r="EP217" s="4"/>
      <c r="EQ217" s="4"/>
      <c r="ER217" s="350"/>
      <c r="ES217" s="4"/>
      <c r="ET217" s="16"/>
      <c r="EU217" s="4"/>
      <c r="EV217" s="4"/>
      <c r="EW217" s="350"/>
      <c r="EX217" s="4"/>
      <c r="EY217" s="16"/>
      <c r="EZ217" s="4"/>
      <c r="FA217" s="4"/>
      <c r="FB217" s="350"/>
      <c r="FC217" s="4"/>
      <c r="FD217" s="16"/>
      <c r="FE217" s="4"/>
      <c r="FF217" s="4"/>
      <c r="FG217" s="350"/>
      <c r="FH217" s="145"/>
      <c r="FI217" s="4"/>
      <c r="FJ217" s="4"/>
      <c r="FK217" s="45"/>
      <c r="FL217" s="4"/>
    </row>
    <row r="218" ht="12.75" customHeight="1">
      <c r="A218" s="4"/>
      <c r="B218" s="72" t="s">
        <v>144</v>
      </c>
      <c r="C218" s="45"/>
      <c r="D218" s="4"/>
      <c r="E218" s="4"/>
      <c r="F218" s="4"/>
      <c r="G218" s="4"/>
      <c r="H218" s="45"/>
      <c r="I218" s="4"/>
      <c r="J218" s="4"/>
      <c r="K218" s="4"/>
      <c r="L218" s="4"/>
      <c r="M218" s="45"/>
      <c r="N218" s="4"/>
      <c r="O218" s="4"/>
      <c r="P218" s="4"/>
      <c r="Q218" s="4"/>
      <c r="R218" s="45"/>
      <c r="S218" s="4"/>
      <c r="T218" s="4"/>
      <c r="U218" s="4"/>
      <c r="V218" s="4"/>
      <c r="W218" s="45"/>
      <c r="X218" s="4"/>
      <c r="Y218" s="4"/>
      <c r="Z218" s="4"/>
      <c r="AA218" s="4"/>
      <c r="AB218" s="45"/>
      <c r="AC218" s="4"/>
      <c r="AD218" s="4"/>
      <c r="AE218" s="4"/>
      <c r="AF218" s="4"/>
      <c r="AG218" s="45"/>
      <c r="AH218" s="4"/>
      <c r="AI218" s="4"/>
      <c r="AJ218" s="4"/>
      <c r="AK218" s="4"/>
      <c r="AL218" s="45"/>
      <c r="AM218" s="4"/>
      <c r="AN218" s="4"/>
      <c r="AO218" s="4"/>
      <c r="AP218" s="4"/>
      <c r="AQ218" s="45"/>
      <c r="AR218" s="4"/>
      <c r="AS218" s="4"/>
      <c r="AT218" s="4"/>
      <c r="AU218" s="4"/>
      <c r="AV218" s="45"/>
      <c r="AW218" s="4"/>
      <c r="AX218" s="4"/>
      <c r="AY218" s="4"/>
      <c r="AZ218" s="4"/>
      <c r="BA218" s="45"/>
      <c r="BB218" s="4"/>
      <c r="BC218" s="4"/>
      <c r="BD218" s="4"/>
      <c r="BE218" s="4"/>
      <c r="BF218" s="45"/>
      <c r="BG218" s="4"/>
      <c r="BH218" s="4"/>
      <c r="BI218" s="4"/>
      <c r="BJ218" s="4"/>
      <c r="BK218" s="45"/>
      <c r="BL218" s="4"/>
      <c r="BM218" s="4"/>
      <c r="BN218" s="4"/>
      <c r="BO218" s="4"/>
      <c r="BP218" s="45"/>
      <c r="BQ218" s="4"/>
      <c r="BR218" s="4"/>
      <c r="BS218" s="4"/>
      <c r="BT218" s="4"/>
      <c r="BU218" s="45"/>
      <c r="BV218" s="4"/>
      <c r="BW218" s="4"/>
      <c r="BX218" s="4"/>
      <c r="BY218" s="4"/>
      <c r="BZ218" s="350"/>
      <c r="CA218" s="4"/>
      <c r="CB218" s="4"/>
      <c r="CC218" s="4"/>
      <c r="CD218" s="4"/>
      <c r="CE218" s="350"/>
      <c r="CF218" s="4"/>
      <c r="CG218" s="4"/>
      <c r="CH218" s="4"/>
      <c r="CI218" s="4"/>
      <c r="CJ218" s="350"/>
      <c r="CK218" s="4"/>
      <c r="CL218" s="4"/>
      <c r="CM218" s="4"/>
      <c r="CN218" s="16"/>
      <c r="CO218" s="350"/>
      <c r="CP218" s="104"/>
      <c r="CQ218" s="104"/>
      <c r="CR218" s="104"/>
      <c r="CS218" s="104"/>
      <c r="CT218" s="350"/>
      <c r="CU218" s="4"/>
      <c r="CV218" s="4"/>
      <c r="CW218" s="4"/>
      <c r="CX218" s="4"/>
      <c r="CY218" s="350"/>
      <c r="CZ218" s="4"/>
      <c r="DA218" s="4"/>
      <c r="DB218" s="4"/>
      <c r="DC218" s="4"/>
      <c r="DD218" s="350"/>
      <c r="DE218" s="4"/>
      <c r="DF218" s="4"/>
      <c r="DG218" s="4"/>
      <c r="DH218" s="4"/>
      <c r="DI218" s="350"/>
      <c r="DJ218" s="16"/>
      <c r="DK218" s="16"/>
      <c r="DL218" s="16"/>
      <c r="DM218" s="16"/>
      <c r="DN218" s="350"/>
      <c r="DO218" s="16"/>
      <c r="DP218" s="16"/>
      <c r="DQ218" s="16"/>
      <c r="DR218" s="16"/>
      <c r="DS218" s="356">
        <v>879.0</v>
      </c>
      <c r="DT218" s="16"/>
      <c r="DU218" s="16"/>
      <c r="DV218" s="16"/>
      <c r="DW218" s="16"/>
      <c r="DX218" s="356">
        <v>967.0</v>
      </c>
      <c r="DY218" s="357">
        <v>377.0</v>
      </c>
      <c r="DZ218" s="357">
        <v>327.0</v>
      </c>
      <c r="EA218" s="357">
        <v>326.0</v>
      </c>
      <c r="EB218" s="357">
        <v>356.0</v>
      </c>
      <c r="EC218" s="356">
        <f>SUM(DY218:EB218)</f>
        <v>1386</v>
      </c>
      <c r="ED218" s="357">
        <v>394.0</v>
      </c>
      <c r="EE218" s="357">
        <v>460.0</v>
      </c>
      <c r="EF218" s="357">
        <v>450.0</v>
      </c>
      <c r="EG218" s="357">
        <v>565.0</v>
      </c>
      <c r="EH218" s="356">
        <f>SUM(ED218:EG218)</f>
        <v>1869</v>
      </c>
      <c r="EI218" s="358">
        <f>EG218*(1+EI219)</f>
        <v>565</v>
      </c>
      <c r="EJ218" s="357">
        <f t="shared" ref="EJ218:EL218" si="1408">EI218*(1+EJ219)</f>
        <v>576.3</v>
      </c>
      <c r="EK218" s="357">
        <f t="shared" si="1408"/>
        <v>622.404</v>
      </c>
      <c r="EL218" s="357">
        <f t="shared" si="1408"/>
        <v>659.74824</v>
      </c>
      <c r="EM218" s="356">
        <f>SUM(EI218:EL218)</f>
        <v>2423.45224</v>
      </c>
      <c r="EN218" s="357">
        <f>EL218*(1+EN219)</f>
        <v>705.9306168</v>
      </c>
      <c r="EO218" s="357">
        <f t="shared" ref="EO218:EQ218" si="1409">EN218*(1+EO219)</f>
        <v>755.34576</v>
      </c>
      <c r="EP218" s="357">
        <f t="shared" si="1409"/>
        <v>800.6665056</v>
      </c>
      <c r="EQ218" s="357">
        <f t="shared" si="1409"/>
        <v>848.7064959</v>
      </c>
      <c r="ER218" s="356">
        <f>SUM(EN218:EQ218)</f>
        <v>3110.649378</v>
      </c>
      <c r="ES218" s="357">
        <f>EQ218*(1+ES219)</f>
        <v>908.1159506</v>
      </c>
      <c r="ET218" s="357">
        <f t="shared" ref="ET218:EV218" si="1410">ES218*(1+ET219)</f>
        <v>971.6840672</v>
      </c>
      <c r="EU218" s="357">
        <f t="shared" si="1410"/>
        <v>1039.701952</v>
      </c>
      <c r="EV218" s="357">
        <f t="shared" si="1410"/>
        <v>1112.481088</v>
      </c>
      <c r="EW218" s="356">
        <f>SUM(ES218:EV218)</f>
        <v>4031.983058</v>
      </c>
      <c r="EX218" s="357">
        <f>EV218*(1+EX219)</f>
        <v>1190.354765</v>
      </c>
      <c r="EY218" s="357">
        <f t="shared" ref="EY218:FA218" si="1411">EX218*(1+EY219)</f>
        <v>1273.679598</v>
      </c>
      <c r="EZ218" s="357">
        <f t="shared" si="1411"/>
        <v>1362.83717</v>
      </c>
      <c r="FA218" s="357">
        <f t="shared" si="1411"/>
        <v>1458.235772</v>
      </c>
      <c r="FB218" s="356">
        <f>SUM(EX218:FA218)</f>
        <v>5285.107305</v>
      </c>
      <c r="FC218" s="357">
        <f>FA218*(1+FC219)</f>
        <v>1560.312276</v>
      </c>
      <c r="FD218" s="357">
        <f t="shared" ref="FD218:FF218" si="1412">FC218*(1+FD219)</f>
        <v>1669.534135</v>
      </c>
      <c r="FE218" s="357">
        <f t="shared" si="1412"/>
        <v>1786.401525</v>
      </c>
      <c r="FF218" s="357">
        <f t="shared" si="1412"/>
        <v>1911.449632</v>
      </c>
      <c r="FG218" s="356">
        <f>SUM(FC218:FF218)</f>
        <v>6927.697568</v>
      </c>
      <c r="FH218" s="359"/>
      <c r="FI218" s="4"/>
      <c r="FJ218" s="4"/>
      <c r="FK218" s="45"/>
      <c r="FL218" s="4"/>
    </row>
    <row r="219" ht="12.75" customHeight="1">
      <c r="A219" s="4"/>
      <c r="B219" s="72" t="s">
        <v>145</v>
      </c>
      <c r="C219" s="45"/>
      <c r="D219" s="4"/>
      <c r="E219" s="4"/>
      <c r="F219" s="4"/>
      <c r="G219" s="4"/>
      <c r="H219" s="45"/>
      <c r="I219" s="4"/>
      <c r="J219" s="4"/>
      <c r="K219" s="4"/>
      <c r="L219" s="4"/>
      <c r="M219" s="45"/>
      <c r="N219" s="4"/>
      <c r="O219" s="4"/>
      <c r="P219" s="4"/>
      <c r="Q219" s="4"/>
      <c r="R219" s="45"/>
      <c r="S219" s="4"/>
      <c r="T219" s="4"/>
      <c r="U219" s="4"/>
      <c r="V219" s="4"/>
      <c r="W219" s="45"/>
      <c r="X219" s="4"/>
      <c r="Y219" s="4"/>
      <c r="Z219" s="4"/>
      <c r="AA219" s="4"/>
      <c r="AB219" s="45"/>
      <c r="AC219" s="4"/>
      <c r="AD219" s="4"/>
      <c r="AE219" s="4"/>
      <c r="AF219" s="4"/>
      <c r="AG219" s="45"/>
      <c r="AH219" s="4"/>
      <c r="AI219" s="4"/>
      <c r="AJ219" s="4"/>
      <c r="AK219" s="4"/>
      <c r="AL219" s="45"/>
      <c r="AM219" s="4"/>
      <c r="AN219" s="4"/>
      <c r="AO219" s="4"/>
      <c r="AP219" s="4"/>
      <c r="AQ219" s="45"/>
      <c r="AR219" s="4"/>
      <c r="AS219" s="4"/>
      <c r="AT219" s="4"/>
      <c r="AU219" s="4"/>
      <c r="AV219" s="45"/>
      <c r="AW219" s="4"/>
      <c r="AX219" s="4"/>
      <c r="AY219" s="4"/>
      <c r="AZ219" s="4"/>
      <c r="BA219" s="45"/>
      <c r="BB219" s="4"/>
      <c r="BC219" s="4"/>
      <c r="BD219" s="4"/>
      <c r="BE219" s="4"/>
      <c r="BF219" s="45"/>
      <c r="BG219" s="4"/>
      <c r="BH219" s="4"/>
      <c r="BI219" s="4"/>
      <c r="BJ219" s="4"/>
      <c r="BK219" s="45"/>
      <c r="BL219" s="4"/>
      <c r="BM219" s="4"/>
      <c r="BN219" s="4"/>
      <c r="BO219" s="4"/>
      <c r="BP219" s="45"/>
      <c r="BQ219" s="4"/>
      <c r="BR219" s="4"/>
      <c r="BS219" s="4"/>
      <c r="BT219" s="4"/>
      <c r="BU219" s="45"/>
      <c r="BV219" s="4"/>
      <c r="BW219" s="4"/>
      <c r="BX219" s="4"/>
      <c r="BY219" s="4"/>
      <c r="BZ219" s="350"/>
      <c r="CA219" s="4"/>
      <c r="CB219" s="4"/>
      <c r="CC219" s="4"/>
      <c r="CD219" s="4"/>
      <c r="CE219" s="350"/>
      <c r="CF219" s="4"/>
      <c r="CG219" s="4"/>
      <c r="CH219" s="4"/>
      <c r="CI219" s="4"/>
      <c r="CJ219" s="350"/>
      <c r="CK219" s="4"/>
      <c r="CL219" s="4"/>
      <c r="CM219" s="4"/>
      <c r="CN219" s="16"/>
      <c r="CO219" s="350"/>
      <c r="CP219" s="104"/>
      <c r="CQ219" s="104"/>
      <c r="CR219" s="104"/>
      <c r="CS219" s="104"/>
      <c r="CT219" s="350"/>
      <c r="CU219" s="4"/>
      <c r="CV219" s="4"/>
      <c r="CW219" s="4"/>
      <c r="CX219" s="4"/>
      <c r="CY219" s="350"/>
      <c r="CZ219" s="4"/>
      <c r="DA219" s="4"/>
      <c r="DB219" s="4"/>
      <c r="DC219" s="4"/>
      <c r="DD219" s="350"/>
      <c r="DE219" s="4"/>
      <c r="DF219" s="4"/>
      <c r="DG219" s="4"/>
      <c r="DH219" s="4"/>
      <c r="DI219" s="350"/>
      <c r="DJ219" s="16"/>
      <c r="DK219" s="16"/>
      <c r="DL219" s="16"/>
      <c r="DM219" s="16"/>
      <c r="DN219" s="350"/>
      <c r="DO219" s="16"/>
      <c r="DP219" s="16"/>
      <c r="DQ219" s="16"/>
      <c r="DR219" s="16"/>
      <c r="DS219" s="350"/>
      <c r="DT219" s="16"/>
      <c r="DU219" s="16"/>
      <c r="DV219" s="16"/>
      <c r="DW219" s="16"/>
      <c r="DX219" s="350"/>
      <c r="DY219" s="16"/>
      <c r="DZ219" s="321">
        <f t="shared" ref="DZ219:EB219" si="1413">DZ218/DY218-1</f>
        <v>-0.1326259947</v>
      </c>
      <c r="EA219" s="321">
        <f t="shared" si="1413"/>
        <v>-0.003058103976</v>
      </c>
      <c r="EB219" s="321">
        <f t="shared" si="1413"/>
        <v>0.09202453988</v>
      </c>
      <c r="EC219" s="350"/>
      <c r="ED219" s="321">
        <f>ED218/EB218-1</f>
        <v>0.106741573</v>
      </c>
      <c r="EE219" s="321">
        <f t="shared" ref="EE219:EG219" si="1414">EE218/ED218-1</f>
        <v>0.1675126904</v>
      </c>
      <c r="EF219" s="321">
        <f t="shared" si="1414"/>
        <v>-0.02173913043</v>
      </c>
      <c r="EG219" s="321">
        <f t="shared" si="1414"/>
        <v>0.2555555556</v>
      </c>
      <c r="EH219" s="350"/>
      <c r="EI219" s="381">
        <v>0.0</v>
      </c>
      <c r="EJ219" s="382">
        <v>0.02</v>
      </c>
      <c r="EK219" s="382">
        <v>0.08</v>
      </c>
      <c r="EL219" s="382">
        <v>0.06</v>
      </c>
      <c r="EM219" s="350"/>
      <c r="EN219" s="382">
        <v>0.07</v>
      </c>
      <c r="EO219" s="382">
        <v>0.07</v>
      </c>
      <c r="EP219" s="382">
        <v>0.06</v>
      </c>
      <c r="EQ219" s="382">
        <v>0.06</v>
      </c>
      <c r="ER219" s="350"/>
      <c r="ES219" s="382">
        <v>0.07</v>
      </c>
      <c r="ET219" s="382">
        <v>0.07</v>
      </c>
      <c r="EU219" s="382">
        <v>0.07</v>
      </c>
      <c r="EV219" s="382">
        <v>0.07</v>
      </c>
      <c r="EW219" s="350"/>
      <c r="EX219" s="382">
        <v>0.07</v>
      </c>
      <c r="EY219" s="382">
        <v>0.07</v>
      </c>
      <c r="EZ219" s="382">
        <v>0.07</v>
      </c>
      <c r="FA219" s="382">
        <v>0.07</v>
      </c>
      <c r="FB219" s="350"/>
      <c r="FC219" s="382">
        <v>0.07</v>
      </c>
      <c r="FD219" s="382">
        <v>0.07</v>
      </c>
      <c r="FE219" s="382">
        <v>0.07</v>
      </c>
      <c r="FF219" s="382">
        <v>0.07</v>
      </c>
      <c r="FG219" s="350"/>
      <c r="FH219" s="145"/>
      <c r="FI219" s="4"/>
      <c r="FJ219" s="4"/>
      <c r="FK219" s="45"/>
      <c r="FL219" s="4"/>
    </row>
    <row r="220" ht="12.75" customHeight="1">
      <c r="A220" s="4"/>
      <c r="B220" s="72" t="s">
        <v>146</v>
      </c>
      <c r="C220" s="45"/>
      <c r="D220" s="4"/>
      <c r="E220" s="4"/>
      <c r="F220" s="4"/>
      <c r="G220" s="4"/>
      <c r="H220" s="45"/>
      <c r="I220" s="4"/>
      <c r="J220" s="4"/>
      <c r="K220" s="4"/>
      <c r="L220" s="4"/>
      <c r="M220" s="45"/>
      <c r="N220" s="4"/>
      <c r="O220" s="4"/>
      <c r="P220" s="4"/>
      <c r="Q220" s="4"/>
      <c r="R220" s="45"/>
      <c r="S220" s="4"/>
      <c r="T220" s="4"/>
      <c r="U220" s="4"/>
      <c r="V220" s="4"/>
      <c r="W220" s="45"/>
      <c r="X220" s="4"/>
      <c r="Y220" s="4"/>
      <c r="Z220" s="4"/>
      <c r="AA220" s="4"/>
      <c r="AB220" s="45"/>
      <c r="AC220" s="4"/>
      <c r="AD220" s="4"/>
      <c r="AE220" s="4"/>
      <c r="AF220" s="4"/>
      <c r="AG220" s="45"/>
      <c r="AH220" s="4"/>
      <c r="AI220" s="4"/>
      <c r="AJ220" s="4"/>
      <c r="AK220" s="4"/>
      <c r="AL220" s="45"/>
      <c r="AM220" s="4"/>
      <c r="AN220" s="4"/>
      <c r="AO220" s="4"/>
      <c r="AP220" s="4"/>
      <c r="AQ220" s="45"/>
      <c r="AR220" s="4"/>
      <c r="AS220" s="4"/>
      <c r="AT220" s="4"/>
      <c r="AU220" s="4"/>
      <c r="AV220" s="45"/>
      <c r="AW220" s="4"/>
      <c r="AX220" s="4"/>
      <c r="AY220" s="4"/>
      <c r="AZ220" s="4"/>
      <c r="BA220" s="45"/>
      <c r="BB220" s="4"/>
      <c r="BC220" s="4"/>
      <c r="BD220" s="4"/>
      <c r="BE220" s="4"/>
      <c r="BF220" s="45"/>
      <c r="BG220" s="4"/>
      <c r="BH220" s="4"/>
      <c r="BI220" s="4"/>
      <c r="BJ220" s="4"/>
      <c r="BK220" s="45"/>
      <c r="BL220" s="4"/>
      <c r="BM220" s="4"/>
      <c r="BN220" s="4"/>
      <c r="BO220" s="4"/>
      <c r="BP220" s="45"/>
      <c r="BQ220" s="4"/>
      <c r="BR220" s="4"/>
      <c r="BS220" s="4"/>
      <c r="BT220" s="4"/>
      <c r="BU220" s="45"/>
      <c r="BV220" s="4"/>
      <c r="BW220" s="4"/>
      <c r="BX220" s="4"/>
      <c r="BY220" s="4"/>
      <c r="BZ220" s="350"/>
      <c r="CA220" s="4"/>
      <c r="CB220" s="4"/>
      <c r="CC220" s="4"/>
      <c r="CD220" s="4"/>
      <c r="CE220" s="350"/>
      <c r="CF220" s="4"/>
      <c r="CG220" s="4"/>
      <c r="CH220" s="4"/>
      <c r="CI220" s="4"/>
      <c r="CJ220" s="350"/>
      <c r="CK220" s="4"/>
      <c r="CL220" s="4"/>
      <c r="CM220" s="4"/>
      <c r="CN220" s="16"/>
      <c r="CO220" s="350"/>
      <c r="CP220" s="104"/>
      <c r="CQ220" s="104"/>
      <c r="CR220" s="104"/>
      <c r="CS220" s="104"/>
      <c r="CT220" s="350"/>
      <c r="CU220" s="4"/>
      <c r="CV220" s="4"/>
      <c r="CW220" s="4"/>
      <c r="CX220" s="4"/>
      <c r="CY220" s="350"/>
      <c r="CZ220" s="4"/>
      <c r="DA220" s="4"/>
      <c r="DB220" s="4"/>
      <c r="DC220" s="4"/>
      <c r="DD220" s="350"/>
      <c r="DE220" s="4"/>
      <c r="DF220" s="4"/>
      <c r="DG220" s="4"/>
      <c r="DH220" s="4"/>
      <c r="DI220" s="350"/>
      <c r="DJ220" s="16"/>
      <c r="DK220" s="16"/>
      <c r="DL220" s="16"/>
      <c r="DM220" s="16"/>
      <c r="DN220" s="350"/>
      <c r="DO220" s="16"/>
      <c r="DP220" s="16"/>
      <c r="DQ220" s="16"/>
      <c r="DR220" s="16"/>
      <c r="DS220" s="342"/>
      <c r="DT220" s="16"/>
      <c r="DU220" s="16"/>
      <c r="DV220" s="16"/>
      <c r="DW220" s="16"/>
      <c r="DX220" s="342">
        <f>DX218/DS218-1</f>
        <v>0.1001137656</v>
      </c>
      <c r="DY220" s="16"/>
      <c r="DZ220" s="16"/>
      <c r="EA220" s="16"/>
      <c r="EB220" s="16"/>
      <c r="EC220" s="342">
        <f t="shared" ref="EC220:FG220" si="1415">EC218/DX218-1</f>
        <v>0.4332988625</v>
      </c>
      <c r="ED220" s="321">
        <f t="shared" si="1415"/>
        <v>0.0450928382</v>
      </c>
      <c r="EE220" s="321">
        <f t="shared" si="1415"/>
        <v>0.4067278287</v>
      </c>
      <c r="EF220" s="321">
        <f t="shared" si="1415"/>
        <v>0.3803680982</v>
      </c>
      <c r="EG220" s="321">
        <f t="shared" si="1415"/>
        <v>0.5870786517</v>
      </c>
      <c r="EH220" s="342">
        <f t="shared" si="1415"/>
        <v>0.3484848485</v>
      </c>
      <c r="EI220" s="322">
        <f t="shared" si="1415"/>
        <v>0.4340101523</v>
      </c>
      <c r="EJ220" s="321">
        <f t="shared" si="1415"/>
        <v>0.252826087</v>
      </c>
      <c r="EK220" s="321">
        <f t="shared" si="1415"/>
        <v>0.38312</v>
      </c>
      <c r="EL220" s="321">
        <f t="shared" si="1415"/>
        <v>0.167696</v>
      </c>
      <c r="EM220" s="342">
        <f t="shared" si="1415"/>
        <v>0.2966571643</v>
      </c>
      <c r="EN220" s="321">
        <f t="shared" si="1415"/>
        <v>0.24943472</v>
      </c>
      <c r="EO220" s="321">
        <f t="shared" si="1415"/>
        <v>0.31068152</v>
      </c>
      <c r="EP220" s="321">
        <f t="shared" si="1415"/>
        <v>0.28640964</v>
      </c>
      <c r="EQ220" s="321">
        <f t="shared" si="1415"/>
        <v>0.28640964</v>
      </c>
      <c r="ER220" s="342">
        <f t="shared" si="1415"/>
        <v>0.2835612466</v>
      </c>
      <c r="ES220" s="321">
        <f t="shared" si="1415"/>
        <v>0.28640964</v>
      </c>
      <c r="ET220" s="321">
        <f t="shared" si="1415"/>
        <v>0.28640964</v>
      </c>
      <c r="EU220" s="321">
        <f t="shared" si="1415"/>
        <v>0.29854558</v>
      </c>
      <c r="EV220" s="321">
        <f t="shared" si="1415"/>
        <v>0.31079601</v>
      </c>
      <c r="EW220" s="342">
        <f t="shared" si="1415"/>
        <v>0.2961869269</v>
      </c>
      <c r="EX220" s="321">
        <f t="shared" si="1415"/>
        <v>0.31079601</v>
      </c>
      <c r="EY220" s="321">
        <f t="shared" si="1415"/>
        <v>0.31079601</v>
      </c>
      <c r="EZ220" s="321">
        <f t="shared" si="1415"/>
        <v>0.31079601</v>
      </c>
      <c r="FA220" s="321">
        <f t="shared" si="1415"/>
        <v>0.31079601</v>
      </c>
      <c r="FB220" s="342">
        <f t="shared" si="1415"/>
        <v>0.31079601</v>
      </c>
      <c r="FC220" s="321">
        <f t="shared" si="1415"/>
        <v>0.31079601</v>
      </c>
      <c r="FD220" s="321">
        <f t="shared" si="1415"/>
        <v>0.31079601</v>
      </c>
      <c r="FE220" s="321">
        <f t="shared" si="1415"/>
        <v>0.31079601</v>
      </c>
      <c r="FF220" s="321">
        <f t="shared" si="1415"/>
        <v>0.31079601</v>
      </c>
      <c r="FG220" s="342">
        <f t="shared" si="1415"/>
        <v>0.31079601</v>
      </c>
      <c r="FH220" s="343"/>
      <c r="FI220" s="4"/>
      <c r="FJ220" s="4"/>
      <c r="FK220" s="45"/>
      <c r="FL220" s="4"/>
    </row>
    <row r="221" ht="12.75" customHeight="1">
      <c r="A221" s="4"/>
      <c r="B221" s="72" t="s">
        <v>163</v>
      </c>
      <c r="C221" s="45"/>
      <c r="D221" s="4"/>
      <c r="E221" s="4"/>
      <c r="F221" s="4"/>
      <c r="G221" s="4"/>
      <c r="H221" s="45"/>
      <c r="I221" s="4"/>
      <c r="J221" s="4"/>
      <c r="K221" s="4"/>
      <c r="L221" s="4"/>
      <c r="M221" s="45"/>
      <c r="N221" s="4"/>
      <c r="O221" s="4"/>
      <c r="P221" s="4"/>
      <c r="Q221" s="4"/>
      <c r="R221" s="45"/>
      <c r="S221" s="4"/>
      <c r="T221" s="4"/>
      <c r="U221" s="4"/>
      <c r="V221" s="4"/>
      <c r="W221" s="45"/>
      <c r="X221" s="4"/>
      <c r="Y221" s="4"/>
      <c r="Z221" s="4"/>
      <c r="AA221" s="4"/>
      <c r="AB221" s="45"/>
      <c r="AC221" s="4"/>
      <c r="AD221" s="4"/>
      <c r="AE221" s="4"/>
      <c r="AF221" s="4"/>
      <c r="AG221" s="45"/>
      <c r="AH221" s="4"/>
      <c r="AI221" s="4"/>
      <c r="AJ221" s="4"/>
      <c r="AK221" s="4"/>
      <c r="AL221" s="45"/>
      <c r="AM221" s="4"/>
      <c r="AN221" s="4"/>
      <c r="AO221" s="4"/>
      <c r="AP221" s="4"/>
      <c r="AQ221" s="45"/>
      <c r="AR221" s="4"/>
      <c r="AS221" s="4"/>
      <c r="AT221" s="4"/>
      <c r="AU221" s="4"/>
      <c r="AV221" s="45"/>
      <c r="AW221" s="4"/>
      <c r="AX221" s="4"/>
      <c r="AY221" s="4"/>
      <c r="AZ221" s="4"/>
      <c r="BA221" s="45"/>
      <c r="BB221" s="4"/>
      <c r="BC221" s="4"/>
      <c r="BD221" s="4"/>
      <c r="BE221" s="4"/>
      <c r="BF221" s="45"/>
      <c r="BG221" s="4"/>
      <c r="BH221" s="4"/>
      <c r="BI221" s="4"/>
      <c r="BJ221" s="4"/>
      <c r="BK221" s="45"/>
      <c r="BL221" s="4"/>
      <c r="BM221" s="4"/>
      <c r="BN221" s="4"/>
      <c r="BO221" s="4"/>
      <c r="BP221" s="45"/>
      <c r="BQ221" s="4"/>
      <c r="BR221" s="4"/>
      <c r="BS221" s="4"/>
      <c r="BT221" s="4"/>
      <c r="BU221" s="45"/>
      <c r="BV221" s="4"/>
      <c r="BW221" s="4"/>
      <c r="BX221" s="4"/>
      <c r="BY221" s="4"/>
      <c r="BZ221" s="350"/>
      <c r="CA221" s="4"/>
      <c r="CB221" s="4"/>
      <c r="CC221" s="4"/>
      <c r="CD221" s="4"/>
      <c r="CE221" s="350"/>
      <c r="CF221" s="4"/>
      <c r="CG221" s="4"/>
      <c r="CH221" s="4"/>
      <c r="CI221" s="4"/>
      <c r="CJ221" s="350"/>
      <c r="CK221" s="4"/>
      <c r="CL221" s="4"/>
      <c r="CM221" s="4"/>
      <c r="CN221" s="16"/>
      <c r="CO221" s="350"/>
      <c r="CP221" s="104"/>
      <c r="CQ221" s="104"/>
      <c r="CR221" s="104"/>
      <c r="CS221" s="104"/>
      <c r="CT221" s="350"/>
      <c r="CU221" s="4"/>
      <c r="CV221" s="4"/>
      <c r="CW221" s="4"/>
      <c r="CX221" s="4"/>
      <c r="CY221" s="350"/>
      <c r="CZ221" s="4"/>
      <c r="DA221" s="4"/>
      <c r="DB221" s="4"/>
      <c r="DC221" s="4"/>
      <c r="DD221" s="350"/>
      <c r="DE221" s="4"/>
      <c r="DF221" s="4"/>
      <c r="DG221" s="4"/>
      <c r="DH221" s="4"/>
      <c r="DI221" s="350"/>
      <c r="DJ221" s="16"/>
      <c r="DK221" s="16"/>
      <c r="DL221" s="16"/>
      <c r="DM221" s="16"/>
      <c r="DN221" s="350"/>
      <c r="DO221" s="16"/>
      <c r="DP221" s="16"/>
      <c r="DQ221" s="16"/>
      <c r="DR221" s="16"/>
      <c r="DS221" s="356">
        <v>318.0</v>
      </c>
      <c r="DT221" s="16"/>
      <c r="DU221" s="16"/>
      <c r="DV221" s="16"/>
      <c r="DW221" s="16"/>
      <c r="DX221" s="356">
        <v>323.0</v>
      </c>
      <c r="DY221" s="357">
        <v>171.0</v>
      </c>
      <c r="DZ221" s="357">
        <v>133.0</v>
      </c>
      <c r="EA221" s="357">
        <v>127.0</v>
      </c>
      <c r="EB221" s="357">
        <v>123.0</v>
      </c>
      <c r="EC221" s="356">
        <f>SUM(DY221:EB221)</f>
        <v>554</v>
      </c>
      <c r="ED221" s="357">
        <v>148.0</v>
      </c>
      <c r="EE221" s="357">
        <v>190.0</v>
      </c>
      <c r="EF221" s="357">
        <v>142.0</v>
      </c>
      <c r="EG221" s="357">
        <v>210.0</v>
      </c>
      <c r="EH221" s="356">
        <f>SUM(ED221:EG221)</f>
        <v>690</v>
      </c>
      <c r="EI221" s="214">
        <v>0.0</v>
      </c>
      <c r="EJ221" s="16"/>
      <c r="EK221" s="4"/>
      <c r="EL221" s="4"/>
      <c r="EM221" s="356">
        <f>SUM(EI221:EL221)</f>
        <v>0</v>
      </c>
      <c r="EN221" s="357">
        <v>0.0</v>
      </c>
      <c r="EO221" s="16"/>
      <c r="EP221" s="4"/>
      <c r="EQ221" s="4"/>
      <c r="ER221" s="356">
        <f>SUM(EN221:EQ221)</f>
        <v>0</v>
      </c>
      <c r="ES221" s="357">
        <v>0.0</v>
      </c>
      <c r="ET221" s="16"/>
      <c r="EU221" s="4"/>
      <c r="EV221" s="4"/>
      <c r="EW221" s="356">
        <f>SUM(ES221:EV221)</f>
        <v>0</v>
      </c>
      <c r="EX221" s="357">
        <v>0.0</v>
      </c>
      <c r="EY221" s="16"/>
      <c r="EZ221" s="4"/>
      <c r="FA221" s="4"/>
      <c r="FB221" s="356">
        <f>SUM(EX221:FA221)</f>
        <v>0</v>
      </c>
      <c r="FC221" s="357">
        <v>0.0</v>
      </c>
      <c r="FD221" s="16"/>
      <c r="FE221" s="4"/>
      <c r="FF221" s="4"/>
      <c r="FG221" s="356">
        <f>SUM(FC221:FF221)</f>
        <v>0</v>
      </c>
      <c r="FH221" s="359"/>
      <c r="FI221" s="4"/>
      <c r="FJ221" s="4"/>
      <c r="FK221" s="45"/>
      <c r="FL221" s="4"/>
    </row>
    <row r="222" ht="12.75" customHeight="1">
      <c r="A222" s="4"/>
      <c r="B222" s="72" t="s">
        <v>164</v>
      </c>
      <c r="C222" s="45"/>
      <c r="D222" s="4"/>
      <c r="E222" s="4"/>
      <c r="F222" s="4"/>
      <c r="G222" s="4"/>
      <c r="H222" s="45"/>
      <c r="I222" s="4"/>
      <c r="J222" s="4"/>
      <c r="K222" s="4"/>
      <c r="L222" s="4"/>
      <c r="M222" s="45"/>
      <c r="N222" s="4"/>
      <c r="O222" s="4"/>
      <c r="P222" s="4"/>
      <c r="Q222" s="4"/>
      <c r="R222" s="45"/>
      <c r="S222" s="4"/>
      <c r="T222" s="4"/>
      <c r="U222" s="4"/>
      <c r="V222" s="4"/>
      <c r="W222" s="45"/>
      <c r="X222" s="4"/>
      <c r="Y222" s="4"/>
      <c r="Z222" s="4"/>
      <c r="AA222" s="4"/>
      <c r="AB222" s="45"/>
      <c r="AC222" s="4"/>
      <c r="AD222" s="4"/>
      <c r="AE222" s="4"/>
      <c r="AF222" s="4"/>
      <c r="AG222" s="45"/>
      <c r="AH222" s="4"/>
      <c r="AI222" s="4"/>
      <c r="AJ222" s="4"/>
      <c r="AK222" s="4"/>
      <c r="AL222" s="45"/>
      <c r="AM222" s="4"/>
      <c r="AN222" s="4"/>
      <c r="AO222" s="4"/>
      <c r="AP222" s="4"/>
      <c r="AQ222" s="45"/>
      <c r="AR222" s="4"/>
      <c r="AS222" s="4"/>
      <c r="AT222" s="4"/>
      <c r="AU222" s="4"/>
      <c r="AV222" s="45"/>
      <c r="AW222" s="4"/>
      <c r="AX222" s="4"/>
      <c r="AY222" s="4"/>
      <c r="AZ222" s="4"/>
      <c r="BA222" s="45"/>
      <c r="BB222" s="4"/>
      <c r="BC222" s="4"/>
      <c r="BD222" s="4"/>
      <c r="BE222" s="4"/>
      <c r="BF222" s="45"/>
      <c r="BG222" s="4"/>
      <c r="BH222" s="4"/>
      <c r="BI222" s="4"/>
      <c r="BJ222" s="4"/>
      <c r="BK222" s="45"/>
      <c r="BL222" s="4"/>
      <c r="BM222" s="4"/>
      <c r="BN222" s="4"/>
      <c r="BO222" s="4"/>
      <c r="BP222" s="45"/>
      <c r="BQ222" s="4"/>
      <c r="BR222" s="4"/>
      <c r="BS222" s="4"/>
      <c r="BT222" s="4"/>
      <c r="BU222" s="45"/>
      <c r="BV222" s="4"/>
      <c r="BW222" s="4"/>
      <c r="BX222" s="4"/>
      <c r="BY222" s="4"/>
      <c r="BZ222" s="350"/>
      <c r="CA222" s="4"/>
      <c r="CB222" s="4"/>
      <c r="CC222" s="4"/>
      <c r="CD222" s="4"/>
      <c r="CE222" s="350"/>
      <c r="CF222" s="4"/>
      <c r="CG222" s="4"/>
      <c r="CH222" s="4"/>
      <c r="CI222" s="4"/>
      <c r="CJ222" s="350"/>
      <c r="CK222" s="4"/>
      <c r="CL222" s="4"/>
      <c r="CM222" s="4"/>
      <c r="CN222" s="16"/>
      <c r="CO222" s="350"/>
      <c r="CP222" s="104"/>
      <c r="CQ222" s="104"/>
      <c r="CR222" s="104"/>
      <c r="CS222" s="104"/>
      <c r="CT222" s="350"/>
      <c r="CU222" s="4"/>
      <c r="CV222" s="4"/>
      <c r="CW222" s="4"/>
      <c r="CX222" s="4"/>
      <c r="CY222" s="350"/>
      <c r="CZ222" s="4"/>
      <c r="DA222" s="4"/>
      <c r="DB222" s="4"/>
      <c r="DC222" s="4"/>
      <c r="DD222" s="350"/>
      <c r="DE222" s="4"/>
      <c r="DF222" s="4"/>
      <c r="DG222" s="4"/>
      <c r="DH222" s="4"/>
      <c r="DI222" s="350"/>
      <c r="DJ222" s="16"/>
      <c r="DK222" s="16"/>
      <c r="DL222" s="16"/>
      <c r="DM222" s="16"/>
      <c r="DN222" s="350"/>
      <c r="DO222" s="16"/>
      <c r="DP222" s="16"/>
      <c r="DQ222" s="16"/>
      <c r="DR222" s="16"/>
      <c r="DS222" s="37">
        <f>DS221/DS218</f>
        <v>0.361774744</v>
      </c>
      <c r="DT222" s="16"/>
      <c r="DU222" s="16"/>
      <c r="DV222" s="16"/>
      <c r="DW222" s="16"/>
      <c r="DX222" s="37">
        <f t="shared" ref="DX222:EI222" si="1416">DX221/DX218</f>
        <v>0.3340227508</v>
      </c>
      <c r="DY222" s="40">
        <f t="shared" si="1416"/>
        <v>0.4535809019</v>
      </c>
      <c r="DZ222" s="40">
        <f t="shared" si="1416"/>
        <v>0.4067278287</v>
      </c>
      <c r="EA222" s="40">
        <f t="shared" si="1416"/>
        <v>0.3895705521</v>
      </c>
      <c r="EB222" s="40">
        <f t="shared" si="1416"/>
        <v>0.345505618</v>
      </c>
      <c r="EC222" s="37">
        <f t="shared" si="1416"/>
        <v>0.3997113997</v>
      </c>
      <c r="ED222" s="40">
        <f t="shared" si="1416"/>
        <v>0.3756345178</v>
      </c>
      <c r="EE222" s="40">
        <f t="shared" si="1416"/>
        <v>0.4130434783</v>
      </c>
      <c r="EF222" s="40">
        <f t="shared" si="1416"/>
        <v>0.3155555556</v>
      </c>
      <c r="EG222" s="40">
        <f t="shared" si="1416"/>
        <v>0.3716814159</v>
      </c>
      <c r="EH222" s="37">
        <f t="shared" si="1416"/>
        <v>0.3691813804</v>
      </c>
      <c r="EI222" s="214">
        <f t="shared" si="1416"/>
        <v>0</v>
      </c>
      <c r="EJ222" s="16"/>
      <c r="EK222" s="4"/>
      <c r="EL222" s="4"/>
      <c r="EM222" s="37">
        <f t="shared" ref="EM222:EN222" si="1417">EM221/EM218</f>
        <v>0</v>
      </c>
      <c r="EN222" s="40">
        <f t="shared" si="1417"/>
        <v>0</v>
      </c>
      <c r="EO222" s="16"/>
      <c r="EP222" s="4"/>
      <c r="EQ222" s="4"/>
      <c r="ER222" s="37">
        <f t="shared" ref="ER222:ES222" si="1418">ER221/ER218</f>
        <v>0</v>
      </c>
      <c r="ES222" s="40">
        <f t="shared" si="1418"/>
        <v>0</v>
      </c>
      <c r="ET222" s="16"/>
      <c r="EU222" s="4"/>
      <c r="EV222" s="4"/>
      <c r="EW222" s="37">
        <f t="shared" ref="EW222:EX222" si="1419">EW221/EW218</f>
        <v>0</v>
      </c>
      <c r="EX222" s="40">
        <f t="shared" si="1419"/>
        <v>0</v>
      </c>
      <c r="EY222" s="16"/>
      <c r="EZ222" s="4"/>
      <c r="FA222" s="4"/>
      <c r="FB222" s="37">
        <f t="shared" ref="FB222:FC222" si="1420">FB221/FB218</f>
        <v>0</v>
      </c>
      <c r="FC222" s="40">
        <f t="shared" si="1420"/>
        <v>0</v>
      </c>
      <c r="FD222" s="16"/>
      <c r="FE222" s="4"/>
      <c r="FF222" s="4"/>
      <c r="FG222" s="37">
        <f>FG221/FG218</f>
        <v>0</v>
      </c>
      <c r="FH222" s="35"/>
      <c r="FI222" s="4"/>
      <c r="FJ222" s="4"/>
      <c r="FK222" s="45"/>
      <c r="FL222" s="4"/>
    </row>
    <row r="223" ht="12.75" customHeight="1">
      <c r="A223" s="4"/>
      <c r="B223" s="72"/>
      <c r="C223" s="45"/>
      <c r="D223" s="4"/>
      <c r="E223" s="4"/>
      <c r="F223" s="4"/>
      <c r="G223" s="4"/>
      <c r="H223" s="45"/>
      <c r="I223" s="4"/>
      <c r="J223" s="4"/>
      <c r="K223" s="4"/>
      <c r="L223" s="4"/>
      <c r="M223" s="45"/>
      <c r="N223" s="4"/>
      <c r="O223" s="4"/>
      <c r="P223" s="4"/>
      <c r="Q223" s="4"/>
      <c r="R223" s="45"/>
      <c r="S223" s="4"/>
      <c r="T223" s="4"/>
      <c r="U223" s="4"/>
      <c r="V223" s="4"/>
      <c r="W223" s="45"/>
      <c r="X223" s="4"/>
      <c r="Y223" s="4"/>
      <c r="Z223" s="4"/>
      <c r="AA223" s="4"/>
      <c r="AB223" s="45"/>
      <c r="AC223" s="4"/>
      <c r="AD223" s="4"/>
      <c r="AE223" s="4"/>
      <c r="AF223" s="4"/>
      <c r="AG223" s="45"/>
      <c r="AH223" s="4"/>
      <c r="AI223" s="4"/>
      <c r="AJ223" s="4"/>
      <c r="AK223" s="4"/>
      <c r="AL223" s="45"/>
      <c r="AM223" s="4"/>
      <c r="AN223" s="4"/>
      <c r="AO223" s="4"/>
      <c r="AP223" s="4"/>
      <c r="AQ223" s="45"/>
      <c r="AR223" s="4"/>
      <c r="AS223" s="4"/>
      <c r="AT223" s="4"/>
      <c r="AU223" s="4"/>
      <c r="AV223" s="45"/>
      <c r="AW223" s="4"/>
      <c r="AX223" s="4"/>
      <c r="AY223" s="4"/>
      <c r="AZ223" s="4"/>
      <c r="BA223" s="45"/>
      <c r="BB223" s="4"/>
      <c r="BC223" s="4"/>
      <c r="BD223" s="4"/>
      <c r="BE223" s="4"/>
      <c r="BF223" s="45"/>
      <c r="BG223" s="4"/>
      <c r="BH223" s="4"/>
      <c r="BI223" s="4"/>
      <c r="BJ223" s="4"/>
      <c r="BK223" s="45"/>
      <c r="BL223" s="4"/>
      <c r="BM223" s="4"/>
      <c r="BN223" s="4"/>
      <c r="BO223" s="4"/>
      <c r="BP223" s="45"/>
      <c r="BQ223" s="4"/>
      <c r="BR223" s="4"/>
      <c r="BS223" s="4"/>
      <c r="BT223" s="4"/>
      <c r="BU223" s="45"/>
      <c r="BV223" s="4"/>
      <c r="BW223" s="4"/>
      <c r="BX223" s="4"/>
      <c r="BY223" s="4"/>
      <c r="BZ223" s="350"/>
      <c r="CA223" s="4"/>
      <c r="CB223" s="4"/>
      <c r="CC223" s="4"/>
      <c r="CD223" s="4"/>
      <c r="CE223" s="350"/>
      <c r="CF223" s="4"/>
      <c r="CG223" s="4"/>
      <c r="CH223" s="4"/>
      <c r="CI223" s="4"/>
      <c r="CJ223" s="350"/>
      <c r="CK223" s="4"/>
      <c r="CL223" s="4"/>
      <c r="CM223" s="4"/>
      <c r="CN223" s="16"/>
      <c r="CO223" s="350"/>
      <c r="CP223" s="104"/>
      <c r="CQ223" s="104"/>
      <c r="CR223" s="104"/>
      <c r="CS223" s="104"/>
      <c r="CT223" s="350"/>
      <c r="CU223" s="4"/>
      <c r="CV223" s="4"/>
      <c r="CW223" s="4"/>
      <c r="CX223" s="4"/>
      <c r="CY223" s="350"/>
      <c r="CZ223" s="4"/>
      <c r="DA223" s="4"/>
      <c r="DB223" s="4"/>
      <c r="DC223" s="4"/>
      <c r="DD223" s="350"/>
      <c r="DE223" s="4"/>
      <c r="DF223" s="4"/>
      <c r="DG223" s="4"/>
      <c r="DH223" s="4"/>
      <c r="DI223" s="350"/>
      <c r="DJ223" s="16"/>
      <c r="DK223" s="16"/>
      <c r="DL223" s="16"/>
      <c r="DM223" s="16"/>
      <c r="DN223" s="350"/>
      <c r="DO223" s="16"/>
      <c r="DP223" s="16"/>
      <c r="DQ223" s="16"/>
      <c r="DR223" s="16"/>
      <c r="DS223" s="350"/>
      <c r="DT223" s="16"/>
      <c r="DU223" s="16"/>
      <c r="DV223" s="16"/>
      <c r="DW223" s="16"/>
      <c r="DX223" s="350"/>
      <c r="DY223" s="16"/>
      <c r="DZ223" s="16"/>
      <c r="EA223" s="16"/>
      <c r="EB223" s="16"/>
      <c r="EC223" s="350"/>
      <c r="ED223" s="16"/>
      <c r="EE223" s="16"/>
      <c r="EF223" s="16"/>
      <c r="EG223" s="16"/>
      <c r="EH223" s="350"/>
      <c r="EI223" s="214"/>
      <c r="EJ223" s="16"/>
      <c r="EK223" s="4"/>
      <c r="EL223" s="4"/>
      <c r="EM223" s="350"/>
      <c r="EN223" s="16"/>
      <c r="EO223" s="16"/>
      <c r="EP223" s="4"/>
      <c r="EQ223" s="4"/>
      <c r="ER223" s="350"/>
      <c r="ES223" s="16"/>
      <c r="ET223" s="16"/>
      <c r="EU223" s="4"/>
      <c r="EV223" s="4"/>
      <c r="EW223" s="350"/>
      <c r="EX223" s="16"/>
      <c r="EY223" s="16"/>
      <c r="EZ223" s="4"/>
      <c r="FA223" s="4"/>
      <c r="FB223" s="350"/>
      <c r="FC223" s="16"/>
      <c r="FD223" s="16"/>
      <c r="FE223" s="4"/>
      <c r="FF223" s="4"/>
      <c r="FG223" s="350"/>
      <c r="FH223" s="145"/>
      <c r="FI223" s="4"/>
      <c r="FJ223" s="4"/>
      <c r="FK223" s="45"/>
      <c r="FL223" s="4"/>
    </row>
    <row r="224" ht="12.75" customHeight="1">
      <c r="A224" s="4"/>
      <c r="B224" s="45" t="s">
        <v>175</v>
      </c>
      <c r="C224" s="45"/>
      <c r="D224" s="4"/>
      <c r="E224" s="4"/>
      <c r="F224" s="4"/>
      <c r="G224" s="4"/>
      <c r="H224" s="45"/>
      <c r="I224" s="4"/>
      <c r="J224" s="4"/>
      <c r="K224" s="4"/>
      <c r="L224" s="4"/>
      <c r="M224" s="45"/>
      <c r="N224" s="4"/>
      <c r="O224" s="4"/>
      <c r="P224" s="4"/>
      <c r="Q224" s="4"/>
      <c r="R224" s="45"/>
      <c r="S224" s="4"/>
      <c r="T224" s="4"/>
      <c r="U224" s="4"/>
      <c r="V224" s="4"/>
      <c r="W224" s="45"/>
      <c r="X224" s="4"/>
      <c r="Y224" s="4"/>
      <c r="Z224" s="4"/>
      <c r="AA224" s="4"/>
      <c r="AB224" s="45"/>
      <c r="AC224" s="4"/>
      <c r="AD224" s="4"/>
      <c r="AE224" s="4"/>
      <c r="AF224" s="4"/>
      <c r="AG224" s="45"/>
      <c r="AH224" s="4"/>
      <c r="AI224" s="4"/>
      <c r="AJ224" s="4"/>
      <c r="AK224" s="4"/>
      <c r="AL224" s="45"/>
      <c r="AM224" s="4"/>
      <c r="AN224" s="4"/>
      <c r="AO224" s="4"/>
      <c r="AP224" s="4"/>
      <c r="AQ224" s="45"/>
      <c r="AR224" s="4"/>
      <c r="AS224" s="4"/>
      <c r="AT224" s="4"/>
      <c r="AU224" s="4"/>
      <c r="AV224" s="45"/>
      <c r="AW224" s="4"/>
      <c r="AX224" s="4"/>
      <c r="AY224" s="4"/>
      <c r="AZ224" s="4"/>
      <c r="BA224" s="45"/>
      <c r="BB224" s="4"/>
      <c r="BC224" s="4"/>
      <c r="BD224" s="4"/>
      <c r="BE224" s="4"/>
      <c r="BF224" s="45"/>
      <c r="BG224" s="4"/>
      <c r="BH224" s="4"/>
      <c r="BI224" s="4"/>
      <c r="BJ224" s="4"/>
      <c r="BK224" s="45"/>
      <c r="BL224" s="4"/>
      <c r="BM224" s="4"/>
      <c r="BN224" s="4"/>
      <c r="BO224" s="4"/>
      <c r="BP224" s="45"/>
      <c r="BQ224" s="4"/>
      <c r="BR224" s="4"/>
      <c r="BS224" s="4"/>
      <c r="BT224" s="4"/>
      <c r="BU224" s="45"/>
      <c r="BV224" s="4"/>
      <c r="BW224" s="4"/>
      <c r="BX224" s="4"/>
      <c r="BY224" s="4"/>
      <c r="BZ224" s="350"/>
      <c r="CA224" s="4"/>
      <c r="CB224" s="4"/>
      <c r="CC224" s="4"/>
      <c r="CD224" s="4"/>
      <c r="CE224" s="350"/>
      <c r="CF224" s="4"/>
      <c r="CG224" s="4"/>
      <c r="CH224" s="4"/>
      <c r="CI224" s="4"/>
      <c r="CJ224" s="350"/>
      <c r="CK224" s="4"/>
      <c r="CL224" s="4"/>
      <c r="CM224" s="4"/>
      <c r="CN224" s="16"/>
      <c r="CO224" s="350"/>
      <c r="CP224" s="104"/>
      <c r="CQ224" s="104"/>
      <c r="CR224" s="104"/>
      <c r="CS224" s="104"/>
      <c r="CT224" s="350"/>
      <c r="CU224" s="4"/>
      <c r="CV224" s="4"/>
      <c r="CW224" s="4"/>
      <c r="CX224" s="4"/>
      <c r="CY224" s="350"/>
      <c r="CZ224" s="4"/>
      <c r="DA224" s="4"/>
      <c r="DB224" s="4"/>
      <c r="DC224" s="4"/>
      <c r="DD224" s="350"/>
      <c r="DE224" s="4"/>
      <c r="DF224" s="4"/>
      <c r="DG224" s="4"/>
      <c r="DH224" s="4"/>
      <c r="DI224" s="350"/>
      <c r="DJ224" s="16"/>
      <c r="DK224" s="16"/>
      <c r="DL224" s="16"/>
      <c r="DM224" s="16"/>
      <c r="DN224" s="350"/>
      <c r="DO224" s="16"/>
      <c r="DP224" s="16"/>
      <c r="DQ224" s="16"/>
      <c r="DR224" s="16"/>
      <c r="DS224" s="350"/>
      <c r="DT224" s="16"/>
      <c r="DU224" s="16"/>
      <c r="DV224" s="16"/>
      <c r="DW224" s="16"/>
      <c r="DX224" s="350"/>
      <c r="DY224" s="4"/>
      <c r="DZ224" s="4"/>
      <c r="EA224" s="4"/>
      <c r="EB224" s="4"/>
      <c r="EC224" s="350"/>
      <c r="ED224" s="4"/>
      <c r="EE224" s="4"/>
      <c r="EF224" s="4"/>
      <c r="EG224" s="4"/>
      <c r="EH224" s="350"/>
      <c r="EI224" s="214"/>
      <c r="EJ224" s="16"/>
      <c r="EK224" s="4"/>
      <c r="EL224" s="4"/>
      <c r="EM224" s="350"/>
      <c r="EN224" s="4"/>
      <c r="EO224" s="16"/>
      <c r="EP224" s="4"/>
      <c r="EQ224" s="4"/>
      <c r="ER224" s="350"/>
      <c r="ES224" s="4"/>
      <c r="ET224" s="16"/>
      <c r="EU224" s="4"/>
      <c r="EV224" s="4"/>
      <c r="EW224" s="350"/>
      <c r="EX224" s="4"/>
      <c r="EY224" s="16"/>
      <c r="EZ224" s="4"/>
      <c r="FA224" s="4"/>
      <c r="FB224" s="350"/>
      <c r="FC224" s="4"/>
      <c r="FD224" s="16"/>
      <c r="FE224" s="4"/>
      <c r="FF224" s="4"/>
      <c r="FG224" s="350"/>
      <c r="FH224" s="145"/>
      <c r="FI224" s="4"/>
      <c r="FJ224" s="4"/>
      <c r="FK224" s="45"/>
      <c r="FL224" s="4"/>
    </row>
    <row r="225" ht="12.75" customHeight="1">
      <c r="A225" s="4"/>
      <c r="B225" s="72" t="s">
        <v>144</v>
      </c>
      <c r="C225" s="45"/>
      <c r="D225" s="4"/>
      <c r="E225" s="4"/>
      <c r="F225" s="4"/>
      <c r="G225" s="4"/>
      <c r="H225" s="45"/>
      <c r="I225" s="4"/>
      <c r="J225" s="4"/>
      <c r="K225" s="4"/>
      <c r="L225" s="4"/>
      <c r="M225" s="45"/>
      <c r="N225" s="4"/>
      <c r="O225" s="4"/>
      <c r="P225" s="4"/>
      <c r="Q225" s="4"/>
      <c r="R225" s="45"/>
      <c r="S225" s="4"/>
      <c r="T225" s="4"/>
      <c r="U225" s="4"/>
      <c r="V225" s="4"/>
      <c r="W225" s="45"/>
      <c r="X225" s="4"/>
      <c r="Y225" s="4"/>
      <c r="Z225" s="4"/>
      <c r="AA225" s="4"/>
      <c r="AB225" s="45"/>
      <c r="AC225" s="4"/>
      <c r="AD225" s="4"/>
      <c r="AE225" s="4"/>
      <c r="AF225" s="4"/>
      <c r="AG225" s="45"/>
      <c r="AH225" s="4"/>
      <c r="AI225" s="4"/>
      <c r="AJ225" s="4"/>
      <c r="AK225" s="4"/>
      <c r="AL225" s="45"/>
      <c r="AM225" s="4"/>
      <c r="AN225" s="4"/>
      <c r="AO225" s="4"/>
      <c r="AP225" s="4"/>
      <c r="AQ225" s="45"/>
      <c r="AR225" s="4"/>
      <c r="AS225" s="4"/>
      <c r="AT225" s="4"/>
      <c r="AU225" s="4"/>
      <c r="AV225" s="45"/>
      <c r="AW225" s="4"/>
      <c r="AX225" s="4"/>
      <c r="AY225" s="4"/>
      <c r="AZ225" s="4"/>
      <c r="BA225" s="45"/>
      <c r="BB225" s="4"/>
      <c r="BC225" s="4"/>
      <c r="BD225" s="4"/>
      <c r="BE225" s="4"/>
      <c r="BF225" s="45"/>
      <c r="BG225" s="4"/>
      <c r="BH225" s="4"/>
      <c r="BI225" s="4"/>
      <c r="BJ225" s="4"/>
      <c r="BK225" s="45"/>
      <c r="BL225" s="4"/>
      <c r="BM225" s="4"/>
      <c r="BN225" s="4"/>
      <c r="BO225" s="4"/>
      <c r="BP225" s="45"/>
      <c r="BQ225" s="4"/>
      <c r="BR225" s="4"/>
      <c r="BS225" s="4"/>
      <c r="BT225" s="4"/>
      <c r="BU225" s="45"/>
      <c r="BV225" s="4"/>
      <c r="BW225" s="4"/>
      <c r="BX225" s="4"/>
      <c r="BY225" s="4"/>
      <c r="BZ225" s="350"/>
      <c r="CA225" s="4"/>
      <c r="CB225" s="4"/>
      <c r="CC225" s="4"/>
      <c r="CD225" s="4"/>
      <c r="CE225" s="350"/>
      <c r="CF225" s="4"/>
      <c r="CG225" s="4"/>
      <c r="CH225" s="4"/>
      <c r="CI225" s="4"/>
      <c r="CJ225" s="350"/>
      <c r="CK225" s="4"/>
      <c r="CL225" s="4"/>
      <c r="CM225" s="4"/>
      <c r="CN225" s="16"/>
      <c r="CO225" s="350"/>
      <c r="CP225" s="104"/>
      <c r="CQ225" s="104"/>
      <c r="CR225" s="104"/>
      <c r="CS225" s="104"/>
      <c r="CT225" s="350"/>
      <c r="CU225" s="4"/>
      <c r="CV225" s="4"/>
      <c r="CW225" s="4"/>
      <c r="CX225" s="4"/>
      <c r="CY225" s="350"/>
      <c r="CZ225" s="4"/>
      <c r="DA225" s="4"/>
      <c r="DB225" s="4"/>
      <c r="DC225" s="4"/>
      <c r="DD225" s="350"/>
      <c r="DE225" s="4"/>
      <c r="DF225" s="4"/>
      <c r="DG225" s="4"/>
      <c r="DH225" s="4"/>
      <c r="DI225" s="350"/>
      <c r="DJ225" s="16"/>
      <c r="DK225" s="16"/>
      <c r="DL225" s="16"/>
      <c r="DM225" s="16"/>
      <c r="DN225" s="350"/>
      <c r="DO225" s="16"/>
      <c r="DP225" s="16"/>
      <c r="DQ225" s="16"/>
      <c r="DR225" s="16"/>
      <c r="DS225" s="356">
        <v>461.0</v>
      </c>
      <c r="DT225" s="16"/>
      <c r="DU225" s="16"/>
      <c r="DV225" s="16"/>
      <c r="DW225" s="16"/>
      <c r="DX225" s="356">
        <v>715.0</v>
      </c>
      <c r="DY225" s="357">
        <v>103.0</v>
      </c>
      <c r="DZ225" s="357">
        <v>264.0</v>
      </c>
      <c r="EA225" s="357">
        <v>174.0</v>
      </c>
      <c r="EB225" s="357">
        <v>245.0</v>
      </c>
      <c r="EC225" s="356">
        <v>786.0</v>
      </c>
      <c r="ED225" s="357">
        <v>283.0</v>
      </c>
      <c r="EE225" s="357">
        <v>122.0</v>
      </c>
      <c r="EF225" s="357">
        <v>171.0</v>
      </c>
      <c r="EG225" s="357">
        <v>319.0</v>
      </c>
      <c r="EH225" s="356">
        <f>SUM(ED225:EG225)</f>
        <v>895</v>
      </c>
      <c r="EI225" s="358">
        <f>EG225*(1+EI226)</f>
        <v>223.3</v>
      </c>
      <c r="EJ225" s="357">
        <f t="shared" ref="EJ225:EL225" si="1421">EI225*(1+EJ226)</f>
        <v>223.3</v>
      </c>
      <c r="EK225" s="357">
        <f t="shared" si="1421"/>
        <v>245.63</v>
      </c>
      <c r="EL225" s="357">
        <f t="shared" si="1421"/>
        <v>282.4745</v>
      </c>
      <c r="EM225" s="356">
        <f>SUM(EI225:EL225)</f>
        <v>974.7045</v>
      </c>
      <c r="EN225" s="357">
        <f>EL225*(1+EN226)</f>
        <v>290.948735</v>
      </c>
      <c r="EO225" s="357">
        <f t="shared" ref="EO225:EQ225" si="1422">EN225*(1+EO226)</f>
        <v>299.6771971</v>
      </c>
      <c r="EP225" s="357">
        <f t="shared" si="1422"/>
        <v>308.667513</v>
      </c>
      <c r="EQ225" s="357">
        <f t="shared" si="1422"/>
        <v>317.9275384</v>
      </c>
      <c r="ER225" s="356">
        <f>SUM(EN225:EQ225)</f>
        <v>1217.220983</v>
      </c>
      <c r="ES225" s="357">
        <f>EQ225*(1+ES226)</f>
        <v>349.7202922</v>
      </c>
      <c r="ET225" s="357">
        <f t="shared" ref="ET225:EV225" si="1423">ES225*(1+ET226)</f>
        <v>402.178336</v>
      </c>
      <c r="EU225" s="357">
        <f t="shared" si="1423"/>
        <v>482.6140032</v>
      </c>
      <c r="EV225" s="357">
        <f t="shared" si="1423"/>
        <v>579.1368039</v>
      </c>
      <c r="EW225" s="356">
        <f>SUM(ES225:EV225)</f>
        <v>1813.649435</v>
      </c>
      <c r="EX225" s="357">
        <f>EV225*(1+EX226)</f>
        <v>694.9641646</v>
      </c>
      <c r="EY225" s="357">
        <f t="shared" ref="EY225:FA225" si="1424">EX225*(1+EY226)</f>
        <v>833.9569976</v>
      </c>
      <c r="EZ225" s="357">
        <f t="shared" si="1424"/>
        <v>1000.748397</v>
      </c>
      <c r="FA225" s="357">
        <f t="shared" si="1424"/>
        <v>1200.898076</v>
      </c>
      <c r="FB225" s="356">
        <f>SUM(EX225:FA225)</f>
        <v>3730.567636</v>
      </c>
      <c r="FC225" s="357">
        <f>FA225*(1+FC226)</f>
        <v>1441.077692</v>
      </c>
      <c r="FD225" s="357">
        <f t="shared" ref="FD225:FF225" si="1425">FC225*(1+FD226)</f>
        <v>1729.29323</v>
      </c>
      <c r="FE225" s="357">
        <f t="shared" si="1425"/>
        <v>2075.151876</v>
      </c>
      <c r="FF225" s="357">
        <f t="shared" si="1425"/>
        <v>2490.182251</v>
      </c>
      <c r="FG225" s="356">
        <f>SUM(FC225:FF225)</f>
        <v>7735.705049</v>
      </c>
      <c r="FH225" s="359"/>
      <c r="FI225" s="4"/>
      <c r="FJ225" s="4"/>
      <c r="FK225" s="45"/>
      <c r="FL225" s="4"/>
    </row>
    <row r="226" ht="12.75" customHeight="1">
      <c r="A226" s="4"/>
      <c r="B226" s="72" t="s">
        <v>145</v>
      </c>
      <c r="C226" s="45"/>
      <c r="D226" s="4"/>
      <c r="E226" s="4"/>
      <c r="F226" s="4"/>
      <c r="G226" s="4"/>
      <c r="H226" s="45"/>
      <c r="I226" s="4"/>
      <c r="J226" s="4"/>
      <c r="K226" s="4"/>
      <c r="L226" s="4"/>
      <c r="M226" s="45"/>
      <c r="N226" s="4"/>
      <c r="O226" s="4"/>
      <c r="P226" s="4"/>
      <c r="Q226" s="4"/>
      <c r="R226" s="45"/>
      <c r="S226" s="4"/>
      <c r="T226" s="4"/>
      <c r="U226" s="4"/>
      <c r="V226" s="4"/>
      <c r="W226" s="45"/>
      <c r="X226" s="4"/>
      <c r="Y226" s="4"/>
      <c r="Z226" s="4"/>
      <c r="AA226" s="4"/>
      <c r="AB226" s="45"/>
      <c r="AC226" s="4"/>
      <c r="AD226" s="4"/>
      <c r="AE226" s="4"/>
      <c r="AF226" s="4"/>
      <c r="AG226" s="45"/>
      <c r="AH226" s="4"/>
      <c r="AI226" s="4"/>
      <c r="AJ226" s="4"/>
      <c r="AK226" s="4"/>
      <c r="AL226" s="45"/>
      <c r="AM226" s="4"/>
      <c r="AN226" s="4"/>
      <c r="AO226" s="4"/>
      <c r="AP226" s="4"/>
      <c r="AQ226" s="45"/>
      <c r="AR226" s="4"/>
      <c r="AS226" s="4"/>
      <c r="AT226" s="4"/>
      <c r="AU226" s="4"/>
      <c r="AV226" s="45"/>
      <c r="AW226" s="4"/>
      <c r="AX226" s="4"/>
      <c r="AY226" s="4"/>
      <c r="AZ226" s="4"/>
      <c r="BA226" s="45"/>
      <c r="BB226" s="4"/>
      <c r="BC226" s="4"/>
      <c r="BD226" s="4"/>
      <c r="BE226" s="4"/>
      <c r="BF226" s="45"/>
      <c r="BG226" s="4"/>
      <c r="BH226" s="4"/>
      <c r="BI226" s="4"/>
      <c r="BJ226" s="4"/>
      <c r="BK226" s="45"/>
      <c r="BL226" s="4"/>
      <c r="BM226" s="4"/>
      <c r="BN226" s="4"/>
      <c r="BO226" s="4"/>
      <c r="BP226" s="45"/>
      <c r="BQ226" s="4"/>
      <c r="BR226" s="4"/>
      <c r="BS226" s="4"/>
      <c r="BT226" s="4"/>
      <c r="BU226" s="45"/>
      <c r="BV226" s="4"/>
      <c r="BW226" s="4"/>
      <c r="BX226" s="4"/>
      <c r="BY226" s="4"/>
      <c r="BZ226" s="350"/>
      <c r="CA226" s="4"/>
      <c r="CB226" s="4"/>
      <c r="CC226" s="4"/>
      <c r="CD226" s="4"/>
      <c r="CE226" s="350"/>
      <c r="CF226" s="4"/>
      <c r="CG226" s="4"/>
      <c r="CH226" s="4"/>
      <c r="CI226" s="4"/>
      <c r="CJ226" s="350"/>
      <c r="CK226" s="4"/>
      <c r="CL226" s="4"/>
      <c r="CM226" s="4"/>
      <c r="CN226" s="16"/>
      <c r="CO226" s="350"/>
      <c r="CP226" s="104"/>
      <c r="CQ226" s="104"/>
      <c r="CR226" s="104"/>
      <c r="CS226" s="104"/>
      <c r="CT226" s="350"/>
      <c r="CU226" s="4"/>
      <c r="CV226" s="4"/>
      <c r="CW226" s="4"/>
      <c r="CX226" s="4"/>
      <c r="CY226" s="350"/>
      <c r="CZ226" s="4"/>
      <c r="DA226" s="4"/>
      <c r="DB226" s="4"/>
      <c r="DC226" s="4"/>
      <c r="DD226" s="350"/>
      <c r="DE226" s="4"/>
      <c r="DF226" s="4"/>
      <c r="DG226" s="4"/>
      <c r="DH226" s="4"/>
      <c r="DI226" s="350"/>
      <c r="DJ226" s="16"/>
      <c r="DK226" s="16"/>
      <c r="DL226" s="16"/>
      <c r="DM226" s="16"/>
      <c r="DN226" s="350"/>
      <c r="DO226" s="16"/>
      <c r="DP226" s="16"/>
      <c r="DQ226" s="16"/>
      <c r="DR226" s="16"/>
      <c r="DS226" s="350"/>
      <c r="DT226" s="16"/>
      <c r="DU226" s="16"/>
      <c r="DV226" s="16"/>
      <c r="DW226" s="16"/>
      <c r="DX226" s="350"/>
      <c r="DY226" s="16"/>
      <c r="DZ226" s="321">
        <f t="shared" ref="DZ226:EB226" si="1426">DZ225/DY225-1</f>
        <v>1.563106796</v>
      </c>
      <c r="EA226" s="321">
        <f t="shared" si="1426"/>
        <v>-0.3409090909</v>
      </c>
      <c r="EB226" s="321">
        <f t="shared" si="1426"/>
        <v>0.408045977</v>
      </c>
      <c r="EC226" s="350"/>
      <c r="ED226" s="321">
        <f>ED225/EB225-1</f>
        <v>0.1551020408</v>
      </c>
      <c r="EE226" s="321">
        <f t="shared" ref="EE226:EG226" si="1427">EE225/ED225-1</f>
        <v>-0.5689045936</v>
      </c>
      <c r="EF226" s="321">
        <f t="shared" si="1427"/>
        <v>0.4016393443</v>
      </c>
      <c r="EG226" s="321">
        <f t="shared" si="1427"/>
        <v>0.865497076</v>
      </c>
      <c r="EH226" s="350"/>
      <c r="EI226" s="381">
        <v>-0.3</v>
      </c>
      <c r="EJ226" s="382">
        <v>0.0</v>
      </c>
      <c r="EK226" s="382">
        <v>0.1</v>
      </c>
      <c r="EL226" s="382">
        <v>0.15</v>
      </c>
      <c r="EM226" s="350"/>
      <c r="EN226" s="382">
        <v>0.03</v>
      </c>
      <c r="EO226" s="382">
        <v>0.03</v>
      </c>
      <c r="EP226" s="382">
        <v>0.03</v>
      </c>
      <c r="EQ226" s="382">
        <v>0.03</v>
      </c>
      <c r="ER226" s="350"/>
      <c r="ES226" s="382">
        <v>0.1</v>
      </c>
      <c r="ET226" s="382">
        <v>0.15</v>
      </c>
      <c r="EU226" s="382">
        <v>0.2</v>
      </c>
      <c r="EV226" s="382">
        <v>0.2</v>
      </c>
      <c r="EW226" s="350"/>
      <c r="EX226" s="382">
        <v>0.2</v>
      </c>
      <c r="EY226" s="382">
        <v>0.2</v>
      </c>
      <c r="EZ226" s="382">
        <v>0.2</v>
      </c>
      <c r="FA226" s="382">
        <v>0.2</v>
      </c>
      <c r="FB226" s="350"/>
      <c r="FC226" s="382">
        <v>0.2</v>
      </c>
      <c r="FD226" s="382">
        <v>0.2</v>
      </c>
      <c r="FE226" s="382">
        <v>0.2</v>
      </c>
      <c r="FF226" s="382">
        <v>0.2</v>
      </c>
      <c r="FG226" s="350"/>
      <c r="FH226" s="145"/>
      <c r="FI226" s="4"/>
      <c r="FJ226" s="4"/>
      <c r="FK226" s="45"/>
      <c r="FL226" s="4"/>
    </row>
    <row r="227" ht="12.75" customHeight="1">
      <c r="A227" s="4"/>
      <c r="B227" s="72" t="s">
        <v>146</v>
      </c>
      <c r="C227" s="45"/>
      <c r="D227" s="4"/>
      <c r="E227" s="4"/>
      <c r="F227" s="4"/>
      <c r="G227" s="4"/>
      <c r="H227" s="45"/>
      <c r="I227" s="4"/>
      <c r="J227" s="4"/>
      <c r="K227" s="4"/>
      <c r="L227" s="4"/>
      <c r="M227" s="45"/>
      <c r="N227" s="4"/>
      <c r="O227" s="4"/>
      <c r="P227" s="4"/>
      <c r="Q227" s="4"/>
      <c r="R227" s="45"/>
      <c r="S227" s="4"/>
      <c r="T227" s="4"/>
      <c r="U227" s="4"/>
      <c r="V227" s="4"/>
      <c r="W227" s="45"/>
      <c r="X227" s="4"/>
      <c r="Y227" s="4"/>
      <c r="Z227" s="4"/>
      <c r="AA227" s="4"/>
      <c r="AB227" s="45"/>
      <c r="AC227" s="4"/>
      <c r="AD227" s="4"/>
      <c r="AE227" s="4"/>
      <c r="AF227" s="4"/>
      <c r="AG227" s="45"/>
      <c r="AH227" s="4"/>
      <c r="AI227" s="4"/>
      <c r="AJ227" s="4"/>
      <c r="AK227" s="4"/>
      <c r="AL227" s="45"/>
      <c r="AM227" s="4"/>
      <c r="AN227" s="4"/>
      <c r="AO227" s="4"/>
      <c r="AP227" s="4"/>
      <c r="AQ227" s="45"/>
      <c r="AR227" s="4"/>
      <c r="AS227" s="4"/>
      <c r="AT227" s="4"/>
      <c r="AU227" s="4"/>
      <c r="AV227" s="45"/>
      <c r="AW227" s="4"/>
      <c r="AX227" s="4"/>
      <c r="AY227" s="4"/>
      <c r="AZ227" s="4"/>
      <c r="BA227" s="45"/>
      <c r="BB227" s="4"/>
      <c r="BC227" s="4"/>
      <c r="BD227" s="4"/>
      <c r="BE227" s="4"/>
      <c r="BF227" s="45"/>
      <c r="BG227" s="4"/>
      <c r="BH227" s="4"/>
      <c r="BI227" s="4"/>
      <c r="BJ227" s="4"/>
      <c r="BK227" s="45"/>
      <c r="BL227" s="4"/>
      <c r="BM227" s="4"/>
      <c r="BN227" s="4"/>
      <c r="BO227" s="4"/>
      <c r="BP227" s="45"/>
      <c r="BQ227" s="4"/>
      <c r="BR227" s="4"/>
      <c r="BS227" s="4"/>
      <c r="BT227" s="4"/>
      <c r="BU227" s="45"/>
      <c r="BV227" s="4"/>
      <c r="BW227" s="4"/>
      <c r="BX227" s="4"/>
      <c r="BY227" s="4"/>
      <c r="BZ227" s="350"/>
      <c r="CA227" s="4"/>
      <c r="CB227" s="4"/>
      <c r="CC227" s="4"/>
      <c r="CD227" s="4"/>
      <c r="CE227" s="350"/>
      <c r="CF227" s="4"/>
      <c r="CG227" s="4"/>
      <c r="CH227" s="4"/>
      <c r="CI227" s="4"/>
      <c r="CJ227" s="350"/>
      <c r="CK227" s="4"/>
      <c r="CL227" s="4"/>
      <c r="CM227" s="4"/>
      <c r="CN227" s="16"/>
      <c r="CO227" s="350"/>
      <c r="CP227" s="104"/>
      <c r="CQ227" s="104"/>
      <c r="CR227" s="104"/>
      <c r="CS227" s="104"/>
      <c r="CT227" s="350"/>
      <c r="CU227" s="4"/>
      <c r="CV227" s="4"/>
      <c r="CW227" s="4"/>
      <c r="CX227" s="4"/>
      <c r="CY227" s="350"/>
      <c r="CZ227" s="4"/>
      <c r="DA227" s="4"/>
      <c r="DB227" s="4"/>
      <c r="DC227" s="4"/>
      <c r="DD227" s="350"/>
      <c r="DE227" s="4"/>
      <c r="DF227" s="4"/>
      <c r="DG227" s="4"/>
      <c r="DH227" s="4"/>
      <c r="DI227" s="350"/>
      <c r="DJ227" s="16"/>
      <c r="DK227" s="16"/>
      <c r="DL227" s="16"/>
      <c r="DM227" s="16"/>
      <c r="DN227" s="350"/>
      <c r="DO227" s="16"/>
      <c r="DP227" s="16"/>
      <c r="DQ227" s="16"/>
      <c r="DR227" s="16"/>
      <c r="DS227" s="342"/>
      <c r="DT227" s="16"/>
      <c r="DU227" s="16"/>
      <c r="DV227" s="16"/>
      <c r="DW227" s="16"/>
      <c r="DX227" s="342">
        <f>DX225/DS225-1</f>
        <v>0.5509761388</v>
      </c>
      <c r="DY227" s="16"/>
      <c r="DZ227" s="16"/>
      <c r="EA227" s="16"/>
      <c r="EB227" s="16"/>
      <c r="EC227" s="342">
        <f t="shared" ref="EC227:FG227" si="1428">EC225/DX225-1</f>
        <v>0.0993006993</v>
      </c>
      <c r="ED227" s="321">
        <f t="shared" si="1428"/>
        <v>1.747572816</v>
      </c>
      <c r="EE227" s="321">
        <f t="shared" si="1428"/>
        <v>-0.5378787879</v>
      </c>
      <c r="EF227" s="321">
        <f t="shared" si="1428"/>
        <v>-0.01724137931</v>
      </c>
      <c r="EG227" s="321">
        <f t="shared" si="1428"/>
        <v>0.3020408163</v>
      </c>
      <c r="EH227" s="342">
        <f t="shared" si="1428"/>
        <v>0.1386768448</v>
      </c>
      <c r="EI227" s="322">
        <f t="shared" si="1428"/>
        <v>-0.2109540636</v>
      </c>
      <c r="EJ227" s="321">
        <f t="shared" si="1428"/>
        <v>0.8303278689</v>
      </c>
      <c r="EK227" s="321">
        <f t="shared" si="1428"/>
        <v>0.4364327485</v>
      </c>
      <c r="EL227" s="321">
        <f t="shared" si="1428"/>
        <v>-0.1145</v>
      </c>
      <c r="EM227" s="342">
        <f t="shared" si="1428"/>
        <v>0.08905530726</v>
      </c>
      <c r="EN227" s="321">
        <f t="shared" si="1428"/>
        <v>0.30295</v>
      </c>
      <c r="EO227" s="321">
        <f t="shared" si="1428"/>
        <v>0.3420385</v>
      </c>
      <c r="EP227" s="321">
        <f t="shared" si="1428"/>
        <v>0.25663605</v>
      </c>
      <c r="EQ227" s="321">
        <f t="shared" si="1428"/>
        <v>0.12550881</v>
      </c>
      <c r="ER227" s="342">
        <f t="shared" si="1428"/>
        <v>0.2488102634</v>
      </c>
      <c r="ES227" s="321">
        <f t="shared" si="1428"/>
        <v>0.2019997</v>
      </c>
      <c r="ET227" s="321">
        <f t="shared" si="1428"/>
        <v>0.3420385</v>
      </c>
      <c r="EU227" s="321">
        <f t="shared" si="1428"/>
        <v>0.56354</v>
      </c>
      <c r="EV227" s="321">
        <f t="shared" si="1428"/>
        <v>0.8216</v>
      </c>
      <c r="EW227" s="342">
        <f t="shared" si="1428"/>
        <v>0.4899919243</v>
      </c>
      <c r="EX227" s="321">
        <f t="shared" si="1428"/>
        <v>0.9872</v>
      </c>
      <c r="EY227" s="321">
        <f t="shared" si="1428"/>
        <v>1.0736</v>
      </c>
      <c r="EZ227" s="321">
        <f t="shared" si="1428"/>
        <v>1.0736</v>
      </c>
      <c r="FA227" s="321">
        <f t="shared" si="1428"/>
        <v>1.0736</v>
      </c>
      <c r="FB227" s="342">
        <f t="shared" si="1428"/>
        <v>1.056939761</v>
      </c>
      <c r="FC227" s="321">
        <f t="shared" si="1428"/>
        <v>1.0736</v>
      </c>
      <c r="FD227" s="321">
        <f t="shared" si="1428"/>
        <v>1.0736</v>
      </c>
      <c r="FE227" s="321">
        <f t="shared" si="1428"/>
        <v>1.0736</v>
      </c>
      <c r="FF227" s="321">
        <f t="shared" si="1428"/>
        <v>1.0736</v>
      </c>
      <c r="FG227" s="342">
        <f t="shared" si="1428"/>
        <v>1.0736</v>
      </c>
      <c r="FH227" s="343"/>
      <c r="FI227" s="4"/>
      <c r="FJ227" s="4"/>
      <c r="FK227" s="45"/>
      <c r="FL227" s="4"/>
    </row>
    <row r="228" ht="12.75" customHeight="1">
      <c r="A228" s="4"/>
      <c r="B228" s="72" t="s">
        <v>163</v>
      </c>
      <c r="C228" s="45"/>
      <c r="D228" s="4"/>
      <c r="E228" s="4"/>
      <c r="F228" s="4"/>
      <c r="G228" s="4"/>
      <c r="H228" s="45"/>
      <c r="I228" s="4"/>
      <c r="J228" s="4"/>
      <c r="K228" s="4"/>
      <c r="L228" s="4"/>
      <c r="M228" s="45"/>
      <c r="N228" s="4"/>
      <c r="O228" s="4"/>
      <c r="P228" s="4"/>
      <c r="Q228" s="4"/>
      <c r="R228" s="45"/>
      <c r="S228" s="4"/>
      <c r="T228" s="4"/>
      <c r="U228" s="4"/>
      <c r="V228" s="4"/>
      <c r="W228" s="45"/>
      <c r="X228" s="4"/>
      <c r="Y228" s="4"/>
      <c r="Z228" s="4"/>
      <c r="AA228" s="4"/>
      <c r="AB228" s="45"/>
      <c r="AC228" s="4"/>
      <c r="AD228" s="4"/>
      <c r="AE228" s="4"/>
      <c r="AF228" s="4"/>
      <c r="AG228" s="45"/>
      <c r="AH228" s="4"/>
      <c r="AI228" s="4"/>
      <c r="AJ228" s="4"/>
      <c r="AK228" s="4"/>
      <c r="AL228" s="45"/>
      <c r="AM228" s="4"/>
      <c r="AN228" s="4"/>
      <c r="AO228" s="4"/>
      <c r="AP228" s="4"/>
      <c r="AQ228" s="45"/>
      <c r="AR228" s="4"/>
      <c r="AS228" s="4"/>
      <c r="AT228" s="4"/>
      <c r="AU228" s="4"/>
      <c r="AV228" s="45"/>
      <c r="AW228" s="4"/>
      <c r="AX228" s="4"/>
      <c r="AY228" s="4"/>
      <c r="AZ228" s="4"/>
      <c r="BA228" s="45"/>
      <c r="BB228" s="4"/>
      <c r="BC228" s="4"/>
      <c r="BD228" s="4"/>
      <c r="BE228" s="4"/>
      <c r="BF228" s="45"/>
      <c r="BG228" s="4"/>
      <c r="BH228" s="4"/>
      <c r="BI228" s="4"/>
      <c r="BJ228" s="4"/>
      <c r="BK228" s="45"/>
      <c r="BL228" s="4"/>
      <c r="BM228" s="4"/>
      <c r="BN228" s="4"/>
      <c r="BO228" s="4"/>
      <c r="BP228" s="45"/>
      <c r="BQ228" s="4"/>
      <c r="BR228" s="4"/>
      <c r="BS228" s="4"/>
      <c r="BT228" s="4"/>
      <c r="BU228" s="45"/>
      <c r="BV228" s="4"/>
      <c r="BW228" s="4"/>
      <c r="BX228" s="4"/>
      <c r="BY228" s="4"/>
      <c r="BZ228" s="350"/>
      <c r="CA228" s="4"/>
      <c r="CB228" s="4"/>
      <c r="CC228" s="4"/>
      <c r="CD228" s="4"/>
      <c r="CE228" s="350"/>
      <c r="CF228" s="4"/>
      <c r="CG228" s="4"/>
      <c r="CH228" s="4"/>
      <c r="CI228" s="4"/>
      <c r="CJ228" s="350"/>
      <c r="CK228" s="4"/>
      <c r="CL228" s="4"/>
      <c r="CM228" s="4"/>
      <c r="CN228" s="16"/>
      <c r="CO228" s="350"/>
      <c r="CP228" s="104"/>
      <c r="CQ228" s="104"/>
      <c r="CR228" s="104"/>
      <c r="CS228" s="104"/>
      <c r="CT228" s="350"/>
      <c r="CU228" s="4"/>
      <c r="CV228" s="4"/>
      <c r="CW228" s="4"/>
      <c r="CX228" s="4"/>
      <c r="CY228" s="350"/>
      <c r="CZ228" s="4"/>
      <c r="DA228" s="4"/>
      <c r="DB228" s="4"/>
      <c r="DC228" s="4"/>
      <c r="DD228" s="350"/>
      <c r="DE228" s="4"/>
      <c r="DF228" s="4"/>
      <c r="DG228" s="4"/>
      <c r="DH228" s="4"/>
      <c r="DI228" s="350"/>
      <c r="DJ228" s="16"/>
      <c r="DK228" s="16"/>
      <c r="DL228" s="16"/>
      <c r="DM228" s="16"/>
      <c r="DN228" s="350"/>
      <c r="DO228" s="16"/>
      <c r="DP228" s="16"/>
      <c r="DQ228" s="16"/>
      <c r="DR228" s="16"/>
      <c r="DS228" s="356">
        <v>-213.0</v>
      </c>
      <c r="DT228" s="16"/>
      <c r="DU228" s="16"/>
      <c r="DV228" s="16"/>
      <c r="DW228" s="16"/>
      <c r="DX228" s="356">
        <v>45.0</v>
      </c>
      <c r="DY228" s="357">
        <v>-34.0</v>
      </c>
      <c r="DZ228" s="357">
        <v>52.0</v>
      </c>
      <c r="EA228" s="357">
        <v>-44.0</v>
      </c>
      <c r="EB228" s="357">
        <v>3.0</v>
      </c>
      <c r="EC228" s="356">
        <f>SUM(DY228:EB228)</f>
        <v>-23</v>
      </c>
      <c r="ED228" s="357">
        <v>-31.0</v>
      </c>
      <c r="EE228" s="357">
        <v>-155.0</v>
      </c>
      <c r="EF228" s="357">
        <v>-103.0</v>
      </c>
      <c r="EG228" s="357">
        <v>-31.0</v>
      </c>
      <c r="EH228" s="356">
        <f>SUM(ED228:EG228)</f>
        <v>-320</v>
      </c>
      <c r="EI228" s="214">
        <v>0.0</v>
      </c>
      <c r="EJ228" s="16"/>
      <c r="EK228" s="4"/>
      <c r="EL228" s="4"/>
      <c r="EM228" s="356">
        <f>SUM(EI228:EL228)</f>
        <v>0</v>
      </c>
      <c r="EN228" s="357">
        <v>0.0</v>
      </c>
      <c r="EO228" s="16"/>
      <c r="EP228" s="4"/>
      <c r="EQ228" s="4"/>
      <c r="ER228" s="356">
        <f>SUM(EN228:EQ228)</f>
        <v>0</v>
      </c>
      <c r="ES228" s="357">
        <v>0.0</v>
      </c>
      <c r="ET228" s="16"/>
      <c r="EU228" s="4"/>
      <c r="EV228" s="4"/>
      <c r="EW228" s="356">
        <f>SUM(ES228:EV228)</f>
        <v>0</v>
      </c>
      <c r="EX228" s="357">
        <v>0.0</v>
      </c>
      <c r="EY228" s="16"/>
      <c r="EZ228" s="4"/>
      <c r="FA228" s="4"/>
      <c r="FB228" s="356">
        <f>SUM(EX228:FA228)</f>
        <v>0</v>
      </c>
      <c r="FC228" s="357">
        <v>0.0</v>
      </c>
      <c r="FD228" s="16"/>
      <c r="FE228" s="4"/>
      <c r="FF228" s="4"/>
      <c r="FG228" s="356">
        <f>SUM(FC228:FF228)</f>
        <v>0</v>
      </c>
      <c r="FH228" s="359"/>
      <c r="FI228" s="4"/>
      <c r="FJ228" s="4"/>
      <c r="FK228" s="45"/>
      <c r="FL228" s="4"/>
    </row>
    <row r="229" ht="12.75" customHeight="1">
      <c r="A229" s="4"/>
      <c r="B229" s="72" t="s">
        <v>164</v>
      </c>
      <c r="C229" s="45"/>
      <c r="D229" s="4"/>
      <c r="E229" s="4"/>
      <c r="F229" s="4"/>
      <c r="G229" s="4"/>
      <c r="H229" s="45"/>
      <c r="I229" s="4"/>
      <c r="J229" s="4"/>
      <c r="K229" s="4"/>
      <c r="L229" s="4"/>
      <c r="M229" s="45"/>
      <c r="N229" s="4"/>
      <c r="O229" s="4"/>
      <c r="P229" s="4"/>
      <c r="Q229" s="4"/>
      <c r="R229" s="45"/>
      <c r="S229" s="4"/>
      <c r="T229" s="4"/>
      <c r="U229" s="4"/>
      <c r="V229" s="4"/>
      <c r="W229" s="45"/>
      <c r="X229" s="4"/>
      <c r="Y229" s="4"/>
      <c r="Z229" s="4"/>
      <c r="AA229" s="4"/>
      <c r="AB229" s="45"/>
      <c r="AC229" s="4"/>
      <c r="AD229" s="4"/>
      <c r="AE229" s="4"/>
      <c r="AF229" s="4"/>
      <c r="AG229" s="45"/>
      <c r="AH229" s="4"/>
      <c r="AI229" s="4"/>
      <c r="AJ229" s="4"/>
      <c r="AK229" s="4"/>
      <c r="AL229" s="45"/>
      <c r="AM229" s="4"/>
      <c r="AN229" s="4"/>
      <c r="AO229" s="4"/>
      <c r="AP229" s="4"/>
      <c r="AQ229" s="45"/>
      <c r="AR229" s="4"/>
      <c r="AS229" s="4"/>
      <c r="AT229" s="4"/>
      <c r="AU229" s="4"/>
      <c r="AV229" s="45"/>
      <c r="AW229" s="4"/>
      <c r="AX229" s="4"/>
      <c r="AY229" s="4"/>
      <c r="AZ229" s="4"/>
      <c r="BA229" s="45"/>
      <c r="BB229" s="4"/>
      <c r="BC229" s="4"/>
      <c r="BD229" s="4"/>
      <c r="BE229" s="4"/>
      <c r="BF229" s="45"/>
      <c r="BG229" s="4"/>
      <c r="BH229" s="4"/>
      <c r="BI229" s="4"/>
      <c r="BJ229" s="4"/>
      <c r="BK229" s="45"/>
      <c r="BL229" s="4"/>
      <c r="BM229" s="4"/>
      <c r="BN229" s="4"/>
      <c r="BO229" s="4"/>
      <c r="BP229" s="45"/>
      <c r="BQ229" s="4"/>
      <c r="BR229" s="4"/>
      <c r="BS229" s="4"/>
      <c r="BT229" s="4"/>
      <c r="BU229" s="45"/>
      <c r="BV229" s="4"/>
      <c r="BW229" s="4"/>
      <c r="BX229" s="4"/>
      <c r="BY229" s="4"/>
      <c r="BZ229" s="350"/>
      <c r="CA229" s="4"/>
      <c r="CB229" s="4"/>
      <c r="CC229" s="4"/>
      <c r="CD229" s="4"/>
      <c r="CE229" s="350"/>
      <c r="CF229" s="4"/>
      <c r="CG229" s="4"/>
      <c r="CH229" s="4"/>
      <c r="CI229" s="4"/>
      <c r="CJ229" s="350"/>
      <c r="CK229" s="4"/>
      <c r="CL229" s="4"/>
      <c r="CM229" s="4"/>
      <c r="CN229" s="16"/>
      <c r="CO229" s="350"/>
      <c r="CP229" s="104"/>
      <c r="CQ229" s="104"/>
      <c r="CR229" s="104"/>
      <c r="CS229" s="104"/>
      <c r="CT229" s="350"/>
      <c r="CU229" s="4"/>
      <c r="CV229" s="4"/>
      <c r="CW229" s="4"/>
      <c r="CX229" s="4"/>
      <c r="CY229" s="350"/>
      <c r="CZ229" s="4"/>
      <c r="DA229" s="4"/>
      <c r="DB229" s="4"/>
      <c r="DC229" s="4"/>
      <c r="DD229" s="350"/>
      <c r="DE229" s="4"/>
      <c r="DF229" s="4"/>
      <c r="DG229" s="4"/>
      <c r="DH229" s="4"/>
      <c r="DI229" s="350"/>
      <c r="DJ229" s="16"/>
      <c r="DK229" s="16"/>
      <c r="DL229" s="16"/>
      <c r="DM229" s="16"/>
      <c r="DN229" s="350"/>
      <c r="DO229" s="16"/>
      <c r="DP229" s="16"/>
      <c r="DQ229" s="16"/>
      <c r="DR229" s="16"/>
      <c r="DS229" s="37">
        <f>DS228/DS225</f>
        <v>-0.4620390456</v>
      </c>
      <c r="DT229" s="16"/>
      <c r="DU229" s="16"/>
      <c r="DV229" s="16"/>
      <c r="DW229" s="16"/>
      <c r="DX229" s="37">
        <f t="shared" ref="DX229:EI229" si="1429">DX228/DX225</f>
        <v>0.06293706294</v>
      </c>
      <c r="DY229" s="40">
        <f t="shared" si="1429"/>
        <v>-0.3300970874</v>
      </c>
      <c r="DZ229" s="40">
        <f t="shared" si="1429"/>
        <v>0.196969697</v>
      </c>
      <c r="EA229" s="40">
        <f t="shared" si="1429"/>
        <v>-0.2528735632</v>
      </c>
      <c r="EB229" s="40">
        <f t="shared" si="1429"/>
        <v>0.01224489796</v>
      </c>
      <c r="EC229" s="37">
        <f t="shared" si="1429"/>
        <v>-0.02926208651</v>
      </c>
      <c r="ED229" s="40">
        <f t="shared" si="1429"/>
        <v>-0.109540636</v>
      </c>
      <c r="EE229" s="40">
        <f t="shared" si="1429"/>
        <v>-1.270491803</v>
      </c>
      <c r="EF229" s="40">
        <f t="shared" si="1429"/>
        <v>-0.6023391813</v>
      </c>
      <c r="EG229" s="40">
        <f t="shared" si="1429"/>
        <v>-0.09717868339</v>
      </c>
      <c r="EH229" s="37">
        <f t="shared" si="1429"/>
        <v>-0.3575418994</v>
      </c>
      <c r="EI229" s="214">
        <f t="shared" si="1429"/>
        <v>0</v>
      </c>
      <c r="EJ229" s="16"/>
      <c r="EK229" s="4"/>
      <c r="EL229" s="4"/>
      <c r="EM229" s="37">
        <f t="shared" ref="EM229:EN229" si="1430">EM228/EM225</f>
        <v>0</v>
      </c>
      <c r="EN229" s="40">
        <f t="shared" si="1430"/>
        <v>0</v>
      </c>
      <c r="EO229" s="16"/>
      <c r="EP229" s="4"/>
      <c r="EQ229" s="4"/>
      <c r="ER229" s="37">
        <f t="shared" ref="ER229:ES229" si="1431">ER228/ER225</f>
        <v>0</v>
      </c>
      <c r="ES229" s="40">
        <f t="shared" si="1431"/>
        <v>0</v>
      </c>
      <c r="ET229" s="16"/>
      <c r="EU229" s="4"/>
      <c r="EV229" s="4"/>
      <c r="EW229" s="37">
        <f t="shared" ref="EW229:EX229" si="1432">EW228/EW225</f>
        <v>0</v>
      </c>
      <c r="EX229" s="40">
        <f t="shared" si="1432"/>
        <v>0</v>
      </c>
      <c r="EY229" s="16"/>
      <c r="EZ229" s="4"/>
      <c r="FA229" s="4"/>
      <c r="FB229" s="37">
        <f t="shared" ref="FB229:FC229" si="1433">FB228/FB225</f>
        <v>0</v>
      </c>
      <c r="FC229" s="40">
        <f t="shared" si="1433"/>
        <v>0</v>
      </c>
      <c r="FD229" s="16"/>
      <c r="FE229" s="4"/>
      <c r="FF229" s="4"/>
      <c r="FG229" s="37">
        <f>FG228/FG225</f>
        <v>0</v>
      </c>
      <c r="FH229" s="35"/>
      <c r="FI229" s="4"/>
      <c r="FJ229" s="4"/>
      <c r="FK229" s="45"/>
      <c r="FL229" s="4"/>
    </row>
    <row r="230" ht="12.75" customHeight="1">
      <c r="A230" s="4"/>
      <c r="B230" s="72"/>
      <c r="C230" s="45"/>
      <c r="D230" s="4"/>
      <c r="E230" s="4"/>
      <c r="F230" s="4"/>
      <c r="G230" s="4"/>
      <c r="H230" s="45"/>
      <c r="I230" s="4"/>
      <c r="J230" s="4"/>
      <c r="K230" s="4"/>
      <c r="L230" s="4"/>
      <c r="M230" s="45"/>
      <c r="N230" s="4"/>
      <c r="O230" s="4"/>
      <c r="P230" s="4"/>
      <c r="Q230" s="4"/>
      <c r="R230" s="45"/>
      <c r="S230" s="4"/>
      <c r="T230" s="4"/>
      <c r="U230" s="4"/>
      <c r="V230" s="4"/>
      <c r="W230" s="45"/>
      <c r="X230" s="4"/>
      <c r="Y230" s="4"/>
      <c r="Z230" s="4"/>
      <c r="AA230" s="4"/>
      <c r="AB230" s="45"/>
      <c r="AC230" s="4"/>
      <c r="AD230" s="4"/>
      <c r="AE230" s="4"/>
      <c r="AF230" s="4"/>
      <c r="AG230" s="45"/>
      <c r="AH230" s="4"/>
      <c r="AI230" s="4"/>
      <c r="AJ230" s="4"/>
      <c r="AK230" s="4"/>
      <c r="AL230" s="45"/>
      <c r="AM230" s="4"/>
      <c r="AN230" s="4"/>
      <c r="AO230" s="4"/>
      <c r="AP230" s="4"/>
      <c r="AQ230" s="45"/>
      <c r="AR230" s="4"/>
      <c r="AS230" s="4"/>
      <c r="AT230" s="4"/>
      <c r="AU230" s="4"/>
      <c r="AV230" s="45"/>
      <c r="AW230" s="4"/>
      <c r="AX230" s="4"/>
      <c r="AY230" s="4"/>
      <c r="AZ230" s="4"/>
      <c r="BA230" s="45"/>
      <c r="BB230" s="4"/>
      <c r="BC230" s="4"/>
      <c r="BD230" s="4"/>
      <c r="BE230" s="4"/>
      <c r="BF230" s="45"/>
      <c r="BG230" s="4"/>
      <c r="BH230" s="4"/>
      <c r="BI230" s="4"/>
      <c r="BJ230" s="4"/>
      <c r="BK230" s="45"/>
      <c r="BL230" s="4"/>
      <c r="BM230" s="4"/>
      <c r="BN230" s="4"/>
      <c r="BO230" s="4"/>
      <c r="BP230" s="45"/>
      <c r="BQ230" s="4"/>
      <c r="BR230" s="4"/>
      <c r="BS230" s="4"/>
      <c r="BT230" s="4"/>
      <c r="BU230" s="45"/>
      <c r="BV230" s="4"/>
      <c r="BW230" s="4"/>
      <c r="BX230" s="4"/>
      <c r="BY230" s="4"/>
      <c r="BZ230" s="350"/>
      <c r="CA230" s="4"/>
      <c r="CB230" s="4"/>
      <c r="CC230" s="4"/>
      <c r="CD230" s="4"/>
      <c r="CE230" s="350"/>
      <c r="CF230" s="4"/>
      <c r="CG230" s="4"/>
      <c r="CH230" s="4"/>
      <c r="CI230" s="4"/>
      <c r="CJ230" s="350"/>
      <c r="CK230" s="4"/>
      <c r="CL230" s="4"/>
      <c r="CM230" s="4"/>
      <c r="CN230" s="16"/>
      <c r="CO230" s="350"/>
      <c r="CP230" s="104"/>
      <c r="CQ230" s="104"/>
      <c r="CR230" s="104"/>
      <c r="CS230" s="104"/>
      <c r="CT230" s="350"/>
      <c r="CU230" s="4"/>
      <c r="CV230" s="4"/>
      <c r="CW230" s="4"/>
      <c r="CX230" s="4"/>
      <c r="CY230" s="350"/>
      <c r="CZ230" s="4"/>
      <c r="DA230" s="4"/>
      <c r="DB230" s="4"/>
      <c r="DC230" s="4"/>
      <c r="DD230" s="350"/>
      <c r="DE230" s="4"/>
      <c r="DF230" s="4"/>
      <c r="DG230" s="4"/>
      <c r="DH230" s="4"/>
      <c r="DI230" s="350"/>
      <c r="DJ230" s="16"/>
      <c r="DK230" s="16"/>
      <c r="DL230" s="16"/>
      <c r="DM230" s="16"/>
      <c r="DN230" s="350"/>
      <c r="DO230" s="16"/>
      <c r="DP230" s="16"/>
      <c r="DQ230" s="16"/>
      <c r="DR230" s="16"/>
      <c r="DS230" s="350"/>
      <c r="DT230" s="16"/>
      <c r="DU230" s="16"/>
      <c r="DV230" s="16"/>
      <c r="DW230" s="16"/>
      <c r="DX230" s="350"/>
      <c r="DY230" s="16"/>
      <c r="DZ230" s="16"/>
      <c r="EA230" s="16"/>
      <c r="EB230" s="16"/>
      <c r="EC230" s="350"/>
      <c r="ED230" s="16"/>
      <c r="EE230" s="16"/>
      <c r="EF230" s="16"/>
      <c r="EG230" s="16"/>
      <c r="EH230" s="350"/>
      <c r="EI230" s="214"/>
      <c r="EJ230" s="16"/>
      <c r="EK230" s="4"/>
      <c r="EL230" s="4"/>
      <c r="EM230" s="350"/>
      <c r="EN230" s="16"/>
      <c r="EO230" s="16"/>
      <c r="EP230" s="4"/>
      <c r="EQ230" s="4"/>
      <c r="ER230" s="350"/>
      <c r="ES230" s="16"/>
      <c r="ET230" s="16"/>
      <c r="EU230" s="4"/>
      <c r="EV230" s="4"/>
      <c r="EW230" s="350"/>
      <c r="EX230" s="16"/>
      <c r="EY230" s="16"/>
      <c r="EZ230" s="4"/>
      <c r="FA230" s="4"/>
      <c r="FB230" s="350"/>
      <c r="FC230" s="16"/>
      <c r="FD230" s="16"/>
      <c r="FE230" s="4"/>
      <c r="FF230" s="4"/>
      <c r="FG230" s="350"/>
      <c r="FH230" s="145"/>
      <c r="FI230" s="4"/>
      <c r="FJ230" s="4"/>
      <c r="FK230" s="45"/>
      <c r="FL230" s="4"/>
    </row>
    <row r="231" ht="12.75" customHeight="1">
      <c r="A231" s="4"/>
      <c r="B231" s="45" t="s">
        <v>176</v>
      </c>
      <c r="C231" s="45"/>
      <c r="D231" s="4"/>
      <c r="E231" s="4"/>
      <c r="F231" s="4"/>
      <c r="G231" s="4"/>
      <c r="H231" s="45"/>
      <c r="I231" s="4"/>
      <c r="J231" s="4"/>
      <c r="K231" s="4"/>
      <c r="L231" s="4"/>
      <c r="M231" s="45"/>
      <c r="N231" s="4"/>
      <c r="O231" s="4"/>
      <c r="P231" s="4"/>
      <c r="Q231" s="4"/>
      <c r="R231" s="45"/>
      <c r="S231" s="4"/>
      <c r="T231" s="4"/>
      <c r="U231" s="4"/>
      <c r="V231" s="4"/>
      <c r="W231" s="45"/>
      <c r="X231" s="4"/>
      <c r="Y231" s="4"/>
      <c r="Z231" s="4"/>
      <c r="AA231" s="4"/>
      <c r="AB231" s="45"/>
      <c r="AC231" s="4"/>
      <c r="AD231" s="4"/>
      <c r="AE231" s="4"/>
      <c r="AF231" s="4"/>
      <c r="AG231" s="45"/>
      <c r="AH231" s="4"/>
      <c r="AI231" s="4"/>
      <c r="AJ231" s="4"/>
      <c r="AK231" s="4"/>
      <c r="AL231" s="45"/>
      <c r="AM231" s="4"/>
      <c r="AN231" s="4"/>
      <c r="AO231" s="4"/>
      <c r="AP231" s="4"/>
      <c r="AQ231" s="45"/>
      <c r="AR231" s="4"/>
      <c r="AS231" s="4"/>
      <c r="AT231" s="4"/>
      <c r="AU231" s="4"/>
      <c r="AV231" s="45"/>
      <c r="AW231" s="4"/>
      <c r="AX231" s="4"/>
      <c r="AY231" s="4"/>
      <c r="AZ231" s="4"/>
      <c r="BA231" s="45"/>
      <c r="BB231" s="4"/>
      <c r="BC231" s="4"/>
      <c r="BD231" s="4"/>
      <c r="BE231" s="4"/>
      <c r="BF231" s="45"/>
      <c r="BG231" s="4"/>
      <c r="BH231" s="4"/>
      <c r="BI231" s="4"/>
      <c r="BJ231" s="4"/>
      <c r="BK231" s="45"/>
      <c r="BL231" s="4"/>
      <c r="BM231" s="4"/>
      <c r="BN231" s="4"/>
      <c r="BO231" s="4"/>
      <c r="BP231" s="45"/>
      <c r="BQ231" s="4"/>
      <c r="BR231" s="4"/>
      <c r="BS231" s="4"/>
      <c r="BT231" s="4"/>
      <c r="BU231" s="45"/>
      <c r="BV231" s="4"/>
      <c r="BW231" s="4"/>
      <c r="BX231" s="4"/>
      <c r="BY231" s="4"/>
      <c r="BZ231" s="350"/>
      <c r="CA231" s="4"/>
      <c r="CB231" s="4"/>
      <c r="CC231" s="4"/>
      <c r="CD231" s="4"/>
      <c r="CE231" s="350"/>
      <c r="CF231" s="4"/>
      <c r="CG231" s="4"/>
      <c r="CH231" s="4"/>
      <c r="CI231" s="4"/>
      <c r="CJ231" s="350"/>
      <c r="CK231" s="4"/>
      <c r="CL231" s="4"/>
      <c r="CM231" s="4"/>
      <c r="CN231" s="16"/>
      <c r="CO231" s="350"/>
      <c r="CP231" s="104"/>
      <c r="CQ231" s="104"/>
      <c r="CR231" s="104"/>
      <c r="CS231" s="104"/>
      <c r="CT231" s="350"/>
      <c r="CU231" s="4"/>
      <c r="CV231" s="4"/>
      <c r="CW231" s="4"/>
      <c r="CX231" s="4"/>
      <c r="CY231" s="350"/>
      <c r="CZ231" s="4"/>
      <c r="DA231" s="4"/>
      <c r="DB231" s="4"/>
      <c r="DC231" s="4"/>
      <c r="DD231" s="350"/>
      <c r="DE231" s="4"/>
      <c r="DF231" s="4"/>
      <c r="DG231" s="4"/>
      <c r="DH231" s="4"/>
      <c r="DI231" s="350"/>
      <c r="DJ231" s="16"/>
      <c r="DK231" s="16"/>
      <c r="DL231" s="16"/>
      <c r="DM231" s="16"/>
      <c r="DN231" s="350"/>
      <c r="DO231" s="16"/>
      <c r="DP231" s="16"/>
      <c r="DQ231" s="16"/>
      <c r="DR231" s="16"/>
      <c r="DS231" s="350"/>
      <c r="DT231" s="16"/>
      <c r="DU231" s="16"/>
      <c r="DV231" s="16"/>
      <c r="DW231" s="16"/>
      <c r="DX231" s="350"/>
      <c r="DY231" s="4"/>
      <c r="DZ231" s="4"/>
      <c r="EA231" s="4"/>
      <c r="EB231" s="4"/>
      <c r="EC231" s="350"/>
      <c r="ED231" s="4"/>
      <c r="EE231" s="4"/>
      <c r="EF231" s="4"/>
      <c r="EG231" s="4"/>
      <c r="EH231" s="350"/>
      <c r="EI231" s="214"/>
      <c r="EJ231" s="16"/>
      <c r="EK231" s="4"/>
      <c r="EL231" s="4"/>
      <c r="EM231" s="350"/>
      <c r="EN231" s="4"/>
      <c r="EO231" s="16"/>
      <c r="EP231" s="4"/>
      <c r="EQ231" s="4"/>
      <c r="ER231" s="350"/>
      <c r="ES231" s="4"/>
      <c r="ET231" s="16"/>
      <c r="EU231" s="4"/>
      <c r="EV231" s="4"/>
      <c r="EW231" s="350"/>
      <c r="EX231" s="4"/>
      <c r="EY231" s="16"/>
      <c r="EZ231" s="4"/>
      <c r="FA231" s="4"/>
      <c r="FB231" s="350"/>
      <c r="FC231" s="4"/>
      <c r="FD231" s="16"/>
      <c r="FE231" s="4"/>
      <c r="FF231" s="4"/>
      <c r="FG231" s="350"/>
      <c r="FH231" s="145"/>
      <c r="FI231" s="4"/>
      <c r="FJ231" s="4"/>
      <c r="FK231" s="45"/>
      <c r="FL231" s="4"/>
    </row>
    <row r="232" ht="12.75" customHeight="1">
      <c r="A232" s="4"/>
      <c r="B232" s="72" t="s">
        <v>144</v>
      </c>
      <c r="C232" s="45"/>
      <c r="D232" s="4"/>
      <c r="E232" s="4"/>
      <c r="F232" s="4"/>
      <c r="G232" s="4"/>
      <c r="H232" s="45"/>
      <c r="I232" s="4"/>
      <c r="J232" s="4"/>
      <c r="K232" s="4"/>
      <c r="L232" s="4"/>
      <c r="M232" s="45"/>
      <c r="N232" s="4"/>
      <c r="O232" s="4"/>
      <c r="P232" s="4"/>
      <c r="Q232" s="4"/>
      <c r="R232" s="45"/>
      <c r="S232" s="4"/>
      <c r="T232" s="4"/>
      <c r="U232" s="4"/>
      <c r="V232" s="4"/>
      <c r="W232" s="45"/>
      <c r="X232" s="4"/>
      <c r="Y232" s="4"/>
      <c r="Z232" s="4"/>
      <c r="AA232" s="4"/>
      <c r="AB232" s="45"/>
      <c r="AC232" s="4"/>
      <c r="AD232" s="4"/>
      <c r="AE232" s="4"/>
      <c r="AF232" s="4"/>
      <c r="AG232" s="45"/>
      <c r="AH232" s="4"/>
      <c r="AI232" s="4"/>
      <c r="AJ232" s="4"/>
      <c r="AK232" s="4"/>
      <c r="AL232" s="45"/>
      <c r="AM232" s="4"/>
      <c r="AN232" s="4"/>
      <c r="AO232" s="4"/>
      <c r="AP232" s="4"/>
      <c r="AQ232" s="45"/>
      <c r="AR232" s="4"/>
      <c r="AS232" s="4"/>
      <c r="AT232" s="4"/>
      <c r="AU232" s="4"/>
      <c r="AV232" s="45"/>
      <c r="AW232" s="4"/>
      <c r="AX232" s="4"/>
      <c r="AY232" s="4"/>
      <c r="AZ232" s="4"/>
      <c r="BA232" s="45"/>
      <c r="BB232" s="4"/>
      <c r="BC232" s="4"/>
      <c r="BD232" s="4"/>
      <c r="BE232" s="4"/>
      <c r="BF232" s="45"/>
      <c r="BG232" s="4"/>
      <c r="BH232" s="4"/>
      <c r="BI232" s="4"/>
      <c r="BJ232" s="4"/>
      <c r="BK232" s="45"/>
      <c r="BL232" s="4"/>
      <c r="BM232" s="4"/>
      <c r="BN232" s="4"/>
      <c r="BO232" s="4"/>
      <c r="BP232" s="45"/>
      <c r="BQ232" s="4"/>
      <c r="BR232" s="4"/>
      <c r="BS232" s="4"/>
      <c r="BT232" s="4"/>
      <c r="BU232" s="45"/>
      <c r="BV232" s="4"/>
      <c r="BW232" s="4"/>
      <c r="BX232" s="4"/>
      <c r="BY232" s="4"/>
      <c r="BZ232" s="350"/>
      <c r="CA232" s="4"/>
      <c r="CB232" s="4"/>
      <c r="CC232" s="4"/>
      <c r="CD232" s="4"/>
      <c r="CE232" s="350"/>
      <c r="CF232" s="4"/>
      <c r="CG232" s="4"/>
      <c r="CH232" s="4"/>
      <c r="CI232" s="4"/>
      <c r="CJ232" s="350"/>
      <c r="CK232" s="4"/>
      <c r="CL232" s="4"/>
      <c r="CM232" s="4"/>
      <c r="CN232" s="16"/>
      <c r="CO232" s="350"/>
      <c r="CP232" s="104"/>
      <c r="CQ232" s="104"/>
      <c r="CR232" s="104"/>
      <c r="CS232" s="104"/>
      <c r="CT232" s="350"/>
      <c r="CU232" s="4"/>
      <c r="CV232" s="4"/>
      <c r="CW232" s="4"/>
      <c r="CX232" s="4"/>
      <c r="CY232" s="350"/>
      <c r="CZ232" s="4"/>
      <c r="DA232" s="4"/>
      <c r="DB232" s="4"/>
      <c r="DC232" s="4"/>
      <c r="DD232" s="350"/>
      <c r="DE232" s="4"/>
      <c r="DF232" s="4"/>
      <c r="DG232" s="4"/>
      <c r="DH232" s="4"/>
      <c r="DI232" s="350"/>
      <c r="DJ232" s="16"/>
      <c r="DK232" s="16"/>
      <c r="DL232" s="16"/>
      <c r="DM232" s="16"/>
      <c r="DN232" s="350"/>
      <c r="DO232" s="16"/>
      <c r="DP232" s="16"/>
      <c r="DQ232" s="16"/>
      <c r="DR232" s="16"/>
      <c r="DS232" s="356">
        <v>4150.0</v>
      </c>
      <c r="DT232" s="16"/>
      <c r="DU232" s="16"/>
      <c r="DV232" s="16"/>
      <c r="DW232" s="16"/>
      <c r="DX232" s="356">
        <v>5091.0</v>
      </c>
      <c r="DY232" s="357">
        <v>1724.0</v>
      </c>
      <c r="DZ232" s="357">
        <v>1129.0</v>
      </c>
      <c r="EA232" s="357">
        <v>1133.0</v>
      </c>
      <c r="EB232" s="357">
        <v>1033.0</v>
      </c>
      <c r="EC232" s="356">
        <v>5019.0</v>
      </c>
      <c r="ED232" s="357">
        <v>67.0</v>
      </c>
      <c r="EE232" s="357">
        <v>32.0</v>
      </c>
      <c r="EF232" s="357">
        <v>67.0</v>
      </c>
      <c r="EG232" s="357">
        <v>30.0</v>
      </c>
      <c r="EH232" s="356">
        <f>SUM(ED232:EG232)</f>
        <v>196</v>
      </c>
      <c r="EI232" s="358">
        <f>EG232*(1+EI233)</f>
        <v>30</v>
      </c>
      <c r="EJ232" s="357">
        <f t="shared" ref="EJ232:EL232" si="1434">EI232*(1+EJ233)</f>
        <v>30</v>
      </c>
      <c r="EK232" s="357">
        <f t="shared" si="1434"/>
        <v>30</v>
      </c>
      <c r="EL232" s="357">
        <f t="shared" si="1434"/>
        <v>30</v>
      </c>
      <c r="EM232" s="356">
        <f>SUM(EI232:EL232)</f>
        <v>120</v>
      </c>
      <c r="EN232" s="357">
        <f>EL232*(1+EN233)</f>
        <v>30</v>
      </c>
      <c r="EO232" s="357">
        <f t="shared" ref="EO232:EQ232" si="1435">EN232*(1+EO233)</f>
        <v>30</v>
      </c>
      <c r="EP232" s="357">
        <f t="shared" si="1435"/>
        <v>30</v>
      </c>
      <c r="EQ232" s="357">
        <f t="shared" si="1435"/>
        <v>30</v>
      </c>
      <c r="ER232" s="356">
        <f>SUM(EN232:EQ232)</f>
        <v>120</v>
      </c>
      <c r="ES232" s="357">
        <f>EQ232*(1+ES233)</f>
        <v>30</v>
      </c>
      <c r="ET232" s="357">
        <f t="shared" ref="ET232:EV232" si="1436">ES232*(1+ET233)</f>
        <v>30</v>
      </c>
      <c r="EU232" s="357">
        <f t="shared" si="1436"/>
        <v>30</v>
      </c>
      <c r="EV232" s="357">
        <f t="shared" si="1436"/>
        <v>30</v>
      </c>
      <c r="EW232" s="356">
        <f>SUM(ES232:EV232)</f>
        <v>120</v>
      </c>
      <c r="EX232" s="357">
        <f>EV232*(1+EX233)</f>
        <v>30</v>
      </c>
      <c r="EY232" s="357">
        <f t="shared" ref="EY232:FA232" si="1437">EX232*(1+EY233)</f>
        <v>30</v>
      </c>
      <c r="EZ232" s="357">
        <f t="shared" si="1437"/>
        <v>30</v>
      </c>
      <c r="FA232" s="357">
        <f t="shared" si="1437"/>
        <v>30</v>
      </c>
      <c r="FB232" s="356">
        <f>SUM(EX232:FA232)</f>
        <v>120</v>
      </c>
      <c r="FC232" s="357">
        <f>FA232*(1+FC233)</f>
        <v>30</v>
      </c>
      <c r="FD232" s="357">
        <f t="shared" ref="FD232:FF232" si="1438">FC232*(1+FD233)</f>
        <v>30</v>
      </c>
      <c r="FE232" s="357">
        <f t="shared" si="1438"/>
        <v>30</v>
      </c>
      <c r="FF232" s="357">
        <f t="shared" si="1438"/>
        <v>30</v>
      </c>
      <c r="FG232" s="356">
        <f>SUM(FC232:FF232)</f>
        <v>120</v>
      </c>
      <c r="FH232" s="359"/>
      <c r="FI232" s="4"/>
      <c r="FJ232" s="4"/>
      <c r="FK232" s="45"/>
      <c r="FL232" s="4"/>
    </row>
    <row r="233" ht="12.75" customHeight="1">
      <c r="A233" s="4"/>
      <c r="B233" s="72" t="s">
        <v>145</v>
      </c>
      <c r="C233" s="45"/>
      <c r="D233" s="4"/>
      <c r="E233" s="4"/>
      <c r="F233" s="4"/>
      <c r="G233" s="4"/>
      <c r="H233" s="45"/>
      <c r="I233" s="4"/>
      <c r="J233" s="4"/>
      <c r="K233" s="4"/>
      <c r="L233" s="4"/>
      <c r="M233" s="45"/>
      <c r="N233" s="4"/>
      <c r="O233" s="4"/>
      <c r="P233" s="4"/>
      <c r="Q233" s="4"/>
      <c r="R233" s="45"/>
      <c r="S233" s="4"/>
      <c r="T233" s="4"/>
      <c r="U233" s="4"/>
      <c r="V233" s="4"/>
      <c r="W233" s="45"/>
      <c r="X233" s="4"/>
      <c r="Y233" s="4"/>
      <c r="Z233" s="4"/>
      <c r="AA233" s="4"/>
      <c r="AB233" s="45"/>
      <c r="AC233" s="4"/>
      <c r="AD233" s="4"/>
      <c r="AE233" s="4"/>
      <c r="AF233" s="4"/>
      <c r="AG233" s="45"/>
      <c r="AH233" s="4"/>
      <c r="AI233" s="4"/>
      <c r="AJ233" s="4"/>
      <c r="AK233" s="4"/>
      <c r="AL233" s="45"/>
      <c r="AM233" s="4"/>
      <c r="AN233" s="4"/>
      <c r="AO233" s="4"/>
      <c r="AP233" s="4"/>
      <c r="AQ233" s="45"/>
      <c r="AR233" s="4"/>
      <c r="AS233" s="4"/>
      <c r="AT233" s="4"/>
      <c r="AU233" s="4"/>
      <c r="AV233" s="45"/>
      <c r="AW233" s="4"/>
      <c r="AX233" s="4"/>
      <c r="AY233" s="4"/>
      <c r="AZ233" s="4"/>
      <c r="BA233" s="45"/>
      <c r="BB233" s="4"/>
      <c r="BC233" s="4"/>
      <c r="BD233" s="4"/>
      <c r="BE233" s="4"/>
      <c r="BF233" s="45"/>
      <c r="BG233" s="4"/>
      <c r="BH233" s="4"/>
      <c r="BI233" s="4"/>
      <c r="BJ233" s="4"/>
      <c r="BK233" s="45"/>
      <c r="BL233" s="4"/>
      <c r="BM233" s="4"/>
      <c r="BN233" s="4"/>
      <c r="BO233" s="4"/>
      <c r="BP233" s="45"/>
      <c r="BQ233" s="4"/>
      <c r="BR233" s="4"/>
      <c r="BS233" s="4"/>
      <c r="BT233" s="4"/>
      <c r="BU233" s="45"/>
      <c r="BV233" s="4"/>
      <c r="BW233" s="4"/>
      <c r="BX233" s="4"/>
      <c r="BY233" s="4"/>
      <c r="BZ233" s="350"/>
      <c r="CA233" s="4"/>
      <c r="CB233" s="4"/>
      <c r="CC233" s="4"/>
      <c r="CD233" s="4"/>
      <c r="CE233" s="350"/>
      <c r="CF233" s="4"/>
      <c r="CG233" s="4"/>
      <c r="CH233" s="4"/>
      <c r="CI233" s="4"/>
      <c r="CJ233" s="350"/>
      <c r="CK233" s="4"/>
      <c r="CL233" s="4"/>
      <c r="CM233" s="4"/>
      <c r="CN233" s="16"/>
      <c r="CO233" s="350"/>
      <c r="CP233" s="104"/>
      <c r="CQ233" s="104"/>
      <c r="CR233" s="104"/>
      <c r="CS233" s="104"/>
      <c r="CT233" s="350"/>
      <c r="CU233" s="4"/>
      <c r="CV233" s="4"/>
      <c r="CW233" s="4"/>
      <c r="CX233" s="4"/>
      <c r="CY233" s="350"/>
      <c r="CZ233" s="4"/>
      <c r="DA233" s="4"/>
      <c r="DB233" s="4"/>
      <c r="DC233" s="4"/>
      <c r="DD233" s="350"/>
      <c r="DE233" s="4"/>
      <c r="DF233" s="4"/>
      <c r="DG233" s="4"/>
      <c r="DH233" s="4"/>
      <c r="DI233" s="350"/>
      <c r="DJ233" s="16"/>
      <c r="DK233" s="16"/>
      <c r="DL233" s="16"/>
      <c r="DM233" s="16"/>
      <c r="DN233" s="350"/>
      <c r="DO233" s="16"/>
      <c r="DP233" s="16"/>
      <c r="DQ233" s="16"/>
      <c r="DR233" s="16"/>
      <c r="DS233" s="350"/>
      <c r="DT233" s="16"/>
      <c r="DU233" s="16"/>
      <c r="DV233" s="16"/>
      <c r="DW233" s="16"/>
      <c r="DX233" s="350"/>
      <c r="DY233" s="16"/>
      <c r="DZ233" s="321">
        <f t="shared" ref="DZ233:EB233" si="1439">DZ232/DY232-1</f>
        <v>-0.3451276102</v>
      </c>
      <c r="EA233" s="321">
        <f t="shared" si="1439"/>
        <v>0.00354295837</v>
      </c>
      <c r="EB233" s="321">
        <f t="shared" si="1439"/>
        <v>-0.08826125331</v>
      </c>
      <c r="EC233" s="350"/>
      <c r="ED233" s="321">
        <f>ED232/EB232-1</f>
        <v>-0.9351403679</v>
      </c>
      <c r="EE233" s="321">
        <f t="shared" ref="EE233:EG233" si="1440">EE232/ED232-1</f>
        <v>-0.5223880597</v>
      </c>
      <c r="EF233" s="321">
        <f t="shared" si="1440"/>
        <v>1.09375</v>
      </c>
      <c r="EG233" s="321">
        <f t="shared" si="1440"/>
        <v>-0.552238806</v>
      </c>
      <c r="EH233" s="350"/>
      <c r="EI233" s="381">
        <v>0.0</v>
      </c>
      <c r="EJ233" s="382">
        <v>0.0</v>
      </c>
      <c r="EK233" s="382">
        <v>0.0</v>
      </c>
      <c r="EL233" s="382">
        <v>0.0</v>
      </c>
      <c r="EM233" s="350"/>
      <c r="EN233" s="382">
        <v>0.0</v>
      </c>
      <c r="EO233" s="382">
        <v>0.0</v>
      </c>
      <c r="EP233" s="382">
        <v>0.0</v>
      </c>
      <c r="EQ233" s="382">
        <v>0.0</v>
      </c>
      <c r="ER233" s="350"/>
      <c r="ES233" s="382">
        <v>0.0</v>
      </c>
      <c r="ET233" s="382">
        <v>0.0</v>
      </c>
      <c r="EU233" s="382">
        <v>0.0</v>
      </c>
      <c r="EV233" s="382">
        <v>0.0</v>
      </c>
      <c r="EW233" s="350"/>
      <c r="EX233" s="382">
        <v>0.0</v>
      </c>
      <c r="EY233" s="382">
        <v>0.0</v>
      </c>
      <c r="EZ233" s="382">
        <v>0.0</v>
      </c>
      <c r="FA233" s="382">
        <v>0.0</v>
      </c>
      <c r="FB233" s="350"/>
      <c r="FC233" s="382">
        <v>0.0</v>
      </c>
      <c r="FD233" s="382">
        <v>0.0</v>
      </c>
      <c r="FE233" s="382">
        <v>0.0</v>
      </c>
      <c r="FF233" s="382">
        <v>0.0</v>
      </c>
      <c r="FG233" s="350"/>
      <c r="FH233" s="145"/>
      <c r="FI233" s="4"/>
      <c r="FJ233" s="4"/>
      <c r="FK233" s="45"/>
      <c r="FL233" s="4"/>
    </row>
    <row r="234" ht="12.75" customHeight="1">
      <c r="A234" s="4"/>
      <c r="B234" s="72" t="s">
        <v>146</v>
      </c>
      <c r="C234" s="45"/>
      <c r="D234" s="4"/>
      <c r="E234" s="4"/>
      <c r="F234" s="4"/>
      <c r="G234" s="4"/>
      <c r="H234" s="45"/>
      <c r="I234" s="4"/>
      <c r="J234" s="4"/>
      <c r="K234" s="4"/>
      <c r="L234" s="4"/>
      <c r="M234" s="45"/>
      <c r="N234" s="4"/>
      <c r="O234" s="4"/>
      <c r="P234" s="4"/>
      <c r="Q234" s="4"/>
      <c r="R234" s="45"/>
      <c r="S234" s="4"/>
      <c r="T234" s="4"/>
      <c r="U234" s="4"/>
      <c r="V234" s="4"/>
      <c r="W234" s="45"/>
      <c r="X234" s="4"/>
      <c r="Y234" s="4"/>
      <c r="Z234" s="4"/>
      <c r="AA234" s="4"/>
      <c r="AB234" s="45"/>
      <c r="AC234" s="4"/>
      <c r="AD234" s="4"/>
      <c r="AE234" s="4"/>
      <c r="AF234" s="4"/>
      <c r="AG234" s="45"/>
      <c r="AH234" s="4"/>
      <c r="AI234" s="4"/>
      <c r="AJ234" s="4"/>
      <c r="AK234" s="4"/>
      <c r="AL234" s="45"/>
      <c r="AM234" s="4"/>
      <c r="AN234" s="4"/>
      <c r="AO234" s="4"/>
      <c r="AP234" s="4"/>
      <c r="AQ234" s="45"/>
      <c r="AR234" s="4"/>
      <c r="AS234" s="4"/>
      <c r="AT234" s="4"/>
      <c r="AU234" s="4"/>
      <c r="AV234" s="45"/>
      <c r="AW234" s="4"/>
      <c r="AX234" s="4"/>
      <c r="AY234" s="4"/>
      <c r="AZ234" s="4"/>
      <c r="BA234" s="45"/>
      <c r="BB234" s="4"/>
      <c r="BC234" s="4"/>
      <c r="BD234" s="4"/>
      <c r="BE234" s="4"/>
      <c r="BF234" s="45"/>
      <c r="BG234" s="4"/>
      <c r="BH234" s="4"/>
      <c r="BI234" s="4"/>
      <c r="BJ234" s="4"/>
      <c r="BK234" s="45"/>
      <c r="BL234" s="4"/>
      <c r="BM234" s="4"/>
      <c r="BN234" s="4"/>
      <c r="BO234" s="4"/>
      <c r="BP234" s="45"/>
      <c r="BQ234" s="4"/>
      <c r="BR234" s="4"/>
      <c r="BS234" s="4"/>
      <c r="BT234" s="4"/>
      <c r="BU234" s="45"/>
      <c r="BV234" s="4"/>
      <c r="BW234" s="4"/>
      <c r="BX234" s="4"/>
      <c r="BY234" s="4"/>
      <c r="BZ234" s="350"/>
      <c r="CA234" s="4"/>
      <c r="CB234" s="4"/>
      <c r="CC234" s="4"/>
      <c r="CD234" s="4"/>
      <c r="CE234" s="350"/>
      <c r="CF234" s="4"/>
      <c r="CG234" s="4"/>
      <c r="CH234" s="4"/>
      <c r="CI234" s="4"/>
      <c r="CJ234" s="350"/>
      <c r="CK234" s="4"/>
      <c r="CL234" s="4"/>
      <c r="CM234" s="4"/>
      <c r="CN234" s="16"/>
      <c r="CO234" s="350"/>
      <c r="CP234" s="104"/>
      <c r="CQ234" s="104"/>
      <c r="CR234" s="104"/>
      <c r="CS234" s="104"/>
      <c r="CT234" s="350"/>
      <c r="CU234" s="4"/>
      <c r="CV234" s="4"/>
      <c r="CW234" s="4"/>
      <c r="CX234" s="4"/>
      <c r="CY234" s="350"/>
      <c r="CZ234" s="4"/>
      <c r="DA234" s="4"/>
      <c r="DB234" s="4"/>
      <c r="DC234" s="4"/>
      <c r="DD234" s="350"/>
      <c r="DE234" s="4"/>
      <c r="DF234" s="4"/>
      <c r="DG234" s="4"/>
      <c r="DH234" s="4"/>
      <c r="DI234" s="350"/>
      <c r="DJ234" s="16"/>
      <c r="DK234" s="16"/>
      <c r="DL234" s="16"/>
      <c r="DM234" s="16"/>
      <c r="DN234" s="350"/>
      <c r="DO234" s="16"/>
      <c r="DP234" s="16"/>
      <c r="DQ234" s="16"/>
      <c r="DR234" s="16"/>
      <c r="DS234" s="342"/>
      <c r="DT234" s="16"/>
      <c r="DU234" s="16"/>
      <c r="DV234" s="16"/>
      <c r="DW234" s="16"/>
      <c r="DX234" s="342">
        <f>DX232/DS232-1</f>
        <v>0.226746988</v>
      </c>
      <c r="DY234" s="16"/>
      <c r="DZ234" s="16"/>
      <c r="EA234" s="16"/>
      <c r="EB234" s="16"/>
      <c r="EC234" s="342">
        <f t="shared" ref="EC234:FG234" si="1441">EC232/DX232-1</f>
        <v>-0.0141426046</v>
      </c>
      <c r="ED234" s="321">
        <f t="shared" si="1441"/>
        <v>-0.961136891</v>
      </c>
      <c r="EE234" s="321">
        <f t="shared" si="1441"/>
        <v>-0.971656333</v>
      </c>
      <c r="EF234" s="321">
        <f t="shared" si="1441"/>
        <v>-0.9408649603</v>
      </c>
      <c r="EG234" s="321">
        <f t="shared" si="1441"/>
        <v>-0.9709583737</v>
      </c>
      <c r="EH234" s="342">
        <f t="shared" si="1441"/>
        <v>-0.9609483961</v>
      </c>
      <c r="EI234" s="322">
        <f t="shared" si="1441"/>
        <v>-0.552238806</v>
      </c>
      <c r="EJ234" s="321">
        <f t="shared" si="1441"/>
        <v>-0.0625</v>
      </c>
      <c r="EK234" s="321">
        <f t="shared" si="1441"/>
        <v>-0.552238806</v>
      </c>
      <c r="EL234" s="321">
        <f t="shared" si="1441"/>
        <v>0</v>
      </c>
      <c r="EM234" s="342">
        <f t="shared" si="1441"/>
        <v>-0.387755102</v>
      </c>
      <c r="EN234" s="321">
        <f t="shared" si="1441"/>
        <v>0</v>
      </c>
      <c r="EO234" s="321">
        <f t="shared" si="1441"/>
        <v>0</v>
      </c>
      <c r="EP234" s="321">
        <f t="shared" si="1441"/>
        <v>0</v>
      </c>
      <c r="EQ234" s="321">
        <f t="shared" si="1441"/>
        <v>0</v>
      </c>
      <c r="ER234" s="342">
        <f t="shared" si="1441"/>
        <v>0</v>
      </c>
      <c r="ES234" s="321">
        <f t="shared" si="1441"/>
        <v>0</v>
      </c>
      <c r="ET234" s="321">
        <f t="shared" si="1441"/>
        <v>0</v>
      </c>
      <c r="EU234" s="321">
        <f t="shared" si="1441"/>
        <v>0</v>
      </c>
      <c r="EV234" s="321">
        <f t="shared" si="1441"/>
        <v>0</v>
      </c>
      <c r="EW234" s="342">
        <f t="shared" si="1441"/>
        <v>0</v>
      </c>
      <c r="EX234" s="321">
        <f t="shared" si="1441"/>
        <v>0</v>
      </c>
      <c r="EY234" s="321">
        <f t="shared" si="1441"/>
        <v>0</v>
      </c>
      <c r="EZ234" s="321">
        <f t="shared" si="1441"/>
        <v>0</v>
      </c>
      <c r="FA234" s="321">
        <f t="shared" si="1441"/>
        <v>0</v>
      </c>
      <c r="FB234" s="342">
        <f t="shared" si="1441"/>
        <v>0</v>
      </c>
      <c r="FC234" s="321">
        <f t="shared" si="1441"/>
        <v>0</v>
      </c>
      <c r="FD234" s="321">
        <f t="shared" si="1441"/>
        <v>0</v>
      </c>
      <c r="FE234" s="321">
        <f t="shared" si="1441"/>
        <v>0</v>
      </c>
      <c r="FF234" s="321">
        <f t="shared" si="1441"/>
        <v>0</v>
      </c>
      <c r="FG234" s="342">
        <f t="shared" si="1441"/>
        <v>0</v>
      </c>
      <c r="FH234" s="343"/>
      <c r="FI234" s="4"/>
      <c r="FJ234" s="4"/>
      <c r="FK234" s="45"/>
      <c r="FL234" s="4"/>
    </row>
    <row r="235" ht="12.75" customHeight="1">
      <c r="A235" s="4"/>
      <c r="B235" s="72" t="s">
        <v>163</v>
      </c>
      <c r="C235" s="45"/>
      <c r="D235" s="4"/>
      <c r="E235" s="4"/>
      <c r="F235" s="4"/>
      <c r="G235" s="4"/>
      <c r="H235" s="45"/>
      <c r="I235" s="4"/>
      <c r="J235" s="4"/>
      <c r="K235" s="4"/>
      <c r="L235" s="4"/>
      <c r="M235" s="45"/>
      <c r="N235" s="4"/>
      <c r="O235" s="4"/>
      <c r="P235" s="4"/>
      <c r="Q235" s="4"/>
      <c r="R235" s="45"/>
      <c r="S235" s="4"/>
      <c r="T235" s="4"/>
      <c r="U235" s="4"/>
      <c r="V235" s="4"/>
      <c r="W235" s="45"/>
      <c r="X235" s="4"/>
      <c r="Y235" s="4"/>
      <c r="Z235" s="4"/>
      <c r="AA235" s="4"/>
      <c r="AB235" s="45"/>
      <c r="AC235" s="4"/>
      <c r="AD235" s="4"/>
      <c r="AE235" s="4"/>
      <c r="AF235" s="4"/>
      <c r="AG235" s="45"/>
      <c r="AH235" s="4"/>
      <c r="AI235" s="4"/>
      <c r="AJ235" s="4"/>
      <c r="AK235" s="4"/>
      <c r="AL235" s="45"/>
      <c r="AM235" s="4"/>
      <c r="AN235" s="4"/>
      <c r="AO235" s="4"/>
      <c r="AP235" s="4"/>
      <c r="AQ235" s="45"/>
      <c r="AR235" s="4"/>
      <c r="AS235" s="4"/>
      <c r="AT235" s="4"/>
      <c r="AU235" s="4"/>
      <c r="AV235" s="45"/>
      <c r="AW235" s="4"/>
      <c r="AX235" s="4"/>
      <c r="AY235" s="4"/>
      <c r="AZ235" s="4"/>
      <c r="BA235" s="45"/>
      <c r="BB235" s="4"/>
      <c r="BC235" s="4"/>
      <c r="BD235" s="4"/>
      <c r="BE235" s="4"/>
      <c r="BF235" s="45"/>
      <c r="BG235" s="4"/>
      <c r="BH235" s="4"/>
      <c r="BI235" s="4"/>
      <c r="BJ235" s="4"/>
      <c r="BK235" s="45"/>
      <c r="BL235" s="4"/>
      <c r="BM235" s="4"/>
      <c r="BN235" s="4"/>
      <c r="BO235" s="4"/>
      <c r="BP235" s="45"/>
      <c r="BQ235" s="4"/>
      <c r="BR235" s="4"/>
      <c r="BS235" s="4"/>
      <c r="BT235" s="4"/>
      <c r="BU235" s="45"/>
      <c r="BV235" s="4"/>
      <c r="BW235" s="4"/>
      <c r="BX235" s="4"/>
      <c r="BY235" s="4"/>
      <c r="BZ235" s="350"/>
      <c r="CA235" s="4"/>
      <c r="CB235" s="4"/>
      <c r="CC235" s="4"/>
      <c r="CD235" s="4"/>
      <c r="CE235" s="350"/>
      <c r="CF235" s="4"/>
      <c r="CG235" s="4"/>
      <c r="CH235" s="4"/>
      <c r="CI235" s="4"/>
      <c r="CJ235" s="350"/>
      <c r="CK235" s="4"/>
      <c r="CL235" s="4"/>
      <c r="CM235" s="4"/>
      <c r="CN235" s="16"/>
      <c r="CO235" s="350"/>
      <c r="CP235" s="104"/>
      <c r="CQ235" s="104"/>
      <c r="CR235" s="104"/>
      <c r="CS235" s="104"/>
      <c r="CT235" s="350"/>
      <c r="CU235" s="4"/>
      <c r="CV235" s="4"/>
      <c r="CW235" s="4"/>
      <c r="CX235" s="4"/>
      <c r="CY235" s="350"/>
      <c r="CZ235" s="4"/>
      <c r="DA235" s="4"/>
      <c r="DB235" s="4"/>
      <c r="DC235" s="4"/>
      <c r="DD235" s="350"/>
      <c r="DE235" s="4"/>
      <c r="DF235" s="4"/>
      <c r="DG235" s="4"/>
      <c r="DH235" s="4"/>
      <c r="DI235" s="350"/>
      <c r="DJ235" s="16"/>
      <c r="DK235" s="16"/>
      <c r="DL235" s="16"/>
      <c r="DM235" s="16"/>
      <c r="DN235" s="350"/>
      <c r="DO235" s="16"/>
      <c r="DP235" s="16"/>
      <c r="DQ235" s="16"/>
      <c r="DR235" s="16"/>
      <c r="DS235" s="356">
        <v>-5543.0</v>
      </c>
      <c r="DT235" s="16"/>
      <c r="DU235" s="16"/>
      <c r="DV235" s="16"/>
      <c r="DW235" s="16"/>
      <c r="DX235" s="356">
        <v>-4009.0</v>
      </c>
      <c r="DY235" s="357">
        <v>-2504.0</v>
      </c>
      <c r="DZ235" s="357">
        <v>-1195.0</v>
      </c>
      <c r="EA235" s="357">
        <v>-1030.0</v>
      </c>
      <c r="EB235" s="357">
        <v>-993.0</v>
      </c>
      <c r="EC235" s="356">
        <f>SUM(DY235:EB235)</f>
        <v>-5722</v>
      </c>
      <c r="ED235" s="357">
        <v>-265.0</v>
      </c>
      <c r="EE235" s="357">
        <v>-1768.0</v>
      </c>
      <c r="EF235" s="357">
        <v>-1583.0</v>
      </c>
      <c r="EG235" s="357">
        <v>-1998.0</v>
      </c>
      <c r="EH235" s="356">
        <f>SUM(ED235:EG235)</f>
        <v>-5614</v>
      </c>
      <c r="EI235" s="214">
        <v>0.0</v>
      </c>
      <c r="EJ235" s="16"/>
      <c r="EK235" s="4"/>
      <c r="EL235" s="4"/>
      <c r="EM235" s="356">
        <f>SUM(EI235:EL235)</f>
        <v>0</v>
      </c>
      <c r="EN235" s="357">
        <v>0.0</v>
      </c>
      <c r="EO235" s="16"/>
      <c r="EP235" s="4"/>
      <c r="EQ235" s="4"/>
      <c r="ER235" s="356">
        <f>SUM(EN235:EQ235)</f>
        <v>0</v>
      </c>
      <c r="ES235" s="357">
        <v>0.0</v>
      </c>
      <c r="ET235" s="16"/>
      <c r="EU235" s="4"/>
      <c r="EV235" s="4"/>
      <c r="EW235" s="356">
        <f>SUM(ES235:EV235)</f>
        <v>0</v>
      </c>
      <c r="EX235" s="357">
        <v>0.0</v>
      </c>
      <c r="EY235" s="16"/>
      <c r="EZ235" s="4"/>
      <c r="FA235" s="4"/>
      <c r="FB235" s="356">
        <f>SUM(EX235:FA235)</f>
        <v>0</v>
      </c>
      <c r="FC235" s="357">
        <v>0.0</v>
      </c>
      <c r="FD235" s="16"/>
      <c r="FE235" s="4"/>
      <c r="FF235" s="4"/>
      <c r="FG235" s="356">
        <f>SUM(FC235:FF235)</f>
        <v>0</v>
      </c>
      <c r="FH235" s="359"/>
      <c r="FI235" s="4"/>
      <c r="FJ235" s="4"/>
      <c r="FK235" s="45"/>
      <c r="FL235" s="4"/>
    </row>
    <row r="236" ht="12.75" customHeight="1">
      <c r="A236" s="4"/>
      <c r="B236" s="72" t="s">
        <v>164</v>
      </c>
      <c r="C236" s="45"/>
      <c r="D236" s="4"/>
      <c r="E236" s="4"/>
      <c r="F236" s="4"/>
      <c r="G236" s="4"/>
      <c r="H236" s="45"/>
      <c r="I236" s="4"/>
      <c r="J236" s="4"/>
      <c r="K236" s="4"/>
      <c r="L236" s="4"/>
      <c r="M236" s="45"/>
      <c r="N236" s="4"/>
      <c r="O236" s="4"/>
      <c r="P236" s="4"/>
      <c r="Q236" s="4"/>
      <c r="R236" s="45"/>
      <c r="S236" s="4"/>
      <c r="T236" s="4"/>
      <c r="U236" s="4"/>
      <c r="V236" s="4"/>
      <c r="W236" s="45"/>
      <c r="X236" s="4"/>
      <c r="Y236" s="4"/>
      <c r="Z236" s="4"/>
      <c r="AA236" s="4"/>
      <c r="AB236" s="45"/>
      <c r="AC236" s="4"/>
      <c r="AD236" s="4"/>
      <c r="AE236" s="4"/>
      <c r="AF236" s="4"/>
      <c r="AG236" s="45"/>
      <c r="AH236" s="4"/>
      <c r="AI236" s="4"/>
      <c r="AJ236" s="4"/>
      <c r="AK236" s="4"/>
      <c r="AL236" s="45"/>
      <c r="AM236" s="4"/>
      <c r="AN236" s="4"/>
      <c r="AO236" s="4"/>
      <c r="AP236" s="4"/>
      <c r="AQ236" s="45"/>
      <c r="AR236" s="4"/>
      <c r="AS236" s="4"/>
      <c r="AT236" s="4"/>
      <c r="AU236" s="4"/>
      <c r="AV236" s="45"/>
      <c r="AW236" s="4"/>
      <c r="AX236" s="4"/>
      <c r="AY236" s="4"/>
      <c r="AZ236" s="4"/>
      <c r="BA236" s="45"/>
      <c r="BB236" s="4"/>
      <c r="BC236" s="4"/>
      <c r="BD236" s="4"/>
      <c r="BE236" s="4"/>
      <c r="BF236" s="45"/>
      <c r="BG236" s="4"/>
      <c r="BH236" s="4"/>
      <c r="BI236" s="4"/>
      <c r="BJ236" s="4"/>
      <c r="BK236" s="45"/>
      <c r="BL236" s="4"/>
      <c r="BM236" s="4"/>
      <c r="BN236" s="4"/>
      <c r="BO236" s="4"/>
      <c r="BP236" s="45"/>
      <c r="BQ236" s="4"/>
      <c r="BR236" s="4"/>
      <c r="BS236" s="4"/>
      <c r="BT236" s="4"/>
      <c r="BU236" s="45"/>
      <c r="BV236" s="4"/>
      <c r="BW236" s="4"/>
      <c r="BX236" s="4"/>
      <c r="BY236" s="4"/>
      <c r="BZ236" s="350"/>
      <c r="CA236" s="4"/>
      <c r="CB236" s="4"/>
      <c r="CC236" s="4"/>
      <c r="CD236" s="4"/>
      <c r="CE236" s="350"/>
      <c r="CF236" s="4"/>
      <c r="CG236" s="4"/>
      <c r="CH236" s="4"/>
      <c r="CI236" s="4"/>
      <c r="CJ236" s="350"/>
      <c r="CK236" s="4"/>
      <c r="CL236" s="4"/>
      <c r="CM236" s="4"/>
      <c r="CN236" s="16"/>
      <c r="CO236" s="350"/>
      <c r="CP236" s="104"/>
      <c r="CQ236" s="104"/>
      <c r="CR236" s="104"/>
      <c r="CS236" s="104"/>
      <c r="CT236" s="350"/>
      <c r="CU236" s="4"/>
      <c r="CV236" s="4"/>
      <c r="CW236" s="4"/>
      <c r="CX236" s="4"/>
      <c r="CY236" s="350"/>
      <c r="CZ236" s="4"/>
      <c r="DA236" s="4"/>
      <c r="DB236" s="4"/>
      <c r="DC236" s="4"/>
      <c r="DD236" s="350"/>
      <c r="DE236" s="4"/>
      <c r="DF236" s="4"/>
      <c r="DG236" s="4"/>
      <c r="DH236" s="4"/>
      <c r="DI236" s="350"/>
      <c r="DJ236" s="16"/>
      <c r="DK236" s="16"/>
      <c r="DL236" s="16"/>
      <c r="DM236" s="16"/>
      <c r="DN236" s="350"/>
      <c r="DO236" s="16"/>
      <c r="DP236" s="16"/>
      <c r="DQ236" s="16"/>
      <c r="DR236" s="16"/>
      <c r="DS236" s="37">
        <f>DS235/DS232</f>
        <v>-1.335662651</v>
      </c>
      <c r="DT236" s="16"/>
      <c r="DU236" s="16"/>
      <c r="DV236" s="16"/>
      <c r="DW236" s="16"/>
      <c r="DX236" s="37">
        <f t="shared" ref="DX236:EI236" si="1442">DX235/DX232</f>
        <v>-0.7874680809</v>
      </c>
      <c r="DY236" s="40">
        <f t="shared" si="1442"/>
        <v>-1.452436195</v>
      </c>
      <c r="DZ236" s="40">
        <f t="shared" si="1442"/>
        <v>-1.058458813</v>
      </c>
      <c r="EA236" s="40">
        <f t="shared" si="1442"/>
        <v>-0.9090909091</v>
      </c>
      <c r="EB236" s="40">
        <f t="shared" si="1442"/>
        <v>-0.9612778316</v>
      </c>
      <c r="EC236" s="37">
        <f t="shared" si="1442"/>
        <v>-1.140067743</v>
      </c>
      <c r="ED236" s="40">
        <f t="shared" si="1442"/>
        <v>-3.955223881</v>
      </c>
      <c r="EE236" s="40">
        <f t="shared" si="1442"/>
        <v>-55.25</v>
      </c>
      <c r="EF236" s="40">
        <f t="shared" si="1442"/>
        <v>-23.62686567</v>
      </c>
      <c r="EG236" s="40">
        <f t="shared" si="1442"/>
        <v>-66.6</v>
      </c>
      <c r="EH236" s="37">
        <f t="shared" si="1442"/>
        <v>-28.64285714</v>
      </c>
      <c r="EI236" s="214">
        <f t="shared" si="1442"/>
        <v>0</v>
      </c>
      <c r="EJ236" s="16"/>
      <c r="EK236" s="4"/>
      <c r="EL236" s="4"/>
      <c r="EM236" s="37">
        <f t="shared" ref="EM236:EN236" si="1443">EM235/EM232</f>
        <v>0</v>
      </c>
      <c r="EN236" s="40">
        <f t="shared" si="1443"/>
        <v>0</v>
      </c>
      <c r="EO236" s="16"/>
      <c r="EP236" s="4"/>
      <c r="EQ236" s="4"/>
      <c r="ER236" s="37">
        <f t="shared" ref="ER236:ES236" si="1444">ER235/ER232</f>
        <v>0</v>
      </c>
      <c r="ES236" s="40">
        <f t="shared" si="1444"/>
        <v>0</v>
      </c>
      <c r="ET236" s="16"/>
      <c r="EU236" s="4"/>
      <c r="EV236" s="4"/>
      <c r="EW236" s="37">
        <f t="shared" ref="EW236:EX236" si="1445">EW235/EW232</f>
        <v>0</v>
      </c>
      <c r="EX236" s="40">
        <f t="shared" si="1445"/>
        <v>0</v>
      </c>
      <c r="EY236" s="16"/>
      <c r="EZ236" s="4"/>
      <c r="FA236" s="4"/>
      <c r="FB236" s="37">
        <f t="shared" ref="FB236:FC236" si="1446">FB235/FB232</f>
        <v>0</v>
      </c>
      <c r="FC236" s="40">
        <f t="shared" si="1446"/>
        <v>0</v>
      </c>
      <c r="FD236" s="16"/>
      <c r="FE236" s="4"/>
      <c r="FF236" s="4"/>
      <c r="FG236" s="37">
        <f>FG235/FG232</f>
        <v>0</v>
      </c>
      <c r="FH236" s="35"/>
      <c r="FI236" s="4"/>
      <c r="FJ236" s="4"/>
      <c r="FK236" s="45"/>
      <c r="FL236" s="4"/>
    </row>
    <row r="237" ht="12.75" customHeight="1">
      <c r="A237" s="90"/>
      <c r="B237" s="299"/>
      <c r="C237" s="299"/>
      <c r="D237" s="90"/>
      <c r="E237" s="90"/>
      <c r="F237" s="90"/>
      <c r="G237" s="90"/>
      <c r="H237" s="299"/>
      <c r="I237" s="90"/>
      <c r="J237" s="90"/>
      <c r="K237" s="90"/>
      <c r="L237" s="90"/>
      <c r="M237" s="299"/>
      <c r="N237" s="90"/>
      <c r="O237" s="90"/>
      <c r="P237" s="90"/>
      <c r="Q237" s="90"/>
      <c r="R237" s="299"/>
      <c r="S237" s="90"/>
      <c r="T237" s="90"/>
      <c r="U237" s="90"/>
      <c r="V237" s="90"/>
      <c r="W237" s="299"/>
      <c r="X237" s="90"/>
      <c r="Y237" s="90"/>
      <c r="Z237" s="90"/>
      <c r="AA237" s="90"/>
      <c r="AB237" s="299"/>
      <c r="AC237" s="90"/>
      <c r="AD237" s="90"/>
      <c r="AE237" s="90"/>
      <c r="AF237" s="90"/>
      <c r="AG237" s="299"/>
      <c r="AH237" s="90"/>
      <c r="AI237" s="90"/>
      <c r="AJ237" s="90"/>
      <c r="AK237" s="90"/>
      <c r="AL237" s="299"/>
      <c r="AM237" s="90"/>
      <c r="AN237" s="90"/>
      <c r="AO237" s="90"/>
      <c r="AP237" s="90"/>
      <c r="AQ237" s="299"/>
      <c r="AR237" s="90"/>
      <c r="AS237" s="90"/>
      <c r="AT237" s="90"/>
      <c r="AU237" s="90"/>
      <c r="AV237" s="299"/>
      <c r="AW237" s="90"/>
      <c r="AX237" s="90"/>
      <c r="AY237" s="90"/>
      <c r="AZ237" s="90"/>
      <c r="BA237" s="299"/>
      <c r="BB237" s="90"/>
      <c r="BC237" s="90"/>
      <c r="BD237" s="90"/>
      <c r="BE237" s="90"/>
      <c r="BF237" s="299"/>
      <c r="BG237" s="90"/>
      <c r="BH237" s="90"/>
      <c r="BI237" s="90"/>
      <c r="BJ237" s="90"/>
      <c r="BK237" s="299"/>
      <c r="BL237" s="90"/>
      <c r="BM237" s="90"/>
      <c r="BN237" s="90"/>
      <c r="BO237" s="90"/>
      <c r="BP237" s="299"/>
      <c r="BQ237" s="90"/>
      <c r="BR237" s="90"/>
      <c r="BS237" s="90"/>
      <c r="BT237" s="90"/>
      <c r="BU237" s="299"/>
      <c r="BV237" s="90"/>
      <c r="BW237" s="90"/>
      <c r="BX237" s="90"/>
      <c r="BY237" s="90"/>
      <c r="BZ237" s="301"/>
      <c r="CA237" s="90"/>
      <c r="CB237" s="90"/>
      <c r="CC237" s="90"/>
      <c r="CD237" s="90"/>
      <c r="CE237" s="301"/>
      <c r="CF237" s="90"/>
      <c r="CG237" s="90"/>
      <c r="CH237" s="90"/>
      <c r="CI237" s="90"/>
      <c r="CJ237" s="301"/>
      <c r="CK237" s="90"/>
      <c r="CL237" s="90"/>
      <c r="CM237" s="90"/>
      <c r="CN237" s="135"/>
      <c r="CO237" s="301"/>
      <c r="CP237" s="388"/>
      <c r="CQ237" s="388"/>
      <c r="CR237" s="388"/>
      <c r="CS237" s="388"/>
      <c r="CT237" s="301"/>
      <c r="CU237" s="90"/>
      <c r="CV237" s="90"/>
      <c r="CW237" s="90"/>
      <c r="CX237" s="90"/>
      <c r="CY237" s="301"/>
      <c r="CZ237" s="90"/>
      <c r="DA237" s="90"/>
      <c r="DB237" s="90"/>
      <c r="DC237" s="90"/>
      <c r="DD237" s="301"/>
      <c r="DE237" s="90"/>
      <c r="DF237" s="90"/>
      <c r="DG237" s="90"/>
      <c r="DH237" s="90"/>
      <c r="DI237" s="301"/>
      <c r="DJ237" s="135"/>
      <c r="DK237" s="135"/>
      <c r="DL237" s="135"/>
      <c r="DM237" s="135"/>
      <c r="DN237" s="301"/>
      <c r="DO237" s="135"/>
      <c r="DP237" s="135"/>
      <c r="DQ237" s="135"/>
      <c r="DR237" s="135"/>
      <c r="DS237" s="301"/>
      <c r="DT237" s="135"/>
      <c r="DU237" s="135"/>
      <c r="DV237" s="135"/>
      <c r="DW237" s="135"/>
      <c r="DX237" s="301"/>
      <c r="DY237" s="135"/>
      <c r="DZ237" s="135"/>
      <c r="EA237" s="135"/>
      <c r="EB237" s="135"/>
      <c r="EC237" s="301"/>
      <c r="ED237" s="135"/>
      <c r="EE237" s="135"/>
      <c r="EF237" s="135"/>
      <c r="EG237" s="135"/>
      <c r="EH237" s="301"/>
      <c r="EI237" s="389"/>
      <c r="EJ237" s="135"/>
      <c r="EK237" s="90"/>
      <c r="EL237" s="90"/>
      <c r="EM237" s="301"/>
      <c r="EN237" s="135"/>
      <c r="EO237" s="135"/>
      <c r="EP237" s="90"/>
      <c r="EQ237" s="90"/>
      <c r="ER237" s="301"/>
      <c r="ES237" s="135"/>
      <c r="ET237" s="135"/>
      <c r="EU237" s="90"/>
      <c r="EV237" s="90"/>
      <c r="EW237" s="301"/>
      <c r="EX237" s="135"/>
      <c r="EY237" s="135"/>
      <c r="EZ237" s="90"/>
      <c r="FA237" s="90"/>
      <c r="FB237" s="301"/>
      <c r="FC237" s="135"/>
      <c r="FD237" s="135"/>
      <c r="FE237" s="90"/>
      <c r="FF237" s="90"/>
      <c r="FG237" s="301"/>
      <c r="FH237" s="137"/>
      <c r="FI237" s="90"/>
      <c r="FJ237" s="90"/>
      <c r="FK237" s="299"/>
      <c r="FL237" s="90"/>
    </row>
    <row r="238" ht="12.75" customHeight="1">
      <c r="A238" s="4"/>
      <c r="B238" s="45" t="s">
        <v>177</v>
      </c>
      <c r="C238" s="45"/>
      <c r="D238" s="4"/>
      <c r="E238" s="4"/>
      <c r="F238" s="4"/>
      <c r="G238" s="4"/>
      <c r="H238" s="45"/>
      <c r="I238" s="4"/>
      <c r="J238" s="4"/>
      <c r="K238" s="4"/>
      <c r="L238" s="4"/>
      <c r="M238" s="45"/>
      <c r="N238" s="4"/>
      <c r="O238" s="4"/>
      <c r="P238" s="4"/>
      <c r="Q238" s="4"/>
      <c r="R238" s="45"/>
      <c r="S238" s="4"/>
      <c r="T238" s="4"/>
      <c r="U238" s="4"/>
      <c r="V238" s="4"/>
      <c r="W238" s="45"/>
      <c r="X238" s="4"/>
      <c r="Y238" s="4"/>
      <c r="Z238" s="4"/>
      <c r="AA238" s="4"/>
      <c r="AB238" s="45"/>
      <c r="AC238" s="4"/>
      <c r="AD238" s="4"/>
      <c r="AE238" s="4"/>
      <c r="AF238" s="4"/>
      <c r="AG238" s="45"/>
      <c r="AH238" s="4"/>
      <c r="AI238" s="4"/>
      <c r="AJ238" s="4"/>
      <c r="AK238" s="4"/>
      <c r="AL238" s="45"/>
      <c r="AM238" s="4"/>
      <c r="AN238" s="4"/>
      <c r="AO238" s="4"/>
      <c r="AP238" s="4"/>
      <c r="AQ238" s="45"/>
      <c r="AR238" s="4"/>
      <c r="AS238" s="4"/>
      <c r="AT238" s="4"/>
      <c r="AU238" s="4"/>
      <c r="AV238" s="45"/>
      <c r="AW238" s="4"/>
      <c r="AX238" s="4"/>
      <c r="AY238" s="4"/>
      <c r="AZ238" s="4"/>
      <c r="BA238" s="45"/>
      <c r="BB238" s="4"/>
      <c r="BC238" s="4"/>
      <c r="BD238" s="4"/>
      <c r="BE238" s="4"/>
      <c r="BF238" s="45"/>
      <c r="BG238" s="4"/>
      <c r="BH238" s="4"/>
      <c r="BI238" s="4"/>
      <c r="BJ238" s="4"/>
      <c r="BK238" s="45"/>
      <c r="BL238" s="4"/>
      <c r="BM238" s="4"/>
      <c r="BN238" s="4"/>
      <c r="BO238" s="4"/>
      <c r="BP238" s="45"/>
      <c r="BQ238" s="4"/>
      <c r="BR238" s="4"/>
      <c r="BS238" s="4"/>
      <c r="BT238" s="4"/>
      <c r="BU238" s="45"/>
      <c r="BV238" s="4"/>
      <c r="BW238" s="4"/>
      <c r="BX238" s="4"/>
      <c r="BY238" s="4"/>
      <c r="BZ238" s="350"/>
      <c r="CA238" s="4"/>
      <c r="CB238" s="4"/>
      <c r="CC238" s="4"/>
      <c r="CD238" s="4"/>
      <c r="CE238" s="350"/>
      <c r="CF238" s="4"/>
      <c r="CG238" s="4"/>
      <c r="CH238" s="4"/>
      <c r="CI238" s="4"/>
      <c r="CJ238" s="350"/>
      <c r="CK238" s="4"/>
      <c r="CL238" s="4"/>
      <c r="CM238" s="4"/>
      <c r="CN238" s="16"/>
      <c r="CO238" s="350"/>
      <c r="CP238" s="104"/>
      <c r="CQ238" s="104"/>
      <c r="CR238" s="104"/>
      <c r="CS238" s="104"/>
      <c r="CT238" s="350"/>
      <c r="CU238" s="4"/>
      <c r="CV238" s="4"/>
      <c r="CW238" s="4"/>
      <c r="CX238" s="4"/>
      <c r="CY238" s="350"/>
      <c r="CZ238" s="4"/>
      <c r="DA238" s="4"/>
      <c r="DB238" s="4"/>
      <c r="DC238" s="4"/>
      <c r="DD238" s="350"/>
      <c r="DE238" s="4"/>
      <c r="DF238" s="4"/>
      <c r="DG238" s="4"/>
      <c r="DH238" s="4"/>
      <c r="DI238" s="350"/>
      <c r="DJ238" s="16"/>
      <c r="DK238" s="16"/>
      <c r="DL238" s="16"/>
      <c r="DM238" s="16"/>
      <c r="DN238" s="350"/>
      <c r="DO238" s="16"/>
      <c r="DP238" s="16"/>
      <c r="DQ238" s="16"/>
      <c r="DR238" s="16"/>
      <c r="DS238" s="356">
        <f>DS232+DS225+DS218+DS204+DS182+DS138+DS211</f>
        <v>72559</v>
      </c>
      <c r="DT238" s="16"/>
      <c r="DU238" s="16"/>
      <c r="DV238" s="16"/>
      <c r="DW238" s="16"/>
      <c r="DX238" s="356">
        <f t="shared" ref="DX238:EB238" si="1447">DX232+DX225+DX218+DX204+DX182+DX138+DX211</f>
        <v>78504</v>
      </c>
      <c r="DY238" s="357">
        <f t="shared" si="1447"/>
        <v>19847</v>
      </c>
      <c r="DZ238" s="357">
        <f t="shared" si="1447"/>
        <v>19802</v>
      </c>
      <c r="EA238" s="357">
        <f t="shared" si="1447"/>
        <v>19356</v>
      </c>
      <c r="EB238" s="357">
        <f t="shared" si="1447"/>
        <v>20694</v>
      </c>
      <c r="EC238" s="356">
        <f t="shared" ref="EC238:EC242" si="1454">SUM(DY238:EB238)</f>
        <v>79699</v>
      </c>
      <c r="ED238" s="357">
        <f t="shared" ref="ED238:EG238" si="1448">ED232+ED225+ED218+ED204+ED182+ED138+ED211</f>
        <v>18504</v>
      </c>
      <c r="EE238" s="357">
        <f t="shared" si="1448"/>
        <v>15447</v>
      </c>
      <c r="EF238" s="357">
        <f t="shared" si="1448"/>
        <v>15472</v>
      </c>
      <c r="EG238" s="357">
        <f t="shared" si="1448"/>
        <v>14151</v>
      </c>
      <c r="EH238" s="356">
        <f t="shared" ref="EH238:EH242" si="1455">SUM(ED238:EG238)</f>
        <v>63574</v>
      </c>
      <c r="EI238" s="358" t="str">
        <f t="shared" ref="EI238:EL238" si="1449">EI232+EI225+EI218+EI204+EI182+EI138+EI211</f>
        <v>#ERROR!</v>
      </c>
      <c r="EJ238" s="357" t="str">
        <f t="shared" si="1449"/>
        <v>#ERROR!</v>
      </c>
      <c r="EK238" s="357" t="str">
        <f t="shared" si="1449"/>
        <v>#ERROR!</v>
      </c>
      <c r="EL238" s="357" t="str">
        <f t="shared" si="1449"/>
        <v>#ERROR!</v>
      </c>
      <c r="EM238" s="356" t="str">
        <f t="shared" ref="EM238:EM242" si="1457">SUM(EI238:EL238)</f>
        <v>#ERROR!</v>
      </c>
      <c r="EN238" s="357" t="str">
        <f t="shared" ref="EN238:EQ238" si="1450">EN232+EN225+EN218+EN204+EN182+EN138+EN211</f>
        <v>#ERROR!</v>
      </c>
      <c r="EO238" s="357" t="str">
        <f t="shared" si="1450"/>
        <v>#ERROR!</v>
      </c>
      <c r="EP238" s="357" t="str">
        <f t="shared" si="1450"/>
        <v>#ERROR!</v>
      </c>
      <c r="EQ238" s="357" t="str">
        <f t="shared" si="1450"/>
        <v>#ERROR!</v>
      </c>
      <c r="ER238" s="356" t="str">
        <f t="shared" ref="ER238:ER242" si="1459">SUM(EN238:EQ238)</f>
        <v>#ERROR!</v>
      </c>
      <c r="ES238" s="357" t="str">
        <f t="shared" ref="ES238:EV238" si="1451">ES232+ES225+ES218+ES204+ES182+ES138+ES211</f>
        <v>#ERROR!</v>
      </c>
      <c r="ET238" s="357" t="str">
        <f t="shared" si="1451"/>
        <v>#ERROR!</v>
      </c>
      <c r="EU238" s="357" t="str">
        <f t="shared" si="1451"/>
        <v>#ERROR!</v>
      </c>
      <c r="EV238" s="357" t="str">
        <f t="shared" si="1451"/>
        <v>#ERROR!</v>
      </c>
      <c r="EW238" s="356" t="str">
        <f t="shared" ref="EW238:EW242" si="1461">SUM(ES238:EV238)</f>
        <v>#ERROR!</v>
      </c>
      <c r="EX238" s="357" t="str">
        <f t="shared" ref="EX238:FA238" si="1452">EX232+EX225+EX218+EX204+EX182+EX138+EX211</f>
        <v>#ERROR!</v>
      </c>
      <c r="EY238" s="357" t="str">
        <f t="shared" si="1452"/>
        <v>#ERROR!</v>
      </c>
      <c r="EZ238" s="357" t="str">
        <f t="shared" si="1452"/>
        <v>#ERROR!</v>
      </c>
      <c r="FA238" s="357" t="str">
        <f t="shared" si="1452"/>
        <v>#ERROR!</v>
      </c>
      <c r="FB238" s="356" t="str">
        <f t="shared" ref="FB238:FB242" si="1463">SUM(EX238:FA238)</f>
        <v>#ERROR!</v>
      </c>
      <c r="FC238" s="357" t="str">
        <f t="shared" ref="FC238:FF238" si="1453">FC232+FC225+FC218+FC204+FC182+FC138+FC211</f>
        <v>#ERROR!</v>
      </c>
      <c r="FD238" s="357" t="str">
        <f t="shared" si="1453"/>
        <v>#ERROR!</v>
      </c>
      <c r="FE238" s="357" t="str">
        <f t="shared" si="1453"/>
        <v>#ERROR!</v>
      </c>
      <c r="FF238" s="357" t="str">
        <f t="shared" si="1453"/>
        <v>#ERROR!</v>
      </c>
      <c r="FG238" s="356" t="str">
        <f t="shared" ref="FG238:FG242" si="1465">SUM(FC238:FF238)</f>
        <v>#ERROR!</v>
      </c>
      <c r="FH238" s="359"/>
      <c r="FI238" s="4"/>
      <c r="FJ238" s="4"/>
      <c r="FK238" s="45"/>
      <c r="FL238" s="4"/>
    </row>
    <row r="239" ht="12.75" customHeight="1">
      <c r="A239" s="4"/>
      <c r="B239" s="72" t="s">
        <v>178</v>
      </c>
      <c r="C239" s="45"/>
      <c r="D239" s="4"/>
      <c r="E239" s="4"/>
      <c r="F239" s="4"/>
      <c r="G239" s="4"/>
      <c r="H239" s="45"/>
      <c r="I239" s="4"/>
      <c r="J239" s="4"/>
      <c r="K239" s="4"/>
      <c r="L239" s="4"/>
      <c r="M239" s="45"/>
      <c r="N239" s="4"/>
      <c r="O239" s="4"/>
      <c r="P239" s="4"/>
      <c r="Q239" s="4"/>
      <c r="R239" s="45"/>
      <c r="S239" s="4"/>
      <c r="T239" s="4"/>
      <c r="U239" s="4"/>
      <c r="V239" s="4"/>
      <c r="W239" s="45"/>
      <c r="X239" s="4"/>
      <c r="Y239" s="4"/>
      <c r="Z239" s="4"/>
      <c r="AA239" s="4"/>
      <c r="AB239" s="45"/>
      <c r="AC239" s="4"/>
      <c r="AD239" s="4"/>
      <c r="AE239" s="4"/>
      <c r="AF239" s="4"/>
      <c r="AG239" s="45"/>
      <c r="AH239" s="4"/>
      <c r="AI239" s="4"/>
      <c r="AJ239" s="4"/>
      <c r="AK239" s="4"/>
      <c r="AL239" s="45"/>
      <c r="AM239" s="4"/>
      <c r="AN239" s="4"/>
      <c r="AO239" s="4"/>
      <c r="AP239" s="4"/>
      <c r="AQ239" s="45"/>
      <c r="AR239" s="4"/>
      <c r="AS239" s="4"/>
      <c r="AT239" s="4"/>
      <c r="AU239" s="4"/>
      <c r="AV239" s="45"/>
      <c r="AW239" s="4"/>
      <c r="AX239" s="4"/>
      <c r="AY239" s="4"/>
      <c r="AZ239" s="4"/>
      <c r="BA239" s="45"/>
      <c r="BB239" s="4"/>
      <c r="BC239" s="4"/>
      <c r="BD239" s="4"/>
      <c r="BE239" s="4"/>
      <c r="BF239" s="45"/>
      <c r="BG239" s="4"/>
      <c r="BH239" s="4"/>
      <c r="BI239" s="4"/>
      <c r="BJ239" s="4"/>
      <c r="BK239" s="45"/>
      <c r="BL239" s="4"/>
      <c r="BM239" s="4"/>
      <c r="BN239" s="4"/>
      <c r="BO239" s="4"/>
      <c r="BP239" s="45"/>
      <c r="BQ239" s="4"/>
      <c r="BR239" s="4"/>
      <c r="BS239" s="4"/>
      <c r="BT239" s="4"/>
      <c r="BU239" s="45"/>
      <c r="BV239" s="4"/>
      <c r="BW239" s="4"/>
      <c r="BX239" s="4"/>
      <c r="BY239" s="4"/>
      <c r="BZ239" s="350"/>
      <c r="CA239" s="4"/>
      <c r="CB239" s="4"/>
      <c r="CC239" s="4"/>
      <c r="CD239" s="4"/>
      <c r="CE239" s="350"/>
      <c r="CF239" s="4"/>
      <c r="CG239" s="4"/>
      <c r="CH239" s="4"/>
      <c r="CI239" s="4"/>
      <c r="CJ239" s="350"/>
      <c r="CK239" s="4"/>
      <c r="CL239" s="4"/>
      <c r="CM239" s="4"/>
      <c r="CN239" s="16"/>
      <c r="CO239" s="350"/>
      <c r="CP239" s="104"/>
      <c r="CQ239" s="104"/>
      <c r="CR239" s="104"/>
      <c r="CS239" s="104"/>
      <c r="CT239" s="350"/>
      <c r="CU239" s="4"/>
      <c r="CV239" s="4"/>
      <c r="CW239" s="4"/>
      <c r="CX239" s="4"/>
      <c r="CY239" s="350"/>
      <c r="CZ239" s="4"/>
      <c r="DA239" s="4"/>
      <c r="DB239" s="4"/>
      <c r="DC239" s="4"/>
      <c r="DD239" s="350"/>
      <c r="DE239" s="4"/>
      <c r="DF239" s="4"/>
      <c r="DG239" s="4"/>
      <c r="DH239" s="4"/>
      <c r="DI239" s="350"/>
      <c r="DJ239" s="16"/>
      <c r="DK239" s="16"/>
      <c r="DL239" s="16"/>
      <c r="DM239" s="16"/>
      <c r="DN239" s="350"/>
      <c r="DO239" s="16"/>
      <c r="DP239" s="16"/>
      <c r="DQ239" s="16"/>
      <c r="DR239" s="16"/>
      <c r="DS239" s="356">
        <v>-594.0</v>
      </c>
      <c r="DT239" s="16"/>
      <c r="DU239" s="16"/>
      <c r="DV239" s="16"/>
      <c r="DW239" s="16"/>
      <c r="DX239" s="356">
        <v>-637.0</v>
      </c>
      <c r="DY239" s="357">
        <v>-174.0</v>
      </c>
      <c r="DZ239" s="357">
        <v>-171.0</v>
      </c>
      <c r="EA239" s="357">
        <v>-164.0</v>
      </c>
      <c r="EB239" s="357">
        <v>-166.0</v>
      </c>
      <c r="EC239" s="356">
        <f t="shared" si="1454"/>
        <v>-675</v>
      </c>
      <c r="ED239" s="357">
        <v>-151.0</v>
      </c>
      <c r="EE239" s="357">
        <v>-126.0</v>
      </c>
      <c r="EF239" s="357">
        <v>-134.0</v>
      </c>
      <c r="EG239" s="357">
        <v>-109.0</v>
      </c>
      <c r="EH239" s="356">
        <f t="shared" si="1455"/>
        <v>-520</v>
      </c>
      <c r="EI239" s="358">
        <v>-151.0</v>
      </c>
      <c r="EJ239" s="357">
        <f t="shared" ref="EJ239:EL239" si="1456">EI239</f>
        <v>-151</v>
      </c>
      <c r="EK239" s="357">
        <f t="shared" si="1456"/>
        <v>-151</v>
      </c>
      <c r="EL239" s="357">
        <f t="shared" si="1456"/>
        <v>-151</v>
      </c>
      <c r="EM239" s="356">
        <f t="shared" si="1457"/>
        <v>-604</v>
      </c>
      <c r="EN239" s="357">
        <v>-151.0</v>
      </c>
      <c r="EO239" s="357">
        <f t="shared" ref="EO239:EQ239" si="1458">EN239</f>
        <v>-151</v>
      </c>
      <c r="EP239" s="357">
        <f t="shared" si="1458"/>
        <v>-151</v>
      </c>
      <c r="EQ239" s="357">
        <f t="shared" si="1458"/>
        <v>-151</v>
      </c>
      <c r="ER239" s="356">
        <f t="shared" si="1459"/>
        <v>-604</v>
      </c>
      <c r="ES239" s="357">
        <v>-151.0</v>
      </c>
      <c r="ET239" s="357">
        <f t="shared" ref="ET239:EV239" si="1460">ES239</f>
        <v>-151</v>
      </c>
      <c r="EU239" s="357">
        <f t="shared" si="1460"/>
        <v>-151</v>
      </c>
      <c r="EV239" s="357">
        <f t="shared" si="1460"/>
        <v>-151</v>
      </c>
      <c r="EW239" s="356">
        <f t="shared" si="1461"/>
        <v>-604</v>
      </c>
      <c r="EX239" s="357">
        <v>-151.0</v>
      </c>
      <c r="EY239" s="357">
        <f t="shared" ref="EY239:FA239" si="1462">EX239</f>
        <v>-151</v>
      </c>
      <c r="EZ239" s="357">
        <f t="shared" si="1462"/>
        <v>-151</v>
      </c>
      <c r="FA239" s="357">
        <f t="shared" si="1462"/>
        <v>-151</v>
      </c>
      <c r="FB239" s="356">
        <f t="shared" si="1463"/>
        <v>-604</v>
      </c>
      <c r="FC239" s="357">
        <v>-151.0</v>
      </c>
      <c r="FD239" s="357">
        <f t="shared" ref="FD239:FF239" si="1464">FC239</f>
        <v>-151</v>
      </c>
      <c r="FE239" s="357">
        <f t="shared" si="1464"/>
        <v>-151</v>
      </c>
      <c r="FF239" s="357">
        <f t="shared" si="1464"/>
        <v>-151</v>
      </c>
      <c r="FG239" s="356">
        <f t="shared" si="1465"/>
        <v>-604</v>
      </c>
      <c r="FH239" s="359"/>
      <c r="FI239" s="4"/>
      <c r="FJ239" s="4"/>
      <c r="FK239" s="45"/>
      <c r="FL239" s="4"/>
    </row>
    <row r="240" ht="12.75" customHeight="1">
      <c r="A240" s="4"/>
      <c r="B240" s="45" t="s">
        <v>179</v>
      </c>
      <c r="C240" s="45"/>
      <c r="D240" s="4"/>
      <c r="E240" s="4"/>
      <c r="F240" s="4"/>
      <c r="G240" s="4"/>
      <c r="H240" s="45"/>
      <c r="I240" s="4"/>
      <c r="J240" s="4"/>
      <c r="K240" s="4"/>
      <c r="L240" s="4"/>
      <c r="M240" s="45"/>
      <c r="N240" s="4"/>
      <c r="O240" s="4"/>
      <c r="P240" s="4"/>
      <c r="Q240" s="4"/>
      <c r="R240" s="45"/>
      <c r="S240" s="4"/>
      <c r="T240" s="4"/>
      <c r="U240" s="4"/>
      <c r="V240" s="4"/>
      <c r="W240" s="45"/>
      <c r="X240" s="4"/>
      <c r="Y240" s="4"/>
      <c r="Z240" s="4"/>
      <c r="AA240" s="4"/>
      <c r="AB240" s="45"/>
      <c r="AC240" s="4"/>
      <c r="AD240" s="4"/>
      <c r="AE240" s="4"/>
      <c r="AF240" s="4"/>
      <c r="AG240" s="45"/>
      <c r="AH240" s="4"/>
      <c r="AI240" s="4"/>
      <c r="AJ240" s="4"/>
      <c r="AK240" s="4"/>
      <c r="AL240" s="45"/>
      <c r="AM240" s="4"/>
      <c r="AN240" s="4"/>
      <c r="AO240" s="4"/>
      <c r="AP240" s="4"/>
      <c r="AQ240" s="45"/>
      <c r="AR240" s="4"/>
      <c r="AS240" s="4"/>
      <c r="AT240" s="4"/>
      <c r="AU240" s="4"/>
      <c r="AV240" s="45"/>
      <c r="AW240" s="4"/>
      <c r="AX240" s="4"/>
      <c r="AY240" s="4"/>
      <c r="AZ240" s="4"/>
      <c r="BA240" s="45"/>
      <c r="BB240" s="4"/>
      <c r="BC240" s="4"/>
      <c r="BD240" s="4"/>
      <c r="BE240" s="4"/>
      <c r="BF240" s="45"/>
      <c r="BG240" s="4"/>
      <c r="BH240" s="4"/>
      <c r="BI240" s="4"/>
      <c r="BJ240" s="4"/>
      <c r="BK240" s="45"/>
      <c r="BL240" s="4"/>
      <c r="BM240" s="4"/>
      <c r="BN240" s="4"/>
      <c r="BO240" s="4"/>
      <c r="BP240" s="45"/>
      <c r="BQ240" s="4"/>
      <c r="BR240" s="4"/>
      <c r="BS240" s="4"/>
      <c r="BT240" s="4"/>
      <c r="BU240" s="45"/>
      <c r="BV240" s="4"/>
      <c r="BW240" s="4"/>
      <c r="BX240" s="4"/>
      <c r="BY240" s="4"/>
      <c r="BZ240" s="350"/>
      <c r="CA240" s="4"/>
      <c r="CB240" s="4"/>
      <c r="CC240" s="4"/>
      <c r="CD240" s="4"/>
      <c r="CE240" s="350"/>
      <c r="CF240" s="4"/>
      <c r="CG240" s="4"/>
      <c r="CH240" s="4"/>
      <c r="CI240" s="4"/>
      <c r="CJ240" s="350"/>
      <c r="CK240" s="4"/>
      <c r="CL240" s="4"/>
      <c r="CM240" s="4"/>
      <c r="CN240" s="16"/>
      <c r="CO240" s="350"/>
      <c r="CP240" s="104"/>
      <c r="CQ240" s="104"/>
      <c r="CR240" s="104"/>
      <c r="CS240" s="104"/>
      <c r="CT240" s="350"/>
      <c r="CU240" s="4"/>
      <c r="CV240" s="4"/>
      <c r="CW240" s="4"/>
      <c r="CX240" s="4"/>
      <c r="CY240" s="350"/>
      <c r="CZ240" s="4"/>
      <c r="DA240" s="4"/>
      <c r="DB240" s="4"/>
      <c r="DC240" s="4"/>
      <c r="DD240" s="350"/>
      <c r="DE240" s="4"/>
      <c r="DF240" s="4"/>
      <c r="DG240" s="4"/>
      <c r="DH240" s="4"/>
      <c r="DI240" s="350"/>
      <c r="DJ240" s="16"/>
      <c r="DK240" s="16"/>
      <c r="DL240" s="16"/>
      <c r="DM240" s="16"/>
      <c r="DN240" s="350"/>
      <c r="DO240" s="16"/>
      <c r="DP240" s="16"/>
      <c r="DQ240" s="16"/>
      <c r="DR240" s="16"/>
      <c r="DS240" s="356">
        <f>DS238+DS239</f>
        <v>71965</v>
      </c>
      <c r="DT240" s="16"/>
      <c r="DU240" s="16"/>
      <c r="DV240" s="16"/>
      <c r="DW240" s="16"/>
      <c r="DX240" s="356">
        <f t="shared" ref="DX240:EB240" si="1466">DX238+DX239</f>
        <v>77867</v>
      </c>
      <c r="DY240" s="357">
        <f t="shared" si="1466"/>
        <v>19673</v>
      </c>
      <c r="DZ240" s="357">
        <f t="shared" si="1466"/>
        <v>19631</v>
      </c>
      <c r="EA240" s="357">
        <f t="shared" si="1466"/>
        <v>19192</v>
      </c>
      <c r="EB240" s="357">
        <f t="shared" si="1466"/>
        <v>20528</v>
      </c>
      <c r="EC240" s="356">
        <f t="shared" si="1454"/>
        <v>79024</v>
      </c>
      <c r="ED240" s="357">
        <f t="shared" ref="ED240:EG240" si="1467">ED238+ED239</f>
        <v>18353</v>
      </c>
      <c r="EE240" s="357">
        <f t="shared" si="1467"/>
        <v>15321</v>
      </c>
      <c r="EF240" s="357">
        <f t="shared" si="1467"/>
        <v>15338</v>
      </c>
      <c r="EG240" s="357">
        <f t="shared" si="1467"/>
        <v>14042</v>
      </c>
      <c r="EH240" s="356">
        <f t="shared" si="1455"/>
        <v>63054</v>
      </c>
      <c r="EI240" s="358" t="str">
        <f t="shared" ref="EI240:EL240" si="1468">EI238+EI239</f>
        <v>#ERROR!</v>
      </c>
      <c r="EJ240" s="357" t="str">
        <f t="shared" si="1468"/>
        <v>#ERROR!</v>
      </c>
      <c r="EK240" s="357" t="str">
        <f t="shared" si="1468"/>
        <v>#ERROR!</v>
      </c>
      <c r="EL240" s="357" t="str">
        <f t="shared" si="1468"/>
        <v>#ERROR!</v>
      </c>
      <c r="EM240" s="356" t="str">
        <f t="shared" si="1457"/>
        <v>#ERROR!</v>
      </c>
      <c r="EN240" s="357" t="str">
        <f t="shared" ref="EN240:EQ240" si="1469">EN238+EN239</f>
        <v>#ERROR!</v>
      </c>
      <c r="EO240" s="357" t="str">
        <f t="shared" si="1469"/>
        <v>#ERROR!</v>
      </c>
      <c r="EP240" s="357" t="str">
        <f t="shared" si="1469"/>
        <v>#ERROR!</v>
      </c>
      <c r="EQ240" s="357" t="str">
        <f t="shared" si="1469"/>
        <v>#ERROR!</v>
      </c>
      <c r="ER240" s="356" t="str">
        <f t="shared" si="1459"/>
        <v>#ERROR!</v>
      </c>
      <c r="ES240" s="357" t="str">
        <f t="shared" ref="ES240:EV240" si="1470">ES238+ES239</f>
        <v>#ERROR!</v>
      </c>
      <c r="ET240" s="357" t="str">
        <f t="shared" si="1470"/>
        <v>#ERROR!</v>
      </c>
      <c r="EU240" s="357" t="str">
        <f t="shared" si="1470"/>
        <v>#ERROR!</v>
      </c>
      <c r="EV240" s="357" t="str">
        <f t="shared" si="1470"/>
        <v>#ERROR!</v>
      </c>
      <c r="EW240" s="356" t="str">
        <f t="shared" si="1461"/>
        <v>#ERROR!</v>
      </c>
      <c r="EX240" s="357" t="str">
        <f t="shared" ref="EX240:FA240" si="1471">EX238+EX239</f>
        <v>#ERROR!</v>
      </c>
      <c r="EY240" s="357" t="str">
        <f t="shared" si="1471"/>
        <v>#ERROR!</v>
      </c>
      <c r="EZ240" s="357" t="str">
        <f t="shared" si="1471"/>
        <v>#ERROR!</v>
      </c>
      <c r="FA240" s="357" t="str">
        <f t="shared" si="1471"/>
        <v>#ERROR!</v>
      </c>
      <c r="FB240" s="356" t="str">
        <f t="shared" si="1463"/>
        <v>#ERROR!</v>
      </c>
      <c r="FC240" s="357" t="str">
        <f t="shared" ref="FC240:FF240" si="1472">FC238+FC239</f>
        <v>#ERROR!</v>
      </c>
      <c r="FD240" s="357" t="str">
        <f t="shared" si="1472"/>
        <v>#ERROR!</v>
      </c>
      <c r="FE240" s="357" t="str">
        <f t="shared" si="1472"/>
        <v>#ERROR!</v>
      </c>
      <c r="FF240" s="357" t="str">
        <f t="shared" si="1472"/>
        <v>#ERROR!</v>
      </c>
      <c r="FG240" s="356" t="str">
        <f t="shared" si="1465"/>
        <v>#ERROR!</v>
      </c>
      <c r="FH240" s="359"/>
      <c r="FI240" s="4"/>
      <c r="FJ240" s="4"/>
      <c r="FK240" s="45"/>
      <c r="FL240" s="4"/>
    </row>
    <row r="241" ht="12.75" customHeight="1">
      <c r="A241" s="4"/>
      <c r="B241" s="72" t="s">
        <v>180</v>
      </c>
      <c r="C241" s="45"/>
      <c r="D241" s="4"/>
      <c r="E241" s="4"/>
      <c r="F241" s="4"/>
      <c r="G241" s="4"/>
      <c r="H241" s="45"/>
      <c r="I241" s="4"/>
      <c r="J241" s="4"/>
      <c r="K241" s="4"/>
      <c r="L241" s="4"/>
      <c r="M241" s="45"/>
      <c r="N241" s="4"/>
      <c r="O241" s="4"/>
      <c r="P241" s="4"/>
      <c r="Q241" s="4"/>
      <c r="R241" s="45"/>
      <c r="S241" s="4"/>
      <c r="T241" s="4"/>
      <c r="U241" s="4"/>
      <c r="V241" s="4"/>
      <c r="W241" s="45"/>
      <c r="X241" s="4"/>
      <c r="Y241" s="4"/>
      <c r="Z241" s="4"/>
      <c r="AA241" s="4"/>
      <c r="AB241" s="45"/>
      <c r="AC241" s="4"/>
      <c r="AD241" s="4"/>
      <c r="AE241" s="4"/>
      <c r="AF241" s="4"/>
      <c r="AG241" s="45"/>
      <c r="AH241" s="4"/>
      <c r="AI241" s="4"/>
      <c r="AJ241" s="4"/>
      <c r="AK241" s="4"/>
      <c r="AL241" s="45"/>
      <c r="AM241" s="4"/>
      <c r="AN241" s="4"/>
      <c r="AO241" s="4"/>
      <c r="AP241" s="4"/>
      <c r="AQ241" s="45"/>
      <c r="AR241" s="4"/>
      <c r="AS241" s="4"/>
      <c r="AT241" s="4"/>
      <c r="AU241" s="4"/>
      <c r="AV241" s="45"/>
      <c r="AW241" s="4"/>
      <c r="AX241" s="4"/>
      <c r="AY241" s="4"/>
      <c r="AZ241" s="4"/>
      <c r="BA241" s="45"/>
      <c r="BB241" s="4"/>
      <c r="BC241" s="4"/>
      <c r="BD241" s="4"/>
      <c r="BE241" s="4"/>
      <c r="BF241" s="45"/>
      <c r="BG241" s="4"/>
      <c r="BH241" s="4"/>
      <c r="BI241" s="4"/>
      <c r="BJ241" s="4"/>
      <c r="BK241" s="45"/>
      <c r="BL241" s="4"/>
      <c r="BM241" s="4"/>
      <c r="BN241" s="4"/>
      <c r="BO241" s="4"/>
      <c r="BP241" s="45"/>
      <c r="BQ241" s="4"/>
      <c r="BR241" s="4"/>
      <c r="BS241" s="4"/>
      <c r="BT241" s="4"/>
      <c r="BU241" s="45"/>
      <c r="BV241" s="4"/>
      <c r="BW241" s="4"/>
      <c r="BX241" s="4"/>
      <c r="BY241" s="4"/>
      <c r="BZ241" s="350"/>
      <c r="CA241" s="4"/>
      <c r="CB241" s="4"/>
      <c r="CC241" s="4"/>
      <c r="CD241" s="4"/>
      <c r="CE241" s="350"/>
      <c r="CF241" s="4"/>
      <c r="CG241" s="4"/>
      <c r="CH241" s="4"/>
      <c r="CI241" s="4"/>
      <c r="CJ241" s="350"/>
      <c r="CK241" s="4"/>
      <c r="CL241" s="4"/>
      <c r="CM241" s="4"/>
      <c r="CN241" s="16"/>
      <c r="CO241" s="350"/>
      <c r="CP241" s="104"/>
      <c r="CQ241" s="104"/>
      <c r="CR241" s="104"/>
      <c r="CS241" s="104"/>
      <c r="CT241" s="350"/>
      <c r="CU241" s="4"/>
      <c r="CV241" s="4"/>
      <c r="CW241" s="4"/>
      <c r="CX241" s="4"/>
      <c r="CY241" s="350"/>
      <c r="CZ241" s="4"/>
      <c r="DA241" s="4"/>
      <c r="DB241" s="4"/>
      <c r="DC241" s="4"/>
      <c r="DD241" s="350"/>
      <c r="DE241" s="4"/>
      <c r="DF241" s="4"/>
      <c r="DG241" s="4"/>
      <c r="DH241" s="4"/>
      <c r="DI241" s="350"/>
      <c r="DJ241" s="16"/>
      <c r="DK241" s="16"/>
      <c r="DL241" s="16"/>
      <c r="DM241" s="16"/>
      <c r="DN241" s="350"/>
      <c r="DO241" s="16"/>
      <c r="DP241" s="16"/>
      <c r="DQ241" s="16"/>
      <c r="DR241" s="16"/>
      <c r="DS241" s="356">
        <v>-4059.0</v>
      </c>
      <c r="DT241" s="16"/>
      <c r="DU241" s="16"/>
      <c r="DV241" s="16"/>
      <c r="DW241" s="16"/>
      <c r="DX241" s="356">
        <v>-4967.0</v>
      </c>
      <c r="DY241" s="357">
        <v>-1107.0</v>
      </c>
      <c r="DZ241" s="357">
        <v>-1098.0</v>
      </c>
      <c r="EA241" s="357">
        <f>-1105</f>
        <v>-1105</v>
      </c>
      <c r="EB241" s="357">
        <v>-996.0</v>
      </c>
      <c r="EC241" s="356">
        <f t="shared" si="1454"/>
        <v>-4306</v>
      </c>
      <c r="ED241" s="357"/>
      <c r="EE241" s="357"/>
      <c r="EF241" s="357"/>
      <c r="EG241" s="357"/>
      <c r="EH241" s="356">
        <f t="shared" si="1455"/>
        <v>0</v>
      </c>
      <c r="EI241" s="214"/>
      <c r="EJ241" s="16"/>
      <c r="EK241" s="4"/>
      <c r="EL241" s="4"/>
      <c r="EM241" s="356">
        <f t="shared" si="1457"/>
        <v>0</v>
      </c>
      <c r="EN241" s="357"/>
      <c r="EO241" s="16"/>
      <c r="EP241" s="4"/>
      <c r="EQ241" s="4"/>
      <c r="ER241" s="356">
        <f t="shared" si="1459"/>
        <v>0</v>
      </c>
      <c r="ES241" s="357"/>
      <c r="ET241" s="16"/>
      <c r="EU241" s="4"/>
      <c r="EV241" s="4"/>
      <c r="EW241" s="356">
        <f t="shared" si="1461"/>
        <v>0</v>
      </c>
      <c r="EX241" s="357"/>
      <c r="EY241" s="16"/>
      <c r="EZ241" s="4"/>
      <c r="FA241" s="4"/>
      <c r="FB241" s="356">
        <f t="shared" si="1463"/>
        <v>0</v>
      </c>
      <c r="FC241" s="357"/>
      <c r="FD241" s="16"/>
      <c r="FE241" s="4"/>
      <c r="FF241" s="4"/>
      <c r="FG241" s="356">
        <f t="shared" si="1465"/>
        <v>0</v>
      </c>
      <c r="FH241" s="359"/>
      <c r="FI241" s="4"/>
      <c r="FJ241" s="4"/>
      <c r="FK241" s="45"/>
      <c r="FL241" s="4"/>
    </row>
    <row r="242" ht="12.75" customHeight="1">
      <c r="A242" s="390"/>
      <c r="B242" s="391" t="s">
        <v>181</v>
      </c>
      <c r="C242" s="391"/>
      <c r="D242" s="390"/>
      <c r="E242" s="390"/>
      <c r="F242" s="390"/>
      <c r="G242" s="390"/>
      <c r="H242" s="391"/>
      <c r="I242" s="390"/>
      <c r="J242" s="390"/>
      <c r="K242" s="390"/>
      <c r="L242" s="390"/>
      <c r="M242" s="391"/>
      <c r="N242" s="390"/>
      <c r="O242" s="390"/>
      <c r="P242" s="390"/>
      <c r="Q242" s="390"/>
      <c r="R242" s="391"/>
      <c r="S242" s="390"/>
      <c r="T242" s="390"/>
      <c r="U242" s="390"/>
      <c r="V242" s="390"/>
      <c r="W242" s="391"/>
      <c r="X242" s="390"/>
      <c r="Y242" s="390"/>
      <c r="Z242" s="390"/>
      <c r="AA242" s="390"/>
      <c r="AB242" s="391"/>
      <c r="AC242" s="390"/>
      <c r="AD242" s="390"/>
      <c r="AE242" s="390"/>
      <c r="AF242" s="390"/>
      <c r="AG242" s="391"/>
      <c r="AH242" s="390"/>
      <c r="AI242" s="390"/>
      <c r="AJ242" s="390"/>
      <c r="AK242" s="390"/>
      <c r="AL242" s="391"/>
      <c r="AM242" s="390"/>
      <c r="AN242" s="390"/>
      <c r="AO242" s="390"/>
      <c r="AP242" s="390"/>
      <c r="AQ242" s="391"/>
      <c r="AR242" s="390"/>
      <c r="AS242" s="390"/>
      <c r="AT242" s="390"/>
      <c r="AU242" s="390"/>
      <c r="AV242" s="391"/>
      <c r="AW242" s="390"/>
      <c r="AX242" s="390"/>
      <c r="AY242" s="390"/>
      <c r="AZ242" s="390"/>
      <c r="BA242" s="391"/>
      <c r="BB242" s="390"/>
      <c r="BC242" s="390"/>
      <c r="BD242" s="390"/>
      <c r="BE242" s="390"/>
      <c r="BF242" s="391"/>
      <c r="BG242" s="390"/>
      <c r="BH242" s="390"/>
      <c r="BI242" s="390"/>
      <c r="BJ242" s="390"/>
      <c r="BK242" s="391"/>
      <c r="BL242" s="390"/>
      <c r="BM242" s="390"/>
      <c r="BN242" s="390"/>
      <c r="BO242" s="390"/>
      <c r="BP242" s="391"/>
      <c r="BQ242" s="390"/>
      <c r="BR242" s="390"/>
      <c r="BS242" s="390"/>
      <c r="BT242" s="390"/>
      <c r="BU242" s="391"/>
      <c r="BV242" s="390"/>
      <c r="BW242" s="390"/>
      <c r="BX242" s="390"/>
      <c r="BY242" s="390"/>
      <c r="BZ242" s="391"/>
      <c r="CA242" s="390"/>
      <c r="CB242" s="390"/>
      <c r="CC242" s="390"/>
      <c r="CD242" s="390"/>
      <c r="CE242" s="391"/>
      <c r="CF242" s="390"/>
      <c r="CG242" s="390"/>
      <c r="CH242" s="390"/>
      <c r="CI242" s="390"/>
      <c r="CJ242" s="391"/>
      <c r="CK242" s="390"/>
      <c r="CL242" s="390"/>
      <c r="CM242" s="390"/>
      <c r="CN242" s="390"/>
      <c r="CO242" s="391"/>
      <c r="CP242" s="392"/>
      <c r="CQ242" s="392"/>
      <c r="CR242" s="392"/>
      <c r="CS242" s="392"/>
      <c r="CT242" s="391"/>
      <c r="CU242" s="390"/>
      <c r="CV242" s="390"/>
      <c r="CW242" s="390"/>
      <c r="CX242" s="390"/>
      <c r="CY242" s="391"/>
      <c r="CZ242" s="390"/>
      <c r="DA242" s="390"/>
      <c r="DB242" s="390"/>
      <c r="DC242" s="390"/>
      <c r="DD242" s="391"/>
      <c r="DE242" s="390"/>
      <c r="DF242" s="390"/>
      <c r="DG242" s="390"/>
      <c r="DH242" s="390"/>
      <c r="DI242" s="391"/>
      <c r="DJ242" s="390"/>
      <c r="DK242" s="390"/>
      <c r="DL242" s="390"/>
      <c r="DM242" s="390"/>
      <c r="DN242" s="391"/>
      <c r="DO242" s="390"/>
      <c r="DP242" s="390"/>
      <c r="DQ242" s="390"/>
      <c r="DR242" s="390"/>
      <c r="DS242" s="393">
        <f>DS241+DS240</f>
        <v>67906</v>
      </c>
      <c r="DT242" s="390"/>
      <c r="DU242" s="390"/>
      <c r="DV242" s="390"/>
      <c r="DW242" s="390"/>
      <c r="DX242" s="393">
        <f>DX241+DX240</f>
        <v>72900</v>
      </c>
      <c r="DY242" s="394">
        <f t="shared" ref="DY242:EB242" si="1473">DY240+DY241</f>
        <v>18566</v>
      </c>
      <c r="DZ242" s="394">
        <f t="shared" si="1473"/>
        <v>18533</v>
      </c>
      <c r="EA242" s="394">
        <f t="shared" si="1473"/>
        <v>18087</v>
      </c>
      <c r="EB242" s="394">
        <f t="shared" si="1473"/>
        <v>19532</v>
      </c>
      <c r="EC242" s="393">
        <f t="shared" si="1454"/>
        <v>74718</v>
      </c>
      <c r="ED242" s="394">
        <f t="shared" ref="ED242:EG242" si="1474">ED240+ED241</f>
        <v>18353</v>
      </c>
      <c r="EE242" s="394">
        <f t="shared" si="1474"/>
        <v>15321</v>
      </c>
      <c r="EF242" s="394">
        <f t="shared" si="1474"/>
        <v>15338</v>
      </c>
      <c r="EG242" s="394">
        <f t="shared" si="1474"/>
        <v>14042</v>
      </c>
      <c r="EH242" s="393">
        <f t="shared" si="1455"/>
        <v>63054</v>
      </c>
      <c r="EI242" s="395" t="str">
        <f t="shared" ref="EI242:EL242" si="1475">EI240+EI241</f>
        <v>#ERROR!</v>
      </c>
      <c r="EJ242" s="394" t="str">
        <f t="shared" si="1475"/>
        <v>#ERROR!</v>
      </c>
      <c r="EK242" s="394" t="str">
        <f t="shared" si="1475"/>
        <v>#ERROR!</v>
      </c>
      <c r="EL242" s="394" t="str">
        <f t="shared" si="1475"/>
        <v>#ERROR!</v>
      </c>
      <c r="EM242" s="393" t="str">
        <f t="shared" si="1457"/>
        <v>#ERROR!</v>
      </c>
      <c r="EN242" s="394" t="str">
        <f t="shared" ref="EN242:EQ242" si="1476">EN240+EN241</f>
        <v>#ERROR!</v>
      </c>
      <c r="EO242" s="394" t="str">
        <f t="shared" si="1476"/>
        <v>#ERROR!</v>
      </c>
      <c r="EP242" s="394" t="str">
        <f t="shared" si="1476"/>
        <v>#ERROR!</v>
      </c>
      <c r="EQ242" s="394" t="str">
        <f t="shared" si="1476"/>
        <v>#ERROR!</v>
      </c>
      <c r="ER242" s="393" t="str">
        <f t="shared" si="1459"/>
        <v>#ERROR!</v>
      </c>
      <c r="ES242" s="394" t="str">
        <f t="shared" ref="ES242:EV242" si="1477">ES240+ES241</f>
        <v>#ERROR!</v>
      </c>
      <c r="ET242" s="394" t="str">
        <f t="shared" si="1477"/>
        <v>#ERROR!</v>
      </c>
      <c r="EU242" s="394" t="str">
        <f t="shared" si="1477"/>
        <v>#ERROR!</v>
      </c>
      <c r="EV242" s="394" t="str">
        <f t="shared" si="1477"/>
        <v>#ERROR!</v>
      </c>
      <c r="EW242" s="393" t="str">
        <f t="shared" si="1461"/>
        <v>#ERROR!</v>
      </c>
      <c r="EX242" s="394" t="str">
        <f t="shared" ref="EX242:FA242" si="1478">EX240+EX241</f>
        <v>#ERROR!</v>
      </c>
      <c r="EY242" s="394" t="str">
        <f t="shared" si="1478"/>
        <v>#ERROR!</v>
      </c>
      <c r="EZ242" s="394" t="str">
        <f t="shared" si="1478"/>
        <v>#ERROR!</v>
      </c>
      <c r="FA242" s="394" t="str">
        <f t="shared" si="1478"/>
        <v>#ERROR!</v>
      </c>
      <c r="FB242" s="393" t="str">
        <f t="shared" si="1463"/>
        <v>#ERROR!</v>
      </c>
      <c r="FC242" s="394" t="str">
        <f t="shared" ref="FC242:FF242" si="1479">FC240+FC241</f>
        <v>#ERROR!</v>
      </c>
      <c r="FD242" s="394" t="str">
        <f t="shared" si="1479"/>
        <v>#ERROR!</v>
      </c>
      <c r="FE242" s="394" t="str">
        <f t="shared" si="1479"/>
        <v>#ERROR!</v>
      </c>
      <c r="FF242" s="394" t="str">
        <f t="shared" si="1479"/>
        <v>#ERROR!</v>
      </c>
      <c r="FG242" s="393" t="str">
        <f t="shared" si="1465"/>
        <v>#ERROR!</v>
      </c>
      <c r="FH242" s="393"/>
      <c r="FI242" s="390"/>
      <c r="FJ242" s="390"/>
      <c r="FK242" s="391"/>
      <c r="FL242" s="390"/>
    </row>
    <row r="243" ht="12.75" customHeight="1">
      <c r="A243" s="4"/>
      <c r="B243" s="72" t="s">
        <v>150</v>
      </c>
      <c r="C243" s="45"/>
      <c r="D243" s="4"/>
      <c r="E243" s="4"/>
      <c r="F243" s="4"/>
      <c r="G243" s="4"/>
      <c r="H243" s="45"/>
      <c r="I243" s="4"/>
      <c r="J243" s="4"/>
      <c r="K243" s="4"/>
      <c r="L243" s="4"/>
      <c r="M243" s="45"/>
      <c r="N243" s="4"/>
      <c r="O243" s="4"/>
      <c r="P243" s="4"/>
      <c r="Q243" s="4"/>
      <c r="R243" s="45"/>
      <c r="S243" s="4"/>
      <c r="T243" s="4"/>
      <c r="U243" s="4"/>
      <c r="V243" s="4"/>
      <c r="W243" s="45"/>
      <c r="X243" s="4"/>
      <c r="Y243" s="4"/>
      <c r="Z243" s="4"/>
      <c r="AA243" s="4"/>
      <c r="AB243" s="45"/>
      <c r="AC243" s="4"/>
      <c r="AD243" s="4"/>
      <c r="AE243" s="4"/>
      <c r="AF243" s="4"/>
      <c r="AG243" s="45"/>
      <c r="AH243" s="4"/>
      <c r="AI243" s="4"/>
      <c r="AJ243" s="4"/>
      <c r="AK243" s="4"/>
      <c r="AL243" s="45"/>
      <c r="AM243" s="4"/>
      <c r="AN243" s="4"/>
      <c r="AO243" s="4"/>
      <c r="AP243" s="4"/>
      <c r="AQ243" s="45"/>
      <c r="AR243" s="4"/>
      <c r="AS243" s="4"/>
      <c r="AT243" s="4"/>
      <c r="AU243" s="4"/>
      <c r="AV243" s="45"/>
      <c r="AW243" s="4"/>
      <c r="AX243" s="4"/>
      <c r="AY243" s="4"/>
      <c r="AZ243" s="4"/>
      <c r="BA243" s="45"/>
      <c r="BB243" s="4"/>
      <c r="BC243" s="4"/>
      <c r="BD243" s="4"/>
      <c r="BE243" s="4"/>
      <c r="BF243" s="45"/>
      <c r="BG243" s="4"/>
      <c r="BH243" s="4"/>
      <c r="BI243" s="4"/>
      <c r="BJ243" s="4"/>
      <c r="BK243" s="45"/>
      <c r="BL243" s="4"/>
      <c r="BM243" s="4"/>
      <c r="BN243" s="4"/>
      <c r="BO243" s="4"/>
      <c r="BP243" s="45"/>
      <c r="BQ243" s="4"/>
      <c r="BR243" s="4"/>
      <c r="BS243" s="4"/>
      <c r="BT243" s="4"/>
      <c r="BU243" s="45"/>
      <c r="BV243" s="4"/>
      <c r="BW243" s="4"/>
      <c r="BX243" s="4"/>
      <c r="BY243" s="4"/>
      <c r="BZ243" s="350"/>
      <c r="CA243" s="4"/>
      <c r="CB243" s="4"/>
      <c r="CC243" s="4"/>
      <c r="CD243" s="4"/>
      <c r="CE243" s="350"/>
      <c r="CF243" s="4"/>
      <c r="CG243" s="4"/>
      <c r="CH243" s="4"/>
      <c r="CI243" s="4"/>
      <c r="CJ243" s="350"/>
      <c r="CK243" s="4"/>
      <c r="CL243" s="4"/>
      <c r="CM243" s="4"/>
      <c r="CN243" s="16"/>
      <c r="CO243" s="350"/>
      <c r="CP243" s="104"/>
      <c r="CQ243" s="104"/>
      <c r="CR243" s="104"/>
      <c r="CS243" s="104"/>
      <c r="CT243" s="350"/>
      <c r="CU243" s="4"/>
      <c r="CV243" s="4"/>
      <c r="CW243" s="4"/>
      <c r="CX243" s="4"/>
      <c r="CY243" s="350"/>
      <c r="CZ243" s="4"/>
      <c r="DA243" s="4"/>
      <c r="DB243" s="4"/>
      <c r="DC243" s="4"/>
      <c r="DD243" s="350"/>
      <c r="DE243" s="4"/>
      <c r="DF243" s="4"/>
      <c r="DG243" s="4"/>
      <c r="DH243" s="4"/>
      <c r="DI243" s="350"/>
      <c r="DJ243" s="16"/>
      <c r="DK243" s="16"/>
      <c r="DL243" s="16"/>
      <c r="DM243" s="16"/>
      <c r="DN243" s="350"/>
      <c r="DO243" s="16"/>
      <c r="DP243" s="16"/>
      <c r="DQ243" s="16"/>
      <c r="DR243" s="16"/>
      <c r="DS243" s="350"/>
      <c r="DT243" s="16"/>
      <c r="DU243" s="16"/>
      <c r="DV243" s="16"/>
      <c r="DW243" s="16"/>
      <c r="DX243" s="350"/>
      <c r="DY243" s="16"/>
      <c r="DZ243" s="321">
        <f t="shared" ref="DZ243:EB243" si="1480">DZ242/DY242-1</f>
        <v>-0.001777442637</v>
      </c>
      <c r="EA243" s="321">
        <f t="shared" si="1480"/>
        <v>-0.02406518103</v>
      </c>
      <c r="EB243" s="321">
        <f t="shared" si="1480"/>
        <v>0.07989163488</v>
      </c>
      <c r="EC243" s="350"/>
      <c r="ED243" s="321"/>
      <c r="EE243" s="321"/>
      <c r="EF243" s="321"/>
      <c r="EG243" s="321"/>
      <c r="EH243" s="350"/>
      <c r="EI243" s="214"/>
      <c r="EJ243" s="16"/>
      <c r="EK243" s="4"/>
      <c r="EL243" s="4"/>
      <c r="EM243" s="350"/>
      <c r="EN243" s="321"/>
      <c r="EO243" s="16"/>
      <c r="EP243" s="4"/>
      <c r="EQ243" s="4"/>
      <c r="ER243" s="350"/>
      <c r="ES243" s="321"/>
      <c r="ET243" s="16"/>
      <c r="EU243" s="4"/>
      <c r="EV243" s="4"/>
      <c r="EW243" s="350"/>
      <c r="EX243" s="321"/>
      <c r="EY243" s="16"/>
      <c r="EZ243" s="4"/>
      <c r="FA243" s="4"/>
      <c r="FB243" s="350"/>
      <c r="FC243" s="321"/>
      <c r="FD243" s="16"/>
      <c r="FE243" s="4"/>
      <c r="FF243" s="4"/>
      <c r="FG243" s="350"/>
      <c r="FH243" s="145"/>
      <c r="FI243" s="4"/>
      <c r="FJ243" s="4"/>
      <c r="FK243" s="45"/>
      <c r="FL243" s="4"/>
    </row>
    <row r="244" ht="12.75" customHeight="1">
      <c r="A244" s="72"/>
      <c r="B244" s="72" t="s">
        <v>146</v>
      </c>
      <c r="C244" s="45"/>
      <c r="D244" s="4"/>
      <c r="E244" s="4"/>
      <c r="F244" s="4"/>
      <c r="G244" s="4"/>
      <c r="H244" s="45"/>
      <c r="I244" s="4"/>
      <c r="J244" s="4"/>
      <c r="K244" s="4"/>
      <c r="L244" s="4"/>
      <c r="M244" s="45"/>
      <c r="N244" s="4"/>
      <c r="O244" s="4"/>
      <c r="P244" s="4"/>
      <c r="Q244" s="4"/>
      <c r="R244" s="45"/>
      <c r="S244" s="4"/>
      <c r="T244" s="4"/>
      <c r="U244" s="4"/>
      <c r="V244" s="4"/>
      <c r="W244" s="45"/>
      <c r="X244" s="4"/>
      <c r="Y244" s="4"/>
      <c r="Z244" s="4"/>
      <c r="AA244" s="4"/>
      <c r="AB244" s="45"/>
      <c r="AC244" s="4"/>
      <c r="AD244" s="4"/>
      <c r="AE244" s="4"/>
      <c r="AF244" s="4"/>
      <c r="AG244" s="45"/>
      <c r="AH244" s="4"/>
      <c r="AI244" s="4"/>
      <c r="AJ244" s="4"/>
      <c r="AK244" s="4"/>
      <c r="AL244" s="45"/>
      <c r="AM244" s="4"/>
      <c r="AN244" s="4"/>
      <c r="AO244" s="4"/>
      <c r="AP244" s="4"/>
      <c r="AQ244" s="45"/>
      <c r="AR244" s="4"/>
      <c r="AS244" s="4"/>
      <c r="AT244" s="4"/>
      <c r="AU244" s="4"/>
      <c r="AV244" s="45"/>
      <c r="AW244" s="4"/>
      <c r="AX244" s="4"/>
      <c r="AY244" s="4"/>
      <c r="AZ244" s="4"/>
      <c r="BA244" s="45"/>
      <c r="BB244" s="4"/>
      <c r="BC244" s="4"/>
      <c r="BD244" s="4"/>
      <c r="BE244" s="4"/>
      <c r="BF244" s="45"/>
      <c r="BG244" s="4"/>
      <c r="BH244" s="4"/>
      <c r="BI244" s="4"/>
      <c r="BJ244" s="4"/>
      <c r="BK244" s="45"/>
      <c r="BL244" s="4"/>
      <c r="BM244" s="4"/>
      <c r="BN244" s="4"/>
      <c r="BO244" s="4"/>
      <c r="BP244" s="45"/>
      <c r="BQ244" s="4"/>
      <c r="BR244" s="4"/>
      <c r="BS244" s="4"/>
      <c r="BT244" s="4"/>
      <c r="BU244" s="45"/>
      <c r="BV244" s="4"/>
      <c r="BW244" s="4"/>
      <c r="BX244" s="4"/>
      <c r="BY244" s="4"/>
      <c r="BZ244" s="350"/>
      <c r="CA244" s="4"/>
      <c r="CB244" s="4"/>
      <c r="CC244" s="4"/>
      <c r="CD244" s="4"/>
      <c r="CE244" s="350"/>
      <c r="CF244" s="4"/>
      <c r="CG244" s="4"/>
      <c r="CH244" s="4"/>
      <c r="CI244" s="4"/>
      <c r="CJ244" s="350"/>
      <c r="CK244" s="4"/>
      <c r="CL244" s="4"/>
      <c r="CM244" s="4"/>
      <c r="CN244" s="16"/>
      <c r="CO244" s="350"/>
      <c r="CP244" s="104"/>
      <c r="CQ244" s="104"/>
      <c r="CR244" s="104"/>
      <c r="CS244" s="104"/>
      <c r="CT244" s="350"/>
      <c r="CU244" s="4"/>
      <c r="CV244" s="4"/>
      <c r="CW244" s="4"/>
      <c r="CX244" s="4"/>
      <c r="CY244" s="350"/>
      <c r="CZ244" s="4"/>
      <c r="DA244" s="4"/>
      <c r="DB244" s="4"/>
      <c r="DC244" s="4"/>
      <c r="DD244" s="350"/>
      <c r="DE244" s="4"/>
      <c r="DF244" s="4"/>
      <c r="DG244" s="4"/>
      <c r="DH244" s="4"/>
      <c r="DI244" s="350"/>
      <c r="DJ244" s="16"/>
      <c r="DK244" s="16"/>
      <c r="DL244" s="16"/>
      <c r="DM244" s="16"/>
      <c r="DN244" s="350"/>
      <c r="DO244" s="16"/>
      <c r="DP244" s="16"/>
      <c r="DQ244" s="16"/>
      <c r="DR244" s="16"/>
      <c r="DS244" s="350"/>
      <c r="DT244" s="16"/>
      <c r="DU244" s="16"/>
      <c r="DV244" s="16"/>
      <c r="DW244" s="16"/>
      <c r="DX244" s="342">
        <f>DX242/DS242-1</f>
        <v>0.07354283863</v>
      </c>
      <c r="DY244" s="16"/>
      <c r="DZ244" s="16"/>
      <c r="EA244" s="16"/>
      <c r="EB244" s="16"/>
      <c r="EC244" s="342">
        <f>EC242/DX242-1</f>
        <v>0.0249382716</v>
      </c>
      <c r="ED244" s="16"/>
      <c r="EE244" s="16"/>
      <c r="EF244" s="16"/>
      <c r="EG244" s="16"/>
      <c r="EH244" s="342">
        <f>EH242/EC242-1</f>
        <v>-0.1561069622</v>
      </c>
      <c r="EI244" s="214"/>
      <c r="EJ244" s="16"/>
      <c r="EK244" s="4"/>
      <c r="EL244" s="4"/>
      <c r="EM244" s="342" t="str">
        <f>EM242/EH242-1</f>
        <v>#ERROR!</v>
      </c>
      <c r="EN244" s="16"/>
      <c r="EO244" s="16"/>
      <c r="EP244" s="4"/>
      <c r="EQ244" s="4"/>
      <c r="ER244" s="342" t="str">
        <f>ER242/EM242-1</f>
        <v>#ERROR!</v>
      </c>
      <c r="ES244" s="16"/>
      <c r="ET244" s="16"/>
      <c r="EU244" s="4"/>
      <c r="EV244" s="4"/>
      <c r="EW244" s="342" t="str">
        <f>EW242/ER242-1</f>
        <v>#ERROR!</v>
      </c>
      <c r="EX244" s="16"/>
      <c r="EY244" s="16"/>
      <c r="EZ244" s="4"/>
      <c r="FA244" s="4"/>
      <c r="FB244" s="342" t="str">
        <f>FB242/EW242-1</f>
        <v>#ERROR!</v>
      </c>
      <c r="FC244" s="16"/>
      <c r="FD244" s="16"/>
      <c r="FE244" s="4"/>
      <c r="FF244" s="4"/>
      <c r="FG244" s="342" t="str">
        <f>FG242/FB242-1</f>
        <v>#ERROR!</v>
      </c>
      <c r="FH244" s="343"/>
      <c r="FI244" s="4"/>
      <c r="FJ244" s="4"/>
      <c r="FK244" s="45"/>
      <c r="FL244" s="4"/>
    </row>
    <row r="245" ht="12.75" customHeight="1">
      <c r="A245" s="72"/>
      <c r="B245" s="72" t="s">
        <v>182</v>
      </c>
      <c r="C245" s="45"/>
      <c r="D245" s="4"/>
      <c r="E245" s="4"/>
      <c r="F245" s="4"/>
      <c r="G245" s="4"/>
      <c r="H245" s="45"/>
      <c r="I245" s="4"/>
      <c r="J245" s="4"/>
      <c r="K245" s="4"/>
      <c r="L245" s="4"/>
      <c r="M245" s="45"/>
      <c r="N245" s="4"/>
      <c r="O245" s="4"/>
      <c r="P245" s="4"/>
      <c r="Q245" s="4"/>
      <c r="R245" s="45"/>
      <c r="S245" s="4"/>
      <c r="T245" s="4"/>
      <c r="U245" s="4"/>
      <c r="V245" s="4"/>
      <c r="W245" s="45"/>
      <c r="X245" s="4"/>
      <c r="Y245" s="4"/>
      <c r="Z245" s="4"/>
      <c r="AA245" s="4"/>
      <c r="AB245" s="45"/>
      <c r="AC245" s="4"/>
      <c r="AD245" s="4"/>
      <c r="AE245" s="4"/>
      <c r="AF245" s="4"/>
      <c r="AG245" s="45"/>
      <c r="AH245" s="4"/>
      <c r="AI245" s="4"/>
      <c r="AJ245" s="4"/>
      <c r="AK245" s="4"/>
      <c r="AL245" s="45"/>
      <c r="AM245" s="4"/>
      <c r="AN245" s="4"/>
      <c r="AO245" s="4"/>
      <c r="AP245" s="4"/>
      <c r="AQ245" s="45"/>
      <c r="AR245" s="4"/>
      <c r="AS245" s="4"/>
      <c r="AT245" s="4"/>
      <c r="AU245" s="4"/>
      <c r="AV245" s="45"/>
      <c r="AW245" s="4"/>
      <c r="AX245" s="4"/>
      <c r="AY245" s="4"/>
      <c r="AZ245" s="4"/>
      <c r="BA245" s="45"/>
      <c r="BB245" s="4"/>
      <c r="BC245" s="4"/>
      <c r="BD245" s="4"/>
      <c r="BE245" s="4"/>
      <c r="BF245" s="45"/>
      <c r="BG245" s="4"/>
      <c r="BH245" s="4"/>
      <c r="BI245" s="4"/>
      <c r="BJ245" s="4"/>
      <c r="BK245" s="45"/>
      <c r="BL245" s="4"/>
      <c r="BM245" s="4"/>
      <c r="BN245" s="4"/>
      <c r="BO245" s="4"/>
      <c r="BP245" s="45"/>
      <c r="BQ245" s="4"/>
      <c r="BR245" s="4"/>
      <c r="BS245" s="4"/>
      <c r="BT245" s="4"/>
      <c r="BU245" s="45"/>
      <c r="BV245" s="4"/>
      <c r="BW245" s="4"/>
      <c r="BX245" s="4"/>
      <c r="BY245" s="4"/>
      <c r="BZ245" s="350"/>
      <c r="CA245" s="4"/>
      <c r="CB245" s="4"/>
      <c r="CC245" s="4"/>
      <c r="CD245" s="4"/>
      <c r="CE245" s="350"/>
      <c r="CF245" s="4"/>
      <c r="CG245" s="4"/>
      <c r="CH245" s="4"/>
      <c r="CI245" s="4"/>
      <c r="CJ245" s="350"/>
      <c r="CK245" s="4"/>
      <c r="CL245" s="4"/>
      <c r="CM245" s="4"/>
      <c r="CN245" s="16"/>
      <c r="CO245" s="350"/>
      <c r="CP245" s="104"/>
      <c r="CQ245" s="104"/>
      <c r="CR245" s="104"/>
      <c r="CS245" s="104"/>
      <c r="CT245" s="350"/>
      <c r="CU245" s="4"/>
      <c r="CV245" s="4"/>
      <c r="CW245" s="4"/>
      <c r="CX245" s="4"/>
      <c r="CY245" s="350"/>
      <c r="CZ245" s="4"/>
      <c r="DA245" s="4"/>
      <c r="DB245" s="4"/>
      <c r="DC245" s="4"/>
      <c r="DD245" s="350"/>
      <c r="DE245" s="4"/>
      <c r="DF245" s="4"/>
      <c r="DG245" s="4"/>
      <c r="DH245" s="4"/>
      <c r="DI245" s="350"/>
      <c r="DJ245" s="16"/>
      <c r="DK245" s="16"/>
      <c r="DL245" s="16"/>
      <c r="DM245" s="16"/>
      <c r="DN245" s="350"/>
      <c r="DO245" s="16"/>
      <c r="DP245" s="16"/>
      <c r="DQ245" s="16"/>
      <c r="DR245" s="16"/>
      <c r="DS245" s="350"/>
      <c r="DT245" s="16"/>
      <c r="DU245" s="16"/>
      <c r="DV245" s="16"/>
      <c r="DW245" s="16"/>
      <c r="DX245" s="356">
        <f>DX138+DX182+DX204</f>
        <v>71080</v>
      </c>
      <c r="DY245" s="16"/>
      <c r="DZ245" s="16"/>
      <c r="EA245" s="16"/>
      <c r="EB245" s="16"/>
      <c r="EC245" s="356">
        <f>EC138+EC182+EC204</f>
        <v>71734</v>
      </c>
      <c r="ED245" s="16"/>
      <c r="EE245" s="16"/>
      <c r="EF245" s="16"/>
      <c r="EG245" s="16"/>
      <c r="EH245" s="356">
        <f>EH138+EH182+EH204</f>
        <v>59777</v>
      </c>
      <c r="EI245" s="214"/>
      <c r="EJ245" s="16"/>
      <c r="EK245" s="4"/>
      <c r="EL245" s="4"/>
      <c r="EM245" s="356" t="str">
        <f>EM138+EM182+EM204</f>
        <v>#ERROR!</v>
      </c>
      <c r="EN245" s="16"/>
      <c r="EO245" s="16"/>
      <c r="EP245" s="4"/>
      <c r="EQ245" s="4"/>
      <c r="ER245" s="356" t="str">
        <f>ER138+ER182+ER204</f>
        <v>#ERROR!</v>
      </c>
      <c r="ES245" s="16"/>
      <c r="ET245" s="16"/>
      <c r="EU245" s="4"/>
      <c r="EV245" s="4"/>
      <c r="EW245" s="356" t="str">
        <f>EW138+EW182+EW204</f>
        <v>#ERROR!</v>
      </c>
      <c r="EX245" s="16"/>
      <c r="EY245" s="16"/>
      <c r="EZ245" s="4"/>
      <c r="FA245" s="4"/>
      <c r="FB245" s="356" t="str">
        <f>FB138+FB182+FB204</f>
        <v>#ERROR!</v>
      </c>
      <c r="FC245" s="16"/>
      <c r="FD245" s="16"/>
      <c r="FE245" s="4"/>
      <c r="FF245" s="4"/>
      <c r="FG245" s="356" t="str">
        <f>FG138+FG182+FG204</f>
        <v>#ERROR!</v>
      </c>
      <c r="FH245" s="359"/>
      <c r="FI245" s="4"/>
      <c r="FJ245" s="4"/>
      <c r="FK245" s="45"/>
      <c r="FL245" s="4"/>
    </row>
    <row r="246" ht="12.75" customHeight="1">
      <c r="A246" s="72"/>
      <c r="B246" s="72" t="s">
        <v>146</v>
      </c>
      <c r="C246" s="45"/>
      <c r="D246" s="4"/>
      <c r="E246" s="4"/>
      <c r="F246" s="4"/>
      <c r="G246" s="4"/>
      <c r="H246" s="45"/>
      <c r="I246" s="4"/>
      <c r="J246" s="4"/>
      <c r="K246" s="4"/>
      <c r="L246" s="4"/>
      <c r="M246" s="45"/>
      <c r="N246" s="4"/>
      <c r="O246" s="4"/>
      <c r="P246" s="4"/>
      <c r="Q246" s="4"/>
      <c r="R246" s="45"/>
      <c r="S246" s="4"/>
      <c r="T246" s="4"/>
      <c r="U246" s="4"/>
      <c r="V246" s="4"/>
      <c r="W246" s="45"/>
      <c r="X246" s="4"/>
      <c r="Y246" s="4"/>
      <c r="Z246" s="4"/>
      <c r="AA246" s="4"/>
      <c r="AB246" s="45"/>
      <c r="AC246" s="4"/>
      <c r="AD246" s="4"/>
      <c r="AE246" s="4"/>
      <c r="AF246" s="4"/>
      <c r="AG246" s="45"/>
      <c r="AH246" s="4"/>
      <c r="AI246" s="4"/>
      <c r="AJ246" s="4"/>
      <c r="AK246" s="4"/>
      <c r="AL246" s="45"/>
      <c r="AM246" s="4"/>
      <c r="AN246" s="4"/>
      <c r="AO246" s="4"/>
      <c r="AP246" s="4"/>
      <c r="AQ246" s="45"/>
      <c r="AR246" s="4"/>
      <c r="AS246" s="4"/>
      <c r="AT246" s="4"/>
      <c r="AU246" s="4"/>
      <c r="AV246" s="45"/>
      <c r="AW246" s="4"/>
      <c r="AX246" s="4"/>
      <c r="AY246" s="4"/>
      <c r="AZ246" s="4"/>
      <c r="BA246" s="45"/>
      <c r="BB246" s="4"/>
      <c r="BC246" s="4"/>
      <c r="BD246" s="4"/>
      <c r="BE246" s="4"/>
      <c r="BF246" s="45"/>
      <c r="BG246" s="4"/>
      <c r="BH246" s="4"/>
      <c r="BI246" s="4"/>
      <c r="BJ246" s="4"/>
      <c r="BK246" s="45"/>
      <c r="BL246" s="4"/>
      <c r="BM246" s="4"/>
      <c r="BN246" s="4"/>
      <c r="BO246" s="4"/>
      <c r="BP246" s="45"/>
      <c r="BQ246" s="4"/>
      <c r="BR246" s="4"/>
      <c r="BS246" s="4"/>
      <c r="BT246" s="4"/>
      <c r="BU246" s="45"/>
      <c r="BV246" s="4"/>
      <c r="BW246" s="4"/>
      <c r="BX246" s="4"/>
      <c r="BY246" s="4"/>
      <c r="BZ246" s="350"/>
      <c r="CA246" s="4"/>
      <c r="CB246" s="4"/>
      <c r="CC246" s="4"/>
      <c r="CD246" s="4"/>
      <c r="CE246" s="350"/>
      <c r="CF246" s="4"/>
      <c r="CG246" s="4"/>
      <c r="CH246" s="4"/>
      <c r="CI246" s="4"/>
      <c r="CJ246" s="350"/>
      <c r="CK246" s="4"/>
      <c r="CL246" s="4"/>
      <c r="CM246" s="4"/>
      <c r="CN246" s="16"/>
      <c r="CO246" s="350"/>
      <c r="CP246" s="104"/>
      <c r="CQ246" s="104"/>
      <c r="CR246" s="104"/>
      <c r="CS246" s="104"/>
      <c r="CT246" s="350"/>
      <c r="CU246" s="4"/>
      <c r="CV246" s="4"/>
      <c r="CW246" s="4"/>
      <c r="CX246" s="4"/>
      <c r="CY246" s="350"/>
      <c r="CZ246" s="4"/>
      <c r="DA246" s="4"/>
      <c r="DB246" s="4"/>
      <c r="DC246" s="4"/>
      <c r="DD246" s="350"/>
      <c r="DE246" s="4"/>
      <c r="DF246" s="4"/>
      <c r="DG246" s="4"/>
      <c r="DH246" s="4"/>
      <c r="DI246" s="350"/>
      <c r="DJ246" s="16"/>
      <c r="DK246" s="16"/>
      <c r="DL246" s="16"/>
      <c r="DM246" s="16"/>
      <c r="DN246" s="350"/>
      <c r="DO246" s="16"/>
      <c r="DP246" s="16"/>
      <c r="DQ246" s="16"/>
      <c r="DR246" s="16"/>
      <c r="DS246" s="350"/>
      <c r="DT246" s="16"/>
      <c r="DU246" s="16"/>
      <c r="DV246" s="16"/>
      <c r="DW246" s="16"/>
      <c r="DX246" s="342"/>
      <c r="DY246" s="16"/>
      <c r="DZ246" s="16"/>
      <c r="EA246" s="16"/>
      <c r="EB246" s="16"/>
      <c r="EC246" s="342">
        <f>EC245/DX245-1</f>
        <v>0.009200900394</v>
      </c>
      <c r="ED246" s="16"/>
      <c r="EE246" s="16"/>
      <c r="EF246" s="16"/>
      <c r="EG246" s="16"/>
      <c r="EH246" s="342">
        <f>EH245/EC245-1</f>
        <v>-0.1666852539</v>
      </c>
      <c r="EI246" s="214"/>
      <c r="EJ246" s="16"/>
      <c r="EK246" s="4"/>
      <c r="EL246" s="4"/>
      <c r="EM246" s="342" t="str">
        <f>EM245/EH245-1</f>
        <v>#ERROR!</v>
      </c>
      <c r="EN246" s="16"/>
      <c r="EO246" s="16"/>
      <c r="EP246" s="4"/>
      <c r="EQ246" s="4"/>
      <c r="ER246" s="342" t="str">
        <f>ER245/EM245-1</f>
        <v>#ERROR!</v>
      </c>
      <c r="ES246" s="16"/>
      <c r="ET246" s="16"/>
      <c r="EU246" s="4"/>
      <c r="EV246" s="4"/>
      <c r="EW246" s="342" t="str">
        <f>EW245/ER245-1</f>
        <v>#ERROR!</v>
      </c>
      <c r="EX246" s="16"/>
      <c r="EY246" s="16"/>
      <c r="EZ246" s="4"/>
      <c r="FA246" s="4"/>
      <c r="FB246" s="342" t="str">
        <f>FB245/EW245-1</f>
        <v>#ERROR!</v>
      </c>
      <c r="FC246" s="16"/>
      <c r="FD246" s="16"/>
      <c r="FE246" s="4"/>
      <c r="FF246" s="4"/>
      <c r="FG246" s="342" t="str">
        <f>FG245/FB245-1</f>
        <v>#ERROR!</v>
      </c>
      <c r="FH246" s="343"/>
      <c r="FI246" s="4"/>
      <c r="FJ246" s="4"/>
      <c r="FK246" s="45"/>
      <c r="FL246" s="4"/>
    </row>
    <row r="247" ht="12.75" customHeight="1">
      <c r="A247" s="91"/>
      <c r="B247" s="91" t="s">
        <v>183</v>
      </c>
      <c r="C247" s="299"/>
      <c r="D247" s="90"/>
      <c r="E247" s="90"/>
      <c r="F247" s="90"/>
      <c r="G247" s="90"/>
      <c r="H247" s="299"/>
      <c r="I247" s="90"/>
      <c r="J247" s="90"/>
      <c r="K247" s="90"/>
      <c r="L247" s="90"/>
      <c r="M247" s="299"/>
      <c r="N247" s="90"/>
      <c r="O247" s="90"/>
      <c r="P247" s="90"/>
      <c r="Q247" s="90"/>
      <c r="R247" s="299"/>
      <c r="S247" s="90"/>
      <c r="T247" s="90"/>
      <c r="U247" s="90"/>
      <c r="V247" s="90"/>
      <c r="W247" s="299"/>
      <c r="X247" s="90"/>
      <c r="Y247" s="90"/>
      <c r="Z247" s="90"/>
      <c r="AA247" s="90"/>
      <c r="AB247" s="299"/>
      <c r="AC247" s="90"/>
      <c r="AD247" s="90"/>
      <c r="AE247" s="90"/>
      <c r="AF247" s="90"/>
      <c r="AG247" s="299"/>
      <c r="AH247" s="90"/>
      <c r="AI247" s="90"/>
      <c r="AJ247" s="90"/>
      <c r="AK247" s="90"/>
      <c r="AL247" s="299"/>
      <c r="AM247" s="90"/>
      <c r="AN247" s="90"/>
      <c r="AO247" s="90"/>
      <c r="AP247" s="90"/>
      <c r="AQ247" s="299"/>
      <c r="AR247" s="90"/>
      <c r="AS247" s="90"/>
      <c r="AT247" s="90"/>
      <c r="AU247" s="90"/>
      <c r="AV247" s="299"/>
      <c r="AW247" s="90"/>
      <c r="AX247" s="90"/>
      <c r="AY247" s="90"/>
      <c r="AZ247" s="90"/>
      <c r="BA247" s="299"/>
      <c r="BB247" s="90"/>
      <c r="BC247" s="90"/>
      <c r="BD247" s="90"/>
      <c r="BE247" s="90"/>
      <c r="BF247" s="299"/>
      <c r="BG247" s="90"/>
      <c r="BH247" s="90"/>
      <c r="BI247" s="90"/>
      <c r="BJ247" s="90"/>
      <c r="BK247" s="299"/>
      <c r="BL247" s="90"/>
      <c r="BM247" s="90"/>
      <c r="BN247" s="90"/>
      <c r="BO247" s="90"/>
      <c r="BP247" s="299"/>
      <c r="BQ247" s="90"/>
      <c r="BR247" s="90"/>
      <c r="BS247" s="90"/>
      <c r="BT247" s="90"/>
      <c r="BU247" s="299"/>
      <c r="BV247" s="90"/>
      <c r="BW247" s="90"/>
      <c r="BX247" s="90"/>
      <c r="BY247" s="90"/>
      <c r="BZ247" s="301"/>
      <c r="CA247" s="90"/>
      <c r="CB247" s="90"/>
      <c r="CC247" s="90"/>
      <c r="CD247" s="90"/>
      <c r="CE247" s="301"/>
      <c r="CF247" s="90"/>
      <c r="CG247" s="90"/>
      <c r="CH247" s="90"/>
      <c r="CI247" s="90"/>
      <c r="CJ247" s="301"/>
      <c r="CK247" s="90"/>
      <c r="CL247" s="90"/>
      <c r="CM247" s="90"/>
      <c r="CN247" s="135"/>
      <c r="CO247" s="301"/>
      <c r="CP247" s="388"/>
      <c r="CQ247" s="388"/>
      <c r="CR247" s="388"/>
      <c r="CS247" s="388"/>
      <c r="CT247" s="301"/>
      <c r="CU247" s="90"/>
      <c r="CV247" s="90"/>
      <c r="CW247" s="90"/>
      <c r="CX247" s="90"/>
      <c r="CY247" s="301"/>
      <c r="CZ247" s="90"/>
      <c r="DA247" s="90"/>
      <c r="DB247" s="90"/>
      <c r="DC247" s="90"/>
      <c r="DD247" s="301"/>
      <c r="DE247" s="90"/>
      <c r="DF247" s="90"/>
      <c r="DG247" s="90"/>
      <c r="DH247" s="90"/>
      <c r="DI247" s="301"/>
      <c r="DJ247" s="135"/>
      <c r="DK247" s="135"/>
      <c r="DL247" s="135"/>
      <c r="DM247" s="135"/>
      <c r="DN247" s="301"/>
      <c r="DO247" s="135"/>
      <c r="DP247" s="135"/>
      <c r="DQ247" s="135"/>
      <c r="DR247" s="135"/>
      <c r="DS247" s="301"/>
      <c r="DT247" s="135"/>
      <c r="DU247" s="135"/>
      <c r="DV247" s="135"/>
      <c r="DW247" s="135"/>
      <c r="DX247" s="396"/>
      <c r="DY247" s="135"/>
      <c r="DZ247" s="135"/>
      <c r="EA247" s="135"/>
      <c r="EB247" s="135"/>
      <c r="EC247" s="396"/>
      <c r="ED247" s="135"/>
      <c r="EE247" s="135"/>
      <c r="EF247" s="135"/>
      <c r="EG247" s="135"/>
      <c r="EH247" s="301"/>
      <c r="EI247" s="389"/>
      <c r="EJ247" s="135"/>
      <c r="EK247" s="90"/>
      <c r="EL247" s="90"/>
      <c r="EM247" s="301"/>
      <c r="EN247" s="135"/>
      <c r="EO247" s="135"/>
      <c r="EP247" s="90"/>
      <c r="EQ247" s="90"/>
      <c r="ER247" s="301"/>
      <c r="ES247" s="135"/>
      <c r="ET247" s="135"/>
      <c r="EU247" s="90"/>
      <c r="EV247" s="90"/>
      <c r="EW247" s="301"/>
      <c r="EX247" s="135"/>
      <c r="EY247" s="135"/>
      <c r="EZ247" s="90"/>
      <c r="FA247" s="90"/>
      <c r="FB247" s="396" t="str">
        <f>(FB245/EC245)^0.2-1</f>
        <v>#ERROR!</v>
      </c>
      <c r="FC247" s="135"/>
      <c r="FD247" s="135"/>
      <c r="FE247" s="90"/>
      <c r="FF247" s="90"/>
      <c r="FG247" s="396" t="str">
        <f>(FG245/EH245)^0.2-1</f>
        <v>#ERROR!</v>
      </c>
      <c r="FH247" s="397"/>
      <c r="FI247" s="90"/>
      <c r="FJ247" s="90"/>
      <c r="FK247" s="299"/>
      <c r="FL247" s="90"/>
    </row>
    <row r="248" ht="12.75" customHeight="1">
      <c r="A248" s="72"/>
      <c r="B248" s="215" t="s">
        <v>184</v>
      </c>
      <c r="C248" s="45"/>
      <c r="D248" s="4"/>
      <c r="E248" s="4"/>
      <c r="F248" s="4"/>
      <c r="G248" s="4"/>
      <c r="H248" s="45"/>
      <c r="I248" s="4"/>
      <c r="J248" s="4"/>
      <c r="K248" s="4"/>
      <c r="L248" s="4"/>
      <c r="M248" s="45"/>
      <c r="N248" s="4"/>
      <c r="O248" s="4"/>
      <c r="P248" s="4"/>
      <c r="Q248" s="4"/>
      <c r="R248" s="45"/>
      <c r="S248" s="4"/>
      <c r="T248" s="4"/>
      <c r="U248" s="4"/>
      <c r="V248" s="4"/>
      <c r="W248" s="45"/>
      <c r="X248" s="4"/>
      <c r="Y248" s="4"/>
      <c r="Z248" s="4"/>
      <c r="AA248" s="4"/>
      <c r="AB248" s="45"/>
      <c r="AC248" s="4"/>
      <c r="AD248" s="4"/>
      <c r="AE248" s="4"/>
      <c r="AF248" s="4"/>
      <c r="AG248" s="45"/>
      <c r="AH248" s="4"/>
      <c r="AI248" s="4"/>
      <c r="AJ248" s="4"/>
      <c r="AK248" s="4"/>
      <c r="AL248" s="45"/>
      <c r="AM248" s="4"/>
      <c r="AN248" s="4"/>
      <c r="AO248" s="4"/>
      <c r="AP248" s="4"/>
      <c r="AQ248" s="45"/>
      <c r="AR248" s="4"/>
      <c r="AS248" s="4"/>
      <c r="AT248" s="4"/>
      <c r="AU248" s="4"/>
      <c r="AV248" s="45"/>
      <c r="AW248" s="4"/>
      <c r="AX248" s="4"/>
      <c r="AY248" s="4"/>
      <c r="AZ248" s="4"/>
      <c r="BA248" s="45"/>
      <c r="BB248" s="4"/>
      <c r="BC248" s="4"/>
      <c r="BD248" s="4"/>
      <c r="BE248" s="4"/>
      <c r="BF248" s="45"/>
      <c r="BG248" s="4"/>
      <c r="BH248" s="4"/>
      <c r="BI248" s="4"/>
      <c r="BJ248" s="4"/>
      <c r="BK248" s="45"/>
      <c r="BL248" s="4"/>
      <c r="BM248" s="4"/>
      <c r="BN248" s="4"/>
      <c r="BO248" s="4"/>
      <c r="BP248" s="45"/>
      <c r="BQ248" s="4"/>
      <c r="BR248" s="4"/>
      <c r="BS248" s="4"/>
      <c r="BT248" s="4"/>
      <c r="BU248" s="45"/>
      <c r="BV248" s="4"/>
      <c r="BW248" s="4"/>
      <c r="BX248" s="4"/>
      <c r="BY248" s="4"/>
      <c r="BZ248" s="350"/>
      <c r="CA248" s="4"/>
      <c r="CB248" s="4"/>
      <c r="CC248" s="4"/>
      <c r="CD248" s="4"/>
      <c r="CE248" s="350"/>
      <c r="CF248" s="4"/>
      <c r="CG248" s="4"/>
      <c r="CH248" s="4"/>
      <c r="CI248" s="4"/>
      <c r="CJ248" s="350"/>
      <c r="CK248" s="4"/>
      <c r="CL248" s="4"/>
      <c r="CM248" s="4"/>
      <c r="CN248" s="16"/>
      <c r="CO248" s="350"/>
      <c r="CP248" s="104"/>
      <c r="CQ248" s="104"/>
      <c r="CR248" s="104"/>
      <c r="CS248" s="104"/>
      <c r="CT248" s="350"/>
      <c r="CU248" s="4"/>
      <c r="CV248" s="4"/>
      <c r="CW248" s="4"/>
      <c r="CX248" s="4"/>
      <c r="CY248" s="350"/>
      <c r="CZ248" s="4"/>
      <c r="DA248" s="4"/>
      <c r="DB248" s="4"/>
      <c r="DC248" s="4"/>
      <c r="DD248" s="350"/>
      <c r="DE248" s="4"/>
      <c r="DF248" s="4"/>
      <c r="DG248" s="4"/>
      <c r="DH248" s="4"/>
      <c r="DI248" s="350"/>
      <c r="DJ248" s="16"/>
      <c r="DK248" s="16"/>
      <c r="DL248" s="16"/>
      <c r="DM248" s="16"/>
      <c r="DN248" s="350"/>
      <c r="DO248" s="16"/>
      <c r="DP248" s="16"/>
      <c r="DQ248" s="16"/>
      <c r="DR248" s="16"/>
      <c r="DS248" s="356">
        <f>DS235+DS228+DS221+DS214+DS207+DS200+DS178</f>
        <v>22035</v>
      </c>
      <c r="DT248" s="16"/>
      <c r="DU248" s="16"/>
      <c r="DV248" s="16"/>
      <c r="DW248" s="16"/>
      <c r="DX248" s="356">
        <f t="shared" ref="DX248:EB248" si="1481">DX235+DX228+DX221+DX214+DX207+DX200+DX178</f>
        <v>23678</v>
      </c>
      <c r="DY248" s="357">
        <f t="shared" si="1481"/>
        <v>3694</v>
      </c>
      <c r="DZ248" s="357">
        <f t="shared" si="1481"/>
        <v>5546</v>
      </c>
      <c r="EA248" s="357">
        <f t="shared" si="1481"/>
        <v>5227</v>
      </c>
      <c r="EB248" s="357">
        <f t="shared" si="1481"/>
        <v>4989</v>
      </c>
      <c r="EC248" s="356">
        <f t="shared" ref="EC248:EC253" si="1483">SUM(DY248:EB248)</f>
        <v>19456</v>
      </c>
      <c r="ED248" s="398">
        <f t="shared" ref="ED248:EG248" si="1482">ED235+ED228+ED221+ED214+ED207+ED200+ED178</f>
        <v>4341</v>
      </c>
      <c r="EE248" s="398">
        <f t="shared" si="1482"/>
        <v>-700</v>
      </c>
      <c r="EF248" s="398">
        <f t="shared" si="1482"/>
        <v>-175</v>
      </c>
      <c r="EG248" s="398">
        <f t="shared" si="1482"/>
        <v>-1132</v>
      </c>
      <c r="EH248" s="356">
        <f t="shared" ref="EH248:EH253" si="1484">SUM(ED248:EG248)</f>
        <v>2334</v>
      </c>
      <c r="EI248" s="214">
        <f>EI235+EI228+EI221+EI214+EI207+EI200+EI178</f>
        <v>0</v>
      </c>
      <c r="EJ248" s="16"/>
      <c r="EK248" s="4"/>
      <c r="EL248" s="4"/>
      <c r="EM248" s="356">
        <f t="shared" ref="EM248:EM253" si="1485">SUM(EI248:EL248)</f>
        <v>0</v>
      </c>
      <c r="EN248" s="398">
        <f>EN235+EN228+EN221+EN214+EN207+EN200+EN178</f>
        <v>0</v>
      </c>
      <c r="EO248" s="16"/>
      <c r="EP248" s="4"/>
      <c r="EQ248" s="4"/>
      <c r="ER248" s="356">
        <f t="shared" ref="ER248:ER253" si="1486">SUM(EN248:EQ248)</f>
        <v>0</v>
      </c>
      <c r="ES248" s="398">
        <f>ES235+ES228+ES221+ES214+ES207+ES200+ES178</f>
        <v>0</v>
      </c>
      <c r="ET248" s="16"/>
      <c r="EU248" s="4"/>
      <c r="EV248" s="4"/>
      <c r="EW248" s="356">
        <f t="shared" ref="EW248:EW253" si="1487">SUM(ES248:EV248)</f>
        <v>0</v>
      </c>
      <c r="EX248" s="398">
        <f>EX235+EX228+EX221+EX214+EX207+EX200+EX178</f>
        <v>0</v>
      </c>
      <c r="EY248" s="16"/>
      <c r="EZ248" s="4"/>
      <c r="FA248" s="4"/>
      <c r="FB248" s="356">
        <f t="shared" ref="FB248:FB253" si="1488">SUM(EX248:FA248)</f>
        <v>0</v>
      </c>
      <c r="FC248" s="398">
        <f>FC235+FC228+FC221+FC214+FC207+FC200+FC178</f>
        <v>0</v>
      </c>
      <c r="FD248" s="16"/>
      <c r="FE248" s="4"/>
      <c r="FF248" s="4"/>
      <c r="FG248" s="356">
        <f t="shared" ref="FG248:FG253" si="1489">SUM(FC248:FF248)</f>
        <v>0</v>
      </c>
      <c r="FH248" s="359"/>
      <c r="FI248" s="4"/>
      <c r="FJ248" s="4"/>
      <c r="FK248" s="45"/>
      <c r="FL248" s="4"/>
    </row>
    <row r="249" ht="12.75" customHeight="1">
      <c r="A249" s="72"/>
      <c r="B249" s="72" t="s">
        <v>185</v>
      </c>
      <c r="C249" s="45"/>
      <c r="D249" s="4"/>
      <c r="E249" s="4"/>
      <c r="F249" s="4"/>
      <c r="G249" s="4"/>
      <c r="H249" s="45"/>
      <c r="I249" s="4"/>
      <c r="J249" s="4"/>
      <c r="K249" s="4"/>
      <c r="L249" s="4"/>
      <c r="M249" s="45"/>
      <c r="N249" s="4"/>
      <c r="O249" s="4"/>
      <c r="P249" s="4"/>
      <c r="Q249" s="4"/>
      <c r="R249" s="45"/>
      <c r="S249" s="4"/>
      <c r="T249" s="4"/>
      <c r="U249" s="4"/>
      <c r="V249" s="4"/>
      <c r="W249" s="45"/>
      <c r="X249" s="4"/>
      <c r="Y249" s="4"/>
      <c r="Z249" s="4"/>
      <c r="AA249" s="4"/>
      <c r="AB249" s="45"/>
      <c r="AC249" s="4"/>
      <c r="AD249" s="4"/>
      <c r="AE249" s="4"/>
      <c r="AF249" s="4"/>
      <c r="AG249" s="45"/>
      <c r="AH249" s="4"/>
      <c r="AI249" s="4"/>
      <c r="AJ249" s="4"/>
      <c r="AK249" s="4"/>
      <c r="AL249" s="45"/>
      <c r="AM249" s="4"/>
      <c r="AN249" s="4"/>
      <c r="AO249" s="4"/>
      <c r="AP249" s="4"/>
      <c r="AQ249" s="45"/>
      <c r="AR249" s="4"/>
      <c r="AS249" s="4"/>
      <c r="AT249" s="4"/>
      <c r="AU249" s="4"/>
      <c r="AV249" s="45"/>
      <c r="AW249" s="4"/>
      <c r="AX249" s="4"/>
      <c r="AY249" s="4"/>
      <c r="AZ249" s="4"/>
      <c r="BA249" s="45"/>
      <c r="BB249" s="4"/>
      <c r="BC249" s="4"/>
      <c r="BD249" s="4"/>
      <c r="BE249" s="4"/>
      <c r="BF249" s="45"/>
      <c r="BG249" s="4"/>
      <c r="BH249" s="4"/>
      <c r="BI249" s="4"/>
      <c r="BJ249" s="4"/>
      <c r="BK249" s="45"/>
      <c r="BL249" s="4"/>
      <c r="BM249" s="4"/>
      <c r="BN249" s="4"/>
      <c r="BO249" s="4"/>
      <c r="BP249" s="45"/>
      <c r="BQ249" s="4"/>
      <c r="BR249" s="4"/>
      <c r="BS249" s="4"/>
      <c r="BT249" s="4"/>
      <c r="BU249" s="45"/>
      <c r="BV249" s="4"/>
      <c r="BW249" s="4"/>
      <c r="BX249" s="4"/>
      <c r="BY249" s="4"/>
      <c r="BZ249" s="350"/>
      <c r="CA249" s="4"/>
      <c r="CB249" s="4"/>
      <c r="CC249" s="4"/>
      <c r="CD249" s="4"/>
      <c r="CE249" s="350"/>
      <c r="CF249" s="4"/>
      <c r="CG249" s="4"/>
      <c r="CH249" s="4"/>
      <c r="CI249" s="4"/>
      <c r="CJ249" s="350"/>
      <c r="CK249" s="4"/>
      <c r="CL249" s="4"/>
      <c r="CM249" s="4"/>
      <c r="CN249" s="16"/>
      <c r="CO249" s="350"/>
      <c r="CP249" s="104"/>
      <c r="CQ249" s="104"/>
      <c r="CR249" s="104"/>
      <c r="CS249" s="104"/>
      <c r="CT249" s="350"/>
      <c r="CU249" s="4"/>
      <c r="CV249" s="4"/>
      <c r="CW249" s="4"/>
      <c r="CX249" s="4"/>
      <c r="CY249" s="350"/>
      <c r="CZ249" s="4"/>
      <c r="DA249" s="4"/>
      <c r="DB249" s="4"/>
      <c r="DC249" s="4"/>
      <c r="DD249" s="350"/>
      <c r="DE249" s="4"/>
      <c r="DF249" s="4"/>
      <c r="DG249" s="4"/>
      <c r="DH249" s="4"/>
      <c r="DI249" s="350"/>
      <c r="DJ249" s="16"/>
      <c r="DK249" s="16"/>
      <c r="DL249" s="16"/>
      <c r="DM249" s="16"/>
      <c r="DN249" s="350"/>
      <c r="DO249" s="16"/>
      <c r="DP249" s="16"/>
      <c r="DQ249" s="16"/>
      <c r="DR249" s="16"/>
      <c r="DS249" s="356">
        <v>1324.0</v>
      </c>
      <c r="DT249" s="16"/>
      <c r="DU249" s="16"/>
      <c r="DV249" s="16"/>
      <c r="DW249" s="16"/>
      <c r="DX249" s="356">
        <v>1416.0</v>
      </c>
      <c r="DY249" s="357">
        <v>364.0</v>
      </c>
      <c r="DZ249" s="357">
        <v>366.0</v>
      </c>
      <c r="EA249" s="357">
        <v>375.0</v>
      </c>
      <c r="EB249" s="357">
        <v>387.0</v>
      </c>
      <c r="EC249" s="356">
        <f t="shared" si="1483"/>
        <v>1492</v>
      </c>
      <c r="ED249" s="357">
        <v>404.0</v>
      </c>
      <c r="EE249" s="357">
        <v>377.0</v>
      </c>
      <c r="EF249" s="357">
        <v>373.0</v>
      </c>
      <c r="EG249" s="357">
        <v>372.0</v>
      </c>
      <c r="EH249" s="356">
        <f t="shared" si="1484"/>
        <v>1526</v>
      </c>
      <c r="EI249" s="214"/>
      <c r="EJ249" s="16"/>
      <c r="EK249" s="4"/>
      <c r="EL249" s="4"/>
      <c r="EM249" s="356">
        <f t="shared" si="1485"/>
        <v>0</v>
      </c>
      <c r="EN249" s="357"/>
      <c r="EO249" s="16"/>
      <c r="EP249" s="4"/>
      <c r="EQ249" s="4"/>
      <c r="ER249" s="356">
        <f t="shared" si="1486"/>
        <v>0</v>
      </c>
      <c r="ES249" s="357"/>
      <c r="ET249" s="16"/>
      <c r="EU249" s="4"/>
      <c r="EV249" s="4"/>
      <c r="EW249" s="356">
        <f t="shared" si="1487"/>
        <v>0</v>
      </c>
      <c r="EX249" s="357"/>
      <c r="EY249" s="16"/>
      <c r="EZ249" s="4"/>
      <c r="FA249" s="4"/>
      <c r="FB249" s="356">
        <f t="shared" si="1488"/>
        <v>0</v>
      </c>
      <c r="FC249" s="357"/>
      <c r="FD249" s="16"/>
      <c r="FE249" s="4"/>
      <c r="FF249" s="4"/>
      <c r="FG249" s="356">
        <f t="shared" si="1489"/>
        <v>0</v>
      </c>
      <c r="FH249" s="359"/>
      <c r="FI249" s="4"/>
      <c r="FJ249" s="4"/>
      <c r="FK249" s="45"/>
      <c r="FL249" s="4"/>
    </row>
    <row r="250" ht="12.75" customHeight="1">
      <c r="A250" s="72"/>
      <c r="B250" s="72" t="s">
        <v>186</v>
      </c>
      <c r="C250" s="45"/>
      <c r="D250" s="4"/>
      <c r="E250" s="4"/>
      <c r="F250" s="4"/>
      <c r="G250" s="4"/>
      <c r="H250" s="45"/>
      <c r="I250" s="4"/>
      <c r="J250" s="4"/>
      <c r="K250" s="4"/>
      <c r="L250" s="4"/>
      <c r="M250" s="45"/>
      <c r="N250" s="4"/>
      <c r="O250" s="4"/>
      <c r="P250" s="4"/>
      <c r="Q250" s="4"/>
      <c r="R250" s="45"/>
      <c r="S250" s="4"/>
      <c r="T250" s="4"/>
      <c r="U250" s="4"/>
      <c r="V250" s="4"/>
      <c r="W250" s="45"/>
      <c r="X250" s="4"/>
      <c r="Y250" s="4"/>
      <c r="Z250" s="4"/>
      <c r="AA250" s="4"/>
      <c r="AB250" s="45"/>
      <c r="AC250" s="4"/>
      <c r="AD250" s="4"/>
      <c r="AE250" s="4"/>
      <c r="AF250" s="4"/>
      <c r="AG250" s="45"/>
      <c r="AH250" s="4"/>
      <c r="AI250" s="4"/>
      <c r="AJ250" s="4"/>
      <c r="AK250" s="4"/>
      <c r="AL250" s="45"/>
      <c r="AM250" s="4"/>
      <c r="AN250" s="4"/>
      <c r="AO250" s="4"/>
      <c r="AP250" s="4"/>
      <c r="AQ250" s="45"/>
      <c r="AR250" s="4"/>
      <c r="AS250" s="4"/>
      <c r="AT250" s="4"/>
      <c r="AU250" s="4"/>
      <c r="AV250" s="45"/>
      <c r="AW250" s="4"/>
      <c r="AX250" s="4"/>
      <c r="AY250" s="4"/>
      <c r="AZ250" s="4"/>
      <c r="BA250" s="45"/>
      <c r="BB250" s="4"/>
      <c r="BC250" s="4"/>
      <c r="BD250" s="4"/>
      <c r="BE250" s="4"/>
      <c r="BF250" s="45"/>
      <c r="BG250" s="4"/>
      <c r="BH250" s="4"/>
      <c r="BI250" s="4"/>
      <c r="BJ250" s="4"/>
      <c r="BK250" s="45"/>
      <c r="BL250" s="4"/>
      <c r="BM250" s="4"/>
      <c r="BN250" s="4"/>
      <c r="BO250" s="4"/>
      <c r="BP250" s="45"/>
      <c r="BQ250" s="4"/>
      <c r="BR250" s="4"/>
      <c r="BS250" s="4"/>
      <c r="BT250" s="4"/>
      <c r="BU250" s="45"/>
      <c r="BV250" s="4"/>
      <c r="BW250" s="4"/>
      <c r="BX250" s="4"/>
      <c r="BY250" s="4"/>
      <c r="BZ250" s="350"/>
      <c r="CA250" s="4"/>
      <c r="CB250" s="4"/>
      <c r="CC250" s="4"/>
      <c r="CD250" s="4"/>
      <c r="CE250" s="350"/>
      <c r="CF250" s="4"/>
      <c r="CG250" s="4"/>
      <c r="CH250" s="4"/>
      <c r="CI250" s="4"/>
      <c r="CJ250" s="350"/>
      <c r="CK250" s="4"/>
      <c r="CL250" s="4"/>
      <c r="CM250" s="4"/>
      <c r="CN250" s="16"/>
      <c r="CO250" s="350"/>
      <c r="CP250" s="104"/>
      <c r="CQ250" s="104"/>
      <c r="CR250" s="104"/>
      <c r="CS250" s="104"/>
      <c r="CT250" s="350"/>
      <c r="CU250" s="4"/>
      <c r="CV250" s="4"/>
      <c r="CW250" s="4"/>
      <c r="CX250" s="4"/>
      <c r="CY250" s="350"/>
      <c r="CZ250" s="4"/>
      <c r="DA250" s="4"/>
      <c r="DB250" s="4"/>
      <c r="DC250" s="4"/>
      <c r="DD250" s="350"/>
      <c r="DE250" s="4"/>
      <c r="DF250" s="4"/>
      <c r="DG250" s="4"/>
      <c r="DH250" s="4"/>
      <c r="DI250" s="350"/>
      <c r="DJ250" s="16"/>
      <c r="DK250" s="16"/>
      <c r="DL250" s="16"/>
      <c r="DM250" s="16"/>
      <c r="DN250" s="350"/>
      <c r="DO250" s="16"/>
      <c r="DP250" s="16"/>
      <c r="DQ250" s="16"/>
      <c r="DR250" s="16"/>
      <c r="DS250" s="356">
        <v>393.0</v>
      </c>
      <c r="DT250" s="16"/>
      <c r="DU250" s="16"/>
      <c r="DV250" s="16"/>
      <c r="DW250" s="16"/>
      <c r="DX250" s="356">
        <v>198.0</v>
      </c>
      <c r="DY250" s="357">
        <v>2209.0</v>
      </c>
      <c r="DZ250" s="357">
        <v>346.0</v>
      </c>
      <c r="EA250" s="357">
        <v>42.0</v>
      </c>
      <c r="EB250" s="357">
        <v>29.0</v>
      </c>
      <c r="EC250" s="356">
        <f t="shared" si="1483"/>
        <v>2626</v>
      </c>
      <c r="ED250" s="357">
        <v>-1211.0</v>
      </c>
      <c r="EE250" s="357">
        <f>87+204+559</f>
        <v>850</v>
      </c>
      <c r="EF250" s="357">
        <v>664.0</v>
      </c>
      <c r="EG250" s="357">
        <v>462.0</v>
      </c>
      <c r="EH250" s="356">
        <f t="shared" si="1484"/>
        <v>765</v>
      </c>
      <c r="EI250" s="214"/>
      <c r="EJ250" s="16"/>
      <c r="EK250" s="4"/>
      <c r="EL250" s="4"/>
      <c r="EM250" s="356">
        <f t="shared" si="1485"/>
        <v>0</v>
      </c>
      <c r="EN250" s="357"/>
      <c r="EO250" s="16"/>
      <c r="EP250" s="4"/>
      <c r="EQ250" s="4"/>
      <c r="ER250" s="356">
        <f t="shared" si="1486"/>
        <v>0</v>
      </c>
      <c r="ES250" s="357"/>
      <c r="ET250" s="16"/>
      <c r="EU250" s="4"/>
      <c r="EV250" s="4"/>
      <c r="EW250" s="356">
        <f t="shared" si="1487"/>
        <v>0</v>
      </c>
      <c r="EX250" s="357"/>
      <c r="EY250" s="16"/>
      <c r="EZ250" s="4"/>
      <c r="FA250" s="4"/>
      <c r="FB250" s="356">
        <f t="shared" si="1488"/>
        <v>0</v>
      </c>
      <c r="FC250" s="357"/>
      <c r="FD250" s="16"/>
      <c r="FE250" s="4"/>
      <c r="FF250" s="4"/>
      <c r="FG250" s="356">
        <f t="shared" si="1489"/>
        <v>0</v>
      </c>
      <c r="FH250" s="359"/>
      <c r="FI250" s="4"/>
      <c r="FJ250" s="4"/>
      <c r="FK250" s="45"/>
      <c r="FL250" s="4"/>
    </row>
    <row r="251" ht="12.75" customHeight="1">
      <c r="A251" s="72"/>
      <c r="B251" s="72" t="s">
        <v>187</v>
      </c>
      <c r="C251" s="45"/>
      <c r="D251" s="4"/>
      <c r="E251" s="4"/>
      <c r="F251" s="4"/>
      <c r="G251" s="4"/>
      <c r="H251" s="45"/>
      <c r="I251" s="4"/>
      <c r="J251" s="4"/>
      <c r="K251" s="4"/>
      <c r="L251" s="4"/>
      <c r="M251" s="45"/>
      <c r="N251" s="4"/>
      <c r="O251" s="4"/>
      <c r="P251" s="4"/>
      <c r="Q251" s="4"/>
      <c r="R251" s="45"/>
      <c r="S251" s="4"/>
      <c r="T251" s="4"/>
      <c r="U251" s="4"/>
      <c r="V251" s="4"/>
      <c r="W251" s="45"/>
      <c r="X251" s="4"/>
      <c r="Y251" s="4"/>
      <c r="Z251" s="4"/>
      <c r="AA251" s="4"/>
      <c r="AB251" s="45"/>
      <c r="AC251" s="4"/>
      <c r="AD251" s="4"/>
      <c r="AE251" s="4"/>
      <c r="AF251" s="4"/>
      <c r="AG251" s="45"/>
      <c r="AH251" s="4"/>
      <c r="AI251" s="4"/>
      <c r="AJ251" s="4"/>
      <c r="AK251" s="4"/>
      <c r="AL251" s="45"/>
      <c r="AM251" s="4"/>
      <c r="AN251" s="4"/>
      <c r="AO251" s="4"/>
      <c r="AP251" s="4"/>
      <c r="AQ251" s="45"/>
      <c r="AR251" s="4"/>
      <c r="AS251" s="4"/>
      <c r="AT251" s="4"/>
      <c r="AU251" s="4"/>
      <c r="AV251" s="45"/>
      <c r="AW251" s="4"/>
      <c r="AX251" s="4"/>
      <c r="AY251" s="4"/>
      <c r="AZ251" s="4"/>
      <c r="BA251" s="45"/>
      <c r="BB251" s="4"/>
      <c r="BC251" s="4"/>
      <c r="BD251" s="4"/>
      <c r="BE251" s="4"/>
      <c r="BF251" s="45"/>
      <c r="BG251" s="4"/>
      <c r="BH251" s="4"/>
      <c r="BI251" s="4"/>
      <c r="BJ251" s="4"/>
      <c r="BK251" s="45"/>
      <c r="BL251" s="4"/>
      <c r="BM251" s="4"/>
      <c r="BN251" s="4"/>
      <c r="BO251" s="4"/>
      <c r="BP251" s="45"/>
      <c r="BQ251" s="4"/>
      <c r="BR251" s="4"/>
      <c r="BS251" s="4"/>
      <c r="BT251" s="4"/>
      <c r="BU251" s="45"/>
      <c r="BV251" s="4"/>
      <c r="BW251" s="4"/>
      <c r="BX251" s="4"/>
      <c r="BY251" s="4"/>
      <c r="BZ251" s="350"/>
      <c r="CA251" s="4"/>
      <c r="CB251" s="4"/>
      <c r="CC251" s="4"/>
      <c r="CD251" s="4"/>
      <c r="CE251" s="350"/>
      <c r="CF251" s="4"/>
      <c r="CG251" s="4"/>
      <c r="CH251" s="4"/>
      <c r="CI251" s="4"/>
      <c r="CJ251" s="350"/>
      <c r="CK251" s="4"/>
      <c r="CL251" s="4"/>
      <c r="CM251" s="4"/>
      <c r="CN251" s="16"/>
      <c r="CO251" s="350"/>
      <c r="CP251" s="104"/>
      <c r="CQ251" s="104"/>
      <c r="CR251" s="104"/>
      <c r="CS251" s="104"/>
      <c r="CT251" s="350"/>
      <c r="CU251" s="4"/>
      <c r="CV251" s="4"/>
      <c r="CW251" s="4"/>
      <c r="CX251" s="4"/>
      <c r="CY251" s="350"/>
      <c r="CZ251" s="4"/>
      <c r="DA251" s="4"/>
      <c r="DB251" s="4"/>
      <c r="DC251" s="4"/>
      <c r="DD251" s="350"/>
      <c r="DE251" s="4"/>
      <c r="DF251" s="4"/>
      <c r="DG251" s="4"/>
      <c r="DH251" s="4"/>
      <c r="DI251" s="350"/>
      <c r="DJ251" s="16"/>
      <c r="DK251" s="16"/>
      <c r="DL251" s="16"/>
      <c r="DM251" s="16"/>
      <c r="DN251" s="350"/>
      <c r="DO251" s="16"/>
      <c r="DP251" s="16"/>
      <c r="DQ251" s="16"/>
      <c r="DR251" s="16"/>
      <c r="DS251" s="356">
        <v>1717.0</v>
      </c>
      <c r="DT251" s="16"/>
      <c r="DU251" s="16"/>
      <c r="DV251" s="16"/>
      <c r="DW251" s="16"/>
      <c r="DX251" s="356">
        <v>1854.0</v>
      </c>
      <c r="DY251" s="357">
        <v>425.0</v>
      </c>
      <c r="DZ251" s="357">
        <v>619.0</v>
      </c>
      <c r="EA251" s="357">
        <v>543.0</v>
      </c>
      <c r="EB251" s="357">
        <v>449.0</v>
      </c>
      <c r="EC251" s="356">
        <f t="shared" si="1483"/>
        <v>2036</v>
      </c>
      <c r="ED251" s="357">
        <v>707.0</v>
      </c>
      <c r="EE251" s="357">
        <v>890.0</v>
      </c>
      <c r="EF251" s="357">
        <v>793.0</v>
      </c>
      <c r="EG251" s="357">
        <v>736.0</v>
      </c>
      <c r="EH251" s="356">
        <f t="shared" si="1484"/>
        <v>3126</v>
      </c>
      <c r="EI251" s="214"/>
      <c r="EJ251" s="16"/>
      <c r="EK251" s="4"/>
      <c r="EL251" s="4"/>
      <c r="EM251" s="356">
        <f t="shared" si="1485"/>
        <v>0</v>
      </c>
      <c r="EN251" s="357"/>
      <c r="EO251" s="16"/>
      <c r="EP251" s="4"/>
      <c r="EQ251" s="4"/>
      <c r="ER251" s="356">
        <f t="shared" si="1486"/>
        <v>0</v>
      </c>
      <c r="ES251" s="357"/>
      <c r="ET251" s="16"/>
      <c r="EU251" s="4"/>
      <c r="EV251" s="4"/>
      <c r="EW251" s="356">
        <f t="shared" si="1487"/>
        <v>0</v>
      </c>
      <c r="EX251" s="357"/>
      <c r="EY251" s="16"/>
      <c r="EZ251" s="4"/>
      <c r="FA251" s="4"/>
      <c r="FB251" s="356">
        <f t="shared" si="1488"/>
        <v>0</v>
      </c>
      <c r="FC251" s="357"/>
      <c r="FD251" s="16"/>
      <c r="FE251" s="4"/>
      <c r="FF251" s="4"/>
      <c r="FG251" s="356">
        <f t="shared" si="1489"/>
        <v>0</v>
      </c>
      <c r="FH251" s="359"/>
      <c r="FI251" s="4"/>
      <c r="FJ251" s="4"/>
      <c r="FK251" s="45"/>
      <c r="FL251" s="4"/>
    </row>
    <row r="252" ht="12.75" customHeight="1">
      <c r="A252" s="72"/>
      <c r="B252" s="72" t="s">
        <v>188</v>
      </c>
      <c r="C252" s="45"/>
      <c r="D252" s="4"/>
      <c r="E252" s="4"/>
      <c r="F252" s="4"/>
      <c r="G252" s="4"/>
      <c r="H252" s="45"/>
      <c r="I252" s="4"/>
      <c r="J252" s="4"/>
      <c r="K252" s="4"/>
      <c r="L252" s="4"/>
      <c r="M252" s="45"/>
      <c r="N252" s="4"/>
      <c r="O252" s="4"/>
      <c r="P252" s="4"/>
      <c r="Q252" s="4"/>
      <c r="R252" s="45"/>
      <c r="S252" s="4"/>
      <c r="T252" s="4"/>
      <c r="U252" s="4"/>
      <c r="V252" s="4"/>
      <c r="W252" s="45"/>
      <c r="X252" s="4"/>
      <c r="Y252" s="4"/>
      <c r="Z252" s="4"/>
      <c r="AA252" s="4"/>
      <c r="AB252" s="45"/>
      <c r="AC252" s="4"/>
      <c r="AD252" s="4"/>
      <c r="AE252" s="4"/>
      <c r="AF252" s="4"/>
      <c r="AG252" s="45"/>
      <c r="AH252" s="4"/>
      <c r="AI252" s="4"/>
      <c r="AJ252" s="4"/>
      <c r="AK252" s="4"/>
      <c r="AL252" s="45"/>
      <c r="AM252" s="4"/>
      <c r="AN252" s="4"/>
      <c r="AO252" s="4"/>
      <c r="AP252" s="4"/>
      <c r="AQ252" s="45"/>
      <c r="AR252" s="4"/>
      <c r="AS252" s="4"/>
      <c r="AT252" s="4"/>
      <c r="AU252" s="4"/>
      <c r="AV252" s="45"/>
      <c r="AW252" s="4"/>
      <c r="AX252" s="4"/>
      <c r="AY252" s="4"/>
      <c r="AZ252" s="4"/>
      <c r="BA252" s="45"/>
      <c r="BB252" s="4"/>
      <c r="BC252" s="4"/>
      <c r="BD252" s="4"/>
      <c r="BE252" s="4"/>
      <c r="BF252" s="45"/>
      <c r="BG252" s="4"/>
      <c r="BH252" s="4"/>
      <c r="BI252" s="4"/>
      <c r="BJ252" s="4"/>
      <c r="BK252" s="45"/>
      <c r="BL252" s="4"/>
      <c r="BM252" s="4"/>
      <c r="BN252" s="4"/>
      <c r="BO252" s="4"/>
      <c r="BP252" s="45"/>
      <c r="BQ252" s="4"/>
      <c r="BR252" s="4"/>
      <c r="BS252" s="4"/>
      <c r="BT252" s="4"/>
      <c r="BU252" s="45"/>
      <c r="BV252" s="4"/>
      <c r="BW252" s="4"/>
      <c r="BX252" s="4"/>
      <c r="BY252" s="4"/>
      <c r="BZ252" s="350"/>
      <c r="CA252" s="4"/>
      <c r="CB252" s="4"/>
      <c r="CC252" s="4"/>
      <c r="CD252" s="4"/>
      <c r="CE252" s="350"/>
      <c r="CF252" s="4"/>
      <c r="CG252" s="4"/>
      <c r="CH252" s="4"/>
      <c r="CI252" s="4"/>
      <c r="CJ252" s="350"/>
      <c r="CK252" s="4"/>
      <c r="CL252" s="4"/>
      <c r="CM252" s="4"/>
      <c r="CN252" s="16"/>
      <c r="CO252" s="350"/>
      <c r="CP252" s="104"/>
      <c r="CQ252" s="104"/>
      <c r="CR252" s="104"/>
      <c r="CS252" s="104"/>
      <c r="CT252" s="350"/>
      <c r="CU252" s="4"/>
      <c r="CV252" s="4"/>
      <c r="CW252" s="4"/>
      <c r="CX252" s="4"/>
      <c r="CY252" s="350"/>
      <c r="CZ252" s="4"/>
      <c r="DA252" s="4"/>
      <c r="DB252" s="4"/>
      <c r="DC252" s="4"/>
      <c r="DD252" s="350"/>
      <c r="DE252" s="4"/>
      <c r="DF252" s="4"/>
      <c r="DG252" s="4"/>
      <c r="DH252" s="4"/>
      <c r="DI252" s="350"/>
      <c r="DJ252" s="16"/>
      <c r="DK252" s="16"/>
      <c r="DL252" s="16"/>
      <c r="DM252" s="16"/>
      <c r="DN252" s="350"/>
      <c r="DO252" s="16"/>
      <c r="DP252" s="16"/>
      <c r="DQ252" s="16"/>
      <c r="DR252" s="16"/>
      <c r="DS252" s="356">
        <v>600.0</v>
      </c>
      <c r="DT252" s="16"/>
      <c r="DU252" s="16"/>
      <c r="DV252" s="16"/>
      <c r="DW252" s="16"/>
      <c r="DX252" s="356">
        <v>-937.0</v>
      </c>
      <c r="DY252" s="357">
        <v>-171.0</v>
      </c>
      <c r="DZ252" s="357">
        <v>-402.0</v>
      </c>
      <c r="EA252" s="357">
        <v>-442.0</v>
      </c>
      <c r="EB252" s="357">
        <v>-354.0</v>
      </c>
      <c r="EC252" s="356">
        <f t="shared" si="1483"/>
        <v>-1369</v>
      </c>
      <c r="ED252" s="357">
        <v>0.0</v>
      </c>
      <c r="EE252" s="357">
        <v>0.0</v>
      </c>
      <c r="EF252" s="357"/>
      <c r="EG252" s="357">
        <v>164.0</v>
      </c>
      <c r="EH252" s="356">
        <f t="shared" si="1484"/>
        <v>164</v>
      </c>
      <c r="EI252" s="214">
        <v>0.0</v>
      </c>
      <c r="EJ252" s="16"/>
      <c r="EK252" s="4"/>
      <c r="EL252" s="4"/>
      <c r="EM252" s="356">
        <f t="shared" si="1485"/>
        <v>0</v>
      </c>
      <c r="EN252" s="357">
        <v>0.0</v>
      </c>
      <c r="EO252" s="16"/>
      <c r="EP252" s="4"/>
      <c r="EQ252" s="4"/>
      <c r="ER252" s="356">
        <f t="shared" si="1486"/>
        <v>0</v>
      </c>
      <c r="ES252" s="357">
        <v>0.0</v>
      </c>
      <c r="ET252" s="16"/>
      <c r="EU252" s="4"/>
      <c r="EV252" s="4"/>
      <c r="EW252" s="356">
        <f t="shared" si="1487"/>
        <v>0</v>
      </c>
      <c r="EX252" s="357">
        <v>0.0</v>
      </c>
      <c r="EY252" s="16"/>
      <c r="EZ252" s="4"/>
      <c r="FA252" s="4"/>
      <c r="FB252" s="356">
        <f t="shared" si="1488"/>
        <v>0</v>
      </c>
      <c r="FC252" s="357">
        <v>0.0</v>
      </c>
      <c r="FD252" s="16"/>
      <c r="FE252" s="4"/>
      <c r="FF252" s="4"/>
      <c r="FG252" s="356">
        <f t="shared" si="1489"/>
        <v>0</v>
      </c>
      <c r="FH252" s="359"/>
      <c r="FI252" s="4"/>
      <c r="FJ252" s="4"/>
      <c r="FK252" s="45"/>
      <c r="FL252" s="4"/>
    </row>
    <row r="253" ht="12.75" customHeight="1">
      <c r="A253" s="399"/>
      <c r="B253" s="400" t="s">
        <v>189</v>
      </c>
      <c r="C253" s="391"/>
      <c r="D253" s="390"/>
      <c r="E253" s="390"/>
      <c r="F253" s="390"/>
      <c r="G253" s="390"/>
      <c r="H253" s="391"/>
      <c r="I253" s="390"/>
      <c r="J253" s="390"/>
      <c r="K253" s="390"/>
      <c r="L253" s="390"/>
      <c r="M253" s="391"/>
      <c r="N253" s="390"/>
      <c r="O253" s="390"/>
      <c r="P253" s="390"/>
      <c r="Q253" s="390"/>
      <c r="R253" s="391"/>
      <c r="S253" s="390"/>
      <c r="T253" s="390"/>
      <c r="U253" s="390"/>
      <c r="V253" s="390"/>
      <c r="W253" s="391"/>
      <c r="X253" s="390"/>
      <c r="Y253" s="390"/>
      <c r="Z253" s="390"/>
      <c r="AA253" s="390"/>
      <c r="AB253" s="391"/>
      <c r="AC253" s="390"/>
      <c r="AD253" s="390"/>
      <c r="AE253" s="390"/>
      <c r="AF253" s="390"/>
      <c r="AG253" s="391"/>
      <c r="AH253" s="390"/>
      <c r="AI253" s="390"/>
      <c r="AJ253" s="390"/>
      <c r="AK253" s="390"/>
      <c r="AL253" s="391"/>
      <c r="AM253" s="390"/>
      <c r="AN253" s="390"/>
      <c r="AO253" s="390"/>
      <c r="AP253" s="390"/>
      <c r="AQ253" s="391"/>
      <c r="AR253" s="390"/>
      <c r="AS253" s="390"/>
      <c r="AT253" s="390"/>
      <c r="AU253" s="390"/>
      <c r="AV253" s="391"/>
      <c r="AW253" s="390"/>
      <c r="AX253" s="390"/>
      <c r="AY253" s="390"/>
      <c r="AZ253" s="390"/>
      <c r="BA253" s="391"/>
      <c r="BB253" s="390"/>
      <c r="BC253" s="390"/>
      <c r="BD253" s="390"/>
      <c r="BE253" s="390"/>
      <c r="BF253" s="391"/>
      <c r="BG253" s="390"/>
      <c r="BH253" s="390"/>
      <c r="BI253" s="390"/>
      <c r="BJ253" s="390"/>
      <c r="BK253" s="391"/>
      <c r="BL253" s="390"/>
      <c r="BM253" s="390"/>
      <c r="BN253" s="390"/>
      <c r="BO253" s="390"/>
      <c r="BP253" s="391"/>
      <c r="BQ253" s="390"/>
      <c r="BR253" s="390"/>
      <c r="BS253" s="390"/>
      <c r="BT253" s="390"/>
      <c r="BU253" s="391"/>
      <c r="BV253" s="390"/>
      <c r="BW253" s="390"/>
      <c r="BX253" s="390"/>
      <c r="BY253" s="390"/>
      <c r="BZ253" s="391"/>
      <c r="CA253" s="390"/>
      <c r="CB253" s="390"/>
      <c r="CC253" s="390"/>
      <c r="CD253" s="390"/>
      <c r="CE253" s="391"/>
      <c r="CF253" s="390"/>
      <c r="CG253" s="390"/>
      <c r="CH253" s="390"/>
      <c r="CI253" s="390"/>
      <c r="CJ253" s="391"/>
      <c r="CK253" s="390"/>
      <c r="CL253" s="390"/>
      <c r="CM253" s="390"/>
      <c r="CN253" s="390"/>
      <c r="CO253" s="391"/>
      <c r="CP253" s="392"/>
      <c r="CQ253" s="392"/>
      <c r="CR253" s="392"/>
      <c r="CS253" s="392"/>
      <c r="CT253" s="391"/>
      <c r="CU253" s="390"/>
      <c r="CV253" s="390"/>
      <c r="CW253" s="390"/>
      <c r="CX253" s="390"/>
      <c r="CY253" s="391"/>
      <c r="CZ253" s="390"/>
      <c r="DA253" s="390"/>
      <c r="DB253" s="390"/>
      <c r="DC253" s="390"/>
      <c r="DD253" s="391"/>
      <c r="DE253" s="390"/>
      <c r="DF253" s="390"/>
      <c r="DG253" s="390"/>
      <c r="DH253" s="390"/>
      <c r="DI253" s="391"/>
      <c r="DJ253" s="390"/>
      <c r="DK253" s="390"/>
      <c r="DL253" s="390"/>
      <c r="DM253" s="390"/>
      <c r="DN253" s="391"/>
      <c r="DO253" s="390"/>
      <c r="DP253" s="390"/>
      <c r="DQ253" s="390"/>
      <c r="DR253" s="390"/>
      <c r="DS253" s="393">
        <f>SUM(DS248:DS252)</f>
        <v>26069</v>
      </c>
      <c r="DT253" s="390"/>
      <c r="DU253" s="390"/>
      <c r="DV253" s="390"/>
      <c r="DW253" s="390"/>
      <c r="DX253" s="393">
        <f t="shared" ref="DX253:EB253" si="1490">SUM(DX248:DX252)</f>
        <v>26209</v>
      </c>
      <c r="DY253" s="394">
        <f t="shared" si="1490"/>
        <v>6521</v>
      </c>
      <c r="DZ253" s="394">
        <f t="shared" si="1490"/>
        <v>6475</v>
      </c>
      <c r="EA253" s="394">
        <f t="shared" si="1490"/>
        <v>5745</v>
      </c>
      <c r="EB253" s="394">
        <f t="shared" si="1490"/>
        <v>5500</v>
      </c>
      <c r="EC253" s="393">
        <f t="shared" si="1483"/>
        <v>24241</v>
      </c>
      <c r="ED253" s="394">
        <f t="shared" ref="ED253:EG253" si="1491">SUM(ED248:ED252)</f>
        <v>4241</v>
      </c>
      <c r="EE253" s="394">
        <f t="shared" si="1491"/>
        <v>1417</v>
      </c>
      <c r="EF253" s="394">
        <f t="shared" si="1491"/>
        <v>1655</v>
      </c>
      <c r="EG253" s="394">
        <f t="shared" si="1491"/>
        <v>602</v>
      </c>
      <c r="EH253" s="393">
        <f t="shared" si="1484"/>
        <v>7915</v>
      </c>
      <c r="EI253" s="254">
        <f>SUM(EI248:EI252)</f>
        <v>0</v>
      </c>
      <c r="EJ253" s="390"/>
      <c r="EK253" s="390"/>
      <c r="EL253" s="390"/>
      <c r="EM253" s="393">
        <f t="shared" si="1485"/>
        <v>0</v>
      </c>
      <c r="EN253" s="394">
        <f>SUM(EN248:EN252)</f>
        <v>0</v>
      </c>
      <c r="EO253" s="390"/>
      <c r="EP253" s="390"/>
      <c r="EQ253" s="390"/>
      <c r="ER253" s="393">
        <f t="shared" si="1486"/>
        <v>0</v>
      </c>
      <c r="ES253" s="394">
        <f>SUM(ES248:ES252)</f>
        <v>0</v>
      </c>
      <c r="ET253" s="390"/>
      <c r="EU253" s="390"/>
      <c r="EV253" s="390"/>
      <c r="EW253" s="393">
        <f t="shared" si="1487"/>
        <v>0</v>
      </c>
      <c r="EX253" s="394">
        <f>SUM(EX248:EX252)</f>
        <v>0</v>
      </c>
      <c r="EY253" s="390"/>
      <c r="EZ253" s="390"/>
      <c r="FA253" s="390"/>
      <c r="FB253" s="393">
        <f t="shared" si="1488"/>
        <v>0</v>
      </c>
      <c r="FC253" s="394">
        <f>SUM(FC248:FC252)</f>
        <v>0</v>
      </c>
      <c r="FD253" s="390"/>
      <c r="FE253" s="390"/>
      <c r="FF253" s="390"/>
      <c r="FG253" s="393">
        <f t="shared" si="1489"/>
        <v>0</v>
      </c>
      <c r="FH253" s="393"/>
      <c r="FI253" s="390"/>
      <c r="FJ253" s="390"/>
      <c r="FK253" s="391"/>
      <c r="FL253" s="390"/>
    </row>
    <row r="254" ht="12.75" customHeight="1">
      <c r="A254" s="72"/>
      <c r="B254" s="72" t="s">
        <v>190</v>
      </c>
      <c r="C254" s="45"/>
      <c r="D254" s="4"/>
      <c r="E254" s="4"/>
      <c r="F254" s="4"/>
      <c r="G254" s="4"/>
      <c r="H254" s="45"/>
      <c r="I254" s="4"/>
      <c r="J254" s="4"/>
      <c r="K254" s="4"/>
      <c r="L254" s="4"/>
      <c r="M254" s="45"/>
      <c r="N254" s="4"/>
      <c r="O254" s="4"/>
      <c r="P254" s="4"/>
      <c r="Q254" s="4"/>
      <c r="R254" s="45"/>
      <c r="S254" s="4"/>
      <c r="T254" s="4"/>
      <c r="U254" s="4"/>
      <c r="V254" s="4"/>
      <c r="W254" s="45"/>
      <c r="X254" s="4"/>
      <c r="Y254" s="4"/>
      <c r="Z254" s="4"/>
      <c r="AA254" s="4"/>
      <c r="AB254" s="45"/>
      <c r="AC254" s="4"/>
      <c r="AD254" s="4"/>
      <c r="AE254" s="4"/>
      <c r="AF254" s="4"/>
      <c r="AG254" s="45"/>
      <c r="AH254" s="4"/>
      <c r="AI254" s="4"/>
      <c r="AJ254" s="4"/>
      <c r="AK254" s="4"/>
      <c r="AL254" s="45"/>
      <c r="AM254" s="4"/>
      <c r="AN254" s="4"/>
      <c r="AO254" s="4"/>
      <c r="AP254" s="4"/>
      <c r="AQ254" s="45"/>
      <c r="AR254" s="4"/>
      <c r="AS254" s="4"/>
      <c r="AT254" s="4"/>
      <c r="AU254" s="4"/>
      <c r="AV254" s="45"/>
      <c r="AW254" s="4"/>
      <c r="AX254" s="4"/>
      <c r="AY254" s="4"/>
      <c r="AZ254" s="4"/>
      <c r="BA254" s="45"/>
      <c r="BB254" s="4"/>
      <c r="BC254" s="4"/>
      <c r="BD254" s="4"/>
      <c r="BE254" s="4"/>
      <c r="BF254" s="45"/>
      <c r="BG254" s="4"/>
      <c r="BH254" s="4"/>
      <c r="BI254" s="4"/>
      <c r="BJ254" s="4"/>
      <c r="BK254" s="45"/>
      <c r="BL254" s="4"/>
      <c r="BM254" s="4"/>
      <c r="BN254" s="4"/>
      <c r="BO254" s="4"/>
      <c r="BP254" s="45"/>
      <c r="BQ254" s="4"/>
      <c r="BR254" s="4"/>
      <c r="BS254" s="4"/>
      <c r="BT254" s="4"/>
      <c r="BU254" s="45"/>
      <c r="BV254" s="4"/>
      <c r="BW254" s="4"/>
      <c r="BX254" s="4"/>
      <c r="BY254" s="4"/>
      <c r="BZ254" s="350"/>
      <c r="CA254" s="4"/>
      <c r="CB254" s="4"/>
      <c r="CC254" s="4"/>
      <c r="CD254" s="4"/>
      <c r="CE254" s="350"/>
      <c r="CF254" s="4"/>
      <c r="CG254" s="4"/>
      <c r="CH254" s="4"/>
      <c r="CI254" s="4"/>
      <c r="CJ254" s="350"/>
      <c r="CK254" s="4"/>
      <c r="CL254" s="4"/>
      <c r="CM254" s="4"/>
      <c r="CN254" s="16"/>
      <c r="CO254" s="350"/>
      <c r="CP254" s="104"/>
      <c r="CQ254" s="104"/>
      <c r="CR254" s="104"/>
      <c r="CS254" s="104"/>
      <c r="CT254" s="350"/>
      <c r="CU254" s="4"/>
      <c r="CV254" s="4"/>
      <c r="CW254" s="4"/>
      <c r="CX254" s="4"/>
      <c r="CY254" s="350"/>
      <c r="CZ254" s="4"/>
      <c r="DA254" s="4"/>
      <c r="DB254" s="4"/>
      <c r="DC254" s="4"/>
      <c r="DD254" s="350"/>
      <c r="DE254" s="4"/>
      <c r="DF254" s="4"/>
      <c r="DG254" s="4"/>
      <c r="DH254" s="4"/>
      <c r="DI254" s="350"/>
      <c r="DJ254" s="16"/>
      <c r="DK254" s="16"/>
      <c r="DL254" s="16"/>
      <c r="DM254" s="16"/>
      <c r="DN254" s="350"/>
      <c r="DO254" s="16"/>
      <c r="DP254" s="16"/>
      <c r="DQ254" s="16"/>
      <c r="DR254" s="16"/>
      <c r="DS254" s="37">
        <f>DS253/DS242</f>
        <v>0.38389833</v>
      </c>
      <c r="DT254" s="16"/>
      <c r="DU254" s="16"/>
      <c r="DV254" s="16"/>
      <c r="DW254" s="16"/>
      <c r="DX254" s="37">
        <f t="shared" ref="DX254:EI254" si="1492">DX253/DX242</f>
        <v>0.3595198903</v>
      </c>
      <c r="DY254" s="83">
        <f t="shared" si="1492"/>
        <v>0.3512334375</v>
      </c>
      <c r="DZ254" s="83">
        <f t="shared" si="1492"/>
        <v>0.3493767874</v>
      </c>
      <c r="EA254" s="83">
        <f t="shared" si="1492"/>
        <v>0.317631448</v>
      </c>
      <c r="EB254" s="83">
        <f t="shared" si="1492"/>
        <v>0.281589187</v>
      </c>
      <c r="EC254" s="37">
        <f t="shared" si="1492"/>
        <v>0.3244332022</v>
      </c>
      <c r="ED254" s="83">
        <f t="shared" si="1492"/>
        <v>0.2310793876</v>
      </c>
      <c r="EE254" s="83">
        <f t="shared" si="1492"/>
        <v>0.09248743555</v>
      </c>
      <c r="EF254" s="83">
        <f t="shared" si="1492"/>
        <v>0.1079019429</v>
      </c>
      <c r="EG254" s="83">
        <f t="shared" si="1492"/>
        <v>0.04287138584</v>
      </c>
      <c r="EH254" s="37">
        <f t="shared" si="1492"/>
        <v>0.1255273258</v>
      </c>
      <c r="EI254" s="214" t="str">
        <f t="shared" si="1492"/>
        <v>#ERROR!</v>
      </c>
      <c r="EJ254" s="214"/>
      <c r="EK254" s="4"/>
      <c r="EL254" s="4"/>
      <c r="EM254" s="37" t="str">
        <f t="shared" ref="EM254:EN254" si="1493">EM253/EM242</f>
        <v>#ERROR!</v>
      </c>
      <c r="EN254" s="83" t="str">
        <f t="shared" si="1493"/>
        <v>#ERROR!</v>
      </c>
      <c r="EO254" s="214"/>
      <c r="EP254" s="4"/>
      <c r="EQ254" s="4"/>
      <c r="ER254" s="37" t="str">
        <f t="shared" ref="ER254:ES254" si="1494">ER253/ER242</f>
        <v>#ERROR!</v>
      </c>
      <c r="ES254" s="83" t="str">
        <f t="shared" si="1494"/>
        <v>#ERROR!</v>
      </c>
      <c r="ET254" s="214"/>
      <c r="EU254" s="4"/>
      <c r="EV254" s="4"/>
      <c r="EW254" s="37" t="str">
        <f t="shared" ref="EW254:EX254" si="1495">EW253/EW242</f>
        <v>#ERROR!</v>
      </c>
      <c r="EX254" s="83" t="str">
        <f t="shared" si="1495"/>
        <v>#ERROR!</v>
      </c>
      <c r="EY254" s="214"/>
      <c r="EZ254" s="4"/>
      <c r="FA254" s="4"/>
      <c r="FB254" s="37" t="str">
        <f t="shared" ref="FB254:FC254" si="1496">FB253/FB242</f>
        <v>#ERROR!</v>
      </c>
      <c r="FC254" s="83" t="str">
        <f t="shared" si="1496"/>
        <v>#ERROR!</v>
      </c>
      <c r="FD254" s="214"/>
      <c r="FE254" s="4"/>
      <c r="FF254" s="4"/>
      <c r="FG254" s="37" t="str">
        <f>FG253/FG242</f>
        <v>#ERROR!</v>
      </c>
      <c r="FH254" s="35"/>
      <c r="FI254" s="4"/>
      <c r="FJ254" s="4"/>
      <c r="FK254" s="45"/>
      <c r="FL254" s="4"/>
    </row>
    <row r="255" ht="12.75" customHeight="1">
      <c r="A255" s="86"/>
      <c r="B255" s="86" t="s">
        <v>191</v>
      </c>
      <c r="C255" s="401"/>
      <c r="D255" s="402"/>
      <c r="E255" s="402"/>
      <c r="F255" s="402"/>
      <c r="G255" s="402"/>
      <c r="H255" s="401"/>
      <c r="I255" s="402"/>
      <c r="J255" s="402"/>
      <c r="K255" s="402"/>
      <c r="L255" s="402"/>
      <c r="M255" s="401"/>
      <c r="N255" s="402"/>
      <c r="O255" s="402"/>
      <c r="P255" s="402"/>
      <c r="Q255" s="402"/>
      <c r="R255" s="401"/>
      <c r="S255" s="402"/>
      <c r="T255" s="402"/>
      <c r="U255" s="402"/>
      <c r="V255" s="402"/>
      <c r="W255" s="401"/>
      <c r="X255" s="402"/>
      <c r="Y255" s="402"/>
      <c r="Z255" s="402"/>
      <c r="AA255" s="402"/>
      <c r="AB255" s="401"/>
      <c r="AC255" s="402"/>
      <c r="AD255" s="402"/>
      <c r="AE255" s="402"/>
      <c r="AF255" s="402"/>
      <c r="AG255" s="401"/>
      <c r="AH255" s="402"/>
      <c r="AI255" s="402"/>
      <c r="AJ255" s="402"/>
      <c r="AK255" s="402"/>
      <c r="AL255" s="401"/>
      <c r="AM255" s="402"/>
      <c r="AN255" s="402"/>
      <c r="AO255" s="402"/>
      <c r="AP255" s="402"/>
      <c r="AQ255" s="401"/>
      <c r="AR255" s="402"/>
      <c r="AS255" s="402"/>
      <c r="AT255" s="402"/>
      <c r="AU255" s="402"/>
      <c r="AV255" s="401"/>
      <c r="AW255" s="402"/>
      <c r="AX255" s="402"/>
      <c r="AY255" s="402"/>
      <c r="AZ255" s="402"/>
      <c r="BA255" s="401"/>
      <c r="BB255" s="402"/>
      <c r="BC255" s="402"/>
      <c r="BD255" s="402"/>
      <c r="BE255" s="402"/>
      <c r="BF255" s="401"/>
      <c r="BG255" s="402"/>
      <c r="BH255" s="402"/>
      <c r="BI255" s="402"/>
      <c r="BJ255" s="402"/>
      <c r="BK255" s="401"/>
      <c r="BL255" s="402"/>
      <c r="BM255" s="402"/>
      <c r="BN255" s="402"/>
      <c r="BO255" s="402"/>
      <c r="BP255" s="401"/>
      <c r="BQ255" s="402"/>
      <c r="BR255" s="402"/>
      <c r="BS255" s="402"/>
      <c r="BT255" s="402"/>
      <c r="BU255" s="401"/>
      <c r="BV255" s="402"/>
      <c r="BW255" s="402"/>
      <c r="BX255" s="402"/>
      <c r="BY255" s="402"/>
      <c r="BZ255" s="403"/>
      <c r="CA255" s="402"/>
      <c r="CB255" s="402"/>
      <c r="CC255" s="402"/>
      <c r="CD255" s="402"/>
      <c r="CE255" s="403"/>
      <c r="CF255" s="402"/>
      <c r="CG255" s="402"/>
      <c r="CH255" s="402"/>
      <c r="CI255" s="402"/>
      <c r="CJ255" s="403"/>
      <c r="CK255" s="402"/>
      <c r="CL255" s="402"/>
      <c r="CM255" s="402"/>
      <c r="CN255" s="126"/>
      <c r="CO255" s="403"/>
      <c r="CP255" s="404"/>
      <c r="CQ255" s="404"/>
      <c r="CR255" s="404"/>
      <c r="CS255" s="404"/>
      <c r="CT255" s="403"/>
      <c r="CU255" s="402"/>
      <c r="CV255" s="402"/>
      <c r="CW255" s="402"/>
      <c r="CX255" s="402"/>
      <c r="CY255" s="403"/>
      <c r="CZ255" s="402"/>
      <c r="DA255" s="402"/>
      <c r="DB255" s="402"/>
      <c r="DC255" s="402"/>
      <c r="DD255" s="403"/>
      <c r="DE255" s="402"/>
      <c r="DF255" s="402"/>
      <c r="DG255" s="402"/>
      <c r="DH255" s="402"/>
      <c r="DI255" s="403"/>
      <c r="DJ255" s="126"/>
      <c r="DK255" s="126"/>
      <c r="DL255" s="126"/>
      <c r="DM255" s="126"/>
      <c r="DN255" s="403"/>
      <c r="DO255" s="126"/>
      <c r="DP255" s="126"/>
      <c r="DQ255" s="126"/>
      <c r="DR255" s="126"/>
      <c r="DS255" s="403"/>
      <c r="DT255" s="126"/>
      <c r="DU255" s="126"/>
      <c r="DV255" s="126"/>
      <c r="DW255" s="126"/>
      <c r="DX255" s="405"/>
      <c r="DY255" s="126"/>
      <c r="DZ255" s="126"/>
      <c r="EA255" s="126"/>
      <c r="EB255" s="126"/>
      <c r="EC255" s="405"/>
      <c r="ED255" s="406">
        <f t="shared" ref="ED255:EG255" si="1497">ED41-ED253</f>
        <v>0</v>
      </c>
      <c r="EE255" s="406">
        <f t="shared" si="1497"/>
        <v>0</v>
      </c>
      <c r="EF255" s="406">
        <f t="shared" si="1497"/>
        <v>0</v>
      </c>
      <c r="EG255" s="406">
        <f t="shared" si="1497"/>
        <v>0</v>
      </c>
      <c r="EH255" s="403"/>
      <c r="EI255" s="407" t="str">
        <f>EI41-EI253</f>
        <v>#ERROR!</v>
      </c>
      <c r="EJ255" s="407"/>
      <c r="EK255" s="402"/>
      <c r="EL255" s="402"/>
      <c r="EM255" s="403"/>
      <c r="EN255" s="406" t="str">
        <f>EN41-EN253</f>
        <v>#ERROR!</v>
      </c>
      <c r="EO255" s="407"/>
      <c r="EP255" s="402"/>
      <c r="EQ255" s="402"/>
      <c r="ER255" s="403"/>
      <c r="ES255" s="402"/>
      <c r="ET255" s="402"/>
      <c r="EU255" s="402"/>
      <c r="EV255" s="402"/>
      <c r="EW255" s="403"/>
      <c r="EX255" s="402"/>
      <c r="EY255" s="402"/>
      <c r="EZ255" s="402"/>
      <c r="FA255" s="402"/>
      <c r="FB255" s="403"/>
      <c r="FC255" s="402"/>
      <c r="FD255" s="402"/>
      <c r="FE255" s="402"/>
      <c r="FF255" s="402"/>
      <c r="FG255" s="403"/>
      <c r="FH255" s="408"/>
      <c r="FI255" s="402"/>
      <c r="FJ255" s="402"/>
      <c r="FK255" s="401"/>
      <c r="FL255" s="402"/>
    </row>
    <row r="256" ht="12.75" customHeight="1">
      <c r="A256" s="72"/>
      <c r="B256" s="72"/>
      <c r="C256" s="45"/>
      <c r="D256" s="4"/>
      <c r="E256" s="4"/>
      <c r="F256" s="4"/>
      <c r="G256" s="4"/>
      <c r="H256" s="45"/>
      <c r="I256" s="4"/>
      <c r="J256" s="4"/>
      <c r="K256" s="4"/>
      <c r="L256" s="4"/>
      <c r="M256" s="45"/>
      <c r="N256" s="4"/>
      <c r="O256" s="4"/>
      <c r="P256" s="4"/>
      <c r="Q256" s="4"/>
      <c r="R256" s="45"/>
      <c r="S256" s="4"/>
      <c r="T256" s="4"/>
      <c r="U256" s="4"/>
      <c r="V256" s="4"/>
      <c r="W256" s="45"/>
      <c r="X256" s="4"/>
      <c r="Y256" s="4"/>
      <c r="Z256" s="4"/>
      <c r="AA256" s="4"/>
      <c r="AB256" s="45"/>
      <c r="AC256" s="4"/>
      <c r="AD256" s="4"/>
      <c r="AE256" s="4"/>
      <c r="AF256" s="4"/>
      <c r="AG256" s="45"/>
      <c r="AH256" s="4"/>
      <c r="AI256" s="4"/>
      <c r="AJ256" s="4"/>
      <c r="AK256" s="4"/>
      <c r="AL256" s="45"/>
      <c r="AM256" s="4"/>
      <c r="AN256" s="4"/>
      <c r="AO256" s="4"/>
      <c r="AP256" s="4"/>
      <c r="AQ256" s="45"/>
      <c r="AR256" s="4"/>
      <c r="AS256" s="4"/>
      <c r="AT256" s="4"/>
      <c r="AU256" s="4"/>
      <c r="AV256" s="45"/>
      <c r="AW256" s="4"/>
      <c r="AX256" s="4"/>
      <c r="AY256" s="4"/>
      <c r="AZ256" s="4"/>
      <c r="BA256" s="45"/>
      <c r="BB256" s="4"/>
      <c r="BC256" s="4"/>
      <c r="BD256" s="4"/>
      <c r="BE256" s="4"/>
      <c r="BF256" s="45"/>
      <c r="BG256" s="4"/>
      <c r="BH256" s="4"/>
      <c r="BI256" s="4"/>
      <c r="BJ256" s="4"/>
      <c r="BK256" s="45"/>
      <c r="BL256" s="4"/>
      <c r="BM256" s="4"/>
      <c r="BN256" s="4"/>
      <c r="BO256" s="4"/>
      <c r="BP256" s="45"/>
      <c r="BQ256" s="4"/>
      <c r="BR256" s="4"/>
      <c r="BS256" s="4"/>
      <c r="BT256" s="4"/>
      <c r="BU256" s="45"/>
      <c r="BV256" s="4"/>
      <c r="BW256" s="4"/>
      <c r="BX256" s="4"/>
      <c r="BY256" s="4"/>
      <c r="BZ256" s="350"/>
      <c r="CA256" s="4"/>
      <c r="CB256" s="4"/>
      <c r="CC256" s="4"/>
      <c r="CD256" s="4"/>
      <c r="CE256" s="350"/>
      <c r="CF256" s="4"/>
      <c r="CG256" s="4"/>
      <c r="CH256" s="4"/>
      <c r="CI256" s="4"/>
      <c r="CJ256" s="350"/>
      <c r="CK256" s="4"/>
      <c r="CL256" s="4"/>
      <c r="CM256" s="4"/>
      <c r="CN256" s="16"/>
      <c r="CO256" s="350"/>
      <c r="CP256" s="104"/>
      <c r="CQ256" s="104"/>
      <c r="CR256" s="104"/>
      <c r="CS256" s="104"/>
      <c r="CT256" s="350"/>
      <c r="CU256" s="4"/>
      <c r="CV256" s="4"/>
      <c r="CW256" s="4"/>
      <c r="CX256" s="4"/>
      <c r="CY256" s="350"/>
      <c r="CZ256" s="4"/>
      <c r="DA256" s="4"/>
      <c r="DB256" s="4"/>
      <c r="DC256" s="4"/>
      <c r="DD256" s="350"/>
      <c r="DE256" s="4"/>
      <c r="DF256" s="4"/>
      <c r="DG256" s="4"/>
      <c r="DH256" s="4"/>
      <c r="DI256" s="350"/>
      <c r="DJ256" s="16"/>
      <c r="DK256" s="16"/>
      <c r="DL256" s="16"/>
      <c r="DM256" s="16"/>
      <c r="DN256" s="350"/>
      <c r="DO256" s="16"/>
      <c r="DP256" s="16"/>
      <c r="DQ256" s="16"/>
      <c r="DR256" s="16"/>
      <c r="DS256" s="350"/>
      <c r="DT256" s="16"/>
      <c r="DU256" s="16"/>
      <c r="DV256" s="16"/>
      <c r="DW256" s="16"/>
      <c r="DX256" s="342"/>
      <c r="DY256" s="16"/>
      <c r="DZ256" s="16"/>
      <c r="EA256" s="16"/>
      <c r="EB256" s="16"/>
      <c r="EC256" s="342"/>
      <c r="ED256" s="16"/>
      <c r="EE256" s="16"/>
      <c r="EF256" s="16"/>
      <c r="EG256" s="16"/>
      <c r="EH256" s="350"/>
      <c r="EI256" s="214"/>
      <c r="EJ256" s="4"/>
      <c r="EK256" s="4"/>
      <c r="EL256" s="4"/>
      <c r="EM256" s="350"/>
      <c r="EN256" s="4"/>
      <c r="EO256" s="4"/>
      <c r="EP256" s="4"/>
      <c r="EQ256" s="4"/>
      <c r="ER256" s="350"/>
      <c r="ES256" s="4"/>
      <c r="ET256" s="4"/>
      <c r="EU256" s="4"/>
      <c r="EV256" s="4"/>
      <c r="EW256" s="350"/>
      <c r="EX256" s="4"/>
      <c r="EY256" s="4"/>
      <c r="EZ256" s="4"/>
      <c r="FA256" s="4"/>
      <c r="FB256" s="350"/>
      <c r="FC256" s="4"/>
      <c r="FD256" s="4"/>
      <c r="FE256" s="4"/>
      <c r="FF256" s="4"/>
      <c r="FG256" s="350"/>
      <c r="FH256" s="145"/>
      <c r="FI256" s="4"/>
      <c r="FJ256" s="4"/>
      <c r="FK256" s="45"/>
      <c r="FL256" s="4"/>
    </row>
    <row r="257" ht="12.75" customHeight="1">
      <c r="A257" s="72"/>
      <c r="B257" s="72"/>
      <c r="C257" s="45"/>
      <c r="D257" s="4"/>
      <c r="E257" s="4"/>
      <c r="F257" s="4"/>
      <c r="G257" s="4"/>
      <c r="H257" s="45"/>
      <c r="I257" s="4"/>
      <c r="J257" s="4"/>
      <c r="K257" s="4"/>
      <c r="L257" s="4"/>
      <c r="M257" s="45"/>
      <c r="N257" s="4"/>
      <c r="O257" s="4"/>
      <c r="P257" s="4"/>
      <c r="Q257" s="4"/>
      <c r="R257" s="45"/>
      <c r="S257" s="4"/>
      <c r="T257" s="4"/>
      <c r="U257" s="4"/>
      <c r="V257" s="4"/>
      <c r="W257" s="45"/>
      <c r="X257" s="4"/>
      <c r="Y257" s="4"/>
      <c r="Z257" s="4"/>
      <c r="AA257" s="4"/>
      <c r="AB257" s="45"/>
      <c r="AC257" s="4"/>
      <c r="AD257" s="4"/>
      <c r="AE257" s="4"/>
      <c r="AF257" s="4"/>
      <c r="AG257" s="45"/>
      <c r="AH257" s="4"/>
      <c r="AI257" s="4"/>
      <c r="AJ257" s="4"/>
      <c r="AK257" s="4"/>
      <c r="AL257" s="45"/>
      <c r="AM257" s="4"/>
      <c r="AN257" s="4"/>
      <c r="AO257" s="4"/>
      <c r="AP257" s="4"/>
      <c r="AQ257" s="45"/>
      <c r="AR257" s="4"/>
      <c r="AS257" s="4"/>
      <c r="AT257" s="4"/>
      <c r="AU257" s="4"/>
      <c r="AV257" s="45"/>
      <c r="AW257" s="4"/>
      <c r="AX257" s="4"/>
      <c r="AY257" s="4"/>
      <c r="AZ257" s="4"/>
      <c r="BA257" s="45"/>
      <c r="BB257" s="4"/>
      <c r="BC257" s="4"/>
      <c r="BD257" s="4"/>
      <c r="BE257" s="4"/>
      <c r="BF257" s="45"/>
      <c r="BG257" s="4"/>
      <c r="BH257" s="4"/>
      <c r="BI257" s="4"/>
      <c r="BJ257" s="4"/>
      <c r="BK257" s="45"/>
      <c r="BL257" s="4"/>
      <c r="BM257" s="4"/>
      <c r="BN257" s="4"/>
      <c r="BO257" s="4"/>
      <c r="BP257" s="45"/>
      <c r="BQ257" s="4"/>
      <c r="BR257" s="4"/>
      <c r="BS257" s="4"/>
      <c r="BT257" s="4"/>
      <c r="BU257" s="45"/>
      <c r="BV257" s="4"/>
      <c r="BW257" s="4"/>
      <c r="BX257" s="4"/>
      <c r="BY257" s="4"/>
      <c r="BZ257" s="350"/>
      <c r="CA257" s="4"/>
      <c r="CB257" s="4"/>
      <c r="CC257" s="4"/>
      <c r="CD257" s="4"/>
      <c r="CE257" s="350"/>
      <c r="CF257" s="4"/>
      <c r="CG257" s="4"/>
      <c r="CH257" s="4"/>
      <c r="CI257" s="4"/>
      <c r="CJ257" s="350"/>
      <c r="CK257" s="4"/>
      <c r="CL257" s="4"/>
      <c r="CM257" s="4"/>
      <c r="CN257" s="16"/>
      <c r="CO257" s="350"/>
      <c r="CP257" s="104"/>
      <c r="CQ257" s="104"/>
      <c r="CR257" s="104"/>
      <c r="CS257" s="104"/>
      <c r="CT257" s="350"/>
      <c r="CU257" s="4"/>
      <c r="CV257" s="4"/>
      <c r="CW257" s="4"/>
      <c r="CX257" s="4"/>
      <c r="CY257" s="350"/>
      <c r="CZ257" s="4"/>
      <c r="DA257" s="4"/>
      <c r="DB257" s="4"/>
      <c r="DC257" s="4"/>
      <c r="DD257" s="350"/>
      <c r="DE257" s="4"/>
      <c r="DF257" s="4"/>
      <c r="DG257" s="4"/>
      <c r="DH257" s="4"/>
      <c r="DI257" s="350"/>
      <c r="DJ257" s="16"/>
      <c r="DK257" s="16"/>
      <c r="DL257" s="16"/>
      <c r="DM257" s="16"/>
      <c r="DN257" s="350"/>
      <c r="DO257" s="16"/>
      <c r="DP257" s="16"/>
      <c r="DQ257" s="16"/>
      <c r="DR257" s="16"/>
      <c r="DS257" s="350"/>
      <c r="DT257" s="16"/>
      <c r="DU257" s="16"/>
      <c r="DV257" s="16"/>
      <c r="DW257" s="16"/>
      <c r="DX257" s="342"/>
      <c r="DY257" s="16"/>
      <c r="DZ257" s="16"/>
      <c r="EA257" s="16"/>
      <c r="EB257" s="16"/>
      <c r="EC257" s="342"/>
      <c r="ED257" s="16"/>
      <c r="EE257" s="16"/>
      <c r="EF257" s="16"/>
      <c r="EG257" s="16"/>
      <c r="EH257" s="350"/>
      <c r="EI257" s="214"/>
      <c r="EJ257" s="4"/>
      <c r="EK257" s="4"/>
      <c r="EL257" s="4"/>
      <c r="EM257" s="350"/>
      <c r="EN257" s="4"/>
      <c r="EO257" s="4"/>
      <c r="EP257" s="4"/>
      <c r="EQ257" s="4"/>
      <c r="ER257" s="350"/>
      <c r="ES257" s="4"/>
      <c r="ET257" s="4"/>
      <c r="EU257" s="4"/>
      <c r="EV257" s="4"/>
      <c r="EW257" s="350"/>
      <c r="EX257" s="4"/>
      <c r="EY257" s="4"/>
      <c r="EZ257" s="4"/>
      <c r="FA257" s="4"/>
      <c r="FB257" s="350"/>
      <c r="FC257" s="4"/>
      <c r="FD257" s="4"/>
      <c r="FE257" s="4"/>
      <c r="FF257" s="4"/>
      <c r="FG257" s="350"/>
      <c r="FH257" s="145"/>
      <c r="FI257" s="4"/>
      <c r="FJ257" s="4"/>
      <c r="FK257" s="45"/>
      <c r="FL257" s="4"/>
    </row>
    <row r="258" ht="12.75" customHeight="1">
      <c r="A258" s="72"/>
      <c r="B258" s="72"/>
      <c r="C258" s="45"/>
      <c r="D258" s="4"/>
      <c r="E258" s="4"/>
      <c r="F258" s="4"/>
      <c r="G258" s="4"/>
      <c r="H258" s="45"/>
      <c r="I258" s="4"/>
      <c r="J258" s="4"/>
      <c r="K258" s="4"/>
      <c r="L258" s="4"/>
      <c r="M258" s="45"/>
      <c r="N258" s="4"/>
      <c r="O258" s="4"/>
      <c r="P258" s="4"/>
      <c r="Q258" s="4"/>
      <c r="R258" s="45"/>
      <c r="S258" s="4"/>
      <c r="T258" s="4"/>
      <c r="U258" s="4"/>
      <c r="V258" s="4"/>
      <c r="W258" s="45"/>
      <c r="X258" s="4"/>
      <c r="Y258" s="4"/>
      <c r="Z258" s="4"/>
      <c r="AA258" s="4"/>
      <c r="AB258" s="45"/>
      <c r="AC258" s="4"/>
      <c r="AD258" s="4"/>
      <c r="AE258" s="4"/>
      <c r="AF258" s="4"/>
      <c r="AG258" s="45"/>
      <c r="AH258" s="4"/>
      <c r="AI258" s="4"/>
      <c r="AJ258" s="4"/>
      <c r="AK258" s="4"/>
      <c r="AL258" s="45"/>
      <c r="AM258" s="4"/>
      <c r="AN258" s="4"/>
      <c r="AO258" s="4"/>
      <c r="AP258" s="4"/>
      <c r="AQ258" s="45"/>
      <c r="AR258" s="4"/>
      <c r="AS258" s="4"/>
      <c r="AT258" s="4"/>
      <c r="AU258" s="4"/>
      <c r="AV258" s="45"/>
      <c r="AW258" s="4"/>
      <c r="AX258" s="4"/>
      <c r="AY258" s="4"/>
      <c r="AZ258" s="4"/>
      <c r="BA258" s="45"/>
      <c r="BB258" s="4"/>
      <c r="BC258" s="4"/>
      <c r="BD258" s="4"/>
      <c r="BE258" s="4"/>
      <c r="BF258" s="45"/>
      <c r="BG258" s="4"/>
      <c r="BH258" s="4"/>
      <c r="BI258" s="4"/>
      <c r="BJ258" s="4"/>
      <c r="BK258" s="45"/>
      <c r="BL258" s="4"/>
      <c r="BM258" s="4"/>
      <c r="BN258" s="4"/>
      <c r="BO258" s="4"/>
      <c r="BP258" s="45"/>
      <c r="BQ258" s="4"/>
      <c r="BR258" s="4"/>
      <c r="BS258" s="4"/>
      <c r="BT258" s="4"/>
      <c r="BU258" s="45"/>
      <c r="BV258" s="4"/>
      <c r="BW258" s="4"/>
      <c r="BX258" s="4"/>
      <c r="BY258" s="4"/>
      <c r="BZ258" s="350"/>
      <c r="CA258" s="4"/>
      <c r="CB258" s="4"/>
      <c r="CC258" s="4"/>
      <c r="CD258" s="4"/>
      <c r="CE258" s="350"/>
      <c r="CF258" s="4"/>
      <c r="CG258" s="4"/>
      <c r="CH258" s="4"/>
      <c r="CI258" s="4"/>
      <c r="CJ258" s="350"/>
      <c r="CK258" s="4"/>
      <c r="CL258" s="4"/>
      <c r="CM258" s="4"/>
      <c r="CN258" s="16"/>
      <c r="CO258" s="350"/>
      <c r="CP258" s="104"/>
      <c r="CQ258" s="104"/>
      <c r="CR258" s="104"/>
      <c r="CS258" s="104"/>
      <c r="CT258" s="350"/>
      <c r="CU258" s="4"/>
      <c r="CV258" s="4"/>
      <c r="CW258" s="4"/>
      <c r="CX258" s="4"/>
      <c r="CY258" s="350"/>
      <c r="CZ258" s="4"/>
      <c r="DA258" s="4"/>
      <c r="DB258" s="4"/>
      <c r="DC258" s="4"/>
      <c r="DD258" s="350"/>
      <c r="DE258" s="4"/>
      <c r="DF258" s="4"/>
      <c r="DG258" s="4"/>
      <c r="DH258" s="4"/>
      <c r="DI258" s="350"/>
      <c r="DJ258" s="16"/>
      <c r="DK258" s="16"/>
      <c r="DL258" s="16"/>
      <c r="DM258" s="16"/>
      <c r="DN258" s="350"/>
      <c r="DO258" s="16"/>
      <c r="DP258" s="16"/>
      <c r="DQ258" s="16"/>
      <c r="DR258" s="16"/>
      <c r="DS258" s="350"/>
      <c r="DT258" s="16"/>
      <c r="DU258" s="16"/>
      <c r="DV258" s="16"/>
      <c r="DW258" s="16"/>
      <c r="DX258" s="342"/>
      <c r="DY258" s="16"/>
      <c r="DZ258" s="16"/>
      <c r="EA258" s="16"/>
      <c r="EB258" s="16"/>
      <c r="EC258" s="342"/>
      <c r="ED258" s="16"/>
      <c r="EE258" s="16"/>
      <c r="EF258" s="16"/>
      <c r="EG258" s="16"/>
      <c r="EH258" s="350"/>
      <c r="EI258" s="214"/>
      <c r="EJ258" s="4"/>
      <c r="EK258" s="4"/>
      <c r="EL258" s="4"/>
      <c r="EM258" s="350"/>
      <c r="EN258" s="4"/>
      <c r="EO258" s="4"/>
      <c r="EP258" s="4"/>
      <c r="EQ258" s="4"/>
      <c r="ER258" s="350"/>
      <c r="ES258" s="4"/>
      <c r="ET258" s="4"/>
      <c r="EU258" s="4"/>
      <c r="EV258" s="4"/>
      <c r="EW258" s="350"/>
      <c r="EX258" s="4"/>
      <c r="EY258" s="4"/>
      <c r="EZ258" s="4"/>
      <c r="FA258" s="4"/>
      <c r="FB258" s="350"/>
      <c r="FC258" s="4"/>
      <c r="FD258" s="4"/>
      <c r="FE258" s="4"/>
      <c r="FF258" s="4"/>
      <c r="FG258" s="350"/>
      <c r="FH258" s="145"/>
      <c r="FI258" s="4"/>
      <c r="FJ258" s="4"/>
      <c r="FK258" s="45"/>
      <c r="FL258" s="4"/>
    </row>
    <row r="259" ht="12.75" customHeight="1">
      <c r="A259" s="4"/>
      <c r="B259" s="45"/>
      <c r="C259" s="45"/>
      <c r="D259" s="4"/>
      <c r="E259" s="4"/>
      <c r="F259" s="4"/>
      <c r="G259" s="4"/>
      <c r="H259" s="45"/>
      <c r="I259" s="4"/>
      <c r="J259" s="4"/>
      <c r="K259" s="4"/>
      <c r="L259" s="4"/>
      <c r="M259" s="45"/>
      <c r="N259" s="4"/>
      <c r="O259" s="4"/>
      <c r="P259" s="4"/>
      <c r="Q259" s="4"/>
      <c r="R259" s="45"/>
      <c r="S259" s="4"/>
      <c r="T259" s="4"/>
      <c r="U259" s="4"/>
      <c r="V259" s="4"/>
      <c r="W259" s="45"/>
      <c r="X259" s="4"/>
      <c r="Y259" s="4"/>
      <c r="Z259" s="4"/>
      <c r="AA259" s="4"/>
      <c r="AB259" s="45"/>
      <c r="AC259" s="4"/>
      <c r="AD259" s="4"/>
      <c r="AE259" s="4"/>
      <c r="AF259" s="4"/>
      <c r="AG259" s="45"/>
      <c r="AH259" s="4"/>
      <c r="AI259" s="4"/>
      <c r="AJ259" s="4"/>
      <c r="AK259" s="4"/>
      <c r="AL259" s="45"/>
      <c r="AM259" s="4"/>
      <c r="AN259" s="4"/>
      <c r="AO259" s="4"/>
      <c r="AP259" s="4"/>
      <c r="AQ259" s="45"/>
      <c r="AR259" s="4"/>
      <c r="AS259" s="4"/>
      <c r="AT259" s="4"/>
      <c r="AU259" s="4"/>
      <c r="AV259" s="45"/>
      <c r="AW259" s="4"/>
      <c r="AX259" s="4"/>
      <c r="AY259" s="4"/>
      <c r="AZ259" s="4"/>
      <c r="BA259" s="45"/>
      <c r="BB259" s="4"/>
      <c r="BC259" s="4"/>
      <c r="BD259" s="4"/>
      <c r="BE259" s="4"/>
      <c r="BF259" s="45"/>
      <c r="BG259" s="4"/>
      <c r="BH259" s="4"/>
      <c r="BI259" s="4"/>
      <c r="BJ259" s="4"/>
      <c r="BK259" s="45"/>
      <c r="BL259" s="4"/>
      <c r="BM259" s="4"/>
      <c r="BN259" s="4"/>
      <c r="BO259" s="4"/>
      <c r="BP259" s="45"/>
      <c r="BQ259" s="4"/>
      <c r="BR259" s="4"/>
      <c r="BS259" s="4"/>
      <c r="BT259" s="4"/>
      <c r="BU259" s="45"/>
      <c r="BV259" s="4"/>
      <c r="BW259" s="4"/>
      <c r="BX259" s="4"/>
      <c r="BY259" s="4"/>
      <c r="BZ259" s="350"/>
      <c r="CA259" s="4"/>
      <c r="CB259" s="4"/>
      <c r="CC259" s="4"/>
      <c r="CD259" s="4"/>
      <c r="CE259" s="350"/>
      <c r="CF259" s="4"/>
      <c r="CG259" s="4"/>
      <c r="CH259" s="4"/>
      <c r="CI259" s="4"/>
      <c r="CJ259" s="350"/>
      <c r="CK259" s="4"/>
      <c r="CL259" s="4"/>
      <c r="CM259" s="4"/>
      <c r="CN259" s="16"/>
      <c r="CO259" s="350"/>
      <c r="CP259" s="104"/>
      <c r="CQ259" s="104"/>
      <c r="CR259" s="104"/>
      <c r="CS259" s="104"/>
      <c r="CT259" s="350"/>
      <c r="CU259" s="4"/>
      <c r="CV259" s="4"/>
      <c r="CW259" s="4"/>
      <c r="CX259" s="4"/>
      <c r="CY259" s="350"/>
      <c r="CZ259" s="4"/>
      <c r="DA259" s="4"/>
      <c r="DB259" s="4"/>
      <c r="DC259" s="4"/>
      <c r="DD259" s="350"/>
      <c r="DE259" s="4"/>
      <c r="DF259" s="4"/>
      <c r="DG259" s="4"/>
      <c r="DH259" s="4"/>
      <c r="DI259" s="350"/>
      <c r="DJ259" s="16"/>
      <c r="DK259" s="16"/>
      <c r="DL259" s="16"/>
      <c r="DM259" s="16"/>
      <c r="DN259" s="350"/>
      <c r="DO259" s="16"/>
      <c r="DP259" s="16"/>
      <c r="DQ259" s="16"/>
      <c r="DR259" s="16"/>
      <c r="DS259" s="350"/>
      <c r="DT259" s="16"/>
      <c r="DU259" s="16"/>
      <c r="DV259" s="16"/>
      <c r="DW259" s="16"/>
      <c r="DX259" s="350"/>
      <c r="DY259" s="16"/>
      <c r="DZ259" s="16"/>
      <c r="EA259" s="16"/>
      <c r="EB259" s="16"/>
      <c r="EC259" s="350"/>
      <c r="ED259" s="16"/>
      <c r="EE259" s="16"/>
      <c r="EF259" s="16"/>
      <c r="EG259" s="16"/>
      <c r="EH259" s="350"/>
      <c r="EI259" s="214"/>
      <c r="EJ259" s="4"/>
      <c r="EK259" s="4"/>
      <c r="EL259" s="4"/>
      <c r="EM259" s="350"/>
      <c r="EN259" s="4"/>
      <c r="EO259" s="4"/>
      <c r="EP259" s="4"/>
      <c r="EQ259" s="4"/>
      <c r="ER259" s="350"/>
      <c r="ES259" s="4"/>
      <c r="ET259" s="4"/>
      <c r="EU259" s="4"/>
      <c r="EV259" s="4"/>
      <c r="EW259" s="350"/>
      <c r="EX259" s="4"/>
      <c r="EY259" s="4"/>
      <c r="EZ259" s="4"/>
      <c r="FA259" s="4"/>
      <c r="FB259" s="350"/>
      <c r="FC259" s="4"/>
      <c r="FD259" s="4"/>
      <c r="FE259" s="4"/>
      <c r="FF259" s="4"/>
      <c r="FG259" s="350"/>
      <c r="FH259" s="145"/>
      <c r="FI259" s="4"/>
      <c r="FJ259" s="4"/>
      <c r="FK259" s="45"/>
      <c r="FL259" s="4"/>
    </row>
    <row r="260" ht="12.75" customHeight="1">
      <c r="A260" s="4"/>
      <c r="B260" s="45"/>
      <c r="C260" s="45"/>
      <c r="D260" s="4"/>
      <c r="E260" s="4"/>
      <c r="F260" s="4"/>
      <c r="G260" s="4"/>
      <c r="H260" s="45"/>
      <c r="I260" s="4"/>
      <c r="J260" s="4"/>
      <c r="K260" s="4"/>
      <c r="L260" s="4"/>
      <c r="M260" s="45"/>
      <c r="N260" s="4"/>
      <c r="O260" s="4"/>
      <c r="P260" s="4"/>
      <c r="Q260" s="4"/>
      <c r="R260" s="45"/>
      <c r="S260" s="4"/>
      <c r="T260" s="4"/>
      <c r="U260" s="4"/>
      <c r="V260" s="4"/>
      <c r="W260" s="45"/>
      <c r="X260" s="4"/>
      <c r="Y260" s="4"/>
      <c r="Z260" s="4"/>
      <c r="AA260" s="4"/>
      <c r="AB260" s="45"/>
      <c r="AC260" s="4"/>
      <c r="AD260" s="4"/>
      <c r="AE260" s="4"/>
      <c r="AF260" s="4"/>
      <c r="AG260" s="45"/>
      <c r="AH260" s="4"/>
      <c r="AI260" s="4"/>
      <c r="AJ260" s="4"/>
      <c r="AK260" s="4"/>
      <c r="AL260" s="45"/>
      <c r="AM260" s="4"/>
      <c r="AN260" s="4"/>
      <c r="AO260" s="4"/>
      <c r="AP260" s="4"/>
      <c r="AQ260" s="45"/>
      <c r="AR260" s="4"/>
      <c r="AS260" s="4"/>
      <c r="AT260" s="4"/>
      <c r="AU260" s="4"/>
      <c r="AV260" s="45"/>
      <c r="AW260" s="4"/>
      <c r="AX260" s="4"/>
      <c r="AY260" s="4"/>
      <c r="AZ260" s="4"/>
      <c r="BA260" s="45"/>
      <c r="BB260" s="4"/>
      <c r="BC260" s="4"/>
      <c r="BD260" s="4"/>
      <c r="BE260" s="4"/>
      <c r="BF260" s="45"/>
      <c r="BG260" s="4"/>
      <c r="BH260" s="4"/>
      <c r="BI260" s="4"/>
      <c r="BJ260" s="4"/>
      <c r="BK260" s="45"/>
      <c r="BL260" s="4"/>
      <c r="BM260" s="4"/>
      <c r="BN260" s="4"/>
      <c r="BO260" s="4"/>
      <c r="BP260" s="45"/>
      <c r="BQ260" s="4"/>
      <c r="BR260" s="4"/>
      <c r="BS260" s="4"/>
      <c r="BT260" s="4"/>
      <c r="BU260" s="45"/>
      <c r="BV260" s="4"/>
      <c r="BW260" s="4"/>
      <c r="BX260" s="4"/>
      <c r="BY260" s="4"/>
      <c r="BZ260" s="350"/>
      <c r="CA260" s="4"/>
      <c r="CB260" s="4"/>
      <c r="CC260" s="4"/>
      <c r="CD260" s="4"/>
      <c r="CE260" s="350"/>
      <c r="CF260" s="15"/>
      <c r="CG260" s="15"/>
      <c r="CH260" s="15"/>
      <c r="CI260" s="15"/>
      <c r="CJ260" s="350"/>
      <c r="CK260" s="15"/>
      <c r="CL260" s="15"/>
      <c r="CM260" s="15"/>
      <c r="CN260" s="15"/>
      <c r="CO260" s="350"/>
      <c r="CP260" s="15"/>
      <c r="CQ260" s="15"/>
      <c r="CR260" s="15"/>
      <c r="CS260" s="15"/>
      <c r="CT260" s="350"/>
      <c r="CU260" s="15"/>
      <c r="CV260" s="15"/>
      <c r="CW260" s="15"/>
      <c r="CX260" s="15"/>
      <c r="CY260" s="350"/>
      <c r="CZ260" s="4"/>
      <c r="DA260" s="4"/>
      <c r="DB260" s="4"/>
      <c r="DC260" s="4"/>
      <c r="DD260" s="350"/>
      <c r="DE260" s="4"/>
      <c r="DF260" s="4"/>
      <c r="DG260" s="4"/>
      <c r="DH260" s="4"/>
      <c r="DI260" s="350"/>
      <c r="DJ260" s="16"/>
      <c r="DK260" s="16"/>
      <c r="DL260" s="16"/>
      <c r="DM260" s="16"/>
      <c r="DN260" s="350"/>
      <c r="DO260" s="16"/>
      <c r="DP260" s="16"/>
      <c r="DQ260" s="16"/>
      <c r="DR260" s="16"/>
      <c r="DS260" s="350"/>
      <c r="DT260" s="16"/>
      <c r="DU260" s="16"/>
      <c r="DV260" s="16"/>
      <c r="DW260" s="16"/>
      <c r="DX260" s="350"/>
      <c r="DY260" s="16"/>
      <c r="DZ260" s="16"/>
      <c r="EA260" s="16"/>
      <c r="EB260" s="16"/>
      <c r="EC260" s="350"/>
      <c r="ED260" s="16"/>
      <c r="EE260" s="16"/>
      <c r="EF260" s="16"/>
      <c r="EG260" s="16"/>
      <c r="EH260" s="350"/>
      <c r="EI260" s="214"/>
      <c r="EJ260" s="4"/>
      <c r="EK260" s="4"/>
      <c r="EL260" s="4"/>
      <c r="EM260" s="350"/>
      <c r="EN260" s="4"/>
      <c r="EO260" s="4"/>
      <c r="EP260" s="4"/>
      <c r="EQ260" s="4"/>
      <c r="ER260" s="350"/>
      <c r="ES260" s="4"/>
      <c r="ET260" s="4"/>
      <c r="EU260" s="4"/>
      <c r="EV260" s="4"/>
      <c r="EW260" s="350"/>
      <c r="EX260" s="4"/>
      <c r="EY260" s="4"/>
      <c r="EZ260" s="4"/>
      <c r="FA260" s="4"/>
      <c r="FB260" s="350"/>
      <c r="FC260" s="4"/>
      <c r="FD260" s="4"/>
      <c r="FE260" s="4"/>
      <c r="FF260" s="4"/>
      <c r="FG260" s="350"/>
      <c r="FH260" s="145"/>
      <c r="FI260" s="4"/>
      <c r="FJ260" s="4"/>
      <c r="FK260" s="45"/>
      <c r="FL260" s="4"/>
    </row>
    <row r="261" ht="12.75" customHeight="1">
      <c r="A261" s="4"/>
      <c r="B261" s="45"/>
      <c r="C261" s="45"/>
      <c r="D261" s="4"/>
      <c r="E261" s="4"/>
      <c r="F261" s="4"/>
      <c r="G261" s="4"/>
      <c r="H261" s="45"/>
      <c r="I261" s="4"/>
      <c r="J261" s="4"/>
      <c r="K261" s="4"/>
      <c r="L261" s="4"/>
      <c r="M261" s="45"/>
      <c r="N261" s="4"/>
      <c r="O261" s="4"/>
      <c r="P261" s="4"/>
      <c r="Q261" s="4"/>
      <c r="R261" s="45"/>
      <c r="S261" s="4"/>
      <c r="T261" s="4"/>
      <c r="U261" s="4"/>
      <c r="V261" s="4"/>
      <c r="W261" s="45"/>
      <c r="X261" s="4"/>
      <c r="Y261" s="4"/>
      <c r="Z261" s="4"/>
      <c r="AA261" s="4"/>
      <c r="AB261" s="45"/>
      <c r="AC261" s="4"/>
      <c r="AD261" s="4"/>
      <c r="AE261" s="4"/>
      <c r="AF261" s="4"/>
      <c r="AG261" s="45"/>
      <c r="AH261" s="4"/>
      <c r="AI261" s="4"/>
      <c r="AJ261" s="4"/>
      <c r="AK261" s="4"/>
      <c r="AL261" s="45"/>
      <c r="AM261" s="4"/>
      <c r="AN261" s="4"/>
      <c r="AO261" s="4"/>
      <c r="AP261" s="4"/>
      <c r="AQ261" s="45"/>
      <c r="AR261" s="4"/>
      <c r="AS261" s="4"/>
      <c r="AT261" s="4"/>
      <c r="AU261" s="4"/>
      <c r="AV261" s="45"/>
      <c r="AW261" s="4"/>
      <c r="AX261" s="4"/>
      <c r="AY261" s="4"/>
      <c r="AZ261" s="4"/>
      <c r="BA261" s="45"/>
      <c r="BB261" s="4"/>
      <c r="BC261" s="4"/>
      <c r="BD261" s="4"/>
      <c r="BE261" s="4"/>
      <c r="BF261" s="45"/>
      <c r="BG261" s="4"/>
      <c r="BH261" s="4"/>
      <c r="BI261" s="4"/>
      <c r="BJ261" s="4"/>
      <c r="BK261" s="45"/>
      <c r="BL261" s="4"/>
      <c r="BM261" s="4"/>
      <c r="BN261" s="4"/>
      <c r="BO261" s="4"/>
      <c r="BP261" s="45"/>
      <c r="BQ261" s="4"/>
      <c r="BR261" s="4"/>
      <c r="BS261" s="4"/>
      <c r="BT261" s="4"/>
      <c r="BU261" s="45"/>
      <c r="BV261" s="4"/>
      <c r="BW261" s="4"/>
      <c r="BX261" s="4"/>
      <c r="BY261" s="4"/>
      <c r="BZ261" s="350"/>
      <c r="CA261" s="4"/>
      <c r="CB261" s="4"/>
      <c r="CC261" s="4"/>
      <c r="CD261" s="4"/>
      <c r="CE261" s="350"/>
      <c r="CF261" s="15"/>
      <c r="CG261" s="15"/>
      <c r="CH261" s="15"/>
      <c r="CI261" s="15"/>
      <c r="CJ261" s="350"/>
      <c r="CK261" s="15"/>
      <c r="CL261" s="15"/>
      <c r="CM261" s="15"/>
      <c r="CN261" s="15"/>
      <c r="CO261" s="350"/>
      <c r="CP261" s="15"/>
      <c r="CQ261" s="15"/>
      <c r="CR261" s="15"/>
      <c r="CS261" s="15"/>
      <c r="CT261" s="313"/>
      <c r="CU261" s="15"/>
      <c r="CV261" s="15"/>
      <c r="CW261" s="15"/>
      <c r="CX261" s="15"/>
      <c r="CY261" s="313"/>
      <c r="CZ261" s="4"/>
      <c r="DA261" s="4"/>
      <c r="DB261" s="4"/>
      <c r="DC261" s="4"/>
      <c r="DD261" s="313"/>
      <c r="DE261" s="4"/>
      <c r="DF261" s="4"/>
      <c r="DG261" s="4"/>
      <c r="DH261" s="4"/>
      <c r="DI261" s="313"/>
      <c r="DJ261" s="16"/>
      <c r="DK261" s="16"/>
      <c r="DL261" s="16"/>
      <c r="DM261" s="16"/>
      <c r="DN261" s="350"/>
      <c r="DO261" s="16"/>
      <c r="DP261" s="16"/>
      <c r="DQ261" s="16"/>
      <c r="DR261" s="16"/>
      <c r="DS261" s="350"/>
      <c r="DT261" s="16"/>
      <c r="DU261" s="16"/>
      <c r="DV261" s="16"/>
      <c r="DW261" s="16"/>
      <c r="DX261" s="350"/>
      <c r="DY261" s="16"/>
      <c r="DZ261" s="16"/>
      <c r="EA261" s="16"/>
      <c r="EB261" s="16"/>
      <c r="EC261" s="350"/>
      <c r="ED261" s="16"/>
      <c r="EE261" s="16"/>
      <c r="EF261" s="16"/>
      <c r="EG261" s="16"/>
      <c r="EH261" s="350"/>
      <c r="EI261" s="214"/>
      <c r="EJ261" s="4"/>
      <c r="EK261" s="4"/>
      <c r="EL261" s="4"/>
      <c r="EM261" s="350"/>
      <c r="EN261" s="4"/>
      <c r="EO261" s="4"/>
      <c r="EP261" s="4"/>
      <c r="EQ261" s="4"/>
      <c r="ER261" s="350"/>
      <c r="ES261" s="4"/>
      <c r="ET261" s="4"/>
      <c r="EU261" s="4"/>
      <c r="EV261" s="4"/>
      <c r="EW261" s="350"/>
      <c r="EX261" s="4"/>
      <c r="EY261" s="4"/>
      <c r="EZ261" s="4"/>
      <c r="FA261" s="4"/>
      <c r="FB261" s="350"/>
      <c r="FC261" s="4"/>
      <c r="FD261" s="4"/>
      <c r="FE261" s="4"/>
      <c r="FF261" s="4"/>
      <c r="FG261" s="350"/>
      <c r="FH261" s="145"/>
      <c r="FI261" s="4"/>
      <c r="FJ261" s="4"/>
      <c r="FK261" s="45"/>
      <c r="FL261" s="4"/>
    </row>
    <row r="262" ht="12.75" customHeight="1">
      <c r="A262" s="4"/>
      <c r="B262" s="45"/>
      <c r="C262" s="45"/>
      <c r="D262" s="4"/>
      <c r="E262" s="4"/>
      <c r="F262" s="4"/>
      <c r="G262" s="4"/>
      <c r="H262" s="45"/>
      <c r="I262" s="4"/>
      <c r="J262" s="4"/>
      <c r="K262" s="4"/>
      <c r="L262" s="4"/>
      <c r="M262" s="45"/>
      <c r="N262" s="4"/>
      <c r="O262" s="4"/>
      <c r="P262" s="4"/>
      <c r="Q262" s="4"/>
      <c r="R262" s="45"/>
      <c r="S262" s="4"/>
      <c r="T262" s="4"/>
      <c r="U262" s="4"/>
      <c r="V262" s="4"/>
      <c r="W262" s="45"/>
      <c r="X262" s="4"/>
      <c r="Y262" s="4"/>
      <c r="Z262" s="4"/>
      <c r="AA262" s="4"/>
      <c r="AB262" s="45"/>
      <c r="AC262" s="4"/>
      <c r="AD262" s="4"/>
      <c r="AE262" s="4"/>
      <c r="AF262" s="4"/>
      <c r="AG262" s="45"/>
      <c r="AH262" s="4"/>
      <c r="AI262" s="4"/>
      <c r="AJ262" s="4"/>
      <c r="AK262" s="4"/>
      <c r="AL262" s="45"/>
      <c r="AM262" s="4"/>
      <c r="AN262" s="4"/>
      <c r="AO262" s="4"/>
      <c r="AP262" s="4"/>
      <c r="AQ262" s="45"/>
      <c r="AR262" s="4"/>
      <c r="AS262" s="4"/>
      <c r="AT262" s="4"/>
      <c r="AU262" s="4"/>
      <c r="AV262" s="45"/>
      <c r="AW262" s="4"/>
      <c r="AX262" s="4"/>
      <c r="AY262" s="4"/>
      <c r="AZ262" s="4"/>
      <c r="BA262" s="45"/>
      <c r="BB262" s="4"/>
      <c r="BC262" s="4"/>
      <c r="BD262" s="4"/>
      <c r="BE262" s="4"/>
      <c r="BF262" s="45"/>
      <c r="BG262" s="4"/>
      <c r="BH262" s="4"/>
      <c r="BI262" s="4"/>
      <c r="BJ262" s="4"/>
      <c r="BK262" s="45"/>
      <c r="BL262" s="4"/>
      <c r="BM262" s="4"/>
      <c r="BN262" s="4"/>
      <c r="BO262" s="4"/>
      <c r="BP262" s="45"/>
      <c r="BQ262" s="4"/>
      <c r="BR262" s="4"/>
      <c r="BS262" s="4"/>
      <c r="BT262" s="4"/>
      <c r="BU262" s="45"/>
      <c r="BV262" s="4"/>
      <c r="BW262" s="4"/>
      <c r="BX262" s="4"/>
      <c r="BY262" s="4"/>
      <c r="BZ262" s="350"/>
      <c r="CA262" s="4"/>
      <c r="CB262" s="4"/>
      <c r="CC262" s="4"/>
      <c r="CD262" s="4"/>
      <c r="CE262" s="350"/>
      <c r="CF262" s="15"/>
      <c r="CG262" s="15"/>
      <c r="CH262" s="15"/>
      <c r="CI262" s="15"/>
      <c r="CJ262" s="350"/>
      <c r="CK262" s="15"/>
      <c r="CL262" s="15"/>
      <c r="CM262" s="15"/>
      <c r="CN262" s="15"/>
      <c r="CO262" s="350"/>
      <c r="CP262" s="15"/>
      <c r="CQ262" s="15"/>
      <c r="CR262" s="15"/>
      <c r="CS262" s="15"/>
      <c r="CT262" s="313"/>
      <c r="CU262" s="15"/>
      <c r="CV262" s="15"/>
      <c r="CW262" s="15"/>
      <c r="CX262" s="15"/>
      <c r="CY262" s="313"/>
      <c r="CZ262" s="4"/>
      <c r="DA262" s="4"/>
      <c r="DB262" s="4"/>
      <c r="DC262" s="4"/>
      <c r="DD262" s="313"/>
      <c r="DE262" s="4"/>
      <c r="DF262" s="4"/>
      <c r="DG262" s="4"/>
      <c r="DH262" s="4"/>
      <c r="DI262" s="313"/>
      <c r="DJ262" s="16"/>
      <c r="DK262" s="16"/>
      <c r="DL262" s="16"/>
      <c r="DM262" s="16"/>
      <c r="DN262" s="350"/>
      <c r="DO262" s="16"/>
      <c r="DP262" s="16"/>
      <c r="DQ262" s="16"/>
      <c r="DR262" s="16"/>
      <c r="DS262" s="350"/>
      <c r="DT262" s="16"/>
      <c r="DU262" s="16"/>
      <c r="DV262" s="16"/>
      <c r="DW262" s="16"/>
      <c r="DX262" s="350"/>
      <c r="DY262" s="16"/>
      <c r="DZ262" s="16"/>
      <c r="EA262" s="16"/>
      <c r="EB262" s="16"/>
      <c r="EC262" s="350"/>
      <c r="ED262" s="16"/>
      <c r="EE262" s="16"/>
      <c r="EF262" s="16"/>
      <c r="EG262" s="16"/>
      <c r="EH262" s="350"/>
      <c r="EI262" s="214"/>
      <c r="EJ262" s="4"/>
      <c r="EK262" s="4"/>
      <c r="EL262" s="4"/>
      <c r="EM262" s="350"/>
      <c r="EN262" s="4"/>
      <c r="EO262" s="4"/>
      <c r="EP262" s="4"/>
      <c r="EQ262" s="4"/>
      <c r="ER262" s="350"/>
      <c r="ES262" s="4"/>
      <c r="ET262" s="4"/>
      <c r="EU262" s="4"/>
      <c r="EV262" s="4"/>
      <c r="EW262" s="350"/>
      <c r="EX262" s="4"/>
      <c r="EY262" s="4"/>
      <c r="EZ262" s="4"/>
      <c r="FA262" s="4"/>
      <c r="FB262" s="350"/>
      <c r="FC262" s="4"/>
      <c r="FD262" s="4"/>
      <c r="FE262" s="4"/>
      <c r="FF262" s="4"/>
      <c r="FG262" s="350"/>
      <c r="FH262" s="145"/>
      <c r="FI262" s="4"/>
      <c r="FJ262" s="4"/>
      <c r="FK262" s="45"/>
      <c r="FL262" s="4"/>
    </row>
    <row r="263" ht="12.75" customHeight="1">
      <c r="A263" s="4"/>
      <c r="B263" s="409" t="s">
        <v>192</v>
      </c>
      <c r="C263" s="45"/>
      <c r="D263" s="15"/>
      <c r="E263" s="15"/>
      <c r="F263" s="15"/>
      <c r="G263" s="15"/>
      <c r="H263" s="410"/>
      <c r="I263" s="15"/>
      <c r="J263" s="15"/>
      <c r="K263" s="15"/>
      <c r="L263" s="15"/>
      <c r="M263" s="410"/>
      <c r="N263" s="15"/>
      <c r="O263" s="15"/>
      <c r="P263" s="15"/>
      <c r="Q263" s="15"/>
      <c r="R263" s="410"/>
      <c r="S263" s="15"/>
      <c r="T263" s="15"/>
      <c r="U263" s="15"/>
      <c r="V263" s="15"/>
      <c r="W263" s="410"/>
      <c r="X263" s="15"/>
      <c r="Y263" s="15"/>
      <c r="Z263" s="15"/>
      <c r="AA263" s="15"/>
      <c r="AB263" s="410"/>
      <c r="AC263" s="15"/>
      <c r="AD263" s="15"/>
      <c r="AE263" s="15"/>
      <c r="AF263" s="15"/>
      <c r="AG263" s="410"/>
      <c r="AH263" s="15"/>
      <c r="AI263" s="15"/>
      <c r="AJ263" s="15"/>
      <c r="AK263" s="15"/>
      <c r="AL263" s="410"/>
      <c r="AM263" s="15"/>
      <c r="AN263" s="15"/>
      <c r="AO263" s="15"/>
      <c r="AP263" s="15"/>
      <c r="AQ263" s="410"/>
      <c r="AR263" s="15"/>
      <c r="AS263" s="15"/>
      <c r="AT263" s="15"/>
      <c r="AU263" s="15"/>
      <c r="AV263" s="410"/>
      <c r="AW263" s="15"/>
      <c r="AX263" s="15"/>
      <c r="AY263" s="15"/>
      <c r="AZ263" s="15"/>
      <c r="BA263" s="410"/>
      <c r="BB263" s="15"/>
      <c r="BC263" s="15"/>
      <c r="BD263" s="15"/>
      <c r="BE263" s="15"/>
      <c r="BF263" s="410"/>
      <c r="BG263" s="15"/>
      <c r="BH263" s="15"/>
      <c r="BI263" s="15"/>
      <c r="BJ263" s="15"/>
      <c r="BK263" s="410"/>
      <c r="BL263" s="15"/>
      <c r="BM263" s="15"/>
      <c r="BN263" s="15"/>
      <c r="BO263" s="15"/>
      <c r="BP263" s="410"/>
      <c r="BQ263" s="15"/>
      <c r="BR263" s="15"/>
      <c r="BS263" s="15"/>
      <c r="BT263" s="15"/>
      <c r="BU263" s="410"/>
      <c r="BV263" s="15"/>
      <c r="BW263" s="15"/>
      <c r="BX263" s="15"/>
      <c r="BY263" s="15"/>
      <c r="BZ263" s="24"/>
      <c r="CA263" s="15"/>
      <c r="CB263" s="15"/>
      <c r="CC263" s="15"/>
      <c r="CD263" s="15"/>
      <c r="CE263" s="24"/>
      <c r="CF263" s="15"/>
      <c r="CG263" s="15"/>
      <c r="CH263" s="15"/>
      <c r="CI263" s="15"/>
      <c r="CJ263" s="24"/>
      <c r="CK263" s="15"/>
      <c r="CL263" s="15"/>
      <c r="CM263" s="15"/>
      <c r="CN263" s="40"/>
      <c r="CO263" s="24"/>
      <c r="CP263" s="104"/>
      <c r="CQ263" s="104"/>
      <c r="CR263" s="104"/>
      <c r="CS263" s="104"/>
      <c r="CT263" s="411"/>
      <c r="CU263" s="17"/>
      <c r="CV263" s="17"/>
      <c r="CW263" s="17"/>
      <c r="CX263" s="326"/>
      <c r="CY263" s="350"/>
      <c r="CZ263" s="17"/>
      <c r="DA263" s="17"/>
      <c r="DB263" s="17"/>
      <c r="DC263" s="17"/>
      <c r="DD263" s="80"/>
      <c r="DE263" s="17"/>
      <c r="DF263" s="17"/>
      <c r="DG263" s="17"/>
      <c r="DH263" s="17"/>
      <c r="DI263" s="313"/>
      <c r="DJ263" s="19"/>
      <c r="DK263" s="19"/>
      <c r="DL263" s="19"/>
      <c r="DM263" s="19"/>
      <c r="DN263" s="411"/>
      <c r="DO263" s="19"/>
      <c r="DP263" s="19"/>
      <c r="DQ263" s="19"/>
      <c r="DR263" s="19"/>
      <c r="DS263" s="80"/>
      <c r="DT263" s="19"/>
      <c r="DU263" s="19"/>
      <c r="DV263" s="19"/>
      <c r="DW263" s="19"/>
      <c r="DX263" s="412"/>
      <c r="DY263" s="19"/>
      <c r="DZ263" s="19"/>
      <c r="EA263" s="19"/>
      <c r="EB263" s="19"/>
      <c r="EC263" s="80"/>
      <c r="ED263" s="19"/>
      <c r="EE263" s="19"/>
      <c r="EF263" s="19"/>
      <c r="EG263" s="19"/>
      <c r="EH263" s="80"/>
      <c r="EI263" s="25"/>
      <c r="EJ263" s="17"/>
      <c r="EK263" s="17"/>
      <c r="EL263" s="17"/>
      <c r="EM263" s="80"/>
      <c r="EN263" s="17"/>
      <c r="EO263" s="17"/>
      <c r="EP263" s="17"/>
      <c r="EQ263" s="17"/>
      <c r="ER263" s="80"/>
      <c r="ES263" s="17"/>
      <c r="ET263" s="17"/>
      <c r="EU263" s="17"/>
      <c r="EV263" s="17"/>
      <c r="EW263" s="80"/>
      <c r="EX263" s="17"/>
      <c r="EY263" s="17"/>
      <c r="EZ263" s="17"/>
      <c r="FA263" s="17"/>
      <c r="FB263" s="80"/>
      <c r="FC263" s="17"/>
      <c r="FD263" s="17"/>
      <c r="FE263" s="17"/>
      <c r="FF263" s="17"/>
      <c r="FG263" s="80"/>
      <c r="FH263" s="146"/>
      <c r="FI263" s="15"/>
      <c r="FJ263" s="15"/>
      <c r="FK263" s="410"/>
      <c r="FL263" s="15"/>
    </row>
    <row r="264" ht="12.75" hidden="1" customHeight="1" outlineLevel="1">
      <c r="A264" s="4"/>
      <c r="B264" s="299" t="s">
        <v>193</v>
      </c>
      <c r="C264" s="299"/>
      <c r="D264" s="413"/>
      <c r="E264" s="413"/>
      <c r="F264" s="413"/>
      <c r="G264" s="413"/>
      <c r="H264" s="414"/>
      <c r="I264" s="413"/>
      <c r="J264" s="413"/>
      <c r="K264" s="413"/>
      <c r="L264" s="413"/>
      <c r="M264" s="414"/>
      <c r="N264" s="413"/>
      <c r="O264" s="413"/>
      <c r="P264" s="413"/>
      <c r="Q264" s="413"/>
      <c r="R264" s="414"/>
      <c r="S264" s="413"/>
      <c r="T264" s="413"/>
      <c r="U264" s="413"/>
      <c r="V264" s="413"/>
      <c r="W264" s="414"/>
      <c r="X264" s="413"/>
      <c r="Y264" s="413"/>
      <c r="Z264" s="413"/>
      <c r="AA264" s="413"/>
      <c r="AB264" s="414"/>
      <c r="AC264" s="413"/>
      <c r="AD264" s="413"/>
      <c r="AE264" s="413"/>
      <c r="AF264" s="413"/>
      <c r="AG264" s="414"/>
      <c r="AH264" s="413"/>
      <c r="AI264" s="413"/>
      <c r="AJ264" s="413"/>
      <c r="AK264" s="413"/>
      <c r="AL264" s="414"/>
      <c r="AM264" s="413"/>
      <c r="AN264" s="413"/>
      <c r="AO264" s="413"/>
      <c r="AP264" s="413"/>
      <c r="AQ264" s="414"/>
      <c r="AR264" s="413"/>
      <c r="AS264" s="413"/>
      <c r="AT264" s="413"/>
      <c r="AU264" s="413"/>
      <c r="AV264" s="414"/>
      <c r="AW264" s="413"/>
      <c r="AX264" s="413"/>
      <c r="AY264" s="413"/>
      <c r="AZ264" s="413"/>
      <c r="BA264" s="414"/>
      <c r="BB264" s="413"/>
      <c r="BC264" s="413"/>
      <c r="BD264" s="413"/>
      <c r="BE264" s="413"/>
      <c r="BF264" s="414"/>
      <c r="BG264" s="413"/>
      <c r="BH264" s="413"/>
      <c r="BI264" s="413"/>
      <c r="BJ264" s="413"/>
      <c r="BK264" s="414"/>
      <c r="BL264" s="413"/>
      <c r="BM264" s="413"/>
      <c r="BN264" s="413"/>
      <c r="BO264" s="413"/>
      <c r="BP264" s="414"/>
      <c r="BQ264" s="413"/>
      <c r="BR264" s="413"/>
      <c r="BS264" s="413"/>
      <c r="BT264" s="413"/>
      <c r="BU264" s="414"/>
      <c r="BV264" s="413"/>
      <c r="BW264" s="413"/>
      <c r="BX264" s="413"/>
      <c r="BY264" s="413"/>
      <c r="BZ264" s="415"/>
      <c r="CA264" s="413"/>
      <c r="CB264" s="413"/>
      <c r="CC264" s="413"/>
      <c r="CD264" s="413"/>
      <c r="CE264" s="415"/>
      <c r="CF264" s="413"/>
      <c r="CG264" s="413"/>
      <c r="CH264" s="413"/>
      <c r="CI264" s="413"/>
      <c r="CJ264" s="415"/>
      <c r="CK264" s="413"/>
      <c r="CL264" s="413"/>
      <c r="CM264" s="413"/>
      <c r="CN264" s="416"/>
      <c r="CO264" s="415"/>
      <c r="CP264" s="388"/>
      <c r="CQ264" s="388"/>
      <c r="CR264" s="388"/>
      <c r="CS264" s="388"/>
      <c r="CT264" s="417"/>
      <c r="CU264" s="92"/>
      <c r="CV264" s="92"/>
      <c r="CW264" s="92"/>
      <c r="CX264" s="418"/>
      <c r="CY264" s="301"/>
      <c r="CZ264" s="92"/>
      <c r="DA264" s="92"/>
      <c r="DB264" s="92"/>
      <c r="DC264" s="92"/>
      <c r="DD264" s="95"/>
      <c r="DE264" s="92"/>
      <c r="DF264" s="92"/>
      <c r="DG264" s="92"/>
      <c r="DH264" s="92"/>
      <c r="DI264" s="419"/>
      <c r="DJ264" s="96"/>
      <c r="DK264" s="96"/>
      <c r="DL264" s="96"/>
      <c r="DM264" s="96"/>
      <c r="DN264" s="419"/>
      <c r="DO264" s="96"/>
      <c r="DP264" s="96" t="str">
        <f t="shared" ref="DP264:DR264" si="1498">DP276/DO276-1</f>
        <v>#ERROR!</v>
      </c>
      <c r="DQ264" s="96" t="str">
        <f t="shared" si="1498"/>
        <v>#ERROR!</v>
      </c>
      <c r="DR264" s="96" t="str">
        <f t="shared" si="1498"/>
        <v>#ERROR!</v>
      </c>
      <c r="DS264" s="95"/>
      <c r="DT264" s="96" t="str">
        <f>DT276/DR276-1</f>
        <v>#ERROR!</v>
      </c>
      <c r="DU264" s="96" t="str">
        <f t="shared" ref="DU264:DW264" si="1499">DU276/DT276-1</f>
        <v>#ERROR!</v>
      </c>
      <c r="DV264" s="96" t="str">
        <f t="shared" si="1499"/>
        <v>#ERROR!</v>
      </c>
      <c r="DW264" s="96" t="str">
        <f t="shared" si="1499"/>
        <v>#ERROR!</v>
      </c>
      <c r="DX264" s="95"/>
      <c r="DY264" s="96" t="str">
        <f>DY276/DW276-1</f>
        <v>#ERROR!</v>
      </c>
      <c r="DZ264" s="96" t="str">
        <f t="shared" ref="DZ264:EB264" si="1500">DZ276/DY276-1</f>
        <v>#ERROR!</v>
      </c>
      <c r="EA264" s="96" t="str">
        <f t="shared" si="1500"/>
        <v>#ERROR!</v>
      </c>
      <c r="EB264" s="96" t="str">
        <f t="shared" si="1500"/>
        <v>#ERROR!</v>
      </c>
      <c r="EC264" s="141">
        <f>EC265/DN265-1</f>
        <v>0.09560255301</v>
      </c>
      <c r="ED264" s="96" t="str">
        <f>ED276/EB276-1</f>
        <v>#ERROR!</v>
      </c>
      <c r="EE264" s="96" t="str">
        <f t="shared" ref="EE264:EG264" si="1501">EE276/ED276-1</f>
        <v>#ERROR!</v>
      </c>
      <c r="EF264" s="96" t="str">
        <f t="shared" si="1501"/>
        <v>#ERROR!</v>
      </c>
      <c r="EG264" s="96" t="str">
        <f t="shared" si="1501"/>
        <v>#ERROR!</v>
      </c>
      <c r="EH264" s="141"/>
      <c r="EI264" s="420" t="str">
        <f>EI276/EG276-1</f>
        <v>#ERROR!</v>
      </c>
      <c r="EJ264" s="413" t="str">
        <f t="shared" ref="EJ264:EL264" si="1502">EJ276/EI276-1</f>
        <v>#ERROR!</v>
      </c>
      <c r="EK264" s="413" t="str">
        <f t="shared" si="1502"/>
        <v>#ERROR!</v>
      </c>
      <c r="EL264" s="413" t="str">
        <f t="shared" si="1502"/>
        <v>#ERROR!</v>
      </c>
      <c r="EM264" s="141"/>
      <c r="EN264" s="413" t="str">
        <f>EN276/EL276-1</f>
        <v>#ERROR!</v>
      </c>
      <c r="EO264" s="413" t="str">
        <f t="shared" ref="EO264:EQ264" si="1503">EO276/EN276-1</f>
        <v>#ERROR!</v>
      </c>
      <c r="EP264" s="413" t="str">
        <f t="shared" si="1503"/>
        <v>#ERROR!</v>
      </c>
      <c r="EQ264" s="413" t="str">
        <f t="shared" si="1503"/>
        <v>#ERROR!</v>
      </c>
      <c r="ER264" s="141"/>
      <c r="ES264" s="413" t="str">
        <f>ES276/EQ276-1</f>
        <v>#ERROR!</v>
      </c>
      <c r="ET264" s="413" t="str">
        <f t="shared" ref="ET264:EV264" si="1504">ET276/ES276-1</f>
        <v>#ERROR!</v>
      </c>
      <c r="EU264" s="413" t="str">
        <f t="shared" si="1504"/>
        <v>#ERROR!</v>
      </c>
      <c r="EV264" s="413" t="str">
        <f t="shared" si="1504"/>
        <v>#ERROR!</v>
      </c>
      <c r="EW264" s="141"/>
      <c r="EX264" s="413" t="str">
        <f>EX276/EV276-1</f>
        <v>#ERROR!</v>
      </c>
      <c r="EY264" s="413" t="str">
        <f t="shared" ref="EY264:FA264" si="1505">EY276/EX276-1</f>
        <v>#ERROR!</v>
      </c>
      <c r="EZ264" s="413" t="str">
        <f t="shared" si="1505"/>
        <v>#ERROR!</v>
      </c>
      <c r="FA264" s="413" t="str">
        <f t="shared" si="1505"/>
        <v>#ERROR!</v>
      </c>
      <c r="FB264" s="141"/>
      <c r="FC264" s="413" t="str">
        <f>FC276/FA276-1</f>
        <v>#ERROR!</v>
      </c>
      <c r="FD264" s="413" t="str">
        <f t="shared" ref="FD264:FF264" si="1506">FD276/FC276-1</f>
        <v>#ERROR!</v>
      </c>
      <c r="FE264" s="413" t="str">
        <f t="shared" si="1506"/>
        <v>#ERROR!</v>
      </c>
      <c r="FF264" s="413" t="str">
        <f t="shared" si="1506"/>
        <v>#ERROR!</v>
      </c>
      <c r="FG264" s="141"/>
      <c r="FH264" s="325"/>
      <c r="FI264" s="15"/>
      <c r="FJ264" s="15"/>
      <c r="FK264" s="410"/>
      <c r="FL264" s="15"/>
    </row>
    <row r="265" ht="12.75" hidden="1" customHeight="1" outlineLevel="1">
      <c r="A265" s="421"/>
      <c r="B265" s="422" t="s">
        <v>194</v>
      </c>
      <c r="C265" s="422"/>
      <c r="D265" s="423"/>
      <c r="E265" s="423"/>
      <c r="F265" s="423"/>
      <c r="G265" s="423"/>
      <c r="H265" s="424"/>
      <c r="I265" s="423"/>
      <c r="J265" s="423"/>
      <c r="K265" s="423"/>
      <c r="L265" s="423"/>
      <c r="M265" s="424"/>
      <c r="N265" s="423"/>
      <c r="O265" s="423"/>
      <c r="P265" s="423"/>
      <c r="Q265" s="423"/>
      <c r="R265" s="424"/>
      <c r="S265" s="423"/>
      <c r="T265" s="423"/>
      <c r="U265" s="423"/>
      <c r="V265" s="423"/>
      <c r="W265" s="424"/>
      <c r="X265" s="423"/>
      <c r="Y265" s="423"/>
      <c r="Z265" s="423"/>
      <c r="AA265" s="423"/>
      <c r="AB265" s="424"/>
      <c r="AC265" s="423"/>
      <c r="AD265" s="423"/>
      <c r="AE265" s="423"/>
      <c r="AF265" s="423"/>
      <c r="AG265" s="424"/>
      <c r="AH265" s="423"/>
      <c r="AI265" s="423"/>
      <c r="AJ265" s="423"/>
      <c r="AK265" s="423"/>
      <c r="AL265" s="424"/>
      <c r="AM265" s="423"/>
      <c r="AN265" s="423"/>
      <c r="AO265" s="423"/>
      <c r="AP265" s="423"/>
      <c r="AQ265" s="424"/>
      <c r="AR265" s="423"/>
      <c r="AS265" s="423"/>
      <c r="AT265" s="423"/>
      <c r="AU265" s="423"/>
      <c r="AV265" s="424"/>
      <c r="AW265" s="423"/>
      <c r="AX265" s="423"/>
      <c r="AY265" s="423"/>
      <c r="AZ265" s="423"/>
      <c r="BA265" s="424"/>
      <c r="BB265" s="423"/>
      <c r="BC265" s="423"/>
      <c r="BD265" s="423"/>
      <c r="BE265" s="423"/>
      <c r="BF265" s="424"/>
      <c r="BG265" s="423"/>
      <c r="BH265" s="423"/>
      <c r="BI265" s="423"/>
      <c r="BJ265" s="423"/>
      <c r="BK265" s="424"/>
      <c r="BL265" s="423"/>
      <c r="BM265" s="423"/>
      <c r="BN265" s="423"/>
      <c r="BO265" s="423"/>
      <c r="BP265" s="424"/>
      <c r="BQ265" s="423"/>
      <c r="BR265" s="423"/>
      <c r="BS265" s="423"/>
      <c r="BT265" s="423"/>
      <c r="BU265" s="424"/>
      <c r="BV265" s="425">
        <v>7375.0</v>
      </c>
      <c r="BW265" s="425">
        <v>7501.0</v>
      </c>
      <c r="BX265" s="425">
        <v>7738.0</v>
      </c>
      <c r="BY265" s="425">
        <v>7713.0</v>
      </c>
      <c r="BZ265" s="363">
        <v>30327.0</v>
      </c>
      <c r="CA265" s="425">
        <v>8621.0</v>
      </c>
      <c r="CB265" s="425">
        <v>8321.0</v>
      </c>
      <c r="CC265" s="425">
        <v>9417.0</v>
      </c>
      <c r="CD265" s="425">
        <v>9047.0</v>
      </c>
      <c r="CE265" s="363">
        <v>35406.0</v>
      </c>
      <c r="CF265" s="425">
        <v>8451.0</v>
      </c>
      <c r="CG265" s="425">
        <v>8684.0</v>
      </c>
      <c r="CH265" s="425">
        <v>8633.0</v>
      </c>
      <c r="CI265" s="425">
        <v>8506.0</v>
      </c>
      <c r="CJ265" s="363">
        <v>34274.0</v>
      </c>
      <c r="CK265" s="425">
        <v>8054.0</v>
      </c>
      <c r="CL265" s="425">
        <v>8160.0</v>
      </c>
      <c r="CM265" s="425">
        <v>8440.0</v>
      </c>
      <c r="CN265" s="425">
        <v>8616.0</v>
      </c>
      <c r="CO265" s="363">
        <v>33270.0</v>
      </c>
      <c r="CP265" s="425">
        <v>8097.0</v>
      </c>
      <c r="CQ265" s="425">
        <v>8718.0</v>
      </c>
      <c r="CR265" s="425">
        <v>9191.0</v>
      </c>
      <c r="CS265" s="425">
        <v>8866.0</v>
      </c>
      <c r="CT265" s="363">
        <f>SUM(CP265:CS265)</f>
        <v>34872</v>
      </c>
      <c r="CU265" s="425">
        <v>7420.0</v>
      </c>
      <c r="CV265" s="425">
        <v>7537.0</v>
      </c>
      <c r="CW265" s="425">
        <v>8506.0</v>
      </c>
      <c r="CX265" s="425">
        <v>8756.0</v>
      </c>
      <c r="CY265" s="363">
        <f>SUM(CU265:CX265)</f>
        <v>32219</v>
      </c>
      <c r="CZ265" s="425">
        <v>7549.0</v>
      </c>
      <c r="DA265" s="425">
        <v>7338.0</v>
      </c>
      <c r="DB265" s="425">
        <v>8892.0</v>
      </c>
      <c r="DC265" s="425">
        <v>9129.0</v>
      </c>
      <c r="DD265" s="363">
        <f>SUM(CZ265:DC265)</f>
        <v>32908</v>
      </c>
      <c r="DE265" s="425">
        <v>7976.0</v>
      </c>
      <c r="DF265" s="425">
        <v>8213.0</v>
      </c>
      <c r="DG265" s="425">
        <v>8860.0</v>
      </c>
      <c r="DH265" s="425">
        <v>8954.0</v>
      </c>
      <c r="DI265" s="363">
        <f>SUM(DE265:DH265)</f>
        <v>34003</v>
      </c>
      <c r="DJ265" s="425">
        <v>8220.0</v>
      </c>
      <c r="DK265" s="425">
        <v>8700.0</v>
      </c>
      <c r="DL265" s="425">
        <v>10234.0</v>
      </c>
      <c r="DM265" s="425">
        <v>9822.0</v>
      </c>
      <c r="DN265" s="363">
        <f>SUM(DJ265:DM265)</f>
        <v>36976</v>
      </c>
      <c r="DO265" s="425">
        <f t="shared" ref="DO265:DR265" si="1507">DO269+DO271</f>
        <v>8586</v>
      </c>
      <c r="DP265" s="425">
        <f t="shared" si="1507"/>
        <v>8841</v>
      </c>
      <c r="DQ265" s="425">
        <f t="shared" si="1507"/>
        <v>9709</v>
      </c>
      <c r="DR265" s="425">
        <f t="shared" si="1507"/>
        <v>10010</v>
      </c>
      <c r="DS265" s="363">
        <f>SUM(DO265:DR265)</f>
        <v>37146</v>
      </c>
      <c r="DT265" s="425">
        <f t="shared" ref="DT265:DW265" si="1508">DT269+DT271</f>
        <v>9775</v>
      </c>
      <c r="DU265" s="425">
        <f t="shared" si="1508"/>
        <v>9496</v>
      </c>
      <c r="DV265" s="425">
        <f t="shared" si="1508"/>
        <v>9847</v>
      </c>
      <c r="DW265" s="425">
        <f t="shared" si="1508"/>
        <v>10939</v>
      </c>
      <c r="DX265" s="363">
        <f>SUM(DT265:DW265)</f>
        <v>40057</v>
      </c>
      <c r="DY265" s="425">
        <f t="shared" ref="DY265:EB265" si="1509">DY269+DY271</f>
        <v>10605</v>
      </c>
      <c r="DZ265" s="425">
        <f t="shared" si="1509"/>
        <v>10109</v>
      </c>
      <c r="EA265" s="425">
        <f t="shared" si="1509"/>
        <v>9664</v>
      </c>
      <c r="EB265" s="425">
        <f t="shared" si="1509"/>
        <v>10133</v>
      </c>
      <c r="EC265" s="363">
        <f>SUM(DY265:EB265)</f>
        <v>40511</v>
      </c>
      <c r="ED265" s="425">
        <f t="shared" ref="ED265:EG265" si="1510">ED269+ED271</f>
        <v>9478.983655</v>
      </c>
      <c r="EE265" s="425" t="str">
        <f t="shared" si="1510"/>
        <v>#ERROR!</v>
      </c>
      <c r="EF265" s="425" t="str">
        <f t="shared" si="1510"/>
        <v>#ERROR!</v>
      </c>
      <c r="EG265" s="425" t="str">
        <f t="shared" si="1510"/>
        <v>#ERROR!</v>
      </c>
      <c r="EH265" s="363" t="str">
        <f>SUM(ED265:EG265)</f>
        <v>#ERROR!</v>
      </c>
      <c r="EI265" s="426" t="str">
        <f t="shared" ref="EI265:EL265" si="1511">EI269+EI271</f>
        <v>#ERROR!</v>
      </c>
      <c r="EJ265" s="425" t="str">
        <f t="shared" si="1511"/>
        <v>#ERROR!</v>
      </c>
      <c r="EK265" s="425" t="str">
        <f t="shared" si="1511"/>
        <v>#ERROR!</v>
      </c>
      <c r="EL265" s="425" t="str">
        <f t="shared" si="1511"/>
        <v>#ERROR!</v>
      </c>
      <c r="EM265" s="363" t="str">
        <f>SUM(EI265:EL265)</f>
        <v>#ERROR!</v>
      </c>
      <c r="EN265" s="425" t="str">
        <f t="shared" ref="EN265:EQ265" si="1512">EN269+EN271</f>
        <v>#ERROR!</v>
      </c>
      <c r="EO265" s="425" t="str">
        <f t="shared" si="1512"/>
        <v>#ERROR!</v>
      </c>
      <c r="EP265" s="425" t="str">
        <f t="shared" si="1512"/>
        <v>#ERROR!</v>
      </c>
      <c r="EQ265" s="425" t="str">
        <f t="shared" si="1512"/>
        <v>#ERROR!</v>
      </c>
      <c r="ER265" s="363" t="str">
        <f>SUM(EN265:EQ265)</f>
        <v>#ERROR!</v>
      </c>
      <c r="ES265" s="425" t="str">
        <f t="shared" ref="ES265:EV265" si="1513">ES269+ES271</f>
        <v>#ERROR!</v>
      </c>
      <c r="ET265" s="425" t="str">
        <f t="shared" si="1513"/>
        <v>#ERROR!</v>
      </c>
      <c r="EU265" s="425" t="str">
        <f t="shared" si="1513"/>
        <v>#ERROR!</v>
      </c>
      <c r="EV265" s="425" t="str">
        <f t="shared" si="1513"/>
        <v>#ERROR!</v>
      </c>
      <c r="EW265" s="363" t="str">
        <f>SUM(ES265:EV265)</f>
        <v>#ERROR!</v>
      </c>
      <c r="EX265" s="425" t="str">
        <f t="shared" ref="EX265:FA265" si="1514">EX269+EX271</f>
        <v>#ERROR!</v>
      </c>
      <c r="EY265" s="425" t="str">
        <f t="shared" si="1514"/>
        <v>#ERROR!</v>
      </c>
      <c r="EZ265" s="425" t="str">
        <f t="shared" si="1514"/>
        <v>#ERROR!</v>
      </c>
      <c r="FA265" s="425" t="str">
        <f t="shared" si="1514"/>
        <v>#ERROR!</v>
      </c>
      <c r="FB265" s="363" t="str">
        <f>SUM(EX265:FA265)</f>
        <v>#ERROR!</v>
      </c>
      <c r="FC265" s="425" t="str">
        <f t="shared" ref="FC265:FF265" si="1515">FC269+FC271</f>
        <v>#ERROR!</v>
      </c>
      <c r="FD265" s="425" t="str">
        <f t="shared" si="1515"/>
        <v>#ERROR!</v>
      </c>
      <c r="FE265" s="425" t="str">
        <f t="shared" si="1515"/>
        <v>#ERROR!</v>
      </c>
      <c r="FF265" s="425" t="str">
        <f t="shared" si="1515"/>
        <v>#ERROR!</v>
      </c>
      <c r="FG265" s="363" t="str">
        <f>SUM(FC265:FF265)</f>
        <v>#ERROR!</v>
      </c>
      <c r="FH265" s="423"/>
      <c r="FI265" s="423"/>
      <c r="FJ265" s="423"/>
      <c r="FK265" s="424"/>
      <c r="FL265" s="423"/>
    </row>
    <row r="266" ht="12.75" hidden="1" customHeight="1" outlineLevel="1">
      <c r="A266" s="421"/>
      <c r="B266" s="72" t="s">
        <v>146</v>
      </c>
      <c r="C266" s="422"/>
      <c r="D266" s="423"/>
      <c r="E266" s="423"/>
      <c r="F266" s="423"/>
      <c r="G266" s="423"/>
      <c r="H266" s="424"/>
      <c r="I266" s="423"/>
      <c r="J266" s="423"/>
      <c r="K266" s="423"/>
      <c r="L266" s="423"/>
      <c r="M266" s="424"/>
      <c r="N266" s="423"/>
      <c r="O266" s="423"/>
      <c r="P266" s="423"/>
      <c r="Q266" s="423"/>
      <c r="R266" s="424"/>
      <c r="S266" s="423"/>
      <c r="T266" s="423"/>
      <c r="U266" s="423"/>
      <c r="V266" s="423"/>
      <c r="W266" s="424"/>
      <c r="X266" s="423"/>
      <c r="Y266" s="423"/>
      <c r="Z266" s="423"/>
      <c r="AA266" s="423"/>
      <c r="AB266" s="424"/>
      <c r="AC266" s="423"/>
      <c r="AD266" s="423"/>
      <c r="AE266" s="423"/>
      <c r="AF266" s="423"/>
      <c r="AG266" s="424"/>
      <c r="AH266" s="423"/>
      <c r="AI266" s="423"/>
      <c r="AJ266" s="423"/>
      <c r="AK266" s="423"/>
      <c r="AL266" s="424"/>
      <c r="AM266" s="423"/>
      <c r="AN266" s="423"/>
      <c r="AO266" s="423"/>
      <c r="AP266" s="423"/>
      <c r="AQ266" s="424"/>
      <c r="AR266" s="423"/>
      <c r="AS266" s="423"/>
      <c r="AT266" s="423"/>
      <c r="AU266" s="423"/>
      <c r="AV266" s="424"/>
      <c r="AW266" s="423"/>
      <c r="AX266" s="423"/>
      <c r="AY266" s="423"/>
      <c r="AZ266" s="423"/>
      <c r="BA266" s="424"/>
      <c r="BB266" s="423"/>
      <c r="BC266" s="423"/>
      <c r="BD266" s="423"/>
      <c r="BE266" s="423"/>
      <c r="BF266" s="424"/>
      <c r="BG266" s="423"/>
      <c r="BH266" s="423"/>
      <c r="BI266" s="423"/>
      <c r="BJ266" s="423"/>
      <c r="BK266" s="424"/>
      <c r="BL266" s="423"/>
      <c r="BM266" s="423"/>
      <c r="BN266" s="423"/>
      <c r="BO266" s="423"/>
      <c r="BP266" s="424"/>
      <c r="BQ266" s="423"/>
      <c r="BR266" s="423"/>
      <c r="BS266" s="423"/>
      <c r="BT266" s="423"/>
      <c r="BU266" s="424"/>
      <c r="BV266" s="423"/>
      <c r="BW266" s="423"/>
      <c r="BX266" s="423"/>
      <c r="BY266" s="423"/>
      <c r="BZ266" s="24"/>
      <c r="CA266" s="423">
        <f t="shared" ref="CA266:FG266" si="1516">(CA265-BV265)/BV265</f>
        <v>0.1689491525</v>
      </c>
      <c r="CB266" s="423">
        <f t="shared" si="1516"/>
        <v>0.1093187575</v>
      </c>
      <c r="CC266" s="423">
        <f t="shared" si="1516"/>
        <v>0.2169811321</v>
      </c>
      <c r="CD266" s="423">
        <f t="shared" si="1516"/>
        <v>0.1729547517</v>
      </c>
      <c r="CE266" s="411">
        <f t="shared" si="1516"/>
        <v>0.1674745276</v>
      </c>
      <c r="CF266" s="423">
        <f t="shared" si="1516"/>
        <v>-0.01971929011</v>
      </c>
      <c r="CG266" s="423">
        <f t="shared" si="1516"/>
        <v>0.04362456436</v>
      </c>
      <c r="CH266" s="423">
        <f t="shared" si="1516"/>
        <v>-0.08325369013</v>
      </c>
      <c r="CI266" s="423">
        <f t="shared" si="1516"/>
        <v>-0.05979882834</v>
      </c>
      <c r="CJ266" s="411">
        <f t="shared" si="1516"/>
        <v>-0.03197198215</v>
      </c>
      <c r="CK266" s="423">
        <f t="shared" si="1516"/>
        <v>-0.04697668915</v>
      </c>
      <c r="CL266" s="423">
        <f t="shared" si="1516"/>
        <v>-0.06034085675</v>
      </c>
      <c r="CM266" s="423">
        <f t="shared" si="1516"/>
        <v>-0.02235607552</v>
      </c>
      <c r="CN266" s="423">
        <f t="shared" si="1516"/>
        <v>0.01293204797</v>
      </c>
      <c r="CO266" s="411">
        <f t="shared" si="1516"/>
        <v>-0.02929334189</v>
      </c>
      <c r="CP266" s="423">
        <f t="shared" si="1516"/>
        <v>0.005338962006</v>
      </c>
      <c r="CQ266" s="423">
        <f t="shared" si="1516"/>
        <v>0.06838235294</v>
      </c>
      <c r="CR266" s="423">
        <f t="shared" si="1516"/>
        <v>0.08898104265</v>
      </c>
      <c r="CS266" s="423">
        <f t="shared" si="1516"/>
        <v>0.02901578459</v>
      </c>
      <c r="CT266" s="411">
        <f t="shared" si="1516"/>
        <v>0.04815148783</v>
      </c>
      <c r="CU266" s="423">
        <f t="shared" si="1516"/>
        <v>-0.08361121403</v>
      </c>
      <c r="CV266" s="423">
        <f t="shared" si="1516"/>
        <v>-0.1354668502</v>
      </c>
      <c r="CW266" s="423">
        <f t="shared" si="1516"/>
        <v>-0.07452943097</v>
      </c>
      <c r="CX266" s="423">
        <f t="shared" si="1516"/>
        <v>-0.01240694789</v>
      </c>
      <c r="CY266" s="411">
        <f t="shared" si="1516"/>
        <v>-0.07607822895</v>
      </c>
      <c r="CZ266" s="423">
        <f t="shared" si="1516"/>
        <v>0.01738544474</v>
      </c>
      <c r="DA266" s="423">
        <f t="shared" si="1516"/>
        <v>-0.02640307815</v>
      </c>
      <c r="DB266" s="423">
        <f t="shared" si="1516"/>
        <v>0.04537973195</v>
      </c>
      <c r="DC266" s="423">
        <f t="shared" si="1516"/>
        <v>0.04259936044</v>
      </c>
      <c r="DD266" s="313">
        <f t="shared" si="1516"/>
        <v>0.02138489711</v>
      </c>
      <c r="DE266" s="423">
        <f t="shared" si="1516"/>
        <v>0.05656378328</v>
      </c>
      <c r="DF266" s="423">
        <f t="shared" si="1516"/>
        <v>0.1192423004</v>
      </c>
      <c r="DG266" s="423">
        <f t="shared" si="1516"/>
        <v>-0.003598740441</v>
      </c>
      <c r="DH266" s="423">
        <f t="shared" si="1516"/>
        <v>-0.01916967904</v>
      </c>
      <c r="DI266" s="313">
        <f t="shared" si="1516"/>
        <v>0.03327458369</v>
      </c>
      <c r="DJ266" s="423">
        <f t="shared" si="1516"/>
        <v>0.03059177533</v>
      </c>
      <c r="DK266" s="423">
        <f t="shared" si="1516"/>
        <v>0.05929623767</v>
      </c>
      <c r="DL266" s="423">
        <f t="shared" si="1516"/>
        <v>0.1550790068</v>
      </c>
      <c r="DM266" s="423">
        <f t="shared" si="1516"/>
        <v>0.09693991512</v>
      </c>
      <c r="DN266" s="313">
        <f t="shared" si="1516"/>
        <v>0.08743346175</v>
      </c>
      <c r="DO266" s="423">
        <f t="shared" si="1516"/>
        <v>0.04452554745</v>
      </c>
      <c r="DP266" s="423">
        <f t="shared" si="1516"/>
        <v>0.01620689655</v>
      </c>
      <c r="DQ266" s="423">
        <f t="shared" si="1516"/>
        <v>-0.0512995896</v>
      </c>
      <c r="DR266" s="423">
        <f t="shared" si="1516"/>
        <v>0.01914070454</v>
      </c>
      <c r="DS266" s="313">
        <f t="shared" si="1516"/>
        <v>0.004597576807</v>
      </c>
      <c r="DT266" s="423">
        <f t="shared" si="1516"/>
        <v>0.1384812485</v>
      </c>
      <c r="DU266" s="423">
        <f t="shared" si="1516"/>
        <v>0.07408664178</v>
      </c>
      <c r="DV266" s="423">
        <f t="shared" si="1516"/>
        <v>0.01421361623</v>
      </c>
      <c r="DW266" s="423">
        <f t="shared" si="1516"/>
        <v>0.09280719281</v>
      </c>
      <c r="DX266" s="313">
        <f t="shared" si="1516"/>
        <v>0.07836644592</v>
      </c>
      <c r="DY266" s="423">
        <f t="shared" si="1516"/>
        <v>0.08491048593</v>
      </c>
      <c r="DZ266" s="423">
        <f t="shared" si="1516"/>
        <v>0.06455349621</v>
      </c>
      <c r="EA266" s="423">
        <f t="shared" si="1516"/>
        <v>-0.01858434041</v>
      </c>
      <c r="EB266" s="423">
        <f t="shared" si="1516"/>
        <v>-0.0736813237</v>
      </c>
      <c r="EC266" s="313">
        <f t="shared" si="1516"/>
        <v>0.01133384926</v>
      </c>
      <c r="ED266" s="423">
        <f t="shared" si="1516"/>
        <v>-0.1061778732</v>
      </c>
      <c r="EE266" s="423" t="str">
        <f t="shared" si="1516"/>
        <v>#ERROR!</v>
      </c>
      <c r="EF266" s="423" t="str">
        <f t="shared" si="1516"/>
        <v>#ERROR!</v>
      </c>
      <c r="EG266" s="423" t="str">
        <f t="shared" si="1516"/>
        <v>#ERROR!</v>
      </c>
      <c r="EH266" s="313" t="str">
        <f t="shared" si="1516"/>
        <v>#ERROR!</v>
      </c>
      <c r="EI266" s="82" t="str">
        <f t="shared" si="1516"/>
        <v>#ERROR!</v>
      </c>
      <c r="EJ266" s="423" t="str">
        <f t="shared" si="1516"/>
        <v>#ERROR!</v>
      </c>
      <c r="EK266" s="423" t="str">
        <f t="shared" si="1516"/>
        <v>#ERROR!</v>
      </c>
      <c r="EL266" s="423" t="str">
        <f t="shared" si="1516"/>
        <v>#ERROR!</v>
      </c>
      <c r="EM266" s="313" t="str">
        <f t="shared" si="1516"/>
        <v>#ERROR!</v>
      </c>
      <c r="EN266" s="423" t="str">
        <f t="shared" si="1516"/>
        <v>#ERROR!</v>
      </c>
      <c r="EO266" s="423" t="str">
        <f t="shared" si="1516"/>
        <v>#ERROR!</v>
      </c>
      <c r="EP266" s="423" t="str">
        <f t="shared" si="1516"/>
        <v>#ERROR!</v>
      </c>
      <c r="EQ266" s="423" t="str">
        <f t="shared" si="1516"/>
        <v>#ERROR!</v>
      </c>
      <c r="ER266" s="313" t="str">
        <f t="shared" si="1516"/>
        <v>#ERROR!</v>
      </c>
      <c r="ES266" s="423" t="str">
        <f t="shared" si="1516"/>
        <v>#ERROR!</v>
      </c>
      <c r="ET266" s="423" t="str">
        <f t="shared" si="1516"/>
        <v>#ERROR!</v>
      </c>
      <c r="EU266" s="423" t="str">
        <f t="shared" si="1516"/>
        <v>#ERROR!</v>
      </c>
      <c r="EV266" s="423" t="str">
        <f t="shared" si="1516"/>
        <v>#ERROR!</v>
      </c>
      <c r="EW266" s="313" t="str">
        <f t="shared" si="1516"/>
        <v>#ERROR!</v>
      </c>
      <c r="EX266" s="423" t="str">
        <f t="shared" si="1516"/>
        <v>#ERROR!</v>
      </c>
      <c r="EY266" s="423" t="str">
        <f t="shared" si="1516"/>
        <v>#ERROR!</v>
      </c>
      <c r="EZ266" s="423" t="str">
        <f t="shared" si="1516"/>
        <v>#ERROR!</v>
      </c>
      <c r="FA266" s="423" t="str">
        <f t="shared" si="1516"/>
        <v>#ERROR!</v>
      </c>
      <c r="FB266" s="313" t="str">
        <f t="shared" si="1516"/>
        <v>#ERROR!</v>
      </c>
      <c r="FC266" s="423" t="str">
        <f t="shared" si="1516"/>
        <v>#ERROR!</v>
      </c>
      <c r="FD266" s="423" t="str">
        <f t="shared" si="1516"/>
        <v>#ERROR!</v>
      </c>
      <c r="FE266" s="423" t="str">
        <f t="shared" si="1516"/>
        <v>#ERROR!</v>
      </c>
      <c r="FF266" s="423" t="str">
        <f t="shared" si="1516"/>
        <v>#ERROR!</v>
      </c>
      <c r="FG266" s="313" t="str">
        <f t="shared" si="1516"/>
        <v>#ERROR!</v>
      </c>
      <c r="FH266" s="423"/>
      <c r="FI266" s="423"/>
      <c r="FJ266" s="423"/>
      <c r="FK266" s="424"/>
      <c r="FL266" s="423"/>
    </row>
    <row r="267" ht="12.75" hidden="1" customHeight="1" outlineLevel="1">
      <c r="A267" s="421"/>
      <c r="B267" s="72" t="s">
        <v>150</v>
      </c>
      <c r="C267" s="422"/>
      <c r="D267" s="423"/>
      <c r="E267" s="423"/>
      <c r="F267" s="423"/>
      <c r="G267" s="423"/>
      <c r="H267" s="424"/>
      <c r="I267" s="423"/>
      <c r="J267" s="423"/>
      <c r="K267" s="423"/>
      <c r="L267" s="423"/>
      <c r="M267" s="424"/>
      <c r="N267" s="423"/>
      <c r="O267" s="423"/>
      <c r="P267" s="423"/>
      <c r="Q267" s="423"/>
      <c r="R267" s="424"/>
      <c r="S267" s="423"/>
      <c r="T267" s="423"/>
      <c r="U267" s="423"/>
      <c r="V267" s="423"/>
      <c r="W267" s="424"/>
      <c r="X267" s="423"/>
      <c r="Y267" s="423"/>
      <c r="Z267" s="423"/>
      <c r="AA267" s="423"/>
      <c r="AB267" s="424"/>
      <c r="AC267" s="423"/>
      <c r="AD267" s="423"/>
      <c r="AE267" s="423"/>
      <c r="AF267" s="423"/>
      <c r="AG267" s="424"/>
      <c r="AH267" s="423"/>
      <c r="AI267" s="423"/>
      <c r="AJ267" s="423"/>
      <c r="AK267" s="423"/>
      <c r="AL267" s="424"/>
      <c r="AM267" s="423"/>
      <c r="AN267" s="423"/>
      <c r="AO267" s="423"/>
      <c r="AP267" s="423"/>
      <c r="AQ267" s="424"/>
      <c r="AR267" s="423"/>
      <c r="AS267" s="423"/>
      <c r="AT267" s="423"/>
      <c r="AU267" s="423"/>
      <c r="AV267" s="424"/>
      <c r="AW267" s="423"/>
      <c r="AX267" s="423"/>
      <c r="AY267" s="423"/>
      <c r="AZ267" s="423"/>
      <c r="BA267" s="424"/>
      <c r="BB267" s="423"/>
      <c r="BC267" s="423"/>
      <c r="BD267" s="423"/>
      <c r="BE267" s="423"/>
      <c r="BF267" s="424"/>
      <c r="BG267" s="423"/>
      <c r="BH267" s="423"/>
      <c r="BI267" s="423"/>
      <c r="BJ267" s="423"/>
      <c r="BK267" s="424"/>
      <c r="BL267" s="423"/>
      <c r="BM267" s="423"/>
      <c r="BN267" s="423"/>
      <c r="BO267" s="423"/>
      <c r="BP267" s="424"/>
      <c r="BQ267" s="423"/>
      <c r="BR267" s="423"/>
      <c r="BS267" s="423"/>
      <c r="BT267" s="423"/>
      <c r="BU267" s="424"/>
      <c r="BV267" s="423"/>
      <c r="BW267" s="423"/>
      <c r="BX267" s="423"/>
      <c r="BY267" s="423"/>
      <c r="BZ267" s="24"/>
      <c r="CA267" s="423"/>
      <c r="CB267" s="423"/>
      <c r="CC267" s="423"/>
      <c r="CD267" s="423"/>
      <c r="CE267" s="411"/>
      <c r="CF267" s="423"/>
      <c r="CG267" s="423"/>
      <c r="CH267" s="423"/>
      <c r="CI267" s="423"/>
      <c r="CJ267" s="411"/>
      <c r="CK267" s="423"/>
      <c r="CL267" s="423"/>
      <c r="CM267" s="423"/>
      <c r="CN267" s="423"/>
      <c r="CO267" s="411"/>
      <c r="CP267" s="423">
        <f>(CP265-CN265)/CN265</f>
        <v>-0.0602367688</v>
      </c>
      <c r="CQ267" s="423">
        <f t="shared" ref="CQ267:CS267" si="1517">(CQ265-CP265)/CP265</f>
        <v>0.07669507225</v>
      </c>
      <c r="CR267" s="423">
        <f t="shared" si="1517"/>
        <v>0.0542555632</v>
      </c>
      <c r="CS267" s="423">
        <f t="shared" si="1517"/>
        <v>-0.03536067893</v>
      </c>
      <c r="CT267" s="411"/>
      <c r="CU267" s="423">
        <f>(CU265-CS265)/CS265</f>
        <v>-0.1630949695</v>
      </c>
      <c r="CV267" s="423">
        <f t="shared" ref="CV267:CX267" si="1518">(CV265-CU265)/CU265</f>
        <v>0.01576819407</v>
      </c>
      <c r="CW267" s="423">
        <f t="shared" si="1518"/>
        <v>0.1285657423</v>
      </c>
      <c r="CX267" s="423">
        <f t="shared" si="1518"/>
        <v>0.0293910181</v>
      </c>
      <c r="CY267" s="411"/>
      <c r="CZ267" s="423">
        <f>(CZ265-CX265)/CX265</f>
        <v>-0.1378483326</v>
      </c>
      <c r="DA267" s="423">
        <f t="shared" ref="DA267:DC267" si="1519">(DA265-CZ265)/CZ265</f>
        <v>-0.02795072195</v>
      </c>
      <c r="DB267" s="423">
        <f t="shared" si="1519"/>
        <v>0.2117743254</v>
      </c>
      <c r="DC267" s="423">
        <f t="shared" si="1519"/>
        <v>0.02665317139</v>
      </c>
      <c r="DD267" s="313"/>
      <c r="DE267" s="423">
        <f>(DE265-DC265)/DC265</f>
        <v>-0.1263007996</v>
      </c>
      <c r="DF267" s="423">
        <f t="shared" ref="DF267:DH267" si="1520">(DF265-DE265)/DE265</f>
        <v>0.02971414243</v>
      </c>
      <c r="DG267" s="423">
        <f t="shared" si="1520"/>
        <v>0.07877754779</v>
      </c>
      <c r="DH267" s="423">
        <f t="shared" si="1520"/>
        <v>0.01060948081</v>
      </c>
      <c r="DI267" s="313"/>
      <c r="DJ267" s="423">
        <f>(DJ265-DH265)/DH265</f>
        <v>-0.08197453652</v>
      </c>
      <c r="DK267" s="423">
        <f t="shared" ref="DK267:DM267" si="1521">(DK265-DJ265)/DJ265</f>
        <v>0.05839416058</v>
      </c>
      <c r="DL267" s="423">
        <f t="shared" si="1521"/>
        <v>0.1763218391</v>
      </c>
      <c r="DM267" s="423">
        <f t="shared" si="1521"/>
        <v>-0.04025796365</v>
      </c>
      <c r="DN267" s="313"/>
      <c r="DO267" s="423">
        <f>(DO265-DM265)/DM265</f>
        <v>-0.1258399511</v>
      </c>
      <c r="DP267" s="423">
        <f t="shared" ref="DP267:DR267" si="1522">(DP265-DO265)/DO265</f>
        <v>0.02969951083</v>
      </c>
      <c r="DQ267" s="423">
        <f t="shared" si="1522"/>
        <v>0.09817893903</v>
      </c>
      <c r="DR267" s="423">
        <f t="shared" si="1522"/>
        <v>0.03100216294</v>
      </c>
      <c r="DS267" s="313"/>
      <c r="DT267" s="423">
        <f>(DT265-DR265)/DR265</f>
        <v>-0.02347652348</v>
      </c>
      <c r="DU267" s="423">
        <f t="shared" ref="DU267:DW267" si="1523">(DU265-DT265)/DT265</f>
        <v>-0.02854219949</v>
      </c>
      <c r="DV267" s="423">
        <f t="shared" si="1523"/>
        <v>0.03696293176</v>
      </c>
      <c r="DW267" s="423">
        <f t="shared" si="1523"/>
        <v>0.1108967198</v>
      </c>
      <c r="DX267" s="313"/>
      <c r="DY267" s="423">
        <f>(DY265-DW265)/DW265</f>
        <v>-0.03053295548</v>
      </c>
      <c r="DZ267" s="423">
        <f t="shared" ref="DZ267:EB267" si="1524">(DZ265-DY265)/DY265</f>
        <v>-0.04677039132</v>
      </c>
      <c r="EA267" s="423">
        <f t="shared" si="1524"/>
        <v>-0.04402018004</v>
      </c>
      <c r="EB267" s="423">
        <f t="shared" si="1524"/>
        <v>0.04853062914</v>
      </c>
      <c r="EC267" s="411"/>
      <c r="ED267" s="423">
        <f>(ED265-EB265)/EB265</f>
        <v>-0.06454320981</v>
      </c>
      <c r="EE267" s="423" t="str">
        <f t="shared" ref="EE267:EG267" si="1525">(EE265-ED265)/ED265</f>
        <v>#ERROR!</v>
      </c>
      <c r="EF267" s="423" t="str">
        <f t="shared" si="1525"/>
        <v>#ERROR!</v>
      </c>
      <c r="EG267" s="423" t="str">
        <f t="shared" si="1525"/>
        <v>#ERROR!</v>
      </c>
      <c r="EH267" s="411"/>
      <c r="EI267" s="82" t="str">
        <f>(EI265-EG265)/EG265</f>
        <v>#ERROR!</v>
      </c>
      <c r="EJ267" s="423" t="str">
        <f t="shared" ref="EJ267:EL267" si="1526">(EJ265-EI265)/EI265</f>
        <v>#ERROR!</v>
      </c>
      <c r="EK267" s="423" t="str">
        <f t="shared" si="1526"/>
        <v>#ERROR!</v>
      </c>
      <c r="EL267" s="423" t="str">
        <f t="shared" si="1526"/>
        <v>#ERROR!</v>
      </c>
      <c r="EM267" s="411"/>
      <c r="EN267" s="423" t="str">
        <f>(EN265-EL265)/EL265</f>
        <v>#ERROR!</v>
      </c>
      <c r="EO267" s="423" t="str">
        <f t="shared" ref="EO267:EQ267" si="1527">(EO265-EN265)/EN265</f>
        <v>#ERROR!</v>
      </c>
      <c r="EP267" s="423" t="str">
        <f t="shared" si="1527"/>
        <v>#ERROR!</v>
      </c>
      <c r="EQ267" s="423" t="str">
        <f t="shared" si="1527"/>
        <v>#ERROR!</v>
      </c>
      <c r="ER267" s="411"/>
      <c r="ES267" s="423" t="str">
        <f>(ES265-EQ265)/EQ265</f>
        <v>#ERROR!</v>
      </c>
      <c r="ET267" s="423" t="str">
        <f t="shared" ref="ET267:EV267" si="1528">(ET265-ES265)/ES265</f>
        <v>#ERROR!</v>
      </c>
      <c r="EU267" s="423" t="str">
        <f t="shared" si="1528"/>
        <v>#ERROR!</v>
      </c>
      <c r="EV267" s="423" t="str">
        <f t="shared" si="1528"/>
        <v>#ERROR!</v>
      </c>
      <c r="EW267" s="411"/>
      <c r="EX267" s="423" t="str">
        <f>(EX265-EV265)/EV265</f>
        <v>#ERROR!</v>
      </c>
      <c r="EY267" s="423" t="str">
        <f t="shared" ref="EY267:FA267" si="1529">(EY265-EX265)/EX265</f>
        <v>#ERROR!</v>
      </c>
      <c r="EZ267" s="423" t="str">
        <f t="shared" si="1529"/>
        <v>#ERROR!</v>
      </c>
      <c r="FA267" s="423" t="str">
        <f t="shared" si="1529"/>
        <v>#ERROR!</v>
      </c>
      <c r="FB267" s="411"/>
      <c r="FC267" s="423" t="str">
        <f>(FC265-FA265)/FA265</f>
        <v>#ERROR!</v>
      </c>
      <c r="FD267" s="423" t="str">
        <f t="shared" ref="FD267:FF267" si="1530">(FD265-FC265)/FC265</f>
        <v>#ERROR!</v>
      </c>
      <c r="FE267" s="423" t="str">
        <f t="shared" si="1530"/>
        <v>#ERROR!</v>
      </c>
      <c r="FF267" s="423" t="str">
        <f t="shared" si="1530"/>
        <v>#ERROR!</v>
      </c>
      <c r="FG267" s="411"/>
      <c r="FH267" s="423"/>
      <c r="FI267" s="423"/>
      <c r="FJ267" s="423"/>
      <c r="FK267" s="424"/>
      <c r="FL267" s="423"/>
    </row>
    <row r="268" ht="12.75" hidden="1" customHeight="1" outlineLevel="1">
      <c r="A268" s="421"/>
      <c r="B268" s="84" t="s">
        <v>151</v>
      </c>
      <c r="C268" s="422"/>
      <c r="D268" s="423"/>
      <c r="E268" s="423"/>
      <c r="F268" s="423"/>
      <c r="G268" s="423"/>
      <c r="H268" s="424"/>
      <c r="I268" s="423"/>
      <c r="J268" s="423"/>
      <c r="K268" s="423"/>
      <c r="L268" s="423"/>
      <c r="M268" s="424"/>
      <c r="N268" s="423"/>
      <c r="O268" s="423"/>
      <c r="P268" s="423"/>
      <c r="Q268" s="423"/>
      <c r="R268" s="424"/>
      <c r="S268" s="423"/>
      <c r="T268" s="423"/>
      <c r="U268" s="423"/>
      <c r="V268" s="423"/>
      <c r="W268" s="424"/>
      <c r="X268" s="423"/>
      <c r="Y268" s="423"/>
      <c r="Z268" s="423"/>
      <c r="AA268" s="423"/>
      <c r="AB268" s="424"/>
      <c r="AC268" s="423"/>
      <c r="AD268" s="423"/>
      <c r="AE268" s="423"/>
      <c r="AF268" s="423"/>
      <c r="AG268" s="424"/>
      <c r="AH268" s="423"/>
      <c r="AI268" s="423"/>
      <c r="AJ268" s="423"/>
      <c r="AK268" s="423"/>
      <c r="AL268" s="424"/>
      <c r="AM268" s="423"/>
      <c r="AN268" s="423"/>
      <c r="AO268" s="423"/>
      <c r="AP268" s="423"/>
      <c r="AQ268" s="424"/>
      <c r="AR268" s="423"/>
      <c r="AS268" s="423"/>
      <c r="AT268" s="423"/>
      <c r="AU268" s="423"/>
      <c r="AV268" s="424"/>
      <c r="AW268" s="423"/>
      <c r="AX268" s="423"/>
      <c r="AY268" s="423"/>
      <c r="AZ268" s="423"/>
      <c r="BA268" s="424"/>
      <c r="BB268" s="423"/>
      <c r="BC268" s="423"/>
      <c r="BD268" s="423"/>
      <c r="BE268" s="423"/>
      <c r="BF268" s="424"/>
      <c r="BG268" s="423"/>
      <c r="BH268" s="423"/>
      <c r="BI268" s="423"/>
      <c r="BJ268" s="423"/>
      <c r="BK268" s="424"/>
      <c r="BL268" s="423"/>
      <c r="BM268" s="423"/>
      <c r="BN268" s="423"/>
      <c r="BO268" s="423"/>
      <c r="BP268" s="424"/>
      <c r="BQ268" s="423"/>
      <c r="BR268" s="423"/>
      <c r="BS268" s="423"/>
      <c r="BT268" s="423"/>
      <c r="BU268" s="424"/>
      <c r="BV268" s="423"/>
      <c r="BW268" s="423"/>
      <c r="BX268" s="423"/>
      <c r="BY268" s="423"/>
      <c r="BZ268" s="24"/>
      <c r="CA268" s="423"/>
      <c r="CB268" s="423"/>
      <c r="CC268" s="423"/>
      <c r="CD268" s="423"/>
      <c r="CE268" s="411"/>
      <c r="CF268" s="423"/>
      <c r="CG268" s="423"/>
      <c r="CH268" s="423"/>
      <c r="CI268" s="423"/>
      <c r="CJ268" s="411"/>
      <c r="CK268" s="423"/>
      <c r="CL268" s="423"/>
      <c r="CM268" s="423"/>
      <c r="CN268" s="423"/>
      <c r="CO268" s="411"/>
      <c r="CP268" s="423"/>
      <c r="CQ268" s="423"/>
      <c r="CR268" s="423"/>
      <c r="CS268" s="423"/>
      <c r="CT268" s="411"/>
      <c r="CU268" s="423"/>
      <c r="CV268" s="423"/>
      <c r="CW268" s="423"/>
      <c r="CX268" s="423"/>
      <c r="CY268" s="411"/>
      <c r="CZ268" s="423">
        <f t="shared" ref="CZ268:DC268" si="1531">AVERAGE(CP267,CU267,CZ267)</f>
        <v>-0.120393357</v>
      </c>
      <c r="DA268" s="423">
        <f t="shared" si="1531"/>
        <v>0.02150418146</v>
      </c>
      <c r="DB268" s="423">
        <f t="shared" si="1531"/>
        <v>0.131531877</v>
      </c>
      <c r="DC268" s="423">
        <f t="shared" si="1531"/>
        <v>0.006894503523</v>
      </c>
      <c r="DD268" s="313"/>
      <c r="DE268" s="423">
        <f t="shared" ref="DE268:DH268" si="1532">AVERAGE(CU267,CZ267,DE267)</f>
        <v>-0.1424147006</v>
      </c>
      <c r="DF268" s="423">
        <f t="shared" si="1532"/>
        <v>0.005843871516</v>
      </c>
      <c r="DG268" s="423">
        <f t="shared" si="1532"/>
        <v>0.1397058719</v>
      </c>
      <c r="DH268" s="423">
        <f t="shared" si="1532"/>
        <v>0.0222178901</v>
      </c>
      <c r="DI268" s="313"/>
      <c r="DJ268" s="423">
        <f t="shared" ref="DJ268:DM268" si="1533">AVERAGE(CZ267,DE267,DJ267)</f>
        <v>-0.1153745562</v>
      </c>
      <c r="DK268" s="423">
        <f t="shared" si="1533"/>
        <v>0.02005252702</v>
      </c>
      <c r="DL268" s="423">
        <f t="shared" si="1533"/>
        <v>0.1556245708</v>
      </c>
      <c r="DM268" s="423">
        <f t="shared" si="1533"/>
        <v>-0.0009984371493</v>
      </c>
      <c r="DN268" s="313"/>
      <c r="DO268" s="423">
        <f t="shared" ref="DO268:DR268" si="1534">AVERAGE(DE267,DJ267,DO267)</f>
        <v>-0.1113717624</v>
      </c>
      <c r="DP268" s="423">
        <f t="shared" si="1534"/>
        <v>0.03926927128</v>
      </c>
      <c r="DQ268" s="423">
        <f t="shared" si="1534"/>
        <v>0.117759442</v>
      </c>
      <c r="DR268" s="423">
        <f t="shared" si="1534"/>
        <v>0.0004512267012</v>
      </c>
      <c r="DS268" s="313"/>
      <c r="DT268" s="423">
        <f t="shared" ref="DT268:DW268" si="1535">AVERAGE(DJ267,DO267,DT267)</f>
        <v>-0.07709700371</v>
      </c>
      <c r="DU268" s="423">
        <f t="shared" si="1535"/>
        <v>0.01985049064</v>
      </c>
      <c r="DV268" s="423">
        <f t="shared" si="1535"/>
        <v>0.1038212366</v>
      </c>
      <c r="DW268" s="423">
        <f t="shared" si="1535"/>
        <v>0.03388030637</v>
      </c>
      <c r="DX268" s="411"/>
      <c r="DY268" s="423">
        <f t="shared" ref="DY268:EB268" si="1536">AVERAGE(DO267,DT267,DY267)</f>
        <v>-0.05994981003</v>
      </c>
      <c r="DZ268" s="423">
        <f t="shared" si="1536"/>
        <v>-0.01520435999</v>
      </c>
      <c r="EA268" s="423">
        <f t="shared" si="1536"/>
        <v>0.03037389692</v>
      </c>
      <c r="EB268" s="423">
        <f t="shared" si="1536"/>
        <v>0.06347650396</v>
      </c>
      <c r="EC268" s="411"/>
      <c r="ED268" s="423">
        <f t="shared" ref="ED268:EG268" si="1537">AVERAGE(DT267,DY267,ED267)</f>
        <v>-0.03951756292</v>
      </c>
      <c r="EE268" s="423" t="str">
        <f t="shared" si="1537"/>
        <v>#ERROR!</v>
      </c>
      <c r="EF268" s="423" t="str">
        <f t="shared" si="1537"/>
        <v>#ERROR!</v>
      </c>
      <c r="EG268" s="423" t="str">
        <f t="shared" si="1537"/>
        <v>#ERROR!</v>
      </c>
      <c r="EH268" s="411"/>
      <c r="EI268" s="82" t="str">
        <f t="shared" ref="EI268:EL268" si="1538">AVERAGE(DY267,ED267,EI267)</f>
        <v>#ERROR!</v>
      </c>
      <c r="EJ268" s="423" t="str">
        <f t="shared" si="1538"/>
        <v>#ERROR!</v>
      </c>
      <c r="EK268" s="423" t="str">
        <f t="shared" si="1538"/>
        <v>#ERROR!</v>
      </c>
      <c r="EL268" s="423" t="str">
        <f t="shared" si="1538"/>
        <v>#ERROR!</v>
      </c>
      <c r="EM268" s="411"/>
      <c r="EN268" s="423" t="str">
        <f t="shared" ref="EN268:EQ268" si="1539">AVERAGE(ED267,EI267,EN267)</f>
        <v>#ERROR!</v>
      </c>
      <c r="EO268" s="423" t="str">
        <f t="shared" si="1539"/>
        <v>#ERROR!</v>
      </c>
      <c r="EP268" s="423" t="str">
        <f t="shared" si="1539"/>
        <v>#ERROR!</v>
      </c>
      <c r="EQ268" s="423" t="str">
        <f t="shared" si="1539"/>
        <v>#ERROR!</v>
      </c>
      <c r="ER268" s="411"/>
      <c r="ES268" s="423" t="str">
        <f t="shared" ref="ES268:EV268" si="1540">AVERAGE(EI267,EN267,ES267)</f>
        <v>#ERROR!</v>
      </c>
      <c r="ET268" s="423" t="str">
        <f t="shared" si="1540"/>
        <v>#ERROR!</v>
      </c>
      <c r="EU268" s="423" t="str">
        <f t="shared" si="1540"/>
        <v>#ERROR!</v>
      </c>
      <c r="EV268" s="423" t="str">
        <f t="shared" si="1540"/>
        <v>#ERROR!</v>
      </c>
      <c r="EW268" s="411"/>
      <c r="EX268" s="423" t="str">
        <f t="shared" ref="EX268:FA268" si="1541">AVERAGE(EN267,ES267,EX267)</f>
        <v>#ERROR!</v>
      </c>
      <c r="EY268" s="423" t="str">
        <f t="shared" si="1541"/>
        <v>#ERROR!</v>
      </c>
      <c r="EZ268" s="423" t="str">
        <f t="shared" si="1541"/>
        <v>#ERROR!</v>
      </c>
      <c r="FA268" s="423" t="str">
        <f t="shared" si="1541"/>
        <v>#ERROR!</v>
      </c>
      <c r="FB268" s="411"/>
      <c r="FC268" s="423" t="str">
        <f t="shared" ref="FC268:FF268" si="1542">AVERAGE(ES267,EX267,FC267)</f>
        <v>#ERROR!</v>
      </c>
      <c r="FD268" s="423" t="str">
        <f t="shared" si="1542"/>
        <v>#ERROR!</v>
      </c>
      <c r="FE268" s="423" t="str">
        <f t="shared" si="1542"/>
        <v>#ERROR!</v>
      </c>
      <c r="FF268" s="423" t="str">
        <f t="shared" si="1542"/>
        <v>#ERROR!</v>
      </c>
      <c r="FG268" s="411"/>
      <c r="FH268" s="423"/>
      <c r="FI268" s="423"/>
      <c r="FJ268" s="423"/>
      <c r="FK268" s="424"/>
      <c r="FL268" s="423"/>
    </row>
    <row r="269" ht="12.75" hidden="1" customHeight="1" outlineLevel="1">
      <c r="A269" s="421"/>
      <c r="B269" s="215" t="s">
        <v>195</v>
      </c>
      <c r="C269" s="45"/>
      <c r="D269" s="15"/>
      <c r="E269" s="15"/>
      <c r="F269" s="15"/>
      <c r="G269" s="15"/>
      <c r="H269" s="410"/>
      <c r="I269" s="15"/>
      <c r="J269" s="15"/>
      <c r="K269" s="15"/>
      <c r="L269" s="15"/>
      <c r="M269" s="410"/>
      <c r="N269" s="15"/>
      <c r="O269" s="15"/>
      <c r="P269" s="15"/>
      <c r="Q269" s="15"/>
      <c r="R269" s="410"/>
      <c r="S269" s="15"/>
      <c r="T269" s="15"/>
      <c r="U269" s="15"/>
      <c r="V269" s="15"/>
      <c r="W269" s="410"/>
      <c r="X269" s="15"/>
      <c r="Y269" s="15"/>
      <c r="Z269" s="15"/>
      <c r="AA269" s="15"/>
      <c r="AB269" s="410"/>
      <c r="AC269" s="15"/>
      <c r="AD269" s="15"/>
      <c r="AE269" s="15"/>
      <c r="AF269" s="15"/>
      <c r="AG269" s="410"/>
      <c r="AH269" s="15"/>
      <c r="AI269" s="15"/>
      <c r="AJ269" s="15"/>
      <c r="AK269" s="15"/>
      <c r="AL269" s="410"/>
      <c r="AM269" s="15"/>
      <c r="AN269" s="15"/>
      <c r="AO269" s="15"/>
      <c r="AP269" s="15"/>
      <c r="AQ269" s="410"/>
      <c r="AR269" s="15"/>
      <c r="AS269" s="15"/>
      <c r="AT269" s="15"/>
      <c r="AU269" s="15"/>
      <c r="AV269" s="410"/>
      <c r="AW269" s="15"/>
      <c r="AX269" s="15"/>
      <c r="AY269" s="15"/>
      <c r="AZ269" s="15"/>
      <c r="BA269" s="410"/>
      <c r="BB269" s="15"/>
      <c r="BC269" s="15"/>
      <c r="BD269" s="15"/>
      <c r="BE269" s="15"/>
      <c r="BF269" s="410"/>
      <c r="BG269" s="15"/>
      <c r="BH269" s="15"/>
      <c r="BI269" s="15"/>
      <c r="BJ269" s="15"/>
      <c r="BK269" s="410"/>
      <c r="BL269" s="15"/>
      <c r="BM269" s="15"/>
      <c r="BN269" s="15"/>
      <c r="BO269" s="15"/>
      <c r="BP269" s="410"/>
      <c r="BQ269" s="15"/>
      <c r="BR269" s="15"/>
      <c r="BS269" s="15"/>
      <c r="BT269" s="15"/>
      <c r="BU269" s="410"/>
      <c r="BV269" s="15"/>
      <c r="BW269" s="15"/>
      <c r="BX269" s="15"/>
      <c r="BY269" s="15"/>
      <c r="BZ269" s="24"/>
      <c r="CA269" s="15"/>
      <c r="CB269" s="15"/>
      <c r="CC269" s="15"/>
      <c r="CD269" s="15"/>
      <c r="CE269" s="24"/>
      <c r="CF269" s="15"/>
      <c r="CG269" s="15"/>
      <c r="CH269" s="15"/>
      <c r="CI269" s="15"/>
      <c r="CJ269" s="24"/>
      <c r="CK269" s="15"/>
      <c r="CL269" s="15"/>
      <c r="CM269" s="15"/>
      <c r="CN269" s="40"/>
      <c r="CO269" s="24"/>
      <c r="CP269" s="427" t="str">
        <f t="shared" ref="CP269:CS269" si="1543">CP273+CP309</f>
        <v>#ERROR!</v>
      </c>
      <c r="CQ269" s="427" t="str">
        <f t="shared" si="1543"/>
        <v>#ERROR!</v>
      </c>
      <c r="CR269" s="427" t="str">
        <f t="shared" si="1543"/>
        <v>#ERROR!</v>
      </c>
      <c r="CS269" s="427" t="str">
        <f t="shared" si="1543"/>
        <v>#ERROR!</v>
      </c>
      <c r="CT269" s="363" t="str">
        <f>SUM(CP269:CS269)</f>
        <v>#ERROR!</v>
      </c>
      <c r="CU269" s="427" t="str">
        <f t="shared" ref="CU269:CX269" si="1544">CU273+CU309</f>
        <v>#ERROR!</v>
      </c>
      <c r="CV269" s="427" t="str">
        <f t="shared" si="1544"/>
        <v>#ERROR!</v>
      </c>
      <c r="CW269" s="427" t="str">
        <f t="shared" si="1544"/>
        <v>#ERROR!</v>
      </c>
      <c r="CX269" s="427" t="str">
        <f t="shared" si="1544"/>
        <v>#ERROR!</v>
      </c>
      <c r="CY269" s="363" t="str">
        <f>SUM(CU269:CX269)</f>
        <v>#ERROR!</v>
      </c>
      <c r="CZ269" s="427" t="str">
        <f t="shared" ref="CZ269:DC269" si="1545">CZ273+CZ309</f>
        <v>#ERROR!</v>
      </c>
      <c r="DA269" s="427" t="str">
        <f t="shared" si="1545"/>
        <v>#ERROR!</v>
      </c>
      <c r="DB269" s="427" t="str">
        <f t="shared" si="1545"/>
        <v>#ERROR!</v>
      </c>
      <c r="DC269" s="427" t="str">
        <f t="shared" si="1545"/>
        <v>#ERROR!</v>
      </c>
      <c r="DD269" s="363" t="str">
        <f>SUM(CZ269:DC269)</f>
        <v>#ERROR!</v>
      </c>
      <c r="DE269" s="427" t="str">
        <f t="shared" ref="DE269:DH269" si="1546">DE273+DE309</f>
        <v>#ERROR!</v>
      </c>
      <c r="DF269" s="427" t="str">
        <f t="shared" si="1546"/>
        <v>#ERROR!</v>
      </c>
      <c r="DG269" s="427" t="str">
        <f t="shared" si="1546"/>
        <v>#ERROR!</v>
      </c>
      <c r="DH269" s="427" t="str">
        <f t="shared" si="1546"/>
        <v>#ERROR!</v>
      </c>
      <c r="DI269" s="363" t="str">
        <f>SUM(DE269:DH269)</f>
        <v>#ERROR!</v>
      </c>
      <c r="DJ269" s="36" t="str">
        <f t="shared" ref="DJ269:DK269" si="1547">DJ273+DJ309</f>
        <v>#ERROR!</v>
      </c>
      <c r="DK269" s="36" t="str">
        <f t="shared" si="1547"/>
        <v>#ERROR!</v>
      </c>
      <c r="DL269" s="36">
        <v>9023.0</v>
      </c>
      <c r="DM269" s="36">
        <v>8531.0</v>
      </c>
      <c r="DN269" s="363" t="str">
        <f>SUM(DJ269:DM269)</f>
        <v>#ERROR!</v>
      </c>
      <c r="DO269" s="36">
        <v>7824.0</v>
      </c>
      <c r="DP269" s="36">
        <v>7925.0</v>
      </c>
      <c r="DQ269" s="36">
        <v>8379.0</v>
      </c>
      <c r="DR269" s="36">
        <v>8553.0</v>
      </c>
      <c r="DS269" s="363">
        <f>SUM(DO269:DR269)</f>
        <v>32681</v>
      </c>
      <c r="DT269" s="36">
        <v>8712.0</v>
      </c>
      <c r="DU269" s="36">
        <v>8229.0</v>
      </c>
      <c r="DV269" s="36">
        <v>8762.0</v>
      </c>
      <c r="DW269" s="36">
        <v>9939.0</v>
      </c>
      <c r="DX269" s="363">
        <f>SUM(DT269:DW269)</f>
        <v>35642</v>
      </c>
      <c r="DY269" s="36">
        <v>9617.0</v>
      </c>
      <c r="DZ269" s="36">
        <v>9397.0</v>
      </c>
      <c r="EA269" s="36">
        <v>8954.0</v>
      </c>
      <c r="EB269" s="36">
        <v>9408.0</v>
      </c>
      <c r="EC269" s="363">
        <f>SUM(DY269:EB269)</f>
        <v>37376</v>
      </c>
      <c r="ED269" s="36">
        <v>9478.983655003885</v>
      </c>
      <c r="EE269" s="36" t="str">
        <f t="shared" ref="EE269:EG269" si="1548">EE273+EE309</f>
        <v>#ERROR!</v>
      </c>
      <c r="EF269" s="36" t="str">
        <f t="shared" si="1548"/>
        <v>#ERROR!</v>
      </c>
      <c r="EG269" s="36" t="str">
        <f t="shared" si="1548"/>
        <v>#ERROR!</v>
      </c>
      <c r="EH269" s="363" t="str">
        <f>SUM(ED269:EG269)</f>
        <v>#ERROR!</v>
      </c>
      <c r="EI269" s="428" t="str">
        <f t="shared" ref="EI269:EL269" si="1549">EI273+EI309</f>
        <v>#ERROR!</v>
      </c>
      <c r="EJ269" s="427" t="str">
        <f t="shared" si="1549"/>
        <v>#ERROR!</v>
      </c>
      <c r="EK269" s="427" t="str">
        <f t="shared" si="1549"/>
        <v>#ERROR!</v>
      </c>
      <c r="EL269" s="427" t="str">
        <f t="shared" si="1549"/>
        <v>#ERROR!</v>
      </c>
      <c r="EM269" s="363" t="str">
        <f>SUM(EI269:EL269)</f>
        <v>#ERROR!</v>
      </c>
      <c r="EN269" s="427" t="str">
        <f t="shared" ref="EN269:EQ269" si="1550">EN273+EN309</f>
        <v>#ERROR!</v>
      </c>
      <c r="EO269" s="427" t="str">
        <f t="shared" si="1550"/>
        <v>#ERROR!</v>
      </c>
      <c r="EP269" s="427" t="str">
        <f t="shared" si="1550"/>
        <v>#ERROR!</v>
      </c>
      <c r="EQ269" s="427" t="str">
        <f t="shared" si="1550"/>
        <v>#ERROR!</v>
      </c>
      <c r="ER269" s="363" t="str">
        <f>SUM(EN269:EQ269)</f>
        <v>#ERROR!</v>
      </c>
      <c r="ES269" s="427" t="str">
        <f t="shared" ref="ES269:EV269" si="1551">ES273+ES309</f>
        <v>#ERROR!</v>
      </c>
      <c r="ET269" s="427" t="str">
        <f t="shared" si="1551"/>
        <v>#ERROR!</v>
      </c>
      <c r="EU269" s="427" t="str">
        <f t="shared" si="1551"/>
        <v>#ERROR!</v>
      </c>
      <c r="EV269" s="427" t="str">
        <f t="shared" si="1551"/>
        <v>#ERROR!</v>
      </c>
      <c r="EW269" s="363" t="str">
        <f>SUM(ES269:EV269)</f>
        <v>#ERROR!</v>
      </c>
      <c r="EX269" s="427" t="str">
        <f t="shared" ref="EX269:FA269" si="1552">EX273+EX309</f>
        <v>#ERROR!</v>
      </c>
      <c r="EY269" s="427" t="str">
        <f t="shared" si="1552"/>
        <v>#ERROR!</v>
      </c>
      <c r="EZ269" s="427" t="str">
        <f t="shared" si="1552"/>
        <v>#ERROR!</v>
      </c>
      <c r="FA269" s="427" t="str">
        <f t="shared" si="1552"/>
        <v>#ERROR!</v>
      </c>
      <c r="FB269" s="363" t="str">
        <f>SUM(EX269:FA269)</f>
        <v>#ERROR!</v>
      </c>
      <c r="FC269" s="427" t="str">
        <f t="shared" ref="FC269:FF269" si="1553">FC273+FC309</f>
        <v>#ERROR!</v>
      </c>
      <c r="FD269" s="427" t="str">
        <f t="shared" si="1553"/>
        <v>#ERROR!</v>
      </c>
      <c r="FE269" s="427" t="str">
        <f t="shared" si="1553"/>
        <v>#ERROR!</v>
      </c>
      <c r="FF269" s="427" t="str">
        <f t="shared" si="1553"/>
        <v>#ERROR!</v>
      </c>
      <c r="FG269" s="363" t="str">
        <f>SUM(FC269:FF269)</f>
        <v>#ERROR!</v>
      </c>
      <c r="FH269" s="364"/>
      <c r="FI269" s="15"/>
      <c r="FJ269" s="15"/>
      <c r="FK269" s="410"/>
      <c r="FL269" s="15"/>
    </row>
    <row r="270" ht="12.75" hidden="1" customHeight="1" outlineLevel="1">
      <c r="A270" s="421"/>
      <c r="B270" s="72" t="s">
        <v>146</v>
      </c>
      <c r="C270" s="45"/>
      <c r="D270" s="15"/>
      <c r="E270" s="15"/>
      <c r="F270" s="15"/>
      <c r="G270" s="15"/>
      <c r="H270" s="410"/>
      <c r="I270" s="15"/>
      <c r="J270" s="15"/>
      <c r="K270" s="15"/>
      <c r="L270" s="15"/>
      <c r="M270" s="410"/>
      <c r="N270" s="15"/>
      <c r="O270" s="15"/>
      <c r="P270" s="15"/>
      <c r="Q270" s="15"/>
      <c r="R270" s="410"/>
      <c r="S270" s="15"/>
      <c r="T270" s="15"/>
      <c r="U270" s="15"/>
      <c r="V270" s="15"/>
      <c r="W270" s="410"/>
      <c r="X270" s="15"/>
      <c r="Y270" s="15"/>
      <c r="Z270" s="15"/>
      <c r="AA270" s="15"/>
      <c r="AB270" s="410"/>
      <c r="AC270" s="15"/>
      <c r="AD270" s="15"/>
      <c r="AE270" s="15"/>
      <c r="AF270" s="15"/>
      <c r="AG270" s="410"/>
      <c r="AH270" s="15"/>
      <c r="AI270" s="15"/>
      <c r="AJ270" s="15"/>
      <c r="AK270" s="15"/>
      <c r="AL270" s="410"/>
      <c r="AM270" s="15"/>
      <c r="AN270" s="15"/>
      <c r="AO270" s="15"/>
      <c r="AP270" s="15"/>
      <c r="AQ270" s="410"/>
      <c r="AR270" s="15"/>
      <c r="AS270" s="15"/>
      <c r="AT270" s="15"/>
      <c r="AU270" s="15"/>
      <c r="AV270" s="410"/>
      <c r="AW270" s="15"/>
      <c r="AX270" s="15"/>
      <c r="AY270" s="15"/>
      <c r="AZ270" s="15"/>
      <c r="BA270" s="410"/>
      <c r="BB270" s="15"/>
      <c r="BC270" s="15"/>
      <c r="BD270" s="15"/>
      <c r="BE270" s="15"/>
      <c r="BF270" s="410"/>
      <c r="BG270" s="15"/>
      <c r="BH270" s="15"/>
      <c r="BI270" s="15"/>
      <c r="BJ270" s="15"/>
      <c r="BK270" s="410"/>
      <c r="BL270" s="15"/>
      <c r="BM270" s="15"/>
      <c r="BN270" s="15"/>
      <c r="BO270" s="15"/>
      <c r="BP270" s="410"/>
      <c r="BQ270" s="15"/>
      <c r="BR270" s="15"/>
      <c r="BS270" s="15"/>
      <c r="BT270" s="15"/>
      <c r="BU270" s="410"/>
      <c r="BV270" s="15"/>
      <c r="BW270" s="15"/>
      <c r="BX270" s="15"/>
      <c r="BY270" s="15"/>
      <c r="BZ270" s="24"/>
      <c r="CA270" s="15"/>
      <c r="CB270" s="15"/>
      <c r="CC270" s="15"/>
      <c r="CD270" s="15"/>
      <c r="CE270" s="24"/>
      <c r="CF270" s="15"/>
      <c r="CG270" s="15"/>
      <c r="CH270" s="15"/>
      <c r="CI270" s="15"/>
      <c r="CJ270" s="24"/>
      <c r="CK270" s="15"/>
      <c r="CL270" s="15"/>
      <c r="CM270" s="15"/>
      <c r="CN270" s="40"/>
      <c r="CO270" s="24"/>
      <c r="CP270" s="427"/>
      <c r="CQ270" s="427"/>
      <c r="CR270" s="427"/>
      <c r="CS270" s="427"/>
      <c r="CT270" s="363"/>
      <c r="CU270" s="427"/>
      <c r="CV270" s="427"/>
      <c r="CW270" s="427"/>
      <c r="CX270" s="427"/>
      <c r="CY270" s="411" t="str">
        <f>CY269/CT269-1</f>
        <v>#ERROR!</v>
      </c>
      <c r="CZ270" s="427"/>
      <c r="DA270" s="427"/>
      <c r="DB270" s="427"/>
      <c r="DC270" s="427"/>
      <c r="DD270" s="411" t="str">
        <f>DD269/CY269-1</f>
        <v>#ERROR!</v>
      </c>
      <c r="DE270" s="427"/>
      <c r="DF270" s="427"/>
      <c r="DG270" s="427"/>
      <c r="DH270" s="427"/>
      <c r="DI270" s="411" t="str">
        <f>DI269/DD269-1</f>
        <v>#ERROR!</v>
      </c>
      <c r="DJ270" s="327">
        <f t="shared" ref="DJ270:DM270" si="1554">DJ265/DE265-1</f>
        <v>0.03059177533</v>
      </c>
      <c r="DK270" s="327">
        <f t="shared" si="1554"/>
        <v>0.05929623767</v>
      </c>
      <c r="DL270" s="327">
        <f t="shared" si="1554"/>
        <v>0.1550790068</v>
      </c>
      <c r="DM270" s="327">
        <f t="shared" si="1554"/>
        <v>0.09693991512</v>
      </c>
      <c r="DN270" s="429" t="str">
        <f t="shared" ref="DN270:ED270" si="1555">DN269/DI269-1</f>
        <v>#ERROR!</v>
      </c>
      <c r="DO270" s="327" t="str">
        <f t="shared" si="1555"/>
        <v>#ERROR!</v>
      </c>
      <c r="DP270" s="327" t="str">
        <f t="shared" si="1555"/>
        <v>#ERROR!</v>
      </c>
      <c r="DQ270" s="327">
        <f t="shared" si="1555"/>
        <v>-0.07137315749</v>
      </c>
      <c r="DR270" s="327">
        <f t="shared" si="1555"/>
        <v>0.002578830149</v>
      </c>
      <c r="DS270" s="429" t="str">
        <f t="shared" si="1555"/>
        <v>#ERROR!</v>
      </c>
      <c r="DT270" s="327">
        <f t="shared" si="1555"/>
        <v>0.1134969325</v>
      </c>
      <c r="DU270" s="327">
        <f t="shared" si="1555"/>
        <v>0.03835962145</v>
      </c>
      <c r="DV270" s="327">
        <f t="shared" si="1555"/>
        <v>0.04570951187</v>
      </c>
      <c r="DW270" s="327">
        <f t="shared" si="1555"/>
        <v>0.1620484041</v>
      </c>
      <c r="DX270" s="429">
        <f t="shared" si="1555"/>
        <v>0.09060310272</v>
      </c>
      <c r="DY270" s="327">
        <f t="shared" si="1555"/>
        <v>0.1038797062</v>
      </c>
      <c r="DZ270" s="327">
        <f t="shared" si="1555"/>
        <v>0.1419370519</v>
      </c>
      <c r="EA270" s="327">
        <f t="shared" si="1555"/>
        <v>0.0219128053</v>
      </c>
      <c r="EB270" s="327">
        <f t="shared" si="1555"/>
        <v>-0.05342589798</v>
      </c>
      <c r="EC270" s="313">
        <f t="shared" si="1555"/>
        <v>0.04865046855</v>
      </c>
      <c r="ED270" s="327">
        <f t="shared" si="1555"/>
        <v>-0.01435128886</v>
      </c>
      <c r="EE270" s="327"/>
      <c r="EF270" s="327"/>
      <c r="EG270" s="327"/>
      <c r="EH270" s="429" t="str">
        <f>EH269/EC269-1</f>
        <v>#ERROR!</v>
      </c>
      <c r="EI270" s="428"/>
      <c r="EJ270" s="427"/>
      <c r="EK270" s="427"/>
      <c r="EL270" s="427"/>
      <c r="EM270" s="429" t="str">
        <f>EM269/EH269-1</f>
        <v>#ERROR!</v>
      </c>
      <c r="EN270" s="427"/>
      <c r="EO270" s="427"/>
      <c r="EP270" s="427"/>
      <c r="EQ270" s="427"/>
      <c r="ER270" s="429" t="str">
        <f>ER269/EM269-1</f>
        <v>#ERROR!</v>
      </c>
      <c r="ES270" s="427"/>
      <c r="ET270" s="427"/>
      <c r="EU270" s="427"/>
      <c r="EV270" s="427"/>
      <c r="EW270" s="429" t="str">
        <f>EW269/ER269-1</f>
        <v>#ERROR!</v>
      </c>
      <c r="EX270" s="427"/>
      <c r="EY270" s="427"/>
      <c r="EZ270" s="427"/>
      <c r="FA270" s="427"/>
      <c r="FB270" s="429" t="str">
        <f>FB269/EW269-1</f>
        <v>#ERROR!</v>
      </c>
      <c r="FC270" s="427"/>
      <c r="FD270" s="427"/>
      <c r="FE270" s="427"/>
      <c r="FF270" s="427"/>
      <c r="FG270" s="429" t="str">
        <f>FG269/FB269-1</f>
        <v>#ERROR!</v>
      </c>
      <c r="FH270" s="327"/>
      <c r="FI270" s="15"/>
      <c r="FJ270" s="15"/>
      <c r="FK270" s="410"/>
      <c r="FL270" s="15"/>
    </row>
    <row r="271" ht="12.75" hidden="1" customHeight="1" outlineLevel="1">
      <c r="A271" s="421"/>
      <c r="B271" s="215" t="s">
        <v>196</v>
      </c>
      <c r="C271" s="45"/>
      <c r="D271" s="15"/>
      <c r="E271" s="15"/>
      <c r="F271" s="15"/>
      <c r="G271" s="15"/>
      <c r="H271" s="410"/>
      <c r="I271" s="15"/>
      <c r="J271" s="15"/>
      <c r="K271" s="15"/>
      <c r="L271" s="15"/>
      <c r="M271" s="410"/>
      <c r="N271" s="15"/>
      <c r="O271" s="15"/>
      <c r="P271" s="15"/>
      <c r="Q271" s="15"/>
      <c r="R271" s="410"/>
      <c r="S271" s="15"/>
      <c r="T271" s="15"/>
      <c r="U271" s="15"/>
      <c r="V271" s="15"/>
      <c r="W271" s="410"/>
      <c r="X271" s="15"/>
      <c r="Y271" s="15"/>
      <c r="Z271" s="15"/>
      <c r="AA271" s="15"/>
      <c r="AB271" s="410"/>
      <c r="AC271" s="15"/>
      <c r="AD271" s="15"/>
      <c r="AE271" s="15"/>
      <c r="AF271" s="15"/>
      <c r="AG271" s="410"/>
      <c r="AH271" s="15"/>
      <c r="AI271" s="15"/>
      <c r="AJ271" s="15"/>
      <c r="AK271" s="15"/>
      <c r="AL271" s="410"/>
      <c r="AM271" s="15"/>
      <c r="AN271" s="15"/>
      <c r="AO271" s="15"/>
      <c r="AP271" s="15"/>
      <c r="AQ271" s="410"/>
      <c r="AR271" s="15"/>
      <c r="AS271" s="15"/>
      <c r="AT271" s="15"/>
      <c r="AU271" s="15"/>
      <c r="AV271" s="410"/>
      <c r="AW271" s="15"/>
      <c r="AX271" s="15"/>
      <c r="AY271" s="15"/>
      <c r="AZ271" s="15"/>
      <c r="BA271" s="410"/>
      <c r="BB271" s="15"/>
      <c r="BC271" s="15"/>
      <c r="BD271" s="15"/>
      <c r="BE271" s="15"/>
      <c r="BF271" s="410"/>
      <c r="BG271" s="15"/>
      <c r="BH271" s="15"/>
      <c r="BI271" s="15"/>
      <c r="BJ271" s="15"/>
      <c r="BK271" s="410"/>
      <c r="BL271" s="15"/>
      <c r="BM271" s="15"/>
      <c r="BN271" s="15"/>
      <c r="BO271" s="15"/>
      <c r="BP271" s="410"/>
      <c r="BQ271" s="15"/>
      <c r="BR271" s="15"/>
      <c r="BS271" s="15"/>
      <c r="BT271" s="15"/>
      <c r="BU271" s="410"/>
      <c r="BV271" s="15"/>
      <c r="BW271" s="15"/>
      <c r="BX271" s="15"/>
      <c r="BY271" s="15"/>
      <c r="BZ271" s="24"/>
      <c r="CA271" s="15"/>
      <c r="CB271" s="15"/>
      <c r="CC271" s="15"/>
      <c r="CD271" s="15"/>
      <c r="CE271" s="24"/>
      <c r="CF271" s="15"/>
      <c r="CG271" s="15"/>
      <c r="CH271" s="15"/>
      <c r="CI271" s="15"/>
      <c r="CJ271" s="24"/>
      <c r="CK271" s="15"/>
      <c r="CL271" s="15"/>
      <c r="CM271" s="15"/>
      <c r="CN271" s="40"/>
      <c r="CO271" s="24"/>
      <c r="CP271" s="427">
        <f t="shared" ref="CP271:CS271" si="1556">CP321</f>
        <v>156</v>
      </c>
      <c r="CQ271" s="427">
        <f t="shared" si="1556"/>
        <v>51</v>
      </c>
      <c r="CR271" s="427">
        <f t="shared" si="1556"/>
        <v>101</v>
      </c>
      <c r="CS271" s="427">
        <f t="shared" si="1556"/>
        <v>-6</v>
      </c>
      <c r="CT271" s="363">
        <f>SUM(CP271:CS271)</f>
        <v>302</v>
      </c>
      <c r="CU271" s="427">
        <f t="shared" ref="CU271:CX271" si="1557">CU321</f>
        <v>-3.1</v>
      </c>
      <c r="CV271" s="427" t="str">
        <f t="shared" si="1557"/>
        <v>#ERROR!</v>
      </c>
      <c r="CW271" s="427" t="str">
        <f t="shared" si="1557"/>
        <v>#ERROR!</v>
      </c>
      <c r="CX271" s="427" t="str">
        <f t="shared" si="1557"/>
        <v>#ERROR!</v>
      </c>
      <c r="CY271" s="363" t="str">
        <f>SUM(CU271:CX271)</f>
        <v>#ERROR!</v>
      </c>
      <c r="CZ271" s="427" t="str">
        <f t="shared" ref="CZ271:DC271" si="1558">CZ321</f>
        <v>#ERROR!</v>
      </c>
      <c r="DA271" s="427" t="str">
        <f t="shared" si="1558"/>
        <v>#ERROR!</v>
      </c>
      <c r="DB271" s="427" t="str">
        <f t="shared" si="1558"/>
        <v>#ERROR!</v>
      </c>
      <c r="DC271" s="427" t="str">
        <f t="shared" si="1558"/>
        <v>#ERROR!</v>
      </c>
      <c r="DD271" s="363" t="str">
        <f>SUM(CZ271:DC271)</f>
        <v>#ERROR!</v>
      </c>
      <c r="DE271" s="427" t="str">
        <f t="shared" ref="DE271:DH271" si="1559">DE321</f>
        <v>#ERROR!</v>
      </c>
      <c r="DF271" s="427" t="str">
        <f t="shared" si="1559"/>
        <v>#ERROR!</v>
      </c>
      <c r="DG271" s="427" t="str">
        <f t="shared" si="1559"/>
        <v>#ERROR!</v>
      </c>
      <c r="DH271" s="427" t="str">
        <f t="shared" si="1559"/>
        <v>#ERROR!</v>
      </c>
      <c r="DI271" s="363" t="str">
        <f>SUM(DE271:DH271)</f>
        <v>#ERROR!</v>
      </c>
      <c r="DJ271" s="36" t="str">
        <f t="shared" ref="DJ271:DK271" si="1560">DJ321</f>
        <v>#ERROR!</v>
      </c>
      <c r="DK271" s="36" t="str">
        <f t="shared" si="1560"/>
        <v>#ERROR!</v>
      </c>
      <c r="DL271" s="36">
        <v>1211.0</v>
      </c>
      <c r="DM271" s="36">
        <v>1291.0</v>
      </c>
      <c r="DN271" s="363" t="str">
        <f>SUM(DJ271:DM271)</f>
        <v>#ERROR!</v>
      </c>
      <c r="DO271" s="36">
        <v>762.0</v>
      </c>
      <c r="DP271" s="36">
        <v>916.0</v>
      </c>
      <c r="DQ271" s="36">
        <v>1330.0</v>
      </c>
      <c r="DR271" s="430">
        <v>1457.0</v>
      </c>
      <c r="DS271" s="363">
        <f>SUM(DO271:DR271)</f>
        <v>4465</v>
      </c>
      <c r="DT271" s="36">
        <v>1063.0</v>
      </c>
      <c r="DU271" s="36">
        <v>1267.0</v>
      </c>
      <c r="DV271" s="36">
        <v>1085.0</v>
      </c>
      <c r="DW271" s="36">
        <v>1000.0</v>
      </c>
      <c r="DX271" s="363">
        <f>SUM(DT271:DW271)</f>
        <v>4415</v>
      </c>
      <c r="DY271" s="36">
        <v>988.0</v>
      </c>
      <c r="DZ271" s="36">
        <v>712.0</v>
      </c>
      <c r="EA271" s="36">
        <v>710.0</v>
      </c>
      <c r="EB271" s="36">
        <v>725.0</v>
      </c>
      <c r="EC271" s="363">
        <f>SUM(DY271:EB271)</f>
        <v>3135</v>
      </c>
      <c r="ED271" s="36">
        <v>0.0</v>
      </c>
      <c r="EE271" s="36">
        <v>0.0</v>
      </c>
      <c r="EF271" s="36">
        <v>0.0</v>
      </c>
      <c r="EG271" s="36">
        <v>0.0</v>
      </c>
      <c r="EH271" s="363">
        <f>SUM(ED271:EG271)</f>
        <v>0</v>
      </c>
      <c r="EI271" s="431">
        <v>0.0</v>
      </c>
      <c r="EJ271" s="432">
        <v>0.0</v>
      </c>
      <c r="EK271" s="432">
        <v>0.0</v>
      </c>
      <c r="EL271" s="432">
        <v>0.0</v>
      </c>
      <c r="EM271" s="363">
        <v>0.0</v>
      </c>
      <c r="EN271" s="432">
        <v>0.0</v>
      </c>
      <c r="EO271" s="432">
        <v>0.0</v>
      </c>
      <c r="EP271" s="432">
        <v>0.0</v>
      </c>
      <c r="EQ271" s="432">
        <v>0.0</v>
      </c>
      <c r="ER271" s="363">
        <v>0.0</v>
      </c>
      <c r="ES271" s="432">
        <v>0.0</v>
      </c>
      <c r="ET271" s="432">
        <v>0.0</v>
      </c>
      <c r="EU271" s="432">
        <v>0.0</v>
      </c>
      <c r="EV271" s="432">
        <v>0.0</v>
      </c>
      <c r="EW271" s="363">
        <v>0.0</v>
      </c>
      <c r="EX271" s="432">
        <v>0.0</v>
      </c>
      <c r="EY271" s="432">
        <v>0.0</v>
      </c>
      <c r="EZ271" s="432">
        <v>0.0</v>
      </c>
      <c r="FA271" s="432">
        <v>0.0</v>
      </c>
      <c r="FB271" s="363">
        <v>0.0</v>
      </c>
      <c r="FC271" s="432">
        <v>0.0</v>
      </c>
      <c r="FD271" s="432">
        <v>0.0</v>
      </c>
      <c r="FE271" s="432">
        <v>0.0</v>
      </c>
      <c r="FF271" s="432">
        <v>0.0</v>
      </c>
      <c r="FG271" s="363">
        <v>0.0</v>
      </c>
      <c r="FH271" s="364"/>
      <c r="FI271" s="15"/>
      <c r="FJ271" s="15"/>
      <c r="FK271" s="410"/>
      <c r="FL271" s="15"/>
    </row>
    <row r="272" ht="12.75" hidden="1" customHeight="1" outlineLevel="1">
      <c r="A272" s="421"/>
      <c r="B272" s="215"/>
      <c r="C272" s="45"/>
      <c r="D272" s="15"/>
      <c r="E272" s="15"/>
      <c r="F272" s="15"/>
      <c r="G272" s="15"/>
      <c r="H272" s="410"/>
      <c r="I272" s="15"/>
      <c r="J272" s="15"/>
      <c r="K272" s="15"/>
      <c r="L272" s="15"/>
      <c r="M272" s="410"/>
      <c r="N272" s="15"/>
      <c r="O272" s="15"/>
      <c r="P272" s="15"/>
      <c r="Q272" s="15"/>
      <c r="R272" s="410"/>
      <c r="S272" s="15"/>
      <c r="T272" s="15"/>
      <c r="U272" s="15"/>
      <c r="V272" s="15"/>
      <c r="W272" s="410"/>
      <c r="X272" s="15"/>
      <c r="Y272" s="15"/>
      <c r="Z272" s="15"/>
      <c r="AA272" s="15"/>
      <c r="AB272" s="410"/>
      <c r="AC272" s="15"/>
      <c r="AD272" s="15"/>
      <c r="AE272" s="15"/>
      <c r="AF272" s="15"/>
      <c r="AG272" s="410"/>
      <c r="AH272" s="15"/>
      <c r="AI272" s="15"/>
      <c r="AJ272" s="15"/>
      <c r="AK272" s="15"/>
      <c r="AL272" s="410"/>
      <c r="AM272" s="15"/>
      <c r="AN272" s="15"/>
      <c r="AO272" s="15"/>
      <c r="AP272" s="15"/>
      <c r="AQ272" s="410"/>
      <c r="AR272" s="15"/>
      <c r="AS272" s="15"/>
      <c r="AT272" s="15"/>
      <c r="AU272" s="15"/>
      <c r="AV272" s="410"/>
      <c r="AW272" s="15"/>
      <c r="AX272" s="15"/>
      <c r="AY272" s="15"/>
      <c r="AZ272" s="15"/>
      <c r="BA272" s="410"/>
      <c r="BB272" s="15"/>
      <c r="BC272" s="15"/>
      <c r="BD272" s="15"/>
      <c r="BE272" s="15"/>
      <c r="BF272" s="410"/>
      <c r="BG272" s="15"/>
      <c r="BH272" s="15"/>
      <c r="BI272" s="15"/>
      <c r="BJ272" s="15"/>
      <c r="BK272" s="410"/>
      <c r="BL272" s="15"/>
      <c r="BM272" s="15"/>
      <c r="BN272" s="15"/>
      <c r="BO272" s="15"/>
      <c r="BP272" s="410"/>
      <c r="BQ272" s="15"/>
      <c r="BR272" s="15"/>
      <c r="BS272" s="15"/>
      <c r="BT272" s="15"/>
      <c r="BU272" s="410"/>
      <c r="BV272" s="15"/>
      <c r="BW272" s="15"/>
      <c r="BX272" s="15"/>
      <c r="BY272" s="15"/>
      <c r="BZ272" s="24"/>
      <c r="CA272" s="15"/>
      <c r="CB272" s="15"/>
      <c r="CC272" s="15"/>
      <c r="CD272" s="15"/>
      <c r="CE272" s="24"/>
      <c r="CF272" s="15"/>
      <c r="CG272" s="15"/>
      <c r="CH272" s="15"/>
      <c r="CI272" s="15"/>
      <c r="CJ272" s="24"/>
      <c r="CK272" s="15"/>
      <c r="CL272" s="15"/>
      <c r="CM272" s="15"/>
      <c r="CN272" s="40"/>
      <c r="CO272" s="24"/>
      <c r="CP272" s="427"/>
      <c r="CQ272" s="427"/>
      <c r="CR272" s="427"/>
      <c r="CS272" s="427"/>
      <c r="CT272" s="363"/>
      <c r="CU272" s="427"/>
      <c r="CV272" s="427"/>
      <c r="CW272" s="427"/>
      <c r="CX272" s="427"/>
      <c r="CY272" s="363"/>
      <c r="CZ272" s="427"/>
      <c r="DA272" s="427"/>
      <c r="DB272" s="427"/>
      <c r="DC272" s="427"/>
      <c r="DD272" s="363"/>
      <c r="DE272" s="427"/>
      <c r="DF272" s="427"/>
      <c r="DG272" s="433"/>
      <c r="DH272" s="427"/>
      <c r="DI272" s="324" t="str">
        <f t="shared" ref="DI272:ED272" si="1561">DI271/DD271-1</f>
        <v>#ERROR!</v>
      </c>
      <c r="DJ272" s="382" t="str">
        <f t="shared" si="1561"/>
        <v>#ERROR!</v>
      </c>
      <c r="DK272" s="382" t="str">
        <f t="shared" si="1561"/>
        <v>#ERROR!</v>
      </c>
      <c r="DL272" s="382" t="str">
        <f t="shared" si="1561"/>
        <v>#ERROR!</v>
      </c>
      <c r="DM272" s="382" t="str">
        <f t="shared" si="1561"/>
        <v>#ERROR!</v>
      </c>
      <c r="DN272" s="324" t="str">
        <f t="shared" si="1561"/>
        <v>#ERROR!</v>
      </c>
      <c r="DO272" s="327" t="str">
        <f t="shared" si="1561"/>
        <v>#ERROR!</v>
      </c>
      <c r="DP272" s="327" t="str">
        <f t="shared" si="1561"/>
        <v>#ERROR!</v>
      </c>
      <c r="DQ272" s="327">
        <f t="shared" si="1561"/>
        <v>0.09826589595</v>
      </c>
      <c r="DR272" s="327">
        <f t="shared" si="1561"/>
        <v>0.1285824942</v>
      </c>
      <c r="DS272" s="324" t="str">
        <f t="shared" si="1561"/>
        <v>#ERROR!</v>
      </c>
      <c r="DT272" s="327">
        <f t="shared" si="1561"/>
        <v>0.3950131234</v>
      </c>
      <c r="DU272" s="327">
        <f t="shared" si="1561"/>
        <v>0.3831877729</v>
      </c>
      <c r="DV272" s="327">
        <f t="shared" si="1561"/>
        <v>-0.1842105263</v>
      </c>
      <c r="DW272" s="327">
        <f t="shared" si="1561"/>
        <v>-0.3136582018</v>
      </c>
      <c r="DX272" s="324">
        <f t="shared" si="1561"/>
        <v>-0.01119820829</v>
      </c>
      <c r="DY272" s="327">
        <f t="shared" si="1561"/>
        <v>-0.07055503293</v>
      </c>
      <c r="DZ272" s="327">
        <f t="shared" si="1561"/>
        <v>-0.4380426204</v>
      </c>
      <c r="EA272" s="327">
        <f t="shared" si="1561"/>
        <v>-0.3456221198</v>
      </c>
      <c r="EB272" s="327">
        <f t="shared" si="1561"/>
        <v>-0.275</v>
      </c>
      <c r="EC272" s="324">
        <f t="shared" si="1561"/>
        <v>-0.2899207248</v>
      </c>
      <c r="ED272" s="327">
        <f t="shared" si="1561"/>
        <v>-1</v>
      </c>
      <c r="EE272" s="327"/>
      <c r="EF272" s="327"/>
      <c r="EG272" s="327"/>
      <c r="EH272" s="324"/>
      <c r="EI272" s="381"/>
      <c r="EJ272" s="434"/>
      <c r="EK272" s="434"/>
      <c r="EL272" s="434"/>
      <c r="EM272" s="324"/>
      <c r="EN272" s="434"/>
      <c r="EO272" s="434"/>
      <c r="EP272" s="434"/>
      <c r="EQ272" s="434"/>
      <c r="ER272" s="324"/>
      <c r="ES272" s="434"/>
      <c r="ET272" s="434"/>
      <c r="EU272" s="434"/>
      <c r="EV272" s="434"/>
      <c r="EW272" s="324"/>
      <c r="EX272" s="434"/>
      <c r="EY272" s="434"/>
      <c r="EZ272" s="434"/>
      <c r="FA272" s="434"/>
      <c r="FB272" s="324"/>
      <c r="FC272" s="434"/>
      <c r="FD272" s="434"/>
      <c r="FE272" s="434"/>
      <c r="FF272" s="434"/>
      <c r="FG272" s="324"/>
      <c r="FH272" s="325"/>
      <c r="FI272" s="15"/>
      <c r="FJ272" s="15"/>
      <c r="FK272" s="410"/>
      <c r="FL272" s="15"/>
    </row>
    <row r="273" ht="12.75" hidden="1" customHeight="1" outlineLevel="1">
      <c r="A273" s="421"/>
      <c r="B273" s="72" t="s">
        <v>197</v>
      </c>
      <c r="C273" s="45"/>
      <c r="D273" s="17"/>
      <c r="E273" s="17"/>
      <c r="F273" s="17"/>
      <c r="G273" s="17"/>
      <c r="H273" s="73"/>
      <c r="I273" s="17"/>
      <c r="J273" s="17"/>
      <c r="K273" s="17"/>
      <c r="L273" s="17"/>
      <c r="M273" s="73"/>
      <c r="N273" s="17"/>
      <c r="O273" s="17"/>
      <c r="P273" s="17"/>
      <c r="Q273" s="17"/>
      <c r="R273" s="73"/>
      <c r="S273" s="17"/>
      <c r="T273" s="17"/>
      <c r="U273" s="17"/>
      <c r="V273" s="17"/>
      <c r="W273" s="73"/>
      <c r="X273" s="17"/>
      <c r="Y273" s="17"/>
      <c r="Z273" s="17"/>
      <c r="AA273" s="17"/>
      <c r="AB273" s="73"/>
      <c r="AC273" s="17"/>
      <c r="AD273" s="17"/>
      <c r="AE273" s="17"/>
      <c r="AF273" s="17"/>
      <c r="AG273" s="73"/>
      <c r="AH273" s="17"/>
      <c r="AI273" s="17"/>
      <c r="AJ273" s="17"/>
      <c r="AK273" s="17"/>
      <c r="AL273" s="73"/>
      <c r="AM273" s="17"/>
      <c r="AN273" s="17"/>
      <c r="AO273" s="17"/>
      <c r="AP273" s="17"/>
      <c r="AQ273" s="73"/>
      <c r="AR273" s="17"/>
      <c r="AS273" s="17"/>
      <c r="AT273" s="17"/>
      <c r="AU273" s="17"/>
      <c r="AV273" s="73"/>
      <c r="AW273" s="17"/>
      <c r="AX273" s="17"/>
      <c r="AY273" s="17"/>
      <c r="AZ273" s="17"/>
      <c r="BA273" s="73"/>
      <c r="BB273" s="17"/>
      <c r="BC273" s="17"/>
      <c r="BD273" s="17"/>
      <c r="BE273" s="17"/>
      <c r="BF273" s="73"/>
      <c r="BG273" s="17"/>
      <c r="BH273" s="17"/>
      <c r="BI273" s="17"/>
      <c r="BJ273" s="17"/>
      <c r="BK273" s="73"/>
      <c r="BL273" s="17"/>
      <c r="BM273" s="17"/>
      <c r="BN273" s="17"/>
      <c r="BO273" s="17"/>
      <c r="BP273" s="73"/>
      <c r="BQ273" s="17"/>
      <c r="BR273" s="17"/>
      <c r="BS273" s="17"/>
      <c r="BT273" s="17"/>
      <c r="BU273" s="73"/>
      <c r="BV273" s="17"/>
      <c r="BW273" s="17"/>
      <c r="BX273" s="17"/>
      <c r="BY273" s="17"/>
      <c r="BZ273" s="18"/>
      <c r="CA273" s="17"/>
      <c r="CB273" s="17"/>
      <c r="CC273" s="17"/>
      <c r="CD273" s="17" t="str">
        <f t="shared" ref="CD273:CI273" si="1562">#REF!-CD504</f>
        <v>#REF!</v>
      </c>
      <c r="CE273" s="18" t="str">
        <f t="shared" si="1562"/>
        <v>#REF!</v>
      </c>
      <c r="CF273" s="17" t="str">
        <f t="shared" si="1562"/>
        <v>#REF!</v>
      </c>
      <c r="CG273" s="17" t="str">
        <f t="shared" si="1562"/>
        <v>#REF!</v>
      </c>
      <c r="CH273" s="17" t="str">
        <f t="shared" si="1562"/>
        <v>#REF!</v>
      </c>
      <c r="CI273" s="17" t="str">
        <f t="shared" si="1562"/>
        <v>#REF!</v>
      </c>
      <c r="CJ273" s="18" t="str">
        <f>SUM(CF273:CI273)</f>
        <v>#REF!</v>
      </c>
      <c r="CK273" s="17" t="str">
        <f t="shared" ref="CK273:CN273" si="1563">#REF!-CK504</f>
        <v>#REF!</v>
      </c>
      <c r="CL273" s="17" t="str">
        <f t="shared" si="1563"/>
        <v>#REF!</v>
      </c>
      <c r="CM273" s="17" t="str">
        <f t="shared" si="1563"/>
        <v>#REF!</v>
      </c>
      <c r="CN273" s="17" t="str">
        <f t="shared" si="1563"/>
        <v>#REF!</v>
      </c>
      <c r="CO273" s="18" t="str">
        <f>SUM(CK273:CN273)</f>
        <v>#REF!</v>
      </c>
      <c r="CP273" s="427" t="str">
        <f t="shared" ref="CP273:CS273" si="1564">CP274+CP287</f>
        <v>#ERROR!</v>
      </c>
      <c r="CQ273" s="427" t="str">
        <f t="shared" si="1564"/>
        <v>#ERROR!</v>
      </c>
      <c r="CR273" s="427" t="str">
        <f t="shared" si="1564"/>
        <v>#ERROR!</v>
      </c>
      <c r="CS273" s="427" t="str">
        <f t="shared" si="1564"/>
        <v>#ERROR!</v>
      </c>
      <c r="CT273" s="18" t="str">
        <f t="shared" ref="CT273:CT274" si="1579">SUM(CP273:CS273)</f>
        <v>#ERROR!</v>
      </c>
      <c r="CU273" s="427" t="str">
        <f t="shared" ref="CU273:CX273" si="1565">CU274+CU287</f>
        <v>#ERROR!</v>
      </c>
      <c r="CV273" s="427" t="str">
        <f t="shared" si="1565"/>
        <v>#ERROR!</v>
      </c>
      <c r="CW273" s="427" t="str">
        <f t="shared" si="1565"/>
        <v>#ERROR!</v>
      </c>
      <c r="CX273" s="427" t="str">
        <f t="shared" si="1565"/>
        <v>#ERROR!</v>
      </c>
      <c r="CY273" s="18" t="str">
        <f t="shared" ref="CY273:CY274" si="1581">SUM(CU273:CX273)</f>
        <v>#ERROR!</v>
      </c>
      <c r="CZ273" s="427" t="str">
        <f t="shared" ref="CZ273:DC273" si="1566">CZ274+CZ287</f>
        <v>#ERROR!</v>
      </c>
      <c r="DA273" s="427" t="str">
        <f t="shared" si="1566"/>
        <v>#ERROR!</v>
      </c>
      <c r="DB273" s="427" t="str">
        <f t="shared" si="1566"/>
        <v>#ERROR!</v>
      </c>
      <c r="DC273" s="427" t="str">
        <f t="shared" si="1566"/>
        <v>#ERROR!</v>
      </c>
      <c r="DD273" s="18" t="str">
        <f t="shared" ref="DD273:DD274" si="1583">SUM(CZ273:DC273)</f>
        <v>#ERROR!</v>
      </c>
      <c r="DE273" s="427" t="str">
        <f t="shared" ref="DE273:DH273" si="1567">DE274+DE287</f>
        <v>#ERROR!</v>
      </c>
      <c r="DF273" s="427" t="str">
        <f t="shared" si="1567"/>
        <v>#ERROR!</v>
      </c>
      <c r="DG273" s="36" t="str">
        <f t="shared" si="1567"/>
        <v>#ERROR!</v>
      </c>
      <c r="DH273" s="427" t="str">
        <f t="shared" si="1567"/>
        <v>#ERROR!</v>
      </c>
      <c r="DI273" s="18" t="str">
        <f t="shared" ref="DI273:DI274" si="1585">SUM(DE273:DH273)</f>
        <v>#ERROR!</v>
      </c>
      <c r="DJ273" s="36" t="str">
        <f t="shared" ref="DJ273:DM273" si="1568">DJ274+DJ287</f>
        <v>#ERROR!</v>
      </c>
      <c r="DK273" s="36" t="str">
        <f t="shared" si="1568"/>
        <v>#ERROR!</v>
      </c>
      <c r="DL273" s="36" t="str">
        <f t="shared" si="1568"/>
        <v>#ERROR!</v>
      </c>
      <c r="DM273" s="36" t="str">
        <f t="shared" si="1568"/>
        <v>#ERROR!</v>
      </c>
      <c r="DN273" s="18" t="str">
        <f t="shared" ref="DN273:DN274" si="1587">SUM(DJ273:DM273)</f>
        <v>#ERROR!</v>
      </c>
      <c r="DO273" s="36" t="str">
        <f t="shared" ref="DO273:DR273" si="1569">DO274+DO287</f>
        <v>#ERROR!</v>
      </c>
      <c r="DP273" s="36" t="str">
        <f t="shared" si="1569"/>
        <v>#ERROR!</v>
      </c>
      <c r="DQ273" s="36" t="str">
        <f t="shared" si="1569"/>
        <v>#ERROR!</v>
      </c>
      <c r="DR273" s="36" t="str">
        <f t="shared" si="1569"/>
        <v>#ERROR!</v>
      </c>
      <c r="DS273" s="18" t="str">
        <f t="shared" ref="DS273:DS274" si="1589">SUM(DO273:DR273)</f>
        <v>#ERROR!</v>
      </c>
      <c r="DT273" s="36" t="str">
        <f t="shared" ref="DT273:DW273" si="1570">DT274+DT287</f>
        <v>#ERROR!</v>
      </c>
      <c r="DU273" s="36" t="str">
        <f t="shared" si="1570"/>
        <v>#ERROR!</v>
      </c>
      <c r="DV273" s="36" t="str">
        <f t="shared" si="1570"/>
        <v>#ERROR!</v>
      </c>
      <c r="DW273" s="36" t="str">
        <f t="shared" si="1570"/>
        <v>#ERROR!</v>
      </c>
      <c r="DX273" s="18" t="str">
        <f t="shared" ref="DX273:DX274" si="1591">SUM(DT273:DW273)</f>
        <v>#ERROR!</v>
      </c>
      <c r="DY273" s="36" t="str">
        <f t="shared" ref="DY273:EB273" si="1571">DY274+DY287</f>
        <v>#ERROR!</v>
      </c>
      <c r="DZ273" s="36" t="str">
        <f t="shared" si="1571"/>
        <v>#ERROR!</v>
      </c>
      <c r="EA273" s="36" t="str">
        <f t="shared" si="1571"/>
        <v>#ERROR!</v>
      </c>
      <c r="EB273" s="36" t="str">
        <f t="shared" si="1571"/>
        <v>#ERROR!</v>
      </c>
      <c r="EC273" s="18">
        <v>25168.078896515657</v>
      </c>
      <c r="ED273" s="36" t="str">
        <f t="shared" ref="ED273:EG273" si="1572">ED274+ED287</f>
        <v>#ERROR!</v>
      </c>
      <c r="EE273" s="36" t="str">
        <f t="shared" si="1572"/>
        <v>#ERROR!</v>
      </c>
      <c r="EF273" s="36" t="str">
        <f t="shared" si="1572"/>
        <v>#ERROR!</v>
      </c>
      <c r="EG273" s="36" t="str">
        <f t="shared" si="1572"/>
        <v>#ERROR!</v>
      </c>
      <c r="EH273" s="18">
        <v>0.0</v>
      </c>
      <c r="EI273" s="428" t="str">
        <f t="shared" ref="EI273:EL273" si="1573">EI274+EI287</f>
        <v>#ERROR!</v>
      </c>
      <c r="EJ273" s="427" t="str">
        <f t="shared" si="1573"/>
        <v>#ERROR!</v>
      </c>
      <c r="EK273" s="427" t="str">
        <f t="shared" si="1573"/>
        <v>#ERROR!</v>
      </c>
      <c r="EL273" s="427" t="str">
        <f t="shared" si="1573"/>
        <v>#ERROR!</v>
      </c>
      <c r="EM273" s="18">
        <v>0.0</v>
      </c>
      <c r="EN273" s="427" t="str">
        <f t="shared" ref="EN273:EQ273" si="1574">EN274+EN287</f>
        <v>#ERROR!</v>
      </c>
      <c r="EO273" s="427" t="str">
        <f t="shared" si="1574"/>
        <v>#ERROR!</v>
      </c>
      <c r="EP273" s="427" t="str">
        <f t="shared" si="1574"/>
        <v>#ERROR!</v>
      </c>
      <c r="EQ273" s="427" t="str">
        <f t="shared" si="1574"/>
        <v>#ERROR!</v>
      </c>
      <c r="ER273" s="18">
        <v>0.0</v>
      </c>
      <c r="ES273" s="427" t="str">
        <f t="shared" ref="ES273:EV273" si="1575">ES274+ES287</f>
        <v>#ERROR!</v>
      </c>
      <c r="ET273" s="427" t="str">
        <f t="shared" si="1575"/>
        <v>#ERROR!</v>
      </c>
      <c r="EU273" s="427" t="str">
        <f t="shared" si="1575"/>
        <v>#ERROR!</v>
      </c>
      <c r="EV273" s="427" t="str">
        <f t="shared" si="1575"/>
        <v>#ERROR!</v>
      </c>
      <c r="EW273" s="18">
        <v>0.0</v>
      </c>
      <c r="EX273" s="427" t="str">
        <f t="shared" ref="EX273:FA273" si="1576">EX274+EX287</f>
        <v>#ERROR!</v>
      </c>
      <c r="EY273" s="427" t="str">
        <f t="shared" si="1576"/>
        <v>#ERROR!</v>
      </c>
      <c r="EZ273" s="427" t="str">
        <f t="shared" si="1576"/>
        <v>#ERROR!</v>
      </c>
      <c r="FA273" s="427" t="str">
        <f t="shared" si="1576"/>
        <v>#ERROR!</v>
      </c>
      <c r="FB273" s="18">
        <v>0.0</v>
      </c>
      <c r="FC273" s="427" t="str">
        <f t="shared" ref="FC273:FF273" si="1577">FC274+FC287</f>
        <v>#ERROR!</v>
      </c>
      <c r="FD273" s="427" t="str">
        <f t="shared" si="1577"/>
        <v>#ERROR!</v>
      </c>
      <c r="FE273" s="427" t="str">
        <f t="shared" si="1577"/>
        <v>#ERROR!</v>
      </c>
      <c r="FF273" s="427" t="str">
        <f t="shared" si="1577"/>
        <v>#ERROR!</v>
      </c>
      <c r="FG273" s="18">
        <v>0.0</v>
      </c>
      <c r="FH273" s="74"/>
      <c r="FI273" s="17"/>
      <c r="FJ273" s="17"/>
      <c r="FK273" s="73"/>
      <c r="FL273" s="17"/>
    </row>
    <row r="274" ht="12.75" hidden="1" customHeight="1" outlineLevel="1">
      <c r="A274" s="421"/>
      <c r="B274" s="72" t="s">
        <v>148</v>
      </c>
      <c r="C274" s="45"/>
      <c r="D274" s="17"/>
      <c r="E274" s="17"/>
      <c r="F274" s="17"/>
      <c r="G274" s="17"/>
      <c r="H274" s="73"/>
      <c r="I274" s="17"/>
      <c r="J274" s="17"/>
      <c r="K274" s="17"/>
      <c r="L274" s="17"/>
      <c r="M274" s="73"/>
      <c r="N274" s="17"/>
      <c r="O274" s="17"/>
      <c r="P274" s="17"/>
      <c r="Q274" s="17"/>
      <c r="R274" s="73"/>
      <c r="S274" s="17"/>
      <c r="T274" s="17"/>
      <c r="U274" s="17"/>
      <c r="V274" s="17"/>
      <c r="W274" s="73"/>
      <c r="X274" s="17"/>
      <c r="Y274" s="17"/>
      <c r="Z274" s="17"/>
      <c r="AA274" s="17"/>
      <c r="AB274" s="73"/>
      <c r="AC274" s="17"/>
      <c r="AD274" s="17"/>
      <c r="AE274" s="17"/>
      <c r="AF274" s="17"/>
      <c r="AG274" s="73"/>
      <c r="AH274" s="17"/>
      <c r="AI274" s="17"/>
      <c r="AJ274" s="17"/>
      <c r="AK274" s="17"/>
      <c r="AL274" s="73"/>
      <c r="AM274" s="17"/>
      <c r="AN274" s="17"/>
      <c r="AO274" s="17"/>
      <c r="AP274" s="17"/>
      <c r="AQ274" s="73"/>
      <c r="AR274" s="17"/>
      <c r="AS274" s="17"/>
      <c r="AT274" s="17"/>
      <c r="AU274" s="17"/>
      <c r="AV274" s="73"/>
      <c r="AW274" s="17"/>
      <c r="AX274" s="17"/>
      <c r="AY274" s="17"/>
      <c r="AZ274" s="17"/>
      <c r="BA274" s="73"/>
      <c r="BB274" s="17"/>
      <c r="BC274" s="17"/>
      <c r="BD274" s="17"/>
      <c r="BE274" s="17"/>
      <c r="BF274" s="73"/>
      <c r="BG274" s="17"/>
      <c r="BH274" s="17"/>
      <c r="BI274" s="17"/>
      <c r="BJ274" s="17"/>
      <c r="BK274" s="73"/>
      <c r="BL274" s="17"/>
      <c r="BM274" s="17"/>
      <c r="BN274" s="17"/>
      <c r="BO274" s="17"/>
      <c r="BP274" s="73"/>
      <c r="BQ274" s="17"/>
      <c r="BR274" s="17"/>
      <c r="BS274" s="17"/>
      <c r="BT274" s="17"/>
      <c r="BU274" s="73"/>
      <c r="BV274" s="17"/>
      <c r="BW274" s="17"/>
      <c r="BX274" s="17"/>
      <c r="BY274" s="17"/>
      <c r="BZ274" s="18"/>
      <c r="CA274" s="17"/>
      <c r="CB274" s="17"/>
      <c r="CC274" s="17"/>
      <c r="CD274" s="17"/>
      <c r="CE274" s="18"/>
      <c r="CF274" s="17"/>
      <c r="CG274" s="17"/>
      <c r="CH274" s="17"/>
      <c r="CI274" s="17"/>
      <c r="CJ274" s="18"/>
      <c r="CK274" s="17"/>
      <c r="CL274" s="17"/>
      <c r="CM274" s="17"/>
      <c r="CN274" s="17"/>
      <c r="CO274" s="18"/>
      <c r="CP274" s="17" t="str">
        <f t="shared" ref="CP274:CS274" si="1578">CP276*CP282/1000</f>
        <v>#ERROR!</v>
      </c>
      <c r="CQ274" s="17" t="str">
        <f t="shared" si="1578"/>
        <v>#ERROR!</v>
      </c>
      <c r="CR274" s="17" t="str">
        <f t="shared" si="1578"/>
        <v>#ERROR!</v>
      </c>
      <c r="CS274" s="17" t="str">
        <f t="shared" si="1578"/>
        <v>#ERROR!</v>
      </c>
      <c r="CT274" s="18" t="str">
        <f t="shared" si="1579"/>
        <v>#ERROR!</v>
      </c>
      <c r="CU274" s="17" t="str">
        <f t="shared" ref="CU274:CX274" si="1580">CU276*CU282/1000</f>
        <v>#ERROR!</v>
      </c>
      <c r="CV274" s="17" t="str">
        <f t="shared" si="1580"/>
        <v>#ERROR!</v>
      </c>
      <c r="CW274" s="17" t="str">
        <f t="shared" si="1580"/>
        <v>#ERROR!</v>
      </c>
      <c r="CX274" s="17" t="str">
        <f t="shared" si="1580"/>
        <v>#ERROR!</v>
      </c>
      <c r="CY274" s="18" t="str">
        <f t="shared" si="1581"/>
        <v>#ERROR!</v>
      </c>
      <c r="CZ274" s="17" t="str">
        <f t="shared" ref="CZ274:DC274" si="1582">CZ276*CZ282/1000</f>
        <v>#ERROR!</v>
      </c>
      <c r="DA274" s="17" t="str">
        <f t="shared" si="1582"/>
        <v>#ERROR!</v>
      </c>
      <c r="DB274" s="17" t="str">
        <f t="shared" si="1582"/>
        <v>#ERROR!</v>
      </c>
      <c r="DC274" s="17" t="str">
        <f t="shared" si="1582"/>
        <v>#ERROR!</v>
      </c>
      <c r="DD274" s="18" t="str">
        <f t="shared" si="1583"/>
        <v>#ERROR!</v>
      </c>
      <c r="DE274" s="17" t="str">
        <f t="shared" ref="DE274:DH274" si="1584">DE276*DE282/1000</f>
        <v>#ERROR!</v>
      </c>
      <c r="DF274" s="17" t="str">
        <f t="shared" si="1584"/>
        <v>#ERROR!</v>
      </c>
      <c r="DG274" s="19" t="str">
        <f t="shared" si="1584"/>
        <v>#ERROR!</v>
      </c>
      <c r="DH274" s="17" t="str">
        <f t="shared" si="1584"/>
        <v>#ERROR!</v>
      </c>
      <c r="DI274" s="18" t="str">
        <f t="shared" si="1585"/>
        <v>#ERROR!</v>
      </c>
      <c r="DJ274" s="19" t="str">
        <f>DE274*(1+0.02)</f>
        <v>#ERROR!</v>
      </c>
      <c r="DK274" s="19" t="str">
        <f>DF274*(1+0.056)</f>
        <v>#ERROR!</v>
      </c>
      <c r="DL274" s="19" t="str">
        <f t="shared" ref="DL274:DM274" si="1586">DL276*DL282/1000</f>
        <v>#ERROR!</v>
      </c>
      <c r="DM274" s="19" t="str">
        <f t="shared" si="1586"/>
        <v>#ERROR!</v>
      </c>
      <c r="DN274" s="18" t="str">
        <f t="shared" si="1587"/>
        <v>#ERROR!</v>
      </c>
      <c r="DO274" s="19" t="str">
        <f t="shared" ref="DO274:DR274" si="1588">DO276*DO282/1000</f>
        <v>#ERROR!</v>
      </c>
      <c r="DP274" s="19" t="str">
        <f t="shared" si="1588"/>
        <v>#ERROR!</v>
      </c>
      <c r="DQ274" s="19" t="str">
        <f t="shared" si="1588"/>
        <v>#ERROR!</v>
      </c>
      <c r="DR274" s="19" t="str">
        <f t="shared" si="1588"/>
        <v>#ERROR!</v>
      </c>
      <c r="DS274" s="18" t="str">
        <f t="shared" si="1589"/>
        <v>#ERROR!</v>
      </c>
      <c r="DT274" s="19" t="str">
        <f t="shared" ref="DT274:DW274" si="1590">DT276*DT282/1000</f>
        <v>#ERROR!</v>
      </c>
      <c r="DU274" s="19" t="str">
        <f t="shared" si="1590"/>
        <v>#ERROR!</v>
      </c>
      <c r="DV274" s="19" t="str">
        <f t="shared" si="1590"/>
        <v>#ERROR!</v>
      </c>
      <c r="DW274" s="19" t="str">
        <f t="shared" si="1590"/>
        <v>#ERROR!</v>
      </c>
      <c r="DX274" s="18" t="str">
        <f t="shared" si="1591"/>
        <v>#ERROR!</v>
      </c>
      <c r="DY274" s="19" t="str">
        <f t="shared" ref="DY274:EB274" si="1592">DY276*DY282/1000</f>
        <v>#ERROR!</v>
      </c>
      <c r="DZ274" s="19" t="str">
        <f t="shared" si="1592"/>
        <v>#ERROR!</v>
      </c>
      <c r="EA274" s="19" t="str">
        <f t="shared" si="1592"/>
        <v>#ERROR!</v>
      </c>
      <c r="EB274" s="19" t="str">
        <f t="shared" si="1592"/>
        <v>#ERROR!</v>
      </c>
      <c r="EC274" s="18" t="str">
        <f>SUM(DY274:EB274)</f>
        <v>#ERROR!</v>
      </c>
      <c r="ED274" s="19" t="str">
        <f t="shared" ref="ED274:EG274" si="1593">ED276*ED282/1000</f>
        <v>#ERROR!</v>
      </c>
      <c r="EE274" s="19" t="str">
        <f t="shared" si="1593"/>
        <v>#ERROR!</v>
      </c>
      <c r="EF274" s="19" t="str">
        <f t="shared" si="1593"/>
        <v>#ERROR!</v>
      </c>
      <c r="EG274" s="19" t="str">
        <f t="shared" si="1593"/>
        <v>#ERROR!</v>
      </c>
      <c r="EH274" s="18" t="str">
        <f>SUM(ED274:EG274)</f>
        <v>#ERROR!</v>
      </c>
      <c r="EI274" s="25" t="str">
        <f t="shared" ref="EI274:EL274" si="1594">EI276*EI282/1000</f>
        <v>#ERROR!</v>
      </c>
      <c r="EJ274" s="17" t="str">
        <f t="shared" si="1594"/>
        <v>#ERROR!</v>
      </c>
      <c r="EK274" s="17" t="str">
        <f t="shared" si="1594"/>
        <v>#ERROR!</v>
      </c>
      <c r="EL274" s="17" t="str">
        <f t="shared" si="1594"/>
        <v>#ERROR!</v>
      </c>
      <c r="EM274" s="18" t="str">
        <f>SUM(EI274:EL274)</f>
        <v>#ERROR!</v>
      </c>
      <c r="EN274" s="17" t="str">
        <f t="shared" ref="EN274:EQ274" si="1595">EN276*EN282/1000</f>
        <v>#ERROR!</v>
      </c>
      <c r="EO274" s="17" t="str">
        <f t="shared" si="1595"/>
        <v>#ERROR!</v>
      </c>
      <c r="EP274" s="17" t="str">
        <f t="shared" si="1595"/>
        <v>#ERROR!</v>
      </c>
      <c r="EQ274" s="17" t="str">
        <f t="shared" si="1595"/>
        <v>#ERROR!</v>
      </c>
      <c r="ER274" s="18" t="str">
        <f>SUM(EN274:EQ274)</f>
        <v>#ERROR!</v>
      </c>
      <c r="ES274" s="17" t="str">
        <f t="shared" ref="ES274:EV274" si="1596">ES276*ES282/1000</f>
        <v>#ERROR!</v>
      </c>
      <c r="ET274" s="17" t="str">
        <f t="shared" si="1596"/>
        <v>#ERROR!</v>
      </c>
      <c r="EU274" s="17" t="str">
        <f t="shared" si="1596"/>
        <v>#ERROR!</v>
      </c>
      <c r="EV274" s="17" t="str">
        <f t="shared" si="1596"/>
        <v>#ERROR!</v>
      </c>
      <c r="EW274" s="18" t="str">
        <f>SUM(ES274:EV274)</f>
        <v>#ERROR!</v>
      </c>
      <c r="EX274" s="17" t="str">
        <f t="shared" ref="EX274:FA274" si="1597">EX276*EX282/1000</f>
        <v>#ERROR!</v>
      </c>
      <c r="EY274" s="17" t="str">
        <f t="shared" si="1597"/>
        <v>#ERROR!</v>
      </c>
      <c r="EZ274" s="17" t="str">
        <f t="shared" si="1597"/>
        <v>#ERROR!</v>
      </c>
      <c r="FA274" s="17" t="str">
        <f t="shared" si="1597"/>
        <v>#ERROR!</v>
      </c>
      <c r="FB274" s="18" t="str">
        <f>SUM(EX274:FA274)</f>
        <v>#ERROR!</v>
      </c>
      <c r="FC274" s="17" t="str">
        <f t="shared" ref="FC274:FF274" si="1598">FC276*FC282/1000</f>
        <v>#ERROR!</v>
      </c>
      <c r="FD274" s="17" t="str">
        <f t="shared" si="1598"/>
        <v>#ERROR!</v>
      </c>
      <c r="FE274" s="17" t="str">
        <f t="shared" si="1598"/>
        <v>#ERROR!</v>
      </c>
      <c r="FF274" s="17" t="str">
        <f t="shared" si="1598"/>
        <v>#ERROR!</v>
      </c>
      <c r="FG274" s="18" t="str">
        <f>SUM(FC274:FF274)</f>
        <v>#ERROR!</v>
      </c>
      <c r="FH274" s="74"/>
      <c r="FI274" s="17"/>
      <c r="FJ274" s="17"/>
      <c r="FK274" s="73"/>
      <c r="FL274" s="17"/>
    </row>
    <row r="275" ht="12.75" hidden="1" customHeight="1" outlineLevel="1">
      <c r="A275" s="421"/>
      <c r="B275" s="72" t="s">
        <v>150</v>
      </c>
      <c r="C275" s="45"/>
      <c r="D275" s="17"/>
      <c r="E275" s="17"/>
      <c r="F275" s="17"/>
      <c r="G275" s="17"/>
      <c r="H275" s="73"/>
      <c r="I275" s="17"/>
      <c r="J275" s="17"/>
      <c r="K275" s="17"/>
      <c r="L275" s="17"/>
      <c r="M275" s="73"/>
      <c r="N275" s="17"/>
      <c r="O275" s="17"/>
      <c r="P275" s="17"/>
      <c r="Q275" s="17"/>
      <c r="R275" s="73"/>
      <c r="S275" s="17"/>
      <c r="T275" s="17"/>
      <c r="U275" s="17"/>
      <c r="V275" s="17"/>
      <c r="W275" s="73"/>
      <c r="X275" s="17"/>
      <c r="Y275" s="17"/>
      <c r="Z275" s="17"/>
      <c r="AA275" s="17"/>
      <c r="AB275" s="73"/>
      <c r="AC275" s="17"/>
      <c r="AD275" s="17"/>
      <c r="AE275" s="17"/>
      <c r="AF275" s="17"/>
      <c r="AG275" s="73"/>
      <c r="AH275" s="17"/>
      <c r="AI275" s="17"/>
      <c r="AJ275" s="17"/>
      <c r="AK275" s="17"/>
      <c r="AL275" s="73"/>
      <c r="AM275" s="17"/>
      <c r="AN275" s="17"/>
      <c r="AO275" s="17"/>
      <c r="AP275" s="17"/>
      <c r="AQ275" s="73"/>
      <c r="AR275" s="17"/>
      <c r="AS275" s="17"/>
      <c r="AT275" s="17"/>
      <c r="AU275" s="17"/>
      <c r="AV275" s="73"/>
      <c r="AW275" s="17"/>
      <c r="AX275" s="17"/>
      <c r="AY275" s="17"/>
      <c r="AZ275" s="17"/>
      <c r="BA275" s="73"/>
      <c r="BB275" s="17"/>
      <c r="BC275" s="17"/>
      <c r="BD275" s="17"/>
      <c r="BE275" s="17"/>
      <c r="BF275" s="73"/>
      <c r="BG275" s="17"/>
      <c r="BH275" s="17"/>
      <c r="BI275" s="17"/>
      <c r="BJ275" s="17"/>
      <c r="BK275" s="73"/>
      <c r="BL275" s="17"/>
      <c r="BM275" s="17"/>
      <c r="BN275" s="17"/>
      <c r="BO275" s="17"/>
      <c r="BP275" s="73"/>
      <c r="BQ275" s="17"/>
      <c r="BR275" s="17"/>
      <c r="BS275" s="17"/>
      <c r="BT275" s="17"/>
      <c r="BU275" s="73"/>
      <c r="BV275" s="17"/>
      <c r="BW275" s="17"/>
      <c r="BX275" s="17"/>
      <c r="BY275" s="17"/>
      <c r="BZ275" s="18"/>
      <c r="CA275" s="17"/>
      <c r="CB275" s="17"/>
      <c r="CC275" s="17"/>
      <c r="CD275" s="17"/>
      <c r="CE275" s="18"/>
      <c r="CF275" s="17"/>
      <c r="CG275" s="17"/>
      <c r="CH275" s="17"/>
      <c r="CI275" s="17"/>
      <c r="CJ275" s="18"/>
      <c r="CK275" s="17"/>
      <c r="CL275" s="17"/>
      <c r="CM275" s="17"/>
      <c r="CN275" s="17"/>
      <c r="CO275" s="18"/>
      <c r="CP275" s="17"/>
      <c r="CQ275" s="17"/>
      <c r="CR275" s="17"/>
      <c r="CS275" s="17"/>
      <c r="CT275" s="18"/>
      <c r="CU275" s="372" t="str">
        <f>CU274/CS274-1</f>
        <v>#ERROR!</v>
      </c>
      <c r="CV275" s="372" t="str">
        <f t="shared" ref="CV275:CX275" si="1599">CV274/CU274-1</f>
        <v>#ERROR!</v>
      </c>
      <c r="CW275" s="372" t="str">
        <f t="shared" si="1599"/>
        <v>#ERROR!</v>
      </c>
      <c r="CX275" s="372" t="str">
        <f t="shared" si="1599"/>
        <v>#ERROR!</v>
      </c>
      <c r="CY275" s="18"/>
      <c r="CZ275" s="372" t="str">
        <f>CZ274/CX274-1</f>
        <v>#ERROR!</v>
      </c>
      <c r="DA275" s="372" t="str">
        <f t="shared" ref="DA275:DC275" si="1600">DA274/CZ274-1</f>
        <v>#ERROR!</v>
      </c>
      <c r="DB275" s="372" t="str">
        <f t="shared" si="1600"/>
        <v>#ERROR!</v>
      </c>
      <c r="DC275" s="372" t="str">
        <f t="shared" si="1600"/>
        <v>#ERROR!</v>
      </c>
      <c r="DD275" s="18"/>
      <c r="DE275" s="372" t="str">
        <f>DE274/DC274-1</f>
        <v>#ERROR!</v>
      </c>
      <c r="DF275" s="372" t="str">
        <f t="shared" ref="DF275:DH275" si="1601">DF274/DE274-1</f>
        <v>#ERROR!</v>
      </c>
      <c r="DG275" s="372" t="str">
        <f t="shared" si="1601"/>
        <v>#ERROR!</v>
      </c>
      <c r="DH275" s="372" t="str">
        <f t="shared" si="1601"/>
        <v>#ERROR!</v>
      </c>
      <c r="DI275" s="18"/>
      <c r="DJ275" s="372" t="str">
        <f>DJ274/DH274-1</f>
        <v>#ERROR!</v>
      </c>
      <c r="DK275" s="372" t="str">
        <f t="shared" ref="DK275:DM275" si="1602">DK274/DJ274-1</f>
        <v>#ERROR!</v>
      </c>
      <c r="DL275" s="372" t="str">
        <f t="shared" si="1602"/>
        <v>#ERROR!</v>
      </c>
      <c r="DM275" s="372" t="str">
        <f t="shared" si="1602"/>
        <v>#ERROR!</v>
      </c>
      <c r="DN275" s="18"/>
      <c r="DO275" s="372" t="str">
        <f>DO274/DM274-1</f>
        <v>#ERROR!</v>
      </c>
      <c r="DP275" s="372" t="str">
        <f t="shared" ref="DP275:DR275" si="1603">DP274/DO274-1</f>
        <v>#ERROR!</v>
      </c>
      <c r="DQ275" s="372" t="str">
        <f t="shared" si="1603"/>
        <v>#ERROR!</v>
      </c>
      <c r="DR275" s="372" t="str">
        <f t="shared" si="1603"/>
        <v>#ERROR!</v>
      </c>
      <c r="DS275" s="18"/>
      <c r="DT275" s="372" t="str">
        <f>DT274/DR274-1</f>
        <v>#ERROR!</v>
      </c>
      <c r="DU275" s="372" t="str">
        <f t="shared" ref="DU275:DW275" si="1604">DU274/DT274-1</f>
        <v>#ERROR!</v>
      </c>
      <c r="DV275" s="372" t="str">
        <f t="shared" si="1604"/>
        <v>#ERROR!</v>
      </c>
      <c r="DW275" s="372" t="str">
        <f t="shared" si="1604"/>
        <v>#ERROR!</v>
      </c>
      <c r="DX275" s="18"/>
      <c r="DY275" s="372" t="str">
        <f>DY274/DW274-1</f>
        <v>#ERROR!</v>
      </c>
      <c r="DZ275" s="372" t="str">
        <f t="shared" ref="DZ275:EB275" si="1605">DZ274/DY274-1</f>
        <v>#ERROR!</v>
      </c>
      <c r="EA275" s="372" t="str">
        <f t="shared" si="1605"/>
        <v>#ERROR!</v>
      </c>
      <c r="EB275" s="372" t="str">
        <f t="shared" si="1605"/>
        <v>#ERROR!</v>
      </c>
      <c r="EC275" s="18"/>
      <c r="ED275" s="19"/>
      <c r="EE275" s="19"/>
      <c r="EF275" s="19"/>
      <c r="EG275" s="19"/>
      <c r="EH275" s="18"/>
      <c r="EI275" s="25"/>
      <c r="EJ275" s="17"/>
      <c r="EK275" s="17"/>
      <c r="EL275" s="17"/>
      <c r="EM275" s="18"/>
      <c r="EN275" s="17"/>
      <c r="EO275" s="17"/>
      <c r="EP275" s="17"/>
      <c r="EQ275" s="17"/>
      <c r="ER275" s="18"/>
      <c r="ES275" s="17"/>
      <c r="ET275" s="17"/>
      <c r="EU275" s="17"/>
      <c r="EV275" s="17"/>
      <c r="EW275" s="18"/>
      <c r="EX275" s="17"/>
      <c r="EY275" s="17"/>
      <c r="EZ275" s="17"/>
      <c r="FA275" s="17"/>
      <c r="FB275" s="18"/>
      <c r="FC275" s="17"/>
      <c r="FD275" s="17"/>
      <c r="FE275" s="17"/>
      <c r="FF275" s="17"/>
      <c r="FG275" s="18"/>
      <c r="FH275" s="74"/>
      <c r="FI275" s="17"/>
      <c r="FJ275" s="17"/>
      <c r="FK275" s="73"/>
      <c r="FL275" s="17"/>
    </row>
    <row r="276" ht="12.75" hidden="1" customHeight="1" outlineLevel="1">
      <c r="A276" s="421"/>
      <c r="B276" s="215" t="s">
        <v>198</v>
      </c>
      <c r="C276" s="45"/>
      <c r="D276" s="17"/>
      <c r="E276" s="17"/>
      <c r="F276" s="17"/>
      <c r="G276" s="17"/>
      <c r="H276" s="73"/>
      <c r="I276" s="17"/>
      <c r="J276" s="17"/>
      <c r="K276" s="17"/>
      <c r="L276" s="17"/>
      <c r="M276" s="73"/>
      <c r="N276" s="17"/>
      <c r="O276" s="17"/>
      <c r="P276" s="17"/>
      <c r="Q276" s="17"/>
      <c r="R276" s="73"/>
      <c r="S276" s="17"/>
      <c r="T276" s="17"/>
      <c r="U276" s="17"/>
      <c r="V276" s="17"/>
      <c r="W276" s="73"/>
      <c r="X276" s="17"/>
      <c r="Y276" s="17"/>
      <c r="Z276" s="17"/>
      <c r="AA276" s="17"/>
      <c r="AB276" s="73"/>
      <c r="AC276" s="17"/>
      <c r="AD276" s="17"/>
      <c r="AE276" s="17"/>
      <c r="AF276" s="17"/>
      <c r="AG276" s="73"/>
      <c r="AH276" s="17"/>
      <c r="AI276" s="17"/>
      <c r="AJ276" s="17"/>
      <c r="AK276" s="17"/>
      <c r="AL276" s="73"/>
      <c r="AM276" s="17"/>
      <c r="AN276" s="17"/>
      <c r="AO276" s="17"/>
      <c r="AP276" s="17"/>
      <c r="AQ276" s="73"/>
      <c r="AR276" s="17"/>
      <c r="AS276" s="17"/>
      <c r="AT276" s="17"/>
      <c r="AU276" s="17"/>
      <c r="AV276" s="73"/>
      <c r="AW276" s="17"/>
      <c r="AX276" s="17"/>
      <c r="AY276" s="17"/>
      <c r="AZ276" s="17"/>
      <c r="BA276" s="73"/>
      <c r="BB276" s="17"/>
      <c r="BC276" s="17"/>
      <c r="BD276" s="17"/>
      <c r="BE276" s="17"/>
      <c r="BF276" s="73"/>
      <c r="BG276" s="17"/>
      <c r="BH276" s="17"/>
      <c r="BI276" s="17"/>
      <c r="BJ276" s="17"/>
      <c r="BK276" s="73"/>
      <c r="BL276" s="17"/>
      <c r="BM276" s="17"/>
      <c r="BN276" s="17"/>
      <c r="BO276" s="17"/>
      <c r="BP276" s="73"/>
      <c r="BQ276" s="17"/>
      <c r="BR276" s="17"/>
      <c r="BS276" s="17"/>
      <c r="BT276" s="17"/>
      <c r="BU276" s="73"/>
      <c r="BV276" s="17"/>
      <c r="BW276" s="17"/>
      <c r="BX276" s="17"/>
      <c r="BY276" s="17"/>
      <c r="BZ276" s="18"/>
      <c r="CA276" s="17"/>
      <c r="CB276" s="17"/>
      <c r="CC276" s="17"/>
      <c r="CD276" s="17"/>
      <c r="CE276" s="18"/>
      <c r="CF276" s="17">
        <v>30395.9</v>
      </c>
      <c r="CG276" s="17">
        <v>28477.6</v>
      </c>
      <c r="CH276" s="17">
        <v>29103.399999999998</v>
      </c>
      <c r="CI276" s="17">
        <v>27800.399999999998</v>
      </c>
      <c r="CJ276" s="18">
        <f>SUM(CF276:CI276)</f>
        <v>115777.3</v>
      </c>
      <c r="CK276" s="17">
        <v>27482.2</v>
      </c>
      <c r="CL276" s="17">
        <v>27577.1</v>
      </c>
      <c r="CM276" s="17">
        <v>28084.0</v>
      </c>
      <c r="CN276" s="17">
        <v>29509.0</v>
      </c>
      <c r="CO276" s="18">
        <f>SUM(CK276:CN276)</f>
        <v>112652.3</v>
      </c>
      <c r="CP276" s="17" t="str">
        <f>[2]MPU!CP59</f>
        <v>#ERROR!</v>
      </c>
      <c r="CQ276" s="17" t="str">
        <f>[2]MPU!CQ59</f>
        <v>#ERROR!</v>
      </c>
      <c r="CR276" s="17" t="str">
        <f>[2]MPU!CR59</f>
        <v>#ERROR!</v>
      </c>
      <c r="CS276" s="17" t="str">
        <f>[2]MPU!CS59</f>
        <v>#ERROR!</v>
      </c>
      <c r="CT276" s="18" t="str">
        <f>SUM(CP276:CS276)</f>
        <v>#ERROR!</v>
      </c>
      <c r="CU276" s="17" t="str">
        <f>[2]MPU!CU59</f>
        <v>#ERROR!</v>
      </c>
      <c r="CV276" s="17" t="str">
        <f>[2]MPU!CV59</f>
        <v>#ERROR!</v>
      </c>
      <c r="CW276" s="17" t="str">
        <f>[2]MPU!CW59</f>
        <v>#ERROR!</v>
      </c>
      <c r="CX276" s="17" t="str">
        <f>[2]MPU!CX59</f>
        <v>#ERROR!</v>
      </c>
      <c r="CY276" s="18" t="str">
        <f>SUM(CU276:CX276)</f>
        <v>#ERROR!</v>
      </c>
      <c r="CZ276" s="17" t="str">
        <f t="shared" ref="CZ276:DC276" si="1606">CU276*(1+CZ278)</f>
        <v>#ERROR!</v>
      </c>
      <c r="DA276" s="17" t="str">
        <f t="shared" si="1606"/>
        <v>#ERROR!</v>
      </c>
      <c r="DB276" s="17" t="str">
        <f t="shared" si="1606"/>
        <v>#ERROR!</v>
      </c>
      <c r="DC276" s="17" t="str">
        <f t="shared" si="1606"/>
        <v>#ERROR!</v>
      </c>
      <c r="DD276" s="18" t="str">
        <f>SUM(CZ276:DC276)</f>
        <v>#ERROR!</v>
      </c>
      <c r="DE276" s="17" t="str">
        <f t="shared" ref="DE276:DG276" si="1607">CZ276*(1+DE278)</f>
        <v>#ERROR!</v>
      </c>
      <c r="DF276" s="17" t="str">
        <f t="shared" si="1607"/>
        <v>#ERROR!</v>
      </c>
      <c r="DG276" s="19" t="str">
        <f t="shared" si="1607"/>
        <v>#ERROR!</v>
      </c>
      <c r="DH276" s="17" t="str">
        <f>DG276*(1+DH277)</f>
        <v>#ERROR!</v>
      </c>
      <c r="DI276" s="18" t="str">
        <f>SUM(DE276:DH276)</f>
        <v>#ERROR!</v>
      </c>
      <c r="DJ276" s="19" t="str">
        <f t="shared" ref="DJ276:DK276" si="1608">DJ274*1000/DJ282</f>
        <v>#ERROR!</v>
      </c>
      <c r="DK276" s="19" t="str">
        <f t="shared" si="1608"/>
        <v>#ERROR!</v>
      </c>
      <c r="DL276" s="19" t="str">
        <f t="shared" ref="DL276:DM276" si="1609">DK276*(1+DL277)</f>
        <v>#ERROR!</v>
      </c>
      <c r="DM276" s="19" t="str">
        <f t="shared" si="1609"/>
        <v>#ERROR!</v>
      </c>
      <c r="DN276" s="18" t="str">
        <f>SUM(DJ276:DM276)</f>
        <v>#ERROR!</v>
      </c>
      <c r="DO276" s="19" t="str">
        <f>DM276*(1+DO277)</f>
        <v>#ERROR!</v>
      </c>
      <c r="DP276" s="19" t="str">
        <f t="shared" ref="DP276:DR276" si="1610">DO276*(1+DP277)</f>
        <v>#ERROR!</v>
      </c>
      <c r="DQ276" s="19" t="str">
        <f t="shared" si="1610"/>
        <v>#ERROR!</v>
      </c>
      <c r="DR276" s="19" t="str">
        <f t="shared" si="1610"/>
        <v>#ERROR!</v>
      </c>
      <c r="DS276" s="18" t="str">
        <f>SUM(DO276:DR276)</f>
        <v>#ERROR!</v>
      </c>
      <c r="DT276" s="19" t="str">
        <f>DR276*(1+DT277)</f>
        <v>#ERROR!</v>
      </c>
      <c r="DU276" s="19" t="str">
        <f t="shared" ref="DU276:DW276" si="1611">DT276*(1+DU277)</f>
        <v>#ERROR!</v>
      </c>
      <c r="DV276" s="19" t="str">
        <f t="shared" si="1611"/>
        <v>#ERROR!</v>
      </c>
      <c r="DW276" s="19" t="str">
        <f t="shared" si="1611"/>
        <v>#ERROR!</v>
      </c>
      <c r="DX276" s="18" t="str">
        <f>SUM(DT276:DW276)</f>
        <v>#ERROR!</v>
      </c>
      <c r="DY276" s="19" t="str">
        <f>DW276*(1+DY277)</f>
        <v>#ERROR!</v>
      </c>
      <c r="DZ276" s="19" t="str">
        <f t="shared" ref="DZ276:EB276" si="1612">DY276*(1+DZ277)</f>
        <v>#ERROR!</v>
      </c>
      <c r="EA276" s="19" t="str">
        <f t="shared" si="1612"/>
        <v>#ERROR!</v>
      </c>
      <c r="EB276" s="19" t="str">
        <f t="shared" si="1612"/>
        <v>#ERROR!</v>
      </c>
      <c r="EC276" s="18" t="str">
        <f>SUM(DY276:EB276)</f>
        <v>#ERROR!</v>
      </c>
      <c r="ED276" s="19" t="str">
        <f>EB276*(1+ED277)</f>
        <v>#ERROR!</v>
      </c>
      <c r="EE276" s="19" t="str">
        <f t="shared" ref="EE276:EG276" si="1613">ED276*(1+EE277)</f>
        <v>#ERROR!</v>
      </c>
      <c r="EF276" s="19" t="str">
        <f t="shared" si="1613"/>
        <v>#ERROR!</v>
      </c>
      <c r="EG276" s="19" t="str">
        <f t="shared" si="1613"/>
        <v>#ERROR!</v>
      </c>
      <c r="EH276" s="18" t="str">
        <f>SUM(ED276:EG276)</f>
        <v>#ERROR!</v>
      </c>
      <c r="EI276" s="25" t="str">
        <f>EG276*(1+EI277)</f>
        <v>#ERROR!</v>
      </c>
      <c r="EJ276" s="17" t="str">
        <f t="shared" ref="EJ276:EL276" si="1614">EI276*(1+EJ277)</f>
        <v>#ERROR!</v>
      </c>
      <c r="EK276" s="17" t="str">
        <f t="shared" si="1614"/>
        <v>#ERROR!</v>
      </c>
      <c r="EL276" s="17" t="str">
        <f t="shared" si="1614"/>
        <v>#ERROR!</v>
      </c>
      <c r="EM276" s="18" t="str">
        <f>SUM(EI276:EL276)</f>
        <v>#ERROR!</v>
      </c>
      <c r="EN276" s="17" t="str">
        <f>EL276*(1+EN277)</f>
        <v>#ERROR!</v>
      </c>
      <c r="EO276" s="17" t="str">
        <f t="shared" ref="EO276:EQ276" si="1615">EN276*(1+EO277)</f>
        <v>#ERROR!</v>
      </c>
      <c r="EP276" s="17" t="str">
        <f t="shared" si="1615"/>
        <v>#ERROR!</v>
      </c>
      <c r="EQ276" s="17" t="str">
        <f t="shared" si="1615"/>
        <v>#ERROR!</v>
      </c>
      <c r="ER276" s="18" t="str">
        <f>SUM(EN276:EQ276)</f>
        <v>#ERROR!</v>
      </c>
      <c r="ES276" s="17" t="str">
        <f>EQ276*(1+ES277)</f>
        <v>#ERROR!</v>
      </c>
      <c r="ET276" s="17" t="str">
        <f t="shared" ref="ET276:EV276" si="1616">ES276*(1+ET277)</f>
        <v>#ERROR!</v>
      </c>
      <c r="EU276" s="17" t="str">
        <f t="shared" si="1616"/>
        <v>#ERROR!</v>
      </c>
      <c r="EV276" s="17" t="str">
        <f t="shared" si="1616"/>
        <v>#ERROR!</v>
      </c>
      <c r="EW276" s="18" t="str">
        <f>SUM(ES276:EV276)</f>
        <v>#ERROR!</v>
      </c>
      <c r="EX276" s="17" t="str">
        <f>EV276*(1+EX277)</f>
        <v>#ERROR!</v>
      </c>
      <c r="EY276" s="17" t="str">
        <f t="shared" ref="EY276:FA276" si="1617">EX276*(1+EY277)</f>
        <v>#ERROR!</v>
      </c>
      <c r="EZ276" s="17" t="str">
        <f t="shared" si="1617"/>
        <v>#ERROR!</v>
      </c>
      <c r="FA276" s="17" t="str">
        <f t="shared" si="1617"/>
        <v>#ERROR!</v>
      </c>
      <c r="FB276" s="18" t="str">
        <f>SUM(EX276:FA276)</f>
        <v>#ERROR!</v>
      </c>
      <c r="FC276" s="17" t="str">
        <f>FA276*(1+FC277)</f>
        <v>#ERROR!</v>
      </c>
      <c r="FD276" s="17" t="str">
        <f t="shared" ref="FD276:FF276" si="1618">FC276*(1+FD277)</f>
        <v>#ERROR!</v>
      </c>
      <c r="FE276" s="17" t="str">
        <f t="shared" si="1618"/>
        <v>#ERROR!</v>
      </c>
      <c r="FF276" s="17" t="str">
        <f t="shared" si="1618"/>
        <v>#ERROR!</v>
      </c>
      <c r="FG276" s="18" t="str">
        <f>SUM(FC276:FF276)</f>
        <v>#ERROR!</v>
      </c>
      <c r="FH276" s="74"/>
      <c r="FI276" s="17"/>
      <c r="FJ276" s="17"/>
      <c r="FK276" s="73"/>
      <c r="FL276" s="17"/>
    </row>
    <row r="277" ht="12.75" hidden="1" customHeight="1" outlineLevel="1">
      <c r="A277" s="421"/>
      <c r="B277" s="72" t="s">
        <v>150</v>
      </c>
      <c r="C277" s="45"/>
      <c r="D277" s="17"/>
      <c r="E277" s="17"/>
      <c r="F277" s="17"/>
      <c r="G277" s="17"/>
      <c r="H277" s="73"/>
      <c r="I277" s="17"/>
      <c r="J277" s="17"/>
      <c r="K277" s="17"/>
      <c r="L277" s="17"/>
      <c r="M277" s="73"/>
      <c r="N277" s="17"/>
      <c r="O277" s="17"/>
      <c r="P277" s="17"/>
      <c r="Q277" s="17"/>
      <c r="R277" s="73"/>
      <c r="S277" s="17"/>
      <c r="T277" s="17"/>
      <c r="U277" s="17"/>
      <c r="V277" s="17"/>
      <c r="W277" s="73"/>
      <c r="X277" s="17"/>
      <c r="Y277" s="17"/>
      <c r="Z277" s="17"/>
      <c r="AA277" s="17"/>
      <c r="AB277" s="73"/>
      <c r="AC277" s="17"/>
      <c r="AD277" s="17"/>
      <c r="AE277" s="17"/>
      <c r="AF277" s="17"/>
      <c r="AG277" s="73"/>
      <c r="AH277" s="17"/>
      <c r="AI277" s="17"/>
      <c r="AJ277" s="17"/>
      <c r="AK277" s="17"/>
      <c r="AL277" s="73"/>
      <c r="AM277" s="17"/>
      <c r="AN277" s="17"/>
      <c r="AO277" s="17"/>
      <c r="AP277" s="17"/>
      <c r="AQ277" s="73"/>
      <c r="AR277" s="17"/>
      <c r="AS277" s="17"/>
      <c r="AT277" s="17"/>
      <c r="AU277" s="17"/>
      <c r="AV277" s="73"/>
      <c r="AW277" s="17"/>
      <c r="AX277" s="17"/>
      <c r="AY277" s="17"/>
      <c r="AZ277" s="17"/>
      <c r="BA277" s="73"/>
      <c r="BB277" s="17"/>
      <c r="BC277" s="17"/>
      <c r="BD277" s="17"/>
      <c r="BE277" s="17"/>
      <c r="BF277" s="73"/>
      <c r="BG277" s="17"/>
      <c r="BH277" s="17"/>
      <c r="BI277" s="17"/>
      <c r="BJ277" s="17"/>
      <c r="BK277" s="73"/>
      <c r="BL277" s="17"/>
      <c r="BM277" s="17"/>
      <c r="BN277" s="17"/>
      <c r="BO277" s="17"/>
      <c r="BP277" s="73"/>
      <c r="BQ277" s="17"/>
      <c r="BR277" s="17"/>
      <c r="BS277" s="17"/>
      <c r="BT277" s="17"/>
      <c r="BU277" s="73"/>
      <c r="BV277" s="17"/>
      <c r="BW277" s="17"/>
      <c r="BX277" s="17"/>
      <c r="BY277" s="17"/>
      <c r="BZ277" s="18"/>
      <c r="CA277" s="17"/>
      <c r="CB277" s="17"/>
      <c r="CC277" s="17"/>
      <c r="CD277" s="17"/>
      <c r="CE277" s="18"/>
      <c r="CF277" s="17"/>
      <c r="CG277" s="17"/>
      <c r="CH277" s="17"/>
      <c r="CI277" s="17"/>
      <c r="CJ277" s="18"/>
      <c r="CK277" s="17"/>
      <c r="CL277" s="17"/>
      <c r="CM277" s="17"/>
      <c r="CN277" s="17"/>
      <c r="CO277" s="18"/>
      <c r="CP277" s="15" t="str">
        <f>CP276/CK276-1</f>
        <v>#ERROR!</v>
      </c>
      <c r="CQ277" s="15" t="str">
        <f t="shared" ref="CQ277:CS277" si="1619">CQ276/CP276-1</f>
        <v>#ERROR!</v>
      </c>
      <c r="CR277" s="15" t="str">
        <f t="shared" si="1619"/>
        <v>#ERROR!</v>
      </c>
      <c r="CS277" s="15" t="str">
        <f t="shared" si="1619"/>
        <v>#ERROR!</v>
      </c>
      <c r="CT277" s="37"/>
      <c r="CU277" s="15" t="str">
        <f>CU276/CP276-1</f>
        <v>#ERROR!</v>
      </c>
      <c r="CV277" s="15" t="str">
        <f t="shared" ref="CV277:CX277" si="1620">CV276/CU276-1</f>
        <v>#ERROR!</v>
      </c>
      <c r="CW277" s="15" t="str">
        <f t="shared" si="1620"/>
        <v>#ERROR!</v>
      </c>
      <c r="CX277" s="15" t="str">
        <f t="shared" si="1620"/>
        <v>#ERROR!</v>
      </c>
      <c r="CY277" s="37"/>
      <c r="CZ277" s="15" t="str">
        <f>CZ276/CX276-1</f>
        <v>#ERROR!</v>
      </c>
      <c r="DA277" s="15" t="str">
        <f t="shared" ref="DA277:DC277" si="1621">DA276/CZ276-1</f>
        <v>#ERROR!</v>
      </c>
      <c r="DB277" s="15" t="str">
        <f t="shared" si="1621"/>
        <v>#ERROR!</v>
      </c>
      <c r="DC277" s="15" t="str">
        <f t="shared" si="1621"/>
        <v>#ERROR!</v>
      </c>
      <c r="DD277" s="37"/>
      <c r="DE277" s="15" t="str">
        <f>DE276/DC276-1</f>
        <v>#ERROR!</v>
      </c>
      <c r="DF277" s="15" t="str">
        <f t="shared" ref="DF277:DG277" si="1622">DF276/DE276-1</f>
        <v>#ERROR!</v>
      </c>
      <c r="DG277" s="40" t="str">
        <f t="shared" si="1622"/>
        <v>#ERROR!</v>
      </c>
      <c r="DH277" s="15">
        <v>0.0</v>
      </c>
      <c r="DI277" s="37"/>
      <c r="DJ277" s="15" t="str">
        <f>DJ276/DH276-1</f>
        <v>#ERROR!</v>
      </c>
      <c r="DK277" s="15" t="str">
        <f>DK276/DJ276-1</f>
        <v>#ERROR!</v>
      </c>
      <c r="DL277" s="15">
        <v>0.15</v>
      </c>
      <c r="DM277" s="104">
        <v>-0.07</v>
      </c>
      <c r="DN277" s="37"/>
      <c r="DO277" s="435">
        <v>-0.13</v>
      </c>
      <c r="DP277" s="435">
        <v>-0.04</v>
      </c>
      <c r="DQ277" s="435">
        <v>0.15</v>
      </c>
      <c r="DR277" s="435">
        <v>0.114</v>
      </c>
      <c r="DS277" s="37"/>
      <c r="DT277" s="435">
        <v>-0.22</v>
      </c>
      <c r="DU277" s="435">
        <v>-0.14</v>
      </c>
      <c r="DV277" s="435">
        <v>0.1</v>
      </c>
      <c r="DW277" s="435">
        <v>0.25</v>
      </c>
      <c r="DX277" s="37"/>
      <c r="DY277" s="435">
        <v>-0.19</v>
      </c>
      <c r="DZ277" s="435">
        <v>0.03</v>
      </c>
      <c r="EA277" s="435">
        <v>0.11</v>
      </c>
      <c r="EB277" s="435">
        <v>0.15</v>
      </c>
      <c r="EC277" s="37"/>
      <c r="ED277" s="435">
        <v>0.0</v>
      </c>
      <c r="EE277" s="435">
        <v>-0.03</v>
      </c>
      <c r="EF277" s="435">
        <v>0.0</v>
      </c>
      <c r="EG277" s="435">
        <v>0.0</v>
      </c>
      <c r="EH277" s="37"/>
      <c r="EI277" s="412">
        <v>-0.01</v>
      </c>
      <c r="EJ277" s="436">
        <v>-0.02</v>
      </c>
      <c r="EK277" s="436">
        <v>0.02</v>
      </c>
      <c r="EL277" s="436">
        <v>0.02</v>
      </c>
      <c r="EM277" s="37"/>
      <c r="EN277" s="436">
        <v>-0.01</v>
      </c>
      <c r="EO277" s="436">
        <v>-0.03</v>
      </c>
      <c r="EP277" s="436">
        <v>0.02</v>
      </c>
      <c r="EQ277" s="436">
        <v>0.03</v>
      </c>
      <c r="ER277" s="37"/>
      <c r="ES277" s="436">
        <v>-0.03</v>
      </c>
      <c r="ET277" s="436">
        <v>-0.03</v>
      </c>
      <c r="EU277" s="436">
        <v>0.01</v>
      </c>
      <c r="EV277" s="436">
        <v>0.01</v>
      </c>
      <c r="EW277" s="37"/>
      <c r="EX277" s="436">
        <v>-0.07</v>
      </c>
      <c r="EY277" s="436">
        <v>-0.03</v>
      </c>
      <c r="EZ277" s="436">
        <v>0.01</v>
      </c>
      <c r="FA277" s="436">
        <v>0.01</v>
      </c>
      <c r="FB277" s="37"/>
      <c r="FC277" s="436">
        <v>-0.07</v>
      </c>
      <c r="FD277" s="436">
        <v>-0.03</v>
      </c>
      <c r="FE277" s="436">
        <v>0.01</v>
      </c>
      <c r="FF277" s="436">
        <v>0.01</v>
      </c>
      <c r="FG277" s="37"/>
      <c r="FH277" s="35"/>
      <c r="FI277" s="17"/>
      <c r="FJ277" s="17"/>
      <c r="FK277" s="73"/>
      <c r="FL277" s="17"/>
    </row>
    <row r="278" ht="12.75" hidden="1" customHeight="1" outlineLevel="1">
      <c r="A278" s="421"/>
      <c r="B278" s="72" t="s">
        <v>146</v>
      </c>
      <c r="C278" s="45"/>
      <c r="D278" s="17"/>
      <c r="E278" s="17"/>
      <c r="F278" s="17"/>
      <c r="G278" s="17"/>
      <c r="H278" s="73"/>
      <c r="I278" s="17"/>
      <c r="J278" s="17"/>
      <c r="K278" s="17"/>
      <c r="L278" s="17"/>
      <c r="M278" s="73"/>
      <c r="N278" s="17"/>
      <c r="O278" s="17"/>
      <c r="P278" s="17"/>
      <c r="Q278" s="17"/>
      <c r="R278" s="73"/>
      <c r="S278" s="17"/>
      <c r="T278" s="17"/>
      <c r="U278" s="17"/>
      <c r="V278" s="17"/>
      <c r="W278" s="73"/>
      <c r="X278" s="17"/>
      <c r="Y278" s="17"/>
      <c r="Z278" s="17"/>
      <c r="AA278" s="17"/>
      <c r="AB278" s="73"/>
      <c r="AC278" s="17"/>
      <c r="AD278" s="17"/>
      <c r="AE278" s="17"/>
      <c r="AF278" s="17"/>
      <c r="AG278" s="73"/>
      <c r="AH278" s="17"/>
      <c r="AI278" s="17"/>
      <c r="AJ278" s="17"/>
      <c r="AK278" s="17"/>
      <c r="AL278" s="73"/>
      <c r="AM278" s="17"/>
      <c r="AN278" s="17"/>
      <c r="AO278" s="17"/>
      <c r="AP278" s="17"/>
      <c r="AQ278" s="73"/>
      <c r="AR278" s="17"/>
      <c r="AS278" s="17"/>
      <c r="AT278" s="17"/>
      <c r="AU278" s="17"/>
      <c r="AV278" s="73"/>
      <c r="AW278" s="17"/>
      <c r="AX278" s="17"/>
      <c r="AY278" s="17"/>
      <c r="AZ278" s="17"/>
      <c r="BA278" s="73"/>
      <c r="BB278" s="17"/>
      <c r="BC278" s="17"/>
      <c r="BD278" s="17"/>
      <c r="BE278" s="17"/>
      <c r="BF278" s="73"/>
      <c r="BG278" s="17"/>
      <c r="BH278" s="17"/>
      <c r="BI278" s="17"/>
      <c r="BJ278" s="17"/>
      <c r="BK278" s="73"/>
      <c r="BL278" s="17"/>
      <c r="BM278" s="17"/>
      <c r="BN278" s="17"/>
      <c r="BO278" s="17"/>
      <c r="BP278" s="73"/>
      <c r="BQ278" s="17"/>
      <c r="BR278" s="17"/>
      <c r="BS278" s="17"/>
      <c r="BT278" s="17"/>
      <c r="BU278" s="73"/>
      <c r="BV278" s="17"/>
      <c r="BW278" s="17"/>
      <c r="BX278" s="17"/>
      <c r="BY278" s="17"/>
      <c r="BZ278" s="18"/>
      <c r="CA278" s="17"/>
      <c r="CB278" s="17"/>
      <c r="CC278" s="17"/>
      <c r="CD278" s="17"/>
      <c r="CE278" s="18"/>
      <c r="CF278" s="17"/>
      <c r="CG278" s="17"/>
      <c r="CH278" s="17"/>
      <c r="CI278" s="17"/>
      <c r="CJ278" s="18"/>
      <c r="CK278" s="17"/>
      <c r="CL278" s="17"/>
      <c r="CM278" s="17"/>
      <c r="CN278" s="17"/>
      <c r="CO278" s="18"/>
      <c r="CP278" s="15" t="str">
        <f t="shared" ref="CP278:CY278" si="1623">CP276/CK276-1</f>
        <v>#ERROR!</v>
      </c>
      <c r="CQ278" s="15" t="str">
        <f t="shared" si="1623"/>
        <v>#ERROR!</v>
      </c>
      <c r="CR278" s="15" t="str">
        <f t="shared" si="1623"/>
        <v>#ERROR!</v>
      </c>
      <c r="CS278" s="15" t="str">
        <f t="shared" si="1623"/>
        <v>#ERROR!</v>
      </c>
      <c r="CT278" s="24" t="str">
        <f t="shared" si="1623"/>
        <v>#ERROR!</v>
      </c>
      <c r="CU278" s="15" t="str">
        <f t="shared" si="1623"/>
        <v>#ERROR!</v>
      </c>
      <c r="CV278" s="15" t="str">
        <f t="shared" si="1623"/>
        <v>#ERROR!</v>
      </c>
      <c r="CW278" s="15" t="str">
        <f t="shared" si="1623"/>
        <v>#ERROR!</v>
      </c>
      <c r="CX278" s="15" t="str">
        <f t="shared" si="1623"/>
        <v>#ERROR!</v>
      </c>
      <c r="CY278" s="313" t="str">
        <f t="shared" si="1623"/>
        <v>#ERROR!</v>
      </c>
      <c r="CZ278" s="40">
        <v>-0.04</v>
      </c>
      <c r="DA278" s="40">
        <v>-0.07</v>
      </c>
      <c r="DB278" s="40">
        <v>-0.06</v>
      </c>
      <c r="DC278" s="40">
        <v>-0.09</v>
      </c>
      <c r="DD278" s="313" t="str">
        <f>DD276/CY276-1</f>
        <v>#ERROR!</v>
      </c>
      <c r="DE278" s="15">
        <v>-0.07</v>
      </c>
      <c r="DF278" s="435">
        <v>-0.01</v>
      </c>
      <c r="DG278" s="437">
        <v>0.06</v>
      </c>
      <c r="DH278" s="40" t="str">
        <f t="shared" ref="DH278:EF278" si="1624">DH276/DC276-1</f>
        <v>#ERROR!</v>
      </c>
      <c r="DI278" s="313" t="str">
        <f t="shared" si="1624"/>
        <v>#ERROR!</v>
      </c>
      <c r="DJ278" s="40" t="str">
        <f t="shared" si="1624"/>
        <v>#ERROR!</v>
      </c>
      <c r="DK278" s="40" t="str">
        <f t="shared" si="1624"/>
        <v>#ERROR!</v>
      </c>
      <c r="DL278" s="40" t="str">
        <f t="shared" si="1624"/>
        <v>#ERROR!</v>
      </c>
      <c r="DM278" s="40" t="str">
        <f t="shared" si="1624"/>
        <v>#ERROR!</v>
      </c>
      <c r="DN278" s="313" t="str">
        <f t="shared" si="1624"/>
        <v>#ERROR!</v>
      </c>
      <c r="DO278" s="40" t="str">
        <f t="shared" si="1624"/>
        <v>#ERROR!</v>
      </c>
      <c r="DP278" s="40" t="str">
        <f t="shared" si="1624"/>
        <v>#ERROR!</v>
      </c>
      <c r="DQ278" s="40" t="str">
        <f t="shared" si="1624"/>
        <v>#ERROR!</v>
      </c>
      <c r="DR278" s="40" t="str">
        <f t="shared" si="1624"/>
        <v>#ERROR!</v>
      </c>
      <c r="DS278" s="313" t="str">
        <f t="shared" si="1624"/>
        <v>#ERROR!</v>
      </c>
      <c r="DT278" s="40" t="str">
        <f t="shared" si="1624"/>
        <v>#ERROR!</v>
      </c>
      <c r="DU278" s="40" t="str">
        <f t="shared" si="1624"/>
        <v>#ERROR!</v>
      </c>
      <c r="DV278" s="40" t="str">
        <f t="shared" si="1624"/>
        <v>#ERROR!</v>
      </c>
      <c r="DW278" s="40" t="str">
        <f t="shared" si="1624"/>
        <v>#ERROR!</v>
      </c>
      <c r="DX278" s="313" t="str">
        <f t="shared" si="1624"/>
        <v>#ERROR!</v>
      </c>
      <c r="DY278" s="40" t="str">
        <f t="shared" si="1624"/>
        <v>#ERROR!</v>
      </c>
      <c r="DZ278" s="40" t="str">
        <f t="shared" si="1624"/>
        <v>#ERROR!</v>
      </c>
      <c r="EA278" s="40" t="str">
        <f t="shared" si="1624"/>
        <v>#ERROR!</v>
      </c>
      <c r="EB278" s="40" t="str">
        <f t="shared" si="1624"/>
        <v>#ERROR!</v>
      </c>
      <c r="EC278" s="313" t="str">
        <f t="shared" si="1624"/>
        <v>#ERROR!</v>
      </c>
      <c r="ED278" s="40" t="str">
        <f t="shared" si="1624"/>
        <v>#ERROR!</v>
      </c>
      <c r="EE278" s="40" t="str">
        <f t="shared" si="1624"/>
        <v>#ERROR!</v>
      </c>
      <c r="EF278" s="40" t="str">
        <f t="shared" si="1624"/>
        <v>#ERROR!</v>
      </c>
      <c r="EG278" s="40">
        <v>0.03</v>
      </c>
      <c r="EH278" s="313" t="str">
        <f t="shared" ref="EH278:FG278" si="1625">EH276/EC276-1</f>
        <v>#ERROR!</v>
      </c>
      <c r="EI278" s="82" t="str">
        <f t="shared" si="1625"/>
        <v>#ERROR!</v>
      </c>
      <c r="EJ278" s="15" t="str">
        <f t="shared" si="1625"/>
        <v>#ERROR!</v>
      </c>
      <c r="EK278" s="15" t="str">
        <f t="shared" si="1625"/>
        <v>#ERROR!</v>
      </c>
      <c r="EL278" s="15" t="str">
        <f t="shared" si="1625"/>
        <v>#ERROR!</v>
      </c>
      <c r="EM278" s="313" t="str">
        <f t="shared" si="1625"/>
        <v>#ERROR!</v>
      </c>
      <c r="EN278" s="15" t="str">
        <f t="shared" si="1625"/>
        <v>#ERROR!</v>
      </c>
      <c r="EO278" s="15" t="str">
        <f t="shared" si="1625"/>
        <v>#ERROR!</v>
      </c>
      <c r="EP278" s="15" t="str">
        <f t="shared" si="1625"/>
        <v>#ERROR!</v>
      </c>
      <c r="EQ278" s="15" t="str">
        <f t="shared" si="1625"/>
        <v>#ERROR!</v>
      </c>
      <c r="ER278" s="313" t="str">
        <f t="shared" si="1625"/>
        <v>#ERROR!</v>
      </c>
      <c r="ES278" s="15" t="str">
        <f t="shared" si="1625"/>
        <v>#ERROR!</v>
      </c>
      <c r="ET278" s="15" t="str">
        <f t="shared" si="1625"/>
        <v>#ERROR!</v>
      </c>
      <c r="EU278" s="15" t="str">
        <f t="shared" si="1625"/>
        <v>#ERROR!</v>
      </c>
      <c r="EV278" s="15" t="str">
        <f t="shared" si="1625"/>
        <v>#ERROR!</v>
      </c>
      <c r="EW278" s="313" t="str">
        <f t="shared" si="1625"/>
        <v>#ERROR!</v>
      </c>
      <c r="EX278" s="15" t="str">
        <f t="shared" si="1625"/>
        <v>#ERROR!</v>
      </c>
      <c r="EY278" s="15" t="str">
        <f t="shared" si="1625"/>
        <v>#ERROR!</v>
      </c>
      <c r="EZ278" s="15" t="str">
        <f t="shared" si="1625"/>
        <v>#ERROR!</v>
      </c>
      <c r="FA278" s="15" t="str">
        <f t="shared" si="1625"/>
        <v>#ERROR!</v>
      </c>
      <c r="FB278" s="313" t="str">
        <f t="shared" si="1625"/>
        <v>#ERROR!</v>
      </c>
      <c r="FC278" s="15" t="str">
        <f t="shared" si="1625"/>
        <v>#ERROR!</v>
      </c>
      <c r="FD278" s="15" t="str">
        <f t="shared" si="1625"/>
        <v>#ERROR!</v>
      </c>
      <c r="FE278" s="15" t="str">
        <f t="shared" si="1625"/>
        <v>#ERROR!</v>
      </c>
      <c r="FF278" s="15" t="str">
        <f t="shared" si="1625"/>
        <v>#ERROR!</v>
      </c>
      <c r="FG278" s="313" t="str">
        <f t="shared" si="1625"/>
        <v>#ERROR!</v>
      </c>
      <c r="FH278" s="40"/>
      <c r="FI278" s="17"/>
      <c r="FJ278" s="17"/>
      <c r="FK278" s="73"/>
      <c r="FL278" s="17"/>
    </row>
    <row r="279" ht="12.75" hidden="1" customHeight="1" outlineLevel="1">
      <c r="A279" s="16"/>
      <c r="B279" s="367" t="s">
        <v>151</v>
      </c>
      <c r="C279" s="145"/>
      <c r="D279" s="19"/>
      <c r="E279" s="19"/>
      <c r="F279" s="19"/>
      <c r="G279" s="19"/>
      <c r="H279" s="74"/>
      <c r="I279" s="19"/>
      <c r="J279" s="19"/>
      <c r="K279" s="19"/>
      <c r="L279" s="19"/>
      <c r="M279" s="74"/>
      <c r="N279" s="19"/>
      <c r="O279" s="19"/>
      <c r="P279" s="19"/>
      <c r="Q279" s="19"/>
      <c r="R279" s="74"/>
      <c r="S279" s="19"/>
      <c r="T279" s="19"/>
      <c r="U279" s="19"/>
      <c r="V279" s="19"/>
      <c r="W279" s="74"/>
      <c r="X279" s="19"/>
      <c r="Y279" s="19"/>
      <c r="Z279" s="19"/>
      <c r="AA279" s="19"/>
      <c r="AB279" s="74"/>
      <c r="AC279" s="19"/>
      <c r="AD279" s="19"/>
      <c r="AE279" s="19"/>
      <c r="AF279" s="19"/>
      <c r="AG279" s="74"/>
      <c r="AH279" s="19"/>
      <c r="AI279" s="19"/>
      <c r="AJ279" s="19"/>
      <c r="AK279" s="19"/>
      <c r="AL279" s="74"/>
      <c r="AM279" s="19"/>
      <c r="AN279" s="19"/>
      <c r="AO279" s="19"/>
      <c r="AP279" s="19"/>
      <c r="AQ279" s="74"/>
      <c r="AR279" s="19"/>
      <c r="AS279" s="19"/>
      <c r="AT279" s="19"/>
      <c r="AU279" s="19"/>
      <c r="AV279" s="74"/>
      <c r="AW279" s="19"/>
      <c r="AX279" s="19"/>
      <c r="AY279" s="19"/>
      <c r="AZ279" s="19"/>
      <c r="BA279" s="74"/>
      <c r="BB279" s="19"/>
      <c r="BC279" s="19"/>
      <c r="BD279" s="19"/>
      <c r="BE279" s="19"/>
      <c r="BF279" s="74"/>
      <c r="BG279" s="19"/>
      <c r="BH279" s="19"/>
      <c r="BI279" s="19"/>
      <c r="BJ279" s="19"/>
      <c r="BK279" s="74"/>
      <c r="BL279" s="19"/>
      <c r="BM279" s="19"/>
      <c r="BN279" s="19"/>
      <c r="BO279" s="19"/>
      <c r="BP279" s="74"/>
      <c r="BQ279" s="19"/>
      <c r="BR279" s="19"/>
      <c r="BS279" s="19"/>
      <c r="BT279" s="19"/>
      <c r="BU279" s="74"/>
      <c r="BV279" s="19"/>
      <c r="BW279" s="19"/>
      <c r="BX279" s="19"/>
      <c r="BY279" s="19"/>
      <c r="BZ279" s="74"/>
      <c r="CA279" s="19"/>
      <c r="CB279" s="19"/>
      <c r="CC279" s="19"/>
      <c r="CD279" s="19"/>
      <c r="CE279" s="74"/>
      <c r="CF279" s="19"/>
      <c r="CG279" s="19"/>
      <c r="CH279" s="19"/>
      <c r="CI279" s="19"/>
      <c r="CJ279" s="74"/>
      <c r="CK279" s="19"/>
      <c r="CL279" s="19"/>
      <c r="CM279" s="19"/>
      <c r="CN279" s="19"/>
      <c r="CO279" s="74"/>
      <c r="CP279" s="438"/>
      <c r="CQ279" s="438"/>
      <c r="CR279" s="438"/>
      <c r="CS279" s="438"/>
      <c r="CT279" s="35"/>
      <c r="CU279" s="85" t="str">
        <f t="shared" ref="CU279:CX279" si="1626">AVERAGE(CP277,CK277,CU277)</f>
        <v>#ERROR!</v>
      </c>
      <c r="CV279" s="85" t="str">
        <f t="shared" si="1626"/>
        <v>#ERROR!</v>
      </c>
      <c r="CW279" s="85" t="str">
        <f t="shared" si="1626"/>
        <v>#ERROR!</v>
      </c>
      <c r="CX279" s="85" t="str">
        <f t="shared" si="1626"/>
        <v>#ERROR!</v>
      </c>
      <c r="CY279" s="35"/>
      <c r="CZ279" s="85" t="str">
        <f t="shared" ref="CZ279:DC279" si="1627">AVERAGE(CU277,CP277,CZ277)</f>
        <v>#ERROR!</v>
      </c>
      <c r="DA279" s="85" t="str">
        <f t="shared" si="1627"/>
        <v>#ERROR!</v>
      </c>
      <c r="DB279" s="85" t="str">
        <f t="shared" si="1627"/>
        <v>#ERROR!</v>
      </c>
      <c r="DC279" s="85" t="str">
        <f t="shared" si="1627"/>
        <v>#ERROR!</v>
      </c>
      <c r="DD279" s="35"/>
      <c r="DE279" s="85" t="str">
        <f t="shared" ref="DE279:DH279" si="1628">AVERAGE(CZ277,CU277,DE277)</f>
        <v>#ERROR!</v>
      </c>
      <c r="DF279" s="85" t="str">
        <f t="shared" si="1628"/>
        <v>#ERROR!</v>
      </c>
      <c r="DG279" s="85" t="str">
        <f t="shared" si="1628"/>
        <v>#ERROR!</v>
      </c>
      <c r="DH279" s="85" t="str">
        <f t="shared" si="1628"/>
        <v>#ERROR!</v>
      </c>
      <c r="DI279" s="35"/>
      <c r="DJ279" s="85" t="str">
        <f t="shared" ref="DJ279:DM279" si="1629">AVERAGE(DE277,CZ277,DJ277)</f>
        <v>#ERROR!</v>
      </c>
      <c r="DK279" s="85" t="str">
        <f t="shared" si="1629"/>
        <v>#ERROR!</v>
      </c>
      <c r="DL279" s="85" t="str">
        <f t="shared" si="1629"/>
        <v>#ERROR!</v>
      </c>
      <c r="DM279" s="85" t="str">
        <f t="shared" si="1629"/>
        <v>#ERROR!</v>
      </c>
      <c r="DN279" s="35"/>
      <c r="DO279" s="85" t="str">
        <f t="shared" ref="DO279:DR279" si="1630">AVERAGE(DJ277,DE277,DO277)</f>
        <v>#ERROR!</v>
      </c>
      <c r="DP279" s="85" t="str">
        <f t="shared" si="1630"/>
        <v>#ERROR!</v>
      </c>
      <c r="DQ279" s="85" t="str">
        <f t="shared" si="1630"/>
        <v>#ERROR!</v>
      </c>
      <c r="DR279" s="85">
        <f t="shared" si="1630"/>
        <v>0.01466666667</v>
      </c>
      <c r="DS279" s="35"/>
      <c r="DT279" s="85" t="str">
        <f t="shared" ref="DT279:DW279" si="1631">AVERAGE(DO277,DJ277,DT277)</f>
        <v>#ERROR!</v>
      </c>
      <c r="DU279" s="85" t="str">
        <f t="shared" si="1631"/>
        <v>#ERROR!</v>
      </c>
      <c r="DV279" s="85">
        <f t="shared" si="1631"/>
        <v>0.1333333333</v>
      </c>
      <c r="DW279" s="85">
        <f t="shared" si="1631"/>
        <v>0.098</v>
      </c>
      <c r="DX279" s="35"/>
      <c r="DY279" s="85">
        <f t="shared" ref="DY279:EB279" si="1632">AVERAGE(DT277,DO277,DY277)</f>
        <v>-0.18</v>
      </c>
      <c r="DZ279" s="85">
        <f t="shared" si="1632"/>
        <v>-0.05</v>
      </c>
      <c r="EA279" s="85">
        <f t="shared" si="1632"/>
        <v>0.12</v>
      </c>
      <c r="EB279" s="85">
        <f t="shared" si="1632"/>
        <v>0.1713333333</v>
      </c>
      <c r="EC279" s="37"/>
      <c r="ED279" s="85">
        <f t="shared" ref="ED279:EG279" si="1633">AVERAGE(DY277,DT277,ED277)</f>
        <v>-0.1366666667</v>
      </c>
      <c r="EE279" s="85">
        <f t="shared" si="1633"/>
        <v>-0.04666666667</v>
      </c>
      <c r="EF279" s="85">
        <f t="shared" si="1633"/>
        <v>0.07</v>
      </c>
      <c r="EG279" s="85">
        <f t="shared" si="1633"/>
        <v>0.1333333333</v>
      </c>
      <c r="EH279" s="37"/>
      <c r="EI279" s="362">
        <f t="shared" ref="EI279:EL279" si="1634">AVERAGE(ED277,DY277,EI277)</f>
        <v>-0.06666666667</v>
      </c>
      <c r="EJ279" s="85">
        <f t="shared" si="1634"/>
        <v>-0.006666666667</v>
      </c>
      <c r="EK279" s="85">
        <f t="shared" si="1634"/>
        <v>0.04333333333</v>
      </c>
      <c r="EL279" s="85">
        <f t="shared" si="1634"/>
        <v>0.05666666667</v>
      </c>
      <c r="EM279" s="37"/>
      <c r="EN279" s="85">
        <f t="shared" ref="EN279:EQ279" si="1635">AVERAGE(EI277,ED277,EN277)</f>
        <v>-0.006666666667</v>
      </c>
      <c r="EO279" s="85">
        <f t="shared" si="1635"/>
        <v>-0.02666666667</v>
      </c>
      <c r="EP279" s="85">
        <f t="shared" si="1635"/>
        <v>0.01333333333</v>
      </c>
      <c r="EQ279" s="85">
        <f t="shared" si="1635"/>
        <v>0.01666666667</v>
      </c>
      <c r="ER279" s="37"/>
      <c r="ES279" s="85">
        <f t="shared" ref="ES279:EV279" si="1636">AVERAGE(EN277,EI277,ES277)</f>
        <v>-0.01666666667</v>
      </c>
      <c r="ET279" s="85">
        <f t="shared" si="1636"/>
        <v>-0.02666666667</v>
      </c>
      <c r="EU279" s="85">
        <f t="shared" si="1636"/>
        <v>0.01666666667</v>
      </c>
      <c r="EV279" s="85">
        <f t="shared" si="1636"/>
        <v>0.02</v>
      </c>
      <c r="EW279" s="37"/>
      <c r="EX279" s="85">
        <f t="shared" ref="EX279:FA279" si="1637">AVERAGE(ES277,EN277,EX277)</f>
        <v>-0.03666666667</v>
      </c>
      <c r="EY279" s="85">
        <f t="shared" si="1637"/>
        <v>-0.03</v>
      </c>
      <c r="EZ279" s="85">
        <f t="shared" si="1637"/>
        <v>0.01333333333</v>
      </c>
      <c r="FA279" s="85">
        <f t="shared" si="1637"/>
        <v>0.01666666667</v>
      </c>
      <c r="FB279" s="37"/>
      <c r="FC279" s="85">
        <f t="shared" ref="FC279:FF279" si="1638">AVERAGE(EX277,ES277,FC277)</f>
        <v>-0.05666666667</v>
      </c>
      <c r="FD279" s="85">
        <f t="shared" si="1638"/>
        <v>-0.03</v>
      </c>
      <c r="FE279" s="85">
        <f t="shared" si="1638"/>
        <v>0.01</v>
      </c>
      <c r="FF279" s="85">
        <f t="shared" si="1638"/>
        <v>0.01</v>
      </c>
      <c r="FG279" s="37"/>
      <c r="FH279" s="35"/>
      <c r="FI279" s="19"/>
      <c r="FJ279" s="19"/>
      <c r="FK279" s="74"/>
      <c r="FL279" s="19"/>
    </row>
    <row r="280" ht="12.75" hidden="1" customHeight="1" outlineLevel="1">
      <c r="A280" s="421"/>
      <c r="B280" s="84" t="s">
        <v>153</v>
      </c>
      <c r="C280" s="45"/>
      <c r="D280" s="17"/>
      <c r="E280" s="17"/>
      <c r="F280" s="17"/>
      <c r="G280" s="17"/>
      <c r="H280" s="73"/>
      <c r="I280" s="17"/>
      <c r="J280" s="17"/>
      <c r="K280" s="17"/>
      <c r="L280" s="17"/>
      <c r="M280" s="73"/>
      <c r="N280" s="17"/>
      <c r="O280" s="17"/>
      <c r="P280" s="17"/>
      <c r="Q280" s="17"/>
      <c r="R280" s="73"/>
      <c r="S280" s="17"/>
      <c r="T280" s="17"/>
      <c r="U280" s="17"/>
      <c r="V280" s="17"/>
      <c r="W280" s="73"/>
      <c r="X280" s="17"/>
      <c r="Y280" s="17"/>
      <c r="Z280" s="17"/>
      <c r="AA280" s="17"/>
      <c r="AB280" s="73"/>
      <c r="AC280" s="17"/>
      <c r="AD280" s="17"/>
      <c r="AE280" s="17"/>
      <c r="AF280" s="17"/>
      <c r="AG280" s="73"/>
      <c r="AH280" s="17"/>
      <c r="AI280" s="17"/>
      <c r="AJ280" s="17"/>
      <c r="AK280" s="17"/>
      <c r="AL280" s="73"/>
      <c r="AM280" s="17"/>
      <c r="AN280" s="17"/>
      <c r="AO280" s="17"/>
      <c r="AP280" s="17"/>
      <c r="AQ280" s="73"/>
      <c r="AR280" s="17"/>
      <c r="AS280" s="17"/>
      <c r="AT280" s="17"/>
      <c r="AU280" s="17"/>
      <c r="AV280" s="73"/>
      <c r="AW280" s="17"/>
      <c r="AX280" s="17"/>
      <c r="AY280" s="17"/>
      <c r="AZ280" s="17"/>
      <c r="BA280" s="73"/>
      <c r="BB280" s="17"/>
      <c r="BC280" s="17"/>
      <c r="BD280" s="17"/>
      <c r="BE280" s="17"/>
      <c r="BF280" s="73"/>
      <c r="BG280" s="17"/>
      <c r="BH280" s="17"/>
      <c r="BI280" s="17"/>
      <c r="BJ280" s="17"/>
      <c r="BK280" s="73"/>
      <c r="BL280" s="17"/>
      <c r="BM280" s="17"/>
      <c r="BN280" s="17"/>
      <c r="BO280" s="17"/>
      <c r="BP280" s="73"/>
      <c r="BQ280" s="17"/>
      <c r="BR280" s="17"/>
      <c r="BS280" s="17"/>
      <c r="BT280" s="17"/>
      <c r="BU280" s="73"/>
      <c r="BV280" s="17"/>
      <c r="BW280" s="17"/>
      <c r="BX280" s="17"/>
      <c r="BY280" s="17"/>
      <c r="BZ280" s="18"/>
      <c r="CA280" s="17"/>
      <c r="CB280" s="17"/>
      <c r="CC280" s="17"/>
      <c r="CD280" s="17"/>
      <c r="CE280" s="18"/>
      <c r="CF280" s="17"/>
      <c r="CG280" s="17"/>
      <c r="CH280" s="17"/>
      <c r="CI280" s="17"/>
      <c r="CJ280" s="18"/>
      <c r="CK280" s="17"/>
      <c r="CL280" s="17"/>
      <c r="CM280" s="17"/>
      <c r="CN280" s="17"/>
      <c r="CO280" s="18"/>
      <c r="CP280" s="439"/>
      <c r="CQ280" s="439"/>
      <c r="CR280" s="439"/>
      <c r="CS280" s="439"/>
      <c r="CT280" s="37"/>
      <c r="CU280" s="439"/>
      <c r="CV280" s="40"/>
      <c r="CW280" s="40"/>
      <c r="CX280" s="40"/>
      <c r="CY280" s="37"/>
      <c r="CZ280" s="440">
        <v>29054.0</v>
      </c>
      <c r="DA280" s="440">
        <v>26400.0</v>
      </c>
      <c r="DB280" s="440">
        <v>28086.0</v>
      </c>
      <c r="DC280" s="440">
        <v>30432.0</v>
      </c>
      <c r="DD280" s="441">
        <f>SUM(CZ280:DC280)</f>
        <v>113972</v>
      </c>
      <c r="DE280" s="440">
        <v>22947.0</v>
      </c>
      <c r="DF280" s="440">
        <v>23372.0</v>
      </c>
      <c r="DG280" s="440">
        <v>24298.0</v>
      </c>
      <c r="DH280" s="440">
        <v>25246.0</v>
      </c>
      <c r="DI280" s="441">
        <f>SUM(DE280:DH280)</f>
        <v>95863</v>
      </c>
      <c r="DJ280" s="440">
        <v>21781.668799999996</v>
      </c>
      <c r="DK280" s="440">
        <v>21635.819199999994</v>
      </c>
      <c r="DL280" s="440">
        <v>25461.465</v>
      </c>
      <c r="DM280" s="440">
        <v>24105.502000000008</v>
      </c>
      <c r="DN280" s="441">
        <f>SUM(DJ280:DM280)</f>
        <v>92984.455</v>
      </c>
      <c r="DO280" s="440">
        <v>21488.42289999999</v>
      </c>
      <c r="DP280" s="440">
        <v>20393.07159999999</v>
      </c>
      <c r="DQ280" s="440">
        <v>23793.457499999997</v>
      </c>
      <c r="DR280" s="440">
        <v>26511.0</v>
      </c>
      <c r="DS280" s="441">
        <f>SUM(DO280:DR280)</f>
        <v>92185.952</v>
      </c>
      <c r="DT280" s="440">
        <v>20906.778140000002</v>
      </c>
      <c r="DU280" s="440">
        <v>17986.9376</v>
      </c>
      <c r="DV280" s="440">
        <v>20003.896629999996</v>
      </c>
      <c r="DW280" s="440">
        <v>24841.184590000004</v>
      </c>
      <c r="DX280" s="441">
        <f>SUM(DT280:DW280)</f>
        <v>83738.79696</v>
      </c>
      <c r="DY280" s="440">
        <v>20191.242899999994</v>
      </c>
      <c r="DZ280" s="440">
        <v>20126.414099999995</v>
      </c>
      <c r="EA280" s="440">
        <v>22389.023200000014</v>
      </c>
      <c r="EB280" s="440">
        <v>25538.26672</v>
      </c>
      <c r="EC280" s="441">
        <f>SUM(DY280:EB280)</f>
        <v>88244.94692</v>
      </c>
      <c r="ED280" s="440">
        <v>17649.8378</v>
      </c>
      <c r="EE280" s="440">
        <v>16902.129700000005</v>
      </c>
      <c r="EF280" s="440">
        <v>21961.999999999993</v>
      </c>
      <c r="EG280" s="440">
        <v>21086.000000000007</v>
      </c>
      <c r="EH280" s="441">
        <f>SUM(ED280:EG280)</f>
        <v>77599.9675</v>
      </c>
      <c r="EI280" s="442">
        <v>18570.0</v>
      </c>
      <c r="EJ280" s="440">
        <v>17794.000000000004</v>
      </c>
      <c r="EK280" s="440">
        <v>20766.000000000004</v>
      </c>
      <c r="EL280" s="440">
        <v>22128.0</v>
      </c>
      <c r="EM280" s="441">
        <f>SUM(EI280:EL280)</f>
        <v>79258</v>
      </c>
      <c r="EN280" s="440">
        <v>17821.000000000007</v>
      </c>
      <c r="EO280" s="440">
        <v>17045.999999999996</v>
      </c>
      <c r="EP280" s="440">
        <v>20017.0</v>
      </c>
      <c r="EQ280" s="440">
        <v>21379.000000000004</v>
      </c>
      <c r="ER280" s="441">
        <f>SUM(EN280:EQ280)</f>
        <v>76263</v>
      </c>
      <c r="ES280" s="440"/>
      <c r="ET280" s="440"/>
      <c r="EU280" s="440"/>
      <c r="EV280" s="440"/>
      <c r="EW280" s="441"/>
      <c r="EX280" s="440"/>
      <c r="EY280" s="440"/>
      <c r="EZ280" s="440"/>
      <c r="FA280" s="440"/>
      <c r="FB280" s="441"/>
      <c r="FC280" s="440"/>
      <c r="FD280" s="440"/>
      <c r="FE280" s="440"/>
      <c r="FF280" s="440"/>
      <c r="FG280" s="441"/>
      <c r="FH280" s="443"/>
      <c r="FI280" s="17"/>
      <c r="FJ280" s="17"/>
      <c r="FK280" s="73"/>
      <c r="FL280" s="17"/>
    </row>
    <row r="281" ht="12.75" hidden="1" customHeight="1" outlineLevel="1">
      <c r="A281" s="421"/>
      <c r="B281" s="84" t="s">
        <v>154</v>
      </c>
      <c r="C281" s="45"/>
      <c r="D281" s="17"/>
      <c r="E281" s="17"/>
      <c r="F281" s="17"/>
      <c r="G281" s="17"/>
      <c r="H281" s="73"/>
      <c r="I281" s="17"/>
      <c r="J281" s="17"/>
      <c r="K281" s="17"/>
      <c r="L281" s="17"/>
      <c r="M281" s="73"/>
      <c r="N281" s="17"/>
      <c r="O281" s="17"/>
      <c r="P281" s="17"/>
      <c r="Q281" s="17"/>
      <c r="R281" s="73"/>
      <c r="S281" s="17"/>
      <c r="T281" s="17"/>
      <c r="U281" s="17"/>
      <c r="V281" s="17"/>
      <c r="W281" s="73"/>
      <c r="X281" s="17"/>
      <c r="Y281" s="17"/>
      <c r="Z281" s="17"/>
      <c r="AA281" s="17"/>
      <c r="AB281" s="73"/>
      <c r="AC281" s="17"/>
      <c r="AD281" s="17"/>
      <c r="AE281" s="17"/>
      <c r="AF281" s="17"/>
      <c r="AG281" s="73"/>
      <c r="AH281" s="17"/>
      <c r="AI281" s="17"/>
      <c r="AJ281" s="17"/>
      <c r="AK281" s="17"/>
      <c r="AL281" s="73"/>
      <c r="AM281" s="17"/>
      <c r="AN281" s="17"/>
      <c r="AO281" s="17"/>
      <c r="AP281" s="17"/>
      <c r="AQ281" s="73"/>
      <c r="AR281" s="17"/>
      <c r="AS281" s="17"/>
      <c r="AT281" s="17"/>
      <c r="AU281" s="17"/>
      <c r="AV281" s="73"/>
      <c r="AW281" s="17"/>
      <c r="AX281" s="17"/>
      <c r="AY281" s="17"/>
      <c r="AZ281" s="17"/>
      <c r="BA281" s="73"/>
      <c r="BB281" s="17"/>
      <c r="BC281" s="17"/>
      <c r="BD281" s="17"/>
      <c r="BE281" s="17"/>
      <c r="BF281" s="73"/>
      <c r="BG281" s="17"/>
      <c r="BH281" s="17"/>
      <c r="BI281" s="17"/>
      <c r="BJ281" s="17"/>
      <c r="BK281" s="73"/>
      <c r="BL281" s="17"/>
      <c r="BM281" s="17"/>
      <c r="BN281" s="17"/>
      <c r="BO281" s="17"/>
      <c r="BP281" s="73"/>
      <c r="BQ281" s="17"/>
      <c r="BR281" s="17"/>
      <c r="BS281" s="17"/>
      <c r="BT281" s="17"/>
      <c r="BU281" s="73"/>
      <c r="BV281" s="17"/>
      <c r="BW281" s="17"/>
      <c r="BX281" s="17"/>
      <c r="BY281" s="17"/>
      <c r="BZ281" s="18"/>
      <c r="CA281" s="17"/>
      <c r="CB281" s="17"/>
      <c r="CC281" s="17"/>
      <c r="CD281" s="17"/>
      <c r="CE281" s="18"/>
      <c r="CF281" s="17"/>
      <c r="CG281" s="17"/>
      <c r="CH281" s="17"/>
      <c r="CI281" s="17"/>
      <c r="CJ281" s="18"/>
      <c r="CK281" s="17"/>
      <c r="CL281" s="17"/>
      <c r="CM281" s="17"/>
      <c r="CN281" s="17"/>
      <c r="CO281" s="18"/>
      <c r="CP281" s="439"/>
      <c r="CQ281" s="439"/>
      <c r="CR281" s="439"/>
      <c r="CS281" s="439"/>
      <c r="CT281" s="37"/>
      <c r="CU281" s="439"/>
      <c r="CV281" s="40"/>
      <c r="CW281" s="40"/>
      <c r="CX281" s="40"/>
      <c r="CY281" s="37"/>
      <c r="CZ281" s="40" t="str">
        <f t="shared" ref="CZ281:ER281" si="1639">CZ276/CZ280</f>
        <v>#ERROR!</v>
      </c>
      <c r="DA281" s="40" t="str">
        <f t="shared" si="1639"/>
        <v>#ERROR!</v>
      </c>
      <c r="DB281" s="40" t="str">
        <f t="shared" si="1639"/>
        <v>#ERROR!</v>
      </c>
      <c r="DC281" s="40" t="str">
        <f t="shared" si="1639"/>
        <v>#ERROR!</v>
      </c>
      <c r="DD281" s="37" t="str">
        <f t="shared" si="1639"/>
        <v>#ERROR!</v>
      </c>
      <c r="DE281" s="40" t="str">
        <f t="shared" si="1639"/>
        <v>#ERROR!</v>
      </c>
      <c r="DF281" s="40" t="str">
        <f t="shared" si="1639"/>
        <v>#ERROR!</v>
      </c>
      <c r="DG281" s="40" t="str">
        <f t="shared" si="1639"/>
        <v>#ERROR!</v>
      </c>
      <c r="DH281" s="40" t="str">
        <f t="shared" si="1639"/>
        <v>#ERROR!</v>
      </c>
      <c r="DI281" s="37" t="str">
        <f t="shared" si="1639"/>
        <v>#ERROR!</v>
      </c>
      <c r="DJ281" s="40" t="str">
        <f t="shared" si="1639"/>
        <v>#ERROR!</v>
      </c>
      <c r="DK281" s="40" t="str">
        <f t="shared" si="1639"/>
        <v>#ERROR!</v>
      </c>
      <c r="DL281" s="40" t="str">
        <f t="shared" si="1639"/>
        <v>#ERROR!</v>
      </c>
      <c r="DM281" s="40" t="str">
        <f t="shared" si="1639"/>
        <v>#ERROR!</v>
      </c>
      <c r="DN281" s="37" t="str">
        <f t="shared" si="1639"/>
        <v>#ERROR!</v>
      </c>
      <c r="DO281" s="40" t="str">
        <f t="shared" si="1639"/>
        <v>#ERROR!</v>
      </c>
      <c r="DP281" s="40" t="str">
        <f t="shared" si="1639"/>
        <v>#ERROR!</v>
      </c>
      <c r="DQ281" s="40" t="str">
        <f t="shared" si="1639"/>
        <v>#ERROR!</v>
      </c>
      <c r="DR281" s="40" t="str">
        <f t="shared" si="1639"/>
        <v>#ERROR!</v>
      </c>
      <c r="DS281" s="37" t="str">
        <f t="shared" si="1639"/>
        <v>#ERROR!</v>
      </c>
      <c r="DT281" s="40" t="str">
        <f t="shared" si="1639"/>
        <v>#ERROR!</v>
      </c>
      <c r="DU281" s="40" t="str">
        <f t="shared" si="1639"/>
        <v>#ERROR!</v>
      </c>
      <c r="DV281" s="40" t="str">
        <f t="shared" si="1639"/>
        <v>#ERROR!</v>
      </c>
      <c r="DW281" s="40" t="str">
        <f t="shared" si="1639"/>
        <v>#ERROR!</v>
      </c>
      <c r="DX281" s="37" t="str">
        <f t="shared" si="1639"/>
        <v>#ERROR!</v>
      </c>
      <c r="DY281" s="40" t="str">
        <f t="shared" si="1639"/>
        <v>#ERROR!</v>
      </c>
      <c r="DZ281" s="40" t="str">
        <f t="shared" si="1639"/>
        <v>#ERROR!</v>
      </c>
      <c r="EA281" s="40" t="str">
        <f t="shared" si="1639"/>
        <v>#ERROR!</v>
      </c>
      <c r="EB281" s="40" t="str">
        <f t="shared" si="1639"/>
        <v>#ERROR!</v>
      </c>
      <c r="EC281" s="37" t="str">
        <f t="shared" si="1639"/>
        <v>#ERROR!</v>
      </c>
      <c r="ED281" s="40" t="str">
        <f t="shared" si="1639"/>
        <v>#ERROR!</v>
      </c>
      <c r="EE281" s="40" t="str">
        <f t="shared" si="1639"/>
        <v>#ERROR!</v>
      </c>
      <c r="EF281" s="40" t="str">
        <f t="shared" si="1639"/>
        <v>#ERROR!</v>
      </c>
      <c r="EG281" s="40" t="str">
        <f t="shared" si="1639"/>
        <v>#ERROR!</v>
      </c>
      <c r="EH281" s="37" t="str">
        <f t="shared" si="1639"/>
        <v>#ERROR!</v>
      </c>
      <c r="EI281" s="82" t="str">
        <f t="shared" si="1639"/>
        <v>#ERROR!</v>
      </c>
      <c r="EJ281" s="40" t="str">
        <f t="shared" si="1639"/>
        <v>#ERROR!</v>
      </c>
      <c r="EK281" s="40" t="str">
        <f t="shared" si="1639"/>
        <v>#ERROR!</v>
      </c>
      <c r="EL281" s="40" t="str">
        <f t="shared" si="1639"/>
        <v>#ERROR!</v>
      </c>
      <c r="EM281" s="37" t="str">
        <f t="shared" si="1639"/>
        <v>#ERROR!</v>
      </c>
      <c r="EN281" s="82" t="str">
        <f t="shared" si="1639"/>
        <v>#ERROR!</v>
      </c>
      <c r="EO281" s="40" t="str">
        <f t="shared" si="1639"/>
        <v>#ERROR!</v>
      </c>
      <c r="EP281" s="40" t="str">
        <f t="shared" si="1639"/>
        <v>#ERROR!</v>
      </c>
      <c r="EQ281" s="40" t="str">
        <f t="shared" si="1639"/>
        <v>#ERROR!</v>
      </c>
      <c r="ER281" s="37" t="str">
        <f t="shared" si="1639"/>
        <v>#ERROR!</v>
      </c>
      <c r="ES281" s="40"/>
      <c r="ET281" s="40"/>
      <c r="EU281" s="40"/>
      <c r="EV281" s="40"/>
      <c r="EW281" s="37"/>
      <c r="EX281" s="40"/>
      <c r="EY281" s="40"/>
      <c r="EZ281" s="40"/>
      <c r="FA281" s="40"/>
      <c r="FB281" s="37"/>
      <c r="FC281" s="40"/>
      <c r="FD281" s="40"/>
      <c r="FE281" s="40"/>
      <c r="FF281" s="40"/>
      <c r="FG281" s="37"/>
      <c r="FH281" s="35"/>
      <c r="FI281" s="17"/>
      <c r="FJ281" s="17"/>
      <c r="FK281" s="73"/>
      <c r="FL281" s="17"/>
    </row>
    <row r="282" ht="12.75" hidden="1" customHeight="1" outlineLevel="1">
      <c r="A282" s="421"/>
      <c r="B282" s="215" t="s">
        <v>199</v>
      </c>
      <c r="C282" s="45"/>
      <c r="D282" s="17"/>
      <c r="E282" s="17"/>
      <c r="F282" s="17"/>
      <c r="G282" s="17"/>
      <c r="H282" s="73"/>
      <c r="I282" s="17"/>
      <c r="J282" s="17"/>
      <c r="K282" s="17"/>
      <c r="L282" s="17"/>
      <c r="M282" s="73"/>
      <c r="N282" s="17"/>
      <c r="O282" s="17"/>
      <c r="P282" s="17"/>
      <c r="Q282" s="17"/>
      <c r="R282" s="73"/>
      <c r="S282" s="17"/>
      <c r="T282" s="17"/>
      <c r="U282" s="17"/>
      <c r="V282" s="17"/>
      <c r="W282" s="73"/>
      <c r="X282" s="17"/>
      <c r="Y282" s="17"/>
      <c r="Z282" s="17"/>
      <c r="AA282" s="17"/>
      <c r="AB282" s="73"/>
      <c r="AC282" s="17"/>
      <c r="AD282" s="17"/>
      <c r="AE282" s="17"/>
      <c r="AF282" s="17"/>
      <c r="AG282" s="73"/>
      <c r="AH282" s="17"/>
      <c r="AI282" s="17"/>
      <c r="AJ282" s="17"/>
      <c r="AK282" s="17"/>
      <c r="AL282" s="73"/>
      <c r="AM282" s="17"/>
      <c r="AN282" s="17"/>
      <c r="AO282" s="17"/>
      <c r="AP282" s="17"/>
      <c r="AQ282" s="73"/>
      <c r="AR282" s="17"/>
      <c r="AS282" s="17"/>
      <c r="AT282" s="17"/>
      <c r="AU282" s="17"/>
      <c r="AV282" s="73"/>
      <c r="AW282" s="17"/>
      <c r="AX282" s="17"/>
      <c r="AY282" s="17"/>
      <c r="AZ282" s="17"/>
      <c r="BA282" s="73"/>
      <c r="BB282" s="17"/>
      <c r="BC282" s="17"/>
      <c r="BD282" s="17"/>
      <c r="BE282" s="17"/>
      <c r="BF282" s="73"/>
      <c r="BG282" s="17"/>
      <c r="BH282" s="17"/>
      <c r="BI282" s="17"/>
      <c r="BJ282" s="17"/>
      <c r="BK282" s="73"/>
      <c r="BL282" s="17"/>
      <c r="BM282" s="17"/>
      <c r="BN282" s="17"/>
      <c r="BO282" s="17"/>
      <c r="BP282" s="73"/>
      <c r="BQ282" s="17"/>
      <c r="BR282" s="17"/>
      <c r="BS282" s="17"/>
      <c r="BT282" s="17"/>
      <c r="BU282" s="73"/>
      <c r="BV282" s="17"/>
      <c r="BW282" s="17"/>
      <c r="BX282" s="17"/>
      <c r="BY282" s="17"/>
      <c r="BZ282" s="18"/>
      <c r="CA282" s="17"/>
      <c r="CB282" s="17"/>
      <c r="CC282" s="17"/>
      <c r="CD282" s="17"/>
      <c r="CE282" s="18"/>
      <c r="CF282" s="17"/>
      <c r="CG282" s="17"/>
      <c r="CH282" s="17"/>
      <c r="CI282" s="17"/>
      <c r="CJ282" s="18"/>
      <c r="CK282" s="444" t="str">
        <f>[2]MPU!121:121</f>
        <v>#ERROR!</v>
      </c>
      <c r="CL282" s="444" t="str">
        <f>[2]MPU!121:121</f>
        <v>#ERROR!</v>
      </c>
      <c r="CM282" s="444" t="str">
        <f>[2]MPU!121:121</f>
        <v>#ERROR!</v>
      </c>
      <c r="CN282" s="444" t="str">
        <f>[2]MPU!121:121</f>
        <v>#ERROR!</v>
      </c>
      <c r="CO282" s="445" t="str">
        <f>[2]MPU!121:121</f>
        <v>#ERROR!</v>
      </c>
      <c r="CP282" s="444" t="str">
        <f>[2]MPU!121:121-0.8</f>
        <v>#ERROR!</v>
      </c>
      <c r="CQ282" s="444" t="str">
        <f>[2]MPU!121:121-1.5</f>
        <v>#ERROR!</v>
      </c>
      <c r="CR282" s="444" t="str">
        <f>[2]MPU!121:121-2.1</f>
        <v>#ERROR!</v>
      </c>
      <c r="CS282" s="444" t="str">
        <f>[2]MPU!121:121</f>
        <v>#ERROR!</v>
      </c>
      <c r="CT282" s="446" t="str">
        <f>[2]MPU!121:121</f>
        <v>#ERROR!</v>
      </c>
      <c r="CU282" s="444">
        <v>112.5</v>
      </c>
      <c r="CV282" s="444">
        <v>111.7</v>
      </c>
      <c r="CW282" s="444">
        <v>111.4</v>
      </c>
      <c r="CX282" s="444">
        <v>111.4</v>
      </c>
      <c r="CY282" s="446" t="str">
        <f>CY274/CY276*1000</f>
        <v>#ERROR!</v>
      </c>
      <c r="CZ282" s="444">
        <f t="shared" ref="CZ282:DC282" si="1640">CU282*(1+CZ284)</f>
        <v>119.25</v>
      </c>
      <c r="DA282" s="444">
        <f t="shared" si="1640"/>
        <v>112.817</v>
      </c>
      <c r="DB282" s="444">
        <f t="shared" si="1640"/>
        <v>111.4</v>
      </c>
      <c r="DC282" s="444">
        <f t="shared" si="1640"/>
        <v>113.628</v>
      </c>
      <c r="DD282" s="446" t="str">
        <f>DD274/DD276*1000</f>
        <v>#ERROR!</v>
      </c>
      <c r="DE282" s="444">
        <f t="shared" ref="DE282:DH282" si="1641">CZ282*(1+DE284)</f>
        <v>126.405</v>
      </c>
      <c r="DF282" s="444">
        <f t="shared" si="1641"/>
        <v>111.68883</v>
      </c>
      <c r="DG282" s="447">
        <f t="shared" si="1641"/>
        <v>111.4</v>
      </c>
      <c r="DH282" s="444">
        <f t="shared" si="1641"/>
        <v>111.35544</v>
      </c>
      <c r="DI282" s="446" t="str">
        <f>DI274/DI276*1000</f>
        <v>#ERROR!</v>
      </c>
      <c r="DJ282" s="447">
        <f t="shared" ref="DJ282:DK282" si="1642">DE282*(1+DJ284)</f>
        <v>135.25335</v>
      </c>
      <c r="DK282" s="447">
        <f t="shared" si="1642"/>
        <v>126.6551332</v>
      </c>
      <c r="DL282" s="447">
        <f t="shared" ref="DL282:DM282" si="1643">DK282*(1+DL283)</f>
        <v>125.3885819</v>
      </c>
      <c r="DM282" s="447">
        <f t="shared" si="1643"/>
        <v>131.658011</v>
      </c>
      <c r="DN282" s="446" t="str">
        <f>DN274/DN276*1000</f>
        <v>#ERROR!</v>
      </c>
      <c r="DO282" s="447">
        <f>DM282*(1+DO283)</f>
        <v>144.8238121</v>
      </c>
      <c r="DP282" s="447">
        <f t="shared" ref="DP282:DR282" si="1644">DO282*(1+DP283)</f>
        <v>141.9273358</v>
      </c>
      <c r="DQ282" s="447">
        <f t="shared" si="1644"/>
        <v>139.0887891</v>
      </c>
      <c r="DR282" s="447">
        <f t="shared" si="1644"/>
        <v>135.6115694</v>
      </c>
      <c r="DS282" s="446" t="str">
        <f>DS274/DS276*1000</f>
        <v>#ERROR!</v>
      </c>
      <c r="DT282" s="447">
        <f>DR282*(1+DT283)</f>
        <v>150.528842</v>
      </c>
      <c r="DU282" s="447">
        <f t="shared" ref="DU282:DW282" si="1645">DT282*(1+DU283)</f>
        <v>146.0129768</v>
      </c>
      <c r="DV282" s="447">
        <f t="shared" si="1645"/>
        <v>138.7123279</v>
      </c>
      <c r="DW282" s="447">
        <f t="shared" si="1645"/>
        <v>135.9380814</v>
      </c>
      <c r="DX282" s="446" t="str">
        <f>DX274/DX276*1000</f>
        <v>#ERROR!</v>
      </c>
      <c r="DY282" s="447">
        <f>DW282*(1+DY283)</f>
        <v>141.3756046</v>
      </c>
      <c r="DZ282" s="447">
        <f t="shared" ref="DZ282:EB282" si="1646">DY282*(1+DZ283)</f>
        <v>137.1343365</v>
      </c>
      <c r="EA282" s="447">
        <f t="shared" si="1646"/>
        <v>139.8770232</v>
      </c>
      <c r="EB282" s="447">
        <f t="shared" si="1646"/>
        <v>145.4721041</v>
      </c>
      <c r="EC282" s="446" t="str">
        <f>EC274/EC276*1000</f>
        <v>#ERROR!</v>
      </c>
      <c r="ED282" s="447">
        <f>EB282*(1+ED283)</f>
        <v>145.4721041</v>
      </c>
      <c r="EE282" s="447">
        <f t="shared" ref="EE282:EG282" si="1647">ED282*(1+EE283)</f>
        <v>145.4721041</v>
      </c>
      <c r="EF282" s="447">
        <f t="shared" si="1647"/>
        <v>145.4721041</v>
      </c>
      <c r="EG282" s="447">
        <f t="shared" si="1647"/>
        <v>145.4721041</v>
      </c>
      <c r="EH282" s="446" t="str">
        <f>EH274/EH276*1000</f>
        <v>#ERROR!</v>
      </c>
      <c r="EI282" s="448">
        <f>EG282*(1+EI283)</f>
        <v>145.4721041</v>
      </c>
      <c r="EJ282" s="444">
        <f t="shared" ref="EJ282:EL282" si="1648">EI282*(1+EJ283)</f>
        <v>145.4721041</v>
      </c>
      <c r="EK282" s="444">
        <f t="shared" si="1648"/>
        <v>146.9268252</v>
      </c>
      <c r="EL282" s="444">
        <f t="shared" si="1648"/>
        <v>146.9268252</v>
      </c>
      <c r="EM282" s="446" t="str">
        <f>EM274/EM276*1000</f>
        <v>#ERROR!</v>
      </c>
      <c r="EN282" s="444">
        <f>EL282*(1+EN283)</f>
        <v>149.8653617</v>
      </c>
      <c r="EO282" s="444">
        <f t="shared" ref="EO282:EQ282" si="1649">EN282*(1+EO283)</f>
        <v>149.8653617</v>
      </c>
      <c r="EP282" s="444">
        <f t="shared" si="1649"/>
        <v>151.3640153</v>
      </c>
      <c r="EQ282" s="444">
        <f t="shared" si="1649"/>
        <v>151.3640153</v>
      </c>
      <c r="ER282" s="446" t="str">
        <f>ER274/ER276*1000</f>
        <v>#ERROR!</v>
      </c>
      <c r="ES282" s="444">
        <f>EQ282*(1+ES283)</f>
        <v>148.336735</v>
      </c>
      <c r="ET282" s="444">
        <f t="shared" ref="ET282:EV282" si="1650">ES282*(1+ET283)</f>
        <v>148.336735</v>
      </c>
      <c r="EU282" s="444">
        <f t="shared" si="1650"/>
        <v>149.8201023</v>
      </c>
      <c r="EV282" s="444">
        <f t="shared" si="1650"/>
        <v>149.8201023</v>
      </c>
      <c r="EW282" s="446" t="str">
        <f>EW274/EW276*1000</f>
        <v>#ERROR!</v>
      </c>
      <c r="EX282" s="444">
        <f>EV282*(1+EX283)</f>
        <v>149.8201023</v>
      </c>
      <c r="EY282" s="444">
        <f t="shared" ref="EY282:FA282" si="1651">EX282*(1+EY283)</f>
        <v>149.8201023</v>
      </c>
      <c r="EZ282" s="444">
        <f t="shared" si="1651"/>
        <v>151.3183034</v>
      </c>
      <c r="FA282" s="444">
        <f t="shared" si="1651"/>
        <v>151.3183034</v>
      </c>
      <c r="FB282" s="446" t="str">
        <f>FB274/FB276*1000</f>
        <v>#ERROR!</v>
      </c>
      <c r="FC282" s="444">
        <f>FA282*(1+FC283)</f>
        <v>151.3183034</v>
      </c>
      <c r="FD282" s="444">
        <f t="shared" ref="FD282:FF282" si="1652">FC282*(1+FD283)</f>
        <v>151.3183034</v>
      </c>
      <c r="FE282" s="444">
        <f t="shared" si="1652"/>
        <v>152.8314864</v>
      </c>
      <c r="FF282" s="444">
        <f t="shared" si="1652"/>
        <v>152.8314864</v>
      </c>
      <c r="FG282" s="446" t="str">
        <f>FG274/FG276*1000</f>
        <v>#ERROR!</v>
      </c>
      <c r="FH282" s="449"/>
      <c r="FI282" s="17"/>
      <c r="FJ282" s="17"/>
      <c r="FK282" s="73"/>
      <c r="FL282" s="17"/>
    </row>
    <row r="283" ht="12.75" hidden="1" customHeight="1" outlineLevel="1">
      <c r="A283" s="421"/>
      <c r="B283" s="72" t="s">
        <v>150</v>
      </c>
      <c r="C283" s="45"/>
      <c r="D283" s="17"/>
      <c r="E283" s="17"/>
      <c r="F283" s="17"/>
      <c r="G283" s="17"/>
      <c r="H283" s="73"/>
      <c r="I283" s="17"/>
      <c r="J283" s="17"/>
      <c r="K283" s="17"/>
      <c r="L283" s="17"/>
      <c r="M283" s="73"/>
      <c r="N283" s="17"/>
      <c r="O283" s="17"/>
      <c r="P283" s="17"/>
      <c r="Q283" s="17"/>
      <c r="R283" s="73"/>
      <c r="S283" s="17"/>
      <c r="T283" s="17"/>
      <c r="U283" s="17"/>
      <c r="V283" s="17"/>
      <c r="W283" s="73"/>
      <c r="X283" s="17"/>
      <c r="Y283" s="17"/>
      <c r="Z283" s="17"/>
      <c r="AA283" s="17"/>
      <c r="AB283" s="73"/>
      <c r="AC283" s="17"/>
      <c r="AD283" s="17"/>
      <c r="AE283" s="17"/>
      <c r="AF283" s="17"/>
      <c r="AG283" s="73"/>
      <c r="AH283" s="17"/>
      <c r="AI283" s="17"/>
      <c r="AJ283" s="17"/>
      <c r="AK283" s="17"/>
      <c r="AL283" s="73"/>
      <c r="AM283" s="17"/>
      <c r="AN283" s="17"/>
      <c r="AO283" s="17"/>
      <c r="AP283" s="17"/>
      <c r="AQ283" s="73"/>
      <c r="AR283" s="17"/>
      <c r="AS283" s="17"/>
      <c r="AT283" s="17"/>
      <c r="AU283" s="17"/>
      <c r="AV283" s="73"/>
      <c r="AW283" s="17"/>
      <c r="AX283" s="17"/>
      <c r="AY283" s="17"/>
      <c r="AZ283" s="17"/>
      <c r="BA283" s="73"/>
      <c r="BB283" s="17"/>
      <c r="BC283" s="17"/>
      <c r="BD283" s="17"/>
      <c r="BE283" s="17"/>
      <c r="BF283" s="73"/>
      <c r="BG283" s="17"/>
      <c r="BH283" s="17"/>
      <c r="BI283" s="17"/>
      <c r="BJ283" s="17"/>
      <c r="BK283" s="73"/>
      <c r="BL283" s="17"/>
      <c r="BM283" s="17"/>
      <c r="BN283" s="17"/>
      <c r="BO283" s="17"/>
      <c r="BP283" s="73"/>
      <c r="BQ283" s="17"/>
      <c r="BR283" s="17"/>
      <c r="BS283" s="17"/>
      <c r="BT283" s="17"/>
      <c r="BU283" s="73"/>
      <c r="BV283" s="17"/>
      <c r="BW283" s="17"/>
      <c r="BX283" s="17"/>
      <c r="BY283" s="17"/>
      <c r="BZ283" s="18"/>
      <c r="CA283" s="17"/>
      <c r="CB283" s="17"/>
      <c r="CC283" s="17"/>
      <c r="CD283" s="17"/>
      <c r="CE283" s="18"/>
      <c r="CF283" s="17"/>
      <c r="CG283" s="17"/>
      <c r="CH283" s="17"/>
      <c r="CI283" s="17"/>
      <c r="CJ283" s="18"/>
      <c r="CK283" s="17"/>
      <c r="CL283" s="17"/>
      <c r="CM283" s="17"/>
      <c r="CN283" s="17"/>
      <c r="CO283" s="18"/>
      <c r="CP283" s="40" t="str">
        <f>CP282/CN282-1</f>
        <v>#ERROR!</v>
      </c>
      <c r="CQ283" s="40" t="str">
        <f t="shared" ref="CQ283:CS283" si="1653">CQ282/CP282-1</f>
        <v>#ERROR!</v>
      </c>
      <c r="CR283" s="40" t="str">
        <f t="shared" si="1653"/>
        <v>#ERROR!</v>
      </c>
      <c r="CS283" s="40" t="str">
        <f t="shared" si="1653"/>
        <v>#ERROR!</v>
      </c>
      <c r="CT283" s="37"/>
      <c r="CU283" s="40" t="str">
        <f>CU282/CS282-1</f>
        <v>#ERROR!</v>
      </c>
      <c r="CV283" s="40">
        <f t="shared" ref="CV283:CX283" si="1654">CV282/CU282-1</f>
        <v>-0.007111111111</v>
      </c>
      <c r="CW283" s="40">
        <f t="shared" si="1654"/>
        <v>-0.002685765443</v>
      </c>
      <c r="CX283" s="40">
        <f t="shared" si="1654"/>
        <v>0</v>
      </c>
      <c r="CY283" s="37"/>
      <c r="CZ283" s="40">
        <f>CZ282/CX282-1</f>
        <v>0.07046678636</v>
      </c>
      <c r="DA283" s="40">
        <f t="shared" ref="DA283:DC283" si="1655">DA282/CZ282-1</f>
        <v>-0.05394549266</v>
      </c>
      <c r="DB283" s="40">
        <f t="shared" si="1655"/>
        <v>-0.01256016381</v>
      </c>
      <c r="DC283" s="40">
        <f t="shared" si="1655"/>
        <v>0.02</v>
      </c>
      <c r="DD283" s="37"/>
      <c r="DE283" s="40">
        <f>DE282/DC282-1</f>
        <v>0.112445876</v>
      </c>
      <c r="DF283" s="40">
        <f t="shared" ref="DF283:DH283" si="1656">DF282/DE282-1</f>
        <v>-0.1164207903</v>
      </c>
      <c r="DG283" s="40">
        <f t="shared" si="1656"/>
        <v>-0.002586024046</v>
      </c>
      <c r="DH283" s="40">
        <f t="shared" si="1656"/>
        <v>-0.0004</v>
      </c>
      <c r="DI283" s="37"/>
      <c r="DJ283" s="40">
        <f>DJ282/DH282-1</f>
        <v>0.2146092728</v>
      </c>
      <c r="DK283" s="40">
        <f>DK282/DJ282-1</f>
        <v>-0.06357119273</v>
      </c>
      <c r="DL283" s="40">
        <v>-0.01</v>
      </c>
      <c r="DM283" s="104">
        <v>0.05</v>
      </c>
      <c r="DN283" s="37"/>
      <c r="DO283" s="435">
        <v>0.1</v>
      </c>
      <c r="DP283" s="435">
        <v>-0.02</v>
      </c>
      <c r="DQ283" s="435">
        <v>-0.02</v>
      </c>
      <c r="DR283" s="435">
        <v>-0.025</v>
      </c>
      <c r="DS283" s="37"/>
      <c r="DT283" s="435">
        <v>0.11</v>
      </c>
      <c r="DU283" s="435">
        <v>-0.03</v>
      </c>
      <c r="DV283" s="435">
        <v>-0.05</v>
      </c>
      <c r="DW283" s="435">
        <v>-0.02</v>
      </c>
      <c r="DX283" s="37"/>
      <c r="DY283" s="435">
        <v>0.04</v>
      </c>
      <c r="DZ283" s="435">
        <v>-0.03</v>
      </c>
      <c r="EA283" s="435">
        <v>0.02</v>
      </c>
      <c r="EB283" s="435">
        <v>0.04</v>
      </c>
      <c r="EC283" s="37"/>
      <c r="ED283" s="435">
        <v>0.0</v>
      </c>
      <c r="EE283" s="435">
        <v>0.0</v>
      </c>
      <c r="EF283" s="435">
        <v>0.0</v>
      </c>
      <c r="EG283" s="435">
        <v>0.0</v>
      </c>
      <c r="EH283" s="37"/>
      <c r="EI283" s="412">
        <v>0.0</v>
      </c>
      <c r="EJ283" s="436">
        <v>0.0</v>
      </c>
      <c r="EK283" s="436">
        <v>0.01</v>
      </c>
      <c r="EL283" s="436">
        <v>0.0</v>
      </c>
      <c r="EM283" s="37"/>
      <c r="EN283" s="436">
        <v>0.02</v>
      </c>
      <c r="EO283" s="436">
        <v>0.0</v>
      </c>
      <c r="EP283" s="436">
        <v>0.01</v>
      </c>
      <c r="EQ283" s="436">
        <v>0.0</v>
      </c>
      <c r="ER283" s="37"/>
      <c r="ES283" s="436">
        <v>-0.02</v>
      </c>
      <c r="ET283" s="436">
        <v>0.0</v>
      </c>
      <c r="EU283" s="436">
        <v>0.01</v>
      </c>
      <c r="EV283" s="436">
        <v>0.0</v>
      </c>
      <c r="EW283" s="37"/>
      <c r="EX283" s="436">
        <v>0.0</v>
      </c>
      <c r="EY283" s="436">
        <v>0.0</v>
      </c>
      <c r="EZ283" s="436">
        <v>0.01</v>
      </c>
      <c r="FA283" s="436">
        <v>0.0</v>
      </c>
      <c r="FB283" s="37"/>
      <c r="FC283" s="436">
        <v>0.0</v>
      </c>
      <c r="FD283" s="436">
        <v>0.0</v>
      </c>
      <c r="FE283" s="436">
        <v>0.01</v>
      </c>
      <c r="FF283" s="436">
        <v>0.0</v>
      </c>
      <c r="FG283" s="37"/>
      <c r="FH283" s="35"/>
      <c r="FI283" s="17"/>
      <c r="FJ283" s="17"/>
      <c r="FK283" s="73"/>
      <c r="FL283" s="17"/>
    </row>
    <row r="284" ht="12.75" hidden="1" customHeight="1" outlineLevel="1">
      <c r="A284" s="421"/>
      <c r="B284" s="72" t="s">
        <v>146</v>
      </c>
      <c r="C284" s="45"/>
      <c r="D284" s="17"/>
      <c r="E284" s="17"/>
      <c r="F284" s="17"/>
      <c r="G284" s="17"/>
      <c r="H284" s="73"/>
      <c r="I284" s="17"/>
      <c r="J284" s="17"/>
      <c r="K284" s="17"/>
      <c r="L284" s="17"/>
      <c r="M284" s="73"/>
      <c r="N284" s="17"/>
      <c r="O284" s="17"/>
      <c r="P284" s="17"/>
      <c r="Q284" s="17"/>
      <c r="R284" s="73"/>
      <c r="S284" s="17"/>
      <c r="T284" s="17"/>
      <c r="U284" s="17"/>
      <c r="V284" s="17"/>
      <c r="W284" s="73"/>
      <c r="X284" s="17"/>
      <c r="Y284" s="17"/>
      <c r="Z284" s="17"/>
      <c r="AA284" s="17"/>
      <c r="AB284" s="73"/>
      <c r="AC284" s="17"/>
      <c r="AD284" s="17"/>
      <c r="AE284" s="17"/>
      <c r="AF284" s="17"/>
      <c r="AG284" s="73"/>
      <c r="AH284" s="17"/>
      <c r="AI284" s="17"/>
      <c r="AJ284" s="17"/>
      <c r="AK284" s="17"/>
      <c r="AL284" s="73"/>
      <c r="AM284" s="17"/>
      <c r="AN284" s="17"/>
      <c r="AO284" s="17"/>
      <c r="AP284" s="17"/>
      <c r="AQ284" s="73"/>
      <c r="AR284" s="17"/>
      <c r="AS284" s="17"/>
      <c r="AT284" s="17"/>
      <c r="AU284" s="17"/>
      <c r="AV284" s="73"/>
      <c r="AW284" s="17"/>
      <c r="AX284" s="17"/>
      <c r="AY284" s="17"/>
      <c r="AZ284" s="17"/>
      <c r="BA284" s="73"/>
      <c r="BB284" s="17"/>
      <c r="BC284" s="17"/>
      <c r="BD284" s="17"/>
      <c r="BE284" s="17"/>
      <c r="BF284" s="73"/>
      <c r="BG284" s="17"/>
      <c r="BH284" s="17"/>
      <c r="BI284" s="17"/>
      <c r="BJ284" s="17"/>
      <c r="BK284" s="73"/>
      <c r="BL284" s="17"/>
      <c r="BM284" s="17"/>
      <c r="BN284" s="17"/>
      <c r="BO284" s="17"/>
      <c r="BP284" s="73"/>
      <c r="BQ284" s="17"/>
      <c r="BR284" s="17"/>
      <c r="BS284" s="17"/>
      <c r="BT284" s="17"/>
      <c r="BU284" s="73"/>
      <c r="BV284" s="17"/>
      <c r="BW284" s="17"/>
      <c r="BX284" s="17"/>
      <c r="BY284" s="17"/>
      <c r="BZ284" s="18"/>
      <c r="CA284" s="17"/>
      <c r="CB284" s="17"/>
      <c r="CC284" s="17"/>
      <c r="CD284" s="17"/>
      <c r="CE284" s="18"/>
      <c r="CF284" s="17"/>
      <c r="CG284" s="17"/>
      <c r="CH284" s="17"/>
      <c r="CI284" s="17"/>
      <c r="CJ284" s="18"/>
      <c r="CK284" s="17"/>
      <c r="CL284" s="17"/>
      <c r="CM284" s="17"/>
      <c r="CN284" s="17"/>
      <c r="CO284" s="18"/>
      <c r="CP284" s="40" t="str">
        <f t="shared" ref="CP284:CY284" si="1657">CP282/CK282-1</f>
        <v>#ERROR!</v>
      </c>
      <c r="CQ284" s="40" t="str">
        <f t="shared" si="1657"/>
        <v>#ERROR!</v>
      </c>
      <c r="CR284" s="40" t="str">
        <f t="shared" si="1657"/>
        <v>#ERROR!</v>
      </c>
      <c r="CS284" s="40" t="str">
        <f t="shared" si="1657"/>
        <v>#ERROR!</v>
      </c>
      <c r="CT284" s="37" t="str">
        <f t="shared" si="1657"/>
        <v>#ERROR!</v>
      </c>
      <c r="CU284" s="40" t="str">
        <f t="shared" si="1657"/>
        <v>#ERROR!</v>
      </c>
      <c r="CV284" s="40" t="str">
        <f t="shared" si="1657"/>
        <v>#ERROR!</v>
      </c>
      <c r="CW284" s="40" t="str">
        <f t="shared" si="1657"/>
        <v>#ERROR!</v>
      </c>
      <c r="CX284" s="40" t="str">
        <f t="shared" si="1657"/>
        <v>#ERROR!</v>
      </c>
      <c r="CY284" s="23" t="str">
        <f t="shared" si="1657"/>
        <v>#ERROR!</v>
      </c>
      <c r="CZ284" s="40">
        <v>0.06</v>
      </c>
      <c r="DA284" s="40">
        <v>0.01</v>
      </c>
      <c r="DB284" s="40">
        <v>0.0</v>
      </c>
      <c r="DC284" s="40">
        <v>0.02</v>
      </c>
      <c r="DD284" s="23" t="str">
        <f>DD282/CY282-1</f>
        <v>#ERROR!</v>
      </c>
      <c r="DE284" s="15">
        <v>0.06</v>
      </c>
      <c r="DF284" s="435">
        <v>-0.01</v>
      </c>
      <c r="DG284" s="437">
        <v>0.0</v>
      </c>
      <c r="DH284" s="40">
        <v>-0.02</v>
      </c>
      <c r="DI284" s="23" t="str">
        <f>DI282/DD282-1</f>
        <v>#ERROR!</v>
      </c>
      <c r="DJ284" s="40">
        <v>0.07</v>
      </c>
      <c r="DK284" s="40">
        <v>0.134</v>
      </c>
      <c r="DL284" s="40">
        <f t="shared" ref="DL284:FG284" si="1658">DL282/DG282-1</f>
        <v>0.125570753</v>
      </c>
      <c r="DM284" s="40">
        <f t="shared" si="1658"/>
        <v>0.1823222196</v>
      </c>
      <c r="DN284" s="23" t="str">
        <f t="shared" si="1658"/>
        <v>#ERROR!</v>
      </c>
      <c r="DO284" s="40">
        <f t="shared" si="1658"/>
        <v>0.07075951967</v>
      </c>
      <c r="DP284" s="40">
        <f t="shared" si="1658"/>
        <v>0.120581</v>
      </c>
      <c r="DQ284" s="40">
        <f t="shared" si="1658"/>
        <v>0.109262</v>
      </c>
      <c r="DR284" s="40">
        <f t="shared" si="1658"/>
        <v>0.030029</v>
      </c>
      <c r="DS284" s="23" t="str">
        <f t="shared" si="1658"/>
        <v>#ERROR!</v>
      </c>
      <c r="DT284" s="40">
        <f t="shared" si="1658"/>
        <v>0.0393929</v>
      </c>
      <c r="DU284" s="40">
        <f t="shared" si="1658"/>
        <v>0.02878685</v>
      </c>
      <c r="DV284" s="40">
        <f t="shared" si="1658"/>
        <v>-0.002706625</v>
      </c>
      <c r="DW284" s="40">
        <f t="shared" si="1658"/>
        <v>0.0024077</v>
      </c>
      <c r="DX284" s="23" t="str">
        <f t="shared" si="1658"/>
        <v>#ERROR!</v>
      </c>
      <c r="DY284" s="40">
        <f t="shared" si="1658"/>
        <v>-0.0608072</v>
      </c>
      <c r="DZ284" s="40">
        <f t="shared" si="1658"/>
        <v>-0.0608072</v>
      </c>
      <c r="EA284" s="40">
        <f t="shared" si="1658"/>
        <v>0.00839648</v>
      </c>
      <c r="EB284" s="40">
        <f t="shared" si="1658"/>
        <v>0.07013504</v>
      </c>
      <c r="EC284" s="23" t="str">
        <f t="shared" si="1658"/>
        <v>#ERROR!</v>
      </c>
      <c r="ED284" s="40">
        <f t="shared" si="1658"/>
        <v>0.028976</v>
      </c>
      <c r="EE284" s="40">
        <f t="shared" si="1658"/>
        <v>0.0608</v>
      </c>
      <c r="EF284" s="40">
        <f t="shared" si="1658"/>
        <v>0.04</v>
      </c>
      <c r="EG284" s="40">
        <f t="shared" si="1658"/>
        <v>0</v>
      </c>
      <c r="EH284" s="23" t="str">
        <f t="shared" si="1658"/>
        <v>#ERROR!</v>
      </c>
      <c r="EI284" s="82">
        <f t="shared" si="1658"/>
        <v>0</v>
      </c>
      <c r="EJ284" s="40">
        <f t="shared" si="1658"/>
        <v>0</v>
      </c>
      <c r="EK284" s="40">
        <f t="shared" si="1658"/>
        <v>0.01</v>
      </c>
      <c r="EL284" s="40">
        <f t="shared" si="1658"/>
        <v>0.01</v>
      </c>
      <c r="EM284" s="23" t="str">
        <f t="shared" si="1658"/>
        <v>#ERROR!</v>
      </c>
      <c r="EN284" s="40">
        <f t="shared" si="1658"/>
        <v>0.0302</v>
      </c>
      <c r="EO284" s="40">
        <f t="shared" si="1658"/>
        <v>0.0302</v>
      </c>
      <c r="EP284" s="40">
        <f t="shared" si="1658"/>
        <v>0.0302</v>
      </c>
      <c r="EQ284" s="40">
        <f t="shared" si="1658"/>
        <v>0.0302</v>
      </c>
      <c r="ER284" s="23" t="str">
        <f t="shared" si="1658"/>
        <v>#ERROR!</v>
      </c>
      <c r="ES284" s="40">
        <f t="shared" si="1658"/>
        <v>-0.0102</v>
      </c>
      <c r="ET284" s="40">
        <f t="shared" si="1658"/>
        <v>-0.0102</v>
      </c>
      <c r="EU284" s="40">
        <f t="shared" si="1658"/>
        <v>-0.0102</v>
      </c>
      <c r="EV284" s="40">
        <f t="shared" si="1658"/>
        <v>-0.0102</v>
      </c>
      <c r="EW284" s="23" t="str">
        <f t="shared" si="1658"/>
        <v>#ERROR!</v>
      </c>
      <c r="EX284" s="40">
        <f t="shared" si="1658"/>
        <v>0.01</v>
      </c>
      <c r="EY284" s="40">
        <f t="shared" si="1658"/>
        <v>0.01</v>
      </c>
      <c r="EZ284" s="40">
        <f t="shared" si="1658"/>
        <v>0.01</v>
      </c>
      <c r="FA284" s="40">
        <f t="shared" si="1658"/>
        <v>0.01</v>
      </c>
      <c r="FB284" s="23" t="str">
        <f t="shared" si="1658"/>
        <v>#ERROR!</v>
      </c>
      <c r="FC284" s="40">
        <f t="shared" si="1658"/>
        <v>0.01</v>
      </c>
      <c r="FD284" s="40">
        <f t="shared" si="1658"/>
        <v>0.01</v>
      </c>
      <c r="FE284" s="40">
        <f t="shared" si="1658"/>
        <v>0.01</v>
      </c>
      <c r="FF284" s="40">
        <f t="shared" si="1658"/>
        <v>0.01</v>
      </c>
      <c r="FG284" s="23" t="str">
        <f t="shared" si="1658"/>
        <v>#ERROR!</v>
      </c>
      <c r="FH284" s="83"/>
      <c r="FI284" s="17"/>
      <c r="FJ284" s="17"/>
      <c r="FK284" s="73"/>
      <c r="FL284" s="17"/>
    </row>
    <row r="285" ht="12.75" hidden="1" customHeight="1" outlineLevel="1">
      <c r="A285" s="421"/>
      <c r="B285" s="84" t="s">
        <v>151</v>
      </c>
      <c r="C285" s="45"/>
      <c r="D285" s="17"/>
      <c r="E285" s="17"/>
      <c r="F285" s="17"/>
      <c r="G285" s="17"/>
      <c r="H285" s="73"/>
      <c r="I285" s="17"/>
      <c r="J285" s="17"/>
      <c r="K285" s="17"/>
      <c r="L285" s="17"/>
      <c r="M285" s="73"/>
      <c r="N285" s="17"/>
      <c r="O285" s="17"/>
      <c r="P285" s="17"/>
      <c r="Q285" s="17"/>
      <c r="R285" s="73"/>
      <c r="S285" s="17"/>
      <c r="T285" s="17"/>
      <c r="U285" s="17"/>
      <c r="V285" s="17"/>
      <c r="W285" s="73"/>
      <c r="X285" s="17"/>
      <c r="Y285" s="17"/>
      <c r="Z285" s="17"/>
      <c r="AA285" s="17"/>
      <c r="AB285" s="73"/>
      <c r="AC285" s="17"/>
      <c r="AD285" s="17"/>
      <c r="AE285" s="17"/>
      <c r="AF285" s="17"/>
      <c r="AG285" s="73"/>
      <c r="AH285" s="17"/>
      <c r="AI285" s="17"/>
      <c r="AJ285" s="17"/>
      <c r="AK285" s="17"/>
      <c r="AL285" s="73"/>
      <c r="AM285" s="17"/>
      <c r="AN285" s="17"/>
      <c r="AO285" s="17"/>
      <c r="AP285" s="17"/>
      <c r="AQ285" s="73"/>
      <c r="AR285" s="17"/>
      <c r="AS285" s="17"/>
      <c r="AT285" s="17"/>
      <c r="AU285" s="17"/>
      <c r="AV285" s="73"/>
      <c r="AW285" s="17"/>
      <c r="AX285" s="17"/>
      <c r="AY285" s="17"/>
      <c r="AZ285" s="17"/>
      <c r="BA285" s="73"/>
      <c r="BB285" s="17"/>
      <c r="BC285" s="17"/>
      <c r="BD285" s="17"/>
      <c r="BE285" s="17"/>
      <c r="BF285" s="73"/>
      <c r="BG285" s="17"/>
      <c r="BH285" s="17"/>
      <c r="BI285" s="17"/>
      <c r="BJ285" s="17"/>
      <c r="BK285" s="73"/>
      <c r="BL285" s="17"/>
      <c r="BM285" s="17"/>
      <c r="BN285" s="17"/>
      <c r="BO285" s="17"/>
      <c r="BP285" s="73"/>
      <c r="BQ285" s="17"/>
      <c r="BR285" s="17"/>
      <c r="BS285" s="17"/>
      <c r="BT285" s="17"/>
      <c r="BU285" s="73"/>
      <c r="BV285" s="17"/>
      <c r="BW285" s="17"/>
      <c r="BX285" s="17"/>
      <c r="BY285" s="17"/>
      <c r="BZ285" s="18"/>
      <c r="CA285" s="17"/>
      <c r="CB285" s="17"/>
      <c r="CC285" s="17"/>
      <c r="CD285" s="17"/>
      <c r="CE285" s="18"/>
      <c r="CF285" s="17"/>
      <c r="CG285" s="17"/>
      <c r="CH285" s="17"/>
      <c r="CI285" s="17"/>
      <c r="CJ285" s="18"/>
      <c r="CK285" s="17"/>
      <c r="CL285" s="17"/>
      <c r="CM285" s="17"/>
      <c r="CN285" s="17"/>
      <c r="CO285" s="18"/>
      <c r="CP285" s="17"/>
      <c r="CQ285" s="17"/>
      <c r="CR285" s="17"/>
      <c r="CS285" s="17"/>
      <c r="CT285" s="37"/>
      <c r="CU285" s="439"/>
      <c r="CV285" s="40"/>
      <c r="CW285" s="40"/>
      <c r="CX285" s="40"/>
      <c r="CY285" s="37"/>
      <c r="CZ285" s="85" t="str">
        <f t="shared" ref="CZ285:DC285" si="1659">AVERAGE(CK283,CU283,CP283)</f>
        <v>#ERROR!</v>
      </c>
      <c r="DA285" s="85" t="str">
        <f t="shared" si="1659"/>
        <v>#ERROR!</v>
      </c>
      <c r="DB285" s="85" t="str">
        <f t="shared" si="1659"/>
        <v>#ERROR!</v>
      </c>
      <c r="DC285" s="85" t="str">
        <f t="shared" si="1659"/>
        <v>#ERROR!</v>
      </c>
      <c r="DD285" s="37"/>
      <c r="DE285" s="85" t="str">
        <f t="shared" ref="DE285:DH285" si="1660">AVERAGE(CP283,CZ283,CU283)</f>
        <v>#ERROR!</v>
      </c>
      <c r="DF285" s="85" t="str">
        <f t="shared" si="1660"/>
        <v>#ERROR!</v>
      </c>
      <c r="DG285" s="85" t="str">
        <f t="shared" si="1660"/>
        <v>#ERROR!</v>
      </c>
      <c r="DH285" s="85" t="str">
        <f t="shared" si="1660"/>
        <v>#ERROR!</v>
      </c>
      <c r="DI285" s="37"/>
      <c r="DJ285" s="85" t="str">
        <f t="shared" ref="DJ285:DM285" si="1661">AVERAGE(CU283,DE283,CZ283)</f>
        <v>#ERROR!</v>
      </c>
      <c r="DK285" s="85">
        <f t="shared" si="1661"/>
        <v>-0.05915913136</v>
      </c>
      <c r="DL285" s="85">
        <f t="shared" si="1661"/>
        <v>-0.005943984431</v>
      </c>
      <c r="DM285" s="85">
        <f t="shared" si="1661"/>
        <v>0.006533333333</v>
      </c>
      <c r="DN285" s="37"/>
      <c r="DO285" s="85">
        <f t="shared" ref="DO285:DR285" si="1662">AVERAGE(CZ283,DJ283,DE283)</f>
        <v>0.1325073117</v>
      </c>
      <c r="DP285" s="85">
        <f t="shared" si="1662"/>
        <v>-0.07797915857</v>
      </c>
      <c r="DQ285" s="85">
        <f t="shared" si="1662"/>
        <v>-0.008382062617</v>
      </c>
      <c r="DR285" s="85">
        <f t="shared" si="1662"/>
        <v>0.0232</v>
      </c>
      <c r="DS285" s="37"/>
      <c r="DT285" s="372">
        <f t="shared" ref="DT285:DW285" si="1663">AVERAGE(DE283,DO283,DJ283)</f>
        <v>0.1423517163</v>
      </c>
      <c r="DU285" s="372">
        <f t="shared" si="1663"/>
        <v>-0.06666399435</v>
      </c>
      <c r="DV285" s="372">
        <f t="shared" si="1663"/>
        <v>-0.01086200802</v>
      </c>
      <c r="DW285" s="372">
        <f t="shared" si="1663"/>
        <v>0.0082</v>
      </c>
      <c r="DX285" s="37"/>
      <c r="DY285" s="372">
        <f t="shared" ref="DY285:EB285" si="1664">AVERAGE(DJ283,DT283,DO283)</f>
        <v>0.1415364243</v>
      </c>
      <c r="DZ285" s="372">
        <f t="shared" si="1664"/>
        <v>-0.03785706424</v>
      </c>
      <c r="EA285" s="372">
        <f t="shared" si="1664"/>
        <v>-0.02666666667</v>
      </c>
      <c r="EB285" s="372">
        <f t="shared" si="1664"/>
        <v>0.001666666667</v>
      </c>
      <c r="EC285" s="37"/>
      <c r="ED285" s="372">
        <f t="shared" ref="ED285:EG285" si="1665">AVERAGE(DO283,DY283,DT283)</f>
        <v>0.08333333333</v>
      </c>
      <c r="EE285" s="372">
        <f t="shared" si="1665"/>
        <v>-0.02666666667</v>
      </c>
      <c r="EF285" s="372">
        <f t="shared" si="1665"/>
        <v>-0.01666666667</v>
      </c>
      <c r="EG285" s="372">
        <f t="shared" si="1665"/>
        <v>-0.001666666667</v>
      </c>
      <c r="EH285" s="37"/>
      <c r="EI285" s="362">
        <f t="shared" ref="EI285:EL285" si="1666">AVERAGE(DT283,ED283,DY283)</f>
        <v>0.05</v>
      </c>
      <c r="EJ285" s="372">
        <f t="shared" si="1666"/>
        <v>-0.02</v>
      </c>
      <c r="EK285" s="372">
        <f t="shared" si="1666"/>
        <v>-0.01</v>
      </c>
      <c r="EL285" s="372">
        <f t="shared" si="1666"/>
        <v>0.006666666667</v>
      </c>
      <c r="EM285" s="37"/>
      <c r="EN285" s="372">
        <f t="shared" ref="EN285:EQ285" si="1667">AVERAGE(DY283,EI283,ED283)</f>
        <v>0.01333333333</v>
      </c>
      <c r="EO285" s="372">
        <f t="shared" si="1667"/>
        <v>-0.01</v>
      </c>
      <c r="EP285" s="372">
        <f t="shared" si="1667"/>
        <v>0.01</v>
      </c>
      <c r="EQ285" s="372">
        <f t="shared" si="1667"/>
        <v>0.01333333333</v>
      </c>
      <c r="ER285" s="37"/>
      <c r="ES285" s="372">
        <f t="shared" ref="ES285:EV285" si="1668">AVERAGE(ED283,EN283,EI283)</f>
        <v>0.006666666667</v>
      </c>
      <c r="ET285" s="372">
        <f t="shared" si="1668"/>
        <v>0</v>
      </c>
      <c r="EU285" s="372">
        <f t="shared" si="1668"/>
        <v>0.006666666667</v>
      </c>
      <c r="EV285" s="372">
        <f t="shared" si="1668"/>
        <v>0</v>
      </c>
      <c r="EW285" s="37"/>
      <c r="EX285" s="372">
        <f t="shared" ref="EX285:FA285" si="1669">AVERAGE(EI283,ES283,EN283)</f>
        <v>0</v>
      </c>
      <c r="EY285" s="372">
        <f t="shared" si="1669"/>
        <v>0</v>
      </c>
      <c r="EZ285" s="372">
        <f t="shared" si="1669"/>
        <v>0.01</v>
      </c>
      <c r="FA285" s="372">
        <f t="shared" si="1669"/>
        <v>0</v>
      </c>
      <c r="FB285" s="37"/>
      <c r="FC285" s="372">
        <f t="shared" ref="FC285:FF285" si="1670">AVERAGE(EN283,EX283,ES283)</f>
        <v>0</v>
      </c>
      <c r="FD285" s="372">
        <f t="shared" si="1670"/>
        <v>0</v>
      </c>
      <c r="FE285" s="372">
        <f t="shared" si="1670"/>
        <v>0.01</v>
      </c>
      <c r="FF285" s="372">
        <f t="shared" si="1670"/>
        <v>0</v>
      </c>
      <c r="FG285" s="37"/>
      <c r="FH285" s="35"/>
      <c r="FI285" s="17"/>
      <c r="FJ285" s="17"/>
      <c r="FK285" s="73"/>
      <c r="FL285" s="17"/>
    </row>
    <row r="286" ht="12.75" hidden="1" customHeight="1" outlineLevel="1">
      <c r="A286" s="421"/>
      <c r="B286" s="84" t="s">
        <v>200</v>
      </c>
      <c r="C286" s="45"/>
      <c r="D286" s="17"/>
      <c r="E286" s="17"/>
      <c r="F286" s="17"/>
      <c r="G286" s="17"/>
      <c r="H286" s="73"/>
      <c r="I286" s="17"/>
      <c r="J286" s="17"/>
      <c r="K286" s="17"/>
      <c r="L286" s="17"/>
      <c r="M286" s="73"/>
      <c r="N286" s="17"/>
      <c r="O286" s="17"/>
      <c r="P286" s="17"/>
      <c r="Q286" s="17"/>
      <c r="R286" s="73"/>
      <c r="S286" s="17"/>
      <c r="T286" s="17"/>
      <c r="U286" s="17"/>
      <c r="V286" s="17"/>
      <c r="W286" s="73"/>
      <c r="X286" s="17"/>
      <c r="Y286" s="17"/>
      <c r="Z286" s="17"/>
      <c r="AA286" s="17"/>
      <c r="AB286" s="73"/>
      <c r="AC286" s="17"/>
      <c r="AD286" s="17"/>
      <c r="AE286" s="17"/>
      <c r="AF286" s="17"/>
      <c r="AG286" s="73"/>
      <c r="AH286" s="17"/>
      <c r="AI286" s="17"/>
      <c r="AJ286" s="17"/>
      <c r="AK286" s="17"/>
      <c r="AL286" s="73"/>
      <c r="AM286" s="17"/>
      <c r="AN286" s="17"/>
      <c r="AO286" s="17"/>
      <c r="AP286" s="17"/>
      <c r="AQ286" s="73"/>
      <c r="AR286" s="17"/>
      <c r="AS286" s="17"/>
      <c r="AT286" s="17"/>
      <c r="AU286" s="17"/>
      <c r="AV286" s="73"/>
      <c r="AW286" s="17"/>
      <c r="AX286" s="17"/>
      <c r="AY286" s="17"/>
      <c r="AZ286" s="17"/>
      <c r="BA286" s="73"/>
      <c r="BB286" s="17"/>
      <c r="BC286" s="17"/>
      <c r="BD286" s="17"/>
      <c r="BE286" s="17"/>
      <c r="BF286" s="73"/>
      <c r="BG286" s="17"/>
      <c r="BH286" s="17"/>
      <c r="BI286" s="17"/>
      <c r="BJ286" s="17"/>
      <c r="BK286" s="73"/>
      <c r="BL286" s="17"/>
      <c r="BM286" s="17"/>
      <c r="BN286" s="17"/>
      <c r="BO286" s="17"/>
      <c r="BP286" s="73"/>
      <c r="BQ286" s="17"/>
      <c r="BR286" s="17"/>
      <c r="BS286" s="17"/>
      <c r="BT286" s="17"/>
      <c r="BU286" s="73"/>
      <c r="BV286" s="17"/>
      <c r="BW286" s="17"/>
      <c r="BX286" s="17"/>
      <c r="BY286" s="17"/>
      <c r="BZ286" s="18"/>
      <c r="CA286" s="17"/>
      <c r="CB286" s="17"/>
      <c r="CC286" s="17"/>
      <c r="CD286" s="17"/>
      <c r="CE286" s="18"/>
      <c r="CF286" s="17"/>
      <c r="CG286" s="17"/>
      <c r="CH286" s="17"/>
      <c r="CI286" s="17"/>
      <c r="CJ286" s="18"/>
      <c r="CK286" s="17"/>
      <c r="CL286" s="17"/>
      <c r="CM286" s="17"/>
      <c r="CN286" s="17"/>
      <c r="CO286" s="18"/>
      <c r="CP286" s="17"/>
      <c r="CQ286" s="439"/>
      <c r="CR286" s="439"/>
      <c r="CS286" s="439"/>
      <c r="CT286" s="37"/>
      <c r="CU286" s="439"/>
      <c r="CV286" s="40"/>
      <c r="CW286" s="40"/>
      <c r="CX286" s="40"/>
      <c r="CY286" s="37"/>
      <c r="CZ286" s="40"/>
      <c r="DA286" s="40"/>
      <c r="DB286" s="40"/>
      <c r="DC286" s="40"/>
      <c r="DD286" s="37"/>
      <c r="DE286" s="372" t="str">
        <f t="shared" ref="DE286:FG286" si="1671">DE274/CZ274-1</f>
        <v>#ERROR!</v>
      </c>
      <c r="DF286" s="372" t="str">
        <f t="shared" si="1671"/>
        <v>#ERROR!</v>
      </c>
      <c r="DG286" s="372" t="str">
        <f t="shared" si="1671"/>
        <v>#ERROR!</v>
      </c>
      <c r="DH286" s="372" t="str">
        <f t="shared" si="1671"/>
        <v>#ERROR!</v>
      </c>
      <c r="DI286" s="37" t="str">
        <f t="shared" si="1671"/>
        <v>#ERROR!</v>
      </c>
      <c r="DJ286" s="372" t="str">
        <f t="shared" si="1671"/>
        <v>#ERROR!</v>
      </c>
      <c r="DK286" s="372" t="str">
        <f t="shared" si="1671"/>
        <v>#ERROR!</v>
      </c>
      <c r="DL286" s="372" t="str">
        <f t="shared" si="1671"/>
        <v>#ERROR!</v>
      </c>
      <c r="DM286" s="85" t="str">
        <f t="shared" si="1671"/>
        <v>#ERROR!</v>
      </c>
      <c r="DN286" s="37" t="str">
        <f t="shared" si="1671"/>
        <v>#ERROR!</v>
      </c>
      <c r="DO286" s="85" t="str">
        <f t="shared" si="1671"/>
        <v>#ERROR!</v>
      </c>
      <c r="DP286" s="85" t="str">
        <f t="shared" si="1671"/>
        <v>#ERROR!</v>
      </c>
      <c r="DQ286" s="85" t="str">
        <f t="shared" si="1671"/>
        <v>#ERROR!</v>
      </c>
      <c r="DR286" s="85" t="str">
        <f t="shared" si="1671"/>
        <v>#ERROR!</v>
      </c>
      <c r="DS286" s="37" t="str">
        <f t="shared" si="1671"/>
        <v>#ERROR!</v>
      </c>
      <c r="DT286" s="85" t="str">
        <f t="shared" si="1671"/>
        <v>#ERROR!</v>
      </c>
      <c r="DU286" s="85" t="str">
        <f t="shared" si="1671"/>
        <v>#ERROR!</v>
      </c>
      <c r="DV286" s="85" t="str">
        <f t="shared" si="1671"/>
        <v>#ERROR!</v>
      </c>
      <c r="DW286" s="85" t="str">
        <f t="shared" si="1671"/>
        <v>#ERROR!</v>
      </c>
      <c r="DX286" s="37" t="str">
        <f t="shared" si="1671"/>
        <v>#ERROR!</v>
      </c>
      <c r="DY286" s="85" t="str">
        <f t="shared" si="1671"/>
        <v>#ERROR!</v>
      </c>
      <c r="DZ286" s="85" t="str">
        <f t="shared" si="1671"/>
        <v>#ERROR!</v>
      </c>
      <c r="EA286" s="85" t="str">
        <f t="shared" si="1671"/>
        <v>#ERROR!</v>
      </c>
      <c r="EB286" s="85" t="str">
        <f t="shared" si="1671"/>
        <v>#ERROR!</v>
      </c>
      <c r="EC286" s="37" t="str">
        <f t="shared" si="1671"/>
        <v>#ERROR!</v>
      </c>
      <c r="ED286" s="85" t="str">
        <f t="shared" si="1671"/>
        <v>#ERROR!</v>
      </c>
      <c r="EE286" s="85" t="str">
        <f t="shared" si="1671"/>
        <v>#ERROR!</v>
      </c>
      <c r="EF286" s="85" t="str">
        <f t="shared" si="1671"/>
        <v>#ERROR!</v>
      </c>
      <c r="EG286" s="85" t="str">
        <f t="shared" si="1671"/>
        <v>#ERROR!</v>
      </c>
      <c r="EH286" s="37" t="str">
        <f t="shared" si="1671"/>
        <v>#ERROR!</v>
      </c>
      <c r="EI286" s="362" t="str">
        <f t="shared" si="1671"/>
        <v>#ERROR!</v>
      </c>
      <c r="EJ286" s="372" t="str">
        <f t="shared" si="1671"/>
        <v>#ERROR!</v>
      </c>
      <c r="EK286" s="372" t="str">
        <f t="shared" si="1671"/>
        <v>#ERROR!</v>
      </c>
      <c r="EL286" s="372" t="str">
        <f t="shared" si="1671"/>
        <v>#ERROR!</v>
      </c>
      <c r="EM286" s="37" t="str">
        <f t="shared" si="1671"/>
        <v>#ERROR!</v>
      </c>
      <c r="EN286" s="372" t="str">
        <f t="shared" si="1671"/>
        <v>#ERROR!</v>
      </c>
      <c r="EO286" s="372" t="str">
        <f t="shared" si="1671"/>
        <v>#ERROR!</v>
      </c>
      <c r="EP286" s="372" t="str">
        <f t="shared" si="1671"/>
        <v>#ERROR!</v>
      </c>
      <c r="EQ286" s="372" t="str">
        <f t="shared" si="1671"/>
        <v>#ERROR!</v>
      </c>
      <c r="ER286" s="37" t="str">
        <f t="shared" si="1671"/>
        <v>#ERROR!</v>
      </c>
      <c r="ES286" s="372" t="str">
        <f t="shared" si="1671"/>
        <v>#ERROR!</v>
      </c>
      <c r="ET286" s="372" t="str">
        <f t="shared" si="1671"/>
        <v>#ERROR!</v>
      </c>
      <c r="EU286" s="372" t="str">
        <f t="shared" si="1671"/>
        <v>#ERROR!</v>
      </c>
      <c r="EV286" s="372" t="str">
        <f t="shared" si="1671"/>
        <v>#ERROR!</v>
      </c>
      <c r="EW286" s="37" t="str">
        <f t="shared" si="1671"/>
        <v>#ERROR!</v>
      </c>
      <c r="EX286" s="372" t="str">
        <f t="shared" si="1671"/>
        <v>#ERROR!</v>
      </c>
      <c r="EY286" s="372" t="str">
        <f t="shared" si="1671"/>
        <v>#ERROR!</v>
      </c>
      <c r="EZ286" s="372" t="str">
        <f t="shared" si="1671"/>
        <v>#ERROR!</v>
      </c>
      <c r="FA286" s="372" t="str">
        <f t="shared" si="1671"/>
        <v>#ERROR!</v>
      </c>
      <c r="FB286" s="37" t="str">
        <f t="shared" si="1671"/>
        <v>#ERROR!</v>
      </c>
      <c r="FC286" s="372" t="str">
        <f t="shared" si="1671"/>
        <v>#ERROR!</v>
      </c>
      <c r="FD286" s="372" t="str">
        <f t="shared" si="1671"/>
        <v>#ERROR!</v>
      </c>
      <c r="FE286" s="372" t="str">
        <f t="shared" si="1671"/>
        <v>#ERROR!</v>
      </c>
      <c r="FF286" s="372" t="str">
        <f t="shared" si="1671"/>
        <v>#ERROR!</v>
      </c>
      <c r="FG286" s="37" t="str">
        <f t="shared" si="1671"/>
        <v>#ERROR!</v>
      </c>
      <c r="FH286" s="35"/>
      <c r="FI286" s="17"/>
      <c r="FJ286" s="17"/>
      <c r="FK286" s="73"/>
      <c r="FL286" s="17"/>
    </row>
    <row r="287" ht="12.75" hidden="1" customHeight="1" outlineLevel="1">
      <c r="A287" s="421"/>
      <c r="B287" s="72" t="s">
        <v>201</v>
      </c>
      <c r="C287" s="45"/>
      <c r="D287" s="17"/>
      <c r="E287" s="17"/>
      <c r="F287" s="17"/>
      <c r="G287" s="17"/>
      <c r="H287" s="73"/>
      <c r="I287" s="17"/>
      <c r="J287" s="17"/>
      <c r="K287" s="17"/>
      <c r="L287" s="17"/>
      <c r="M287" s="73"/>
      <c r="N287" s="17"/>
      <c r="O287" s="17"/>
      <c r="P287" s="17"/>
      <c r="Q287" s="17"/>
      <c r="R287" s="73"/>
      <c r="S287" s="17"/>
      <c r="T287" s="17"/>
      <c r="U287" s="17"/>
      <c r="V287" s="17"/>
      <c r="W287" s="73"/>
      <c r="X287" s="17"/>
      <c r="Y287" s="17"/>
      <c r="Z287" s="17"/>
      <c r="AA287" s="17"/>
      <c r="AB287" s="73"/>
      <c r="AC287" s="17"/>
      <c r="AD287" s="17"/>
      <c r="AE287" s="17"/>
      <c r="AF287" s="17"/>
      <c r="AG287" s="73"/>
      <c r="AH287" s="17"/>
      <c r="AI287" s="17"/>
      <c r="AJ287" s="17"/>
      <c r="AK287" s="17"/>
      <c r="AL287" s="73"/>
      <c r="AM287" s="17"/>
      <c r="AN287" s="17"/>
      <c r="AO287" s="17"/>
      <c r="AP287" s="17"/>
      <c r="AQ287" s="73"/>
      <c r="AR287" s="17"/>
      <c r="AS287" s="17"/>
      <c r="AT287" s="17"/>
      <c r="AU287" s="17"/>
      <c r="AV287" s="73"/>
      <c r="AW287" s="17"/>
      <c r="AX287" s="17"/>
      <c r="AY287" s="17"/>
      <c r="AZ287" s="17"/>
      <c r="BA287" s="73"/>
      <c r="BB287" s="17"/>
      <c r="BC287" s="17"/>
      <c r="BD287" s="17"/>
      <c r="BE287" s="17"/>
      <c r="BF287" s="73"/>
      <c r="BG287" s="17"/>
      <c r="BH287" s="17"/>
      <c r="BI287" s="17"/>
      <c r="BJ287" s="17"/>
      <c r="BK287" s="73"/>
      <c r="BL287" s="17"/>
      <c r="BM287" s="17"/>
      <c r="BN287" s="17"/>
      <c r="BO287" s="17"/>
      <c r="BP287" s="73"/>
      <c r="BQ287" s="17"/>
      <c r="BR287" s="17"/>
      <c r="BS287" s="17"/>
      <c r="BT287" s="17"/>
      <c r="BU287" s="73"/>
      <c r="BV287" s="17"/>
      <c r="BW287" s="17"/>
      <c r="BX287" s="17"/>
      <c r="BY287" s="17"/>
      <c r="BZ287" s="18"/>
      <c r="CA287" s="17"/>
      <c r="CB287" s="17"/>
      <c r="CC287" s="17"/>
      <c r="CD287" s="17"/>
      <c r="CE287" s="18"/>
      <c r="CF287" s="17"/>
      <c r="CG287" s="17"/>
      <c r="CH287" s="17"/>
      <c r="CI287" s="17"/>
      <c r="CJ287" s="18"/>
      <c r="CK287" s="17"/>
      <c r="CL287" s="17"/>
      <c r="CM287" s="17"/>
      <c r="CN287" s="17"/>
      <c r="CO287" s="18"/>
      <c r="CP287" s="17" t="str">
        <f t="shared" ref="CP287:CS287" si="1672">CP289*CP295/1000</f>
        <v>#ERROR!</v>
      </c>
      <c r="CQ287" s="17" t="str">
        <f t="shared" si="1672"/>
        <v>#ERROR!</v>
      </c>
      <c r="CR287" s="17" t="str">
        <f t="shared" si="1672"/>
        <v>#ERROR!</v>
      </c>
      <c r="CS287" s="17" t="str">
        <f t="shared" si="1672"/>
        <v>#ERROR!</v>
      </c>
      <c r="CT287" s="18" t="str">
        <f>SUM(CP287:CS287)</f>
        <v>#ERROR!</v>
      </c>
      <c r="CU287" s="17" t="str">
        <f t="shared" ref="CU287:CX287" si="1673">CU289*CU295/1000</f>
        <v>#ERROR!</v>
      </c>
      <c r="CV287" s="17" t="str">
        <f t="shared" si="1673"/>
        <v>#ERROR!</v>
      </c>
      <c r="CW287" s="17" t="str">
        <f t="shared" si="1673"/>
        <v>#ERROR!</v>
      </c>
      <c r="CX287" s="17" t="str">
        <f t="shared" si="1673"/>
        <v>#ERROR!</v>
      </c>
      <c r="CY287" s="18" t="str">
        <f>SUM(CU287:CX287)</f>
        <v>#ERROR!</v>
      </c>
      <c r="CZ287" s="17" t="str">
        <f t="shared" ref="CZ287:DC287" si="1674">CZ289*CZ295/1000</f>
        <v>#ERROR!</v>
      </c>
      <c r="DA287" s="17" t="str">
        <f t="shared" si="1674"/>
        <v>#ERROR!</v>
      </c>
      <c r="DB287" s="17" t="str">
        <f t="shared" si="1674"/>
        <v>#ERROR!</v>
      </c>
      <c r="DC287" s="17" t="str">
        <f t="shared" si="1674"/>
        <v>#ERROR!</v>
      </c>
      <c r="DD287" s="18" t="str">
        <f>SUM(CZ287:DC287)</f>
        <v>#ERROR!</v>
      </c>
      <c r="DE287" s="17" t="str">
        <f t="shared" ref="DE287:DH287" si="1675">DE289*DE295/1000</f>
        <v>#ERROR!</v>
      </c>
      <c r="DF287" s="17" t="str">
        <f t="shared" si="1675"/>
        <v>#ERROR!</v>
      </c>
      <c r="DG287" s="19" t="str">
        <f t="shared" si="1675"/>
        <v>#ERROR!</v>
      </c>
      <c r="DH287" s="17" t="str">
        <f t="shared" si="1675"/>
        <v>#ERROR!</v>
      </c>
      <c r="DI287" s="18" t="str">
        <f>SUM(DE287:DH287)</f>
        <v>#ERROR!</v>
      </c>
      <c r="DJ287" s="19" t="str">
        <f>DE287*(1+0.04)</f>
        <v>#ERROR!</v>
      </c>
      <c r="DK287" s="19" t="str">
        <f>DF287*(1+0.056)</f>
        <v>#ERROR!</v>
      </c>
      <c r="DL287" s="19" t="str">
        <f t="shared" ref="DL287:DM287" si="1676">DL289*DL295/1000</f>
        <v>#ERROR!</v>
      </c>
      <c r="DM287" s="19" t="str">
        <f t="shared" si="1676"/>
        <v>#ERROR!</v>
      </c>
      <c r="DN287" s="18" t="str">
        <f>SUM(DJ287:DM287)</f>
        <v>#ERROR!</v>
      </c>
      <c r="DO287" s="19" t="str">
        <f t="shared" ref="DO287:DR287" si="1677">DO289*DO295/1000</f>
        <v>#ERROR!</v>
      </c>
      <c r="DP287" s="19" t="str">
        <f t="shared" si="1677"/>
        <v>#ERROR!</v>
      </c>
      <c r="DQ287" s="19" t="str">
        <f t="shared" si="1677"/>
        <v>#ERROR!</v>
      </c>
      <c r="DR287" s="19" t="str">
        <f t="shared" si="1677"/>
        <v>#ERROR!</v>
      </c>
      <c r="DS287" s="18" t="str">
        <f>SUM(DO287:DR287)</f>
        <v>#ERROR!</v>
      </c>
      <c r="DT287" s="19" t="str">
        <f t="shared" ref="DT287:DW287" si="1678">DT289*DT295/1000</f>
        <v>#ERROR!</v>
      </c>
      <c r="DU287" s="19" t="str">
        <f t="shared" si="1678"/>
        <v>#ERROR!</v>
      </c>
      <c r="DV287" s="19" t="str">
        <f t="shared" si="1678"/>
        <v>#ERROR!</v>
      </c>
      <c r="DW287" s="19" t="str">
        <f t="shared" si="1678"/>
        <v>#ERROR!</v>
      </c>
      <c r="DX287" s="18" t="str">
        <f>SUM(DT287:DW287)</f>
        <v>#ERROR!</v>
      </c>
      <c r="DY287" s="19" t="str">
        <f t="shared" ref="DY287:EB287" si="1679">DY289*DY295/1000</f>
        <v>#ERROR!</v>
      </c>
      <c r="DZ287" s="19" t="str">
        <f t="shared" si="1679"/>
        <v>#ERROR!</v>
      </c>
      <c r="EA287" s="19" t="str">
        <f t="shared" si="1679"/>
        <v>#ERROR!</v>
      </c>
      <c r="EB287" s="19" t="str">
        <f t="shared" si="1679"/>
        <v>#ERROR!</v>
      </c>
      <c r="EC287" s="18" t="str">
        <f>SUM(DY287:EB287)</f>
        <v>#ERROR!</v>
      </c>
      <c r="ED287" s="19" t="str">
        <f t="shared" ref="ED287:EG287" si="1680">ED289*ED295/1000</f>
        <v>#ERROR!</v>
      </c>
      <c r="EE287" s="19" t="str">
        <f t="shared" si="1680"/>
        <v>#ERROR!</v>
      </c>
      <c r="EF287" s="19" t="str">
        <f t="shared" si="1680"/>
        <v>#ERROR!</v>
      </c>
      <c r="EG287" s="19" t="str">
        <f t="shared" si="1680"/>
        <v>#ERROR!</v>
      </c>
      <c r="EH287" s="18" t="str">
        <f>SUM(ED287:EG287)</f>
        <v>#ERROR!</v>
      </c>
      <c r="EI287" s="25" t="str">
        <f t="shared" ref="EI287:EL287" si="1681">EI289*EI295/1000</f>
        <v>#ERROR!</v>
      </c>
      <c r="EJ287" s="17" t="str">
        <f t="shared" si="1681"/>
        <v>#ERROR!</v>
      </c>
      <c r="EK287" s="17" t="str">
        <f t="shared" si="1681"/>
        <v>#ERROR!</v>
      </c>
      <c r="EL287" s="17" t="str">
        <f t="shared" si="1681"/>
        <v>#ERROR!</v>
      </c>
      <c r="EM287" s="18" t="str">
        <f>SUM(EI287:EL287)</f>
        <v>#ERROR!</v>
      </c>
      <c r="EN287" s="17" t="str">
        <f t="shared" ref="EN287:EQ287" si="1682">EN289*EN295/1000</f>
        <v>#ERROR!</v>
      </c>
      <c r="EO287" s="17" t="str">
        <f t="shared" si="1682"/>
        <v>#ERROR!</v>
      </c>
      <c r="EP287" s="17" t="str">
        <f t="shared" si="1682"/>
        <v>#ERROR!</v>
      </c>
      <c r="EQ287" s="17" t="str">
        <f t="shared" si="1682"/>
        <v>#ERROR!</v>
      </c>
      <c r="ER287" s="18" t="str">
        <f>SUM(EN287:EQ287)</f>
        <v>#ERROR!</v>
      </c>
      <c r="ES287" s="17" t="str">
        <f t="shared" ref="ES287:EV287" si="1683">ES289*ES295/1000</f>
        <v>#ERROR!</v>
      </c>
      <c r="ET287" s="17" t="str">
        <f t="shared" si="1683"/>
        <v>#ERROR!</v>
      </c>
      <c r="EU287" s="17" t="str">
        <f t="shared" si="1683"/>
        <v>#ERROR!</v>
      </c>
      <c r="EV287" s="17" t="str">
        <f t="shared" si="1683"/>
        <v>#ERROR!</v>
      </c>
      <c r="EW287" s="18" t="str">
        <f>SUM(ES287:EV287)</f>
        <v>#ERROR!</v>
      </c>
      <c r="EX287" s="17" t="str">
        <f t="shared" ref="EX287:FA287" si="1684">EX289*EX295/1000</f>
        <v>#ERROR!</v>
      </c>
      <c r="EY287" s="17" t="str">
        <f t="shared" si="1684"/>
        <v>#ERROR!</v>
      </c>
      <c r="EZ287" s="17" t="str">
        <f t="shared" si="1684"/>
        <v>#ERROR!</v>
      </c>
      <c r="FA287" s="17" t="str">
        <f t="shared" si="1684"/>
        <v>#ERROR!</v>
      </c>
      <c r="FB287" s="18" t="str">
        <f>SUM(EX287:FA287)</f>
        <v>#ERROR!</v>
      </c>
      <c r="FC287" s="17" t="str">
        <f t="shared" ref="FC287:FF287" si="1685">FC289*FC295/1000</f>
        <v>#ERROR!</v>
      </c>
      <c r="FD287" s="17" t="str">
        <f t="shared" si="1685"/>
        <v>#ERROR!</v>
      </c>
      <c r="FE287" s="17" t="str">
        <f t="shared" si="1685"/>
        <v>#ERROR!</v>
      </c>
      <c r="FF287" s="17" t="str">
        <f t="shared" si="1685"/>
        <v>#ERROR!</v>
      </c>
      <c r="FG287" s="18" t="str">
        <f>SUM(FC287:FF287)</f>
        <v>#ERROR!</v>
      </c>
      <c r="FH287" s="74"/>
      <c r="FI287" s="17"/>
      <c r="FJ287" s="17"/>
      <c r="FK287" s="73"/>
      <c r="FL287" s="17"/>
    </row>
    <row r="288" ht="12.75" hidden="1" customHeight="1" outlineLevel="1">
      <c r="A288" s="421"/>
      <c r="B288" s="72" t="s">
        <v>150</v>
      </c>
      <c r="C288" s="45"/>
      <c r="D288" s="17"/>
      <c r="E288" s="17"/>
      <c r="F288" s="17"/>
      <c r="G288" s="17"/>
      <c r="H288" s="73"/>
      <c r="I288" s="17"/>
      <c r="J288" s="17"/>
      <c r="K288" s="17"/>
      <c r="L288" s="17"/>
      <c r="M288" s="73"/>
      <c r="N288" s="17"/>
      <c r="O288" s="17"/>
      <c r="P288" s="17"/>
      <c r="Q288" s="17"/>
      <c r="R288" s="73"/>
      <c r="S288" s="17"/>
      <c r="T288" s="17"/>
      <c r="U288" s="17"/>
      <c r="V288" s="17"/>
      <c r="W288" s="73"/>
      <c r="X288" s="17"/>
      <c r="Y288" s="17"/>
      <c r="Z288" s="17"/>
      <c r="AA288" s="17"/>
      <c r="AB288" s="73"/>
      <c r="AC288" s="17"/>
      <c r="AD288" s="17"/>
      <c r="AE288" s="17"/>
      <c r="AF288" s="17"/>
      <c r="AG288" s="73"/>
      <c r="AH288" s="17"/>
      <c r="AI288" s="17"/>
      <c r="AJ288" s="17"/>
      <c r="AK288" s="17"/>
      <c r="AL288" s="73"/>
      <c r="AM288" s="17"/>
      <c r="AN288" s="17"/>
      <c r="AO288" s="17"/>
      <c r="AP288" s="17"/>
      <c r="AQ288" s="73"/>
      <c r="AR288" s="17"/>
      <c r="AS288" s="17"/>
      <c r="AT288" s="17"/>
      <c r="AU288" s="17"/>
      <c r="AV288" s="73"/>
      <c r="AW288" s="17"/>
      <c r="AX288" s="17"/>
      <c r="AY288" s="17"/>
      <c r="AZ288" s="17"/>
      <c r="BA288" s="73"/>
      <c r="BB288" s="17"/>
      <c r="BC288" s="17"/>
      <c r="BD288" s="17"/>
      <c r="BE288" s="17"/>
      <c r="BF288" s="73"/>
      <c r="BG288" s="17"/>
      <c r="BH288" s="17"/>
      <c r="BI288" s="17"/>
      <c r="BJ288" s="17"/>
      <c r="BK288" s="73"/>
      <c r="BL288" s="17"/>
      <c r="BM288" s="17"/>
      <c r="BN288" s="17"/>
      <c r="BO288" s="17"/>
      <c r="BP288" s="73"/>
      <c r="BQ288" s="17"/>
      <c r="BR288" s="17"/>
      <c r="BS288" s="17"/>
      <c r="BT288" s="17"/>
      <c r="BU288" s="73"/>
      <c r="BV288" s="17"/>
      <c r="BW288" s="17"/>
      <c r="BX288" s="17"/>
      <c r="BY288" s="17"/>
      <c r="BZ288" s="18"/>
      <c r="CA288" s="17"/>
      <c r="CB288" s="17"/>
      <c r="CC288" s="17"/>
      <c r="CD288" s="17"/>
      <c r="CE288" s="18"/>
      <c r="CF288" s="17"/>
      <c r="CG288" s="17"/>
      <c r="CH288" s="17"/>
      <c r="CI288" s="17"/>
      <c r="CJ288" s="18"/>
      <c r="CK288" s="17"/>
      <c r="CL288" s="17"/>
      <c r="CM288" s="17"/>
      <c r="CN288" s="17"/>
      <c r="CO288" s="18"/>
      <c r="CP288" s="17"/>
      <c r="CQ288" s="17"/>
      <c r="CR288" s="17"/>
      <c r="CS288" s="17"/>
      <c r="CT288" s="18"/>
      <c r="CU288" s="372" t="str">
        <f>CU287/CS287-1</f>
        <v>#ERROR!</v>
      </c>
      <c r="CV288" s="372" t="str">
        <f t="shared" ref="CV288:CX288" si="1686">CV287/CU287-1</f>
        <v>#ERROR!</v>
      </c>
      <c r="CW288" s="372" t="str">
        <f t="shared" si="1686"/>
        <v>#ERROR!</v>
      </c>
      <c r="CX288" s="372" t="str">
        <f t="shared" si="1686"/>
        <v>#ERROR!</v>
      </c>
      <c r="CY288" s="18"/>
      <c r="CZ288" s="372" t="str">
        <f>CZ287/CX287-1</f>
        <v>#ERROR!</v>
      </c>
      <c r="DA288" s="372" t="str">
        <f t="shared" ref="DA288:DC288" si="1687">DA287/CZ287-1</f>
        <v>#ERROR!</v>
      </c>
      <c r="DB288" s="372" t="str">
        <f t="shared" si="1687"/>
        <v>#ERROR!</v>
      </c>
      <c r="DC288" s="372" t="str">
        <f t="shared" si="1687"/>
        <v>#ERROR!</v>
      </c>
      <c r="DD288" s="18"/>
      <c r="DE288" s="372" t="str">
        <f>DE287/DC287-1</f>
        <v>#ERROR!</v>
      </c>
      <c r="DF288" s="372" t="str">
        <f t="shared" ref="DF288:DH288" si="1688">DF287/DE287-1</f>
        <v>#ERROR!</v>
      </c>
      <c r="DG288" s="372" t="str">
        <f t="shared" si="1688"/>
        <v>#ERROR!</v>
      </c>
      <c r="DH288" s="372" t="str">
        <f t="shared" si="1688"/>
        <v>#ERROR!</v>
      </c>
      <c r="DI288" s="18"/>
      <c r="DJ288" s="372" t="str">
        <f>DJ287/DH287-1</f>
        <v>#ERROR!</v>
      </c>
      <c r="DK288" s="372" t="str">
        <f t="shared" ref="DK288:DM288" si="1689">DK287/DJ287-1</f>
        <v>#ERROR!</v>
      </c>
      <c r="DL288" s="372" t="str">
        <f t="shared" si="1689"/>
        <v>#ERROR!</v>
      </c>
      <c r="DM288" s="372" t="str">
        <f t="shared" si="1689"/>
        <v>#ERROR!</v>
      </c>
      <c r="DN288" s="18"/>
      <c r="DO288" s="372" t="str">
        <f>DO287/DM287-1</f>
        <v>#ERROR!</v>
      </c>
      <c r="DP288" s="372" t="str">
        <f t="shared" ref="DP288:DR288" si="1690">DP287/DO287-1</f>
        <v>#ERROR!</v>
      </c>
      <c r="DQ288" s="372" t="str">
        <f t="shared" si="1690"/>
        <v>#ERROR!</v>
      </c>
      <c r="DR288" s="372" t="str">
        <f t="shared" si="1690"/>
        <v>#ERROR!</v>
      </c>
      <c r="DS288" s="18"/>
      <c r="DT288" s="372" t="str">
        <f>DT287/DR287-1</f>
        <v>#ERROR!</v>
      </c>
      <c r="DU288" s="372" t="str">
        <f t="shared" ref="DU288:DW288" si="1691">DU287/DT287-1</f>
        <v>#ERROR!</v>
      </c>
      <c r="DV288" s="372" t="str">
        <f t="shared" si="1691"/>
        <v>#ERROR!</v>
      </c>
      <c r="DW288" s="372" t="str">
        <f t="shared" si="1691"/>
        <v>#ERROR!</v>
      </c>
      <c r="DX288" s="18"/>
      <c r="DY288" s="372" t="str">
        <f>DY287/DW287-1</f>
        <v>#ERROR!</v>
      </c>
      <c r="DZ288" s="372" t="str">
        <f t="shared" ref="DZ288:EB288" si="1692">DZ287/DY287-1</f>
        <v>#ERROR!</v>
      </c>
      <c r="EA288" s="372" t="str">
        <f t="shared" si="1692"/>
        <v>#ERROR!</v>
      </c>
      <c r="EB288" s="372" t="str">
        <f t="shared" si="1692"/>
        <v>#ERROR!</v>
      </c>
      <c r="EC288" s="18"/>
      <c r="ED288" s="19"/>
      <c r="EE288" s="19"/>
      <c r="EF288" s="19"/>
      <c r="EG288" s="19"/>
      <c r="EH288" s="18"/>
      <c r="EI288" s="25"/>
      <c r="EJ288" s="17"/>
      <c r="EK288" s="17"/>
      <c r="EL288" s="17"/>
      <c r="EM288" s="18"/>
      <c r="EN288" s="17"/>
      <c r="EO288" s="17"/>
      <c r="EP288" s="17"/>
      <c r="EQ288" s="17"/>
      <c r="ER288" s="18"/>
      <c r="ES288" s="17"/>
      <c r="ET288" s="17"/>
      <c r="EU288" s="17"/>
      <c r="EV288" s="17"/>
      <c r="EW288" s="18"/>
      <c r="EX288" s="17"/>
      <c r="EY288" s="17"/>
      <c r="EZ288" s="17"/>
      <c r="FA288" s="17"/>
      <c r="FB288" s="18"/>
      <c r="FC288" s="17"/>
      <c r="FD288" s="17"/>
      <c r="FE288" s="17"/>
      <c r="FF288" s="17"/>
      <c r="FG288" s="18"/>
      <c r="FH288" s="74"/>
      <c r="FI288" s="17"/>
      <c r="FJ288" s="17"/>
      <c r="FK288" s="73"/>
      <c r="FL288" s="17"/>
    </row>
    <row r="289" ht="12.75" hidden="1" customHeight="1" outlineLevel="1">
      <c r="A289" s="421"/>
      <c r="B289" s="215" t="s">
        <v>198</v>
      </c>
      <c r="C289" s="45"/>
      <c r="D289" s="17"/>
      <c r="E289" s="17"/>
      <c r="F289" s="17"/>
      <c r="G289" s="17"/>
      <c r="H289" s="73"/>
      <c r="I289" s="17"/>
      <c r="J289" s="17"/>
      <c r="K289" s="17"/>
      <c r="L289" s="17"/>
      <c r="M289" s="73"/>
      <c r="N289" s="17"/>
      <c r="O289" s="17"/>
      <c r="P289" s="17"/>
      <c r="Q289" s="17"/>
      <c r="R289" s="73"/>
      <c r="S289" s="17"/>
      <c r="T289" s="17"/>
      <c r="U289" s="17"/>
      <c r="V289" s="17"/>
      <c r="W289" s="73"/>
      <c r="X289" s="17"/>
      <c r="Y289" s="17"/>
      <c r="Z289" s="17"/>
      <c r="AA289" s="17"/>
      <c r="AB289" s="73"/>
      <c r="AC289" s="17"/>
      <c r="AD289" s="17"/>
      <c r="AE289" s="17"/>
      <c r="AF289" s="17"/>
      <c r="AG289" s="73"/>
      <c r="AH289" s="17"/>
      <c r="AI289" s="17"/>
      <c r="AJ289" s="17"/>
      <c r="AK289" s="17"/>
      <c r="AL289" s="73"/>
      <c r="AM289" s="17"/>
      <c r="AN289" s="17"/>
      <c r="AO289" s="17"/>
      <c r="AP289" s="17"/>
      <c r="AQ289" s="73"/>
      <c r="AR289" s="17"/>
      <c r="AS289" s="17"/>
      <c r="AT289" s="17"/>
      <c r="AU289" s="17"/>
      <c r="AV289" s="73"/>
      <c r="AW289" s="17"/>
      <c r="AX289" s="17"/>
      <c r="AY289" s="17"/>
      <c r="AZ289" s="17"/>
      <c r="BA289" s="73"/>
      <c r="BB289" s="17"/>
      <c r="BC289" s="17"/>
      <c r="BD289" s="17"/>
      <c r="BE289" s="17"/>
      <c r="BF289" s="73"/>
      <c r="BG289" s="17"/>
      <c r="BH289" s="17"/>
      <c r="BI289" s="17"/>
      <c r="BJ289" s="17"/>
      <c r="BK289" s="73"/>
      <c r="BL289" s="17"/>
      <c r="BM289" s="17"/>
      <c r="BN289" s="17"/>
      <c r="BO289" s="17"/>
      <c r="BP289" s="73"/>
      <c r="BQ289" s="17"/>
      <c r="BR289" s="17"/>
      <c r="BS289" s="17"/>
      <c r="BT289" s="17"/>
      <c r="BU289" s="73"/>
      <c r="BV289" s="17"/>
      <c r="BW289" s="17"/>
      <c r="BX289" s="17"/>
      <c r="BY289" s="17"/>
      <c r="BZ289" s="18"/>
      <c r="CA289" s="17"/>
      <c r="CB289" s="17"/>
      <c r="CC289" s="17"/>
      <c r="CD289" s="17"/>
      <c r="CE289" s="18"/>
      <c r="CF289" s="17">
        <v>37498.0</v>
      </c>
      <c r="CG289" s="17">
        <v>41009.700000000004</v>
      </c>
      <c r="CH289" s="17">
        <v>40168.1</v>
      </c>
      <c r="CI289" s="17">
        <v>39618.299999999996</v>
      </c>
      <c r="CJ289" s="18">
        <f>SUM(CF289:CI289)</f>
        <v>158294.1</v>
      </c>
      <c r="CK289" s="17">
        <v>35185.2</v>
      </c>
      <c r="CL289" s="17">
        <v>38403.0</v>
      </c>
      <c r="CM289" s="17">
        <v>39203.0</v>
      </c>
      <c r="CN289" s="17">
        <v>39914.0</v>
      </c>
      <c r="CO289" s="18">
        <f>SUM(CK289:CN289)</f>
        <v>152705.2</v>
      </c>
      <c r="CP289" s="17">
        <v>36897.0</v>
      </c>
      <c r="CQ289" s="17">
        <v>42556.0</v>
      </c>
      <c r="CR289" s="17">
        <v>47271.0</v>
      </c>
      <c r="CS289" s="17">
        <v>44828.0</v>
      </c>
      <c r="CT289" s="18">
        <f>SUM(CP289:CS289)</f>
        <v>171552</v>
      </c>
      <c r="CU289" s="17">
        <v>38055.0</v>
      </c>
      <c r="CV289" s="17">
        <v>37549.0</v>
      </c>
      <c r="CW289" s="17">
        <v>41352.0</v>
      </c>
      <c r="CX289" s="17">
        <v>40428.0</v>
      </c>
      <c r="CY289" s="18">
        <f>SUM(CU289:CX289)</f>
        <v>157384</v>
      </c>
      <c r="CZ289" s="17">
        <f t="shared" ref="CZ289:DC289" si="1693">CU289*(1+CZ291)</f>
        <v>37293.9</v>
      </c>
      <c r="DA289" s="17">
        <f t="shared" si="1693"/>
        <v>35671.55</v>
      </c>
      <c r="DB289" s="17">
        <f t="shared" si="1693"/>
        <v>43006.08</v>
      </c>
      <c r="DC289" s="17">
        <f t="shared" si="1693"/>
        <v>40428</v>
      </c>
      <c r="DD289" s="18">
        <f>SUM(CZ289:DC289)</f>
        <v>156399.53</v>
      </c>
      <c r="DE289" s="17">
        <v>36550.0</v>
      </c>
      <c r="DF289" s="17">
        <v>40375.0</v>
      </c>
      <c r="DG289" s="19">
        <v>42277.0</v>
      </c>
      <c r="DH289" s="17">
        <f>DG289*(1+DH290)</f>
        <v>42277</v>
      </c>
      <c r="DI289" s="18">
        <f>SUM(DE289:DH289)</f>
        <v>161479</v>
      </c>
      <c r="DJ289" s="19" t="str">
        <f t="shared" ref="DJ289:DK289" si="1694">DJ287*1000/DJ295</f>
        <v>#ERROR!</v>
      </c>
      <c r="DK289" s="19" t="str">
        <f t="shared" si="1694"/>
        <v>#ERROR!</v>
      </c>
      <c r="DL289" s="19" t="str">
        <f t="shared" ref="DL289:DM289" si="1695">DK289*(1+DL290)</f>
        <v>#ERROR!</v>
      </c>
      <c r="DM289" s="19" t="str">
        <f t="shared" si="1695"/>
        <v>#ERROR!</v>
      </c>
      <c r="DN289" s="18" t="str">
        <f>SUM(DJ289:DM289)</f>
        <v>#ERROR!</v>
      </c>
      <c r="DO289" s="19" t="str">
        <f>DM289*(1+DO290)</f>
        <v>#ERROR!</v>
      </c>
      <c r="DP289" s="19" t="str">
        <f t="shared" ref="DP289:DR289" si="1696">DO289*(1+DP290)</f>
        <v>#ERROR!</v>
      </c>
      <c r="DQ289" s="19" t="str">
        <f t="shared" si="1696"/>
        <v>#ERROR!</v>
      </c>
      <c r="DR289" s="19" t="str">
        <f t="shared" si="1696"/>
        <v>#ERROR!</v>
      </c>
      <c r="DS289" s="18" t="str">
        <f>SUM(DO289:DR289)</f>
        <v>#ERROR!</v>
      </c>
      <c r="DT289" s="19" t="str">
        <f>DR289*(1+DT290)</f>
        <v>#ERROR!</v>
      </c>
      <c r="DU289" s="19" t="str">
        <f t="shared" ref="DU289:DW289" si="1697">DT289*(1+DU290)</f>
        <v>#ERROR!</v>
      </c>
      <c r="DV289" s="19" t="str">
        <f t="shared" si="1697"/>
        <v>#ERROR!</v>
      </c>
      <c r="DW289" s="19" t="str">
        <f t="shared" si="1697"/>
        <v>#ERROR!</v>
      </c>
      <c r="DX289" s="18" t="str">
        <f>SUM(DT289:DW289)</f>
        <v>#ERROR!</v>
      </c>
      <c r="DY289" s="19" t="str">
        <f>DW289*(1+DY290)</f>
        <v>#ERROR!</v>
      </c>
      <c r="DZ289" s="19" t="str">
        <f t="shared" ref="DZ289:EB289" si="1698">DY289*(1+DZ290)</f>
        <v>#ERROR!</v>
      </c>
      <c r="EA289" s="19" t="str">
        <f t="shared" si="1698"/>
        <v>#ERROR!</v>
      </c>
      <c r="EB289" s="19" t="str">
        <f t="shared" si="1698"/>
        <v>#ERROR!</v>
      </c>
      <c r="EC289" s="18" t="str">
        <f>SUM(DY289:EB289)</f>
        <v>#ERROR!</v>
      </c>
      <c r="ED289" s="19" t="str">
        <f>EB289*(1+ED290)</f>
        <v>#ERROR!</v>
      </c>
      <c r="EE289" s="19" t="str">
        <f t="shared" ref="EE289:EG289" si="1699">ED289*(1+EE290)</f>
        <v>#ERROR!</v>
      </c>
      <c r="EF289" s="19" t="str">
        <f t="shared" si="1699"/>
        <v>#ERROR!</v>
      </c>
      <c r="EG289" s="19" t="str">
        <f t="shared" si="1699"/>
        <v>#ERROR!</v>
      </c>
      <c r="EH289" s="18" t="str">
        <f>SUM(ED289:EG289)</f>
        <v>#ERROR!</v>
      </c>
      <c r="EI289" s="25" t="str">
        <f>EG289*(1+EI290)</f>
        <v>#ERROR!</v>
      </c>
      <c r="EJ289" s="17" t="str">
        <f t="shared" ref="EJ289:EL289" si="1700">EI289*(1+EJ290)</f>
        <v>#ERROR!</v>
      </c>
      <c r="EK289" s="17" t="str">
        <f t="shared" si="1700"/>
        <v>#ERROR!</v>
      </c>
      <c r="EL289" s="17" t="str">
        <f t="shared" si="1700"/>
        <v>#ERROR!</v>
      </c>
      <c r="EM289" s="18" t="str">
        <f>SUM(EI289:EL289)</f>
        <v>#ERROR!</v>
      </c>
      <c r="EN289" s="17" t="str">
        <f>EL289*(1+EN290)</f>
        <v>#ERROR!</v>
      </c>
      <c r="EO289" s="17" t="str">
        <f t="shared" ref="EO289:EQ289" si="1701">EN289*(1+EO290)</f>
        <v>#ERROR!</v>
      </c>
      <c r="EP289" s="17" t="str">
        <f t="shared" si="1701"/>
        <v>#ERROR!</v>
      </c>
      <c r="EQ289" s="17" t="str">
        <f t="shared" si="1701"/>
        <v>#ERROR!</v>
      </c>
      <c r="ER289" s="18" t="str">
        <f>SUM(EN289:EQ289)</f>
        <v>#ERROR!</v>
      </c>
      <c r="ES289" s="17" t="str">
        <f>EQ289*(1+ES290)</f>
        <v>#ERROR!</v>
      </c>
      <c r="ET289" s="17" t="str">
        <f t="shared" ref="ET289:EV289" si="1702">ES289*(1+ET290)</f>
        <v>#ERROR!</v>
      </c>
      <c r="EU289" s="17" t="str">
        <f t="shared" si="1702"/>
        <v>#ERROR!</v>
      </c>
      <c r="EV289" s="17" t="str">
        <f t="shared" si="1702"/>
        <v>#ERROR!</v>
      </c>
      <c r="EW289" s="18" t="str">
        <f>SUM(ES289:EV289)</f>
        <v>#ERROR!</v>
      </c>
      <c r="EX289" s="17" t="str">
        <f>EV289*(1+EX290)</f>
        <v>#ERROR!</v>
      </c>
      <c r="EY289" s="17" t="str">
        <f t="shared" ref="EY289:FA289" si="1703">EX289*(1+EY290)</f>
        <v>#ERROR!</v>
      </c>
      <c r="EZ289" s="17" t="str">
        <f t="shared" si="1703"/>
        <v>#ERROR!</v>
      </c>
      <c r="FA289" s="17" t="str">
        <f t="shared" si="1703"/>
        <v>#ERROR!</v>
      </c>
      <c r="FB289" s="18" t="str">
        <f>SUM(EX289:FA289)</f>
        <v>#ERROR!</v>
      </c>
      <c r="FC289" s="17" t="str">
        <f>FA289*(1+FC290)</f>
        <v>#ERROR!</v>
      </c>
      <c r="FD289" s="17" t="str">
        <f t="shared" ref="FD289:FF289" si="1704">FC289*(1+FD290)</f>
        <v>#ERROR!</v>
      </c>
      <c r="FE289" s="17" t="str">
        <f t="shared" si="1704"/>
        <v>#ERROR!</v>
      </c>
      <c r="FF289" s="17" t="str">
        <f t="shared" si="1704"/>
        <v>#ERROR!</v>
      </c>
      <c r="FG289" s="18" t="str">
        <f>SUM(FC289:FF289)</f>
        <v>#ERROR!</v>
      </c>
      <c r="FH289" s="74"/>
      <c r="FI289" s="17"/>
      <c r="FJ289" s="17"/>
      <c r="FK289" s="73"/>
      <c r="FL289" s="17"/>
    </row>
    <row r="290" ht="12.75" hidden="1" customHeight="1" outlineLevel="1">
      <c r="A290" s="421"/>
      <c r="B290" s="72" t="s">
        <v>150</v>
      </c>
      <c r="C290" s="45"/>
      <c r="D290" s="17"/>
      <c r="E290" s="17"/>
      <c r="F290" s="17"/>
      <c r="G290" s="17"/>
      <c r="H290" s="73"/>
      <c r="I290" s="17"/>
      <c r="J290" s="17"/>
      <c r="K290" s="17"/>
      <c r="L290" s="17"/>
      <c r="M290" s="73"/>
      <c r="N290" s="17"/>
      <c r="O290" s="17"/>
      <c r="P290" s="17"/>
      <c r="Q290" s="17"/>
      <c r="R290" s="73"/>
      <c r="S290" s="17"/>
      <c r="T290" s="17"/>
      <c r="U290" s="17"/>
      <c r="V290" s="17"/>
      <c r="W290" s="73"/>
      <c r="X290" s="17"/>
      <c r="Y290" s="17"/>
      <c r="Z290" s="17"/>
      <c r="AA290" s="17"/>
      <c r="AB290" s="73"/>
      <c r="AC290" s="17"/>
      <c r="AD290" s="17"/>
      <c r="AE290" s="17"/>
      <c r="AF290" s="17"/>
      <c r="AG290" s="73"/>
      <c r="AH290" s="17"/>
      <c r="AI290" s="17"/>
      <c r="AJ290" s="17"/>
      <c r="AK290" s="17"/>
      <c r="AL290" s="73"/>
      <c r="AM290" s="17"/>
      <c r="AN290" s="17"/>
      <c r="AO290" s="17"/>
      <c r="AP290" s="17"/>
      <c r="AQ290" s="73"/>
      <c r="AR290" s="17"/>
      <c r="AS290" s="17"/>
      <c r="AT290" s="17"/>
      <c r="AU290" s="17"/>
      <c r="AV290" s="73"/>
      <c r="AW290" s="17"/>
      <c r="AX290" s="17"/>
      <c r="AY290" s="17"/>
      <c r="AZ290" s="17"/>
      <c r="BA290" s="73"/>
      <c r="BB290" s="17"/>
      <c r="BC290" s="17"/>
      <c r="BD290" s="17"/>
      <c r="BE290" s="17"/>
      <c r="BF290" s="73"/>
      <c r="BG290" s="17"/>
      <c r="BH290" s="17"/>
      <c r="BI290" s="17"/>
      <c r="BJ290" s="17"/>
      <c r="BK290" s="73"/>
      <c r="BL290" s="17"/>
      <c r="BM290" s="17"/>
      <c r="BN290" s="17"/>
      <c r="BO290" s="17"/>
      <c r="BP290" s="73"/>
      <c r="BQ290" s="17"/>
      <c r="BR290" s="17"/>
      <c r="BS290" s="17"/>
      <c r="BT290" s="17"/>
      <c r="BU290" s="73"/>
      <c r="BV290" s="17"/>
      <c r="BW290" s="17"/>
      <c r="BX290" s="17"/>
      <c r="BY290" s="17"/>
      <c r="BZ290" s="18"/>
      <c r="CA290" s="17"/>
      <c r="CB290" s="17"/>
      <c r="CC290" s="17"/>
      <c r="CD290" s="17"/>
      <c r="CE290" s="18"/>
      <c r="CF290" s="17"/>
      <c r="CG290" s="17"/>
      <c r="CH290" s="17"/>
      <c r="CI290" s="17"/>
      <c r="CJ290" s="18"/>
      <c r="CK290" s="17"/>
      <c r="CL290" s="17"/>
      <c r="CM290" s="17"/>
      <c r="CN290" s="17"/>
      <c r="CO290" s="18"/>
      <c r="CP290" s="15">
        <f>CP289/CK289-1</f>
        <v>0.04865113741</v>
      </c>
      <c r="CQ290" s="15">
        <f t="shared" ref="CQ290:CS290" si="1705">CQ289/CP289-1</f>
        <v>0.1533729029</v>
      </c>
      <c r="CR290" s="15">
        <f t="shared" si="1705"/>
        <v>0.1107951875</v>
      </c>
      <c r="CS290" s="15">
        <f t="shared" si="1705"/>
        <v>-0.05168073449</v>
      </c>
      <c r="CT290" s="37"/>
      <c r="CU290" s="15">
        <f>CU289/CP289-1</f>
        <v>0.03138466542</v>
      </c>
      <c r="CV290" s="15">
        <f t="shared" ref="CV290:CX290" si="1706">CV289/CU289-1</f>
        <v>-0.01329654448</v>
      </c>
      <c r="CW290" s="15">
        <f t="shared" si="1706"/>
        <v>0.1012809928</v>
      </c>
      <c r="CX290" s="15">
        <f t="shared" si="1706"/>
        <v>-0.02234474753</v>
      </c>
      <c r="CY290" s="37"/>
      <c r="CZ290" s="15">
        <f>CZ289/CU289-1</f>
        <v>-0.02</v>
      </c>
      <c r="DA290" s="15">
        <f t="shared" ref="DA290:DC290" si="1707">DA289/CZ289-1</f>
        <v>-0.0435017523</v>
      </c>
      <c r="DB290" s="15">
        <f t="shared" si="1707"/>
        <v>0.2056128764</v>
      </c>
      <c r="DC290" s="15">
        <f t="shared" si="1707"/>
        <v>-0.05994687263</v>
      </c>
      <c r="DD290" s="37"/>
      <c r="DE290" s="15">
        <f>DE289/CZ289-1</f>
        <v>-0.01994696184</v>
      </c>
      <c r="DF290" s="15">
        <f t="shared" ref="DF290:DG290" si="1708">DF289/DE289-1</f>
        <v>0.1046511628</v>
      </c>
      <c r="DG290" s="40">
        <f t="shared" si="1708"/>
        <v>0.04710835913</v>
      </c>
      <c r="DH290" s="15">
        <v>0.0</v>
      </c>
      <c r="DI290" s="37"/>
      <c r="DJ290" s="15" t="str">
        <f>DJ289/DH289-1</f>
        <v>#ERROR!</v>
      </c>
      <c r="DK290" s="15">
        <v>-0.03</v>
      </c>
      <c r="DL290" s="15">
        <v>0.12</v>
      </c>
      <c r="DM290" s="104">
        <v>-0.1</v>
      </c>
      <c r="DN290" s="37"/>
      <c r="DO290" s="435">
        <v>-0.17</v>
      </c>
      <c r="DP290" s="435">
        <v>0.15</v>
      </c>
      <c r="DQ290" s="435">
        <v>0.03</v>
      </c>
      <c r="DR290" s="435">
        <v>-0.005</v>
      </c>
      <c r="DS290" s="37"/>
      <c r="DT290" s="435">
        <v>0.04</v>
      </c>
      <c r="DU290" s="435">
        <v>0.02</v>
      </c>
      <c r="DV290" s="435">
        <v>0.19</v>
      </c>
      <c r="DW290" s="435">
        <v>0.22</v>
      </c>
      <c r="DX290" s="37"/>
      <c r="DY290" s="435">
        <v>0.05</v>
      </c>
      <c r="DZ290" s="435">
        <v>-0.08</v>
      </c>
      <c r="EA290" s="435">
        <v>-0.26</v>
      </c>
      <c r="EB290" s="435">
        <v>0.04</v>
      </c>
      <c r="EC290" s="37"/>
      <c r="ED290" s="435">
        <v>-0.02</v>
      </c>
      <c r="EE290" s="435">
        <v>-0.02</v>
      </c>
      <c r="EF290" s="435">
        <v>0.02</v>
      </c>
      <c r="EG290" s="435">
        <v>0.04</v>
      </c>
      <c r="EH290" s="37"/>
      <c r="EI290" s="412">
        <v>0.0</v>
      </c>
      <c r="EJ290" s="436">
        <v>-0.05</v>
      </c>
      <c r="EK290" s="436">
        <v>-0.05</v>
      </c>
      <c r="EL290" s="436">
        <v>0.01</v>
      </c>
      <c r="EM290" s="37"/>
      <c r="EN290" s="436">
        <v>-0.01</v>
      </c>
      <c r="EO290" s="436">
        <v>0.0</v>
      </c>
      <c r="EP290" s="436">
        <v>0.05</v>
      </c>
      <c r="EQ290" s="436">
        <v>0.05</v>
      </c>
      <c r="ER290" s="37"/>
      <c r="ES290" s="436">
        <v>-0.01</v>
      </c>
      <c r="ET290" s="436">
        <v>-0.02</v>
      </c>
      <c r="EU290" s="436">
        <v>0.05</v>
      </c>
      <c r="EV290" s="436">
        <v>0.05</v>
      </c>
      <c r="EW290" s="37"/>
      <c r="EX290" s="436">
        <v>-0.01</v>
      </c>
      <c r="EY290" s="436">
        <v>-0.02</v>
      </c>
      <c r="EZ290" s="436">
        <v>0.05</v>
      </c>
      <c r="FA290" s="436">
        <v>0.05</v>
      </c>
      <c r="FB290" s="37"/>
      <c r="FC290" s="436">
        <v>-0.01</v>
      </c>
      <c r="FD290" s="436">
        <v>-0.02</v>
      </c>
      <c r="FE290" s="436">
        <v>0.05</v>
      </c>
      <c r="FF290" s="436">
        <v>0.05</v>
      </c>
      <c r="FG290" s="37"/>
      <c r="FH290" s="35"/>
      <c r="FI290" s="17"/>
      <c r="FJ290" s="17"/>
      <c r="FK290" s="73"/>
      <c r="FL290" s="17"/>
    </row>
    <row r="291" ht="12.75" hidden="1" customHeight="1" outlineLevel="1">
      <c r="A291" s="421"/>
      <c r="B291" s="72" t="s">
        <v>146</v>
      </c>
      <c r="C291" s="45"/>
      <c r="D291" s="17"/>
      <c r="E291" s="17"/>
      <c r="F291" s="17"/>
      <c r="G291" s="17"/>
      <c r="H291" s="73"/>
      <c r="I291" s="17"/>
      <c r="J291" s="17"/>
      <c r="K291" s="17"/>
      <c r="L291" s="17"/>
      <c r="M291" s="73"/>
      <c r="N291" s="17"/>
      <c r="O291" s="17"/>
      <c r="P291" s="17"/>
      <c r="Q291" s="17"/>
      <c r="R291" s="73"/>
      <c r="S291" s="17"/>
      <c r="T291" s="17"/>
      <c r="U291" s="17"/>
      <c r="V291" s="17"/>
      <c r="W291" s="73"/>
      <c r="X291" s="17"/>
      <c r="Y291" s="17"/>
      <c r="Z291" s="17"/>
      <c r="AA291" s="17"/>
      <c r="AB291" s="73"/>
      <c r="AC291" s="17"/>
      <c r="AD291" s="17"/>
      <c r="AE291" s="17"/>
      <c r="AF291" s="17"/>
      <c r="AG291" s="73"/>
      <c r="AH291" s="17"/>
      <c r="AI291" s="17"/>
      <c r="AJ291" s="17"/>
      <c r="AK291" s="17"/>
      <c r="AL291" s="73"/>
      <c r="AM291" s="17"/>
      <c r="AN291" s="17"/>
      <c r="AO291" s="17"/>
      <c r="AP291" s="17"/>
      <c r="AQ291" s="73"/>
      <c r="AR291" s="17"/>
      <c r="AS291" s="17"/>
      <c r="AT291" s="17"/>
      <c r="AU291" s="17"/>
      <c r="AV291" s="73"/>
      <c r="AW291" s="17"/>
      <c r="AX291" s="17"/>
      <c r="AY291" s="17"/>
      <c r="AZ291" s="17"/>
      <c r="BA291" s="73"/>
      <c r="BB291" s="17"/>
      <c r="BC291" s="17"/>
      <c r="BD291" s="17"/>
      <c r="BE291" s="17"/>
      <c r="BF291" s="73"/>
      <c r="BG291" s="17"/>
      <c r="BH291" s="17"/>
      <c r="BI291" s="17"/>
      <c r="BJ291" s="17"/>
      <c r="BK291" s="73"/>
      <c r="BL291" s="17"/>
      <c r="BM291" s="17"/>
      <c r="BN291" s="17"/>
      <c r="BO291" s="17"/>
      <c r="BP291" s="73"/>
      <c r="BQ291" s="17"/>
      <c r="BR291" s="17"/>
      <c r="BS291" s="17"/>
      <c r="BT291" s="17"/>
      <c r="BU291" s="73"/>
      <c r="BV291" s="17"/>
      <c r="BW291" s="17"/>
      <c r="BX291" s="17"/>
      <c r="BY291" s="17"/>
      <c r="BZ291" s="18"/>
      <c r="CA291" s="17"/>
      <c r="CB291" s="17"/>
      <c r="CC291" s="17"/>
      <c r="CD291" s="17"/>
      <c r="CE291" s="18"/>
      <c r="CF291" s="17"/>
      <c r="CG291" s="17"/>
      <c r="CH291" s="17"/>
      <c r="CI291" s="17"/>
      <c r="CJ291" s="18"/>
      <c r="CK291" s="17"/>
      <c r="CL291" s="17"/>
      <c r="CM291" s="17"/>
      <c r="CN291" s="17"/>
      <c r="CO291" s="18"/>
      <c r="CP291" s="15">
        <f t="shared" ref="CP291:CY291" si="1709">CP289/CK289-1</f>
        <v>0.04865113741</v>
      </c>
      <c r="CQ291" s="15">
        <f t="shared" si="1709"/>
        <v>0.108142593</v>
      </c>
      <c r="CR291" s="15">
        <f t="shared" si="1709"/>
        <v>0.2058005765</v>
      </c>
      <c r="CS291" s="15">
        <f t="shared" si="1709"/>
        <v>0.1231146966</v>
      </c>
      <c r="CT291" s="24">
        <f t="shared" si="1709"/>
        <v>0.1234195037</v>
      </c>
      <c r="CU291" s="15">
        <f t="shared" si="1709"/>
        <v>0.03138466542</v>
      </c>
      <c r="CV291" s="15">
        <f t="shared" si="1709"/>
        <v>-0.1176567347</v>
      </c>
      <c r="CW291" s="15">
        <f t="shared" si="1709"/>
        <v>-0.1252141905</v>
      </c>
      <c r="CX291" s="15">
        <f t="shared" si="1709"/>
        <v>-0.09815294013</v>
      </c>
      <c r="CY291" s="313">
        <f t="shared" si="1709"/>
        <v>-0.08258720388</v>
      </c>
      <c r="CZ291" s="40">
        <v>-0.02</v>
      </c>
      <c r="DA291" s="40">
        <v>-0.05</v>
      </c>
      <c r="DB291" s="40">
        <v>0.04</v>
      </c>
      <c r="DC291" s="40">
        <v>0.0</v>
      </c>
      <c r="DD291" s="313">
        <f>DD289/CY289-1</f>
        <v>-0.006255210187</v>
      </c>
      <c r="DE291" s="15">
        <v>0.01</v>
      </c>
      <c r="DF291" s="435">
        <v>0.14</v>
      </c>
      <c r="DG291" s="437">
        <v>0.01</v>
      </c>
      <c r="DH291" s="40">
        <f t="shared" ref="DH291:FG291" si="1710">DH289/DC289-1</f>
        <v>0.04573562877</v>
      </c>
      <c r="DI291" s="313">
        <f t="shared" si="1710"/>
        <v>0.03247752727</v>
      </c>
      <c r="DJ291" s="40" t="str">
        <f t="shared" si="1710"/>
        <v>#ERROR!</v>
      </c>
      <c r="DK291" s="40" t="str">
        <f t="shared" si="1710"/>
        <v>#ERROR!</v>
      </c>
      <c r="DL291" s="40" t="str">
        <f t="shared" si="1710"/>
        <v>#ERROR!</v>
      </c>
      <c r="DM291" s="40" t="str">
        <f t="shared" si="1710"/>
        <v>#ERROR!</v>
      </c>
      <c r="DN291" s="313" t="str">
        <f t="shared" si="1710"/>
        <v>#ERROR!</v>
      </c>
      <c r="DO291" s="40" t="str">
        <f t="shared" si="1710"/>
        <v>#ERROR!</v>
      </c>
      <c r="DP291" s="40" t="str">
        <f t="shared" si="1710"/>
        <v>#ERROR!</v>
      </c>
      <c r="DQ291" s="40" t="str">
        <f t="shared" si="1710"/>
        <v>#ERROR!</v>
      </c>
      <c r="DR291" s="40" t="str">
        <f t="shared" si="1710"/>
        <v>#ERROR!</v>
      </c>
      <c r="DS291" s="313" t="str">
        <f t="shared" si="1710"/>
        <v>#ERROR!</v>
      </c>
      <c r="DT291" s="40" t="str">
        <f t="shared" si="1710"/>
        <v>#ERROR!</v>
      </c>
      <c r="DU291" s="40" t="str">
        <f t="shared" si="1710"/>
        <v>#ERROR!</v>
      </c>
      <c r="DV291" s="40" t="str">
        <f t="shared" si="1710"/>
        <v>#ERROR!</v>
      </c>
      <c r="DW291" s="40" t="str">
        <f t="shared" si="1710"/>
        <v>#ERROR!</v>
      </c>
      <c r="DX291" s="313" t="str">
        <f t="shared" si="1710"/>
        <v>#ERROR!</v>
      </c>
      <c r="DY291" s="40" t="str">
        <f t="shared" si="1710"/>
        <v>#ERROR!</v>
      </c>
      <c r="DZ291" s="40" t="str">
        <f t="shared" si="1710"/>
        <v>#ERROR!</v>
      </c>
      <c r="EA291" s="40" t="str">
        <f t="shared" si="1710"/>
        <v>#ERROR!</v>
      </c>
      <c r="EB291" s="40" t="str">
        <f t="shared" si="1710"/>
        <v>#ERROR!</v>
      </c>
      <c r="EC291" s="313" t="str">
        <f t="shared" si="1710"/>
        <v>#ERROR!</v>
      </c>
      <c r="ED291" s="40" t="str">
        <f t="shared" si="1710"/>
        <v>#ERROR!</v>
      </c>
      <c r="EE291" s="40" t="str">
        <f t="shared" si="1710"/>
        <v>#ERROR!</v>
      </c>
      <c r="EF291" s="40" t="str">
        <f t="shared" si="1710"/>
        <v>#ERROR!</v>
      </c>
      <c r="EG291" s="40" t="str">
        <f t="shared" si="1710"/>
        <v>#ERROR!</v>
      </c>
      <c r="EH291" s="313" t="str">
        <f t="shared" si="1710"/>
        <v>#ERROR!</v>
      </c>
      <c r="EI291" s="82" t="str">
        <f t="shared" si="1710"/>
        <v>#ERROR!</v>
      </c>
      <c r="EJ291" s="15" t="str">
        <f t="shared" si="1710"/>
        <v>#ERROR!</v>
      </c>
      <c r="EK291" s="15" t="str">
        <f t="shared" si="1710"/>
        <v>#ERROR!</v>
      </c>
      <c r="EL291" s="15" t="str">
        <f t="shared" si="1710"/>
        <v>#ERROR!</v>
      </c>
      <c r="EM291" s="313" t="str">
        <f t="shared" si="1710"/>
        <v>#ERROR!</v>
      </c>
      <c r="EN291" s="15" t="str">
        <f t="shared" si="1710"/>
        <v>#ERROR!</v>
      </c>
      <c r="EO291" s="15" t="str">
        <f t="shared" si="1710"/>
        <v>#ERROR!</v>
      </c>
      <c r="EP291" s="15" t="str">
        <f t="shared" si="1710"/>
        <v>#ERROR!</v>
      </c>
      <c r="EQ291" s="15" t="str">
        <f t="shared" si="1710"/>
        <v>#ERROR!</v>
      </c>
      <c r="ER291" s="313" t="str">
        <f t="shared" si="1710"/>
        <v>#ERROR!</v>
      </c>
      <c r="ES291" s="15" t="str">
        <f t="shared" si="1710"/>
        <v>#ERROR!</v>
      </c>
      <c r="ET291" s="15" t="str">
        <f t="shared" si="1710"/>
        <v>#ERROR!</v>
      </c>
      <c r="EU291" s="15" t="str">
        <f t="shared" si="1710"/>
        <v>#ERROR!</v>
      </c>
      <c r="EV291" s="15" t="str">
        <f t="shared" si="1710"/>
        <v>#ERROR!</v>
      </c>
      <c r="EW291" s="313" t="str">
        <f t="shared" si="1710"/>
        <v>#ERROR!</v>
      </c>
      <c r="EX291" s="15" t="str">
        <f t="shared" si="1710"/>
        <v>#ERROR!</v>
      </c>
      <c r="EY291" s="15" t="str">
        <f t="shared" si="1710"/>
        <v>#ERROR!</v>
      </c>
      <c r="EZ291" s="15" t="str">
        <f t="shared" si="1710"/>
        <v>#ERROR!</v>
      </c>
      <c r="FA291" s="15" t="str">
        <f t="shared" si="1710"/>
        <v>#ERROR!</v>
      </c>
      <c r="FB291" s="313" t="str">
        <f t="shared" si="1710"/>
        <v>#ERROR!</v>
      </c>
      <c r="FC291" s="15" t="str">
        <f t="shared" si="1710"/>
        <v>#ERROR!</v>
      </c>
      <c r="FD291" s="15" t="str">
        <f t="shared" si="1710"/>
        <v>#ERROR!</v>
      </c>
      <c r="FE291" s="15" t="str">
        <f t="shared" si="1710"/>
        <v>#ERROR!</v>
      </c>
      <c r="FF291" s="15" t="str">
        <f t="shared" si="1710"/>
        <v>#ERROR!</v>
      </c>
      <c r="FG291" s="313" t="str">
        <f t="shared" si="1710"/>
        <v>#ERROR!</v>
      </c>
      <c r="FH291" s="40"/>
      <c r="FI291" s="17"/>
      <c r="FJ291" s="17"/>
      <c r="FK291" s="73"/>
      <c r="FL291" s="17"/>
    </row>
    <row r="292" ht="12.75" hidden="1" customHeight="1" outlineLevel="1">
      <c r="A292" s="421"/>
      <c r="B292" s="84" t="s">
        <v>151</v>
      </c>
      <c r="C292" s="45"/>
      <c r="D292" s="17"/>
      <c r="E292" s="17"/>
      <c r="F292" s="17"/>
      <c r="G292" s="17"/>
      <c r="H292" s="73"/>
      <c r="I292" s="17"/>
      <c r="J292" s="17"/>
      <c r="K292" s="17"/>
      <c r="L292" s="17"/>
      <c r="M292" s="73"/>
      <c r="N292" s="17"/>
      <c r="O292" s="17"/>
      <c r="P292" s="17"/>
      <c r="Q292" s="17"/>
      <c r="R292" s="73"/>
      <c r="S292" s="17"/>
      <c r="T292" s="17"/>
      <c r="U292" s="17"/>
      <c r="V292" s="17"/>
      <c r="W292" s="73"/>
      <c r="X292" s="17"/>
      <c r="Y292" s="17"/>
      <c r="Z292" s="17"/>
      <c r="AA292" s="17"/>
      <c r="AB292" s="73"/>
      <c r="AC292" s="17"/>
      <c r="AD292" s="17"/>
      <c r="AE292" s="17"/>
      <c r="AF292" s="17"/>
      <c r="AG292" s="73"/>
      <c r="AH292" s="17"/>
      <c r="AI292" s="17"/>
      <c r="AJ292" s="17"/>
      <c r="AK292" s="17"/>
      <c r="AL292" s="73"/>
      <c r="AM292" s="17"/>
      <c r="AN292" s="17"/>
      <c r="AO292" s="17"/>
      <c r="AP292" s="17"/>
      <c r="AQ292" s="73"/>
      <c r="AR292" s="17"/>
      <c r="AS292" s="17"/>
      <c r="AT292" s="17"/>
      <c r="AU292" s="17"/>
      <c r="AV292" s="73"/>
      <c r="AW292" s="17"/>
      <c r="AX292" s="17"/>
      <c r="AY292" s="17"/>
      <c r="AZ292" s="17"/>
      <c r="BA292" s="73"/>
      <c r="BB292" s="17"/>
      <c r="BC292" s="17"/>
      <c r="BD292" s="17"/>
      <c r="BE292" s="17"/>
      <c r="BF292" s="73"/>
      <c r="BG292" s="17"/>
      <c r="BH292" s="17"/>
      <c r="BI292" s="17"/>
      <c r="BJ292" s="17"/>
      <c r="BK292" s="73"/>
      <c r="BL292" s="17"/>
      <c r="BM292" s="17"/>
      <c r="BN292" s="17"/>
      <c r="BO292" s="17"/>
      <c r="BP292" s="73"/>
      <c r="BQ292" s="17"/>
      <c r="BR292" s="17"/>
      <c r="BS292" s="17"/>
      <c r="BT292" s="17"/>
      <c r="BU292" s="73"/>
      <c r="BV292" s="17"/>
      <c r="BW292" s="17"/>
      <c r="BX292" s="17"/>
      <c r="BY292" s="17"/>
      <c r="BZ292" s="18"/>
      <c r="CA292" s="17"/>
      <c r="CB292" s="17"/>
      <c r="CC292" s="17"/>
      <c r="CD292" s="17"/>
      <c r="CE292" s="18"/>
      <c r="CF292" s="17"/>
      <c r="CG292" s="17"/>
      <c r="CH292" s="17"/>
      <c r="CI292" s="17"/>
      <c r="CJ292" s="18"/>
      <c r="CK292" s="17"/>
      <c r="CL292" s="17"/>
      <c r="CM292" s="17"/>
      <c r="CN292" s="17"/>
      <c r="CO292" s="18"/>
      <c r="CP292" s="439"/>
      <c r="CQ292" s="439"/>
      <c r="CR292" s="439"/>
      <c r="CS292" s="439"/>
      <c r="CT292" s="37"/>
      <c r="CU292" s="439"/>
      <c r="CV292" s="40"/>
      <c r="CW292" s="40"/>
      <c r="CX292" s="40"/>
      <c r="CY292" s="37"/>
      <c r="CZ292" s="85">
        <f t="shared" ref="CZ292:DC292" si="1711">AVERAGE(CU290,CP290,CZ290)</f>
        <v>0.02001193428</v>
      </c>
      <c r="DA292" s="85">
        <f t="shared" si="1711"/>
        <v>0.03219153539</v>
      </c>
      <c r="DB292" s="85">
        <f t="shared" si="1711"/>
        <v>0.1392296856</v>
      </c>
      <c r="DC292" s="85">
        <f t="shared" si="1711"/>
        <v>-0.04465745155</v>
      </c>
      <c r="DD292" s="37"/>
      <c r="DE292" s="85">
        <f t="shared" ref="DE292:DH292" si="1712">AVERAGE(CZ290,CU290,DE290)</f>
        <v>-0.002854098805</v>
      </c>
      <c r="DF292" s="85">
        <f t="shared" si="1712"/>
        <v>0.01595095534</v>
      </c>
      <c r="DG292" s="85">
        <f t="shared" si="1712"/>
        <v>0.1180007428</v>
      </c>
      <c r="DH292" s="85">
        <f t="shared" si="1712"/>
        <v>-0.02743054005</v>
      </c>
      <c r="DI292" s="37"/>
      <c r="DJ292" s="85" t="str">
        <f t="shared" ref="DJ292:DM292" si="1713">AVERAGE(DE290,CZ290,DJ290)</f>
        <v>#ERROR!</v>
      </c>
      <c r="DK292" s="85">
        <f t="shared" si="1713"/>
        <v>0.01038313683</v>
      </c>
      <c r="DL292" s="85">
        <f t="shared" si="1713"/>
        <v>0.1242404118</v>
      </c>
      <c r="DM292" s="85">
        <f t="shared" si="1713"/>
        <v>-0.05331562421</v>
      </c>
      <c r="DN292" s="37"/>
      <c r="DO292" s="85" t="str">
        <f t="shared" ref="DO292:DR292" si="1714">AVERAGE(DJ290,DE290,DO290)</f>
        <v>#ERROR!</v>
      </c>
      <c r="DP292" s="85">
        <f t="shared" si="1714"/>
        <v>0.07488372093</v>
      </c>
      <c r="DQ292" s="85">
        <f t="shared" si="1714"/>
        <v>0.06570278638</v>
      </c>
      <c r="DR292" s="85">
        <f t="shared" si="1714"/>
        <v>-0.035</v>
      </c>
      <c r="DS292" s="37"/>
      <c r="DT292" s="85" t="str">
        <f t="shared" ref="DT292:DW292" si="1715">AVERAGE(DO290,DJ290,DT290)</f>
        <v>#ERROR!</v>
      </c>
      <c r="DU292" s="85">
        <f t="shared" si="1715"/>
        <v>0.04666666667</v>
      </c>
      <c r="DV292" s="85">
        <f t="shared" si="1715"/>
        <v>0.1133333333</v>
      </c>
      <c r="DW292" s="85">
        <f t="shared" si="1715"/>
        <v>0.03833333333</v>
      </c>
      <c r="DX292" s="37"/>
      <c r="DY292" s="85">
        <f t="shared" ref="DY292:EB292" si="1716">AVERAGE(DT290,DO290,DY290)</f>
        <v>-0.02666666667</v>
      </c>
      <c r="DZ292" s="85">
        <f t="shared" si="1716"/>
        <v>0.03</v>
      </c>
      <c r="EA292" s="85">
        <f t="shared" si="1716"/>
        <v>-0.01333333333</v>
      </c>
      <c r="EB292" s="85">
        <f t="shared" si="1716"/>
        <v>0.085</v>
      </c>
      <c r="EC292" s="37"/>
      <c r="ED292" s="85">
        <f t="shared" ref="ED292:EG292" si="1717">AVERAGE(DY290,DT290,ED290)</f>
        <v>0.02333333333</v>
      </c>
      <c r="EE292" s="85">
        <f t="shared" si="1717"/>
        <v>-0.02666666667</v>
      </c>
      <c r="EF292" s="85">
        <f t="shared" si="1717"/>
        <v>-0.01666666667</v>
      </c>
      <c r="EG292" s="85">
        <f t="shared" si="1717"/>
        <v>0.1</v>
      </c>
      <c r="EH292" s="37"/>
      <c r="EI292" s="362">
        <f t="shared" ref="EI292:EL292" si="1718">AVERAGE(ED290,DY290,EI290)</f>
        <v>0.01</v>
      </c>
      <c r="EJ292" s="85">
        <f t="shared" si="1718"/>
        <v>-0.05</v>
      </c>
      <c r="EK292" s="85">
        <f t="shared" si="1718"/>
        <v>-0.09666666667</v>
      </c>
      <c r="EL292" s="85">
        <f t="shared" si="1718"/>
        <v>0.03</v>
      </c>
      <c r="EM292" s="37"/>
      <c r="EN292" s="85">
        <f t="shared" ref="EN292:EQ292" si="1719">AVERAGE(EI290,ED290,EN290)</f>
        <v>-0.01</v>
      </c>
      <c r="EO292" s="85">
        <f t="shared" si="1719"/>
        <v>-0.02333333333</v>
      </c>
      <c r="EP292" s="85">
        <f t="shared" si="1719"/>
        <v>0.006666666667</v>
      </c>
      <c r="EQ292" s="85">
        <f t="shared" si="1719"/>
        <v>0.03333333333</v>
      </c>
      <c r="ER292" s="37"/>
      <c r="ES292" s="85">
        <f t="shared" ref="ES292:EV292" si="1720">AVERAGE(EN290,EI290,ES290)</f>
        <v>-0.006666666667</v>
      </c>
      <c r="ET292" s="85">
        <f t="shared" si="1720"/>
        <v>-0.02333333333</v>
      </c>
      <c r="EU292" s="85">
        <f t="shared" si="1720"/>
        <v>0.01666666667</v>
      </c>
      <c r="EV292" s="85">
        <f t="shared" si="1720"/>
        <v>0.03666666667</v>
      </c>
      <c r="EW292" s="37"/>
      <c r="EX292" s="85">
        <f t="shared" ref="EX292:FA292" si="1721">AVERAGE(ES290,EN290,EX290)</f>
        <v>-0.01</v>
      </c>
      <c r="EY292" s="85">
        <f t="shared" si="1721"/>
        <v>-0.01333333333</v>
      </c>
      <c r="EZ292" s="85">
        <f t="shared" si="1721"/>
        <v>0.05</v>
      </c>
      <c r="FA292" s="85">
        <f t="shared" si="1721"/>
        <v>0.05</v>
      </c>
      <c r="FB292" s="37"/>
      <c r="FC292" s="85">
        <f t="shared" ref="FC292:FF292" si="1722">AVERAGE(EX290,ES290,FC290)</f>
        <v>-0.01</v>
      </c>
      <c r="FD292" s="85">
        <f t="shared" si="1722"/>
        <v>-0.02</v>
      </c>
      <c r="FE292" s="85">
        <f t="shared" si="1722"/>
        <v>0.05</v>
      </c>
      <c r="FF292" s="85">
        <f t="shared" si="1722"/>
        <v>0.05</v>
      </c>
      <c r="FG292" s="37"/>
      <c r="FH292" s="35"/>
      <c r="FI292" s="17"/>
      <c r="FJ292" s="17"/>
      <c r="FK292" s="73"/>
      <c r="FL292" s="17"/>
    </row>
    <row r="293" ht="12.75" hidden="1" customHeight="1" outlineLevel="1">
      <c r="A293" s="421"/>
      <c r="B293" s="84" t="s">
        <v>158</v>
      </c>
      <c r="C293" s="45"/>
      <c r="D293" s="17"/>
      <c r="E293" s="17"/>
      <c r="F293" s="17"/>
      <c r="G293" s="17"/>
      <c r="H293" s="73"/>
      <c r="I293" s="17"/>
      <c r="J293" s="17"/>
      <c r="K293" s="17"/>
      <c r="L293" s="17"/>
      <c r="M293" s="73"/>
      <c r="N293" s="17"/>
      <c r="O293" s="17"/>
      <c r="P293" s="17"/>
      <c r="Q293" s="17"/>
      <c r="R293" s="73"/>
      <c r="S293" s="17"/>
      <c r="T293" s="17"/>
      <c r="U293" s="17"/>
      <c r="V293" s="17"/>
      <c r="W293" s="73"/>
      <c r="X293" s="17"/>
      <c r="Y293" s="17"/>
      <c r="Z293" s="17"/>
      <c r="AA293" s="17"/>
      <c r="AB293" s="73"/>
      <c r="AC293" s="17"/>
      <c r="AD293" s="17"/>
      <c r="AE293" s="17"/>
      <c r="AF293" s="17"/>
      <c r="AG293" s="73"/>
      <c r="AH293" s="17"/>
      <c r="AI293" s="17"/>
      <c r="AJ293" s="17"/>
      <c r="AK293" s="17"/>
      <c r="AL293" s="73"/>
      <c r="AM293" s="17"/>
      <c r="AN293" s="17"/>
      <c r="AO293" s="17"/>
      <c r="AP293" s="17"/>
      <c r="AQ293" s="73"/>
      <c r="AR293" s="17"/>
      <c r="AS293" s="17"/>
      <c r="AT293" s="17"/>
      <c r="AU293" s="17"/>
      <c r="AV293" s="73"/>
      <c r="AW293" s="17"/>
      <c r="AX293" s="17"/>
      <c r="AY293" s="17"/>
      <c r="AZ293" s="17"/>
      <c r="BA293" s="73"/>
      <c r="BB293" s="17"/>
      <c r="BC293" s="17"/>
      <c r="BD293" s="17"/>
      <c r="BE293" s="17"/>
      <c r="BF293" s="73"/>
      <c r="BG293" s="17"/>
      <c r="BH293" s="17"/>
      <c r="BI293" s="17"/>
      <c r="BJ293" s="17"/>
      <c r="BK293" s="73"/>
      <c r="BL293" s="17"/>
      <c r="BM293" s="17"/>
      <c r="BN293" s="17"/>
      <c r="BO293" s="17"/>
      <c r="BP293" s="73"/>
      <c r="BQ293" s="17"/>
      <c r="BR293" s="17"/>
      <c r="BS293" s="17"/>
      <c r="BT293" s="17"/>
      <c r="BU293" s="73"/>
      <c r="BV293" s="17"/>
      <c r="BW293" s="17"/>
      <c r="BX293" s="17"/>
      <c r="BY293" s="17"/>
      <c r="BZ293" s="18"/>
      <c r="CA293" s="17"/>
      <c r="CB293" s="17"/>
      <c r="CC293" s="17"/>
      <c r="CD293" s="17"/>
      <c r="CE293" s="18"/>
      <c r="CF293" s="17"/>
      <c r="CG293" s="17"/>
      <c r="CH293" s="17"/>
      <c r="CI293" s="17"/>
      <c r="CJ293" s="18"/>
      <c r="CK293" s="17"/>
      <c r="CL293" s="17"/>
      <c r="CM293" s="17"/>
      <c r="CN293" s="17"/>
      <c r="CO293" s="18"/>
      <c r="CP293" s="450">
        <v>47029.0</v>
      </c>
      <c r="CQ293" s="450">
        <v>58834.0</v>
      </c>
      <c r="CR293" s="450">
        <v>69043.0</v>
      </c>
      <c r="CS293" s="450">
        <v>66331.0</v>
      </c>
      <c r="CT293" s="18">
        <f>SUM(CP293:CS293)</f>
        <v>241237</v>
      </c>
      <c r="CU293" s="440">
        <v>55134.0</v>
      </c>
      <c r="CV293" s="440">
        <v>55330.0</v>
      </c>
      <c r="CW293" s="440">
        <v>53464.0</v>
      </c>
      <c r="CX293" s="440">
        <v>52607.0</v>
      </c>
      <c r="CY293" s="18">
        <f>SUM(CU293:CX293)</f>
        <v>216535</v>
      </c>
      <c r="CZ293" s="440">
        <v>44100.0</v>
      </c>
      <c r="DA293" s="440">
        <v>44113.0</v>
      </c>
      <c r="DB293" s="440">
        <v>52405.0</v>
      </c>
      <c r="DC293" s="440">
        <v>50117.0</v>
      </c>
      <c r="DD293" s="441">
        <f>SUM(CZ293:DC293)</f>
        <v>190735</v>
      </c>
      <c r="DE293" s="440">
        <v>41934.0</v>
      </c>
      <c r="DF293" s="440">
        <v>45032.0</v>
      </c>
      <c r="DG293" s="440">
        <v>47481.0</v>
      </c>
      <c r="DH293" s="440">
        <v>45360.0</v>
      </c>
      <c r="DI293" s="441">
        <f>SUM(DE293:DH293)</f>
        <v>179807</v>
      </c>
      <c r="DJ293" s="440">
        <v>40819.5184</v>
      </c>
      <c r="DK293" s="440">
        <v>44923.5264</v>
      </c>
      <c r="DL293" s="440">
        <v>51202.7125</v>
      </c>
      <c r="DM293" s="440">
        <v>46574.689999999995</v>
      </c>
      <c r="DN293" s="441">
        <f>SUM(DJ293:DM293)</f>
        <v>183520.4473</v>
      </c>
      <c r="DO293" s="440">
        <v>39814.553</v>
      </c>
      <c r="DP293" s="440">
        <v>46140.218400000005</v>
      </c>
      <c r="DQ293" s="440">
        <v>47935.354999999996</v>
      </c>
      <c r="DR293" s="440">
        <v>48162.0</v>
      </c>
      <c r="DS293" s="441">
        <f>SUM(DO293:DR293)</f>
        <v>182052.1264</v>
      </c>
      <c r="DT293" s="440">
        <v>50606.29902</v>
      </c>
      <c r="DU293" s="440">
        <v>53328.1592</v>
      </c>
      <c r="DV293" s="440">
        <v>63749.14186</v>
      </c>
      <c r="DW293" s="440">
        <v>76524.4627</v>
      </c>
      <c r="DX293" s="441">
        <f>SUM(DT293:DW293)</f>
        <v>244208.0628</v>
      </c>
      <c r="DY293" s="440">
        <v>79089.6594</v>
      </c>
      <c r="DZ293" s="440">
        <v>74522.8064</v>
      </c>
      <c r="EA293" s="440">
        <v>56359.9632</v>
      </c>
      <c r="EB293" s="440">
        <v>58378.10935999999</v>
      </c>
      <c r="EC293" s="441">
        <f>SUM(DY293:EB293)</f>
        <v>268350.5384</v>
      </c>
      <c r="ED293" s="440">
        <v>54094.9698</v>
      </c>
      <c r="EE293" s="440">
        <v>49517.591299999985</v>
      </c>
      <c r="EF293" s="440">
        <v>37501.0</v>
      </c>
      <c r="EG293" s="440">
        <v>35021.0</v>
      </c>
      <c r="EH293" s="441">
        <f>SUM(ED293:EG293)</f>
        <v>176134.5611</v>
      </c>
      <c r="EI293" s="442">
        <v>31436.0</v>
      </c>
      <c r="EJ293" s="440">
        <v>37166.0</v>
      </c>
      <c r="EK293" s="440">
        <v>39062.0</v>
      </c>
      <c r="EL293" s="440">
        <v>42407.0</v>
      </c>
      <c r="EM293" s="441">
        <f>SUM(EI293:EL293)</f>
        <v>150071</v>
      </c>
      <c r="EN293" s="440">
        <v>47180.999999999476</v>
      </c>
      <c r="EO293" s="440">
        <v>48496.999999999585</v>
      </c>
      <c r="EP293" s="440">
        <v>53520.000000000335</v>
      </c>
      <c r="EQ293" s="440">
        <v>53118.00000000024</v>
      </c>
      <c r="ER293" s="441">
        <f>SUM(EN293:EQ293)</f>
        <v>202316</v>
      </c>
      <c r="ES293" s="440"/>
      <c r="ET293" s="440"/>
      <c r="EU293" s="440"/>
      <c r="EV293" s="440"/>
      <c r="EW293" s="441"/>
      <c r="EX293" s="440"/>
      <c r="EY293" s="440"/>
      <c r="EZ293" s="440"/>
      <c r="FA293" s="440"/>
      <c r="FB293" s="441"/>
      <c r="FC293" s="440"/>
      <c r="FD293" s="440"/>
      <c r="FE293" s="440"/>
      <c r="FF293" s="440"/>
      <c r="FG293" s="441"/>
      <c r="FH293" s="443"/>
      <c r="FI293" s="17"/>
      <c r="FJ293" s="17"/>
      <c r="FK293" s="73"/>
      <c r="FL293" s="17"/>
    </row>
    <row r="294" ht="12.75" hidden="1" customHeight="1" outlineLevel="1">
      <c r="A294" s="421"/>
      <c r="B294" s="84" t="s">
        <v>159</v>
      </c>
      <c r="C294" s="45"/>
      <c r="D294" s="17"/>
      <c r="E294" s="17"/>
      <c r="F294" s="17"/>
      <c r="G294" s="17"/>
      <c r="H294" s="73"/>
      <c r="I294" s="17"/>
      <c r="J294" s="17"/>
      <c r="K294" s="17"/>
      <c r="L294" s="17"/>
      <c r="M294" s="73"/>
      <c r="N294" s="17"/>
      <c r="O294" s="17"/>
      <c r="P294" s="17"/>
      <c r="Q294" s="17"/>
      <c r="R294" s="73"/>
      <c r="S294" s="17"/>
      <c r="T294" s="17"/>
      <c r="U294" s="17"/>
      <c r="V294" s="17"/>
      <c r="W294" s="73"/>
      <c r="X294" s="17"/>
      <c r="Y294" s="17"/>
      <c r="Z294" s="17"/>
      <c r="AA294" s="17"/>
      <c r="AB294" s="73"/>
      <c r="AC294" s="17"/>
      <c r="AD294" s="17"/>
      <c r="AE294" s="17"/>
      <c r="AF294" s="17"/>
      <c r="AG294" s="73"/>
      <c r="AH294" s="17"/>
      <c r="AI294" s="17"/>
      <c r="AJ294" s="17"/>
      <c r="AK294" s="17"/>
      <c r="AL294" s="73"/>
      <c r="AM294" s="17"/>
      <c r="AN294" s="17"/>
      <c r="AO294" s="17"/>
      <c r="AP294" s="17"/>
      <c r="AQ294" s="73"/>
      <c r="AR294" s="17"/>
      <c r="AS294" s="17"/>
      <c r="AT294" s="17"/>
      <c r="AU294" s="17"/>
      <c r="AV294" s="73"/>
      <c r="AW294" s="17"/>
      <c r="AX294" s="17"/>
      <c r="AY294" s="17"/>
      <c r="AZ294" s="17"/>
      <c r="BA294" s="73"/>
      <c r="BB294" s="17"/>
      <c r="BC294" s="17"/>
      <c r="BD294" s="17"/>
      <c r="BE294" s="17"/>
      <c r="BF294" s="73"/>
      <c r="BG294" s="17"/>
      <c r="BH294" s="17"/>
      <c r="BI294" s="17"/>
      <c r="BJ294" s="17"/>
      <c r="BK294" s="73"/>
      <c r="BL294" s="17"/>
      <c r="BM294" s="17"/>
      <c r="BN294" s="17"/>
      <c r="BO294" s="17"/>
      <c r="BP294" s="73"/>
      <c r="BQ294" s="17"/>
      <c r="BR294" s="17"/>
      <c r="BS294" s="17"/>
      <c r="BT294" s="17"/>
      <c r="BU294" s="73"/>
      <c r="BV294" s="17"/>
      <c r="BW294" s="17"/>
      <c r="BX294" s="17"/>
      <c r="BY294" s="17"/>
      <c r="BZ294" s="18"/>
      <c r="CA294" s="17"/>
      <c r="CB294" s="17"/>
      <c r="CC294" s="17"/>
      <c r="CD294" s="17"/>
      <c r="CE294" s="18"/>
      <c r="CF294" s="17"/>
      <c r="CG294" s="17"/>
      <c r="CH294" s="17"/>
      <c r="CI294" s="17"/>
      <c r="CJ294" s="18"/>
      <c r="CK294" s="17"/>
      <c r="CL294" s="17"/>
      <c r="CM294" s="17"/>
      <c r="CN294" s="17"/>
      <c r="CO294" s="18"/>
      <c r="CP294" s="439"/>
      <c r="CQ294" s="439"/>
      <c r="CR294" s="439"/>
      <c r="CS294" s="439"/>
      <c r="CT294" s="37"/>
      <c r="CU294" s="439"/>
      <c r="CV294" s="40"/>
      <c r="CW294" s="40"/>
      <c r="CX294" s="40"/>
      <c r="CY294" s="37"/>
      <c r="CZ294" s="40">
        <f t="shared" ref="CZ294:ER294" si="1723">CZ289/CZ293</f>
        <v>0.8456666667</v>
      </c>
      <c r="DA294" s="40">
        <f t="shared" si="1723"/>
        <v>0.8086403101</v>
      </c>
      <c r="DB294" s="40">
        <f t="shared" si="1723"/>
        <v>0.8206484114</v>
      </c>
      <c r="DC294" s="40">
        <f t="shared" si="1723"/>
        <v>0.8066723866</v>
      </c>
      <c r="DD294" s="37">
        <f t="shared" si="1723"/>
        <v>0.8199833801</v>
      </c>
      <c r="DE294" s="40">
        <f t="shared" si="1723"/>
        <v>0.8716077646</v>
      </c>
      <c r="DF294" s="40">
        <f t="shared" si="1723"/>
        <v>0.8965846509</v>
      </c>
      <c r="DG294" s="40">
        <f t="shared" si="1723"/>
        <v>0.8903982646</v>
      </c>
      <c r="DH294" s="40">
        <f t="shared" si="1723"/>
        <v>0.9320326279</v>
      </c>
      <c r="DI294" s="37">
        <f t="shared" si="1723"/>
        <v>0.8980684845</v>
      </c>
      <c r="DJ294" s="40" t="str">
        <f t="shared" si="1723"/>
        <v>#ERROR!</v>
      </c>
      <c r="DK294" s="40" t="str">
        <f t="shared" si="1723"/>
        <v>#ERROR!</v>
      </c>
      <c r="DL294" s="40" t="str">
        <f t="shared" si="1723"/>
        <v>#ERROR!</v>
      </c>
      <c r="DM294" s="40" t="str">
        <f t="shared" si="1723"/>
        <v>#ERROR!</v>
      </c>
      <c r="DN294" s="37" t="str">
        <f t="shared" si="1723"/>
        <v>#ERROR!</v>
      </c>
      <c r="DO294" s="40" t="str">
        <f t="shared" si="1723"/>
        <v>#ERROR!</v>
      </c>
      <c r="DP294" s="40" t="str">
        <f t="shared" si="1723"/>
        <v>#ERROR!</v>
      </c>
      <c r="DQ294" s="40" t="str">
        <f t="shared" si="1723"/>
        <v>#ERROR!</v>
      </c>
      <c r="DR294" s="40" t="str">
        <f t="shared" si="1723"/>
        <v>#ERROR!</v>
      </c>
      <c r="DS294" s="37" t="str">
        <f t="shared" si="1723"/>
        <v>#ERROR!</v>
      </c>
      <c r="DT294" s="40" t="str">
        <f t="shared" si="1723"/>
        <v>#ERROR!</v>
      </c>
      <c r="DU294" s="40" t="str">
        <f t="shared" si="1723"/>
        <v>#ERROR!</v>
      </c>
      <c r="DV294" s="40" t="str">
        <f t="shared" si="1723"/>
        <v>#ERROR!</v>
      </c>
      <c r="DW294" s="40" t="str">
        <f t="shared" si="1723"/>
        <v>#ERROR!</v>
      </c>
      <c r="DX294" s="37" t="str">
        <f t="shared" si="1723"/>
        <v>#ERROR!</v>
      </c>
      <c r="DY294" s="40" t="str">
        <f t="shared" si="1723"/>
        <v>#ERROR!</v>
      </c>
      <c r="DZ294" s="40" t="str">
        <f t="shared" si="1723"/>
        <v>#ERROR!</v>
      </c>
      <c r="EA294" s="40" t="str">
        <f t="shared" si="1723"/>
        <v>#ERROR!</v>
      </c>
      <c r="EB294" s="40" t="str">
        <f t="shared" si="1723"/>
        <v>#ERROR!</v>
      </c>
      <c r="EC294" s="37" t="str">
        <f t="shared" si="1723"/>
        <v>#ERROR!</v>
      </c>
      <c r="ED294" s="40" t="str">
        <f t="shared" si="1723"/>
        <v>#ERROR!</v>
      </c>
      <c r="EE294" s="40" t="str">
        <f t="shared" si="1723"/>
        <v>#ERROR!</v>
      </c>
      <c r="EF294" s="40" t="str">
        <f t="shared" si="1723"/>
        <v>#ERROR!</v>
      </c>
      <c r="EG294" s="40" t="str">
        <f t="shared" si="1723"/>
        <v>#ERROR!</v>
      </c>
      <c r="EH294" s="37" t="str">
        <f t="shared" si="1723"/>
        <v>#ERROR!</v>
      </c>
      <c r="EI294" s="82" t="str">
        <f t="shared" si="1723"/>
        <v>#ERROR!</v>
      </c>
      <c r="EJ294" s="40" t="str">
        <f t="shared" si="1723"/>
        <v>#ERROR!</v>
      </c>
      <c r="EK294" s="40" t="str">
        <f t="shared" si="1723"/>
        <v>#ERROR!</v>
      </c>
      <c r="EL294" s="40" t="str">
        <f t="shared" si="1723"/>
        <v>#ERROR!</v>
      </c>
      <c r="EM294" s="37" t="str">
        <f t="shared" si="1723"/>
        <v>#ERROR!</v>
      </c>
      <c r="EN294" s="82" t="str">
        <f t="shared" si="1723"/>
        <v>#ERROR!</v>
      </c>
      <c r="EO294" s="40" t="str">
        <f t="shared" si="1723"/>
        <v>#ERROR!</v>
      </c>
      <c r="EP294" s="40" t="str">
        <f t="shared" si="1723"/>
        <v>#ERROR!</v>
      </c>
      <c r="EQ294" s="40" t="str">
        <f t="shared" si="1723"/>
        <v>#ERROR!</v>
      </c>
      <c r="ER294" s="37" t="str">
        <f t="shared" si="1723"/>
        <v>#ERROR!</v>
      </c>
      <c r="ES294" s="40"/>
      <c r="ET294" s="40"/>
      <c r="EU294" s="40"/>
      <c r="EV294" s="40"/>
      <c r="EW294" s="37"/>
      <c r="EX294" s="40"/>
      <c r="EY294" s="40"/>
      <c r="EZ294" s="40"/>
      <c r="FA294" s="40"/>
      <c r="FB294" s="37"/>
      <c r="FC294" s="40"/>
      <c r="FD294" s="40"/>
      <c r="FE294" s="40"/>
      <c r="FF294" s="40"/>
      <c r="FG294" s="37"/>
      <c r="FH294" s="35"/>
      <c r="FI294" s="17"/>
      <c r="FJ294" s="17"/>
      <c r="FK294" s="73"/>
      <c r="FL294" s="17"/>
    </row>
    <row r="295" ht="12.75" hidden="1" customHeight="1" outlineLevel="1">
      <c r="A295" s="421"/>
      <c r="B295" s="215" t="s">
        <v>199</v>
      </c>
      <c r="C295" s="45"/>
      <c r="D295" s="17"/>
      <c r="E295" s="17"/>
      <c r="F295" s="17"/>
      <c r="G295" s="17"/>
      <c r="H295" s="73"/>
      <c r="I295" s="17"/>
      <c r="J295" s="17"/>
      <c r="K295" s="17"/>
      <c r="L295" s="17"/>
      <c r="M295" s="73"/>
      <c r="N295" s="17"/>
      <c r="O295" s="17"/>
      <c r="P295" s="17"/>
      <c r="Q295" s="17"/>
      <c r="R295" s="73"/>
      <c r="S295" s="17"/>
      <c r="T295" s="17"/>
      <c r="U295" s="17"/>
      <c r="V295" s="17"/>
      <c r="W295" s="73"/>
      <c r="X295" s="17"/>
      <c r="Y295" s="17"/>
      <c r="Z295" s="17"/>
      <c r="AA295" s="17"/>
      <c r="AB295" s="73"/>
      <c r="AC295" s="17"/>
      <c r="AD295" s="17"/>
      <c r="AE295" s="17"/>
      <c r="AF295" s="17"/>
      <c r="AG295" s="73"/>
      <c r="AH295" s="17"/>
      <c r="AI295" s="17"/>
      <c r="AJ295" s="17"/>
      <c r="AK295" s="17"/>
      <c r="AL295" s="73"/>
      <c r="AM295" s="17"/>
      <c r="AN295" s="17"/>
      <c r="AO295" s="17"/>
      <c r="AP295" s="17"/>
      <c r="AQ295" s="73"/>
      <c r="AR295" s="17"/>
      <c r="AS295" s="17"/>
      <c r="AT295" s="17"/>
      <c r="AU295" s="17"/>
      <c r="AV295" s="73"/>
      <c r="AW295" s="17"/>
      <c r="AX295" s="17"/>
      <c r="AY295" s="17"/>
      <c r="AZ295" s="17"/>
      <c r="BA295" s="73"/>
      <c r="BB295" s="17"/>
      <c r="BC295" s="17"/>
      <c r="BD295" s="17"/>
      <c r="BE295" s="17"/>
      <c r="BF295" s="73"/>
      <c r="BG295" s="17"/>
      <c r="BH295" s="17"/>
      <c r="BI295" s="17"/>
      <c r="BJ295" s="17"/>
      <c r="BK295" s="73"/>
      <c r="BL295" s="17"/>
      <c r="BM295" s="17"/>
      <c r="BN295" s="17"/>
      <c r="BO295" s="17"/>
      <c r="BP295" s="73"/>
      <c r="BQ295" s="17"/>
      <c r="BR295" s="17"/>
      <c r="BS295" s="17"/>
      <c r="BT295" s="17"/>
      <c r="BU295" s="73"/>
      <c r="BV295" s="17"/>
      <c r="BW295" s="17"/>
      <c r="BX295" s="17"/>
      <c r="BY295" s="17"/>
      <c r="BZ295" s="18"/>
      <c r="CA295" s="17"/>
      <c r="CB295" s="17"/>
      <c r="CC295" s="17"/>
      <c r="CD295" s="17"/>
      <c r="CE295" s="18"/>
      <c r="CF295" s="17"/>
      <c r="CG295" s="17"/>
      <c r="CH295" s="17"/>
      <c r="CI295" s="17"/>
      <c r="CJ295" s="18"/>
      <c r="CK295" s="444" t="str">
        <f>[2]MPU!CK133</f>
        <v>#ERROR!</v>
      </c>
      <c r="CL295" s="444" t="str">
        <f>[0]!desktopBlendedASP</f>
        <v>#ERROR!</v>
      </c>
      <c r="CM295" s="444" t="str">
        <f>[0]!desktopBlendedASP</f>
        <v>#ERROR!</v>
      </c>
      <c r="CN295" s="444" t="str">
        <f>[0]!desktopBlendedASP</f>
        <v>#ERROR!</v>
      </c>
      <c r="CO295" s="18"/>
      <c r="CP295" s="444" t="str">
        <f>[2]MPU!CP130</f>
        <v>#ERROR!</v>
      </c>
      <c r="CQ295" s="444" t="str">
        <f>[2]MPU!CQ130</f>
        <v>#ERROR!</v>
      </c>
      <c r="CR295" s="444" t="str">
        <f>[2]MPU!CR130</f>
        <v>#ERROR!</v>
      </c>
      <c r="CS295" s="444" t="str">
        <f>[2]MPU!CS130</f>
        <v>#ERROR!</v>
      </c>
      <c r="CT295" s="10" t="str">
        <f>CT287*1000/CT289</f>
        <v>#ERROR!</v>
      </c>
      <c r="CU295" s="447" t="str">
        <f>[2]MPU!CU130</f>
        <v>#ERROR!</v>
      </c>
      <c r="CV295" s="447" t="str">
        <f t="shared" ref="CV295:CX295" si="1724">CQ295*(1+CV297)</f>
        <v>#ERROR!</v>
      </c>
      <c r="CW295" s="447" t="str">
        <f t="shared" si="1724"/>
        <v>#ERROR!</v>
      </c>
      <c r="CX295" s="447" t="str">
        <f t="shared" si="1724"/>
        <v>#ERROR!</v>
      </c>
      <c r="CY295" s="10" t="str">
        <f>CY287*1000/CY289</f>
        <v>#ERROR!</v>
      </c>
      <c r="CZ295" s="447" t="str">
        <f t="shared" ref="CZ295:DC295" si="1725">CU295*(1+CZ297)</f>
        <v>#ERROR!</v>
      </c>
      <c r="DA295" s="447" t="str">
        <f t="shared" si="1725"/>
        <v>#ERROR!</v>
      </c>
      <c r="DB295" s="447" t="str">
        <f t="shared" si="1725"/>
        <v>#ERROR!</v>
      </c>
      <c r="DC295" s="447" t="str">
        <f t="shared" si="1725"/>
        <v>#ERROR!</v>
      </c>
      <c r="DD295" s="446" t="str">
        <f>DD287*1000/DD289</f>
        <v>#ERROR!</v>
      </c>
      <c r="DE295" s="451" t="str">
        <f>CZ295*(1+DE297)</f>
        <v>#ERROR!</v>
      </c>
      <c r="DF295" s="444" t="str">
        <f t="shared" ref="DF295:DH295" si="1726">DE295*(1+DF296)</f>
        <v>#ERROR!</v>
      </c>
      <c r="DG295" s="447" t="str">
        <f t="shared" si="1726"/>
        <v>#ERROR!</v>
      </c>
      <c r="DH295" s="447" t="str">
        <f t="shared" si="1726"/>
        <v>#ERROR!</v>
      </c>
      <c r="DI295" s="446" t="str">
        <f>DI287*1000/DI289</f>
        <v>#ERROR!</v>
      </c>
      <c r="DJ295" s="447" t="str">
        <f t="shared" ref="DJ295:DK295" si="1727">DE295*(1+DJ297)</f>
        <v>#ERROR!</v>
      </c>
      <c r="DK295" s="447" t="str">
        <f t="shared" si="1727"/>
        <v>#ERROR!</v>
      </c>
      <c r="DL295" s="447" t="str">
        <f t="shared" ref="DL295:DM295" si="1728">DK295*(1+DL296)</f>
        <v>#ERROR!</v>
      </c>
      <c r="DM295" s="447" t="str">
        <f t="shared" si="1728"/>
        <v>#ERROR!</v>
      </c>
      <c r="DN295" s="446" t="str">
        <f>DN287*1000/DN289</f>
        <v>#ERROR!</v>
      </c>
      <c r="DO295" s="447" t="str">
        <f>DM295*(1+DO296)</f>
        <v>#ERROR!</v>
      </c>
      <c r="DP295" s="447" t="str">
        <f t="shared" ref="DP295:DR295" si="1729">DO295*(1+DP296)</f>
        <v>#ERROR!</v>
      </c>
      <c r="DQ295" s="447" t="str">
        <f t="shared" si="1729"/>
        <v>#ERROR!</v>
      </c>
      <c r="DR295" s="447" t="str">
        <f t="shared" si="1729"/>
        <v>#ERROR!</v>
      </c>
      <c r="DS295" s="446" t="str">
        <f>DS287*1000/DS289</f>
        <v>#ERROR!</v>
      </c>
      <c r="DT295" s="447" t="str">
        <f>DR295*(1+DT296)</f>
        <v>#ERROR!</v>
      </c>
      <c r="DU295" s="447" t="str">
        <f t="shared" ref="DU295:DW295" si="1730">DT295*(1+DU296)</f>
        <v>#ERROR!</v>
      </c>
      <c r="DV295" s="447" t="str">
        <f t="shared" si="1730"/>
        <v>#ERROR!</v>
      </c>
      <c r="DW295" s="447" t="str">
        <f t="shared" si="1730"/>
        <v>#ERROR!</v>
      </c>
      <c r="DX295" s="446" t="str">
        <f>DX287*1000/DX289</f>
        <v>#ERROR!</v>
      </c>
      <c r="DY295" s="447" t="str">
        <f>DW295*(1+DY296)</f>
        <v>#ERROR!</v>
      </c>
      <c r="DZ295" s="447" t="str">
        <f t="shared" ref="DZ295:EB295" si="1731">DY295*(1+DZ296)</f>
        <v>#ERROR!</v>
      </c>
      <c r="EA295" s="447" t="str">
        <f t="shared" si="1731"/>
        <v>#ERROR!</v>
      </c>
      <c r="EB295" s="447" t="str">
        <f t="shared" si="1731"/>
        <v>#ERROR!</v>
      </c>
      <c r="EC295" s="446" t="str">
        <f>EC287*1000/EC289</f>
        <v>#ERROR!</v>
      </c>
      <c r="ED295" s="447" t="str">
        <f>EB295*(1+ED296)</f>
        <v>#ERROR!</v>
      </c>
      <c r="EE295" s="447" t="str">
        <f t="shared" ref="EE295:EG295" si="1732">ED295*(1+EE296)</f>
        <v>#ERROR!</v>
      </c>
      <c r="EF295" s="447" t="str">
        <f t="shared" si="1732"/>
        <v>#ERROR!</v>
      </c>
      <c r="EG295" s="447" t="str">
        <f t="shared" si="1732"/>
        <v>#ERROR!</v>
      </c>
      <c r="EH295" s="446" t="str">
        <f>EH287*1000/EH289</f>
        <v>#ERROR!</v>
      </c>
      <c r="EI295" s="448" t="str">
        <f>EG295*(1+EI296)</f>
        <v>#ERROR!</v>
      </c>
      <c r="EJ295" s="444" t="str">
        <f t="shared" ref="EJ295:EL295" si="1733">EI295*(1+EJ296)</f>
        <v>#ERROR!</v>
      </c>
      <c r="EK295" s="444" t="str">
        <f t="shared" si="1733"/>
        <v>#ERROR!</v>
      </c>
      <c r="EL295" s="444" t="str">
        <f t="shared" si="1733"/>
        <v>#ERROR!</v>
      </c>
      <c r="EM295" s="446" t="str">
        <f>EM287*1000/EM289</f>
        <v>#ERROR!</v>
      </c>
      <c r="EN295" s="444" t="str">
        <f>EL295*(1+EN296)</f>
        <v>#ERROR!</v>
      </c>
      <c r="EO295" s="444" t="str">
        <f t="shared" ref="EO295:EQ295" si="1734">EN295*(1+EO296)</f>
        <v>#ERROR!</v>
      </c>
      <c r="EP295" s="444" t="str">
        <f t="shared" si="1734"/>
        <v>#ERROR!</v>
      </c>
      <c r="EQ295" s="444" t="str">
        <f t="shared" si="1734"/>
        <v>#ERROR!</v>
      </c>
      <c r="ER295" s="446" t="str">
        <f>ER287*1000/ER289</f>
        <v>#ERROR!</v>
      </c>
      <c r="ES295" s="444" t="str">
        <f>EQ295*(1+ES296)</f>
        <v>#ERROR!</v>
      </c>
      <c r="ET295" s="444" t="str">
        <f t="shared" ref="ET295:EV295" si="1735">ES295*(1+ET296)</f>
        <v>#ERROR!</v>
      </c>
      <c r="EU295" s="444" t="str">
        <f t="shared" si="1735"/>
        <v>#ERROR!</v>
      </c>
      <c r="EV295" s="444" t="str">
        <f t="shared" si="1735"/>
        <v>#ERROR!</v>
      </c>
      <c r="EW295" s="446" t="str">
        <f>EW287*1000/EW289</f>
        <v>#ERROR!</v>
      </c>
      <c r="EX295" s="444" t="str">
        <f>EV295*(1+EX296)</f>
        <v>#ERROR!</v>
      </c>
      <c r="EY295" s="444" t="str">
        <f t="shared" ref="EY295:FA295" si="1736">EX295*(1+EY296)</f>
        <v>#ERROR!</v>
      </c>
      <c r="EZ295" s="444" t="str">
        <f t="shared" si="1736"/>
        <v>#ERROR!</v>
      </c>
      <c r="FA295" s="444" t="str">
        <f t="shared" si="1736"/>
        <v>#ERROR!</v>
      </c>
      <c r="FB295" s="446" t="str">
        <f>FB287*1000/FB289</f>
        <v>#ERROR!</v>
      </c>
      <c r="FC295" s="444" t="str">
        <f>FA295*(1+FC296)</f>
        <v>#ERROR!</v>
      </c>
      <c r="FD295" s="444" t="str">
        <f t="shared" ref="FD295:FF295" si="1737">FC295*(1+FD296)</f>
        <v>#ERROR!</v>
      </c>
      <c r="FE295" s="444" t="str">
        <f t="shared" si="1737"/>
        <v>#ERROR!</v>
      </c>
      <c r="FF295" s="444" t="str">
        <f t="shared" si="1737"/>
        <v>#ERROR!</v>
      </c>
      <c r="FG295" s="446" t="str">
        <f>FG287*1000/FG289</f>
        <v>#ERROR!</v>
      </c>
      <c r="FH295" s="449"/>
      <c r="FI295" s="17"/>
      <c r="FJ295" s="17"/>
      <c r="FK295" s="73"/>
      <c r="FL295" s="17"/>
    </row>
    <row r="296" ht="12.75" hidden="1" customHeight="1" outlineLevel="1">
      <c r="A296" s="421"/>
      <c r="B296" s="72" t="s">
        <v>150</v>
      </c>
      <c r="C296" s="45"/>
      <c r="D296" s="17"/>
      <c r="E296" s="17"/>
      <c r="F296" s="17"/>
      <c r="G296" s="17"/>
      <c r="H296" s="73"/>
      <c r="I296" s="17"/>
      <c r="J296" s="17"/>
      <c r="K296" s="17"/>
      <c r="L296" s="17"/>
      <c r="M296" s="73"/>
      <c r="N296" s="17"/>
      <c r="O296" s="17"/>
      <c r="P296" s="17"/>
      <c r="Q296" s="17"/>
      <c r="R296" s="73"/>
      <c r="S296" s="17"/>
      <c r="T296" s="17"/>
      <c r="U296" s="17"/>
      <c r="V296" s="17"/>
      <c r="W296" s="73"/>
      <c r="X296" s="17"/>
      <c r="Y296" s="17"/>
      <c r="Z296" s="17"/>
      <c r="AA296" s="17"/>
      <c r="AB296" s="73"/>
      <c r="AC296" s="17"/>
      <c r="AD296" s="17"/>
      <c r="AE296" s="17"/>
      <c r="AF296" s="17"/>
      <c r="AG296" s="73"/>
      <c r="AH296" s="17"/>
      <c r="AI296" s="17"/>
      <c r="AJ296" s="17"/>
      <c r="AK296" s="17"/>
      <c r="AL296" s="73"/>
      <c r="AM296" s="17"/>
      <c r="AN296" s="17"/>
      <c r="AO296" s="17"/>
      <c r="AP296" s="17"/>
      <c r="AQ296" s="73"/>
      <c r="AR296" s="17"/>
      <c r="AS296" s="17"/>
      <c r="AT296" s="17"/>
      <c r="AU296" s="17"/>
      <c r="AV296" s="73"/>
      <c r="AW296" s="17"/>
      <c r="AX296" s="17"/>
      <c r="AY296" s="17"/>
      <c r="AZ296" s="17"/>
      <c r="BA296" s="73"/>
      <c r="BB296" s="17"/>
      <c r="BC296" s="17"/>
      <c r="BD296" s="17"/>
      <c r="BE296" s="17"/>
      <c r="BF296" s="73"/>
      <c r="BG296" s="17"/>
      <c r="BH296" s="17"/>
      <c r="BI296" s="17"/>
      <c r="BJ296" s="17"/>
      <c r="BK296" s="73"/>
      <c r="BL296" s="17"/>
      <c r="BM296" s="17"/>
      <c r="BN296" s="17"/>
      <c r="BO296" s="17"/>
      <c r="BP296" s="73"/>
      <c r="BQ296" s="17"/>
      <c r="BR296" s="17"/>
      <c r="BS296" s="17"/>
      <c r="BT296" s="17"/>
      <c r="BU296" s="73"/>
      <c r="BV296" s="17"/>
      <c r="BW296" s="17"/>
      <c r="BX296" s="17"/>
      <c r="BY296" s="17"/>
      <c r="BZ296" s="18"/>
      <c r="CA296" s="17"/>
      <c r="CB296" s="17"/>
      <c r="CC296" s="17"/>
      <c r="CD296" s="17"/>
      <c r="CE296" s="18"/>
      <c r="CF296" s="17"/>
      <c r="CG296" s="17"/>
      <c r="CH296" s="17"/>
      <c r="CI296" s="17"/>
      <c r="CJ296" s="18"/>
      <c r="CK296" s="17"/>
      <c r="CL296" s="17"/>
      <c r="CM296" s="17"/>
      <c r="CN296" s="17"/>
      <c r="CO296" s="18"/>
      <c r="CP296" s="40" t="str">
        <f>CP295/CN295-1</f>
        <v>#ERROR!</v>
      </c>
      <c r="CQ296" s="40" t="str">
        <f t="shared" ref="CQ296:CS296" si="1738">CQ295/CP295-1</f>
        <v>#ERROR!</v>
      </c>
      <c r="CR296" s="40" t="str">
        <f t="shared" si="1738"/>
        <v>#ERROR!</v>
      </c>
      <c r="CS296" s="40" t="str">
        <f t="shared" si="1738"/>
        <v>#ERROR!</v>
      </c>
      <c r="CT296" s="37"/>
      <c r="CU296" s="40" t="str">
        <f>CU295/CS295-1</f>
        <v>#ERROR!</v>
      </c>
      <c r="CV296" s="40" t="str">
        <f t="shared" ref="CV296:CX296" si="1739">CV295/CU295-1</f>
        <v>#ERROR!</v>
      </c>
      <c r="CW296" s="40" t="str">
        <f t="shared" si="1739"/>
        <v>#ERROR!</v>
      </c>
      <c r="CX296" s="40" t="str">
        <f t="shared" si="1739"/>
        <v>#ERROR!</v>
      </c>
      <c r="CY296" s="37"/>
      <c r="CZ296" s="40" t="str">
        <f>CZ295/CX295-1</f>
        <v>#ERROR!</v>
      </c>
      <c r="DA296" s="40" t="str">
        <f t="shared" ref="DA296:DC296" si="1740">DA295/CZ295-1</f>
        <v>#ERROR!</v>
      </c>
      <c r="DB296" s="40" t="str">
        <f t="shared" si="1740"/>
        <v>#ERROR!</v>
      </c>
      <c r="DC296" s="40" t="str">
        <f t="shared" si="1740"/>
        <v>#ERROR!</v>
      </c>
      <c r="DD296" s="37"/>
      <c r="DE296" s="40" t="str">
        <f>DE295/DC295-1</f>
        <v>#ERROR!</v>
      </c>
      <c r="DF296" s="436">
        <v>0.065</v>
      </c>
      <c r="DG296" s="435">
        <v>-0.08</v>
      </c>
      <c r="DH296" s="40">
        <v>0.01</v>
      </c>
      <c r="DI296" s="37"/>
      <c r="DJ296" s="40" t="str">
        <f>DJ295/DH295-1</f>
        <v>#ERROR!</v>
      </c>
      <c r="DK296" s="40" t="str">
        <f>DK295/DJ295-1</f>
        <v>#ERROR!</v>
      </c>
      <c r="DL296" s="40">
        <v>0.01</v>
      </c>
      <c r="DM296" s="104">
        <v>0.03</v>
      </c>
      <c r="DN296" s="37"/>
      <c r="DO296" s="435">
        <v>0.007</v>
      </c>
      <c r="DP296" s="435">
        <v>-0.09</v>
      </c>
      <c r="DQ296" s="435">
        <v>0.02</v>
      </c>
      <c r="DR296" s="435">
        <v>0.004</v>
      </c>
      <c r="DS296" s="37"/>
      <c r="DT296" s="435">
        <v>0.05</v>
      </c>
      <c r="DU296" s="435">
        <v>-0.02</v>
      </c>
      <c r="DV296" s="435">
        <v>-0.1</v>
      </c>
      <c r="DW296" s="435">
        <v>-0.09</v>
      </c>
      <c r="DX296" s="37"/>
      <c r="DY296" s="435">
        <v>-0.043</v>
      </c>
      <c r="DZ296" s="435">
        <v>0.06</v>
      </c>
      <c r="EA296" s="435">
        <v>0.2</v>
      </c>
      <c r="EB296" s="435">
        <v>-0.06</v>
      </c>
      <c r="EC296" s="37"/>
      <c r="ED296" s="435">
        <v>-0.01</v>
      </c>
      <c r="EE296" s="435">
        <v>0.02</v>
      </c>
      <c r="EF296" s="435">
        <v>0.0</v>
      </c>
      <c r="EG296" s="435">
        <v>0.0</v>
      </c>
      <c r="EH296" s="37"/>
      <c r="EI296" s="412">
        <v>-0.03</v>
      </c>
      <c r="EJ296" s="436">
        <v>0.0</v>
      </c>
      <c r="EK296" s="436">
        <v>0.04</v>
      </c>
      <c r="EL296" s="436">
        <v>-0.02</v>
      </c>
      <c r="EM296" s="37"/>
      <c r="EN296" s="436">
        <v>-0.01</v>
      </c>
      <c r="EO296" s="436">
        <v>0.0</v>
      </c>
      <c r="EP296" s="436">
        <v>0.04</v>
      </c>
      <c r="EQ296" s="436">
        <v>0.01</v>
      </c>
      <c r="ER296" s="37"/>
      <c r="ES296" s="436">
        <v>-0.03</v>
      </c>
      <c r="ET296" s="436">
        <v>0.0</v>
      </c>
      <c r="EU296" s="436">
        <v>0.04</v>
      </c>
      <c r="EV296" s="436">
        <v>0.01</v>
      </c>
      <c r="EW296" s="37"/>
      <c r="EX296" s="436">
        <v>-0.03</v>
      </c>
      <c r="EY296" s="436">
        <v>0.0</v>
      </c>
      <c r="EZ296" s="436">
        <v>0.04</v>
      </c>
      <c r="FA296" s="436">
        <v>0.01</v>
      </c>
      <c r="FB296" s="37"/>
      <c r="FC296" s="436">
        <v>-0.03</v>
      </c>
      <c r="FD296" s="436">
        <v>0.0</v>
      </c>
      <c r="FE296" s="436">
        <v>0.04</v>
      </c>
      <c r="FF296" s="436">
        <v>0.01</v>
      </c>
      <c r="FG296" s="37"/>
      <c r="FH296" s="35"/>
      <c r="FI296" s="17"/>
      <c r="FJ296" s="17"/>
      <c r="FK296" s="73"/>
      <c r="FL296" s="17"/>
    </row>
    <row r="297" ht="12.75" hidden="1" customHeight="1" outlineLevel="1">
      <c r="A297" s="421"/>
      <c r="B297" s="72" t="s">
        <v>146</v>
      </c>
      <c r="C297" s="45"/>
      <c r="D297" s="17"/>
      <c r="E297" s="17"/>
      <c r="F297" s="17"/>
      <c r="G297" s="17"/>
      <c r="H297" s="73"/>
      <c r="I297" s="17"/>
      <c r="J297" s="17"/>
      <c r="K297" s="17"/>
      <c r="L297" s="17"/>
      <c r="M297" s="73"/>
      <c r="N297" s="17"/>
      <c r="O297" s="17"/>
      <c r="P297" s="17"/>
      <c r="Q297" s="17"/>
      <c r="R297" s="73"/>
      <c r="S297" s="17"/>
      <c r="T297" s="17"/>
      <c r="U297" s="17"/>
      <c r="V297" s="17"/>
      <c r="W297" s="73"/>
      <c r="X297" s="17"/>
      <c r="Y297" s="17"/>
      <c r="Z297" s="17"/>
      <c r="AA297" s="17"/>
      <c r="AB297" s="73"/>
      <c r="AC297" s="17"/>
      <c r="AD297" s="17"/>
      <c r="AE297" s="17"/>
      <c r="AF297" s="17"/>
      <c r="AG297" s="73"/>
      <c r="AH297" s="17"/>
      <c r="AI297" s="17"/>
      <c r="AJ297" s="17"/>
      <c r="AK297" s="17"/>
      <c r="AL297" s="73"/>
      <c r="AM297" s="17"/>
      <c r="AN297" s="17"/>
      <c r="AO297" s="17"/>
      <c r="AP297" s="17"/>
      <c r="AQ297" s="73"/>
      <c r="AR297" s="17"/>
      <c r="AS297" s="17"/>
      <c r="AT297" s="17"/>
      <c r="AU297" s="17"/>
      <c r="AV297" s="73"/>
      <c r="AW297" s="17"/>
      <c r="AX297" s="17"/>
      <c r="AY297" s="17"/>
      <c r="AZ297" s="17"/>
      <c r="BA297" s="73"/>
      <c r="BB297" s="17"/>
      <c r="BC297" s="17"/>
      <c r="BD297" s="17"/>
      <c r="BE297" s="17"/>
      <c r="BF297" s="73"/>
      <c r="BG297" s="17"/>
      <c r="BH297" s="17"/>
      <c r="BI297" s="17"/>
      <c r="BJ297" s="17"/>
      <c r="BK297" s="73"/>
      <c r="BL297" s="17"/>
      <c r="BM297" s="17"/>
      <c r="BN297" s="17"/>
      <c r="BO297" s="17"/>
      <c r="BP297" s="73"/>
      <c r="BQ297" s="17"/>
      <c r="BR297" s="17"/>
      <c r="BS297" s="17"/>
      <c r="BT297" s="17"/>
      <c r="BU297" s="73"/>
      <c r="BV297" s="17"/>
      <c r="BW297" s="17"/>
      <c r="BX297" s="17"/>
      <c r="BY297" s="17"/>
      <c r="BZ297" s="18"/>
      <c r="CA297" s="17"/>
      <c r="CB297" s="17"/>
      <c r="CC297" s="17"/>
      <c r="CD297" s="17"/>
      <c r="CE297" s="18"/>
      <c r="CF297" s="17"/>
      <c r="CG297" s="17"/>
      <c r="CH297" s="17"/>
      <c r="CI297" s="17"/>
      <c r="CJ297" s="18"/>
      <c r="CK297" s="17"/>
      <c r="CL297" s="17"/>
      <c r="CM297" s="17"/>
      <c r="CN297" s="17"/>
      <c r="CO297" s="18"/>
      <c r="CP297" s="40" t="str">
        <f t="shared" ref="CP297:CS297" si="1741">CP295/CK295-1</f>
        <v>#ERROR!</v>
      </c>
      <c r="CQ297" s="40" t="str">
        <f t="shared" si="1741"/>
        <v>#ERROR!</v>
      </c>
      <c r="CR297" s="40" t="str">
        <f t="shared" si="1741"/>
        <v>#ERROR!</v>
      </c>
      <c r="CS297" s="40" t="str">
        <f t="shared" si="1741"/>
        <v>#ERROR!</v>
      </c>
      <c r="CT297" s="24"/>
      <c r="CU297" s="40">
        <v>-0.03</v>
      </c>
      <c r="CV297" s="40">
        <v>-0.02</v>
      </c>
      <c r="CW297" s="40">
        <v>0.04</v>
      </c>
      <c r="CX297" s="40">
        <v>0.06</v>
      </c>
      <c r="CY297" s="37"/>
      <c r="CZ297" s="40">
        <v>0.0</v>
      </c>
      <c r="DA297" s="40">
        <v>0.02</v>
      </c>
      <c r="DB297" s="40">
        <v>0.03</v>
      </c>
      <c r="DC297" s="40">
        <v>0.03</v>
      </c>
      <c r="DD297" s="313" t="str">
        <f>DD295/CY295-1</f>
        <v>#ERROR!</v>
      </c>
      <c r="DE297" s="15">
        <v>0.07</v>
      </c>
      <c r="DF297" s="40" t="str">
        <f t="shared" ref="DF297:DI297" si="1742">DF295/DA295-1</f>
        <v>#ERROR!</v>
      </c>
      <c r="DG297" s="40" t="str">
        <f t="shared" si="1742"/>
        <v>#ERROR!</v>
      </c>
      <c r="DH297" s="40" t="str">
        <f t="shared" si="1742"/>
        <v>#ERROR!</v>
      </c>
      <c r="DI297" s="313" t="str">
        <f t="shared" si="1742"/>
        <v>#ERROR!</v>
      </c>
      <c r="DJ297" s="40">
        <v>0.01</v>
      </c>
      <c r="DK297" s="40">
        <v>0.024</v>
      </c>
      <c r="DL297" s="40" t="str">
        <f t="shared" ref="DL297:FG297" si="1743">DL295/DG295-1</f>
        <v>#ERROR!</v>
      </c>
      <c r="DM297" s="40" t="str">
        <f t="shared" si="1743"/>
        <v>#ERROR!</v>
      </c>
      <c r="DN297" s="313" t="str">
        <f t="shared" si="1743"/>
        <v>#ERROR!</v>
      </c>
      <c r="DO297" s="40" t="str">
        <f t="shared" si="1743"/>
        <v>#ERROR!</v>
      </c>
      <c r="DP297" s="40" t="str">
        <f t="shared" si="1743"/>
        <v>#ERROR!</v>
      </c>
      <c r="DQ297" s="40" t="str">
        <f t="shared" si="1743"/>
        <v>#ERROR!</v>
      </c>
      <c r="DR297" s="40" t="str">
        <f t="shared" si="1743"/>
        <v>#ERROR!</v>
      </c>
      <c r="DS297" s="313" t="str">
        <f t="shared" si="1743"/>
        <v>#ERROR!</v>
      </c>
      <c r="DT297" s="40" t="str">
        <f t="shared" si="1743"/>
        <v>#ERROR!</v>
      </c>
      <c r="DU297" s="40" t="str">
        <f t="shared" si="1743"/>
        <v>#ERROR!</v>
      </c>
      <c r="DV297" s="40" t="str">
        <f t="shared" si="1743"/>
        <v>#ERROR!</v>
      </c>
      <c r="DW297" s="40" t="str">
        <f t="shared" si="1743"/>
        <v>#ERROR!</v>
      </c>
      <c r="DX297" s="313" t="str">
        <f t="shared" si="1743"/>
        <v>#ERROR!</v>
      </c>
      <c r="DY297" s="40" t="str">
        <f t="shared" si="1743"/>
        <v>#ERROR!</v>
      </c>
      <c r="DZ297" s="40" t="str">
        <f t="shared" si="1743"/>
        <v>#ERROR!</v>
      </c>
      <c r="EA297" s="40" t="str">
        <f t="shared" si="1743"/>
        <v>#ERROR!</v>
      </c>
      <c r="EB297" s="40" t="str">
        <f t="shared" si="1743"/>
        <v>#ERROR!</v>
      </c>
      <c r="EC297" s="313" t="str">
        <f t="shared" si="1743"/>
        <v>#ERROR!</v>
      </c>
      <c r="ED297" s="40" t="str">
        <f t="shared" si="1743"/>
        <v>#ERROR!</v>
      </c>
      <c r="EE297" s="40" t="str">
        <f t="shared" si="1743"/>
        <v>#ERROR!</v>
      </c>
      <c r="EF297" s="40" t="str">
        <f t="shared" si="1743"/>
        <v>#ERROR!</v>
      </c>
      <c r="EG297" s="40" t="str">
        <f t="shared" si="1743"/>
        <v>#ERROR!</v>
      </c>
      <c r="EH297" s="313" t="str">
        <f t="shared" si="1743"/>
        <v>#ERROR!</v>
      </c>
      <c r="EI297" s="82" t="str">
        <f t="shared" si="1743"/>
        <v>#ERROR!</v>
      </c>
      <c r="EJ297" s="40" t="str">
        <f t="shared" si="1743"/>
        <v>#ERROR!</v>
      </c>
      <c r="EK297" s="40" t="str">
        <f t="shared" si="1743"/>
        <v>#ERROR!</v>
      </c>
      <c r="EL297" s="40" t="str">
        <f t="shared" si="1743"/>
        <v>#ERROR!</v>
      </c>
      <c r="EM297" s="313" t="str">
        <f t="shared" si="1743"/>
        <v>#ERROR!</v>
      </c>
      <c r="EN297" s="40" t="str">
        <f t="shared" si="1743"/>
        <v>#ERROR!</v>
      </c>
      <c r="EO297" s="40" t="str">
        <f t="shared" si="1743"/>
        <v>#ERROR!</v>
      </c>
      <c r="EP297" s="40" t="str">
        <f t="shared" si="1743"/>
        <v>#ERROR!</v>
      </c>
      <c r="EQ297" s="40" t="str">
        <f t="shared" si="1743"/>
        <v>#ERROR!</v>
      </c>
      <c r="ER297" s="313" t="str">
        <f t="shared" si="1743"/>
        <v>#ERROR!</v>
      </c>
      <c r="ES297" s="40" t="str">
        <f t="shared" si="1743"/>
        <v>#ERROR!</v>
      </c>
      <c r="ET297" s="40" t="str">
        <f t="shared" si="1743"/>
        <v>#ERROR!</v>
      </c>
      <c r="EU297" s="40" t="str">
        <f t="shared" si="1743"/>
        <v>#ERROR!</v>
      </c>
      <c r="EV297" s="40" t="str">
        <f t="shared" si="1743"/>
        <v>#ERROR!</v>
      </c>
      <c r="EW297" s="313" t="str">
        <f t="shared" si="1743"/>
        <v>#ERROR!</v>
      </c>
      <c r="EX297" s="40" t="str">
        <f t="shared" si="1743"/>
        <v>#ERROR!</v>
      </c>
      <c r="EY297" s="40" t="str">
        <f t="shared" si="1743"/>
        <v>#ERROR!</v>
      </c>
      <c r="EZ297" s="40" t="str">
        <f t="shared" si="1743"/>
        <v>#ERROR!</v>
      </c>
      <c r="FA297" s="40" t="str">
        <f t="shared" si="1743"/>
        <v>#ERROR!</v>
      </c>
      <c r="FB297" s="313" t="str">
        <f t="shared" si="1743"/>
        <v>#ERROR!</v>
      </c>
      <c r="FC297" s="40" t="str">
        <f t="shared" si="1743"/>
        <v>#ERROR!</v>
      </c>
      <c r="FD297" s="40" t="str">
        <f t="shared" si="1743"/>
        <v>#ERROR!</v>
      </c>
      <c r="FE297" s="40" t="str">
        <f t="shared" si="1743"/>
        <v>#ERROR!</v>
      </c>
      <c r="FF297" s="40" t="str">
        <f t="shared" si="1743"/>
        <v>#ERROR!</v>
      </c>
      <c r="FG297" s="313" t="str">
        <f t="shared" si="1743"/>
        <v>#ERROR!</v>
      </c>
      <c r="FH297" s="40"/>
      <c r="FI297" s="17"/>
      <c r="FJ297" s="17"/>
      <c r="FK297" s="73"/>
      <c r="FL297" s="17"/>
    </row>
    <row r="298" ht="12.75" hidden="1" customHeight="1" outlineLevel="1">
      <c r="A298" s="421"/>
      <c r="B298" s="84" t="s">
        <v>151</v>
      </c>
      <c r="C298" s="45"/>
      <c r="D298" s="17"/>
      <c r="E298" s="17"/>
      <c r="F298" s="17"/>
      <c r="G298" s="17"/>
      <c r="H298" s="73"/>
      <c r="I298" s="17"/>
      <c r="J298" s="17"/>
      <c r="K298" s="17"/>
      <c r="L298" s="17"/>
      <c r="M298" s="73"/>
      <c r="N298" s="17"/>
      <c r="O298" s="17"/>
      <c r="P298" s="17"/>
      <c r="Q298" s="17"/>
      <c r="R298" s="73"/>
      <c r="S298" s="17"/>
      <c r="T298" s="17"/>
      <c r="U298" s="17"/>
      <c r="V298" s="17"/>
      <c r="W298" s="73"/>
      <c r="X298" s="17"/>
      <c r="Y298" s="17"/>
      <c r="Z298" s="17"/>
      <c r="AA298" s="17"/>
      <c r="AB298" s="73"/>
      <c r="AC298" s="17"/>
      <c r="AD298" s="17"/>
      <c r="AE298" s="17"/>
      <c r="AF298" s="17"/>
      <c r="AG298" s="73"/>
      <c r="AH298" s="17"/>
      <c r="AI298" s="17"/>
      <c r="AJ298" s="17"/>
      <c r="AK298" s="17"/>
      <c r="AL298" s="73"/>
      <c r="AM298" s="17"/>
      <c r="AN298" s="17"/>
      <c r="AO298" s="17"/>
      <c r="AP298" s="17"/>
      <c r="AQ298" s="73"/>
      <c r="AR298" s="17"/>
      <c r="AS298" s="17"/>
      <c r="AT298" s="17"/>
      <c r="AU298" s="17"/>
      <c r="AV298" s="73"/>
      <c r="AW298" s="17"/>
      <c r="AX298" s="17"/>
      <c r="AY298" s="17"/>
      <c r="AZ298" s="17"/>
      <c r="BA298" s="73"/>
      <c r="BB298" s="17"/>
      <c r="BC298" s="17"/>
      <c r="BD298" s="17"/>
      <c r="BE298" s="17"/>
      <c r="BF298" s="73"/>
      <c r="BG298" s="17"/>
      <c r="BH298" s="17"/>
      <c r="BI298" s="17"/>
      <c r="BJ298" s="17"/>
      <c r="BK298" s="73"/>
      <c r="BL298" s="17"/>
      <c r="BM298" s="17"/>
      <c r="BN298" s="17"/>
      <c r="BO298" s="17"/>
      <c r="BP298" s="73"/>
      <c r="BQ298" s="17"/>
      <c r="BR298" s="17"/>
      <c r="BS298" s="17"/>
      <c r="BT298" s="17"/>
      <c r="BU298" s="73"/>
      <c r="BV298" s="17"/>
      <c r="BW298" s="17"/>
      <c r="BX298" s="17"/>
      <c r="BY298" s="17"/>
      <c r="BZ298" s="18"/>
      <c r="CA298" s="17"/>
      <c r="CB298" s="17"/>
      <c r="CC298" s="17"/>
      <c r="CD298" s="17"/>
      <c r="CE298" s="18"/>
      <c r="CF298" s="17"/>
      <c r="CG298" s="17"/>
      <c r="CH298" s="17"/>
      <c r="CI298" s="17"/>
      <c r="CJ298" s="18"/>
      <c r="CK298" s="17"/>
      <c r="CL298" s="17"/>
      <c r="CM298" s="17"/>
      <c r="CN298" s="17"/>
      <c r="CO298" s="18"/>
      <c r="CP298" s="439"/>
      <c r="CQ298" s="439"/>
      <c r="CR298" s="439"/>
      <c r="CS298" s="439"/>
      <c r="CT298" s="37"/>
      <c r="CU298" s="438"/>
      <c r="CV298" s="40"/>
      <c r="CW298" s="40"/>
      <c r="CX298" s="40"/>
      <c r="CY298" s="37"/>
      <c r="CZ298" s="85" t="str">
        <f t="shared" ref="CZ298:DC298" si="1744">AVERAGE(CU296,CP296,CZ296)</f>
        <v>#ERROR!</v>
      </c>
      <c r="DA298" s="85" t="str">
        <f t="shared" si="1744"/>
        <v>#ERROR!</v>
      </c>
      <c r="DB298" s="85" t="str">
        <f t="shared" si="1744"/>
        <v>#ERROR!</v>
      </c>
      <c r="DC298" s="85" t="str">
        <f t="shared" si="1744"/>
        <v>#ERROR!</v>
      </c>
      <c r="DD298" s="37"/>
      <c r="DE298" s="85" t="str">
        <f t="shared" ref="DE298:DH298" si="1745">AVERAGE(CZ296,CU296,DE296)</f>
        <v>#ERROR!</v>
      </c>
      <c r="DF298" s="85" t="str">
        <f t="shared" si="1745"/>
        <v>#ERROR!</v>
      </c>
      <c r="DG298" s="85" t="str">
        <f t="shared" si="1745"/>
        <v>#ERROR!</v>
      </c>
      <c r="DH298" s="85" t="str">
        <f t="shared" si="1745"/>
        <v>#ERROR!</v>
      </c>
      <c r="DI298" s="37"/>
      <c r="DJ298" s="85" t="str">
        <f t="shared" ref="DJ298:DM298" si="1746">AVERAGE(DE296,CZ296,DJ296)</f>
        <v>#ERROR!</v>
      </c>
      <c r="DK298" s="85" t="str">
        <f t="shared" si="1746"/>
        <v>#ERROR!</v>
      </c>
      <c r="DL298" s="85" t="str">
        <f t="shared" si="1746"/>
        <v>#ERROR!</v>
      </c>
      <c r="DM298" s="85" t="str">
        <f t="shared" si="1746"/>
        <v>#ERROR!</v>
      </c>
      <c r="DN298" s="37"/>
      <c r="DO298" s="85" t="str">
        <f t="shared" ref="DO298:DR298" si="1747">AVERAGE(DJ296,DE296,DO296)</f>
        <v>#ERROR!</v>
      </c>
      <c r="DP298" s="85" t="str">
        <f t="shared" si="1747"/>
        <v>#ERROR!</v>
      </c>
      <c r="DQ298" s="85">
        <f t="shared" si="1747"/>
        <v>-0.01666666667</v>
      </c>
      <c r="DR298" s="85">
        <f t="shared" si="1747"/>
        <v>0.01466666667</v>
      </c>
      <c r="DS298" s="37"/>
      <c r="DT298" s="85" t="str">
        <f t="shared" ref="DT298:DW298" si="1748">AVERAGE(DO296,DJ296,DT296)</f>
        <v>#ERROR!</v>
      </c>
      <c r="DU298" s="85" t="str">
        <f t="shared" si="1748"/>
        <v>#ERROR!</v>
      </c>
      <c r="DV298" s="85">
        <f t="shared" si="1748"/>
        <v>-0.02333333333</v>
      </c>
      <c r="DW298" s="85">
        <f t="shared" si="1748"/>
        <v>-0.01866666667</v>
      </c>
      <c r="DX298" s="37"/>
      <c r="DY298" s="85">
        <f t="shared" ref="DY298:EB298" si="1749">AVERAGE(DT296,DO296,DY296)</f>
        <v>0.004666666667</v>
      </c>
      <c r="DZ298" s="85">
        <f t="shared" si="1749"/>
        <v>-0.01666666667</v>
      </c>
      <c r="EA298" s="85">
        <f t="shared" si="1749"/>
        <v>0.04</v>
      </c>
      <c r="EB298" s="85">
        <f t="shared" si="1749"/>
        <v>-0.04866666667</v>
      </c>
      <c r="EC298" s="37"/>
      <c r="ED298" s="85">
        <f t="shared" ref="ED298:EG298" si="1750">AVERAGE(DY296,DT296,ED296)</f>
        <v>-0.001</v>
      </c>
      <c r="EE298" s="85">
        <f t="shared" si="1750"/>
        <v>0.02</v>
      </c>
      <c r="EF298" s="85">
        <f t="shared" si="1750"/>
        <v>0.03333333333</v>
      </c>
      <c r="EG298" s="85">
        <f t="shared" si="1750"/>
        <v>-0.05</v>
      </c>
      <c r="EH298" s="37"/>
      <c r="EI298" s="362">
        <f t="shared" ref="EI298:EL298" si="1751">AVERAGE(ED296,DY296,EI296)</f>
        <v>-0.02766666667</v>
      </c>
      <c r="EJ298" s="85">
        <f t="shared" si="1751"/>
        <v>0.02666666667</v>
      </c>
      <c r="EK298" s="85">
        <f t="shared" si="1751"/>
        <v>0.08</v>
      </c>
      <c r="EL298" s="85">
        <f t="shared" si="1751"/>
        <v>-0.02666666667</v>
      </c>
      <c r="EM298" s="37"/>
      <c r="EN298" s="85">
        <f t="shared" ref="EN298:EQ298" si="1752">AVERAGE(EI296,ED296,EN296)</f>
        <v>-0.01666666667</v>
      </c>
      <c r="EO298" s="85">
        <f t="shared" si="1752"/>
        <v>0.006666666667</v>
      </c>
      <c r="EP298" s="85">
        <f t="shared" si="1752"/>
        <v>0.02666666667</v>
      </c>
      <c r="EQ298" s="85">
        <f t="shared" si="1752"/>
        <v>-0.003333333333</v>
      </c>
      <c r="ER298" s="37"/>
      <c r="ES298" s="85">
        <f t="shared" ref="ES298:EV298" si="1753">AVERAGE(EN296,EI296,ES296)</f>
        <v>-0.02333333333</v>
      </c>
      <c r="ET298" s="85">
        <f t="shared" si="1753"/>
        <v>0</v>
      </c>
      <c r="EU298" s="85">
        <f t="shared" si="1753"/>
        <v>0.04</v>
      </c>
      <c r="EV298" s="85">
        <f t="shared" si="1753"/>
        <v>0</v>
      </c>
      <c r="EW298" s="37"/>
      <c r="EX298" s="85">
        <f t="shared" ref="EX298:FA298" si="1754">AVERAGE(ES296,EN296,EX296)</f>
        <v>-0.02333333333</v>
      </c>
      <c r="EY298" s="85">
        <f t="shared" si="1754"/>
        <v>0</v>
      </c>
      <c r="EZ298" s="85">
        <f t="shared" si="1754"/>
        <v>0.04</v>
      </c>
      <c r="FA298" s="85">
        <f t="shared" si="1754"/>
        <v>0.01</v>
      </c>
      <c r="FB298" s="37"/>
      <c r="FC298" s="85">
        <f t="shared" ref="FC298:FF298" si="1755">AVERAGE(EX296,ES296,FC296)</f>
        <v>-0.03</v>
      </c>
      <c r="FD298" s="85">
        <f t="shared" si="1755"/>
        <v>0</v>
      </c>
      <c r="FE298" s="85">
        <f t="shared" si="1755"/>
        <v>0.04</v>
      </c>
      <c r="FF298" s="85">
        <f t="shared" si="1755"/>
        <v>0.01</v>
      </c>
      <c r="FG298" s="37"/>
      <c r="FH298" s="35"/>
      <c r="FI298" s="17"/>
      <c r="FJ298" s="17"/>
      <c r="FK298" s="73"/>
      <c r="FL298" s="17"/>
    </row>
    <row r="299" ht="12.75" hidden="1" customHeight="1" outlineLevel="1">
      <c r="A299" s="421"/>
      <c r="B299" s="84" t="s">
        <v>200</v>
      </c>
      <c r="C299" s="45"/>
      <c r="D299" s="17"/>
      <c r="E299" s="17"/>
      <c r="F299" s="17"/>
      <c r="G299" s="17"/>
      <c r="H299" s="73"/>
      <c r="I299" s="17"/>
      <c r="J299" s="17"/>
      <c r="K299" s="17"/>
      <c r="L299" s="17"/>
      <c r="M299" s="73"/>
      <c r="N299" s="17"/>
      <c r="O299" s="17"/>
      <c r="P299" s="17"/>
      <c r="Q299" s="17"/>
      <c r="R299" s="73"/>
      <c r="S299" s="17"/>
      <c r="T299" s="17"/>
      <c r="U299" s="17"/>
      <c r="V299" s="17"/>
      <c r="W299" s="73"/>
      <c r="X299" s="17"/>
      <c r="Y299" s="17"/>
      <c r="Z299" s="17"/>
      <c r="AA299" s="17"/>
      <c r="AB299" s="73"/>
      <c r="AC299" s="17"/>
      <c r="AD299" s="17"/>
      <c r="AE299" s="17"/>
      <c r="AF299" s="17"/>
      <c r="AG299" s="73"/>
      <c r="AH299" s="17"/>
      <c r="AI299" s="17"/>
      <c r="AJ299" s="17"/>
      <c r="AK299" s="17"/>
      <c r="AL299" s="73"/>
      <c r="AM299" s="17"/>
      <c r="AN299" s="17"/>
      <c r="AO299" s="17"/>
      <c r="AP299" s="17"/>
      <c r="AQ299" s="73"/>
      <c r="AR299" s="17"/>
      <c r="AS299" s="17"/>
      <c r="AT299" s="17"/>
      <c r="AU299" s="17"/>
      <c r="AV299" s="73"/>
      <c r="AW299" s="17"/>
      <c r="AX299" s="17"/>
      <c r="AY299" s="17"/>
      <c r="AZ299" s="17"/>
      <c r="BA299" s="73"/>
      <c r="BB299" s="17"/>
      <c r="BC299" s="17"/>
      <c r="BD299" s="17"/>
      <c r="BE299" s="17"/>
      <c r="BF299" s="73"/>
      <c r="BG299" s="17"/>
      <c r="BH299" s="17"/>
      <c r="BI299" s="17"/>
      <c r="BJ299" s="17"/>
      <c r="BK299" s="73"/>
      <c r="BL299" s="17"/>
      <c r="BM299" s="17"/>
      <c r="BN299" s="17"/>
      <c r="BO299" s="17"/>
      <c r="BP299" s="73"/>
      <c r="BQ299" s="17"/>
      <c r="BR299" s="17"/>
      <c r="BS299" s="17"/>
      <c r="BT299" s="17"/>
      <c r="BU299" s="73"/>
      <c r="BV299" s="17"/>
      <c r="BW299" s="17"/>
      <c r="BX299" s="17"/>
      <c r="BY299" s="17"/>
      <c r="BZ299" s="18"/>
      <c r="CA299" s="17"/>
      <c r="CB299" s="17"/>
      <c r="CC299" s="17"/>
      <c r="CD299" s="17"/>
      <c r="CE299" s="18"/>
      <c r="CF299" s="17"/>
      <c r="CG299" s="17"/>
      <c r="CH299" s="17"/>
      <c r="CI299" s="17"/>
      <c r="CJ299" s="18"/>
      <c r="CK299" s="17"/>
      <c r="CL299" s="17"/>
      <c r="CM299" s="17"/>
      <c r="CN299" s="17"/>
      <c r="CO299" s="18"/>
      <c r="CP299" s="439"/>
      <c r="CQ299" s="439"/>
      <c r="CR299" s="439"/>
      <c r="CS299" s="439"/>
      <c r="CT299" s="37"/>
      <c r="CU299" s="438"/>
      <c r="CV299" s="40"/>
      <c r="CW299" s="40"/>
      <c r="CX299" s="40"/>
      <c r="CY299" s="37"/>
      <c r="CZ299" s="40"/>
      <c r="DA299" s="40"/>
      <c r="DB299" s="40"/>
      <c r="DC299" s="40"/>
      <c r="DD299" s="37"/>
      <c r="DE299" s="372" t="str">
        <f t="shared" ref="DE299:FG299" si="1756">DE287/CZ287-1</f>
        <v>#ERROR!</v>
      </c>
      <c r="DF299" s="372" t="str">
        <f t="shared" si="1756"/>
        <v>#ERROR!</v>
      </c>
      <c r="DG299" s="372" t="str">
        <f t="shared" si="1756"/>
        <v>#ERROR!</v>
      </c>
      <c r="DH299" s="372" t="str">
        <f t="shared" si="1756"/>
        <v>#ERROR!</v>
      </c>
      <c r="DI299" s="37" t="str">
        <f t="shared" si="1756"/>
        <v>#ERROR!</v>
      </c>
      <c r="DJ299" s="85" t="str">
        <f t="shared" si="1756"/>
        <v>#ERROR!</v>
      </c>
      <c r="DK299" s="85" t="str">
        <f t="shared" si="1756"/>
        <v>#ERROR!</v>
      </c>
      <c r="DL299" s="85" t="str">
        <f t="shared" si="1756"/>
        <v>#ERROR!</v>
      </c>
      <c r="DM299" s="85" t="str">
        <f t="shared" si="1756"/>
        <v>#ERROR!</v>
      </c>
      <c r="DN299" s="37" t="str">
        <f t="shared" si="1756"/>
        <v>#ERROR!</v>
      </c>
      <c r="DO299" s="85" t="str">
        <f t="shared" si="1756"/>
        <v>#ERROR!</v>
      </c>
      <c r="DP299" s="85" t="str">
        <f t="shared" si="1756"/>
        <v>#ERROR!</v>
      </c>
      <c r="DQ299" s="85" t="str">
        <f t="shared" si="1756"/>
        <v>#ERROR!</v>
      </c>
      <c r="DR299" s="85" t="str">
        <f t="shared" si="1756"/>
        <v>#ERROR!</v>
      </c>
      <c r="DS299" s="37" t="str">
        <f t="shared" si="1756"/>
        <v>#ERROR!</v>
      </c>
      <c r="DT299" s="85" t="str">
        <f t="shared" si="1756"/>
        <v>#ERROR!</v>
      </c>
      <c r="DU299" s="85" t="str">
        <f t="shared" si="1756"/>
        <v>#ERROR!</v>
      </c>
      <c r="DV299" s="85" t="str">
        <f t="shared" si="1756"/>
        <v>#ERROR!</v>
      </c>
      <c r="DW299" s="85" t="str">
        <f t="shared" si="1756"/>
        <v>#ERROR!</v>
      </c>
      <c r="DX299" s="37" t="str">
        <f t="shared" si="1756"/>
        <v>#ERROR!</v>
      </c>
      <c r="DY299" s="85" t="str">
        <f t="shared" si="1756"/>
        <v>#ERROR!</v>
      </c>
      <c r="DZ299" s="85" t="str">
        <f t="shared" si="1756"/>
        <v>#ERROR!</v>
      </c>
      <c r="EA299" s="85" t="str">
        <f t="shared" si="1756"/>
        <v>#ERROR!</v>
      </c>
      <c r="EB299" s="85" t="str">
        <f t="shared" si="1756"/>
        <v>#ERROR!</v>
      </c>
      <c r="EC299" s="37" t="str">
        <f t="shared" si="1756"/>
        <v>#ERROR!</v>
      </c>
      <c r="ED299" s="85" t="str">
        <f t="shared" si="1756"/>
        <v>#ERROR!</v>
      </c>
      <c r="EE299" s="85" t="str">
        <f t="shared" si="1756"/>
        <v>#ERROR!</v>
      </c>
      <c r="EF299" s="85" t="str">
        <f t="shared" si="1756"/>
        <v>#ERROR!</v>
      </c>
      <c r="EG299" s="85" t="str">
        <f t="shared" si="1756"/>
        <v>#ERROR!</v>
      </c>
      <c r="EH299" s="37" t="str">
        <f t="shared" si="1756"/>
        <v>#ERROR!</v>
      </c>
      <c r="EI299" s="362" t="str">
        <f t="shared" si="1756"/>
        <v>#ERROR!</v>
      </c>
      <c r="EJ299" s="372" t="str">
        <f t="shared" si="1756"/>
        <v>#ERROR!</v>
      </c>
      <c r="EK299" s="372" t="str">
        <f t="shared" si="1756"/>
        <v>#ERROR!</v>
      </c>
      <c r="EL299" s="372" t="str">
        <f t="shared" si="1756"/>
        <v>#ERROR!</v>
      </c>
      <c r="EM299" s="37" t="str">
        <f t="shared" si="1756"/>
        <v>#ERROR!</v>
      </c>
      <c r="EN299" s="372" t="str">
        <f t="shared" si="1756"/>
        <v>#ERROR!</v>
      </c>
      <c r="EO299" s="372" t="str">
        <f t="shared" si="1756"/>
        <v>#ERROR!</v>
      </c>
      <c r="EP299" s="372" t="str">
        <f t="shared" si="1756"/>
        <v>#ERROR!</v>
      </c>
      <c r="EQ299" s="372" t="str">
        <f t="shared" si="1756"/>
        <v>#ERROR!</v>
      </c>
      <c r="ER299" s="37" t="str">
        <f t="shared" si="1756"/>
        <v>#ERROR!</v>
      </c>
      <c r="ES299" s="372" t="str">
        <f t="shared" si="1756"/>
        <v>#ERROR!</v>
      </c>
      <c r="ET299" s="372" t="str">
        <f t="shared" si="1756"/>
        <v>#ERROR!</v>
      </c>
      <c r="EU299" s="372" t="str">
        <f t="shared" si="1756"/>
        <v>#ERROR!</v>
      </c>
      <c r="EV299" s="372" t="str">
        <f t="shared" si="1756"/>
        <v>#ERROR!</v>
      </c>
      <c r="EW299" s="37" t="str">
        <f t="shared" si="1756"/>
        <v>#ERROR!</v>
      </c>
      <c r="EX299" s="372" t="str">
        <f t="shared" si="1756"/>
        <v>#ERROR!</v>
      </c>
      <c r="EY299" s="372" t="str">
        <f t="shared" si="1756"/>
        <v>#ERROR!</v>
      </c>
      <c r="EZ299" s="372" t="str">
        <f t="shared" si="1756"/>
        <v>#ERROR!</v>
      </c>
      <c r="FA299" s="372" t="str">
        <f t="shared" si="1756"/>
        <v>#ERROR!</v>
      </c>
      <c r="FB299" s="37" t="str">
        <f t="shared" si="1756"/>
        <v>#ERROR!</v>
      </c>
      <c r="FC299" s="372" t="str">
        <f t="shared" si="1756"/>
        <v>#ERROR!</v>
      </c>
      <c r="FD299" s="372" t="str">
        <f t="shared" si="1756"/>
        <v>#ERROR!</v>
      </c>
      <c r="FE299" s="372" t="str">
        <f t="shared" si="1756"/>
        <v>#ERROR!</v>
      </c>
      <c r="FF299" s="372" t="str">
        <f t="shared" si="1756"/>
        <v>#ERROR!</v>
      </c>
      <c r="FG299" s="37" t="str">
        <f t="shared" si="1756"/>
        <v>#ERROR!</v>
      </c>
      <c r="FH299" s="35"/>
      <c r="FI299" s="17"/>
      <c r="FJ299" s="17"/>
      <c r="FK299" s="73"/>
      <c r="FL299" s="17"/>
    </row>
    <row r="300" ht="12.75" hidden="1" customHeight="1" outlineLevel="1">
      <c r="A300" s="421"/>
      <c r="B300" s="452" t="s">
        <v>202</v>
      </c>
      <c r="C300" s="45"/>
      <c r="D300" s="17"/>
      <c r="E300" s="17"/>
      <c r="F300" s="17"/>
      <c r="G300" s="17"/>
      <c r="H300" s="73"/>
      <c r="I300" s="17"/>
      <c r="J300" s="17"/>
      <c r="K300" s="17"/>
      <c r="L300" s="17"/>
      <c r="M300" s="73"/>
      <c r="N300" s="17"/>
      <c r="O300" s="17"/>
      <c r="P300" s="17"/>
      <c r="Q300" s="17"/>
      <c r="R300" s="73"/>
      <c r="S300" s="17"/>
      <c r="T300" s="17"/>
      <c r="U300" s="17"/>
      <c r="V300" s="17"/>
      <c r="W300" s="73"/>
      <c r="X300" s="17"/>
      <c r="Y300" s="17"/>
      <c r="Z300" s="17"/>
      <c r="AA300" s="17"/>
      <c r="AB300" s="73"/>
      <c r="AC300" s="17"/>
      <c r="AD300" s="17"/>
      <c r="AE300" s="17"/>
      <c r="AF300" s="17"/>
      <c r="AG300" s="73"/>
      <c r="AH300" s="17"/>
      <c r="AI300" s="17"/>
      <c r="AJ300" s="17"/>
      <c r="AK300" s="17"/>
      <c r="AL300" s="73"/>
      <c r="AM300" s="17"/>
      <c r="AN300" s="17"/>
      <c r="AO300" s="17"/>
      <c r="AP300" s="17"/>
      <c r="AQ300" s="73"/>
      <c r="AR300" s="17"/>
      <c r="AS300" s="17"/>
      <c r="AT300" s="17"/>
      <c r="AU300" s="17"/>
      <c r="AV300" s="73"/>
      <c r="AW300" s="17"/>
      <c r="AX300" s="17"/>
      <c r="AY300" s="17"/>
      <c r="AZ300" s="17"/>
      <c r="BA300" s="73"/>
      <c r="BB300" s="17"/>
      <c r="BC300" s="17"/>
      <c r="BD300" s="17"/>
      <c r="BE300" s="17"/>
      <c r="BF300" s="73"/>
      <c r="BG300" s="17"/>
      <c r="BH300" s="17"/>
      <c r="BI300" s="17"/>
      <c r="BJ300" s="17"/>
      <c r="BK300" s="73"/>
      <c r="BL300" s="17"/>
      <c r="BM300" s="17"/>
      <c r="BN300" s="17"/>
      <c r="BO300" s="17"/>
      <c r="BP300" s="73"/>
      <c r="BQ300" s="17"/>
      <c r="BR300" s="17"/>
      <c r="BS300" s="17"/>
      <c r="BT300" s="17"/>
      <c r="BU300" s="73"/>
      <c r="BV300" s="17"/>
      <c r="BW300" s="17"/>
      <c r="BX300" s="17"/>
      <c r="BY300" s="17"/>
      <c r="BZ300" s="18"/>
      <c r="CA300" s="17"/>
      <c r="CB300" s="17"/>
      <c r="CC300" s="17"/>
      <c r="CD300" s="17"/>
      <c r="CE300" s="18"/>
      <c r="CF300" s="17"/>
      <c r="CG300" s="17"/>
      <c r="CH300" s="17"/>
      <c r="CI300" s="17"/>
      <c r="CJ300" s="18"/>
      <c r="CK300" s="17"/>
      <c r="CL300" s="17"/>
      <c r="CM300" s="17"/>
      <c r="CN300" s="17"/>
      <c r="CO300" s="18"/>
      <c r="CP300" s="439"/>
      <c r="CQ300" s="439"/>
      <c r="CR300" s="439"/>
      <c r="CS300" s="439"/>
      <c r="CT300" s="37"/>
      <c r="CU300" s="439"/>
      <c r="CV300" s="40" t="str">
        <f>(CU301+CV301)/(CR301+CS301)-1</f>
        <v>#ERROR!</v>
      </c>
      <c r="CW300" s="40"/>
      <c r="CX300" s="40" t="str">
        <f>(CW301+CX301)/(CU301+CV301)-1</f>
        <v>#ERROR!</v>
      </c>
      <c r="CY300" s="37"/>
      <c r="CZ300" s="40"/>
      <c r="DA300" s="40" t="str">
        <f>(CZ301+DA301)/(CW301+CX301)-1</f>
        <v>#ERROR!</v>
      </c>
      <c r="DB300" s="40"/>
      <c r="DC300" s="40" t="str">
        <f>(DB301+DC301)/(CZ301+DA301)-1</f>
        <v>#ERROR!</v>
      </c>
      <c r="DD300" s="37"/>
      <c r="DE300" s="372"/>
      <c r="DF300" s="40" t="str">
        <f>(DE301+DF301)/(DB301+DC301)-1</f>
        <v>#ERROR!</v>
      </c>
      <c r="DG300" s="40"/>
      <c r="DH300" s="40" t="str">
        <f>(DG301+DH301)/(DE301+DF301)-1</f>
        <v>#ERROR!</v>
      </c>
      <c r="DI300" s="37"/>
      <c r="DJ300" s="85"/>
      <c r="DK300" s="40" t="str">
        <f>(DJ301+DK301)/(DG301+DH301)-1</f>
        <v>#ERROR!</v>
      </c>
      <c r="DL300" s="85"/>
      <c r="DM300" s="40" t="str">
        <f>(DL301+DM301)/(DJ301+DK301)-1</f>
        <v>#ERROR!</v>
      </c>
      <c r="DN300" s="37"/>
      <c r="DO300" s="85"/>
      <c r="DP300" s="85" t="str">
        <f>(DO301+DP301)/(DL301+DM301)-1</f>
        <v>#ERROR!</v>
      </c>
      <c r="DQ300" s="85"/>
      <c r="DR300" s="85" t="str">
        <f>(DQ301+DR301)/(DO301+DP301)-1</f>
        <v>#ERROR!</v>
      </c>
      <c r="DS300" s="37"/>
      <c r="DT300" s="85"/>
      <c r="DU300" s="85"/>
      <c r="DV300" s="85"/>
      <c r="DW300" s="85"/>
      <c r="DX300" s="37"/>
      <c r="DY300" s="85"/>
      <c r="DZ300" s="85"/>
      <c r="EA300" s="85"/>
      <c r="EB300" s="85"/>
      <c r="EC300" s="37"/>
      <c r="ED300" s="85"/>
      <c r="EE300" s="85"/>
      <c r="EF300" s="85"/>
      <c r="EG300" s="85"/>
      <c r="EH300" s="37"/>
      <c r="EI300" s="362"/>
      <c r="EJ300" s="372"/>
      <c r="EK300" s="372"/>
      <c r="EL300" s="372"/>
      <c r="EM300" s="37"/>
      <c r="EN300" s="372"/>
      <c r="EO300" s="372"/>
      <c r="EP300" s="372"/>
      <c r="EQ300" s="372"/>
      <c r="ER300" s="37"/>
      <c r="ES300" s="372"/>
      <c r="ET300" s="372"/>
      <c r="EU300" s="372"/>
      <c r="EV300" s="372"/>
      <c r="EW300" s="37"/>
      <c r="EX300" s="372"/>
      <c r="EY300" s="372"/>
      <c r="EZ300" s="372"/>
      <c r="FA300" s="372"/>
      <c r="FB300" s="37"/>
      <c r="FC300" s="372"/>
      <c r="FD300" s="372"/>
      <c r="FE300" s="372"/>
      <c r="FF300" s="372"/>
      <c r="FG300" s="37"/>
      <c r="FH300" s="35"/>
      <c r="FI300" s="17"/>
      <c r="FJ300" s="17"/>
      <c r="FK300" s="73"/>
      <c r="FL300" s="17"/>
    </row>
    <row r="301" ht="12.75" hidden="1" customHeight="1" outlineLevel="1">
      <c r="A301" s="421"/>
      <c r="B301" s="453" t="s">
        <v>198</v>
      </c>
      <c r="C301" s="45"/>
      <c r="D301" s="17"/>
      <c r="E301" s="17"/>
      <c r="F301" s="17"/>
      <c r="G301" s="17"/>
      <c r="H301" s="73"/>
      <c r="I301" s="17"/>
      <c r="J301" s="17"/>
      <c r="K301" s="17"/>
      <c r="L301" s="17"/>
      <c r="M301" s="73"/>
      <c r="N301" s="17"/>
      <c r="O301" s="17"/>
      <c r="P301" s="17"/>
      <c r="Q301" s="17"/>
      <c r="R301" s="73"/>
      <c r="S301" s="17"/>
      <c r="T301" s="17"/>
      <c r="U301" s="17"/>
      <c r="V301" s="17"/>
      <c r="W301" s="73"/>
      <c r="X301" s="17"/>
      <c r="Y301" s="17"/>
      <c r="Z301" s="17"/>
      <c r="AA301" s="17"/>
      <c r="AB301" s="73"/>
      <c r="AC301" s="17"/>
      <c r="AD301" s="17"/>
      <c r="AE301" s="17"/>
      <c r="AF301" s="17"/>
      <c r="AG301" s="73"/>
      <c r="AH301" s="17"/>
      <c r="AI301" s="17"/>
      <c r="AJ301" s="17"/>
      <c r="AK301" s="17"/>
      <c r="AL301" s="73"/>
      <c r="AM301" s="17"/>
      <c r="AN301" s="17"/>
      <c r="AO301" s="17"/>
      <c r="AP301" s="17"/>
      <c r="AQ301" s="73"/>
      <c r="AR301" s="17"/>
      <c r="AS301" s="17"/>
      <c r="AT301" s="17"/>
      <c r="AU301" s="17"/>
      <c r="AV301" s="73"/>
      <c r="AW301" s="17"/>
      <c r="AX301" s="17"/>
      <c r="AY301" s="17"/>
      <c r="AZ301" s="17"/>
      <c r="BA301" s="73"/>
      <c r="BB301" s="17"/>
      <c r="BC301" s="17"/>
      <c r="BD301" s="17"/>
      <c r="BE301" s="17"/>
      <c r="BF301" s="73"/>
      <c r="BG301" s="17"/>
      <c r="BH301" s="17"/>
      <c r="BI301" s="17"/>
      <c r="BJ301" s="17"/>
      <c r="BK301" s="73"/>
      <c r="BL301" s="17"/>
      <c r="BM301" s="17"/>
      <c r="BN301" s="17"/>
      <c r="BO301" s="17"/>
      <c r="BP301" s="73"/>
      <c r="BQ301" s="17"/>
      <c r="BR301" s="17"/>
      <c r="BS301" s="17"/>
      <c r="BT301" s="17"/>
      <c r="BU301" s="73"/>
      <c r="BV301" s="17"/>
      <c r="BW301" s="17"/>
      <c r="BX301" s="17"/>
      <c r="BY301" s="17"/>
      <c r="BZ301" s="18"/>
      <c r="CA301" s="17"/>
      <c r="CB301" s="17"/>
      <c r="CC301" s="17"/>
      <c r="CD301" s="17"/>
      <c r="CE301" s="18"/>
      <c r="CF301" s="17"/>
      <c r="CG301" s="17"/>
      <c r="CH301" s="17"/>
      <c r="CI301" s="17"/>
      <c r="CJ301" s="18"/>
      <c r="CK301" s="17"/>
      <c r="CL301" s="17"/>
      <c r="CM301" s="17"/>
      <c r="CN301" s="17"/>
      <c r="CO301" s="18"/>
      <c r="CP301" s="17" t="str">
        <f t="shared" ref="CP301:CS301" si="1757">CP289+CP276</f>
        <v>#ERROR!</v>
      </c>
      <c r="CQ301" s="17" t="str">
        <f t="shared" si="1757"/>
        <v>#ERROR!</v>
      </c>
      <c r="CR301" s="17" t="str">
        <f t="shared" si="1757"/>
        <v>#ERROR!</v>
      </c>
      <c r="CS301" s="17" t="str">
        <f t="shared" si="1757"/>
        <v>#ERROR!</v>
      </c>
      <c r="CT301" s="18" t="str">
        <f>SUM(CP301:CS301)</f>
        <v>#ERROR!</v>
      </c>
      <c r="CU301" s="17" t="str">
        <f t="shared" ref="CU301:CX301" si="1758">CU289+CU276</f>
        <v>#ERROR!</v>
      </c>
      <c r="CV301" s="17" t="str">
        <f t="shared" si="1758"/>
        <v>#ERROR!</v>
      </c>
      <c r="CW301" s="17" t="str">
        <f t="shared" si="1758"/>
        <v>#ERROR!</v>
      </c>
      <c r="CX301" s="17" t="str">
        <f t="shared" si="1758"/>
        <v>#ERROR!</v>
      </c>
      <c r="CY301" s="18" t="str">
        <f>SUM(CU301:CX301)</f>
        <v>#ERROR!</v>
      </c>
      <c r="CZ301" s="17" t="str">
        <f t="shared" ref="CZ301:DC301" si="1759">CZ289+CZ276</f>
        <v>#ERROR!</v>
      </c>
      <c r="DA301" s="17" t="str">
        <f t="shared" si="1759"/>
        <v>#ERROR!</v>
      </c>
      <c r="DB301" s="17" t="str">
        <f t="shared" si="1759"/>
        <v>#ERROR!</v>
      </c>
      <c r="DC301" s="17" t="str">
        <f t="shared" si="1759"/>
        <v>#ERROR!</v>
      </c>
      <c r="DD301" s="18" t="str">
        <f>SUM(CZ301:DC301)</f>
        <v>#ERROR!</v>
      </c>
      <c r="DE301" s="17" t="str">
        <f t="shared" ref="DE301:DH301" si="1760">DE289+DE276</f>
        <v>#ERROR!</v>
      </c>
      <c r="DF301" s="17" t="str">
        <f t="shared" si="1760"/>
        <v>#ERROR!</v>
      </c>
      <c r="DG301" s="19" t="str">
        <f t="shared" si="1760"/>
        <v>#ERROR!</v>
      </c>
      <c r="DH301" s="17" t="str">
        <f t="shared" si="1760"/>
        <v>#ERROR!</v>
      </c>
      <c r="DI301" s="18" t="str">
        <f>SUM(DE301:DH301)</f>
        <v>#ERROR!</v>
      </c>
      <c r="DJ301" s="19" t="str">
        <f t="shared" ref="DJ301:DM301" si="1761">DJ289+DJ276</f>
        <v>#ERROR!</v>
      </c>
      <c r="DK301" s="19" t="str">
        <f t="shared" si="1761"/>
        <v>#ERROR!</v>
      </c>
      <c r="DL301" s="19" t="str">
        <f t="shared" si="1761"/>
        <v>#ERROR!</v>
      </c>
      <c r="DM301" s="19" t="str">
        <f t="shared" si="1761"/>
        <v>#ERROR!</v>
      </c>
      <c r="DN301" s="18" t="str">
        <f>SUM(DJ301:DM301)</f>
        <v>#ERROR!</v>
      </c>
      <c r="DO301" s="19" t="str">
        <f t="shared" ref="DO301:DR301" si="1762">DO289+DO276</f>
        <v>#ERROR!</v>
      </c>
      <c r="DP301" s="19" t="str">
        <f t="shared" si="1762"/>
        <v>#ERROR!</v>
      </c>
      <c r="DQ301" s="19" t="str">
        <f t="shared" si="1762"/>
        <v>#ERROR!</v>
      </c>
      <c r="DR301" s="19" t="str">
        <f t="shared" si="1762"/>
        <v>#ERROR!</v>
      </c>
      <c r="DS301" s="18" t="str">
        <f>SUM(DO301:DR301)</f>
        <v>#ERROR!</v>
      </c>
      <c r="DT301" s="19" t="str">
        <f t="shared" ref="DT301:DW301" si="1763">DT289+DT276</f>
        <v>#ERROR!</v>
      </c>
      <c r="DU301" s="19" t="str">
        <f t="shared" si="1763"/>
        <v>#ERROR!</v>
      </c>
      <c r="DV301" s="19" t="str">
        <f t="shared" si="1763"/>
        <v>#ERROR!</v>
      </c>
      <c r="DW301" s="19" t="str">
        <f t="shared" si="1763"/>
        <v>#ERROR!</v>
      </c>
      <c r="DX301" s="18" t="str">
        <f>SUM(DT301:DW301)</f>
        <v>#ERROR!</v>
      </c>
      <c r="DY301" s="19" t="str">
        <f t="shared" ref="DY301:EB301" si="1764">DY289+DY276</f>
        <v>#ERROR!</v>
      </c>
      <c r="DZ301" s="19" t="str">
        <f t="shared" si="1764"/>
        <v>#ERROR!</v>
      </c>
      <c r="EA301" s="19" t="str">
        <f t="shared" si="1764"/>
        <v>#ERROR!</v>
      </c>
      <c r="EB301" s="19" t="str">
        <f t="shared" si="1764"/>
        <v>#ERROR!</v>
      </c>
      <c r="EC301" s="18" t="str">
        <f>SUM(DY301:EB301)</f>
        <v>#ERROR!</v>
      </c>
      <c r="ED301" s="19" t="str">
        <f t="shared" ref="ED301:EG301" si="1765">ED289+ED276</f>
        <v>#ERROR!</v>
      </c>
      <c r="EE301" s="19" t="str">
        <f t="shared" si="1765"/>
        <v>#ERROR!</v>
      </c>
      <c r="EF301" s="19" t="str">
        <f t="shared" si="1765"/>
        <v>#ERROR!</v>
      </c>
      <c r="EG301" s="19" t="str">
        <f t="shared" si="1765"/>
        <v>#ERROR!</v>
      </c>
      <c r="EH301" s="18" t="str">
        <f>SUM(ED301:EG301)</f>
        <v>#ERROR!</v>
      </c>
      <c r="EI301" s="25" t="str">
        <f t="shared" ref="EI301:EL301" si="1766">EI289+EI276</f>
        <v>#ERROR!</v>
      </c>
      <c r="EJ301" s="17" t="str">
        <f t="shared" si="1766"/>
        <v>#ERROR!</v>
      </c>
      <c r="EK301" s="17" t="str">
        <f t="shared" si="1766"/>
        <v>#ERROR!</v>
      </c>
      <c r="EL301" s="17" t="str">
        <f t="shared" si="1766"/>
        <v>#ERROR!</v>
      </c>
      <c r="EM301" s="18" t="str">
        <f>SUM(EI301:EL301)</f>
        <v>#ERROR!</v>
      </c>
      <c r="EN301" s="17" t="str">
        <f t="shared" ref="EN301:EQ301" si="1767">EN289+EN276</f>
        <v>#ERROR!</v>
      </c>
      <c r="EO301" s="17" t="str">
        <f t="shared" si="1767"/>
        <v>#ERROR!</v>
      </c>
      <c r="EP301" s="17" t="str">
        <f t="shared" si="1767"/>
        <v>#ERROR!</v>
      </c>
      <c r="EQ301" s="17" t="str">
        <f t="shared" si="1767"/>
        <v>#ERROR!</v>
      </c>
      <c r="ER301" s="18" t="str">
        <f>SUM(EN301:EQ301)</f>
        <v>#ERROR!</v>
      </c>
      <c r="ES301" s="17" t="str">
        <f t="shared" ref="ES301:EV301" si="1768">ES289+ES276</f>
        <v>#ERROR!</v>
      </c>
      <c r="ET301" s="17" t="str">
        <f t="shared" si="1768"/>
        <v>#ERROR!</v>
      </c>
      <c r="EU301" s="17" t="str">
        <f t="shared" si="1768"/>
        <v>#ERROR!</v>
      </c>
      <c r="EV301" s="17" t="str">
        <f t="shared" si="1768"/>
        <v>#ERROR!</v>
      </c>
      <c r="EW301" s="18" t="str">
        <f>SUM(ES301:EV301)</f>
        <v>#ERROR!</v>
      </c>
      <c r="EX301" s="17" t="str">
        <f t="shared" ref="EX301:FA301" si="1769">EX289+EX276</f>
        <v>#ERROR!</v>
      </c>
      <c r="EY301" s="17" t="str">
        <f t="shared" si="1769"/>
        <v>#ERROR!</v>
      </c>
      <c r="EZ301" s="17" t="str">
        <f t="shared" si="1769"/>
        <v>#ERROR!</v>
      </c>
      <c r="FA301" s="17" t="str">
        <f t="shared" si="1769"/>
        <v>#ERROR!</v>
      </c>
      <c r="FB301" s="18" t="str">
        <f>SUM(EX301:FA301)</f>
        <v>#ERROR!</v>
      </c>
      <c r="FC301" s="17" t="str">
        <f t="shared" ref="FC301:FF301" si="1770">FC289+FC276</f>
        <v>#ERROR!</v>
      </c>
      <c r="FD301" s="17" t="str">
        <f t="shared" si="1770"/>
        <v>#ERROR!</v>
      </c>
      <c r="FE301" s="17" t="str">
        <f t="shared" si="1770"/>
        <v>#ERROR!</v>
      </c>
      <c r="FF301" s="17" t="str">
        <f t="shared" si="1770"/>
        <v>#ERROR!</v>
      </c>
      <c r="FG301" s="18" t="str">
        <f>SUM(FC301:FF301)</f>
        <v>#ERROR!</v>
      </c>
      <c r="FH301" s="74"/>
      <c r="FI301" s="17"/>
      <c r="FJ301" s="17"/>
      <c r="FK301" s="73"/>
      <c r="FL301" s="17"/>
    </row>
    <row r="302" ht="12.75" hidden="1" customHeight="1" outlineLevel="1">
      <c r="A302" s="421"/>
      <c r="B302" s="72" t="s">
        <v>150</v>
      </c>
      <c r="C302" s="45"/>
      <c r="D302" s="17"/>
      <c r="E302" s="17"/>
      <c r="F302" s="17"/>
      <c r="G302" s="17"/>
      <c r="H302" s="73"/>
      <c r="I302" s="17"/>
      <c r="J302" s="17"/>
      <c r="K302" s="17"/>
      <c r="L302" s="17"/>
      <c r="M302" s="73"/>
      <c r="N302" s="17"/>
      <c r="O302" s="17"/>
      <c r="P302" s="17"/>
      <c r="Q302" s="17"/>
      <c r="R302" s="73"/>
      <c r="S302" s="17"/>
      <c r="T302" s="17"/>
      <c r="U302" s="17"/>
      <c r="V302" s="17"/>
      <c r="W302" s="73"/>
      <c r="X302" s="17"/>
      <c r="Y302" s="17"/>
      <c r="Z302" s="17"/>
      <c r="AA302" s="17"/>
      <c r="AB302" s="73"/>
      <c r="AC302" s="17"/>
      <c r="AD302" s="17"/>
      <c r="AE302" s="17"/>
      <c r="AF302" s="17"/>
      <c r="AG302" s="73"/>
      <c r="AH302" s="17"/>
      <c r="AI302" s="17"/>
      <c r="AJ302" s="17"/>
      <c r="AK302" s="17"/>
      <c r="AL302" s="73"/>
      <c r="AM302" s="17"/>
      <c r="AN302" s="17"/>
      <c r="AO302" s="17"/>
      <c r="AP302" s="17"/>
      <c r="AQ302" s="73"/>
      <c r="AR302" s="17"/>
      <c r="AS302" s="17"/>
      <c r="AT302" s="17"/>
      <c r="AU302" s="17"/>
      <c r="AV302" s="73"/>
      <c r="AW302" s="17"/>
      <c r="AX302" s="17"/>
      <c r="AY302" s="17"/>
      <c r="AZ302" s="17"/>
      <c r="BA302" s="73"/>
      <c r="BB302" s="17"/>
      <c r="BC302" s="17"/>
      <c r="BD302" s="17"/>
      <c r="BE302" s="17"/>
      <c r="BF302" s="73"/>
      <c r="BG302" s="17"/>
      <c r="BH302" s="17"/>
      <c r="BI302" s="17"/>
      <c r="BJ302" s="17"/>
      <c r="BK302" s="73"/>
      <c r="BL302" s="17"/>
      <c r="BM302" s="17"/>
      <c r="BN302" s="17"/>
      <c r="BO302" s="17"/>
      <c r="BP302" s="73"/>
      <c r="BQ302" s="17"/>
      <c r="BR302" s="17"/>
      <c r="BS302" s="17"/>
      <c r="BT302" s="17"/>
      <c r="BU302" s="73"/>
      <c r="BV302" s="17"/>
      <c r="BW302" s="17"/>
      <c r="BX302" s="17"/>
      <c r="BY302" s="17"/>
      <c r="BZ302" s="18"/>
      <c r="CA302" s="17"/>
      <c r="CB302" s="17"/>
      <c r="CC302" s="17"/>
      <c r="CD302" s="17"/>
      <c r="CE302" s="18"/>
      <c r="CF302" s="17"/>
      <c r="CG302" s="17"/>
      <c r="CH302" s="17"/>
      <c r="CI302" s="17"/>
      <c r="CJ302" s="18"/>
      <c r="CK302" s="17"/>
      <c r="CL302" s="17"/>
      <c r="CM302" s="17"/>
      <c r="CN302" s="17"/>
      <c r="CO302" s="18"/>
      <c r="CP302" s="4" t="str">
        <f>(CP301-CN301)/CN301</f>
        <v>#ERROR!</v>
      </c>
      <c r="CQ302" s="4" t="str">
        <f t="shared" ref="CQ302:CS302" si="1771">(CQ301-CP301)/CP301</f>
        <v>#ERROR!</v>
      </c>
      <c r="CR302" s="4" t="str">
        <f t="shared" si="1771"/>
        <v>#ERROR!</v>
      </c>
      <c r="CS302" s="4" t="str">
        <f t="shared" si="1771"/>
        <v>#ERROR!</v>
      </c>
      <c r="CT302" s="18"/>
      <c r="CU302" s="4" t="str">
        <f>(CU301-CS301)/CS301</f>
        <v>#ERROR!</v>
      </c>
      <c r="CV302" s="4" t="str">
        <f t="shared" ref="CV302:CX302" si="1772">(CV301-CU301)/CU301</f>
        <v>#ERROR!</v>
      </c>
      <c r="CW302" s="4" t="str">
        <f t="shared" si="1772"/>
        <v>#ERROR!</v>
      </c>
      <c r="CX302" s="4" t="str">
        <f t="shared" si="1772"/>
        <v>#ERROR!</v>
      </c>
      <c r="CY302" s="18"/>
      <c r="CZ302" s="4" t="str">
        <f>(CZ301-CX301)/CX301</f>
        <v>#ERROR!</v>
      </c>
      <c r="DA302" s="4" t="str">
        <f t="shared" ref="DA302:DC302" si="1773">(DA301-CZ301)/CZ301</f>
        <v>#ERROR!</v>
      </c>
      <c r="DB302" s="4" t="str">
        <f t="shared" si="1773"/>
        <v>#ERROR!</v>
      </c>
      <c r="DC302" s="4" t="str">
        <f t="shared" si="1773"/>
        <v>#ERROR!</v>
      </c>
      <c r="DD302" s="18"/>
      <c r="DE302" s="4" t="str">
        <f>(DE301-DC301)/DC301</f>
        <v>#ERROR!</v>
      </c>
      <c r="DF302" s="16" t="str">
        <f t="shared" ref="DF302:DH302" si="1774">(DF301-DE301)/DE301</f>
        <v>#ERROR!</v>
      </c>
      <c r="DG302" s="16" t="str">
        <f t="shared" si="1774"/>
        <v>#ERROR!</v>
      </c>
      <c r="DH302" s="4" t="str">
        <f t="shared" si="1774"/>
        <v>#ERROR!</v>
      </c>
      <c r="DI302" s="18"/>
      <c r="DJ302" s="327" t="str">
        <f>(DJ301-DH301)/DH301</f>
        <v>#ERROR!</v>
      </c>
      <c r="DK302" s="327" t="str">
        <f t="shared" ref="DK302:DM302" si="1775">(DK301-DJ301)/DJ301</f>
        <v>#ERROR!</v>
      </c>
      <c r="DL302" s="327" t="str">
        <f t="shared" si="1775"/>
        <v>#ERROR!</v>
      </c>
      <c r="DM302" s="327" t="str">
        <f t="shared" si="1775"/>
        <v>#ERROR!</v>
      </c>
      <c r="DN302" s="310"/>
      <c r="DO302" s="327" t="str">
        <f>(DO301-DM301)/DM301</f>
        <v>#ERROR!</v>
      </c>
      <c r="DP302" s="327" t="str">
        <f t="shared" ref="DP302:DR302" si="1776">(DP301-DO301)/DO301</f>
        <v>#ERROR!</v>
      </c>
      <c r="DQ302" s="327" t="str">
        <f t="shared" si="1776"/>
        <v>#ERROR!</v>
      </c>
      <c r="DR302" s="327" t="str">
        <f t="shared" si="1776"/>
        <v>#ERROR!</v>
      </c>
      <c r="DS302" s="310"/>
      <c r="DT302" s="327" t="str">
        <f>(DT301-DR301)/DR301</f>
        <v>#ERROR!</v>
      </c>
      <c r="DU302" s="327" t="str">
        <f t="shared" ref="DU302:DW302" si="1777">(DU301-DT301)/DT301</f>
        <v>#ERROR!</v>
      </c>
      <c r="DV302" s="327" t="str">
        <f t="shared" si="1777"/>
        <v>#ERROR!</v>
      </c>
      <c r="DW302" s="327" t="str">
        <f t="shared" si="1777"/>
        <v>#ERROR!</v>
      </c>
      <c r="DX302" s="310"/>
      <c r="DY302" s="327" t="str">
        <f>(DY301-DW301)/DW301</f>
        <v>#ERROR!</v>
      </c>
      <c r="DZ302" s="327" t="str">
        <f t="shared" ref="DZ302:EB302" si="1778">(DZ301-DY301)/DY301</f>
        <v>#ERROR!</v>
      </c>
      <c r="EA302" s="327" t="str">
        <f t="shared" si="1778"/>
        <v>#ERROR!</v>
      </c>
      <c r="EB302" s="327" t="str">
        <f t="shared" si="1778"/>
        <v>#ERROR!</v>
      </c>
      <c r="EC302" s="310"/>
      <c r="ED302" s="327" t="str">
        <f>(ED301-EB301)/EB301</f>
        <v>#ERROR!</v>
      </c>
      <c r="EE302" s="327" t="str">
        <f t="shared" ref="EE302:EG302" si="1779">(EE301-ED301)/ED301</f>
        <v>#ERROR!</v>
      </c>
      <c r="EF302" s="327" t="str">
        <f t="shared" si="1779"/>
        <v>#ERROR!</v>
      </c>
      <c r="EG302" s="327" t="str">
        <f t="shared" si="1779"/>
        <v>#ERROR!</v>
      </c>
      <c r="EH302" s="310"/>
      <c r="EI302" s="361" t="s">
        <v>203</v>
      </c>
      <c r="EJ302" s="327" t="str">
        <f t="shared" ref="EJ302:EL302" si="1780">(EJ301-EI301)/EI301</f>
        <v>#ERROR!</v>
      </c>
      <c r="EK302" s="327" t="str">
        <f t="shared" si="1780"/>
        <v>#ERROR!</v>
      </c>
      <c r="EL302" s="326" t="str">
        <f t="shared" si="1780"/>
        <v>#ERROR!</v>
      </c>
      <c r="EM302" s="310"/>
      <c r="EN302" s="327" t="s">
        <v>203</v>
      </c>
      <c r="EO302" s="327" t="str">
        <f t="shared" ref="EO302:EQ302" si="1781">(EO301-EN301)/EN301</f>
        <v>#ERROR!</v>
      </c>
      <c r="EP302" s="327" t="str">
        <f t="shared" si="1781"/>
        <v>#ERROR!</v>
      </c>
      <c r="EQ302" s="326" t="str">
        <f t="shared" si="1781"/>
        <v>#ERROR!</v>
      </c>
      <c r="ER302" s="310"/>
      <c r="ES302" s="327" t="s">
        <v>203</v>
      </c>
      <c r="ET302" s="327" t="str">
        <f t="shared" ref="ET302:EV302" si="1782">(ET301-ES301)/ES301</f>
        <v>#ERROR!</v>
      </c>
      <c r="EU302" s="327" t="str">
        <f t="shared" si="1782"/>
        <v>#ERROR!</v>
      </c>
      <c r="EV302" s="326" t="str">
        <f t="shared" si="1782"/>
        <v>#ERROR!</v>
      </c>
      <c r="EW302" s="310"/>
      <c r="EX302" s="327" t="s">
        <v>203</v>
      </c>
      <c r="EY302" s="327" t="str">
        <f t="shared" ref="EY302:FA302" si="1783">(EY301-EX301)/EX301</f>
        <v>#ERROR!</v>
      </c>
      <c r="EZ302" s="327" t="str">
        <f t="shared" si="1783"/>
        <v>#ERROR!</v>
      </c>
      <c r="FA302" s="326" t="str">
        <f t="shared" si="1783"/>
        <v>#ERROR!</v>
      </c>
      <c r="FB302" s="310"/>
      <c r="FC302" s="327" t="s">
        <v>203</v>
      </c>
      <c r="FD302" s="327" t="str">
        <f t="shared" ref="FD302:FF302" si="1784">(FD301-FC301)/FC301</f>
        <v>#ERROR!</v>
      </c>
      <c r="FE302" s="327" t="str">
        <f t="shared" si="1784"/>
        <v>#ERROR!</v>
      </c>
      <c r="FF302" s="326" t="str">
        <f t="shared" si="1784"/>
        <v>#ERROR!</v>
      </c>
      <c r="FG302" s="310"/>
      <c r="FH302" s="454"/>
      <c r="FI302" s="17"/>
      <c r="FJ302" s="17"/>
      <c r="FK302" s="73"/>
      <c r="FL302" s="17"/>
    </row>
    <row r="303" ht="12.75" hidden="1" customHeight="1" outlineLevel="1">
      <c r="A303" s="421"/>
      <c r="B303" s="72" t="s">
        <v>146</v>
      </c>
      <c r="C303" s="45"/>
      <c r="D303" s="17"/>
      <c r="E303" s="17"/>
      <c r="F303" s="17"/>
      <c r="G303" s="17"/>
      <c r="H303" s="73"/>
      <c r="I303" s="17"/>
      <c r="J303" s="17"/>
      <c r="K303" s="17"/>
      <c r="L303" s="17"/>
      <c r="M303" s="73"/>
      <c r="N303" s="17"/>
      <c r="O303" s="17"/>
      <c r="P303" s="17"/>
      <c r="Q303" s="17"/>
      <c r="R303" s="73"/>
      <c r="S303" s="17"/>
      <c r="T303" s="17"/>
      <c r="U303" s="17"/>
      <c r="V303" s="17"/>
      <c r="W303" s="73"/>
      <c r="X303" s="17"/>
      <c r="Y303" s="17"/>
      <c r="Z303" s="17"/>
      <c r="AA303" s="17"/>
      <c r="AB303" s="73"/>
      <c r="AC303" s="17"/>
      <c r="AD303" s="17"/>
      <c r="AE303" s="17"/>
      <c r="AF303" s="17"/>
      <c r="AG303" s="73"/>
      <c r="AH303" s="17"/>
      <c r="AI303" s="17"/>
      <c r="AJ303" s="17"/>
      <c r="AK303" s="17"/>
      <c r="AL303" s="73"/>
      <c r="AM303" s="17"/>
      <c r="AN303" s="17"/>
      <c r="AO303" s="17"/>
      <c r="AP303" s="17"/>
      <c r="AQ303" s="73"/>
      <c r="AR303" s="17"/>
      <c r="AS303" s="17"/>
      <c r="AT303" s="17"/>
      <c r="AU303" s="17"/>
      <c r="AV303" s="73"/>
      <c r="AW303" s="17"/>
      <c r="AX303" s="17"/>
      <c r="AY303" s="17"/>
      <c r="AZ303" s="17"/>
      <c r="BA303" s="73"/>
      <c r="BB303" s="17"/>
      <c r="BC303" s="17"/>
      <c r="BD303" s="17"/>
      <c r="BE303" s="17"/>
      <c r="BF303" s="73"/>
      <c r="BG303" s="17"/>
      <c r="BH303" s="17"/>
      <c r="BI303" s="17"/>
      <c r="BJ303" s="17"/>
      <c r="BK303" s="73"/>
      <c r="BL303" s="17"/>
      <c r="BM303" s="17"/>
      <c r="BN303" s="17"/>
      <c r="BO303" s="17"/>
      <c r="BP303" s="73"/>
      <c r="BQ303" s="17"/>
      <c r="BR303" s="17"/>
      <c r="BS303" s="17"/>
      <c r="BT303" s="17"/>
      <c r="BU303" s="73"/>
      <c r="BV303" s="17"/>
      <c r="BW303" s="17"/>
      <c r="BX303" s="17"/>
      <c r="BY303" s="17"/>
      <c r="BZ303" s="18"/>
      <c r="CA303" s="17"/>
      <c r="CB303" s="17"/>
      <c r="CC303" s="17"/>
      <c r="CD303" s="17"/>
      <c r="CE303" s="18"/>
      <c r="CF303" s="17"/>
      <c r="CG303" s="17"/>
      <c r="CH303" s="17"/>
      <c r="CI303" s="17"/>
      <c r="CJ303" s="18"/>
      <c r="CK303" s="17"/>
      <c r="CL303" s="17"/>
      <c r="CM303" s="17"/>
      <c r="CN303" s="17"/>
      <c r="CO303" s="18"/>
      <c r="CP303" s="17"/>
      <c r="CQ303" s="17"/>
      <c r="CR303" s="17"/>
      <c r="CS303" s="17"/>
      <c r="CT303" s="18"/>
      <c r="CU303" s="16" t="str">
        <f>CU301/CP301-1</f>
        <v>#ERROR!</v>
      </c>
      <c r="CV303" s="4" t="str">
        <f t="shared" ref="CV303:CX303" si="1785">(CV301-CQ301)/CQ301</f>
        <v>#ERROR!</v>
      </c>
      <c r="CW303" s="4" t="str">
        <f t="shared" si="1785"/>
        <v>#ERROR!</v>
      </c>
      <c r="CX303" s="4" t="str">
        <f t="shared" si="1785"/>
        <v>#ERROR!</v>
      </c>
      <c r="CY303" s="313" t="str">
        <f t="shared" ref="CY303:CZ303" si="1786">CY301/CT301-1</f>
        <v>#ERROR!</v>
      </c>
      <c r="CZ303" s="16" t="str">
        <f t="shared" si="1786"/>
        <v>#ERROR!</v>
      </c>
      <c r="DA303" s="4" t="str">
        <f t="shared" ref="DA303:DC303" si="1787">(DA301-CV301)/CV301</f>
        <v>#ERROR!</v>
      </c>
      <c r="DB303" s="4" t="str">
        <f t="shared" si="1787"/>
        <v>#ERROR!</v>
      </c>
      <c r="DC303" s="4" t="str">
        <f t="shared" si="1787"/>
        <v>#ERROR!</v>
      </c>
      <c r="DD303" s="313" t="str">
        <f t="shared" ref="DD303:DE303" si="1788">DD301/CY301-1</f>
        <v>#ERROR!</v>
      </c>
      <c r="DE303" s="16" t="str">
        <f t="shared" si="1788"/>
        <v>#ERROR!</v>
      </c>
      <c r="DF303" s="16" t="str">
        <f t="shared" ref="DF303:DH303" si="1789">(DF301-DA301)/DA301</f>
        <v>#ERROR!</v>
      </c>
      <c r="DG303" s="16" t="str">
        <f t="shared" si="1789"/>
        <v>#ERROR!</v>
      </c>
      <c r="DH303" s="4" t="str">
        <f t="shared" si="1789"/>
        <v>#ERROR!</v>
      </c>
      <c r="DI303" s="313" t="str">
        <f t="shared" ref="DI303:DJ303" si="1790">DI301/DD301-1</f>
        <v>#ERROR!</v>
      </c>
      <c r="DJ303" s="327" t="str">
        <f t="shared" si="1790"/>
        <v>#ERROR!</v>
      </c>
      <c r="DK303" s="327" t="str">
        <f t="shared" ref="DK303:DM303" si="1791">(DK301-DF301)/DF301</f>
        <v>#ERROR!</v>
      </c>
      <c r="DL303" s="327" t="str">
        <f t="shared" si="1791"/>
        <v>#ERROR!</v>
      </c>
      <c r="DM303" s="327" t="str">
        <f t="shared" si="1791"/>
        <v>#ERROR!</v>
      </c>
      <c r="DN303" s="429" t="str">
        <f t="shared" ref="DN303:DO303" si="1792">DN301/DI301-1</f>
        <v>#ERROR!</v>
      </c>
      <c r="DO303" s="327" t="str">
        <f t="shared" si="1792"/>
        <v>#ERROR!</v>
      </c>
      <c r="DP303" s="327" t="str">
        <f t="shared" ref="DP303:DR303" si="1793">(DP301-DK301)/DK301</f>
        <v>#ERROR!</v>
      </c>
      <c r="DQ303" s="327" t="str">
        <f t="shared" si="1793"/>
        <v>#ERROR!</v>
      </c>
      <c r="DR303" s="327" t="str">
        <f t="shared" si="1793"/>
        <v>#ERROR!</v>
      </c>
      <c r="DS303" s="429" t="str">
        <f t="shared" ref="DS303:DT303" si="1794">DS301/DN301-1</f>
        <v>#ERROR!</v>
      </c>
      <c r="DT303" s="327" t="str">
        <f t="shared" si="1794"/>
        <v>#ERROR!</v>
      </c>
      <c r="DU303" s="327" t="str">
        <f t="shared" ref="DU303:DW303" si="1795">(DU301-DP301)/DP301</f>
        <v>#ERROR!</v>
      </c>
      <c r="DV303" s="327" t="str">
        <f t="shared" si="1795"/>
        <v>#ERROR!</v>
      </c>
      <c r="DW303" s="327" t="str">
        <f t="shared" si="1795"/>
        <v>#ERROR!</v>
      </c>
      <c r="DX303" s="429" t="str">
        <f t="shared" ref="DX303:DY303" si="1796">DX301/DS301-1</f>
        <v>#ERROR!</v>
      </c>
      <c r="DY303" s="327" t="str">
        <f t="shared" si="1796"/>
        <v>#ERROR!</v>
      </c>
      <c r="DZ303" s="327" t="str">
        <f t="shared" ref="DZ303:EB303" si="1797">(DZ301-DU301)/DU301</f>
        <v>#ERROR!</v>
      </c>
      <c r="EA303" s="327" t="str">
        <f t="shared" si="1797"/>
        <v>#ERROR!</v>
      </c>
      <c r="EB303" s="327" t="str">
        <f t="shared" si="1797"/>
        <v>#ERROR!</v>
      </c>
      <c r="EC303" s="429" t="str">
        <f t="shared" ref="EC303:ED303" si="1798">EC301/DX301-1</f>
        <v>#ERROR!</v>
      </c>
      <c r="ED303" s="327" t="str">
        <f t="shared" si="1798"/>
        <v>#ERROR!</v>
      </c>
      <c r="EE303" s="327" t="str">
        <f t="shared" ref="EE303:EG303" si="1799">(EE301-DZ301)/DZ301</f>
        <v>#ERROR!</v>
      </c>
      <c r="EF303" s="327" t="str">
        <f t="shared" si="1799"/>
        <v>#ERROR!</v>
      </c>
      <c r="EG303" s="327" t="str">
        <f t="shared" si="1799"/>
        <v>#ERROR!</v>
      </c>
      <c r="EH303" s="429" t="str">
        <f t="shared" ref="EH303:EI303" si="1800">EH301/EC301-1</f>
        <v>#ERROR!</v>
      </c>
      <c r="EI303" s="361" t="str">
        <f t="shared" si="1800"/>
        <v>#ERROR!</v>
      </c>
      <c r="EJ303" s="326" t="str">
        <f t="shared" ref="EJ303:EL303" si="1801">(EJ301-EE301)/EE301</f>
        <v>#ERROR!</v>
      </c>
      <c r="EK303" s="326" t="str">
        <f t="shared" si="1801"/>
        <v>#ERROR!</v>
      </c>
      <c r="EL303" s="326" t="str">
        <f t="shared" si="1801"/>
        <v>#ERROR!</v>
      </c>
      <c r="EM303" s="429" t="str">
        <f t="shared" ref="EM303:EN303" si="1802">EM301/EH301-1</f>
        <v>#ERROR!</v>
      </c>
      <c r="EN303" s="326" t="str">
        <f t="shared" si="1802"/>
        <v>#ERROR!</v>
      </c>
      <c r="EO303" s="326" t="str">
        <f t="shared" ref="EO303:EQ303" si="1803">(EO301-EJ301)/EJ301</f>
        <v>#ERROR!</v>
      </c>
      <c r="EP303" s="326" t="str">
        <f t="shared" si="1803"/>
        <v>#ERROR!</v>
      </c>
      <c r="EQ303" s="326" t="str">
        <f t="shared" si="1803"/>
        <v>#ERROR!</v>
      </c>
      <c r="ER303" s="429" t="str">
        <f t="shared" ref="ER303:ES303" si="1804">ER301/EM301-1</f>
        <v>#ERROR!</v>
      </c>
      <c r="ES303" s="326" t="str">
        <f t="shared" si="1804"/>
        <v>#ERROR!</v>
      </c>
      <c r="ET303" s="326" t="str">
        <f t="shared" ref="ET303:EV303" si="1805">(ET301-EO301)/EO301</f>
        <v>#ERROR!</v>
      </c>
      <c r="EU303" s="326" t="str">
        <f t="shared" si="1805"/>
        <v>#ERROR!</v>
      </c>
      <c r="EV303" s="326" t="str">
        <f t="shared" si="1805"/>
        <v>#ERROR!</v>
      </c>
      <c r="EW303" s="429" t="str">
        <f t="shared" ref="EW303:EX303" si="1806">EW301/ER301-1</f>
        <v>#ERROR!</v>
      </c>
      <c r="EX303" s="326" t="str">
        <f t="shared" si="1806"/>
        <v>#ERROR!</v>
      </c>
      <c r="EY303" s="326" t="str">
        <f t="shared" ref="EY303:FA303" si="1807">(EY301-ET301)/ET301</f>
        <v>#ERROR!</v>
      </c>
      <c r="EZ303" s="326" t="str">
        <f t="shared" si="1807"/>
        <v>#ERROR!</v>
      </c>
      <c r="FA303" s="326" t="str">
        <f t="shared" si="1807"/>
        <v>#ERROR!</v>
      </c>
      <c r="FB303" s="429" t="str">
        <f t="shared" ref="FB303:FC303" si="1808">FB301/EW301-1</f>
        <v>#ERROR!</v>
      </c>
      <c r="FC303" s="326" t="str">
        <f t="shared" si="1808"/>
        <v>#ERROR!</v>
      </c>
      <c r="FD303" s="326" t="str">
        <f t="shared" ref="FD303:FF303" si="1809">(FD301-EY301)/EY301</f>
        <v>#ERROR!</v>
      </c>
      <c r="FE303" s="326" t="str">
        <f t="shared" si="1809"/>
        <v>#ERROR!</v>
      </c>
      <c r="FF303" s="326" t="str">
        <f t="shared" si="1809"/>
        <v>#ERROR!</v>
      </c>
      <c r="FG303" s="429" t="str">
        <f>FG301/FB301-1</f>
        <v>#ERROR!</v>
      </c>
      <c r="FH303" s="327"/>
      <c r="FI303" s="17"/>
      <c r="FJ303" s="17"/>
      <c r="FK303" s="73"/>
      <c r="FL303" s="17"/>
    </row>
    <row r="304" ht="12.75" hidden="1" customHeight="1" outlineLevel="1">
      <c r="A304" s="421"/>
      <c r="B304" s="455" t="s">
        <v>151</v>
      </c>
      <c r="C304" s="45"/>
      <c r="D304" s="17"/>
      <c r="E304" s="17"/>
      <c r="F304" s="17"/>
      <c r="G304" s="17"/>
      <c r="H304" s="73"/>
      <c r="I304" s="17"/>
      <c r="J304" s="17"/>
      <c r="K304" s="17"/>
      <c r="L304" s="17"/>
      <c r="M304" s="73"/>
      <c r="N304" s="17"/>
      <c r="O304" s="17"/>
      <c r="P304" s="17"/>
      <c r="Q304" s="17"/>
      <c r="R304" s="73"/>
      <c r="S304" s="17"/>
      <c r="T304" s="17"/>
      <c r="U304" s="17"/>
      <c r="V304" s="17"/>
      <c r="W304" s="73"/>
      <c r="X304" s="17"/>
      <c r="Y304" s="17"/>
      <c r="Z304" s="17"/>
      <c r="AA304" s="17"/>
      <c r="AB304" s="73"/>
      <c r="AC304" s="17"/>
      <c r="AD304" s="17"/>
      <c r="AE304" s="17"/>
      <c r="AF304" s="17"/>
      <c r="AG304" s="73"/>
      <c r="AH304" s="17"/>
      <c r="AI304" s="17"/>
      <c r="AJ304" s="17"/>
      <c r="AK304" s="17"/>
      <c r="AL304" s="73"/>
      <c r="AM304" s="17"/>
      <c r="AN304" s="17"/>
      <c r="AO304" s="17"/>
      <c r="AP304" s="17"/>
      <c r="AQ304" s="73"/>
      <c r="AR304" s="17"/>
      <c r="AS304" s="17"/>
      <c r="AT304" s="17"/>
      <c r="AU304" s="17"/>
      <c r="AV304" s="73"/>
      <c r="AW304" s="17"/>
      <c r="AX304" s="17"/>
      <c r="AY304" s="17"/>
      <c r="AZ304" s="17"/>
      <c r="BA304" s="73"/>
      <c r="BB304" s="17"/>
      <c r="BC304" s="17"/>
      <c r="BD304" s="17"/>
      <c r="BE304" s="17"/>
      <c r="BF304" s="73"/>
      <c r="BG304" s="17"/>
      <c r="BH304" s="17"/>
      <c r="BI304" s="17"/>
      <c r="BJ304" s="17"/>
      <c r="BK304" s="73"/>
      <c r="BL304" s="17"/>
      <c r="BM304" s="17"/>
      <c r="BN304" s="17"/>
      <c r="BO304" s="17"/>
      <c r="BP304" s="73"/>
      <c r="BQ304" s="17"/>
      <c r="BR304" s="17"/>
      <c r="BS304" s="17"/>
      <c r="BT304" s="17"/>
      <c r="BU304" s="73"/>
      <c r="BV304" s="17"/>
      <c r="BW304" s="17"/>
      <c r="BX304" s="17"/>
      <c r="BY304" s="17"/>
      <c r="BZ304" s="18"/>
      <c r="CA304" s="17"/>
      <c r="CB304" s="17"/>
      <c r="CC304" s="17"/>
      <c r="CD304" s="17"/>
      <c r="CE304" s="18"/>
      <c r="CF304" s="17"/>
      <c r="CG304" s="17"/>
      <c r="CH304" s="17"/>
      <c r="CI304" s="17"/>
      <c r="CJ304" s="18"/>
      <c r="CK304" s="17"/>
      <c r="CL304" s="17"/>
      <c r="CM304" s="17"/>
      <c r="CN304" s="17"/>
      <c r="CO304" s="18"/>
      <c r="CP304" s="17"/>
      <c r="CQ304" s="17"/>
      <c r="CR304" s="17"/>
      <c r="CS304" s="17"/>
      <c r="CT304" s="18"/>
      <c r="CU304" s="16"/>
      <c r="CV304" s="4"/>
      <c r="CW304" s="4"/>
      <c r="CX304" s="4"/>
      <c r="CY304" s="313"/>
      <c r="CZ304" s="16"/>
      <c r="DA304" s="4"/>
      <c r="DB304" s="4"/>
      <c r="DC304" s="4"/>
      <c r="DD304" s="313"/>
      <c r="DE304" s="16"/>
      <c r="DF304" s="16"/>
      <c r="DG304" s="16"/>
      <c r="DH304" s="4"/>
      <c r="DI304" s="313"/>
      <c r="DJ304" s="85" t="str">
        <f t="shared" ref="DJ304:DM304" si="1810">AVERAGE(DE302,CZ302,CU302)</f>
        <v>#ERROR!</v>
      </c>
      <c r="DK304" s="85" t="str">
        <f t="shared" si="1810"/>
        <v>#ERROR!</v>
      </c>
      <c r="DL304" s="85" t="str">
        <f t="shared" si="1810"/>
        <v>#ERROR!</v>
      </c>
      <c r="DM304" s="85" t="str">
        <f t="shared" si="1810"/>
        <v>#ERROR!</v>
      </c>
      <c r="DN304" s="313"/>
      <c r="DO304" s="85" t="str">
        <f t="shared" ref="DO304:DR304" si="1811">AVERAGE(DJ302,DE302,CZ302)</f>
        <v>#ERROR!</v>
      </c>
      <c r="DP304" s="85" t="str">
        <f t="shared" si="1811"/>
        <v>#ERROR!</v>
      </c>
      <c r="DQ304" s="85" t="str">
        <f t="shared" si="1811"/>
        <v>#ERROR!</v>
      </c>
      <c r="DR304" s="85" t="str">
        <f t="shared" si="1811"/>
        <v>#ERROR!</v>
      </c>
      <c r="DS304" s="313"/>
      <c r="DT304" s="85" t="str">
        <f t="shared" ref="DT304:DW304" si="1812">AVERAGE(DO302,DJ302,DE302)</f>
        <v>#ERROR!</v>
      </c>
      <c r="DU304" s="85" t="str">
        <f t="shared" si="1812"/>
        <v>#ERROR!</v>
      </c>
      <c r="DV304" s="85" t="str">
        <f t="shared" si="1812"/>
        <v>#ERROR!</v>
      </c>
      <c r="DW304" s="85" t="str">
        <f t="shared" si="1812"/>
        <v>#ERROR!</v>
      </c>
      <c r="DX304" s="313"/>
      <c r="DY304" s="85" t="str">
        <f t="shared" ref="DY304:EB304" si="1813">AVERAGE(DT302,DO302,DJ302)</f>
        <v>#ERROR!</v>
      </c>
      <c r="DZ304" s="85" t="str">
        <f t="shared" si="1813"/>
        <v>#ERROR!</v>
      </c>
      <c r="EA304" s="85" t="str">
        <f t="shared" si="1813"/>
        <v>#ERROR!</v>
      </c>
      <c r="EB304" s="85" t="str">
        <f t="shared" si="1813"/>
        <v>#ERROR!</v>
      </c>
      <c r="EC304" s="313"/>
      <c r="ED304" s="85" t="str">
        <f t="shared" ref="ED304:EG304" si="1814">AVERAGE(DY302,DT302,DO302)</f>
        <v>#ERROR!</v>
      </c>
      <c r="EE304" s="85" t="str">
        <f t="shared" si="1814"/>
        <v>#ERROR!</v>
      </c>
      <c r="EF304" s="85" t="str">
        <f t="shared" si="1814"/>
        <v>#ERROR!</v>
      </c>
      <c r="EG304" s="85" t="str">
        <f t="shared" si="1814"/>
        <v>#ERROR!</v>
      </c>
      <c r="EH304" s="313"/>
      <c r="EI304" s="362" t="str">
        <f t="shared" ref="EI304:EL304" si="1815">AVERAGE(ED302,DY302,DT302)</f>
        <v>#ERROR!</v>
      </c>
      <c r="EJ304" s="85" t="str">
        <f t="shared" si="1815"/>
        <v>#ERROR!</v>
      </c>
      <c r="EK304" s="85" t="str">
        <f t="shared" si="1815"/>
        <v>#ERROR!</v>
      </c>
      <c r="EL304" s="85" t="str">
        <f t="shared" si="1815"/>
        <v>#ERROR!</v>
      </c>
      <c r="EM304" s="313"/>
      <c r="EN304" s="85" t="str">
        <f t="shared" ref="EN304:EQ304" si="1816">AVERAGE(EI302,ED302,DY302)</f>
        <v>#ERROR!</v>
      </c>
      <c r="EO304" s="85" t="str">
        <f t="shared" si="1816"/>
        <v>#ERROR!</v>
      </c>
      <c r="EP304" s="85" t="str">
        <f t="shared" si="1816"/>
        <v>#ERROR!</v>
      </c>
      <c r="EQ304" s="85" t="str">
        <f t="shared" si="1816"/>
        <v>#ERROR!</v>
      </c>
      <c r="ER304" s="313"/>
      <c r="ES304" s="85" t="str">
        <f t="shared" ref="ES304:EV304" si="1817">AVERAGE(EN302,EI302,ED302)</f>
        <v>#ERROR!</v>
      </c>
      <c r="ET304" s="85" t="str">
        <f t="shared" si="1817"/>
        <v>#ERROR!</v>
      </c>
      <c r="EU304" s="85" t="str">
        <f t="shared" si="1817"/>
        <v>#ERROR!</v>
      </c>
      <c r="EV304" s="85" t="str">
        <f t="shared" si="1817"/>
        <v>#ERROR!</v>
      </c>
      <c r="EW304" s="313"/>
      <c r="EX304" s="85" t="str">
        <f t="shared" ref="EX304:FA304" si="1818">AVERAGE(ES302,EN302,EI302)</f>
        <v>#DIV/0!</v>
      </c>
      <c r="EY304" s="85" t="str">
        <f t="shared" si="1818"/>
        <v>#ERROR!</v>
      </c>
      <c r="EZ304" s="85" t="str">
        <f t="shared" si="1818"/>
        <v>#ERROR!</v>
      </c>
      <c r="FA304" s="85" t="str">
        <f t="shared" si="1818"/>
        <v>#ERROR!</v>
      </c>
      <c r="FB304" s="313"/>
      <c r="FC304" s="85" t="str">
        <f t="shared" ref="FC304:FF304" si="1819">AVERAGE(EX302,ES302,EN302)</f>
        <v>#DIV/0!</v>
      </c>
      <c r="FD304" s="85" t="str">
        <f t="shared" si="1819"/>
        <v>#ERROR!</v>
      </c>
      <c r="FE304" s="85" t="str">
        <f t="shared" si="1819"/>
        <v>#ERROR!</v>
      </c>
      <c r="FF304" s="85" t="str">
        <f t="shared" si="1819"/>
        <v>#ERROR!</v>
      </c>
      <c r="FG304" s="313"/>
      <c r="FH304" s="40"/>
      <c r="FI304" s="17"/>
      <c r="FJ304" s="17"/>
      <c r="FK304" s="73"/>
      <c r="FL304" s="17"/>
    </row>
    <row r="305" ht="12.75" hidden="1" customHeight="1" outlineLevel="1">
      <c r="A305" s="421"/>
      <c r="B305" s="453" t="s">
        <v>204</v>
      </c>
      <c r="C305" s="45"/>
      <c r="D305" s="17"/>
      <c r="E305" s="17"/>
      <c r="F305" s="17"/>
      <c r="G305" s="17"/>
      <c r="H305" s="73"/>
      <c r="I305" s="17"/>
      <c r="J305" s="17"/>
      <c r="K305" s="17"/>
      <c r="L305" s="17"/>
      <c r="M305" s="73"/>
      <c r="N305" s="17"/>
      <c r="O305" s="17"/>
      <c r="P305" s="17"/>
      <c r="Q305" s="17"/>
      <c r="R305" s="73"/>
      <c r="S305" s="17"/>
      <c r="T305" s="17"/>
      <c r="U305" s="17"/>
      <c r="V305" s="17"/>
      <c r="W305" s="73"/>
      <c r="X305" s="17"/>
      <c r="Y305" s="17"/>
      <c r="Z305" s="17"/>
      <c r="AA305" s="17"/>
      <c r="AB305" s="73"/>
      <c r="AC305" s="17"/>
      <c r="AD305" s="17"/>
      <c r="AE305" s="17"/>
      <c r="AF305" s="17"/>
      <c r="AG305" s="73"/>
      <c r="AH305" s="17"/>
      <c r="AI305" s="17"/>
      <c r="AJ305" s="17"/>
      <c r="AK305" s="17"/>
      <c r="AL305" s="73"/>
      <c r="AM305" s="17"/>
      <c r="AN305" s="17"/>
      <c r="AO305" s="17"/>
      <c r="AP305" s="17"/>
      <c r="AQ305" s="73"/>
      <c r="AR305" s="17"/>
      <c r="AS305" s="17"/>
      <c r="AT305" s="17"/>
      <c r="AU305" s="17"/>
      <c r="AV305" s="73"/>
      <c r="AW305" s="17"/>
      <c r="AX305" s="17"/>
      <c r="AY305" s="17"/>
      <c r="AZ305" s="17"/>
      <c r="BA305" s="73"/>
      <c r="BB305" s="17"/>
      <c r="BC305" s="17"/>
      <c r="BD305" s="17"/>
      <c r="BE305" s="17"/>
      <c r="BF305" s="73"/>
      <c r="BG305" s="17"/>
      <c r="BH305" s="17"/>
      <c r="BI305" s="17"/>
      <c r="BJ305" s="17"/>
      <c r="BK305" s="73"/>
      <c r="BL305" s="17"/>
      <c r="BM305" s="17"/>
      <c r="BN305" s="17"/>
      <c r="BO305" s="17"/>
      <c r="BP305" s="73"/>
      <c r="BQ305" s="17"/>
      <c r="BR305" s="17"/>
      <c r="BS305" s="17"/>
      <c r="BT305" s="17"/>
      <c r="BU305" s="73"/>
      <c r="BV305" s="17"/>
      <c r="BW305" s="17"/>
      <c r="BX305" s="17"/>
      <c r="BY305" s="17"/>
      <c r="BZ305" s="18"/>
      <c r="CA305" s="17"/>
      <c r="CB305" s="17"/>
      <c r="CC305" s="17"/>
      <c r="CD305" s="17"/>
      <c r="CE305" s="18"/>
      <c r="CF305" s="17"/>
      <c r="CG305" s="17"/>
      <c r="CH305" s="17"/>
      <c r="CI305" s="17"/>
      <c r="CJ305" s="18"/>
      <c r="CK305" s="17"/>
      <c r="CL305" s="17"/>
      <c r="CM305" s="17"/>
      <c r="CN305" s="17"/>
      <c r="CO305" s="18"/>
      <c r="CP305" s="444" t="str">
        <f t="shared" ref="CP305:CS305" si="1820">(CP287+CP274)*1000/CP301</f>
        <v>#ERROR!</v>
      </c>
      <c r="CQ305" s="444" t="str">
        <f t="shared" si="1820"/>
        <v>#ERROR!</v>
      </c>
      <c r="CR305" s="444" t="str">
        <f t="shared" si="1820"/>
        <v>#ERROR!</v>
      </c>
      <c r="CS305" s="444" t="str">
        <f t="shared" si="1820"/>
        <v>#ERROR!</v>
      </c>
      <c r="CT305" s="18" t="str">
        <f>CT308*1000/CT301</f>
        <v>#ERROR!</v>
      </c>
      <c r="CU305" s="444" t="str">
        <f t="shared" ref="CU305:CX305" si="1821">(CU287+CU274)*1000/CU301</f>
        <v>#ERROR!</v>
      </c>
      <c r="CV305" s="444" t="str">
        <f t="shared" si="1821"/>
        <v>#ERROR!</v>
      </c>
      <c r="CW305" s="444" t="str">
        <f t="shared" si="1821"/>
        <v>#ERROR!</v>
      </c>
      <c r="CX305" s="444" t="str">
        <f t="shared" si="1821"/>
        <v>#ERROR!</v>
      </c>
      <c r="CY305" s="18" t="str">
        <f>CY308*1000/CY301</f>
        <v>#ERROR!</v>
      </c>
      <c r="CZ305" s="444" t="str">
        <f t="shared" ref="CZ305:DC305" si="1822">(CZ287+CZ274)*1000/CZ301</f>
        <v>#ERROR!</v>
      </c>
      <c r="DA305" s="444" t="str">
        <f t="shared" si="1822"/>
        <v>#ERROR!</v>
      </c>
      <c r="DB305" s="444" t="str">
        <f t="shared" si="1822"/>
        <v>#ERROR!</v>
      </c>
      <c r="DC305" s="444" t="str">
        <f t="shared" si="1822"/>
        <v>#ERROR!</v>
      </c>
      <c r="DD305" s="446" t="str">
        <f>DD308*1000/DD301</f>
        <v>#ERROR!</v>
      </c>
      <c r="DE305" s="444" t="str">
        <f t="shared" ref="DE305:DH305" si="1823">(DE287+DE274)*1000/DE301</f>
        <v>#ERROR!</v>
      </c>
      <c r="DF305" s="444" t="str">
        <f t="shared" si="1823"/>
        <v>#ERROR!</v>
      </c>
      <c r="DG305" s="447" t="str">
        <f t="shared" si="1823"/>
        <v>#ERROR!</v>
      </c>
      <c r="DH305" s="444" t="str">
        <f t="shared" si="1823"/>
        <v>#ERROR!</v>
      </c>
      <c r="DI305" s="446" t="str">
        <f>DI308*1000/DI301</f>
        <v>#ERROR!</v>
      </c>
      <c r="DJ305" s="447" t="str">
        <f t="shared" ref="DJ305:DM305" si="1824">(DJ287+DJ274)*1000/DJ301</f>
        <v>#ERROR!</v>
      </c>
      <c r="DK305" s="447" t="str">
        <f t="shared" si="1824"/>
        <v>#ERROR!</v>
      </c>
      <c r="DL305" s="447" t="str">
        <f t="shared" si="1824"/>
        <v>#ERROR!</v>
      </c>
      <c r="DM305" s="447" t="str">
        <f t="shared" si="1824"/>
        <v>#ERROR!</v>
      </c>
      <c r="DN305" s="446" t="str">
        <f>DN308*1000/DN301</f>
        <v>#ERROR!</v>
      </c>
      <c r="DO305" s="447" t="str">
        <f t="shared" ref="DO305:DR305" si="1825">(DO287+DO274)*1000/DO301</f>
        <v>#ERROR!</v>
      </c>
      <c r="DP305" s="447" t="str">
        <f t="shared" si="1825"/>
        <v>#ERROR!</v>
      </c>
      <c r="DQ305" s="447" t="str">
        <f t="shared" si="1825"/>
        <v>#ERROR!</v>
      </c>
      <c r="DR305" s="447" t="str">
        <f t="shared" si="1825"/>
        <v>#ERROR!</v>
      </c>
      <c r="DS305" s="446" t="str">
        <f>DS308*1000/DS301</f>
        <v>#ERROR!</v>
      </c>
      <c r="DT305" s="447" t="str">
        <f t="shared" ref="DT305:DW305" si="1826">(DT287+DT274)*1000/DT301</f>
        <v>#ERROR!</v>
      </c>
      <c r="DU305" s="447" t="str">
        <f t="shared" si="1826"/>
        <v>#ERROR!</v>
      </c>
      <c r="DV305" s="447" t="str">
        <f t="shared" si="1826"/>
        <v>#ERROR!</v>
      </c>
      <c r="DW305" s="447" t="str">
        <f t="shared" si="1826"/>
        <v>#ERROR!</v>
      </c>
      <c r="DX305" s="446" t="str">
        <f>DX308*1000/DX301</f>
        <v>#ERROR!</v>
      </c>
      <c r="DY305" s="447" t="str">
        <f t="shared" ref="DY305:EB305" si="1827">(DY287+DY274)*1000/DY301</f>
        <v>#ERROR!</v>
      </c>
      <c r="DZ305" s="447" t="str">
        <f t="shared" si="1827"/>
        <v>#ERROR!</v>
      </c>
      <c r="EA305" s="447" t="str">
        <f t="shared" si="1827"/>
        <v>#ERROR!</v>
      </c>
      <c r="EB305" s="447" t="str">
        <f t="shared" si="1827"/>
        <v>#ERROR!</v>
      </c>
      <c r="EC305" s="446" t="str">
        <f>EC308*1000/EC301</f>
        <v>#ERROR!</v>
      </c>
      <c r="ED305" s="447" t="str">
        <f t="shared" ref="ED305:EG305" si="1828">(ED287+ED274)*1000/ED301</f>
        <v>#ERROR!</v>
      </c>
      <c r="EE305" s="447" t="str">
        <f t="shared" si="1828"/>
        <v>#ERROR!</v>
      </c>
      <c r="EF305" s="447" t="str">
        <f t="shared" si="1828"/>
        <v>#ERROR!</v>
      </c>
      <c r="EG305" s="447" t="str">
        <f t="shared" si="1828"/>
        <v>#ERROR!</v>
      </c>
      <c r="EH305" s="446" t="str">
        <f>EH308*1000/EH301</f>
        <v>#ERROR!</v>
      </c>
      <c r="EI305" s="448" t="str">
        <f t="shared" ref="EI305:EL305" si="1829">(EI287+EI274)*1000/EI301</f>
        <v>#ERROR!</v>
      </c>
      <c r="EJ305" s="444" t="str">
        <f t="shared" si="1829"/>
        <v>#ERROR!</v>
      </c>
      <c r="EK305" s="444" t="str">
        <f t="shared" si="1829"/>
        <v>#ERROR!</v>
      </c>
      <c r="EL305" s="444" t="str">
        <f t="shared" si="1829"/>
        <v>#ERROR!</v>
      </c>
      <c r="EM305" s="446" t="str">
        <f>EM308*1000/EM301</f>
        <v>#ERROR!</v>
      </c>
      <c r="EN305" s="444" t="str">
        <f t="shared" ref="EN305:EQ305" si="1830">(EN287+EN274)*1000/EN301</f>
        <v>#ERROR!</v>
      </c>
      <c r="EO305" s="444" t="str">
        <f t="shared" si="1830"/>
        <v>#ERROR!</v>
      </c>
      <c r="EP305" s="444" t="str">
        <f t="shared" si="1830"/>
        <v>#ERROR!</v>
      </c>
      <c r="EQ305" s="444" t="str">
        <f t="shared" si="1830"/>
        <v>#ERROR!</v>
      </c>
      <c r="ER305" s="446" t="str">
        <f>ER308*1000/ER301</f>
        <v>#ERROR!</v>
      </c>
      <c r="ES305" s="444" t="str">
        <f t="shared" ref="ES305:EV305" si="1831">(ES287+ES274)*1000/ES301</f>
        <v>#ERROR!</v>
      </c>
      <c r="ET305" s="444" t="str">
        <f t="shared" si="1831"/>
        <v>#ERROR!</v>
      </c>
      <c r="EU305" s="444" t="str">
        <f t="shared" si="1831"/>
        <v>#ERROR!</v>
      </c>
      <c r="EV305" s="444" t="str">
        <f t="shared" si="1831"/>
        <v>#ERROR!</v>
      </c>
      <c r="EW305" s="446" t="str">
        <f>EW308*1000/EW301</f>
        <v>#ERROR!</v>
      </c>
      <c r="EX305" s="444" t="str">
        <f t="shared" ref="EX305:FA305" si="1832">(EX287+EX274)*1000/EX301</f>
        <v>#ERROR!</v>
      </c>
      <c r="EY305" s="444" t="str">
        <f t="shared" si="1832"/>
        <v>#ERROR!</v>
      </c>
      <c r="EZ305" s="444" t="str">
        <f t="shared" si="1832"/>
        <v>#ERROR!</v>
      </c>
      <c r="FA305" s="444" t="str">
        <f t="shared" si="1832"/>
        <v>#ERROR!</v>
      </c>
      <c r="FB305" s="446" t="str">
        <f>FB308*1000/FB301</f>
        <v>#ERROR!</v>
      </c>
      <c r="FC305" s="444" t="str">
        <f t="shared" ref="FC305:FF305" si="1833">(FC287+FC274)*1000/FC301</f>
        <v>#ERROR!</v>
      </c>
      <c r="FD305" s="444" t="str">
        <f t="shared" si="1833"/>
        <v>#ERROR!</v>
      </c>
      <c r="FE305" s="444" t="str">
        <f t="shared" si="1833"/>
        <v>#ERROR!</v>
      </c>
      <c r="FF305" s="444" t="str">
        <f t="shared" si="1833"/>
        <v>#ERROR!</v>
      </c>
      <c r="FG305" s="446" t="str">
        <f>FG308*1000/FG301</f>
        <v>#ERROR!</v>
      </c>
      <c r="FH305" s="449"/>
      <c r="FI305" s="17"/>
      <c r="FJ305" s="17"/>
      <c r="FK305" s="73"/>
      <c r="FL305" s="17"/>
    </row>
    <row r="306" ht="12.75" hidden="1" customHeight="1" outlineLevel="1">
      <c r="A306" s="423"/>
      <c r="B306" s="456" t="s">
        <v>150</v>
      </c>
      <c r="C306" s="410"/>
      <c r="D306" s="15"/>
      <c r="E306" s="15"/>
      <c r="F306" s="15"/>
      <c r="G306" s="15"/>
      <c r="H306" s="309"/>
      <c r="I306" s="15"/>
      <c r="J306" s="15"/>
      <c r="K306" s="15"/>
      <c r="L306" s="15"/>
      <c r="M306" s="309"/>
      <c r="N306" s="15"/>
      <c r="O306" s="15"/>
      <c r="P306" s="15"/>
      <c r="Q306" s="15"/>
      <c r="R306" s="309"/>
      <c r="S306" s="15"/>
      <c r="T306" s="15"/>
      <c r="U306" s="15"/>
      <c r="V306" s="15"/>
      <c r="W306" s="309"/>
      <c r="X306" s="15"/>
      <c r="Y306" s="15"/>
      <c r="Z306" s="15"/>
      <c r="AA306" s="15"/>
      <c r="AB306" s="309"/>
      <c r="AC306" s="15"/>
      <c r="AD306" s="15"/>
      <c r="AE306" s="15"/>
      <c r="AF306" s="15"/>
      <c r="AG306" s="309"/>
      <c r="AH306" s="15"/>
      <c r="AI306" s="15"/>
      <c r="AJ306" s="15"/>
      <c r="AK306" s="15"/>
      <c r="AL306" s="309"/>
      <c r="AM306" s="15"/>
      <c r="AN306" s="15"/>
      <c r="AO306" s="15"/>
      <c r="AP306" s="15"/>
      <c r="AQ306" s="309"/>
      <c r="AR306" s="15"/>
      <c r="AS306" s="15"/>
      <c r="AT306" s="15"/>
      <c r="AU306" s="15"/>
      <c r="AV306" s="309"/>
      <c r="AW306" s="15"/>
      <c r="AX306" s="15"/>
      <c r="AY306" s="15"/>
      <c r="AZ306" s="15"/>
      <c r="BA306" s="309"/>
      <c r="BB306" s="15"/>
      <c r="BC306" s="15"/>
      <c r="BD306" s="15"/>
      <c r="BE306" s="15"/>
      <c r="BF306" s="309"/>
      <c r="BG306" s="15"/>
      <c r="BH306" s="15"/>
      <c r="BI306" s="15"/>
      <c r="BJ306" s="15"/>
      <c r="BK306" s="309"/>
      <c r="BL306" s="15"/>
      <c r="BM306" s="15"/>
      <c r="BN306" s="15"/>
      <c r="BO306" s="15"/>
      <c r="BP306" s="309"/>
      <c r="BQ306" s="15"/>
      <c r="BR306" s="15"/>
      <c r="BS306" s="15"/>
      <c r="BT306" s="15"/>
      <c r="BU306" s="309"/>
      <c r="BV306" s="15"/>
      <c r="BW306" s="15"/>
      <c r="BX306" s="15"/>
      <c r="BY306" s="15"/>
      <c r="BZ306" s="37"/>
      <c r="CA306" s="15"/>
      <c r="CB306" s="15"/>
      <c r="CC306" s="15"/>
      <c r="CD306" s="15"/>
      <c r="CE306" s="37"/>
      <c r="CF306" s="15"/>
      <c r="CG306" s="15"/>
      <c r="CH306" s="15"/>
      <c r="CI306" s="15"/>
      <c r="CJ306" s="37"/>
      <c r="CK306" s="15"/>
      <c r="CL306" s="15"/>
      <c r="CM306" s="15"/>
      <c r="CN306" s="15"/>
      <c r="CO306" s="37"/>
      <c r="CP306" s="15"/>
      <c r="CQ306" s="15"/>
      <c r="CR306" s="15"/>
      <c r="CS306" s="15"/>
      <c r="CT306" s="37"/>
      <c r="CU306" s="15" t="str">
        <f>(CU305-CS305)/CS305</f>
        <v>#ERROR!</v>
      </c>
      <c r="CV306" s="15" t="str">
        <f t="shared" ref="CV306:CX306" si="1834">(CV305-CU305)/CU305</f>
        <v>#ERROR!</v>
      </c>
      <c r="CW306" s="15" t="str">
        <f t="shared" si="1834"/>
        <v>#ERROR!</v>
      </c>
      <c r="CX306" s="15" t="str">
        <f t="shared" si="1834"/>
        <v>#ERROR!</v>
      </c>
      <c r="CY306" s="37"/>
      <c r="CZ306" s="15" t="str">
        <f>(CZ305-CX305)/CX305</f>
        <v>#ERROR!</v>
      </c>
      <c r="DA306" s="15" t="str">
        <f t="shared" ref="DA306:DC306" si="1835">(DA305-CZ305)/CZ305</f>
        <v>#ERROR!</v>
      </c>
      <c r="DB306" s="15" t="str">
        <f t="shared" si="1835"/>
        <v>#ERROR!</v>
      </c>
      <c r="DC306" s="15" t="str">
        <f t="shared" si="1835"/>
        <v>#ERROR!</v>
      </c>
      <c r="DD306" s="37"/>
      <c r="DE306" s="40" t="str">
        <f>(DE305-DC305)/DC305</f>
        <v>#ERROR!</v>
      </c>
      <c r="DF306" s="15" t="str">
        <f t="shared" ref="DF306:DH306" si="1836">(DF305-DE305)/DE305</f>
        <v>#ERROR!</v>
      </c>
      <c r="DG306" s="40" t="str">
        <f t="shared" si="1836"/>
        <v>#ERROR!</v>
      </c>
      <c r="DH306" s="40" t="str">
        <f t="shared" si="1836"/>
        <v>#ERROR!</v>
      </c>
      <c r="DI306" s="37"/>
      <c r="DJ306" s="40" t="str">
        <f>(DJ305-DH305)/DH305</f>
        <v>#ERROR!</v>
      </c>
      <c r="DK306" s="40" t="str">
        <f t="shared" ref="DK306:DM306" si="1837">(DK305-DJ305)/DJ305</f>
        <v>#ERROR!</v>
      </c>
      <c r="DL306" s="40" t="str">
        <f t="shared" si="1837"/>
        <v>#ERROR!</v>
      </c>
      <c r="DM306" s="40" t="str">
        <f t="shared" si="1837"/>
        <v>#ERROR!</v>
      </c>
      <c r="DN306" s="37"/>
      <c r="DO306" s="40" t="str">
        <f>(DO305-DM305)/DM305</f>
        <v>#ERROR!</v>
      </c>
      <c r="DP306" s="40" t="str">
        <f t="shared" ref="DP306:DR306" si="1838">(DP305-DO305)/DO305</f>
        <v>#ERROR!</v>
      </c>
      <c r="DQ306" s="40" t="str">
        <f t="shared" si="1838"/>
        <v>#ERROR!</v>
      </c>
      <c r="DR306" s="40" t="str">
        <f t="shared" si="1838"/>
        <v>#ERROR!</v>
      </c>
      <c r="DS306" s="37"/>
      <c r="DT306" s="40" t="str">
        <f>(DT305-DR305)/DR305</f>
        <v>#ERROR!</v>
      </c>
      <c r="DU306" s="40" t="str">
        <f t="shared" ref="DU306:DW306" si="1839">(DU305-DT305)/DT305</f>
        <v>#ERROR!</v>
      </c>
      <c r="DV306" s="40" t="str">
        <f t="shared" si="1839"/>
        <v>#ERROR!</v>
      </c>
      <c r="DW306" s="40" t="str">
        <f t="shared" si="1839"/>
        <v>#ERROR!</v>
      </c>
      <c r="DX306" s="37"/>
      <c r="DY306" s="40" t="str">
        <f>(DY305-DW305)/DW305</f>
        <v>#ERROR!</v>
      </c>
      <c r="DZ306" s="40" t="str">
        <f t="shared" ref="DZ306:EB306" si="1840">(DZ305-DY305)/DY305</f>
        <v>#ERROR!</v>
      </c>
      <c r="EA306" s="40" t="str">
        <f t="shared" si="1840"/>
        <v>#ERROR!</v>
      </c>
      <c r="EB306" s="40" t="str">
        <f t="shared" si="1840"/>
        <v>#ERROR!</v>
      </c>
      <c r="EC306" s="37"/>
      <c r="ED306" s="40" t="str">
        <f>(ED305-EB305)/EB305</f>
        <v>#ERROR!</v>
      </c>
      <c r="EE306" s="40" t="str">
        <f t="shared" ref="EE306:EG306" si="1841">(EE305-ED305)/ED305</f>
        <v>#ERROR!</v>
      </c>
      <c r="EF306" s="40" t="str">
        <f t="shared" si="1841"/>
        <v>#ERROR!</v>
      </c>
      <c r="EG306" s="40" t="str">
        <f t="shared" si="1841"/>
        <v>#ERROR!</v>
      </c>
      <c r="EH306" s="37"/>
      <c r="EI306" s="82" t="str">
        <f>(EI305-EG305)/EG305</f>
        <v>#ERROR!</v>
      </c>
      <c r="EJ306" s="15" t="str">
        <f t="shared" ref="EJ306:EL306" si="1842">(EJ305-EI305)/EI305</f>
        <v>#ERROR!</v>
      </c>
      <c r="EK306" s="15" t="str">
        <f t="shared" si="1842"/>
        <v>#ERROR!</v>
      </c>
      <c r="EL306" s="15" t="str">
        <f t="shared" si="1842"/>
        <v>#ERROR!</v>
      </c>
      <c r="EM306" s="37"/>
      <c r="EN306" s="15" t="str">
        <f>(EN305-EL305)/EL305</f>
        <v>#ERROR!</v>
      </c>
      <c r="EO306" s="15" t="str">
        <f t="shared" ref="EO306:EQ306" si="1843">(EO305-EN305)/EN305</f>
        <v>#ERROR!</v>
      </c>
      <c r="EP306" s="15" t="str">
        <f t="shared" si="1843"/>
        <v>#ERROR!</v>
      </c>
      <c r="EQ306" s="15" t="str">
        <f t="shared" si="1843"/>
        <v>#ERROR!</v>
      </c>
      <c r="ER306" s="37"/>
      <c r="ES306" s="15" t="str">
        <f>(ES305-EQ305)/EQ305</f>
        <v>#ERROR!</v>
      </c>
      <c r="ET306" s="15" t="str">
        <f t="shared" ref="ET306:EV306" si="1844">(ET305-ES305)/ES305</f>
        <v>#ERROR!</v>
      </c>
      <c r="EU306" s="15" t="str">
        <f t="shared" si="1844"/>
        <v>#ERROR!</v>
      </c>
      <c r="EV306" s="15" t="str">
        <f t="shared" si="1844"/>
        <v>#ERROR!</v>
      </c>
      <c r="EW306" s="37"/>
      <c r="EX306" s="15" t="str">
        <f>(EX305-EV305)/EV305</f>
        <v>#ERROR!</v>
      </c>
      <c r="EY306" s="15" t="str">
        <f t="shared" ref="EY306:FA306" si="1845">(EY305-EX305)/EX305</f>
        <v>#ERROR!</v>
      </c>
      <c r="EZ306" s="15" t="str">
        <f t="shared" si="1845"/>
        <v>#ERROR!</v>
      </c>
      <c r="FA306" s="15" t="str">
        <f t="shared" si="1845"/>
        <v>#ERROR!</v>
      </c>
      <c r="FB306" s="37"/>
      <c r="FC306" s="15" t="str">
        <f>(FC305-FA305)/FA305</f>
        <v>#ERROR!</v>
      </c>
      <c r="FD306" s="15" t="str">
        <f t="shared" ref="FD306:FF306" si="1846">(FD305-FC305)/FC305</f>
        <v>#ERROR!</v>
      </c>
      <c r="FE306" s="15" t="str">
        <f t="shared" si="1846"/>
        <v>#ERROR!</v>
      </c>
      <c r="FF306" s="15" t="str">
        <f t="shared" si="1846"/>
        <v>#ERROR!</v>
      </c>
      <c r="FG306" s="37"/>
      <c r="FH306" s="35"/>
      <c r="FI306" s="15"/>
      <c r="FJ306" s="15"/>
      <c r="FK306" s="309"/>
      <c r="FL306" s="15"/>
    </row>
    <row r="307" ht="12.75" hidden="1" customHeight="1" outlineLevel="1">
      <c r="A307" s="423"/>
      <c r="B307" s="456" t="s">
        <v>146</v>
      </c>
      <c r="C307" s="410"/>
      <c r="D307" s="15"/>
      <c r="E307" s="15"/>
      <c r="F307" s="15"/>
      <c r="G307" s="15"/>
      <c r="H307" s="309"/>
      <c r="I307" s="15"/>
      <c r="J307" s="15"/>
      <c r="K307" s="15"/>
      <c r="L307" s="15"/>
      <c r="M307" s="309"/>
      <c r="N307" s="15"/>
      <c r="O307" s="15"/>
      <c r="P307" s="15"/>
      <c r="Q307" s="15"/>
      <c r="R307" s="309"/>
      <c r="S307" s="15"/>
      <c r="T307" s="15"/>
      <c r="U307" s="15"/>
      <c r="V307" s="15"/>
      <c r="W307" s="309"/>
      <c r="X307" s="15"/>
      <c r="Y307" s="15"/>
      <c r="Z307" s="15"/>
      <c r="AA307" s="15"/>
      <c r="AB307" s="309"/>
      <c r="AC307" s="15"/>
      <c r="AD307" s="15"/>
      <c r="AE307" s="15"/>
      <c r="AF307" s="15"/>
      <c r="AG307" s="309"/>
      <c r="AH307" s="15"/>
      <c r="AI307" s="15"/>
      <c r="AJ307" s="15"/>
      <c r="AK307" s="15"/>
      <c r="AL307" s="309"/>
      <c r="AM307" s="15"/>
      <c r="AN307" s="15"/>
      <c r="AO307" s="15"/>
      <c r="AP307" s="15"/>
      <c r="AQ307" s="309"/>
      <c r="AR307" s="15"/>
      <c r="AS307" s="15"/>
      <c r="AT307" s="15"/>
      <c r="AU307" s="15"/>
      <c r="AV307" s="309"/>
      <c r="AW307" s="15"/>
      <c r="AX307" s="15"/>
      <c r="AY307" s="15"/>
      <c r="AZ307" s="15"/>
      <c r="BA307" s="309"/>
      <c r="BB307" s="15"/>
      <c r="BC307" s="15"/>
      <c r="BD307" s="15"/>
      <c r="BE307" s="15"/>
      <c r="BF307" s="309"/>
      <c r="BG307" s="15"/>
      <c r="BH307" s="15"/>
      <c r="BI307" s="15"/>
      <c r="BJ307" s="15"/>
      <c r="BK307" s="309"/>
      <c r="BL307" s="15"/>
      <c r="BM307" s="15"/>
      <c r="BN307" s="15"/>
      <c r="BO307" s="15"/>
      <c r="BP307" s="309"/>
      <c r="BQ307" s="15"/>
      <c r="BR307" s="15"/>
      <c r="BS307" s="15"/>
      <c r="BT307" s="15"/>
      <c r="BU307" s="309"/>
      <c r="BV307" s="15"/>
      <c r="BW307" s="15"/>
      <c r="BX307" s="15"/>
      <c r="BY307" s="15"/>
      <c r="BZ307" s="37"/>
      <c r="CA307" s="15"/>
      <c r="CB307" s="15"/>
      <c r="CC307" s="15"/>
      <c r="CD307" s="15"/>
      <c r="CE307" s="37"/>
      <c r="CF307" s="15"/>
      <c r="CG307" s="15"/>
      <c r="CH307" s="15"/>
      <c r="CI307" s="15"/>
      <c r="CJ307" s="37"/>
      <c r="CK307" s="15"/>
      <c r="CL307" s="15"/>
      <c r="CM307" s="15"/>
      <c r="CN307" s="15"/>
      <c r="CO307" s="37"/>
      <c r="CP307" s="15"/>
      <c r="CQ307" s="15"/>
      <c r="CR307" s="15"/>
      <c r="CS307" s="15"/>
      <c r="CT307" s="37"/>
      <c r="CU307" s="40" t="str">
        <f>CU305/CP305-1</f>
        <v>#ERROR!</v>
      </c>
      <c r="CV307" s="15" t="str">
        <f t="shared" ref="CV307:CX307" si="1847">(CV305-CQ305)/CQ305</f>
        <v>#ERROR!</v>
      </c>
      <c r="CW307" s="15" t="str">
        <f t="shared" si="1847"/>
        <v>#ERROR!</v>
      </c>
      <c r="CX307" s="15" t="str">
        <f t="shared" si="1847"/>
        <v>#ERROR!</v>
      </c>
      <c r="CY307" s="313" t="str">
        <f t="shared" ref="CY307:CZ307" si="1848">CY305/CT305-1</f>
        <v>#ERROR!</v>
      </c>
      <c r="CZ307" s="15" t="str">
        <f t="shared" si="1848"/>
        <v>#ERROR!</v>
      </c>
      <c r="DA307" s="15" t="str">
        <f t="shared" ref="DA307:DC307" si="1849">(DA305-CV305)/CV305</f>
        <v>#ERROR!</v>
      </c>
      <c r="DB307" s="15" t="str">
        <f t="shared" si="1849"/>
        <v>#ERROR!</v>
      </c>
      <c r="DC307" s="457" t="str">
        <f t="shared" si="1849"/>
        <v>#ERROR!</v>
      </c>
      <c r="DD307" s="313" t="str">
        <f t="shared" ref="DD307:DE307" si="1850">DD305/CY305-1</f>
        <v>#ERROR!</v>
      </c>
      <c r="DE307" s="40" t="str">
        <f t="shared" si="1850"/>
        <v>#ERROR!</v>
      </c>
      <c r="DF307" s="15" t="str">
        <f t="shared" ref="DF307:DH307" si="1851">(DF305-DA305)/DA305</f>
        <v>#ERROR!</v>
      </c>
      <c r="DG307" s="40" t="str">
        <f t="shared" si="1851"/>
        <v>#ERROR!</v>
      </c>
      <c r="DH307" s="457" t="str">
        <f t="shared" si="1851"/>
        <v>#ERROR!</v>
      </c>
      <c r="DI307" s="313" t="str">
        <f t="shared" ref="DI307:DJ307" si="1852">DI305/DD305-1</f>
        <v>#ERROR!</v>
      </c>
      <c r="DJ307" s="40" t="str">
        <f t="shared" si="1852"/>
        <v>#ERROR!</v>
      </c>
      <c r="DK307" s="40" t="str">
        <f t="shared" ref="DK307:DM307" si="1853">(DK305-DF305)/DF305</f>
        <v>#ERROR!</v>
      </c>
      <c r="DL307" s="40" t="str">
        <f t="shared" si="1853"/>
        <v>#ERROR!</v>
      </c>
      <c r="DM307" s="40" t="str">
        <f t="shared" si="1853"/>
        <v>#ERROR!</v>
      </c>
      <c r="DN307" s="313" t="str">
        <f t="shared" ref="DN307:DO307" si="1854">DN305/DI305-1</f>
        <v>#ERROR!</v>
      </c>
      <c r="DO307" s="40" t="str">
        <f t="shared" si="1854"/>
        <v>#ERROR!</v>
      </c>
      <c r="DP307" s="40" t="str">
        <f t="shared" ref="DP307:DR307" si="1855">(DP305-DK305)/DK305</f>
        <v>#ERROR!</v>
      </c>
      <c r="DQ307" s="40" t="str">
        <f t="shared" si="1855"/>
        <v>#ERROR!</v>
      </c>
      <c r="DR307" s="40" t="str">
        <f t="shared" si="1855"/>
        <v>#ERROR!</v>
      </c>
      <c r="DS307" s="313" t="str">
        <f t="shared" ref="DS307:DT307" si="1856">DS305/DN305-1</f>
        <v>#ERROR!</v>
      </c>
      <c r="DT307" s="40" t="str">
        <f t="shared" si="1856"/>
        <v>#ERROR!</v>
      </c>
      <c r="DU307" s="40" t="str">
        <f t="shared" ref="DU307:DW307" si="1857">(DU305-DP305)/DP305</f>
        <v>#ERROR!</v>
      </c>
      <c r="DV307" s="40" t="str">
        <f t="shared" si="1857"/>
        <v>#ERROR!</v>
      </c>
      <c r="DW307" s="40" t="str">
        <f t="shared" si="1857"/>
        <v>#ERROR!</v>
      </c>
      <c r="DX307" s="313" t="str">
        <f t="shared" ref="DX307:DY307" si="1858">DX305/DS305-1</f>
        <v>#ERROR!</v>
      </c>
      <c r="DY307" s="40" t="str">
        <f t="shared" si="1858"/>
        <v>#ERROR!</v>
      </c>
      <c r="DZ307" s="40" t="str">
        <f t="shared" ref="DZ307:EB307" si="1859">(DZ305-DU305)/DU305</f>
        <v>#ERROR!</v>
      </c>
      <c r="EA307" s="40" t="str">
        <f t="shared" si="1859"/>
        <v>#ERROR!</v>
      </c>
      <c r="EB307" s="40" t="str">
        <f t="shared" si="1859"/>
        <v>#ERROR!</v>
      </c>
      <c r="EC307" s="313" t="str">
        <f t="shared" ref="EC307:ED307" si="1860">EC305/DX305-1</f>
        <v>#ERROR!</v>
      </c>
      <c r="ED307" s="40" t="str">
        <f t="shared" si="1860"/>
        <v>#ERROR!</v>
      </c>
      <c r="EE307" s="40" t="str">
        <f t="shared" ref="EE307:EG307" si="1861">(EE305-DZ305)/DZ305</f>
        <v>#ERROR!</v>
      </c>
      <c r="EF307" s="40" t="str">
        <f t="shared" si="1861"/>
        <v>#ERROR!</v>
      </c>
      <c r="EG307" s="40" t="str">
        <f t="shared" si="1861"/>
        <v>#ERROR!</v>
      </c>
      <c r="EH307" s="313" t="str">
        <f t="shared" ref="EH307:EI307" si="1862">EH305/EC305-1</f>
        <v>#ERROR!</v>
      </c>
      <c r="EI307" s="82" t="str">
        <f t="shared" si="1862"/>
        <v>#ERROR!</v>
      </c>
      <c r="EJ307" s="15" t="str">
        <f t="shared" ref="EJ307:EL307" si="1863">(EJ305-EE305)/EE305</f>
        <v>#ERROR!</v>
      </c>
      <c r="EK307" s="15" t="str">
        <f t="shared" si="1863"/>
        <v>#ERROR!</v>
      </c>
      <c r="EL307" s="15" t="str">
        <f t="shared" si="1863"/>
        <v>#ERROR!</v>
      </c>
      <c r="EM307" s="313" t="str">
        <f t="shared" ref="EM307:EN307" si="1864">EM305/EH305-1</f>
        <v>#ERROR!</v>
      </c>
      <c r="EN307" s="15" t="str">
        <f t="shared" si="1864"/>
        <v>#ERROR!</v>
      </c>
      <c r="EO307" s="15" t="str">
        <f t="shared" ref="EO307:EQ307" si="1865">(EO305-EJ305)/EJ305</f>
        <v>#ERROR!</v>
      </c>
      <c r="EP307" s="15" t="str">
        <f t="shared" si="1865"/>
        <v>#ERROR!</v>
      </c>
      <c r="EQ307" s="15" t="str">
        <f t="shared" si="1865"/>
        <v>#ERROR!</v>
      </c>
      <c r="ER307" s="313" t="str">
        <f t="shared" ref="ER307:ES307" si="1866">ER305/EM305-1</f>
        <v>#ERROR!</v>
      </c>
      <c r="ES307" s="15" t="str">
        <f t="shared" si="1866"/>
        <v>#ERROR!</v>
      </c>
      <c r="ET307" s="15" t="str">
        <f t="shared" ref="ET307:EV307" si="1867">(ET305-EO305)/EO305</f>
        <v>#ERROR!</v>
      </c>
      <c r="EU307" s="15" t="str">
        <f t="shared" si="1867"/>
        <v>#ERROR!</v>
      </c>
      <c r="EV307" s="15" t="str">
        <f t="shared" si="1867"/>
        <v>#ERROR!</v>
      </c>
      <c r="EW307" s="313" t="str">
        <f t="shared" ref="EW307:EX307" si="1868">EW305/ER305-1</f>
        <v>#ERROR!</v>
      </c>
      <c r="EX307" s="15" t="str">
        <f t="shared" si="1868"/>
        <v>#ERROR!</v>
      </c>
      <c r="EY307" s="15" t="str">
        <f t="shared" ref="EY307:FA307" si="1869">(EY305-ET305)/ET305</f>
        <v>#ERROR!</v>
      </c>
      <c r="EZ307" s="15" t="str">
        <f t="shared" si="1869"/>
        <v>#ERROR!</v>
      </c>
      <c r="FA307" s="15" t="str">
        <f t="shared" si="1869"/>
        <v>#ERROR!</v>
      </c>
      <c r="FB307" s="313" t="str">
        <f t="shared" ref="FB307:FC307" si="1870">FB305/EW305-1</f>
        <v>#ERROR!</v>
      </c>
      <c r="FC307" s="15" t="str">
        <f t="shared" si="1870"/>
        <v>#ERROR!</v>
      </c>
      <c r="FD307" s="15" t="str">
        <f t="shared" ref="FD307:FF307" si="1871">(FD305-EY305)/EY305</f>
        <v>#ERROR!</v>
      </c>
      <c r="FE307" s="15" t="str">
        <f t="shared" si="1871"/>
        <v>#ERROR!</v>
      </c>
      <c r="FF307" s="15" t="str">
        <f t="shared" si="1871"/>
        <v>#ERROR!</v>
      </c>
      <c r="FG307" s="313" t="str">
        <f>FG305/FB305-1</f>
        <v>#ERROR!</v>
      </c>
      <c r="FH307" s="40"/>
      <c r="FI307" s="15"/>
      <c r="FJ307" s="15"/>
      <c r="FK307" s="309"/>
      <c r="FL307" s="15"/>
    </row>
    <row r="308" ht="12.75" hidden="1" customHeight="1" outlineLevel="1">
      <c r="A308" s="421"/>
      <c r="B308" s="453" t="s">
        <v>205</v>
      </c>
      <c r="C308" s="45"/>
      <c r="D308" s="17"/>
      <c r="E308" s="17"/>
      <c r="F308" s="17"/>
      <c r="G308" s="17"/>
      <c r="H308" s="73"/>
      <c r="I308" s="17"/>
      <c r="J308" s="17"/>
      <c r="K308" s="17"/>
      <c r="L308" s="17"/>
      <c r="M308" s="73"/>
      <c r="N308" s="17"/>
      <c r="O308" s="17"/>
      <c r="P308" s="17"/>
      <c r="Q308" s="17"/>
      <c r="R308" s="73"/>
      <c r="S308" s="17"/>
      <c r="T308" s="17"/>
      <c r="U308" s="17"/>
      <c r="V308" s="17"/>
      <c r="W308" s="73"/>
      <c r="X308" s="17"/>
      <c r="Y308" s="17"/>
      <c r="Z308" s="17"/>
      <c r="AA308" s="17"/>
      <c r="AB308" s="73"/>
      <c r="AC308" s="17"/>
      <c r="AD308" s="17"/>
      <c r="AE308" s="17"/>
      <c r="AF308" s="17"/>
      <c r="AG308" s="73"/>
      <c r="AH308" s="17"/>
      <c r="AI308" s="17"/>
      <c r="AJ308" s="17"/>
      <c r="AK308" s="17"/>
      <c r="AL308" s="73"/>
      <c r="AM308" s="17"/>
      <c r="AN308" s="17"/>
      <c r="AO308" s="17"/>
      <c r="AP308" s="17"/>
      <c r="AQ308" s="73"/>
      <c r="AR308" s="17"/>
      <c r="AS308" s="17"/>
      <c r="AT308" s="17"/>
      <c r="AU308" s="17"/>
      <c r="AV308" s="73"/>
      <c r="AW308" s="17"/>
      <c r="AX308" s="17"/>
      <c r="AY308" s="17"/>
      <c r="AZ308" s="17"/>
      <c r="BA308" s="73"/>
      <c r="BB308" s="17"/>
      <c r="BC308" s="17"/>
      <c r="BD308" s="17"/>
      <c r="BE308" s="17"/>
      <c r="BF308" s="73"/>
      <c r="BG308" s="17"/>
      <c r="BH308" s="17"/>
      <c r="BI308" s="17"/>
      <c r="BJ308" s="17"/>
      <c r="BK308" s="73"/>
      <c r="BL308" s="17"/>
      <c r="BM308" s="17"/>
      <c r="BN308" s="17"/>
      <c r="BO308" s="17"/>
      <c r="BP308" s="73"/>
      <c r="BQ308" s="17"/>
      <c r="BR308" s="17"/>
      <c r="BS308" s="17"/>
      <c r="BT308" s="17"/>
      <c r="BU308" s="73"/>
      <c r="BV308" s="17"/>
      <c r="BW308" s="17"/>
      <c r="BX308" s="17"/>
      <c r="BY308" s="17"/>
      <c r="BZ308" s="18"/>
      <c r="CA308" s="17"/>
      <c r="CB308" s="17"/>
      <c r="CC308" s="17"/>
      <c r="CD308" s="17"/>
      <c r="CE308" s="18"/>
      <c r="CF308" s="17"/>
      <c r="CG308" s="17"/>
      <c r="CH308" s="17"/>
      <c r="CI308" s="17"/>
      <c r="CJ308" s="18"/>
      <c r="CK308" s="17"/>
      <c r="CL308" s="17"/>
      <c r="CM308" s="17"/>
      <c r="CN308" s="17"/>
      <c r="CO308" s="18"/>
      <c r="CP308" s="17" t="str">
        <f t="shared" ref="CP308:CS308" si="1872">CP287+CP274</f>
        <v>#ERROR!</v>
      </c>
      <c r="CQ308" s="17" t="str">
        <f t="shared" si="1872"/>
        <v>#ERROR!</v>
      </c>
      <c r="CR308" s="17" t="str">
        <f t="shared" si="1872"/>
        <v>#ERROR!</v>
      </c>
      <c r="CS308" s="17" t="str">
        <f t="shared" si="1872"/>
        <v>#ERROR!</v>
      </c>
      <c r="CT308" s="18" t="str">
        <f t="shared" ref="CT308:CT310" si="1887">SUM(CP308:CS308)</f>
        <v>#ERROR!</v>
      </c>
      <c r="CU308" s="17" t="str">
        <f t="shared" ref="CU308:CX308" si="1873">CU287+CU274</f>
        <v>#ERROR!</v>
      </c>
      <c r="CV308" s="17" t="str">
        <f t="shared" si="1873"/>
        <v>#ERROR!</v>
      </c>
      <c r="CW308" s="17" t="str">
        <f t="shared" si="1873"/>
        <v>#ERROR!</v>
      </c>
      <c r="CX308" s="17" t="str">
        <f t="shared" si="1873"/>
        <v>#ERROR!</v>
      </c>
      <c r="CY308" s="18" t="str">
        <f t="shared" ref="CY308:CY310" si="1889">SUM(CU308:CX308)</f>
        <v>#ERROR!</v>
      </c>
      <c r="CZ308" s="17" t="str">
        <f t="shared" ref="CZ308:DC308" si="1874">CZ287+CZ274</f>
        <v>#ERROR!</v>
      </c>
      <c r="DA308" s="17" t="str">
        <f t="shared" si="1874"/>
        <v>#ERROR!</v>
      </c>
      <c r="DB308" s="17" t="str">
        <f t="shared" si="1874"/>
        <v>#ERROR!</v>
      </c>
      <c r="DC308" s="17" t="str">
        <f t="shared" si="1874"/>
        <v>#ERROR!</v>
      </c>
      <c r="DD308" s="18" t="str">
        <f t="shared" ref="DD308:DD310" si="1890">SUM(CZ308:DC308)</f>
        <v>#ERROR!</v>
      </c>
      <c r="DE308" s="17" t="str">
        <f t="shared" ref="DE308:DH308" si="1875">DE287+DE274</f>
        <v>#ERROR!</v>
      </c>
      <c r="DF308" s="17" t="str">
        <f t="shared" si="1875"/>
        <v>#ERROR!</v>
      </c>
      <c r="DG308" s="19" t="str">
        <f t="shared" si="1875"/>
        <v>#ERROR!</v>
      </c>
      <c r="DH308" s="17" t="str">
        <f t="shared" si="1875"/>
        <v>#ERROR!</v>
      </c>
      <c r="DI308" s="18" t="str">
        <f t="shared" ref="DI308:DI310" si="1891">SUM(DE308:DH308)</f>
        <v>#ERROR!</v>
      </c>
      <c r="DJ308" s="19" t="str">
        <f t="shared" ref="DJ308:DM308" si="1876">DJ287+DJ274</f>
        <v>#ERROR!</v>
      </c>
      <c r="DK308" s="19" t="str">
        <f t="shared" si="1876"/>
        <v>#ERROR!</v>
      </c>
      <c r="DL308" s="19" t="str">
        <f t="shared" si="1876"/>
        <v>#ERROR!</v>
      </c>
      <c r="DM308" s="19" t="str">
        <f t="shared" si="1876"/>
        <v>#ERROR!</v>
      </c>
      <c r="DN308" s="18" t="str">
        <f t="shared" ref="DN308:DN310" si="1892">SUM(DJ308:DM308)</f>
        <v>#ERROR!</v>
      </c>
      <c r="DO308" s="19" t="str">
        <f t="shared" ref="DO308:DR308" si="1877">DO287+DO274</f>
        <v>#ERROR!</v>
      </c>
      <c r="DP308" s="19" t="str">
        <f t="shared" si="1877"/>
        <v>#ERROR!</v>
      </c>
      <c r="DQ308" s="19" t="str">
        <f t="shared" si="1877"/>
        <v>#ERROR!</v>
      </c>
      <c r="DR308" s="19" t="str">
        <f t="shared" si="1877"/>
        <v>#ERROR!</v>
      </c>
      <c r="DS308" s="18" t="str">
        <f t="shared" ref="DS308:DS310" si="1894">SUM(DO308:DR308)</f>
        <v>#ERROR!</v>
      </c>
      <c r="DT308" s="19" t="str">
        <f t="shared" ref="DT308:DW308" si="1878">DT287+DT274</f>
        <v>#ERROR!</v>
      </c>
      <c r="DU308" s="19" t="str">
        <f t="shared" si="1878"/>
        <v>#ERROR!</v>
      </c>
      <c r="DV308" s="19" t="str">
        <f t="shared" si="1878"/>
        <v>#ERROR!</v>
      </c>
      <c r="DW308" s="19" t="str">
        <f t="shared" si="1878"/>
        <v>#ERROR!</v>
      </c>
      <c r="DX308" s="18" t="str">
        <f t="shared" ref="DX308:DX310" si="1896">SUM(DT308:DW308)</f>
        <v>#ERROR!</v>
      </c>
      <c r="DY308" s="19" t="str">
        <f t="shared" ref="DY308:EB308" si="1879">DY287+DY274</f>
        <v>#ERROR!</v>
      </c>
      <c r="DZ308" s="19" t="str">
        <f t="shared" si="1879"/>
        <v>#ERROR!</v>
      </c>
      <c r="EA308" s="19" t="str">
        <f t="shared" si="1879"/>
        <v>#ERROR!</v>
      </c>
      <c r="EB308" s="19" t="str">
        <f t="shared" si="1879"/>
        <v>#ERROR!</v>
      </c>
      <c r="EC308" s="18" t="str">
        <f t="shared" ref="EC308:EC310" si="1898">SUM(DY308:EB308)</f>
        <v>#ERROR!</v>
      </c>
      <c r="ED308" s="19" t="str">
        <f t="shared" ref="ED308:EG308" si="1880">ED287+ED274</f>
        <v>#ERROR!</v>
      </c>
      <c r="EE308" s="19" t="str">
        <f t="shared" si="1880"/>
        <v>#ERROR!</v>
      </c>
      <c r="EF308" s="19" t="str">
        <f t="shared" si="1880"/>
        <v>#ERROR!</v>
      </c>
      <c r="EG308" s="19" t="str">
        <f t="shared" si="1880"/>
        <v>#ERROR!</v>
      </c>
      <c r="EH308" s="18" t="str">
        <f t="shared" ref="EH308:EH310" si="1899">SUM(ED308:EG308)</f>
        <v>#ERROR!</v>
      </c>
      <c r="EI308" s="25" t="str">
        <f t="shared" ref="EI308:EL308" si="1881">EI287+EI274</f>
        <v>#ERROR!</v>
      </c>
      <c r="EJ308" s="17" t="str">
        <f t="shared" si="1881"/>
        <v>#ERROR!</v>
      </c>
      <c r="EK308" s="17" t="str">
        <f t="shared" si="1881"/>
        <v>#ERROR!</v>
      </c>
      <c r="EL308" s="17" t="str">
        <f t="shared" si="1881"/>
        <v>#ERROR!</v>
      </c>
      <c r="EM308" s="18" t="str">
        <f t="shared" ref="EM308:EM310" si="1900">SUM(EI308:EL308)</f>
        <v>#ERROR!</v>
      </c>
      <c r="EN308" s="17" t="str">
        <f t="shared" ref="EN308:EQ308" si="1882">EN287+EN274</f>
        <v>#ERROR!</v>
      </c>
      <c r="EO308" s="17" t="str">
        <f t="shared" si="1882"/>
        <v>#ERROR!</v>
      </c>
      <c r="EP308" s="17" t="str">
        <f t="shared" si="1882"/>
        <v>#ERROR!</v>
      </c>
      <c r="EQ308" s="17" t="str">
        <f t="shared" si="1882"/>
        <v>#ERROR!</v>
      </c>
      <c r="ER308" s="18" t="str">
        <f t="shared" ref="ER308:ER310" si="1901">SUM(EN308:EQ308)</f>
        <v>#ERROR!</v>
      </c>
      <c r="ES308" s="17" t="str">
        <f t="shared" ref="ES308:EV308" si="1883">ES287+ES274</f>
        <v>#ERROR!</v>
      </c>
      <c r="ET308" s="17" t="str">
        <f t="shared" si="1883"/>
        <v>#ERROR!</v>
      </c>
      <c r="EU308" s="17" t="str">
        <f t="shared" si="1883"/>
        <v>#ERROR!</v>
      </c>
      <c r="EV308" s="17" t="str">
        <f t="shared" si="1883"/>
        <v>#ERROR!</v>
      </c>
      <c r="EW308" s="18" t="str">
        <f t="shared" ref="EW308:EW310" si="1902">SUM(ES308:EV308)</f>
        <v>#ERROR!</v>
      </c>
      <c r="EX308" s="17" t="str">
        <f t="shared" ref="EX308:FA308" si="1884">EX287+EX274</f>
        <v>#ERROR!</v>
      </c>
      <c r="EY308" s="17" t="str">
        <f t="shared" si="1884"/>
        <v>#ERROR!</v>
      </c>
      <c r="EZ308" s="17" t="str">
        <f t="shared" si="1884"/>
        <v>#ERROR!</v>
      </c>
      <c r="FA308" s="17" t="str">
        <f t="shared" si="1884"/>
        <v>#ERROR!</v>
      </c>
      <c r="FB308" s="18" t="str">
        <f t="shared" ref="FB308:FB310" si="1903">SUM(EX308:FA308)</f>
        <v>#ERROR!</v>
      </c>
      <c r="FC308" s="17" t="str">
        <f t="shared" ref="FC308:FF308" si="1885">FC287+FC274</f>
        <v>#ERROR!</v>
      </c>
      <c r="FD308" s="17" t="str">
        <f t="shared" si="1885"/>
        <v>#ERROR!</v>
      </c>
      <c r="FE308" s="17" t="str">
        <f t="shared" si="1885"/>
        <v>#ERROR!</v>
      </c>
      <c r="FF308" s="17" t="str">
        <f t="shared" si="1885"/>
        <v>#ERROR!</v>
      </c>
      <c r="FG308" s="18" t="str">
        <f t="shared" ref="FG308:FG310" si="1904">SUM(FC308:FF308)</f>
        <v>#ERROR!</v>
      </c>
      <c r="FH308" s="74"/>
      <c r="FI308" s="17"/>
      <c r="FJ308" s="17"/>
      <c r="FK308" s="73"/>
      <c r="FL308" s="17"/>
    </row>
    <row r="309" ht="12.75" hidden="1" customHeight="1" outlineLevel="1">
      <c r="A309" s="421"/>
      <c r="B309" s="458" t="s">
        <v>206</v>
      </c>
      <c r="C309" s="45"/>
      <c r="D309" s="15"/>
      <c r="E309" s="15"/>
      <c r="F309" s="15"/>
      <c r="G309" s="15"/>
      <c r="H309" s="410"/>
      <c r="I309" s="15"/>
      <c r="J309" s="15"/>
      <c r="K309" s="15"/>
      <c r="L309" s="15"/>
      <c r="M309" s="410"/>
      <c r="N309" s="15"/>
      <c r="O309" s="15"/>
      <c r="P309" s="15"/>
      <c r="Q309" s="15"/>
      <c r="R309" s="410"/>
      <c r="S309" s="15"/>
      <c r="T309" s="15"/>
      <c r="U309" s="15"/>
      <c r="V309" s="15"/>
      <c r="W309" s="410"/>
      <c r="X309" s="15"/>
      <c r="Y309" s="15"/>
      <c r="Z309" s="15"/>
      <c r="AA309" s="15"/>
      <c r="AB309" s="410"/>
      <c r="AC309" s="15"/>
      <c r="AD309" s="15"/>
      <c r="AE309" s="15"/>
      <c r="AF309" s="15"/>
      <c r="AG309" s="410"/>
      <c r="AH309" s="15"/>
      <c r="AI309" s="15"/>
      <c r="AJ309" s="15"/>
      <c r="AK309" s="15"/>
      <c r="AL309" s="410"/>
      <c r="AM309" s="15"/>
      <c r="AN309" s="15"/>
      <c r="AO309" s="15"/>
      <c r="AP309" s="15"/>
      <c r="AQ309" s="410"/>
      <c r="AR309" s="15"/>
      <c r="AS309" s="15"/>
      <c r="AT309" s="15"/>
      <c r="AU309" s="15"/>
      <c r="AV309" s="410"/>
      <c r="AW309" s="15"/>
      <c r="AX309" s="15"/>
      <c r="AY309" s="15"/>
      <c r="AZ309" s="15"/>
      <c r="BA309" s="410"/>
      <c r="BB309" s="15"/>
      <c r="BC309" s="15"/>
      <c r="BD309" s="15"/>
      <c r="BE309" s="15"/>
      <c r="BF309" s="410"/>
      <c r="BG309" s="15"/>
      <c r="BH309" s="15"/>
      <c r="BI309" s="15"/>
      <c r="BJ309" s="15"/>
      <c r="BK309" s="410"/>
      <c r="BL309" s="15"/>
      <c r="BM309" s="15"/>
      <c r="BN309" s="15"/>
      <c r="BO309" s="15"/>
      <c r="BP309" s="410"/>
      <c r="BQ309" s="15"/>
      <c r="BR309" s="15"/>
      <c r="BS309" s="15"/>
      <c r="BT309" s="15"/>
      <c r="BU309" s="410"/>
      <c r="BV309" s="15"/>
      <c r="BW309" s="15"/>
      <c r="BX309" s="15"/>
      <c r="BY309" s="15"/>
      <c r="BZ309" s="24"/>
      <c r="CA309" s="15"/>
      <c r="CB309" s="15"/>
      <c r="CC309" s="15"/>
      <c r="CD309" s="15"/>
      <c r="CE309" s="24"/>
      <c r="CF309" s="15"/>
      <c r="CG309" s="15"/>
      <c r="CH309" s="15"/>
      <c r="CI309" s="15"/>
      <c r="CJ309" s="24"/>
      <c r="CK309" s="15"/>
      <c r="CL309" s="15"/>
      <c r="CM309" s="15"/>
      <c r="CN309" s="40"/>
      <c r="CO309" s="24"/>
      <c r="CP309" s="427">
        <f t="shared" ref="CP309:CS309" si="1886">CP310+CP314</f>
        <v>1395.8</v>
      </c>
      <c r="CQ309" s="427">
        <f t="shared" si="1886"/>
        <v>1883.0279</v>
      </c>
      <c r="CR309" s="427">
        <f t="shared" si="1886"/>
        <v>2176.091936</v>
      </c>
      <c r="CS309" s="427">
        <f t="shared" si="1886"/>
        <v>2079.454498</v>
      </c>
      <c r="CT309" s="363">
        <f t="shared" si="1887"/>
        <v>7534.374334</v>
      </c>
      <c r="CU309" s="427">
        <f t="shared" ref="CU309:CX309" si="1888">CU310+CU314</f>
        <v>1597.591901</v>
      </c>
      <c r="CV309" s="427">
        <f t="shared" si="1888"/>
        <v>1600.791789</v>
      </c>
      <c r="CW309" s="427">
        <f t="shared" si="1888"/>
        <v>2241.655567</v>
      </c>
      <c r="CX309" s="427">
        <f t="shared" si="1888"/>
        <v>2327.191867</v>
      </c>
      <c r="CY309" s="363">
        <f t="shared" si="1889"/>
        <v>7767.231124</v>
      </c>
      <c r="CZ309" s="427">
        <v>1600.0</v>
      </c>
      <c r="DA309" s="427">
        <v>1400.0</v>
      </c>
      <c r="DB309" s="427">
        <v>2000.0</v>
      </c>
      <c r="DC309" s="427">
        <v>2050.0</v>
      </c>
      <c r="DD309" s="363">
        <f t="shared" si="1890"/>
        <v>7050</v>
      </c>
      <c r="DE309" s="427">
        <f>DE310+DE314</f>
        <v>1686.794966</v>
      </c>
      <c r="DF309" s="427" t="str">
        <f>DF265-DF273-600</f>
        <v>#ERROR!</v>
      </c>
      <c r="DG309" s="427">
        <v>1700.0</v>
      </c>
      <c r="DH309" s="427">
        <v>1900.0</v>
      </c>
      <c r="DI309" s="363" t="str">
        <f t="shared" si="1891"/>
        <v>#ERROR!</v>
      </c>
      <c r="DJ309" s="36" t="str">
        <f>7615-DJ273</f>
        <v>#ERROR!</v>
      </c>
      <c r="DK309" s="36" t="str">
        <f>8050-DK273</f>
        <v>#ERROR!</v>
      </c>
      <c r="DL309" s="36">
        <v>1211.0</v>
      </c>
      <c r="DM309" s="36" t="str">
        <f>DM269-DM273</f>
        <v>#ERROR!</v>
      </c>
      <c r="DN309" s="363" t="str">
        <f t="shared" si="1892"/>
        <v>#ERROR!</v>
      </c>
      <c r="DO309" s="36" t="str">
        <f t="shared" ref="DO309:DR309" si="1893">DO269-DO273</f>
        <v>#ERROR!</v>
      </c>
      <c r="DP309" s="36" t="str">
        <f t="shared" si="1893"/>
        <v>#ERROR!</v>
      </c>
      <c r="DQ309" s="36" t="str">
        <f t="shared" si="1893"/>
        <v>#ERROR!</v>
      </c>
      <c r="DR309" s="36" t="str">
        <f t="shared" si="1893"/>
        <v>#ERROR!</v>
      </c>
      <c r="DS309" s="363" t="str">
        <f t="shared" si="1894"/>
        <v>#ERROR!</v>
      </c>
      <c r="DT309" s="36" t="str">
        <f t="shared" ref="DT309:DW309" si="1895">DT269-DT273</f>
        <v>#ERROR!</v>
      </c>
      <c r="DU309" s="36" t="str">
        <f t="shared" si="1895"/>
        <v>#ERROR!</v>
      </c>
      <c r="DV309" s="36" t="str">
        <f t="shared" si="1895"/>
        <v>#ERROR!</v>
      </c>
      <c r="DW309" s="36" t="str">
        <f t="shared" si="1895"/>
        <v>#ERROR!</v>
      </c>
      <c r="DX309" s="363" t="str">
        <f t="shared" si="1896"/>
        <v>#ERROR!</v>
      </c>
      <c r="DY309" s="36" t="str">
        <f t="shared" ref="DY309:EB309" si="1897">DY269-DY273</f>
        <v>#ERROR!</v>
      </c>
      <c r="DZ309" s="36" t="str">
        <f t="shared" si="1897"/>
        <v>#ERROR!</v>
      </c>
      <c r="EA309" s="36" t="str">
        <f t="shared" si="1897"/>
        <v>#ERROR!</v>
      </c>
      <c r="EB309" s="36" t="str">
        <f t="shared" si="1897"/>
        <v>#ERROR!</v>
      </c>
      <c r="EC309" s="363" t="str">
        <f t="shared" si="1898"/>
        <v>#ERROR!</v>
      </c>
      <c r="ED309" s="36" t="str">
        <f>ED269-ED273</f>
        <v>#ERROR!</v>
      </c>
      <c r="EE309" s="36" t="str">
        <f>AVERAGE(DZ309,EA309,EB309,ED309)</f>
        <v>#ERROR!</v>
      </c>
      <c r="EF309" s="36" t="str">
        <f>AVERAGE(EA309,EB309,ED309,EE309)</f>
        <v>#ERROR!</v>
      </c>
      <c r="EG309" s="36" t="str">
        <f>AVERAGE(EB309,ED309,EE309,EF309)</f>
        <v>#ERROR!</v>
      </c>
      <c r="EH309" s="363" t="str">
        <f t="shared" si="1899"/>
        <v>#ERROR!</v>
      </c>
      <c r="EI309" s="428" t="str">
        <f>AVERAGE(ED309:EG309)</f>
        <v>#ERROR!</v>
      </c>
      <c r="EJ309" s="427" t="str">
        <f>AVERAGE(EE309,EF309,EG309,EI309)</f>
        <v>#ERROR!</v>
      </c>
      <c r="EK309" s="427" t="str">
        <f>AVERAGE(EF309,EG309,EI309,EJ309)</f>
        <v>#ERROR!</v>
      </c>
      <c r="EL309" s="427" t="str">
        <f>AVERAGE(EG309,EI309,EJ309,EK309)</f>
        <v>#ERROR!</v>
      </c>
      <c r="EM309" s="363" t="str">
        <f t="shared" si="1900"/>
        <v>#ERROR!</v>
      </c>
      <c r="EN309" s="427" t="str">
        <f>AVERAGE(EI309:EL309)</f>
        <v>#ERROR!</v>
      </c>
      <c r="EO309" s="427" t="str">
        <f>AVERAGE(EJ309,EK309,EL309,EN309)</f>
        <v>#ERROR!</v>
      </c>
      <c r="EP309" s="427" t="str">
        <f>AVERAGE(EK309,EL309,EN309,EO309)</f>
        <v>#ERROR!</v>
      </c>
      <c r="EQ309" s="427" t="str">
        <f>AVERAGE(EL309,EN309,EO309,EP309)</f>
        <v>#ERROR!</v>
      </c>
      <c r="ER309" s="363" t="str">
        <f t="shared" si="1901"/>
        <v>#ERROR!</v>
      </c>
      <c r="ES309" s="427" t="str">
        <f>AVERAGE(EN309:EQ309)</f>
        <v>#ERROR!</v>
      </c>
      <c r="ET309" s="427" t="str">
        <f>AVERAGE(EO309,EP309,EQ309,ES309)</f>
        <v>#ERROR!</v>
      </c>
      <c r="EU309" s="427" t="str">
        <f>AVERAGE(EP309,EQ309,ES309,ET309)</f>
        <v>#ERROR!</v>
      </c>
      <c r="EV309" s="427" t="str">
        <f>AVERAGE(EQ309,ES309,ET309,EU309)</f>
        <v>#ERROR!</v>
      </c>
      <c r="EW309" s="363" t="str">
        <f t="shared" si="1902"/>
        <v>#ERROR!</v>
      </c>
      <c r="EX309" s="427" t="str">
        <f>AVERAGE(ES309:EV309)</f>
        <v>#ERROR!</v>
      </c>
      <c r="EY309" s="427" t="str">
        <f>AVERAGE(ET309,EU309,EV309,EX309)</f>
        <v>#ERROR!</v>
      </c>
      <c r="EZ309" s="427" t="str">
        <f>AVERAGE(EU309,EV309,EX309,EY309)</f>
        <v>#ERROR!</v>
      </c>
      <c r="FA309" s="427" t="str">
        <f>AVERAGE(EV309,EX309,EY309,EZ309)</f>
        <v>#ERROR!</v>
      </c>
      <c r="FB309" s="363" t="str">
        <f t="shared" si="1903"/>
        <v>#ERROR!</v>
      </c>
      <c r="FC309" s="427" t="str">
        <f>AVERAGE(EX309:FA309)</f>
        <v>#ERROR!</v>
      </c>
      <c r="FD309" s="427" t="str">
        <f>AVERAGE(EY309,EZ309,FA309,FC309)</f>
        <v>#ERROR!</v>
      </c>
      <c r="FE309" s="427" t="str">
        <f>AVERAGE(EZ309,FA309,FC309,FD309)</f>
        <v>#ERROR!</v>
      </c>
      <c r="FF309" s="427" t="str">
        <f>AVERAGE(FA309,FC309,FD309,FE309)</f>
        <v>#ERROR!</v>
      </c>
      <c r="FG309" s="363" t="str">
        <f t="shared" si="1904"/>
        <v>#ERROR!</v>
      </c>
      <c r="FH309" s="364"/>
      <c r="FI309" s="15"/>
      <c r="FJ309" s="15"/>
      <c r="FK309" s="410"/>
      <c r="FL309" s="15"/>
    </row>
    <row r="310" ht="12.75" hidden="1" customHeight="1" outlineLevel="2">
      <c r="A310" s="421"/>
      <c r="B310" s="72" t="s">
        <v>148</v>
      </c>
      <c r="C310" s="45"/>
      <c r="D310" s="15"/>
      <c r="E310" s="15"/>
      <c r="F310" s="15"/>
      <c r="G310" s="15"/>
      <c r="H310" s="410"/>
      <c r="I310" s="15"/>
      <c r="J310" s="15"/>
      <c r="K310" s="15"/>
      <c r="L310" s="15"/>
      <c r="M310" s="410"/>
      <c r="N310" s="15"/>
      <c r="O310" s="15"/>
      <c r="P310" s="15"/>
      <c r="Q310" s="15"/>
      <c r="R310" s="410"/>
      <c r="S310" s="15"/>
      <c r="T310" s="15"/>
      <c r="U310" s="15"/>
      <c r="V310" s="15"/>
      <c r="W310" s="410"/>
      <c r="X310" s="15"/>
      <c r="Y310" s="15"/>
      <c r="Z310" s="15"/>
      <c r="AA310" s="15"/>
      <c r="AB310" s="410"/>
      <c r="AC310" s="15"/>
      <c r="AD310" s="15"/>
      <c r="AE310" s="15"/>
      <c r="AF310" s="15"/>
      <c r="AG310" s="410"/>
      <c r="AH310" s="15"/>
      <c r="AI310" s="15"/>
      <c r="AJ310" s="15"/>
      <c r="AK310" s="15"/>
      <c r="AL310" s="410"/>
      <c r="AM310" s="15"/>
      <c r="AN310" s="15"/>
      <c r="AO310" s="15"/>
      <c r="AP310" s="15"/>
      <c r="AQ310" s="410"/>
      <c r="AR310" s="15"/>
      <c r="AS310" s="15"/>
      <c r="AT310" s="15"/>
      <c r="AU310" s="15"/>
      <c r="AV310" s="410"/>
      <c r="AW310" s="15"/>
      <c r="AX310" s="15"/>
      <c r="AY310" s="15"/>
      <c r="AZ310" s="15"/>
      <c r="BA310" s="410"/>
      <c r="BB310" s="15"/>
      <c r="BC310" s="15"/>
      <c r="BD310" s="15"/>
      <c r="BE310" s="15"/>
      <c r="BF310" s="410"/>
      <c r="BG310" s="15"/>
      <c r="BH310" s="15"/>
      <c r="BI310" s="15"/>
      <c r="BJ310" s="15"/>
      <c r="BK310" s="410"/>
      <c r="BL310" s="15"/>
      <c r="BM310" s="15"/>
      <c r="BN310" s="15"/>
      <c r="BO310" s="15"/>
      <c r="BP310" s="410"/>
      <c r="BQ310" s="15"/>
      <c r="BR310" s="15"/>
      <c r="BS310" s="15"/>
      <c r="BT310" s="15"/>
      <c r="BU310" s="410"/>
      <c r="BV310" s="15"/>
      <c r="BW310" s="15"/>
      <c r="BX310" s="15"/>
      <c r="BY310" s="15"/>
      <c r="BZ310" s="24"/>
      <c r="CA310" s="15"/>
      <c r="CB310" s="15"/>
      <c r="CC310" s="15"/>
      <c r="CD310" s="15"/>
      <c r="CE310" s="24"/>
      <c r="CF310" s="15"/>
      <c r="CG310" s="15"/>
      <c r="CH310" s="15"/>
      <c r="CI310" s="15"/>
      <c r="CJ310" s="24"/>
      <c r="CK310" s="15"/>
      <c r="CL310" s="15"/>
      <c r="CM310" s="15"/>
      <c r="CN310" s="40"/>
      <c r="CO310" s="24"/>
      <c r="CP310" s="427">
        <v>616.5</v>
      </c>
      <c r="CQ310" s="427">
        <f t="shared" ref="CQ310:CS310" si="1905">CP310*(1+CQ311)</f>
        <v>657.189</v>
      </c>
      <c r="CR310" s="427">
        <f t="shared" si="1905"/>
        <v>658.503378</v>
      </c>
      <c r="CS310" s="427">
        <f t="shared" si="1905"/>
        <v>645.3333104</v>
      </c>
      <c r="CT310" s="363">
        <f t="shared" si="1887"/>
        <v>2577.525688</v>
      </c>
      <c r="CU310" s="427">
        <f>CS310*(1+CU311)</f>
        <v>580.7999794</v>
      </c>
      <c r="CV310" s="427">
        <f t="shared" ref="CV310:CX310" si="1906">CU310*(1+CV311)</f>
        <v>569.7647798</v>
      </c>
      <c r="CW310" s="427">
        <f t="shared" si="1906"/>
        <v>608.5087848</v>
      </c>
      <c r="CX310" s="427">
        <f t="shared" si="1906"/>
        <v>640.1512416</v>
      </c>
      <c r="CY310" s="363">
        <f t="shared" si="1889"/>
        <v>2399.224786</v>
      </c>
      <c r="CZ310" s="427">
        <f>CX310*(1+CZ311)</f>
        <v>590.859596</v>
      </c>
      <c r="DA310" s="427">
        <f t="shared" ref="DA310:DC310" si="1907">CZ310*(1+DA311)</f>
        <v>535.318794</v>
      </c>
      <c r="DB310" s="427">
        <f t="shared" si="1907"/>
        <v>572.2557908</v>
      </c>
      <c r="DC310" s="427">
        <f t="shared" si="1907"/>
        <v>594.5737666</v>
      </c>
      <c r="DD310" s="363">
        <f t="shared" si="1890"/>
        <v>2293.007947</v>
      </c>
      <c r="DE310" s="427">
        <f>DC310*(1+DE311)</f>
        <v>560.6830619</v>
      </c>
      <c r="DF310" s="427">
        <f t="shared" ref="DF310:DH310" si="1908">DE310*(1+DF311)</f>
        <v>538.2557394</v>
      </c>
      <c r="DG310" s="36">
        <f t="shared" si="1908"/>
        <v>543.6382968</v>
      </c>
      <c r="DH310" s="427">
        <f t="shared" si="1908"/>
        <v>554.5110628</v>
      </c>
      <c r="DI310" s="363">
        <f t="shared" si="1891"/>
        <v>2197.088161</v>
      </c>
      <c r="DJ310" s="36">
        <f>DH310*(1+DJ311)</f>
        <v>522.9039322</v>
      </c>
      <c r="DK310" s="36">
        <f t="shared" ref="DK310:DM310" si="1909">DJ310*(1+DK311)</f>
        <v>501.9877749</v>
      </c>
      <c r="DL310" s="36">
        <f t="shared" si="1909"/>
        <v>507.0076527</v>
      </c>
      <c r="DM310" s="36">
        <f t="shared" si="1909"/>
        <v>517.1478057</v>
      </c>
      <c r="DN310" s="363">
        <f t="shared" si="1892"/>
        <v>2049.047165</v>
      </c>
      <c r="DO310" s="36">
        <f>DM310*(1+DO311)</f>
        <v>487.6703808</v>
      </c>
      <c r="DP310" s="36">
        <f t="shared" ref="DP310:DR310" si="1910">DO310*(1+DP311)</f>
        <v>468.1635656</v>
      </c>
      <c r="DQ310" s="36">
        <f t="shared" si="1910"/>
        <v>472.8452012</v>
      </c>
      <c r="DR310" s="36">
        <f t="shared" si="1910"/>
        <v>482.3021052</v>
      </c>
      <c r="DS310" s="363">
        <f t="shared" si="1894"/>
        <v>1910.981253</v>
      </c>
      <c r="DT310" s="36">
        <f>DR310*(1+DT311)</f>
        <v>454.8108852</v>
      </c>
      <c r="DU310" s="36">
        <f t="shared" ref="DU310:DW310" si="1911">DT310*(1+DU311)</f>
        <v>436.6184498</v>
      </c>
      <c r="DV310" s="36">
        <f t="shared" si="1911"/>
        <v>440.9846343</v>
      </c>
      <c r="DW310" s="36">
        <f t="shared" si="1911"/>
        <v>449.804327</v>
      </c>
      <c r="DX310" s="363">
        <f t="shared" si="1896"/>
        <v>1782.218296</v>
      </c>
      <c r="DY310" s="36">
        <f>DW310*(1+DY311)</f>
        <v>424.1654804</v>
      </c>
      <c r="DZ310" s="36">
        <f t="shared" ref="DZ310:EB310" si="1912">DY310*(1+DZ311)</f>
        <v>407.1988612</v>
      </c>
      <c r="EA310" s="36">
        <f t="shared" si="1912"/>
        <v>411.2708498</v>
      </c>
      <c r="EB310" s="36">
        <f t="shared" si="1912"/>
        <v>419.4962668</v>
      </c>
      <c r="EC310" s="363">
        <f t="shared" si="1898"/>
        <v>1662.131458</v>
      </c>
      <c r="ED310" s="36">
        <f>EB310*(1+ED311)</f>
        <v>395.5849796</v>
      </c>
      <c r="EE310" s="36">
        <f t="shared" ref="EE310:EG310" si="1913">ED310*(1+EE311)</f>
        <v>379.7615804</v>
      </c>
      <c r="EF310" s="36">
        <f t="shared" si="1913"/>
        <v>383.5591962</v>
      </c>
      <c r="EG310" s="36">
        <f t="shared" si="1913"/>
        <v>391.2303801</v>
      </c>
      <c r="EH310" s="363">
        <f t="shared" si="1899"/>
        <v>1550.136136</v>
      </c>
      <c r="EI310" s="428">
        <f>EG310*(1+EI311)</f>
        <v>368.9302484</v>
      </c>
      <c r="EJ310" s="430">
        <f t="shared" ref="EJ310:EL310" si="1914">EI310*(1+EJ311)</f>
        <v>354.1730385</v>
      </c>
      <c r="EK310" s="430">
        <f t="shared" si="1914"/>
        <v>357.7147689</v>
      </c>
      <c r="EL310" s="430">
        <f t="shared" si="1914"/>
        <v>364.8690643</v>
      </c>
      <c r="EM310" s="363">
        <f t="shared" si="1900"/>
        <v>1445.68712</v>
      </c>
      <c r="EN310" s="430">
        <f>EL310*(1+EN311)</f>
        <v>344.0715276</v>
      </c>
      <c r="EO310" s="430">
        <f t="shared" ref="EO310:EQ310" si="1915">EN310*(1+EO311)</f>
        <v>330.3086665</v>
      </c>
      <c r="EP310" s="430">
        <f t="shared" si="1915"/>
        <v>333.6117532</v>
      </c>
      <c r="EQ310" s="430">
        <f t="shared" si="1915"/>
        <v>340.2839882</v>
      </c>
      <c r="ER310" s="363">
        <f t="shared" si="1901"/>
        <v>1348.275935</v>
      </c>
      <c r="ES310" s="430">
        <f>EQ310*(1+ES311)</f>
        <v>320.8878009</v>
      </c>
      <c r="ET310" s="430">
        <f t="shared" ref="ET310:EV310" si="1916">ES310*(1+ET311)</f>
        <v>308.0522889</v>
      </c>
      <c r="EU310" s="430">
        <f t="shared" si="1916"/>
        <v>311.1328117</v>
      </c>
      <c r="EV310" s="430">
        <f t="shared" si="1916"/>
        <v>317.355468</v>
      </c>
      <c r="EW310" s="363">
        <f t="shared" si="1902"/>
        <v>1257.428369</v>
      </c>
      <c r="EX310" s="430">
        <f>EV310*(1+EX311)</f>
        <v>299.2662063</v>
      </c>
      <c r="EY310" s="430">
        <f t="shared" ref="EY310:FA310" si="1917">EX310*(1+EY311)</f>
        <v>287.2955581</v>
      </c>
      <c r="EZ310" s="430">
        <f t="shared" si="1917"/>
        <v>290.1685136</v>
      </c>
      <c r="FA310" s="430">
        <f t="shared" si="1917"/>
        <v>295.9718839</v>
      </c>
      <c r="FB310" s="363">
        <f t="shared" si="1903"/>
        <v>1172.702162</v>
      </c>
      <c r="FC310" s="430">
        <f>FA310*(1+FC311)</f>
        <v>279.1014865</v>
      </c>
      <c r="FD310" s="430">
        <f t="shared" ref="FD310:FF310" si="1918">FC310*(1+FD311)</f>
        <v>267.9374271</v>
      </c>
      <c r="FE310" s="430">
        <f t="shared" si="1918"/>
        <v>270.6168013</v>
      </c>
      <c r="FF310" s="430">
        <f t="shared" si="1918"/>
        <v>276.0291374</v>
      </c>
      <c r="FG310" s="363">
        <f t="shared" si="1904"/>
        <v>1093.684852</v>
      </c>
      <c r="FH310" s="364"/>
      <c r="FI310" s="15"/>
      <c r="FJ310" s="15"/>
      <c r="FK310" s="410"/>
      <c r="FL310" s="15"/>
    </row>
    <row r="311" ht="12.75" hidden="1" customHeight="1" outlineLevel="2">
      <c r="A311" s="421"/>
      <c r="B311" s="72" t="s">
        <v>150</v>
      </c>
      <c r="C311" s="45"/>
      <c r="D311" s="15"/>
      <c r="E311" s="15"/>
      <c r="F311" s="15"/>
      <c r="G311" s="15"/>
      <c r="H311" s="410"/>
      <c r="I311" s="15"/>
      <c r="J311" s="15"/>
      <c r="K311" s="15"/>
      <c r="L311" s="15"/>
      <c r="M311" s="410"/>
      <c r="N311" s="15"/>
      <c r="O311" s="15"/>
      <c r="P311" s="15"/>
      <c r="Q311" s="15"/>
      <c r="R311" s="410"/>
      <c r="S311" s="15"/>
      <c r="T311" s="15"/>
      <c r="U311" s="15"/>
      <c r="V311" s="15"/>
      <c r="W311" s="410"/>
      <c r="X311" s="15"/>
      <c r="Y311" s="15"/>
      <c r="Z311" s="15"/>
      <c r="AA311" s="15"/>
      <c r="AB311" s="410"/>
      <c r="AC311" s="15"/>
      <c r="AD311" s="15"/>
      <c r="AE311" s="15"/>
      <c r="AF311" s="15"/>
      <c r="AG311" s="410"/>
      <c r="AH311" s="15"/>
      <c r="AI311" s="15"/>
      <c r="AJ311" s="15"/>
      <c r="AK311" s="15"/>
      <c r="AL311" s="410"/>
      <c r="AM311" s="15"/>
      <c r="AN311" s="15"/>
      <c r="AO311" s="15"/>
      <c r="AP311" s="15"/>
      <c r="AQ311" s="410"/>
      <c r="AR311" s="15"/>
      <c r="AS311" s="15"/>
      <c r="AT311" s="15"/>
      <c r="AU311" s="15"/>
      <c r="AV311" s="410"/>
      <c r="AW311" s="15"/>
      <c r="AX311" s="15"/>
      <c r="AY311" s="15"/>
      <c r="AZ311" s="15"/>
      <c r="BA311" s="410"/>
      <c r="BB311" s="15"/>
      <c r="BC311" s="15"/>
      <c r="BD311" s="15"/>
      <c r="BE311" s="15"/>
      <c r="BF311" s="410"/>
      <c r="BG311" s="15"/>
      <c r="BH311" s="15"/>
      <c r="BI311" s="15"/>
      <c r="BJ311" s="15"/>
      <c r="BK311" s="410"/>
      <c r="BL311" s="15"/>
      <c r="BM311" s="15"/>
      <c r="BN311" s="15"/>
      <c r="BO311" s="15"/>
      <c r="BP311" s="410"/>
      <c r="BQ311" s="15"/>
      <c r="BR311" s="15"/>
      <c r="BS311" s="15"/>
      <c r="BT311" s="15"/>
      <c r="BU311" s="410"/>
      <c r="BV311" s="15"/>
      <c r="BW311" s="15"/>
      <c r="BX311" s="15"/>
      <c r="BY311" s="15"/>
      <c r="BZ311" s="24"/>
      <c r="CA311" s="15"/>
      <c r="CB311" s="15"/>
      <c r="CC311" s="15"/>
      <c r="CD311" s="15"/>
      <c r="CE311" s="24"/>
      <c r="CF311" s="15"/>
      <c r="CG311" s="15"/>
      <c r="CH311" s="15"/>
      <c r="CI311" s="15"/>
      <c r="CJ311" s="24"/>
      <c r="CK311" s="15"/>
      <c r="CL311" s="15"/>
      <c r="CM311" s="15"/>
      <c r="CN311" s="40"/>
      <c r="CO311" s="24"/>
      <c r="CP311" s="427"/>
      <c r="CQ311" s="459">
        <v>0.066</v>
      </c>
      <c r="CR311" s="459">
        <v>0.002</v>
      </c>
      <c r="CS311" s="459">
        <v>-0.02</v>
      </c>
      <c r="CT311" s="363"/>
      <c r="CU311" s="459">
        <v>-0.1</v>
      </c>
      <c r="CV311" s="459">
        <v>-0.019</v>
      </c>
      <c r="CW311" s="459">
        <v>0.068</v>
      </c>
      <c r="CX311" s="459">
        <v>0.052</v>
      </c>
      <c r="CY311" s="363"/>
      <c r="CZ311" s="459">
        <v>-0.077</v>
      </c>
      <c r="DA311" s="459">
        <v>-0.094</v>
      </c>
      <c r="DB311" s="459">
        <v>0.069</v>
      </c>
      <c r="DC311" s="459">
        <v>0.039</v>
      </c>
      <c r="DD311" s="363"/>
      <c r="DE311" s="459">
        <v>-0.057</v>
      </c>
      <c r="DF311" s="459">
        <v>-0.04</v>
      </c>
      <c r="DG311" s="460">
        <v>0.01</v>
      </c>
      <c r="DH311" s="459">
        <v>0.02</v>
      </c>
      <c r="DI311" s="363"/>
      <c r="DJ311" s="460">
        <v>-0.057</v>
      </c>
      <c r="DK311" s="460">
        <v>-0.04</v>
      </c>
      <c r="DL311" s="460">
        <v>0.01</v>
      </c>
      <c r="DM311" s="460">
        <v>0.02</v>
      </c>
      <c r="DN311" s="363"/>
      <c r="DO311" s="460">
        <v>-0.057</v>
      </c>
      <c r="DP311" s="460">
        <v>-0.04</v>
      </c>
      <c r="DQ311" s="460">
        <v>0.01</v>
      </c>
      <c r="DR311" s="460">
        <v>0.02</v>
      </c>
      <c r="DS311" s="363"/>
      <c r="DT311" s="460">
        <v>-0.057</v>
      </c>
      <c r="DU311" s="460">
        <v>-0.04</v>
      </c>
      <c r="DV311" s="460">
        <v>0.01</v>
      </c>
      <c r="DW311" s="460">
        <v>0.02</v>
      </c>
      <c r="DX311" s="363"/>
      <c r="DY311" s="460">
        <v>-0.057</v>
      </c>
      <c r="DZ311" s="460">
        <v>-0.04</v>
      </c>
      <c r="EA311" s="460">
        <v>0.01</v>
      </c>
      <c r="EB311" s="460">
        <v>0.02</v>
      </c>
      <c r="EC311" s="363"/>
      <c r="ED311" s="460">
        <v>-0.057</v>
      </c>
      <c r="EE311" s="460">
        <v>-0.04</v>
      </c>
      <c r="EF311" s="460">
        <v>0.01</v>
      </c>
      <c r="EG311" s="460">
        <v>0.02</v>
      </c>
      <c r="EH311" s="363"/>
      <c r="EI311" s="461">
        <v>-0.057</v>
      </c>
      <c r="EJ311" s="462">
        <v>-0.04</v>
      </c>
      <c r="EK311" s="462">
        <v>0.01</v>
      </c>
      <c r="EL311" s="462">
        <v>0.02</v>
      </c>
      <c r="EM311" s="363"/>
      <c r="EN311" s="462">
        <v>-0.057</v>
      </c>
      <c r="EO311" s="462">
        <v>-0.04</v>
      </c>
      <c r="EP311" s="462">
        <v>0.01</v>
      </c>
      <c r="EQ311" s="462">
        <v>0.02</v>
      </c>
      <c r="ER311" s="363"/>
      <c r="ES311" s="462">
        <v>-0.057</v>
      </c>
      <c r="ET311" s="462">
        <v>-0.04</v>
      </c>
      <c r="EU311" s="462">
        <v>0.01</v>
      </c>
      <c r="EV311" s="462">
        <v>0.02</v>
      </c>
      <c r="EW311" s="363"/>
      <c r="EX311" s="462">
        <v>-0.057</v>
      </c>
      <c r="EY311" s="462">
        <v>-0.04</v>
      </c>
      <c r="EZ311" s="462">
        <v>0.01</v>
      </c>
      <c r="FA311" s="462">
        <v>0.02</v>
      </c>
      <c r="FB311" s="363"/>
      <c r="FC311" s="462">
        <v>-0.057</v>
      </c>
      <c r="FD311" s="462">
        <v>-0.04</v>
      </c>
      <c r="FE311" s="462">
        <v>0.01</v>
      </c>
      <c r="FF311" s="462">
        <v>0.02</v>
      </c>
      <c r="FG311" s="363"/>
      <c r="FH311" s="364"/>
      <c r="FI311" s="15"/>
      <c r="FJ311" s="15"/>
      <c r="FK311" s="410"/>
      <c r="FL311" s="15"/>
    </row>
    <row r="312" ht="12.75" hidden="1" customHeight="1" outlineLevel="2">
      <c r="A312" s="421"/>
      <c r="B312" s="72" t="s">
        <v>146</v>
      </c>
      <c r="C312" s="45"/>
      <c r="D312" s="15"/>
      <c r="E312" s="15"/>
      <c r="F312" s="15"/>
      <c r="G312" s="15"/>
      <c r="H312" s="410"/>
      <c r="I312" s="15"/>
      <c r="J312" s="15"/>
      <c r="K312" s="15"/>
      <c r="L312" s="15"/>
      <c r="M312" s="410"/>
      <c r="N312" s="15"/>
      <c r="O312" s="15"/>
      <c r="P312" s="15"/>
      <c r="Q312" s="15"/>
      <c r="R312" s="410"/>
      <c r="S312" s="15"/>
      <c r="T312" s="15"/>
      <c r="U312" s="15"/>
      <c r="V312" s="15"/>
      <c r="W312" s="410"/>
      <c r="X312" s="15"/>
      <c r="Y312" s="15"/>
      <c r="Z312" s="15"/>
      <c r="AA312" s="15"/>
      <c r="AB312" s="410"/>
      <c r="AC312" s="15"/>
      <c r="AD312" s="15"/>
      <c r="AE312" s="15"/>
      <c r="AF312" s="15"/>
      <c r="AG312" s="410"/>
      <c r="AH312" s="15"/>
      <c r="AI312" s="15"/>
      <c r="AJ312" s="15"/>
      <c r="AK312" s="15"/>
      <c r="AL312" s="410"/>
      <c r="AM312" s="15"/>
      <c r="AN312" s="15"/>
      <c r="AO312" s="15"/>
      <c r="AP312" s="15"/>
      <c r="AQ312" s="410"/>
      <c r="AR312" s="15"/>
      <c r="AS312" s="15"/>
      <c r="AT312" s="15"/>
      <c r="AU312" s="15"/>
      <c r="AV312" s="410"/>
      <c r="AW312" s="15"/>
      <c r="AX312" s="15"/>
      <c r="AY312" s="15"/>
      <c r="AZ312" s="15"/>
      <c r="BA312" s="410"/>
      <c r="BB312" s="15"/>
      <c r="BC312" s="15"/>
      <c r="BD312" s="15"/>
      <c r="BE312" s="15"/>
      <c r="BF312" s="410"/>
      <c r="BG312" s="15"/>
      <c r="BH312" s="15"/>
      <c r="BI312" s="15"/>
      <c r="BJ312" s="15"/>
      <c r="BK312" s="410"/>
      <c r="BL312" s="15"/>
      <c r="BM312" s="15"/>
      <c r="BN312" s="15"/>
      <c r="BO312" s="15"/>
      <c r="BP312" s="410"/>
      <c r="BQ312" s="15"/>
      <c r="BR312" s="15"/>
      <c r="BS312" s="15"/>
      <c r="BT312" s="15"/>
      <c r="BU312" s="410"/>
      <c r="BV312" s="15"/>
      <c r="BW312" s="15"/>
      <c r="BX312" s="15"/>
      <c r="BY312" s="15"/>
      <c r="BZ312" s="24"/>
      <c r="CA312" s="15"/>
      <c r="CB312" s="15"/>
      <c r="CC312" s="15"/>
      <c r="CD312" s="15"/>
      <c r="CE312" s="24"/>
      <c r="CF312" s="15"/>
      <c r="CG312" s="15"/>
      <c r="CH312" s="15"/>
      <c r="CI312" s="15"/>
      <c r="CJ312" s="24"/>
      <c r="CK312" s="15"/>
      <c r="CL312" s="15"/>
      <c r="CM312" s="15"/>
      <c r="CN312" s="40"/>
      <c r="CO312" s="24"/>
      <c r="CP312" s="427"/>
      <c r="CQ312" s="427"/>
      <c r="CR312" s="427"/>
      <c r="CS312" s="427"/>
      <c r="CT312" s="363"/>
      <c r="CU312" s="4">
        <f t="shared" ref="CU312:FG312" si="1919">CU310/CP310-1</f>
        <v>-0.057907576</v>
      </c>
      <c r="CV312" s="4">
        <f t="shared" si="1919"/>
        <v>-0.133027516</v>
      </c>
      <c r="CW312" s="4">
        <f t="shared" si="1919"/>
        <v>-0.075921544</v>
      </c>
      <c r="CX312" s="4">
        <f t="shared" si="1919"/>
        <v>-0.0080300656</v>
      </c>
      <c r="CY312" s="350">
        <f t="shared" si="1919"/>
        <v>-0.06917521855</v>
      </c>
      <c r="CZ312" s="4">
        <f t="shared" si="1919"/>
        <v>0.01732027717</v>
      </c>
      <c r="DA312" s="4">
        <f t="shared" si="1919"/>
        <v>-0.06045650243</v>
      </c>
      <c r="DB312" s="4">
        <f t="shared" si="1919"/>
        <v>-0.05957678006</v>
      </c>
      <c r="DC312" s="4">
        <f t="shared" si="1919"/>
        <v>-0.07119797954</v>
      </c>
      <c r="DD312" s="350">
        <f t="shared" si="1919"/>
        <v>-0.04427131582</v>
      </c>
      <c r="DE312" s="4">
        <f t="shared" si="1919"/>
        <v>-0.05107225862</v>
      </c>
      <c r="DF312" s="4">
        <f t="shared" si="1919"/>
        <v>0.00548634848</v>
      </c>
      <c r="DG312" s="16">
        <f t="shared" si="1919"/>
        <v>-0.0500082208</v>
      </c>
      <c r="DH312" s="4">
        <f t="shared" si="1919"/>
        <v>-0.067380544</v>
      </c>
      <c r="DI312" s="350">
        <f t="shared" si="1919"/>
        <v>-0.04183142345</v>
      </c>
      <c r="DJ312" s="16">
        <f t="shared" si="1919"/>
        <v>-0.067380544</v>
      </c>
      <c r="DK312" s="16">
        <f t="shared" si="1919"/>
        <v>-0.067380544</v>
      </c>
      <c r="DL312" s="16">
        <f t="shared" si="1919"/>
        <v>-0.067380544</v>
      </c>
      <c r="DM312" s="16">
        <f t="shared" si="1919"/>
        <v>-0.067380544</v>
      </c>
      <c r="DN312" s="350">
        <f t="shared" si="1919"/>
        <v>-0.067380544</v>
      </c>
      <c r="DO312" s="16">
        <f t="shared" si="1919"/>
        <v>-0.067380544</v>
      </c>
      <c r="DP312" s="16">
        <f t="shared" si="1919"/>
        <v>-0.067380544</v>
      </c>
      <c r="DQ312" s="16">
        <f t="shared" si="1919"/>
        <v>-0.067380544</v>
      </c>
      <c r="DR312" s="16">
        <f t="shared" si="1919"/>
        <v>-0.067380544</v>
      </c>
      <c r="DS312" s="350">
        <f t="shared" si="1919"/>
        <v>-0.067380544</v>
      </c>
      <c r="DT312" s="16">
        <f t="shared" si="1919"/>
        <v>-0.067380544</v>
      </c>
      <c r="DU312" s="16">
        <f t="shared" si="1919"/>
        <v>-0.067380544</v>
      </c>
      <c r="DV312" s="16">
        <f t="shared" si="1919"/>
        <v>-0.067380544</v>
      </c>
      <c r="DW312" s="16">
        <f t="shared" si="1919"/>
        <v>-0.067380544</v>
      </c>
      <c r="DX312" s="350">
        <f t="shared" si="1919"/>
        <v>-0.067380544</v>
      </c>
      <c r="DY312" s="16">
        <f t="shared" si="1919"/>
        <v>-0.067380544</v>
      </c>
      <c r="DZ312" s="16">
        <f t="shared" si="1919"/>
        <v>-0.067380544</v>
      </c>
      <c r="EA312" s="16">
        <f t="shared" si="1919"/>
        <v>-0.067380544</v>
      </c>
      <c r="EB312" s="16">
        <f t="shared" si="1919"/>
        <v>-0.067380544</v>
      </c>
      <c r="EC312" s="350">
        <f t="shared" si="1919"/>
        <v>-0.067380544</v>
      </c>
      <c r="ED312" s="16">
        <f t="shared" si="1919"/>
        <v>-0.067380544</v>
      </c>
      <c r="EE312" s="16">
        <f t="shared" si="1919"/>
        <v>-0.067380544</v>
      </c>
      <c r="EF312" s="16">
        <f t="shared" si="1919"/>
        <v>-0.067380544</v>
      </c>
      <c r="EG312" s="16">
        <f t="shared" si="1919"/>
        <v>-0.067380544</v>
      </c>
      <c r="EH312" s="350">
        <f t="shared" si="1919"/>
        <v>-0.067380544</v>
      </c>
      <c r="EI312" s="214">
        <f t="shared" si="1919"/>
        <v>-0.067380544</v>
      </c>
      <c r="EJ312" s="276">
        <f t="shared" si="1919"/>
        <v>-0.067380544</v>
      </c>
      <c r="EK312" s="276">
        <f t="shared" si="1919"/>
        <v>-0.067380544</v>
      </c>
      <c r="EL312" s="276">
        <f t="shared" si="1919"/>
        <v>-0.067380544</v>
      </c>
      <c r="EM312" s="350">
        <f t="shared" si="1919"/>
        <v>-0.067380544</v>
      </c>
      <c r="EN312" s="276">
        <f t="shared" si="1919"/>
        <v>-0.067380544</v>
      </c>
      <c r="EO312" s="276">
        <f t="shared" si="1919"/>
        <v>-0.067380544</v>
      </c>
      <c r="EP312" s="276">
        <f t="shared" si="1919"/>
        <v>-0.067380544</v>
      </c>
      <c r="EQ312" s="276">
        <f t="shared" si="1919"/>
        <v>-0.067380544</v>
      </c>
      <c r="ER312" s="350">
        <f t="shared" si="1919"/>
        <v>-0.067380544</v>
      </c>
      <c r="ES312" s="276">
        <f t="shared" si="1919"/>
        <v>-0.067380544</v>
      </c>
      <c r="ET312" s="276">
        <f t="shared" si="1919"/>
        <v>-0.067380544</v>
      </c>
      <c r="EU312" s="276">
        <f t="shared" si="1919"/>
        <v>-0.067380544</v>
      </c>
      <c r="EV312" s="276">
        <f t="shared" si="1919"/>
        <v>-0.067380544</v>
      </c>
      <c r="EW312" s="350">
        <f t="shared" si="1919"/>
        <v>-0.067380544</v>
      </c>
      <c r="EX312" s="276">
        <f t="shared" si="1919"/>
        <v>-0.067380544</v>
      </c>
      <c r="EY312" s="276">
        <f t="shared" si="1919"/>
        <v>-0.067380544</v>
      </c>
      <c r="EZ312" s="276">
        <f t="shared" si="1919"/>
        <v>-0.067380544</v>
      </c>
      <c r="FA312" s="276">
        <f t="shared" si="1919"/>
        <v>-0.067380544</v>
      </c>
      <c r="FB312" s="350">
        <f t="shared" si="1919"/>
        <v>-0.067380544</v>
      </c>
      <c r="FC312" s="276">
        <f t="shared" si="1919"/>
        <v>-0.067380544</v>
      </c>
      <c r="FD312" s="276">
        <f t="shared" si="1919"/>
        <v>-0.067380544</v>
      </c>
      <c r="FE312" s="276">
        <f t="shared" si="1919"/>
        <v>-0.067380544</v>
      </c>
      <c r="FF312" s="276">
        <f t="shared" si="1919"/>
        <v>-0.067380544</v>
      </c>
      <c r="FG312" s="350">
        <f t="shared" si="1919"/>
        <v>-0.067380544</v>
      </c>
      <c r="FH312" s="145"/>
      <c r="FI312" s="15"/>
      <c r="FJ312" s="15"/>
      <c r="FK312" s="410"/>
      <c r="FL312" s="15"/>
    </row>
    <row r="313" ht="12.75" hidden="1" customHeight="1" outlineLevel="2">
      <c r="A313" s="421"/>
      <c r="B313" s="84" t="s">
        <v>151</v>
      </c>
      <c r="C313" s="45"/>
      <c r="D313" s="15"/>
      <c r="E313" s="15"/>
      <c r="F313" s="15"/>
      <c r="G313" s="15"/>
      <c r="H313" s="410"/>
      <c r="I313" s="15"/>
      <c r="J313" s="15"/>
      <c r="K313" s="15"/>
      <c r="L313" s="15"/>
      <c r="M313" s="410"/>
      <c r="N313" s="15"/>
      <c r="O313" s="15"/>
      <c r="P313" s="15"/>
      <c r="Q313" s="15"/>
      <c r="R313" s="410"/>
      <c r="S313" s="15"/>
      <c r="T313" s="15"/>
      <c r="U313" s="15"/>
      <c r="V313" s="15"/>
      <c r="W313" s="410"/>
      <c r="X313" s="15"/>
      <c r="Y313" s="15"/>
      <c r="Z313" s="15"/>
      <c r="AA313" s="15"/>
      <c r="AB313" s="410"/>
      <c r="AC313" s="15"/>
      <c r="AD313" s="15"/>
      <c r="AE313" s="15"/>
      <c r="AF313" s="15"/>
      <c r="AG313" s="410"/>
      <c r="AH313" s="15"/>
      <c r="AI313" s="15"/>
      <c r="AJ313" s="15"/>
      <c r="AK313" s="15"/>
      <c r="AL313" s="410"/>
      <c r="AM313" s="15"/>
      <c r="AN313" s="15"/>
      <c r="AO313" s="15"/>
      <c r="AP313" s="15"/>
      <c r="AQ313" s="410"/>
      <c r="AR313" s="15"/>
      <c r="AS313" s="15"/>
      <c r="AT313" s="15"/>
      <c r="AU313" s="15"/>
      <c r="AV313" s="410"/>
      <c r="AW313" s="15"/>
      <c r="AX313" s="15"/>
      <c r="AY313" s="15"/>
      <c r="AZ313" s="15"/>
      <c r="BA313" s="410"/>
      <c r="BB313" s="15"/>
      <c r="BC313" s="15"/>
      <c r="BD313" s="15"/>
      <c r="BE313" s="15"/>
      <c r="BF313" s="410"/>
      <c r="BG313" s="15"/>
      <c r="BH313" s="15"/>
      <c r="BI313" s="15"/>
      <c r="BJ313" s="15"/>
      <c r="BK313" s="410"/>
      <c r="BL313" s="15"/>
      <c r="BM313" s="15"/>
      <c r="BN313" s="15"/>
      <c r="BO313" s="15"/>
      <c r="BP313" s="410"/>
      <c r="BQ313" s="15"/>
      <c r="BR313" s="15"/>
      <c r="BS313" s="15"/>
      <c r="BT313" s="15"/>
      <c r="BU313" s="410"/>
      <c r="BV313" s="15"/>
      <c r="BW313" s="15"/>
      <c r="BX313" s="15"/>
      <c r="BY313" s="15"/>
      <c r="BZ313" s="24"/>
      <c r="CA313" s="15"/>
      <c r="CB313" s="15"/>
      <c r="CC313" s="15"/>
      <c r="CD313" s="15"/>
      <c r="CE313" s="24"/>
      <c r="CF313" s="15"/>
      <c r="CG313" s="15"/>
      <c r="CH313" s="15"/>
      <c r="CI313" s="15"/>
      <c r="CJ313" s="24"/>
      <c r="CK313" s="15"/>
      <c r="CL313" s="15"/>
      <c r="CM313" s="15"/>
      <c r="CN313" s="40"/>
      <c r="CO313" s="24"/>
      <c r="CP313" s="427"/>
      <c r="CQ313" s="427"/>
      <c r="CR313" s="427"/>
      <c r="CS313" s="427"/>
      <c r="CT313" s="363"/>
      <c r="CU313" s="427"/>
      <c r="CV313" s="427"/>
      <c r="CW313" s="427"/>
      <c r="CX313" s="427"/>
      <c r="CY313" s="363"/>
      <c r="CZ313" s="427"/>
      <c r="DA313" s="463"/>
      <c r="DB313" s="463"/>
      <c r="DC313" s="463"/>
      <c r="DD313" s="363"/>
      <c r="DE313" s="372">
        <f t="shared" ref="DE313:DH313" si="1920">AVERAGE(CZ311,CU311,CP311)</f>
        <v>-0.0885</v>
      </c>
      <c r="DF313" s="372">
        <f t="shared" si="1920"/>
        <v>-0.01566666667</v>
      </c>
      <c r="DG313" s="85">
        <f t="shared" si="1920"/>
        <v>0.04633333333</v>
      </c>
      <c r="DH313" s="463">
        <f t="shared" si="1920"/>
        <v>0.02366666667</v>
      </c>
      <c r="DI313" s="363"/>
      <c r="DJ313" s="85">
        <f t="shared" ref="DJ313:DM313" si="1921">AVERAGE(DE311,CZ311,CU311)</f>
        <v>-0.078</v>
      </c>
      <c r="DK313" s="85">
        <f t="shared" si="1921"/>
        <v>-0.051</v>
      </c>
      <c r="DL313" s="85">
        <f t="shared" si="1921"/>
        <v>0.049</v>
      </c>
      <c r="DM313" s="85">
        <f t="shared" si="1921"/>
        <v>0.037</v>
      </c>
      <c r="DN313" s="363"/>
      <c r="DO313" s="85">
        <f t="shared" ref="DO313:DR313" si="1922">AVERAGE(DJ311,DE311,CZ311)</f>
        <v>-0.06366666667</v>
      </c>
      <c r="DP313" s="85">
        <f t="shared" si="1922"/>
        <v>-0.058</v>
      </c>
      <c r="DQ313" s="85">
        <f t="shared" si="1922"/>
        <v>0.02966666667</v>
      </c>
      <c r="DR313" s="85">
        <f t="shared" si="1922"/>
        <v>0.02633333333</v>
      </c>
      <c r="DS313" s="363"/>
      <c r="DT313" s="85">
        <f t="shared" ref="DT313:DW313" si="1923">AVERAGE(DO311,DJ311,DE311)</f>
        <v>-0.057</v>
      </c>
      <c r="DU313" s="85">
        <f t="shared" si="1923"/>
        <v>-0.04</v>
      </c>
      <c r="DV313" s="85">
        <f t="shared" si="1923"/>
        <v>0.01</v>
      </c>
      <c r="DW313" s="85">
        <f t="shared" si="1923"/>
        <v>0.02</v>
      </c>
      <c r="DX313" s="363"/>
      <c r="DY313" s="85">
        <f t="shared" ref="DY313:EB313" si="1924">AVERAGE(DT311,DO311,DJ311)</f>
        <v>-0.057</v>
      </c>
      <c r="DZ313" s="85">
        <f t="shared" si="1924"/>
        <v>-0.04</v>
      </c>
      <c r="EA313" s="85">
        <f t="shared" si="1924"/>
        <v>0.01</v>
      </c>
      <c r="EB313" s="85">
        <f t="shared" si="1924"/>
        <v>0.02</v>
      </c>
      <c r="EC313" s="363"/>
      <c r="ED313" s="85">
        <f t="shared" ref="ED313:EG313" si="1925">AVERAGE(DY311,DT311,DO311)</f>
        <v>-0.057</v>
      </c>
      <c r="EE313" s="85">
        <f t="shared" si="1925"/>
        <v>-0.04</v>
      </c>
      <c r="EF313" s="85">
        <f t="shared" si="1925"/>
        <v>0.01</v>
      </c>
      <c r="EG313" s="85">
        <f t="shared" si="1925"/>
        <v>0.02</v>
      </c>
      <c r="EH313" s="363"/>
      <c r="EI313" s="362">
        <f t="shared" ref="EI313:EL313" si="1926">AVERAGE(ED311,DY311,DT311)</f>
        <v>-0.057</v>
      </c>
      <c r="EJ313" s="464">
        <f t="shared" si="1926"/>
        <v>-0.04</v>
      </c>
      <c r="EK313" s="464">
        <f t="shared" si="1926"/>
        <v>0.01</v>
      </c>
      <c r="EL313" s="464">
        <f t="shared" si="1926"/>
        <v>0.02</v>
      </c>
      <c r="EM313" s="363"/>
      <c r="EN313" s="464">
        <f t="shared" ref="EN313:EQ313" si="1927">AVERAGE(EI311,ED311,DY311)</f>
        <v>-0.057</v>
      </c>
      <c r="EO313" s="464">
        <f t="shared" si="1927"/>
        <v>-0.04</v>
      </c>
      <c r="EP313" s="464">
        <f t="shared" si="1927"/>
        <v>0.01</v>
      </c>
      <c r="EQ313" s="464">
        <f t="shared" si="1927"/>
        <v>0.02</v>
      </c>
      <c r="ER313" s="363"/>
      <c r="ES313" s="464">
        <f t="shared" ref="ES313:EV313" si="1928">AVERAGE(EN311,EI311,ED311)</f>
        <v>-0.057</v>
      </c>
      <c r="ET313" s="464">
        <f t="shared" si="1928"/>
        <v>-0.04</v>
      </c>
      <c r="EU313" s="464">
        <f t="shared" si="1928"/>
        <v>0.01</v>
      </c>
      <c r="EV313" s="464">
        <f t="shared" si="1928"/>
        <v>0.02</v>
      </c>
      <c r="EW313" s="363"/>
      <c r="EX313" s="464">
        <f t="shared" ref="EX313:FA313" si="1929">AVERAGE(ES311,EN311,EI311)</f>
        <v>-0.057</v>
      </c>
      <c r="EY313" s="464">
        <f t="shared" si="1929"/>
        <v>-0.04</v>
      </c>
      <c r="EZ313" s="464">
        <f t="shared" si="1929"/>
        <v>0.01</v>
      </c>
      <c r="FA313" s="464">
        <f t="shared" si="1929"/>
        <v>0.02</v>
      </c>
      <c r="FB313" s="363"/>
      <c r="FC313" s="464">
        <f t="shared" ref="FC313:FF313" si="1930">AVERAGE(EX311,ES311,EN311)</f>
        <v>-0.057</v>
      </c>
      <c r="FD313" s="464">
        <f t="shared" si="1930"/>
        <v>-0.04</v>
      </c>
      <c r="FE313" s="464">
        <f t="shared" si="1930"/>
        <v>0.01</v>
      </c>
      <c r="FF313" s="464">
        <f t="shared" si="1930"/>
        <v>0.02</v>
      </c>
      <c r="FG313" s="363"/>
      <c r="FH313" s="364"/>
      <c r="FI313" s="15"/>
      <c r="FJ313" s="15"/>
      <c r="FK313" s="410"/>
      <c r="FL313" s="15"/>
    </row>
    <row r="314" ht="12.75" hidden="1" customHeight="1" outlineLevel="2">
      <c r="A314" s="421"/>
      <c r="B314" s="72" t="s">
        <v>207</v>
      </c>
      <c r="C314" s="45"/>
      <c r="D314" s="15"/>
      <c r="E314" s="15"/>
      <c r="F314" s="15"/>
      <c r="G314" s="15"/>
      <c r="H314" s="410"/>
      <c r="I314" s="15"/>
      <c r="J314" s="15"/>
      <c r="K314" s="15"/>
      <c r="L314" s="15"/>
      <c r="M314" s="410"/>
      <c r="N314" s="15"/>
      <c r="O314" s="15"/>
      <c r="P314" s="15"/>
      <c r="Q314" s="15"/>
      <c r="R314" s="410"/>
      <c r="S314" s="15"/>
      <c r="T314" s="15"/>
      <c r="U314" s="15"/>
      <c r="V314" s="15"/>
      <c r="W314" s="410"/>
      <c r="X314" s="15"/>
      <c r="Y314" s="15"/>
      <c r="Z314" s="15"/>
      <c r="AA314" s="15"/>
      <c r="AB314" s="410"/>
      <c r="AC314" s="15"/>
      <c r="AD314" s="15"/>
      <c r="AE314" s="15"/>
      <c r="AF314" s="15"/>
      <c r="AG314" s="410"/>
      <c r="AH314" s="15"/>
      <c r="AI314" s="15"/>
      <c r="AJ314" s="15"/>
      <c r="AK314" s="15"/>
      <c r="AL314" s="410"/>
      <c r="AM314" s="15"/>
      <c r="AN314" s="15"/>
      <c r="AO314" s="15"/>
      <c r="AP314" s="15"/>
      <c r="AQ314" s="410"/>
      <c r="AR314" s="15"/>
      <c r="AS314" s="15"/>
      <c r="AT314" s="15"/>
      <c r="AU314" s="15"/>
      <c r="AV314" s="410"/>
      <c r="AW314" s="15"/>
      <c r="AX314" s="15"/>
      <c r="AY314" s="15"/>
      <c r="AZ314" s="15"/>
      <c r="BA314" s="410"/>
      <c r="BB314" s="15"/>
      <c r="BC314" s="15"/>
      <c r="BD314" s="15"/>
      <c r="BE314" s="15"/>
      <c r="BF314" s="410"/>
      <c r="BG314" s="15"/>
      <c r="BH314" s="15"/>
      <c r="BI314" s="15"/>
      <c r="BJ314" s="15"/>
      <c r="BK314" s="410"/>
      <c r="BL314" s="15"/>
      <c r="BM314" s="15"/>
      <c r="BN314" s="15"/>
      <c r="BO314" s="15"/>
      <c r="BP314" s="410"/>
      <c r="BQ314" s="15"/>
      <c r="BR314" s="15"/>
      <c r="BS314" s="15"/>
      <c r="BT314" s="15"/>
      <c r="BU314" s="410"/>
      <c r="BV314" s="15"/>
      <c r="BW314" s="15"/>
      <c r="BX314" s="15"/>
      <c r="BY314" s="15"/>
      <c r="BZ314" s="24"/>
      <c r="CA314" s="15"/>
      <c r="CB314" s="15"/>
      <c r="CC314" s="15"/>
      <c r="CD314" s="15"/>
      <c r="CE314" s="24"/>
      <c r="CF314" s="15"/>
      <c r="CG314" s="15"/>
      <c r="CH314" s="15"/>
      <c r="CI314" s="15"/>
      <c r="CJ314" s="24"/>
      <c r="CK314" s="15"/>
      <c r="CL314" s="15"/>
      <c r="CM314" s="15"/>
      <c r="CN314" s="40"/>
      <c r="CO314" s="24"/>
      <c r="CP314" s="427">
        <v>779.3</v>
      </c>
      <c r="CQ314" s="427">
        <f t="shared" ref="CQ314:CS314" si="1931">CP314*(1+CQ315)</f>
        <v>1225.8389</v>
      </c>
      <c r="CR314" s="427">
        <f t="shared" si="1931"/>
        <v>1517.588558</v>
      </c>
      <c r="CS314" s="427">
        <f t="shared" si="1931"/>
        <v>1434.121187</v>
      </c>
      <c r="CT314" s="363">
        <f>SUM(CP314:CS314)</f>
        <v>4956.848646</v>
      </c>
      <c r="CU314" s="427">
        <f>CS314*(1+CU315)</f>
        <v>1016.791922</v>
      </c>
      <c r="CV314" s="427">
        <f t="shared" ref="CV314:CX314" si="1932">CU314*(1+CV315)</f>
        <v>1031.027009</v>
      </c>
      <c r="CW314" s="427">
        <f t="shared" si="1932"/>
        <v>1633.146782</v>
      </c>
      <c r="CX314" s="427">
        <f t="shared" si="1932"/>
        <v>1687.040626</v>
      </c>
      <c r="CY314" s="363">
        <f>SUM(CU314:CX314)</f>
        <v>5368.006339</v>
      </c>
      <c r="CZ314" s="427">
        <f>CX314*(1+CZ315)</f>
        <v>1299.021282</v>
      </c>
      <c r="DA314" s="427">
        <f t="shared" ref="DA314:DC314" si="1933">CZ314*(1+DA315)</f>
        <v>1336.692899</v>
      </c>
      <c r="DB314" s="427">
        <f t="shared" si="1933"/>
        <v>1620.071794</v>
      </c>
      <c r="DC314" s="427">
        <f t="shared" si="1933"/>
        <v>1608.731291</v>
      </c>
      <c r="DD314" s="363">
        <f>SUM(CZ314:DC314)</f>
        <v>5864.517266</v>
      </c>
      <c r="DE314" s="427">
        <f>DC314*(1+DE315)</f>
        <v>1126.111904</v>
      </c>
      <c r="DF314" s="427">
        <f t="shared" ref="DF314:DH314" si="1934">DE314*(1+DF315)</f>
        <v>1126.111904</v>
      </c>
      <c r="DG314" s="36">
        <f t="shared" si="1934"/>
        <v>1148.634142</v>
      </c>
      <c r="DH314" s="427">
        <f t="shared" si="1934"/>
        <v>1171.606825</v>
      </c>
      <c r="DI314" s="363">
        <f>SUM(DE314:DH314)</f>
        <v>4572.464774</v>
      </c>
      <c r="DJ314" s="36">
        <f>DH314*(1+DJ315)</f>
        <v>820.1247773</v>
      </c>
      <c r="DK314" s="36">
        <f t="shared" ref="DK314:DM314" si="1935">DJ314*(1+DK315)</f>
        <v>820.1247773</v>
      </c>
      <c r="DL314" s="36">
        <f t="shared" si="1935"/>
        <v>836.5272728</v>
      </c>
      <c r="DM314" s="36">
        <f t="shared" si="1935"/>
        <v>853.2578183</v>
      </c>
      <c r="DN314" s="363">
        <f>SUM(DJ314:DM314)</f>
        <v>3330.034646</v>
      </c>
      <c r="DO314" s="36">
        <f>DM314*(1+DO315)</f>
        <v>597.2804728</v>
      </c>
      <c r="DP314" s="36">
        <f t="shared" ref="DP314:DR314" si="1936">DO314*(1+DP315)</f>
        <v>597.2804728</v>
      </c>
      <c r="DQ314" s="36">
        <f t="shared" si="1936"/>
        <v>609.2260822</v>
      </c>
      <c r="DR314" s="36">
        <f t="shared" si="1936"/>
        <v>621.4106039</v>
      </c>
      <c r="DS314" s="363">
        <f>SUM(DO314:DR314)</f>
        <v>2425.197632</v>
      </c>
      <c r="DT314" s="36">
        <f>DR314*(1+DT315)</f>
        <v>434.9874227</v>
      </c>
      <c r="DU314" s="36">
        <f t="shared" ref="DU314:DW314" si="1937">DT314*(1+DU315)</f>
        <v>434.9874227</v>
      </c>
      <c r="DV314" s="36">
        <f t="shared" si="1937"/>
        <v>443.6871712</v>
      </c>
      <c r="DW314" s="36">
        <f t="shared" si="1937"/>
        <v>452.5609146</v>
      </c>
      <c r="DX314" s="363">
        <f>SUM(DT314:DW314)</f>
        <v>1766.222931</v>
      </c>
      <c r="DY314" s="36">
        <f>DW314*(1+DY315)</f>
        <v>316.7926402</v>
      </c>
      <c r="DZ314" s="36">
        <f t="shared" ref="DZ314:EB314" si="1938">DY314*(1+DZ315)</f>
        <v>316.7926402</v>
      </c>
      <c r="EA314" s="36">
        <f t="shared" si="1938"/>
        <v>323.128493</v>
      </c>
      <c r="EB314" s="36">
        <f t="shared" si="1938"/>
        <v>329.5910629</v>
      </c>
      <c r="EC314" s="363">
        <f>SUM(DY314:EB314)</f>
        <v>1286.304836</v>
      </c>
      <c r="ED314" s="36">
        <f>EB314*(1+ED315)</f>
        <v>230.713744</v>
      </c>
      <c r="EE314" s="36">
        <f t="shared" ref="EE314:EG314" si="1939">ED314*(1+EE315)</f>
        <v>230.713744</v>
      </c>
      <c r="EF314" s="36">
        <f t="shared" si="1939"/>
        <v>235.3280189</v>
      </c>
      <c r="EG314" s="36">
        <f t="shared" si="1939"/>
        <v>240.0345793</v>
      </c>
      <c r="EH314" s="363">
        <f>SUM(ED314:EG314)</f>
        <v>936.7900862</v>
      </c>
      <c r="EI314" s="428">
        <f>EG314*(1+EI315)</f>
        <v>168.0242055</v>
      </c>
      <c r="EJ314" s="430">
        <f t="shared" ref="EJ314:EL314" si="1940">EI314*(1+EJ315)</f>
        <v>168.0242055</v>
      </c>
      <c r="EK314" s="430">
        <f t="shared" si="1940"/>
        <v>171.3846896</v>
      </c>
      <c r="EL314" s="430">
        <f t="shared" si="1940"/>
        <v>174.8123834</v>
      </c>
      <c r="EM314" s="363">
        <f>SUM(EI314:EL314)</f>
        <v>682.245484</v>
      </c>
      <c r="EN314" s="430">
        <f>EL314*(1+EN315)</f>
        <v>122.3686684</v>
      </c>
      <c r="EO314" s="430">
        <f t="shared" ref="EO314:EQ314" si="1941">EN314*(1+EO315)</f>
        <v>122.3686684</v>
      </c>
      <c r="EP314" s="430">
        <f t="shared" si="1941"/>
        <v>124.8160417</v>
      </c>
      <c r="EQ314" s="430">
        <f t="shared" si="1941"/>
        <v>127.3123626</v>
      </c>
      <c r="ER314" s="363">
        <f>SUM(EN314:EQ314)</f>
        <v>496.8657411</v>
      </c>
      <c r="ES314" s="430">
        <f>EQ314*(1+ES315)</f>
        <v>89.11865381</v>
      </c>
      <c r="ET314" s="430">
        <f t="shared" ref="ET314:EV314" si="1942">ES314*(1+ET315)</f>
        <v>89.11865381</v>
      </c>
      <c r="EU314" s="430">
        <f t="shared" si="1942"/>
        <v>90.90102688</v>
      </c>
      <c r="EV314" s="430">
        <f t="shared" si="1942"/>
        <v>92.71904742</v>
      </c>
      <c r="EW314" s="363">
        <f>SUM(ES314:EV314)</f>
        <v>361.8573819</v>
      </c>
      <c r="EX314" s="430">
        <f>EV314*(1+EX315)</f>
        <v>64.90333319</v>
      </c>
      <c r="EY314" s="430">
        <f t="shared" ref="EY314:FA314" si="1943">EX314*(1+EY315)</f>
        <v>64.90333319</v>
      </c>
      <c r="EZ314" s="430">
        <f t="shared" si="1943"/>
        <v>66.20139986</v>
      </c>
      <c r="FA314" s="430">
        <f t="shared" si="1943"/>
        <v>67.52542786</v>
      </c>
      <c r="FB314" s="363">
        <f>SUM(EX314:FA314)</f>
        <v>263.5334941</v>
      </c>
      <c r="FC314" s="430">
        <f>FA314*(1+FC315)</f>
        <v>47.2677995</v>
      </c>
      <c r="FD314" s="430">
        <f t="shared" ref="FD314:FF314" si="1944">FC314*(1+FD315)</f>
        <v>47.2677995</v>
      </c>
      <c r="FE314" s="430">
        <f t="shared" si="1944"/>
        <v>48.21315549</v>
      </c>
      <c r="FF314" s="430">
        <f t="shared" si="1944"/>
        <v>49.1774186</v>
      </c>
      <c r="FG314" s="363">
        <f>SUM(FC314:FF314)</f>
        <v>191.9261731</v>
      </c>
      <c r="FH314" s="364"/>
      <c r="FI314" s="15"/>
      <c r="FJ314" s="15"/>
      <c r="FK314" s="410"/>
      <c r="FL314" s="15"/>
    </row>
    <row r="315" ht="12.75" hidden="1" customHeight="1" outlineLevel="2">
      <c r="A315" s="421"/>
      <c r="B315" s="72" t="s">
        <v>150</v>
      </c>
      <c r="C315" s="45"/>
      <c r="D315" s="15"/>
      <c r="E315" s="15"/>
      <c r="F315" s="15"/>
      <c r="G315" s="15"/>
      <c r="H315" s="410"/>
      <c r="I315" s="15"/>
      <c r="J315" s="15"/>
      <c r="K315" s="15"/>
      <c r="L315" s="15"/>
      <c r="M315" s="410"/>
      <c r="N315" s="15"/>
      <c r="O315" s="15"/>
      <c r="P315" s="15"/>
      <c r="Q315" s="15"/>
      <c r="R315" s="410"/>
      <c r="S315" s="15"/>
      <c r="T315" s="15"/>
      <c r="U315" s="15"/>
      <c r="V315" s="15"/>
      <c r="W315" s="410"/>
      <c r="X315" s="15"/>
      <c r="Y315" s="15"/>
      <c r="Z315" s="15"/>
      <c r="AA315" s="15"/>
      <c r="AB315" s="410"/>
      <c r="AC315" s="15"/>
      <c r="AD315" s="15"/>
      <c r="AE315" s="15"/>
      <c r="AF315" s="15"/>
      <c r="AG315" s="410"/>
      <c r="AH315" s="15"/>
      <c r="AI315" s="15"/>
      <c r="AJ315" s="15"/>
      <c r="AK315" s="15"/>
      <c r="AL315" s="410"/>
      <c r="AM315" s="15"/>
      <c r="AN315" s="15"/>
      <c r="AO315" s="15"/>
      <c r="AP315" s="15"/>
      <c r="AQ315" s="410"/>
      <c r="AR315" s="15"/>
      <c r="AS315" s="15"/>
      <c r="AT315" s="15"/>
      <c r="AU315" s="15"/>
      <c r="AV315" s="410"/>
      <c r="AW315" s="15"/>
      <c r="AX315" s="15"/>
      <c r="AY315" s="15"/>
      <c r="AZ315" s="15"/>
      <c r="BA315" s="410"/>
      <c r="BB315" s="15"/>
      <c r="BC315" s="15"/>
      <c r="BD315" s="15"/>
      <c r="BE315" s="15"/>
      <c r="BF315" s="410"/>
      <c r="BG315" s="15"/>
      <c r="BH315" s="15"/>
      <c r="BI315" s="15"/>
      <c r="BJ315" s="15"/>
      <c r="BK315" s="410"/>
      <c r="BL315" s="15"/>
      <c r="BM315" s="15"/>
      <c r="BN315" s="15"/>
      <c r="BO315" s="15"/>
      <c r="BP315" s="410"/>
      <c r="BQ315" s="15"/>
      <c r="BR315" s="15"/>
      <c r="BS315" s="15"/>
      <c r="BT315" s="15"/>
      <c r="BU315" s="410"/>
      <c r="BV315" s="15"/>
      <c r="BW315" s="15"/>
      <c r="BX315" s="15"/>
      <c r="BY315" s="15"/>
      <c r="BZ315" s="24"/>
      <c r="CA315" s="15"/>
      <c r="CB315" s="15"/>
      <c r="CC315" s="15"/>
      <c r="CD315" s="15"/>
      <c r="CE315" s="24"/>
      <c r="CF315" s="15"/>
      <c r="CG315" s="15"/>
      <c r="CH315" s="15"/>
      <c r="CI315" s="15"/>
      <c r="CJ315" s="24"/>
      <c r="CK315" s="15"/>
      <c r="CL315" s="15"/>
      <c r="CM315" s="15"/>
      <c r="CN315" s="40"/>
      <c r="CO315" s="24"/>
      <c r="CP315" s="427"/>
      <c r="CQ315" s="459">
        <v>0.573</v>
      </c>
      <c r="CR315" s="459">
        <v>0.238</v>
      </c>
      <c r="CS315" s="459">
        <v>-0.055</v>
      </c>
      <c r="CT315" s="363"/>
      <c r="CU315" s="459">
        <v>-0.291</v>
      </c>
      <c r="CV315" s="459">
        <v>0.014</v>
      </c>
      <c r="CW315" s="459">
        <v>0.584</v>
      </c>
      <c r="CX315" s="459">
        <v>0.033</v>
      </c>
      <c r="CY315" s="363"/>
      <c r="CZ315" s="459">
        <v>-0.23</v>
      </c>
      <c r="DA315" s="459">
        <v>0.029</v>
      </c>
      <c r="DB315" s="459">
        <v>0.212</v>
      </c>
      <c r="DC315" s="459">
        <v>-0.007</v>
      </c>
      <c r="DD315" s="363"/>
      <c r="DE315" s="459">
        <v>-0.3</v>
      </c>
      <c r="DF315" s="459">
        <v>0.0</v>
      </c>
      <c r="DG315" s="460">
        <v>0.02</v>
      </c>
      <c r="DH315" s="459">
        <v>0.02</v>
      </c>
      <c r="DI315" s="363"/>
      <c r="DJ315" s="460">
        <v>-0.3</v>
      </c>
      <c r="DK315" s="460">
        <v>0.0</v>
      </c>
      <c r="DL315" s="460">
        <v>0.02</v>
      </c>
      <c r="DM315" s="460">
        <v>0.02</v>
      </c>
      <c r="DN315" s="363"/>
      <c r="DO315" s="460">
        <v>-0.3</v>
      </c>
      <c r="DP315" s="460">
        <v>0.0</v>
      </c>
      <c r="DQ315" s="460">
        <v>0.02</v>
      </c>
      <c r="DR315" s="460">
        <v>0.02</v>
      </c>
      <c r="DS315" s="363"/>
      <c r="DT315" s="460">
        <v>-0.3</v>
      </c>
      <c r="DU315" s="460">
        <v>0.0</v>
      </c>
      <c r="DV315" s="460">
        <v>0.02</v>
      </c>
      <c r="DW315" s="460">
        <v>0.02</v>
      </c>
      <c r="DX315" s="363"/>
      <c r="DY315" s="460">
        <v>-0.3</v>
      </c>
      <c r="DZ315" s="460">
        <v>0.0</v>
      </c>
      <c r="EA315" s="460">
        <v>0.02</v>
      </c>
      <c r="EB315" s="460">
        <v>0.02</v>
      </c>
      <c r="EC315" s="363"/>
      <c r="ED315" s="460">
        <v>-0.3</v>
      </c>
      <c r="EE315" s="460">
        <v>0.0</v>
      </c>
      <c r="EF315" s="460">
        <v>0.02</v>
      </c>
      <c r="EG315" s="460">
        <v>0.02</v>
      </c>
      <c r="EH315" s="363"/>
      <c r="EI315" s="461">
        <v>-0.3</v>
      </c>
      <c r="EJ315" s="462">
        <v>0.0</v>
      </c>
      <c r="EK315" s="462">
        <v>0.02</v>
      </c>
      <c r="EL315" s="462">
        <v>0.02</v>
      </c>
      <c r="EM315" s="363"/>
      <c r="EN315" s="462">
        <v>-0.3</v>
      </c>
      <c r="EO315" s="462">
        <v>0.0</v>
      </c>
      <c r="EP315" s="462">
        <v>0.02</v>
      </c>
      <c r="EQ315" s="462">
        <v>0.02</v>
      </c>
      <c r="ER315" s="363"/>
      <c r="ES315" s="462">
        <v>-0.3</v>
      </c>
      <c r="ET315" s="462">
        <v>0.0</v>
      </c>
      <c r="EU315" s="462">
        <v>0.02</v>
      </c>
      <c r="EV315" s="462">
        <v>0.02</v>
      </c>
      <c r="EW315" s="363"/>
      <c r="EX315" s="462">
        <v>-0.3</v>
      </c>
      <c r="EY315" s="462">
        <v>0.0</v>
      </c>
      <c r="EZ315" s="462">
        <v>0.02</v>
      </c>
      <c r="FA315" s="462">
        <v>0.02</v>
      </c>
      <c r="FB315" s="363"/>
      <c r="FC315" s="462">
        <v>-0.3</v>
      </c>
      <c r="FD315" s="462">
        <v>0.0</v>
      </c>
      <c r="FE315" s="462">
        <v>0.02</v>
      </c>
      <c r="FF315" s="462">
        <v>0.02</v>
      </c>
      <c r="FG315" s="363"/>
      <c r="FH315" s="364"/>
      <c r="FI315" s="15"/>
      <c r="FJ315" s="15"/>
      <c r="FK315" s="410"/>
      <c r="FL315" s="15"/>
    </row>
    <row r="316" ht="12.75" hidden="1" customHeight="1" outlineLevel="2">
      <c r="A316" s="421"/>
      <c r="B316" s="72" t="s">
        <v>146</v>
      </c>
      <c r="C316" s="45"/>
      <c r="D316" s="15"/>
      <c r="E316" s="15"/>
      <c r="F316" s="15"/>
      <c r="G316" s="15"/>
      <c r="H316" s="410"/>
      <c r="I316" s="15"/>
      <c r="J316" s="15"/>
      <c r="K316" s="15"/>
      <c r="L316" s="15"/>
      <c r="M316" s="410"/>
      <c r="N316" s="15"/>
      <c r="O316" s="15"/>
      <c r="P316" s="15"/>
      <c r="Q316" s="15"/>
      <c r="R316" s="410"/>
      <c r="S316" s="15"/>
      <c r="T316" s="15"/>
      <c r="U316" s="15"/>
      <c r="V316" s="15"/>
      <c r="W316" s="410"/>
      <c r="X316" s="15"/>
      <c r="Y316" s="15"/>
      <c r="Z316" s="15"/>
      <c r="AA316" s="15"/>
      <c r="AB316" s="410"/>
      <c r="AC316" s="15"/>
      <c r="AD316" s="15"/>
      <c r="AE316" s="15"/>
      <c r="AF316" s="15"/>
      <c r="AG316" s="410"/>
      <c r="AH316" s="15"/>
      <c r="AI316" s="15"/>
      <c r="AJ316" s="15"/>
      <c r="AK316" s="15"/>
      <c r="AL316" s="410"/>
      <c r="AM316" s="15"/>
      <c r="AN316" s="15"/>
      <c r="AO316" s="15"/>
      <c r="AP316" s="15"/>
      <c r="AQ316" s="410"/>
      <c r="AR316" s="15"/>
      <c r="AS316" s="15"/>
      <c r="AT316" s="15"/>
      <c r="AU316" s="15"/>
      <c r="AV316" s="410"/>
      <c r="AW316" s="15"/>
      <c r="AX316" s="15"/>
      <c r="AY316" s="15"/>
      <c r="AZ316" s="15"/>
      <c r="BA316" s="410"/>
      <c r="BB316" s="15"/>
      <c r="BC316" s="15"/>
      <c r="BD316" s="15"/>
      <c r="BE316" s="15"/>
      <c r="BF316" s="410"/>
      <c r="BG316" s="15"/>
      <c r="BH316" s="15"/>
      <c r="BI316" s="15"/>
      <c r="BJ316" s="15"/>
      <c r="BK316" s="410"/>
      <c r="BL316" s="15"/>
      <c r="BM316" s="15"/>
      <c r="BN316" s="15"/>
      <c r="BO316" s="15"/>
      <c r="BP316" s="410"/>
      <c r="BQ316" s="15"/>
      <c r="BR316" s="15"/>
      <c r="BS316" s="15"/>
      <c r="BT316" s="15"/>
      <c r="BU316" s="410"/>
      <c r="BV316" s="15"/>
      <c r="BW316" s="15"/>
      <c r="BX316" s="15"/>
      <c r="BY316" s="15"/>
      <c r="BZ316" s="24"/>
      <c r="CA316" s="15"/>
      <c r="CB316" s="15"/>
      <c r="CC316" s="15"/>
      <c r="CD316" s="15"/>
      <c r="CE316" s="24"/>
      <c r="CF316" s="15"/>
      <c r="CG316" s="15"/>
      <c r="CH316" s="15"/>
      <c r="CI316" s="15"/>
      <c r="CJ316" s="24"/>
      <c r="CK316" s="15"/>
      <c r="CL316" s="15"/>
      <c r="CM316" s="15"/>
      <c r="CN316" s="40"/>
      <c r="CO316" s="24"/>
      <c r="CP316" s="427"/>
      <c r="CQ316" s="427"/>
      <c r="CR316" s="427"/>
      <c r="CS316" s="427"/>
      <c r="CT316" s="363"/>
      <c r="CU316" s="4">
        <f t="shared" ref="CU316:FG316" si="1945">CU314/CP314-1</f>
        <v>0.3047503169</v>
      </c>
      <c r="CV316" s="4">
        <f t="shared" si="1945"/>
        <v>-0.1589212833</v>
      </c>
      <c r="CW316" s="4">
        <f t="shared" si="1945"/>
        <v>0.07614595088</v>
      </c>
      <c r="CX316" s="4">
        <f t="shared" si="1945"/>
        <v>0.1763584839</v>
      </c>
      <c r="CY316" s="350">
        <f t="shared" si="1945"/>
        <v>0.08294739709</v>
      </c>
      <c r="CZ316" s="4">
        <f t="shared" si="1945"/>
        <v>0.2775684522</v>
      </c>
      <c r="DA316" s="4">
        <f t="shared" si="1945"/>
        <v>0.2964673938</v>
      </c>
      <c r="DB316" s="4">
        <f t="shared" si="1945"/>
        <v>-0.00800600932</v>
      </c>
      <c r="DC316" s="4">
        <f t="shared" si="1945"/>
        <v>-0.04641816772</v>
      </c>
      <c r="DD316" s="350">
        <f t="shared" si="1945"/>
        <v>0.09249447481</v>
      </c>
      <c r="DE316" s="4">
        <f t="shared" si="1945"/>
        <v>-0.1331074252</v>
      </c>
      <c r="DF316" s="4">
        <f t="shared" si="1945"/>
        <v>-0.1575388</v>
      </c>
      <c r="DG316" s="16">
        <f t="shared" si="1945"/>
        <v>-0.290998</v>
      </c>
      <c r="DH316" s="4">
        <f t="shared" si="1945"/>
        <v>-0.27172</v>
      </c>
      <c r="DI316" s="350">
        <f t="shared" si="1945"/>
        <v>-0.2203169388</v>
      </c>
      <c r="DJ316" s="16">
        <f t="shared" si="1945"/>
        <v>-0.27172</v>
      </c>
      <c r="DK316" s="16">
        <f t="shared" si="1945"/>
        <v>-0.27172</v>
      </c>
      <c r="DL316" s="16">
        <f t="shared" si="1945"/>
        <v>-0.27172</v>
      </c>
      <c r="DM316" s="16">
        <f t="shared" si="1945"/>
        <v>-0.27172</v>
      </c>
      <c r="DN316" s="350">
        <f t="shared" si="1945"/>
        <v>-0.27172</v>
      </c>
      <c r="DO316" s="16">
        <f t="shared" si="1945"/>
        <v>-0.27172</v>
      </c>
      <c r="DP316" s="16">
        <f t="shared" si="1945"/>
        <v>-0.27172</v>
      </c>
      <c r="DQ316" s="16">
        <f t="shared" si="1945"/>
        <v>-0.27172</v>
      </c>
      <c r="DR316" s="16">
        <f t="shared" si="1945"/>
        <v>-0.27172</v>
      </c>
      <c r="DS316" s="350">
        <f t="shared" si="1945"/>
        <v>-0.27172</v>
      </c>
      <c r="DT316" s="16">
        <f t="shared" si="1945"/>
        <v>-0.27172</v>
      </c>
      <c r="DU316" s="16">
        <f t="shared" si="1945"/>
        <v>-0.27172</v>
      </c>
      <c r="DV316" s="16">
        <f t="shared" si="1945"/>
        <v>-0.27172</v>
      </c>
      <c r="DW316" s="16">
        <f t="shared" si="1945"/>
        <v>-0.27172</v>
      </c>
      <c r="DX316" s="350">
        <f t="shared" si="1945"/>
        <v>-0.27172</v>
      </c>
      <c r="DY316" s="16">
        <f t="shared" si="1945"/>
        <v>-0.27172</v>
      </c>
      <c r="DZ316" s="16">
        <f t="shared" si="1945"/>
        <v>-0.27172</v>
      </c>
      <c r="EA316" s="16">
        <f t="shared" si="1945"/>
        <v>-0.27172</v>
      </c>
      <c r="EB316" s="16">
        <f t="shared" si="1945"/>
        <v>-0.27172</v>
      </c>
      <c r="EC316" s="350">
        <f t="shared" si="1945"/>
        <v>-0.27172</v>
      </c>
      <c r="ED316" s="16">
        <f t="shared" si="1945"/>
        <v>-0.27172</v>
      </c>
      <c r="EE316" s="16">
        <f t="shared" si="1945"/>
        <v>-0.27172</v>
      </c>
      <c r="EF316" s="16">
        <f t="shared" si="1945"/>
        <v>-0.27172</v>
      </c>
      <c r="EG316" s="16">
        <f t="shared" si="1945"/>
        <v>-0.27172</v>
      </c>
      <c r="EH316" s="350">
        <f t="shared" si="1945"/>
        <v>-0.27172</v>
      </c>
      <c r="EI316" s="214">
        <f t="shared" si="1945"/>
        <v>-0.27172</v>
      </c>
      <c r="EJ316" s="276">
        <f t="shared" si="1945"/>
        <v>-0.27172</v>
      </c>
      <c r="EK316" s="276">
        <f t="shared" si="1945"/>
        <v>-0.27172</v>
      </c>
      <c r="EL316" s="276">
        <f t="shared" si="1945"/>
        <v>-0.27172</v>
      </c>
      <c r="EM316" s="350">
        <f t="shared" si="1945"/>
        <v>-0.27172</v>
      </c>
      <c r="EN316" s="276">
        <f t="shared" si="1945"/>
        <v>-0.27172</v>
      </c>
      <c r="EO316" s="276">
        <f t="shared" si="1945"/>
        <v>-0.27172</v>
      </c>
      <c r="EP316" s="276">
        <f t="shared" si="1945"/>
        <v>-0.27172</v>
      </c>
      <c r="EQ316" s="276">
        <f t="shared" si="1945"/>
        <v>-0.27172</v>
      </c>
      <c r="ER316" s="350">
        <f t="shared" si="1945"/>
        <v>-0.27172</v>
      </c>
      <c r="ES316" s="276">
        <f t="shared" si="1945"/>
        <v>-0.27172</v>
      </c>
      <c r="ET316" s="276">
        <f t="shared" si="1945"/>
        <v>-0.27172</v>
      </c>
      <c r="EU316" s="276">
        <f t="shared" si="1945"/>
        <v>-0.27172</v>
      </c>
      <c r="EV316" s="276">
        <f t="shared" si="1945"/>
        <v>-0.27172</v>
      </c>
      <c r="EW316" s="350">
        <f t="shared" si="1945"/>
        <v>-0.27172</v>
      </c>
      <c r="EX316" s="276">
        <f t="shared" si="1945"/>
        <v>-0.27172</v>
      </c>
      <c r="EY316" s="276">
        <f t="shared" si="1945"/>
        <v>-0.27172</v>
      </c>
      <c r="EZ316" s="276">
        <f t="shared" si="1945"/>
        <v>-0.27172</v>
      </c>
      <c r="FA316" s="276">
        <f t="shared" si="1945"/>
        <v>-0.27172</v>
      </c>
      <c r="FB316" s="350">
        <f t="shared" si="1945"/>
        <v>-0.27172</v>
      </c>
      <c r="FC316" s="276">
        <f t="shared" si="1945"/>
        <v>-0.27172</v>
      </c>
      <c r="FD316" s="276">
        <f t="shared" si="1945"/>
        <v>-0.27172</v>
      </c>
      <c r="FE316" s="276">
        <f t="shared" si="1945"/>
        <v>-0.27172</v>
      </c>
      <c r="FF316" s="276">
        <f t="shared" si="1945"/>
        <v>-0.27172</v>
      </c>
      <c r="FG316" s="350">
        <f t="shared" si="1945"/>
        <v>-0.27172</v>
      </c>
      <c r="FH316" s="145"/>
      <c r="FI316" s="15"/>
      <c r="FJ316" s="15"/>
      <c r="FK316" s="410"/>
      <c r="FL316" s="15"/>
    </row>
    <row r="317" ht="12.75" hidden="1" customHeight="1" outlineLevel="2">
      <c r="A317" s="421"/>
      <c r="B317" s="84" t="s">
        <v>151</v>
      </c>
      <c r="C317" s="45"/>
      <c r="D317" s="15"/>
      <c r="E317" s="15"/>
      <c r="F317" s="15"/>
      <c r="G317" s="15"/>
      <c r="H317" s="410"/>
      <c r="I317" s="15"/>
      <c r="J317" s="15"/>
      <c r="K317" s="15"/>
      <c r="L317" s="15"/>
      <c r="M317" s="410"/>
      <c r="N317" s="15"/>
      <c r="O317" s="15"/>
      <c r="P317" s="15"/>
      <c r="Q317" s="15"/>
      <c r="R317" s="410"/>
      <c r="S317" s="15"/>
      <c r="T317" s="15"/>
      <c r="U317" s="15"/>
      <c r="V317" s="15"/>
      <c r="W317" s="410"/>
      <c r="X317" s="15"/>
      <c r="Y317" s="15"/>
      <c r="Z317" s="15"/>
      <c r="AA317" s="15"/>
      <c r="AB317" s="410"/>
      <c r="AC317" s="15"/>
      <c r="AD317" s="15"/>
      <c r="AE317" s="15"/>
      <c r="AF317" s="15"/>
      <c r="AG317" s="410"/>
      <c r="AH317" s="15"/>
      <c r="AI317" s="15"/>
      <c r="AJ317" s="15"/>
      <c r="AK317" s="15"/>
      <c r="AL317" s="410"/>
      <c r="AM317" s="15"/>
      <c r="AN317" s="15"/>
      <c r="AO317" s="15"/>
      <c r="AP317" s="15"/>
      <c r="AQ317" s="410"/>
      <c r="AR317" s="15"/>
      <c r="AS317" s="15"/>
      <c r="AT317" s="15"/>
      <c r="AU317" s="15"/>
      <c r="AV317" s="410"/>
      <c r="AW317" s="15"/>
      <c r="AX317" s="15"/>
      <c r="AY317" s="15"/>
      <c r="AZ317" s="15"/>
      <c r="BA317" s="410"/>
      <c r="BB317" s="15"/>
      <c r="BC317" s="15"/>
      <c r="BD317" s="15"/>
      <c r="BE317" s="15"/>
      <c r="BF317" s="410"/>
      <c r="BG317" s="15"/>
      <c r="BH317" s="15"/>
      <c r="BI317" s="15"/>
      <c r="BJ317" s="15"/>
      <c r="BK317" s="410"/>
      <c r="BL317" s="15"/>
      <c r="BM317" s="15"/>
      <c r="BN317" s="15"/>
      <c r="BO317" s="15"/>
      <c r="BP317" s="410"/>
      <c r="BQ317" s="15"/>
      <c r="BR317" s="15"/>
      <c r="BS317" s="15"/>
      <c r="BT317" s="15"/>
      <c r="BU317" s="410"/>
      <c r="BV317" s="15"/>
      <c r="BW317" s="15"/>
      <c r="BX317" s="15"/>
      <c r="BY317" s="15"/>
      <c r="BZ317" s="24"/>
      <c r="CA317" s="15"/>
      <c r="CB317" s="15"/>
      <c r="CC317" s="15"/>
      <c r="CD317" s="15"/>
      <c r="CE317" s="24"/>
      <c r="CF317" s="15"/>
      <c r="CG317" s="15"/>
      <c r="CH317" s="15"/>
      <c r="CI317" s="15"/>
      <c r="CJ317" s="24"/>
      <c r="CK317" s="15"/>
      <c r="CL317" s="15"/>
      <c r="CM317" s="15"/>
      <c r="CN317" s="40"/>
      <c r="CO317" s="24"/>
      <c r="CP317" s="427"/>
      <c r="CQ317" s="427"/>
      <c r="CR317" s="427"/>
      <c r="CS317" s="427"/>
      <c r="CT317" s="363"/>
      <c r="CU317" s="427"/>
      <c r="CV317" s="427"/>
      <c r="CW317" s="427"/>
      <c r="CX317" s="427"/>
      <c r="CY317" s="363"/>
      <c r="CZ317" s="427"/>
      <c r="DA317" s="463"/>
      <c r="DB317" s="463"/>
      <c r="DC317" s="463"/>
      <c r="DD317" s="363"/>
      <c r="DE317" s="372">
        <f t="shared" ref="DE317:DH317" si="1946">AVERAGE(CZ315,CU315,CP315)</f>
        <v>-0.2605</v>
      </c>
      <c r="DF317" s="372">
        <f t="shared" si="1946"/>
        <v>0.2053333333</v>
      </c>
      <c r="DG317" s="85">
        <f t="shared" si="1946"/>
        <v>0.3446666667</v>
      </c>
      <c r="DH317" s="463">
        <f t="shared" si="1946"/>
        <v>-0.009666666667</v>
      </c>
      <c r="DI317" s="363"/>
      <c r="DJ317" s="85">
        <f t="shared" ref="DJ317:DM317" si="1947">AVERAGE(DE315,CZ315,CU315)</f>
        <v>-0.2736666667</v>
      </c>
      <c r="DK317" s="85">
        <f t="shared" si="1947"/>
        <v>0.01433333333</v>
      </c>
      <c r="DL317" s="85">
        <f t="shared" si="1947"/>
        <v>0.272</v>
      </c>
      <c r="DM317" s="85">
        <f t="shared" si="1947"/>
        <v>0.01533333333</v>
      </c>
      <c r="DN317" s="363"/>
      <c r="DO317" s="85">
        <f t="shared" ref="DO317:DR317" si="1948">AVERAGE(DJ315,DE315,CZ315)</f>
        <v>-0.2766666667</v>
      </c>
      <c r="DP317" s="85">
        <f t="shared" si="1948"/>
        <v>0.009666666667</v>
      </c>
      <c r="DQ317" s="85">
        <f t="shared" si="1948"/>
        <v>0.084</v>
      </c>
      <c r="DR317" s="85">
        <f t="shared" si="1948"/>
        <v>0.011</v>
      </c>
      <c r="DS317" s="363"/>
      <c r="DT317" s="85">
        <f t="shared" ref="DT317:DW317" si="1949">AVERAGE(DO315,DJ315,DE315)</f>
        <v>-0.3</v>
      </c>
      <c r="DU317" s="85">
        <f t="shared" si="1949"/>
        <v>0</v>
      </c>
      <c r="DV317" s="85">
        <f t="shared" si="1949"/>
        <v>0.02</v>
      </c>
      <c r="DW317" s="85">
        <f t="shared" si="1949"/>
        <v>0.02</v>
      </c>
      <c r="DX317" s="363"/>
      <c r="DY317" s="85">
        <f t="shared" ref="DY317:EB317" si="1950">AVERAGE(DT315,DO315,DJ315)</f>
        <v>-0.3</v>
      </c>
      <c r="DZ317" s="85">
        <f t="shared" si="1950"/>
        <v>0</v>
      </c>
      <c r="EA317" s="85">
        <f t="shared" si="1950"/>
        <v>0.02</v>
      </c>
      <c r="EB317" s="85">
        <f t="shared" si="1950"/>
        <v>0.02</v>
      </c>
      <c r="EC317" s="363"/>
      <c r="ED317" s="85">
        <f t="shared" ref="ED317:EG317" si="1951">AVERAGE(DY315,DT315,DO315)</f>
        <v>-0.3</v>
      </c>
      <c r="EE317" s="85">
        <f t="shared" si="1951"/>
        <v>0</v>
      </c>
      <c r="EF317" s="85">
        <f t="shared" si="1951"/>
        <v>0.02</v>
      </c>
      <c r="EG317" s="85">
        <f t="shared" si="1951"/>
        <v>0.02</v>
      </c>
      <c r="EH317" s="363"/>
      <c r="EI317" s="362">
        <f t="shared" ref="EI317:EL317" si="1952">AVERAGE(ED315,DY315,DT315)</f>
        <v>-0.3</v>
      </c>
      <c r="EJ317" s="464">
        <f t="shared" si="1952"/>
        <v>0</v>
      </c>
      <c r="EK317" s="464">
        <f t="shared" si="1952"/>
        <v>0.02</v>
      </c>
      <c r="EL317" s="464">
        <f t="shared" si="1952"/>
        <v>0.02</v>
      </c>
      <c r="EM317" s="363"/>
      <c r="EN317" s="464">
        <f t="shared" ref="EN317:EQ317" si="1953">AVERAGE(EI315,ED315,DY315)</f>
        <v>-0.3</v>
      </c>
      <c r="EO317" s="464">
        <f t="shared" si="1953"/>
        <v>0</v>
      </c>
      <c r="EP317" s="464">
        <f t="shared" si="1953"/>
        <v>0.02</v>
      </c>
      <c r="EQ317" s="464">
        <f t="shared" si="1953"/>
        <v>0.02</v>
      </c>
      <c r="ER317" s="363"/>
      <c r="ES317" s="464">
        <f t="shared" ref="ES317:EV317" si="1954">AVERAGE(EN315,EI315,ED315)</f>
        <v>-0.3</v>
      </c>
      <c r="ET317" s="464">
        <f t="shared" si="1954"/>
        <v>0</v>
      </c>
      <c r="EU317" s="464">
        <f t="shared" si="1954"/>
        <v>0.02</v>
      </c>
      <c r="EV317" s="464">
        <f t="shared" si="1954"/>
        <v>0.02</v>
      </c>
      <c r="EW317" s="363"/>
      <c r="EX317" s="464">
        <f t="shared" ref="EX317:FA317" si="1955">AVERAGE(ES315,EN315,EI315)</f>
        <v>-0.3</v>
      </c>
      <c r="EY317" s="464">
        <f t="shared" si="1955"/>
        <v>0</v>
      </c>
      <c r="EZ317" s="464">
        <f t="shared" si="1955"/>
        <v>0.02</v>
      </c>
      <c r="FA317" s="464">
        <f t="shared" si="1955"/>
        <v>0.02</v>
      </c>
      <c r="FB317" s="363"/>
      <c r="FC317" s="464">
        <f t="shared" ref="FC317:FF317" si="1956">AVERAGE(EX315,ES315,EN315)</f>
        <v>-0.3</v>
      </c>
      <c r="FD317" s="464">
        <f t="shared" si="1956"/>
        <v>0</v>
      </c>
      <c r="FE317" s="464">
        <f t="shared" si="1956"/>
        <v>0.02</v>
      </c>
      <c r="FF317" s="464">
        <f t="shared" si="1956"/>
        <v>0.02</v>
      </c>
      <c r="FG317" s="363"/>
      <c r="FH317" s="364"/>
      <c r="FI317" s="15"/>
      <c r="FJ317" s="15"/>
      <c r="FK317" s="410"/>
      <c r="FL317" s="15"/>
    </row>
    <row r="318" ht="12.75" hidden="1" customHeight="1" outlineLevel="2">
      <c r="A318" s="421"/>
      <c r="B318" s="215"/>
      <c r="C318" s="45"/>
      <c r="D318" s="15"/>
      <c r="E318" s="15"/>
      <c r="F318" s="15"/>
      <c r="G318" s="15"/>
      <c r="H318" s="410"/>
      <c r="I318" s="15"/>
      <c r="J318" s="15"/>
      <c r="K318" s="15"/>
      <c r="L318" s="15"/>
      <c r="M318" s="410"/>
      <c r="N318" s="15"/>
      <c r="O318" s="15"/>
      <c r="P318" s="15"/>
      <c r="Q318" s="15"/>
      <c r="R318" s="410"/>
      <c r="S318" s="15"/>
      <c r="T318" s="15"/>
      <c r="U318" s="15"/>
      <c r="V318" s="15"/>
      <c r="W318" s="410"/>
      <c r="X318" s="15"/>
      <c r="Y318" s="15"/>
      <c r="Z318" s="15"/>
      <c r="AA318" s="15"/>
      <c r="AB318" s="410"/>
      <c r="AC318" s="15"/>
      <c r="AD318" s="15"/>
      <c r="AE318" s="15"/>
      <c r="AF318" s="15"/>
      <c r="AG318" s="410"/>
      <c r="AH318" s="15"/>
      <c r="AI318" s="15"/>
      <c r="AJ318" s="15"/>
      <c r="AK318" s="15"/>
      <c r="AL318" s="410"/>
      <c r="AM318" s="15"/>
      <c r="AN318" s="15"/>
      <c r="AO318" s="15"/>
      <c r="AP318" s="15"/>
      <c r="AQ318" s="410"/>
      <c r="AR318" s="15"/>
      <c r="AS318" s="15"/>
      <c r="AT318" s="15"/>
      <c r="AU318" s="15"/>
      <c r="AV318" s="410"/>
      <c r="AW318" s="15"/>
      <c r="AX318" s="15"/>
      <c r="AY318" s="15"/>
      <c r="AZ318" s="15"/>
      <c r="BA318" s="410"/>
      <c r="BB318" s="15"/>
      <c r="BC318" s="15"/>
      <c r="BD318" s="15"/>
      <c r="BE318" s="15"/>
      <c r="BF318" s="410"/>
      <c r="BG318" s="15"/>
      <c r="BH318" s="15"/>
      <c r="BI318" s="15"/>
      <c r="BJ318" s="15"/>
      <c r="BK318" s="410"/>
      <c r="BL318" s="15"/>
      <c r="BM318" s="15"/>
      <c r="BN318" s="15"/>
      <c r="BO318" s="15"/>
      <c r="BP318" s="410"/>
      <c r="BQ318" s="15"/>
      <c r="BR318" s="15"/>
      <c r="BS318" s="15"/>
      <c r="BT318" s="15"/>
      <c r="BU318" s="410"/>
      <c r="BV318" s="15"/>
      <c r="BW318" s="15"/>
      <c r="BX318" s="15"/>
      <c r="BY318" s="15"/>
      <c r="BZ318" s="24"/>
      <c r="CA318" s="15"/>
      <c r="CB318" s="15"/>
      <c r="CC318" s="15"/>
      <c r="CD318" s="15"/>
      <c r="CE318" s="24"/>
      <c r="CF318" s="15"/>
      <c r="CG318" s="15"/>
      <c r="CH318" s="15"/>
      <c r="CI318" s="15"/>
      <c r="CJ318" s="24"/>
      <c r="CK318" s="15"/>
      <c r="CL318" s="15"/>
      <c r="CM318" s="15"/>
      <c r="CN318" s="40"/>
      <c r="CO318" s="24"/>
      <c r="CP318" s="427"/>
      <c r="CQ318" s="427"/>
      <c r="CR318" s="427"/>
      <c r="CS318" s="427"/>
      <c r="CT318" s="363"/>
      <c r="CU318" s="427"/>
      <c r="CV318" s="427"/>
      <c r="CW318" s="427"/>
      <c r="CX318" s="427"/>
      <c r="CY318" s="363"/>
      <c r="CZ318" s="427"/>
      <c r="DA318" s="463"/>
      <c r="DB318" s="463"/>
      <c r="DC318" s="463"/>
      <c r="DD318" s="363"/>
      <c r="DE318" s="427"/>
      <c r="DF318" s="427"/>
      <c r="DG318" s="433"/>
      <c r="DH318" s="463"/>
      <c r="DI318" s="363"/>
      <c r="DJ318" s="433"/>
      <c r="DK318" s="433"/>
      <c r="DL318" s="433"/>
      <c r="DM318" s="433"/>
      <c r="DN318" s="363"/>
      <c r="DO318" s="433"/>
      <c r="DP318" s="433"/>
      <c r="DQ318" s="433"/>
      <c r="DR318" s="433"/>
      <c r="DS318" s="363"/>
      <c r="DT318" s="433"/>
      <c r="DU318" s="433"/>
      <c r="DV318" s="433"/>
      <c r="DW318" s="433"/>
      <c r="DX318" s="363"/>
      <c r="DY318" s="433"/>
      <c r="DZ318" s="433"/>
      <c r="EA318" s="433"/>
      <c r="EB318" s="433"/>
      <c r="EC318" s="363"/>
      <c r="ED318" s="433"/>
      <c r="EE318" s="433"/>
      <c r="EF318" s="433"/>
      <c r="EG318" s="433"/>
      <c r="EH318" s="363"/>
      <c r="EI318" s="431"/>
      <c r="EJ318" s="432"/>
      <c r="EK318" s="432"/>
      <c r="EL318" s="432"/>
      <c r="EM318" s="363"/>
      <c r="EN318" s="432"/>
      <c r="EO318" s="432"/>
      <c r="EP318" s="432"/>
      <c r="EQ318" s="432"/>
      <c r="ER318" s="363"/>
      <c r="ES318" s="432"/>
      <c r="ET318" s="432"/>
      <c r="EU318" s="432"/>
      <c r="EV318" s="432"/>
      <c r="EW318" s="363"/>
      <c r="EX318" s="432"/>
      <c r="EY318" s="432"/>
      <c r="EZ318" s="432"/>
      <c r="FA318" s="432"/>
      <c r="FB318" s="363"/>
      <c r="FC318" s="432"/>
      <c r="FD318" s="432"/>
      <c r="FE318" s="432"/>
      <c r="FF318" s="432"/>
      <c r="FG318" s="363"/>
      <c r="FH318" s="364"/>
      <c r="FI318" s="15"/>
      <c r="FJ318" s="15"/>
      <c r="FK318" s="410"/>
      <c r="FL318" s="15"/>
    </row>
    <row r="319" ht="12.75" hidden="1" customHeight="1" outlineLevel="1">
      <c r="A319" s="421"/>
      <c r="B319" s="4"/>
      <c r="C319" s="45"/>
      <c r="D319" s="15"/>
      <c r="E319" s="15"/>
      <c r="F319" s="15"/>
      <c r="G319" s="15"/>
      <c r="H319" s="410"/>
      <c r="I319" s="15"/>
      <c r="J319" s="15"/>
      <c r="K319" s="15"/>
      <c r="L319" s="15"/>
      <c r="M319" s="410"/>
      <c r="N319" s="15"/>
      <c r="O319" s="15"/>
      <c r="P319" s="15"/>
      <c r="Q319" s="15"/>
      <c r="R319" s="410"/>
      <c r="S319" s="15"/>
      <c r="T319" s="15"/>
      <c r="U319" s="15"/>
      <c r="V319" s="15"/>
      <c r="W319" s="410"/>
      <c r="X319" s="15"/>
      <c r="Y319" s="15"/>
      <c r="Z319" s="15"/>
      <c r="AA319" s="15"/>
      <c r="AB319" s="410"/>
      <c r="AC319" s="15"/>
      <c r="AD319" s="15"/>
      <c r="AE319" s="15"/>
      <c r="AF319" s="15"/>
      <c r="AG319" s="410"/>
      <c r="AH319" s="15"/>
      <c r="AI319" s="15"/>
      <c r="AJ319" s="15"/>
      <c r="AK319" s="15"/>
      <c r="AL319" s="410"/>
      <c r="AM319" s="15"/>
      <c r="AN319" s="15"/>
      <c r="AO319" s="15"/>
      <c r="AP319" s="15"/>
      <c r="AQ319" s="410"/>
      <c r="AR319" s="15"/>
      <c r="AS319" s="15"/>
      <c r="AT319" s="15"/>
      <c r="AU319" s="15"/>
      <c r="AV319" s="410"/>
      <c r="AW319" s="15"/>
      <c r="AX319" s="15"/>
      <c r="AY319" s="15"/>
      <c r="AZ319" s="15"/>
      <c r="BA319" s="410"/>
      <c r="BB319" s="15"/>
      <c r="BC319" s="15"/>
      <c r="BD319" s="15"/>
      <c r="BE319" s="15"/>
      <c r="BF319" s="410"/>
      <c r="BG319" s="15"/>
      <c r="BH319" s="15"/>
      <c r="BI319" s="15"/>
      <c r="BJ319" s="15"/>
      <c r="BK319" s="410"/>
      <c r="BL319" s="15"/>
      <c r="BM319" s="15"/>
      <c r="BN319" s="15"/>
      <c r="BO319" s="15"/>
      <c r="BP319" s="410"/>
      <c r="BQ319" s="15"/>
      <c r="BR319" s="15"/>
      <c r="BS319" s="15"/>
      <c r="BT319" s="15"/>
      <c r="BU319" s="410"/>
      <c r="BV319" s="15"/>
      <c r="BW319" s="15"/>
      <c r="BX319" s="15"/>
      <c r="BY319" s="15"/>
      <c r="BZ319" s="24"/>
      <c r="CA319" s="15"/>
      <c r="CB319" s="15"/>
      <c r="CC319" s="15"/>
      <c r="CD319" s="15"/>
      <c r="CE319" s="24"/>
      <c r="CF319" s="15"/>
      <c r="CG319" s="15"/>
      <c r="CH319" s="15"/>
      <c r="CI319" s="15"/>
      <c r="CJ319" s="24"/>
      <c r="CK319" s="15"/>
      <c r="CL319" s="15"/>
      <c r="CM319" s="15"/>
      <c r="CN319" s="40"/>
      <c r="CO319" s="24"/>
      <c r="CP319" s="427"/>
      <c r="CQ319" s="427"/>
      <c r="CR319" s="427"/>
      <c r="CS319" s="427"/>
      <c r="CT319" s="363"/>
      <c r="CU319" s="427"/>
      <c r="CV319" s="427"/>
      <c r="CW319" s="427"/>
      <c r="CX319" s="427"/>
      <c r="CY319" s="363"/>
      <c r="CZ319" s="427"/>
      <c r="DA319" s="463"/>
      <c r="DB319" s="463"/>
      <c r="DC319" s="463"/>
      <c r="DD319" s="363"/>
      <c r="DE319" s="427"/>
      <c r="DF319" s="427"/>
      <c r="DG319" s="433"/>
      <c r="DH319" s="463"/>
      <c r="DI319" s="363"/>
      <c r="DJ319" s="433"/>
      <c r="DK319" s="433"/>
      <c r="DL319" s="433"/>
      <c r="DM319" s="433"/>
      <c r="DN319" s="363"/>
      <c r="DO319" s="433"/>
      <c r="DP319" s="433"/>
      <c r="DQ319" s="433"/>
      <c r="DR319" s="433"/>
      <c r="DS319" s="363"/>
      <c r="DT319" s="433"/>
      <c r="DU319" s="433"/>
      <c r="DV319" s="433"/>
      <c r="DW319" s="433"/>
      <c r="DX319" s="363"/>
      <c r="DY319" s="433"/>
      <c r="DZ319" s="433"/>
      <c r="EA319" s="433"/>
      <c r="EB319" s="433"/>
      <c r="EC319" s="363"/>
      <c r="ED319" s="433"/>
      <c r="EE319" s="433"/>
      <c r="EF319" s="433"/>
      <c r="EG319" s="433"/>
      <c r="EH319" s="363"/>
      <c r="EI319" s="431"/>
      <c r="EJ319" s="432"/>
      <c r="EK319" s="432"/>
      <c r="EL319" s="432"/>
      <c r="EM319" s="363"/>
      <c r="EN319" s="432"/>
      <c r="EO319" s="432"/>
      <c r="EP319" s="432"/>
      <c r="EQ319" s="432"/>
      <c r="ER319" s="363"/>
      <c r="ES319" s="432"/>
      <c r="ET319" s="432"/>
      <c r="EU319" s="432"/>
      <c r="EV319" s="432"/>
      <c r="EW319" s="363"/>
      <c r="EX319" s="432"/>
      <c r="EY319" s="432"/>
      <c r="EZ319" s="432"/>
      <c r="FA319" s="432"/>
      <c r="FB319" s="363"/>
      <c r="FC319" s="432"/>
      <c r="FD319" s="432"/>
      <c r="FE319" s="432"/>
      <c r="FF319" s="432"/>
      <c r="FG319" s="363"/>
      <c r="FH319" s="364"/>
      <c r="FI319" s="15"/>
      <c r="FJ319" s="15"/>
      <c r="FK319" s="410"/>
      <c r="FL319" s="15"/>
    </row>
    <row r="320" ht="12.75" hidden="1" customHeight="1" outlineLevel="1">
      <c r="A320" s="421"/>
      <c r="B320" s="215"/>
      <c r="C320" s="45"/>
      <c r="D320" s="15"/>
      <c r="E320" s="15"/>
      <c r="F320" s="15"/>
      <c r="G320" s="15"/>
      <c r="H320" s="410"/>
      <c r="I320" s="15"/>
      <c r="J320" s="15"/>
      <c r="K320" s="15"/>
      <c r="L320" s="15"/>
      <c r="M320" s="410"/>
      <c r="N320" s="15"/>
      <c r="O320" s="15"/>
      <c r="P320" s="15"/>
      <c r="Q320" s="15"/>
      <c r="R320" s="410"/>
      <c r="S320" s="15"/>
      <c r="T320" s="15"/>
      <c r="U320" s="15"/>
      <c r="V320" s="15"/>
      <c r="W320" s="410"/>
      <c r="X320" s="15"/>
      <c r="Y320" s="15"/>
      <c r="Z320" s="15"/>
      <c r="AA320" s="15"/>
      <c r="AB320" s="410"/>
      <c r="AC320" s="15"/>
      <c r="AD320" s="15"/>
      <c r="AE320" s="15"/>
      <c r="AF320" s="15"/>
      <c r="AG320" s="410"/>
      <c r="AH320" s="15"/>
      <c r="AI320" s="15"/>
      <c r="AJ320" s="15"/>
      <c r="AK320" s="15"/>
      <c r="AL320" s="410"/>
      <c r="AM320" s="15"/>
      <c r="AN320" s="15"/>
      <c r="AO320" s="15"/>
      <c r="AP320" s="15"/>
      <c r="AQ320" s="410"/>
      <c r="AR320" s="15"/>
      <c r="AS320" s="15"/>
      <c r="AT320" s="15"/>
      <c r="AU320" s="15"/>
      <c r="AV320" s="410"/>
      <c r="AW320" s="15"/>
      <c r="AX320" s="15"/>
      <c r="AY320" s="15"/>
      <c r="AZ320" s="15"/>
      <c r="BA320" s="410"/>
      <c r="BB320" s="15"/>
      <c r="BC320" s="15"/>
      <c r="BD320" s="15"/>
      <c r="BE320" s="15"/>
      <c r="BF320" s="410"/>
      <c r="BG320" s="15"/>
      <c r="BH320" s="15"/>
      <c r="BI320" s="15"/>
      <c r="BJ320" s="15"/>
      <c r="BK320" s="410"/>
      <c r="BL320" s="15"/>
      <c r="BM320" s="15"/>
      <c r="BN320" s="15"/>
      <c r="BO320" s="15"/>
      <c r="BP320" s="410"/>
      <c r="BQ320" s="15"/>
      <c r="BR320" s="15"/>
      <c r="BS320" s="15"/>
      <c r="BT320" s="15"/>
      <c r="BU320" s="410"/>
      <c r="BV320" s="15"/>
      <c r="BW320" s="15"/>
      <c r="BX320" s="15"/>
      <c r="BY320" s="15"/>
      <c r="BZ320" s="24"/>
      <c r="CA320" s="15"/>
      <c r="CB320" s="15"/>
      <c r="CC320" s="15"/>
      <c r="CD320" s="15"/>
      <c r="CE320" s="24"/>
      <c r="CF320" s="15"/>
      <c r="CG320" s="15"/>
      <c r="CH320" s="15"/>
      <c r="CI320" s="15"/>
      <c r="CJ320" s="24"/>
      <c r="CK320" s="15"/>
      <c r="CL320" s="15"/>
      <c r="CM320" s="15"/>
      <c r="CN320" s="40"/>
      <c r="CO320" s="24"/>
      <c r="CP320" s="427"/>
      <c r="CQ320" s="427"/>
      <c r="CR320" s="427"/>
      <c r="CS320" s="427"/>
      <c r="CT320" s="363"/>
      <c r="CU320" s="427"/>
      <c r="CV320" s="427"/>
      <c r="CW320" s="427"/>
      <c r="CX320" s="427"/>
      <c r="CY320" s="363"/>
      <c r="CZ320" s="427"/>
      <c r="DA320" s="463"/>
      <c r="DB320" s="463"/>
      <c r="DC320" s="463"/>
      <c r="DD320" s="363"/>
      <c r="DE320" s="427"/>
      <c r="DF320" s="427"/>
      <c r="DG320" s="433"/>
      <c r="DH320" s="463"/>
      <c r="DI320" s="363"/>
      <c r="DJ320" s="433"/>
      <c r="DK320" s="433"/>
      <c r="DL320" s="433"/>
      <c r="DM320" s="40">
        <f>SUM(DL327:DM327)/SUM(DJ327:DK327)-1</f>
        <v>0.1789923972</v>
      </c>
      <c r="DN320" s="363"/>
      <c r="DO320" s="433"/>
      <c r="DP320" s="433"/>
      <c r="DQ320" s="433"/>
      <c r="DR320" s="433">
        <f>SUM(DQ327:DR327)/SUM(DO327:DP327)-1</f>
        <v>0.4387108408</v>
      </c>
      <c r="DS320" s="363"/>
      <c r="DT320" s="433"/>
      <c r="DU320" s="433"/>
      <c r="DV320" s="433">
        <f t="shared" ref="DV320:DW320" si="1957">DV338+DV353</f>
        <v>5905</v>
      </c>
      <c r="DW320" s="433">
        <f t="shared" si="1957"/>
        <v>6088</v>
      </c>
      <c r="DX320" s="363"/>
      <c r="DY320" s="433">
        <f t="shared" ref="DY320:EB320" si="1958">DY327+DY331+DY334</f>
        <v>5663.796345</v>
      </c>
      <c r="DZ320" s="433">
        <f t="shared" si="1958"/>
        <v>6433.33251</v>
      </c>
      <c r="EA320" s="433" t="str">
        <f t="shared" si="1958"/>
        <v>#ERROR!</v>
      </c>
      <c r="EB320" s="433" t="str">
        <f t="shared" si="1958"/>
        <v>#ERROR!</v>
      </c>
      <c r="EC320" s="465" t="str">
        <f>(EC324/DI324)^(1/4)-1</f>
        <v>#ERROR!</v>
      </c>
      <c r="ED320" s="433" t="str">
        <f>ED327+ED331+ED334</f>
        <v>#ERROR!</v>
      </c>
      <c r="EE320" s="433"/>
      <c r="EF320" s="433"/>
      <c r="EG320" s="433"/>
      <c r="EH320" s="465" t="str">
        <f>(EH324/DN324)^(1/4)-1</f>
        <v>#ERROR!</v>
      </c>
      <c r="EI320" s="431"/>
      <c r="EJ320" s="432"/>
      <c r="EK320" s="432"/>
      <c r="EL320" s="432"/>
      <c r="EM320" s="465" t="str">
        <f>(EM324/DS324)^(1/4)-1</f>
        <v>#ERROR!</v>
      </c>
      <c r="EN320" s="432"/>
      <c r="EO320" s="432"/>
      <c r="EP320" s="432"/>
      <c r="EQ320" s="432"/>
      <c r="ER320" s="465" t="str">
        <f>(ER324/DX324)^(1/4)-1</f>
        <v>#ERROR!</v>
      </c>
      <c r="ES320" s="432"/>
      <c r="ET320" s="432"/>
      <c r="EU320" s="432"/>
      <c r="EV320" s="432"/>
      <c r="EW320" s="465" t="str">
        <f>(EW324/EC324)^(1/4)-1</f>
        <v>#ERROR!</v>
      </c>
      <c r="EX320" s="432"/>
      <c r="EY320" s="432"/>
      <c r="EZ320" s="432"/>
      <c r="FA320" s="432"/>
      <c r="FB320" s="465" t="str">
        <f>(FB324/EH324)^(1/4)-1</f>
        <v>#ERROR!</v>
      </c>
      <c r="FC320" s="432"/>
      <c r="FD320" s="432"/>
      <c r="FE320" s="432"/>
      <c r="FF320" s="432"/>
      <c r="FG320" s="465" t="str">
        <f>(FG324/EM324)^(1/4)-1</f>
        <v>#ERROR!</v>
      </c>
      <c r="FH320" s="466"/>
      <c r="FI320" s="15"/>
      <c r="FJ320" s="15"/>
      <c r="FK320" s="410"/>
      <c r="FL320" s="15"/>
    </row>
    <row r="321" ht="12.75" hidden="1" customHeight="1" outlineLevel="1">
      <c r="A321" s="421"/>
      <c r="B321" s="215" t="s">
        <v>208</v>
      </c>
      <c r="C321" s="45"/>
      <c r="D321" s="15"/>
      <c r="E321" s="15"/>
      <c r="F321" s="15"/>
      <c r="G321" s="15"/>
      <c r="H321" s="410"/>
      <c r="I321" s="15"/>
      <c r="J321" s="15"/>
      <c r="K321" s="15"/>
      <c r="L321" s="15"/>
      <c r="M321" s="410"/>
      <c r="N321" s="15"/>
      <c r="O321" s="15"/>
      <c r="P321" s="15"/>
      <c r="Q321" s="15"/>
      <c r="R321" s="410"/>
      <c r="S321" s="15"/>
      <c r="T321" s="15"/>
      <c r="U321" s="15"/>
      <c r="V321" s="15"/>
      <c r="W321" s="410"/>
      <c r="X321" s="15"/>
      <c r="Y321" s="15"/>
      <c r="Z321" s="15"/>
      <c r="AA321" s="15"/>
      <c r="AB321" s="410"/>
      <c r="AC321" s="15"/>
      <c r="AD321" s="15"/>
      <c r="AE321" s="15"/>
      <c r="AF321" s="15"/>
      <c r="AG321" s="410"/>
      <c r="AH321" s="15"/>
      <c r="AI321" s="15"/>
      <c r="AJ321" s="15"/>
      <c r="AK321" s="15"/>
      <c r="AL321" s="410"/>
      <c r="AM321" s="15"/>
      <c r="AN321" s="15"/>
      <c r="AO321" s="15"/>
      <c r="AP321" s="15"/>
      <c r="AQ321" s="410"/>
      <c r="AR321" s="15"/>
      <c r="AS321" s="15"/>
      <c r="AT321" s="15"/>
      <c r="AU321" s="15"/>
      <c r="AV321" s="410"/>
      <c r="AW321" s="15"/>
      <c r="AX321" s="15"/>
      <c r="AY321" s="15"/>
      <c r="AZ321" s="15"/>
      <c r="BA321" s="410"/>
      <c r="BB321" s="15"/>
      <c r="BC321" s="15"/>
      <c r="BD321" s="15"/>
      <c r="BE321" s="15"/>
      <c r="BF321" s="410"/>
      <c r="BG321" s="15"/>
      <c r="BH321" s="15"/>
      <c r="BI321" s="15"/>
      <c r="BJ321" s="15"/>
      <c r="BK321" s="410"/>
      <c r="BL321" s="15"/>
      <c r="BM321" s="15"/>
      <c r="BN321" s="15"/>
      <c r="BO321" s="15"/>
      <c r="BP321" s="410"/>
      <c r="BQ321" s="15"/>
      <c r="BR321" s="15"/>
      <c r="BS321" s="15"/>
      <c r="BT321" s="15"/>
      <c r="BU321" s="410"/>
      <c r="BV321" s="15"/>
      <c r="BW321" s="15"/>
      <c r="BX321" s="15"/>
      <c r="BY321" s="15"/>
      <c r="BZ321" s="24"/>
      <c r="CA321" s="15"/>
      <c r="CB321" s="15"/>
      <c r="CC321" s="15"/>
      <c r="CD321" s="15"/>
      <c r="CE321" s="24"/>
      <c r="CF321" s="427">
        <v>454.0</v>
      </c>
      <c r="CG321" s="427">
        <v>362.20216320287994</v>
      </c>
      <c r="CH321" s="427">
        <v>387.5563146270816</v>
      </c>
      <c r="CI321" s="427">
        <v>406.93413035843565</v>
      </c>
      <c r="CJ321" s="363">
        <f>SUM(CF321:CI321)</f>
        <v>1610.692608</v>
      </c>
      <c r="CK321" s="427">
        <f>696-CL321</f>
        <v>404</v>
      </c>
      <c r="CL321" s="427">
        <v>292.0</v>
      </c>
      <c r="CM321" s="427">
        <v>353.0</v>
      </c>
      <c r="CN321" s="427">
        <f>4092-CO265-CM321-CL321-CK321</f>
        <v>-30227</v>
      </c>
      <c r="CO321" s="363">
        <f>SUM(CK321:CN321)</f>
        <v>-29178</v>
      </c>
      <c r="CP321" s="427">
        <v>156.0</v>
      </c>
      <c r="CQ321" s="427">
        <v>51.0</v>
      </c>
      <c r="CR321" s="427">
        <v>101.0</v>
      </c>
      <c r="CS321" s="427">
        <v>-6.0</v>
      </c>
      <c r="CT321" s="363">
        <f t="shared" ref="CT321:CT322" si="1964">SUM(CP321:CS321)</f>
        <v>302</v>
      </c>
      <c r="CU321" s="427">
        <v>-3.1</v>
      </c>
      <c r="CV321" s="427" t="str">
        <f t="shared" ref="CV321:CX321" si="1959">CV265-CV269</f>
        <v>#ERROR!</v>
      </c>
      <c r="CW321" s="427" t="str">
        <f t="shared" si="1959"/>
        <v>#ERROR!</v>
      </c>
      <c r="CX321" s="427" t="str">
        <f t="shared" si="1959"/>
        <v>#ERROR!</v>
      </c>
      <c r="CY321" s="363" t="str">
        <f t="shared" ref="CY321:CY322" si="1966">SUM(CU321:CX321)</f>
        <v>#ERROR!</v>
      </c>
      <c r="CZ321" s="427" t="str">
        <f t="shared" ref="CZ321:DC321" si="1960">CZ265-CZ269</f>
        <v>#ERROR!</v>
      </c>
      <c r="DA321" s="427" t="str">
        <f t="shared" si="1960"/>
        <v>#ERROR!</v>
      </c>
      <c r="DB321" s="427" t="str">
        <f t="shared" si="1960"/>
        <v>#ERROR!</v>
      </c>
      <c r="DC321" s="427" t="str">
        <f t="shared" si="1960"/>
        <v>#ERROR!</v>
      </c>
      <c r="DD321" s="363" t="str">
        <f t="shared" ref="DD321:DD322" si="1968">SUM(CZ321:DC321)</f>
        <v>#ERROR!</v>
      </c>
      <c r="DE321" s="427" t="str">
        <f t="shared" ref="DE321:DH321" si="1961">DE265-DE269</f>
        <v>#ERROR!</v>
      </c>
      <c r="DF321" s="427" t="str">
        <f t="shared" si="1961"/>
        <v>#ERROR!</v>
      </c>
      <c r="DG321" s="427" t="str">
        <f t="shared" si="1961"/>
        <v>#ERROR!</v>
      </c>
      <c r="DH321" s="427" t="str">
        <f t="shared" si="1961"/>
        <v>#ERROR!</v>
      </c>
      <c r="DI321" s="363" t="str">
        <f t="shared" ref="DI321:DI322" si="1970">SUM(DE321:DH321)</f>
        <v>#ERROR!</v>
      </c>
      <c r="DJ321" s="427" t="str">
        <f t="shared" ref="DJ321:DK321" si="1962">DJ265-DJ269</f>
        <v>#ERROR!</v>
      </c>
      <c r="DK321" s="427" t="str">
        <f t="shared" si="1962"/>
        <v>#ERROR!</v>
      </c>
      <c r="DL321" s="427"/>
      <c r="DM321" s="433"/>
      <c r="DN321" s="363" t="str">
        <f t="shared" ref="DN321:DN322" si="1972">SUM(DJ321:DM321)</f>
        <v>#ERROR!</v>
      </c>
      <c r="DO321" s="433"/>
      <c r="DP321" s="433"/>
      <c r="DQ321" s="433"/>
      <c r="DR321" s="433"/>
      <c r="DS321" s="363">
        <f t="shared" ref="DS321:DS322" si="1974">SUM(DO321:DR321)</f>
        <v>0</v>
      </c>
      <c r="DT321" s="433"/>
      <c r="DU321" s="433"/>
      <c r="DV321" s="433"/>
      <c r="DW321" s="433"/>
      <c r="DX321" s="363">
        <f t="shared" ref="DX321:DX322" si="1976">SUM(DT321:DW321)</f>
        <v>0</v>
      </c>
      <c r="DY321" s="433"/>
      <c r="DZ321" s="433"/>
      <c r="EA321" s="433"/>
      <c r="EB321" s="433"/>
      <c r="EC321" s="363">
        <f t="shared" ref="EC321:EC322" si="1978">SUM(DY321:EB321)</f>
        <v>0</v>
      </c>
      <c r="ED321" s="433"/>
      <c r="EE321" s="433"/>
      <c r="EF321" s="433"/>
      <c r="EG321" s="433"/>
      <c r="EH321" s="363">
        <f t="shared" ref="EH321:EH322" si="1980">SUM(ED321:EG321)</f>
        <v>0</v>
      </c>
      <c r="EI321" s="431"/>
      <c r="EJ321" s="432"/>
      <c r="EK321" s="432"/>
      <c r="EL321" s="432"/>
      <c r="EM321" s="363">
        <f t="shared" ref="EM321:EM322" si="1982">SUM(EI321:EL321)</f>
        <v>0</v>
      </c>
      <c r="EN321" s="432"/>
      <c r="EO321" s="432"/>
      <c r="EP321" s="432"/>
      <c r="EQ321" s="432"/>
      <c r="ER321" s="363">
        <f t="shared" ref="ER321:ER322" si="1984">SUM(EN321:EQ321)</f>
        <v>0</v>
      </c>
      <c r="ES321" s="432"/>
      <c r="ET321" s="432"/>
      <c r="EU321" s="432"/>
      <c r="EV321" s="432"/>
      <c r="EW321" s="363">
        <f t="shared" ref="EW321:EW322" si="1986">SUM(ES321:EV321)</f>
        <v>0</v>
      </c>
      <c r="EX321" s="432"/>
      <c r="EY321" s="432"/>
      <c r="EZ321" s="432"/>
      <c r="FA321" s="432"/>
      <c r="FB321" s="363">
        <f t="shared" ref="FB321:FB322" si="1988">SUM(EX321:FA321)</f>
        <v>0</v>
      </c>
      <c r="FC321" s="432"/>
      <c r="FD321" s="432"/>
      <c r="FE321" s="432"/>
      <c r="FF321" s="432"/>
      <c r="FG321" s="363">
        <f t="shared" ref="FG321:FG322" si="1990">SUM(FC321:FF321)</f>
        <v>0</v>
      </c>
      <c r="FH321" s="364"/>
      <c r="FI321" s="15"/>
      <c r="FJ321" s="15"/>
      <c r="FK321" s="410"/>
      <c r="FL321" s="15"/>
    </row>
    <row r="322" ht="13.5" hidden="1" customHeight="1" outlineLevel="1">
      <c r="A322" s="421"/>
      <c r="B322" s="86" t="s">
        <v>209</v>
      </c>
      <c r="C322" s="45"/>
      <c r="D322" s="15"/>
      <c r="E322" s="15"/>
      <c r="F322" s="15"/>
      <c r="G322" s="15"/>
      <c r="H322" s="410"/>
      <c r="I322" s="15"/>
      <c r="J322" s="15"/>
      <c r="K322" s="15"/>
      <c r="L322" s="15"/>
      <c r="M322" s="410"/>
      <c r="N322" s="15"/>
      <c r="O322" s="15"/>
      <c r="P322" s="15"/>
      <c r="Q322" s="15"/>
      <c r="R322" s="410"/>
      <c r="S322" s="15"/>
      <c r="T322" s="15"/>
      <c r="U322" s="15"/>
      <c r="V322" s="15"/>
      <c r="W322" s="410"/>
      <c r="X322" s="15"/>
      <c r="Y322" s="15"/>
      <c r="Z322" s="15"/>
      <c r="AA322" s="15"/>
      <c r="AB322" s="410"/>
      <c r="AC322" s="15"/>
      <c r="AD322" s="15"/>
      <c r="AE322" s="15"/>
      <c r="AF322" s="15"/>
      <c r="AG322" s="410"/>
      <c r="AH322" s="15"/>
      <c r="AI322" s="15"/>
      <c r="AJ322" s="15"/>
      <c r="AK322" s="15"/>
      <c r="AL322" s="410"/>
      <c r="AM322" s="15"/>
      <c r="AN322" s="15"/>
      <c r="AO322" s="15"/>
      <c r="AP322" s="15"/>
      <c r="AQ322" s="410"/>
      <c r="AR322" s="15"/>
      <c r="AS322" s="15"/>
      <c r="AT322" s="15"/>
      <c r="AU322" s="15"/>
      <c r="AV322" s="410"/>
      <c r="AW322" s="15"/>
      <c r="AX322" s="15"/>
      <c r="AY322" s="15"/>
      <c r="AZ322" s="15"/>
      <c r="BA322" s="410"/>
      <c r="BB322" s="15"/>
      <c r="BC322" s="15"/>
      <c r="BD322" s="15"/>
      <c r="BE322" s="15"/>
      <c r="BF322" s="410"/>
      <c r="BG322" s="15"/>
      <c r="BH322" s="15"/>
      <c r="BI322" s="15"/>
      <c r="BJ322" s="15"/>
      <c r="BK322" s="410"/>
      <c r="BL322" s="15"/>
      <c r="BM322" s="15"/>
      <c r="BN322" s="15"/>
      <c r="BO322" s="15"/>
      <c r="BP322" s="410"/>
      <c r="BQ322" s="15"/>
      <c r="BR322" s="15"/>
      <c r="BS322" s="15"/>
      <c r="BT322" s="15"/>
      <c r="BU322" s="410"/>
      <c r="BV322" s="15"/>
      <c r="BW322" s="15"/>
      <c r="BX322" s="15"/>
      <c r="BY322" s="15"/>
      <c r="BZ322" s="24"/>
      <c r="CA322" s="15"/>
      <c r="CB322" s="15"/>
      <c r="CC322" s="15"/>
      <c r="CD322" s="15"/>
      <c r="CE322" s="24"/>
      <c r="CF322" s="427"/>
      <c r="CG322" s="427"/>
      <c r="CH322" s="427"/>
      <c r="CI322" s="427"/>
      <c r="CJ322" s="363"/>
      <c r="CK322" s="427"/>
      <c r="CL322" s="427"/>
      <c r="CM322" s="427"/>
      <c r="CN322" s="427"/>
      <c r="CO322" s="363"/>
      <c r="CP322" s="467" t="str">
        <f t="shared" ref="CP322:CS322" si="1963">CP265-CP269-CP271</f>
        <v>#ERROR!</v>
      </c>
      <c r="CQ322" s="467" t="str">
        <f t="shared" si="1963"/>
        <v>#ERROR!</v>
      </c>
      <c r="CR322" s="467" t="str">
        <f t="shared" si="1963"/>
        <v>#ERROR!</v>
      </c>
      <c r="CS322" s="467" t="str">
        <f t="shared" si="1963"/>
        <v>#ERROR!</v>
      </c>
      <c r="CT322" s="468" t="str">
        <f t="shared" si="1964"/>
        <v>#ERROR!</v>
      </c>
      <c r="CU322" s="467" t="str">
        <f t="shared" ref="CU322:CX322" si="1965">CU265-CU269-CU271</f>
        <v>#ERROR!</v>
      </c>
      <c r="CV322" s="467" t="str">
        <f t="shared" si="1965"/>
        <v>#ERROR!</v>
      </c>
      <c r="CW322" s="467" t="str">
        <f t="shared" si="1965"/>
        <v>#ERROR!</v>
      </c>
      <c r="CX322" s="467" t="str">
        <f t="shared" si="1965"/>
        <v>#ERROR!</v>
      </c>
      <c r="CY322" s="468" t="str">
        <f t="shared" si="1966"/>
        <v>#ERROR!</v>
      </c>
      <c r="CZ322" s="467" t="str">
        <f t="shared" ref="CZ322:DC322" si="1967">CZ265-CZ269-CZ271</f>
        <v>#ERROR!</v>
      </c>
      <c r="DA322" s="467" t="str">
        <f t="shared" si="1967"/>
        <v>#ERROR!</v>
      </c>
      <c r="DB322" s="467" t="str">
        <f t="shared" si="1967"/>
        <v>#ERROR!</v>
      </c>
      <c r="DC322" s="467" t="str">
        <f t="shared" si="1967"/>
        <v>#ERROR!</v>
      </c>
      <c r="DD322" s="468" t="str">
        <f t="shared" si="1968"/>
        <v>#ERROR!</v>
      </c>
      <c r="DE322" s="467" t="str">
        <f t="shared" ref="DE322:DH322" si="1969">DE265-DE269-DE271</f>
        <v>#ERROR!</v>
      </c>
      <c r="DF322" s="467" t="str">
        <f t="shared" si="1969"/>
        <v>#ERROR!</v>
      </c>
      <c r="DG322" s="467" t="str">
        <f t="shared" si="1969"/>
        <v>#ERROR!</v>
      </c>
      <c r="DH322" s="467" t="str">
        <f t="shared" si="1969"/>
        <v>#ERROR!</v>
      </c>
      <c r="DI322" s="468" t="str">
        <f t="shared" si="1970"/>
        <v>#ERROR!</v>
      </c>
      <c r="DJ322" s="467" t="str">
        <f t="shared" ref="DJ322:DM322" si="1971">DJ265-DJ269-DJ271</f>
        <v>#ERROR!</v>
      </c>
      <c r="DK322" s="467" t="str">
        <f t="shared" si="1971"/>
        <v>#ERROR!</v>
      </c>
      <c r="DL322" s="467">
        <f t="shared" si="1971"/>
        <v>0</v>
      </c>
      <c r="DM322" s="467">
        <f t="shared" si="1971"/>
        <v>0</v>
      </c>
      <c r="DN322" s="468" t="str">
        <f t="shared" si="1972"/>
        <v>#ERROR!</v>
      </c>
      <c r="DO322" s="467">
        <f t="shared" ref="DO322:DR322" si="1973">DO265-DO269-DO271</f>
        <v>0</v>
      </c>
      <c r="DP322" s="467">
        <f t="shared" si="1973"/>
        <v>0</v>
      </c>
      <c r="DQ322" s="467">
        <f t="shared" si="1973"/>
        <v>0</v>
      </c>
      <c r="DR322" s="467">
        <f t="shared" si="1973"/>
        <v>0</v>
      </c>
      <c r="DS322" s="468">
        <f t="shared" si="1974"/>
        <v>0</v>
      </c>
      <c r="DT322" s="467">
        <f t="shared" ref="DT322:DW322" si="1975">DT265-DT269-DT271</f>
        <v>0</v>
      </c>
      <c r="DU322" s="467">
        <f t="shared" si="1975"/>
        <v>0</v>
      </c>
      <c r="DV322" s="467">
        <f t="shared" si="1975"/>
        <v>0</v>
      </c>
      <c r="DW322" s="467">
        <f t="shared" si="1975"/>
        <v>0</v>
      </c>
      <c r="DX322" s="468">
        <f t="shared" si="1976"/>
        <v>0</v>
      </c>
      <c r="DY322" s="467">
        <f t="shared" ref="DY322:EB322" si="1977">DY265-DY269-DY271</f>
        <v>0</v>
      </c>
      <c r="DZ322" s="467">
        <f t="shared" si="1977"/>
        <v>0</v>
      </c>
      <c r="EA322" s="467">
        <f t="shared" si="1977"/>
        <v>0</v>
      </c>
      <c r="EB322" s="467">
        <f t="shared" si="1977"/>
        <v>0</v>
      </c>
      <c r="EC322" s="468">
        <f t="shared" si="1978"/>
        <v>0</v>
      </c>
      <c r="ED322" s="467">
        <f t="shared" ref="ED322:EG322" si="1979">ED265-ED269-ED271</f>
        <v>0</v>
      </c>
      <c r="EE322" s="467" t="str">
        <f t="shared" si="1979"/>
        <v>#ERROR!</v>
      </c>
      <c r="EF322" s="467" t="str">
        <f t="shared" si="1979"/>
        <v>#ERROR!</v>
      </c>
      <c r="EG322" s="467" t="str">
        <f t="shared" si="1979"/>
        <v>#ERROR!</v>
      </c>
      <c r="EH322" s="468" t="str">
        <f t="shared" si="1980"/>
        <v>#ERROR!</v>
      </c>
      <c r="EI322" s="469" t="str">
        <f t="shared" ref="EI322:EL322" si="1981">EI265-EI269-EI271</f>
        <v>#ERROR!</v>
      </c>
      <c r="EJ322" s="467" t="str">
        <f t="shared" si="1981"/>
        <v>#ERROR!</v>
      </c>
      <c r="EK322" s="467" t="str">
        <f t="shared" si="1981"/>
        <v>#ERROR!</v>
      </c>
      <c r="EL322" s="467" t="str">
        <f t="shared" si="1981"/>
        <v>#ERROR!</v>
      </c>
      <c r="EM322" s="468" t="str">
        <f t="shared" si="1982"/>
        <v>#ERROR!</v>
      </c>
      <c r="EN322" s="467" t="str">
        <f t="shared" ref="EN322:EQ322" si="1983">EN265-EN269-EN271</f>
        <v>#ERROR!</v>
      </c>
      <c r="EO322" s="467" t="str">
        <f t="shared" si="1983"/>
        <v>#ERROR!</v>
      </c>
      <c r="EP322" s="467" t="str">
        <f t="shared" si="1983"/>
        <v>#ERROR!</v>
      </c>
      <c r="EQ322" s="467" t="str">
        <f t="shared" si="1983"/>
        <v>#ERROR!</v>
      </c>
      <c r="ER322" s="468" t="str">
        <f t="shared" si="1984"/>
        <v>#ERROR!</v>
      </c>
      <c r="ES322" s="467" t="str">
        <f t="shared" ref="ES322:EV322" si="1985">ES265-ES269-ES271</f>
        <v>#ERROR!</v>
      </c>
      <c r="ET322" s="467" t="str">
        <f t="shared" si="1985"/>
        <v>#ERROR!</v>
      </c>
      <c r="EU322" s="467" t="str">
        <f t="shared" si="1985"/>
        <v>#ERROR!</v>
      </c>
      <c r="EV322" s="467" t="str">
        <f t="shared" si="1985"/>
        <v>#ERROR!</v>
      </c>
      <c r="EW322" s="468" t="str">
        <f t="shared" si="1986"/>
        <v>#ERROR!</v>
      </c>
      <c r="EX322" s="467" t="str">
        <f t="shared" ref="EX322:FA322" si="1987">EX265-EX269-EX271</f>
        <v>#ERROR!</v>
      </c>
      <c r="EY322" s="467" t="str">
        <f t="shared" si="1987"/>
        <v>#ERROR!</v>
      </c>
      <c r="EZ322" s="467" t="str">
        <f t="shared" si="1987"/>
        <v>#ERROR!</v>
      </c>
      <c r="FA322" s="467" t="str">
        <f t="shared" si="1987"/>
        <v>#ERROR!</v>
      </c>
      <c r="FB322" s="468" t="str">
        <f t="shared" si="1988"/>
        <v>#ERROR!</v>
      </c>
      <c r="FC322" s="467" t="str">
        <f t="shared" ref="FC322:FF322" si="1989">FC265-FC269-FC271</f>
        <v>#ERROR!</v>
      </c>
      <c r="FD322" s="467" t="str">
        <f t="shared" si="1989"/>
        <v>#ERROR!</v>
      </c>
      <c r="FE322" s="467" t="str">
        <f t="shared" si="1989"/>
        <v>#ERROR!</v>
      </c>
      <c r="FF322" s="467" t="str">
        <f t="shared" si="1989"/>
        <v>#ERROR!</v>
      </c>
      <c r="FG322" s="468" t="str">
        <f t="shared" si="1990"/>
        <v>#ERROR!</v>
      </c>
      <c r="FH322" s="467"/>
      <c r="FI322" s="15"/>
      <c r="FJ322" s="15"/>
      <c r="FK322" s="410"/>
      <c r="FL322" s="15"/>
    </row>
    <row r="323" ht="13.5" hidden="1" customHeight="1" outlineLevel="2">
      <c r="A323" s="470"/>
      <c r="B323" s="471"/>
      <c r="C323" s="472"/>
      <c r="D323" s="170"/>
      <c r="E323" s="170"/>
      <c r="F323" s="170"/>
      <c r="G323" s="170"/>
      <c r="H323" s="472"/>
      <c r="I323" s="170"/>
      <c r="J323" s="170"/>
      <c r="K323" s="170"/>
      <c r="L323" s="170"/>
      <c r="M323" s="472"/>
      <c r="N323" s="170"/>
      <c r="O323" s="170"/>
      <c r="P323" s="170"/>
      <c r="Q323" s="170"/>
      <c r="R323" s="472"/>
      <c r="S323" s="170"/>
      <c r="T323" s="170"/>
      <c r="U323" s="170"/>
      <c r="V323" s="170"/>
      <c r="W323" s="472"/>
      <c r="X323" s="170"/>
      <c r="Y323" s="170"/>
      <c r="Z323" s="170"/>
      <c r="AA323" s="170"/>
      <c r="AB323" s="472"/>
      <c r="AC323" s="170"/>
      <c r="AD323" s="170"/>
      <c r="AE323" s="170"/>
      <c r="AF323" s="170"/>
      <c r="AG323" s="472"/>
      <c r="AH323" s="170"/>
      <c r="AI323" s="170"/>
      <c r="AJ323" s="170"/>
      <c r="AK323" s="170"/>
      <c r="AL323" s="472"/>
      <c r="AM323" s="170"/>
      <c r="AN323" s="170"/>
      <c r="AO323" s="170"/>
      <c r="AP323" s="170"/>
      <c r="AQ323" s="472"/>
      <c r="AR323" s="170"/>
      <c r="AS323" s="170"/>
      <c r="AT323" s="170"/>
      <c r="AU323" s="170"/>
      <c r="AV323" s="472"/>
      <c r="AW323" s="170"/>
      <c r="AX323" s="170"/>
      <c r="AY323" s="170"/>
      <c r="AZ323" s="170"/>
      <c r="BA323" s="472"/>
      <c r="BB323" s="170"/>
      <c r="BC323" s="170"/>
      <c r="BD323" s="170"/>
      <c r="BE323" s="170"/>
      <c r="BF323" s="472"/>
      <c r="BG323" s="170"/>
      <c r="BH323" s="170"/>
      <c r="BI323" s="170"/>
      <c r="BJ323" s="170"/>
      <c r="BK323" s="472"/>
      <c r="BL323" s="170"/>
      <c r="BM323" s="170"/>
      <c r="BN323" s="170"/>
      <c r="BO323" s="170"/>
      <c r="BP323" s="472"/>
      <c r="BQ323" s="170"/>
      <c r="BR323" s="170"/>
      <c r="BS323" s="170"/>
      <c r="BT323" s="170"/>
      <c r="BU323" s="472"/>
      <c r="BV323" s="170"/>
      <c r="BW323" s="170"/>
      <c r="BX323" s="170"/>
      <c r="BY323" s="170"/>
      <c r="BZ323" s="473"/>
      <c r="CA323" s="170">
        <v>1.0</v>
      </c>
      <c r="CB323" s="170">
        <f t="shared" ref="CB323:FG323" si="1991">CA323+1</f>
        <v>2</v>
      </c>
      <c r="CC323" s="170">
        <f t="shared" si="1991"/>
        <v>3</v>
      </c>
      <c r="CD323" s="170">
        <f t="shared" si="1991"/>
        <v>4</v>
      </c>
      <c r="CE323" s="170">
        <f t="shared" si="1991"/>
        <v>5</v>
      </c>
      <c r="CF323" s="170">
        <f t="shared" si="1991"/>
        <v>6</v>
      </c>
      <c r="CG323" s="170">
        <f t="shared" si="1991"/>
        <v>7</v>
      </c>
      <c r="CH323" s="170">
        <f t="shared" si="1991"/>
        <v>8</v>
      </c>
      <c r="CI323" s="170">
        <f t="shared" si="1991"/>
        <v>9</v>
      </c>
      <c r="CJ323" s="170">
        <f t="shared" si="1991"/>
        <v>10</v>
      </c>
      <c r="CK323" s="170">
        <f t="shared" si="1991"/>
        <v>11</v>
      </c>
      <c r="CL323" s="170">
        <f t="shared" si="1991"/>
        <v>12</v>
      </c>
      <c r="CM323" s="170">
        <f t="shared" si="1991"/>
        <v>13</v>
      </c>
      <c r="CN323" s="170">
        <f t="shared" si="1991"/>
        <v>14</v>
      </c>
      <c r="CO323" s="170">
        <f t="shared" si="1991"/>
        <v>15</v>
      </c>
      <c r="CP323" s="170">
        <f t="shared" si="1991"/>
        <v>16</v>
      </c>
      <c r="CQ323" s="170">
        <f t="shared" si="1991"/>
        <v>17</v>
      </c>
      <c r="CR323" s="170">
        <f t="shared" si="1991"/>
        <v>18</v>
      </c>
      <c r="CS323" s="170">
        <f t="shared" si="1991"/>
        <v>19</v>
      </c>
      <c r="CT323" s="170">
        <f t="shared" si="1991"/>
        <v>20</v>
      </c>
      <c r="CU323" s="170">
        <f t="shared" si="1991"/>
        <v>21</v>
      </c>
      <c r="CV323" s="170">
        <f t="shared" si="1991"/>
        <v>22</v>
      </c>
      <c r="CW323" s="170">
        <f t="shared" si="1991"/>
        <v>23</v>
      </c>
      <c r="CX323" s="170">
        <f t="shared" si="1991"/>
        <v>24</v>
      </c>
      <c r="CY323" s="170">
        <f t="shared" si="1991"/>
        <v>25</v>
      </c>
      <c r="CZ323" s="170">
        <f t="shared" si="1991"/>
        <v>26</v>
      </c>
      <c r="DA323" s="170">
        <f t="shared" si="1991"/>
        <v>27</v>
      </c>
      <c r="DB323" s="170">
        <f t="shared" si="1991"/>
        <v>28</v>
      </c>
      <c r="DC323" s="170">
        <f t="shared" si="1991"/>
        <v>29</v>
      </c>
      <c r="DD323" s="170">
        <f t="shared" si="1991"/>
        <v>30</v>
      </c>
      <c r="DE323" s="170">
        <f t="shared" si="1991"/>
        <v>31</v>
      </c>
      <c r="DF323" s="170">
        <f t="shared" si="1991"/>
        <v>32</v>
      </c>
      <c r="DG323" s="170">
        <f t="shared" si="1991"/>
        <v>33</v>
      </c>
      <c r="DH323" s="170">
        <f t="shared" si="1991"/>
        <v>34</v>
      </c>
      <c r="DI323" s="170">
        <f t="shared" si="1991"/>
        <v>35</v>
      </c>
      <c r="DJ323" s="474">
        <f t="shared" si="1991"/>
        <v>36</v>
      </c>
      <c r="DK323" s="474">
        <f t="shared" si="1991"/>
        <v>37</v>
      </c>
      <c r="DL323" s="474">
        <f t="shared" si="1991"/>
        <v>38</v>
      </c>
      <c r="DM323" s="474">
        <f t="shared" si="1991"/>
        <v>39</v>
      </c>
      <c r="DN323" s="170">
        <f t="shared" si="1991"/>
        <v>40</v>
      </c>
      <c r="DO323" s="474">
        <f t="shared" si="1991"/>
        <v>41</v>
      </c>
      <c r="DP323" s="474">
        <f t="shared" si="1991"/>
        <v>42</v>
      </c>
      <c r="DQ323" s="474">
        <f t="shared" si="1991"/>
        <v>43</v>
      </c>
      <c r="DR323" s="474">
        <f t="shared" si="1991"/>
        <v>44</v>
      </c>
      <c r="DS323" s="170">
        <f t="shared" si="1991"/>
        <v>45</v>
      </c>
      <c r="DT323" s="474">
        <f t="shared" si="1991"/>
        <v>46</v>
      </c>
      <c r="DU323" s="474">
        <f t="shared" si="1991"/>
        <v>47</v>
      </c>
      <c r="DV323" s="474">
        <f t="shared" si="1991"/>
        <v>48</v>
      </c>
      <c r="DW323" s="474">
        <f t="shared" si="1991"/>
        <v>49</v>
      </c>
      <c r="DX323" s="170">
        <f t="shared" si="1991"/>
        <v>50</v>
      </c>
      <c r="DY323" s="474">
        <f t="shared" si="1991"/>
        <v>51</v>
      </c>
      <c r="DZ323" s="474">
        <f t="shared" si="1991"/>
        <v>52</v>
      </c>
      <c r="EA323" s="474">
        <f t="shared" si="1991"/>
        <v>53</v>
      </c>
      <c r="EB323" s="474">
        <f t="shared" si="1991"/>
        <v>54</v>
      </c>
      <c r="EC323" s="475">
        <f t="shared" si="1991"/>
        <v>55</v>
      </c>
      <c r="ED323" s="474">
        <f t="shared" si="1991"/>
        <v>56</v>
      </c>
      <c r="EE323" s="474">
        <f t="shared" si="1991"/>
        <v>57</v>
      </c>
      <c r="EF323" s="474">
        <f t="shared" si="1991"/>
        <v>58</v>
      </c>
      <c r="EG323" s="474">
        <f t="shared" si="1991"/>
        <v>59</v>
      </c>
      <c r="EH323" s="475">
        <f t="shared" si="1991"/>
        <v>60</v>
      </c>
      <c r="EI323" s="26">
        <f t="shared" si="1991"/>
        <v>61</v>
      </c>
      <c r="EJ323" s="170">
        <f t="shared" si="1991"/>
        <v>62</v>
      </c>
      <c r="EK323" s="170">
        <f t="shared" si="1991"/>
        <v>63</v>
      </c>
      <c r="EL323" s="170">
        <f t="shared" si="1991"/>
        <v>64</v>
      </c>
      <c r="EM323" s="475">
        <f t="shared" si="1991"/>
        <v>65</v>
      </c>
      <c r="EN323" s="170">
        <f t="shared" si="1991"/>
        <v>66</v>
      </c>
      <c r="EO323" s="170">
        <f t="shared" si="1991"/>
        <v>67</v>
      </c>
      <c r="EP323" s="170">
        <f t="shared" si="1991"/>
        <v>68</v>
      </c>
      <c r="EQ323" s="170">
        <f t="shared" si="1991"/>
        <v>69</v>
      </c>
      <c r="ER323" s="475">
        <f t="shared" si="1991"/>
        <v>70</v>
      </c>
      <c r="ES323" s="170">
        <f t="shared" si="1991"/>
        <v>71</v>
      </c>
      <c r="ET323" s="170">
        <f t="shared" si="1991"/>
        <v>72</v>
      </c>
      <c r="EU323" s="170">
        <f t="shared" si="1991"/>
        <v>73</v>
      </c>
      <c r="EV323" s="170">
        <f t="shared" si="1991"/>
        <v>74</v>
      </c>
      <c r="EW323" s="475">
        <f t="shared" si="1991"/>
        <v>75</v>
      </c>
      <c r="EX323" s="170">
        <f t="shared" si="1991"/>
        <v>76</v>
      </c>
      <c r="EY323" s="170">
        <f t="shared" si="1991"/>
        <v>77</v>
      </c>
      <c r="EZ323" s="170">
        <f t="shared" si="1991"/>
        <v>78</v>
      </c>
      <c r="FA323" s="170">
        <f t="shared" si="1991"/>
        <v>79</v>
      </c>
      <c r="FB323" s="475">
        <f t="shared" si="1991"/>
        <v>80</v>
      </c>
      <c r="FC323" s="170">
        <f t="shared" si="1991"/>
        <v>81</v>
      </c>
      <c r="FD323" s="170">
        <f t="shared" si="1991"/>
        <v>82</v>
      </c>
      <c r="FE323" s="170">
        <f t="shared" si="1991"/>
        <v>83</v>
      </c>
      <c r="FF323" s="170">
        <f t="shared" si="1991"/>
        <v>84</v>
      </c>
      <c r="FG323" s="475">
        <f t="shared" si="1991"/>
        <v>85</v>
      </c>
      <c r="FH323" s="474"/>
      <c r="FI323" s="170"/>
      <c r="FJ323" s="170"/>
      <c r="FK323" s="472"/>
      <c r="FL323" s="170"/>
    </row>
    <row r="324" ht="12.75" hidden="1" customHeight="1" outlineLevel="1">
      <c r="A324" s="476"/>
      <c r="B324" s="477" t="s">
        <v>210</v>
      </c>
      <c r="C324" s="477"/>
      <c r="D324" s="478"/>
      <c r="E324" s="478"/>
      <c r="F324" s="478"/>
      <c r="G324" s="478"/>
      <c r="H324" s="479"/>
      <c r="I324" s="478"/>
      <c r="J324" s="478"/>
      <c r="K324" s="478"/>
      <c r="L324" s="478"/>
      <c r="M324" s="479"/>
      <c r="N324" s="478"/>
      <c r="O324" s="478"/>
      <c r="P324" s="478"/>
      <c r="Q324" s="478"/>
      <c r="R324" s="479"/>
      <c r="S324" s="478"/>
      <c r="T324" s="478"/>
      <c r="U324" s="478"/>
      <c r="V324" s="478"/>
      <c r="W324" s="479"/>
      <c r="X324" s="478"/>
      <c r="Y324" s="478"/>
      <c r="Z324" s="478"/>
      <c r="AA324" s="478"/>
      <c r="AB324" s="479"/>
      <c r="AC324" s="478"/>
      <c r="AD324" s="478"/>
      <c r="AE324" s="478"/>
      <c r="AF324" s="478"/>
      <c r="AG324" s="479"/>
      <c r="AH324" s="478"/>
      <c r="AI324" s="478"/>
      <c r="AJ324" s="478"/>
      <c r="AK324" s="478"/>
      <c r="AL324" s="479"/>
      <c r="AM324" s="478"/>
      <c r="AN324" s="478"/>
      <c r="AO324" s="478"/>
      <c r="AP324" s="478"/>
      <c r="AQ324" s="479"/>
      <c r="AR324" s="478"/>
      <c r="AS324" s="478"/>
      <c r="AT324" s="478"/>
      <c r="AU324" s="478"/>
      <c r="AV324" s="479"/>
      <c r="AW324" s="478"/>
      <c r="AX324" s="478"/>
      <c r="AY324" s="478"/>
      <c r="AZ324" s="478"/>
      <c r="BA324" s="479"/>
      <c r="BB324" s="478"/>
      <c r="BC324" s="478"/>
      <c r="BD324" s="478"/>
      <c r="BE324" s="478"/>
      <c r="BF324" s="479"/>
      <c r="BG324" s="478"/>
      <c r="BH324" s="478"/>
      <c r="BI324" s="478"/>
      <c r="BJ324" s="478"/>
      <c r="BK324" s="479"/>
      <c r="BL324" s="478"/>
      <c r="BM324" s="478"/>
      <c r="BN324" s="478"/>
      <c r="BO324" s="478"/>
      <c r="BP324" s="479"/>
      <c r="BQ324" s="478"/>
      <c r="BR324" s="478"/>
      <c r="BS324" s="478"/>
      <c r="BT324" s="478"/>
      <c r="BU324" s="479"/>
      <c r="BV324" s="480">
        <v>1871.0</v>
      </c>
      <c r="BW324" s="480">
        <v>2114.0</v>
      </c>
      <c r="BX324" s="480">
        <v>2186.0</v>
      </c>
      <c r="BY324" s="480">
        <v>2522.0</v>
      </c>
      <c r="BZ324" s="363">
        <v>8693.0</v>
      </c>
      <c r="CA324" s="480">
        <v>2464.0</v>
      </c>
      <c r="CB324" s="480">
        <v>2436.0</v>
      </c>
      <c r="CC324" s="480">
        <v>2512.0</v>
      </c>
      <c r="CD324" s="480">
        <v>2717.0</v>
      </c>
      <c r="CE324" s="363">
        <v>10129.0</v>
      </c>
      <c r="CF324" s="480">
        <v>2453.0</v>
      </c>
      <c r="CG324" s="480">
        <v>2804.0</v>
      </c>
      <c r="CH324" s="480">
        <v>2654.0</v>
      </c>
      <c r="CI324" s="480">
        <v>2830.0</v>
      </c>
      <c r="CJ324" s="363">
        <v>10741.0</v>
      </c>
      <c r="CK324" s="480">
        <v>2777.0</v>
      </c>
      <c r="CL324" s="480">
        <v>2944.0</v>
      </c>
      <c r="CM324" s="480">
        <v>3178.0</v>
      </c>
      <c r="CN324" s="480">
        <v>3262.0</v>
      </c>
      <c r="CO324" s="363">
        <v>12161.0</v>
      </c>
      <c r="CP324" s="480">
        <v>3087.0</v>
      </c>
      <c r="CQ324" s="480">
        <v>3509.0</v>
      </c>
      <c r="CR324" s="480">
        <v>3700.0</v>
      </c>
      <c r="CS324" s="480">
        <v>4091.0</v>
      </c>
      <c r="CT324" s="363">
        <f>SUM(CP324:CS324)</f>
        <v>14387</v>
      </c>
      <c r="CU324" s="480">
        <v>3679.0</v>
      </c>
      <c r="CV324" s="480">
        <v>3850.0</v>
      </c>
      <c r="CW324" s="480">
        <v>4140.0</v>
      </c>
      <c r="CX324" s="480">
        <v>4308.0</v>
      </c>
      <c r="CY324" s="363">
        <f>SUM(CU324:CX324)</f>
        <v>15977</v>
      </c>
      <c r="CZ324" s="480">
        <v>3999.0</v>
      </c>
      <c r="DA324" s="480">
        <v>4027.0</v>
      </c>
      <c r="DB324" s="480">
        <v>4542.0</v>
      </c>
      <c r="DC324" s="480">
        <v>4668.0</v>
      </c>
      <c r="DD324" s="363">
        <f>SUM(CZ324:DC324)</f>
        <v>17236</v>
      </c>
      <c r="DE324" s="480">
        <v>4232.0</v>
      </c>
      <c r="DF324" s="480">
        <v>4372.0</v>
      </c>
      <c r="DG324" s="480">
        <v>4878.0</v>
      </c>
      <c r="DH324" s="480">
        <v>5582.0</v>
      </c>
      <c r="DI324" s="363">
        <f>SUM(DE324:DH324)</f>
        <v>19064</v>
      </c>
      <c r="DJ324" s="480">
        <v>5234.0</v>
      </c>
      <c r="DK324" s="480">
        <v>5500.0</v>
      </c>
      <c r="DL324" s="480">
        <f>DL338+DL353</f>
        <v>6139</v>
      </c>
      <c r="DM324" s="480">
        <v>6069.0</v>
      </c>
      <c r="DN324" s="363">
        <f>SUM(DJ324:DM324)</f>
        <v>22942</v>
      </c>
      <c r="DO324" s="480">
        <f t="shared" ref="DO324:DR324" si="1992">DO338+DO353</f>
        <v>4902</v>
      </c>
      <c r="DP324" s="480">
        <f t="shared" si="1992"/>
        <v>4983</v>
      </c>
      <c r="DQ324" s="480">
        <f t="shared" si="1992"/>
        <v>6383</v>
      </c>
      <c r="DR324" s="480">
        <f t="shared" si="1992"/>
        <v>7213</v>
      </c>
      <c r="DS324" s="363">
        <f>SUM(DO324:DR324)</f>
        <v>23481</v>
      </c>
      <c r="DT324" s="480">
        <f t="shared" ref="DT324:DW324" si="1993">DT338+DT353</f>
        <v>6993</v>
      </c>
      <c r="DU324" s="480">
        <f t="shared" si="1993"/>
        <v>7117</v>
      </c>
      <c r="DV324" s="480">
        <f t="shared" si="1993"/>
        <v>5905</v>
      </c>
      <c r="DW324" s="480">
        <f t="shared" si="1993"/>
        <v>6088</v>
      </c>
      <c r="DX324" s="363">
        <f>SUM(DT324:DW324)</f>
        <v>26103</v>
      </c>
      <c r="DY324" s="480">
        <f t="shared" ref="DY324:EB324" si="1994">DY338+DY353</f>
        <v>5564</v>
      </c>
      <c r="DZ324" s="480">
        <f t="shared" si="1994"/>
        <v>6455</v>
      </c>
      <c r="EA324" s="480" t="str">
        <f t="shared" si="1994"/>
        <v>#ERROR!</v>
      </c>
      <c r="EB324" s="480" t="str">
        <f t="shared" si="1994"/>
        <v>#ERROR!</v>
      </c>
      <c r="EC324" s="363" t="str">
        <f>SUM(DY324:EB324)</f>
        <v>#ERROR!</v>
      </c>
      <c r="ED324" s="480" t="str">
        <f t="shared" ref="ED324:EG324" si="1995">ED338+ED353</f>
        <v>#ERROR!</v>
      </c>
      <c r="EE324" s="480" t="str">
        <f t="shared" si="1995"/>
        <v>#ERROR!</v>
      </c>
      <c r="EF324" s="480" t="str">
        <f t="shared" si="1995"/>
        <v>#ERROR!</v>
      </c>
      <c r="EG324" s="480" t="str">
        <f t="shared" si="1995"/>
        <v>#ERROR!</v>
      </c>
      <c r="EH324" s="363" t="str">
        <f>SUM(ED324:EG324)</f>
        <v>#ERROR!</v>
      </c>
      <c r="EI324" s="426" t="str">
        <f t="shared" ref="EI324:EL324" si="1996">EI338+EI353</f>
        <v>#ERROR!</v>
      </c>
      <c r="EJ324" s="480" t="str">
        <f t="shared" si="1996"/>
        <v>#ERROR!</v>
      </c>
      <c r="EK324" s="480" t="str">
        <f t="shared" si="1996"/>
        <v>#ERROR!</v>
      </c>
      <c r="EL324" s="480" t="str">
        <f t="shared" si="1996"/>
        <v>#ERROR!</v>
      </c>
      <c r="EM324" s="363" t="str">
        <f>SUM(EI324:EL324)</f>
        <v>#ERROR!</v>
      </c>
      <c r="EN324" s="480" t="str">
        <f t="shared" ref="EN324:EQ324" si="1997">EN338+EN353</f>
        <v>#ERROR!</v>
      </c>
      <c r="EO324" s="480" t="str">
        <f t="shared" si="1997"/>
        <v>#ERROR!</v>
      </c>
      <c r="EP324" s="480" t="str">
        <f t="shared" si="1997"/>
        <v>#ERROR!</v>
      </c>
      <c r="EQ324" s="480" t="str">
        <f t="shared" si="1997"/>
        <v>#ERROR!</v>
      </c>
      <c r="ER324" s="363" t="str">
        <f>SUM(EN324:EQ324)</f>
        <v>#ERROR!</v>
      </c>
      <c r="ES324" s="480" t="str">
        <f t="shared" ref="ES324:EV324" si="1998">ES338+ES353</f>
        <v>#ERROR!</v>
      </c>
      <c r="ET324" s="480" t="str">
        <f t="shared" si="1998"/>
        <v>#ERROR!</v>
      </c>
      <c r="EU324" s="480" t="str">
        <f t="shared" si="1998"/>
        <v>#ERROR!</v>
      </c>
      <c r="EV324" s="480" t="str">
        <f t="shared" si="1998"/>
        <v>#ERROR!</v>
      </c>
      <c r="EW324" s="363" t="str">
        <f>SUM(ES324:EV324)</f>
        <v>#ERROR!</v>
      </c>
      <c r="EX324" s="480" t="str">
        <f t="shared" ref="EX324:FA324" si="1999">EX338+EX353</f>
        <v>#ERROR!</v>
      </c>
      <c r="EY324" s="480" t="str">
        <f t="shared" si="1999"/>
        <v>#ERROR!</v>
      </c>
      <c r="EZ324" s="480" t="str">
        <f t="shared" si="1999"/>
        <v>#ERROR!</v>
      </c>
      <c r="FA324" s="480" t="str">
        <f t="shared" si="1999"/>
        <v>#ERROR!</v>
      </c>
      <c r="FB324" s="363" t="str">
        <f>SUM(EX324:FA324)</f>
        <v>#ERROR!</v>
      </c>
      <c r="FC324" s="480" t="str">
        <f t="shared" ref="FC324:FF324" si="2000">FC338+FC353</f>
        <v>#ERROR!</v>
      </c>
      <c r="FD324" s="480" t="str">
        <f t="shared" si="2000"/>
        <v>#ERROR!</v>
      </c>
      <c r="FE324" s="480" t="str">
        <f t="shared" si="2000"/>
        <v>#ERROR!</v>
      </c>
      <c r="FF324" s="480" t="str">
        <f t="shared" si="2000"/>
        <v>#ERROR!</v>
      </c>
      <c r="FG324" s="363" t="str">
        <f>SUM(FC324:FF324)</f>
        <v>#ERROR!</v>
      </c>
      <c r="FH324" s="478"/>
      <c r="FI324" s="478"/>
      <c r="FJ324" s="478"/>
      <c r="FK324" s="479"/>
      <c r="FL324" s="478"/>
    </row>
    <row r="325" ht="12.75" hidden="1" customHeight="1" outlineLevel="1">
      <c r="A325" s="476"/>
      <c r="B325" s="72" t="s">
        <v>146</v>
      </c>
      <c r="C325" s="477"/>
      <c r="D325" s="478"/>
      <c r="E325" s="478"/>
      <c r="F325" s="478"/>
      <c r="G325" s="478"/>
      <c r="H325" s="479"/>
      <c r="I325" s="478"/>
      <c r="J325" s="478"/>
      <c r="K325" s="478"/>
      <c r="L325" s="478"/>
      <c r="M325" s="479"/>
      <c r="N325" s="478"/>
      <c r="O325" s="478"/>
      <c r="P325" s="478"/>
      <c r="Q325" s="478"/>
      <c r="R325" s="479"/>
      <c r="S325" s="478"/>
      <c r="T325" s="478"/>
      <c r="U325" s="478"/>
      <c r="V325" s="478"/>
      <c r="W325" s="479"/>
      <c r="X325" s="478"/>
      <c r="Y325" s="478"/>
      <c r="Z325" s="478"/>
      <c r="AA325" s="478"/>
      <c r="AB325" s="479"/>
      <c r="AC325" s="478"/>
      <c r="AD325" s="478"/>
      <c r="AE325" s="478"/>
      <c r="AF325" s="478"/>
      <c r="AG325" s="479"/>
      <c r="AH325" s="478"/>
      <c r="AI325" s="478"/>
      <c r="AJ325" s="478"/>
      <c r="AK325" s="478"/>
      <c r="AL325" s="479"/>
      <c r="AM325" s="478"/>
      <c r="AN325" s="478"/>
      <c r="AO325" s="478"/>
      <c r="AP325" s="478"/>
      <c r="AQ325" s="479"/>
      <c r="AR325" s="478"/>
      <c r="AS325" s="478"/>
      <c r="AT325" s="478"/>
      <c r="AU325" s="478"/>
      <c r="AV325" s="479"/>
      <c r="AW325" s="478"/>
      <c r="AX325" s="478"/>
      <c r="AY325" s="478"/>
      <c r="AZ325" s="478"/>
      <c r="BA325" s="479"/>
      <c r="BB325" s="478"/>
      <c r="BC325" s="478"/>
      <c r="BD325" s="478"/>
      <c r="BE325" s="478"/>
      <c r="BF325" s="479"/>
      <c r="BG325" s="478"/>
      <c r="BH325" s="478"/>
      <c r="BI325" s="478"/>
      <c r="BJ325" s="478"/>
      <c r="BK325" s="479"/>
      <c r="BL325" s="478"/>
      <c r="BM325" s="478"/>
      <c r="BN325" s="478"/>
      <c r="BO325" s="478"/>
      <c r="BP325" s="479"/>
      <c r="BQ325" s="478"/>
      <c r="BR325" s="478"/>
      <c r="BS325" s="478"/>
      <c r="BT325" s="478"/>
      <c r="BU325" s="479"/>
      <c r="BV325" s="478"/>
      <c r="BW325" s="478"/>
      <c r="BX325" s="478"/>
      <c r="BY325" s="478"/>
      <c r="BZ325" s="411" t="str">
        <f t="shared" ref="BZ325:FG325" si="2001">(BZ324-BU324)/BU324</f>
        <v>#DIV/0!</v>
      </c>
      <c r="CA325" s="478">
        <f t="shared" si="2001"/>
        <v>0.3169428113</v>
      </c>
      <c r="CB325" s="478">
        <f t="shared" si="2001"/>
        <v>0.1523178808</v>
      </c>
      <c r="CC325" s="478">
        <f t="shared" si="2001"/>
        <v>0.1491308326</v>
      </c>
      <c r="CD325" s="478">
        <f t="shared" si="2001"/>
        <v>0.07731958763</v>
      </c>
      <c r="CE325" s="411">
        <f t="shared" si="2001"/>
        <v>0.1651903831</v>
      </c>
      <c r="CF325" s="478">
        <f t="shared" si="2001"/>
        <v>-0.004464285714</v>
      </c>
      <c r="CG325" s="478">
        <f t="shared" si="2001"/>
        <v>0.1510673235</v>
      </c>
      <c r="CH325" s="478">
        <f t="shared" si="2001"/>
        <v>0.05652866242</v>
      </c>
      <c r="CI325" s="478">
        <f t="shared" si="2001"/>
        <v>0.04158998896</v>
      </c>
      <c r="CJ325" s="411">
        <f t="shared" si="2001"/>
        <v>0.06042057459</v>
      </c>
      <c r="CK325" s="478">
        <f t="shared" si="2001"/>
        <v>0.1320831635</v>
      </c>
      <c r="CL325" s="478">
        <f t="shared" si="2001"/>
        <v>0.04992867332</v>
      </c>
      <c r="CM325" s="478">
        <f t="shared" si="2001"/>
        <v>0.1974378297</v>
      </c>
      <c r="CN325" s="478">
        <f t="shared" si="2001"/>
        <v>0.1526501767</v>
      </c>
      <c r="CO325" s="411">
        <f t="shared" si="2001"/>
        <v>0.1322037054</v>
      </c>
      <c r="CP325" s="478">
        <f t="shared" si="2001"/>
        <v>0.1116312568</v>
      </c>
      <c r="CQ325" s="478">
        <f t="shared" si="2001"/>
        <v>0.1919157609</v>
      </c>
      <c r="CR325" s="478">
        <f t="shared" si="2001"/>
        <v>0.164254248</v>
      </c>
      <c r="CS325" s="478">
        <f t="shared" si="2001"/>
        <v>0.2541385653</v>
      </c>
      <c r="CT325" s="313">
        <f t="shared" si="2001"/>
        <v>0.1830441576</v>
      </c>
      <c r="CU325" s="478">
        <f t="shared" si="2001"/>
        <v>0.1917719469</v>
      </c>
      <c r="CV325" s="478">
        <f t="shared" si="2001"/>
        <v>0.09717868339</v>
      </c>
      <c r="CW325" s="478">
        <f t="shared" si="2001"/>
        <v>0.1189189189</v>
      </c>
      <c r="CX325" s="478">
        <f t="shared" si="2001"/>
        <v>0.05304326571</v>
      </c>
      <c r="CY325" s="313">
        <f t="shared" si="2001"/>
        <v>0.1105164385</v>
      </c>
      <c r="CZ325" s="478">
        <f t="shared" si="2001"/>
        <v>0.08698015765</v>
      </c>
      <c r="DA325" s="478">
        <f t="shared" si="2001"/>
        <v>0.04597402597</v>
      </c>
      <c r="DB325" s="478">
        <f t="shared" si="2001"/>
        <v>0.09710144928</v>
      </c>
      <c r="DC325" s="478">
        <f t="shared" si="2001"/>
        <v>0.08356545961</v>
      </c>
      <c r="DD325" s="313">
        <f t="shared" si="2001"/>
        <v>0.07880077612</v>
      </c>
      <c r="DE325" s="478">
        <f t="shared" si="2001"/>
        <v>0.05826456614</v>
      </c>
      <c r="DF325" s="478">
        <f t="shared" si="2001"/>
        <v>0.08567171592</v>
      </c>
      <c r="DG325" s="478">
        <f t="shared" si="2001"/>
        <v>0.07397622193</v>
      </c>
      <c r="DH325" s="478">
        <f t="shared" si="2001"/>
        <v>0.1958011997</v>
      </c>
      <c r="DI325" s="313">
        <f t="shared" si="2001"/>
        <v>0.1060570898</v>
      </c>
      <c r="DJ325" s="478">
        <f t="shared" si="2001"/>
        <v>0.2367674858</v>
      </c>
      <c r="DK325" s="478">
        <f t="shared" si="2001"/>
        <v>0.2580054895</v>
      </c>
      <c r="DL325" s="478">
        <f t="shared" si="2001"/>
        <v>0.2585075851</v>
      </c>
      <c r="DM325" s="478">
        <f t="shared" si="2001"/>
        <v>0.08724471516</v>
      </c>
      <c r="DN325" s="313">
        <f t="shared" si="2001"/>
        <v>0.2034200587</v>
      </c>
      <c r="DO325" s="478">
        <f t="shared" si="2001"/>
        <v>-0.06343141001</v>
      </c>
      <c r="DP325" s="478">
        <f t="shared" si="2001"/>
        <v>-0.094</v>
      </c>
      <c r="DQ325" s="478">
        <f t="shared" si="2001"/>
        <v>0.03974588695</v>
      </c>
      <c r="DR325" s="478">
        <f t="shared" si="2001"/>
        <v>0.188498929</v>
      </c>
      <c r="DS325" s="313">
        <f t="shared" si="2001"/>
        <v>0.02349402842</v>
      </c>
      <c r="DT325" s="478">
        <f t="shared" si="2001"/>
        <v>0.4265605875</v>
      </c>
      <c r="DU325" s="478">
        <f t="shared" si="2001"/>
        <v>0.4282560706</v>
      </c>
      <c r="DV325" s="478">
        <f t="shared" si="2001"/>
        <v>-0.07488641705</v>
      </c>
      <c r="DW325" s="478">
        <f t="shared" si="2001"/>
        <v>-0.1559683904</v>
      </c>
      <c r="DX325" s="313">
        <f t="shared" si="2001"/>
        <v>0.1116647502</v>
      </c>
      <c r="DY325" s="478">
        <f t="shared" si="2001"/>
        <v>-0.2043472043</v>
      </c>
      <c r="DZ325" s="478">
        <f t="shared" si="2001"/>
        <v>-0.09301672053</v>
      </c>
      <c r="EA325" s="478" t="str">
        <f t="shared" si="2001"/>
        <v>#ERROR!</v>
      </c>
      <c r="EB325" s="478" t="str">
        <f t="shared" si="2001"/>
        <v>#ERROR!</v>
      </c>
      <c r="EC325" s="313" t="str">
        <f t="shared" si="2001"/>
        <v>#ERROR!</v>
      </c>
      <c r="ED325" s="478" t="str">
        <f t="shared" si="2001"/>
        <v>#ERROR!</v>
      </c>
      <c r="EE325" s="478" t="str">
        <f t="shared" si="2001"/>
        <v>#ERROR!</v>
      </c>
      <c r="EF325" s="478" t="str">
        <f t="shared" si="2001"/>
        <v>#ERROR!</v>
      </c>
      <c r="EG325" s="478" t="str">
        <f t="shared" si="2001"/>
        <v>#ERROR!</v>
      </c>
      <c r="EH325" s="313" t="str">
        <f t="shared" si="2001"/>
        <v>#ERROR!</v>
      </c>
      <c r="EI325" s="82" t="str">
        <f t="shared" si="2001"/>
        <v>#ERROR!</v>
      </c>
      <c r="EJ325" s="478" t="str">
        <f t="shared" si="2001"/>
        <v>#ERROR!</v>
      </c>
      <c r="EK325" s="478" t="str">
        <f t="shared" si="2001"/>
        <v>#ERROR!</v>
      </c>
      <c r="EL325" s="478" t="str">
        <f t="shared" si="2001"/>
        <v>#ERROR!</v>
      </c>
      <c r="EM325" s="313" t="str">
        <f t="shared" si="2001"/>
        <v>#ERROR!</v>
      </c>
      <c r="EN325" s="478" t="str">
        <f t="shared" si="2001"/>
        <v>#ERROR!</v>
      </c>
      <c r="EO325" s="478" t="str">
        <f t="shared" si="2001"/>
        <v>#ERROR!</v>
      </c>
      <c r="EP325" s="478" t="str">
        <f t="shared" si="2001"/>
        <v>#ERROR!</v>
      </c>
      <c r="EQ325" s="478" t="str">
        <f t="shared" si="2001"/>
        <v>#ERROR!</v>
      </c>
      <c r="ER325" s="313" t="str">
        <f t="shared" si="2001"/>
        <v>#ERROR!</v>
      </c>
      <c r="ES325" s="478" t="str">
        <f t="shared" si="2001"/>
        <v>#ERROR!</v>
      </c>
      <c r="ET325" s="478" t="str">
        <f t="shared" si="2001"/>
        <v>#ERROR!</v>
      </c>
      <c r="EU325" s="478" t="str">
        <f t="shared" si="2001"/>
        <v>#ERROR!</v>
      </c>
      <c r="EV325" s="478" t="str">
        <f t="shared" si="2001"/>
        <v>#ERROR!</v>
      </c>
      <c r="EW325" s="313" t="str">
        <f t="shared" si="2001"/>
        <v>#ERROR!</v>
      </c>
      <c r="EX325" s="478" t="str">
        <f t="shared" si="2001"/>
        <v>#ERROR!</v>
      </c>
      <c r="EY325" s="478" t="str">
        <f t="shared" si="2001"/>
        <v>#ERROR!</v>
      </c>
      <c r="EZ325" s="478" t="str">
        <f t="shared" si="2001"/>
        <v>#ERROR!</v>
      </c>
      <c r="FA325" s="478" t="str">
        <f t="shared" si="2001"/>
        <v>#ERROR!</v>
      </c>
      <c r="FB325" s="313" t="str">
        <f t="shared" si="2001"/>
        <v>#ERROR!</v>
      </c>
      <c r="FC325" s="478" t="str">
        <f t="shared" si="2001"/>
        <v>#ERROR!</v>
      </c>
      <c r="FD325" s="478" t="str">
        <f t="shared" si="2001"/>
        <v>#ERROR!</v>
      </c>
      <c r="FE325" s="478" t="str">
        <f t="shared" si="2001"/>
        <v>#ERROR!</v>
      </c>
      <c r="FF325" s="478" t="str">
        <f t="shared" si="2001"/>
        <v>#ERROR!</v>
      </c>
      <c r="FG325" s="313" t="str">
        <f t="shared" si="2001"/>
        <v>#ERROR!</v>
      </c>
      <c r="FH325" s="478"/>
      <c r="FI325" s="478"/>
      <c r="FJ325" s="478"/>
      <c r="FK325" s="479"/>
      <c r="FL325" s="478"/>
    </row>
    <row r="326" ht="12.75" hidden="1" customHeight="1" outlineLevel="1">
      <c r="A326" s="476"/>
      <c r="B326" s="72" t="s">
        <v>150</v>
      </c>
      <c r="C326" s="477"/>
      <c r="D326" s="478"/>
      <c r="E326" s="478"/>
      <c r="F326" s="478"/>
      <c r="G326" s="478"/>
      <c r="H326" s="479"/>
      <c r="I326" s="478"/>
      <c r="J326" s="478"/>
      <c r="K326" s="478"/>
      <c r="L326" s="478"/>
      <c r="M326" s="479"/>
      <c r="N326" s="478"/>
      <c r="O326" s="478"/>
      <c r="P326" s="478"/>
      <c r="Q326" s="478"/>
      <c r="R326" s="479"/>
      <c r="S326" s="478"/>
      <c r="T326" s="478"/>
      <c r="U326" s="478"/>
      <c r="V326" s="478"/>
      <c r="W326" s="479"/>
      <c r="X326" s="478"/>
      <c r="Y326" s="478"/>
      <c r="Z326" s="478"/>
      <c r="AA326" s="478"/>
      <c r="AB326" s="479"/>
      <c r="AC326" s="478"/>
      <c r="AD326" s="478"/>
      <c r="AE326" s="478"/>
      <c r="AF326" s="478"/>
      <c r="AG326" s="479"/>
      <c r="AH326" s="478"/>
      <c r="AI326" s="478"/>
      <c r="AJ326" s="478"/>
      <c r="AK326" s="478"/>
      <c r="AL326" s="479"/>
      <c r="AM326" s="478"/>
      <c r="AN326" s="478"/>
      <c r="AO326" s="478"/>
      <c r="AP326" s="478"/>
      <c r="AQ326" s="479"/>
      <c r="AR326" s="478"/>
      <c r="AS326" s="478"/>
      <c r="AT326" s="478"/>
      <c r="AU326" s="478"/>
      <c r="AV326" s="479"/>
      <c r="AW326" s="478"/>
      <c r="AX326" s="478"/>
      <c r="AY326" s="478"/>
      <c r="AZ326" s="478"/>
      <c r="BA326" s="479"/>
      <c r="BB326" s="478"/>
      <c r="BC326" s="478"/>
      <c r="BD326" s="478"/>
      <c r="BE326" s="478"/>
      <c r="BF326" s="479"/>
      <c r="BG326" s="478"/>
      <c r="BH326" s="478"/>
      <c r="BI326" s="478"/>
      <c r="BJ326" s="478"/>
      <c r="BK326" s="479"/>
      <c r="BL326" s="478"/>
      <c r="BM326" s="478"/>
      <c r="BN326" s="478"/>
      <c r="BO326" s="478"/>
      <c r="BP326" s="479"/>
      <c r="BQ326" s="478"/>
      <c r="BR326" s="478"/>
      <c r="BS326" s="478"/>
      <c r="BT326" s="478"/>
      <c r="BU326" s="479"/>
      <c r="BV326" s="478"/>
      <c r="BW326" s="478"/>
      <c r="BX326" s="478"/>
      <c r="BY326" s="478"/>
      <c r="BZ326" s="411"/>
      <c r="CA326" s="478"/>
      <c r="CB326" s="478"/>
      <c r="CC326" s="478"/>
      <c r="CD326" s="478"/>
      <c r="CE326" s="411"/>
      <c r="CF326" s="478"/>
      <c r="CG326" s="478"/>
      <c r="CH326" s="478"/>
      <c r="CI326" s="478"/>
      <c r="CJ326" s="411"/>
      <c r="CK326" s="478"/>
      <c r="CL326" s="478"/>
      <c r="CM326" s="478"/>
      <c r="CN326" s="478"/>
      <c r="CO326" s="411"/>
      <c r="CP326" s="478">
        <f>(CP324-CN324)/CN324</f>
        <v>-0.05364806867</v>
      </c>
      <c r="CQ326" s="478">
        <f t="shared" ref="CQ326:CS326" si="2002">(CQ324-CP324)/CP324</f>
        <v>0.1367023</v>
      </c>
      <c r="CR326" s="478">
        <f t="shared" si="2002"/>
        <v>0.05443146195</v>
      </c>
      <c r="CS326" s="478">
        <f t="shared" si="2002"/>
        <v>0.1056756757</v>
      </c>
      <c r="CT326" s="313"/>
      <c r="CU326" s="478">
        <f>(CU324-CS324)/CS324</f>
        <v>-0.1007088731</v>
      </c>
      <c r="CV326" s="478">
        <f t="shared" ref="CV326:CX326" si="2003">(CV324-CU324)/CU324</f>
        <v>0.04648002175</v>
      </c>
      <c r="CW326" s="478">
        <f t="shared" si="2003"/>
        <v>0.07532467532</v>
      </c>
      <c r="CX326" s="478">
        <f t="shared" si="2003"/>
        <v>0.04057971014</v>
      </c>
      <c r="CY326" s="313"/>
      <c r="CZ326" s="478">
        <f>(CZ324-CX324)/CX324</f>
        <v>-0.0717270195</v>
      </c>
      <c r="DA326" s="478">
        <f t="shared" ref="DA326:DC326" si="2004">(DA324-CZ324)/CZ324</f>
        <v>0.007001750438</v>
      </c>
      <c r="DB326" s="478">
        <f t="shared" si="2004"/>
        <v>0.1278867643</v>
      </c>
      <c r="DC326" s="478">
        <f t="shared" si="2004"/>
        <v>0.02774108322</v>
      </c>
      <c r="DD326" s="313"/>
      <c r="DE326" s="478">
        <f>(DE324-DC324)/DC324</f>
        <v>-0.09340188518</v>
      </c>
      <c r="DF326" s="478">
        <f t="shared" ref="DF326:DH326" si="2005">(DF324-DE324)/DE324</f>
        <v>0.03308128544</v>
      </c>
      <c r="DG326" s="478">
        <f t="shared" si="2005"/>
        <v>0.115736505</v>
      </c>
      <c r="DH326" s="478">
        <f t="shared" si="2005"/>
        <v>0.1443214432</v>
      </c>
      <c r="DI326" s="313"/>
      <c r="DJ326" s="478">
        <f>(DJ324-DH324)/DH324</f>
        <v>-0.06234324615</v>
      </c>
      <c r="DK326" s="478">
        <f t="shared" ref="DK326:DM326" si="2006">(DK324-DJ324)/DJ324</f>
        <v>0.05082155139</v>
      </c>
      <c r="DL326" s="478">
        <f t="shared" si="2006"/>
        <v>0.1161818182</v>
      </c>
      <c r="DM326" s="478">
        <f t="shared" si="2006"/>
        <v>-0.01140250855</v>
      </c>
      <c r="DN326" s="313"/>
      <c r="DO326" s="478">
        <f>(DO324-DM324)/DM324</f>
        <v>-0.1922886802</v>
      </c>
      <c r="DP326" s="478">
        <f t="shared" ref="DP326:DR326" si="2007">(DP324-DO324)/DO324</f>
        <v>0.01652386781</v>
      </c>
      <c r="DQ326" s="478">
        <f t="shared" si="2007"/>
        <v>0.2809552478</v>
      </c>
      <c r="DR326" s="478">
        <f t="shared" si="2007"/>
        <v>0.1300328999</v>
      </c>
      <c r="DS326" s="313"/>
      <c r="DT326" s="478">
        <f>(DT324-DR324)/DR324</f>
        <v>-0.03050048523</v>
      </c>
      <c r="DU326" s="478">
        <f t="shared" ref="DU326:DW326" si="2008">(DU324-DT324)/DT324</f>
        <v>0.01773201773</v>
      </c>
      <c r="DV326" s="478">
        <f t="shared" si="2008"/>
        <v>-0.1702964732</v>
      </c>
      <c r="DW326" s="478">
        <f t="shared" si="2008"/>
        <v>0.03099068586</v>
      </c>
      <c r="DX326" s="313"/>
      <c r="DY326" s="478">
        <f>(DY324-DW324)/DW324</f>
        <v>-0.08607095926</v>
      </c>
      <c r="DZ326" s="478">
        <f t="shared" ref="DZ326:EB326" si="2009">(DZ324-DY324)/DY324</f>
        <v>0.1601365924</v>
      </c>
      <c r="EA326" s="478" t="str">
        <f t="shared" si="2009"/>
        <v>#ERROR!</v>
      </c>
      <c r="EB326" s="478" t="str">
        <f t="shared" si="2009"/>
        <v>#ERROR!</v>
      </c>
      <c r="EC326" s="411"/>
      <c r="ED326" s="478" t="str">
        <f>(ED324-EB324)/EB324</f>
        <v>#ERROR!</v>
      </c>
      <c r="EE326" s="478" t="str">
        <f t="shared" ref="EE326:EG326" si="2010">(EE324-ED324)/ED324</f>
        <v>#ERROR!</v>
      </c>
      <c r="EF326" s="478" t="str">
        <f t="shared" si="2010"/>
        <v>#ERROR!</v>
      </c>
      <c r="EG326" s="478" t="str">
        <f t="shared" si="2010"/>
        <v>#ERROR!</v>
      </c>
      <c r="EH326" s="411"/>
      <c r="EI326" s="82" t="str">
        <f>(EI324-EG324)/EG324</f>
        <v>#ERROR!</v>
      </c>
      <c r="EJ326" s="478" t="str">
        <f t="shared" ref="EJ326:EL326" si="2011">(EJ324-EI324)/EI324</f>
        <v>#ERROR!</v>
      </c>
      <c r="EK326" s="478" t="str">
        <f t="shared" si="2011"/>
        <v>#ERROR!</v>
      </c>
      <c r="EL326" s="478" t="str">
        <f t="shared" si="2011"/>
        <v>#ERROR!</v>
      </c>
      <c r="EM326" s="411"/>
      <c r="EN326" s="478" t="str">
        <f>(EN324-EL324)/EL324</f>
        <v>#ERROR!</v>
      </c>
      <c r="EO326" s="478" t="str">
        <f t="shared" ref="EO326:EQ326" si="2012">(EO324-EN324)/EN324</f>
        <v>#ERROR!</v>
      </c>
      <c r="EP326" s="478" t="str">
        <f t="shared" si="2012"/>
        <v>#ERROR!</v>
      </c>
      <c r="EQ326" s="478" t="str">
        <f t="shared" si="2012"/>
        <v>#ERROR!</v>
      </c>
      <c r="ER326" s="411"/>
      <c r="ES326" s="478" t="str">
        <f>(ES324-EQ324)/EQ324</f>
        <v>#ERROR!</v>
      </c>
      <c r="ET326" s="478" t="str">
        <f t="shared" ref="ET326:EV326" si="2013">(ET324-ES324)/ES324</f>
        <v>#ERROR!</v>
      </c>
      <c r="EU326" s="478" t="str">
        <f t="shared" si="2013"/>
        <v>#ERROR!</v>
      </c>
      <c r="EV326" s="478" t="str">
        <f t="shared" si="2013"/>
        <v>#ERROR!</v>
      </c>
      <c r="EW326" s="411"/>
      <c r="EX326" s="478" t="str">
        <f>(EX324-EV324)/EV324</f>
        <v>#ERROR!</v>
      </c>
      <c r="EY326" s="478" t="str">
        <f t="shared" ref="EY326:FA326" si="2014">(EY324-EX324)/EX324</f>
        <v>#ERROR!</v>
      </c>
      <c r="EZ326" s="478" t="str">
        <f t="shared" si="2014"/>
        <v>#ERROR!</v>
      </c>
      <c r="FA326" s="478" t="str">
        <f t="shared" si="2014"/>
        <v>#ERROR!</v>
      </c>
      <c r="FB326" s="411"/>
      <c r="FC326" s="478" t="str">
        <f>(FC324-FA324)/FA324</f>
        <v>#ERROR!</v>
      </c>
      <c r="FD326" s="478" t="str">
        <f t="shared" ref="FD326:FF326" si="2015">(FD324-FC324)/FC324</f>
        <v>#ERROR!</v>
      </c>
      <c r="FE326" s="478" t="str">
        <f t="shared" si="2015"/>
        <v>#ERROR!</v>
      </c>
      <c r="FF326" s="478" t="str">
        <f t="shared" si="2015"/>
        <v>#ERROR!</v>
      </c>
      <c r="FG326" s="411"/>
      <c r="FH326" s="478"/>
      <c r="FI326" s="478"/>
      <c r="FJ326" s="478"/>
      <c r="FK326" s="479"/>
      <c r="FL326" s="478"/>
    </row>
    <row r="327" ht="12.75" hidden="1" customHeight="1" outlineLevel="1">
      <c r="A327" s="476"/>
      <c r="B327" s="72" t="s">
        <v>211</v>
      </c>
      <c r="C327" s="477"/>
      <c r="D327" s="478"/>
      <c r="E327" s="478"/>
      <c r="F327" s="478"/>
      <c r="G327" s="478"/>
      <c r="H327" s="479"/>
      <c r="I327" s="478"/>
      <c r="J327" s="478"/>
      <c r="K327" s="478"/>
      <c r="L327" s="478"/>
      <c r="M327" s="479"/>
      <c r="N327" s="478"/>
      <c r="O327" s="478"/>
      <c r="P327" s="478"/>
      <c r="Q327" s="478"/>
      <c r="R327" s="479"/>
      <c r="S327" s="478"/>
      <c r="T327" s="478"/>
      <c r="U327" s="478"/>
      <c r="V327" s="478"/>
      <c r="W327" s="479"/>
      <c r="X327" s="478"/>
      <c r="Y327" s="478"/>
      <c r="Z327" s="478"/>
      <c r="AA327" s="478"/>
      <c r="AB327" s="479"/>
      <c r="AC327" s="478"/>
      <c r="AD327" s="478"/>
      <c r="AE327" s="478"/>
      <c r="AF327" s="478"/>
      <c r="AG327" s="479"/>
      <c r="AH327" s="478"/>
      <c r="AI327" s="478"/>
      <c r="AJ327" s="478"/>
      <c r="AK327" s="478"/>
      <c r="AL327" s="479"/>
      <c r="AM327" s="478"/>
      <c r="AN327" s="478"/>
      <c r="AO327" s="478"/>
      <c r="AP327" s="478"/>
      <c r="AQ327" s="479"/>
      <c r="AR327" s="478"/>
      <c r="AS327" s="478"/>
      <c r="AT327" s="478"/>
      <c r="AU327" s="478"/>
      <c r="AV327" s="479"/>
      <c r="AW327" s="478"/>
      <c r="AX327" s="478"/>
      <c r="AY327" s="478"/>
      <c r="AZ327" s="478"/>
      <c r="BA327" s="479"/>
      <c r="BB327" s="478"/>
      <c r="BC327" s="478"/>
      <c r="BD327" s="478"/>
      <c r="BE327" s="478"/>
      <c r="BF327" s="479"/>
      <c r="BG327" s="478"/>
      <c r="BH327" s="478"/>
      <c r="BI327" s="478"/>
      <c r="BJ327" s="478"/>
      <c r="BK327" s="479"/>
      <c r="BL327" s="478"/>
      <c r="BM327" s="478"/>
      <c r="BN327" s="478"/>
      <c r="BO327" s="478"/>
      <c r="BP327" s="479"/>
      <c r="BQ327" s="478"/>
      <c r="BR327" s="478"/>
      <c r="BS327" s="478"/>
      <c r="BT327" s="478"/>
      <c r="BU327" s="479"/>
      <c r="BV327" s="478"/>
      <c r="BW327" s="478"/>
      <c r="BX327" s="478"/>
      <c r="BY327" s="478"/>
      <c r="BZ327" s="24"/>
      <c r="CA327" s="478"/>
      <c r="CB327" s="478"/>
      <c r="CC327" s="478"/>
      <c r="CD327" s="478"/>
      <c r="CE327" s="24"/>
      <c r="CF327" s="478"/>
      <c r="CG327" s="478"/>
      <c r="CH327" s="478"/>
      <c r="CI327" s="478"/>
      <c r="CJ327" s="24"/>
      <c r="CK327" s="478"/>
      <c r="CL327" s="478"/>
      <c r="CM327" s="478"/>
      <c r="CN327" s="478"/>
      <c r="CO327" s="481">
        <v>2200.0</v>
      </c>
      <c r="CP327" s="480"/>
      <c r="CQ327" s="480"/>
      <c r="CR327" s="480"/>
      <c r="CS327" s="480"/>
      <c r="CT327" s="481">
        <v>3200.0</v>
      </c>
      <c r="CU327" s="480"/>
      <c r="CV327" s="480"/>
      <c r="CW327" s="480"/>
      <c r="CX327" s="480"/>
      <c r="CY327" s="481">
        <v>4450.0</v>
      </c>
      <c r="CZ327" s="480"/>
      <c r="DA327" s="480"/>
      <c r="DB327" s="480"/>
      <c r="DC327" s="480"/>
      <c r="DD327" s="481">
        <f>CY327*1.28</f>
        <v>5696</v>
      </c>
      <c r="DE327" s="482">
        <f>DJ327/1.45</f>
        <v>1443.862069</v>
      </c>
      <c r="DF327" s="482">
        <f>DK327/1.41</f>
        <v>1716.312057</v>
      </c>
      <c r="DG327" s="483">
        <f>DG324*0.38</f>
        <v>1853.64</v>
      </c>
      <c r="DH327" s="482">
        <f>DI327-SUM(DE327:DG327)</f>
        <v>2049.225874</v>
      </c>
      <c r="DI327" s="481">
        <f>DD327*1.24</f>
        <v>7063.04</v>
      </c>
      <c r="DJ327" s="482">
        <f>DJ324*0.4</f>
        <v>2093.6</v>
      </c>
      <c r="DK327" s="482">
        <f>DK324*0.44</f>
        <v>2420</v>
      </c>
      <c r="DL327" s="482">
        <f>DG327*1.5</f>
        <v>2780.46</v>
      </c>
      <c r="DM327" s="482">
        <f>DH327*1.24</f>
        <v>2541.040084</v>
      </c>
      <c r="DN327" s="481">
        <f>SUM(DJ327:DM327)</f>
        <v>9835.100084</v>
      </c>
      <c r="DO327" s="484">
        <f t="shared" ref="DO327:DR327" si="2016">DJ327*(1+DO328)</f>
        <v>2208.748</v>
      </c>
      <c r="DP327" s="484">
        <f t="shared" si="2016"/>
        <v>2395.8</v>
      </c>
      <c r="DQ327" s="484">
        <f t="shared" si="2016"/>
        <v>2863.8738</v>
      </c>
      <c r="DR327" s="484">
        <f t="shared" si="2016"/>
        <v>3760.739325</v>
      </c>
      <c r="DS327" s="481">
        <f>SUM(DO327:DR327)</f>
        <v>11229.16112</v>
      </c>
      <c r="DT327" s="484">
        <f t="shared" ref="DT327:DW327" si="2017">DO327*(1+DT328)</f>
        <v>3379.38444</v>
      </c>
      <c r="DU327" s="484">
        <f t="shared" si="2017"/>
        <v>3521.826</v>
      </c>
      <c r="DV327" s="484">
        <f t="shared" si="2017"/>
        <v>3293.45487</v>
      </c>
      <c r="DW327" s="484">
        <f t="shared" si="2017"/>
        <v>3196.628426</v>
      </c>
      <c r="DX327" s="481">
        <f>SUM(DT327:DW327)</f>
        <v>13391.29374</v>
      </c>
      <c r="DY327" s="484">
        <f t="shared" ref="DY327:EB327" si="2018">DT327*(1+DY328)</f>
        <v>2416.259875</v>
      </c>
      <c r="DZ327" s="484">
        <f t="shared" si="2018"/>
        <v>2835.06993</v>
      </c>
      <c r="EA327" s="484">
        <f t="shared" si="2018"/>
        <v>2634.763896</v>
      </c>
      <c r="EB327" s="484">
        <f t="shared" si="2018"/>
        <v>3036.797005</v>
      </c>
      <c r="EC327" s="481" t="str">
        <f>EC324-EC331-EC334</f>
        <v>#ERROR!</v>
      </c>
      <c r="ED327" s="484">
        <f>DY327*(1+ED328)</f>
        <v>2416.259875</v>
      </c>
      <c r="EE327" s="484"/>
      <c r="EF327" s="484"/>
      <c r="EG327" s="484"/>
      <c r="EH327" s="481" t="str">
        <f>EH324-EH331-EH334</f>
        <v>#ERROR!</v>
      </c>
      <c r="EI327" s="428"/>
      <c r="EJ327" s="484"/>
      <c r="EK327" s="484"/>
      <c r="EL327" s="484"/>
      <c r="EM327" s="481" t="str">
        <f>EM324-EM331-EM334</f>
        <v>#ERROR!</v>
      </c>
      <c r="EN327" s="484"/>
      <c r="EO327" s="484"/>
      <c r="EP327" s="484"/>
      <c r="EQ327" s="484"/>
      <c r="ER327" s="481" t="str">
        <f>ER324-ER331-ER334</f>
        <v>#ERROR!</v>
      </c>
      <c r="ES327" s="484"/>
      <c r="ET327" s="484"/>
      <c r="EU327" s="484"/>
      <c r="EV327" s="484"/>
      <c r="EW327" s="481" t="str">
        <f>EW324-EW331-EW334</f>
        <v>#ERROR!</v>
      </c>
      <c r="EX327" s="484"/>
      <c r="EY327" s="484"/>
      <c r="EZ327" s="484"/>
      <c r="FA327" s="484"/>
      <c r="FB327" s="481" t="str">
        <f>FB324-FB331-FB334</f>
        <v>#ERROR!</v>
      </c>
      <c r="FC327" s="484"/>
      <c r="FD327" s="484"/>
      <c r="FE327" s="484"/>
      <c r="FF327" s="484"/>
      <c r="FG327" s="481" t="str">
        <f>FG324-FG331-FG334</f>
        <v>#ERROR!</v>
      </c>
      <c r="FH327" s="478"/>
      <c r="FI327" s="478"/>
      <c r="FJ327" s="478"/>
      <c r="FK327" s="479"/>
      <c r="FL327" s="478"/>
    </row>
    <row r="328" ht="12.75" hidden="1" customHeight="1" outlineLevel="1">
      <c r="A328" s="476"/>
      <c r="B328" s="72" t="s">
        <v>212</v>
      </c>
      <c r="C328" s="477"/>
      <c r="D328" s="478"/>
      <c r="E328" s="478"/>
      <c r="F328" s="478"/>
      <c r="G328" s="478"/>
      <c r="H328" s="479"/>
      <c r="I328" s="478"/>
      <c r="J328" s="478"/>
      <c r="K328" s="478"/>
      <c r="L328" s="478"/>
      <c r="M328" s="479"/>
      <c r="N328" s="478"/>
      <c r="O328" s="478"/>
      <c r="P328" s="478"/>
      <c r="Q328" s="478"/>
      <c r="R328" s="479"/>
      <c r="S328" s="478"/>
      <c r="T328" s="478"/>
      <c r="U328" s="478"/>
      <c r="V328" s="478"/>
      <c r="W328" s="479"/>
      <c r="X328" s="478"/>
      <c r="Y328" s="478"/>
      <c r="Z328" s="478"/>
      <c r="AA328" s="478"/>
      <c r="AB328" s="479"/>
      <c r="AC328" s="478"/>
      <c r="AD328" s="478"/>
      <c r="AE328" s="478"/>
      <c r="AF328" s="478"/>
      <c r="AG328" s="479"/>
      <c r="AH328" s="478"/>
      <c r="AI328" s="478"/>
      <c r="AJ328" s="478"/>
      <c r="AK328" s="478"/>
      <c r="AL328" s="479"/>
      <c r="AM328" s="478"/>
      <c r="AN328" s="478"/>
      <c r="AO328" s="478"/>
      <c r="AP328" s="478"/>
      <c r="AQ328" s="479"/>
      <c r="AR328" s="478"/>
      <c r="AS328" s="478"/>
      <c r="AT328" s="478"/>
      <c r="AU328" s="478"/>
      <c r="AV328" s="479"/>
      <c r="AW328" s="478"/>
      <c r="AX328" s="478"/>
      <c r="AY328" s="478"/>
      <c r="AZ328" s="478"/>
      <c r="BA328" s="479"/>
      <c r="BB328" s="478"/>
      <c r="BC328" s="478"/>
      <c r="BD328" s="478"/>
      <c r="BE328" s="478"/>
      <c r="BF328" s="479"/>
      <c r="BG328" s="478"/>
      <c r="BH328" s="478"/>
      <c r="BI328" s="478"/>
      <c r="BJ328" s="478"/>
      <c r="BK328" s="479"/>
      <c r="BL328" s="478"/>
      <c r="BM328" s="478"/>
      <c r="BN328" s="478"/>
      <c r="BO328" s="478"/>
      <c r="BP328" s="479"/>
      <c r="BQ328" s="478"/>
      <c r="BR328" s="478"/>
      <c r="BS328" s="478"/>
      <c r="BT328" s="478"/>
      <c r="BU328" s="479"/>
      <c r="BV328" s="478"/>
      <c r="BW328" s="478"/>
      <c r="BX328" s="478"/>
      <c r="BY328" s="478"/>
      <c r="BZ328" s="24"/>
      <c r="CA328" s="478"/>
      <c r="CB328" s="478"/>
      <c r="CC328" s="478"/>
      <c r="CD328" s="478"/>
      <c r="CE328" s="24"/>
      <c r="CF328" s="478"/>
      <c r="CG328" s="478"/>
      <c r="CH328" s="478"/>
      <c r="CI328" s="478"/>
      <c r="CJ328" s="24"/>
      <c r="CK328" s="478"/>
      <c r="CL328" s="478"/>
      <c r="CM328" s="478"/>
      <c r="CN328" s="478"/>
      <c r="CO328" s="481"/>
      <c r="CP328" s="485"/>
      <c r="CQ328" s="485"/>
      <c r="CR328" s="485"/>
      <c r="CS328" s="485"/>
      <c r="CT328" s="486">
        <f>CT327/CO327-1</f>
        <v>0.4545454545</v>
      </c>
      <c r="CU328" s="485"/>
      <c r="CV328" s="485"/>
      <c r="CW328" s="485"/>
      <c r="CX328" s="485"/>
      <c r="CY328" s="486">
        <f>CY327/CT327-1</f>
        <v>0.390625</v>
      </c>
      <c r="CZ328" s="485"/>
      <c r="DA328" s="485"/>
      <c r="DB328" s="485"/>
      <c r="DC328" s="485"/>
      <c r="DD328" s="465">
        <f>DD327/CY327-1</f>
        <v>0.28</v>
      </c>
      <c r="DE328" s="482"/>
      <c r="DF328" s="482"/>
      <c r="DG328" s="483"/>
      <c r="DH328" s="482"/>
      <c r="DI328" s="465">
        <f t="shared" ref="DI328:DN328" si="2019">DI327/DD327-1</f>
        <v>0.24</v>
      </c>
      <c r="DJ328" s="487">
        <f t="shared" si="2019"/>
        <v>0.45</v>
      </c>
      <c r="DK328" s="487">
        <f t="shared" si="2019"/>
        <v>0.41</v>
      </c>
      <c r="DL328" s="487">
        <f t="shared" si="2019"/>
        <v>0.5</v>
      </c>
      <c r="DM328" s="487">
        <f t="shared" si="2019"/>
        <v>0.24</v>
      </c>
      <c r="DN328" s="465">
        <f t="shared" si="2019"/>
        <v>0.3924740741</v>
      </c>
      <c r="DO328" s="487">
        <v>0.055</v>
      </c>
      <c r="DP328" s="487">
        <v>-0.01</v>
      </c>
      <c r="DQ328" s="487">
        <v>0.03</v>
      </c>
      <c r="DR328" s="487">
        <v>0.48</v>
      </c>
      <c r="DS328" s="465">
        <f>DS327/DN327-1</f>
        <v>0.1417434524</v>
      </c>
      <c r="DT328" s="487">
        <v>0.53</v>
      </c>
      <c r="DU328" s="487">
        <v>0.47</v>
      </c>
      <c r="DV328" s="487">
        <v>0.15</v>
      </c>
      <c r="DW328" s="487">
        <v>-0.15</v>
      </c>
      <c r="DX328" s="465">
        <f>(DX327-DS327)/DS327</f>
        <v>0.1925462274</v>
      </c>
      <c r="DY328" s="487">
        <v>-0.285</v>
      </c>
      <c r="DZ328" s="487">
        <v>-0.195</v>
      </c>
      <c r="EA328" s="487">
        <v>-0.2</v>
      </c>
      <c r="EB328" s="487">
        <v>-0.05</v>
      </c>
      <c r="EC328" s="465" t="str">
        <f>(EC327-DX327)/DX327</f>
        <v>#ERROR!</v>
      </c>
      <c r="ED328" s="487"/>
      <c r="EE328" s="487"/>
      <c r="EF328" s="487"/>
      <c r="EG328" s="487"/>
      <c r="EH328" s="465" t="str">
        <f>(EH327-EC327)/EC327</f>
        <v>#ERROR!</v>
      </c>
      <c r="EI328" s="488"/>
      <c r="EJ328" s="489"/>
      <c r="EK328" s="489"/>
      <c r="EL328" s="489"/>
      <c r="EM328" s="465" t="str">
        <f>(EM327-EH327)/EH327</f>
        <v>#ERROR!</v>
      </c>
      <c r="EN328" s="489"/>
      <c r="EO328" s="489"/>
      <c r="EP328" s="489"/>
      <c r="EQ328" s="489"/>
      <c r="ER328" s="465" t="str">
        <f>(ER327-EM327)/EM327</f>
        <v>#ERROR!</v>
      </c>
      <c r="ES328" s="489"/>
      <c r="ET328" s="489"/>
      <c r="EU328" s="489"/>
      <c r="EV328" s="489"/>
      <c r="EW328" s="465" t="str">
        <f>(EW327-ER327)/ER327</f>
        <v>#ERROR!</v>
      </c>
      <c r="EX328" s="489"/>
      <c r="EY328" s="489"/>
      <c r="EZ328" s="489"/>
      <c r="FA328" s="489"/>
      <c r="FB328" s="465" t="str">
        <f>(FB327-EW327)/EW327</f>
        <v>#ERROR!</v>
      </c>
      <c r="FC328" s="489"/>
      <c r="FD328" s="489"/>
      <c r="FE328" s="489"/>
      <c r="FF328" s="489"/>
      <c r="FG328" s="465" t="str">
        <f>(FG327-FB327)/FB327</f>
        <v>#ERROR!</v>
      </c>
      <c r="FH328" s="478"/>
      <c r="FI328" s="478"/>
      <c r="FJ328" s="478"/>
      <c r="FK328" s="479"/>
      <c r="FL328" s="478"/>
    </row>
    <row r="329" ht="12.75" hidden="1" customHeight="1" outlineLevel="1">
      <c r="A329" s="476"/>
      <c r="B329" s="72" t="s">
        <v>213</v>
      </c>
      <c r="C329" s="477"/>
      <c r="D329" s="478"/>
      <c r="E329" s="478"/>
      <c r="F329" s="478"/>
      <c r="G329" s="478"/>
      <c r="H329" s="479"/>
      <c r="I329" s="478"/>
      <c r="J329" s="478"/>
      <c r="K329" s="478"/>
      <c r="L329" s="478"/>
      <c r="M329" s="479"/>
      <c r="N329" s="478"/>
      <c r="O329" s="478"/>
      <c r="P329" s="478"/>
      <c r="Q329" s="478"/>
      <c r="R329" s="479"/>
      <c r="S329" s="478"/>
      <c r="T329" s="478"/>
      <c r="U329" s="478"/>
      <c r="V329" s="478"/>
      <c r="W329" s="479"/>
      <c r="X329" s="478"/>
      <c r="Y329" s="478"/>
      <c r="Z329" s="478"/>
      <c r="AA329" s="478"/>
      <c r="AB329" s="479"/>
      <c r="AC329" s="478"/>
      <c r="AD329" s="478"/>
      <c r="AE329" s="478"/>
      <c r="AF329" s="478"/>
      <c r="AG329" s="479"/>
      <c r="AH329" s="478"/>
      <c r="AI329" s="478"/>
      <c r="AJ329" s="478"/>
      <c r="AK329" s="478"/>
      <c r="AL329" s="479"/>
      <c r="AM329" s="478"/>
      <c r="AN329" s="478"/>
      <c r="AO329" s="478"/>
      <c r="AP329" s="478"/>
      <c r="AQ329" s="479"/>
      <c r="AR329" s="478"/>
      <c r="AS329" s="478"/>
      <c r="AT329" s="478"/>
      <c r="AU329" s="478"/>
      <c r="AV329" s="479"/>
      <c r="AW329" s="478"/>
      <c r="AX329" s="478"/>
      <c r="AY329" s="478"/>
      <c r="AZ329" s="478"/>
      <c r="BA329" s="479"/>
      <c r="BB329" s="478"/>
      <c r="BC329" s="478"/>
      <c r="BD329" s="478"/>
      <c r="BE329" s="478"/>
      <c r="BF329" s="479"/>
      <c r="BG329" s="478"/>
      <c r="BH329" s="478"/>
      <c r="BI329" s="478"/>
      <c r="BJ329" s="478"/>
      <c r="BK329" s="479"/>
      <c r="BL329" s="478"/>
      <c r="BM329" s="478"/>
      <c r="BN329" s="478"/>
      <c r="BO329" s="478"/>
      <c r="BP329" s="479"/>
      <c r="BQ329" s="478"/>
      <c r="BR329" s="478"/>
      <c r="BS329" s="478"/>
      <c r="BT329" s="478"/>
      <c r="BU329" s="479"/>
      <c r="BV329" s="478"/>
      <c r="BW329" s="478"/>
      <c r="BX329" s="478"/>
      <c r="BY329" s="478"/>
      <c r="BZ329" s="24"/>
      <c r="CA329" s="478"/>
      <c r="CB329" s="478"/>
      <c r="CC329" s="478"/>
      <c r="CD329" s="478"/>
      <c r="CE329" s="24"/>
      <c r="CF329" s="478"/>
      <c r="CG329" s="478"/>
      <c r="CH329" s="478"/>
      <c r="CI329" s="478"/>
      <c r="CJ329" s="24"/>
      <c r="CK329" s="478"/>
      <c r="CL329" s="478"/>
      <c r="CM329" s="478"/>
      <c r="CN329" s="478"/>
      <c r="CO329" s="481"/>
      <c r="CP329" s="485"/>
      <c r="CQ329" s="485"/>
      <c r="CR329" s="485"/>
      <c r="CS329" s="485"/>
      <c r="CT329" s="486"/>
      <c r="CU329" s="485"/>
      <c r="CV329" s="485"/>
      <c r="CW329" s="485"/>
      <c r="CX329" s="485"/>
      <c r="CY329" s="486"/>
      <c r="CZ329" s="485"/>
      <c r="DA329" s="485"/>
      <c r="DB329" s="485"/>
      <c r="DC329" s="485"/>
      <c r="DD329" s="465"/>
      <c r="DE329" s="482"/>
      <c r="DF329" s="487">
        <f t="shared" ref="DF329:DH329" si="2020">DF327/DE327-1</f>
        <v>0.188695301</v>
      </c>
      <c r="DG329" s="487">
        <f t="shared" si="2020"/>
        <v>0.08001338843</v>
      </c>
      <c r="DH329" s="487">
        <f t="shared" si="2020"/>
        <v>0.1055144873</v>
      </c>
      <c r="DI329" s="465"/>
      <c r="DJ329" s="487">
        <f>DJ327/DH327-1</f>
        <v>0.02165409205</v>
      </c>
      <c r="DK329" s="487">
        <f t="shared" ref="DK329:DM329" si="2021">DK327/DJ327-1</f>
        <v>0.1559037065</v>
      </c>
      <c r="DL329" s="487">
        <f t="shared" si="2021"/>
        <v>0.1489504132</v>
      </c>
      <c r="DM329" s="487">
        <f t="shared" si="2021"/>
        <v>-0.08610802381</v>
      </c>
      <c r="DN329" s="465"/>
      <c r="DO329" s="487">
        <f>DO327/DM327-1</f>
        <v>-0.1307701072</v>
      </c>
      <c r="DP329" s="487">
        <f t="shared" ref="DP329:DR329" si="2022">DP327/DO327-1</f>
        <v>0.08468689049</v>
      </c>
      <c r="DQ329" s="487">
        <f t="shared" si="2022"/>
        <v>0.1953726521</v>
      </c>
      <c r="DR329" s="487">
        <f t="shared" si="2022"/>
        <v>0.3131651697</v>
      </c>
      <c r="DS329" s="465"/>
      <c r="DT329" s="487">
        <f>DT327/DR327-1</f>
        <v>-0.1014042324</v>
      </c>
      <c r="DU329" s="487">
        <f t="shared" ref="DU329:DW329" si="2023">DU327/DT327-1</f>
        <v>0.04215014969</v>
      </c>
      <c r="DV329" s="487">
        <f t="shared" si="2023"/>
        <v>-0.06484452384</v>
      </c>
      <c r="DW329" s="487">
        <f t="shared" si="2023"/>
        <v>-0.0293996572</v>
      </c>
      <c r="DX329" s="465"/>
      <c r="DY329" s="487">
        <f>DY327/DW327-1</f>
        <v>-0.2441223837</v>
      </c>
      <c r="DZ329" s="487">
        <f t="shared" ref="DZ329:EB329" si="2024">DZ327/DY327-1</f>
        <v>0.1733298888</v>
      </c>
      <c r="EA329" s="487">
        <f t="shared" si="2024"/>
        <v>-0.07065294294</v>
      </c>
      <c r="EB329" s="487">
        <f t="shared" si="2024"/>
        <v>0.1525879071</v>
      </c>
      <c r="EC329" s="465"/>
      <c r="ED329" s="487">
        <f>ED327/EB327-1</f>
        <v>-0.2043393513</v>
      </c>
      <c r="EE329" s="487"/>
      <c r="EF329" s="487"/>
      <c r="EG329" s="487"/>
      <c r="EH329" s="465"/>
      <c r="EI329" s="488"/>
      <c r="EJ329" s="489"/>
      <c r="EK329" s="489"/>
      <c r="EL329" s="489"/>
      <c r="EM329" s="465"/>
      <c r="EN329" s="489"/>
      <c r="EO329" s="489"/>
      <c r="EP329" s="489"/>
      <c r="EQ329" s="489"/>
      <c r="ER329" s="465"/>
      <c r="ES329" s="489"/>
      <c r="ET329" s="489"/>
      <c r="EU329" s="489"/>
      <c r="EV329" s="489"/>
      <c r="EW329" s="465"/>
      <c r="EX329" s="489"/>
      <c r="EY329" s="489"/>
      <c r="EZ329" s="489"/>
      <c r="FA329" s="489"/>
      <c r="FB329" s="465"/>
      <c r="FC329" s="489"/>
      <c r="FD329" s="489"/>
      <c r="FE329" s="489"/>
      <c r="FF329" s="489"/>
      <c r="FG329" s="465"/>
      <c r="FH329" s="478"/>
      <c r="FI329" s="478"/>
      <c r="FJ329" s="478"/>
      <c r="FK329" s="479"/>
      <c r="FL329" s="478"/>
    </row>
    <row r="330" ht="12.75" hidden="1" customHeight="1" outlineLevel="2">
      <c r="A330" s="476"/>
      <c r="B330" s="72" t="s">
        <v>214</v>
      </c>
      <c r="C330" s="477"/>
      <c r="D330" s="478"/>
      <c r="E330" s="478"/>
      <c r="F330" s="478"/>
      <c r="G330" s="478"/>
      <c r="H330" s="479"/>
      <c r="I330" s="478"/>
      <c r="J330" s="478"/>
      <c r="K330" s="478"/>
      <c r="L330" s="478"/>
      <c r="M330" s="479"/>
      <c r="N330" s="478"/>
      <c r="O330" s="478"/>
      <c r="P330" s="478"/>
      <c r="Q330" s="478"/>
      <c r="R330" s="479"/>
      <c r="S330" s="478"/>
      <c r="T330" s="478"/>
      <c r="U330" s="478"/>
      <c r="V330" s="478"/>
      <c r="W330" s="479"/>
      <c r="X330" s="478"/>
      <c r="Y330" s="478"/>
      <c r="Z330" s="478"/>
      <c r="AA330" s="478"/>
      <c r="AB330" s="479"/>
      <c r="AC330" s="478"/>
      <c r="AD330" s="478"/>
      <c r="AE330" s="478"/>
      <c r="AF330" s="478"/>
      <c r="AG330" s="479"/>
      <c r="AH330" s="478"/>
      <c r="AI330" s="478"/>
      <c r="AJ330" s="478"/>
      <c r="AK330" s="478"/>
      <c r="AL330" s="479"/>
      <c r="AM330" s="478"/>
      <c r="AN330" s="478"/>
      <c r="AO330" s="478"/>
      <c r="AP330" s="478"/>
      <c r="AQ330" s="479"/>
      <c r="AR330" s="478"/>
      <c r="AS330" s="478"/>
      <c r="AT330" s="478"/>
      <c r="AU330" s="478"/>
      <c r="AV330" s="479"/>
      <c r="AW330" s="478"/>
      <c r="AX330" s="478"/>
      <c r="AY330" s="478"/>
      <c r="AZ330" s="478"/>
      <c r="BA330" s="479"/>
      <c r="BB330" s="478"/>
      <c r="BC330" s="478"/>
      <c r="BD330" s="478"/>
      <c r="BE330" s="478"/>
      <c r="BF330" s="479"/>
      <c r="BG330" s="478"/>
      <c r="BH330" s="478"/>
      <c r="BI330" s="478"/>
      <c r="BJ330" s="478"/>
      <c r="BK330" s="479"/>
      <c r="BL330" s="478"/>
      <c r="BM330" s="478"/>
      <c r="BN330" s="478"/>
      <c r="BO330" s="478"/>
      <c r="BP330" s="479"/>
      <c r="BQ330" s="478"/>
      <c r="BR330" s="478"/>
      <c r="BS330" s="478"/>
      <c r="BT330" s="478"/>
      <c r="BU330" s="479"/>
      <c r="BV330" s="478"/>
      <c r="BW330" s="478"/>
      <c r="BX330" s="478"/>
      <c r="BY330" s="478"/>
      <c r="BZ330" s="24"/>
      <c r="CA330" s="478"/>
      <c r="CB330" s="478"/>
      <c r="CC330" s="478"/>
      <c r="CD330" s="478"/>
      <c r="CE330" s="24"/>
      <c r="CF330" s="478"/>
      <c r="CG330" s="478"/>
      <c r="CH330" s="478"/>
      <c r="CI330" s="478"/>
      <c r="CJ330" s="24"/>
      <c r="CK330" s="478"/>
      <c r="CL330" s="478"/>
      <c r="CM330" s="478"/>
      <c r="CN330" s="478"/>
      <c r="CO330" s="481">
        <v>4500.0</v>
      </c>
      <c r="CP330" s="480"/>
      <c r="CQ330" s="480"/>
      <c r="CR330" s="480"/>
      <c r="CS330" s="480"/>
      <c r="CT330" s="481">
        <v>5150.0</v>
      </c>
      <c r="CU330" s="480"/>
      <c r="CV330" s="480"/>
      <c r="CW330" s="480"/>
      <c r="CX330" s="480"/>
      <c r="CY330" s="481">
        <v>5750.0</v>
      </c>
      <c r="CZ330" s="480"/>
      <c r="DA330" s="480"/>
      <c r="DB330" s="480"/>
      <c r="DC330" s="480"/>
      <c r="DD330" s="481">
        <f>CY330*1.19</f>
        <v>6842.5</v>
      </c>
      <c r="DE330" s="482"/>
      <c r="DF330" s="482"/>
      <c r="DG330" s="482"/>
      <c r="DH330" s="482"/>
      <c r="DI330" s="481"/>
      <c r="DJ330" s="482"/>
      <c r="DK330" s="485"/>
      <c r="DL330" s="485"/>
      <c r="DM330" s="485"/>
      <c r="DN330" s="411"/>
      <c r="DO330" s="477"/>
      <c r="DP330" s="477"/>
      <c r="DQ330" s="477"/>
      <c r="DR330" s="477"/>
      <c r="DS330" s="411"/>
      <c r="DT330" s="477"/>
      <c r="DU330" s="477"/>
      <c r="DV330" s="477"/>
      <c r="DW330" s="477"/>
      <c r="DX330" s="411"/>
      <c r="DY330" s="477"/>
      <c r="DZ330" s="477"/>
      <c r="EA330" s="477"/>
      <c r="EB330" s="477"/>
      <c r="EC330" s="411"/>
      <c r="ED330" s="477"/>
      <c r="EE330" s="477"/>
      <c r="EF330" s="477"/>
      <c r="EG330" s="477"/>
      <c r="EH330" s="411"/>
      <c r="EI330" s="426"/>
      <c r="EJ330" s="480"/>
      <c r="EK330" s="480"/>
      <c r="EL330" s="480"/>
      <c r="EM330" s="411"/>
      <c r="EN330" s="480"/>
      <c r="EO330" s="480"/>
      <c r="EP330" s="480"/>
      <c r="EQ330" s="480"/>
      <c r="ER330" s="411"/>
      <c r="ES330" s="480"/>
      <c r="ET330" s="480"/>
      <c r="EU330" s="480"/>
      <c r="EV330" s="480"/>
      <c r="EW330" s="411"/>
      <c r="EX330" s="480"/>
      <c r="EY330" s="480"/>
      <c r="EZ330" s="480"/>
      <c r="FA330" s="480"/>
      <c r="FB330" s="411"/>
      <c r="FC330" s="480"/>
      <c r="FD330" s="480"/>
      <c r="FE330" s="480"/>
      <c r="FF330" s="480"/>
      <c r="FG330" s="411"/>
      <c r="FH330" s="478"/>
      <c r="FI330" s="478"/>
      <c r="FJ330" s="478"/>
      <c r="FK330" s="479"/>
      <c r="FL330" s="478"/>
    </row>
    <row r="331" ht="12.75" hidden="1" customHeight="1" outlineLevel="1">
      <c r="A331" s="476"/>
      <c r="B331" s="72" t="s">
        <v>215</v>
      </c>
      <c r="C331" s="477"/>
      <c r="D331" s="478"/>
      <c r="E331" s="478"/>
      <c r="F331" s="478"/>
      <c r="G331" s="478"/>
      <c r="H331" s="479"/>
      <c r="I331" s="478"/>
      <c r="J331" s="478"/>
      <c r="K331" s="478"/>
      <c r="L331" s="478"/>
      <c r="M331" s="479"/>
      <c r="N331" s="478"/>
      <c r="O331" s="478"/>
      <c r="P331" s="478"/>
      <c r="Q331" s="478"/>
      <c r="R331" s="479"/>
      <c r="S331" s="478"/>
      <c r="T331" s="478"/>
      <c r="U331" s="478"/>
      <c r="V331" s="478"/>
      <c r="W331" s="479"/>
      <c r="X331" s="478"/>
      <c r="Y331" s="478"/>
      <c r="Z331" s="478"/>
      <c r="AA331" s="478"/>
      <c r="AB331" s="479"/>
      <c r="AC331" s="478"/>
      <c r="AD331" s="478"/>
      <c r="AE331" s="478"/>
      <c r="AF331" s="478"/>
      <c r="AG331" s="479"/>
      <c r="AH331" s="478"/>
      <c r="AI331" s="478"/>
      <c r="AJ331" s="478"/>
      <c r="AK331" s="478"/>
      <c r="AL331" s="479"/>
      <c r="AM331" s="478"/>
      <c r="AN331" s="478"/>
      <c r="AO331" s="478"/>
      <c r="AP331" s="478"/>
      <c r="AQ331" s="479"/>
      <c r="AR331" s="478"/>
      <c r="AS331" s="478"/>
      <c r="AT331" s="478"/>
      <c r="AU331" s="478"/>
      <c r="AV331" s="479"/>
      <c r="AW331" s="478"/>
      <c r="AX331" s="478"/>
      <c r="AY331" s="478"/>
      <c r="AZ331" s="478"/>
      <c r="BA331" s="479"/>
      <c r="BB331" s="478"/>
      <c r="BC331" s="478"/>
      <c r="BD331" s="478"/>
      <c r="BE331" s="478"/>
      <c r="BF331" s="479"/>
      <c r="BG331" s="478"/>
      <c r="BH331" s="478"/>
      <c r="BI331" s="478"/>
      <c r="BJ331" s="478"/>
      <c r="BK331" s="479"/>
      <c r="BL331" s="478"/>
      <c r="BM331" s="478"/>
      <c r="BN331" s="478"/>
      <c r="BO331" s="478"/>
      <c r="BP331" s="479"/>
      <c r="BQ331" s="478"/>
      <c r="BR331" s="478"/>
      <c r="BS331" s="478"/>
      <c r="BT331" s="478"/>
      <c r="BU331" s="479"/>
      <c r="BV331" s="478"/>
      <c r="BW331" s="478"/>
      <c r="BX331" s="478"/>
      <c r="BY331" s="478"/>
      <c r="BZ331" s="24"/>
      <c r="CA331" s="478"/>
      <c r="CB331" s="478"/>
      <c r="CC331" s="478"/>
      <c r="CD331" s="478"/>
      <c r="CE331" s="24"/>
      <c r="CF331" s="478"/>
      <c r="CG331" s="478"/>
      <c r="CH331" s="478"/>
      <c r="CI331" s="478"/>
      <c r="CJ331" s="24"/>
      <c r="CK331" s="478"/>
      <c r="CL331" s="478"/>
      <c r="CM331" s="478"/>
      <c r="CN331" s="478"/>
      <c r="CO331" s="481">
        <v>2050.0</v>
      </c>
      <c r="CP331" s="480"/>
      <c r="CQ331" s="480"/>
      <c r="CR331" s="480"/>
      <c r="CS331" s="480"/>
      <c r="CT331" s="481"/>
      <c r="CU331" s="480"/>
      <c r="CV331" s="480"/>
      <c r="CW331" s="480"/>
      <c r="CX331" s="480"/>
      <c r="CY331" s="481"/>
      <c r="CZ331" s="480"/>
      <c r="DA331" s="480"/>
      <c r="DB331" s="480"/>
      <c r="DC331" s="480"/>
      <c r="DD331" s="481">
        <v>3100.0</v>
      </c>
      <c r="DE331" s="482">
        <f>DJ331/1.33</f>
        <v>865.7744361</v>
      </c>
      <c r="DF331" s="482">
        <f>DK331/1.3</f>
        <v>1057.692308</v>
      </c>
      <c r="DG331" s="482">
        <f t="shared" ref="DG331:DH331" si="2025">DG324-DG327-DG334</f>
        <v>1024.38</v>
      </c>
      <c r="DH331" s="482">
        <f t="shared" si="2025"/>
        <v>701.784417</v>
      </c>
      <c r="DI331" s="481">
        <f>DD331*1.19</f>
        <v>3689</v>
      </c>
      <c r="DJ331" s="482">
        <f>DJ324-DJ327-DJ334</f>
        <v>1151.48</v>
      </c>
      <c r="DK331" s="482">
        <f>DK324*0.25</f>
        <v>1375</v>
      </c>
      <c r="DL331" s="482">
        <f>DG331*1.3</f>
        <v>1331.694</v>
      </c>
      <c r="DM331" s="482">
        <f>DH331*1.12</f>
        <v>785.998547</v>
      </c>
      <c r="DN331" s="481">
        <f>SUM(DJ331:DM331)</f>
        <v>4644.172547</v>
      </c>
      <c r="DO331" s="484">
        <f t="shared" ref="DO331:DR331" si="2026">DJ331*(1+DO332)</f>
        <v>1111.1782</v>
      </c>
      <c r="DP331" s="484">
        <f t="shared" si="2026"/>
        <v>1416.25</v>
      </c>
      <c r="DQ331" s="484">
        <f t="shared" si="2026"/>
        <v>1478.18034</v>
      </c>
      <c r="DR331" s="484">
        <f t="shared" si="2026"/>
        <v>896.0383436</v>
      </c>
      <c r="DS331" s="481">
        <f>SUM(DO331:DR331)</f>
        <v>4901.646884</v>
      </c>
      <c r="DT331" s="484">
        <f t="shared" ref="DT331:DW331" si="2027">DO331*(1+DT332)</f>
        <v>1477.867006</v>
      </c>
      <c r="DU331" s="484">
        <f t="shared" si="2027"/>
        <v>2039.4</v>
      </c>
      <c r="DV331" s="484">
        <f t="shared" si="2027"/>
        <v>1537.307554</v>
      </c>
      <c r="DW331" s="484">
        <f t="shared" si="2027"/>
        <v>869.1571933</v>
      </c>
      <c r="DX331" s="481">
        <f>SUM(DT331:DW331)</f>
        <v>5923.731753</v>
      </c>
      <c r="DY331" s="484">
        <f t="shared" ref="DY331:ED331" si="2028">DT331*(1+DY332)</f>
        <v>1552.49929</v>
      </c>
      <c r="DZ331" s="484">
        <f t="shared" si="2028"/>
        <v>1927.233</v>
      </c>
      <c r="EA331" s="484">
        <f t="shared" si="2028"/>
        <v>1814.022913</v>
      </c>
      <c r="EB331" s="484">
        <f t="shared" si="2028"/>
        <v>1060.371776</v>
      </c>
      <c r="EC331" s="481">
        <f t="shared" si="2028"/>
        <v>6042.206388</v>
      </c>
      <c r="ED331" s="484">
        <f t="shared" si="2028"/>
        <v>1552.49929</v>
      </c>
      <c r="EE331" s="484"/>
      <c r="EF331" s="484"/>
      <c r="EG331" s="484"/>
      <c r="EH331" s="481">
        <f>EC331*(1+EH332)</f>
        <v>6223.47258</v>
      </c>
      <c r="EI331" s="428"/>
      <c r="EJ331" s="484"/>
      <c r="EK331" s="484"/>
      <c r="EL331" s="484"/>
      <c r="EM331" s="481">
        <f>EH331*(1+EM332)</f>
        <v>6410.176757</v>
      </c>
      <c r="EN331" s="484"/>
      <c r="EO331" s="484"/>
      <c r="EP331" s="484"/>
      <c r="EQ331" s="484"/>
      <c r="ER331" s="481">
        <f>EM331*(1+ER332)</f>
        <v>6602.48206</v>
      </c>
      <c r="ES331" s="484"/>
      <c r="ET331" s="484"/>
      <c r="EU331" s="484"/>
      <c r="EV331" s="484"/>
      <c r="EW331" s="481">
        <f>ER331*(1+EW332)</f>
        <v>6800.556521</v>
      </c>
      <c r="EX331" s="484"/>
      <c r="EY331" s="484"/>
      <c r="EZ331" s="484"/>
      <c r="FA331" s="484"/>
      <c r="FB331" s="481">
        <f>EW331*(1+FB332)</f>
        <v>7004.573217</v>
      </c>
      <c r="FC331" s="484"/>
      <c r="FD331" s="484"/>
      <c r="FE331" s="484"/>
      <c r="FF331" s="484"/>
      <c r="FG331" s="481">
        <f>FB331*(1+FG332)</f>
        <v>7214.710414</v>
      </c>
      <c r="FH331" s="478"/>
      <c r="FI331" s="478"/>
      <c r="FJ331" s="478"/>
      <c r="FK331" s="479"/>
      <c r="FL331" s="478"/>
    </row>
    <row r="332" ht="12.75" hidden="1" customHeight="1" outlineLevel="1">
      <c r="A332" s="476"/>
      <c r="B332" s="72" t="s">
        <v>212</v>
      </c>
      <c r="C332" s="477"/>
      <c r="D332" s="478"/>
      <c r="E332" s="478"/>
      <c r="F332" s="478"/>
      <c r="G332" s="478"/>
      <c r="H332" s="479"/>
      <c r="I332" s="478"/>
      <c r="J332" s="478"/>
      <c r="K332" s="478"/>
      <c r="L332" s="478"/>
      <c r="M332" s="479"/>
      <c r="N332" s="478"/>
      <c r="O332" s="478"/>
      <c r="P332" s="478"/>
      <c r="Q332" s="478"/>
      <c r="R332" s="479"/>
      <c r="S332" s="478"/>
      <c r="T332" s="478"/>
      <c r="U332" s="478"/>
      <c r="V332" s="478"/>
      <c r="W332" s="479"/>
      <c r="X332" s="478"/>
      <c r="Y332" s="478"/>
      <c r="Z332" s="478"/>
      <c r="AA332" s="478"/>
      <c r="AB332" s="479"/>
      <c r="AC332" s="478"/>
      <c r="AD332" s="478"/>
      <c r="AE332" s="478"/>
      <c r="AF332" s="478"/>
      <c r="AG332" s="479"/>
      <c r="AH332" s="478"/>
      <c r="AI332" s="478"/>
      <c r="AJ332" s="478"/>
      <c r="AK332" s="478"/>
      <c r="AL332" s="479"/>
      <c r="AM332" s="478"/>
      <c r="AN332" s="478"/>
      <c r="AO332" s="478"/>
      <c r="AP332" s="478"/>
      <c r="AQ332" s="479"/>
      <c r="AR332" s="478"/>
      <c r="AS332" s="478"/>
      <c r="AT332" s="478"/>
      <c r="AU332" s="478"/>
      <c r="AV332" s="479"/>
      <c r="AW332" s="478"/>
      <c r="AX332" s="478"/>
      <c r="AY332" s="478"/>
      <c r="AZ332" s="478"/>
      <c r="BA332" s="479"/>
      <c r="BB332" s="478"/>
      <c r="BC332" s="478"/>
      <c r="BD332" s="478"/>
      <c r="BE332" s="478"/>
      <c r="BF332" s="479"/>
      <c r="BG332" s="478"/>
      <c r="BH332" s="478"/>
      <c r="BI332" s="478"/>
      <c r="BJ332" s="478"/>
      <c r="BK332" s="479"/>
      <c r="BL332" s="478"/>
      <c r="BM332" s="478"/>
      <c r="BN332" s="478"/>
      <c r="BO332" s="478"/>
      <c r="BP332" s="479"/>
      <c r="BQ332" s="478"/>
      <c r="BR332" s="478"/>
      <c r="BS332" s="478"/>
      <c r="BT332" s="478"/>
      <c r="BU332" s="479"/>
      <c r="BV332" s="478"/>
      <c r="BW332" s="478"/>
      <c r="BX332" s="478"/>
      <c r="BY332" s="478"/>
      <c r="BZ332" s="24"/>
      <c r="CA332" s="478"/>
      <c r="CB332" s="478"/>
      <c r="CC332" s="478"/>
      <c r="CD332" s="478"/>
      <c r="CE332" s="24"/>
      <c r="CF332" s="478"/>
      <c r="CG332" s="478"/>
      <c r="CH332" s="478"/>
      <c r="CI332" s="478"/>
      <c r="CJ332" s="24"/>
      <c r="CK332" s="478"/>
      <c r="CL332" s="478"/>
      <c r="CM332" s="478"/>
      <c r="CN332" s="478"/>
      <c r="CO332" s="481"/>
      <c r="CP332" s="485"/>
      <c r="CQ332" s="485"/>
      <c r="CR332" s="485"/>
      <c r="CS332" s="485"/>
      <c r="CT332" s="486"/>
      <c r="CU332" s="485"/>
      <c r="CV332" s="485"/>
      <c r="CW332" s="485"/>
      <c r="CX332" s="485"/>
      <c r="CY332" s="486"/>
      <c r="CZ332" s="485"/>
      <c r="DA332" s="485"/>
      <c r="DB332" s="485"/>
      <c r="DC332" s="485"/>
      <c r="DD332" s="486"/>
      <c r="DE332" s="482"/>
      <c r="DF332" s="482"/>
      <c r="DG332" s="483"/>
      <c r="DH332" s="482"/>
      <c r="DI332" s="465">
        <f t="shared" ref="DI332:DN332" si="2029">DI331/DD331-1</f>
        <v>0.19</v>
      </c>
      <c r="DJ332" s="487">
        <f t="shared" si="2029"/>
        <v>0.33</v>
      </c>
      <c r="DK332" s="487">
        <f t="shared" si="2029"/>
        <v>0.3</v>
      </c>
      <c r="DL332" s="487">
        <f t="shared" si="2029"/>
        <v>0.3</v>
      </c>
      <c r="DM332" s="487">
        <f t="shared" si="2029"/>
        <v>0.12</v>
      </c>
      <c r="DN332" s="465">
        <f t="shared" si="2029"/>
        <v>0.258924518</v>
      </c>
      <c r="DO332" s="487">
        <v>-0.035</v>
      </c>
      <c r="DP332" s="487">
        <v>0.03</v>
      </c>
      <c r="DQ332" s="487">
        <v>0.11</v>
      </c>
      <c r="DR332" s="487">
        <v>0.14</v>
      </c>
      <c r="DS332" s="465">
        <f>DS331/DN331-1</f>
        <v>0.05544030373</v>
      </c>
      <c r="DT332" s="487">
        <v>0.33</v>
      </c>
      <c r="DU332" s="487">
        <v>0.44</v>
      </c>
      <c r="DV332" s="487">
        <v>0.04</v>
      </c>
      <c r="DW332" s="487">
        <v>-0.03</v>
      </c>
      <c r="DX332" s="465">
        <f>DX331/DS331-1</f>
        <v>0.208518666</v>
      </c>
      <c r="DY332" s="487">
        <v>0.0505</v>
      </c>
      <c r="DZ332" s="487">
        <v>-0.055</v>
      </c>
      <c r="EA332" s="487">
        <v>0.18</v>
      </c>
      <c r="EB332" s="487">
        <v>0.22</v>
      </c>
      <c r="EC332" s="465">
        <v>0.02</v>
      </c>
      <c r="ED332" s="487"/>
      <c r="EE332" s="487"/>
      <c r="EF332" s="487"/>
      <c r="EG332" s="487"/>
      <c r="EH332" s="465">
        <v>0.03</v>
      </c>
      <c r="EI332" s="488"/>
      <c r="EJ332" s="489"/>
      <c r="EK332" s="489"/>
      <c r="EL332" s="489"/>
      <c r="EM332" s="465">
        <v>0.03</v>
      </c>
      <c r="EN332" s="489"/>
      <c r="EO332" s="489"/>
      <c r="EP332" s="489"/>
      <c r="EQ332" s="489"/>
      <c r="ER332" s="465">
        <v>0.03</v>
      </c>
      <c r="ES332" s="489"/>
      <c r="ET332" s="489"/>
      <c r="EU332" s="489"/>
      <c r="EV332" s="489"/>
      <c r="EW332" s="465">
        <v>0.03</v>
      </c>
      <c r="EX332" s="489"/>
      <c r="EY332" s="489"/>
      <c r="EZ332" s="489"/>
      <c r="FA332" s="489"/>
      <c r="FB332" s="465">
        <v>0.03</v>
      </c>
      <c r="FC332" s="489"/>
      <c r="FD332" s="489"/>
      <c r="FE332" s="489"/>
      <c r="FF332" s="489"/>
      <c r="FG332" s="465">
        <v>0.03</v>
      </c>
      <c r="FH332" s="478"/>
      <c r="FI332" s="478"/>
      <c r="FJ332" s="478"/>
      <c r="FK332" s="479"/>
      <c r="FL332" s="478"/>
    </row>
    <row r="333" ht="12.75" hidden="1" customHeight="1" outlineLevel="1">
      <c r="A333" s="476"/>
      <c r="B333" s="72" t="s">
        <v>213</v>
      </c>
      <c r="C333" s="477"/>
      <c r="D333" s="478"/>
      <c r="E333" s="478"/>
      <c r="F333" s="478"/>
      <c r="G333" s="478"/>
      <c r="H333" s="479"/>
      <c r="I333" s="478"/>
      <c r="J333" s="478"/>
      <c r="K333" s="478"/>
      <c r="L333" s="478"/>
      <c r="M333" s="479"/>
      <c r="N333" s="478"/>
      <c r="O333" s="478"/>
      <c r="P333" s="478"/>
      <c r="Q333" s="478"/>
      <c r="R333" s="479"/>
      <c r="S333" s="478"/>
      <c r="T333" s="478"/>
      <c r="U333" s="478"/>
      <c r="V333" s="478"/>
      <c r="W333" s="479"/>
      <c r="X333" s="478"/>
      <c r="Y333" s="478"/>
      <c r="Z333" s="478"/>
      <c r="AA333" s="478"/>
      <c r="AB333" s="479"/>
      <c r="AC333" s="478"/>
      <c r="AD333" s="478"/>
      <c r="AE333" s="478"/>
      <c r="AF333" s="478"/>
      <c r="AG333" s="479"/>
      <c r="AH333" s="478"/>
      <c r="AI333" s="478"/>
      <c r="AJ333" s="478"/>
      <c r="AK333" s="478"/>
      <c r="AL333" s="479"/>
      <c r="AM333" s="478"/>
      <c r="AN333" s="478"/>
      <c r="AO333" s="478"/>
      <c r="AP333" s="478"/>
      <c r="AQ333" s="479"/>
      <c r="AR333" s="478"/>
      <c r="AS333" s="478"/>
      <c r="AT333" s="478"/>
      <c r="AU333" s="478"/>
      <c r="AV333" s="479"/>
      <c r="AW333" s="478"/>
      <c r="AX333" s="478"/>
      <c r="AY333" s="478"/>
      <c r="AZ333" s="478"/>
      <c r="BA333" s="479"/>
      <c r="BB333" s="478"/>
      <c r="BC333" s="478"/>
      <c r="BD333" s="478"/>
      <c r="BE333" s="478"/>
      <c r="BF333" s="479"/>
      <c r="BG333" s="478"/>
      <c r="BH333" s="478"/>
      <c r="BI333" s="478"/>
      <c r="BJ333" s="478"/>
      <c r="BK333" s="479"/>
      <c r="BL333" s="478"/>
      <c r="BM333" s="478"/>
      <c r="BN333" s="478"/>
      <c r="BO333" s="478"/>
      <c r="BP333" s="479"/>
      <c r="BQ333" s="478"/>
      <c r="BR333" s="478"/>
      <c r="BS333" s="478"/>
      <c r="BT333" s="478"/>
      <c r="BU333" s="479"/>
      <c r="BV333" s="478"/>
      <c r="BW333" s="478"/>
      <c r="BX333" s="478"/>
      <c r="BY333" s="478"/>
      <c r="BZ333" s="24"/>
      <c r="CA333" s="478"/>
      <c r="CB333" s="478"/>
      <c r="CC333" s="478"/>
      <c r="CD333" s="478"/>
      <c r="CE333" s="24"/>
      <c r="CF333" s="478"/>
      <c r="CG333" s="478"/>
      <c r="CH333" s="478"/>
      <c r="CI333" s="478"/>
      <c r="CJ333" s="24"/>
      <c r="CK333" s="478"/>
      <c r="CL333" s="478"/>
      <c r="CM333" s="478"/>
      <c r="CN333" s="478"/>
      <c r="CO333" s="481"/>
      <c r="CP333" s="485"/>
      <c r="CQ333" s="485"/>
      <c r="CR333" s="485"/>
      <c r="CS333" s="485"/>
      <c r="CT333" s="486"/>
      <c r="CU333" s="485"/>
      <c r="CV333" s="485"/>
      <c r="CW333" s="485"/>
      <c r="CX333" s="485"/>
      <c r="CY333" s="486"/>
      <c r="CZ333" s="485"/>
      <c r="DA333" s="485"/>
      <c r="DB333" s="485"/>
      <c r="DC333" s="485"/>
      <c r="DD333" s="486"/>
      <c r="DE333" s="482"/>
      <c r="DF333" s="487">
        <f t="shared" ref="DF333:DH333" si="2030">DF331/DE331-1</f>
        <v>0.2216719085</v>
      </c>
      <c r="DG333" s="487">
        <f t="shared" si="2030"/>
        <v>-0.03149527273</v>
      </c>
      <c r="DH333" s="487">
        <f t="shared" si="2030"/>
        <v>-0.314917885</v>
      </c>
      <c r="DI333" s="465"/>
      <c r="DJ333" s="487">
        <f>DJ331/DH331-1</f>
        <v>0.6407887838</v>
      </c>
      <c r="DK333" s="487">
        <f t="shared" ref="DK333:DM333" si="2031">DK331/DJ331-1</f>
        <v>0.1941153993</v>
      </c>
      <c r="DL333" s="487">
        <f t="shared" si="2031"/>
        <v>-0.03149527273</v>
      </c>
      <c r="DM333" s="487">
        <f t="shared" si="2031"/>
        <v>-0.4097754086</v>
      </c>
      <c r="DN333" s="465"/>
      <c r="DO333" s="487">
        <f>DO331/DM331-1</f>
        <v>0.413715336</v>
      </c>
      <c r="DP333" s="487">
        <f t="shared" ref="DP333:DR333" si="2032">DP331/DO331-1</f>
        <v>0.2745480428</v>
      </c>
      <c r="DQ333" s="487">
        <f t="shared" si="2032"/>
        <v>0.04372839541</v>
      </c>
      <c r="DR333" s="487">
        <f t="shared" si="2032"/>
        <v>-0.3938233926</v>
      </c>
      <c r="DS333" s="465"/>
      <c r="DT333" s="487">
        <f>DT331/DR331-1</f>
        <v>0.6493345587</v>
      </c>
      <c r="DU333" s="487">
        <f t="shared" ref="DU333:DW333" si="2033">DU331/DT331-1</f>
        <v>0.3799617907</v>
      </c>
      <c r="DV333" s="487">
        <f t="shared" si="2033"/>
        <v>-0.2461961589</v>
      </c>
      <c r="DW333" s="487">
        <f t="shared" si="2033"/>
        <v>-0.4346237412</v>
      </c>
      <c r="DX333" s="465"/>
      <c r="DY333" s="487">
        <f>DY331/DW331-1</f>
        <v>0.7862123236</v>
      </c>
      <c r="DZ333" s="487">
        <f t="shared" ref="DZ333:EB333" si="2034">DZ331/DY331-1</f>
        <v>0.2413744809</v>
      </c>
      <c r="EA333" s="487">
        <f t="shared" si="2034"/>
        <v>-0.05874229362</v>
      </c>
      <c r="EB333" s="487">
        <f t="shared" si="2034"/>
        <v>-0.4154584443</v>
      </c>
      <c r="EC333" s="465"/>
      <c r="ED333" s="487">
        <f>ED331/EB331-1</f>
        <v>0.464108462</v>
      </c>
      <c r="EE333" s="487"/>
      <c r="EF333" s="487"/>
      <c r="EG333" s="487"/>
      <c r="EH333" s="465"/>
      <c r="EI333" s="488"/>
      <c r="EJ333" s="489"/>
      <c r="EK333" s="489"/>
      <c r="EL333" s="489"/>
      <c r="EM333" s="465"/>
      <c r="EN333" s="489"/>
      <c r="EO333" s="489"/>
      <c r="EP333" s="489"/>
      <c r="EQ333" s="489"/>
      <c r="ER333" s="465"/>
      <c r="ES333" s="489"/>
      <c r="ET333" s="489"/>
      <c r="EU333" s="489"/>
      <c r="EV333" s="489"/>
      <c r="EW333" s="465"/>
      <c r="EX333" s="489"/>
      <c r="EY333" s="489"/>
      <c r="EZ333" s="489"/>
      <c r="FA333" s="489"/>
      <c r="FB333" s="465"/>
      <c r="FC333" s="489"/>
      <c r="FD333" s="489"/>
      <c r="FE333" s="489"/>
      <c r="FF333" s="489"/>
      <c r="FG333" s="465"/>
      <c r="FH333" s="478"/>
      <c r="FI333" s="478"/>
      <c r="FJ333" s="478"/>
      <c r="FK333" s="479"/>
      <c r="FL333" s="478"/>
    </row>
    <row r="334" ht="12.75" hidden="1" customHeight="1" outlineLevel="1">
      <c r="A334" s="476"/>
      <c r="B334" s="72" t="s">
        <v>216</v>
      </c>
      <c r="C334" s="477"/>
      <c r="D334" s="478"/>
      <c r="E334" s="478"/>
      <c r="F334" s="478"/>
      <c r="G334" s="478"/>
      <c r="H334" s="479"/>
      <c r="I334" s="478"/>
      <c r="J334" s="478"/>
      <c r="K334" s="478"/>
      <c r="L334" s="478"/>
      <c r="M334" s="479"/>
      <c r="N334" s="478"/>
      <c r="O334" s="478"/>
      <c r="P334" s="478"/>
      <c r="Q334" s="478"/>
      <c r="R334" s="479"/>
      <c r="S334" s="478"/>
      <c r="T334" s="478"/>
      <c r="U334" s="478"/>
      <c r="V334" s="478"/>
      <c r="W334" s="479"/>
      <c r="X334" s="478"/>
      <c r="Y334" s="478"/>
      <c r="Z334" s="478"/>
      <c r="AA334" s="478"/>
      <c r="AB334" s="479"/>
      <c r="AC334" s="478"/>
      <c r="AD334" s="478"/>
      <c r="AE334" s="478"/>
      <c r="AF334" s="478"/>
      <c r="AG334" s="479"/>
      <c r="AH334" s="478"/>
      <c r="AI334" s="478"/>
      <c r="AJ334" s="478"/>
      <c r="AK334" s="478"/>
      <c r="AL334" s="479"/>
      <c r="AM334" s="478"/>
      <c r="AN334" s="478"/>
      <c r="AO334" s="478"/>
      <c r="AP334" s="478"/>
      <c r="AQ334" s="479"/>
      <c r="AR334" s="478"/>
      <c r="AS334" s="478"/>
      <c r="AT334" s="478"/>
      <c r="AU334" s="478"/>
      <c r="AV334" s="479"/>
      <c r="AW334" s="478"/>
      <c r="AX334" s="478"/>
      <c r="AY334" s="478"/>
      <c r="AZ334" s="478"/>
      <c r="BA334" s="479"/>
      <c r="BB334" s="478"/>
      <c r="BC334" s="478"/>
      <c r="BD334" s="478"/>
      <c r="BE334" s="478"/>
      <c r="BF334" s="479"/>
      <c r="BG334" s="478"/>
      <c r="BH334" s="478"/>
      <c r="BI334" s="478"/>
      <c r="BJ334" s="478"/>
      <c r="BK334" s="479"/>
      <c r="BL334" s="478"/>
      <c r="BM334" s="478"/>
      <c r="BN334" s="478"/>
      <c r="BO334" s="478"/>
      <c r="BP334" s="479"/>
      <c r="BQ334" s="478"/>
      <c r="BR334" s="478"/>
      <c r="BS334" s="478"/>
      <c r="BT334" s="478"/>
      <c r="BU334" s="479"/>
      <c r="BV334" s="478"/>
      <c r="BW334" s="478"/>
      <c r="BX334" s="478"/>
      <c r="BY334" s="478"/>
      <c r="BZ334" s="24"/>
      <c r="CA334" s="478"/>
      <c r="CB334" s="478"/>
      <c r="CC334" s="478"/>
      <c r="CD334" s="478"/>
      <c r="CE334" s="24"/>
      <c r="CF334" s="478"/>
      <c r="CG334" s="478"/>
      <c r="CH334" s="478"/>
      <c r="CI334" s="478"/>
      <c r="CJ334" s="24"/>
      <c r="CK334" s="478"/>
      <c r="CL334" s="478"/>
      <c r="CM334" s="478"/>
      <c r="CN334" s="478"/>
      <c r="CO334" s="481">
        <f>CO324-CO327-CO330</f>
        <v>5461</v>
      </c>
      <c r="CP334" s="480"/>
      <c r="CQ334" s="480"/>
      <c r="CR334" s="480"/>
      <c r="CS334" s="480"/>
      <c r="CT334" s="481">
        <f>CT324-CT327-CT330</f>
        <v>6037</v>
      </c>
      <c r="CU334" s="480"/>
      <c r="CV334" s="480"/>
      <c r="CW334" s="480"/>
      <c r="CX334" s="480"/>
      <c r="CY334" s="481">
        <f>CY324-CY327-CY330</f>
        <v>5777</v>
      </c>
      <c r="CZ334" s="480"/>
      <c r="DA334" s="480"/>
      <c r="DB334" s="480"/>
      <c r="DC334" s="480"/>
      <c r="DD334" s="481">
        <f>DD324-DD327-DD331</f>
        <v>8440</v>
      </c>
      <c r="DE334" s="482">
        <f>DJ334/1.03</f>
        <v>1930.990291</v>
      </c>
      <c r="DF334" s="482">
        <f>DK334/1.1</f>
        <v>1550</v>
      </c>
      <c r="DG334" s="482">
        <f>DG324*0.41</f>
        <v>1999.98</v>
      </c>
      <c r="DH334" s="483">
        <f>DI334-SUM(DE334:DG334)</f>
        <v>2830.989709</v>
      </c>
      <c r="DI334" s="481">
        <f>DI324-DI327-DI331</f>
        <v>8311.96</v>
      </c>
      <c r="DJ334" s="482">
        <f>0.38*DJ324</f>
        <v>1988.92</v>
      </c>
      <c r="DK334" s="482">
        <f>DK324-DK327-DK331</f>
        <v>1705</v>
      </c>
      <c r="DL334" s="482">
        <f>DG334*1.013</f>
        <v>2025.97974</v>
      </c>
      <c r="DM334" s="482">
        <f>DH334*0.95</f>
        <v>2689.440223</v>
      </c>
      <c r="DN334" s="481">
        <f>SUM(DJ334:DM334)</f>
        <v>8409.339963</v>
      </c>
      <c r="DO334" s="484">
        <f t="shared" ref="DO334:DR334" si="2035">DJ334*(1+DO335)</f>
        <v>1581.1914</v>
      </c>
      <c r="DP334" s="484">
        <f t="shared" si="2035"/>
        <v>1176.45</v>
      </c>
      <c r="DQ334" s="484">
        <f t="shared" si="2035"/>
        <v>2046.239537</v>
      </c>
      <c r="DR334" s="484">
        <f t="shared" si="2035"/>
        <v>2501.179408</v>
      </c>
      <c r="DS334" s="481">
        <f>SUM(DO334:DR334)</f>
        <v>7305.060345</v>
      </c>
      <c r="DT334" s="484">
        <f t="shared" ref="DT334:DW334" si="2036">DO334*(1+DT335)</f>
        <v>2118.796476</v>
      </c>
      <c r="DU334" s="484">
        <f t="shared" si="2036"/>
        <v>1576.443</v>
      </c>
      <c r="DV334" s="484">
        <f t="shared" si="2036"/>
        <v>1084.506955</v>
      </c>
      <c r="DW334" s="484">
        <f t="shared" si="2036"/>
        <v>1875.884556</v>
      </c>
      <c r="DX334" s="481">
        <f>SUM(DT334:DW334)</f>
        <v>6655.630987</v>
      </c>
      <c r="DY334" s="484">
        <f t="shared" ref="DY334:DZ334" si="2037">DT334*(1+DY335)</f>
        <v>1695.037181</v>
      </c>
      <c r="DZ334" s="484">
        <f t="shared" si="2037"/>
        <v>1671.02958</v>
      </c>
      <c r="EA334" s="484" t="str">
        <f t="shared" ref="EA334:EB334" si="2038">EA324-EA327-EA331</f>
        <v>#ERROR!</v>
      </c>
      <c r="EB334" s="484" t="str">
        <f t="shared" si="2038"/>
        <v>#ERROR!</v>
      </c>
      <c r="EC334" s="481">
        <f>DX334*(1+EC335)</f>
        <v>6788.743606</v>
      </c>
      <c r="ED334" s="484" t="str">
        <f>ED324-ED327-ED331</f>
        <v>#ERROR!</v>
      </c>
      <c r="EE334" s="484"/>
      <c r="EF334" s="484"/>
      <c r="EG334" s="484"/>
      <c r="EH334" s="481">
        <f>EC334*(1+EH335)</f>
        <v>7060.293351</v>
      </c>
      <c r="EI334" s="428"/>
      <c r="EJ334" s="484"/>
      <c r="EK334" s="484"/>
      <c r="EL334" s="484"/>
      <c r="EM334" s="481">
        <f>EH334*(1+EM335)</f>
        <v>7201.499218</v>
      </c>
      <c r="EN334" s="484"/>
      <c r="EO334" s="484"/>
      <c r="EP334" s="484"/>
      <c r="EQ334" s="484"/>
      <c r="ER334" s="481">
        <f>EM334*(1+ER335)</f>
        <v>7345.529202</v>
      </c>
      <c r="ES334" s="484"/>
      <c r="ET334" s="484"/>
      <c r="EU334" s="484"/>
      <c r="EV334" s="484"/>
      <c r="EW334" s="481">
        <f>ER334*(1+EW335)</f>
        <v>7492.439786</v>
      </c>
      <c r="EX334" s="484"/>
      <c r="EY334" s="484"/>
      <c r="EZ334" s="484"/>
      <c r="FA334" s="484"/>
      <c r="FB334" s="481">
        <f>EW334*(1+FB335)</f>
        <v>7642.288582</v>
      </c>
      <c r="FC334" s="484"/>
      <c r="FD334" s="484"/>
      <c r="FE334" s="484"/>
      <c r="FF334" s="484"/>
      <c r="FG334" s="481">
        <f>FB334*(1+FG335)</f>
        <v>7795.134353</v>
      </c>
      <c r="FH334" s="478"/>
      <c r="FI334" s="478"/>
      <c r="FJ334" s="478"/>
      <c r="FK334" s="479"/>
      <c r="FL334" s="478"/>
    </row>
    <row r="335" ht="12.75" hidden="1" customHeight="1" outlineLevel="1">
      <c r="A335" s="476"/>
      <c r="B335" s="72" t="s">
        <v>212</v>
      </c>
      <c r="C335" s="477"/>
      <c r="D335" s="478"/>
      <c r="E335" s="478"/>
      <c r="F335" s="478"/>
      <c r="G335" s="478"/>
      <c r="H335" s="479"/>
      <c r="I335" s="478"/>
      <c r="J335" s="478"/>
      <c r="K335" s="478"/>
      <c r="L335" s="478"/>
      <c r="M335" s="479"/>
      <c r="N335" s="478"/>
      <c r="O335" s="478"/>
      <c r="P335" s="478"/>
      <c r="Q335" s="478"/>
      <c r="R335" s="479"/>
      <c r="S335" s="478"/>
      <c r="T335" s="478"/>
      <c r="U335" s="478"/>
      <c r="V335" s="478"/>
      <c r="W335" s="479"/>
      <c r="X335" s="478"/>
      <c r="Y335" s="478"/>
      <c r="Z335" s="478"/>
      <c r="AA335" s="478"/>
      <c r="AB335" s="479"/>
      <c r="AC335" s="478"/>
      <c r="AD335" s="478"/>
      <c r="AE335" s="478"/>
      <c r="AF335" s="478"/>
      <c r="AG335" s="479"/>
      <c r="AH335" s="478"/>
      <c r="AI335" s="478"/>
      <c r="AJ335" s="478"/>
      <c r="AK335" s="478"/>
      <c r="AL335" s="479"/>
      <c r="AM335" s="478"/>
      <c r="AN335" s="478"/>
      <c r="AO335" s="478"/>
      <c r="AP335" s="478"/>
      <c r="AQ335" s="479"/>
      <c r="AR335" s="478"/>
      <c r="AS335" s="478"/>
      <c r="AT335" s="478"/>
      <c r="AU335" s="478"/>
      <c r="AV335" s="479"/>
      <c r="AW335" s="478"/>
      <c r="AX335" s="478"/>
      <c r="AY335" s="478"/>
      <c r="AZ335" s="478"/>
      <c r="BA335" s="479"/>
      <c r="BB335" s="478"/>
      <c r="BC335" s="478"/>
      <c r="BD335" s="478"/>
      <c r="BE335" s="478"/>
      <c r="BF335" s="479"/>
      <c r="BG335" s="478"/>
      <c r="BH335" s="478"/>
      <c r="BI335" s="478"/>
      <c r="BJ335" s="478"/>
      <c r="BK335" s="479"/>
      <c r="BL335" s="478"/>
      <c r="BM335" s="478"/>
      <c r="BN335" s="478"/>
      <c r="BO335" s="478"/>
      <c r="BP335" s="479"/>
      <c r="BQ335" s="478"/>
      <c r="BR335" s="478"/>
      <c r="BS335" s="478"/>
      <c r="BT335" s="478"/>
      <c r="BU335" s="479"/>
      <c r="BV335" s="478"/>
      <c r="BW335" s="478"/>
      <c r="BX335" s="478"/>
      <c r="BY335" s="478"/>
      <c r="BZ335" s="24"/>
      <c r="CA335" s="478"/>
      <c r="CB335" s="478"/>
      <c r="CC335" s="478"/>
      <c r="CD335" s="478"/>
      <c r="CE335" s="24"/>
      <c r="CF335" s="478"/>
      <c r="CG335" s="478"/>
      <c r="CH335" s="478"/>
      <c r="CI335" s="478"/>
      <c r="CJ335" s="24"/>
      <c r="CK335" s="478"/>
      <c r="CL335" s="478"/>
      <c r="CM335" s="478"/>
      <c r="CN335" s="478"/>
      <c r="CO335" s="481"/>
      <c r="CP335" s="485"/>
      <c r="CQ335" s="485"/>
      <c r="CR335" s="485"/>
      <c r="CS335" s="485"/>
      <c r="CT335" s="486">
        <f>CT334/CO334-1</f>
        <v>0.1054751877</v>
      </c>
      <c r="CU335" s="485"/>
      <c r="CV335" s="485"/>
      <c r="CW335" s="485"/>
      <c r="CX335" s="485"/>
      <c r="CY335" s="486">
        <f>CY334/CT334-1</f>
        <v>-0.04306774888</v>
      </c>
      <c r="CZ335" s="485"/>
      <c r="DA335" s="485"/>
      <c r="DB335" s="485"/>
      <c r="DC335" s="485"/>
      <c r="DD335" s="486">
        <f>DD334/CY334-1</f>
        <v>0.4609658993</v>
      </c>
      <c r="DE335" s="482"/>
      <c r="DF335" s="482"/>
      <c r="DG335" s="483"/>
      <c r="DH335" s="482"/>
      <c r="DI335" s="465">
        <f t="shared" ref="DI335:DN335" si="2039">DI334/DD334-1</f>
        <v>-0.01517061611</v>
      </c>
      <c r="DJ335" s="487">
        <f t="shared" si="2039"/>
        <v>0.03</v>
      </c>
      <c r="DK335" s="487">
        <f t="shared" si="2039"/>
        <v>0.1</v>
      </c>
      <c r="DL335" s="487">
        <f t="shared" si="2039"/>
        <v>0.013</v>
      </c>
      <c r="DM335" s="487">
        <f t="shared" si="2039"/>
        <v>-0.05</v>
      </c>
      <c r="DN335" s="465">
        <f t="shared" si="2039"/>
        <v>0.01171564388</v>
      </c>
      <c r="DO335" s="487">
        <v>-0.205</v>
      </c>
      <c r="DP335" s="487">
        <v>-0.31</v>
      </c>
      <c r="DQ335" s="487">
        <v>0.01</v>
      </c>
      <c r="DR335" s="487">
        <v>-0.07</v>
      </c>
      <c r="DS335" s="465">
        <f>DS334/DN334-1</f>
        <v>-0.1313158492</v>
      </c>
      <c r="DT335" s="487">
        <v>0.34</v>
      </c>
      <c r="DU335" s="487">
        <v>0.34</v>
      </c>
      <c r="DV335" s="487">
        <v>-0.47</v>
      </c>
      <c r="DW335" s="487">
        <v>-0.25</v>
      </c>
      <c r="DX335" s="465">
        <f>DX334/DS334-1</f>
        <v>-0.08890129962</v>
      </c>
      <c r="DY335" s="487">
        <v>-0.2</v>
      </c>
      <c r="DZ335" s="487">
        <v>0.06</v>
      </c>
      <c r="EA335" s="487" t="str">
        <f t="shared" ref="EA335:EB335" si="2040">EA334/DV334-1</f>
        <v>#ERROR!</v>
      </c>
      <c r="EB335" s="487" t="str">
        <f t="shared" si="2040"/>
        <v>#ERROR!</v>
      </c>
      <c r="EC335" s="465">
        <v>0.02</v>
      </c>
      <c r="ED335" s="487" t="str">
        <f>ED334/DY334-1</f>
        <v>#ERROR!</v>
      </c>
      <c r="EE335" s="487"/>
      <c r="EF335" s="487"/>
      <c r="EG335" s="487"/>
      <c r="EH335" s="465">
        <v>0.04</v>
      </c>
      <c r="EI335" s="488"/>
      <c r="EJ335" s="489"/>
      <c r="EK335" s="489"/>
      <c r="EL335" s="489"/>
      <c r="EM335" s="465">
        <v>0.02</v>
      </c>
      <c r="EN335" s="489"/>
      <c r="EO335" s="489"/>
      <c r="EP335" s="489"/>
      <c r="EQ335" s="489"/>
      <c r="ER335" s="465">
        <v>0.02</v>
      </c>
      <c r="ES335" s="489"/>
      <c r="ET335" s="489"/>
      <c r="EU335" s="489"/>
      <c r="EV335" s="489"/>
      <c r="EW335" s="465">
        <v>0.02</v>
      </c>
      <c r="EX335" s="489"/>
      <c r="EY335" s="489"/>
      <c r="EZ335" s="489"/>
      <c r="FA335" s="489"/>
      <c r="FB335" s="465">
        <v>0.02</v>
      </c>
      <c r="FC335" s="489"/>
      <c r="FD335" s="489"/>
      <c r="FE335" s="489"/>
      <c r="FF335" s="489"/>
      <c r="FG335" s="465">
        <v>0.02</v>
      </c>
      <c r="FH335" s="478"/>
      <c r="FI335" s="478"/>
      <c r="FJ335" s="478"/>
      <c r="FK335" s="479"/>
      <c r="FL335" s="478"/>
    </row>
    <row r="336" ht="12.75" hidden="1" customHeight="1" outlineLevel="1">
      <c r="A336" s="476"/>
      <c r="B336" s="72" t="s">
        <v>213</v>
      </c>
      <c r="C336" s="477"/>
      <c r="D336" s="478"/>
      <c r="E336" s="478"/>
      <c r="F336" s="478"/>
      <c r="G336" s="478"/>
      <c r="H336" s="479"/>
      <c r="I336" s="478"/>
      <c r="J336" s="478"/>
      <c r="K336" s="478"/>
      <c r="L336" s="478"/>
      <c r="M336" s="479"/>
      <c r="N336" s="478"/>
      <c r="O336" s="478"/>
      <c r="P336" s="478"/>
      <c r="Q336" s="478"/>
      <c r="R336" s="479"/>
      <c r="S336" s="478"/>
      <c r="T336" s="478"/>
      <c r="U336" s="478"/>
      <c r="V336" s="478"/>
      <c r="W336" s="479"/>
      <c r="X336" s="478"/>
      <c r="Y336" s="478"/>
      <c r="Z336" s="478"/>
      <c r="AA336" s="478"/>
      <c r="AB336" s="479"/>
      <c r="AC336" s="478"/>
      <c r="AD336" s="478"/>
      <c r="AE336" s="478"/>
      <c r="AF336" s="478"/>
      <c r="AG336" s="479"/>
      <c r="AH336" s="478"/>
      <c r="AI336" s="478"/>
      <c r="AJ336" s="478"/>
      <c r="AK336" s="478"/>
      <c r="AL336" s="479"/>
      <c r="AM336" s="478"/>
      <c r="AN336" s="478"/>
      <c r="AO336" s="478"/>
      <c r="AP336" s="478"/>
      <c r="AQ336" s="479"/>
      <c r="AR336" s="478"/>
      <c r="AS336" s="478"/>
      <c r="AT336" s="478"/>
      <c r="AU336" s="478"/>
      <c r="AV336" s="479"/>
      <c r="AW336" s="478"/>
      <c r="AX336" s="478"/>
      <c r="AY336" s="478"/>
      <c r="AZ336" s="478"/>
      <c r="BA336" s="479"/>
      <c r="BB336" s="478"/>
      <c r="BC336" s="478"/>
      <c r="BD336" s="478"/>
      <c r="BE336" s="478"/>
      <c r="BF336" s="479"/>
      <c r="BG336" s="478"/>
      <c r="BH336" s="478"/>
      <c r="BI336" s="478"/>
      <c r="BJ336" s="478"/>
      <c r="BK336" s="479"/>
      <c r="BL336" s="478"/>
      <c r="BM336" s="478"/>
      <c r="BN336" s="478"/>
      <c r="BO336" s="478"/>
      <c r="BP336" s="479"/>
      <c r="BQ336" s="478"/>
      <c r="BR336" s="478"/>
      <c r="BS336" s="478"/>
      <c r="BT336" s="478"/>
      <c r="BU336" s="479"/>
      <c r="BV336" s="478"/>
      <c r="BW336" s="478"/>
      <c r="BX336" s="478"/>
      <c r="BY336" s="478"/>
      <c r="BZ336" s="24"/>
      <c r="CA336" s="478"/>
      <c r="CB336" s="478"/>
      <c r="CC336" s="478"/>
      <c r="CD336" s="478"/>
      <c r="CE336" s="24"/>
      <c r="CF336" s="478"/>
      <c r="CG336" s="478"/>
      <c r="CH336" s="478"/>
      <c r="CI336" s="478"/>
      <c r="CJ336" s="24"/>
      <c r="CK336" s="478"/>
      <c r="CL336" s="478"/>
      <c r="CM336" s="478"/>
      <c r="CN336" s="478"/>
      <c r="CO336" s="481"/>
      <c r="CP336" s="485"/>
      <c r="CQ336" s="485"/>
      <c r="CR336" s="485"/>
      <c r="CS336" s="485"/>
      <c r="CT336" s="486"/>
      <c r="CU336" s="485"/>
      <c r="CV336" s="485"/>
      <c r="CW336" s="485"/>
      <c r="CX336" s="485"/>
      <c r="CY336" s="486"/>
      <c r="CZ336" s="485"/>
      <c r="DA336" s="485"/>
      <c r="DB336" s="485"/>
      <c r="DC336" s="485"/>
      <c r="DD336" s="486"/>
      <c r="DE336" s="482"/>
      <c r="DF336" s="487">
        <f t="shared" ref="DF336:DH336" si="2041">DF334/DE334-1</f>
        <v>-0.1973030589</v>
      </c>
      <c r="DG336" s="487">
        <f t="shared" si="2041"/>
        <v>0.2903096774</v>
      </c>
      <c r="DH336" s="487">
        <f t="shared" si="2041"/>
        <v>0.4155090095</v>
      </c>
      <c r="DI336" s="465"/>
      <c r="DJ336" s="487">
        <f>DJ334/DH334-1</f>
        <v>-0.2974471105</v>
      </c>
      <c r="DK336" s="487">
        <f t="shared" ref="DK336:DM336" si="2042">DK334/DJ334-1</f>
        <v>-0.1427508397</v>
      </c>
      <c r="DL336" s="487">
        <f t="shared" si="2042"/>
        <v>0.188257912</v>
      </c>
      <c r="DM336" s="487">
        <f t="shared" si="2042"/>
        <v>0.3274763662</v>
      </c>
      <c r="DN336" s="465"/>
      <c r="DO336" s="487">
        <f>DO334/DM334-1</f>
        <v>-0.4120741609</v>
      </c>
      <c r="DP336" s="487">
        <f t="shared" ref="DP336:DR336" si="2043">DP334/DO334-1</f>
        <v>-0.2559724269</v>
      </c>
      <c r="DQ336" s="487">
        <f t="shared" si="2043"/>
        <v>0.7393340451</v>
      </c>
      <c r="DR336" s="487">
        <f t="shared" si="2043"/>
        <v>0.2223297234</v>
      </c>
      <c r="DS336" s="465"/>
      <c r="DT336" s="487">
        <f>DT334/DR334-1</f>
        <v>-0.152881049</v>
      </c>
      <c r="DU336" s="487">
        <f t="shared" ref="DU336:DW336" si="2044">DU334/DT334-1</f>
        <v>-0.2559724269</v>
      </c>
      <c r="DV336" s="487">
        <f t="shared" si="2044"/>
        <v>-0.3120544448</v>
      </c>
      <c r="DW336" s="487">
        <f t="shared" si="2044"/>
        <v>0.7297118727</v>
      </c>
      <c r="DX336" s="465"/>
      <c r="DY336" s="487">
        <f>DY334/DW334-1</f>
        <v>-0.0964064523</v>
      </c>
      <c r="DZ336" s="487">
        <f t="shared" ref="DZ336:EB336" si="2045">DZ334/DY334-1</f>
        <v>-0.0141634656</v>
      </c>
      <c r="EA336" s="487" t="str">
        <f t="shared" si="2045"/>
        <v>#ERROR!</v>
      </c>
      <c r="EB336" s="487" t="str">
        <f t="shared" si="2045"/>
        <v>#ERROR!</v>
      </c>
      <c r="EC336" s="465"/>
      <c r="ED336" s="487" t="str">
        <f>ED334/EB334-1</f>
        <v>#ERROR!</v>
      </c>
      <c r="EE336" s="487"/>
      <c r="EF336" s="487"/>
      <c r="EG336" s="487"/>
      <c r="EH336" s="465"/>
      <c r="EI336" s="488"/>
      <c r="EJ336" s="489"/>
      <c r="EK336" s="489"/>
      <c r="EL336" s="489"/>
      <c r="EM336" s="465"/>
      <c r="EN336" s="489"/>
      <c r="EO336" s="489"/>
      <c r="EP336" s="489"/>
      <c r="EQ336" s="489"/>
      <c r="ER336" s="465"/>
      <c r="ES336" s="489"/>
      <c r="ET336" s="489"/>
      <c r="EU336" s="489"/>
      <c r="EV336" s="489"/>
      <c r="EW336" s="465"/>
      <c r="EX336" s="489"/>
      <c r="EY336" s="489"/>
      <c r="EZ336" s="489"/>
      <c r="FA336" s="489"/>
      <c r="FB336" s="465"/>
      <c r="FC336" s="489"/>
      <c r="FD336" s="489"/>
      <c r="FE336" s="489"/>
      <c r="FF336" s="489"/>
      <c r="FG336" s="465"/>
      <c r="FH336" s="478"/>
      <c r="FI336" s="478"/>
      <c r="FJ336" s="478"/>
      <c r="FK336" s="479"/>
      <c r="FL336" s="478"/>
    </row>
    <row r="337" ht="12.75" hidden="1" customHeight="1" outlineLevel="1">
      <c r="A337" s="476"/>
      <c r="B337" s="84" t="s">
        <v>151</v>
      </c>
      <c r="C337" s="477"/>
      <c r="D337" s="478"/>
      <c r="E337" s="478"/>
      <c r="F337" s="478"/>
      <c r="G337" s="478"/>
      <c r="H337" s="479"/>
      <c r="I337" s="478"/>
      <c r="J337" s="478"/>
      <c r="K337" s="478"/>
      <c r="L337" s="478"/>
      <c r="M337" s="479"/>
      <c r="N337" s="478"/>
      <c r="O337" s="478"/>
      <c r="P337" s="478"/>
      <c r="Q337" s="478"/>
      <c r="R337" s="479"/>
      <c r="S337" s="478"/>
      <c r="T337" s="478"/>
      <c r="U337" s="478"/>
      <c r="V337" s="478"/>
      <c r="W337" s="479"/>
      <c r="X337" s="478"/>
      <c r="Y337" s="478"/>
      <c r="Z337" s="478"/>
      <c r="AA337" s="478"/>
      <c r="AB337" s="479"/>
      <c r="AC337" s="478"/>
      <c r="AD337" s="478"/>
      <c r="AE337" s="478"/>
      <c r="AF337" s="478"/>
      <c r="AG337" s="479"/>
      <c r="AH337" s="478"/>
      <c r="AI337" s="478"/>
      <c r="AJ337" s="478"/>
      <c r="AK337" s="478"/>
      <c r="AL337" s="479"/>
      <c r="AM337" s="478"/>
      <c r="AN337" s="478"/>
      <c r="AO337" s="478"/>
      <c r="AP337" s="478"/>
      <c r="AQ337" s="479"/>
      <c r="AR337" s="478"/>
      <c r="AS337" s="478"/>
      <c r="AT337" s="478"/>
      <c r="AU337" s="478"/>
      <c r="AV337" s="479"/>
      <c r="AW337" s="478"/>
      <c r="AX337" s="478"/>
      <c r="AY337" s="478"/>
      <c r="AZ337" s="478"/>
      <c r="BA337" s="479"/>
      <c r="BB337" s="478"/>
      <c r="BC337" s="478"/>
      <c r="BD337" s="478"/>
      <c r="BE337" s="478"/>
      <c r="BF337" s="479"/>
      <c r="BG337" s="478"/>
      <c r="BH337" s="478"/>
      <c r="BI337" s="478"/>
      <c r="BJ337" s="478"/>
      <c r="BK337" s="479"/>
      <c r="BL337" s="478"/>
      <c r="BM337" s="478"/>
      <c r="BN337" s="478"/>
      <c r="BO337" s="478"/>
      <c r="BP337" s="479"/>
      <c r="BQ337" s="478"/>
      <c r="BR337" s="478"/>
      <c r="BS337" s="478"/>
      <c r="BT337" s="478"/>
      <c r="BU337" s="479"/>
      <c r="BV337" s="478"/>
      <c r="BW337" s="478"/>
      <c r="BX337" s="478"/>
      <c r="BY337" s="478"/>
      <c r="BZ337" s="24"/>
      <c r="CA337" s="478"/>
      <c r="CB337" s="478"/>
      <c r="CC337" s="478"/>
      <c r="CD337" s="478"/>
      <c r="CE337" s="24"/>
      <c r="CF337" s="478"/>
      <c r="CG337" s="478"/>
      <c r="CH337" s="478"/>
      <c r="CI337" s="478"/>
      <c r="CJ337" s="24"/>
      <c r="CK337" s="478"/>
      <c r="CL337" s="478"/>
      <c r="CM337" s="478"/>
      <c r="CN337" s="478"/>
      <c r="CO337" s="363"/>
      <c r="CP337" s="480"/>
      <c r="CQ337" s="480"/>
      <c r="CR337" s="480"/>
      <c r="CS337" s="480"/>
      <c r="CT337" s="363"/>
      <c r="CU337" s="480"/>
      <c r="CV337" s="480"/>
      <c r="CW337" s="480"/>
      <c r="CX337" s="480"/>
      <c r="CY337" s="363"/>
      <c r="CZ337" s="478"/>
      <c r="DA337" s="478"/>
      <c r="DB337" s="478"/>
      <c r="DC337" s="478"/>
      <c r="DD337" s="350"/>
      <c r="DE337" s="478">
        <f t="shared" ref="DE337:DH337" si="2046">AVERAGE(CU326,CZ326,CP326)</f>
        <v>-0.07536132043</v>
      </c>
      <c r="DF337" s="478">
        <f t="shared" si="2046"/>
        <v>0.06339469072</v>
      </c>
      <c r="DG337" s="478">
        <f t="shared" si="2046"/>
        <v>0.08588096721</v>
      </c>
      <c r="DH337" s="478">
        <f t="shared" si="2046"/>
        <v>0.05799882301</v>
      </c>
      <c r="DI337" s="350"/>
      <c r="DJ337" s="478">
        <f t="shared" ref="DJ337:DM337" si="2047">AVERAGE(CZ326,DE326,CU326)</f>
        <v>-0.0886125926</v>
      </c>
      <c r="DK337" s="478">
        <f t="shared" si="2047"/>
        <v>0.02885435254</v>
      </c>
      <c r="DL337" s="478">
        <f t="shared" si="2047"/>
        <v>0.1063159816</v>
      </c>
      <c r="DM337" s="478">
        <f t="shared" si="2047"/>
        <v>0.07088074553</v>
      </c>
      <c r="DN337" s="411"/>
      <c r="DO337" s="478">
        <f t="shared" ref="DO337:DR337" si="2048">AVERAGE(DE326,DJ326,CZ326)</f>
        <v>-0.07582405027</v>
      </c>
      <c r="DP337" s="478">
        <f t="shared" si="2048"/>
        <v>0.03030152909</v>
      </c>
      <c r="DQ337" s="478">
        <f t="shared" si="2048"/>
        <v>0.1199350292</v>
      </c>
      <c r="DR337" s="478">
        <f t="shared" si="2048"/>
        <v>0.0535533393</v>
      </c>
      <c r="DS337" s="411"/>
      <c r="DT337" s="478">
        <f t="shared" ref="DT337:DW337" si="2049">AVERAGE(DJ326,DO326,DE326)</f>
        <v>-0.1160112705</v>
      </c>
      <c r="DU337" s="478">
        <f t="shared" si="2049"/>
        <v>0.03347556822</v>
      </c>
      <c r="DV337" s="478">
        <f t="shared" si="2049"/>
        <v>0.170957857</v>
      </c>
      <c r="DW337" s="478">
        <f t="shared" si="2049"/>
        <v>0.08765061152</v>
      </c>
      <c r="DX337" s="481">
        <f>DX327+DX331+DX334</f>
        <v>25970.65648</v>
      </c>
      <c r="DY337" s="478">
        <f t="shared" ref="DY337:EB337" si="2050">AVERAGE(DO326,DT326,DJ326)</f>
        <v>-0.09504413719</v>
      </c>
      <c r="DZ337" s="478">
        <f t="shared" si="2050"/>
        <v>0.02835914565</v>
      </c>
      <c r="EA337" s="478">
        <f t="shared" si="2050"/>
        <v>0.07561353093</v>
      </c>
      <c r="EB337" s="478">
        <f t="shared" si="2050"/>
        <v>0.0498736924</v>
      </c>
      <c r="EC337" s="481" t="str">
        <f>EC327+EC331+EC334</f>
        <v>#ERROR!</v>
      </c>
      <c r="ED337" s="478">
        <f t="shared" ref="ED337:EG337" si="2051">AVERAGE(DT326,DY326,DO326)</f>
        <v>-0.1029533749</v>
      </c>
      <c r="EE337" s="478">
        <f t="shared" si="2051"/>
        <v>0.06479749264</v>
      </c>
      <c r="EF337" s="478" t="str">
        <f t="shared" si="2051"/>
        <v>#ERROR!</v>
      </c>
      <c r="EG337" s="478" t="str">
        <f t="shared" si="2051"/>
        <v>#ERROR!</v>
      </c>
      <c r="EH337" s="481" t="str">
        <f>EH327+EH331+EH334</f>
        <v>#ERROR!</v>
      </c>
      <c r="EI337" s="82" t="str">
        <f t="shared" ref="EI337:EL337" si="2052">AVERAGE(DY326,ED326,DT326)</f>
        <v>#ERROR!</v>
      </c>
      <c r="EJ337" s="478" t="str">
        <f t="shared" si="2052"/>
        <v>#ERROR!</v>
      </c>
      <c r="EK337" s="478" t="str">
        <f t="shared" si="2052"/>
        <v>#ERROR!</v>
      </c>
      <c r="EL337" s="478" t="str">
        <f t="shared" si="2052"/>
        <v>#ERROR!</v>
      </c>
      <c r="EM337" s="481" t="str">
        <f>EM327+EM331+EM334</f>
        <v>#ERROR!</v>
      </c>
      <c r="EN337" s="478" t="str">
        <f t="shared" ref="EN337:EQ337" si="2053">AVERAGE(ED326,EI326,DY326)</f>
        <v>#ERROR!</v>
      </c>
      <c r="EO337" s="478" t="str">
        <f t="shared" si="2053"/>
        <v>#ERROR!</v>
      </c>
      <c r="EP337" s="478" t="str">
        <f t="shared" si="2053"/>
        <v>#ERROR!</v>
      </c>
      <c r="EQ337" s="478" t="str">
        <f t="shared" si="2053"/>
        <v>#ERROR!</v>
      </c>
      <c r="ER337" s="481" t="str">
        <f>ER327+ER331+ER334</f>
        <v>#ERROR!</v>
      </c>
      <c r="ES337" s="478" t="str">
        <f t="shared" ref="ES337:EV337" si="2054">AVERAGE(EI326,EN326,ED326)</f>
        <v>#ERROR!</v>
      </c>
      <c r="ET337" s="478" t="str">
        <f t="shared" si="2054"/>
        <v>#ERROR!</v>
      </c>
      <c r="EU337" s="478" t="str">
        <f t="shared" si="2054"/>
        <v>#ERROR!</v>
      </c>
      <c r="EV337" s="478" t="str">
        <f t="shared" si="2054"/>
        <v>#ERROR!</v>
      </c>
      <c r="EW337" s="481" t="str">
        <f>EW327+EW331+EW334</f>
        <v>#ERROR!</v>
      </c>
      <c r="EX337" s="478" t="str">
        <f t="shared" ref="EX337:FA337" si="2055">AVERAGE(EN326,ES326,EI326)</f>
        <v>#ERROR!</v>
      </c>
      <c r="EY337" s="478" t="str">
        <f t="shared" si="2055"/>
        <v>#ERROR!</v>
      </c>
      <c r="EZ337" s="478" t="str">
        <f t="shared" si="2055"/>
        <v>#ERROR!</v>
      </c>
      <c r="FA337" s="478" t="str">
        <f t="shared" si="2055"/>
        <v>#ERROR!</v>
      </c>
      <c r="FB337" s="481" t="str">
        <f>FB327+FB331+FB334</f>
        <v>#ERROR!</v>
      </c>
      <c r="FC337" s="478" t="str">
        <f t="shared" ref="FC337:FF337" si="2056">AVERAGE(ES326,EX326,EN326)</f>
        <v>#ERROR!</v>
      </c>
      <c r="FD337" s="478" t="str">
        <f t="shared" si="2056"/>
        <v>#ERROR!</v>
      </c>
      <c r="FE337" s="478" t="str">
        <f t="shared" si="2056"/>
        <v>#ERROR!</v>
      </c>
      <c r="FF337" s="478" t="str">
        <f t="shared" si="2056"/>
        <v>#ERROR!</v>
      </c>
      <c r="FG337" s="481" t="str">
        <f>FG327+FG331+FG334</f>
        <v>#ERROR!</v>
      </c>
      <c r="FH337" s="478"/>
      <c r="FI337" s="478"/>
      <c r="FJ337" s="478"/>
      <c r="FK337" s="479"/>
      <c r="FL337" s="478"/>
    </row>
    <row r="338" ht="12.75" hidden="1" customHeight="1" outlineLevel="1">
      <c r="A338" s="476"/>
      <c r="B338" s="215" t="s">
        <v>217</v>
      </c>
      <c r="C338" s="45"/>
      <c r="D338" s="15"/>
      <c r="E338" s="15"/>
      <c r="F338" s="15"/>
      <c r="G338" s="15"/>
      <c r="H338" s="410"/>
      <c r="I338" s="15"/>
      <c r="J338" s="15"/>
      <c r="K338" s="15"/>
      <c r="L338" s="15"/>
      <c r="M338" s="410"/>
      <c r="N338" s="15"/>
      <c r="O338" s="15"/>
      <c r="P338" s="15"/>
      <c r="Q338" s="15"/>
      <c r="R338" s="410"/>
      <c r="S338" s="15"/>
      <c r="T338" s="15"/>
      <c r="U338" s="15"/>
      <c r="V338" s="15"/>
      <c r="W338" s="410"/>
      <c r="X338" s="15"/>
      <c r="Y338" s="15"/>
      <c r="Z338" s="15"/>
      <c r="AA338" s="15"/>
      <c r="AB338" s="410"/>
      <c r="AC338" s="15"/>
      <c r="AD338" s="15"/>
      <c r="AE338" s="15"/>
      <c r="AF338" s="15"/>
      <c r="AG338" s="410"/>
      <c r="AH338" s="15"/>
      <c r="AI338" s="15"/>
      <c r="AJ338" s="15"/>
      <c r="AK338" s="15"/>
      <c r="AL338" s="410"/>
      <c r="AM338" s="15"/>
      <c r="AN338" s="15"/>
      <c r="AO338" s="15"/>
      <c r="AP338" s="15"/>
      <c r="AQ338" s="410"/>
      <c r="AR338" s="15"/>
      <c r="AS338" s="15"/>
      <c r="AT338" s="15"/>
      <c r="AU338" s="15"/>
      <c r="AV338" s="410"/>
      <c r="AW338" s="15"/>
      <c r="AX338" s="15"/>
      <c r="AY338" s="15"/>
      <c r="AZ338" s="15"/>
      <c r="BA338" s="410"/>
      <c r="BB338" s="15"/>
      <c r="BC338" s="15"/>
      <c r="BD338" s="15"/>
      <c r="BE338" s="15"/>
      <c r="BF338" s="410"/>
      <c r="BG338" s="15"/>
      <c r="BH338" s="15"/>
      <c r="BI338" s="15"/>
      <c r="BJ338" s="15"/>
      <c r="BK338" s="410"/>
      <c r="BL338" s="15"/>
      <c r="BM338" s="15"/>
      <c r="BN338" s="15"/>
      <c r="BO338" s="15"/>
      <c r="BP338" s="410"/>
      <c r="BQ338" s="15"/>
      <c r="BR338" s="15"/>
      <c r="BS338" s="15"/>
      <c r="BT338" s="15"/>
      <c r="BU338" s="410"/>
      <c r="BV338" s="15"/>
      <c r="BW338" s="15"/>
      <c r="BX338" s="15"/>
      <c r="BY338" s="15"/>
      <c r="BZ338" s="24"/>
      <c r="CA338" s="15"/>
      <c r="CB338" s="15"/>
      <c r="CC338" s="15"/>
      <c r="CD338" s="15"/>
      <c r="CE338" s="24"/>
      <c r="CF338" s="15"/>
      <c r="CG338" s="15"/>
      <c r="CH338" s="15"/>
      <c r="CI338" s="15"/>
      <c r="CJ338" s="24"/>
      <c r="CK338" s="15"/>
      <c r="CL338" s="15"/>
      <c r="CM338" s="15"/>
      <c r="CN338" s="40"/>
      <c r="CO338" s="24"/>
      <c r="CP338" s="427" t="str">
        <f t="shared" ref="CP338:CP339" si="2067">CP339</f>
        <v>#ERROR!</v>
      </c>
      <c r="CQ338" s="427">
        <v>3254.0</v>
      </c>
      <c r="CR338" s="427">
        <v>3439.0</v>
      </c>
      <c r="CS338" s="427">
        <v>3823.0</v>
      </c>
      <c r="CT338" s="363" t="str">
        <f t="shared" ref="CT338:CT341" si="2069">SUM(CP338:CS338)</f>
        <v>#ERROR!</v>
      </c>
      <c r="CU338" s="427">
        <f>10861-CV338-CW338</f>
        <v>3419</v>
      </c>
      <c r="CV338" s="427">
        <v>3579.0</v>
      </c>
      <c r="CW338" s="427">
        <v>3863.0</v>
      </c>
      <c r="CX338" s="427">
        <v>4021.0</v>
      </c>
      <c r="CY338" s="363">
        <f t="shared" ref="CY338:CY341" si="2071">SUM(CU338:CX338)</f>
        <v>14882</v>
      </c>
      <c r="CZ338" s="427">
        <v>3718.0</v>
      </c>
      <c r="DA338" s="463">
        <v>3718.0</v>
      </c>
      <c r="DB338" s="463">
        <v>4164.0</v>
      </c>
      <c r="DC338" s="463">
        <v>4306.0</v>
      </c>
      <c r="DD338" s="363">
        <f t="shared" ref="DD338:DD341" si="2073">SUM(CZ338:DC338)</f>
        <v>15906</v>
      </c>
      <c r="DE338" s="427">
        <v>3879.0</v>
      </c>
      <c r="DF338" s="427">
        <v>4026.0</v>
      </c>
      <c r="DG338" s="36" t="str">
        <f>DG506</f>
        <v>#ERROR!</v>
      </c>
      <c r="DH338" s="463">
        <v>5095.0</v>
      </c>
      <c r="DI338" s="363" t="str">
        <f t="shared" ref="DI338:DI341" si="2075">SUM(DE338:DH338)</f>
        <v>#ERROR!</v>
      </c>
      <c r="DJ338" s="36" t="str">
        <f t="shared" ref="DJ338:DK338" si="2057">DJ339</f>
        <v>#ERROR!</v>
      </c>
      <c r="DK338" s="36" t="str">
        <f t="shared" si="2057"/>
        <v>#ERROR!</v>
      </c>
      <c r="DL338" s="36">
        <v>5637.0</v>
      </c>
      <c r="DM338" s="36">
        <f>DM324-DM353</f>
        <v>5594</v>
      </c>
      <c r="DN338" s="363" t="str">
        <f t="shared" ref="DN338:DN341" si="2077">SUM(DJ338:DM338)</f>
        <v>#ERROR!</v>
      </c>
      <c r="DO338" s="36">
        <v>4482.0</v>
      </c>
      <c r="DP338" s="36">
        <v>4553.0</v>
      </c>
      <c r="DQ338" s="36">
        <v>5819.0</v>
      </c>
      <c r="DR338" s="36">
        <v>6587.0</v>
      </c>
      <c r="DS338" s="363">
        <f t="shared" ref="DS338:DS341" si="2079">SUM(DO338:DR338)</f>
        <v>21441</v>
      </c>
      <c r="DT338" s="36">
        <v>6427.0</v>
      </c>
      <c r="DU338" s="36">
        <v>6181.0</v>
      </c>
      <c r="DV338" s="36">
        <v>5151.0</v>
      </c>
      <c r="DW338" s="36">
        <v>5297.0</v>
      </c>
      <c r="DX338" s="363">
        <f t="shared" ref="DX338:DX341" si="2081">SUM(DT338:DW338)</f>
        <v>23056</v>
      </c>
      <c r="DY338" s="36">
        <v>4811.0</v>
      </c>
      <c r="DZ338" s="36">
        <v>5703.0</v>
      </c>
      <c r="EA338" s="36" t="str">
        <f t="shared" ref="EA338:EB338" si="2058">EA339</f>
        <v>#ERROR!</v>
      </c>
      <c r="EB338" s="36" t="str">
        <f t="shared" si="2058"/>
        <v>#ERROR!</v>
      </c>
      <c r="EC338" s="363" t="str">
        <f t="shared" ref="EC338:EC341" si="2083">SUM(DY338:EB338)</f>
        <v>#ERROR!</v>
      </c>
      <c r="ED338" s="36" t="str">
        <f t="shared" ref="ED338:EG338" si="2059">ED339</f>
        <v>#ERROR!</v>
      </c>
      <c r="EE338" s="36" t="str">
        <f t="shared" si="2059"/>
        <v>#ERROR!</v>
      </c>
      <c r="EF338" s="36" t="str">
        <f t="shared" si="2059"/>
        <v>#ERROR!</v>
      </c>
      <c r="EG338" s="36" t="str">
        <f t="shared" si="2059"/>
        <v>#ERROR!</v>
      </c>
      <c r="EH338" s="363" t="str">
        <f t="shared" ref="EH338:EH341" si="2085">SUM(ED338:EG338)</f>
        <v>#ERROR!</v>
      </c>
      <c r="EI338" s="428" t="str">
        <f t="shared" ref="EI338:EL338" si="2060">EI339</f>
        <v>#ERROR!</v>
      </c>
      <c r="EJ338" s="427" t="str">
        <f t="shared" si="2060"/>
        <v>#ERROR!</v>
      </c>
      <c r="EK338" s="427" t="str">
        <f t="shared" si="2060"/>
        <v>#ERROR!</v>
      </c>
      <c r="EL338" s="427" t="str">
        <f t="shared" si="2060"/>
        <v>#ERROR!</v>
      </c>
      <c r="EM338" s="363" t="str">
        <f t="shared" ref="EM338:EM341" si="2087">SUM(EI338:EL338)</f>
        <v>#ERROR!</v>
      </c>
      <c r="EN338" s="427" t="str">
        <f t="shared" ref="EN338:EQ338" si="2061">EN339</f>
        <v>#ERROR!</v>
      </c>
      <c r="EO338" s="427" t="str">
        <f t="shared" si="2061"/>
        <v>#ERROR!</v>
      </c>
      <c r="EP338" s="427" t="str">
        <f t="shared" si="2061"/>
        <v>#ERROR!</v>
      </c>
      <c r="EQ338" s="427" t="str">
        <f t="shared" si="2061"/>
        <v>#ERROR!</v>
      </c>
      <c r="ER338" s="363" t="str">
        <f t="shared" ref="ER338:ER341" si="2089">SUM(EN338:EQ338)</f>
        <v>#ERROR!</v>
      </c>
      <c r="ES338" s="427" t="str">
        <f t="shared" ref="ES338:EV338" si="2062">ES339</f>
        <v>#ERROR!</v>
      </c>
      <c r="ET338" s="427" t="str">
        <f t="shared" si="2062"/>
        <v>#ERROR!</v>
      </c>
      <c r="EU338" s="427" t="str">
        <f t="shared" si="2062"/>
        <v>#ERROR!</v>
      </c>
      <c r="EV338" s="427" t="str">
        <f t="shared" si="2062"/>
        <v>#ERROR!</v>
      </c>
      <c r="EW338" s="363" t="str">
        <f t="shared" ref="EW338:EW341" si="2091">SUM(ES338:EV338)</f>
        <v>#ERROR!</v>
      </c>
      <c r="EX338" s="427" t="str">
        <f t="shared" ref="EX338:FA338" si="2063">EX339</f>
        <v>#ERROR!</v>
      </c>
      <c r="EY338" s="427" t="str">
        <f t="shared" si="2063"/>
        <v>#ERROR!</v>
      </c>
      <c r="EZ338" s="427" t="str">
        <f t="shared" si="2063"/>
        <v>#ERROR!</v>
      </c>
      <c r="FA338" s="427" t="str">
        <f t="shared" si="2063"/>
        <v>#ERROR!</v>
      </c>
      <c r="FB338" s="363" t="str">
        <f t="shared" ref="FB338:FB341" si="2093">SUM(EX338:FA338)</f>
        <v>#ERROR!</v>
      </c>
      <c r="FC338" s="427" t="str">
        <f t="shared" ref="FC338:FF338" si="2064">FC339</f>
        <v>#ERROR!</v>
      </c>
      <c r="FD338" s="427" t="str">
        <f t="shared" si="2064"/>
        <v>#ERROR!</v>
      </c>
      <c r="FE338" s="427" t="str">
        <f t="shared" si="2064"/>
        <v>#ERROR!</v>
      </c>
      <c r="FF338" s="427" t="str">
        <f t="shared" si="2064"/>
        <v>#ERROR!</v>
      </c>
      <c r="FG338" s="363" t="str">
        <f t="shared" ref="FG338:FG341" si="2095">SUM(FC338:FF338)</f>
        <v>#ERROR!</v>
      </c>
      <c r="FH338" s="364"/>
      <c r="FI338" s="15"/>
      <c r="FJ338" s="15"/>
      <c r="FK338" s="410"/>
      <c r="FL338" s="15"/>
    </row>
    <row r="339" ht="12.75" hidden="1" customHeight="1" outlineLevel="1">
      <c r="A339" s="476"/>
      <c r="B339" s="72" t="s">
        <v>218</v>
      </c>
      <c r="C339" s="45"/>
      <c r="D339" s="17"/>
      <c r="E339" s="17"/>
      <c r="F339" s="17"/>
      <c r="G339" s="17"/>
      <c r="H339" s="73"/>
      <c r="I339" s="17"/>
      <c r="J339" s="17"/>
      <c r="K339" s="17"/>
      <c r="L339" s="17"/>
      <c r="M339" s="73"/>
      <c r="N339" s="17"/>
      <c r="O339" s="17"/>
      <c r="P339" s="17"/>
      <c r="Q339" s="17"/>
      <c r="R339" s="73"/>
      <c r="S339" s="17"/>
      <c r="T339" s="17"/>
      <c r="U339" s="17"/>
      <c r="V339" s="17"/>
      <c r="W339" s="73"/>
      <c r="X339" s="17"/>
      <c r="Y339" s="17"/>
      <c r="Z339" s="17"/>
      <c r="AA339" s="17"/>
      <c r="AB339" s="73"/>
      <c r="AC339" s="17"/>
      <c r="AD339" s="17"/>
      <c r="AE339" s="17"/>
      <c r="AF339" s="17"/>
      <c r="AG339" s="73"/>
      <c r="AH339" s="17"/>
      <c r="AI339" s="17"/>
      <c r="AJ339" s="17"/>
      <c r="AK339" s="17"/>
      <c r="AL339" s="73"/>
      <c r="AM339" s="17"/>
      <c r="AN339" s="17"/>
      <c r="AO339" s="17"/>
      <c r="AP339" s="17"/>
      <c r="AQ339" s="73"/>
      <c r="AR339" s="17"/>
      <c r="AS339" s="17"/>
      <c r="AT339" s="17"/>
      <c r="AU339" s="17"/>
      <c r="AV339" s="73"/>
      <c r="AW339" s="17"/>
      <c r="AX339" s="17"/>
      <c r="AY339" s="17"/>
      <c r="AZ339" s="17"/>
      <c r="BA339" s="73"/>
      <c r="BB339" s="17"/>
      <c r="BC339" s="17"/>
      <c r="BD339" s="17"/>
      <c r="BE339" s="17"/>
      <c r="BF339" s="73"/>
      <c r="BG339" s="17"/>
      <c r="BH339" s="17"/>
      <c r="BI339" s="17"/>
      <c r="BJ339" s="17"/>
      <c r="BK339" s="73"/>
      <c r="BL339" s="17"/>
      <c r="BM339" s="17"/>
      <c r="BN339" s="17"/>
      <c r="BO339" s="17"/>
      <c r="BP339" s="73"/>
      <c r="BQ339" s="17"/>
      <c r="BR339" s="17"/>
      <c r="BS339" s="17"/>
      <c r="BT339" s="17"/>
      <c r="BU339" s="73"/>
      <c r="BV339" s="17"/>
      <c r="BW339" s="17"/>
      <c r="BX339" s="17"/>
      <c r="BY339" s="17"/>
      <c r="BZ339" s="18"/>
      <c r="CA339" s="17"/>
      <c r="CB339" s="17"/>
      <c r="CC339" s="17"/>
      <c r="CD339" s="17">
        <f t="shared" ref="CD339:CI339" si="2065">CD527-CD531</f>
        <v>0</v>
      </c>
      <c r="CE339" s="18">
        <f t="shared" si="2065"/>
        <v>0.1593177651</v>
      </c>
      <c r="CF339" s="17">
        <f t="shared" si="2065"/>
        <v>0.1490779482</v>
      </c>
      <c r="CG339" s="17">
        <f t="shared" si="2065"/>
        <v>0.172708392</v>
      </c>
      <c r="CH339" s="17">
        <f t="shared" si="2065"/>
        <v>0.1560617374</v>
      </c>
      <c r="CI339" s="17">
        <f t="shared" si="2065"/>
        <v>0.1680823985</v>
      </c>
      <c r="CJ339" s="18">
        <f>SUM(CF339:CI339)</f>
        <v>0.6459304761</v>
      </c>
      <c r="CK339" s="17">
        <f t="shared" ref="CK339:CN339" si="2066">CK527-CK531</f>
        <v>0.1673204845</v>
      </c>
      <c r="CL339" s="17">
        <f t="shared" si="2066"/>
        <v>0.1751375664</v>
      </c>
      <c r="CM339" s="17">
        <f t="shared" si="2066"/>
        <v>0.1778319353</v>
      </c>
      <c r="CN339" s="17">
        <f t="shared" si="2066"/>
        <v>0.1673413329</v>
      </c>
      <c r="CO339" s="18">
        <f>SUM(CK339:CN339)</f>
        <v>0.6876313191</v>
      </c>
      <c r="CP339" s="427" t="str">
        <f t="shared" si="2067"/>
        <v>#ERROR!</v>
      </c>
      <c r="CQ339" s="427" t="str">
        <f t="shared" ref="CQ339:CS339" si="2068">CQ340</f>
        <v>#ERROR!</v>
      </c>
      <c r="CR339" s="427" t="str">
        <f t="shared" si="2068"/>
        <v>#ERROR!</v>
      </c>
      <c r="CS339" s="427" t="str">
        <f t="shared" si="2068"/>
        <v>#ERROR!</v>
      </c>
      <c r="CT339" s="18" t="str">
        <f t="shared" si="2069"/>
        <v>#ERROR!</v>
      </c>
      <c r="CU339" s="427" t="str">
        <f t="shared" ref="CU339:CX339" si="2070">CU340</f>
        <v>#ERROR!</v>
      </c>
      <c r="CV339" s="427" t="str">
        <f t="shared" si="2070"/>
        <v>#ERROR!</v>
      </c>
      <c r="CW339" s="427" t="str">
        <f t="shared" si="2070"/>
        <v>#ERROR!</v>
      </c>
      <c r="CX339" s="427" t="str">
        <f t="shared" si="2070"/>
        <v>#ERROR!</v>
      </c>
      <c r="CY339" s="18" t="str">
        <f t="shared" si="2071"/>
        <v>#ERROR!</v>
      </c>
      <c r="CZ339" s="427" t="str">
        <f t="shared" ref="CZ339:DC339" si="2072">CZ340</f>
        <v>#ERROR!</v>
      </c>
      <c r="DA339" s="427" t="str">
        <f t="shared" si="2072"/>
        <v>#ERROR!</v>
      </c>
      <c r="DB339" s="427" t="str">
        <f t="shared" si="2072"/>
        <v>#ERROR!</v>
      </c>
      <c r="DC339" s="427" t="str">
        <f t="shared" si="2072"/>
        <v>#ERROR!</v>
      </c>
      <c r="DD339" s="18" t="str">
        <f t="shared" si="2073"/>
        <v>#ERROR!</v>
      </c>
      <c r="DE339" s="427" t="str">
        <f t="shared" ref="DE339:DH339" si="2074">DE340</f>
        <v>#ERROR!</v>
      </c>
      <c r="DF339" s="427" t="str">
        <f t="shared" si="2074"/>
        <v>#ERROR!</v>
      </c>
      <c r="DG339" s="36" t="str">
        <f t="shared" si="2074"/>
        <v>#ERROR!</v>
      </c>
      <c r="DH339" s="427" t="str">
        <f t="shared" si="2074"/>
        <v>#ERROR!</v>
      </c>
      <c r="DI339" s="18" t="str">
        <f t="shared" si="2075"/>
        <v>#ERROR!</v>
      </c>
      <c r="DJ339" s="36" t="str">
        <f t="shared" ref="DJ339:DM339" si="2076">DJ340</f>
        <v>#ERROR!</v>
      </c>
      <c r="DK339" s="36" t="str">
        <f t="shared" si="2076"/>
        <v>#ERROR!</v>
      </c>
      <c r="DL339" s="36" t="str">
        <f t="shared" si="2076"/>
        <v>#ERROR!</v>
      </c>
      <c r="DM339" s="36" t="str">
        <f t="shared" si="2076"/>
        <v>#ERROR!</v>
      </c>
      <c r="DN339" s="18" t="str">
        <f t="shared" si="2077"/>
        <v>#ERROR!</v>
      </c>
      <c r="DO339" s="36" t="str">
        <f t="shared" ref="DO339:DR339" si="2078">DO340</f>
        <v>#ERROR!</v>
      </c>
      <c r="DP339" s="36" t="str">
        <f t="shared" si="2078"/>
        <v>#ERROR!</v>
      </c>
      <c r="DQ339" s="36" t="str">
        <f t="shared" si="2078"/>
        <v>#ERROR!</v>
      </c>
      <c r="DR339" s="36" t="str">
        <f t="shared" si="2078"/>
        <v>#ERROR!</v>
      </c>
      <c r="DS339" s="18" t="str">
        <f t="shared" si="2079"/>
        <v>#ERROR!</v>
      </c>
      <c r="DT339" s="36" t="str">
        <f t="shared" ref="DT339:DW339" si="2080">DT340</f>
        <v>#ERROR!</v>
      </c>
      <c r="DU339" s="36" t="str">
        <f t="shared" si="2080"/>
        <v>#ERROR!</v>
      </c>
      <c r="DV339" s="36" t="str">
        <f t="shared" si="2080"/>
        <v>#ERROR!</v>
      </c>
      <c r="DW339" s="36" t="str">
        <f t="shared" si="2080"/>
        <v>#ERROR!</v>
      </c>
      <c r="DX339" s="18" t="str">
        <f t="shared" si="2081"/>
        <v>#ERROR!</v>
      </c>
      <c r="DY339" s="36" t="str">
        <f t="shared" ref="DY339:EB339" si="2082">DY340</f>
        <v>#ERROR!</v>
      </c>
      <c r="DZ339" s="36" t="str">
        <f t="shared" si="2082"/>
        <v>#ERROR!</v>
      </c>
      <c r="EA339" s="36" t="str">
        <f t="shared" si="2082"/>
        <v>#ERROR!</v>
      </c>
      <c r="EB339" s="36" t="str">
        <f t="shared" si="2082"/>
        <v>#ERROR!</v>
      </c>
      <c r="EC339" s="18" t="str">
        <f t="shared" si="2083"/>
        <v>#ERROR!</v>
      </c>
      <c r="ED339" s="36" t="str">
        <f t="shared" ref="ED339:EG339" si="2084">ED340</f>
        <v>#ERROR!</v>
      </c>
      <c r="EE339" s="36" t="str">
        <f t="shared" si="2084"/>
        <v>#ERROR!</v>
      </c>
      <c r="EF339" s="36" t="str">
        <f t="shared" si="2084"/>
        <v>#ERROR!</v>
      </c>
      <c r="EG339" s="36" t="str">
        <f t="shared" si="2084"/>
        <v>#ERROR!</v>
      </c>
      <c r="EH339" s="18" t="str">
        <f t="shared" si="2085"/>
        <v>#ERROR!</v>
      </c>
      <c r="EI339" s="428" t="str">
        <f t="shared" ref="EI339:EL339" si="2086">EI340</f>
        <v>#ERROR!</v>
      </c>
      <c r="EJ339" s="427" t="str">
        <f t="shared" si="2086"/>
        <v>#ERROR!</v>
      </c>
      <c r="EK339" s="427" t="str">
        <f t="shared" si="2086"/>
        <v>#ERROR!</v>
      </c>
      <c r="EL339" s="427" t="str">
        <f t="shared" si="2086"/>
        <v>#ERROR!</v>
      </c>
      <c r="EM339" s="18" t="str">
        <f t="shared" si="2087"/>
        <v>#ERROR!</v>
      </c>
      <c r="EN339" s="427" t="str">
        <f t="shared" ref="EN339:EQ339" si="2088">EN340</f>
        <v>#ERROR!</v>
      </c>
      <c r="EO339" s="427" t="str">
        <f t="shared" si="2088"/>
        <v>#ERROR!</v>
      </c>
      <c r="EP339" s="427" t="str">
        <f t="shared" si="2088"/>
        <v>#ERROR!</v>
      </c>
      <c r="EQ339" s="427" t="str">
        <f t="shared" si="2088"/>
        <v>#ERROR!</v>
      </c>
      <c r="ER339" s="18" t="str">
        <f t="shared" si="2089"/>
        <v>#ERROR!</v>
      </c>
      <c r="ES339" s="427" t="str">
        <f t="shared" ref="ES339:EV339" si="2090">ES340</f>
        <v>#ERROR!</v>
      </c>
      <c r="ET339" s="427" t="str">
        <f t="shared" si="2090"/>
        <v>#ERROR!</v>
      </c>
      <c r="EU339" s="427" t="str">
        <f t="shared" si="2090"/>
        <v>#ERROR!</v>
      </c>
      <c r="EV339" s="427" t="str">
        <f t="shared" si="2090"/>
        <v>#ERROR!</v>
      </c>
      <c r="EW339" s="18" t="str">
        <f t="shared" si="2091"/>
        <v>#ERROR!</v>
      </c>
      <c r="EX339" s="427" t="str">
        <f t="shared" ref="EX339:FA339" si="2092">EX340</f>
        <v>#ERROR!</v>
      </c>
      <c r="EY339" s="427" t="str">
        <f t="shared" si="2092"/>
        <v>#ERROR!</v>
      </c>
      <c r="EZ339" s="427" t="str">
        <f t="shared" si="2092"/>
        <v>#ERROR!</v>
      </c>
      <c r="FA339" s="427" t="str">
        <f t="shared" si="2092"/>
        <v>#ERROR!</v>
      </c>
      <c r="FB339" s="18" t="str">
        <f t="shared" si="2093"/>
        <v>#ERROR!</v>
      </c>
      <c r="FC339" s="427" t="str">
        <f t="shared" ref="FC339:FF339" si="2094">FC340</f>
        <v>#ERROR!</v>
      </c>
      <c r="FD339" s="427" t="str">
        <f t="shared" si="2094"/>
        <v>#ERROR!</v>
      </c>
      <c r="FE339" s="427" t="str">
        <f t="shared" si="2094"/>
        <v>#ERROR!</v>
      </c>
      <c r="FF339" s="427" t="str">
        <f t="shared" si="2094"/>
        <v>#ERROR!</v>
      </c>
      <c r="FG339" s="18" t="str">
        <f t="shared" si="2095"/>
        <v>#ERROR!</v>
      </c>
      <c r="FH339" s="74"/>
      <c r="FI339" s="17"/>
      <c r="FJ339" s="17"/>
      <c r="FK339" s="73"/>
      <c r="FL339" s="17"/>
    </row>
    <row r="340" ht="12.75" hidden="1" customHeight="1" outlineLevel="1">
      <c r="A340" s="476"/>
      <c r="B340" s="72" t="s">
        <v>219</v>
      </c>
      <c r="C340" s="45"/>
      <c r="D340" s="17"/>
      <c r="E340" s="17"/>
      <c r="F340" s="17"/>
      <c r="G340" s="17"/>
      <c r="H340" s="73"/>
      <c r="I340" s="17"/>
      <c r="J340" s="17"/>
      <c r="K340" s="17"/>
      <c r="L340" s="17"/>
      <c r="M340" s="73"/>
      <c r="N340" s="17"/>
      <c r="O340" s="17"/>
      <c r="P340" s="17"/>
      <c r="Q340" s="17"/>
      <c r="R340" s="73"/>
      <c r="S340" s="17"/>
      <c r="T340" s="17"/>
      <c r="U340" s="17"/>
      <c r="V340" s="17"/>
      <c r="W340" s="73"/>
      <c r="X340" s="17"/>
      <c r="Y340" s="17"/>
      <c r="Z340" s="17"/>
      <c r="AA340" s="17"/>
      <c r="AB340" s="73"/>
      <c r="AC340" s="17"/>
      <c r="AD340" s="17"/>
      <c r="AE340" s="17"/>
      <c r="AF340" s="17"/>
      <c r="AG340" s="73"/>
      <c r="AH340" s="17"/>
      <c r="AI340" s="17"/>
      <c r="AJ340" s="17"/>
      <c r="AK340" s="17"/>
      <c r="AL340" s="73"/>
      <c r="AM340" s="17"/>
      <c r="AN340" s="17"/>
      <c r="AO340" s="17"/>
      <c r="AP340" s="17"/>
      <c r="AQ340" s="73"/>
      <c r="AR340" s="17"/>
      <c r="AS340" s="17"/>
      <c r="AT340" s="17"/>
      <c r="AU340" s="17"/>
      <c r="AV340" s="73"/>
      <c r="AW340" s="17"/>
      <c r="AX340" s="17"/>
      <c r="AY340" s="17"/>
      <c r="AZ340" s="17"/>
      <c r="BA340" s="73"/>
      <c r="BB340" s="17"/>
      <c r="BC340" s="17"/>
      <c r="BD340" s="17"/>
      <c r="BE340" s="17"/>
      <c r="BF340" s="73"/>
      <c r="BG340" s="17"/>
      <c r="BH340" s="17"/>
      <c r="BI340" s="17"/>
      <c r="BJ340" s="17"/>
      <c r="BK340" s="73"/>
      <c r="BL340" s="17"/>
      <c r="BM340" s="17"/>
      <c r="BN340" s="17"/>
      <c r="BO340" s="17"/>
      <c r="BP340" s="73"/>
      <c r="BQ340" s="17"/>
      <c r="BR340" s="17"/>
      <c r="BS340" s="17"/>
      <c r="BT340" s="17"/>
      <c r="BU340" s="73"/>
      <c r="BV340" s="17"/>
      <c r="BW340" s="17"/>
      <c r="BX340" s="17"/>
      <c r="BY340" s="17"/>
      <c r="BZ340" s="18"/>
      <c r="CA340" s="17"/>
      <c r="CB340" s="17"/>
      <c r="CC340" s="17"/>
      <c r="CD340" s="17"/>
      <c r="CE340" s="18"/>
      <c r="CF340" s="17"/>
      <c r="CG340" s="17"/>
      <c r="CH340" s="17"/>
      <c r="CI340" s="17"/>
      <c r="CJ340" s="18"/>
      <c r="CK340" s="17"/>
      <c r="CL340" s="17"/>
      <c r="CM340" s="17"/>
      <c r="CN340" s="17"/>
      <c r="CO340" s="18"/>
      <c r="CP340" s="17" t="str">
        <f t="shared" ref="CP340:CS340" si="2096">CP341*CP348/1000</f>
        <v>#ERROR!</v>
      </c>
      <c r="CQ340" s="17" t="str">
        <f t="shared" si="2096"/>
        <v>#ERROR!</v>
      </c>
      <c r="CR340" s="17" t="str">
        <f t="shared" si="2096"/>
        <v>#ERROR!</v>
      </c>
      <c r="CS340" s="17" t="str">
        <f t="shared" si="2096"/>
        <v>#ERROR!</v>
      </c>
      <c r="CT340" s="18" t="str">
        <f t="shared" si="2069"/>
        <v>#ERROR!</v>
      </c>
      <c r="CU340" s="17" t="str">
        <f t="shared" ref="CU340:CX340" si="2097">CU341*CU348/1000</f>
        <v>#ERROR!</v>
      </c>
      <c r="CV340" s="17" t="str">
        <f t="shared" si="2097"/>
        <v>#ERROR!</v>
      </c>
      <c r="CW340" s="17" t="str">
        <f t="shared" si="2097"/>
        <v>#ERROR!</v>
      </c>
      <c r="CX340" s="17" t="str">
        <f t="shared" si="2097"/>
        <v>#ERROR!</v>
      </c>
      <c r="CY340" s="18" t="str">
        <f t="shared" si="2071"/>
        <v>#ERROR!</v>
      </c>
      <c r="CZ340" s="17" t="str">
        <f t="shared" ref="CZ340:DC340" si="2098">CZ341*CZ348/1000</f>
        <v>#ERROR!</v>
      </c>
      <c r="DA340" s="17" t="str">
        <f t="shared" si="2098"/>
        <v>#ERROR!</v>
      </c>
      <c r="DB340" s="17" t="str">
        <f t="shared" si="2098"/>
        <v>#ERROR!</v>
      </c>
      <c r="DC340" s="17" t="str">
        <f t="shared" si="2098"/>
        <v>#ERROR!</v>
      </c>
      <c r="DD340" s="18" t="str">
        <f t="shared" si="2073"/>
        <v>#ERROR!</v>
      </c>
      <c r="DE340" s="17" t="str">
        <f t="shared" ref="DE340:DH340" si="2099">DE341*DE348/1000</f>
        <v>#ERROR!</v>
      </c>
      <c r="DF340" s="17" t="str">
        <f t="shared" si="2099"/>
        <v>#ERROR!</v>
      </c>
      <c r="DG340" s="19" t="str">
        <f t="shared" si="2099"/>
        <v>#ERROR!</v>
      </c>
      <c r="DH340" s="17" t="str">
        <f t="shared" si="2099"/>
        <v>#ERROR!</v>
      </c>
      <c r="DI340" s="18" t="str">
        <f t="shared" si="2075"/>
        <v>#ERROR!</v>
      </c>
      <c r="DJ340" s="19" t="str">
        <f t="shared" ref="DJ340:DM340" si="2100">DJ341*DJ348/1000</f>
        <v>#ERROR!</v>
      </c>
      <c r="DK340" s="19" t="str">
        <f t="shared" si="2100"/>
        <v>#ERROR!</v>
      </c>
      <c r="DL340" s="19" t="str">
        <f t="shared" si="2100"/>
        <v>#ERROR!</v>
      </c>
      <c r="DM340" s="19" t="str">
        <f t="shared" si="2100"/>
        <v>#ERROR!</v>
      </c>
      <c r="DN340" s="18" t="str">
        <f t="shared" si="2077"/>
        <v>#ERROR!</v>
      </c>
      <c r="DO340" s="19" t="str">
        <f t="shared" ref="DO340:DR340" si="2101">DO341*DO348/1000</f>
        <v>#ERROR!</v>
      </c>
      <c r="DP340" s="19" t="str">
        <f t="shared" si="2101"/>
        <v>#ERROR!</v>
      </c>
      <c r="DQ340" s="19" t="str">
        <f t="shared" si="2101"/>
        <v>#ERROR!</v>
      </c>
      <c r="DR340" s="19" t="str">
        <f t="shared" si="2101"/>
        <v>#ERROR!</v>
      </c>
      <c r="DS340" s="18" t="str">
        <f t="shared" si="2079"/>
        <v>#ERROR!</v>
      </c>
      <c r="DT340" s="19" t="str">
        <f t="shared" ref="DT340:DW340" si="2102">DT341*DT348/1000</f>
        <v>#ERROR!</v>
      </c>
      <c r="DU340" s="19" t="str">
        <f t="shared" si="2102"/>
        <v>#ERROR!</v>
      </c>
      <c r="DV340" s="19" t="str">
        <f t="shared" si="2102"/>
        <v>#ERROR!</v>
      </c>
      <c r="DW340" s="19" t="str">
        <f t="shared" si="2102"/>
        <v>#ERROR!</v>
      </c>
      <c r="DX340" s="18" t="str">
        <f t="shared" si="2081"/>
        <v>#ERROR!</v>
      </c>
      <c r="DY340" s="19" t="str">
        <f t="shared" ref="DY340:EB340" si="2103">DY341*DY348/1000</f>
        <v>#ERROR!</v>
      </c>
      <c r="DZ340" s="19" t="str">
        <f t="shared" si="2103"/>
        <v>#ERROR!</v>
      </c>
      <c r="EA340" s="19" t="str">
        <f t="shared" si="2103"/>
        <v>#ERROR!</v>
      </c>
      <c r="EB340" s="19" t="str">
        <f t="shared" si="2103"/>
        <v>#ERROR!</v>
      </c>
      <c r="EC340" s="18" t="str">
        <f t="shared" si="2083"/>
        <v>#ERROR!</v>
      </c>
      <c r="ED340" s="19" t="str">
        <f t="shared" ref="ED340:EG340" si="2104">ED341*ED348/1000</f>
        <v>#ERROR!</v>
      </c>
      <c r="EE340" s="19" t="str">
        <f t="shared" si="2104"/>
        <v>#ERROR!</v>
      </c>
      <c r="EF340" s="19" t="str">
        <f t="shared" si="2104"/>
        <v>#ERROR!</v>
      </c>
      <c r="EG340" s="19" t="str">
        <f t="shared" si="2104"/>
        <v>#ERROR!</v>
      </c>
      <c r="EH340" s="18" t="str">
        <f t="shared" si="2085"/>
        <v>#ERROR!</v>
      </c>
      <c r="EI340" s="25" t="str">
        <f t="shared" ref="EI340:EL340" si="2105">EI341*EI348/1000</f>
        <v>#ERROR!</v>
      </c>
      <c r="EJ340" s="17" t="str">
        <f t="shared" si="2105"/>
        <v>#ERROR!</v>
      </c>
      <c r="EK340" s="17" t="str">
        <f t="shared" si="2105"/>
        <v>#ERROR!</v>
      </c>
      <c r="EL340" s="17" t="str">
        <f t="shared" si="2105"/>
        <v>#ERROR!</v>
      </c>
      <c r="EM340" s="18" t="str">
        <f t="shared" si="2087"/>
        <v>#ERROR!</v>
      </c>
      <c r="EN340" s="17" t="str">
        <f t="shared" ref="EN340:EQ340" si="2106">EN341*EN348/1000</f>
        <v>#ERROR!</v>
      </c>
      <c r="EO340" s="17" t="str">
        <f t="shared" si="2106"/>
        <v>#ERROR!</v>
      </c>
      <c r="EP340" s="17" t="str">
        <f t="shared" si="2106"/>
        <v>#ERROR!</v>
      </c>
      <c r="EQ340" s="17" t="str">
        <f t="shared" si="2106"/>
        <v>#ERROR!</v>
      </c>
      <c r="ER340" s="18" t="str">
        <f t="shared" si="2089"/>
        <v>#ERROR!</v>
      </c>
      <c r="ES340" s="17" t="str">
        <f t="shared" ref="ES340:EV340" si="2107">ES341*ES348/1000</f>
        <v>#ERROR!</v>
      </c>
      <c r="ET340" s="17" t="str">
        <f t="shared" si="2107"/>
        <v>#ERROR!</v>
      </c>
      <c r="EU340" s="17" t="str">
        <f t="shared" si="2107"/>
        <v>#ERROR!</v>
      </c>
      <c r="EV340" s="17" t="str">
        <f t="shared" si="2107"/>
        <v>#ERROR!</v>
      </c>
      <c r="EW340" s="18" t="str">
        <f t="shared" si="2091"/>
        <v>#ERROR!</v>
      </c>
      <c r="EX340" s="17" t="str">
        <f t="shared" ref="EX340:FA340" si="2108">EX341*EX348/1000</f>
        <v>#ERROR!</v>
      </c>
      <c r="EY340" s="17" t="str">
        <f t="shared" si="2108"/>
        <v>#ERROR!</v>
      </c>
      <c r="EZ340" s="17" t="str">
        <f t="shared" si="2108"/>
        <v>#ERROR!</v>
      </c>
      <c r="FA340" s="17" t="str">
        <f t="shared" si="2108"/>
        <v>#ERROR!</v>
      </c>
      <c r="FB340" s="18" t="str">
        <f t="shared" si="2093"/>
        <v>#ERROR!</v>
      </c>
      <c r="FC340" s="17" t="str">
        <f t="shared" ref="FC340:FF340" si="2109">FC341*FC348/1000</f>
        <v>#ERROR!</v>
      </c>
      <c r="FD340" s="17" t="str">
        <f t="shared" si="2109"/>
        <v>#ERROR!</v>
      </c>
      <c r="FE340" s="17" t="str">
        <f t="shared" si="2109"/>
        <v>#ERROR!</v>
      </c>
      <c r="FF340" s="17" t="str">
        <f t="shared" si="2109"/>
        <v>#ERROR!</v>
      </c>
      <c r="FG340" s="18" t="str">
        <f t="shared" si="2095"/>
        <v>#ERROR!</v>
      </c>
      <c r="FH340" s="74"/>
      <c r="FI340" s="17"/>
      <c r="FJ340" s="17"/>
      <c r="FK340" s="73"/>
      <c r="FL340" s="17"/>
    </row>
    <row r="341" ht="12.75" hidden="1" customHeight="1" outlineLevel="1">
      <c r="A341" s="476"/>
      <c r="B341" s="215" t="s">
        <v>198</v>
      </c>
      <c r="C341" s="45"/>
      <c r="D341" s="17"/>
      <c r="E341" s="17"/>
      <c r="F341" s="17"/>
      <c r="G341" s="17"/>
      <c r="H341" s="73"/>
      <c r="I341" s="17"/>
      <c r="J341" s="17"/>
      <c r="K341" s="17"/>
      <c r="L341" s="17"/>
      <c r="M341" s="73"/>
      <c r="N341" s="17"/>
      <c r="O341" s="17"/>
      <c r="P341" s="17"/>
      <c r="Q341" s="17"/>
      <c r="R341" s="73"/>
      <c r="S341" s="17"/>
      <c r="T341" s="17"/>
      <c r="U341" s="17"/>
      <c r="V341" s="17"/>
      <c r="W341" s="73"/>
      <c r="X341" s="17"/>
      <c r="Y341" s="17"/>
      <c r="Z341" s="17"/>
      <c r="AA341" s="17"/>
      <c r="AB341" s="73"/>
      <c r="AC341" s="17"/>
      <c r="AD341" s="17"/>
      <c r="AE341" s="17"/>
      <c r="AF341" s="17"/>
      <c r="AG341" s="73"/>
      <c r="AH341" s="17"/>
      <c r="AI341" s="17"/>
      <c r="AJ341" s="17"/>
      <c r="AK341" s="17"/>
      <c r="AL341" s="73"/>
      <c r="AM341" s="17"/>
      <c r="AN341" s="17"/>
      <c r="AO341" s="17"/>
      <c r="AP341" s="17"/>
      <c r="AQ341" s="73"/>
      <c r="AR341" s="17"/>
      <c r="AS341" s="17"/>
      <c r="AT341" s="17"/>
      <c r="AU341" s="17"/>
      <c r="AV341" s="73"/>
      <c r="AW341" s="17"/>
      <c r="AX341" s="17"/>
      <c r="AY341" s="17"/>
      <c r="AZ341" s="17"/>
      <c r="BA341" s="73"/>
      <c r="BB341" s="17"/>
      <c r="BC341" s="17"/>
      <c r="BD341" s="17"/>
      <c r="BE341" s="17"/>
      <c r="BF341" s="73"/>
      <c r="BG341" s="17"/>
      <c r="BH341" s="17"/>
      <c r="BI341" s="17"/>
      <c r="BJ341" s="17"/>
      <c r="BK341" s="73"/>
      <c r="BL341" s="17"/>
      <c r="BM341" s="17"/>
      <c r="BN341" s="17"/>
      <c r="BO341" s="17"/>
      <c r="BP341" s="73"/>
      <c r="BQ341" s="17"/>
      <c r="BR341" s="17"/>
      <c r="BS341" s="17"/>
      <c r="BT341" s="17"/>
      <c r="BU341" s="73"/>
      <c r="BV341" s="17"/>
      <c r="BW341" s="17"/>
      <c r="BX341" s="17"/>
      <c r="BY341" s="17"/>
      <c r="BZ341" s="18"/>
      <c r="CA341" s="17"/>
      <c r="CB341" s="17"/>
      <c r="CC341" s="17"/>
      <c r="CD341" s="17"/>
      <c r="CE341" s="18"/>
      <c r="CF341" s="17" t="str">
        <f>[0]!serverUnitsTotal</f>
        <v>#ERROR!</v>
      </c>
      <c r="CG341" s="17" t="str">
        <f>[0]!serverUnitsTotal</f>
        <v>#ERROR!</v>
      </c>
      <c r="CH341" s="17" t="str">
        <f>[0]!serverUnitsTotal</f>
        <v>#ERROR!</v>
      </c>
      <c r="CI341" s="17" t="str">
        <f>[0]!serverUnitsTotal</f>
        <v>#ERROR!</v>
      </c>
      <c r="CJ341" s="80" t="str">
        <f>SUM(CF341:CI341)</f>
        <v>#ERROR!</v>
      </c>
      <c r="CK341" s="17" t="str">
        <f>[0]!serverUnitsTotal</f>
        <v>#ERROR!</v>
      </c>
      <c r="CL341" s="17" t="str">
        <f>[0]!serverUnitsTotal</f>
        <v>#ERROR!</v>
      </c>
      <c r="CM341" s="17" t="str">
        <f>[0]!serverUnitsTotal</f>
        <v>#ERROR!</v>
      </c>
      <c r="CN341" s="17" t="str">
        <f>[0]!serverUnitsTotal</f>
        <v>#ERROR!</v>
      </c>
      <c r="CO341" s="80" t="str">
        <f>SUM(CK341:CN341)</f>
        <v>#ERROR!</v>
      </c>
      <c r="CP341" s="17" t="str">
        <f>[0]!serverUnitsTotal</f>
        <v>#ERROR!</v>
      </c>
      <c r="CQ341" s="17" t="str">
        <f>[0]!serverUnitsTotal</f>
        <v>#ERROR!</v>
      </c>
      <c r="CR341" s="17" t="str">
        <f>[0]!serverUnitsTotal</f>
        <v>#ERROR!</v>
      </c>
      <c r="CS341" s="17" t="str">
        <f>[0]!serverUnitsTotal</f>
        <v>#ERROR!</v>
      </c>
      <c r="CT341" s="80" t="str">
        <f t="shared" si="2069"/>
        <v>#ERROR!</v>
      </c>
      <c r="CU341" s="17" t="str">
        <f>[0]!serverUnitsTotal</f>
        <v>#ERROR!</v>
      </c>
      <c r="CV341" s="17" t="str">
        <f>[0]!serverUnitsTotal</f>
        <v>#ERROR!</v>
      </c>
      <c r="CW341" s="17" t="str">
        <f>[0]!serverUnitsTotal</f>
        <v>#ERROR!</v>
      </c>
      <c r="CX341" s="17" t="str">
        <f>[0]!serverUnitsTotal</f>
        <v>#ERROR!</v>
      </c>
      <c r="CY341" s="80" t="str">
        <f t="shared" si="2071"/>
        <v>#ERROR!</v>
      </c>
      <c r="CZ341" s="17" t="str">
        <f>CX341*(1+CZ342)</f>
        <v>#ERROR!</v>
      </c>
      <c r="DA341" s="17" t="str">
        <f t="shared" ref="DA341:DC341" si="2110">CZ341*(1+DA342)</f>
        <v>#ERROR!</v>
      </c>
      <c r="DB341" s="17" t="str">
        <f t="shared" si="2110"/>
        <v>#ERROR!</v>
      </c>
      <c r="DC341" s="17" t="str">
        <f t="shared" si="2110"/>
        <v>#ERROR!</v>
      </c>
      <c r="DD341" s="80" t="str">
        <f t="shared" si="2073"/>
        <v>#ERROR!</v>
      </c>
      <c r="DE341" s="17" t="str">
        <f>DC341*(1+DE342)</f>
        <v>#ERROR!</v>
      </c>
      <c r="DF341" s="17" t="str">
        <f t="shared" ref="DF341:DH341" si="2111">DE341*(1+DF342)</f>
        <v>#ERROR!</v>
      </c>
      <c r="DG341" s="19" t="str">
        <f t="shared" si="2111"/>
        <v>#ERROR!</v>
      </c>
      <c r="DH341" s="17" t="str">
        <f t="shared" si="2111"/>
        <v>#ERROR!</v>
      </c>
      <c r="DI341" s="80" t="str">
        <f t="shared" si="2075"/>
        <v>#ERROR!</v>
      </c>
      <c r="DJ341" s="19" t="str">
        <f>DE341*1.1537</f>
        <v>#ERROR!</v>
      </c>
      <c r="DK341" s="19" t="str">
        <f>DF341*(1+DK343)</f>
        <v>#ERROR!</v>
      </c>
      <c r="DL341" s="19" t="str">
        <f t="shared" ref="DL341:DM341" si="2112">DK341*(1+DL342)</f>
        <v>#ERROR!</v>
      </c>
      <c r="DM341" s="19" t="str">
        <f t="shared" si="2112"/>
        <v>#ERROR!</v>
      </c>
      <c r="DN341" s="80" t="str">
        <f t="shared" si="2077"/>
        <v>#ERROR!</v>
      </c>
      <c r="DO341" s="19" t="str">
        <f>DM341*(1+DO342)</f>
        <v>#ERROR!</v>
      </c>
      <c r="DP341" s="19" t="str">
        <f t="shared" ref="DP341:DR341" si="2113">DO341*(1+DP342)</f>
        <v>#ERROR!</v>
      </c>
      <c r="DQ341" s="19" t="str">
        <f t="shared" si="2113"/>
        <v>#ERROR!</v>
      </c>
      <c r="DR341" s="19" t="str">
        <f t="shared" si="2113"/>
        <v>#ERROR!</v>
      </c>
      <c r="DS341" s="80" t="str">
        <f t="shared" si="2079"/>
        <v>#ERROR!</v>
      </c>
      <c r="DT341" s="19" t="str">
        <f>DR341*(1+DT342)</f>
        <v>#ERROR!</v>
      </c>
      <c r="DU341" s="19" t="str">
        <f t="shared" ref="DU341:DW341" si="2114">DT341*(1+DU342)</f>
        <v>#ERROR!</v>
      </c>
      <c r="DV341" s="19" t="str">
        <f t="shared" si="2114"/>
        <v>#ERROR!</v>
      </c>
      <c r="DW341" s="19" t="str">
        <f t="shared" si="2114"/>
        <v>#ERROR!</v>
      </c>
      <c r="DX341" s="80" t="str">
        <f t="shared" si="2081"/>
        <v>#ERROR!</v>
      </c>
      <c r="DY341" s="19" t="str">
        <f>DW341*(1+DY342)</f>
        <v>#ERROR!</v>
      </c>
      <c r="DZ341" s="19" t="str">
        <f t="shared" ref="DZ341:EB341" si="2115">DY341*(1+DZ342)</f>
        <v>#ERROR!</v>
      </c>
      <c r="EA341" s="19" t="str">
        <f t="shared" si="2115"/>
        <v>#ERROR!</v>
      </c>
      <c r="EB341" s="19" t="str">
        <f t="shared" si="2115"/>
        <v>#ERROR!</v>
      </c>
      <c r="EC341" s="80" t="str">
        <f t="shared" si="2083"/>
        <v>#ERROR!</v>
      </c>
      <c r="ED341" s="19" t="str">
        <f>EB341*(1+ED342)</f>
        <v>#ERROR!</v>
      </c>
      <c r="EE341" s="19" t="str">
        <f t="shared" ref="EE341:EG341" si="2116">ED341*(1+EE342)</f>
        <v>#ERROR!</v>
      </c>
      <c r="EF341" s="19" t="str">
        <f t="shared" si="2116"/>
        <v>#ERROR!</v>
      </c>
      <c r="EG341" s="19" t="str">
        <f t="shared" si="2116"/>
        <v>#ERROR!</v>
      </c>
      <c r="EH341" s="80" t="str">
        <f t="shared" si="2085"/>
        <v>#ERROR!</v>
      </c>
      <c r="EI341" s="25" t="str">
        <f>EG341*(1+EI342)</f>
        <v>#ERROR!</v>
      </c>
      <c r="EJ341" s="17" t="str">
        <f t="shared" ref="EJ341:EL341" si="2117">EI341*(1+EJ342)</f>
        <v>#ERROR!</v>
      </c>
      <c r="EK341" s="17" t="str">
        <f t="shared" si="2117"/>
        <v>#ERROR!</v>
      </c>
      <c r="EL341" s="17" t="str">
        <f t="shared" si="2117"/>
        <v>#ERROR!</v>
      </c>
      <c r="EM341" s="80" t="str">
        <f t="shared" si="2087"/>
        <v>#ERROR!</v>
      </c>
      <c r="EN341" s="17" t="str">
        <f>EL341*(1+EN342)</f>
        <v>#ERROR!</v>
      </c>
      <c r="EO341" s="17" t="str">
        <f t="shared" ref="EO341:EQ341" si="2118">EN341*(1+EO342)</f>
        <v>#ERROR!</v>
      </c>
      <c r="EP341" s="17" t="str">
        <f t="shared" si="2118"/>
        <v>#ERROR!</v>
      </c>
      <c r="EQ341" s="17" t="str">
        <f t="shared" si="2118"/>
        <v>#ERROR!</v>
      </c>
      <c r="ER341" s="80" t="str">
        <f t="shared" si="2089"/>
        <v>#ERROR!</v>
      </c>
      <c r="ES341" s="17" t="str">
        <f>EQ341*(1+ES342)</f>
        <v>#ERROR!</v>
      </c>
      <c r="ET341" s="17" t="str">
        <f t="shared" ref="ET341:EV341" si="2119">ES341*(1+ET342)</f>
        <v>#ERROR!</v>
      </c>
      <c r="EU341" s="17" t="str">
        <f t="shared" si="2119"/>
        <v>#ERROR!</v>
      </c>
      <c r="EV341" s="17" t="str">
        <f t="shared" si="2119"/>
        <v>#ERROR!</v>
      </c>
      <c r="EW341" s="80" t="str">
        <f t="shared" si="2091"/>
        <v>#ERROR!</v>
      </c>
      <c r="EX341" s="17" t="str">
        <f>EV341*(1+EX342)</f>
        <v>#ERROR!</v>
      </c>
      <c r="EY341" s="17" t="str">
        <f t="shared" ref="EY341:FA341" si="2120">EX341*(1+EY342)</f>
        <v>#ERROR!</v>
      </c>
      <c r="EZ341" s="17" t="str">
        <f t="shared" si="2120"/>
        <v>#ERROR!</v>
      </c>
      <c r="FA341" s="17" t="str">
        <f t="shared" si="2120"/>
        <v>#ERROR!</v>
      </c>
      <c r="FB341" s="80" t="str">
        <f t="shared" si="2093"/>
        <v>#ERROR!</v>
      </c>
      <c r="FC341" s="17" t="str">
        <f>FA341*(1+FC342)</f>
        <v>#ERROR!</v>
      </c>
      <c r="FD341" s="17" t="str">
        <f t="shared" ref="FD341:FF341" si="2121">FC341*(1+FD342)</f>
        <v>#ERROR!</v>
      </c>
      <c r="FE341" s="17" t="str">
        <f t="shared" si="2121"/>
        <v>#ERROR!</v>
      </c>
      <c r="FF341" s="17" t="str">
        <f t="shared" si="2121"/>
        <v>#ERROR!</v>
      </c>
      <c r="FG341" s="80" t="str">
        <f t="shared" si="2095"/>
        <v>#ERROR!</v>
      </c>
      <c r="FH341" s="146"/>
      <c r="FI341" s="17"/>
      <c r="FJ341" s="17"/>
      <c r="FK341" s="73"/>
      <c r="FL341" s="17"/>
    </row>
    <row r="342" ht="12.75" hidden="1" customHeight="1" outlineLevel="1">
      <c r="A342" s="476"/>
      <c r="B342" s="72" t="s">
        <v>150</v>
      </c>
      <c r="C342" s="45"/>
      <c r="D342" s="17"/>
      <c r="E342" s="17"/>
      <c r="F342" s="17"/>
      <c r="G342" s="17"/>
      <c r="H342" s="73"/>
      <c r="I342" s="17"/>
      <c r="J342" s="17"/>
      <c r="K342" s="17"/>
      <c r="L342" s="17"/>
      <c r="M342" s="73"/>
      <c r="N342" s="17"/>
      <c r="O342" s="17"/>
      <c r="P342" s="17"/>
      <c r="Q342" s="17"/>
      <c r="R342" s="73"/>
      <c r="S342" s="17"/>
      <c r="T342" s="17"/>
      <c r="U342" s="17"/>
      <c r="V342" s="17"/>
      <c r="W342" s="73"/>
      <c r="X342" s="17"/>
      <c r="Y342" s="17"/>
      <c r="Z342" s="17"/>
      <c r="AA342" s="17"/>
      <c r="AB342" s="73"/>
      <c r="AC342" s="17"/>
      <c r="AD342" s="17"/>
      <c r="AE342" s="17"/>
      <c r="AF342" s="17"/>
      <c r="AG342" s="73"/>
      <c r="AH342" s="17"/>
      <c r="AI342" s="17"/>
      <c r="AJ342" s="17"/>
      <c r="AK342" s="17"/>
      <c r="AL342" s="73"/>
      <c r="AM342" s="17"/>
      <c r="AN342" s="17"/>
      <c r="AO342" s="17"/>
      <c r="AP342" s="17"/>
      <c r="AQ342" s="73"/>
      <c r="AR342" s="17"/>
      <c r="AS342" s="17"/>
      <c r="AT342" s="17"/>
      <c r="AU342" s="17"/>
      <c r="AV342" s="73"/>
      <c r="AW342" s="17"/>
      <c r="AX342" s="17"/>
      <c r="AY342" s="17"/>
      <c r="AZ342" s="17"/>
      <c r="BA342" s="73"/>
      <c r="BB342" s="17"/>
      <c r="BC342" s="17"/>
      <c r="BD342" s="17"/>
      <c r="BE342" s="17"/>
      <c r="BF342" s="73"/>
      <c r="BG342" s="17"/>
      <c r="BH342" s="17"/>
      <c r="BI342" s="17"/>
      <c r="BJ342" s="17"/>
      <c r="BK342" s="73"/>
      <c r="BL342" s="17"/>
      <c r="BM342" s="17"/>
      <c r="BN342" s="17"/>
      <c r="BO342" s="17"/>
      <c r="BP342" s="73"/>
      <c r="BQ342" s="17"/>
      <c r="BR342" s="17"/>
      <c r="BS342" s="17"/>
      <c r="BT342" s="17"/>
      <c r="BU342" s="73"/>
      <c r="BV342" s="17"/>
      <c r="BW342" s="17"/>
      <c r="BX342" s="17"/>
      <c r="BY342" s="17"/>
      <c r="BZ342" s="18"/>
      <c r="CA342" s="17"/>
      <c r="CB342" s="17"/>
      <c r="CC342" s="17"/>
      <c r="CD342" s="17"/>
      <c r="CE342" s="18"/>
      <c r="CF342" s="17"/>
      <c r="CG342" s="17"/>
      <c r="CH342" s="17"/>
      <c r="CI342" s="17"/>
      <c r="CJ342" s="18"/>
      <c r="CK342" s="17"/>
      <c r="CL342" s="17"/>
      <c r="CM342" s="17"/>
      <c r="CN342" s="17"/>
      <c r="CO342" s="18"/>
      <c r="CP342" s="15" t="str">
        <f>CP341/CK341-1</f>
        <v>#ERROR!</v>
      </c>
      <c r="CQ342" s="15" t="str">
        <f t="shared" ref="CQ342:CS342" si="2122">CQ341/CP341-1</f>
        <v>#ERROR!</v>
      </c>
      <c r="CR342" s="15" t="str">
        <f t="shared" si="2122"/>
        <v>#ERROR!</v>
      </c>
      <c r="CS342" s="15" t="str">
        <f t="shared" si="2122"/>
        <v>#ERROR!</v>
      </c>
      <c r="CT342" s="37"/>
      <c r="CU342" s="15" t="str">
        <f>CU341/CP341-1</f>
        <v>#ERROR!</v>
      </c>
      <c r="CV342" s="15" t="str">
        <f t="shared" ref="CV342:CX342" si="2123">CV341/CU341-1</f>
        <v>#ERROR!</v>
      </c>
      <c r="CW342" s="15" t="str">
        <f t="shared" si="2123"/>
        <v>#ERROR!</v>
      </c>
      <c r="CX342" s="15" t="str">
        <f t="shared" si="2123"/>
        <v>#ERROR!</v>
      </c>
      <c r="CY342" s="37"/>
      <c r="CZ342" s="435">
        <v>-0.01</v>
      </c>
      <c r="DA342" s="435">
        <v>-0.03</v>
      </c>
      <c r="DB342" s="435">
        <v>0.125</v>
      </c>
      <c r="DC342" s="435">
        <v>-0.035</v>
      </c>
      <c r="DD342" s="37"/>
      <c r="DE342" s="40">
        <v>-0.07</v>
      </c>
      <c r="DF342" s="40">
        <v>0.05</v>
      </c>
      <c r="DG342" s="40">
        <v>0.1</v>
      </c>
      <c r="DH342" s="40">
        <v>0.03</v>
      </c>
      <c r="DI342" s="313"/>
      <c r="DJ342" s="40" t="str">
        <f>DJ341/DH341-1</f>
        <v>#ERROR!</v>
      </c>
      <c r="DK342" s="40" t="str">
        <f>DK341/DJ341-1</f>
        <v>#ERROR!</v>
      </c>
      <c r="DL342" s="40">
        <v>0.11</v>
      </c>
      <c r="DM342" s="40">
        <v>-0.029</v>
      </c>
      <c r="DN342" s="37"/>
      <c r="DO342" s="40">
        <v>-0.18</v>
      </c>
      <c r="DP342" s="40">
        <v>-0.02</v>
      </c>
      <c r="DQ342" s="40">
        <v>0.1945</v>
      </c>
      <c r="DR342" s="40">
        <v>0.154</v>
      </c>
      <c r="DS342" s="37"/>
      <c r="DT342" s="40">
        <v>-0.0527</v>
      </c>
      <c r="DU342" s="40">
        <v>-0.00865</v>
      </c>
      <c r="DV342" s="40">
        <v>-0.03</v>
      </c>
      <c r="DW342" s="40">
        <v>0.01</v>
      </c>
      <c r="DX342" s="37" t="str">
        <f>DX341/DS341-1</f>
        <v>#ERROR!</v>
      </c>
      <c r="DY342" s="40">
        <v>-0.094</v>
      </c>
      <c r="DZ342" s="40">
        <v>0.1244</v>
      </c>
      <c r="EA342" s="40">
        <v>0.06</v>
      </c>
      <c r="EB342" s="40">
        <v>0.084</v>
      </c>
      <c r="EC342" s="37"/>
      <c r="ED342" s="40">
        <v>0.0</v>
      </c>
      <c r="EE342" s="40">
        <v>0.0</v>
      </c>
      <c r="EF342" s="40">
        <v>0.07</v>
      </c>
      <c r="EG342" s="40">
        <v>0.0</v>
      </c>
      <c r="EH342" s="37"/>
      <c r="EI342" s="412">
        <v>0.0</v>
      </c>
      <c r="EJ342" s="435">
        <v>0.01</v>
      </c>
      <c r="EK342" s="435">
        <v>0.06</v>
      </c>
      <c r="EL342" s="435">
        <v>0.06</v>
      </c>
      <c r="EM342" s="37"/>
      <c r="EN342" s="435">
        <v>-0.03</v>
      </c>
      <c r="EO342" s="435">
        <v>0.02</v>
      </c>
      <c r="EP342" s="435">
        <v>0.03</v>
      </c>
      <c r="EQ342" s="435">
        <v>0.03</v>
      </c>
      <c r="ER342" s="37"/>
      <c r="ES342" s="435">
        <v>0.0</v>
      </c>
      <c r="ET342" s="435">
        <v>0.02</v>
      </c>
      <c r="EU342" s="435">
        <v>0.05</v>
      </c>
      <c r="EV342" s="435">
        <v>0.05</v>
      </c>
      <c r="EW342" s="37"/>
      <c r="EX342" s="435">
        <v>-0.03</v>
      </c>
      <c r="EY342" s="435">
        <v>0.02</v>
      </c>
      <c r="EZ342" s="435">
        <v>0.05</v>
      </c>
      <c r="FA342" s="435">
        <v>0.05</v>
      </c>
      <c r="FB342" s="37"/>
      <c r="FC342" s="435">
        <v>-0.03</v>
      </c>
      <c r="FD342" s="435">
        <v>0.02</v>
      </c>
      <c r="FE342" s="435">
        <v>0.05</v>
      </c>
      <c r="FF342" s="435">
        <v>0.05</v>
      </c>
      <c r="FG342" s="37"/>
      <c r="FH342" s="35"/>
      <c r="FI342" s="17"/>
      <c r="FJ342" s="17"/>
      <c r="FK342" s="73"/>
      <c r="FL342" s="17"/>
    </row>
    <row r="343" ht="12.75" hidden="1" customHeight="1" outlineLevel="1">
      <c r="A343" s="476"/>
      <c r="B343" s="72" t="s">
        <v>146</v>
      </c>
      <c r="C343" s="45"/>
      <c r="D343" s="17"/>
      <c r="E343" s="17"/>
      <c r="F343" s="17"/>
      <c r="G343" s="17"/>
      <c r="H343" s="73"/>
      <c r="I343" s="17"/>
      <c r="J343" s="17"/>
      <c r="K343" s="17"/>
      <c r="L343" s="17"/>
      <c r="M343" s="73"/>
      <c r="N343" s="17"/>
      <c r="O343" s="17"/>
      <c r="P343" s="17"/>
      <c r="Q343" s="17"/>
      <c r="R343" s="73"/>
      <c r="S343" s="17"/>
      <c r="T343" s="17"/>
      <c r="U343" s="17"/>
      <c r="V343" s="17"/>
      <c r="W343" s="73"/>
      <c r="X343" s="17"/>
      <c r="Y343" s="17"/>
      <c r="Z343" s="17"/>
      <c r="AA343" s="17"/>
      <c r="AB343" s="73"/>
      <c r="AC343" s="17"/>
      <c r="AD343" s="17"/>
      <c r="AE343" s="17"/>
      <c r="AF343" s="17"/>
      <c r="AG343" s="73"/>
      <c r="AH343" s="17"/>
      <c r="AI343" s="17"/>
      <c r="AJ343" s="17"/>
      <c r="AK343" s="17"/>
      <c r="AL343" s="73"/>
      <c r="AM343" s="17"/>
      <c r="AN343" s="17"/>
      <c r="AO343" s="17"/>
      <c r="AP343" s="17"/>
      <c r="AQ343" s="73"/>
      <c r="AR343" s="17"/>
      <c r="AS343" s="17"/>
      <c r="AT343" s="17"/>
      <c r="AU343" s="17"/>
      <c r="AV343" s="73"/>
      <c r="AW343" s="17"/>
      <c r="AX343" s="17"/>
      <c r="AY343" s="17"/>
      <c r="AZ343" s="17"/>
      <c r="BA343" s="73"/>
      <c r="BB343" s="17"/>
      <c r="BC343" s="17"/>
      <c r="BD343" s="17"/>
      <c r="BE343" s="17"/>
      <c r="BF343" s="73"/>
      <c r="BG343" s="17"/>
      <c r="BH343" s="17"/>
      <c r="BI343" s="17"/>
      <c r="BJ343" s="17"/>
      <c r="BK343" s="73"/>
      <c r="BL343" s="17"/>
      <c r="BM343" s="17"/>
      <c r="BN343" s="17"/>
      <c r="BO343" s="17"/>
      <c r="BP343" s="73"/>
      <c r="BQ343" s="17"/>
      <c r="BR343" s="17"/>
      <c r="BS343" s="17"/>
      <c r="BT343" s="17"/>
      <c r="BU343" s="73"/>
      <c r="BV343" s="17"/>
      <c r="BW343" s="17"/>
      <c r="BX343" s="17"/>
      <c r="BY343" s="17"/>
      <c r="BZ343" s="18"/>
      <c r="CA343" s="17"/>
      <c r="CB343" s="17"/>
      <c r="CC343" s="17"/>
      <c r="CD343" s="17"/>
      <c r="CE343" s="18"/>
      <c r="CF343" s="17"/>
      <c r="CG343" s="17"/>
      <c r="CH343" s="17"/>
      <c r="CI343" s="17"/>
      <c r="CJ343" s="18"/>
      <c r="CK343" s="17"/>
      <c r="CL343" s="17"/>
      <c r="CM343" s="17"/>
      <c r="CN343" s="17"/>
      <c r="CO343" s="18"/>
      <c r="CP343" s="15" t="str">
        <f t="shared" ref="CP343:CY343" si="2124">CP341/CK341-1</f>
        <v>#ERROR!</v>
      </c>
      <c r="CQ343" s="15" t="str">
        <f t="shared" si="2124"/>
        <v>#ERROR!</v>
      </c>
      <c r="CR343" s="15" t="str">
        <f t="shared" si="2124"/>
        <v>#ERROR!</v>
      </c>
      <c r="CS343" s="15" t="str">
        <f t="shared" si="2124"/>
        <v>#ERROR!</v>
      </c>
      <c r="CT343" s="24" t="str">
        <f t="shared" si="2124"/>
        <v>#ERROR!</v>
      </c>
      <c r="CU343" s="15" t="str">
        <f t="shared" si="2124"/>
        <v>#ERROR!</v>
      </c>
      <c r="CV343" s="15" t="str">
        <f t="shared" si="2124"/>
        <v>#ERROR!</v>
      </c>
      <c r="CW343" s="15" t="str">
        <f t="shared" si="2124"/>
        <v>#ERROR!</v>
      </c>
      <c r="CX343" s="15" t="str">
        <f t="shared" si="2124"/>
        <v>#ERROR!</v>
      </c>
      <c r="CY343" s="313" t="str">
        <f t="shared" si="2124"/>
        <v>#ERROR!</v>
      </c>
      <c r="CZ343" s="435">
        <v>0.13</v>
      </c>
      <c r="DA343" s="435">
        <v>0.05</v>
      </c>
      <c r="DB343" s="435">
        <v>0.12</v>
      </c>
      <c r="DC343" s="435">
        <v>0.043</v>
      </c>
      <c r="DD343" s="313" t="str">
        <f t="shared" ref="DD343:DJ343" si="2125">DD341/CY341-1</f>
        <v>#ERROR!</v>
      </c>
      <c r="DE343" s="15" t="str">
        <f t="shared" si="2125"/>
        <v>#ERROR!</v>
      </c>
      <c r="DF343" s="15" t="str">
        <f t="shared" si="2125"/>
        <v>#ERROR!</v>
      </c>
      <c r="DG343" s="40" t="str">
        <f t="shared" si="2125"/>
        <v>#ERROR!</v>
      </c>
      <c r="DH343" s="15" t="str">
        <f t="shared" si="2125"/>
        <v>#ERROR!</v>
      </c>
      <c r="DI343" s="313" t="str">
        <f t="shared" si="2125"/>
        <v>#ERROR!</v>
      </c>
      <c r="DJ343" s="40" t="str">
        <f t="shared" si="2125"/>
        <v>#ERROR!</v>
      </c>
      <c r="DK343" s="40">
        <v>0.14</v>
      </c>
      <c r="DL343" s="40" t="str">
        <f t="shared" ref="DL343:FG343" si="2126">DL341/DG341-1</f>
        <v>#ERROR!</v>
      </c>
      <c r="DM343" s="40" t="str">
        <f t="shared" si="2126"/>
        <v>#ERROR!</v>
      </c>
      <c r="DN343" s="313" t="str">
        <f t="shared" si="2126"/>
        <v>#ERROR!</v>
      </c>
      <c r="DO343" s="40" t="str">
        <f t="shared" si="2126"/>
        <v>#ERROR!</v>
      </c>
      <c r="DP343" s="40" t="str">
        <f t="shared" si="2126"/>
        <v>#ERROR!</v>
      </c>
      <c r="DQ343" s="40" t="str">
        <f t="shared" si="2126"/>
        <v>#ERROR!</v>
      </c>
      <c r="DR343" s="40" t="str">
        <f t="shared" si="2126"/>
        <v>#ERROR!</v>
      </c>
      <c r="DS343" s="313" t="str">
        <f t="shared" si="2126"/>
        <v>#ERROR!</v>
      </c>
      <c r="DT343" s="40" t="str">
        <f t="shared" si="2126"/>
        <v>#ERROR!</v>
      </c>
      <c r="DU343" s="40" t="str">
        <f t="shared" si="2126"/>
        <v>#ERROR!</v>
      </c>
      <c r="DV343" s="40" t="str">
        <f t="shared" si="2126"/>
        <v>#ERROR!</v>
      </c>
      <c r="DW343" s="40" t="str">
        <f t="shared" si="2126"/>
        <v>#ERROR!</v>
      </c>
      <c r="DX343" s="313" t="str">
        <f t="shared" si="2126"/>
        <v>#ERROR!</v>
      </c>
      <c r="DY343" s="40" t="str">
        <f t="shared" si="2126"/>
        <v>#ERROR!</v>
      </c>
      <c r="DZ343" s="40" t="str">
        <f t="shared" si="2126"/>
        <v>#ERROR!</v>
      </c>
      <c r="EA343" s="40" t="str">
        <f t="shared" si="2126"/>
        <v>#ERROR!</v>
      </c>
      <c r="EB343" s="40" t="str">
        <f t="shared" si="2126"/>
        <v>#ERROR!</v>
      </c>
      <c r="EC343" s="313" t="str">
        <f t="shared" si="2126"/>
        <v>#ERROR!</v>
      </c>
      <c r="ED343" s="40" t="str">
        <f t="shared" si="2126"/>
        <v>#ERROR!</v>
      </c>
      <c r="EE343" s="40" t="str">
        <f t="shared" si="2126"/>
        <v>#ERROR!</v>
      </c>
      <c r="EF343" s="40" t="str">
        <f t="shared" si="2126"/>
        <v>#ERROR!</v>
      </c>
      <c r="EG343" s="40" t="str">
        <f t="shared" si="2126"/>
        <v>#ERROR!</v>
      </c>
      <c r="EH343" s="313" t="str">
        <f t="shared" si="2126"/>
        <v>#ERROR!</v>
      </c>
      <c r="EI343" s="82" t="str">
        <f t="shared" si="2126"/>
        <v>#ERROR!</v>
      </c>
      <c r="EJ343" s="15" t="str">
        <f t="shared" si="2126"/>
        <v>#ERROR!</v>
      </c>
      <c r="EK343" s="15" t="str">
        <f t="shared" si="2126"/>
        <v>#ERROR!</v>
      </c>
      <c r="EL343" s="15" t="str">
        <f t="shared" si="2126"/>
        <v>#ERROR!</v>
      </c>
      <c r="EM343" s="313" t="str">
        <f t="shared" si="2126"/>
        <v>#ERROR!</v>
      </c>
      <c r="EN343" s="15" t="str">
        <f t="shared" si="2126"/>
        <v>#ERROR!</v>
      </c>
      <c r="EO343" s="15" t="str">
        <f t="shared" si="2126"/>
        <v>#ERROR!</v>
      </c>
      <c r="EP343" s="15" t="str">
        <f t="shared" si="2126"/>
        <v>#ERROR!</v>
      </c>
      <c r="EQ343" s="15" t="str">
        <f t="shared" si="2126"/>
        <v>#ERROR!</v>
      </c>
      <c r="ER343" s="313" t="str">
        <f t="shared" si="2126"/>
        <v>#ERROR!</v>
      </c>
      <c r="ES343" s="15" t="str">
        <f t="shared" si="2126"/>
        <v>#ERROR!</v>
      </c>
      <c r="ET343" s="15" t="str">
        <f t="shared" si="2126"/>
        <v>#ERROR!</v>
      </c>
      <c r="EU343" s="15" t="str">
        <f t="shared" si="2126"/>
        <v>#ERROR!</v>
      </c>
      <c r="EV343" s="15" t="str">
        <f t="shared" si="2126"/>
        <v>#ERROR!</v>
      </c>
      <c r="EW343" s="313" t="str">
        <f t="shared" si="2126"/>
        <v>#ERROR!</v>
      </c>
      <c r="EX343" s="15" t="str">
        <f t="shared" si="2126"/>
        <v>#ERROR!</v>
      </c>
      <c r="EY343" s="15" t="str">
        <f t="shared" si="2126"/>
        <v>#ERROR!</v>
      </c>
      <c r="EZ343" s="15" t="str">
        <f t="shared" si="2126"/>
        <v>#ERROR!</v>
      </c>
      <c r="FA343" s="15" t="str">
        <f t="shared" si="2126"/>
        <v>#ERROR!</v>
      </c>
      <c r="FB343" s="313" t="str">
        <f t="shared" si="2126"/>
        <v>#ERROR!</v>
      </c>
      <c r="FC343" s="15" t="str">
        <f t="shared" si="2126"/>
        <v>#ERROR!</v>
      </c>
      <c r="FD343" s="15" t="str">
        <f t="shared" si="2126"/>
        <v>#ERROR!</v>
      </c>
      <c r="FE343" s="15" t="str">
        <f t="shared" si="2126"/>
        <v>#ERROR!</v>
      </c>
      <c r="FF343" s="15" t="str">
        <f t="shared" si="2126"/>
        <v>#ERROR!</v>
      </c>
      <c r="FG343" s="313" t="str">
        <f t="shared" si="2126"/>
        <v>#ERROR!</v>
      </c>
      <c r="FH343" s="40"/>
      <c r="FI343" s="17"/>
      <c r="FJ343" s="17"/>
      <c r="FK343" s="73"/>
      <c r="FL343" s="17"/>
    </row>
    <row r="344" ht="12.75" hidden="1" customHeight="1" outlineLevel="1">
      <c r="A344" s="476"/>
      <c r="B344" s="84" t="s">
        <v>151</v>
      </c>
      <c r="C344" s="45"/>
      <c r="D344" s="17"/>
      <c r="E344" s="17"/>
      <c r="F344" s="17"/>
      <c r="G344" s="17"/>
      <c r="H344" s="73"/>
      <c r="I344" s="17"/>
      <c r="J344" s="17"/>
      <c r="K344" s="17"/>
      <c r="L344" s="17"/>
      <c r="M344" s="73"/>
      <c r="N344" s="17"/>
      <c r="O344" s="17"/>
      <c r="P344" s="17"/>
      <c r="Q344" s="17"/>
      <c r="R344" s="73"/>
      <c r="S344" s="17"/>
      <c r="T344" s="17"/>
      <c r="U344" s="17"/>
      <c r="V344" s="17"/>
      <c r="W344" s="73"/>
      <c r="X344" s="17"/>
      <c r="Y344" s="17"/>
      <c r="Z344" s="17"/>
      <c r="AA344" s="17"/>
      <c r="AB344" s="73"/>
      <c r="AC344" s="17"/>
      <c r="AD344" s="17"/>
      <c r="AE344" s="17"/>
      <c r="AF344" s="17"/>
      <c r="AG344" s="73"/>
      <c r="AH344" s="17"/>
      <c r="AI344" s="17"/>
      <c r="AJ344" s="17"/>
      <c r="AK344" s="17"/>
      <c r="AL344" s="73"/>
      <c r="AM344" s="17"/>
      <c r="AN344" s="17"/>
      <c r="AO344" s="17"/>
      <c r="AP344" s="17"/>
      <c r="AQ344" s="73"/>
      <c r="AR344" s="17"/>
      <c r="AS344" s="17"/>
      <c r="AT344" s="17"/>
      <c r="AU344" s="17"/>
      <c r="AV344" s="73"/>
      <c r="AW344" s="17"/>
      <c r="AX344" s="17"/>
      <c r="AY344" s="17"/>
      <c r="AZ344" s="17"/>
      <c r="BA344" s="73"/>
      <c r="BB344" s="17"/>
      <c r="BC344" s="17"/>
      <c r="BD344" s="17"/>
      <c r="BE344" s="17"/>
      <c r="BF344" s="73"/>
      <c r="BG344" s="17"/>
      <c r="BH344" s="17"/>
      <c r="BI344" s="17"/>
      <c r="BJ344" s="17"/>
      <c r="BK344" s="73"/>
      <c r="BL344" s="17"/>
      <c r="BM344" s="17"/>
      <c r="BN344" s="17"/>
      <c r="BO344" s="17"/>
      <c r="BP344" s="73"/>
      <c r="BQ344" s="17"/>
      <c r="BR344" s="17"/>
      <c r="BS344" s="17"/>
      <c r="BT344" s="17"/>
      <c r="BU344" s="73"/>
      <c r="BV344" s="17"/>
      <c r="BW344" s="17"/>
      <c r="BX344" s="17"/>
      <c r="BY344" s="17"/>
      <c r="BZ344" s="18"/>
      <c r="CA344" s="17"/>
      <c r="CB344" s="17"/>
      <c r="CC344" s="17"/>
      <c r="CD344" s="17"/>
      <c r="CE344" s="18"/>
      <c r="CF344" s="17"/>
      <c r="CG344" s="17"/>
      <c r="CH344" s="17"/>
      <c r="CI344" s="17"/>
      <c r="CJ344" s="18"/>
      <c r="CK344" s="17"/>
      <c r="CL344" s="17"/>
      <c r="CM344" s="17"/>
      <c r="CN344" s="17"/>
      <c r="CO344" s="18"/>
      <c r="CP344" s="439"/>
      <c r="CQ344" s="439"/>
      <c r="CR344" s="439"/>
      <c r="CS344" s="439"/>
      <c r="CT344" s="37"/>
      <c r="CU344" s="439"/>
      <c r="CV344" s="40"/>
      <c r="CW344" s="40"/>
      <c r="CX344" s="40"/>
      <c r="CY344" s="37"/>
      <c r="CZ344" s="372" t="str">
        <f t="shared" ref="CZ344:DC344" si="2127">AVERAGE(CU342,CP342,CZ342)</f>
        <v>#ERROR!</v>
      </c>
      <c r="DA344" s="372" t="str">
        <f t="shared" si="2127"/>
        <v>#ERROR!</v>
      </c>
      <c r="DB344" s="372" t="str">
        <f t="shared" si="2127"/>
        <v>#ERROR!</v>
      </c>
      <c r="DC344" s="372" t="str">
        <f t="shared" si="2127"/>
        <v>#ERROR!</v>
      </c>
      <c r="DD344" s="37"/>
      <c r="DE344" s="372" t="str">
        <f t="shared" ref="DE344:DH344" si="2128">AVERAGE(CZ342,CU342,DE342)</f>
        <v>#ERROR!</v>
      </c>
      <c r="DF344" s="372" t="str">
        <f t="shared" si="2128"/>
        <v>#ERROR!</v>
      </c>
      <c r="DG344" s="372" t="str">
        <f t="shared" si="2128"/>
        <v>#ERROR!</v>
      </c>
      <c r="DH344" s="372" t="str">
        <f t="shared" si="2128"/>
        <v>#ERROR!</v>
      </c>
      <c r="DI344" s="37"/>
      <c r="DJ344" s="372" t="str">
        <f t="shared" ref="DJ344:DM344" si="2129">AVERAGE(DE342,CZ342,DJ342)</f>
        <v>#ERROR!</v>
      </c>
      <c r="DK344" s="372" t="str">
        <f t="shared" si="2129"/>
        <v>#ERROR!</v>
      </c>
      <c r="DL344" s="372">
        <f t="shared" si="2129"/>
        <v>0.1116666667</v>
      </c>
      <c r="DM344" s="372">
        <f t="shared" si="2129"/>
        <v>-0.01133333333</v>
      </c>
      <c r="DN344" s="37"/>
      <c r="DO344" s="372" t="str">
        <f t="shared" ref="DO344:DR344" si="2130">AVERAGE(DJ342,DE342,DO342)</f>
        <v>#ERROR!</v>
      </c>
      <c r="DP344" s="372" t="str">
        <f t="shared" si="2130"/>
        <v>#ERROR!</v>
      </c>
      <c r="DQ344" s="372">
        <f t="shared" si="2130"/>
        <v>0.1348333333</v>
      </c>
      <c r="DR344" s="372">
        <f t="shared" si="2130"/>
        <v>0.05166666667</v>
      </c>
      <c r="DS344" s="37"/>
      <c r="DT344" s="372" t="str">
        <f t="shared" ref="DT344:DW344" si="2131">AVERAGE(DO342,DJ342,DT342)</f>
        <v>#ERROR!</v>
      </c>
      <c r="DU344" s="372" t="str">
        <f t="shared" si="2131"/>
        <v>#ERROR!</v>
      </c>
      <c r="DV344" s="372">
        <f t="shared" si="2131"/>
        <v>0.0915</v>
      </c>
      <c r="DW344" s="372">
        <f t="shared" si="2131"/>
        <v>0.045</v>
      </c>
      <c r="DX344" s="37"/>
      <c r="DY344" s="372">
        <f t="shared" ref="DY344:EB344" si="2132">AVERAGE(DT342,DO342,DY342)</f>
        <v>-0.1089</v>
      </c>
      <c r="DZ344" s="372">
        <f t="shared" si="2132"/>
        <v>0.03191666667</v>
      </c>
      <c r="EA344" s="372">
        <f t="shared" si="2132"/>
        <v>0.07483333333</v>
      </c>
      <c r="EB344" s="372">
        <f t="shared" si="2132"/>
        <v>0.08266666667</v>
      </c>
      <c r="EC344" s="37"/>
      <c r="ED344" s="372">
        <f t="shared" ref="ED344:EG344" si="2133">AVERAGE(DY342,DT342,ED342)</f>
        <v>-0.0489</v>
      </c>
      <c r="EE344" s="372">
        <f t="shared" si="2133"/>
        <v>0.03858333333</v>
      </c>
      <c r="EF344" s="372">
        <f t="shared" si="2133"/>
        <v>0.03333333333</v>
      </c>
      <c r="EG344" s="372">
        <f t="shared" si="2133"/>
        <v>0.03133333333</v>
      </c>
      <c r="EH344" s="37"/>
      <c r="EI344" s="362">
        <f t="shared" ref="EI344:EL344" si="2134">AVERAGE(ED342,DY342,EI342)</f>
        <v>-0.03133333333</v>
      </c>
      <c r="EJ344" s="372">
        <f t="shared" si="2134"/>
        <v>0.0448</v>
      </c>
      <c r="EK344" s="372">
        <f t="shared" si="2134"/>
        <v>0.06333333333</v>
      </c>
      <c r="EL344" s="372">
        <f t="shared" si="2134"/>
        <v>0.048</v>
      </c>
      <c r="EM344" s="37"/>
      <c r="EN344" s="372">
        <f t="shared" ref="EN344:EQ344" si="2135">AVERAGE(EI342,ED342,EN342)</f>
        <v>-0.01</v>
      </c>
      <c r="EO344" s="372">
        <f t="shared" si="2135"/>
        <v>0.01</v>
      </c>
      <c r="EP344" s="372">
        <f t="shared" si="2135"/>
        <v>0.05333333333</v>
      </c>
      <c r="EQ344" s="372">
        <f t="shared" si="2135"/>
        <v>0.03</v>
      </c>
      <c r="ER344" s="37"/>
      <c r="ES344" s="372">
        <f t="shared" ref="ES344:EV344" si="2136">AVERAGE(EN342,EI342,ES342)</f>
        <v>-0.01</v>
      </c>
      <c r="ET344" s="372">
        <f t="shared" si="2136"/>
        <v>0.01666666667</v>
      </c>
      <c r="EU344" s="372">
        <f t="shared" si="2136"/>
        <v>0.04666666667</v>
      </c>
      <c r="EV344" s="372">
        <f t="shared" si="2136"/>
        <v>0.04666666667</v>
      </c>
      <c r="EW344" s="37"/>
      <c r="EX344" s="372">
        <f t="shared" ref="EX344:FA344" si="2137">AVERAGE(ES342,EN342,EX342)</f>
        <v>-0.02</v>
      </c>
      <c r="EY344" s="372">
        <f t="shared" si="2137"/>
        <v>0.02</v>
      </c>
      <c r="EZ344" s="372">
        <f t="shared" si="2137"/>
        <v>0.04333333333</v>
      </c>
      <c r="FA344" s="372">
        <f t="shared" si="2137"/>
        <v>0.04333333333</v>
      </c>
      <c r="FB344" s="37"/>
      <c r="FC344" s="372">
        <f t="shared" ref="FC344:FF344" si="2138">AVERAGE(EX342,ES342,FC342)</f>
        <v>-0.02</v>
      </c>
      <c r="FD344" s="372">
        <f t="shared" si="2138"/>
        <v>0.02</v>
      </c>
      <c r="FE344" s="372">
        <f t="shared" si="2138"/>
        <v>0.05</v>
      </c>
      <c r="FF344" s="372">
        <f t="shared" si="2138"/>
        <v>0.05</v>
      </c>
      <c r="FG344" s="37"/>
      <c r="FH344" s="35"/>
      <c r="FI344" s="17"/>
      <c r="FJ344" s="17"/>
      <c r="FK344" s="73"/>
      <c r="FL344" s="17"/>
    </row>
    <row r="345" ht="12.75" hidden="1" customHeight="1" outlineLevel="1">
      <c r="A345" s="476"/>
      <c r="B345" s="84" t="s">
        <v>167</v>
      </c>
      <c r="C345" s="45"/>
      <c r="D345" s="17"/>
      <c r="E345" s="17"/>
      <c r="F345" s="17"/>
      <c r="G345" s="17"/>
      <c r="H345" s="73"/>
      <c r="I345" s="17"/>
      <c r="J345" s="17"/>
      <c r="K345" s="17"/>
      <c r="L345" s="17"/>
      <c r="M345" s="73"/>
      <c r="N345" s="17"/>
      <c r="O345" s="17"/>
      <c r="P345" s="17"/>
      <c r="Q345" s="17"/>
      <c r="R345" s="73"/>
      <c r="S345" s="17"/>
      <c r="T345" s="17"/>
      <c r="U345" s="17"/>
      <c r="V345" s="17"/>
      <c r="W345" s="73"/>
      <c r="X345" s="17"/>
      <c r="Y345" s="17"/>
      <c r="Z345" s="17"/>
      <c r="AA345" s="17"/>
      <c r="AB345" s="73"/>
      <c r="AC345" s="17"/>
      <c r="AD345" s="17"/>
      <c r="AE345" s="17"/>
      <c r="AF345" s="17"/>
      <c r="AG345" s="73"/>
      <c r="AH345" s="17"/>
      <c r="AI345" s="17"/>
      <c r="AJ345" s="17"/>
      <c r="AK345" s="17"/>
      <c r="AL345" s="73"/>
      <c r="AM345" s="17"/>
      <c r="AN345" s="17"/>
      <c r="AO345" s="17"/>
      <c r="AP345" s="17"/>
      <c r="AQ345" s="73"/>
      <c r="AR345" s="17"/>
      <c r="AS345" s="17"/>
      <c r="AT345" s="17"/>
      <c r="AU345" s="17"/>
      <c r="AV345" s="73"/>
      <c r="AW345" s="17"/>
      <c r="AX345" s="17"/>
      <c r="AY345" s="17"/>
      <c r="AZ345" s="17"/>
      <c r="BA345" s="73"/>
      <c r="BB345" s="17"/>
      <c r="BC345" s="17"/>
      <c r="BD345" s="17"/>
      <c r="BE345" s="17"/>
      <c r="BF345" s="73"/>
      <c r="BG345" s="17"/>
      <c r="BH345" s="17"/>
      <c r="BI345" s="17"/>
      <c r="BJ345" s="17"/>
      <c r="BK345" s="73"/>
      <c r="BL345" s="17"/>
      <c r="BM345" s="17"/>
      <c r="BN345" s="17"/>
      <c r="BO345" s="17"/>
      <c r="BP345" s="73"/>
      <c r="BQ345" s="17"/>
      <c r="BR345" s="17"/>
      <c r="BS345" s="17"/>
      <c r="BT345" s="17"/>
      <c r="BU345" s="73"/>
      <c r="BV345" s="17"/>
      <c r="BW345" s="17"/>
      <c r="BX345" s="17"/>
      <c r="BY345" s="17"/>
      <c r="BZ345" s="18"/>
      <c r="CA345" s="17"/>
      <c r="CB345" s="17"/>
      <c r="CC345" s="17"/>
      <c r="CD345" s="17"/>
      <c r="CE345" s="18"/>
      <c r="CF345" s="17"/>
      <c r="CG345" s="17"/>
      <c r="CH345" s="17"/>
      <c r="CI345" s="17"/>
      <c r="CJ345" s="18"/>
      <c r="CK345" s="17"/>
      <c r="CL345" s="17"/>
      <c r="CM345" s="17"/>
      <c r="CN345" s="17"/>
      <c r="CO345" s="18"/>
      <c r="CP345" s="439"/>
      <c r="CQ345" s="439"/>
      <c r="CR345" s="439"/>
      <c r="CS345" s="439"/>
      <c r="CT345" s="37"/>
      <c r="CU345" s="440">
        <v>5253.0</v>
      </c>
      <c r="CV345" s="440">
        <v>5384.0</v>
      </c>
      <c r="CW345" s="440">
        <v>6381.0</v>
      </c>
      <c r="CX345" s="440">
        <v>6127.0</v>
      </c>
      <c r="CY345" s="18">
        <f>SUM(CU345:CX345)</f>
        <v>23145</v>
      </c>
      <c r="CZ345" s="440">
        <v>5740.0</v>
      </c>
      <c r="DA345" s="440">
        <v>6275.0</v>
      </c>
      <c r="DB345" s="440">
        <v>6894.0</v>
      </c>
      <c r="DC345" s="440">
        <v>7060.0</v>
      </c>
      <c r="DD345" s="441">
        <f>SUM(CZ345:DC345)</f>
        <v>25969</v>
      </c>
      <c r="DE345" s="440">
        <v>6285.0</v>
      </c>
      <c r="DF345" s="440">
        <v>6466.0</v>
      </c>
      <c r="DG345" s="440">
        <v>7216.0</v>
      </c>
      <c r="DH345" s="440">
        <v>7351.0</v>
      </c>
      <c r="DI345" s="441">
        <f>SUM(DE345:DH345)</f>
        <v>27318</v>
      </c>
      <c r="DJ345" s="440">
        <v>7238.4439999999995</v>
      </c>
      <c r="DK345" s="440">
        <v>7459.192</v>
      </c>
      <c r="DL345" s="440">
        <v>8297.8975</v>
      </c>
      <c r="DM345" s="440">
        <v>8252.608</v>
      </c>
      <c r="DN345" s="441">
        <f>SUM(DJ345:DM345)</f>
        <v>31248.1415</v>
      </c>
      <c r="DO345" s="440">
        <v>6920.0496</v>
      </c>
      <c r="DP345" s="440">
        <v>6786.8812</v>
      </c>
      <c r="DQ345" s="440">
        <v>8120.825</v>
      </c>
      <c r="DR345" s="440">
        <v>9355.0</v>
      </c>
      <c r="DS345" s="441">
        <f>SUM(DO345:DR345)</f>
        <v>31182.7558</v>
      </c>
      <c r="DT345" s="440">
        <v>8965.49944</v>
      </c>
      <c r="DU345" s="440">
        <v>8953.742399999997</v>
      </c>
      <c r="DV345" s="440">
        <v>8657.155050000001</v>
      </c>
      <c r="DW345" s="440">
        <v>8765.77705</v>
      </c>
      <c r="DX345" s="441">
        <f>SUM(DT345:DW345)</f>
        <v>35342.17394</v>
      </c>
      <c r="DY345" s="440">
        <v>8129.0538</v>
      </c>
      <c r="DZ345" s="440">
        <v>9191.503499999997</v>
      </c>
      <c r="EA345" s="440">
        <v>9767.7991</v>
      </c>
      <c r="EB345" s="440">
        <v>10645.78696</v>
      </c>
      <c r="EC345" s="441">
        <f>SUM(DY345:EB345)</f>
        <v>37734.14336</v>
      </c>
      <c r="ED345" s="440">
        <v>10414.1021</v>
      </c>
      <c r="EE345" s="440">
        <v>9219.631000000001</v>
      </c>
      <c r="EF345" s="440">
        <v>8146.0</v>
      </c>
      <c r="EG345" s="440">
        <v>8052.0</v>
      </c>
      <c r="EH345" s="441">
        <f>SUM(ED345:EG345)</f>
        <v>35831.7331</v>
      </c>
      <c r="EI345" s="442">
        <v>8738.0</v>
      </c>
      <c r="EJ345" s="440">
        <v>9467.0</v>
      </c>
      <c r="EK345" s="440">
        <v>9797.0</v>
      </c>
      <c r="EL345" s="440">
        <v>9669.0</v>
      </c>
      <c r="EM345" s="441">
        <f>SUM(EI345:EL345)</f>
        <v>37671</v>
      </c>
      <c r="EN345" s="440"/>
      <c r="EO345" s="440"/>
      <c r="EP345" s="440"/>
      <c r="EQ345" s="440"/>
      <c r="ER345" s="441"/>
      <c r="ES345" s="440"/>
      <c r="ET345" s="440"/>
      <c r="EU345" s="440"/>
      <c r="EV345" s="440"/>
      <c r="EW345" s="441"/>
      <c r="EX345" s="440"/>
      <c r="EY345" s="440"/>
      <c r="EZ345" s="440"/>
      <c r="FA345" s="440"/>
      <c r="FB345" s="441"/>
      <c r="FC345" s="440"/>
      <c r="FD345" s="440"/>
      <c r="FE345" s="440"/>
      <c r="FF345" s="440"/>
      <c r="FG345" s="441"/>
      <c r="FH345" s="443"/>
      <c r="FI345" s="17"/>
      <c r="FJ345" s="17"/>
      <c r="FK345" s="73"/>
      <c r="FL345" s="17"/>
    </row>
    <row r="346" ht="12.75" hidden="1" customHeight="1" outlineLevel="1">
      <c r="A346" s="476"/>
      <c r="B346" s="84" t="s">
        <v>220</v>
      </c>
      <c r="C346" s="45"/>
      <c r="D346" s="17"/>
      <c r="E346" s="17"/>
      <c r="F346" s="17"/>
      <c r="G346" s="17"/>
      <c r="H346" s="73"/>
      <c r="I346" s="17"/>
      <c r="J346" s="17"/>
      <c r="K346" s="17"/>
      <c r="L346" s="17"/>
      <c r="M346" s="73"/>
      <c r="N346" s="17"/>
      <c r="O346" s="17"/>
      <c r="P346" s="17"/>
      <c r="Q346" s="17"/>
      <c r="R346" s="73"/>
      <c r="S346" s="17"/>
      <c r="T346" s="17"/>
      <c r="U346" s="17"/>
      <c r="V346" s="17"/>
      <c r="W346" s="73"/>
      <c r="X346" s="17"/>
      <c r="Y346" s="17"/>
      <c r="Z346" s="17"/>
      <c r="AA346" s="17"/>
      <c r="AB346" s="73"/>
      <c r="AC346" s="17"/>
      <c r="AD346" s="17"/>
      <c r="AE346" s="17"/>
      <c r="AF346" s="17"/>
      <c r="AG346" s="73"/>
      <c r="AH346" s="17"/>
      <c r="AI346" s="17"/>
      <c r="AJ346" s="17"/>
      <c r="AK346" s="17"/>
      <c r="AL346" s="73"/>
      <c r="AM346" s="17"/>
      <c r="AN346" s="17"/>
      <c r="AO346" s="17"/>
      <c r="AP346" s="17"/>
      <c r="AQ346" s="73"/>
      <c r="AR346" s="17"/>
      <c r="AS346" s="17"/>
      <c r="AT346" s="17"/>
      <c r="AU346" s="17"/>
      <c r="AV346" s="73"/>
      <c r="AW346" s="17"/>
      <c r="AX346" s="17"/>
      <c r="AY346" s="17"/>
      <c r="AZ346" s="17"/>
      <c r="BA346" s="73"/>
      <c r="BB346" s="17"/>
      <c r="BC346" s="17"/>
      <c r="BD346" s="17"/>
      <c r="BE346" s="17"/>
      <c r="BF346" s="73"/>
      <c r="BG346" s="17"/>
      <c r="BH346" s="17"/>
      <c r="BI346" s="17"/>
      <c r="BJ346" s="17"/>
      <c r="BK346" s="73"/>
      <c r="BL346" s="17"/>
      <c r="BM346" s="17"/>
      <c r="BN346" s="17"/>
      <c r="BO346" s="17"/>
      <c r="BP346" s="73"/>
      <c r="BQ346" s="17"/>
      <c r="BR346" s="17"/>
      <c r="BS346" s="17"/>
      <c r="BT346" s="17"/>
      <c r="BU346" s="73"/>
      <c r="BV346" s="17"/>
      <c r="BW346" s="17"/>
      <c r="BX346" s="17"/>
      <c r="BY346" s="17"/>
      <c r="BZ346" s="18"/>
      <c r="CA346" s="17"/>
      <c r="CB346" s="17"/>
      <c r="CC346" s="17"/>
      <c r="CD346" s="17"/>
      <c r="CE346" s="18"/>
      <c r="CF346" s="17"/>
      <c r="CG346" s="17"/>
      <c r="CH346" s="17"/>
      <c r="CI346" s="17"/>
      <c r="CJ346" s="18"/>
      <c r="CK346" s="17"/>
      <c r="CL346" s="17"/>
      <c r="CM346" s="17"/>
      <c r="CN346" s="17"/>
      <c r="CO346" s="18"/>
      <c r="CP346" s="439"/>
      <c r="CQ346" s="439"/>
      <c r="CR346" s="439"/>
      <c r="CS346" s="439"/>
      <c r="CT346" s="37"/>
      <c r="CU346" s="40" t="str">
        <f t="shared" ref="CU346:EM346" si="2139">CU341/CU345</f>
        <v>#ERROR!</v>
      </c>
      <c r="CV346" s="40" t="str">
        <f t="shared" si="2139"/>
        <v>#ERROR!</v>
      </c>
      <c r="CW346" s="40" t="str">
        <f t="shared" si="2139"/>
        <v>#ERROR!</v>
      </c>
      <c r="CX346" s="40" t="str">
        <f t="shared" si="2139"/>
        <v>#ERROR!</v>
      </c>
      <c r="CY346" s="37" t="str">
        <f t="shared" si="2139"/>
        <v>#ERROR!</v>
      </c>
      <c r="CZ346" s="40" t="str">
        <f t="shared" si="2139"/>
        <v>#ERROR!</v>
      </c>
      <c r="DA346" s="40" t="str">
        <f t="shared" si="2139"/>
        <v>#ERROR!</v>
      </c>
      <c r="DB346" s="40" t="str">
        <f t="shared" si="2139"/>
        <v>#ERROR!</v>
      </c>
      <c r="DC346" s="40" t="str">
        <f t="shared" si="2139"/>
        <v>#ERROR!</v>
      </c>
      <c r="DD346" s="37" t="str">
        <f t="shared" si="2139"/>
        <v>#ERROR!</v>
      </c>
      <c r="DE346" s="40" t="str">
        <f t="shared" si="2139"/>
        <v>#ERROR!</v>
      </c>
      <c r="DF346" s="40" t="str">
        <f t="shared" si="2139"/>
        <v>#ERROR!</v>
      </c>
      <c r="DG346" s="40" t="str">
        <f t="shared" si="2139"/>
        <v>#ERROR!</v>
      </c>
      <c r="DH346" s="40" t="str">
        <f t="shared" si="2139"/>
        <v>#ERROR!</v>
      </c>
      <c r="DI346" s="37" t="str">
        <f t="shared" si="2139"/>
        <v>#ERROR!</v>
      </c>
      <c r="DJ346" s="40" t="str">
        <f t="shared" si="2139"/>
        <v>#ERROR!</v>
      </c>
      <c r="DK346" s="40" t="str">
        <f t="shared" si="2139"/>
        <v>#ERROR!</v>
      </c>
      <c r="DL346" s="40" t="str">
        <f t="shared" si="2139"/>
        <v>#ERROR!</v>
      </c>
      <c r="DM346" s="40" t="str">
        <f t="shared" si="2139"/>
        <v>#ERROR!</v>
      </c>
      <c r="DN346" s="37" t="str">
        <f t="shared" si="2139"/>
        <v>#ERROR!</v>
      </c>
      <c r="DO346" s="40" t="str">
        <f t="shared" si="2139"/>
        <v>#ERROR!</v>
      </c>
      <c r="DP346" s="40" t="str">
        <f t="shared" si="2139"/>
        <v>#ERROR!</v>
      </c>
      <c r="DQ346" s="40" t="str">
        <f t="shared" si="2139"/>
        <v>#ERROR!</v>
      </c>
      <c r="DR346" s="40" t="str">
        <f t="shared" si="2139"/>
        <v>#ERROR!</v>
      </c>
      <c r="DS346" s="37" t="str">
        <f t="shared" si="2139"/>
        <v>#ERROR!</v>
      </c>
      <c r="DT346" s="40" t="str">
        <f t="shared" si="2139"/>
        <v>#ERROR!</v>
      </c>
      <c r="DU346" s="40" t="str">
        <f t="shared" si="2139"/>
        <v>#ERROR!</v>
      </c>
      <c r="DV346" s="40" t="str">
        <f t="shared" si="2139"/>
        <v>#ERROR!</v>
      </c>
      <c r="DW346" s="40" t="str">
        <f t="shared" si="2139"/>
        <v>#ERROR!</v>
      </c>
      <c r="DX346" s="37" t="str">
        <f t="shared" si="2139"/>
        <v>#ERROR!</v>
      </c>
      <c r="DY346" s="40" t="str">
        <f t="shared" si="2139"/>
        <v>#ERROR!</v>
      </c>
      <c r="DZ346" s="40" t="str">
        <f t="shared" si="2139"/>
        <v>#ERROR!</v>
      </c>
      <c r="EA346" s="40" t="str">
        <f t="shared" si="2139"/>
        <v>#ERROR!</v>
      </c>
      <c r="EB346" s="40" t="str">
        <f t="shared" si="2139"/>
        <v>#ERROR!</v>
      </c>
      <c r="EC346" s="37" t="str">
        <f t="shared" si="2139"/>
        <v>#ERROR!</v>
      </c>
      <c r="ED346" s="40" t="str">
        <f t="shared" si="2139"/>
        <v>#ERROR!</v>
      </c>
      <c r="EE346" s="40" t="str">
        <f t="shared" si="2139"/>
        <v>#ERROR!</v>
      </c>
      <c r="EF346" s="40" t="str">
        <f t="shared" si="2139"/>
        <v>#ERROR!</v>
      </c>
      <c r="EG346" s="40" t="str">
        <f t="shared" si="2139"/>
        <v>#ERROR!</v>
      </c>
      <c r="EH346" s="37" t="str">
        <f t="shared" si="2139"/>
        <v>#ERROR!</v>
      </c>
      <c r="EI346" s="82" t="str">
        <f t="shared" si="2139"/>
        <v>#ERROR!</v>
      </c>
      <c r="EJ346" s="40" t="str">
        <f t="shared" si="2139"/>
        <v>#ERROR!</v>
      </c>
      <c r="EK346" s="40" t="str">
        <f t="shared" si="2139"/>
        <v>#ERROR!</v>
      </c>
      <c r="EL346" s="40" t="str">
        <f t="shared" si="2139"/>
        <v>#ERROR!</v>
      </c>
      <c r="EM346" s="37" t="str">
        <f t="shared" si="2139"/>
        <v>#ERROR!</v>
      </c>
      <c r="EN346" s="40"/>
      <c r="EO346" s="40"/>
      <c r="EP346" s="40"/>
      <c r="EQ346" s="40"/>
      <c r="ER346" s="37"/>
      <c r="ES346" s="40"/>
      <c r="ET346" s="40"/>
      <c r="EU346" s="40"/>
      <c r="EV346" s="40"/>
      <c r="EW346" s="37"/>
      <c r="EX346" s="40"/>
      <c r="EY346" s="40"/>
      <c r="EZ346" s="40"/>
      <c r="FA346" s="40"/>
      <c r="FB346" s="37"/>
      <c r="FC346" s="40"/>
      <c r="FD346" s="40"/>
      <c r="FE346" s="40"/>
      <c r="FF346" s="40"/>
      <c r="FG346" s="37"/>
      <c r="FH346" s="35"/>
      <c r="FI346" s="17"/>
      <c r="FJ346" s="17"/>
      <c r="FK346" s="73"/>
      <c r="FL346" s="17"/>
    </row>
    <row r="347" ht="12.75" hidden="1" customHeight="1" outlineLevel="1">
      <c r="A347" s="476"/>
      <c r="B347" s="86"/>
      <c r="C347" s="45"/>
      <c r="D347" s="17"/>
      <c r="E347" s="17"/>
      <c r="F347" s="17"/>
      <c r="G347" s="17"/>
      <c r="H347" s="73"/>
      <c r="I347" s="17"/>
      <c r="J347" s="17"/>
      <c r="K347" s="17"/>
      <c r="L347" s="17"/>
      <c r="M347" s="73"/>
      <c r="N347" s="17"/>
      <c r="O347" s="17"/>
      <c r="P347" s="17"/>
      <c r="Q347" s="17"/>
      <c r="R347" s="73"/>
      <c r="S347" s="17"/>
      <c r="T347" s="17"/>
      <c r="U347" s="17"/>
      <c r="V347" s="17"/>
      <c r="W347" s="73"/>
      <c r="X347" s="17"/>
      <c r="Y347" s="17"/>
      <c r="Z347" s="17"/>
      <c r="AA347" s="17"/>
      <c r="AB347" s="73"/>
      <c r="AC347" s="17"/>
      <c r="AD347" s="17"/>
      <c r="AE347" s="17"/>
      <c r="AF347" s="17"/>
      <c r="AG347" s="73"/>
      <c r="AH347" s="17"/>
      <c r="AI347" s="17"/>
      <c r="AJ347" s="17"/>
      <c r="AK347" s="17"/>
      <c r="AL347" s="73"/>
      <c r="AM347" s="17"/>
      <c r="AN347" s="17"/>
      <c r="AO347" s="17"/>
      <c r="AP347" s="17"/>
      <c r="AQ347" s="73"/>
      <c r="AR347" s="17"/>
      <c r="AS347" s="17"/>
      <c r="AT347" s="17"/>
      <c r="AU347" s="17"/>
      <c r="AV347" s="73"/>
      <c r="AW347" s="17"/>
      <c r="AX347" s="17"/>
      <c r="AY347" s="17"/>
      <c r="AZ347" s="17"/>
      <c r="BA347" s="73"/>
      <c r="BB347" s="17"/>
      <c r="BC347" s="17"/>
      <c r="BD347" s="17"/>
      <c r="BE347" s="17"/>
      <c r="BF347" s="73"/>
      <c r="BG347" s="17"/>
      <c r="BH347" s="17"/>
      <c r="BI347" s="17"/>
      <c r="BJ347" s="17"/>
      <c r="BK347" s="73"/>
      <c r="BL347" s="17"/>
      <c r="BM347" s="17"/>
      <c r="BN347" s="17"/>
      <c r="BO347" s="17"/>
      <c r="BP347" s="73"/>
      <c r="BQ347" s="17"/>
      <c r="BR347" s="17"/>
      <c r="BS347" s="17"/>
      <c r="BT347" s="17"/>
      <c r="BU347" s="73"/>
      <c r="BV347" s="17"/>
      <c r="BW347" s="17"/>
      <c r="BX347" s="17"/>
      <c r="BY347" s="17"/>
      <c r="BZ347" s="18"/>
      <c r="CA347" s="17"/>
      <c r="CB347" s="17"/>
      <c r="CC347" s="17"/>
      <c r="CD347" s="17"/>
      <c r="CE347" s="18"/>
      <c r="CF347" s="17"/>
      <c r="CG347" s="17"/>
      <c r="CH347" s="17"/>
      <c r="CI347" s="17"/>
      <c r="CJ347" s="18"/>
      <c r="CK347" s="17"/>
      <c r="CL347" s="17"/>
      <c r="CM347" s="17"/>
      <c r="CN347" s="17"/>
      <c r="CO347" s="18"/>
      <c r="CP347" s="439"/>
      <c r="CQ347" s="439"/>
      <c r="CR347" s="439"/>
      <c r="CS347" s="439"/>
      <c r="CT347" s="37"/>
      <c r="CU347" s="439"/>
      <c r="CV347" s="40"/>
      <c r="CW347" s="40"/>
      <c r="CX347" s="40"/>
      <c r="CY347" s="37"/>
      <c r="CZ347" s="40"/>
      <c r="DA347" s="40"/>
      <c r="DB347" s="40"/>
      <c r="DC347" s="40"/>
      <c r="DD347" s="37"/>
      <c r="DE347" s="40"/>
      <c r="DF347" s="40"/>
      <c r="DG347" s="40"/>
      <c r="DH347" s="40"/>
      <c r="DI347" s="37"/>
      <c r="DJ347" s="40"/>
      <c r="DK347" s="40"/>
      <c r="DL347" s="40"/>
      <c r="DM347" s="490"/>
      <c r="DN347" s="491"/>
      <c r="DO347" s="490"/>
      <c r="DP347" s="490"/>
      <c r="DQ347" s="490"/>
      <c r="DR347" s="490"/>
      <c r="DS347" s="491"/>
      <c r="DT347" s="490"/>
      <c r="DU347" s="490"/>
      <c r="DV347" s="490"/>
      <c r="DW347" s="490"/>
      <c r="DX347" s="491"/>
      <c r="DY347" s="490"/>
      <c r="DZ347" s="490"/>
      <c r="EA347" s="490"/>
      <c r="EB347" s="490"/>
      <c r="EC347" s="491"/>
      <c r="ED347" s="490"/>
      <c r="EE347" s="490"/>
      <c r="EF347" s="490"/>
      <c r="EG347" s="490"/>
      <c r="EH347" s="491"/>
      <c r="EI347" s="492"/>
      <c r="EJ347" s="490"/>
      <c r="EK347" s="490"/>
      <c r="EL347" s="490"/>
      <c r="EM347" s="491"/>
      <c r="EN347" s="490"/>
      <c r="EO347" s="490"/>
      <c r="EP347" s="490"/>
      <c r="EQ347" s="490"/>
      <c r="ER347" s="491"/>
      <c r="ES347" s="490"/>
      <c r="ET347" s="490"/>
      <c r="EU347" s="490"/>
      <c r="EV347" s="490"/>
      <c r="EW347" s="491"/>
      <c r="EX347" s="490"/>
      <c r="EY347" s="490"/>
      <c r="EZ347" s="490"/>
      <c r="FA347" s="490"/>
      <c r="FB347" s="491"/>
      <c r="FC347" s="490"/>
      <c r="FD347" s="490"/>
      <c r="FE347" s="490"/>
      <c r="FF347" s="490"/>
      <c r="FG347" s="491"/>
      <c r="FH347" s="404"/>
      <c r="FI347" s="17"/>
      <c r="FJ347" s="17"/>
      <c r="FK347" s="73"/>
      <c r="FL347" s="17"/>
    </row>
    <row r="348" ht="12.75" hidden="1" customHeight="1" outlineLevel="1">
      <c r="A348" s="476"/>
      <c r="B348" s="215" t="s">
        <v>199</v>
      </c>
      <c r="C348" s="45"/>
      <c r="D348" s="17"/>
      <c r="E348" s="17"/>
      <c r="F348" s="17"/>
      <c r="G348" s="17"/>
      <c r="H348" s="73"/>
      <c r="I348" s="17"/>
      <c r="J348" s="17"/>
      <c r="K348" s="17"/>
      <c r="L348" s="17"/>
      <c r="M348" s="73"/>
      <c r="N348" s="17"/>
      <c r="O348" s="17"/>
      <c r="P348" s="17"/>
      <c r="Q348" s="17"/>
      <c r="R348" s="73"/>
      <c r="S348" s="17"/>
      <c r="T348" s="17"/>
      <c r="U348" s="17"/>
      <c r="V348" s="17"/>
      <c r="W348" s="73"/>
      <c r="X348" s="17"/>
      <c r="Y348" s="17"/>
      <c r="Z348" s="17"/>
      <c r="AA348" s="17"/>
      <c r="AB348" s="73"/>
      <c r="AC348" s="17"/>
      <c r="AD348" s="17"/>
      <c r="AE348" s="17"/>
      <c r="AF348" s="17"/>
      <c r="AG348" s="73"/>
      <c r="AH348" s="17"/>
      <c r="AI348" s="17"/>
      <c r="AJ348" s="17"/>
      <c r="AK348" s="17"/>
      <c r="AL348" s="73"/>
      <c r="AM348" s="17"/>
      <c r="AN348" s="17"/>
      <c r="AO348" s="17"/>
      <c r="AP348" s="17"/>
      <c r="AQ348" s="73"/>
      <c r="AR348" s="17"/>
      <c r="AS348" s="17"/>
      <c r="AT348" s="17"/>
      <c r="AU348" s="17"/>
      <c r="AV348" s="73"/>
      <c r="AW348" s="17"/>
      <c r="AX348" s="17"/>
      <c r="AY348" s="17"/>
      <c r="AZ348" s="17"/>
      <c r="BA348" s="73"/>
      <c r="BB348" s="17"/>
      <c r="BC348" s="17"/>
      <c r="BD348" s="17"/>
      <c r="BE348" s="17"/>
      <c r="BF348" s="73"/>
      <c r="BG348" s="17"/>
      <c r="BH348" s="17"/>
      <c r="BI348" s="17"/>
      <c r="BJ348" s="17"/>
      <c r="BK348" s="73"/>
      <c r="BL348" s="17"/>
      <c r="BM348" s="17"/>
      <c r="BN348" s="17"/>
      <c r="BO348" s="17"/>
      <c r="BP348" s="73"/>
      <c r="BQ348" s="17"/>
      <c r="BR348" s="17"/>
      <c r="BS348" s="17"/>
      <c r="BT348" s="17"/>
      <c r="BU348" s="73"/>
      <c r="BV348" s="17"/>
      <c r="BW348" s="17"/>
      <c r="BX348" s="17"/>
      <c r="BY348" s="17"/>
      <c r="BZ348" s="18"/>
      <c r="CA348" s="17"/>
      <c r="CB348" s="17"/>
      <c r="CC348" s="17"/>
      <c r="CD348" s="17"/>
      <c r="CE348" s="18"/>
      <c r="CF348" s="17"/>
      <c r="CG348" s="17"/>
      <c r="CH348" s="17"/>
      <c r="CI348" s="17"/>
      <c r="CJ348" s="18"/>
      <c r="CK348" s="444" t="str">
        <f>[0]!serverBlendedASP</f>
        <v>#ERROR!</v>
      </c>
      <c r="CL348" s="444" t="str">
        <f>[0]!serverBlendedASP</f>
        <v>#ERROR!</v>
      </c>
      <c r="CM348" s="444" t="str">
        <f>[0]!serverBlendedASP</f>
        <v>#ERROR!</v>
      </c>
      <c r="CN348" s="444" t="str">
        <f>[0]!serverBlendedASP</f>
        <v>#ERROR!</v>
      </c>
      <c r="CO348" s="446" t="str">
        <f>[0]!serverBlendedASP</f>
        <v>#ERROR!</v>
      </c>
      <c r="CP348" s="444" t="str">
        <f>[0]!serverBlendedASP</f>
        <v>#ERROR!</v>
      </c>
      <c r="CQ348" s="444" t="str">
        <f>[0]!serverBlendedASP</f>
        <v>#ERROR!</v>
      </c>
      <c r="CR348" s="444" t="str">
        <f>[0]!serverBlendedASP</f>
        <v>#ERROR!</v>
      </c>
      <c r="CS348" s="444" t="str">
        <f>[0]!serverBlendedASP</f>
        <v>#ERROR!</v>
      </c>
      <c r="CT348" s="446" t="str">
        <f>[0]!serverBlendedASP</f>
        <v>#ERROR!</v>
      </c>
      <c r="CU348" s="444" t="str">
        <f>[0]!serverBlendedASP</f>
        <v>#ERROR!</v>
      </c>
      <c r="CV348" s="444" t="str">
        <f>[0]!serverBlendedASP</f>
        <v>#ERROR!</v>
      </c>
      <c r="CW348" s="444" t="str">
        <f>[0]!serverBlendedASP</f>
        <v>#ERROR!</v>
      </c>
      <c r="CX348" s="444" t="str">
        <f>[0]!serverBlendedASP</f>
        <v>#ERROR!</v>
      </c>
      <c r="CY348" s="446" t="str">
        <f>[0]!serverBlendedASP</f>
        <v>#ERROR!</v>
      </c>
      <c r="CZ348" s="444" t="str">
        <f>CX348*(1+CZ349)</f>
        <v>#ERROR!</v>
      </c>
      <c r="DA348" s="444" t="str">
        <f t="shared" ref="DA348:DC348" si="2140">CZ348*(1+DA349)</f>
        <v>#ERROR!</v>
      </c>
      <c r="DB348" s="444" t="str">
        <f t="shared" si="2140"/>
        <v>#ERROR!</v>
      </c>
      <c r="DC348" s="444" t="str">
        <f t="shared" si="2140"/>
        <v>#ERROR!</v>
      </c>
      <c r="DD348" s="446" t="str">
        <f>DD340/DD341*1000</f>
        <v>#ERROR!</v>
      </c>
      <c r="DE348" s="444" t="str">
        <f>DC348*(1+DE349)</f>
        <v>#ERROR!</v>
      </c>
      <c r="DF348" s="444" t="str">
        <f t="shared" ref="DF348:DH348" si="2141">DE348*(1+DF349)</f>
        <v>#ERROR!</v>
      </c>
      <c r="DG348" s="447" t="str">
        <f t="shared" si="2141"/>
        <v>#ERROR!</v>
      </c>
      <c r="DH348" s="444" t="str">
        <f t="shared" si="2141"/>
        <v>#ERROR!</v>
      </c>
      <c r="DI348" s="446" t="str">
        <f>DI340/DI341*1000</f>
        <v>#ERROR!</v>
      </c>
      <c r="DJ348" s="447" t="str">
        <f>DE348*1.07</f>
        <v>#ERROR!</v>
      </c>
      <c r="DK348" s="447" t="str">
        <f>DF348*(1+DK350)</f>
        <v>#ERROR!</v>
      </c>
      <c r="DL348" s="447" t="str">
        <f t="shared" ref="DL348:DM348" si="2142">DK348*(1+DL349)</f>
        <v>#ERROR!</v>
      </c>
      <c r="DM348" s="447" t="str">
        <f t="shared" si="2142"/>
        <v>#ERROR!</v>
      </c>
      <c r="DN348" s="446" t="str">
        <f>DN340/DN341*1000</f>
        <v>#ERROR!</v>
      </c>
      <c r="DO348" s="447" t="str">
        <f>DM348*(1+DO349)</f>
        <v>#ERROR!</v>
      </c>
      <c r="DP348" s="447" t="str">
        <f t="shared" ref="DP348:DR348" si="2143">DO348*(1+DP349)</f>
        <v>#ERROR!</v>
      </c>
      <c r="DQ348" s="447" t="str">
        <f t="shared" si="2143"/>
        <v>#ERROR!</v>
      </c>
      <c r="DR348" s="447" t="str">
        <f t="shared" si="2143"/>
        <v>#ERROR!</v>
      </c>
      <c r="DS348" s="446" t="str">
        <f>DS340/DS341*1000</f>
        <v>#ERROR!</v>
      </c>
      <c r="DT348" s="447" t="str">
        <f>DR348*(1+DT349)</f>
        <v>#ERROR!</v>
      </c>
      <c r="DU348" s="447" t="str">
        <f t="shared" ref="DU348:DW348" si="2144">DT348*(1+DU349)</f>
        <v>#ERROR!</v>
      </c>
      <c r="DV348" s="447" t="str">
        <f t="shared" si="2144"/>
        <v>#ERROR!</v>
      </c>
      <c r="DW348" s="447" t="str">
        <f t="shared" si="2144"/>
        <v>#ERROR!</v>
      </c>
      <c r="DX348" s="446" t="str">
        <f>DX340/DX341*1000</f>
        <v>#ERROR!</v>
      </c>
      <c r="DY348" s="447" t="str">
        <f>DW348*(1+DY349)</f>
        <v>#ERROR!</v>
      </c>
      <c r="DZ348" s="447" t="str">
        <f t="shared" ref="DZ348:EB348" si="2145">DY348*(1+DZ349)</f>
        <v>#ERROR!</v>
      </c>
      <c r="EA348" s="447" t="str">
        <f t="shared" si="2145"/>
        <v>#ERROR!</v>
      </c>
      <c r="EB348" s="447" t="str">
        <f t="shared" si="2145"/>
        <v>#ERROR!</v>
      </c>
      <c r="EC348" s="446" t="str">
        <f>EC340/EC341*1000</f>
        <v>#ERROR!</v>
      </c>
      <c r="ED348" s="447" t="str">
        <f>EB348*(1+ED349)</f>
        <v>#ERROR!</v>
      </c>
      <c r="EE348" s="447" t="str">
        <f t="shared" ref="EE348:EG348" si="2146">ED348*(1+EE349)</f>
        <v>#ERROR!</v>
      </c>
      <c r="EF348" s="447" t="str">
        <f t="shared" si="2146"/>
        <v>#ERROR!</v>
      </c>
      <c r="EG348" s="447" t="str">
        <f t="shared" si="2146"/>
        <v>#ERROR!</v>
      </c>
      <c r="EH348" s="446" t="str">
        <f>EH340/EH341*1000</f>
        <v>#ERROR!</v>
      </c>
      <c r="EI348" s="448" t="str">
        <f>EG348*(1+EI349)</f>
        <v>#ERROR!</v>
      </c>
      <c r="EJ348" s="444" t="str">
        <f t="shared" ref="EJ348:EL348" si="2147">EI348*(1+EJ349)</f>
        <v>#ERROR!</v>
      </c>
      <c r="EK348" s="444" t="str">
        <f t="shared" si="2147"/>
        <v>#ERROR!</v>
      </c>
      <c r="EL348" s="444" t="str">
        <f t="shared" si="2147"/>
        <v>#ERROR!</v>
      </c>
      <c r="EM348" s="446" t="str">
        <f>EM340/EM341*1000</f>
        <v>#ERROR!</v>
      </c>
      <c r="EN348" s="444" t="str">
        <f>EL348*(1+EN349)</f>
        <v>#ERROR!</v>
      </c>
      <c r="EO348" s="444" t="str">
        <f t="shared" ref="EO348:EQ348" si="2148">EN348*(1+EO349)</f>
        <v>#ERROR!</v>
      </c>
      <c r="EP348" s="444" t="str">
        <f t="shared" si="2148"/>
        <v>#ERROR!</v>
      </c>
      <c r="EQ348" s="444" t="str">
        <f t="shared" si="2148"/>
        <v>#ERROR!</v>
      </c>
      <c r="ER348" s="446" t="str">
        <f>ER340/ER341*1000</f>
        <v>#ERROR!</v>
      </c>
      <c r="ES348" s="444" t="str">
        <f>EQ348*(1+ES349)</f>
        <v>#ERROR!</v>
      </c>
      <c r="ET348" s="444" t="str">
        <f t="shared" ref="ET348:EV348" si="2149">ES348*(1+ET349)</f>
        <v>#ERROR!</v>
      </c>
      <c r="EU348" s="444" t="str">
        <f t="shared" si="2149"/>
        <v>#ERROR!</v>
      </c>
      <c r="EV348" s="444" t="str">
        <f t="shared" si="2149"/>
        <v>#ERROR!</v>
      </c>
      <c r="EW348" s="446" t="str">
        <f>EW340/EW341*1000</f>
        <v>#ERROR!</v>
      </c>
      <c r="EX348" s="444" t="str">
        <f>EV348*(1+EX349)</f>
        <v>#ERROR!</v>
      </c>
      <c r="EY348" s="444" t="str">
        <f t="shared" ref="EY348:FA348" si="2150">EX348*(1+EY349)</f>
        <v>#ERROR!</v>
      </c>
      <c r="EZ348" s="444" t="str">
        <f t="shared" si="2150"/>
        <v>#ERROR!</v>
      </c>
      <c r="FA348" s="444" t="str">
        <f t="shared" si="2150"/>
        <v>#ERROR!</v>
      </c>
      <c r="FB348" s="446" t="str">
        <f>FB340/FB341*1000</f>
        <v>#ERROR!</v>
      </c>
      <c r="FC348" s="444" t="str">
        <f>FA348*(1+FC349)</f>
        <v>#ERROR!</v>
      </c>
      <c r="FD348" s="444" t="str">
        <f t="shared" ref="FD348:FF348" si="2151">FC348*(1+FD349)</f>
        <v>#ERROR!</v>
      </c>
      <c r="FE348" s="444" t="str">
        <f t="shared" si="2151"/>
        <v>#ERROR!</v>
      </c>
      <c r="FF348" s="444" t="str">
        <f t="shared" si="2151"/>
        <v>#ERROR!</v>
      </c>
      <c r="FG348" s="446" t="str">
        <f>FG340/FG341*1000</f>
        <v>#ERROR!</v>
      </c>
      <c r="FH348" s="449"/>
      <c r="FI348" s="17"/>
      <c r="FJ348" s="17"/>
      <c r="FK348" s="73"/>
      <c r="FL348" s="17"/>
    </row>
    <row r="349" ht="12.75" hidden="1" customHeight="1" outlineLevel="1">
      <c r="A349" s="476"/>
      <c r="B349" s="72" t="s">
        <v>150</v>
      </c>
      <c r="C349" s="45"/>
      <c r="D349" s="17"/>
      <c r="E349" s="17"/>
      <c r="F349" s="17"/>
      <c r="G349" s="17"/>
      <c r="H349" s="73"/>
      <c r="I349" s="17"/>
      <c r="J349" s="17"/>
      <c r="K349" s="17"/>
      <c r="L349" s="17"/>
      <c r="M349" s="73"/>
      <c r="N349" s="17"/>
      <c r="O349" s="17"/>
      <c r="P349" s="17"/>
      <c r="Q349" s="17"/>
      <c r="R349" s="73"/>
      <c r="S349" s="17"/>
      <c r="T349" s="17"/>
      <c r="U349" s="17"/>
      <c r="V349" s="17"/>
      <c r="W349" s="73"/>
      <c r="X349" s="17"/>
      <c r="Y349" s="17"/>
      <c r="Z349" s="17"/>
      <c r="AA349" s="17"/>
      <c r="AB349" s="73"/>
      <c r="AC349" s="17"/>
      <c r="AD349" s="17"/>
      <c r="AE349" s="17"/>
      <c r="AF349" s="17"/>
      <c r="AG349" s="73"/>
      <c r="AH349" s="17"/>
      <c r="AI349" s="17"/>
      <c r="AJ349" s="17"/>
      <c r="AK349" s="17"/>
      <c r="AL349" s="73"/>
      <c r="AM349" s="17"/>
      <c r="AN349" s="17"/>
      <c r="AO349" s="17"/>
      <c r="AP349" s="17"/>
      <c r="AQ349" s="73"/>
      <c r="AR349" s="17"/>
      <c r="AS349" s="17"/>
      <c r="AT349" s="17"/>
      <c r="AU349" s="17"/>
      <c r="AV349" s="73"/>
      <c r="AW349" s="17"/>
      <c r="AX349" s="17"/>
      <c r="AY349" s="17"/>
      <c r="AZ349" s="17"/>
      <c r="BA349" s="73"/>
      <c r="BB349" s="17"/>
      <c r="BC349" s="17"/>
      <c r="BD349" s="17"/>
      <c r="BE349" s="17"/>
      <c r="BF349" s="73"/>
      <c r="BG349" s="17"/>
      <c r="BH349" s="17"/>
      <c r="BI349" s="17"/>
      <c r="BJ349" s="17"/>
      <c r="BK349" s="73"/>
      <c r="BL349" s="17"/>
      <c r="BM349" s="17"/>
      <c r="BN349" s="17"/>
      <c r="BO349" s="17"/>
      <c r="BP349" s="73"/>
      <c r="BQ349" s="17"/>
      <c r="BR349" s="17"/>
      <c r="BS349" s="17"/>
      <c r="BT349" s="17"/>
      <c r="BU349" s="73"/>
      <c r="BV349" s="17"/>
      <c r="BW349" s="17"/>
      <c r="BX349" s="17"/>
      <c r="BY349" s="17"/>
      <c r="BZ349" s="18"/>
      <c r="CA349" s="17"/>
      <c r="CB349" s="17"/>
      <c r="CC349" s="17"/>
      <c r="CD349" s="17"/>
      <c r="CE349" s="18"/>
      <c r="CF349" s="17"/>
      <c r="CG349" s="17"/>
      <c r="CH349" s="17"/>
      <c r="CI349" s="17"/>
      <c r="CJ349" s="18"/>
      <c r="CK349" s="17"/>
      <c r="CL349" s="17"/>
      <c r="CM349" s="17"/>
      <c r="CN349" s="17"/>
      <c r="CO349" s="18"/>
      <c r="CP349" s="40" t="str">
        <f>CP348/CN348-1</f>
        <v>#ERROR!</v>
      </c>
      <c r="CQ349" s="40" t="str">
        <f t="shared" ref="CQ349:CS349" si="2152">CQ348/CP348-1</f>
        <v>#ERROR!</v>
      </c>
      <c r="CR349" s="40" t="str">
        <f t="shared" si="2152"/>
        <v>#ERROR!</v>
      </c>
      <c r="CS349" s="40" t="str">
        <f t="shared" si="2152"/>
        <v>#ERROR!</v>
      </c>
      <c r="CT349" s="37"/>
      <c r="CU349" s="40" t="str">
        <f>CU348/CS348-1</f>
        <v>#ERROR!</v>
      </c>
      <c r="CV349" s="40" t="str">
        <f t="shared" ref="CV349:CX349" si="2153">CV348/CU348-1</f>
        <v>#ERROR!</v>
      </c>
      <c r="CW349" s="40" t="str">
        <f t="shared" si="2153"/>
        <v>#ERROR!</v>
      </c>
      <c r="CX349" s="40" t="str">
        <f t="shared" si="2153"/>
        <v>#ERROR!</v>
      </c>
      <c r="CY349" s="37"/>
      <c r="CZ349" s="435">
        <v>-0.07</v>
      </c>
      <c r="DA349" s="435">
        <v>0.04</v>
      </c>
      <c r="DB349" s="435">
        <v>-0.01</v>
      </c>
      <c r="DC349" s="435">
        <v>0.06</v>
      </c>
      <c r="DD349" s="37"/>
      <c r="DE349" s="40">
        <v>-0.03</v>
      </c>
      <c r="DF349" s="40">
        <v>-0.01</v>
      </c>
      <c r="DG349" s="40">
        <v>0.0</v>
      </c>
      <c r="DH349" s="40">
        <v>0.12</v>
      </c>
      <c r="DI349" s="313"/>
      <c r="DJ349" s="40" t="str">
        <f>DJ348/DH348-1</f>
        <v>#ERROR!</v>
      </c>
      <c r="DK349" s="40" t="str">
        <f>DK348/DJ348-1</f>
        <v>#ERROR!</v>
      </c>
      <c r="DL349" s="40">
        <v>-0.01</v>
      </c>
      <c r="DM349" s="40">
        <v>0.02</v>
      </c>
      <c r="DN349" s="37"/>
      <c r="DO349" s="40">
        <v>-0.025</v>
      </c>
      <c r="DP349" s="40">
        <v>0.04</v>
      </c>
      <c r="DQ349" s="40">
        <v>0.0685</v>
      </c>
      <c r="DR349" s="40">
        <v>-0.019</v>
      </c>
      <c r="DS349" s="37"/>
      <c r="DT349" s="40">
        <v>0.03</v>
      </c>
      <c r="DU349" s="40">
        <v>-0.03</v>
      </c>
      <c r="DV349" s="40">
        <v>-0.14</v>
      </c>
      <c r="DW349" s="40">
        <v>0.02</v>
      </c>
      <c r="DX349" s="37"/>
      <c r="DY349" s="40">
        <v>0.0</v>
      </c>
      <c r="DZ349" s="40">
        <v>0.054</v>
      </c>
      <c r="EA349" s="40">
        <v>-0.0493</v>
      </c>
      <c r="EB349" s="40">
        <v>0.034</v>
      </c>
      <c r="EC349" s="37"/>
      <c r="ED349" s="40">
        <v>-0.05</v>
      </c>
      <c r="EE349" s="40">
        <v>-0.02</v>
      </c>
      <c r="EF349" s="40">
        <v>0.01</v>
      </c>
      <c r="EG349" s="40">
        <v>0.0</v>
      </c>
      <c r="EH349" s="37"/>
      <c r="EI349" s="412">
        <v>0.01</v>
      </c>
      <c r="EJ349" s="435">
        <v>-0.04</v>
      </c>
      <c r="EK349" s="435">
        <v>0.04</v>
      </c>
      <c r="EL349" s="435">
        <v>0.04</v>
      </c>
      <c r="EM349" s="37"/>
      <c r="EN349" s="435">
        <v>0.0</v>
      </c>
      <c r="EO349" s="435">
        <v>0.0</v>
      </c>
      <c r="EP349" s="435">
        <v>0.0</v>
      </c>
      <c r="EQ349" s="435">
        <v>0.0</v>
      </c>
      <c r="ER349" s="37"/>
      <c r="ES349" s="435">
        <v>0.02</v>
      </c>
      <c r="ET349" s="435">
        <v>0.01</v>
      </c>
      <c r="EU349" s="435">
        <v>0.0</v>
      </c>
      <c r="EV349" s="435">
        <v>0.0</v>
      </c>
      <c r="EW349" s="37"/>
      <c r="EX349" s="435">
        <v>0.0</v>
      </c>
      <c r="EY349" s="435">
        <v>0.0</v>
      </c>
      <c r="EZ349" s="435">
        <v>0.0</v>
      </c>
      <c r="FA349" s="435">
        <v>0.0</v>
      </c>
      <c r="FB349" s="37"/>
      <c r="FC349" s="435">
        <v>0.0</v>
      </c>
      <c r="FD349" s="435">
        <v>0.0</v>
      </c>
      <c r="FE349" s="435">
        <v>0.0</v>
      </c>
      <c r="FF349" s="435">
        <v>0.0</v>
      </c>
      <c r="FG349" s="37"/>
      <c r="FH349" s="35"/>
      <c r="FI349" s="17"/>
      <c r="FJ349" s="17"/>
      <c r="FK349" s="73"/>
      <c r="FL349" s="17"/>
    </row>
    <row r="350" ht="12.75" hidden="1" customHeight="1" outlineLevel="1">
      <c r="A350" s="476"/>
      <c r="B350" s="72" t="s">
        <v>146</v>
      </c>
      <c r="C350" s="45"/>
      <c r="D350" s="17"/>
      <c r="E350" s="17"/>
      <c r="F350" s="17"/>
      <c r="G350" s="17"/>
      <c r="H350" s="73"/>
      <c r="I350" s="17"/>
      <c r="J350" s="17"/>
      <c r="K350" s="17"/>
      <c r="L350" s="17"/>
      <c r="M350" s="73"/>
      <c r="N350" s="17"/>
      <c r="O350" s="17"/>
      <c r="P350" s="17"/>
      <c r="Q350" s="17"/>
      <c r="R350" s="73"/>
      <c r="S350" s="17"/>
      <c r="T350" s="17"/>
      <c r="U350" s="17"/>
      <c r="V350" s="17"/>
      <c r="W350" s="73"/>
      <c r="X350" s="17"/>
      <c r="Y350" s="17"/>
      <c r="Z350" s="17"/>
      <c r="AA350" s="17"/>
      <c r="AB350" s="73"/>
      <c r="AC350" s="17"/>
      <c r="AD350" s="17"/>
      <c r="AE350" s="17"/>
      <c r="AF350" s="17"/>
      <c r="AG350" s="73"/>
      <c r="AH350" s="17"/>
      <c r="AI350" s="17"/>
      <c r="AJ350" s="17"/>
      <c r="AK350" s="17"/>
      <c r="AL350" s="73"/>
      <c r="AM350" s="17"/>
      <c r="AN350" s="17"/>
      <c r="AO350" s="17"/>
      <c r="AP350" s="17"/>
      <c r="AQ350" s="73"/>
      <c r="AR350" s="17"/>
      <c r="AS350" s="17"/>
      <c r="AT350" s="17"/>
      <c r="AU350" s="17"/>
      <c r="AV350" s="73"/>
      <c r="AW350" s="17"/>
      <c r="AX350" s="17"/>
      <c r="AY350" s="17"/>
      <c r="AZ350" s="17"/>
      <c r="BA350" s="73"/>
      <c r="BB350" s="17"/>
      <c r="BC350" s="17"/>
      <c r="BD350" s="17"/>
      <c r="BE350" s="17"/>
      <c r="BF350" s="73"/>
      <c r="BG350" s="17"/>
      <c r="BH350" s="17"/>
      <c r="BI350" s="17"/>
      <c r="BJ350" s="17"/>
      <c r="BK350" s="73"/>
      <c r="BL350" s="17"/>
      <c r="BM350" s="17"/>
      <c r="BN350" s="17"/>
      <c r="BO350" s="17"/>
      <c r="BP350" s="73"/>
      <c r="BQ350" s="17"/>
      <c r="BR350" s="17"/>
      <c r="BS350" s="17"/>
      <c r="BT350" s="17"/>
      <c r="BU350" s="73"/>
      <c r="BV350" s="17"/>
      <c r="BW350" s="17"/>
      <c r="BX350" s="17"/>
      <c r="BY350" s="17"/>
      <c r="BZ350" s="18"/>
      <c r="CA350" s="17"/>
      <c r="CB350" s="17"/>
      <c r="CC350" s="17"/>
      <c r="CD350" s="17"/>
      <c r="CE350" s="18"/>
      <c r="CF350" s="17"/>
      <c r="CG350" s="17"/>
      <c r="CH350" s="17"/>
      <c r="CI350" s="17"/>
      <c r="CJ350" s="18"/>
      <c r="CK350" s="17"/>
      <c r="CL350" s="17"/>
      <c r="CM350" s="17"/>
      <c r="CN350" s="17"/>
      <c r="CO350" s="18"/>
      <c r="CP350" s="40" t="str">
        <f t="shared" ref="CP350:CS350" si="2154">CP348/CK348-1</f>
        <v>#ERROR!</v>
      </c>
      <c r="CQ350" s="40" t="str">
        <f t="shared" si="2154"/>
        <v>#ERROR!</v>
      </c>
      <c r="CR350" s="40" t="str">
        <f t="shared" si="2154"/>
        <v>#ERROR!</v>
      </c>
      <c r="CS350" s="40" t="str">
        <f t="shared" si="2154"/>
        <v>#ERROR!</v>
      </c>
      <c r="CT350" s="24"/>
      <c r="CU350" s="40" t="str">
        <f t="shared" ref="CU350:CX350" si="2155">CU348/CP348-1</f>
        <v>#ERROR!</v>
      </c>
      <c r="CV350" s="40" t="str">
        <f t="shared" si="2155"/>
        <v>#ERROR!</v>
      </c>
      <c r="CW350" s="40" t="str">
        <f t="shared" si="2155"/>
        <v>#ERROR!</v>
      </c>
      <c r="CX350" s="40" t="str">
        <f t="shared" si="2155"/>
        <v>#ERROR!</v>
      </c>
      <c r="CY350" s="37"/>
      <c r="CZ350" s="435">
        <v>-0.03</v>
      </c>
      <c r="DA350" s="435">
        <v>-0.01</v>
      </c>
      <c r="DB350" s="435">
        <v>-0.03</v>
      </c>
      <c r="DC350" s="435">
        <v>0.04</v>
      </c>
      <c r="DD350" s="313" t="str">
        <f t="shared" ref="DD350:DJ350" si="2156">DD348/CY348-1</f>
        <v>#ERROR!</v>
      </c>
      <c r="DE350" s="40" t="str">
        <f t="shared" si="2156"/>
        <v>#ERROR!</v>
      </c>
      <c r="DF350" s="40" t="str">
        <f t="shared" si="2156"/>
        <v>#ERROR!</v>
      </c>
      <c r="DG350" s="40" t="str">
        <f t="shared" si="2156"/>
        <v>#ERROR!</v>
      </c>
      <c r="DH350" s="40" t="str">
        <f t="shared" si="2156"/>
        <v>#ERROR!</v>
      </c>
      <c r="DI350" s="23" t="str">
        <f t="shared" si="2156"/>
        <v>#ERROR!</v>
      </c>
      <c r="DJ350" s="40" t="str">
        <f t="shared" si="2156"/>
        <v>#ERROR!</v>
      </c>
      <c r="DK350" s="40">
        <v>0.11</v>
      </c>
      <c r="DL350" s="40" t="str">
        <f t="shared" ref="DL350:FG350" si="2157">DL348/DG348-1</f>
        <v>#ERROR!</v>
      </c>
      <c r="DM350" s="40" t="str">
        <f t="shared" si="2157"/>
        <v>#ERROR!</v>
      </c>
      <c r="DN350" s="23" t="str">
        <f t="shared" si="2157"/>
        <v>#ERROR!</v>
      </c>
      <c r="DO350" s="40" t="str">
        <f t="shared" si="2157"/>
        <v>#ERROR!</v>
      </c>
      <c r="DP350" s="40" t="str">
        <f t="shared" si="2157"/>
        <v>#ERROR!</v>
      </c>
      <c r="DQ350" s="40" t="str">
        <f t="shared" si="2157"/>
        <v>#ERROR!</v>
      </c>
      <c r="DR350" s="40" t="str">
        <f t="shared" si="2157"/>
        <v>#ERROR!</v>
      </c>
      <c r="DS350" s="23" t="str">
        <f t="shared" si="2157"/>
        <v>#ERROR!</v>
      </c>
      <c r="DT350" s="40" t="str">
        <f t="shared" si="2157"/>
        <v>#ERROR!</v>
      </c>
      <c r="DU350" s="40" t="str">
        <f t="shared" si="2157"/>
        <v>#ERROR!</v>
      </c>
      <c r="DV350" s="40" t="str">
        <f t="shared" si="2157"/>
        <v>#ERROR!</v>
      </c>
      <c r="DW350" s="40" t="str">
        <f t="shared" si="2157"/>
        <v>#ERROR!</v>
      </c>
      <c r="DX350" s="23" t="str">
        <f t="shared" si="2157"/>
        <v>#ERROR!</v>
      </c>
      <c r="DY350" s="40" t="str">
        <f t="shared" si="2157"/>
        <v>#ERROR!</v>
      </c>
      <c r="DZ350" s="40" t="str">
        <f t="shared" si="2157"/>
        <v>#ERROR!</v>
      </c>
      <c r="EA350" s="40" t="str">
        <f t="shared" si="2157"/>
        <v>#ERROR!</v>
      </c>
      <c r="EB350" s="40" t="str">
        <f t="shared" si="2157"/>
        <v>#ERROR!</v>
      </c>
      <c r="EC350" s="23" t="str">
        <f t="shared" si="2157"/>
        <v>#ERROR!</v>
      </c>
      <c r="ED350" s="40" t="str">
        <f t="shared" si="2157"/>
        <v>#ERROR!</v>
      </c>
      <c r="EE350" s="40" t="str">
        <f t="shared" si="2157"/>
        <v>#ERROR!</v>
      </c>
      <c r="EF350" s="40" t="str">
        <f t="shared" si="2157"/>
        <v>#ERROR!</v>
      </c>
      <c r="EG350" s="40" t="str">
        <f t="shared" si="2157"/>
        <v>#ERROR!</v>
      </c>
      <c r="EH350" s="23" t="str">
        <f t="shared" si="2157"/>
        <v>#ERROR!</v>
      </c>
      <c r="EI350" s="82" t="str">
        <f t="shared" si="2157"/>
        <v>#ERROR!</v>
      </c>
      <c r="EJ350" s="40" t="str">
        <f t="shared" si="2157"/>
        <v>#ERROR!</v>
      </c>
      <c r="EK350" s="40" t="str">
        <f t="shared" si="2157"/>
        <v>#ERROR!</v>
      </c>
      <c r="EL350" s="40" t="str">
        <f t="shared" si="2157"/>
        <v>#ERROR!</v>
      </c>
      <c r="EM350" s="23" t="str">
        <f t="shared" si="2157"/>
        <v>#ERROR!</v>
      </c>
      <c r="EN350" s="40" t="str">
        <f t="shared" si="2157"/>
        <v>#ERROR!</v>
      </c>
      <c r="EO350" s="40" t="str">
        <f t="shared" si="2157"/>
        <v>#ERROR!</v>
      </c>
      <c r="EP350" s="40" t="str">
        <f t="shared" si="2157"/>
        <v>#ERROR!</v>
      </c>
      <c r="EQ350" s="40" t="str">
        <f t="shared" si="2157"/>
        <v>#ERROR!</v>
      </c>
      <c r="ER350" s="23" t="str">
        <f t="shared" si="2157"/>
        <v>#ERROR!</v>
      </c>
      <c r="ES350" s="40" t="str">
        <f t="shared" si="2157"/>
        <v>#ERROR!</v>
      </c>
      <c r="ET350" s="40" t="str">
        <f t="shared" si="2157"/>
        <v>#ERROR!</v>
      </c>
      <c r="EU350" s="40" t="str">
        <f t="shared" si="2157"/>
        <v>#ERROR!</v>
      </c>
      <c r="EV350" s="40" t="str">
        <f t="shared" si="2157"/>
        <v>#ERROR!</v>
      </c>
      <c r="EW350" s="23" t="str">
        <f t="shared" si="2157"/>
        <v>#ERROR!</v>
      </c>
      <c r="EX350" s="40" t="str">
        <f t="shared" si="2157"/>
        <v>#ERROR!</v>
      </c>
      <c r="EY350" s="40" t="str">
        <f t="shared" si="2157"/>
        <v>#ERROR!</v>
      </c>
      <c r="EZ350" s="40" t="str">
        <f t="shared" si="2157"/>
        <v>#ERROR!</v>
      </c>
      <c r="FA350" s="40" t="str">
        <f t="shared" si="2157"/>
        <v>#ERROR!</v>
      </c>
      <c r="FB350" s="23" t="str">
        <f t="shared" si="2157"/>
        <v>#ERROR!</v>
      </c>
      <c r="FC350" s="40" t="str">
        <f t="shared" si="2157"/>
        <v>#ERROR!</v>
      </c>
      <c r="FD350" s="40" t="str">
        <f t="shared" si="2157"/>
        <v>#ERROR!</v>
      </c>
      <c r="FE350" s="40" t="str">
        <f t="shared" si="2157"/>
        <v>#ERROR!</v>
      </c>
      <c r="FF350" s="40" t="str">
        <f t="shared" si="2157"/>
        <v>#ERROR!</v>
      </c>
      <c r="FG350" s="23" t="str">
        <f t="shared" si="2157"/>
        <v>#ERROR!</v>
      </c>
      <c r="FH350" s="83"/>
      <c r="FI350" s="17"/>
      <c r="FJ350" s="17"/>
      <c r="FK350" s="73"/>
      <c r="FL350" s="17"/>
    </row>
    <row r="351" ht="12.75" hidden="1" customHeight="1" outlineLevel="1">
      <c r="A351" s="476"/>
      <c r="B351" s="84" t="s">
        <v>151</v>
      </c>
      <c r="C351" s="45"/>
      <c r="D351" s="17"/>
      <c r="E351" s="17"/>
      <c r="F351" s="17"/>
      <c r="G351" s="17"/>
      <c r="H351" s="73"/>
      <c r="I351" s="17"/>
      <c r="J351" s="17"/>
      <c r="K351" s="17"/>
      <c r="L351" s="17"/>
      <c r="M351" s="73"/>
      <c r="N351" s="17"/>
      <c r="O351" s="17"/>
      <c r="P351" s="17"/>
      <c r="Q351" s="17"/>
      <c r="R351" s="73"/>
      <c r="S351" s="17"/>
      <c r="T351" s="17"/>
      <c r="U351" s="17"/>
      <c r="V351" s="17"/>
      <c r="W351" s="73"/>
      <c r="X351" s="17"/>
      <c r="Y351" s="17"/>
      <c r="Z351" s="17"/>
      <c r="AA351" s="17"/>
      <c r="AB351" s="73"/>
      <c r="AC351" s="17"/>
      <c r="AD351" s="17"/>
      <c r="AE351" s="17"/>
      <c r="AF351" s="17"/>
      <c r="AG351" s="73"/>
      <c r="AH351" s="17"/>
      <c r="AI351" s="17"/>
      <c r="AJ351" s="17"/>
      <c r="AK351" s="17"/>
      <c r="AL351" s="73"/>
      <c r="AM351" s="17"/>
      <c r="AN351" s="17"/>
      <c r="AO351" s="17"/>
      <c r="AP351" s="17"/>
      <c r="AQ351" s="73"/>
      <c r="AR351" s="17"/>
      <c r="AS351" s="17"/>
      <c r="AT351" s="17"/>
      <c r="AU351" s="17"/>
      <c r="AV351" s="73"/>
      <c r="AW351" s="17"/>
      <c r="AX351" s="17"/>
      <c r="AY351" s="17"/>
      <c r="AZ351" s="17"/>
      <c r="BA351" s="73"/>
      <c r="BB351" s="17"/>
      <c r="BC351" s="17"/>
      <c r="BD351" s="17"/>
      <c r="BE351" s="17"/>
      <c r="BF351" s="73"/>
      <c r="BG351" s="17"/>
      <c r="BH351" s="17"/>
      <c r="BI351" s="17"/>
      <c r="BJ351" s="17"/>
      <c r="BK351" s="73"/>
      <c r="BL351" s="17"/>
      <c r="BM351" s="17"/>
      <c r="BN351" s="17"/>
      <c r="BO351" s="17"/>
      <c r="BP351" s="73"/>
      <c r="BQ351" s="17"/>
      <c r="BR351" s="17"/>
      <c r="BS351" s="17"/>
      <c r="BT351" s="17"/>
      <c r="BU351" s="73"/>
      <c r="BV351" s="17"/>
      <c r="BW351" s="17"/>
      <c r="BX351" s="17"/>
      <c r="BY351" s="17"/>
      <c r="BZ351" s="18"/>
      <c r="CA351" s="17"/>
      <c r="CB351" s="17"/>
      <c r="CC351" s="17"/>
      <c r="CD351" s="17"/>
      <c r="CE351" s="18"/>
      <c r="CF351" s="17"/>
      <c r="CG351" s="17"/>
      <c r="CH351" s="17"/>
      <c r="CI351" s="17"/>
      <c r="CJ351" s="18"/>
      <c r="CK351" s="17"/>
      <c r="CL351" s="17"/>
      <c r="CM351" s="17"/>
      <c r="CN351" s="17"/>
      <c r="CO351" s="18"/>
      <c r="CP351" s="17"/>
      <c r="CQ351" s="17"/>
      <c r="CR351" s="17"/>
      <c r="CS351" s="17"/>
      <c r="CT351" s="37"/>
      <c r="CU351" s="439"/>
      <c r="CV351" s="40"/>
      <c r="CW351" s="40"/>
      <c r="CX351" s="40"/>
      <c r="CY351" s="37"/>
      <c r="CZ351" s="372" t="str">
        <f t="shared" ref="CZ351:DC351" si="2158">AVERAGE(CU349,CP349,CZ349)</f>
        <v>#ERROR!</v>
      </c>
      <c r="DA351" s="372" t="str">
        <f t="shared" si="2158"/>
        <v>#ERROR!</v>
      </c>
      <c r="DB351" s="372" t="str">
        <f t="shared" si="2158"/>
        <v>#ERROR!</v>
      </c>
      <c r="DC351" s="372" t="str">
        <f t="shared" si="2158"/>
        <v>#ERROR!</v>
      </c>
      <c r="DD351" s="37"/>
      <c r="DE351" s="372" t="str">
        <f t="shared" ref="DE351:DH351" si="2159">AVERAGE(CZ349,CU349,DE349)</f>
        <v>#ERROR!</v>
      </c>
      <c r="DF351" s="372" t="str">
        <f t="shared" si="2159"/>
        <v>#ERROR!</v>
      </c>
      <c r="DG351" s="372" t="str">
        <f t="shared" si="2159"/>
        <v>#ERROR!</v>
      </c>
      <c r="DH351" s="372" t="str">
        <f t="shared" si="2159"/>
        <v>#ERROR!</v>
      </c>
      <c r="DI351" s="37"/>
      <c r="DJ351" s="372" t="str">
        <f t="shared" ref="DJ351:DM351" si="2160">AVERAGE(DE349,CZ349,DJ349)</f>
        <v>#ERROR!</v>
      </c>
      <c r="DK351" s="372" t="str">
        <f t="shared" si="2160"/>
        <v>#ERROR!</v>
      </c>
      <c r="DL351" s="372">
        <f t="shared" si="2160"/>
        <v>-0.006666666667</v>
      </c>
      <c r="DM351" s="372">
        <f t="shared" si="2160"/>
        <v>0.06666666667</v>
      </c>
      <c r="DN351" s="37"/>
      <c r="DO351" s="372" t="str">
        <f t="shared" ref="DO351:DR351" si="2161">AVERAGE(DJ349,DE349,DO349)</f>
        <v>#ERROR!</v>
      </c>
      <c r="DP351" s="372" t="str">
        <f t="shared" si="2161"/>
        <v>#ERROR!</v>
      </c>
      <c r="DQ351" s="372">
        <f t="shared" si="2161"/>
        <v>0.0195</v>
      </c>
      <c r="DR351" s="372">
        <f t="shared" si="2161"/>
        <v>0.04033333333</v>
      </c>
      <c r="DS351" s="37"/>
      <c r="DT351" s="372" t="str">
        <f t="shared" ref="DT351:DW351" si="2162">AVERAGE(DO349,DJ349,DT349)</f>
        <v>#ERROR!</v>
      </c>
      <c r="DU351" s="372" t="str">
        <f t="shared" si="2162"/>
        <v>#ERROR!</v>
      </c>
      <c r="DV351" s="372">
        <f t="shared" si="2162"/>
        <v>-0.02716666667</v>
      </c>
      <c r="DW351" s="372">
        <f t="shared" si="2162"/>
        <v>0.007</v>
      </c>
      <c r="DX351" s="37"/>
      <c r="DY351" s="372">
        <f t="shared" ref="DY351:EB351" si="2163">AVERAGE(DT349,DO349,DY349)</f>
        <v>0.001666666667</v>
      </c>
      <c r="DZ351" s="372">
        <f t="shared" si="2163"/>
        <v>0.02133333333</v>
      </c>
      <c r="EA351" s="372">
        <f t="shared" si="2163"/>
        <v>-0.04026666667</v>
      </c>
      <c r="EB351" s="372">
        <f t="shared" si="2163"/>
        <v>0.01166666667</v>
      </c>
      <c r="EC351" s="37"/>
      <c r="ED351" s="372">
        <f t="shared" ref="ED351:EG351" si="2164">AVERAGE(DY349,DT349,ED349)</f>
        <v>-0.006666666667</v>
      </c>
      <c r="EE351" s="372">
        <f t="shared" si="2164"/>
        <v>0.001333333333</v>
      </c>
      <c r="EF351" s="372">
        <f t="shared" si="2164"/>
        <v>-0.05976666667</v>
      </c>
      <c r="EG351" s="372">
        <f t="shared" si="2164"/>
        <v>0.018</v>
      </c>
      <c r="EH351" s="37"/>
      <c r="EI351" s="362">
        <f t="shared" ref="EI351:EL351" si="2165">AVERAGE(ED349,DY349,EI349)</f>
        <v>-0.01333333333</v>
      </c>
      <c r="EJ351" s="372">
        <f t="shared" si="2165"/>
        <v>-0.002</v>
      </c>
      <c r="EK351" s="372">
        <f t="shared" si="2165"/>
        <v>0.0002333333333</v>
      </c>
      <c r="EL351" s="372">
        <f t="shared" si="2165"/>
        <v>0.02466666667</v>
      </c>
      <c r="EM351" s="37"/>
      <c r="EN351" s="372">
        <f t="shared" ref="EN351:EQ351" si="2166">AVERAGE(EI349,ED349,EN349)</f>
        <v>-0.01333333333</v>
      </c>
      <c r="EO351" s="372">
        <f t="shared" si="2166"/>
        <v>-0.02</v>
      </c>
      <c r="EP351" s="372">
        <f t="shared" si="2166"/>
        <v>0.01666666667</v>
      </c>
      <c r="EQ351" s="372">
        <f t="shared" si="2166"/>
        <v>0.01333333333</v>
      </c>
      <c r="ER351" s="37"/>
      <c r="ES351" s="372">
        <f t="shared" ref="ES351:EV351" si="2167">AVERAGE(EN349,EI349,ES349)</f>
        <v>0.01</v>
      </c>
      <c r="ET351" s="372">
        <f t="shared" si="2167"/>
        <v>-0.01</v>
      </c>
      <c r="EU351" s="372">
        <f t="shared" si="2167"/>
        <v>0.01333333333</v>
      </c>
      <c r="EV351" s="372">
        <f t="shared" si="2167"/>
        <v>0.01333333333</v>
      </c>
      <c r="EW351" s="37"/>
      <c r="EX351" s="372">
        <f t="shared" ref="EX351:FA351" si="2168">AVERAGE(ES349,EN349,EX349)</f>
        <v>0.006666666667</v>
      </c>
      <c r="EY351" s="372">
        <f t="shared" si="2168"/>
        <v>0.003333333333</v>
      </c>
      <c r="EZ351" s="372">
        <f t="shared" si="2168"/>
        <v>0</v>
      </c>
      <c r="FA351" s="372">
        <f t="shared" si="2168"/>
        <v>0</v>
      </c>
      <c r="FB351" s="37"/>
      <c r="FC351" s="372">
        <f t="shared" ref="FC351:FF351" si="2169">AVERAGE(EX349,ES349,FC349)</f>
        <v>0.006666666667</v>
      </c>
      <c r="FD351" s="372">
        <f t="shared" si="2169"/>
        <v>0.003333333333</v>
      </c>
      <c r="FE351" s="372">
        <f t="shared" si="2169"/>
        <v>0</v>
      </c>
      <c r="FF351" s="372">
        <f t="shared" si="2169"/>
        <v>0</v>
      </c>
      <c r="FG351" s="37"/>
      <c r="FH351" s="35"/>
      <c r="FI351" s="17"/>
      <c r="FJ351" s="17"/>
      <c r="FK351" s="73"/>
      <c r="FL351" s="17"/>
    </row>
    <row r="352" ht="12.75" hidden="1" customHeight="1" outlineLevel="1">
      <c r="A352" s="476"/>
      <c r="B352" s="84" t="s">
        <v>200</v>
      </c>
      <c r="C352" s="45"/>
      <c r="D352" s="17"/>
      <c r="E352" s="17"/>
      <c r="F352" s="17"/>
      <c r="G352" s="17"/>
      <c r="H352" s="73"/>
      <c r="I352" s="17"/>
      <c r="J352" s="17"/>
      <c r="K352" s="17"/>
      <c r="L352" s="17"/>
      <c r="M352" s="73"/>
      <c r="N352" s="17"/>
      <c r="O352" s="17"/>
      <c r="P352" s="17"/>
      <c r="Q352" s="17"/>
      <c r="R352" s="73"/>
      <c r="S352" s="17"/>
      <c r="T352" s="17"/>
      <c r="U352" s="17"/>
      <c r="V352" s="17"/>
      <c r="W352" s="73"/>
      <c r="X352" s="17"/>
      <c r="Y352" s="17"/>
      <c r="Z352" s="17"/>
      <c r="AA352" s="17"/>
      <c r="AB352" s="73"/>
      <c r="AC352" s="17"/>
      <c r="AD352" s="17"/>
      <c r="AE352" s="17"/>
      <c r="AF352" s="17"/>
      <c r="AG352" s="73"/>
      <c r="AH352" s="17"/>
      <c r="AI352" s="17"/>
      <c r="AJ352" s="17"/>
      <c r="AK352" s="17"/>
      <c r="AL352" s="73"/>
      <c r="AM352" s="17"/>
      <c r="AN352" s="17"/>
      <c r="AO352" s="17"/>
      <c r="AP352" s="17"/>
      <c r="AQ352" s="73"/>
      <c r="AR352" s="17"/>
      <c r="AS352" s="17"/>
      <c r="AT352" s="17"/>
      <c r="AU352" s="17"/>
      <c r="AV352" s="73"/>
      <c r="AW352" s="17"/>
      <c r="AX352" s="17"/>
      <c r="AY352" s="17"/>
      <c r="AZ352" s="17"/>
      <c r="BA352" s="73"/>
      <c r="BB352" s="17"/>
      <c r="BC352" s="17"/>
      <c r="BD352" s="17"/>
      <c r="BE352" s="17"/>
      <c r="BF352" s="73"/>
      <c r="BG352" s="17"/>
      <c r="BH352" s="17"/>
      <c r="BI352" s="17"/>
      <c r="BJ352" s="17"/>
      <c r="BK352" s="73"/>
      <c r="BL352" s="17"/>
      <c r="BM352" s="17"/>
      <c r="BN352" s="17"/>
      <c r="BO352" s="17"/>
      <c r="BP352" s="73"/>
      <c r="BQ352" s="17"/>
      <c r="BR352" s="17"/>
      <c r="BS352" s="17"/>
      <c r="BT352" s="17"/>
      <c r="BU352" s="73"/>
      <c r="BV352" s="17"/>
      <c r="BW352" s="17"/>
      <c r="BX352" s="17"/>
      <c r="BY352" s="17"/>
      <c r="BZ352" s="18"/>
      <c r="CA352" s="17"/>
      <c r="CB352" s="17"/>
      <c r="CC352" s="17"/>
      <c r="CD352" s="17"/>
      <c r="CE352" s="18"/>
      <c r="CF352" s="17"/>
      <c r="CG352" s="17"/>
      <c r="CH352" s="17"/>
      <c r="CI352" s="17"/>
      <c r="CJ352" s="18"/>
      <c r="CK352" s="17"/>
      <c r="CL352" s="17"/>
      <c r="CM352" s="17"/>
      <c r="CN352" s="17"/>
      <c r="CO352" s="18"/>
      <c r="CP352" s="17"/>
      <c r="CQ352" s="17"/>
      <c r="CR352" s="17"/>
      <c r="CS352" s="17"/>
      <c r="CT352" s="37"/>
      <c r="CU352" s="439"/>
      <c r="CV352" s="40"/>
      <c r="CW352" s="40"/>
      <c r="CX352" s="40"/>
      <c r="CY352" s="37"/>
      <c r="CZ352" s="40"/>
      <c r="DA352" s="40"/>
      <c r="DB352" s="40"/>
      <c r="DC352" s="40"/>
      <c r="DD352" s="37"/>
      <c r="DE352" s="372" t="str">
        <f t="shared" ref="DE352:FG352" si="2170">DE340/CZ340-1</f>
        <v>#ERROR!</v>
      </c>
      <c r="DF352" s="372" t="str">
        <f t="shared" si="2170"/>
        <v>#ERROR!</v>
      </c>
      <c r="DG352" s="372" t="str">
        <f t="shared" si="2170"/>
        <v>#ERROR!</v>
      </c>
      <c r="DH352" s="372" t="str">
        <f t="shared" si="2170"/>
        <v>#ERROR!</v>
      </c>
      <c r="DI352" s="37" t="str">
        <f t="shared" si="2170"/>
        <v>#ERROR!</v>
      </c>
      <c r="DJ352" s="372" t="str">
        <f t="shared" si="2170"/>
        <v>#ERROR!</v>
      </c>
      <c r="DK352" s="372" t="str">
        <f t="shared" si="2170"/>
        <v>#ERROR!</v>
      </c>
      <c r="DL352" s="372" t="str">
        <f t="shared" si="2170"/>
        <v>#ERROR!</v>
      </c>
      <c r="DM352" s="85" t="str">
        <f t="shared" si="2170"/>
        <v>#ERROR!</v>
      </c>
      <c r="DN352" s="37" t="str">
        <f t="shared" si="2170"/>
        <v>#ERROR!</v>
      </c>
      <c r="DO352" s="85" t="str">
        <f t="shared" si="2170"/>
        <v>#ERROR!</v>
      </c>
      <c r="DP352" s="85" t="str">
        <f t="shared" si="2170"/>
        <v>#ERROR!</v>
      </c>
      <c r="DQ352" s="85" t="str">
        <f t="shared" si="2170"/>
        <v>#ERROR!</v>
      </c>
      <c r="DR352" s="85" t="str">
        <f t="shared" si="2170"/>
        <v>#ERROR!</v>
      </c>
      <c r="DS352" s="37" t="str">
        <f t="shared" si="2170"/>
        <v>#ERROR!</v>
      </c>
      <c r="DT352" s="85" t="str">
        <f t="shared" si="2170"/>
        <v>#ERROR!</v>
      </c>
      <c r="DU352" s="85" t="str">
        <f t="shared" si="2170"/>
        <v>#ERROR!</v>
      </c>
      <c r="DV352" s="85" t="str">
        <f t="shared" si="2170"/>
        <v>#ERROR!</v>
      </c>
      <c r="DW352" s="85" t="str">
        <f t="shared" si="2170"/>
        <v>#ERROR!</v>
      </c>
      <c r="DX352" s="37" t="str">
        <f t="shared" si="2170"/>
        <v>#ERROR!</v>
      </c>
      <c r="DY352" s="85" t="str">
        <f t="shared" si="2170"/>
        <v>#ERROR!</v>
      </c>
      <c r="DZ352" s="85" t="str">
        <f t="shared" si="2170"/>
        <v>#ERROR!</v>
      </c>
      <c r="EA352" s="85" t="str">
        <f t="shared" si="2170"/>
        <v>#ERROR!</v>
      </c>
      <c r="EB352" s="85" t="str">
        <f t="shared" si="2170"/>
        <v>#ERROR!</v>
      </c>
      <c r="EC352" s="37" t="str">
        <f t="shared" si="2170"/>
        <v>#ERROR!</v>
      </c>
      <c r="ED352" s="85" t="str">
        <f t="shared" si="2170"/>
        <v>#ERROR!</v>
      </c>
      <c r="EE352" s="85" t="str">
        <f t="shared" si="2170"/>
        <v>#ERROR!</v>
      </c>
      <c r="EF352" s="85" t="str">
        <f t="shared" si="2170"/>
        <v>#ERROR!</v>
      </c>
      <c r="EG352" s="85" t="str">
        <f t="shared" si="2170"/>
        <v>#ERROR!</v>
      </c>
      <c r="EH352" s="37" t="str">
        <f t="shared" si="2170"/>
        <v>#ERROR!</v>
      </c>
      <c r="EI352" s="362" t="str">
        <f t="shared" si="2170"/>
        <v>#ERROR!</v>
      </c>
      <c r="EJ352" s="372" t="str">
        <f t="shared" si="2170"/>
        <v>#ERROR!</v>
      </c>
      <c r="EK352" s="372" t="str">
        <f t="shared" si="2170"/>
        <v>#ERROR!</v>
      </c>
      <c r="EL352" s="372" t="str">
        <f t="shared" si="2170"/>
        <v>#ERROR!</v>
      </c>
      <c r="EM352" s="37" t="str">
        <f t="shared" si="2170"/>
        <v>#ERROR!</v>
      </c>
      <c r="EN352" s="372" t="str">
        <f t="shared" si="2170"/>
        <v>#ERROR!</v>
      </c>
      <c r="EO352" s="372" t="str">
        <f t="shared" si="2170"/>
        <v>#ERROR!</v>
      </c>
      <c r="EP352" s="372" t="str">
        <f t="shared" si="2170"/>
        <v>#ERROR!</v>
      </c>
      <c r="EQ352" s="372" t="str">
        <f t="shared" si="2170"/>
        <v>#ERROR!</v>
      </c>
      <c r="ER352" s="37" t="str">
        <f t="shared" si="2170"/>
        <v>#ERROR!</v>
      </c>
      <c r="ES352" s="372" t="str">
        <f t="shared" si="2170"/>
        <v>#ERROR!</v>
      </c>
      <c r="ET352" s="372" t="str">
        <f t="shared" si="2170"/>
        <v>#ERROR!</v>
      </c>
      <c r="EU352" s="372" t="str">
        <f t="shared" si="2170"/>
        <v>#ERROR!</v>
      </c>
      <c r="EV352" s="372" t="str">
        <f t="shared" si="2170"/>
        <v>#ERROR!</v>
      </c>
      <c r="EW352" s="37" t="str">
        <f t="shared" si="2170"/>
        <v>#ERROR!</v>
      </c>
      <c r="EX352" s="372" t="str">
        <f t="shared" si="2170"/>
        <v>#ERROR!</v>
      </c>
      <c r="EY352" s="372" t="str">
        <f t="shared" si="2170"/>
        <v>#ERROR!</v>
      </c>
      <c r="EZ352" s="372" t="str">
        <f t="shared" si="2170"/>
        <v>#ERROR!</v>
      </c>
      <c r="FA352" s="372" t="str">
        <f t="shared" si="2170"/>
        <v>#ERROR!</v>
      </c>
      <c r="FB352" s="37" t="str">
        <f t="shared" si="2170"/>
        <v>#ERROR!</v>
      </c>
      <c r="FC352" s="372" t="str">
        <f t="shared" si="2170"/>
        <v>#ERROR!</v>
      </c>
      <c r="FD352" s="372" t="str">
        <f t="shared" si="2170"/>
        <v>#ERROR!</v>
      </c>
      <c r="FE352" s="372" t="str">
        <f t="shared" si="2170"/>
        <v>#ERROR!</v>
      </c>
      <c r="FF352" s="372" t="str">
        <f t="shared" si="2170"/>
        <v>#ERROR!</v>
      </c>
      <c r="FG352" s="37" t="str">
        <f t="shared" si="2170"/>
        <v>#ERROR!</v>
      </c>
      <c r="FH352" s="35"/>
      <c r="FI352" s="17"/>
      <c r="FJ352" s="17"/>
      <c r="FK352" s="73"/>
      <c r="FL352" s="17"/>
    </row>
    <row r="353" ht="12.75" hidden="1" customHeight="1" outlineLevel="1">
      <c r="A353" s="476"/>
      <c r="B353" s="215" t="s">
        <v>221</v>
      </c>
      <c r="C353" s="45"/>
      <c r="D353" s="15"/>
      <c r="E353" s="15"/>
      <c r="F353" s="15"/>
      <c r="G353" s="15"/>
      <c r="H353" s="410"/>
      <c r="I353" s="15"/>
      <c r="J353" s="15"/>
      <c r="K353" s="15"/>
      <c r="L353" s="15"/>
      <c r="M353" s="410"/>
      <c r="N353" s="15"/>
      <c r="O353" s="15"/>
      <c r="P353" s="15"/>
      <c r="Q353" s="15"/>
      <c r="R353" s="410"/>
      <c r="S353" s="15"/>
      <c r="T353" s="15"/>
      <c r="U353" s="15"/>
      <c r="V353" s="15"/>
      <c r="W353" s="410"/>
      <c r="X353" s="15"/>
      <c r="Y353" s="15"/>
      <c r="Z353" s="15"/>
      <c r="AA353" s="15"/>
      <c r="AB353" s="410"/>
      <c r="AC353" s="15"/>
      <c r="AD353" s="15"/>
      <c r="AE353" s="15"/>
      <c r="AF353" s="15"/>
      <c r="AG353" s="410"/>
      <c r="AH353" s="15"/>
      <c r="AI353" s="15"/>
      <c r="AJ353" s="15"/>
      <c r="AK353" s="15"/>
      <c r="AL353" s="410"/>
      <c r="AM353" s="15"/>
      <c r="AN353" s="15"/>
      <c r="AO353" s="15"/>
      <c r="AP353" s="15"/>
      <c r="AQ353" s="410"/>
      <c r="AR353" s="15"/>
      <c r="AS353" s="15"/>
      <c r="AT353" s="15"/>
      <c r="AU353" s="15"/>
      <c r="AV353" s="410"/>
      <c r="AW353" s="15"/>
      <c r="AX353" s="15"/>
      <c r="AY353" s="15"/>
      <c r="AZ353" s="15"/>
      <c r="BA353" s="410"/>
      <c r="BB353" s="15"/>
      <c r="BC353" s="15"/>
      <c r="BD353" s="15"/>
      <c r="BE353" s="15"/>
      <c r="BF353" s="410"/>
      <c r="BG353" s="15"/>
      <c r="BH353" s="15"/>
      <c r="BI353" s="15"/>
      <c r="BJ353" s="15"/>
      <c r="BK353" s="410"/>
      <c r="BL353" s="15"/>
      <c r="BM353" s="15"/>
      <c r="BN353" s="15"/>
      <c r="BO353" s="15"/>
      <c r="BP353" s="410"/>
      <c r="BQ353" s="15"/>
      <c r="BR353" s="15"/>
      <c r="BS353" s="15"/>
      <c r="BT353" s="15"/>
      <c r="BU353" s="410"/>
      <c r="BV353" s="15"/>
      <c r="BW353" s="15"/>
      <c r="BX353" s="15"/>
      <c r="BY353" s="15"/>
      <c r="BZ353" s="24"/>
      <c r="CA353" s="15"/>
      <c r="CB353" s="15"/>
      <c r="CC353" s="15"/>
      <c r="CD353" s="15"/>
      <c r="CE353" s="24"/>
      <c r="CF353" s="15"/>
      <c r="CG353" s="15"/>
      <c r="CH353" s="15"/>
      <c r="CI353" s="15"/>
      <c r="CJ353" s="24"/>
      <c r="CK353" s="15"/>
      <c r="CL353" s="15"/>
      <c r="CM353" s="15"/>
      <c r="CN353" s="40"/>
      <c r="CO353" s="24"/>
      <c r="CP353" s="427" t="str">
        <f t="shared" ref="CP353:CS353" si="2171">CP324-CP338</f>
        <v>#ERROR!</v>
      </c>
      <c r="CQ353" s="427">
        <f t="shared" si="2171"/>
        <v>255</v>
      </c>
      <c r="CR353" s="427">
        <f t="shared" si="2171"/>
        <v>261</v>
      </c>
      <c r="CS353" s="427">
        <f t="shared" si="2171"/>
        <v>268</v>
      </c>
      <c r="CT353" s="363" t="str">
        <f>SUM(CP353:CS353)</f>
        <v>#ERROR!</v>
      </c>
      <c r="CU353" s="427">
        <f t="shared" ref="CU353:CX353" si="2172">CU324-CU338</f>
        <v>260</v>
      </c>
      <c r="CV353" s="427">
        <f t="shared" si="2172"/>
        <v>271</v>
      </c>
      <c r="CW353" s="427">
        <f t="shared" si="2172"/>
        <v>277</v>
      </c>
      <c r="CX353" s="427">
        <f t="shared" si="2172"/>
        <v>287</v>
      </c>
      <c r="CY353" s="363">
        <f>SUM(CU353:CX353)</f>
        <v>1095</v>
      </c>
      <c r="CZ353" s="427">
        <f t="shared" ref="CZ353:DC353" si="2173">CZ324-CZ338</f>
        <v>281</v>
      </c>
      <c r="DA353" s="427">
        <f t="shared" si="2173"/>
        <v>309</v>
      </c>
      <c r="DB353" s="427">
        <f t="shared" si="2173"/>
        <v>378</v>
      </c>
      <c r="DC353" s="427">
        <f t="shared" si="2173"/>
        <v>362</v>
      </c>
      <c r="DD353" s="363">
        <f>SUM(CZ353:DC353)</f>
        <v>1330</v>
      </c>
      <c r="DE353" s="427">
        <f t="shared" ref="DE353:DH353" si="2174">DE324-DE338</f>
        <v>353</v>
      </c>
      <c r="DF353" s="427">
        <f t="shared" si="2174"/>
        <v>346</v>
      </c>
      <c r="DG353" s="36" t="str">
        <f t="shared" si="2174"/>
        <v>#ERROR!</v>
      </c>
      <c r="DH353" s="427">
        <f t="shared" si="2174"/>
        <v>487</v>
      </c>
      <c r="DI353" s="363" t="str">
        <f>SUM(DE353:DH353)</f>
        <v>#ERROR!</v>
      </c>
      <c r="DJ353" s="36">
        <v>410.0</v>
      </c>
      <c r="DK353" s="36" t="str">
        <f>5500-DK338</f>
        <v>#ERROR!</v>
      </c>
      <c r="DL353" s="36">
        <f>6139-DL338</f>
        <v>502</v>
      </c>
      <c r="DM353" s="36">
        <v>475.0</v>
      </c>
      <c r="DN353" s="363" t="str">
        <f>SUM(DJ353:DM353)</f>
        <v>#ERROR!</v>
      </c>
      <c r="DO353" s="36">
        <v>420.0</v>
      </c>
      <c r="DP353" s="36">
        <v>430.0</v>
      </c>
      <c r="DQ353" s="36">
        <v>564.0</v>
      </c>
      <c r="DR353" s="36">
        <v>626.0</v>
      </c>
      <c r="DS353" s="363">
        <f>SUM(DO353:DR353)</f>
        <v>2040</v>
      </c>
      <c r="DT353" s="36">
        <v>566.0</v>
      </c>
      <c r="DU353" s="36">
        <v>936.0</v>
      </c>
      <c r="DV353" s="36">
        <v>754.0</v>
      </c>
      <c r="DW353" s="36">
        <v>791.0</v>
      </c>
      <c r="DX353" s="363">
        <f>SUM(DT353:DW353)</f>
        <v>3047</v>
      </c>
      <c r="DY353" s="36">
        <v>753.0</v>
      </c>
      <c r="DZ353" s="36">
        <v>752.0</v>
      </c>
      <c r="EA353" s="36">
        <v>749.0</v>
      </c>
      <c r="EB353" s="36">
        <v>864.0</v>
      </c>
      <c r="EC353" s="363">
        <f>SUM(DY353:EB353)</f>
        <v>3118</v>
      </c>
      <c r="ED353" s="36">
        <v>864.0</v>
      </c>
      <c r="EE353" s="36">
        <f t="shared" ref="EE353:EG353" si="2175">ED353*(1+EE354)</f>
        <v>864</v>
      </c>
      <c r="EF353" s="36">
        <f t="shared" si="2175"/>
        <v>864</v>
      </c>
      <c r="EG353" s="36">
        <f t="shared" si="2175"/>
        <v>864</v>
      </c>
      <c r="EH353" s="363">
        <f>SUM(ED353:EG353)</f>
        <v>3456</v>
      </c>
      <c r="EI353" s="428">
        <f>EG353*(1+EI354)</f>
        <v>864</v>
      </c>
      <c r="EJ353" s="427">
        <f t="shared" ref="EJ353:EL353" si="2176">EI353*(1+EJ354)</f>
        <v>864</v>
      </c>
      <c r="EK353" s="427">
        <f t="shared" si="2176"/>
        <v>864</v>
      </c>
      <c r="EL353" s="427">
        <f t="shared" si="2176"/>
        <v>864</v>
      </c>
      <c r="EM353" s="363">
        <f>SUM(EI353:EL353)</f>
        <v>3456</v>
      </c>
      <c r="EN353" s="427">
        <f>EL353*(1+EN354)</f>
        <v>864</v>
      </c>
      <c r="EO353" s="427">
        <f t="shared" ref="EO353:EQ353" si="2177">EN353*(1+EO354)</f>
        <v>872.64</v>
      </c>
      <c r="EP353" s="427">
        <f t="shared" si="2177"/>
        <v>890.0928</v>
      </c>
      <c r="EQ353" s="427">
        <f t="shared" si="2177"/>
        <v>898.993728</v>
      </c>
      <c r="ER353" s="363">
        <f>SUM(EN353:EQ353)</f>
        <v>3525.726528</v>
      </c>
      <c r="ES353" s="427">
        <f>EQ353*(1+ES354)</f>
        <v>898.993728</v>
      </c>
      <c r="ET353" s="427">
        <f t="shared" ref="ET353:EV353" si="2178">ES353*(1+ET354)</f>
        <v>907.9836653</v>
      </c>
      <c r="EU353" s="427">
        <f t="shared" si="2178"/>
        <v>926.1433386</v>
      </c>
      <c r="EV353" s="427">
        <f t="shared" si="2178"/>
        <v>935.404772</v>
      </c>
      <c r="EW353" s="363">
        <f>SUM(ES353:EV353)</f>
        <v>3668.525504</v>
      </c>
      <c r="EX353" s="427">
        <f>EV353*(1+EX354)</f>
        <v>935.404772</v>
      </c>
      <c r="EY353" s="427">
        <f t="shared" ref="EY353:FA353" si="2179">EX353*(1+EY354)</f>
        <v>944.7588197</v>
      </c>
      <c r="EZ353" s="427">
        <f t="shared" si="2179"/>
        <v>963.6539961</v>
      </c>
      <c r="FA353" s="427">
        <f t="shared" si="2179"/>
        <v>973.290536</v>
      </c>
      <c r="FB353" s="363">
        <f>SUM(EX353:FA353)</f>
        <v>3817.108124</v>
      </c>
      <c r="FC353" s="427">
        <f>FA353*(1+FC354)</f>
        <v>973.290536</v>
      </c>
      <c r="FD353" s="427">
        <f t="shared" ref="FD353:FF353" si="2180">FC353*(1+FD354)</f>
        <v>983.0234414</v>
      </c>
      <c r="FE353" s="427">
        <f t="shared" si="2180"/>
        <v>1002.68391</v>
      </c>
      <c r="FF353" s="427">
        <f t="shared" si="2180"/>
        <v>1012.710749</v>
      </c>
      <c r="FG353" s="363">
        <f>SUM(FC353:FF353)</f>
        <v>3971.708637</v>
      </c>
      <c r="FH353" s="364"/>
      <c r="FI353" s="15"/>
      <c r="FJ353" s="15"/>
      <c r="FK353" s="410"/>
      <c r="FL353" s="15"/>
    </row>
    <row r="354" ht="12.75" hidden="1" customHeight="1" outlineLevel="1">
      <c r="A354" s="493"/>
      <c r="B354" s="494" t="s">
        <v>150</v>
      </c>
      <c r="C354" s="323"/>
      <c r="D354" s="326"/>
      <c r="E354" s="326"/>
      <c r="F354" s="326"/>
      <c r="G354" s="326"/>
      <c r="H354" s="323"/>
      <c r="I354" s="326"/>
      <c r="J354" s="326"/>
      <c r="K354" s="326"/>
      <c r="L354" s="326"/>
      <c r="M354" s="323"/>
      <c r="N354" s="326"/>
      <c r="O354" s="326"/>
      <c r="P354" s="326"/>
      <c r="Q354" s="326"/>
      <c r="R354" s="323"/>
      <c r="S354" s="326"/>
      <c r="T354" s="326"/>
      <c r="U354" s="326"/>
      <c r="V354" s="326"/>
      <c r="W354" s="323"/>
      <c r="X354" s="326"/>
      <c r="Y354" s="326"/>
      <c r="Z354" s="326"/>
      <c r="AA354" s="326"/>
      <c r="AB354" s="323"/>
      <c r="AC354" s="326"/>
      <c r="AD354" s="326"/>
      <c r="AE354" s="326"/>
      <c r="AF354" s="326"/>
      <c r="AG354" s="323"/>
      <c r="AH354" s="326"/>
      <c r="AI354" s="326"/>
      <c r="AJ354" s="326"/>
      <c r="AK354" s="326"/>
      <c r="AL354" s="323"/>
      <c r="AM354" s="326"/>
      <c r="AN354" s="326"/>
      <c r="AO354" s="326"/>
      <c r="AP354" s="326"/>
      <c r="AQ354" s="323"/>
      <c r="AR354" s="326"/>
      <c r="AS354" s="326"/>
      <c r="AT354" s="326"/>
      <c r="AU354" s="326"/>
      <c r="AV354" s="323"/>
      <c r="AW354" s="326"/>
      <c r="AX354" s="326"/>
      <c r="AY354" s="326"/>
      <c r="AZ354" s="326"/>
      <c r="BA354" s="323"/>
      <c r="BB354" s="326"/>
      <c r="BC354" s="326"/>
      <c r="BD354" s="326"/>
      <c r="BE354" s="326"/>
      <c r="BF354" s="323"/>
      <c r="BG354" s="326"/>
      <c r="BH354" s="326"/>
      <c r="BI354" s="326"/>
      <c r="BJ354" s="326"/>
      <c r="BK354" s="323"/>
      <c r="BL354" s="326"/>
      <c r="BM354" s="326"/>
      <c r="BN354" s="326"/>
      <c r="BO354" s="326"/>
      <c r="BP354" s="323"/>
      <c r="BQ354" s="326"/>
      <c r="BR354" s="326"/>
      <c r="BS354" s="326"/>
      <c r="BT354" s="326"/>
      <c r="BU354" s="323"/>
      <c r="BV354" s="326"/>
      <c r="BW354" s="326"/>
      <c r="BX354" s="326"/>
      <c r="BY354" s="326"/>
      <c r="BZ354" s="324"/>
      <c r="CA354" s="326"/>
      <c r="CB354" s="326"/>
      <c r="CC354" s="326"/>
      <c r="CD354" s="326"/>
      <c r="CE354" s="324"/>
      <c r="CF354" s="326"/>
      <c r="CG354" s="326"/>
      <c r="CH354" s="326"/>
      <c r="CI354" s="326"/>
      <c r="CJ354" s="324"/>
      <c r="CK354" s="326"/>
      <c r="CL354" s="326"/>
      <c r="CM354" s="326"/>
      <c r="CN354" s="327"/>
      <c r="CO354" s="324"/>
      <c r="CP354" s="326"/>
      <c r="CQ354" s="326" t="str">
        <f t="shared" ref="CQ354:CS354" si="2181">CQ353/CP353-1</f>
        <v>#ERROR!</v>
      </c>
      <c r="CR354" s="326">
        <f t="shared" si="2181"/>
        <v>0.02352941176</v>
      </c>
      <c r="CS354" s="326">
        <f t="shared" si="2181"/>
        <v>0.02681992337</v>
      </c>
      <c r="CT354" s="324"/>
      <c r="CU354" s="326">
        <f>CU353/CS353-1</f>
        <v>-0.02985074627</v>
      </c>
      <c r="CV354" s="326">
        <f t="shared" ref="CV354:CX354" si="2182">CV353/CU353-1</f>
        <v>0.04230769231</v>
      </c>
      <c r="CW354" s="326">
        <f t="shared" si="2182"/>
        <v>0.0221402214</v>
      </c>
      <c r="CX354" s="326">
        <f t="shared" si="2182"/>
        <v>0.03610108303</v>
      </c>
      <c r="CY354" s="324"/>
      <c r="CZ354" s="326">
        <f>CZ353/CX353-1</f>
        <v>-0.02090592334</v>
      </c>
      <c r="DA354" s="326">
        <f t="shared" ref="DA354:DC354" si="2183">DA353/CZ353-1</f>
        <v>0.09964412811</v>
      </c>
      <c r="DB354" s="326">
        <f t="shared" si="2183"/>
        <v>0.2233009709</v>
      </c>
      <c r="DC354" s="326">
        <f t="shared" si="2183"/>
        <v>-0.04232804233</v>
      </c>
      <c r="DD354" s="324"/>
      <c r="DE354" s="326">
        <f>DE353/DC353-1</f>
        <v>-0.02486187845</v>
      </c>
      <c r="DF354" s="326">
        <f t="shared" ref="DF354:DH354" si="2184">DF353/DE353-1</f>
        <v>-0.01983002833</v>
      </c>
      <c r="DG354" s="327" t="str">
        <f t="shared" si="2184"/>
        <v>#ERROR!</v>
      </c>
      <c r="DH354" s="327" t="str">
        <f t="shared" si="2184"/>
        <v>#ERROR!</v>
      </c>
      <c r="DI354" s="324"/>
      <c r="DJ354" s="326">
        <f>DJ353/DH353-1</f>
        <v>-0.158110883</v>
      </c>
      <c r="DK354" s="326" t="str">
        <f t="shared" ref="DK354:DM354" si="2185">DK353/DJ353-1</f>
        <v>#ERROR!</v>
      </c>
      <c r="DL354" s="326" t="str">
        <f t="shared" si="2185"/>
        <v>#ERROR!</v>
      </c>
      <c r="DM354" s="326">
        <f t="shared" si="2185"/>
        <v>-0.05378486056</v>
      </c>
      <c r="DN354" s="324"/>
      <c r="DO354" s="326">
        <f t="shared" ref="DO354:DR354" si="2186">DO353/DM353-1</f>
        <v>-0.1157894737</v>
      </c>
      <c r="DP354" s="326" t="str">
        <f t="shared" si="2186"/>
        <v>#ERROR!</v>
      </c>
      <c r="DQ354" s="326">
        <f t="shared" si="2186"/>
        <v>0.3428571429</v>
      </c>
      <c r="DR354" s="326">
        <f t="shared" si="2186"/>
        <v>0.4558139535</v>
      </c>
      <c r="DS354" s="324"/>
      <c r="DT354" s="326">
        <f>DT353/DR353-1</f>
        <v>-0.09584664537</v>
      </c>
      <c r="DU354" s="326">
        <f t="shared" ref="DU354:DW354" si="2187">DU353/DT353-1</f>
        <v>0.6537102473</v>
      </c>
      <c r="DV354" s="326">
        <f t="shared" si="2187"/>
        <v>-0.1944444444</v>
      </c>
      <c r="DW354" s="326">
        <f t="shared" si="2187"/>
        <v>0.04907161804</v>
      </c>
      <c r="DX354" s="324"/>
      <c r="DY354" s="326">
        <f>DY353/DW353-1</f>
        <v>-0.04804045512</v>
      </c>
      <c r="DZ354" s="326">
        <f t="shared" ref="DZ354:EB354" si="2188">DZ353/DY353-1</f>
        <v>-0.001328021248</v>
      </c>
      <c r="EA354" s="326">
        <f t="shared" si="2188"/>
        <v>-0.003989361702</v>
      </c>
      <c r="EB354" s="326">
        <f t="shared" si="2188"/>
        <v>0.1535380507</v>
      </c>
      <c r="EC354" s="324"/>
      <c r="ED354" s="326">
        <f>ED353/EB353-1</f>
        <v>0</v>
      </c>
      <c r="EE354" s="326">
        <v>0.0</v>
      </c>
      <c r="EF354" s="326">
        <v>0.0</v>
      </c>
      <c r="EG354" s="326">
        <v>0.0</v>
      </c>
      <c r="EH354" s="324"/>
      <c r="EI354" s="495">
        <v>0.0</v>
      </c>
      <c r="EJ354" s="496">
        <v>0.0</v>
      </c>
      <c r="EK354" s="496">
        <v>0.0</v>
      </c>
      <c r="EL354" s="496">
        <v>0.0</v>
      </c>
      <c r="EM354" s="324"/>
      <c r="EN354" s="496">
        <v>0.0</v>
      </c>
      <c r="EO354" s="496">
        <v>0.01</v>
      </c>
      <c r="EP354" s="496">
        <v>0.02</v>
      </c>
      <c r="EQ354" s="496">
        <v>0.01</v>
      </c>
      <c r="ER354" s="324"/>
      <c r="ES354" s="496">
        <v>0.0</v>
      </c>
      <c r="ET354" s="496">
        <v>0.01</v>
      </c>
      <c r="EU354" s="496">
        <v>0.02</v>
      </c>
      <c r="EV354" s="496">
        <v>0.01</v>
      </c>
      <c r="EW354" s="324"/>
      <c r="EX354" s="496">
        <v>0.0</v>
      </c>
      <c r="EY354" s="496">
        <v>0.01</v>
      </c>
      <c r="EZ354" s="496">
        <v>0.02</v>
      </c>
      <c r="FA354" s="496">
        <v>0.01</v>
      </c>
      <c r="FB354" s="324"/>
      <c r="FC354" s="496">
        <v>0.0</v>
      </c>
      <c r="FD354" s="496">
        <v>0.01</v>
      </c>
      <c r="FE354" s="496">
        <v>0.02</v>
      </c>
      <c r="FF354" s="496">
        <v>0.01</v>
      </c>
      <c r="FG354" s="324"/>
      <c r="FH354" s="325"/>
      <c r="FI354" s="326"/>
      <c r="FJ354" s="326"/>
      <c r="FK354" s="323"/>
      <c r="FL354" s="326"/>
    </row>
    <row r="355" ht="12.75" hidden="1" customHeight="1" outlineLevel="1">
      <c r="A355" s="476"/>
      <c r="B355" s="72"/>
      <c r="C355" s="45"/>
      <c r="D355" s="15"/>
      <c r="E355" s="15"/>
      <c r="F355" s="15"/>
      <c r="G355" s="15"/>
      <c r="H355" s="410"/>
      <c r="I355" s="15"/>
      <c r="J355" s="15"/>
      <c r="K355" s="15"/>
      <c r="L355" s="15"/>
      <c r="M355" s="410"/>
      <c r="N355" s="15"/>
      <c r="O355" s="15"/>
      <c r="P355" s="15"/>
      <c r="Q355" s="15"/>
      <c r="R355" s="410"/>
      <c r="S355" s="15"/>
      <c r="T355" s="15"/>
      <c r="U355" s="15"/>
      <c r="V355" s="15"/>
      <c r="W355" s="410"/>
      <c r="X355" s="15"/>
      <c r="Y355" s="15"/>
      <c r="Z355" s="15"/>
      <c r="AA355" s="15"/>
      <c r="AB355" s="410"/>
      <c r="AC355" s="15"/>
      <c r="AD355" s="15"/>
      <c r="AE355" s="15"/>
      <c r="AF355" s="15"/>
      <c r="AG355" s="410"/>
      <c r="AH355" s="15"/>
      <c r="AI355" s="15"/>
      <c r="AJ355" s="15"/>
      <c r="AK355" s="15"/>
      <c r="AL355" s="410"/>
      <c r="AM355" s="15"/>
      <c r="AN355" s="15"/>
      <c r="AO355" s="15"/>
      <c r="AP355" s="15"/>
      <c r="AQ355" s="410"/>
      <c r="AR355" s="15"/>
      <c r="AS355" s="15"/>
      <c r="AT355" s="15"/>
      <c r="AU355" s="15"/>
      <c r="AV355" s="410"/>
      <c r="AW355" s="15"/>
      <c r="AX355" s="15"/>
      <c r="AY355" s="15"/>
      <c r="AZ355" s="15"/>
      <c r="BA355" s="410"/>
      <c r="BB355" s="15"/>
      <c r="BC355" s="15"/>
      <c r="BD355" s="15"/>
      <c r="BE355" s="15"/>
      <c r="BF355" s="410"/>
      <c r="BG355" s="15"/>
      <c r="BH355" s="15"/>
      <c r="BI355" s="15"/>
      <c r="BJ355" s="15"/>
      <c r="BK355" s="410"/>
      <c r="BL355" s="15"/>
      <c r="BM355" s="15"/>
      <c r="BN355" s="15"/>
      <c r="BO355" s="15"/>
      <c r="BP355" s="410"/>
      <c r="BQ355" s="15"/>
      <c r="BR355" s="15"/>
      <c r="BS355" s="15"/>
      <c r="BT355" s="15"/>
      <c r="BU355" s="410"/>
      <c r="BV355" s="15"/>
      <c r="BW355" s="15"/>
      <c r="BX355" s="15"/>
      <c r="BY355" s="15"/>
      <c r="BZ355" s="24"/>
      <c r="CA355" s="15"/>
      <c r="CB355" s="15"/>
      <c r="CC355" s="15"/>
      <c r="CD355" s="15"/>
      <c r="CE355" s="24"/>
      <c r="CF355" s="15"/>
      <c r="CG355" s="15"/>
      <c r="CH355" s="15"/>
      <c r="CI355" s="15"/>
      <c r="CJ355" s="24"/>
      <c r="CK355" s="15"/>
      <c r="CL355" s="15"/>
      <c r="CM355" s="15"/>
      <c r="CN355" s="40"/>
      <c r="CO355" s="24"/>
      <c r="CP355" s="427"/>
      <c r="CQ355" s="427"/>
      <c r="CR355" s="427"/>
      <c r="CS355" s="427"/>
      <c r="CT355" s="363"/>
      <c r="CU355" s="427"/>
      <c r="CV355" s="427"/>
      <c r="CW355" s="427"/>
      <c r="CX355" s="427"/>
      <c r="CY355" s="363"/>
      <c r="CZ355" s="427"/>
      <c r="DA355" s="427"/>
      <c r="DB355" s="427"/>
      <c r="DC355" s="427"/>
      <c r="DD355" s="363"/>
      <c r="DE355" s="427"/>
      <c r="DF355" s="427"/>
      <c r="DG355" s="36"/>
      <c r="DH355" s="427"/>
      <c r="DI355" s="363"/>
      <c r="DJ355" s="433"/>
      <c r="DK355" s="497"/>
      <c r="DL355" s="497"/>
      <c r="DM355" s="433"/>
      <c r="DN355" s="363"/>
      <c r="DO355" s="433"/>
      <c r="DP355" s="433"/>
      <c r="DQ355" s="433"/>
      <c r="DR355" s="433"/>
      <c r="DS355" s="363"/>
      <c r="DT355" s="433"/>
      <c r="DU355" s="433"/>
      <c r="DV355" s="433"/>
      <c r="DW355" s="433"/>
      <c r="DX355" s="363"/>
      <c r="DY355" s="433"/>
      <c r="DZ355" s="433"/>
      <c r="EA355" s="433"/>
      <c r="EB355" s="433"/>
      <c r="EC355" s="363"/>
      <c r="ED355" s="433"/>
      <c r="EE355" s="433"/>
      <c r="EF355" s="433"/>
      <c r="EG355" s="433"/>
      <c r="EH355" s="363"/>
      <c r="EI355" s="431"/>
      <c r="EJ355" s="432"/>
      <c r="EK355" s="432"/>
      <c r="EL355" s="432"/>
      <c r="EM355" s="363"/>
      <c r="EN355" s="432"/>
      <c r="EO355" s="432"/>
      <c r="EP355" s="432"/>
      <c r="EQ355" s="432"/>
      <c r="ER355" s="363"/>
      <c r="ES355" s="432"/>
      <c r="ET355" s="432"/>
      <c r="EU355" s="432"/>
      <c r="EV355" s="432"/>
      <c r="EW355" s="363"/>
      <c r="EX355" s="432"/>
      <c r="EY355" s="432"/>
      <c r="EZ355" s="432"/>
      <c r="FA355" s="432"/>
      <c r="FB355" s="363"/>
      <c r="FC355" s="432"/>
      <c r="FD355" s="432"/>
      <c r="FE355" s="432"/>
      <c r="FF355" s="432"/>
      <c r="FG355" s="363"/>
      <c r="FH355" s="364"/>
      <c r="FI355" s="15"/>
      <c r="FJ355" s="15"/>
      <c r="FK355" s="410"/>
      <c r="FL355" s="15"/>
    </row>
    <row r="356" ht="12.75" hidden="1" customHeight="1" outlineLevel="1">
      <c r="A356" s="476"/>
      <c r="B356" s="86" t="s">
        <v>209</v>
      </c>
      <c r="C356" s="45"/>
      <c r="D356" s="15"/>
      <c r="E356" s="15"/>
      <c r="F356" s="15"/>
      <c r="G356" s="15"/>
      <c r="H356" s="410"/>
      <c r="I356" s="15"/>
      <c r="J356" s="15"/>
      <c r="K356" s="15"/>
      <c r="L356" s="15"/>
      <c r="M356" s="410"/>
      <c r="N356" s="15"/>
      <c r="O356" s="15"/>
      <c r="P356" s="15"/>
      <c r="Q356" s="15"/>
      <c r="R356" s="410"/>
      <c r="S356" s="15"/>
      <c r="T356" s="15"/>
      <c r="U356" s="15"/>
      <c r="V356" s="15"/>
      <c r="W356" s="410"/>
      <c r="X356" s="15"/>
      <c r="Y356" s="15"/>
      <c r="Z356" s="15"/>
      <c r="AA356" s="15"/>
      <c r="AB356" s="410"/>
      <c r="AC356" s="15"/>
      <c r="AD356" s="15"/>
      <c r="AE356" s="15"/>
      <c r="AF356" s="15"/>
      <c r="AG356" s="410"/>
      <c r="AH356" s="15"/>
      <c r="AI356" s="15"/>
      <c r="AJ356" s="15"/>
      <c r="AK356" s="15"/>
      <c r="AL356" s="410"/>
      <c r="AM356" s="15"/>
      <c r="AN356" s="15"/>
      <c r="AO356" s="15"/>
      <c r="AP356" s="15"/>
      <c r="AQ356" s="410"/>
      <c r="AR356" s="15"/>
      <c r="AS356" s="15"/>
      <c r="AT356" s="15"/>
      <c r="AU356" s="15"/>
      <c r="AV356" s="410"/>
      <c r="AW356" s="15"/>
      <c r="AX356" s="15"/>
      <c r="AY356" s="15"/>
      <c r="AZ356" s="15"/>
      <c r="BA356" s="410"/>
      <c r="BB356" s="15"/>
      <c r="BC356" s="15"/>
      <c r="BD356" s="15"/>
      <c r="BE356" s="15"/>
      <c r="BF356" s="410"/>
      <c r="BG356" s="15"/>
      <c r="BH356" s="15"/>
      <c r="BI356" s="15"/>
      <c r="BJ356" s="15"/>
      <c r="BK356" s="410"/>
      <c r="BL356" s="15"/>
      <c r="BM356" s="15"/>
      <c r="BN356" s="15"/>
      <c r="BO356" s="15"/>
      <c r="BP356" s="410"/>
      <c r="BQ356" s="15"/>
      <c r="BR356" s="15"/>
      <c r="BS356" s="15"/>
      <c r="BT356" s="15"/>
      <c r="BU356" s="410"/>
      <c r="BV356" s="15"/>
      <c r="BW356" s="15"/>
      <c r="BX356" s="15"/>
      <c r="BY356" s="15"/>
      <c r="BZ356" s="24"/>
      <c r="CA356" s="15"/>
      <c r="CB356" s="15"/>
      <c r="CC356" s="15"/>
      <c r="CD356" s="15"/>
      <c r="CE356" s="24"/>
      <c r="CF356" s="15"/>
      <c r="CG356" s="15"/>
      <c r="CH356" s="15"/>
      <c r="CI356" s="15"/>
      <c r="CJ356" s="24"/>
      <c r="CK356" s="15"/>
      <c r="CL356" s="15"/>
      <c r="CM356" s="15"/>
      <c r="CN356" s="40"/>
      <c r="CO356" s="24"/>
      <c r="CP356" s="498" t="str">
        <f t="shared" ref="CP356:FG356" si="2189">CP324-CP338-CP353</f>
        <v>#ERROR!</v>
      </c>
      <c r="CQ356" s="498">
        <f t="shared" si="2189"/>
        <v>0</v>
      </c>
      <c r="CR356" s="498">
        <f t="shared" si="2189"/>
        <v>0</v>
      </c>
      <c r="CS356" s="498">
        <f t="shared" si="2189"/>
        <v>0</v>
      </c>
      <c r="CT356" s="499" t="str">
        <f t="shared" si="2189"/>
        <v>#ERROR!</v>
      </c>
      <c r="CU356" s="498">
        <f t="shared" si="2189"/>
        <v>0</v>
      </c>
      <c r="CV356" s="498">
        <f t="shared" si="2189"/>
        <v>0</v>
      </c>
      <c r="CW356" s="498">
        <f t="shared" si="2189"/>
        <v>0</v>
      </c>
      <c r="CX356" s="498">
        <f t="shared" si="2189"/>
        <v>0</v>
      </c>
      <c r="CY356" s="499">
        <f t="shared" si="2189"/>
        <v>0</v>
      </c>
      <c r="CZ356" s="498">
        <f t="shared" si="2189"/>
        <v>0</v>
      </c>
      <c r="DA356" s="498">
        <f t="shared" si="2189"/>
        <v>0</v>
      </c>
      <c r="DB356" s="498">
        <f t="shared" si="2189"/>
        <v>0</v>
      </c>
      <c r="DC356" s="498">
        <f t="shared" si="2189"/>
        <v>0</v>
      </c>
      <c r="DD356" s="499">
        <f t="shared" si="2189"/>
        <v>0</v>
      </c>
      <c r="DE356" s="498">
        <f t="shared" si="2189"/>
        <v>0</v>
      </c>
      <c r="DF356" s="498">
        <f t="shared" si="2189"/>
        <v>0</v>
      </c>
      <c r="DG356" s="500" t="str">
        <f t="shared" si="2189"/>
        <v>#ERROR!</v>
      </c>
      <c r="DH356" s="498">
        <f t="shared" si="2189"/>
        <v>0</v>
      </c>
      <c r="DI356" s="499" t="str">
        <f t="shared" si="2189"/>
        <v>#ERROR!</v>
      </c>
      <c r="DJ356" s="500" t="str">
        <f t="shared" si="2189"/>
        <v>#ERROR!</v>
      </c>
      <c r="DK356" s="500" t="str">
        <f t="shared" si="2189"/>
        <v>#ERROR!</v>
      </c>
      <c r="DL356" s="500">
        <f t="shared" si="2189"/>
        <v>0</v>
      </c>
      <c r="DM356" s="500">
        <f t="shared" si="2189"/>
        <v>0</v>
      </c>
      <c r="DN356" s="499" t="str">
        <f t="shared" si="2189"/>
        <v>#ERROR!</v>
      </c>
      <c r="DO356" s="500">
        <f t="shared" si="2189"/>
        <v>0</v>
      </c>
      <c r="DP356" s="500">
        <f t="shared" si="2189"/>
        <v>0</v>
      </c>
      <c r="DQ356" s="500">
        <f t="shared" si="2189"/>
        <v>0</v>
      </c>
      <c r="DR356" s="500">
        <f t="shared" si="2189"/>
        <v>0</v>
      </c>
      <c r="DS356" s="499">
        <f t="shared" si="2189"/>
        <v>0</v>
      </c>
      <c r="DT356" s="500">
        <f t="shared" si="2189"/>
        <v>0</v>
      </c>
      <c r="DU356" s="500">
        <f t="shared" si="2189"/>
        <v>0</v>
      </c>
      <c r="DV356" s="500">
        <f t="shared" si="2189"/>
        <v>0</v>
      </c>
      <c r="DW356" s="500">
        <f t="shared" si="2189"/>
        <v>0</v>
      </c>
      <c r="DX356" s="499">
        <f t="shared" si="2189"/>
        <v>0</v>
      </c>
      <c r="DY356" s="500">
        <f t="shared" si="2189"/>
        <v>0</v>
      </c>
      <c r="DZ356" s="500">
        <f t="shared" si="2189"/>
        <v>0</v>
      </c>
      <c r="EA356" s="500" t="str">
        <f t="shared" si="2189"/>
        <v>#ERROR!</v>
      </c>
      <c r="EB356" s="500" t="str">
        <f t="shared" si="2189"/>
        <v>#ERROR!</v>
      </c>
      <c r="EC356" s="499" t="str">
        <f t="shared" si="2189"/>
        <v>#ERROR!</v>
      </c>
      <c r="ED356" s="500" t="str">
        <f t="shared" si="2189"/>
        <v>#ERROR!</v>
      </c>
      <c r="EE356" s="500" t="str">
        <f t="shared" si="2189"/>
        <v>#ERROR!</v>
      </c>
      <c r="EF356" s="500" t="str">
        <f t="shared" si="2189"/>
        <v>#ERROR!</v>
      </c>
      <c r="EG356" s="500" t="str">
        <f t="shared" si="2189"/>
        <v>#ERROR!</v>
      </c>
      <c r="EH356" s="499" t="str">
        <f t="shared" si="2189"/>
        <v>#ERROR!</v>
      </c>
      <c r="EI356" s="501" t="str">
        <f t="shared" si="2189"/>
        <v>#ERROR!</v>
      </c>
      <c r="EJ356" s="498" t="str">
        <f t="shared" si="2189"/>
        <v>#ERROR!</v>
      </c>
      <c r="EK356" s="498" t="str">
        <f t="shared" si="2189"/>
        <v>#ERROR!</v>
      </c>
      <c r="EL356" s="498" t="str">
        <f t="shared" si="2189"/>
        <v>#ERROR!</v>
      </c>
      <c r="EM356" s="499" t="str">
        <f t="shared" si="2189"/>
        <v>#ERROR!</v>
      </c>
      <c r="EN356" s="498" t="str">
        <f t="shared" si="2189"/>
        <v>#ERROR!</v>
      </c>
      <c r="EO356" s="498" t="str">
        <f t="shared" si="2189"/>
        <v>#ERROR!</v>
      </c>
      <c r="EP356" s="498" t="str">
        <f t="shared" si="2189"/>
        <v>#ERROR!</v>
      </c>
      <c r="EQ356" s="498" t="str">
        <f t="shared" si="2189"/>
        <v>#ERROR!</v>
      </c>
      <c r="ER356" s="499" t="str">
        <f t="shared" si="2189"/>
        <v>#ERROR!</v>
      </c>
      <c r="ES356" s="498" t="str">
        <f t="shared" si="2189"/>
        <v>#ERROR!</v>
      </c>
      <c r="ET356" s="498" t="str">
        <f t="shared" si="2189"/>
        <v>#ERROR!</v>
      </c>
      <c r="EU356" s="498" t="str">
        <f t="shared" si="2189"/>
        <v>#ERROR!</v>
      </c>
      <c r="EV356" s="498" t="str">
        <f t="shared" si="2189"/>
        <v>#ERROR!</v>
      </c>
      <c r="EW356" s="499" t="str">
        <f t="shared" si="2189"/>
        <v>#ERROR!</v>
      </c>
      <c r="EX356" s="498" t="str">
        <f t="shared" si="2189"/>
        <v>#ERROR!</v>
      </c>
      <c r="EY356" s="498" t="str">
        <f t="shared" si="2189"/>
        <v>#ERROR!</v>
      </c>
      <c r="EZ356" s="498" t="str">
        <f t="shared" si="2189"/>
        <v>#ERROR!</v>
      </c>
      <c r="FA356" s="498" t="str">
        <f t="shared" si="2189"/>
        <v>#ERROR!</v>
      </c>
      <c r="FB356" s="499" t="str">
        <f t="shared" si="2189"/>
        <v>#ERROR!</v>
      </c>
      <c r="FC356" s="498" t="str">
        <f t="shared" si="2189"/>
        <v>#ERROR!</v>
      </c>
      <c r="FD356" s="498" t="str">
        <f t="shared" si="2189"/>
        <v>#ERROR!</v>
      </c>
      <c r="FE356" s="498" t="str">
        <f t="shared" si="2189"/>
        <v>#ERROR!</v>
      </c>
      <c r="FF356" s="498" t="str">
        <f t="shared" si="2189"/>
        <v>#ERROR!</v>
      </c>
      <c r="FG356" s="499" t="str">
        <f t="shared" si="2189"/>
        <v>#ERROR!</v>
      </c>
      <c r="FH356" s="500"/>
      <c r="FI356" s="15"/>
      <c r="FJ356" s="15"/>
      <c r="FK356" s="410"/>
      <c r="FL356" s="15"/>
    </row>
    <row r="357" ht="12.75" hidden="1" customHeight="1" outlineLevel="1">
      <c r="A357" s="502"/>
      <c r="B357" s="503" t="s">
        <v>222</v>
      </c>
      <c r="C357" s="503"/>
      <c r="D357" s="504"/>
      <c r="E357" s="504"/>
      <c r="F357" s="504"/>
      <c r="G357" s="504"/>
      <c r="H357" s="505"/>
      <c r="I357" s="504"/>
      <c r="J357" s="504"/>
      <c r="K357" s="504"/>
      <c r="L357" s="504"/>
      <c r="M357" s="505"/>
      <c r="N357" s="504"/>
      <c r="O357" s="504"/>
      <c r="P357" s="504"/>
      <c r="Q357" s="504"/>
      <c r="R357" s="505"/>
      <c r="S357" s="504"/>
      <c r="T357" s="504"/>
      <c r="U357" s="504"/>
      <c r="V357" s="504"/>
      <c r="W357" s="505"/>
      <c r="X357" s="504"/>
      <c r="Y357" s="504"/>
      <c r="Z357" s="504"/>
      <c r="AA357" s="504"/>
      <c r="AB357" s="505"/>
      <c r="AC357" s="504"/>
      <c r="AD357" s="504"/>
      <c r="AE357" s="504"/>
      <c r="AF357" s="504"/>
      <c r="AG357" s="505"/>
      <c r="AH357" s="504"/>
      <c r="AI357" s="504"/>
      <c r="AJ357" s="504"/>
      <c r="AK357" s="504"/>
      <c r="AL357" s="505"/>
      <c r="AM357" s="504"/>
      <c r="AN357" s="504"/>
      <c r="AO357" s="504"/>
      <c r="AP357" s="504"/>
      <c r="AQ357" s="505"/>
      <c r="AR357" s="504"/>
      <c r="AS357" s="504"/>
      <c r="AT357" s="504"/>
      <c r="AU357" s="504"/>
      <c r="AV357" s="505"/>
      <c r="AW357" s="504"/>
      <c r="AX357" s="504"/>
      <c r="AY357" s="504"/>
      <c r="AZ357" s="504"/>
      <c r="BA357" s="505"/>
      <c r="BB357" s="504"/>
      <c r="BC357" s="504"/>
      <c r="BD357" s="504"/>
      <c r="BE357" s="504"/>
      <c r="BF357" s="505"/>
      <c r="BG357" s="504"/>
      <c r="BH357" s="504"/>
      <c r="BI357" s="504"/>
      <c r="BJ357" s="504"/>
      <c r="BK357" s="505"/>
      <c r="BL357" s="504"/>
      <c r="BM357" s="504"/>
      <c r="BN357" s="504"/>
      <c r="BO357" s="504"/>
      <c r="BP357" s="505"/>
      <c r="BQ357" s="504"/>
      <c r="BR357" s="504"/>
      <c r="BS357" s="504"/>
      <c r="BT357" s="504"/>
      <c r="BU357" s="505"/>
      <c r="BV357" s="504"/>
      <c r="BW357" s="504"/>
      <c r="BX357" s="504"/>
      <c r="BY357" s="504"/>
      <c r="BZ357" s="24"/>
      <c r="CA357" s="504"/>
      <c r="CB357" s="504"/>
      <c r="CC357" s="504"/>
      <c r="CD357" s="504"/>
      <c r="CE357" s="24"/>
      <c r="CF357" s="504"/>
      <c r="CG357" s="504"/>
      <c r="CH357" s="504"/>
      <c r="CI357" s="504"/>
      <c r="CJ357" s="363">
        <v>1600.0</v>
      </c>
      <c r="CK357" s="504"/>
      <c r="CL357" s="504"/>
      <c r="CM357" s="504"/>
      <c r="CN357" s="504"/>
      <c r="CO357" s="363">
        <v>1801.0</v>
      </c>
      <c r="CP357" s="506">
        <v>482.0</v>
      </c>
      <c r="CQ357" s="506">
        <v>539.0</v>
      </c>
      <c r="CR357" s="506">
        <v>530.0</v>
      </c>
      <c r="CS357" s="506">
        <v>591.0</v>
      </c>
      <c r="CT357" s="363">
        <f>SUM(CP357:CS357)</f>
        <v>2142</v>
      </c>
      <c r="CU357" s="506">
        <v>533.0</v>
      </c>
      <c r="CV357" s="506">
        <v>559.0</v>
      </c>
      <c r="CW357" s="506">
        <v>581.0</v>
      </c>
      <c r="CX357" s="506">
        <v>625.0</v>
      </c>
      <c r="CY357" s="363">
        <f>SUM(CU357:CX357)</f>
        <v>2298</v>
      </c>
      <c r="CZ357" s="506">
        <f t="shared" ref="CZ357:DC357" si="2190">CZ359+CZ361</f>
        <v>651</v>
      </c>
      <c r="DA357" s="506">
        <f t="shared" si="2190"/>
        <v>572</v>
      </c>
      <c r="DB357" s="506">
        <f t="shared" si="2190"/>
        <v>689</v>
      </c>
      <c r="DC357" s="506">
        <f t="shared" si="2190"/>
        <v>726</v>
      </c>
      <c r="DD357" s="363">
        <f>SUM(CZ357:DC357)</f>
        <v>2638</v>
      </c>
      <c r="DE357" s="506">
        <f t="shared" ref="DE357:DF357" si="2191">DE359+DE361</f>
        <v>721</v>
      </c>
      <c r="DF357" s="506">
        <f t="shared" si="2191"/>
        <v>720</v>
      </c>
      <c r="DG357" s="506">
        <v>849.0</v>
      </c>
      <c r="DH357" s="506">
        <f>DH359+DH361</f>
        <v>879</v>
      </c>
      <c r="DI357" s="363">
        <f>SUM(DE357:DH357)</f>
        <v>3169</v>
      </c>
      <c r="DJ357" s="506">
        <v>840.0</v>
      </c>
      <c r="DK357" s="506">
        <v>880.0</v>
      </c>
      <c r="DL357" s="506">
        <f>DL359+DL361</f>
        <v>919</v>
      </c>
      <c r="DM357" s="506">
        <v>816.0</v>
      </c>
      <c r="DN357" s="363">
        <f>SUM(DJ357:DM357)</f>
        <v>3455</v>
      </c>
      <c r="DO357" s="506">
        <f t="shared" ref="DO357:DQ357" si="2192">DO359+DO361</f>
        <v>910</v>
      </c>
      <c r="DP357" s="506">
        <f t="shared" si="2192"/>
        <v>986</v>
      </c>
      <c r="DQ357" s="506">
        <f t="shared" si="2192"/>
        <v>1005</v>
      </c>
      <c r="DR357" s="506">
        <v>920.0</v>
      </c>
      <c r="DS357" s="363">
        <f>SUM(DO357:DR357)</f>
        <v>3821</v>
      </c>
      <c r="DT357" s="506">
        <v>883.0</v>
      </c>
      <c r="DU357" s="506">
        <v>670.0</v>
      </c>
      <c r="DV357" s="506">
        <v>677.0</v>
      </c>
      <c r="DW357" s="506">
        <v>777.0</v>
      </c>
      <c r="DX357" s="363">
        <f>SUM(DT357:DW357)</f>
        <v>3007</v>
      </c>
      <c r="DY357" s="506">
        <v>914.0</v>
      </c>
      <c r="DZ357" s="506">
        <v>984.0</v>
      </c>
      <c r="EA357" s="506">
        <v>1042.0</v>
      </c>
      <c r="EB357" s="506">
        <v>1058.0</v>
      </c>
      <c r="EC357" s="363">
        <f>SUM(DY357:EB357)</f>
        <v>3998</v>
      </c>
      <c r="ED357" s="506">
        <v>1058.0</v>
      </c>
      <c r="EE357" s="506">
        <f t="shared" ref="EE357:EG357" si="2193">EE359+EE361</f>
        <v>1068.58</v>
      </c>
      <c r="EF357" s="506">
        <f t="shared" si="2193"/>
        <v>1079.2658</v>
      </c>
      <c r="EG357" s="506">
        <f t="shared" si="2193"/>
        <v>1090.058458</v>
      </c>
      <c r="EH357" s="363">
        <f>SUM(ED357:EG357)</f>
        <v>4295.904258</v>
      </c>
      <c r="EI357" s="426">
        <f t="shared" ref="EI357:EL357" si="2194">EI359+EI361</f>
        <v>1122.760212</v>
      </c>
      <c r="EJ357" s="506">
        <f t="shared" si="2194"/>
        <v>1190.125824</v>
      </c>
      <c r="EK357" s="506">
        <f t="shared" si="2194"/>
        <v>1273.434632</v>
      </c>
      <c r="EL357" s="506">
        <f t="shared" si="2194"/>
        <v>1337.106364</v>
      </c>
      <c r="EM357" s="363">
        <f>SUM(EI357:EL357)</f>
        <v>4923.427032</v>
      </c>
      <c r="EN357" s="506">
        <f t="shared" ref="EN357:EQ357" si="2195">EN359+EN361</f>
        <v>1337.106364</v>
      </c>
      <c r="EO357" s="506">
        <f t="shared" si="2195"/>
        <v>1337.106364</v>
      </c>
      <c r="EP357" s="506">
        <f t="shared" si="2195"/>
        <v>1430.703809</v>
      </c>
      <c r="EQ357" s="506">
        <f t="shared" si="2195"/>
        <v>1502.239</v>
      </c>
      <c r="ER357" s="363">
        <f>SUM(EN357:EQ357)</f>
        <v>5607.155536</v>
      </c>
      <c r="ES357" s="506">
        <f t="shared" ref="ES357:EV357" si="2196">ES359+ES361</f>
        <v>1502.239</v>
      </c>
      <c r="ET357" s="506">
        <f t="shared" si="2196"/>
        <v>1502.239</v>
      </c>
      <c r="EU357" s="506">
        <f t="shared" si="2196"/>
        <v>1607.39573</v>
      </c>
      <c r="EV357" s="506">
        <f t="shared" si="2196"/>
        <v>1687.765516</v>
      </c>
      <c r="EW357" s="363">
        <f>SUM(ES357:EV357)</f>
        <v>6299.639245</v>
      </c>
      <c r="EX357" s="506">
        <f t="shared" ref="EX357:FA357" si="2197">EX359+EX361</f>
        <v>1687.765516</v>
      </c>
      <c r="EY357" s="506">
        <f t="shared" si="2197"/>
        <v>1687.765516</v>
      </c>
      <c r="EZ357" s="506">
        <f t="shared" si="2197"/>
        <v>1805.909102</v>
      </c>
      <c r="FA357" s="506">
        <f t="shared" si="2197"/>
        <v>1896.204557</v>
      </c>
      <c r="FB357" s="363">
        <f>SUM(EX357:FA357)</f>
        <v>7077.644692</v>
      </c>
      <c r="FC357" s="506">
        <f t="shared" ref="FC357:FF357" si="2198">FC359+FC361</f>
        <v>1896.204557</v>
      </c>
      <c r="FD357" s="506">
        <f t="shared" si="2198"/>
        <v>1896.204557</v>
      </c>
      <c r="FE357" s="506">
        <f t="shared" si="2198"/>
        <v>2028.938876</v>
      </c>
      <c r="FF357" s="506">
        <f t="shared" si="2198"/>
        <v>2130.38582</v>
      </c>
      <c r="FG357" s="363">
        <f>SUM(FC357:FF357)</f>
        <v>7951.733811</v>
      </c>
      <c r="FH357" s="504"/>
      <c r="FI357" s="504"/>
      <c r="FJ357" s="504"/>
      <c r="FK357" s="505"/>
      <c r="FL357" s="504"/>
    </row>
    <row r="358" ht="12.75" hidden="1" customHeight="1" outlineLevel="1">
      <c r="A358" s="507"/>
      <c r="B358" s="508" t="s">
        <v>146</v>
      </c>
      <c r="C358" s="509"/>
      <c r="D358" s="507"/>
      <c r="E358" s="507"/>
      <c r="F358" s="507"/>
      <c r="G358" s="507"/>
      <c r="H358" s="509"/>
      <c r="I358" s="507"/>
      <c r="J358" s="507"/>
      <c r="K358" s="507"/>
      <c r="L358" s="507"/>
      <c r="M358" s="509"/>
      <c r="N358" s="507"/>
      <c r="O358" s="507"/>
      <c r="P358" s="507"/>
      <c r="Q358" s="507"/>
      <c r="R358" s="509"/>
      <c r="S358" s="507"/>
      <c r="T358" s="507"/>
      <c r="U358" s="507"/>
      <c r="V358" s="507"/>
      <c r="W358" s="509"/>
      <c r="X358" s="507"/>
      <c r="Y358" s="507"/>
      <c r="Z358" s="507"/>
      <c r="AA358" s="507"/>
      <c r="AB358" s="509"/>
      <c r="AC358" s="507"/>
      <c r="AD358" s="507"/>
      <c r="AE358" s="507"/>
      <c r="AF358" s="507"/>
      <c r="AG358" s="509"/>
      <c r="AH358" s="507"/>
      <c r="AI358" s="507"/>
      <c r="AJ358" s="507"/>
      <c r="AK358" s="507"/>
      <c r="AL358" s="509"/>
      <c r="AM358" s="507"/>
      <c r="AN358" s="507"/>
      <c r="AO358" s="507"/>
      <c r="AP358" s="507"/>
      <c r="AQ358" s="509"/>
      <c r="AR358" s="507"/>
      <c r="AS358" s="507"/>
      <c r="AT358" s="507"/>
      <c r="AU358" s="507"/>
      <c r="AV358" s="509"/>
      <c r="AW358" s="507"/>
      <c r="AX358" s="507"/>
      <c r="AY358" s="507"/>
      <c r="AZ358" s="507"/>
      <c r="BA358" s="509"/>
      <c r="BB358" s="507"/>
      <c r="BC358" s="507"/>
      <c r="BD358" s="507"/>
      <c r="BE358" s="507"/>
      <c r="BF358" s="509"/>
      <c r="BG358" s="507"/>
      <c r="BH358" s="507"/>
      <c r="BI358" s="507"/>
      <c r="BJ358" s="507"/>
      <c r="BK358" s="509"/>
      <c r="BL358" s="507"/>
      <c r="BM358" s="507"/>
      <c r="BN358" s="507"/>
      <c r="BO358" s="507"/>
      <c r="BP358" s="509"/>
      <c r="BQ358" s="507"/>
      <c r="BR358" s="507"/>
      <c r="BS358" s="507"/>
      <c r="BT358" s="507"/>
      <c r="BU358" s="509"/>
      <c r="BV358" s="507"/>
      <c r="BW358" s="507"/>
      <c r="BX358" s="507"/>
      <c r="BY358" s="507"/>
      <c r="BZ358" s="510"/>
      <c r="CA358" s="507"/>
      <c r="CB358" s="507"/>
      <c r="CC358" s="507"/>
      <c r="CD358" s="507"/>
      <c r="CE358" s="510"/>
      <c r="CF358" s="507"/>
      <c r="CG358" s="507"/>
      <c r="CH358" s="507"/>
      <c r="CI358" s="507"/>
      <c r="CJ358" s="510"/>
      <c r="CK358" s="507"/>
      <c r="CL358" s="507"/>
      <c r="CM358" s="507"/>
      <c r="CN358" s="507"/>
      <c r="CO358" s="511">
        <f>(CO357-CJ357)/CJ357</f>
        <v>0.125625</v>
      </c>
      <c r="CP358" s="509"/>
      <c r="CQ358" s="509"/>
      <c r="CR358" s="509"/>
      <c r="CS358" s="509"/>
      <c r="CT358" s="511">
        <f t="shared" ref="CT358:FG358" si="2199">(CT357-CO357)/CO357</f>
        <v>0.189339256</v>
      </c>
      <c r="CU358" s="507">
        <f t="shared" si="2199"/>
        <v>0.1058091286</v>
      </c>
      <c r="CV358" s="507">
        <f t="shared" si="2199"/>
        <v>0.03710575139</v>
      </c>
      <c r="CW358" s="507">
        <f t="shared" si="2199"/>
        <v>0.09622641509</v>
      </c>
      <c r="CX358" s="507">
        <f t="shared" si="2199"/>
        <v>0.05752961083</v>
      </c>
      <c r="CY358" s="511">
        <f t="shared" si="2199"/>
        <v>0.07282913165</v>
      </c>
      <c r="CZ358" s="507">
        <f t="shared" si="2199"/>
        <v>0.2213883677</v>
      </c>
      <c r="DA358" s="507">
        <f t="shared" si="2199"/>
        <v>0.02325581395</v>
      </c>
      <c r="DB358" s="507">
        <f t="shared" si="2199"/>
        <v>0.1858864028</v>
      </c>
      <c r="DC358" s="507">
        <f t="shared" si="2199"/>
        <v>0.1616</v>
      </c>
      <c r="DD358" s="511">
        <f t="shared" si="2199"/>
        <v>0.1479547433</v>
      </c>
      <c r="DE358" s="507">
        <f t="shared" si="2199"/>
        <v>0.1075268817</v>
      </c>
      <c r="DF358" s="507">
        <f t="shared" si="2199"/>
        <v>0.2587412587</v>
      </c>
      <c r="DG358" s="507">
        <f t="shared" si="2199"/>
        <v>0.2322206096</v>
      </c>
      <c r="DH358" s="507">
        <f t="shared" si="2199"/>
        <v>0.2107438017</v>
      </c>
      <c r="DI358" s="511">
        <f t="shared" si="2199"/>
        <v>0.2012888552</v>
      </c>
      <c r="DJ358" s="507">
        <f t="shared" si="2199"/>
        <v>0.1650485437</v>
      </c>
      <c r="DK358" s="507">
        <f t="shared" si="2199"/>
        <v>0.2222222222</v>
      </c>
      <c r="DL358" s="507">
        <f t="shared" si="2199"/>
        <v>0.08244994111</v>
      </c>
      <c r="DM358" s="507">
        <f t="shared" si="2199"/>
        <v>-0.07167235495</v>
      </c>
      <c r="DN358" s="511">
        <f t="shared" si="2199"/>
        <v>0.09024929</v>
      </c>
      <c r="DO358" s="507">
        <f t="shared" si="2199"/>
        <v>0.08333333333</v>
      </c>
      <c r="DP358" s="507">
        <f t="shared" si="2199"/>
        <v>0.1204545455</v>
      </c>
      <c r="DQ358" s="507">
        <f t="shared" si="2199"/>
        <v>0.09357997824</v>
      </c>
      <c r="DR358" s="507">
        <f t="shared" si="2199"/>
        <v>0.1274509804</v>
      </c>
      <c r="DS358" s="511">
        <f t="shared" si="2199"/>
        <v>0.1059334298</v>
      </c>
      <c r="DT358" s="507">
        <f t="shared" si="2199"/>
        <v>-0.02967032967</v>
      </c>
      <c r="DU358" s="507">
        <f t="shared" si="2199"/>
        <v>-0.3204868154</v>
      </c>
      <c r="DV358" s="507">
        <f t="shared" si="2199"/>
        <v>-0.3263681592</v>
      </c>
      <c r="DW358" s="507">
        <f t="shared" si="2199"/>
        <v>-0.1554347826</v>
      </c>
      <c r="DX358" s="511">
        <f t="shared" si="2199"/>
        <v>-0.2130332374</v>
      </c>
      <c r="DY358" s="507">
        <f t="shared" si="2199"/>
        <v>0.03510758777</v>
      </c>
      <c r="DZ358" s="507">
        <f t="shared" si="2199"/>
        <v>0.4686567164</v>
      </c>
      <c r="EA358" s="507">
        <f t="shared" si="2199"/>
        <v>0.5391432792</v>
      </c>
      <c r="EB358" s="507">
        <f t="shared" si="2199"/>
        <v>0.3616473616</v>
      </c>
      <c r="EC358" s="511">
        <f t="shared" si="2199"/>
        <v>0.3295643499</v>
      </c>
      <c r="ED358" s="507">
        <f t="shared" si="2199"/>
        <v>0.1575492341</v>
      </c>
      <c r="EE358" s="507">
        <f t="shared" si="2199"/>
        <v>0.08595528455</v>
      </c>
      <c r="EF358" s="507">
        <f t="shared" si="2199"/>
        <v>0.03576372361</v>
      </c>
      <c r="EG358" s="507">
        <f t="shared" si="2199"/>
        <v>0.030301</v>
      </c>
      <c r="EH358" s="511">
        <f t="shared" si="2199"/>
        <v>0.07451332116</v>
      </c>
      <c r="EI358" s="512">
        <f t="shared" si="2199"/>
        <v>0.06121003</v>
      </c>
      <c r="EJ358" s="507">
        <f t="shared" si="2199"/>
        <v>0.11374518</v>
      </c>
      <c r="EK358" s="507">
        <f t="shared" si="2199"/>
        <v>0.17990826</v>
      </c>
      <c r="EL358" s="507">
        <f t="shared" si="2199"/>
        <v>0.2266373</v>
      </c>
      <c r="EM358" s="511">
        <f t="shared" si="2199"/>
        <v>0.1460746647</v>
      </c>
      <c r="EN358" s="507">
        <f t="shared" si="2199"/>
        <v>0.19091</v>
      </c>
      <c r="EO358" s="507">
        <f t="shared" si="2199"/>
        <v>0.1235</v>
      </c>
      <c r="EP358" s="507">
        <f t="shared" si="2199"/>
        <v>0.1235</v>
      </c>
      <c r="EQ358" s="507">
        <f t="shared" si="2199"/>
        <v>0.1235</v>
      </c>
      <c r="ER358" s="511">
        <f t="shared" si="2199"/>
        <v>0.1388724764</v>
      </c>
      <c r="ES358" s="507">
        <f t="shared" si="2199"/>
        <v>0.1235</v>
      </c>
      <c r="ET358" s="507">
        <f t="shared" si="2199"/>
        <v>0.1235</v>
      </c>
      <c r="EU358" s="507">
        <f t="shared" si="2199"/>
        <v>0.1235</v>
      </c>
      <c r="EV358" s="507">
        <f t="shared" si="2199"/>
        <v>0.1235</v>
      </c>
      <c r="EW358" s="511">
        <f t="shared" si="2199"/>
        <v>0.1235</v>
      </c>
      <c r="EX358" s="507">
        <f t="shared" si="2199"/>
        <v>0.1235</v>
      </c>
      <c r="EY358" s="507">
        <f t="shared" si="2199"/>
        <v>0.1235</v>
      </c>
      <c r="EZ358" s="507">
        <f t="shared" si="2199"/>
        <v>0.1235</v>
      </c>
      <c r="FA358" s="507">
        <f t="shared" si="2199"/>
        <v>0.1235</v>
      </c>
      <c r="FB358" s="511">
        <f t="shared" si="2199"/>
        <v>0.1235</v>
      </c>
      <c r="FC358" s="507">
        <f t="shared" si="2199"/>
        <v>0.1235</v>
      </c>
      <c r="FD358" s="507">
        <f t="shared" si="2199"/>
        <v>0.1235</v>
      </c>
      <c r="FE358" s="507">
        <f t="shared" si="2199"/>
        <v>0.1235</v>
      </c>
      <c r="FF358" s="507">
        <f t="shared" si="2199"/>
        <v>0.1235</v>
      </c>
      <c r="FG358" s="511">
        <f t="shared" si="2199"/>
        <v>0.1235</v>
      </c>
      <c r="FH358" s="507"/>
      <c r="FI358" s="507"/>
      <c r="FJ358" s="507"/>
      <c r="FK358" s="509"/>
      <c r="FL358" s="507"/>
    </row>
    <row r="359" ht="12.75" hidden="1" customHeight="1" outlineLevel="1">
      <c r="A359" s="502"/>
      <c r="B359" s="72" t="s">
        <v>217</v>
      </c>
      <c r="C359" s="45"/>
      <c r="D359" s="15"/>
      <c r="E359" s="15"/>
      <c r="F359" s="15"/>
      <c r="G359" s="15"/>
      <c r="H359" s="410"/>
      <c r="I359" s="15"/>
      <c r="J359" s="15"/>
      <c r="K359" s="15"/>
      <c r="L359" s="15"/>
      <c r="M359" s="410"/>
      <c r="N359" s="15"/>
      <c r="O359" s="15"/>
      <c r="P359" s="15"/>
      <c r="Q359" s="15"/>
      <c r="R359" s="410"/>
      <c r="S359" s="15"/>
      <c r="T359" s="15"/>
      <c r="U359" s="15"/>
      <c r="V359" s="15"/>
      <c r="W359" s="410"/>
      <c r="X359" s="15"/>
      <c r="Y359" s="15"/>
      <c r="Z359" s="15"/>
      <c r="AA359" s="15"/>
      <c r="AB359" s="410"/>
      <c r="AC359" s="15"/>
      <c r="AD359" s="15"/>
      <c r="AE359" s="15"/>
      <c r="AF359" s="15"/>
      <c r="AG359" s="410"/>
      <c r="AH359" s="15"/>
      <c r="AI359" s="15"/>
      <c r="AJ359" s="15"/>
      <c r="AK359" s="15"/>
      <c r="AL359" s="410"/>
      <c r="AM359" s="15"/>
      <c r="AN359" s="15"/>
      <c r="AO359" s="15"/>
      <c r="AP359" s="15"/>
      <c r="AQ359" s="410"/>
      <c r="AR359" s="15"/>
      <c r="AS359" s="15"/>
      <c r="AT359" s="15"/>
      <c r="AU359" s="15"/>
      <c r="AV359" s="410"/>
      <c r="AW359" s="15"/>
      <c r="AX359" s="15"/>
      <c r="AY359" s="15"/>
      <c r="AZ359" s="15"/>
      <c r="BA359" s="410"/>
      <c r="BB359" s="15"/>
      <c r="BC359" s="15"/>
      <c r="BD359" s="15"/>
      <c r="BE359" s="15"/>
      <c r="BF359" s="410"/>
      <c r="BG359" s="15"/>
      <c r="BH359" s="15"/>
      <c r="BI359" s="15"/>
      <c r="BJ359" s="15"/>
      <c r="BK359" s="410"/>
      <c r="BL359" s="15"/>
      <c r="BM359" s="15"/>
      <c r="BN359" s="15"/>
      <c r="BO359" s="15"/>
      <c r="BP359" s="410"/>
      <c r="BQ359" s="15"/>
      <c r="BR359" s="15"/>
      <c r="BS359" s="15"/>
      <c r="BT359" s="15"/>
      <c r="BU359" s="410"/>
      <c r="BV359" s="15"/>
      <c r="BW359" s="15"/>
      <c r="BX359" s="15"/>
      <c r="BY359" s="15"/>
      <c r="BZ359" s="24"/>
      <c r="CA359" s="15"/>
      <c r="CB359" s="15"/>
      <c r="CC359" s="15"/>
      <c r="CD359" s="15"/>
      <c r="CE359" s="24"/>
      <c r="CF359" s="15"/>
      <c r="CG359" s="15"/>
      <c r="CH359" s="15"/>
      <c r="CI359" s="15"/>
      <c r="CJ359" s="24"/>
      <c r="CK359" s="15"/>
      <c r="CL359" s="15"/>
      <c r="CM359" s="15"/>
      <c r="CN359" s="40"/>
      <c r="CO359" s="24"/>
      <c r="CP359" s="427">
        <f>1320-CQ359-CR359</f>
        <v>410</v>
      </c>
      <c r="CQ359" s="427">
        <v>454.0</v>
      </c>
      <c r="CR359" s="427">
        <v>456.0</v>
      </c>
      <c r="CS359" s="427">
        <v>494.0</v>
      </c>
      <c r="CT359" s="363">
        <f>SUM(CP359:CS359)</f>
        <v>1814</v>
      </c>
      <c r="CU359" s="427">
        <f>1450-CV359-CW359</f>
        <v>462</v>
      </c>
      <c r="CV359" s="427">
        <v>487.0</v>
      </c>
      <c r="CW359" s="427">
        <v>501.0</v>
      </c>
      <c r="CX359" s="427">
        <v>526.0</v>
      </c>
      <c r="CY359" s="363">
        <f>SUM(CU359:CX359)</f>
        <v>1976</v>
      </c>
      <c r="CZ359" s="427">
        <v>571.0</v>
      </c>
      <c r="DA359" s="463">
        <v>497.0</v>
      </c>
      <c r="DB359" s="463">
        <v>605.0</v>
      </c>
      <c r="DC359" s="463">
        <v>617.0</v>
      </c>
      <c r="DD359" s="363">
        <f>SUM(CZ359:DC359)</f>
        <v>2290</v>
      </c>
      <c r="DE359" s="427">
        <v>632.0</v>
      </c>
      <c r="DF359" s="427">
        <v>614.0</v>
      </c>
      <c r="DG359" s="427">
        <v>680.0</v>
      </c>
      <c r="DH359" s="463">
        <v>719.0</v>
      </c>
      <c r="DI359" s="363">
        <f>SUM(DE359:DH359)</f>
        <v>2645</v>
      </c>
      <c r="DJ359" s="36">
        <v>719.0</v>
      </c>
      <c r="DK359" s="36">
        <v>780.0</v>
      </c>
      <c r="DL359" s="36">
        <v>855.0</v>
      </c>
      <c r="DM359" s="36">
        <v>746.0</v>
      </c>
      <c r="DN359" s="363">
        <f>SUM(DJ359:DM359)</f>
        <v>3100</v>
      </c>
      <c r="DO359" s="36">
        <v>825.0</v>
      </c>
      <c r="DP359" s="36">
        <v>986.0</v>
      </c>
      <c r="DQ359" s="36">
        <v>1005.0</v>
      </c>
      <c r="DR359" s="36">
        <v>920.0</v>
      </c>
      <c r="DS359" s="363">
        <f>SUM(DO359:DR359)</f>
        <v>3736</v>
      </c>
      <c r="DT359" s="36">
        <v>883.0</v>
      </c>
      <c r="DU359" s="36">
        <f t="shared" ref="DU359:DV359" si="2200">DU357</f>
        <v>670</v>
      </c>
      <c r="DV359" s="36">
        <f t="shared" si="2200"/>
        <v>677</v>
      </c>
      <c r="DW359" s="36">
        <v>777.0</v>
      </c>
      <c r="DX359" s="363">
        <f>SUM(DT359:DW359)</f>
        <v>3007</v>
      </c>
      <c r="DY359" s="36">
        <f>DW359*(1+DY360)</f>
        <v>914</v>
      </c>
      <c r="DZ359" s="36">
        <f t="shared" ref="DZ359:EB359" si="2201">DY359*(1+DZ360)</f>
        <v>984</v>
      </c>
      <c r="EA359" s="36">
        <f t="shared" si="2201"/>
        <v>1042</v>
      </c>
      <c r="EB359" s="36">
        <f t="shared" si="2201"/>
        <v>1058</v>
      </c>
      <c r="EC359" s="363">
        <f>SUM(DY359:EB359)</f>
        <v>3998</v>
      </c>
      <c r="ED359" s="36">
        <f>EB359*(1+ED360)</f>
        <v>1058</v>
      </c>
      <c r="EE359" s="36">
        <f t="shared" ref="EE359:EG359" si="2202">ED359*(1+EE360)</f>
        <v>1068.58</v>
      </c>
      <c r="EF359" s="36">
        <f t="shared" si="2202"/>
        <v>1079.2658</v>
      </c>
      <c r="EG359" s="36">
        <f t="shared" si="2202"/>
        <v>1090.058458</v>
      </c>
      <c r="EH359" s="363">
        <f>SUM(ED359:EG359)</f>
        <v>4295.904258</v>
      </c>
      <c r="EI359" s="428">
        <f>EG359*(1+EI360)</f>
        <v>1122.760212</v>
      </c>
      <c r="EJ359" s="427">
        <f t="shared" ref="EJ359:EL359" si="2203">EI359*(1+EJ360)</f>
        <v>1190.125824</v>
      </c>
      <c r="EK359" s="427">
        <f t="shared" si="2203"/>
        <v>1273.434632</v>
      </c>
      <c r="EL359" s="427">
        <f t="shared" si="2203"/>
        <v>1337.106364</v>
      </c>
      <c r="EM359" s="363">
        <f>SUM(EI359:EL359)</f>
        <v>4923.427032</v>
      </c>
      <c r="EN359" s="427">
        <f>EL359*(1+EN360)</f>
        <v>1337.106364</v>
      </c>
      <c r="EO359" s="427">
        <f t="shared" ref="EO359:EQ359" si="2204">EN359*(1+EO360)</f>
        <v>1337.106364</v>
      </c>
      <c r="EP359" s="427">
        <f t="shared" si="2204"/>
        <v>1430.703809</v>
      </c>
      <c r="EQ359" s="427">
        <f t="shared" si="2204"/>
        <v>1502.239</v>
      </c>
      <c r="ER359" s="363">
        <f>SUM(EN359:EQ359)</f>
        <v>5607.155536</v>
      </c>
      <c r="ES359" s="427">
        <f>EQ359*(1+ES360)</f>
        <v>1502.239</v>
      </c>
      <c r="ET359" s="427">
        <f t="shared" ref="ET359:EV359" si="2205">ES359*(1+ET360)</f>
        <v>1502.239</v>
      </c>
      <c r="EU359" s="427">
        <f t="shared" si="2205"/>
        <v>1607.39573</v>
      </c>
      <c r="EV359" s="427">
        <f t="shared" si="2205"/>
        <v>1687.765516</v>
      </c>
      <c r="EW359" s="363">
        <f>SUM(ES359:EV359)</f>
        <v>6299.639245</v>
      </c>
      <c r="EX359" s="427">
        <f>EV359*(1+EX360)</f>
        <v>1687.765516</v>
      </c>
      <c r="EY359" s="427">
        <f t="shared" ref="EY359:FA359" si="2206">EX359*(1+EY360)</f>
        <v>1687.765516</v>
      </c>
      <c r="EZ359" s="427">
        <f t="shared" si="2206"/>
        <v>1805.909102</v>
      </c>
      <c r="FA359" s="427">
        <f t="shared" si="2206"/>
        <v>1896.204557</v>
      </c>
      <c r="FB359" s="363">
        <f>SUM(EX359:FA359)</f>
        <v>7077.644692</v>
      </c>
      <c r="FC359" s="427">
        <f>FA359*(1+FC360)</f>
        <v>1896.204557</v>
      </c>
      <c r="FD359" s="427">
        <f t="shared" ref="FD359:FF359" si="2207">FC359*(1+FD360)</f>
        <v>1896.204557</v>
      </c>
      <c r="FE359" s="427">
        <f t="shared" si="2207"/>
        <v>2028.938876</v>
      </c>
      <c r="FF359" s="427">
        <f t="shared" si="2207"/>
        <v>2130.38582</v>
      </c>
      <c r="FG359" s="363">
        <f>SUM(FC359:FF359)</f>
        <v>7951.733811</v>
      </c>
      <c r="FH359" s="15"/>
      <c r="FI359" s="15"/>
      <c r="FJ359" s="15"/>
      <c r="FK359" s="410"/>
      <c r="FL359" s="15"/>
    </row>
    <row r="360" ht="12.75" hidden="1" customHeight="1" outlineLevel="1">
      <c r="A360" s="502"/>
      <c r="B360" s="72" t="s">
        <v>150</v>
      </c>
      <c r="C360" s="45"/>
      <c r="D360" s="15"/>
      <c r="E360" s="15"/>
      <c r="F360" s="15"/>
      <c r="G360" s="15"/>
      <c r="H360" s="410"/>
      <c r="I360" s="15"/>
      <c r="J360" s="15"/>
      <c r="K360" s="15"/>
      <c r="L360" s="15"/>
      <c r="M360" s="410"/>
      <c r="N360" s="15"/>
      <c r="O360" s="15"/>
      <c r="P360" s="15"/>
      <c r="Q360" s="15"/>
      <c r="R360" s="410"/>
      <c r="S360" s="15"/>
      <c r="T360" s="15"/>
      <c r="U360" s="15"/>
      <c r="V360" s="15"/>
      <c r="W360" s="410"/>
      <c r="X360" s="15"/>
      <c r="Y360" s="15"/>
      <c r="Z360" s="15"/>
      <c r="AA360" s="15"/>
      <c r="AB360" s="410"/>
      <c r="AC360" s="15"/>
      <c r="AD360" s="15"/>
      <c r="AE360" s="15"/>
      <c r="AF360" s="15"/>
      <c r="AG360" s="410"/>
      <c r="AH360" s="15"/>
      <c r="AI360" s="15"/>
      <c r="AJ360" s="15"/>
      <c r="AK360" s="15"/>
      <c r="AL360" s="410"/>
      <c r="AM360" s="15"/>
      <c r="AN360" s="15"/>
      <c r="AO360" s="15"/>
      <c r="AP360" s="15"/>
      <c r="AQ360" s="410"/>
      <c r="AR360" s="15"/>
      <c r="AS360" s="15"/>
      <c r="AT360" s="15"/>
      <c r="AU360" s="15"/>
      <c r="AV360" s="410"/>
      <c r="AW360" s="15"/>
      <c r="AX360" s="15"/>
      <c r="AY360" s="15"/>
      <c r="AZ360" s="15"/>
      <c r="BA360" s="410"/>
      <c r="BB360" s="15"/>
      <c r="BC360" s="15"/>
      <c r="BD360" s="15"/>
      <c r="BE360" s="15"/>
      <c r="BF360" s="410"/>
      <c r="BG360" s="15"/>
      <c r="BH360" s="15"/>
      <c r="BI360" s="15"/>
      <c r="BJ360" s="15"/>
      <c r="BK360" s="410"/>
      <c r="BL360" s="15"/>
      <c r="BM360" s="15"/>
      <c r="BN360" s="15"/>
      <c r="BO360" s="15"/>
      <c r="BP360" s="410"/>
      <c r="BQ360" s="15"/>
      <c r="BR360" s="15"/>
      <c r="BS360" s="15"/>
      <c r="BT360" s="15"/>
      <c r="BU360" s="410"/>
      <c r="BV360" s="15"/>
      <c r="BW360" s="15"/>
      <c r="BX360" s="15"/>
      <c r="BY360" s="15"/>
      <c r="BZ360" s="24"/>
      <c r="CA360" s="15"/>
      <c r="CB360" s="15"/>
      <c r="CC360" s="15"/>
      <c r="CD360" s="15"/>
      <c r="CE360" s="24"/>
      <c r="CF360" s="15"/>
      <c r="CG360" s="15"/>
      <c r="CH360" s="15"/>
      <c r="CI360" s="15"/>
      <c r="CJ360" s="24"/>
      <c r="CK360" s="15"/>
      <c r="CL360" s="15"/>
      <c r="CM360" s="15"/>
      <c r="CN360" s="40"/>
      <c r="CO360" s="24"/>
      <c r="CP360" s="427"/>
      <c r="CQ360" s="513">
        <f t="shared" ref="CQ360:CS360" si="2208">CQ359/CP359-1</f>
        <v>0.1073170732</v>
      </c>
      <c r="CR360" s="513">
        <f t="shared" si="2208"/>
        <v>0.004405286344</v>
      </c>
      <c r="CS360" s="513">
        <f t="shared" si="2208"/>
        <v>0.08333333333</v>
      </c>
      <c r="CT360" s="363"/>
      <c r="CU360" s="513">
        <f>CU359/CS359-1</f>
        <v>-0.06477732794</v>
      </c>
      <c r="CV360" s="513">
        <f t="shared" ref="CV360:CX360" si="2209">CV359/CU359-1</f>
        <v>0.05411255411</v>
      </c>
      <c r="CW360" s="513">
        <f t="shared" si="2209"/>
        <v>0.02874743326</v>
      </c>
      <c r="CX360" s="513">
        <f t="shared" si="2209"/>
        <v>0.0499001996</v>
      </c>
      <c r="CY360" s="363"/>
      <c r="CZ360" s="513">
        <f>CZ359/CX359-1</f>
        <v>0.0855513308</v>
      </c>
      <c r="DA360" s="513">
        <f t="shared" ref="DA360:DC360" si="2210">DA359/CZ359-1</f>
        <v>-0.1295971979</v>
      </c>
      <c r="DB360" s="513">
        <f t="shared" si="2210"/>
        <v>0.2173038229</v>
      </c>
      <c r="DC360" s="513">
        <f t="shared" si="2210"/>
        <v>0.01983471074</v>
      </c>
      <c r="DD360" s="363"/>
      <c r="DE360" s="513">
        <f>DE359/DC359-1</f>
        <v>0.02431118314</v>
      </c>
      <c r="DF360" s="513">
        <f t="shared" ref="DF360:DH360" si="2211">DF359/DE359-1</f>
        <v>-0.02848101266</v>
      </c>
      <c r="DG360" s="513">
        <f t="shared" si="2211"/>
        <v>0.1074918567</v>
      </c>
      <c r="DH360" s="513">
        <f t="shared" si="2211"/>
        <v>0.05735294118</v>
      </c>
      <c r="DI360" s="363"/>
      <c r="DJ360" s="40">
        <f>DJ359/DH359-1</f>
        <v>0</v>
      </c>
      <c r="DK360" s="40">
        <f t="shared" ref="DK360:DM360" si="2212">DK359/DJ359-1</f>
        <v>0.08484005563</v>
      </c>
      <c r="DL360" s="40">
        <f t="shared" si="2212"/>
        <v>0.09615384615</v>
      </c>
      <c r="DM360" s="40">
        <f t="shared" si="2212"/>
        <v>-0.1274853801</v>
      </c>
      <c r="DN360" s="363"/>
      <c r="DO360" s="40">
        <f t="shared" ref="DO360:DR360" si="2213">DO359/DM359-1</f>
        <v>0.1058981233</v>
      </c>
      <c r="DP360" s="40">
        <f t="shared" si="2213"/>
        <v>-0.6819354839</v>
      </c>
      <c r="DQ360" s="40">
        <f t="shared" si="2213"/>
        <v>0.2181818182</v>
      </c>
      <c r="DR360" s="40">
        <f t="shared" si="2213"/>
        <v>-0.06693711968</v>
      </c>
      <c r="DS360" s="37">
        <f>DS359/DN359-1</f>
        <v>0.2051612903</v>
      </c>
      <c r="DT360" s="40">
        <f>DT359/DR359-1</f>
        <v>-0.0402173913</v>
      </c>
      <c r="DU360" s="40">
        <f t="shared" ref="DU360:DW360" si="2214">DU359/DT359-1</f>
        <v>-0.2412231031</v>
      </c>
      <c r="DV360" s="40">
        <f t="shared" si="2214"/>
        <v>0.01044776119</v>
      </c>
      <c r="DW360" s="40">
        <f t="shared" si="2214"/>
        <v>0.1477104874</v>
      </c>
      <c r="DX360" s="37">
        <f>DX359/DS359-1</f>
        <v>-0.1951284797</v>
      </c>
      <c r="DY360" s="40">
        <f>DY357/DW357-1</f>
        <v>0.1763191763</v>
      </c>
      <c r="DZ360" s="40">
        <f t="shared" ref="DZ360:EB360" si="2215">DZ357/DY357-1</f>
        <v>0.07658643326</v>
      </c>
      <c r="EA360" s="40">
        <f t="shared" si="2215"/>
        <v>0.05894308943</v>
      </c>
      <c r="EB360" s="40">
        <f t="shared" si="2215"/>
        <v>0.01535508637</v>
      </c>
      <c r="EC360" s="37">
        <f>EC359/DX359-1</f>
        <v>0.3295643499</v>
      </c>
      <c r="ED360" s="40">
        <f>ED357/EB357-1</f>
        <v>0</v>
      </c>
      <c r="EE360" s="40">
        <v>0.01</v>
      </c>
      <c r="EF360" s="40">
        <v>0.01</v>
      </c>
      <c r="EG360" s="40">
        <v>0.01</v>
      </c>
      <c r="EH360" s="37">
        <f>EH359/EC359-1</f>
        <v>0.07451332116</v>
      </c>
      <c r="EI360" s="314">
        <v>0.03</v>
      </c>
      <c r="EJ360" s="315">
        <v>0.06</v>
      </c>
      <c r="EK360" s="315">
        <v>0.07</v>
      </c>
      <c r="EL360" s="315">
        <v>0.05</v>
      </c>
      <c r="EM360" s="37">
        <f>EM359/EH359-1</f>
        <v>0.1460746647</v>
      </c>
      <c r="EN360" s="315">
        <v>0.0</v>
      </c>
      <c r="EO360" s="315">
        <v>0.0</v>
      </c>
      <c r="EP360" s="315">
        <v>0.07</v>
      </c>
      <c r="EQ360" s="315">
        <v>0.05</v>
      </c>
      <c r="ER360" s="37">
        <f>ER359/EM359-1</f>
        <v>0.1388724764</v>
      </c>
      <c r="ES360" s="315">
        <v>0.0</v>
      </c>
      <c r="ET360" s="315">
        <v>0.0</v>
      </c>
      <c r="EU360" s="315">
        <v>0.07</v>
      </c>
      <c r="EV360" s="315">
        <v>0.05</v>
      </c>
      <c r="EW360" s="37">
        <f>EW359/ER359-1</f>
        <v>0.1235</v>
      </c>
      <c r="EX360" s="315">
        <v>0.0</v>
      </c>
      <c r="EY360" s="315">
        <v>0.0</v>
      </c>
      <c r="EZ360" s="315">
        <v>0.07</v>
      </c>
      <c r="FA360" s="315">
        <v>0.05</v>
      </c>
      <c r="FB360" s="37">
        <f>FB359/EW359-1</f>
        <v>0.1235</v>
      </c>
      <c r="FC360" s="315">
        <v>0.0</v>
      </c>
      <c r="FD360" s="315">
        <v>0.0</v>
      </c>
      <c r="FE360" s="315">
        <v>0.07</v>
      </c>
      <c r="FF360" s="315">
        <v>0.05</v>
      </c>
      <c r="FG360" s="37">
        <f>FG359/FB359-1</f>
        <v>0.1235</v>
      </c>
      <c r="FH360" s="15"/>
      <c r="FI360" s="15"/>
      <c r="FJ360" s="15"/>
      <c r="FK360" s="410"/>
      <c r="FL360" s="15"/>
    </row>
    <row r="361" ht="12.75" hidden="1" customHeight="1" outlineLevel="1">
      <c r="A361" s="502"/>
      <c r="B361" s="72" t="s">
        <v>223</v>
      </c>
      <c r="C361" s="45"/>
      <c r="D361" s="15"/>
      <c r="E361" s="15"/>
      <c r="F361" s="15"/>
      <c r="G361" s="15"/>
      <c r="H361" s="410"/>
      <c r="I361" s="15"/>
      <c r="J361" s="15"/>
      <c r="K361" s="15"/>
      <c r="L361" s="15"/>
      <c r="M361" s="410"/>
      <c r="N361" s="15"/>
      <c r="O361" s="15"/>
      <c r="P361" s="15"/>
      <c r="Q361" s="15"/>
      <c r="R361" s="410"/>
      <c r="S361" s="15"/>
      <c r="T361" s="15"/>
      <c r="U361" s="15"/>
      <c r="V361" s="15"/>
      <c r="W361" s="410"/>
      <c r="X361" s="15"/>
      <c r="Y361" s="15"/>
      <c r="Z361" s="15"/>
      <c r="AA361" s="15"/>
      <c r="AB361" s="410"/>
      <c r="AC361" s="15"/>
      <c r="AD361" s="15"/>
      <c r="AE361" s="15"/>
      <c r="AF361" s="15"/>
      <c r="AG361" s="410"/>
      <c r="AH361" s="15"/>
      <c r="AI361" s="15"/>
      <c r="AJ361" s="15"/>
      <c r="AK361" s="15"/>
      <c r="AL361" s="410"/>
      <c r="AM361" s="15"/>
      <c r="AN361" s="15"/>
      <c r="AO361" s="15"/>
      <c r="AP361" s="15"/>
      <c r="AQ361" s="410"/>
      <c r="AR361" s="15"/>
      <c r="AS361" s="15"/>
      <c r="AT361" s="15"/>
      <c r="AU361" s="15"/>
      <c r="AV361" s="410"/>
      <c r="AW361" s="15"/>
      <c r="AX361" s="15"/>
      <c r="AY361" s="15"/>
      <c r="AZ361" s="15"/>
      <c r="BA361" s="410"/>
      <c r="BB361" s="15"/>
      <c r="BC361" s="15"/>
      <c r="BD361" s="15"/>
      <c r="BE361" s="15"/>
      <c r="BF361" s="410"/>
      <c r="BG361" s="15"/>
      <c r="BH361" s="15"/>
      <c r="BI361" s="15"/>
      <c r="BJ361" s="15"/>
      <c r="BK361" s="410"/>
      <c r="BL361" s="15"/>
      <c r="BM361" s="15"/>
      <c r="BN361" s="15"/>
      <c r="BO361" s="15"/>
      <c r="BP361" s="410"/>
      <c r="BQ361" s="15"/>
      <c r="BR361" s="15"/>
      <c r="BS361" s="15"/>
      <c r="BT361" s="15"/>
      <c r="BU361" s="410"/>
      <c r="BV361" s="15"/>
      <c r="BW361" s="15"/>
      <c r="BX361" s="15"/>
      <c r="BY361" s="15"/>
      <c r="BZ361" s="24"/>
      <c r="CA361" s="15"/>
      <c r="CB361" s="15"/>
      <c r="CC361" s="15"/>
      <c r="CD361" s="15"/>
      <c r="CE361" s="24"/>
      <c r="CF361" s="15"/>
      <c r="CG361" s="15"/>
      <c r="CH361" s="15"/>
      <c r="CI361" s="15"/>
      <c r="CJ361" s="24"/>
      <c r="CK361" s="15"/>
      <c r="CL361" s="15"/>
      <c r="CM361" s="15"/>
      <c r="CN361" s="40"/>
      <c r="CO361" s="24"/>
      <c r="CP361" s="427">
        <f>231-CQ361-CR361</f>
        <v>72</v>
      </c>
      <c r="CQ361" s="427">
        <v>85.0</v>
      </c>
      <c r="CR361" s="427">
        <v>74.0</v>
      </c>
      <c r="CS361" s="427">
        <v>97.0</v>
      </c>
      <c r="CT361" s="363">
        <f>SUM(CP361:CS361)</f>
        <v>328</v>
      </c>
      <c r="CU361" s="427">
        <f>223-CV361-CW361</f>
        <v>71</v>
      </c>
      <c r="CV361" s="427">
        <v>72.0</v>
      </c>
      <c r="CW361" s="427">
        <v>80.0</v>
      </c>
      <c r="CX361" s="427">
        <v>99.0</v>
      </c>
      <c r="CY361" s="363">
        <f t="shared" ref="CY361:CY362" si="2216">SUM(CU361:CX361)</f>
        <v>322</v>
      </c>
      <c r="CZ361" s="427">
        <v>80.0</v>
      </c>
      <c r="DA361" s="463">
        <v>75.0</v>
      </c>
      <c r="DB361" s="463">
        <v>84.0</v>
      </c>
      <c r="DC361" s="463">
        <v>109.0</v>
      </c>
      <c r="DD361" s="363">
        <f t="shared" ref="DD361:DD362" si="2217">SUM(CZ361:DC361)</f>
        <v>348</v>
      </c>
      <c r="DE361" s="427">
        <v>89.0</v>
      </c>
      <c r="DF361" s="427">
        <v>106.0</v>
      </c>
      <c r="DG361" s="427">
        <v>169.0</v>
      </c>
      <c r="DH361" s="463">
        <v>160.0</v>
      </c>
      <c r="DI361" s="363">
        <f t="shared" ref="DI361:DI362" si="2218">SUM(DE361:DH361)</f>
        <v>524</v>
      </c>
      <c r="DJ361" s="36">
        <v>121.0</v>
      </c>
      <c r="DK361" s="36">
        <v>100.0</v>
      </c>
      <c r="DL361" s="36">
        <v>64.0</v>
      </c>
      <c r="DM361" s="36">
        <v>70.0</v>
      </c>
      <c r="DN361" s="363">
        <f t="shared" ref="DN361:DN362" si="2219">SUM(DJ361:DM361)</f>
        <v>355</v>
      </c>
      <c r="DO361" s="36">
        <v>85.0</v>
      </c>
      <c r="DP361" s="36"/>
      <c r="DQ361" s="36">
        <v>0.0</v>
      </c>
      <c r="DR361" s="36"/>
      <c r="DS361" s="363">
        <f t="shared" ref="DS361:DS362" si="2220">SUM(DO361:DR361)</f>
        <v>85</v>
      </c>
      <c r="DT361" s="36">
        <v>0.0</v>
      </c>
      <c r="DU361" s="36">
        <v>0.0</v>
      </c>
      <c r="DV361" s="36">
        <v>0.0</v>
      </c>
      <c r="DW361" s="36">
        <v>0.0</v>
      </c>
      <c r="DX361" s="363">
        <f t="shared" ref="DX361:DX362" si="2221">SUM(DT361:DW361)</f>
        <v>0</v>
      </c>
      <c r="DY361" s="36">
        <v>0.0</v>
      </c>
      <c r="DZ361" s="36">
        <v>0.0</v>
      </c>
      <c r="EA361" s="36">
        <v>0.0</v>
      </c>
      <c r="EB361" s="36">
        <v>0.0</v>
      </c>
      <c r="EC361" s="363">
        <f t="shared" ref="EC361:EC362" si="2222">SUM(DY361:EB361)</f>
        <v>0</v>
      </c>
      <c r="ED361" s="36">
        <v>0.0</v>
      </c>
      <c r="EE361" s="36">
        <v>0.0</v>
      </c>
      <c r="EF361" s="36">
        <v>0.0</v>
      </c>
      <c r="EG361" s="36">
        <v>0.0</v>
      </c>
      <c r="EH361" s="363">
        <f>SUM(ED361:EG361)</f>
        <v>0</v>
      </c>
      <c r="EI361" s="431">
        <v>0.0</v>
      </c>
      <c r="EJ361" s="432">
        <v>0.0</v>
      </c>
      <c r="EK361" s="432">
        <v>0.0</v>
      </c>
      <c r="EL361" s="432">
        <v>0.0</v>
      </c>
      <c r="EM361" s="363">
        <f>SUM(EI361:EL361)</f>
        <v>0</v>
      </c>
      <c r="EN361" s="432">
        <v>0.0</v>
      </c>
      <c r="EO361" s="432">
        <v>0.0</v>
      </c>
      <c r="EP361" s="432">
        <v>0.0</v>
      </c>
      <c r="EQ361" s="432">
        <v>0.0</v>
      </c>
      <c r="ER361" s="363">
        <f>SUM(EN361:EQ361)</f>
        <v>0</v>
      </c>
      <c r="ES361" s="432">
        <v>0.0</v>
      </c>
      <c r="ET361" s="432">
        <v>0.0</v>
      </c>
      <c r="EU361" s="432">
        <v>0.0</v>
      </c>
      <c r="EV361" s="432">
        <v>0.0</v>
      </c>
      <c r="EW361" s="363">
        <f>SUM(ES361:EV361)</f>
        <v>0</v>
      </c>
      <c r="EX361" s="432">
        <v>0.0</v>
      </c>
      <c r="EY361" s="432">
        <v>0.0</v>
      </c>
      <c r="EZ361" s="432">
        <v>0.0</v>
      </c>
      <c r="FA361" s="432">
        <v>0.0</v>
      </c>
      <c r="FB361" s="363">
        <f>SUM(EX361:FA361)</f>
        <v>0</v>
      </c>
      <c r="FC361" s="432">
        <v>0.0</v>
      </c>
      <c r="FD361" s="432">
        <v>0.0</v>
      </c>
      <c r="FE361" s="432">
        <v>0.0</v>
      </c>
      <c r="FF361" s="432">
        <v>0.0</v>
      </c>
      <c r="FG361" s="363">
        <f>SUM(FC361:FF361)</f>
        <v>0</v>
      </c>
      <c r="FH361" s="15"/>
      <c r="FI361" s="15"/>
      <c r="FJ361" s="15"/>
      <c r="FK361" s="410"/>
      <c r="FL361" s="15"/>
    </row>
    <row r="362" ht="12.75" hidden="1" customHeight="1" outlineLevel="1">
      <c r="A362" s="514"/>
      <c r="B362" s="515" t="s">
        <v>224</v>
      </c>
      <c r="C362" s="515"/>
      <c r="D362" s="516"/>
      <c r="E362" s="516"/>
      <c r="F362" s="516"/>
      <c r="G362" s="516"/>
      <c r="H362" s="517"/>
      <c r="I362" s="516"/>
      <c r="J362" s="516"/>
      <c r="K362" s="516"/>
      <c r="L362" s="516"/>
      <c r="M362" s="517"/>
      <c r="N362" s="516"/>
      <c r="O362" s="516"/>
      <c r="P362" s="516"/>
      <c r="Q362" s="516"/>
      <c r="R362" s="517"/>
      <c r="S362" s="516"/>
      <c r="T362" s="516"/>
      <c r="U362" s="516"/>
      <c r="V362" s="516"/>
      <c r="W362" s="517"/>
      <c r="X362" s="516"/>
      <c r="Y362" s="516"/>
      <c r="Z362" s="516"/>
      <c r="AA362" s="516"/>
      <c r="AB362" s="517"/>
      <c r="AC362" s="516"/>
      <c r="AD362" s="516"/>
      <c r="AE362" s="516"/>
      <c r="AF362" s="516"/>
      <c r="AG362" s="517"/>
      <c r="AH362" s="516"/>
      <c r="AI362" s="516"/>
      <c r="AJ362" s="516"/>
      <c r="AK362" s="516"/>
      <c r="AL362" s="517"/>
      <c r="AM362" s="516"/>
      <c r="AN362" s="516"/>
      <c r="AO362" s="516"/>
      <c r="AP362" s="516"/>
      <c r="AQ362" s="517"/>
      <c r="AR362" s="516"/>
      <c r="AS362" s="516"/>
      <c r="AT362" s="516"/>
      <c r="AU362" s="516"/>
      <c r="AV362" s="517"/>
      <c r="AW362" s="516"/>
      <c r="AX362" s="516"/>
      <c r="AY362" s="516"/>
      <c r="AZ362" s="516"/>
      <c r="BA362" s="517"/>
      <c r="BB362" s="516"/>
      <c r="BC362" s="516"/>
      <c r="BD362" s="516"/>
      <c r="BE362" s="516"/>
      <c r="BF362" s="517"/>
      <c r="BG362" s="516"/>
      <c r="BH362" s="516"/>
      <c r="BI362" s="516"/>
      <c r="BJ362" s="516"/>
      <c r="BK362" s="517"/>
      <c r="BL362" s="516"/>
      <c r="BM362" s="516"/>
      <c r="BN362" s="516"/>
      <c r="BO362" s="516"/>
      <c r="BP362" s="517"/>
      <c r="BQ362" s="516"/>
      <c r="BR362" s="516"/>
      <c r="BS362" s="516"/>
      <c r="BT362" s="516"/>
      <c r="BU362" s="517"/>
      <c r="BV362" s="516"/>
      <c r="BW362" s="516"/>
      <c r="BX362" s="516"/>
      <c r="BY362" s="516"/>
      <c r="BZ362" s="24"/>
      <c r="CA362" s="516"/>
      <c r="CB362" s="516"/>
      <c r="CC362" s="516"/>
      <c r="CD362" s="516"/>
      <c r="CE362" s="24"/>
      <c r="CF362" s="516"/>
      <c r="CG362" s="516"/>
      <c r="CH362" s="516"/>
      <c r="CI362" s="516"/>
      <c r="CJ362" s="24"/>
      <c r="CK362" s="516"/>
      <c r="CL362" s="516"/>
      <c r="CM362" s="516"/>
      <c r="CN362" s="516"/>
      <c r="CO362" s="24"/>
      <c r="CP362" s="518"/>
      <c r="CQ362" s="518"/>
      <c r="CR362" s="518"/>
      <c r="CS362" s="518"/>
      <c r="CT362" s="363">
        <v>2146.0</v>
      </c>
      <c r="CU362" s="518">
        <v>592.0</v>
      </c>
      <c r="CV362" s="518">
        <v>696.0</v>
      </c>
      <c r="CW362" s="518">
        <v>655.0</v>
      </c>
      <c r="CX362" s="518">
        <v>654.0</v>
      </c>
      <c r="CY362" s="363">
        <f t="shared" si="2216"/>
        <v>2597</v>
      </c>
      <c r="CZ362" s="518">
        <v>557.0</v>
      </c>
      <c r="DA362" s="519">
        <v>554.0</v>
      </c>
      <c r="DB362" s="518">
        <v>649.0</v>
      </c>
      <c r="DC362" s="518">
        <v>816.0</v>
      </c>
      <c r="DD362" s="363">
        <f t="shared" si="2217"/>
        <v>2576</v>
      </c>
      <c r="DE362" s="518">
        <v>866.0</v>
      </c>
      <c r="DF362" s="518">
        <v>874.0</v>
      </c>
      <c r="DG362" s="518">
        <v>891.0</v>
      </c>
      <c r="DH362" s="518">
        <v>889.0</v>
      </c>
      <c r="DI362" s="363">
        <f t="shared" si="2218"/>
        <v>3520</v>
      </c>
      <c r="DJ362" s="518">
        <v>1040.0</v>
      </c>
      <c r="DK362" s="518">
        <v>1079.0</v>
      </c>
      <c r="DL362" s="518">
        <v>1081.0</v>
      </c>
      <c r="DM362" s="518">
        <v>1107.0</v>
      </c>
      <c r="DN362" s="363">
        <f t="shared" si="2219"/>
        <v>4307</v>
      </c>
      <c r="DO362" s="518">
        <v>915.0</v>
      </c>
      <c r="DP362" s="518">
        <v>940.0</v>
      </c>
      <c r="DQ362" s="518">
        <v>1290.0</v>
      </c>
      <c r="DR362" s="518">
        <v>1217.0</v>
      </c>
      <c r="DS362" s="363">
        <f t="shared" si="2220"/>
        <v>4362</v>
      </c>
      <c r="DT362" s="518">
        <v>1338.0</v>
      </c>
      <c r="DU362" s="518">
        <v>1659.0</v>
      </c>
      <c r="DV362" s="518">
        <v>1153.0</v>
      </c>
      <c r="DW362" s="518">
        <v>1208.0</v>
      </c>
      <c r="DX362" s="363">
        <f t="shared" si="2221"/>
        <v>5358</v>
      </c>
      <c r="DY362" s="518">
        <v>1107.0</v>
      </c>
      <c r="DZ362" s="518">
        <v>1098.0</v>
      </c>
      <c r="EA362" s="518">
        <v>1105.0</v>
      </c>
      <c r="EB362" s="518">
        <v>996.0</v>
      </c>
      <c r="EC362" s="363">
        <f t="shared" si="2222"/>
        <v>4306</v>
      </c>
      <c r="ED362" s="518"/>
      <c r="EE362" s="518"/>
      <c r="EF362" s="518"/>
      <c r="EG362" s="518"/>
      <c r="EH362" s="363"/>
      <c r="EI362" s="426"/>
      <c r="EJ362" s="518"/>
      <c r="EK362" s="518"/>
      <c r="EL362" s="518"/>
      <c r="EM362" s="363"/>
      <c r="EN362" s="518"/>
      <c r="EO362" s="518"/>
      <c r="EP362" s="518"/>
      <c r="EQ362" s="518"/>
      <c r="ER362" s="363"/>
      <c r="ES362" s="518"/>
      <c r="ET362" s="518"/>
      <c r="EU362" s="518"/>
      <c r="EV362" s="518"/>
      <c r="EW362" s="363"/>
      <c r="EX362" s="518"/>
      <c r="EY362" s="518"/>
      <c r="EZ362" s="518"/>
      <c r="FA362" s="518"/>
      <c r="FB362" s="363"/>
      <c r="FC362" s="518"/>
      <c r="FD362" s="518"/>
      <c r="FE362" s="518"/>
      <c r="FF362" s="518"/>
      <c r="FG362" s="363"/>
      <c r="FH362" s="516"/>
      <c r="FI362" s="516"/>
      <c r="FJ362" s="516"/>
      <c r="FK362" s="517"/>
      <c r="FL362" s="516"/>
    </row>
    <row r="363" ht="12.75" hidden="1" customHeight="1" outlineLevel="1">
      <c r="A363" s="514"/>
      <c r="B363" s="72" t="s">
        <v>146</v>
      </c>
      <c r="C363" s="515"/>
      <c r="D363" s="516"/>
      <c r="E363" s="516"/>
      <c r="F363" s="516"/>
      <c r="G363" s="516"/>
      <c r="H363" s="517"/>
      <c r="I363" s="516"/>
      <c r="J363" s="516"/>
      <c r="K363" s="516"/>
      <c r="L363" s="516"/>
      <c r="M363" s="517"/>
      <c r="N363" s="516"/>
      <c r="O363" s="516"/>
      <c r="P363" s="516"/>
      <c r="Q363" s="516"/>
      <c r="R363" s="517"/>
      <c r="S363" s="516"/>
      <c r="T363" s="516"/>
      <c r="U363" s="516"/>
      <c r="V363" s="516"/>
      <c r="W363" s="517"/>
      <c r="X363" s="516"/>
      <c r="Y363" s="516"/>
      <c r="Z363" s="516"/>
      <c r="AA363" s="516"/>
      <c r="AB363" s="517"/>
      <c r="AC363" s="516"/>
      <c r="AD363" s="516"/>
      <c r="AE363" s="516"/>
      <c r="AF363" s="516"/>
      <c r="AG363" s="517"/>
      <c r="AH363" s="516"/>
      <c r="AI363" s="516"/>
      <c r="AJ363" s="516"/>
      <c r="AK363" s="516"/>
      <c r="AL363" s="517"/>
      <c r="AM363" s="516"/>
      <c r="AN363" s="516"/>
      <c r="AO363" s="516"/>
      <c r="AP363" s="516"/>
      <c r="AQ363" s="517"/>
      <c r="AR363" s="516"/>
      <c r="AS363" s="516"/>
      <c r="AT363" s="516"/>
      <c r="AU363" s="516"/>
      <c r="AV363" s="517"/>
      <c r="AW363" s="516"/>
      <c r="AX363" s="516"/>
      <c r="AY363" s="516"/>
      <c r="AZ363" s="516"/>
      <c r="BA363" s="517"/>
      <c r="BB363" s="516"/>
      <c r="BC363" s="516"/>
      <c r="BD363" s="516"/>
      <c r="BE363" s="516"/>
      <c r="BF363" s="517"/>
      <c r="BG363" s="516"/>
      <c r="BH363" s="516"/>
      <c r="BI363" s="516"/>
      <c r="BJ363" s="516"/>
      <c r="BK363" s="517"/>
      <c r="BL363" s="516"/>
      <c r="BM363" s="516"/>
      <c r="BN363" s="516"/>
      <c r="BO363" s="516"/>
      <c r="BP363" s="517"/>
      <c r="BQ363" s="516"/>
      <c r="BR363" s="516"/>
      <c r="BS363" s="516"/>
      <c r="BT363" s="516"/>
      <c r="BU363" s="517"/>
      <c r="BV363" s="516"/>
      <c r="BW363" s="516"/>
      <c r="BX363" s="516"/>
      <c r="BY363" s="516"/>
      <c r="BZ363" s="24"/>
      <c r="CA363" s="516"/>
      <c r="CB363" s="516"/>
      <c r="CC363" s="516"/>
      <c r="CD363" s="516"/>
      <c r="CE363" s="24"/>
      <c r="CF363" s="516"/>
      <c r="CG363" s="516"/>
      <c r="CH363" s="516"/>
      <c r="CI363" s="516"/>
      <c r="CJ363" s="24"/>
      <c r="CK363" s="516"/>
      <c r="CL363" s="516"/>
      <c r="CM363" s="516"/>
      <c r="CN363" s="516"/>
      <c r="CO363" s="24"/>
      <c r="CP363" s="518"/>
      <c r="CQ363" s="518"/>
      <c r="CR363" s="518"/>
      <c r="CS363" s="518"/>
      <c r="CT363" s="363"/>
      <c r="CU363" s="518"/>
      <c r="CV363" s="518"/>
      <c r="CW363" s="518"/>
      <c r="CX363" s="518"/>
      <c r="CY363" s="411">
        <f t="shared" ref="CY363:ED363" si="2223">(CY362-CT362)/CT362</f>
        <v>0.2101584343</v>
      </c>
      <c r="CZ363" s="514">
        <f t="shared" si="2223"/>
        <v>-0.05912162162</v>
      </c>
      <c r="DA363" s="514">
        <f t="shared" si="2223"/>
        <v>-0.2040229885</v>
      </c>
      <c r="DB363" s="514">
        <f t="shared" si="2223"/>
        <v>-0.009160305344</v>
      </c>
      <c r="DC363" s="514">
        <f t="shared" si="2223"/>
        <v>0.247706422</v>
      </c>
      <c r="DD363" s="313">
        <f t="shared" si="2223"/>
        <v>-0.008086253369</v>
      </c>
      <c r="DE363" s="516">
        <f t="shared" si="2223"/>
        <v>0.5547576302</v>
      </c>
      <c r="DF363" s="516">
        <f t="shared" si="2223"/>
        <v>0.5776173285</v>
      </c>
      <c r="DG363" s="516">
        <f t="shared" si="2223"/>
        <v>0.3728813559</v>
      </c>
      <c r="DH363" s="516">
        <f t="shared" si="2223"/>
        <v>0.08946078431</v>
      </c>
      <c r="DI363" s="313">
        <f t="shared" si="2223"/>
        <v>0.3664596273</v>
      </c>
      <c r="DJ363" s="516">
        <f t="shared" si="2223"/>
        <v>0.2009237875</v>
      </c>
      <c r="DK363" s="516">
        <f t="shared" si="2223"/>
        <v>0.2345537757</v>
      </c>
      <c r="DL363" s="516">
        <f t="shared" si="2223"/>
        <v>0.2132435466</v>
      </c>
      <c r="DM363" s="516">
        <f t="shared" si="2223"/>
        <v>0.2452193476</v>
      </c>
      <c r="DN363" s="313">
        <f t="shared" si="2223"/>
        <v>0.2235795455</v>
      </c>
      <c r="DO363" s="516">
        <f t="shared" si="2223"/>
        <v>-0.1201923077</v>
      </c>
      <c r="DP363" s="516">
        <f t="shared" si="2223"/>
        <v>-0.1288229842</v>
      </c>
      <c r="DQ363" s="516">
        <f t="shared" si="2223"/>
        <v>0.1933395005</v>
      </c>
      <c r="DR363" s="516">
        <f t="shared" si="2223"/>
        <v>0.09936766034</v>
      </c>
      <c r="DS363" s="313">
        <f t="shared" si="2223"/>
        <v>0.01276990945</v>
      </c>
      <c r="DT363" s="516">
        <f t="shared" si="2223"/>
        <v>0.462295082</v>
      </c>
      <c r="DU363" s="516">
        <f t="shared" si="2223"/>
        <v>0.764893617</v>
      </c>
      <c r="DV363" s="516">
        <f t="shared" si="2223"/>
        <v>-0.1062015504</v>
      </c>
      <c r="DW363" s="516">
        <f t="shared" si="2223"/>
        <v>-0.007395234182</v>
      </c>
      <c r="DX363" s="313">
        <f t="shared" si="2223"/>
        <v>0.2283356259</v>
      </c>
      <c r="DY363" s="516">
        <f t="shared" si="2223"/>
        <v>-0.1726457399</v>
      </c>
      <c r="DZ363" s="516">
        <f t="shared" si="2223"/>
        <v>-0.3381555154</v>
      </c>
      <c r="EA363" s="516">
        <f t="shared" si="2223"/>
        <v>-0.04163052905</v>
      </c>
      <c r="EB363" s="516">
        <f t="shared" si="2223"/>
        <v>-0.1754966887</v>
      </c>
      <c r="EC363" s="313">
        <f t="shared" si="2223"/>
        <v>-0.1963419186</v>
      </c>
      <c r="ED363" s="516">
        <f t="shared" si="2223"/>
        <v>-1</v>
      </c>
      <c r="EE363" s="516"/>
      <c r="EF363" s="516"/>
      <c r="EG363" s="516"/>
      <c r="EH363" s="313"/>
      <c r="EI363" s="82"/>
      <c r="EJ363" s="516"/>
      <c r="EK363" s="516"/>
      <c r="EL363" s="516"/>
      <c r="EM363" s="313"/>
      <c r="EN363" s="516"/>
      <c r="EO363" s="516"/>
      <c r="EP363" s="516"/>
      <c r="EQ363" s="516"/>
      <c r="ER363" s="313"/>
      <c r="ES363" s="516"/>
      <c r="ET363" s="516"/>
      <c r="EU363" s="516"/>
      <c r="EV363" s="516"/>
      <c r="EW363" s="313"/>
      <c r="EX363" s="516"/>
      <c r="EY363" s="516"/>
      <c r="EZ363" s="516"/>
      <c r="FA363" s="516"/>
      <c r="FB363" s="313"/>
      <c r="FC363" s="516"/>
      <c r="FD363" s="516"/>
      <c r="FE363" s="516"/>
      <c r="FF363" s="516"/>
      <c r="FG363" s="313"/>
      <c r="FH363" s="516"/>
      <c r="FI363" s="516"/>
      <c r="FJ363" s="516"/>
      <c r="FK363" s="517"/>
      <c r="FL363" s="516"/>
    </row>
    <row r="364" ht="12.75" hidden="1" customHeight="1" outlineLevel="1">
      <c r="A364" s="514"/>
      <c r="B364" s="72" t="s">
        <v>150</v>
      </c>
      <c r="C364" s="45"/>
      <c r="D364" s="15"/>
      <c r="E364" s="15"/>
      <c r="F364" s="15"/>
      <c r="G364" s="15"/>
      <c r="H364" s="410"/>
      <c r="I364" s="15"/>
      <c r="J364" s="15"/>
      <c r="K364" s="15"/>
      <c r="L364" s="15"/>
      <c r="M364" s="410"/>
      <c r="N364" s="15"/>
      <c r="O364" s="15"/>
      <c r="P364" s="15"/>
      <c r="Q364" s="15"/>
      <c r="R364" s="410"/>
      <c r="S364" s="15"/>
      <c r="T364" s="15"/>
      <c r="U364" s="15"/>
      <c r="V364" s="15"/>
      <c r="W364" s="410"/>
      <c r="X364" s="15"/>
      <c r="Y364" s="15"/>
      <c r="Z364" s="15"/>
      <c r="AA364" s="15"/>
      <c r="AB364" s="410"/>
      <c r="AC364" s="15"/>
      <c r="AD364" s="15"/>
      <c r="AE364" s="15"/>
      <c r="AF364" s="15"/>
      <c r="AG364" s="410"/>
      <c r="AH364" s="15"/>
      <c r="AI364" s="15"/>
      <c r="AJ364" s="15"/>
      <c r="AK364" s="15"/>
      <c r="AL364" s="410"/>
      <c r="AM364" s="15"/>
      <c r="AN364" s="15"/>
      <c r="AO364" s="15"/>
      <c r="AP364" s="15"/>
      <c r="AQ364" s="410"/>
      <c r="AR364" s="15"/>
      <c r="AS364" s="15"/>
      <c r="AT364" s="15"/>
      <c r="AU364" s="15"/>
      <c r="AV364" s="410"/>
      <c r="AW364" s="15"/>
      <c r="AX364" s="15"/>
      <c r="AY364" s="15"/>
      <c r="AZ364" s="15"/>
      <c r="BA364" s="410"/>
      <c r="BB364" s="15"/>
      <c r="BC364" s="15"/>
      <c r="BD364" s="15"/>
      <c r="BE364" s="15"/>
      <c r="BF364" s="410"/>
      <c r="BG364" s="15"/>
      <c r="BH364" s="15"/>
      <c r="BI364" s="15"/>
      <c r="BJ364" s="15"/>
      <c r="BK364" s="410"/>
      <c r="BL364" s="15"/>
      <c r="BM364" s="15"/>
      <c r="BN364" s="15"/>
      <c r="BO364" s="15"/>
      <c r="BP364" s="410"/>
      <c r="BQ364" s="15"/>
      <c r="BR364" s="15"/>
      <c r="BS364" s="15"/>
      <c r="BT364" s="15"/>
      <c r="BU364" s="410"/>
      <c r="BV364" s="15"/>
      <c r="BW364" s="15"/>
      <c r="BX364" s="15"/>
      <c r="BY364" s="15"/>
      <c r="BZ364" s="24"/>
      <c r="CA364" s="15"/>
      <c r="CB364" s="15"/>
      <c r="CC364" s="15"/>
      <c r="CD364" s="15"/>
      <c r="CE364" s="24"/>
      <c r="CF364" s="15"/>
      <c r="CG364" s="15"/>
      <c r="CH364" s="15"/>
      <c r="CI364" s="15"/>
      <c r="CJ364" s="24"/>
      <c r="CK364" s="15"/>
      <c r="CL364" s="15"/>
      <c r="CM364" s="15"/>
      <c r="CN364" s="40"/>
      <c r="CO364" s="24"/>
      <c r="CP364" s="520"/>
      <c r="CQ364" s="520"/>
      <c r="CR364" s="520"/>
      <c r="CS364" s="520"/>
      <c r="CT364" s="363"/>
      <c r="CU364" s="520"/>
      <c r="CV364" s="513">
        <f t="shared" ref="CV364:CX364" si="2224">CV362/CU362-1</f>
        <v>0.1756756757</v>
      </c>
      <c r="CW364" s="513">
        <f t="shared" si="2224"/>
        <v>-0.05890804598</v>
      </c>
      <c r="CX364" s="513">
        <f t="shared" si="2224"/>
        <v>-0.001526717557</v>
      </c>
      <c r="CY364" s="363"/>
      <c r="CZ364" s="513">
        <f>CZ362/CX362-1</f>
        <v>-0.1483180428</v>
      </c>
      <c r="DA364" s="513">
        <f t="shared" ref="DA364:DC364" si="2225">DA362/CZ362-1</f>
        <v>-0.005385996409</v>
      </c>
      <c r="DB364" s="513">
        <f t="shared" si="2225"/>
        <v>0.1714801444</v>
      </c>
      <c r="DC364" s="513">
        <f t="shared" si="2225"/>
        <v>0.2573189522</v>
      </c>
      <c r="DD364" s="363"/>
      <c r="DE364" s="513">
        <f>DE362/DC362-1</f>
        <v>0.0612745098</v>
      </c>
      <c r="DF364" s="513">
        <f t="shared" ref="DF364:DH364" si="2226">DF362/DE362-1</f>
        <v>0.009237875289</v>
      </c>
      <c r="DG364" s="513">
        <f t="shared" si="2226"/>
        <v>0.01945080092</v>
      </c>
      <c r="DH364" s="513">
        <f t="shared" si="2226"/>
        <v>-0.002244668911</v>
      </c>
      <c r="DI364" s="363"/>
      <c r="DJ364" s="327">
        <f>DJ362/DH362-1</f>
        <v>0.1698537683</v>
      </c>
      <c r="DK364" s="327">
        <f t="shared" ref="DK364:DM364" si="2227">DK362/DJ362-1</f>
        <v>0.0375</v>
      </c>
      <c r="DL364" s="327">
        <f t="shared" si="2227"/>
        <v>0.001853568119</v>
      </c>
      <c r="DM364" s="327">
        <f t="shared" si="2227"/>
        <v>0.02405180389</v>
      </c>
      <c r="DN364" s="363"/>
      <c r="DO364" s="327">
        <f t="shared" ref="DO364:DQ364" si="2228">DO362/DM362-1</f>
        <v>-0.1734417344</v>
      </c>
      <c r="DP364" s="327">
        <f t="shared" si="2228"/>
        <v>-0.7817506385</v>
      </c>
      <c r="DQ364" s="327">
        <f t="shared" si="2228"/>
        <v>0.4098360656</v>
      </c>
      <c r="DR364" s="327">
        <v>0.04</v>
      </c>
      <c r="DS364" s="363"/>
      <c r="DT364" s="327">
        <f>DT362/DR362-1</f>
        <v>0.09942481512</v>
      </c>
      <c r="DU364" s="327">
        <f t="shared" ref="DU364:DW364" si="2229">DU362/DT362-1</f>
        <v>0.2399103139</v>
      </c>
      <c r="DV364" s="327">
        <f t="shared" si="2229"/>
        <v>-0.3050030139</v>
      </c>
      <c r="DW364" s="327">
        <f t="shared" si="2229"/>
        <v>0.04770164788</v>
      </c>
      <c r="DX364" s="363"/>
      <c r="DY364" s="327">
        <f>DY362/DW362-1</f>
        <v>-0.08360927152</v>
      </c>
      <c r="DZ364" s="327">
        <f t="shared" ref="DZ364:EB364" si="2230">DZ362/DY362-1</f>
        <v>-0.008130081301</v>
      </c>
      <c r="EA364" s="327">
        <f t="shared" si="2230"/>
        <v>0.006375227687</v>
      </c>
      <c r="EB364" s="327">
        <f t="shared" si="2230"/>
        <v>-0.09864253394</v>
      </c>
      <c r="EC364" s="363"/>
      <c r="ED364" s="327">
        <f>ED362/EB362-1</f>
        <v>-1</v>
      </c>
      <c r="EE364" s="327"/>
      <c r="EF364" s="327"/>
      <c r="EG364" s="327"/>
      <c r="EH364" s="363"/>
      <c r="EI364" s="314"/>
      <c r="EJ364" s="315"/>
      <c r="EK364" s="315"/>
      <c r="EL364" s="315"/>
      <c r="EM364" s="363"/>
      <c r="EN364" s="315"/>
      <c r="EO364" s="315"/>
      <c r="EP364" s="315"/>
      <c r="EQ364" s="315"/>
      <c r="ER364" s="363"/>
      <c r="ES364" s="315"/>
      <c r="ET364" s="315"/>
      <c r="EU364" s="315"/>
      <c r="EV364" s="315"/>
      <c r="EW364" s="363"/>
      <c r="EX364" s="315"/>
      <c r="EY364" s="315"/>
      <c r="EZ364" s="315"/>
      <c r="FA364" s="315"/>
      <c r="FB364" s="363"/>
      <c r="FC364" s="315"/>
      <c r="FD364" s="315"/>
      <c r="FE364" s="315"/>
      <c r="FF364" s="315"/>
      <c r="FG364" s="363"/>
      <c r="FH364" s="364"/>
      <c r="FI364" s="15"/>
      <c r="FJ364" s="15"/>
      <c r="FK364" s="410"/>
      <c r="FL364" s="15"/>
    </row>
    <row r="365" ht="12.75" hidden="1" customHeight="1" outlineLevel="2">
      <c r="A365" s="514"/>
      <c r="B365" s="215" t="s">
        <v>225</v>
      </c>
      <c r="C365" s="45"/>
      <c r="D365" s="15"/>
      <c r="E365" s="15"/>
      <c r="F365" s="15"/>
      <c r="G365" s="15"/>
      <c r="H365" s="410"/>
      <c r="I365" s="15"/>
      <c r="J365" s="15"/>
      <c r="K365" s="15"/>
      <c r="L365" s="15"/>
      <c r="M365" s="410"/>
      <c r="N365" s="15"/>
      <c r="O365" s="15"/>
      <c r="P365" s="15"/>
      <c r="Q365" s="15"/>
      <c r="R365" s="410"/>
      <c r="S365" s="15"/>
      <c r="T365" s="15"/>
      <c r="U365" s="15"/>
      <c r="V365" s="15"/>
      <c r="W365" s="410"/>
      <c r="X365" s="15"/>
      <c r="Y365" s="15"/>
      <c r="Z365" s="15"/>
      <c r="AA365" s="15"/>
      <c r="AB365" s="410"/>
      <c r="AC365" s="15"/>
      <c r="AD365" s="15"/>
      <c r="AE365" s="15"/>
      <c r="AF365" s="15"/>
      <c r="AG365" s="410"/>
      <c r="AH365" s="15"/>
      <c r="AI365" s="15"/>
      <c r="AJ365" s="15"/>
      <c r="AK365" s="15"/>
      <c r="AL365" s="410"/>
      <c r="AM365" s="15"/>
      <c r="AN365" s="15"/>
      <c r="AO365" s="15"/>
      <c r="AP365" s="15"/>
      <c r="AQ365" s="410"/>
      <c r="AR365" s="15"/>
      <c r="AS365" s="15"/>
      <c r="AT365" s="15"/>
      <c r="AU365" s="15"/>
      <c r="AV365" s="410"/>
      <c r="AW365" s="15"/>
      <c r="AX365" s="15"/>
      <c r="AY365" s="15"/>
      <c r="AZ365" s="15"/>
      <c r="BA365" s="410"/>
      <c r="BB365" s="15"/>
      <c r="BC365" s="15"/>
      <c r="BD365" s="15"/>
      <c r="BE365" s="15"/>
      <c r="BF365" s="410"/>
      <c r="BG365" s="15"/>
      <c r="BH365" s="15"/>
      <c r="BI365" s="15"/>
      <c r="BJ365" s="15"/>
      <c r="BK365" s="410"/>
      <c r="BL365" s="15"/>
      <c r="BM365" s="15"/>
      <c r="BN365" s="15"/>
      <c r="BO365" s="15"/>
      <c r="BP365" s="410"/>
      <c r="BQ365" s="15"/>
      <c r="BR365" s="15"/>
      <c r="BS365" s="15"/>
      <c r="BT365" s="15"/>
      <c r="BU365" s="410"/>
      <c r="BV365" s="15"/>
      <c r="BW365" s="15"/>
      <c r="BX365" s="15"/>
      <c r="BY365" s="15"/>
      <c r="BZ365" s="24"/>
      <c r="CA365" s="15"/>
      <c r="CB365" s="15"/>
      <c r="CC365" s="15"/>
      <c r="CD365" s="15"/>
      <c r="CE365" s="24"/>
      <c r="CF365" s="15"/>
      <c r="CG365" s="15"/>
      <c r="CH365" s="15"/>
      <c r="CI365" s="15"/>
      <c r="CJ365" s="24"/>
      <c r="CK365" s="15"/>
      <c r="CL365" s="15"/>
      <c r="CM365" s="15"/>
      <c r="CN365" s="40"/>
      <c r="CO365" s="24"/>
      <c r="CP365" s="520"/>
      <c r="CQ365" s="520"/>
      <c r="CR365" s="520"/>
      <c r="CS365" s="520"/>
      <c r="CT365" s="363"/>
      <c r="CU365" s="520"/>
      <c r="CV365" s="513"/>
      <c r="CW365" s="513"/>
      <c r="CX365" s="513"/>
      <c r="CY365" s="363"/>
      <c r="CZ365" s="513"/>
      <c r="DA365" s="513"/>
      <c r="DB365" s="513"/>
      <c r="DC365" s="513"/>
      <c r="DD365" s="363"/>
      <c r="DE365" s="513"/>
      <c r="DF365" s="513"/>
      <c r="DG365" s="513"/>
      <c r="DH365" s="513"/>
      <c r="DI365" s="363"/>
      <c r="DJ365" s="327"/>
      <c r="DK365" s="327"/>
      <c r="DL365" s="327"/>
      <c r="DM365" s="327"/>
      <c r="DN365" s="363"/>
      <c r="DO365" s="327"/>
      <c r="DP365" s="327"/>
      <c r="DQ365" s="327"/>
      <c r="DR365" s="327"/>
      <c r="DS365" s="363"/>
      <c r="DT365" s="36">
        <v>1200.0</v>
      </c>
      <c r="DU365" s="36">
        <f t="shared" ref="DU365:DW365" si="2231">DU362-DU380</f>
        <v>1599</v>
      </c>
      <c r="DV365" s="36">
        <f t="shared" si="2231"/>
        <v>1053</v>
      </c>
      <c r="DW365" s="36">
        <f t="shared" si="2231"/>
        <v>1108</v>
      </c>
      <c r="DX365" s="363">
        <f>SUM(DT365:DW365)</f>
        <v>4960</v>
      </c>
      <c r="DY365" s="36">
        <f t="shared" ref="DY365:EB365" si="2232">DY362-DY380</f>
        <v>1001.835</v>
      </c>
      <c r="DZ365" s="36">
        <f t="shared" si="2232"/>
        <v>993.69</v>
      </c>
      <c r="EA365" s="36">
        <f t="shared" si="2232"/>
        <v>1000.025</v>
      </c>
      <c r="EB365" s="36">
        <f t="shared" si="2232"/>
        <v>901.38</v>
      </c>
      <c r="EC365" s="363">
        <f>SUM(DY365:EB365)</f>
        <v>3896.93</v>
      </c>
      <c r="ED365" s="36">
        <f>ED362-ED380</f>
        <v>0</v>
      </c>
      <c r="EE365" s="36"/>
      <c r="EF365" s="36"/>
      <c r="EG365" s="36"/>
      <c r="EH365" s="363"/>
      <c r="EI365" s="428"/>
      <c r="EJ365" s="36"/>
      <c r="EK365" s="36"/>
      <c r="EL365" s="36"/>
      <c r="EM365" s="363"/>
      <c r="EN365" s="36"/>
      <c r="EO365" s="36"/>
      <c r="EP365" s="36"/>
      <c r="EQ365" s="36"/>
      <c r="ER365" s="363"/>
      <c r="ES365" s="36"/>
      <c r="ET365" s="36"/>
      <c r="EU365" s="36"/>
      <c r="EV365" s="36"/>
      <c r="EW365" s="363"/>
      <c r="EX365" s="36"/>
      <c r="EY365" s="36"/>
      <c r="EZ365" s="36"/>
      <c r="FA365" s="36"/>
      <c r="FB365" s="363"/>
      <c r="FC365" s="36"/>
      <c r="FD365" s="36"/>
      <c r="FE365" s="36"/>
      <c r="FF365" s="36"/>
      <c r="FG365" s="363"/>
      <c r="FH365" s="364"/>
      <c r="FI365" s="15"/>
      <c r="FJ365" s="15"/>
      <c r="FK365" s="410"/>
      <c r="FL365" s="15"/>
    </row>
    <row r="366" ht="12.75" hidden="1" customHeight="1" outlineLevel="2">
      <c r="A366" s="514"/>
      <c r="B366" s="72" t="s">
        <v>226</v>
      </c>
      <c r="C366" s="45"/>
      <c r="D366" s="15"/>
      <c r="E366" s="15"/>
      <c r="F366" s="15"/>
      <c r="G366" s="15"/>
      <c r="H366" s="410"/>
      <c r="I366" s="15"/>
      <c r="J366" s="15"/>
      <c r="K366" s="15"/>
      <c r="L366" s="15"/>
      <c r="M366" s="410"/>
      <c r="N366" s="15"/>
      <c r="O366" s="15"/>
      <c r="P366" s="15"/>
      <c r="Q366" s="15"/>
      <c r="R366" s="410"/>
      <c r="S366" s="15"/>
      <c r="T366" s="15"/>
      <c r="U366" s="15"/>
      <c r="V366" s="15"/>
      <c r="W366" s="410"/>
      <c r="X366" s="15"/>
      <c r="Y366" s="15"/>
      <c r="Z366" s="15"/>
      <c r="AA366" s="15"/>
      <c r="AB366" s="410"/>
      <c r="AC366" s="15"/>
      <c r="AD366" s="15"/>
      <c r="AE366" s="15"/>
      <c r="AF366" s="15"/>
      <c r="AG366" s="410"/>
      <c r="AH366" s="15"/>
      <c r="AI366" s="15"/>
      <c r="AJ366" s="15"/>
      <c r="AK366" s="15"/>
      <c r="AL366" s="410"/>
      <c r="AM366" s="15"/>
      <c r="AN366" s="15"/>
      <c r="AO366" s="15"/>
      <c r="AP366" s="15"/>
      <c r="AQ366" s="410"/>
      <c r="AR366" s="15"/>
      <c r="AS366" s="15"/>
      <c r="AT366" s="15"/>
      <c r="AU366" s="15"/>
      <c r="AV366" s="410"/>
      <c r="AW366" s="15"/>
      <c r="AX366" s="15"/>
      <c r="AY366" s="15"/>
      <c r="AZ366" s="15"/>
      <c r="BA366" s="410"/>
      <c r="BB366" s="15"/>
      <c r="BC366" s="15"/>
      <c r="BD366" s="15"/>
      <c r="BE366" s="15"/>
      <c r="BF366" s="410"/>
      <c r="BG366" s="15"/>
      <c r="BH366" s="15"/>
      <c r="BI366" s="15"/>
      <c r="BJ366" s="15"/>
      <c r="BK366" s="410"/>
      <c r="BL366" s="15"/>
      <c r="BM366" s="15"/>
      <c r="BN366" s="15"/>
      <c r="BO366" s="15"/>
      <c r="BP366" s="410"/>
      <c r="BQ366" s="15"/>
      <c r="BR366" s="15"/>
      <c r="BS366" s="15"/>
      <c r="BT366" s="15"/>
      <c r="BU366" s="410"/>
      <c r="BV366" s="15"/>
      <c r="BW366" s="15"/>
      <c r="BX366" s="15"/>
      <c r="BY366" s="15"/>
      <c r="BZ366" s="24"/>
      <c r="CA366" s="15"/>
      <c r="CB366" s="15"/>
      <c r="CC366" s="15"/>
      <c r="CD366" s="15"/>
      <c r="CE366" s="24"/>
      <c r="CF366" s="15"/>
      <c r="CG366" s="15"/>
      <c r="CH366" s="15"/>
      <c r="CI366" s="15"/>
      <c r="CJ366" s="24"/>
      <c r="CK366" s="15"/>
      <c r="CL366" s="15"/>
      <c r="CM366" s="15"/>
      <c r="CN366" s="40"/>
      <c r="CO366" s="24"/>
      <c r="CP366" s="520"/>
      <c r="CQ366" s="520"/>
      <c r="CR366" s="520"/>
      <c r="CS366" s="520"/>
      <c r="CT366" s="363"/>
      <c r="CU366" s="520"/>
      <c r="CV366" s="513"/>
      <c r="CW366" s="513"/>
      <c r="CX366" s="513"/>
      <c r="CY366" s="363"/>
      <c r="CZ366" s="513"/>
      <c r="DA366" s="513"/>
      <c r="DB366" s="513"/>
      <c r="DC366" s="513"/>
      <c r="DD366" s="363"/>
      <c r="DE366" s="513"/>
      <c r="DF366" s="513"/>
      <c r="DG366" s="513"/>
      <c r="DH366" s="513"/>
      <c r="DI366" s="363"/>
      <c r="DJ366" s="327"/>
      <c r="DK366" s="327"/>
      <c r="DL366" s="327"/>
      <c r="DM366" s="327"/>
      <c r="DN366" s="363"/>
      <c r="DO366" s="327"/>
      <c r="DP366" s="327"/>
      <c r="DQ366" s="327"/>
      <c r="DR366" s="327"/>
      <c r="DS366" s="363"/>
      <c r="DT366" s="327">
        <f t="shared" ref="DT366:EB366" si="2233">DT365/DT362</f>
        <v>0.8968609865</v>
      </c>
      <c r="DU366" s="327">
        <f t="shared" si="2233"/>
        <v>0.9638336347</v>
      </c>
      <c r="DV366" s="327">
        <f t="shared" si="2233"/>
        <v>0.9132697311</v>
      </c>
      <c r="DW366" s="327">
        <f t="shared" si="2233"/>
        <v>0.917218543</v>
      </c>
      <c r="DX366" s="37">
        <f t="shared" si="2233"/>
        <v>0.9257185517</v>
      </c>
      <c r="DY366" s="327">
        <f t="shared" si="2233"/>
        <v>0.905</v>
      </c>
      <c r="DZ366" s="327">
        <f t="shared" si="2233"/>
        <v>0.905</v>
      </c>
      <c r="EA366" s="327">
        <f t="shared" si="2233"/>
        <v>0.905</v>
      </c>
      <c r="EB366" s="327">
        <f t="shared" si="2233"/>
        <v>0.905</v>
      </c>
      <c r="EC366" s="363"/>
      <c r="ED366" s="327" t="str">
        <f>ED365/ED362</f>
        <v>#DIV/0!</v>
      </c>
      <c r="EE366" s="327"/>
      <c r="EF366" s="327"/>
      <c r="EG366" s="327"/>
      <c r="EH366" s="363"/>
      <c r="EI366" s="82"/>
      <c r="EJ366" s="15"/>
      <c r="EK366" s="15"/>
      <c r="EL366" s="15"/>
      <c r="EM366" s="363"/>
      <c r="EN366" s="327"/>
      <c r="EO366" s="15"/>
      <c r="EP366" s="15"/>
      <c r="EQ366" s="15"/>
      <c r="ER366" s="363"/>
      <c r="ES366" s="327"/>
      <c r="ET366" s="15"/>
      <c r="EU366" s="15"/>
      <c r="EV366" s="15"/>
      <c r="EW366" s="363"/>
      <c r="EX366" s="327"/>
      <c r="EY366" s="15"/>
      <c r="EZ366" s="15"/>
      <c r="FA366" s="15"/>
      <c r="FB366" s="363"/>
      <c r="FC366" s="327"/>
      <c r="FD366" s="15"/>
      <c r="FE366" s="15"/>
      <c r="FF366" s="15"/>
      <c r="FG366" s="363"/>
      <c r="FH366" s="364"/>
      <c r="FI366" s="15"/>
      <c r="FJ366" s="15"/>
      <c r="FK366" s="410"/>
      <c r="FL366" s="15"/>
    </row>
    <row r="367" ht="12.75" hidden="1" customHeight="1" outlineLevel="2">
      <c r="A367" s="514"/>
      <c r="B367" s="72" t="s">
        <v>146</v>
      </c>
      <c r="C367" s="45"/>
      <c r="D367" s="15"/>
      <c r="E367" s="15"/>
      <c r="F367" s="15"/>
      <c r="G367" s="15"/>
      <c r="H367" s="410"/>
      <c r="I367" s="15"/>
      <c r="J367" s="15"/>
      <c r="K367" s="15"/>
      <c r="L367" s="15"/>
      <c r="M367" s="410"/>
      <c r="N367" s="15"/>
      <c r="O367" s="15"/>
      <c r="P367" s="15"/>
      <c r="Q367" s="15"/>
      <c r="R367" s="410"/>
      <c r="S367" s="15"/>
      <c r="T367" s="15"/>
      <c r="U367" s="15"/>
      <c r="V367" s="15"/>
      <c r="W367" s="410"/>
      <c r="X367" s="15"/>
      <c r="Y367" s="15"/>
      <c r="Z367" s="15"/>
      <c r="AA367" s="15"/>
      <c r="AB367" s="410"/>
      <c r="AC367" s="15"/>
      <c r="AD367" s="15"/>
      <c r="AE367" s="15"/>
      <c r="AF367" s="15"/>
      <c r="AG367" s="410"/>
      <c r="AH367" s="15"/>
      <c r="AI367" s="15"/>
      <c r="AJ367" s="15"/>
      <c r="AK367" s="15"/>
      <c r="AL367" s="410"/>
      <c r="AM367" s="15"/>
      <c r="AN367" s="15"/>
      <c r="AO367" s="15"/>
      <c r="AP367" s="15"/>
      <c r="AQ367" s="410"/>
      <c r="AR367" s="15"/>
      <c r="AS367" s="15"/>
      <c r="AT367" s="15"/>
      <c r="AU367" s="15"/>
      <c r="AV367" s="410"/>
      <c r="AW367" s="15"/>
      <c r="AX367" s="15"/>
      <c r="AY367" s="15"/>
      <c r="AZ367" s="15"/>
      <c r="BA367" s="410"/>
      <c r="BB367" s="15"/>
      <c r="BC367" s="15"/>
      <c r="BD367" s="15"/>
      <c r="BE367" s="15"/>
      <c r="BF367" s="410"/>
      <c r="BG367" s="15"/>
      <c r="BH367" s="15"/>
      <c r="BI367" s="15"/>
      <c r="BJ367" s="15"/>
      <c r="BK367" s="410"/>
      <c r="BL367" s="15"/>
      <c r="BM367" s="15"/>
      <c r="BN367" s="15"/>
      <c r="BO367" s="15"/>
      <c r="BP367" s="410"/>
      <c r="BQ367" s="15"/>
      <c r="BR367" s="15"/>
      <c r="BS367" s="15"/>
      <c r="BT367" s="15"/>
      <c r="BU367" s="410"/>
      <c r="BV367" s="15"/>
      <c r="BW367" s="15"/>
      <c r="BX367" s="15"/>
      <c r="BY367" s="15"/>
      <c r="BZ367" s="24"/>
      <c r="CA367" s="15"/>
      <c r="CB367" s="15"/>
      <c r="CC367" s="15"/>
      <c r="CD367" s="15"/>
      <c r="CE367" s="24"/>
      <c r="CF367" s="15"/>
      <c r="CG367" s="15"/>
      <c r="CH367" s="15"/>
      <c r="CI367" s="15"/>
      <c r="CJ367" s="24"/>
      <c r="CK367" s="15"/>
      <c r="CL367" s="15"/>
      <c r="CM367" s="15"/>
      <c r="CN367" s="40"/>
      <c r="CO367" s="24"/>
      <c r="CP367" s="520"/>
      <c r="CQ367" s="520"/>
      <c r="CR367" s="520"/>
      <c r="CS367" s="520"/>
      <c r="CT367" s="363"/>
      <c r="CU367" s="520"/>
      <c r="CV367" s="513"/>
      <c r="CW367" s="513"/>
      <c r="CX367" s="513"/>
      <c r="CY367" s="363"/>
      <c r="CZ367" s="513"/>
      <c r="DA367" s="513"/>
      <c r="DB367" s="513"/>
      <c r="DC367" s="513"/>
      <c r="DD367" s="363"/>
      <c r="DE367" s="513"/>
      <c r="DF367" s="513"/>
      <c r="DG367" s="513"/>
      <c r="DH367" s="513"/>
      <c r="DI367" s="363"/>
      <c r="DJ367" s="327"/>
      <c r="DK367" s="327"/>
      <c r="DL367" s="327"/>
      <c r="DM367" s="327"/>
      <c r="DN367" s="363"/>
      <c r="DO367" s="327"/>
      <c r="DP367" s="327"/>
      <c r="DQ367" s="327"/>
      <c r="DR367" s="327"/>
      <c r="DS367" s="363"/>
      <c r="DT367" s="327"/>
      <c r="DU367" s="327"/>
      <c r="DV367" s="327"/>
      <c r="DW367" s="327"/>
      <c r="DX367" s="363"/>
      <c r="DY367" s="327"/>
      <c r="DZ367" s="327"/>
      <c r="EA367" s="327"/>
      <c r="EB367" s="327"/>
      <c r="EC367" s="363"/>
      <c r="ED367" s="327"/>
      <c r="EE367" s="327"/>
      <c r="EF367" s="327"/>
      <c r="EG367" s="327"/>
      <c r="EH367" s="363"/>
      <c r="EI367" s="314"/>
      <c r="EJ367" s="315"/>
      <c r="EK367" s="315"/>
      <c r="EL367" s="315"/>
      <c r="EM367" s="363"/>
      <c r="EN367" s="365"/>
      <c r="EO367" s="315"/>
      <c r="EP367" s="315"/>
      <c r="EQ367" s="315"/>
      <c r="ER367" s="363"/>
      <c r="ES367" s="365"/>
      <c r="ET367" s="315"/>
      <c r="EU367" s="315"/>
      <c r="EV367" s="315"/>
      <c r="EW367" s="363"/>
      <c r="EX367" s="365"/>
      <c r="EY367" s="315"/>
      <c r="EZ367" s="315"/>
      <c r="FA367" s="315"/>
      <c r="FB367" s="363"/>
      <c r="FC367" s="365"/>
      <c r="FD367" s="315"/>
      <c r="FE367" s="315"/>
      <c r="FF367" s="315"/>
      <c r="FG367" s="363"/>
      <c r="FH367" s="364"/>
      <c r="FI367" s="15"/>
      <c r="FJ367" s="15"/>
      <c r="FK367" s="410"/>
      <c r="FL367" s="15"/>
    </row>
    <row r="368" ht="12.75" hidden="1" customHeight="1" outlineLevel="2">
      <c r="A368" s="514"/>
      <c r="B368" s="521" t="s">
        <v>227</v>
      </c>
      <c r="C368" s="45"/>
      <c r="D368" s="15"/>
      <c r="E368" s="15"/>
      <c r="F368" s="15"/>
      <c r="G368" s="15"/>
      <c r="H368" s="410"/>
      <c r="I368" s="15"/>
      <c r="J368" s="15"/>
      <c r="K368" s="15"/>
      <c r="L368" s="15"/>
      <c r="M368" s="410"/>
      <c r="N368" s="15"/>
      <c r="O368" s="15"/>
      <c r="P368" s="15"/>
      <c r="Q368" s="15"/>
      <c r="R368" s="410"/>
      <c r="S368" s="15"/>
      <c r="T368" s="15"/>
      <c r="U368" s="15"/>
      <c r="V368" s="15"/>
      <c r="W368" s="410"/>
      <c r="X368" s="15"/>
      <c r="Y368" s="15"/>
      <c r="Z368" s="15"/>
      <c r="AA368" s="15"/>
      <c r="AB368" s="410"/>
      <c r="AC368" s="15"/>
      <c r="AD368" s="15"/>
      <c r="AE368" s="15"/>
      <c r="AF368" s="15"/>
      <c r="AG368" s="410"/>
      <c r="AH368" s="15"/>
      <c r="AI368" s="15"/>
      <c r="AJ368" s="15"/>
      <c r="AK368" s="15"/>
      <c r="AL368" s="410"/>
      <c r="AM368" s="15"/>
      <c r="AN368" s="15"/>
      <c r="AO368" s="15"/>
      <c r="AP368" s="15"/>
      <c r="AQ368" s="410"/>
      <c r="AR368" s="15"/>
      <c r="AS368" s="15"/>
      <c r="AT368" s="15"/>
      <c r="AU368" s="15"/>
      <c r="AV368" s="410"/>
      <c r="AW368" s="15"/>
      <c r="AX368" s="15"/>
      <c r="AY368" s="15"/>
      <c r="AZ368" s="15"/>
      <c r="BA368" s="410"/>
      <c r="BB368" s="15"/>
      <c r="BC368" s="15"/>
      <c r="BD368" s="15"/>
      <c r="BE368" s="15"/>
      <c r="BF368" s="410"/>
      <c r="BG368" s="15"/>
      <c r="BH368" s="15"/>
      <c r="BI368" s="15"/>
      <c r="BJ368" s="15"/>
      <c r="BK368" s="410"/>
      <c r="BL368" s="15"/>
      <c r="BM368" s="15"/>
      <c r="BN368" s="15"/>
      <c r="BO368" s="15"/>
      <c r="BP368" s="410"/>
      <c r="BQ368" s="15"/>
      <c r="BR368" s="15"/>
      <c r="BS368" s="15"/>
      <c r="BT368" s="15"/>
      <c r="BU368" s="410"/>
      <c r="BV368" s="15"/>
      <c r="BW368" s="15"/>
      <c r="BX368" s="15"/>
      <c r="BY368" s="15"/>
      <c r="BZ368" s="24"/>
      <c r="CA368" s="15"/>
      <c r="CB368" s="15"/>
      <c r="CC368" s="15"/>
      <c r="CD368" s="15"/>
      <c r="CE368" s="24"/>
      <c r="CF368" s="15"/>
      <c r="CG368" s="15"/>
      <c r="CH368" s="15"/>
      <c r="CI368" s="15"/>
      <c r="CJ368" s="24"/>
      <c r="CK368" s="15"/>
      <c r="CL368" s="15"/>
      <c r="CM368" s="15"/>
      <c r="CN368" s="40"/>
      <c r="CO368" s="24"/>
      <c r="CP368" s="520"/>
      <c r="CQ368" s="520"/>
      <c r="CR368" s="520"/>
      <c r="CS368" s="520"/>
      <c r="CT368" s="363"/>
      <c r="CU368" s="520"/>
      <c r="CV368" s="513"/>
      <c r="CW368" s="513"/>
      <c r="CX368" s="513"/>
      <c r="CY368" s="363"/>
      <c r="CZ368" s="513"/>
      <c r="DA368" s="513"/>
      <c r="DB368" s="513"/>
      <c r="DC368" s="513"/>
      <c r="DD368" s="363"/>
      <c r="DE368" s="513"/>
      <c r="DF368" s="513"/>
      <c r="DG368" s="513"/>
      <c r="DH368" s="513"/>
      <c r="DI368" s="363"/>
      <c r="DJ368" s="327"/>
      <c r="DK368" s="327"/>
      <c r="DL368" s="327"/>
      <c r="DM368" s="327"/>
      <c r="DN368" s="363"/>
      <c r="DO368" s="327"/>
      <c r="DP368" s="327"/>
      <c r="DQ368" s="327"/>
      <c r="DR368" s="327"/>
      <c r="DS368" s="363"/>
      <c r="DT368" s="522">
        <v>0.4</v>
      </c>
      <c r="DU368" s="522">
        <v>0.25</v>
      </c>
      <c r="DV368" s="327"/>
      <c r="DW368" s="327"/>
      <c r="DX368" s="363"/>
      <c r="DY368" s="327"/>
      <c r="DZ368" s="327"/>
      <c r="EA368" s="327"/>
      <c r="EB368" s="327"/>
      <c r="EC368" s="363"/>
      <c r="ED368" s="327"/>
      <c r="EE368" s="327"/>
      <c r="EF368" s="327"/>
      <c r="EG368" s="327"/>
      <c r="EH368" s="363"/>
      <c r="EI368" s="314"/>
      <c r="EJ368" s="315"/>
      <c r="EK368" s="315"/>
      <c r="EL368" s="315"/>
      <c r="EM368" s="363"/>
      <c r="EN368" s="365"/>
      <c r="EO368" s="315"/>
      <c r="EP368" s="315"/>
      <c r="EQ368" s="315"/>
      <c r="ER368" s="363"/>
      <c r="ES368" s="365"/>
      <c r="ET368" s="315"/>
      <c r="EU368" s="315"/>
      <c r="EV368" s="315"/>
      <c r="EW368" s="363"/>
      <c r="EX368" s="365"/>
      <c r="EY368" s="315"/>
      <c r="EZ368" s="315"/>
      <c r="FA368" s="315"/>
      <c r="FB368" s="363"/>
      <c r="FC368" s="365"/>
      <c r="FD368" s="315"/>
      <c r="FE368" s="315"/>
      <c r="FF368" s="315"/>
      <c r="FG368" s="363"/>
      <c r="FH368" s="364"/>
      <c r="FI368" s="15"/>
      <c r="FJ368" s="15"/>
      <c r="FK368" s="410"/>
      <c r="FL368" s="15"/>
    </row>
    <row r="369" ht="12.75" hidden="1" customHeight="1" outlineLevel="2">
      <c r="A369" s="514"/>
      <c r="B369" s="521" t="s">
        <v>228</v>
      </c>
      <c r="C369" s="45"/>
      <c r="D369" s="15"/>
      <c r="E369" s="15"/>
      <c r="F369" s="15"/>
      <c r="G369" s="15"/>
      <c r="H369" s="410"/>
      <c r="I369" s="15"/>
      <c r="J369" s="15"/>
      <c r="K369" s="15"/>
      <c r="L369" s="15"/>
      <c r="M369" s="410"/>
      <c r="N369" s="15"/>
      <c r="O369" s="15"/>
      <c r="P369" s="15"/>
      <c r="Q369" s="15"/>
      <c r="R369" s="410"/>
      <c r="S369" s="15"/>
      <c r="T369" s="15"/>
      <c r="U369" s="15"/>
      <c r="V369" s="15"/>
      <c r="W369" s="410"/>
      <c r="X369" s="15"/>
      <c r="Y369" s="15"/>
      <c r="Z369" s="15"/>
      <c r="AA369" s="15"/>
      <c r="AB369" s="410"/>
      <c r="AC369" s="15"/>
      <c r="AD369" s="15"/>
      <c r="AE369" s="15"/>
      <c r="AF369" s="15"/>
      <c r="AG369" s="410"/>
      <c r="AH369" s="15"/>
      <c r="AI369" s="15"/>
      <c r="AJ369" s="15"/>
      <c r="AK369" s="15"/>
      <c r="AL369" s="410"/>
      <c r="AM369" s="15"/>
      <c r="AN369" s="15"/>
      <c r="AO369" s="15"/>
      <c r="AP369" s="15"/>
      <c r="AQ369" s="410"/>
      <c r="AR369" s="15"/>
      <c r="AS369" s="15"/>
      <c r="AT369" s="15"/>
      <c r="AU369" s="15"/>
      <c r="AV369" s="410"/>
      <c r="AW369" s="15"/>
      <c r="AX369" s="15"/>
      <c r="AY369" s="15"/>
      <c r="AZ369" s="15"/>
      <c r="BA369" s="410"/>
      <c r="BB369" s="15"/>
      <c r="BC369" s="15"/>
      <c r="BD369" s="15"/>
      <c r="BE369" s="15"/>
      <c r="BF369" s="410"/>
      <c r="BG369" s="15"/>
      <c r="BH369" s="15"/>
      <c r="BI369" s="15"/>
      <c r="BJ369" s="15"/>
      <c r="BK369" s="410"/>
      <c r="BL369" s="15"/>
      <c r="BM369" s="15"/>
      <c r="BN369" s="15"/>
      <c r="BO369" s="15"/>
      <c r="BP369" s="410"/>
      <c r="BQ369" s="15"/>
      <c r="BR369" s="15"/>
      <c r="BS369" s="15"/>
      <c r="BT369" s="15"/>
      <c r="BU369" s="410"/>
      <c r="BV369" s="15"/>
      <c r="BW369" s="15"/>
      <c r="BX369" s="15"/>
      <c r="BY369" s="15"/>
      <c r="BZ369" s="24"/>
      <c r="CA369" s="15"/>
      <c r="CB369" s="15"/>
      <c r="CC369" s="15"/>
      <c r="CD369" s="15"/>
      <c r="CE369" s="24"/>
      <c r="CF369" s="15"/>
      <c r="CG369" s="15"/>
      <c r="CH369" s="15"/>
      <c r="CI369" s="15"/>
      <c r="CJ369" s="24"/>
      <c r="CK369" s="15"/>
      <c r="CL369" s="15"/>
      <c r="CM369" s="15"/>
      <c r="CN369" s="40"/>
      <c r="CO369" s="24"/>
      <c r="CP369" s="520"/>
      <c r="CQ369" s="520"/>
      <c r="CR369" s="520"/>
      <c r="CS369" s="520"/>
      <c r="CT369" s="363"/>
      <c r="CU369" s="520"/>
      <c r="CV369" s="513"/>
      <c r="CW369" s="513"/>
      <c r="CX369" s="513"/>
      <c r="CY369" s="363"/>
      <c r="CZ369" s="513"/>
      <c r="DA369" s="513"/>
      <c r="DB369" s="513"/>
      <c r="DC369" s="513"/>
      <c r="DD369" s="363"/>
      <c r="DE369" s="513"/>
      <c r="DF369" s="513"/>
      <c r="DG369" s="513"/>
      <c r="DH369" s="513"/>
      <c r="DI369" s="363"/>
      <c r="DJ369" s="327"/>
      <c r="DK369" s="327"/>
      <c r="DL369" s="327"/>
      <c r="DM369" s="327"/>
      <c r="DN369" s="363"/>
      <c r="DO369" s="327"/>
      <c r="DP369" s="327"/>
      <c r="DQ369" s="327"/>
      <c r="DR369" s="327"/>
      <c r="DS369" s="363"/>
      <c r="DT369" s="36">
        <f t="shared" ref="DT369:DU369" si="2234">DT365*DT368</f>
        <v>480</v>
      </c>
      <c r="DU369" s="36">
        <f t="shared" si="2234"/>
        <v>399.75</v>
      </c>
      <c r="DV369" s="327"/>
      <c r="DW369" s="327"/>
      <c r="DX369" s="363">
        <v>1500.0</v>
      </c>
      <c r="DY369" s="327"/>
      <c r="DZ369" s="327"/>
      <c r="EA369" s="327"/>
      <c r="EB369" s="327"/>
      <c r="EC369" s="363"/>
      <c r="ED369" s="327"/>
      <c r="EE369" s="327"/>
      <c r="EF369" s="327"/>
      <c r="EG369" s="327"/>
      <c r="EH369" s="363"/>
      <c r="EI369" s="314"/>
      <c r="EJ369" s="315"/>
      <c r="EK369" s="315"/>
      <c r="EL369" s="315"/>
      <c r="EM369" s="363"/>
      <c r="EN369" s="365"/>
      <c r="EO369" s="315"/>
      <c r="EP369" s="315"/>
      <c r="EQ369" s="315"/>
      <c r="ER369" s="363"/>
      <c r="ES369" s="365"/>
      <c r="ET369" s="315"/>
      <c r="EU369" s="315"/>
      <c r="EV369" s="315"/>
      <c r="EW369" s="363"/>
      <c r="EX369" s="365"/>
      <c r="EY369" s="315"/>
      <c r="EZ369" s="315"/>
      <c r="FA369" s="315"/>
      <c r="FB369" s="363"/>
      <c r="FC369" s="365"/>
      <c r="FD369" s="315"/>
      <c r="FE369" s="315"/>
      <c r="FF369" s="315"/>
      <c r="FG369" s="363"/>
      <c r="FH369" s="364"/>
      <c r="FI369" s="15"/>
      <c r="FJ369" s="15"/>
      <c r="FK369" s="410"/>
      <c r="FL369" s="15"/>
    </row>
    <row r="370" ht="12.75" hidden="1" customHeight="1" outlineLevel="2">
      <c r="A370" s="514"/>
      <c r="B370" s="521" t="s">
        <v>229</v>
      </c>
      <c r="C370" s="45"/>
      <c r="D370" s="15"/>
      <c r="E370" s="15"/>
      <c r="F370" s="15"/>
      <c r="G370" s="15"/>
      <c r="H370" s="410"/>
      <c r="I370" s="15"/>
      <c r="J370" s="15"/>
      <c r="K370" s="15"/>
      <c r="L370" s="15"/>
      <c r="M370" s="410"/>
      <c r="N370" s="15"/>
      <c r="O370" s="15"/>
      <c r="P370" s="15"/>
      <c r="Q370" s="15"/>
      <c r="R370" s="410"/>
      <c r="S370" s="15"/>
      <c r="T370" s="15"/>
      <c r="U370" s="15"/>
      <c r="V370" s="15"/>
      <c r="W370" s="410"/>
      <c r="X370" s="15"/>
      <c r="Y370" s="15"/>
      <c r="Z370" s="15"/>
      <c r="AA370" s="15"/>
      <c r="AB370" s="410"/>
      <c r="AC370" s="15"/>
      <c r="AD370" s="15"/>
      <c r="AE370" s="15"/>
      <c r="AF370" s="15"/>
      <c r="AG370" s="410"/>
      <c r="AH370" s="15"/>
      <c r="AI370" s="15"/>
      <c r="AJ370" s="15"/>
      <c r="AK370" s="15"/>
      <c r="AL370" s="410"/>
      <c r="AM370" s="15"/>
      <c r="AN370" s="15"/>
      <c r="AO370" s="15"/>
      <c r="AP370" s="15"/>
      <c r="AQ370" s="410"/>
      <c r="AR370" s="15"/>
      <c r="AS370" s="15"/>
      <c r="AT370" s="15"/>
      <c r="AU370" s="15"/>
      <c r="AV370" s="410"/>
      <c r="AW370" s="15"/>
      <c r="AX370" s="15"/>
      <c r="AY370" s="15"/>
      <c r="AZ370" s="15"/>
      <c r="BA370" s="410"/>
      <c r="BB370" s="15"/>
      <c r="BC370" s="15"/>
      <c r="BD370" s="15"/>
      <c r="BE370" s="15"/>
      <c r="BF370" s="410"/>
      <c r="BG370" s="15"/>
      <c r="BH370" s="15"/>
      <c r="BI370" s="15"/>
      <c r="BJ370" s="15"/>
      <c r="BK370" s="410"/>
      <c r="BL370" s="15"/>
      <c r="BM370" s="15"/>
      <c r="BN370" s="15"/>
      <c r="BO370" s="15"/>
      <c r="BP370" s="410"/>
      <c r="BQ370" s="15"/>
      <c r="BR370" s="15"/>
      <c r="BS370" s="15"/>
      <c r="BT370" s="15"/>
      <c r="BU370" s="410"/>
      <c r="BV370" s="15"/>
      <c r="BW370" s="15"/>
      <c r="BX370" s="15"/>
      <c r="BY370" s="15"/>
      <c r="BZ370" s="24"/>
      <c r="CA370" s="15"/>
      <c r="CB370" s="15"/>
      <c r="CC370" s="15"/>
      <c r="CD370" s="15"/>
      <c r="CE370" s="24"/>
      <c r="CF370" s="15"/>
      <c r="CG370" s="15"/>
      <c r="CH370" s="15"/>
      <c r="CI370" s="15"/>
      <c r="CJ370" s="24"/>
      <c r="CK370" s="15"/>
      <c r="CL370" s="15"/>
      <c r="CM370" s="15"/>
      <c r="CN370" s="40"/>
      <c r="CO370" s="24"/>
      <c r="CP370" s="520"/>
      <c r="CQ370" s="520"/>
      <c r="CR370" s="520"/>
      <c r="CS370" s="520"/>
      <c r="CT370" s="363"/>
      <c r="CU370" s="520"/>
      <c r="CV370" s="513"/>
      <c r="CW370" s="513"/>
      <c r="CX370" s="513"/>
      <c r="CY370" s="363"/>
      <c r="CZ370" s="513"/>
      <c r="DA370" s="513"/>
      <c r="DB370" s="513"/>
      <c r="DC370" s="513"/>
      <c r="DD370" s="363"/>
      <c r="DE370" s="513"/>
      <c r="DF370" s="513"/>
      <c r="DG370" s="513"/>
      <c r="DH370" s="513"/>
      <c r="DI370" s="363"/>
      <c r="DJ370" s="327"/>
      <c r="DK370" s="327"/>
      <c r="DL370" s="327"/>
      <c r="DM370" s="327"/>
      <c r="DN370" s="363"/>
      <c r="DO370" s="327"/>
      <c r="DP370" s="327"/>
      <c r="DQ370" s="327"/>
      <c r="DR370" s="327"/>
      <c r="DS370" s="363"/>
      <c r="DT370" s="36">
        <f t="shared" ref="DT370:DU370" si="2235">DT22-DT369</f>
        <v>11536</v>
      </c>
      <c r="DU370" s="36">
        <f t="shared" si="2235"/>
        <v>10107.25</v>
      </c>
      <c r="DV370" s="327"/>
      <c r="DW370" s="327"/>
      <c r="DX370" s="363"/>
      <c r="DY370" s="327"/>
      <c r="DZ370" s="327"/>
      <c r="EA370" s="327"/>
      <c r="EB370" s="327"/>
      <c r="EC370" s="363"/>
      <c r="ED370" s="327"/>
      <c r="EE370" s="327"/>
      <c r="EF370" s="327"/>
      <c r="EG370" s="327"/>
      <c r="EH370" s="363"/>
      <c r="EI370" s="314"/>
      <c r="EJ370" s="315"/>
      <c r="EK370" s="315"/>
      <c r="EL370" s="315"/>
      <c r="EM370" s="363"/>
      <c r="EN370" s="365"/>
      <c r="EO370" s="315"/>
      <c r="EP370" s="315"/>
      <c r="EQ370" s="315"/>
      <c r="ER370" s="363"/>
      <c r="ES370" s="365"/>
      <c r="ET370" s="315"/>
      <c r="EU370" s="315"/>
      <c r="EV370" s="315"/>
      <c r="EW370" s="363"/>
      <c r="EX370" s="365"/>
      <c r="EY370" s="315"/>
      <c r="EZ370" s="315"/>
      <c r="FA370" s="315"/>
      <c r="FB370" s="363"/>
      <c r="FC370" s="365"/>
      <c r="FD370" s="315"/>
      <c r="FE370" s="315"/>
      <c r="FF370" s="315"/>
      <c r="FG370" s="363"/>
      <c r="FH370" s="364"/>
      <c r="FI370" s="15"/>
      <c r="FJ370" s="15"/>
      <c r="FK370" s="410"/>
      <c r="FL370" s="15"/>
    </row>
    <row r="371" ht="12.75" hidden="1" customHeight="1" outlineLevel="2">
      <c r="A371" s="514"/>
      <c r="B371" s="521" t="s">
        <v>230</v>
      </c>
      <c r="C371" s="45"/>
      <c r="D371" s="15"/>
      <c r="E371" s="15"/>
      <c r="F371" s="15"/>
      <c r="G371" s="15"/>
      <c r="H371" s="410"/>
      <c r="I371" s="15"/>
      <c r="J371" s="15"/>
      <c r="K371" s="15"/>
      <c r="L371" s="15"/>
      <c r="M371" s="410"/>
      <c r="N371" s="15"/>
      <c r="O371" s="15"/>
      <c r="P371" s="15"/>
      <c r="Q371" s="15"/>
      <c r="R371" s="410"/>
      <c r="S371" s="15"/>
      <c r="T371" s="15"/>
      <c r="U371" s="15"/>
      <c r="V371" s="15"/>
      <c r="W371" s="410"/>
      <c r="X371" s="15"/>
      <c r="Y371" s="15"/>
      <c r="Z371" s="15"/>
      <c r="AA371" s="15"/>
      <c r="AB371" s="410"/>
      <c r="AC371" s="15"/>
      <c r="AD371" s="15"/>
      <c r="AE371" s="15"/>
      <c r="AF371" s="15"/>
      <c r="AG371" s="410"/>
      <c r="AH371" s="15"/>
      <c r="AI371" s="15"/>
      <c r="AJ371" s="15"/>
      <c r="AK371" s="15"/>
      <c r="AL371" s="410"/>
      <c r="AM371" s="15"/>
      <c r="AN371" s="15"/>
      <c r="AO371" s="15"/>
      <c r="AP371" s="15"/>
      <c r="AQ371" s="410"/>
      <c r="AR371" s="15"/>
      <c r="AS371" s="15"/>
      <c r="AT371" s="15"/>
      <c r="AU371" s="15"/>
      <c r="AV371" s="410"/>
      <c r="AW371" s="15"/>
      <c r="AX371" s="15"/>
      <c r="AY371" s="15"/>
      <c r="AZ371" s="15"/>
      <c r="BA371" s="410"/>
      <c r="BB371" s="15"/>
      <c r="BC371" s="15"/>
      <c r="BD371" s="15"/>
      <c r="BE371" s="15"/>
      <c r="BF371" s="410"/>
      <c r="BG371" s="15"/>
      <c r="BH371" s="15"/>
      <c r="BI371" s="15"/>
      <c r="BJ371" s="15"/>
      <c r="BK371" s="410"/>
      <c r="BL371" s="15"/>
      <c r="BM371" s="15"/>
      <c r="BN371" s="15"/>
      <c r="BO371" s="15"/>
      <c r="BP371" s="410"/>
      <c r="BQ371" s="15"/>
      <c r="BR371" s="15"/>
      <c r="BS371" s="15"/>
      <c r="BT371" s="15"/>
      <c r="BU371" s="410"/>
      <c r="BV371" s="15"/>
      <c r="BW371" s="15"/>
      <c r="BX371" s="15"/>
      <c r="BY371" s="15"/>
      <c r="BZ371" s="24"/>
      <c r="CA371" s="15"/>
      <c r="CB371" s="15"/>
      <c r="CC371" s="15"/>
      <c r="CD371" s="15"/>
      <c r="CE371" s="24"/>
      <c r="CF371" s="15"/>
      <c r="CG371" s="15"/>
      <c r="CH371" s="15"/>
      <c r="CI371" s="15"/>
      <c r="CJ371" s="24"/>
      <c r="CK371" s="15"/>
      <c r="CL371" s="15"/>
      <c r="CM371" s="15"/>
      <c r="CN371" s="40"/>
      <c r="CO371" s="24"/>
      <c r="CP371" s="520"/>
      <c r="CQ371" s="520"/>
      <c r="CR371" s="520"/>
      <c r="CS371" s="520"/>
      <c r="CT371" s="363"/>
      <c r="CU371" s="520"/>
      <c r="CV371" s="513"/>
      <c r="CW371" s="513"/>
      <c r="CX371" s="513"/>
      <c r="CY371" s="363"/>
      <c r="CZ371" s="513"/>
      <c r="DA371" s="513"/>
      <c r="DB371" s="513"/>
      <c r="DC371" s="513"/>
      <c r="DD371" s="363"/>
      <c r="DE371" s="513"/>
      <c r="DF371" s="513"/>
      <c r="DG371" s="513"/>
      <c r="DH371" s="513"/>
      <c r="DI371" s="363"/>
      <c r="DJ371" s="327"/>
      <c r="DK371" s="327"/>
      <c r="DL371" s="327"/>
      <c r="DM371" s="327"/>
      <c r="DN371" s="363"/>
      <c r="DO371" s="327"/>
      <c r="DP371" s="327"/>
      <c r="DQ371" s="327"/>
      <c r="DR371" s="327"/>
      <c r="DS371" s="363"/>
      <c r="DT371" s="327">
        <f t="shared" ref="DT371:DU371" si="2236">DT370/DT12</f>
        <v>0.5818035102</v>
      </c>
      <c r="DU371" s="327">
        <f t="shared" si="2236"/>
        <v>0.5123301906</v>
      </c>
      <c r="DV371" s="327"/>
      <c r="DW371" s="327"/>
      <c r="DX371" s="363"/>
      <c r="DY371" s="327"/>
      <c r="DZ371" s="327"/>
      <c r="EA371" s="327"/>
      <c r="EB371" s="327"/>
      <c r="EC371" s="363"/>
      <c r="ED371" s="327"/>
      <c r="EE371" s="327"/>
      <c r="EF371" s="327"/>
      <c r="EG371" s="327"/>
      <c r="EH371" s="363"/>
      <c r="EI371" s="314"/>
      <c r="EJ371" s="315"/>
      <c r="EK371" s="315"/>
      <c r="EL371" s="315"/>
      <c r="EM371" s="363"/>
      <c r="EN371" s="365"/>
      <c r="EO371" s="315"/>
      <c r="EP371" s="315"/>
      <c r="EQ371" s="315"/>
      <c r="ER371" s="363"/>
      <c r="ES371" s="365"/>
      <c r="ET371" s="315"/>
      <c r="EU371" s="315"/>
      <c r="EV371" s="315"/>
      <c r="EW371" s="363"/>
      <c r="EX371" s="365"/>
      <c r="EY371" s="315"/>
      <c r="EZ371" s="315"/>
      <c r="FA371" s="315"/>
      <c r="FB371" s="363"/>
      <c r="FC371" s="365"/>
      <c r="FD371" s="315"/>
      <c r="FE371" s="315"/>
      <c r="FF371" s="315"/>
      <c r="FG371" s="363"/>
      <c r="FH371" s="364"/>
      <c r="FI371" s="15"/>
      <c r="FJ371" s="15"/>
      <c r="FK371" s="410"/>
      <c r="FL371" s="15"/>
    </row>
    <row r="372" ht="12.75" hidden="1" customHeight="1" outlineLevel="2">
      <c r="A372" s="514"/>
      <c r="B372" s="521" t="s">
        <v>231</v>
      </c>
      <c r="C372" s="45"/>
      <c r="D372" s="15"/>
      <c r="E372" s="15"/>
      <c r="F372" s="15"/>
      <c r="G372" s="15"/>
      <c r="H372" s="410"/>
      <c r="I372" s="15"/>
      <c r="J372" s="15"/>
      <c r="K372" s="15"/>
      <c r="L372" s="15"/>
      <c r="M372" s="410"/>
      <c r="N372" s="15"/>
      <c r="O372" s="15"/>
      <c r="P372" s="15"/>
      <c r="Q372" s="15"/>
      <c r="R372" s="410"/>
      <c r="S372" s="15"/>
      <c r="T372" s="15"/>
      <c r="U372" s="15"/>
      <c r="V372" s="15"/>
      <c r="W372" s="410"/>
      <c r="X372" s="15"/>
      <c r="Y372" s="15"/>
      <c r="Z372" s="15"/>
      <c r="AA372" s="15"/>
      <c r="AB372" s="410"/>
      <c r="AC372" s="15"/>
      <c r="AD372" s="15"/>
      <c r="AE372" s="15"/>
      <c r="AF372" s="15"/>
      <c r="AG372" s="410"/>
      <c r="AH372" s="15"/>
      <c r="AI372" s="15"/>
      <c r="AJ372" s="15"/>
      <c r="AK372" s="15"/>
      <c r="AL372" s="410"/>
      <c r="AM372" s="15"/>
      <c r="AN372" s="15"/>
      <c r="AO372" s="15"/>
      <c r="AP372" s="15"/>
      <c r="AQ372" s="410"/>
      <c r="AR372" s="15"/>
      <c r="AS372" s="15"/>
      <c r="AT372" s="15"/>
      <c r="AU372" s="15"/>
      <c r="AV372" s="410"/>
      <c r="AW372" s="15"/>
      <c r="AX372" s="15"/>
      <c r="AY372" s="15"/>
      <c r="AZ372" s="15"/>
      <c r="BA372" s="410"/>
      <c r="BB372" s="15"/>
      <c r="BC372" s="15"/>
      <c r="BD372" s="15"/>
      <c r="BE372" s="15"/>
      <c r="BF372" s="410"/>
      <c r="BG372" s="15"/>
      <c r="BH372" s="15"/>
      <c r="BI372" s="15"/>
      <c r="BJ372" s="15"/>
      <c r="BK372" s="410"/>
      <c r="BL372" s="15"/>
      <c r="BM372" s="15"/>
      <c r="BN372" s="15"/>
      <c r="BO372" s="15"/>
      <c r="BP372" s="410"/>
      <c r="BQ372" s="15"/>
      <c r="BR372" s="15"/>
      <c r="BS372" s="15"/>
      <c r="BT372" s="15"/>
      <c r="BU372" s="410"/>
      <c r="BV372" s="15"/>
      <c r="BW372" s="15"/>
      <c r="BX372" s="15"/>
      <c r="BY372" s="15"/>
      <c r="BZ372" s="24"/>
      <c r="CA372" s="15"/>
      <c r="CB372" s="15"/>
      <c r="CC372" s="15"/>
      <c r="CD372" s="15"/>
      <c r="CE372" s="24"/>
      <c r="CF372" s="15"/>
      <c r="CG372" s="15"/>
      <c r="CH372" s="15"/>
      <c r="CI372" s="15"/>
      <c r="CJ372" s="24"/>
      <c r="CK372" s="15"/>
      <c r="CL372" s="15"/>
      <c r="CM372" s="15"/>
      <c r="CN372" s="40"/>
      <c r="CO372" s="24"/>
      <c r="CP372" s="520"/>
      <c r="CQ372" s="520"/>
      <c r="CR372" s="520"/>
      <c r="CS372" s="520"/>
      <c r="CT372" s="363"/>
      <c r="CU372" s="520"/>
      <c r="CV372" s="513"/>
      <c r="CW372" s="513"/>
      <c r="CX372" s="513"/>
      <c r="CY372" s="363"/>
      <c r="CZ372" s="513"/>
      <c r="DA372" s="513"/>
      <c r="DB372" s="513"/>
      <c r="DC372" s="513"/>
      <c r="DD372" s="363"/>
      <c r="DE372" s="513"/>
      <c r="DF372" s="513"/>
      <c r="DG372" s="513"/>
      <c r="DH372" s="513"/>
      <c r="DI372" s="363"/>
      <c r="DJ372" s="327"/>
      <c r="DK372" s="327"/>
      <c r="DL372" s="327"/>
      <c r="DM372" s="327"/>
      <c r="DN372" s="363"/>
      <c r="DO372" s="327"/>
      <c r="DP372" s="327"/>
      <c r="DQ372" s="327"/>
      <c r="DR372" s="327"/>
      <c r="DS372" s="363"/>
      <c r="DT372" s="40">
        <f t="shared" ref="DT372:DU372" si="2237">DT23-DT371</f>
        <v>0.02420819044</v>
      </c>
      <c r="DU372" s="40">
        <f t="shared" si="2237"/>
        <v>0.02026307786</v>
      </c>
      <c r="DV372" s="327"/>
      <c r="DW372" s="327"/>
      <c r="DX372" s="363"/>
      <c r="DY372" s="327"/>
      <c r="DZ372" s="327"/>
      <c r="EA372" s="327"/>
      <c r="EB372" s="327"/>
      <c r="EC372" s="363"/>
      <c r="ED372" s="327"/>
      <c r="EE372" s="327"/>
      <c r="EF372" s="327"/>
      <c r="EG372" s="327"/>
      <c r="EH372" s="363"/>
      <c r="EI372" s="314"/>
      <c r="EJ372" s="315"/>
      <c r="EK372" s="315"/>
      <c r="EL372" s="315"/>
      <c r="EM372" s="363"/>
      <c r="EN372" s="365"/>
      <c r="EO372" s="315"/>
      <c r="EP372" s="315"/>
      <c r="EQ372" s="315"/>
      <c r="ER372" s="363"/>
      <c r="ES372" s="365"/>
      <c r="ET372" s="315"/>
      <c r="EU372" s="315"/>
      <c r="EV372" s="315"/>
      <c r="EW372" s="363"/>
      <c r="EX372" s="365"/>
      <c r="EY372" s="315"/>
      <c r="EZ372" s="315"/>
      <c r="FA372" s="315"/>
      <c r="FB372" s="363"/>
      <c r="FC372" s="365"/>
      <c r="FD372" s="315"/>
      <c r="FE372" s="315"/>
      <c r="FF372" s="315"/>
      <c r="FG372" s="363"/>
      <c r="FH372" s="364"/>
      <c r="FI372" s="15"/>
      <c r="FJ372" s="15"/>
      <c r="FK372" s="410"/>
      <c r="FL372" s="15"/>
    </row>
    <row r="373" ht="12.75" hidden="1" customHeight="1" outlineLevel="2">
      <c r="A373" s="514"/>
      <c r="B373" s="521" t="s">
        <v>232</v>
      </c>
      <c r="C373" s="45"/>
      <c r="D373" s="15"/>
      <c r="E373" s="15"/>
      <c r="F373" s="15"/>
      <c r="G373" s="15"/>
      <c r="H373" s="410"/>
      <c r="I373" s="15"/>
      <c r="J373" s="15"/>
      <c r="K373" s="15"/>
      <c r="L373" s="15"/>
      <c r="M373" s="410"/>
      <c r="N373" s="15"/>
      <c r="O373" s="15"/>
      <c r="P373" s="15"/>
      <c r="Q373" s="15"/>
      <c r="R373" s="410"/>
      <c r="S373" s="15"/>
      <c r="T373" s="15"/>
      <c r="U373" s="15"/>
      <c r="V373" s="15"/>
      <c r="W373" s="410"/>
      <c r="X373" s="15"/>
      <c r="Y373" s="15"/>
      <c r="Z373" s="15"/>
      <c r="AA373" s="15"/>
      <c r="AB373" s="410"/>
      <c r="AC373" s="15"/>
      <c r="AD373" s="15"/>
      <c r="AE373" s="15"/>
      <c r="AF373" s="15"/>
      <c r="AG373" s="410"/>
      <c r="AH373" s="15"/>
      <c r="AI373" s="15"/>
      <c r="AJ373" s="15"/>
      <c r="AK373" s="15"/>
      <c r="AL373" s="410"/>
      <c r="AM373" s="15"/>
      <c r="AN373" s="15"/>
      <c r="AO373" s="15"/>
      <c r="AP373" s="15"/>
      <c r="AQ373" s="410"/>
      <c r="AR373" s="15"/>
      <c r="AS373" s="15"/>
      <c r="AT373" s="15"/>
      <c r="AU373" s="15"/>
      <c r="AV373" s="410"/>
      <c r="AW373" s="15"/>
      <c r="AX373" s="15"/>
      <c r="AY373" s="15"/>
      <c r="AZ373" s="15"/>
      <c r="BA373" s="410"/>
      <c r="BB373" s="15"/>
      <c r="BC373" s="15"/>
      <c r="BD373" s="15"/>
      <c r="BE373" s="15"/>
      <c r="BF373" s="410"/>
      <c r="BG373" s="15"/>
      <c r="BH373" s="15"/>
      <c r="BI373" s="15"/>
      <c r="BJ373" s="15"/>
      <c r="BK373" s="410"/>
      <c r="BL373" s="15"/>
      <c r="BM373" s="15"/>
      <c r="BN373" s="15"/>
      <c r="BO373" s="15"/>
      <c r="BP373" s="410"/>
      <c r="BQ373" s="15"/>
      <c r="BR373" s="15"/>
      <c r="BS373" s="15"/>
      <c r="BT373" s="15"/>
      <c r="BU373" s="410"/>
      <c r="BV373" s="15"/>
      <c r="BW373" s="15"/>
      <c r="BX373" s="15"/>
      <c r="BY373" s="15"/>
      <c r="BZ373" s="24"/>
      <c r="CA373" s="15"/>
      <c r="CB373" s="15"/>
      <c r="CC373" s="15"/>
      <c r="CD373" s="15"/>
      <c r="CE373" s="24"/>
      <c r="CF373" s="15"/>
      <c r="CG373" s="15"/>
      <c r="CH373" s="15"/>
      <c r="CI373" s="15"/>
      <c r="CJ373" s="24"/>
      <c r="CK373" s="15"/>
      <c r="CL373" s="15"/>
      <c r="CM373" s="15"/>
      <c r="CN373" s="40"/>
      <c r="CO373" s="24"/>
      <c r="CP373" s="520"/>
      <c r="CQ373" s="520"/>
      <c r="CR373" s="520"/>
      <c r="CS373" s="520"/>
      <c r="CT373" s="363"/>
      <c r="CU373" s="520"/>
      <c r="CV373" s="513"/>
      <c r="CW373" s="513"/>
      <c r="CX373" s="513"/>
      <c r="CY373" s="363"/>
      <c r="CZ373" s="513"/>
      <c r="DA373" s="513"/>
      <c r="DB373" s="513"/>
      <c r="DC373" s="513"/>
      <c r="DD373" s="363"/>
      <c r="DE373" s="513"/>
      <c r="DF373" s="513"/>
      <c r="DG373" s="513"/>
      <c r="DH373" s="513"/>
      <c r="DI373" s="363"/>
      <c r="DJ373" s="327"/>
      <c r="DK373" s="327"/>
      <c r="DL373" s="327"/>
      <c r="DM373" s="327"/>
      <c r="DN373" s="363"/>
      <c r="DO373" s="327"/>
      <c r="DP373" s="327"/>
      <c r="DQ373" s="327"/>
      <c r="DR373" s="327"/>
      <c r="DS373" s="363"/>
      <c r="DT373" s="522">
        <v>0.4</v>
      </c>
      <c r="DU373" s="522">
        <v>0.43</v>
      </c>
      <c r="DV373" s="327"/>
      <c r="DW373" s="327"/>
      <c r="DX373" s="363"/>
      <c r="DY373" s="327"/>
      <c r="DZ373" s="327"/>
      <c r="EA373" s="327"/>
      <c r="EB373" s="327"/>
      <c r="EC373" s="363"/>
      <c r="ED373" s="327"/>
      <c r="EE373" s="327"/>
      <c r="EF373" s="327"/>
      <c r="EG373" s="327"/>
      <c r="EH373" s="363"/>
      <c r="EI373" s="314"/>
      <c r="EJ373" s="315"/>
      <c r="EK373" s="315"/>
      <c r="EL373" s="315"/>
      <c r="EM373" s="363"/>
      <c r="EN373" s="365"/>
      <c r="EO373" s="315"/>
      <c r="EP373" s="315"/>
      <c r="EQ373" s="315"/>
      <c r="ER373" s="363"/>
      <c r="ES373" s="365"/>
      <c r="ET373" s="315"/>
      <c r="EU373" s="315"/>
      <c r="EV373" s="315"/>
      <c r="EW373" s="363"/>
      <c r="EX373" s="365"/>
      <c r="EY373" s="315"/>
      <c r="EZ373" s="315"/>
      <c r="FA373" s="315"/>
      <c r="FB373" s="363"/>
      <c r="FC373" s="365"/>
      <c r="FD373" s="315"/>
      <c r="FE373" s="315"/>
      <c r="FF373" s="315"/>
      <c r="FG373" s="363"/>
      <c r="FH373" s="364"/>
      <c r="FI373" s="15"/>
      <c r="FJ373" s="15"/>
      <c r="FK373" s="410"/>
      <c r="FL373" s="15"/>
    </row>
    <row r="374" ht="12.75" hidden="1" customHeight="1" outlineLevel="2">
      <c r="A374" s="514"/>
      <c r="B374" s="521" t="s">
        <v>233</v>
      </c>
      <c r="C374" s="45"/>
      <c r="D374" s="15"/>
      <c r="E374" s="15"/>
      <c r="F374" s="15"/>
      <c r="G374" s="15"/>
      <c r="H374" s="410"/>
      <c r="I374" s="15"/>
      <c r="J374" s="15"/>
      <c r="K374" s="15"/>
      <c r="L374" s="15"/>
      <c r="M374" s="410"/>
      <c r="N374" s="15"/>
      <c r="O374" s="15"/>
      <c r="P374" s="15"/>
      <c r="Q374" s="15"/>
      <c r="R374" s="410"/>
      <c r="S374" s="15"/>
      <c r="T374" s="15"/>
      <c r="U374" s="15"/>
      <c r="V374" s="15"/>
      <c r="W374" s="410"/>
      <c r="X374" s="15"/>
      <c r="Y374" s="15"/>
      <c r="Z374" s="15"/>
      <c r="AA374" s="15"/>
      <c r="AB374" s="410"/>
      <c r="AC374" s="15"/>
      <c r="AD374" s="15"/>
      <c r="AE374" s="15"/>
      <c r="AF374" s="15"/>
      <c r="AG374" s="410"/>
      <c r="AH374" s="15"/>
      <c r="AI374" s="15"/>
      <c r="AJ374" s="15"/>
      <c r="AK374" s="15"/>
      <c r="AL374" s="410"/>
      <c r="AM374" s="15"/>
      <c r="AN374" s="15"/>
      <c r="AO374" s="15"/>
      <c r="AP374" s="15"/>
      <c r="AQ374" s="410"/>
      <c r="AR374" s="15"/>
      <c r="AS374" s="15"/>
      <c r="AT374" s="15"/>
      <c r="AU374" s="15"/>
      <c r="AV374" s="410"/>
      <c r="AW374" s="15"/>
      <c r="AX374" s="15"/>
      <c r="AY374" s="15"/>
      <c r="AZ374" s="15"/>
      <c r="BA374" s="410"/>
      <c r="BB374" s="15"/>
      <c r="BC374" s="15"/>
      <c r="BD374" s="15"/>
      <c r="BE374" s="15"/>
      <c r="BF374" s="410"/>
      <c r="BG374" s="15"/>
      <c r="BH374" s="15"/>
      <c r="BI374" s="15"/>
      <c r="BJ374" s="15"/>
      <c r="BK374" s="410"/>
      <c r="BL374" s="15"/>
      <c r="BM374" s="15"/>
      <c r="BN374" s="15"/>
      <c r="BO374" s="15"/>
      <c r="BP374" s="410"/>
      <c r="BQ374" s="15"/>
      <c r="BR374" s="15"/>
      <c r="BS374" s="15"/>
      <c r="BT374" s="15"/>
      <c r="BU374" s="410"/>
      <c r="BV374" s="15"/>
      <c r="BW374" s="15"/>
      <c r="BX374" s="15"/>
      <c r="BY374" s="15"/>
      <c r="BZ374" s="24"/>
      <c r="CA374" s="15"/>
      <c r="CB374" s="15"/>
      <c r="CC374" s="15"/>
      <c r="CD374" s="15"/>
      <c r="CE374" s="24"/>
      <c r="CF374" s="15"/>
      <c r="CG374" s="15"/>
      <c r="CH374" s="15"/>
      <c r="CI374" s="15"/>
      <c r="CJ374" s="24"/>
      <c r="CK374" s="15"/>
      <c r="CL374" s="15"/>
      <c r="CM374" s="15"/>
      <c r="CN374" s="40"/>
      <c r="CO374" s="24"/>
      <c r="CP374" s="520"/>
      <c r="CQ374" s="520"/>
      <c r="CR374" s="520"/>
      <c r="CS374" s="520"/>
      <c r="CT374" s="363"/>
      <c r="CU374" s="520"/>
      <c r="CV374" s="513"/>
      <c r="CW374" s="513"/>
      <c r="CX374" s="513"/>
      <c r="CY374" s="363"/>
      <c r="CZ374" s="513"/>
      <c r="DA374" s="513"/>
      <c r="DB374" s="513"/>
      <c r="DC374" s="513"/>
      <c r="DD374" s="363"/>
      <c r="DE374" s="513"/>
      <c r="DF374" s="513"/>
      <c r="DG374" s="513"/>
      <c r="DH374" s="513"/>
      <c r="DI374" s="363"/>
      <c r="DJ374" s="327"/>
      <c r="DK374" s="327"/>
      <c r="DL374" s="327"/>
      <c r="DM374" s="327"/>
      <c r="DN374" s="363"/>
      <c r="DO374" s="327"/>
      <c r="DP374" s="327"/>
      <c r="DQ374" s="327"/>
      <c r="DR374" s="327"/>
      <c r="DS374" s="363"/>
      <c r="DT374" s="36">
        <f t="shared" ref="DT374:DU374" si="2238">DT365*DT373</f>
        <v>480</v>
      </c>
      <c r="DU374" s="36">
        <f t="shared" si="2238"/>
        <v>687.57</v>
      </c>
      <c r="DV374" s="327"/>
      <c r="DW374" s="327"/>
      <c r="DX374" s="363"/>
      <c r="DY374" s="327"/>
      <c r="DZ374" s="327"/>
      <c r="EA374" s="327"/>
      <c r="EB374" s="327"/>
      <c r="EC374" s="363"/>
      <c r="ED374" s="327"/>
      <c r="EE374" s="327"/>
      <c r="EF374" s="327"/>
      <c r="EG374" s="327"/>
      <c r="EH374" s="363"/>
      <c r="EI374" s="314"/>
      <c r="EJ374" s="315"/>
      <c r="EK374" s="315"/>
      <c r="EL374" s="315"/>
      <c r="EM374" s="363"/>
      <c r="EN374" s="365"/>
      <c r="EO374" s="315"/>
      <c r="EP374" s="315"/>
      <c r="EQ374" s="315"/>
      <c r="ER374" s="363"/>
      <c r="ES374" s="365"/>
      <c r="ET374" s="315"/>
      <c r="EU374" s="315"/>
      <c r="EV374" s="315"/>
      <c r="EW374" s="363"/>
      <c r="EX374" s="365"/>
      <c r="EY374" s="315"/>
      <c r="EZ374" s="315"/>
      <c r="FA374" s="315"/>
      <c r="FB374" s="363"/>
      <c r="FC374" s="365"/>
      <c r="FD374" s="315"/>
      <c r="FE374" s="315"/>
      <c r="FF374" s="315"/>
      <c r="FG374" s="363"/>
      <c r="FH374" s="364"/>
      <c r="FI374" s="15"/>
      <c r="FJ374" s="15"/>
      <c r="FK374" s="410"/>
      <c r="FL374" s="15"/>
    </row>
    <row r="375" ht="12.75" hidden="1" customHeight="1" outlineLevel="2">
      <c r="A375" s="514"/>
      <c r="B375" s="521" t="s">
        <v>234</v>
      </c>
      <c r="C375" s="45"/>
      <c r="D375" s="15"/>
      <c r="E375" s="15"/>
      <c r="F375" s="15"/>
      <c r="G375" s="15"/>
      <c r="H375" s="410"/>
      <c r="I375" s="15"/>
      <c r="J375" s="15"/>
      <c r="K375" s="15"/>
      <c r="L375" s="15"/>
      <c r="M375" s="410"/>
      <c r="N375" s="15"/>
      <c r="O375" s="15"/>
      <c r="P375" s="15"/>
      <c r="Q375" s="15"/>
      <c r="R375" s="410"/>
      <c r="S375" s="15"/>
      <c r="T375" s="15"/>
      <c r="U375" s="15"/>
      <c r="V375" s="15"/>
      <c r="W375" s="410"/>
      <c r="X375" s="15"/>
      <c r="Y375" s="15"/>
      <c r="Z375" s="15"/>
      <c r="AA375" s="15"/>
      <c r="AB375" s="410"/>
      <c r="AC375" s="15"/>
      <c r="AD375" s="15"/>
      <c r="AE375" s="15"/>
      <c r="AF375" s="15"/>
      <c r="AG375" s="410"/>
      <c r="AH375" s="15"/>
      <c r="AI375" s="15"/>
      <c r="AJ375" s="15"/>
      <c r="AK375" s="15"/>
      <c r="AL375" s="410"/>
      <c r="AM375" s="15"/>
      <c r="AN375" s="15"/>
      <c r="AO375" s="15"/>
      <c r="AP375" s="15"/>
      <c r="AQ375" s="410"/>
      <c r="AR375" s="15"/>
      <c r="AS375" s="15"/>
      <c r="AT375" s="15"/>
      <c r="AU375" s="15"/>
      <c r="AV375" s="410"/>
      <c r="AW375" s="15"/>
      <c r="AX375" s="15"/>
      <c r="AY375" s="15"/>
      <c r="AZ375" s="15"/>
      <c r="BA375" s="410"/>
      <c r="BB375" s="15"/>
      <c r="BC375" s="15"/>
      <c r="BD375" s="15"/>
      <c r="BE375" s="15"/>
      <c r="BF375" s="410"/>
      <c r="BG375" s="15"/>
      <c r="BH375" s="15"/>
      <c r="BI375" s="15"/>
      <c r="BJ375" s="15"/>
      <c r="BK375" s="410"/>
      <c r="BL375" s="15"/>
      <c r="BM375" s="15"/>
      <c r="BN375" s="15"/>
      <c r="BO375" s="15"/>
      <c r="BP375" s="410"/>
      <c r="BQ375" s="15"/>
      <c r="BR375" s="15"/>
      <c r="BS375" s="15"/>
      <c r="BT375" s="15"/>
      <c r="BU375" s="410"/>
      <c r="BV375" s="15"/>
      <c r="BW375" s="15"/>
      <c r="BX375" s="15"/>
      <c r="BY375" s="15"/>
      <c r="BZ375" s="24"/>
      <c r="CA375" s="15"/>
      <c r="CB375" s="15"/>
      <c r="CC375" s="15"/>
      <c r="CD375" s="15"/>
      <c r="CE375" s="24"/>
      <c r="CF375" s="15"/>
      <c r="CG375" s="15"/>
      <c r="CH375" s="15"/>
      <c r="CI375" s="15"/>
      <c r="CJ375" s="24"/>
      <c r="CK375" s="15"/>
      <c r="CL375" s="15"/>
      <c r="CM375" s="15"/>
      <c r="CN375" s="40"/>
      <c r="CO375" s="24"/>
      <c r="CP375" s="520"/>
      <c r="CQ375" s="520"/>
      <c r="CR375" s="520"/>
      <c r="CS375" s="520"/>
      <c r="CT375" s="363"/>
      <c r="CU375" s="520"/>
      <c r="CV375" s="513"/>
      <c r="CW375" s="513"/>
      <c r="CX375" s="513"/>
      <c r="CY375" s="363"/>
      <c r="CZ375" s="513"/>
      <c r="DA375" s="513"/>
      <c r="DB375" s="513"/>
      <c r="DC375" s="513"/>
      <c r="DD375" s="363"/>
      <c r="DE375" s="513"/>
      <c r="DF375" s="513"/>
      <c r="DG375" s="513"/>
      <c r="DH375" s="513"/>
      <c r="DI375" s="363"/>
      <c r="DJ375" s="327"/>
      <c r="DK375" s="327"/>
      <c r="DL375" s="327"/>
      <c r="DM375" s="327"/>
      <c r="DN375" s="363"/>
      <c r="DO375" s="327"/>
      <c r="DP375" s="327"/>
      <c r="DQ375" s="327"/>
      <c r="DR375" s="327"/>
      <c r="DS375" s="363"/>
      <c r="DT375" s="36">
        <f t="shared" ref="DT375:DU375" si="2239">DT365-DT369-DT374</f>
        <v>240</v>
      </c>
      <c r="DU375" s="36">
        <f t="shared" si="2239"/>
        <v>511.68</v>
      </c>
      <c r="DV375" s="327"/>
      <c r="DW375" s="327"/>
      <c r="DX375" s="363">
        <v>900.0</v>
      </c>
      <c r="DY375" s="327"/>
      <c r="DZ375" s="327"/>
      <c r="EA375" s="327"/>
      <c r="EB375" s="327"/>
      <c r="EC375" s="363"/>
      <c r="ED375" s="327"/>
      <c r="EE375" s="327"/>
      <c r="EF375" s="327"/>
      <c r="EG375" s="327"/>
      <c r="EH375" s="363"/>
      <c r="EI375" s="314"/>
      <c r="EJ375" s="315"/>
      <c r="EK375" s="315"/>
      <c r="EL375" s="315"/>
      <c r="EM375" s="363"/>
      <c r="EN375" s="365"/>
      <c r="EO375" s="315"/>
      <c r="EP375" s="315"/>
      <c r="EQ375" s="315"/>
      <c r="ER375" s="363"/>
      <c r="ES375" s="365"/>
      <c r="ET375" s="315"/>
      <c r="EU375" s="315"/>
      <c r="EV375" s="315"/>
      <c r="EW375" s="363"/>
      <c r="EX375" s="365"/>
      <c r="EY375" s="315"/>
      <c r="EZ375" s="315"/>
      <c r="FA375" s="315"/>
      <c r="FB375" s="363"/>
      <c r="FC375" s="365"/>
      <c r="FD375" s="315"/>
      <c r="FE375" s="315"/>
      <c r="FF375" s="315"/>
      <c r="FG375" s="363"/>
      <c r="FH375" s="364"/>
      <c r="FI375" s="15"/>
      <c r="FJ375" s="15"/>
      <c r="FK375" s="410"/>
      <c r="FL375" s="15"/>
    </row>
    <row r="376" ht="12.75" hidden="1" customHeight="1" outlineLevel="2">
      <c r="A376" s="514"/>
      <c r="B376" s="521" t="s">
        <v>235</v>
      </c>
      <c r="C376" s="45"/>
      <c r="D376" s="15"/>
      <c r="E376" s="15"/>
      <c r="F376" s="15"/>
      <c r="G376" s="15"/>
      <c r="H376" s="410"/>
      <c r="I376" s="15"/>
      <c r="J376" s="15"/>
      <c r="K376" s="15"/>
      <c r="L376" s="15"/>
      <c r="M376" s="410"/>
      <c r="N376" s="15"/>
      <c r="O376" s="15"/>
      <c r="P376" s="15"/>
      <c r="Q376" s="15"/>
      <c r="R376" s="410"/>
      <c r="S376" s="15"/>
      <c r="T376" s="15"/>
      <c r="U376" s="15"/>
      <c r="V376" s="15"/>
      <c r="W376" s="410"/>
      <c r="X376" s="15"/>
      <c r="Y376" s="15"/>
      <c r="Z376" s="15"/>
      <c r="AA376" s="15"/>
      <c r="AB376" s="410"/>
      <c r="AC376" s="15"/>
      <c r="AD376" s="15"/>
      <c r="AE376" s="15"/>
      <c r="AF376" s="15"/>
      <c r="AG376" s="410"/>
      <c r="AH376" s="15"/>
      <c r="AI376" s="15"/>
      <c r="AJ376" s="15"/>
      <c r="AK376" s="15"/>
      <c r="AL376" s="410"/>
      <c r="AM376" s="15"/>
      <c r="AN376" s="15"/>
      <c r="AO376" s="15"/>
      <c r="AP376" s="15"/>
      <c r="AQ376" s="410"/>
      <c r="AR376" s="15"/>
      <c r="AS376" s="15"/>
      <c r="AT376" s="15"/>
      <c r="AU376" s="15"/>
      <c r="AV376" s="410"/>
      <c r="AW376" s="15"/>
      <c r="AX376" s="15"/>
      <c r="AY376" s="15"/>
      <c r="AZ376" s="15"/>
      <c r="BA376" s="410"/>
      <c r="BB376" s="15"/>
      <c r="BC376" s="15"/>
      <c r="BD376" s="15"/>
      <c r="BE376" s="15"/>
      <c r="BF376" s="410"/>
      <c r="BG376" s="15"/>
      <c r="BH376" s="15"/>
      <c r="BI376" s="15"/>
      <c r="BJ376" s="15"/>
      <c r="BK376" s="410"/>
      <c r="BL376" s="15"/>
      <c r="BM376" s="15"/>
      <c r="BN376" s="15"/>
      <c r="BO376" s="15"/>
      <c r="BP376" s="410"/>
      <c r="BQ376" s="15"/>
      <c r="BR376" s="15"/>
      <c r="BS376" s="15"/>
      <c r="BT376" s="15"/>
      <c r="BU376" s="410"/>
      <c r="BV376" s="15"/>
      <c r="BW376" s="15"/>
      <c r="BX376" s="15"/>
      <c r="BY376" s="15"/>
      <c r="BZ376" s="24"/>
      <c r="CA376" s="15"/>
      <c r="CB376" s="15"/>
      <c r="CC376" s="15"/>
      <c r="CD376" s="15"/>
      <c r="CE376" s="24"/>
      <c r="CF376" s="15"/>
      <c r="CG376" s="15"/>
      <c r="CH376" s="15"/>
      <c r="CI376" s="15"/>
      <c r="CJ376" s="24"/>
      <c r="CK376" s="15"/>
      <c r="CL376" s="15"/>
      <c r="CM376" s="15"/>
      <c r="CN376" s="40"/>
      <c r="CO376" s="24"/>
      <c r="CP376" s="520"/>
      <c r="CQ376" s="520"/>
      <c r="CR376" s="520"/>
      <c r="CS376" s="520"/>
      <c r="CT376" s="363"/>
      <c r="CU376" s="520"/>
      <c r="CV376" s="513"/>
      <c r="CW376" s="513"/>
      <c r="CX376" s="513"/>
      <c r="CY376" s="363"/>
      <c r="CZ376" s="513"/>
      <c r="DA376" s="513"/>
      <c r="DB376" s="513"/>
      <c r="DC376" s="513"/>
      <c r="DD376" s="363"/>
      <c r="DE376" s="513"/>
      <c r="DF376" s="513"/>
      <c r="DG376" s="513"/>
      <c r="DH376" s="513"/>
      <c r="DI376" s="363"/>
      <c r="DJ376" s="327"/>
      <c r="DK376" s="327"/>
      <c r="DL376" s="327"/>
      <c r="DM376" s="327"/>
      <c r="DN376" s="363"/>
      <c r="DO376" s="327"/>
      <c r="DP376" s="327"/>
      <c r="DQ376" s="327"/>
      <c r="DR376" s="327"/>
      <c r="DS376" s="363"/>
      <c r="DT376" s="36">
        <f t="shared" ref="DT376:DU376" si="2240">DT40-DT375</f>
        <v>6798</v>
      </c>
      <c r="DU376" s="36">
        <f t="shared" si="2240"/>
        <v>5185.32</v>
      </c>
      <c r="DV376" s="327"/>
      <c r="DW376" s="327"/>
      <c r="DX376" s="363">
        <f>DX369-DX375</f>
        <v>600</v>
      </c>
      <c r="DY376" s="327"/>
      <c r="DZ376" s="327"/>
      <c r="EA376" s="327"/>
      <c r="EB376" s="327"/>
      <c r="EC376" s="363"/>
      <c r="ED376" s="327"/>
      <c r="EE376" s="327"/>
      <c r="EF376" s="327"/>
      <c r="EG376" s="327"/>
      <c r="EH376" s="363"/>
      <c r="EI376" s="314"/>
      <c r="EJ376" s="315"/>
      <c r="EK376" s="315"/>
      <c r="EL376" s="315"/>
      <c r="EM376" s="363"/>
      <c r="EN376" s="365"/>
      <c r="EO376" s="315"/>
      <c r="EP376" s="315"/>
      <c r="EQ376" s="315"/>
      <c r="ER376" s="363"/>
      <c r="ES376" s="365"/>
      <c r="ET376" s="315"/>
      <c r="EU376" s="315"/>
      <c r="EV376" s="315"/>
      <c r="EW376" s="363"/>
      <c r="EX376" s="365"/>
      <c r="EY376" s="315"/>
      <c r="EZ376" s="315"/>
      <c r="FA376" s="315"/>
      <c r="FB376" s="363"/>
      <c r="FC376" s="365"/>
      <c r="FD376" s="315"/>
      <c r="FE376" s="315"/>
      <c r="FF376" s="315"/>
      <c r="FG376" s="363"/>
      <c r="FH376" s="364"/>
      <c r="FI376" s="15"/>
      <c r="FJ376" s="15"/>
      <c r="FK376" s="410"/>
      <c r="FL376" s="15"/>
    </row>
    <row r="377" ht="12.75" hidden="1" customHeight="1" outlineLevel="2">
      <c r="A377" s="514"/>
      <c r="B377" s="521" t="s">
        <v>236</v>
      </c>
      <c r="C377" s="45"/>
      <c r="D377" s="15"/>
      <c r="E377" s="15"/>
      <c r="F377" s="15"/>
      <c r="G377" s="15"/>
      <c r="H377" s="410"/>
      <c r="I377" s="15"/>
      <c r="J377" s="15"/>
      <c r="K377" s="15"/>
      <c r="L377" s="15"/>
      <c r="M377" s="410"/>
      <c r="N377" s="15"/>
      <c r="O377" s="15"/>
      <c r="P377" s="15"/>
      <c r="Q377" s="15"/>
      <c r="R377" s="410"/>
      <c r="S377" s="15"/>
      <c r="T377" s="15"/>
      <c r="U377" s="15"/>
      <c r="V377" s="15"/>
      <c r="W377" s="410"/>
      <c r="X377" s="15"/>
      <c r="Y377" s="15"/>
      <c r="Z377" s="15"/>
      <c r="AA377" s="15"/>
      <c r="AB377" s="410"/>
      <c r="AC377" s="15"/>
      <c r="AD377" s="15"/>
      <c r="AE377" s="15"/>
      <c r="AF377" s="15"/>
      <c r="AG377" s="410"/>
      <c r="AH377" s="15"/>
      <c r="AI377" s="15"/>
      <c r="AJ377" s="15"/>
      <c r="AK377" s="15"/>
      <c r="AL377" s="410"/>
      <c r="AM377" s="15"/>
      <c r="AN377" s="15"/>
      <c r="AO377" s="15"/>
      <c r="AP377" s="15"/>
      <c r="AQ377" s="410"/>
      <c r="AR377" s="15"/>
      <c r="AS377" s="15"/>
      <c r="AT377" s="15"/>
      <c r="AU377" s="15"/>
      <c r="AV377" s="410"/>
      <c r="AW377" s="15"/>
      <c r="AX377" s="15"/>
      <c r="AY377" s="15"/>
      <c r="AZ377" s="15"/>
      <c r="BA377" s="410"/>
      <c r="BB377" s="15"/>
      <c r="BC377" s="15"/>
      <c r="BD377" s="15"/>
      <c r="BE377" s="15"/>
      <c r="BF377" s="410"/>
      <c r="BG377" s="15"/>
      <c r="BH377" s="15"/>
      <c r="BI377" s="15"/>
      <c r="BJ377" s="15"/>
      <c r="BK377" s="410"/>
      <c r="BL377" s="15"/>
      <c r="BM377" s="15"/>
      <c r="BN377" s="15"/>
      <c r="BO377" s="15"/>
      <c r="BP377" s="410"/>
      <c r="BQ377" s="15"/>
      <c r="BR377" s="15"/>
      <c r="BS377" s="15"/>
      <c r="BT377" s="15"/>
      <c r="BU377" s="410"/>
      <c r="BV377" s="15"/>
      <c r="BW377" s="15"/>
      <c r="BX377" s="15"/>
      <c r="BY377" s="15"/>
      <c r="BZ377" s="24"/>
      <c r="CA377" s="15"/>
      <c r="CB377" s="15"/>
      <c r="CC377" s="15"/>
      <c r="CD377" s="15"/>
      <c r="CE377" s="24"/>
      <c r="CF377" s="15"/>
      <c r="CG377" s="15"/>
      <c r="CH377" s="15"/>
      <c r="CI377" s="15"/>
      <c r="CJ377" s="24"/>
      <c r="CK377" s="15"/>
      <c r="CL377" s="15"/>
      <c r="CM377" s="15"/>
      <c r="CN377" s="40"/>
      <c r="CO377" s="24"/>
      <c r="CP377" s="520"/>
      <c r="CQ377" s="520"/>
      <c r="CR377" s="520"/>
      <c r="CS377" s="520"/>
      <c r="CT377" s="363"/>
      <c r="CU377" s="520"/>
      <c r="CV377" s="513"/>
      <c r="CW377" s="513"/>
      <c r="CX377" s="513"/>
      <c r="CY377" s="363"/>
      <c r="CZ377" s="513"/>
      <c r="DA377" s="513"/>
      <c r="DB377" s="513"/>
      <c r="DC377" s="513"/>
      <c r="DD377" s="363"/>
      <c r="DE377" s="513"/>
      <c r="DF377" s="513"/>
      <c r="DG377" s="513"/>
      <c r="DH377" s="513"/>
      <c r="DI377" s="363"/>
      <c r="DJ377" s="327"/>
      <c r="DK377" s="327"/>
      <c r="DL377" s="327"/>
      <c r="DM377" s="327"/>
      <c r="DN377" s="363"/>
      <c r="DO377" s="327"/>
      <c r="DP377" s="327"/>
      <c r="DQ377" s="327"/>
      <c r="DR377" s="327"/>
      <c r="DS377" s="363"/>
      <c r="DT377" s="327">
        <f t="shared" ref="DT377:DU377" si="2241">DT376/(DT12-DT365)</f>
        <v>0.3649345072</v>
      </c>
      <c r="DU377" s="327">
        <f t="shared" si="2241"/>
        <v>0.2860234983</v>
      </c>
      <c r="DV377" s="327"/>
      <c r="DW377" s="327"/>
      <c r="DX377" s="363"/>
      <c r="DY377" s="327"/>
      <c r="DZ377" s="327"/>
      <c r="EA377" s="327"/>
      <c r="EB377" s="327"/>
      <c r="EC377" s="363"/>
      <c r="ED377" s="327"/>
      <c r="EE377" s="327"/>
      <c r="EF377" s="327"/>
      <c r="EG377" s="327"/>
      <c r="EH377" s="363"/>
      <c r="EI377" s="314"/>
      <c r="EJ377" s="315"/>
      <c r="EK377" s="315"/>
      <c r="EL377" s="315"/>
      <c r="EM377" s="363"/>
      <c r="EN377" s="365"/>
      <c r="EO377" s="315"/>
      <c r="EP377" s="315"/>
      <c r="EQ377" s="315"/>
      <c r="ER377" s="363"/>
      <c r="ES377" s="365"/>
      <c r="ET377" s="315"/>
      <c r="EU377" s="315"/>
      <c r="EV377" s="315"/>
      <c r="EW377" s="363"/>
      <c r="EX377" s="365"/>
      <c r="EY377" s="315"/>
      <c r="EZ377" s="315"/>
      <c r="FA377" s="315"/>
      <c r="FB377" s="363"/>
      <c r="FC377" s="365"/>
      <c r="FD377" s="315"/>
      <c r="FE377" s="315"/>
      <c r="FF377" s="315"/>
      <c r="FG377" s="363"/>
      <c r="FH377" s="364"/>
      <c r="FI377" s="15"/>
      <c r="FJ377" s="15"/>
      <c r="FK377" s="410"/>
      <c r="FL377" s="15"/>
    </row>
    <row r="378" ht="12.75" hidden="1" customHeight="1" outlineLevel="2">
      <c r="A378" s="514"/>
      <c r="B378" s="4" t="s">
        <v>237</v>
      </c>
      <c r="C378" s="45"/>
      <c r="D378" s="15"/>
      <c r="E378" s="15"/>
      <c r="F378" s="15"/>
      <c r="G378" s="15"/>
      <c r="H378" s="410"/>
      <c r="I378" s="15"/>
      <c r="J378" s="15"/>
      <c r="K378" s="15"/>
      <c r="L378" s="15"/>
      <c r="M378" s="410"/>
      <c r="N378" s="15"/>
      <c r="O378" s="15"/>
      <c r="P378" s="15"/>
      <c r="Q378" s="15"/>
      <c r="R378" s="410"/>
      <c r="S378" s="15"/>
      <c r="T378" s="15"/>
      <c r="U378" s="15"/>
      <c r="V378" s="15"/>
      <c r="W378" s="410"/>
      <c r="X378" s="15"/>
      <c r="Y378" s="15"/>
      <c r="Z378" s="15"/>
      <c r="AA378" s="15"/>
      <c r="AB378" s="410"/>
      <c r="AC378" s="15"/>
      <c r="AD378" s="15"/>
      <c r="AE378" s="15"/>
      <c r="AF378" s="15"/>
      <c r="AG378" s="410"/>
      <c r="AH378" s="15"/>
      <c r="AI378" s="15"/>
      <c r="AJ378" s="15"/>
      <c r="AK378" s="15"/>
      <c r="AL378" s="410"/>
      <c r="AM378" s="15"/>
      <c r="AN378" s="15"/>
      <c r="AO378" s="15"/>
      <c r="AP378" s="15"/>
      <c r="AQ378" s="410"/>
      <c r="AR378" s="15"/>
      <c r="AS378" s="15"/>
      <c r="AT378" s="15"/>
      <c r="AU378" s="15"/>
      <c r="AV378" s="410"/>
      <c r="AW378" s="15"/>
      <c r="AX378" s="15"/>
      <c r="AY378" s="15"/>
      <c r="AZ378" s="15"/>
      <c r="BA378" s="410"/>
      <c r="BB378" s="15"/>
      <c r="BC378" s="15"/>
      <c r="BD378" s="15"/>
      <c r="BE378" s="15"/>
      <c r="BF378" s="410"/>
      <c r="BG378" s="15"/>
      <c r="BH378" s="15"/>
      <c r="BI378" s="15"/>
      <c r="BJ378" s="15"/>
      <c r="BK378" s="410"/>
      <c r="BL378" s="15"/>
      <c r="BM378" s="15"/>
      <c r="BN378" s="15"/>
      <c r="BO378" s="15"/>
      <c r="BP378" s="410"/>
      <c r="BQ378" s="15"/>
      <c r="BR378" s="15"/>
      <c r="BS378" s="15"/>
      <c r="BT378" s="15"/>
      <c r="BU378" s="410"/>
      <c r="BV378" s="15"/>
      <c r="BW378" s="15"/>
      <c r="BX378" s="15"/>
      <c r="BY378" s="15"/>
      <c r="BZ378" s="24"/>
      <c r="CA378" s="15"/>
      <c r="CB378" s="15"/>
      <c r="CC378" s="15"/>
      <c r="CD378" s="15"/>
      <c r="CE378" s="24"/>
      <c r="CF378" s="15"/>
      <c r="CG378" s="15"/>
      <c r="CH378" s="15"/>
      <c r="CI378" s="15"/>
      <c r="CJ378" s="24"/>
      <c r="CK378" s="15"/>
      <c r="CL378" s="15"/>
      <c r="CM378" s="15"/>
      <c r="CN378" s="40"/>
      <c r="CO378" s="24"/>
      <c r="CP378" s="520"/>
      <c r="CQ378" s="520"/>
      <c r="CR378" s="520"/>
      <c r="CS378" s="520"/>
      <c r="CT378" s="363"/>
      <c r="CU378" s="520"/>
      <c r="CV378" s="513"/>
      <c r="CW378" s="513"/>
      <c r="CX378" s="513"/>
      <c r="CY378" s="363"/>
      <c r="CZ378" s="513"/>
      <c r="DA378" s="513"/>
      <c r="DB378" s="513"/>
      <c r="DC378" s="513"/>
      <c r="DD378" s="363"/>
      <c r="DE378" s="513"/>
      <c r="DF378" s="513"/>
      <c r="DG378" s="513"/>
      <c r="DH378" s="513"/>
      <c r="DI378" s="363"/>
      <c r="DJ378" s="327"/>
      <c r="DK378" s="327"/>
      <c r="DL378" s="327"/>
      <c r="DM378" s="327"/>
      <c r="DN378" s="363"/>
      <c r="DO378" s="327"/>
      <c r="DP378" s="327"/>
      <c r="DQ378" s="327"/>
      <c r="DR378" s="327"/>
      <c r="DS378" s="363"/>
      <c r="DT378" s="40">
        <f t="shared" ref="DT378:DU378" si="2242">(DT40/DT12)-DT377</f>
        <v>-0.0099819149</v>
      </c>
      <c r="DU378" s="40">
        <f t="shared" si="2242"/>
        <v>0.002753874</v>
      </c>
      <c r="DV378" s="327"/>
      <c r="DW378" s="327"/>
      <c r="DX378" s="363"/>
      <c r="DY378" s="327"/>
      <c r="DZ378" s="327"/>
      <c r="EA378" s="327"/>
      <c r="EB378" s="327"/>
      <c r="EC378" s="363"/>
      <c r="ED378" s="327"/>
      <c r="EE378" s="327"/>
      <c r="EF378" s="327"/>
      <c r="EG378" s="327"/>
      <c r="EH378" s="363"/>
      <c r="EI378" s="314"/>
      <c r="EJ378" s="315"/>
      <c r="EK378" s="315"/>
      <c r="EL378" s="315"/>
      <c r="EM378" s="363"/>
      <c r="EN378" s="365"/>
      <c r="EO378" s="315"/>
      <c r="EP378" s="315"/>
      <c r="EQ378" s="315"/>
      <c r="ER378" s="363"/>
      <c r="ES378" s="365"/>
      <c r="ET378" s="315"/>
      <c r="EU378" s="315"/>
      <c r="EV378" s="315"/>
      <c r="EW378" s="363"/>
      <c r="EX378" s="365"/>
      <c r="EY378" s="315"/>
      <c r="EZ378" s="315"/>
      <c r="FA378" s="315"/>
      <c r="FB378" s="363"/>
      <c r="FC378" s="365"/>
      <c r="FD378" s="315"/>
      <c r="FE378" s="315"/>
      <c r="FF378" s="315"/>
      <c r="FG378" s="363"/>
      <c r="FH378" s="364"/>
      <c r="FI378" s="15"/>
      <c r="FJ378" s="15"/>
      <c r="FK378" s="410"/>
      <c r="FL378" s="15"/>
    </row>
    <row r="379" ht="12.75" hidden="1" customHeight="1" outlineLevel="2">
      <c r="A379" s="514"/>
      <c r="B379" s="4"/>
      <c r="C379" s="45"/>
      <c r="D379" s="15"/>
      <c r="E379" s="15"/>
      <c r="F379" s="15"/>
      <c r="G379" s="15"/>
      <c r="H379" s="410"/>
      <c r="I379" s="15"/>
      <c r="J379" s="15"/>
      <c r="K379" s="15"/>
      <c r="L379" s="15"/>
      <c r="M379" s="410"/>
      <c r="N379" s="15"/>
      <c r="O379" s="15"/>
      <c r="P379" s="15"/>
      <c r="Q379" s="15"/>
      <c r="R379" s="410"/>
      <c r="S379" s="15"/>
      <c r="T379" s="15"/>
      <c r="U379" s="15"/>
      <c r="V379" s="15"/>
      <c r="W379" s="410"/>
      <c r="X379" s="15"/>
      <c r="Y379" s="15"/>
      <c r="Z379" s="15"/>
      <c r="AA379" s="15"/>
      <c r="AB379" s="410"/>
      <c r="AC379" s="15"/>
      <c r="AD379" s="15"/>
      <c r="AE379" s="15"/>
      <c r="AF379" s="15"/>
      <c r="AG379" s="410"/>
      <c r="AH379" s="15"/>
      <c r="AI379" s="15"/>
      <c r="AJ379" s="15"/>
      <c r="AK379" s="15"/>
      <c r="AL379" s="410"/>
      <c r="AM379" s="15"/>
      <c r="AN379" s="15"/>
      <c r="AO379" s="15"/>
      <c r="AP379" s="15"/>
      <c r="AQ379" s="410"/>
      <c r="AR379" s="15"/>
      <c r="AS379" s="15"/>
      <c r="AT379" s="15"/>
      <c r="AU379" s="15"/>
      <c r="AV379" s="410"/>
      <c r="AW379" s="15"/>
      <c r="AX379" s="15"/>
      <c r="AY379" s="15"/>
      <c r="AZ379" s="15"/>
      <c r="BA379" s="410"/>
      <c r="BB379" s="15"/>
      <c r="BC379" s="15"/>
      <c r="BD379" s="15"/>
      <c r="BE379" s="15"/>
      <c r="BF379" s="410"/>
      <c r="BG379" s="15"/>
      <c r="BH379" s="15"/>
      <c r="BI379" s="15"/>
      <c r="BJ379" s="15"/>
      <c r="BK379" s="410"/>
      <c r="BL379" s="15"/>
      <c r="BM379" s="15"/>
      <c r="BN379" s="15"/>
      <c r="BO379" s="15"/>
      <c r="BP379" s="410"/>
      <c r="BQ379" s="15"/>
      <c r="BR379" s="15"/>
      <c r="BS379" s="15"/>
      <c r="BT379" s="15"/>
      <c r="BU379" s="410"/>
      <c r="BV379" s="15"/>
      <c r="BW379" s="15"/>
      <c r="BX379" s="15"/>
      <c r="BY379" s="15"/>
      <c r="BZ379" s="24"/>
      <c r="CA379" s="15"/>
      <c r="CB379" s="15"/>
      <c r="CC379" s="15"/>
      <c r="CD379" s="15"/>
      <c r="CE379" s="24"/>
      <c r="CF379" s="15"/>
      <c r="CG379" s="15"/>
      <c r="CH379" s="15"/>
      <c r="CI379" s="15"/>
      <c r="CJ379" s="24"/>
      <c r="CK379" s="15"/>
      <c r="CL379" s="15"/>
      <c r="CM379" s="15"/>
      <c r="CN379" s="40"/>
      <c r="CO379" s="24"/>
      <c r="CP379" s="520"/>
      <c r="CQ379" s="520"/>
      <c r="CR379" s="520"/>
      <c r="CS379" s="520"/>
      <c r="CT379" s="363"/>
      <c r="CU379" s="520"/>
      <c r="CV379" s="513"/>
      <c r="CW379" s="513"/>
      <c r="CX379" s="513"/>
      <c r="CY379" s="363"/>
      <c r="CZ379" s="513"/>
      <c r="DA379" s="513"/>
      <c r="DB379" s="513"/>
      <c r="DC379" s="513"/>
      <c r="DD379" s="363"/>
      <c r="DE379" s="513"/>
      <c r="DF379" s="513"/>
      <c r="DG379" s="513"/>
      <c r="DH379" s="513"/>
      <c r="DI379" s="363"/>
      <c r="DJ379" s="327"/>
      <c r="DK379" s="327"/>
      <c r="DL379" s="327"/>
      <c r="DM379" s="327"/>
      <c r="DN379" s="363"/>
      <c r="DO379" s="327"/>
      <c r="DP379" s="327"/>
      <c r="DQ379" s="327"/>
      <c r="DR379" s="327"/>
      <c r="DS379" s="363"/>
      <c r="DT379" s="40"/>
      <c r="DU379" s="40"/>
      <c r="DV379" s="327"/>
      <c r="DW379" s="327"/>
      <c r="DX379" s="363"/>
      <c r="DY379" s="327"/>
      <c r="DZ379" s="327"/>
      <c r="EA379" s="327"/>
      <c r="EB379" s="327"/>
      <c r="EC379" s="363"/>
      <c r="ED379" s="327"/>
      <c r="EE379" s="327"/>
      <c r="EF379" s="327"/>
      <c r="EG379" s="327"/>
      <c r="EH379" s="363"/>
      <c r="EI379" s="314"/>
      <c r="EJ379" s="315"/>
      <c r="EK379" s="315"/>
      <c r="EL379" s="315"/>
      <c r="EM379" s="363"/>
      <c r="EN379" s="365"/>
      <c r="EO379" s="315"/>
      <c r="EP379" s="315"/>
      <c r="EQ379" s="315"/>
      <c r="ER379" s="363"/>
      <c r="ES379" s="365"/>
      <c r="ET379" s="315"/>
      <c r="EU379" s="315"/>
      <c r="EV379" s="315"/>
      <c r="EW379" s="363"/>
      <c r="EX379" s="365"/>
      <c r="EY379" s="315"/>
      <c r="EZ379" s="315"/>
      <c r="FA379" s="315"/>
      <c r="FB379" s="363"/>
      <c r="FC379" s="365"/>
      <c r="FD379" s="315"/>
      <c r="FE379" s="315"/>
      <c r="FF379" s="315"/>
      <c r="FG379" s="363"/>
      <c r="FH379" s="364"/>
      <c r="FI379" s="15"/>
      <c r="FJ379" s="15"/>
      <c r="FK379" s="410"/>
      <c r="FL379" s="15"/>
    </row>
    <row r="380" ht="12.75" hidden="1" customHeight="1" outlineLevel="2">
      <c r="A380" s="514"/>
      <c r="B380" s="215" t="s">
        <v>238</v>
      </c>
      <c r="C380" s="45"/>
      <c r="D380" s="15"/>
      <c r="E380" s="15"/>
      <c r="F380" s="15"/>
      <c r="G380" s="15"/>
      <c r="H380" s="410"/>
      <c r="I380" s="15"/>
      <c r="J380" s="15"/>
      <c r="K380" s="15"/>
      <c r="L380" s="15"/>
      <c r="M380" s="410"/>
      <c r="N380" s="15"/>
      <c r="O380" s="15"/>
      <c r="P380" s="15"/>
      <c r="Q380" s="15"/>
      <c r="R380" s="410"/>
      <c r="S380" s="15"/>
      <c r="T380" s="15"/>
      <c r="U380" s="15"/>
      <c r="V380" s="15"/>
      <c r="W380" s="410"/>
      <c r="X380" s="15"/>
      <c r="Y380" s="15"/>
      <c r="Z380" s="15"/>
      <c r="AA380" s="15"/>
      <c r="AB380" s="410"/>
      <c r="AC380" s="15"/>
      <c r="AD380" s="15"/>
      <c r="AE380" s="15"/>
      <c r="AF380" s="15"/>
      <c r="AG380" s="410"/>
      <c r="AH380" s="15"/>
      <c r="AI380" s="15"/>
      <c r="AJ380" s="15"/>
      <c r="AK380" s="15"/>
      <c r="AL380" s="410"/>
      <c r="AM380" s="15"/>
      <c r="AN380" s="15"/>
      <c r="AO380" s="15"/>
      <c r="AP380" s="15"/>
      <c r="AQ380" s="410"/>
      <c r="AR380" s="15"/>
      <c r="AS380" s="15"/>
      <c r="AT380" s="15"/>
      <c r="AU380" s="15"/>
      <c r="AV380" s="410"/>
      <c r="AW380" s="15"/>
      <c r="AX380" s="15"/>
      <c r="AY380" s="15"/>
      <c r="AZ380" s="15"/>
      <c r="BA380" s="410"/>
      <c r="BB380" s="15"/>
      <c r="BC380" s="15"/>
      <c r="BD380" s="15"/>
      <c r="BE380" s="15"/>
      <c r="BF380" s="410"/>
      <c r="BG380" s="15"/>
      <c r="BH380" s="15"/>
      <c r="BI380" s="15"/>
      <c r="BJ380" s="15"/>
      <c r="BK380" s="410"/>
      <c r="BL380" s="15"/>
      <c r="BM380" s="15"/>
      <c r="BN380" s="15"/>
      <c r="BO380" s="15"/>
      <c r="BP380" s="410"/>
      <c r="BQ380" s="15"/>
      <c r="BR380" s="15"/>
      <c r="BS380" s="15"/>
      <c r="BT380" s="15"/>
      <c r="BU380" s="410"/>
      <c r="BV380" s="15"/>
      <c r="BW380" s="15"/>
      <c r="BX380" s="15"/>
      <c r="BY380" s="15"/>
      <c r="BZ380" s="24"/>
      <c r="CA380" s="15"/>
      <c r="CB380" s="15"/>
      <c r="CC380" s="15"/>
      <c r="CD380" s="15"/>
      <c r="CE380" s="24"/>
      <c r="CF380" s="15"/>
      <c r="CG380" s="15"/>
      <c r="CH380" s="15"/>
      <c r="CI380" s="15"/>
      <c r="CJ380" s="24"/>
      <c r="CK380" s="15"/>
      <c r="CL380" s="15"/>
      <c r="CM380" s="15"/>
      <c r="CN380" s="40"/>
      <c r="CO380" s="24"/>
      <c r="CP380" s="520"/>
      <c r="CQ380" s="520"/>
      <c r="CR380" s="520"/>
      <c r="CS380" s="520"/>
      <c r="CT380" s="363"/>
      <c r="CU380" s="520"/>
      <c r="CV380" s="513"/>
      <c r="CW380" s="513"/>
      <c r="CX380" s="513"/>
      <c r="CY380" s="363"/>
      <c r="CZ380" s="513"/>
      <c r="DA380" s="513"/>
      <c r="DB380" s="513"/>
      <c r="DC380" s="513"/>
      <c r="DD380" s="363"/>
      <c r="DE380" s="513"/>
      <c r="DF380" s="513"/>
      <c r="DG380" s="513"/>
      <c r="DH380" s="513"/>
      <c r="DI380" s="363"/>
      <c r="DJ380" s="327"/>
      <c r="DK380" s="327"/>
      <c r="DL380" s="327"/>
      <c r="DM380" s="327"/>
      <c r="DN380" s="363"/>
      <c r="DO380" s="327"/>
      <c r="DP380" s="327"/>
      <c r="DQ380" s="327"/>
      <c r="DR380" s="327"/>
      <c r="DS380" s="363"/>
      <c r="DT380" s="36">
        <f>DT362-DT365</f>
        <v>138</v>
      </c>
      <c r="DU380" s="36">
        <v>60.0</v>
      </c>
      <c r="DV380" s="36">
        <v>100.0</v>
      </c>
      <c r="DW380" s="36">
        <f>DV380</f>
        <v>100</v>
      </c>
      <c r="DX380" s="363">
        <f>SUM(DT380:DW380)</f>
        <v>398</v>
      </c>
      <c r="DY380" s="36">
        <f t="shared" ref="DY380:EB380" si="2243">DY362*DY381</f>
        <v>105.165</v>
      </c>
      <c r="DZ380" s="36">
        <f t="shared" si="2243"/>
        <v>104.31</v>
      </c>
      <c r="EA380" s="36">
        <f t="shared" si="2243"/>
        <v>104.975</v>
      </c>
      <c r="EB380" s="36">
        <f t="shared" si="2243"/>
        <v>94.62</v>
      </c>
      <c r="EC380" s="363">
        <f>SUM(DY380:EB380)</f>
        <v>409.07</v>
      </c>
      <c r="ED380" s="36">
        <f>ED362*ED381</f>
        <v>0</v>
      </c>
      <c r="EE380" s="36"/>
      <c r="EF380" s="36"/>
      <c r="EG380" s="36"/>
      <c r="EH380" s="363"/>
      <c r="EI380" s="428"/>
      <c r="EJ380" s="36"/>
      <c r="EK380" s="36"/>
      <c r="EL380" s="36"/>
      <c r="EM380" s="363"/>
      <c r="EN380" s="36"/>
      <c r="EO380" s="36"/>
      <c r="EP380" s="36"/>
      <c r="EQ380" s="36"/>
      <c r="ER380" s="363"/>
      <c r="ES380" s="36"/>
      <c r="ET380" s="36"/>
      <c r="EU380" s="36"/>
      <c r="EV380" s="36"/>
      <c r="EW380" s="363"/>
      <c r="EX380" s="36"/>
      <c r="EY380" s="36"/>
      <c r="EZ380" s="36"/>
      <c r="FA380" s="36"/>
      <c r="FB380" s="363"/>
      <c r="FC380" s="36"/>
      <c r="FD380" s="36"/>
      <c r="FE380" s="36"/>
      <c r="FF380" s="36"/>
      <c r="FG380" s="363"/>
      <c r="FH380" s="364"/>
      <c r="FI380" s="15"/>
      <c r="FJ380" s="15"/>
      <c r="FK380" s="410"/>
      <c r="FL380" s="15"/>
    </row>
    <row r="381" ht="12.75" hidden="1" customHeight="1" outlineLevel="2">
      <c r="A381" s="514"/>
      <c r="B381" s="72" t="s">
        <v>239</v>
      </c>
      <c r="C381" s="45"/>
      <c r="D381" s="15"/>
      <c r="E381" s="15"/>
      <c r="F381" s="15"/>
      <c r="G381" s="15"/>
      <c r="H381" s="410"/>
      <c r="I381" s="15"/>
      <c r="J381" s="15"/>
      <c r="K381" s="15"/>
      <c r="L381" s="15"/>
      <c r="M381" s="410"/>
      <c r="N381" s="15"/>
      <c r="O381" s="15"/>
      <c r="P381" s="15"/>
      <c r="Q381" s="15"/>
      <c r="R381" s="410"/>
      <c r="S381" s="15"/>
      <c r="T381" s="15"/>
      <c r="U381" s="15"/>
      <c r="V381" s="15"/>
      <c r="W381" s="410"/>
      <c r="X381" s="15"/>
      <c r="Y381" s="15"/>
      <c r="Z381" s="15"/>
      <c r="AA381" s="15"/>
      <c r="AB381" s="410"/>
      <c r="AC381" s="15"/>
      <c r="AD381" s="15"/>
      <c r="AE381" s="15"/>
      <c r="AF381" s="15"/>
      <c r="AG381" s="410"/>
      <c r="AH381" s="15"/>
      <c r="AI381" s="15"/>
      <c r="AJ381" s="15"/>
      <c r="AK381" s="15"/>
      <c r="AL381" s="410"/>
      <c r="AM381" s="15"/>
      <c r="AN381" s="15"/>
      <c r="AO381" s="15"/>
      <c r="AP381" s="15"/>
      <c r="AQ381" s="410"/>
      <c r="AR381" s="15"/>
      <c r="AS381" s="15"/>
      <c r="AT381" s="15"/>
      <c r="AU381" s="15"/>
      <c r="AV381" s="410"/>
      <c r="AW381" s="15"/>
      <c r="AX381" s="15"/>
      <c r="AY381" s="15"/>
      <c r="AZ381" s="15"/>
      <c r="BA381" s="410"/>
      <c r="BB381" s="15"/>
      <c r="BC381" s="15"/>
      <c r="BD381" s="15"/>
      <c r="BE381" s="15"/>
      <c r="BF381" s="410"/>
      <c r="BG381" s="15"/>
      <c r="BH381" s="15"/>
      <c r="BI381" s="15"/>
      <c r="BJ381" s="15"/>
      <c r="BK381" s="410"/>
      <c r="BL381" s="15"/>
      <c r="BM381" s="15"/>
      <c r="BN381" s="15"/>
      <c r="BO381" s="15"/>
      <c r="BP381" s="410"/>
      <c r="BQ381" s="15"/>
      <c r="BR381" s="15"/>
      <c r="BS381" s="15"/>
      <c r="BT381" s="15"/>
      <c r="BU381" s="410"/>
      <c r="BV381" s="15"/>
      <c r="BW381" s="15"/>
      <c r="BX381" s="15"/>
      <c r="BY381" s="15"/>
      <c r="BZ381" s="24"/>
      <c r="CA381" s="15"/>
      <c r="CB381" s="15"/>
      <c r="CC381" s="15"/>
      <c r="CD381" s="15"/>
      <c r="CE381" s="24"/>
      <c r="CF381" s="15"/>
      <c r="CG381" s="15"/>
      <c r="CH381" s="15"/>
      <c r="CI381" s="15"/>
      <c r="CJ381" s="24"/>
      <c r="CK381" s="15"/>
      <c r="CL381" s="15"/>
      <c r="CM381" s="15"/>
      <c r="CN381" s="40"/>
      <c r="CO381" s="24"/>
      <c r="CP381" s="520"/>
      <c r="CQ381" s="520"/>
      <c r="CR381" s="520"/>
      <c r="CS381" s="520"/>
      <c r="CT381" s="363"/>
      <c r="CU381" s="520"/>
      <c r="CV381" s="513"/>
      <c r="CW381" s="513"/>
      <c r="CX381" s="513"/>
      <c r="CY381" s="363"/>
      <c r="CZ381" s="513"/>
      <c r="DA381" s="513"/>
      <c r="DB381" s="513"/>
      <c r="DC381" s="513"/>
      <c r="DD381" s="363"/>
      <c r="DE381" s="513"/>
      <c r="DF381" s="513"/>
      <c r="DG381" s="513"/>
      <c r="DH381" s="513"/>
      <c r="DI381" s="363"/>
      <c r="DJ381" s="327"/>
      <c r="DK381" s="327"/>
      <c r="DL381" s="327"/>
      <c r="DM381" s="327"/>
      <c r="DN381" s="363"/>
      <c r="DO381" s="327"/>
      <c r="DP381" s="327"/>
      <c r="DQ381" s="327"/>
      <c r="DR381" s="327"/>
      <c r="DS381" s="363"/>
      <c r="DT381" s="327">
        <f t="shared" ref="DT381:DX381" si="2244">DT380/DT362</f>
        <v>0.1031390135</v>
      </c>
      <c r="DU381" s="327">
        <f t="shared" si="2244"/>
        <v>0.03616636528</v>
      </c>
      <c r="DV381" s="327">
        <f t="shared" si="2244"/>
        <v>0.08673026886</v>
      </c>
      <c r="DW381" s="327">
        <f t="shared" si="2244"/>
        <v>0.08278145695</v>
      </c>
      <c r="DX381" s="37">
        <f t="shared" si="2244"/>
        <v>0.0742814483</v>
      </c>
      <c r="DY381" s="327">
        <v>0.095</v>
      </c>
      <c r="DZ381" s="327">
        <v>0.095</v>
      </c>
      <c r="EA381" s="327">
        <v>0.095</v>
      </c>
      <c r="EB381" s="327">
        <v>0.095</v>
      </c>
      <c r="EC381" s="37">
        <f>EC380/EC362</f>
        <v>0.095</v>
      </c>
      <c r="ED381" s="327"/>
      <c r="EE381" s="327"/>
      <c r="EF381" s="327"/>
      <c r="EG381" s="327"/>
      <c r="EH381" s="37"/>
      <c r="EI381" s="314"/>
      <c r="EJ381" s="365"/>
      <c r="EK381" s="365"/>
      <c r="EL381" s="365"/>
      <c r="EM381" s="37"/>
      <c r="EN381" s="365"/>
      <c r="EO381" s="365"/>
      <c r="EP381" s="365"/>
      <c r="EQ381" s="365"/>
      <c r="ER381" s="37"/>
      <c r="ES381" s="365"/>
      <c r="ET381" s="365"/>
      <c r="EU381" s="365"/>
      <c r="EV381" s="365"/>
      <c r="EW381" s="37"/>
      <c r="EX381" s="365"/>
      <c r="EY381" s="365"/>
      <c r="EZ381" s="365"/>
      <c r="FA381" s="365"/>
      <c r="FB381" s="37"/>
      <c r="FC381" s="365"/>
      <c r="FD381" s="365"/>
      <c r="FE381" s="365"/>
      <c r="FF381" s="365"/>
      <c r="FG381" s="37"/>
      <c r="FH381" s="35"/>
      <c r="FI381" s="15"/>
      <c r="FJ381" s="15"/>
      <c r="FK381" s="410"/>
      <c r="FL381" s="15"/>
    </row>
    <row r="382" ht="12.75" hidden="1" customHeight="1" outlineLevel="2">
      <c r="A382" s="514"/>
      <c r="B382" s="72" t="s">
        <v>146</v>
      </c>
      <c r="C382" s="45"/>
      <c r="D382" s="15"/>
      <c r="E382" s="15"/>
      <c r="F382" s="15"/>
      <c r="G382" s="15"/>
      <c r="H382" s="410"/>
      <c r="I382" s="15"/>
      <c r="J382" s="15"/>
      <c r="K382" s="15"/>
      <c r="L382" s="15"/>
      <c r="M382" s="410"/>
      <c r="N382" s="15"/>
      <c r="O382" s="15"/>
      <c r="P382" s="15"/>
      <c r="Q382" s="15"/>
      <c r="R382" s="410"/>
      <c r="S382" s="15"/>
      <c r="T382" s="15"/>
      <c r="U382" s="15"/>
      <c r="V382" s="15"/>
      <c r="W382" s="410"/>
      <c r="X382" s="15"/>
      <c r="Y382" s="15"/>
      <c r="Z382" s="15"/>
      <c r="AA382" s="15"/>
      <c r="AB382" s="410"/>
      <c r="AC382" s="15"/>
      <c r="AD382" s="15"/>
      <c r="AE382" s="15"/>
      <c r="AF382" s="15"/>
      <c r="AG382" s="410"/>
      <c r="AH382" s="15"/>
      <c r="AI382" s="15"/>
      <c r="AJ382" s="15"/>
      <c r="AK382" s="15"/>
      <c r="AL382" s="410"/>
      <c r="AM382" s="15"/>
      <c r="AN382" s="15"/>
      <c r="AO382" s="15"/>
      <c r="AP382" s="15"/>
      <c r="AQ382" s="410"/>
      <c r="AR382" s="15"/>
      <c r="AS382" s="15"/>
      <c r="AT382" s="15"/>
      <c r="AU382" s="15"/>
      <c r="AV382" s="410"/>
      <c r="AW382" s="15"/>
      <c r="AX382" s="15"/>
      <c r="AY382" s="15"/>
      <c r="AZ382" s="15"/>
      <c r="BA382" s="410"/>
      <c r="BB382" s="15"/>
      <c r="BC382" s="15"/>
      <c r="BD382" s="15"/>
      <c r="BE382" s="15"/>
      <c r="BF382" s="410"/>
      <c r="BG382" s="15"/>
      <c r="BH382" s="15"/>
      <c r="BI382" s="15"/>
      <c r="BJ382" s="15"/>
      <c r="BK382" s="410"/>
      <c r="BL382" s="15"/>
      <c r="BM382" s="15"/>
      <c r="BN382" s="15"/>
      <c r="BO382" s="15"/>
      <c r="BP382" s="410"/>
      <c r="BQ382" s="15"/>
      <c r="BR382" s="15"/>
      <c r="BS382" s="15"/>
      <c r="BT382" s="15"/>
      <c r="BU382" s="410"/>
      <c r="BV382" s="15"/>
      <c r="BW382" s="15"/>
      <c r="BX382" s="15"/>
      <c r="BY382" s="15"/>
      <c r="BZ382" s="24"/>
      <c r="CA382" s="15"/>
      <c r="CB382" s="15"/>
      <c r="CC382" s="15"/>
      <c r="CD382" s="15"/>
      <c r="CE382" s="24"/>
      <c r="CF382" s="15"/>
      <c r="CG382" s="15"/>
      <c r="CH382" s="15"/>
      <c r="CI382" s="15"/>
      <c r="CJ382" s="24"/>
      <c r="CK382" s="15"/>
      <c r="CL382" s="15"/>
      <c r="CM382" s="15"/>
      <c r="CN382" s="40"/>
      <c r="CO382" s="24"/>
      <c r="CP382" s="520"/>
      <c r="CQ382" s="520"/>
      <c r="CR382" s="520"/>
      <c r="CS382" s="520"/>
      <c r="CT382" s="363"/>
      <c r="CU382" s="520"/>
      <c r="CV382" s="513"/>
      <c r="CW382" s="513"/>
      <c r="CX382" s="513"/>
      <c r="CY382" s="363"/>
      <c r="CZ382" s="513"/>
      <c r="DA382" s="513"/>
      <c r="DB382" s="513"/>
      <c r="DC382" s="513"/>
      <c r="DD382" s="363"/>
      <c r="DE382" s="513"/>
      <c r="DF382" s="513"/>
      <c r="DG382" s="513"/>
      <c r="DH382" s="513"/>
      <c r="DI382" s="363"/>
      <c r="DJ382" s="327"/>
      <c r="DK382" s="327"/>
      <c r="DL382" s="327"/>
      <c r="DM382" s="327"/>
      <c r="DN382" s="363"/>
      <c r="DO382" s="327"/>
      <c r="DP382" s="327"/>
      <c r="DQ382" s="327"/>
      <c r="DR382" s="327"/>
      <c r="DS382" s="363"/>
      <c r="DT382" s="327"/>
      <c r="DU382" s="327"/>
      <c r="DV382" s="327"/>
      <c r="DW382" s="327"/>
      <c r="DX382" s="363"/>
      <c r="DY382" s="327">
        <f t="shared" ref="DY382:EC382" si="2245">DY380/DT380-1</f>
        <v>-0.2379347826</v>
      </c>
      <c r="DZ382" s="327">
        <f t="shared" si="2245"/>
        <v>0.7385</v>
      </c>
      <c r="EA382" s="327">
        <f t="shared" si="2245"/>
        <v>0.04975</v>
      </c>
      <c r="EB382" s="327">
        <f t="shared" si="2245"/>
        <v>-0.0538</v>
      </c>
      <c r="EC382" s="24">
        <f t="shared" si="2245"/>
        <v>0.02781407035</v>
      </c>
      <c r="ED382" s="327"/>
      <c r="EE382" s="327"/>
      <c r="EF382" s="327"/>
      <c r="EG382" s="327"/>
      <c r="EH382" s="24"/>
      <c r="EI382" s="82"/>
      <c r="EJ382" s="15"/>
      <c r="EK382" s="15"/>
      <c r="EL382" s="15"/>
      <c r="EM382" s="24"/>
      <c r="EN382" s="15"/>
      <c r="EO382" s="15"/>
      <c r="EP382" s="15"/>
      <c r="EQ382" s="15"/>
      <c r="ER382" s="24"/>
      <c r="ES382" s="15"/>
      <c r="ET382" s="15"/>
      <c r="EU382" s="15"/>
      <c r="EV382" s="15"/>
      <c r="EW382" s="24"/>
      <c r="EX382" s="15"/>
      <c r="EY382" s="15"/>
      <c r="EZ382" s="15"/>
      <c r="FA382" s="15"/>
      <c r="FB382" s="24"/>
      <c r="FC382" s="15"/>
      <c r="FD382" s="15"/>
      <c r="FE382" s="15"/>
      <c r="FF382" s="15"/>
      <c r="FG382" s="24"/>
      <c r="FH382" s="104"/>
      <c r="FI382" s="15"/>
      <c r="FJ382" s="15"/>
      <c r="FK382" s="410"/>
      <c r="FL382" s="15"/>
    </row>
    <row r="383" ht="12.75" hidden="1" customHeight="1" outlineLevel="2">
      <c r="A383" s="514"/>
      <c r="B383" s="72" t="s">
        <v>240</v>
      </c>
      <c r="C383" s="45"/>
      <c r="D383" s="15"/>
      <c r="E383" s="15"/>
      <c r="F383" s="15"/>
      <c r="G383" s="15"/>
      <c r="H383" s="410"/>
      <c r="I383" s="15"/>
      <c r="J383" s="15"/>
      <c r="K383" s="15"/>
      <c r="L383" s="15"/>
      <c r="M383" s="410"/>
      <c r="N383" s="15"/>
      <c r="O383" s="15"/>
      <c r="P383" s="15"/>
      <c r="Q383" s="15"/>
      <c r="R383" s="410"/>
      <c r="S383" s="15"/>
      <c r="T383" s="15"/>
      <c r="U383" s="15"/>
      <c r="V383" s="15"/>
      <c r="W383" s="410"/>
      <c r="X383" s="15"/>
      <c r="Y383" s="15"/>
      <c r="Z383" s="15"/>
      <c r="AA383" s="15"/>
      <c r="AB383" s="410"/>
      <c r="AC383" s="15"/>
      <c r="AD383" s="15"/>
      <c r="AE383" s="15"/>
      <c r="AF383" s="15"/>
      <c r="AG383" s="410"/>
      <c r="AH383" s="15"/>
      <c r="AI383" s="15"/>
      <c r="AJ383" s="15"/>
      <c r="AK383" s="15"/>
      <c r="AL383" s="410"/>
      <c r="AM383" s="15"/>
      <c r="AN383" s="15"/>
      <c r="AO383" s="15"/>
      <c r="AP383" s="15"/>
      <c r="AQ383" s="410"/>
      <c r="AR383" s="15"/>
      <c r="AS383" s="15"/>
      <c r="AT383" s="15"/>
      <c r="AU383" s="15"/>
      <c r="AV383" s="410"/>
      <c r="AW383" s="15"/>
      <c r="AX383" s="15"/>
      <c r="AY383" s="15"/>
      <c r="AZ383" s="15"/>
      <c r="BA383" s="410"/>
      <c r="BB383" s="15"/>
      <c r="BC383" s="15"/>
      <c r="BD383" s="15"/>
      <c r="BE383" s="15"/>
      <c r="BF383" s="410"/>
      <c r="BG383" s="15"/>
      <c r="BH383" s="15"/>
      <c r="BI383" s="15"/>
      <c r="BJ383" s="15"/>
      <c r="BK383" s="410"/>
      <c r="BL383" s="15"/>
      <c r="BM383" s="15"/>
      <c r="BN383" s="15"/>
      <c r="BO383" s="15"/>
      <c r="BP383" s="410"/>
      <c r="BQ383" s="15"/>
      <c r="BR383" s="15"/>
      <c r="BS383" s="15"/>
      <c r="BT383" s="15"/>
      <c r="BU383" s="410"/>
      <c r="BV383" s="15"/>
      <c r="BW383" s="15"/>
      <c r="BX383" s="15"/>
      <c r="BY383" s="15"/>
      <c r="BZ383" s="24"/>
      <c r="CA383" s="15"/>
      <c r="CB383" s="15"/>
      <c r="CC383" s="15"/>
      <c r="CD383" s="15"/>
      <c r="CE383" s="24"/>
      <c r="CF383" s="15"/>
      <c r="CG383" s="15"/>
      <c r="CH383" s="15"/>
      <c r="CI383" s="15"/>
      <c r="CJ383" s="24"/>
      <c r="CK383" s="15"/>
      <c r="CL383" s="15"/>
      <c r="CM383" s="15"/>
      <c r="CN383" s="40"/>
      <c r="CO383" s="24"/>
      <c r="CP383" s="520"/>
      <c r="CQ383" s="520"/>
      <c r="CR383" s="520"/>
      <c r="CS383" s="520"/>
      <c r="CT383" s="363"/>
      <c r="CU383" s="520"/>
      <c r="CV383" s="513"/>
      <c r="CW383" s="513"/>
      <c r="CX383" s="513"/>
      <c r="CY383" s="363"/>
      <c r="CZ383" s="513"/>
      <c r="DA383" s="513"/>
      <c r="DB383" s="513"/>
      <c r="DC383" s="513"/>
      <c r="DD383" s="363"/>
      <c r="DE383" s="513"/>
      <c r="DF383" s="513"/>
      <c r="DG383" s="513"/>
      <c r="DH383" s="513"/>
      <c r="DI383" s="363"/>
      <c r="DJ383" s="327"/>
      <c r="DK383" s="327"/>
      <c r="DL383" s="327"/>
      <c r="DM383" s="327"/>
      <c r="DN383" s="363"/>
      <c r="DO383" s="327"/>
      <c r="DP383" s="327"/>
      <c r="DQ383" s="327"/>
      <c r="DR383" s="327"/>
      <c r="DS383" s="363"/>
      <c r="DT383" s="522"/>
      <c r="DU383" s="522"/>
      <c r="DV383" s="327"/>
      <c r="DW383" s="327"/>
      <c r="DX383" s="363"/>
      <c r="DY383" s="327"/>
      <c r="DZ383" s="327"/>
      <c r="EA383" s="327"/>
      <c r="EB383" s="327"/>
      <c r="EC383" s="37"/>
      <c r="ED383" s="327"/>
      <c r="EE383" s="327"/>
      <c r="EF383" s="327"/>
      <c r="EG383" s="327"/>
      <c r="EH383" s="37"/>
      <c r="EI383" s="314"/>
      <c r="EJ383" s="315"/>
      <c r="EK383" s="315"/>
      <c r="EL383" s="315"/>
      <c r="EM383" s="37"/>
      <c r="EN383" s="315"/>
      <c r="EO383" s="315"/>
      <c r="EP383" s="315"/>
      <c r="EQ383" s="315"/>
      <c r="ER383" s="37"/>
      <c r="ES383" s="315"/>
      <c r="ET383" s="315"/>
      <c r="EU383" s="315"/>
      <c r="EV383" s="315"/>
      <c r="EW383" s="37"/>
      <c r="EX383" s="315"/>
      <c r="EY383" s="315"/>
      <c r="EZ383" s="315"/>
      <c r="FA383" s="315"/>
      <c r="FB383" s="37"/>
      <c r="FC383" s="315"/>
      <c r="FD383" s="315"/>
      <c r="FE383" s="315"/>
      <c r="FF383" s="315"/>
      <c r="FG383" s="37"/>
      <c r="FH383" s="35"/>
      <c r="FI383" s="15"/>
      <c r="FJ383" s="15"/>
      <c r="FK383" s="410"/>
      <c r="FL383" s="15"/>
    </row>
    <row r="384" ht="12.75" hidden="1" customHeight="1" outlineLevel="2">
      <c r="A384" s="514"/>
      <c r="B384" s="72" t="s">
        <v>241</v>
      </c>
      <c r="C384" s="45"/>
      <c r="D384" s="15"/>
      <c r="E384" s="15"/>
      <c r="F384" s="15"/>
      <c r="G384" s="15"/>
      <c r="H384" s="410"/>
      <c r="I384" s="15"/>
      <c r="J384" s="15"/>
      <c r="K384" s="15"/>
      <c r="L384" s="15"/>
      <c r="M384" s="410"/>
      <c r="N384" s="15"/>
      <c r="O384" s="15"/>
      <c r="P384" s="15"/>
      <c r="Q384" s="15"/>
      <c r="R384" s="410"/>
      <c r="S384" s="15"/>
      <c r="T384" s="15"/>
      <c r="U384" s="15"/>
      <c r="V384" s="15"/>
      <c r="W384" s="410"/>
      <c r="X384" s="15"/>
      <c r="Y384" s="15"/>
      <c r="Z384" s="15"/>
      <c r="AA384" s="15"/>
      <c r="AB384" s="410"/>
      <c r="AC384" s="15"/>
      <c r="AD384" s="15"/>
      <c r="AE384" s="15"/>
      <c r="AF384" s="15"/>
      <c r="AG384" s="410"/>
      <c r="AH384" s="15"/>
      <c r="AI384" s="15"/>
      <c r="AJ384" s="15"/>
      <c r="AK384" s="15"/>
      <c r="AL384" s="410"/>
      <c r="AM384" s="15"/>
      <c r="AN384" s="15"/>
      <c r="AO384" s="15"/>
      <c r="AP384" s="15"/>
      <c r="AQ384" s="410"/>
      <c r="AR384" s="15"/>
      <c r="AS384" s="15"/>
      <c r="AT384" s="15"/>
      <c r="AU384" s="15"/>
      <c r="AV384" s="410"/>
      <c r="AW384" s="15"/>
      <c r="AX384" s="15"/>
      <c r="AY384" s="15"/>
      <c r="AZ384" s="15"/>
      <c r="BA384" s="410"/>
      <c r="BB384" s="15"/>
      <c r="BC384" s="15"/>
      <c r="BD384" s="15"/>
      <c r="BE384" s="15"/>
      <c r="BF384" s="410"/>
      <c r="BG384" s="15"/>
      <c r="BH384" s="15"/>
      <c r="BI384" s="15"/>
      <c r="BJ384" s="15"/>
      <c r="BK384" s="410"/>
      <c r="BL384" s="15"/>
      <c r="BM384" s="15"/>
      <c r="BN384" s="15"/>
      <c r="BO384" s="15"/>
      <c r="BP384" s="410"/>
      <c r="BQ384" s="15"/>
      <c r="BR384" s="15"/>
      <c r="BS384" s="15"/>
      <c r="BT384" s="15"/>
      <c r="BU384" s="410"/>
      <c r="BV384" s="15"/>
      <c r="BW384" s="15"/>
      <c r="BX384" s="15"/>
      <c r="BY384" s="15"/>
      <c r="BZ384" s="24"/>
      <c r="CA384" s="15"/>
      <c r="CB384" s="15"/>
      <c r="CC384" s="15"/>
      <c r="CD384" s="15"/>
      <c r="CE384" s="24"/>
      <c r="CF384" s="15"/>
      <c r="CG384" s="15"/>
      <c r="CH384" s="15"/>
      <c r="CI384" s="15"/>
      <c r="CJ384" s="24"/>
      <c r="CK384" s="15"/>
      <c r="CL384" s="15"/>
      <c r="CM384" s="15"/>
      <c r="CN384" s="40"/>
      <c r="CO384" s="24"/>
      <c r="CP384" s="520"/>
      <c r="CQ384" s="520"/>
      <c r="CR384" s="520"/>
      <c r="CS384" s="520"/>
      <c r="CT384" s="363"/>
      <c r="CU384" s="520"/>
      <c r="CV384" s="513"/>
      <c r="CW384" s="513"/>
      <c r="CX384" s="513"/>
      <c r="CY384" s="363"/>
      <c r="CZ384" s="513"/>
      <c r="DA384" s="513"/>
      <c r="DB384" s="513"/>
      <c r="DC384" s="513"/>
      <c r="DD384" s="363"/>
      <c r="DE384" s="513"/>
      <c r="DF384" s="513"/>
      <c r="DG384" s="513"/>
      <c r="DH384" s="513"/>
      <c r="DI384" s="363"/>
      <c r="DJ384" s="327"/>
      <c r="DK384" s="327"/>
      <c r="DL384" s="327"/>
      <c r="DM384" s="327"/>
      <c r="DN384" s="363"/>
      <c r="DO384" s="327"/>
      <c r="DP384" s="327"/>
      <c r="DQ384" s="327"/>
      <c r="DR384" s="327"/>
      <c r="DS384" s="363"/>
      <c r="DT384" s="327"/>
      <c r="DU384" s="327"/>
      <c r="DV384" s="327"/>
      <c r="DW384" s="327"/>
      <c r="DX384" s="363"/>
      <c r="DY384" s="327"/>
      <c r="DZ384" s="327"/>
      <c r="EA384" s="327"/>
      <c r="EB384" s="327"/>
      <c r="EC384" s="37"/>
      <c r="ED384" s="327"/>
      <c r="EE384" s="327"/>
      <c r="EF384" s="327"/>
      <c r="EG384" s="327"/>
      <c r="EH384" s="37"/>
      <c r="EI384" s="314"/>
      <c r="EJ384" s="315"/>
      <c r="EK384" s="315"/>
      <c r="EL384" s="315"/>
      <c r="EM384" s="37"/>
      <c r="EN384" s="315"/>
      <c r="EO384" s="315"/>
      <c r="EP384" s="315"/>
      <c r="EQ384" s="315"/>
      <c r="ER384" s="37"/>
      <c r="ES384" s="315"/>
      <c r="ET384" s="315"/>
      <c r="EU384" s="315"/>
      <c r="EV384" s="315"/>
      <c r="EW384" s="37"/>
      <c r="EX384" s="315"/>
      <c r="EY384" s="315"/>
      <c r="EZ384" s="315"/>
      <c r="FA384" s="315"/>
      <c r="FB384" s="37"/>
      <c r="FC384" s="315"/>
      <c r="FD384" s="315"/>
      <c r="FE384" s="315"/>
      <c r="FF384" s="315"/>
      <c r="FG384" s="37"/>
      <c r="FH384" s="35"/>
      <c r="FI384" s="15"/>
      <c r="FJ384" s="15"/>
      <c r="FK384" s="410"/>
      <c r="FL384" s="15"/>
    </row>
    <row r="385" ht="12.75" hidden="1" customHeight="1" outlineLevel="2">
      <c r="A385" s="514"/>
      <c r="B385" s="72" t="s">
        <v>242</v>
      </c>
      <c r="C385" s="45"/>
      <c r="D385" s="15"/>
      <c r="E385" s="15"/>
      <c r="F385" s="15"/>
      <c r="G385" s="15"/>
      <c r="H385" s="410"/>
      <c r="I385" s="15"/>
      <c r="J385" s="15"/>
      <c r="K385" s="15"/>
      <c r="L385" s="15"/>
      <c r="M385" s="410"/>
      <c r="N385" s="15"/>
      <c r="O385" s="15"/>
      <c r="P385" s="15"/>
      <c r="Q385" s="15"/>
      <c r="R385" s="410"/>
      <c r="S385" s="15"/>
      <c r="T385" s="15"/>
      <c r="U385" s="15"/>
      <c r="V385" s="15"/>
      <c r="W385" s="410"/>
      <c r="X385" s="15"/>
      <c r="Y385" s="15"/>
      <c r="Z385" s="15"/>
      <c r="AA385" s="15"/>
      <c r="AB385" s="410"/>
      <c r="AC385" s="15"/>
      <c r="AD385" s="15"/>
      <c r="AE385" s="15"/>
      <c r="AF385" s="15"/>
      <c r="AG385" s="410"/>
      <c r="AH385" s="15"/>
      <c r="AI385" s="15"/>
      <c r="AJ385" s="15"/>
      <c r="AK385" s="15"/>
      <c r="AL385" s="410"/>
      <c r="AM385" s="15"/>
      <c r="AN385" s="15"/>
      <c r="AO385" s="15"/>
      <c r="AP385" s="15"/>
      <c r="AQ385" s="410"/>
      <c r="AR385" s="15"/>
      <c r="AS385" s="15"/>
      <c r="AT385" s="15"/>
      <c r="AU385" s="15"/>
      <c r="AV385" s="410"/>
      <c r="AW385" s="15"/>
      <c r="AX385" s="15"/>
      <c r="AY385" s="15"/>
      <c r="AZ385" s="15"/>
      <c r="BA385" s="410"/>
      <c r="BB385" s="15"/>
      <c r="BC385" s="15"/>
      <c r="BD385" s="15"/>
      <c r="BE385" s="15"/>
      <c r="BF385" s="410"/>
      <c r="BG385" s="15"/>
      <c r="BH385" s="15"/>
      <c r="BI385" s="15"/>
      <c r="BJ385" s="15"/>
      <c r="BK385" s="410"/>
      <c r="BL385" s="15"/>
      <c r="BM385" s="15"/>
      <c r="BN385" s="15"/>
      <c r="BO385" s="15"/>
      <c r="BP385" s="410"/>
      <c r="BQ385" s="15"/>
      <c r="BR385" s="15"/>
      <c r="BS385" s="15"/>
      <c r="BT385" s="15"/>
      <c r="BU385" s="410"/>
      <c r="BV385" s="15"/>
      <c r="BW385" s="15"/>
      <c r="BX385" s="15"/>
      <c r="BY385" s="15"/>
      <c r="BZ385" s="24"/>
      <c r="CA385" s="15"/>
      <c r="CB385" s="15"/>
      <c r="CC385" s="15"/>
      <c r="CD385" s="15"/>
      <c r="CE385" s="24"/>
      <c r="CF385" s="15"/>
      <c r="CG385" s="15"/>
      <c r="CH385" s="15"/>
      <c r="CI385" s="15"/>
      <c r="CJ385" s="24"/>
      <c r="CK385" s="15"/>
      <c r="CL385" s="15"/>
      <c r="CM385" s="15"/>
      <c r="CN385" s="40"/>
      <c r="CO385" s="24"/>
      <c r="CP385" s="520"/>
      <c r="CQ385" s="520"/>
      <c r="CR385" s="520"/>
      <c r="CS385" s="520"/>
      <c r="CT385" s="363"/>
      <c r="CU385" s="520"/>
      <c r="CV385" s="513"/>
      <c r="CW385" s="513"/>
      <c r="CX385" s="513"/>
      <c r="CY385" s="363"/>
      <c r="CZ385" s="513"/>
      <c r="DA385" s="513"/>
      <c r="DB385" s="513"/>
      <c r="DC385" s="513"/>
      <c r="DD385" s="363"/>
      <c r="DE385" s="513"/>
      <c r="DF385" s="513"/>
      <c r="DG385" s="513"/>
      <c r="DH385" s="513"/>
      <c r="DI385" s="363"/>
      <c r="DJ385" s="327"/>
      <c r="DK385" s="327"/>
      <c r="DL385" s="327"/>
      <c r="DM385" s="327"/>
      <c r="DN385" s="363"/>
      <c r="DO385" s="327"/>
      <c r="DP385" s="327"/>
      <c r="DQ385" s="327"/>
      <c r="DR385" s="327"/>
      <c r="DS385" s="363"/>
      <c r="DT385" s="36">
        <f t="shared" ref="DT385:DU385" si="2246">DT375-DT413</f>
        <v>306</v>
      </c>
      <c r="DU385" s="36">
        <f t="shared" si="2246"/>
        <v>189.68</v>
      </c>
      <c r="DV385" s="327"/>
      <c r="DW385" s="327"/>
      <c r="DX385" s="363"/>
      <c r="DY385" s="327"/>
      <c r="DZ385" s="327"/>
      <c r="EA385" s="327"/>
      <c r="EB385" s="327"/>
      <c r="EC385" s="37"/>
      <c r="ED385" s="327"/>
      <c r="EE385" s="327"/>
      <c r="EF385" s="327"/>
      <c r="EG385" s="327"/>
      <c r="EH385" s="37"/>
      <c r="EI385" s="314"/>
      <c r="EJ385" s="315"/>
      <c r="EK385" s="315"/>
      <c r="EL385" s="315"/>
      <c r="EM385" s="37"/>
      <c r="EN385" s="315"/>
      <c r="EO385" s="315"/>
      <c r="EP385" s="315"/>
      <c r="EQ385" s="315"/>
      <c r="ER385" s="37"/>
      <c r="ES385" s="315"/>
      <c r="ET385" s="315"/>
      <c r="EU385" s="315"/>
      <c r="EV385" s="315"/>
      <c r="EW385" s="37"/>
      <c r="EX385" s="315"/>
      <c r="EY385" s="315"/>
      <c r="EZ385" s="315"/>
      <c r="FA385" s="315"/>
      <c r="FB385" s="37"/>
      <c r="FC385" s="315"/>
      <c r="FD385" s="315"/>
      <c r="FE385" s="315"/>
      <c r="FF385" s="315"/>
      <c r="FG385" s="37"/>
      <c r="FH385" s="35"/>
      <c r="FI385" s="15"/>
      <c r="FJ385" s="15"/>
      <c r="FK385" s="410"/>
      <c r="FL385" s="15"/>
    </row>
    <row r="386" ht="12.75" hidden="1" customHeight="1" outlineLevel="2">
      <c r="A386" s="514"/>
      <c r="B386" s="72" t="s">
        <v>243</v>
      </c>
      <c r="C386" s="45"/>
      <c r="D386" s="15"/>
      <c r="E386" s="15"/>
      <c r="F386" s="15"/>
      <c r="G386" s="15"/>
      <c r="H386" s="410"/>
      <c r="I386" s="15"/>
      <c r="J386" s="15"/>
      <c r="K386" s="15"/>
      <c r="L386" s="15"/>
      <c r="M386" s="410"/>
      <c r="N386" s="15"/>
      <c r="O386" s="15"/>
      <c r="P386" s="15"/>
      <c r="Q386" s="15"/>
      <c r="R386" s="410"/>
      <c r="S386" s="15"/>
      <c r="T386" s="15"/>
      <c r="U386" s="15"/>
      <c r="V386" s="15"/>
      <c r="W386" s="410"/>
      <c r="X386" s="15"/>
      <c r="Y386" s="15"/>
      <c r="Z386" s="15"/>
      <c r="AA386" s="15"/>
      <c r="AB386" s="410"/>
      <c r="AC386" s="15"/>
      <c r="AD386" s="15"/>
      <c r="AE386" s="15"/>
      <c r="AF386" s="15"/>
      <c r="AG386" s="410"/>
      <c r="AH386" s="15"/>
      <c r="AI386" s="15"/>
      <c r="AJ386" s="15"/>
      <c r="AK386" s="15"/>
      <c r="AL386" s="410"/>
      <c r="AM386" s="15"/>
      <c r="AN386" s="15"/>
      <c r="AO386" s="15"/>
      <c r="AP386" s="15"/>
      <c r="AQ386" s="410"/>
      <c r="AR386" s="15"/>
      <c r="AS386" s="15"/>
      <c r="AT386" s="15"/>
      <c r="AU386" s="15"/>
      <c r="AV386" s="410"/>
      <c r="AW386" s="15"/>
      <c r="AX386" s="15"/>
      <c r="AY386" s="15"/>
      <c r="AZ386" s="15"/>
      <c r="BA386" s="410"/>
      <c r="BB386" s="15"/>
      <c r="BC386" s="15"/>
      <c r="BD386" s="15"/>
      <c r="BE386" s="15"/>
      <c r="BF386" s="410"/>
      <c r="BG386" s="15"/>
      <c r="BH386" s="15"/>
      <c r="BI386" s="15"/>
      <c r="BJ386" s="15"/>
      <c r="BK386" s="410"/>
      <c r="BL386" s="15"/>
      <c r="BM386" s="15"/>
      <c r="BN386" s="15"/>
      <c r="BO386" s="15"/>
      <c r="BP386" s="410"/>
      <c r="BQ386" s="15"/>
      <c r="BR386" s="15"/>
      <c r="BS386" s="15"/>
      <c r="BT386" s="15"/>
      <c r="BU386" s="410"/>
      <c r="BV386" s="15"/>
      <c r="BW386" s="15"/>
      <c r="BX386" s="15"/>
      <c r="BY386" s="15"/>
      <c r="BZ386" s="24"/>
      <c r="CA386" s="15"/>
      <c r="CB386" s="15"/>
      <c r="CC386" s="15"/>
      <c r="CD386" s="15"/>
      <c r="CE386" s="24"/>
      <c r="CF386" s="15"/>
      <c r="CG386" s="15"/>
      <c r="CH386" s="15"/>
      <c r="CI386" s="15"/>
      <c r="CJ386" s="24"/>
      <c r="CK386" s="15"/>
      <c r="CL386" s="15"/>
      <c r="CM386" s="15"/>
      <c r="CN386" s="40"/>
      <c r="CO386" s="24"/>
      <c r="CP386" s="520"/>
      <c r="CQ386" s="520"/>
      <c r="CR386" s="520"/>
      <c r="CS386" s="520"/>
      <c r="CT386" s="363"/>
      <c r="CU386" s="520"/>
      <c r="CV386" s="513"/>
      <c r="CW386" s="513"/>
      <c r="CX386" s="513"/>
      <c r="CY386" s="363"/>
      <c r="CZ386" s="513"/>
      <c r="DA386" s="513"/>
      <c r="DB386" s="513"/>
      <c r="DC386" s="513"/>
      <c r="DD386" s="363"/>
      <c r="DE386" s="513"/>
      <c r="DF386" s="513"/>
      <c r="DG386" s="513"/>
      <c r="DH386" s="513"/>
      <c r="DI386" s="363"/>
      <c r="DJ386" s="327"/>
      <c r="DK386" s="327"/>
      <c r="DL386" s="327"/>
      <c r="DM386" s="327"/>
      <c r="DN386" s="363"/>
      <c r="DO386" s="327"/>
      <c r="DP386" s="327"/>
      <c r="DQ386" s="327"/>
      <c r="DR386" s="327"/>
      <c r="DS386" s="363"/>
      <c r="DT386" s="36">
        <f t="shared" ref="DT386:DU386" si="2247">DT380-DT385</f>
        <v>-168</v>
      </c>
      <c r="DU386" s="36">
        <f t="shared" si="2247"/>
        <v>-129.68</v>
      </c>
      <c r="DV386" s="327"/>
      <c r="DW386" s="327"/>
      <c r="DX386" s="363"/>
      <c r="DY386" s="327"/>
      <c r="DZ386" s="327"/>
      <c r="EA386" s="327"/>
      <c r="EB386" s="327"/>
      <c r="EC386" s="37"/>
      <c r="ED386" s="327"/>
      <c r="EE386" s="327"/>
      <c r="EF386" s="327"/>
      <c r="EG386" s="327"/>
      <c r="EH386" s="37"/>
      <c r="EI386" s="314"/>
      <c r="EJ386" s="315"/>
      <c r="EK386" s="315"/>
      <c r="EL386" s="315"/>
      <c r="EM386" s="37"/>
      <c r="EN386" s="315"/>
      <c r="EO386" s="315"/>
      <c r="EP386" s="315"/>
      <c r="EQ386" s="315"/>
      <c r="ER386" s="37"/>
      <c r="ES386" s="315"/>
      <c r="ET386" s="315"/>
      <c r="EU386" s="315"/>
      <c r="EV386" s="315"/>
      <c r="EW386" s="37"/>
      <c r="EX386" s="315"/>
      <c r="EY386" s="315"/>
      <c r="EZ386" s="315"/>
      <c r="FA386" s="315"/>
      <c r="FB386" s="37"/>
      <c r="FC386" s="315"/>
      <c r="FD386" s="315"/>
      <c r="FE386" s="315"/>
      <c r="FF386" s="315"/>
      <c r="FG386" s="37"/>
      <c r="FH386" s="35"/>
      <c r="FI386" s="15"/>
      <c r="FJ386" s="15"/>
      <c r="FK386" s="410"/>
      <c r="FL386" s="15"/>
    </row>
    <row r="387" ht="12.75" hidden="1" customHeight="1" outlineLevel="2">
      <c r="A387" s="514"/>
      <c r="B387" s="72"/>
      <c r="C387" s="45"/>
      <c r="D387" s="15"/>
      <c r="E387" s="15"/>
      <c r="F387" s="15"/>
      <c r="G387" s="15"/>
      <c r="H387" s="410"/>
      <c r="I387" s="15"/>
      <c r="J387" s="15"/>
      <c r="K387" s="15"/>
      <c r="L387" s="15"/>
      <c r="M387" s="410"/>
      <c r="N387" s="15"/>
      <c r="O387" s="15"/>
      <c r="P387" s="15"/>
      <c r="Q387" s="15"/>
      <c r="R387" s="410"/>
      <c r="S387" s="15"/>
      <c r="T387" s="15"/>
      <c r="U387" s="15"/>
      <c r="V387" s="15"/>
      <c r="W387" s="410"/>
      <c r="X387" s="15"/>
      <c r="Y387" s="15"/>
      <c r="Z387" s="15"/>
      <c r="AA387" s="15"/>
      <c r="AB387" s="410"/>
      <c r="AC387" s="15"/>
      <c r="AD387" s="15"/>
      <c r="AE387" s="15"/>
      <c r="AF387" s="15"/>
      <c r="AG387" s="410"/>
      <c r="AH387" s="15"/>
      <c r="AI387" s="15"/>
      <c r="AJ387" s="15"/>
      <c r="AK387" s="15"/>
      <c r="AL387" s="410"/>
      <c r="AM387" s="15"/>
      <c r="AN387" s="15"/>
      <c r="AO387" s="15"/>
      <c r="AP387" s="15"/>
      <c r="AQ387" s="410"/>
      <c r="AR387" s="15"/>
      <c r="AS387" s="15"/>
      <c r="AT387" s="15"/>
      <c r="AU387" s="15"/>
      <c r="AV387" s="410"/>
      <c r="AW387" s="15"/>
      <c r="AX387" s="15"/>
      <c r="AY387" s="15"/>
      <c r="AZ387" s="15"/>
      <c r="BA387" s="410"/>
      <c r="BB387" s="15"/>
      <c r="BC387" s="15"/>
      <c r="BD387" s="15"/>
      <c r="BE387" s="15"/>
      <c r="BF387" s="410"/>
      <c r="BG387" s="15"/>
      <c r="BH387" s="15"/>
      <c r="BI387" s="15"/>
      <c r="BJ387" s="15"/>
      <c r="BK387" s="410"/>
      <c r="BL387" s="15"/>
      <c r="BM387" s="15"/>
      <c r="BN387" s="15"/>
      <c r="BO387" s="15"/>
      <c r="BP387" s="410"/>
      <c r="BQ387" s="15"/>
      <c r="BR387" s="15"/>
      <c r="BS387" s="15"/>
      <c r="BT387" s="15"/>
      <c r="BU387" s="410"/>
      <c r="BV387" s="15"/>
      <c r="BW387" s="15"/>
      <c r="BX387" s="15"/>
      <c r="BY387" s="15"/>
      <c r="BZ387" s="24"/>
      <c r="CA387" s="15"/>
      <c r="CB387" s="15"/>
      <c r="CC387" s="15"/>
      <c r="CD387" s="15"/>
      <c r="CE387" s="24"/>
      <c r="CF387" s="15"/>
      <c r="CG387" s="15"/>
      <c r="CH387" s="15"/>
      <c r="CI387" s="15"/>
      <c r="CJ387" s="24"/>
      <c r="CK387" s="15"/>
      <c r="CL387" s="15"/>
      <c r="CM387" s="15"/>
      <c r="CN387" s="40"/>
      <c r="CO387" s="24"/>
      <c r="CP387" s="520"/>
      <c r="CQ387" s="520"/>
      <c r="CR387" s="520"/>
      <c r="CS387" s="520"/>
      <c r="CT387" s="363"/>
      <c r="CU387" s="520"/>
      <c r="CV387" s="513"/>
      <c r="CW387" s="513"/>
      <c r="CX387" s="513"/>
      <c r="CY387" s="363"/>
      <c r="CZ387" s="513"/>
      <c r="DA387" s="513"/>
      <c r="DB387" s="513"/>
      <c r="DC387" s="513"/>
      <c r="DD387" s="363"/>
      <c r="DE387" s="513"/>
      <c r="DF387" s="513"/>
      <c r="DG387" s="513"/>
      <c r="DH387" s="513"/>
      <c r="DI387" s="363"/>
      <c r="DJ387" s="327"/>
      <c r="DK387" s="327"/>
      <c r="DL387" s="327"/>
      <c r="DM387" s="327"/>
      <c r="DN387" s="363"/>
      <c r="DO387" s="327"/>
      <c r="DP387" s="327"/>
      <c r="DQ387" s="327"/>
      <c r="DR387" s="327"/>
      <c r="DS387" s="363"/>
      <c r="DT387" s="327"/>
      <c r="DU387" s="327"/>
      <c r="DV387" s="327"/>
      <c r="DW387" s="327"/>
      <c r="DX387" s="363"/>
      <c r="DY387" s="327"/>
      <c r="DZ387" s="327"/>
      <c r="EA387" s="327"/>
      <c r="EB387" s="327"/>
      <c r="EC387" s="37"/>
      <c r="ED387" s="327"/>
      <c r="EE387" s="327"/>
      <c r="EF387" s="327"/>
      <c r="EG387" s="327"/>
      <c r="EH387" s="37"/>
      <c r="EI387" s="314"/>
      <c r="EJ387" s="315"/>
      <c r="EK387" s="315"/>
      <c r="EL387" s="315"/>
      <c r="EM387" s="37"/>
      <c r="EN387" s="315"/>
      <c r="EO387" s="315"/>
      <c r="EP387" s="315"/>
      <c r="EQ387" s="315"/>
      <c r="ER387" s="37"/>
      <c r="ES387" s="315"/>
      <c r="ET387" s="315"/>
      <c r="EU387" s="315"/>
      <c r="EV387" s="315"/>
      <c r="EW387" s="37"/>
      <c r="EX387" s="315"/>
      <c r="EY387" s="315"/>
      <c r="EZ387" s="315"/>
      <c r="FA387" s="315"/>
      <c r="FB387" s="37"/>
      <c r="FC387" s="315"/>
      <c r="FD387" s="315"/>
      <c r="FE387" s="315"/>
      <c r="FF387" s="315"/>
      <c r="FG387" s="37"/>
      <c r="FH387" s="35"/>
      <c r="FI387" s="15"/>
      <c r="FJ387" s="15"/>
      <c r="FK387" s="410"/>
      <c r="FL387" s="15"/>
    </row>
    <row r="388" ht="12.75" hidden="1" customHeight="1" outlineLevel="2">
      <c r="A388" s="514"/>
      <c r="B388" s="72"/>
      <c r="C388" s="45"/>
      <c r="D388" s="15"/>
      <c r="E388" s="15"/>
      <c r="F388" s="15"/>
      <c r="G388" s="15"/>
      <c r="H388" s="410"/>
      <c r="I388" s="15"/>
      <c r="J388" s="15"/>
      <c r="K388" s="15"/>
      <c r="L388" s="15"/>
      <c r="M388" s="410"/>
      <c r="N388" s="15"/>
      <c r="O388" s="15"/>
      <c r="P388" s="15"/>
      <c r="Q388" s="15"/>
      <c r="R388" s="410"/>
      <c r="S388" s="15"/>
      <c r="T388" s="15"/>
      <c r="U388" s="15"/>
      <c r="V388" s="15"/>
      <c r="W388" s="410"/>
      <c r="X388" s="15"/>
      <c r="Y388" s="15"/>
      <c r="Z388" s="15"/>
      <c r="AA388" s="15"/>
      <c r="AB388" s="410"/>
      <c r="AC388" s="15"/>
      <c r="AD388" s="15"/>
      <c r="AE388" s="15"/>
      <c r="AF388" s="15"/>
      <c r="AG388" s="410"/>
      <c r="AH388" s="15"/>
      <c r="AI388" s="15"/>
      <c r="AJ388" s="15"/>
      <c r="AK388" s="15"/>
      <c r="AL388" s="410"/>
      <c r="AM388" s="15"/>
      <c r="AN388" s="15"/>
      <c r="AO388" s="15"/>
      <c r="AP388" s="15"/>
      <c r="AQ388" s="410"/>
      <c r="AR388" s="15"/>
      <c r="AS388" s="15"/>
      <c r="AT388" s="15"/>
      <c r="AU388" s="15"/>
      <c r="AV388" s="410"/>
      <c r="AW388" s="15"/>
      <c r="AX388" s="15"/>
      <c r="AY388" s="15"/>
      <c r="AZ388" s="15"/>
      <c r="BA388" s="410"/>
      <c r="BB388" s="15"/>
      <c r="BC388" s="15"/>
      <c r="BD388" s="15"/>
      <c r="BE388" s="15"/>
      <c r="BF388" s="410"/>
      <c r="BG388" s="15"/>
      <c r="BH388" s="15"/>
      <c r="BI388" s="15"/>
      <c r="BJ388" s="15"/>
      <c r="BK388" s="410"/>
      <c r="BL388" s="15"/>
      <c r="BM388" s="15"/>
      <c r="BN388" s="15"/>
      <c r="BO388" s="15"/>
      <c r="BP388" s="410"/>
      <c r="BQ388" s="15"/>
      <c r="BR388" s="15"/>
      <c r="BS388" s="15"/>
      <c r="BT388" s="15"/>
      <c r="BU388" s="410"/>
      <c r="BV388" s="15"/>
      <c r="BW388" s="15"/>
      <c r="BX388" s="15"/>
      <c r="BY388" s="15"/>
      <c r="BZ388" s="24"/>
      <c r="CA388" s="15"/>
      <c r="CB388" s="15"/>
      <c r="CC388" s="15"/>
      <c r="CD388" s="15"/>
      <c r="CE388" s="24"/>
      <c r="CF388" s="15"/>
      <c r="CG388" s="15"/>
      <c r="CH388" s="15"/>
      <c r="CI388" s="15"/>
      <c r="CJ388" s="24"/>
      <c r="CK388" s="15"/>
      <c r="CL388" s="15"/>
      <c r="CM388" s="15"/>
      <c r="CN388" s="40"/>
      <c r="CO388" s="24"/>
      <c r="CP388" s="520"/>
      <c r="CQ388" s="520"/>
      <c r="CR388" s="520"/>
      <c r="CS388" s="520"/>
      <c r="CT388" s="363"/>
      <c r="CU388" s="520"/>
      <c r="CV388" s="513"/>
      <c r="CW388" s="513"/>
      <c r="CX388" s="513"/>
      <c r="CY388" s="363"/>
      <c r="CZ388" s="513"/>
      <c r="DA388" s="513"/>
      <c r="DB388" s="513"/>
      <c r="DC388" s="513"/>
      <c r="DD388" s="363"/>
      <c r="DE388" s="513"/>
      <c r="DF388" s="513"/>
      <c r="DG388" s="513"/>
      <c r="DH388" s="513"/>
      <c r="DI388" s="363"/>
      <c r="DJ388" s="327"/>
      <c r="DK388" s="327"/>
      <c r="DL388" s="327"/>
      <c r="DM388" s="327"/>
      <c r="DN388" s="363"/>
      <c r="DO388" s="327"/>
      <c r="DP388" s="327"/>
      <c r="DQ388" s="327"/>
      <c r="DR388" s="327"/>
      <c r="DS388" s="363"/>
      <c r="DT388" s="327"/>
      <c r="DU388" s="327"/>
      <c r="DV388" s="327"/>
      <c r="DW388" s="327"/>
      <c r="DX388" s="363"/>
      <c r="DY388" s="327"/>
      <c r="DZ388" s="327"/>
      <c r="EA388" s="327"/>
      <c r="EB388" s="327"/>
      <c r="EC388" s="37"/>
      <c r="ED388" s="327"/>
      <c r="EE388" s="327"/>
      <c r="EF388" s="327"/>
      <c r="EG388" s="327"/>
      <c r="EH388" s="37"/>
      <c r="EI388" s="314"/>
      <c r="EJ388" s="315"/>
      <c r="EK388" s="315"/>
      <c r="EL388" s="315"/>
      <c r="EM388" s="37"/>
      <c r="EN388" s="315"/>
      <c r="EO388" s="315"/>
      <c r="EP388" s="315"/>
      <c r="EQ388" s="315"/>
      <c r="ER388" s="37"/>
      <c r="ES388" s="315"/>
      <c r="ET388" s="315"/>
      <c r="EU388" s="315"/>
      <c r="EV388" s="315"/>
      <c r="EW388" s="37"/>
      <c r="EX388" s="315"/>
      <c r="EY388" s="315"/>
      <c r="EZ388" s="315"/>
      <c r="FA388" s="315"/>
      <c r="FB388" s="37"/>
      <c r="FC388" s="315"/>
      <c r="FD388" s="315"/>
      <c r="FE388" s="315"/>
      <c r="FF388" s="315"/>
      <c r="FG388" s="37"/>
      <c r="FH388" s="35"/>
      <c r="FI388" s="15"/>
      <c r="FJ388" s="15"/>
      <c r="FK388" s="410"/>
      <c r="FL388" s="15"/>
    </row>
    <row r="389" ht="12.75" hidden="1" customHeight="1" outlineLevel="2">
      <c r="A389" s="514"/>
      <c r="B389" s="72"/>
      <c r="C389" s="45"/>
      <c r="D389" s="15"/>
      <c r="E389" s="15"/>
      <c r="F389" s="15"/>
      <c r="G389" s="15"/>
      <c r="H389" s="410"/>
      <c r="I389" s="15"/>
      <c r="J389" s="15"/>
      <c r="K389" s="15"/>
      <c r="L389" s="15"/>
      <c r="M389" s="410"/>
      <c r="N389" s="15"/>
      <c r="O389" s="15"/>
      <c r="P389" s="15"/>
      <c r="Q389" s="15"/>
      <c r="R389" s="410"/>
      <c r="S389" s="15"/>
      <c r="T389" s="15"/>
      <c r="U389" s="15"/>
      <c r="V389" s="15"/>
      <c r="W389" s="410"/>
      <c r="X389" s="15"/>
      <c r="Y389" s="15"/>
      <c r="Z389" s="15"/>
      <c r="AA389" s="15"/>
      <c r="AB389" s="410"/>
      <c r="AC389" s="15"/>
      <c r="AD389" s="15"/>
      <c r="AE389" s="15"/>
      <c r="AF389" s="15"/>
      <c r="AG389" s="410"/>
      <c r="AH389" s="15"/>
      <c r="AI389" s="15"/>
      <c r="AJ389" s="15"/>
      <c r="AK389" s="15"/>
      <c r="AL389" s="410"/>
      <c r="AM389" s="15"/>
      <c r="AN389" s="15"/>
      <c r="AO389" s="15"/>
      <c r="AP389" s="15"/>
      <c r="AQ389" s="410"/>
      <c r="AR389" s="15"/>
      <c r="AS389" s="15"/>
      <c r="AT389" s="15"/>
      <c r="AU389" s="15"/>
      <c r="AV389" s="410"/>
      <c r="AW389" s="15"/>
      <c r="AX389" s="15"/>
      <c r="AY389" s="15"/>
      <c r="AZ389" s="15"/>
      <c r="BA389" s="410"/>
      <c r="BB389" s="15"/>
      <c r="BC389" s="15"/>
      <c r="BD389" s="15"/>
      <c r="BE389" s="15"/>
      <c r="BF389" s="410"/>
      <c r="BG389" s="15"/>
      <c r="BH389" s="15"/>
      <c r="BI389" s="15"/>
      <c r="BJ389" s="15"/>
      <c r="BK389" s="410"/>
      <c r="BL389" s="15"/>
      <c r="BM389" s="15"/>
      <c r="BN389" s="15"/>
      <c r="BO389" s="15"/>
      <c r="BP389" s="410"/>
      <c r="BQ389" s="15"/>
      <c r="BR389" s="15"/>
      <c r="BS389" s="15"/>
      <c r="BT389" s="15"/>
      <c r="BU389" s="410"/>
      <c r="BV389" s="15"/>
      <c r="BW389" s="15"/>
      <c r="BX389" s="15"/>
      <c r="BY389" s="15"/>
      <c r="BZ389" s="24"/>
      <c r="CA389" s="15"/>
      <c r="CB389" s="15"/>
      <c r="CC389" s="15"/>
      <c r="CD389" s="15"/>
      <c r="CE389" s="24"/>
      <c r="CF389" s="15"/>
      <c r="CG389" s="15"/>
      <c r="CH389" s="15"/>
      <c r="CI389" s="15"/>
      <c r="CJ389" s="24"/>
      <c r="CK389" s="15"/>
      <c r="CL389" s="15"/>
      <c r="CM389" s="15"/>
      <c r="CN389" s="40"/>
      <c r="CO389" s="24"/>
      <c r="CP389" s="520"/>
      <c r="CQ389" s="520"/>
      <c r="CR389" s="520"/>
      <c r="CS389" s="520"/>
      <c r="CT389" s="363"/>
      <c r="CU389" s="520"/>
      <c r="CV389" s="513"/>
      <c r="CW389" s="513"/>
      <c r="CX389" s="513"/>
      <c r="CY389" s="363"/>
      <c r="CZ389" s="513"/>
      <c r="DA389" s="513"/>
      <c r="DB389" s="513"/>
      <c r="DC389" s="513"/>
      <c r="DD389" s="363"/>
      <c r="DE389" s="513"/>
      <c r="DF389" s="513"/>
      <c r="DG389" s="513"/>
      <c r="DH389" s="513"/>
      <c r="DI389" s="363"/>
      <c r="DJ389" s="327"/>
      <c r="DK389" s="327"/>
      <c r="DL389" s="327"/>
      <c r="DM389" s="327"/>
      <c r="DN389" s="363"/>
      <c r="DO389" s="327"/>
      <c r="DP389" s="327"/>
      <c r="DQ389" s="327"/>
      <c r="DR389" s="327"/>
      <c r="DS389" s="363"/>
      <c r="DT389" s="327"/>
      <c r="DU389" s="327"/>
      <c r="DV389" s="327"/>
      <c r="DW389" s="327"/>
      <c r="DX389" s="363"/>
      <c r="DY389" s="327"/>
      <c r="DZ389" s="327"/>
      <c r="EA389" s="327"/>
      <c r="EB389" s="327"/>
      <c r="EC389" s="37"/>
      <c r="ED389" s="327"/>
      <c r="EE389" s="327"/>
      <c r="EF389" s="327"/>
      <c r="EG389" s="327"/>
      <c r="EH389" s="37"/>
      <c r="EI389" s="314"/>
      <c r="EJ389" s="315"/>
      <c r="EK389" s="315"/>
      <c r="EL389" s="315"/>
      <c r="EM389" s="37"/>
      <c r="EN389" s="315"/>
      <c r="EO389" s="315"/>
      <c r="EP389" s="315"/>
      <c r="EQ389" s="315"/>
      <c r="ER389" s="37"/>
      <c r="ES389" s="315"/>
      <c r="ET389" s="315"/>
      <c r="EU389" s="315"/>
      <c r="EV389" s="315"/>
      <c r="EW389" s="37"/>
      <c r="EX389" s="315"/>
      <c r="EY389" s="315"/>
      <c r="EZ389" s="315"/>
      <c r="FA389" s="315"/>
      <c r="FB389" s="37"/>
      <c r="FC389" s="315"/>
      <c r="FD389" s="315"/>
      <c r="FE389" s="315"/>
      <c r="FF389" s="315"/>
      <c r="FG389" s="37"/>
      <c r="FH389" s="35"/>
      <c r="FI389" s="15"/>
      <c r="FJ389" s="15"/>
      <c r="FK389" s="410"/>
      <c r="FL389" s="15"/>
    </row>
    <row r="390" ht="12.75" hidden="1" customHeight="1" outlineLevel="2">
      <c r="A390" s="514"/>
      <c r="B390" s="72"/>
      <c r="C390" s="45"/>
      <c r="D390" s="15"/>
      <c r="E390" s="15"/>
      <c r="F390" s="15"/>
      <c r="G390" s="15"/>
      <c r="H390" s="410"/>
      <c r="I390" s="15"/>
      <c r="J390" s="15"/>
      <c r="K390" s="15"/>
      <c r="L390" s="15"/>
      <c r="M390" s="410"/>
      <c r="N390" s="15"/>
      <c r="O390" s="15"/>
      <c r="P390" s="15"/>
      <c r="Q390" s="15"/>
      <c r="R390" s="410"/>
      <c r="S390" s="15"/>
      <c r="T390" s="15"/>
      <c r="U390" s="15"/>
      <c r="V390" s="15"/>
      <c r="W390" s="410"/>
      <c r="X390" s="15"/>
      <c r="Y390" s="15"/>
      <c r="Z390" s="15"/>
      <c r="AA390" s="15"/>
      <c r="AB390" s="410"/>
      <c r="AC390" s="15"/>
      <c r="AD390" s="15"/>
      <c r="AE390" s="15"/>
      <c r="AF390" s="15"/>
      <c r="AG390" s="410"/>
      <c r="AH390" s="15"/>
      <c r="AI390" s="15"/>
      <c r="AJ390" s="15"/>
      <c r="AK390" s="15"/>
      <c r="AL390" s="410"/>
      <c r="AM390" s="15"/>
      <c r="AN390" s="15"/>
      <c r="AO390" s="15"/>
      <c r="AP390" s="15"/>
      <c r="AQ390" s="410"/>
      <c r="AR390" s="15"/>
      <c r="AS390" s="15"/>
      <c r="AT390" s="15"/>
      <c r="AU390" s="15"/>
      <c r="AV390" s="410"/>
      <c r="AW390" s="15"/>
      <c r="AX390" s="15"/>
      <c r="AY390" s="15"/>
      <c r="AZ390" s="15"/>
      <c r="BA390" s="410"/>
      <c r="BB390" s="15"/>
      <c r="BC390" s="15"/>
      <c r="BD390" s="15"/>
      <c r="BE390" s="15"/>
      <c r="BF390" s="410"/>
      <c r="BG390" s="15"/>
      <c r="BH390" s="15"/>
      <c r="BI390" s="15"/>
      <c r="BJ390" s="15"/>
      <c r="BK390" s="410"/>
      <c r="BL390" s="15"/>
      <c r="BM390" s="15"/>
      <c r="BN390" s="15"/>
      <c r="BO390" s="15"/>
      <c r="BP390" s="410"/>
      <c r="BQ390" s="15"/>
      <c r="BR390" s="15"/>
      <c r="BS390" s="15"/>
      <c r="BT390" s="15"/>
      <c r="BU390" s="410"/>
      <c r="BV390" s="15"/>
      <c r="BW390" s="15"/>
      <c r="BX390" s="15"/>
      <c r="BY390" s="15"/>
      <c r="BZ390" s="24"/>
      <c r="CA390" s="15"/>
      <c r="CB390" s="15"/>
      <c r="CC390" s="15"/>
      <c r="CD390" s="15"/>
      <c r="CE390" s="24"/>
      <c r="CF390" s="15"/>
      <c r="CG390" s="15"/>
      <c r="CH390" s="15"/>
      <c r="CI390" s="15"/>
      <c r="CJ390" s="24"/>
      <c r="CK390" s="15"/>
      <c r="CL390" s="15"/>
      <c r="CM390" s="15"/>
      <c r="CN390" s="40"/>
      <c r="CO390" s="24"/>
      <c r="CP390" s="520"/>
      <c r="CQ390" s="520"/>
      <c r="CR390" s="520"/>
      <c r="CS390" s="520"/>
      <c r="CT390" s="363"/>
      <c r="CU390" s="520"/>
      <c r="CV390" s="513"/>
      <c r="CW390" s="513"/>
      <c r="CX390" s="513"/>
      <c r="CY390" s="363"/>
      <c r="CZ390" s="513"/>
      <c r="DA390" s="513"/>
      <c r="DB390" s="513"/>
      <c r="DC390" s="513"/>
      <c r="DD390" s="363"/>
      <c r="DE390" s="513"/>
      <c r="DF390" s="513"/>
      <c r="DG390" s="513"/>
      <c r="DH390" s="513"/>
      <c r="DI390" s="363"/>
      <c r="DJ390" s="327"/>
      <c r="DK390" s="327"/>
      <c r="DL390" s="327"/>
      <c r="DM390" s="327"/>
      <c r="DN390" s="363"/>
      <c r="DO390" s="327"/>
      <c r="DP390" s="327"/>
      <c r="DQ390" s="327"/>
      <c r="DR390" s="327"/>
      <c r="DS390" s="363"/>
      <c r="DT390" s="327"/>
      <c r="DU390" s="327"/>
      <c r="DV390" s="327"/>
      <c r="DW390" s="327"/>
      <c r="DX390" s="363"/>
      <c r="DY390" s="327"/>
      <c r="DZ390" s="327"/>
      <c r="EA390" s="327"/>
      <c r="EB390" s="327"/>
      <c r="EC390" s="37"/>
      <c r="ED390" s="327"/>
      <c r="EE390" s="327"/>
      <c r="EF390" s="327"/>
      <c r="EG390" s="327"/>
      <c r="EH390" s="37"/>
      <c r="EI390" s="314"/>
      <c r="EJ390" s="315"/>
      <c r="EK390" s="315"/>
      <c r="EL390" s="315"/>
      <c r="EM390" s="37"/>
      <c r="EN390" s="315"/>
      <c r="EO390" s="315"/>
      <c r="EP390" s="315"/>
      <c r="EQ390" s="315"/>
      <c r="ER390" s="37"/>
      <c r="ES390" s="315"/>
      <c r="ET390" s="315"/>
      <c r="EU390" s="315"/>
      <c r="EV390" s="315"/>
      <c r="EW390" s="37"/>
      <c r="EX390" s="315"/>
      <c r="EY390" s="315"/>
      <c r="EZ390" s="315"/>
      <c r="FA390" s="315"/>
      <c r="FB390" s="37"/>
      <c r="FC390" s="315"/>
      <c r="FD390" s="315"/>
      <c r="FE390" s="315"/>
      <c r="FF390" s="315"/>
      <c r="FG390" s="37"/>
      <c r="FH390" s="35"/>
      <c r="FI390" s="15"/>
      <c r="FJ390" s="15"/>
      <c r="FK390" s="410"/>
      <c r="FL390" s="15"/>
    </row>
    <row r="391" ht="12.75" hidden="1" customHeight="1" outlineLevel="1">
      <c r="A391" s="16"/>
      <c r="B391" s="523" t="s">
        <v>244</v>
      </c>
      <c r="C391" s="145"/>
      <c r="D391" s="40"/>
      <c r="E391" s="40"/>
      <c r="F391" s="40"/>
      <c r="G391" s="40"/>
      <c r="H391" s="104"/>
      <c r="I391" s="40"/>
      <c r="J391" s="40"/>
      <c r="K391" s="40"/>
      <c r="L391" s="40"/>
      <c r="M391" s="104"/>
      <c r="N391" s="40"/>
      <c r="O391" s="40"/>
      <c r="P391" s="40"/>
      <c r="Q391" s="40"/>
      <c r="R391" s="104"/>
      <c r="S391" s="40"/>
      <c r="T391" s="40"/>
      <c r="U391" s="40"/>
      <c r="V391" s="40"/>
      <c r="W391" s="104"/>
      <c r="X391" s="40"/>
      <c r="Y391" s="40"/>
      <c r="Z391" s="40"/>
      <c r="AA391" s="40"/>
      <c r="AB391" s="104"/>
      <c r="AC391" s="40"/>
      <c r="AD391" s="40"/>
      <c r="AE391" s="40"/>
      <c r="AF391" s="40"/>
      <c r="AG391" s="104"/>
      <c r="AH391" s="40"/>
      <c r="AI391" s="40"/>
      <c r="AJ391" s="40"/>
      <c r="AK391" s="40"/>
      <c r="AL391" s="104"/>
      <c r="AM391" s="40"/>
      <c r="AN391" s="40"/>
      <c r="AO391" s="40"/>
      <c r="AP391" s="40"/>
      <c r="AQ391" s="104"/>
      <c r="AR391" s="40"/>
      <c r="AS391" s="40"/>
      <c r="AT391" s="40"/>
      <c r="AU391" s="40"/>
      <c r="AV391" s="104"/>
      <c r="AW391" s="40"/>
      <c r="AX391" s="40"/>
      <c r="AY391" s="40"/>
      <c r="AZ391" s="40"/>
      <c r="BA391" s="104"/>
      <c r="BB391" s="40"/>
      <c r="BC391" s="40"/>
      <c r="BD391" s="40"/>
      <c r="BE391" s="40"/>
      <c r="BF391" s="104"/>
      <c r="BG391" s="40"/>
      <c r="BH391" s="40"/>
      <c r="BI391" s="40"/>
      <c r="BJ391" s="40"/>
      <c r="BK391" s="104"/>
      <c r="BL391" s="40"/>
      <c r="BM391" s="40"/>
      <c r="BN391" s="40"/>
      <c r="BO391" s="40"/>
      <c r="BP391" s="104"/>
      <c r="BQ391" s="40"/>
      <c r="BR391" s="40"/>
      <c r="BS391" s="40"/>
      <c r="BT391" s="40"/>
      <c r="BU391" s="104"/>
      <c r="BV391" s="40"/>
      <c r="BW391" s="40"/>
      <c r="BX391" s="40"/>
      <c r="BY391" s="40"/>
      <c r="BZ391" s="24"/>
      <c r="CA391" s="40"/>
      <c r="CB391" s="40"/>
      <c r="CC391" s="40"/>
      <c r="CD391" s="40"/>
      <c r="CE391" s="24"/>
      <c r="CF391" s="40"/>
      <c r="CG391" s="40"/>
      <c r="CH391" s="40"/>
      <c r="CI391" s="40"/>
      <c r="CJ391" s="24"/>
      <c r="CK391" s="40"/>
      <c r="CL391" s="40"/>
      <c r="CM391" s="40"/>
      <c r="CN391" s="40"/>
      <c r="CO391" s="24"/>
      <c r="CP391" s="364"/>
      <c r="CQ391" s="364"/>
      <c r="CR391" s="364"/>
      <c r="CS391" s="364"/>
      <c r="CT391" s="363">
        <f>SUM(CP391:CS391)</f>
        <v>0</v>
      </c>
      <c r="CU391" s="364"/>
      <c r="CV391" s="364"/>
      <c r="CW391" s="364"/>
      <c r="CX391" s="364"/>
      <c r="CY391" s="363">
        <f>SUM(CU391:CX391)</f>
        <v>0</v>
      </c>
      <c r="CZ391" s="364">
        <f>359+99</f>
        <v>458</v>
      </c>
      <c r="DA391" s="524">
        <v>465.0</v>
      </c>
      <c r="DB391" s="364">
        <v>425.0</v>
      </c>
      <c r="DC391" s="364">
        <v>420.0</v>
      </c>
      <c r="DD391" s="363">
        <f>SUM(CZ391:DC391)</f>
        <v>1768</v>
      </c>
      <c r="DE391" s="364">
        <v>425.0</v>
      </c>
      <c r="DF391" s="364">
        <v>440.0</v>
      </c>
      <c r="DG391" s="364">
        <v>469.0</v>
      </c>
      <c r="DH391" s="364">
        <v>568.0</v>
      </c>
      <c r="DI391" s="363">
        <f>SUM(DE391:DH391)</f>
        <v>1902</v>
      </c>
      <c r="DJ391" s="364">
        <v>498.0</v>
      </c>
      <c r="DK391" s="364">
        <v>517.0</v>
      </c>
      <c r="DL391" s="364">
        <v>496.0</v>
      </c>
      <c r="DM391" s="364">
        <v>612.0</v>
      </c>
      <c r="DN391" s="363">
        <f>SUM(DJ391:DM391)</f>
        <v>2123</v>
      </c>
      <c r="DO391" s="364">
        <v>486.0</v>
      </c>
      <c r="DP391" s="364">
        <v>489.0</v>
      </c>
      <c r="DQ391" s="364">
        <v>507.0</v>
      </c>
      <c r="DR391" s="364">
        <v>505.0</v>
      </c>
      <c r="DS391" s="363">
        <f>SUM(DO391:DR391)</f>
        <v>1987</v>
      </c>
      <c r="DT391" s="364">
        <v>519.0</v>
      </c>
      <c r="DU391" s="364">
        <v>501.0</v>
      </c>
      <c r="DV391" s="364">
        <v>411.0</v>
      </c>
      <c r="DW391" s="364">
        <v>422.0</v>
      </c>
      <c r="DX391" s="363">
        <f>SUM(DT391:DW391)</f>
        <v>1853</v>
      </c>
      <c r="DY391" s="364">
        <v>486.0</v>
      </c>
      <c r="DZ391" s="364">
        <v>486.0</v>
      </c>
      <c r="EA391" s="364">
        <v>478.0</v>
      </c>
      <c r="EB391" s="364">
        <v>484.0</v>
      </c>
      <c r="EC391" s="363">
        <f>DX391*(1+EC392)</f>
        <v>2075.36</v>
      </c>
      <c r="ED391" s="364">
        <v>456.57920000000007</v>
      </c>
      <c r="EE391" s="364">
        <f>$EH391*0.25</f>
        <v>570.724</v>
      </c>
      <c r="EF391" s="364">
        <f>$EH391*0.28</f>
        <v>639.21088</v>
      </c>
      <c r="EG391" s="364">
        <f>$EH391*0.27</f>
        <v>616.38192</v>
      </c>
      <c r="EH391" s="363">
        <f>EC391*(1+EH392)</f>
        <v>2282.896</v>
      </c>
      <c r="EI391" s="426">
        <f>ED391*(1+EM392)</f>
        <v>502.23712</v>
      </c>
      <c r="EJ391" s="364">
        <f>EE391*(1+EM392)</f>
        <v>627.7964</v>
      </c>
      <c r="EK391" s="364">
        <f>EF391*(1+EM392)</f>
        <v>703.131968</v>
      </c>
      <c r="EL391" s="364">
        <f>EM391-SUM(EI391:EK391)</f>
        <v>678.020112</v>
      </c>
      <c r="EM391" s="363">
        <f>EH391*(1+EM392)</f>
        <v>2511.1856</v>
      </c>
      <c r="EN391" s="364">
        <f>EI391*(1+ER392)</f>
        <v>552.460832</v>
      </c>
      <c r="EO391" s="364">
        <f>EJ391*(1+ER392)</f>
        <v>690.57604</v>
      </c>
      <c r="EP391" s="364">
        <f>EK391*(1+ER392)</f>
        <v>773.4451648</v>
      </c>
      <c r="EQ391" s="364">
        <f>ER391-SUM(EN391:EP391)</f>
        <v>745.8221232</v>
      </c>
      <c r="ER391" s="363">
        <f>EM391*(1+ER392)</f>
        <v>2762.30416</v>
      </c>
      <c r="ES391" s="364">
        <f>EN391*(1+EW392)</f>
        <v>607.7069152</v>
      </c>
      <c r="ET391" s="364">
        <f>EO391*(1+EW392)</f>
        <v>759.633644</v>
      </c>
      <c r="EU391" s="364">
        <f>EP391*(1+EW392)</f>
        <v>850.7896813</v>
      </c>
      <c r="EV391" s="364">
        <f>EW391-SUM(ES391:EU391)</f>
        <v>820.4043355</v>
      </c>
      <c r="EW391" s="363">
        <f>ER391*(1+EW392)</f>
        <v>3038.534576</v>
      </c>
      <c r="EX391" s="364">
        <f>ES391*(1+FB392)</f>
        <v>668.4776067</v>
      </c>
      <c r="EY391" s="364">
        <f>ET391*(1+FB392)</f>
        <v>835.5970084</v>
      </c>
      <c r="EZ391" s="364">
        <f>EU391*(1+FB392)</f>
        <v>935.8686494</v>
      </c>
      <c r="FA391" s="364">
        <f>FB391-SUM(EX391:EZ391)</f>
        <v>902.4447691</v>
      </c>
      <c r="FB391" s="363">
        <f>EW391*(1+FB392)</f>
        <v>3342.388034</v>
      </c>
      <c r="FC391" s="364">
        <f>EX391*(1+FG392)</f>
        <v>735.3253674</v>
      </c>
      <c r="FD391" s="364">
        <f>EY391*(1+FG392)</f>
        <v>919.1567092</v>
      </c>
      <c r="FE391" s="364">
        <f>EZ391*(1+FG392)</f>
        <v>1029.455514</v>
      </c>
      <c r="FF391" s="364">
        <f>FG391-SUM(FC391:FE391)</f>
        <v>992.689246</v>
      </c>
      <c r="FG391" s="363">
        <f>FB391*(1+FG392)</f>
        <v>3676.626837</v>
      </c>
      <c r="FH391" s="364"/>
      <c r="FI391" s="40"/>
      <c r="FJ391" s="40"/>
      <c r="FK391" s="104"/>
      <c r="FL391" s="40"/>
    </row>
    <row r="392" ht="12.75" hidden="1" customHeight="1" outlineLevel="1">
      <c r="A392" s="16"/>
      <c r="B392" s="72" t="s">
        <v>146</v>
      </c>
      <c r="C392" s="145"/>
      <c r="D392" s="40"/>
      <c r="E392" s="40"/>
      <c r="F392" s="40"/>
      <c r="G392" s="40"/>
      <c r="H392" s="104"/>
      <c r="I392" s="40"/>
      <c r="J392" s="40"/>
      <c r="K392" s="40"/>
      <c r="L392" s="40"/>
      <c r="M392" s="104"/>
      <c r="N392" s="40"/>
      <c r="O392" s="40"/>
      <c r="P392" s="40"/>
      <c r="Q392" s="40"/>
      <c r="R392" s="104"/>
      <c r="S392" s="40"/>
      <c r="T392" s="40"/>
      <c r="U392" s="40"/>
      <c r="V392" s="40"/>
      <c r="W392" s="104"/>
      <c r="X392" s="40"/>
      <c r="Y392" s="40"/>
      <c r="Z392" s="40"/>
      <c r="AA392" s="40"/>
      <c r="AB392" s="104"/>
      <c r="AC392" s="40"/>
      <c r="AD392" s="40"/>
      <c r="AE392" s="40"/>
      <c r="AF392" s="40"/>
      <c r="AG392" s="104"/>
      <c r="AH392" s="40"/>
      <c r="AI392" s="40"/>
      <c r="AJ392" s="40"/>
      <c r="AK392" s="40"/>
      <c r="AL392" s="104"/>
      <c r="AM392" s="40"/>
      <c r="AN392" s="40"/>
      <c r="AO392" s="40"/>
      <c r="AP392" s="40"/>
      <c r="AQ392" s="104"/>
      <c r="AR392" s="40"/>
      <c r="AS392" s="40"/>
      <c r="AT392" s="40"/>
      <c r="AU392" s="40"/>
      <c r="AV392" s="104"/>
      <c r="AW392" s="40"/>
      <c r="AX392" s="40"/>
      <c r="AY392" s="40"/>
      <c r="AZ392" s="40"/>
      <c r="BA392" s="104"/>
      <c r="BB392" s="40"/>
      <c r="BC392" s="40"/>
      <c r="BD392" s="40"/>
      <c r="BE392" s="40"/>
      <c r="BF392" s="104"/>
      <c r="BG392" s="40"/>
      <c r="BH392" s="40"/>
      <c r="BI392" s="40"/>
      <c r="BJ392" s="40"/>
      <c r="BK392" s="104"/>
      <c r="BL392" s="40"/>
      <c r="BM392" s="40"/>
      <c r="BN392" s="40"/>
      <c r="BO392" s="40"/>
      <c r="BP392" s="104"/>
      <c r="BQ392" s="40"/>
      <c r="BR392" s="40"/>
      <c r="BS392" s="40"/>
      <c r="BT392" s="40"/>
      <c r="BU392" s="104"/>
      <c r="BV392" s="40"/>
      <c r="BW392" s="40"/>
      <c r="BX392" s="40"/>
      <c r="BY392" s="40"/>
      <c r="BZ392" s="24"/>
      <c r="CA392" s="40"/>
      <c r="CB392" s="40"/>
      <c r="CC392" s="40"/>
      <c r="CD392" s="40"/>
      <c r="CE392" s="24"/>
      <c r="CF392" s="40"/>
      <c r="CG392" s="40"/>
      <c r="CH392" s="40"/>
      <c r="CI392" s="40"/>
      <c r="CJ392" s="24"/>
      <c r="CK392" s="40"/>
      <c r="CL392" s="40"/>
      <c r="CM392" s="40"/>
      <c r="CN392" s="40"/>
      <c r="CO392" s="24"/>
      <c r="CP392" s="364"/>
      <c r="CQ392" s="364"/>
      <c r="CR392" s="364"/>
      <c r="CS392" s="364"/>
      <c r="CT392" s="363"/>
      <c r="CU392" s="364"/>
      <c r="CV392" s="364"/>
      <c r="CW392" s="364"/>
      <c r="CX392" s="364"/>
      <c r="CY392" s="363"/>
      <c r="CZ392" s="364"/>
      <c r="DA392" s="524"/>
      <c r="DB392" s="364"/>
      <c r="DC392" s="364"/>
      <c r="DD392" s="363"/>
      <c r="DE392" s="40">
        <f t="shared" ref="DE392:EB392" si="2248">(DE391-CZ391)/CZ391</f>
        <v>-0.07205240175</v>
      </c>
      <c r="DF392" s="40">
        <f t="shared" si="2248"/>
        <v>-0.05376344086</v>
      </c>
      <c r="DG392" s="40">
        <f t="shared" si="2248"/>
        <v>0.1035294118</v>
      </c>
      <c r="DH392" s="40">
        <f t="shared" si="2248"/>
        <v>0.3523809524</v>
      </c>
      <c r="DI392" s="313">
        <f t="shared" si="2248"/>
        <v>0.0757918552</v>
      </c>
      <c r="DJ392" s="40">
        <f t="shared" si="2248"/>
        <v>0.1717647059</v>
      </c>
      <c r="DK392" s="40">
        <f t="shared" si="2248"/>
        <v>0.175</v>
      </c>
      <c r="DL392" s="40">
        <f t="shared" si="2248"/>
        <v>0.05756929638</v>
      </c>
      <c r="DM392" s="40">
        <f t="shared" si="2248"/>
        <v>0.07746478873</v>
      </c>
      <c r="DN392" s="313">
        <f t="shared" si="2248"/>
        <v>0.1161934805</v>
      </c>
      <c r="DO392" s="40">
        <f t="shared" si="2248"/>
        <v>-0.02409638554</v>
      </c>
      <c r="DP392" s="40">
        <f t="shared" si="2248"/>
        <v>-0.05415860735</v>
      </c>
      <c r="DQ392" s="40">
        <f t="shared" si="2248"/>
        <v>0.02217741935</v>
      </c>
      <c r="DR392" s="40">
        <f t="shared" si="2248"/>
        <v>-0.1748366013</v>
      </c>
      <c r="DS392" s="313">
        <f t="shared" si="2248"/>
        <v>-0.06406029204</v>
      </c>
      <c r="DT392" s="40">
        <f t="shared" si="2248"/>
        <v>0.06790123457</v>
      </c>
      <c r="DU392" s="40">
        <f t="shared" si="2248"/>
        <v>0.0245398773</v>
      </c>
      <c r="DV392" s="40">
        <f t="shared" si="2248"/>
        <v>-0.1893491124</v>
      </c>
      <c r="DW392" s="40">
        <f t="shared" si="2248"/>
        <v>-0.1643564356</v>
      </c>
      <c r="DX392" s="313">
        <f t="shared" si="2248"/>
        <v>-0.06743834927</v>
      </c>
      <c r="DY392" s="40">
        <f t="shared" si="2248"/>
        <v>-0.06358381503</v>
      </c>
      <c r="DZ392" s="40">
        <f t="shared" si="2248"/>
        <v>-0.02994011976</v>
      </c>
      <c r="EA392" s="40">
        <f t="shared" si="2248"/>
        <v>0.1630170316</v>
      </c>
      <c r="EB392" s="40">
        <f t="shared" si="2248"/>
        <v>0.1469194313</v>
      </c>
      <c r="EC392" s="525">
        <v>0.12</v>
      </c>
      <c r="ED392" s="40">
        <f t="shared" ref="ED392:EG392" si="2249">(ED391-DY391)/DY391</f>
        <v>-0.06053662551</v>
      </c>
      <c r="EE392" s="40">
        <f t="shared" si="2249"/>
        <v>0.1743292181</v>
      </c>
      <c r="EF392" s="40">
        <f t="shared" si="2249"/>
        <v>0.3372612552</v>
      </c>
      <c r="EG392" s="40">
        <f t="shared" si="2249"/>
        <v>0.2735163636</v>
      </c>
      <c r="EH392" s="525">
        <v>0.1</v>
      </c>
      <c r="EI392" s="82">
        <f t="shared" ref="EI392:EL392" si="2250">(EI391-ED391)/ED391</f>
        <v>0.1</v>
      </c>
      <c r="EJ392" s="40">
        <f t="shared" si="2250"/>
        <v>0.1</v>
      </c>
      <c r="EK392" s="40">
        <f t="shared" si="2250"/>
        <v>0.1</v>
      </c>
      <c r="EL392" s="40">
        <f t="shared" si="2250"/>
        <v>0.1</v>
      </c>
      <c r="EM392" s="525">
        <v>0.1</v>
      </c>
      <c r="EN392" s="40">
        <f t="shared" ref="EN392:EQ392" si="2251">(EN391-EI391)/EI391</f>
        <v>0.1</v>
      </c>
      <c r="EO392" s="40">
        <f t="shared" si="2251"/>
        <v>0.1</v>
      </c>
      <c r="EP392" s="40">
        <f t="shared" si="2251"/>
        <v>0.1</v>
      </c>
      <c r="EQ392" s="40">
        <f t="shared" si="2251"/>
        <v>0.1</v>
      </c>
      <c r="ER392" s="525">
        <v>0.1</v>
      </c>
      <c r="ES392" s="40">
        <f t="shared" ref="ES392:EV392" si="2252">(ES391-EN391)/EN391</f>
        <v>0.1</v>
      </c>
      <c r="ET392" s="40">
        <f t="shared" si="2252"/>
        <v>0.1</v>
      </c>
      <c r="EU392" s="40">
        <f t="shared" si="2252"/>
        <v>0.1</v>
      </c>
      <c r="EV392" s="40">
        <f t="shared" si="2252"/>
        <v>0.1</v>
      </c>
      <c r="EW392" s="525">
        <v>0.1</v>
      </c>
      <c r="EX392" s="40">
        <f t="shared" ref="EX392:FA392" si="2253">(EX391-ES391)/ES391</f>
        <v>0.1</v>
      </c>
      <c r="EY392" s="40">
        <f t="shared" si="2253"/>
        <v>0.1</v>
      </c>
      <c r="EZ392" s="40">
        <f t="shared" si="2253"/>
        <v>0.1</v>
      </c>
      <c r="FA392" s="40">
        <f t="shared" si="2253"/>
        <v>0.1</v>
      </c>
      <c r="FB392" s="525">
        <v>0.1</v>
      </c>
      <c r="FC392" s="40">
        <f t="shared" ref="FC392:FF392" si="2254">(FC391-EX391)/EX391</f>
        <v>0.1</v>
      </c>
      <c r="FD392" s="40">
        <f t="shared" si="2254"/>
        <v>0.1</v>
      </c>
      <c r="FE392" s="40">
        <f t="shared" si="2254"/>
        <v>0.1</v>
      </c>
      <c r="FF392" s="40">
        <f t="shared" si="2254"/>
        <v>0.1</v>
      </c>
      <c r="FG392" s="525">
        <v>0.1</v>
      </c>
      <c r="FH392" s="365"/>
      <c r="FI392" s="40"/>
      <c r="FJ392" s="40"/>
      <c r="FK392" s="104"/>
      <c r="FL392" s="40"/>
    </row>
    <row r="393" ht="12.75" hidden="1" customHeight="1" outlineLevel="1">
      <c r="A393" s="16"/>
      <c r="B393" s="523" t="s">
        <v>245</v>
      </c>
      <c r="C393" s="145"/>
      <c r="D393" s="40"/>
      <c r="E393" s="40"/>
      <c r="F393" s="40"/>
      <c r="G393" s="40"/>
      <c r="H393" s="104"/>
      <c r="I393" s="40"/>
      <c r="J393" s="40"/>
      <c r="K393" s="40"/>
      <c r="L393" s="40"/>
      <c r="M393" s="104"/>
      <c r="N393" s="40"/>
      <c r="O393" s="40"/>
      <c r="P393" s="40"/>
      <c r="Q393" s="40"/>
      <c r="R393" s="104"/>
      <c r="S393" s="40"/>
      <c r="T393" s="40"/>
      <c r="U393" s="40"/>
      <c r="V393" s="40"/>
      <c r="W393" s="104"/>
      <c r="X393" s="40"/>
      <c r="Y393" s="40"/>
      <c r="Z393" s="40"/>
      <c r="AA393" s="40"/>
      <c r="AB393" s="104"/>
      <c r="AC393" s="40"/>
      <c r="AD393" s="40"/>
      <c r="AE393" s="40"/>
      <c r="AF393" s="40"/>
      <c r="AG393" s="104"/>
      <c r="AH393" s="40"/>
      <c r="AI393" s="40"/>
      <c r="AJ393" s="40"/>
      <c r="AK393" s="40"/>
      <c r="AL393" s="104"/>
      <c r="AM393" s="40"/>
      <c r="AN393" s="40"/>
      <c r="AO393" s="40"/>
      <c r="AP393" s="40"/>
      <c r="AQ393" s="104"/>
      <c r="AR393" s="40"/>
      <c r="AS393" s="40"/>
      <c r="AT393" s="40"/>
      <c r="AU393" s="40"/>
      <c r="AV393" s="104"/>
      <c r="AW393" s="40"/>
      <c r="AX393" s="40"/>
      <c r="AY393" s="40"/>
      <c r="AZ393" s="40"/>
      <c r="BA393" s="104"/>
      <c r="BB393" s="40"/>
      <c r="BC393" s="40"/>
      <c r="BD393" s="40"/>
      <c r="BE393" s="40"/>
      <c r="BF393" s="104"/>
      <c r="BG393" s="40"/>
      <c r="BH393" s="40"/>
      <c r="BI393" s="40"/>
      <c r="BJ393" s="40"/>
      <c r="BK393" s="104"/>
      <c r="BL393" s="40"/>
      <c r="BM393" s="40"/>
      <c r="BN393" s="40"/>
      <c r="BO393" s="40"/>
      <c r="BP393" s="104"/>
      <c r="BQ393" s="40"/>
      <c r="BR393" s="40"/>
      <c r="BS393" s="40"/>
      <c r="BT393" s="40"/>
      <c r="BU393" s="104"/>
      <c r="BV393" s="40"/>
      <c r="BW393" s="40"/>
      <c r="BX393" s="40"/>
      <c r="BY393" s="40"/>
      <c r="BZ393" s="24"/>
      <c r="CA393" s="40"/>
      <c r="CB393" s="40"/>
      <c r="CC393" s="40"/>
      <c r="CD393" s="40"/>
      <c r="CE393" s="24"/>
      <c r="CF393" s="40"/>
      <c r="CG393" s="40"/>
      <c r="CH393" s="40"/>
      <c r="CI393" s="40"/>
      <c r="CJ393" s="24"/>
      <c r="CK393" s="40"/>
      <c r="CL393" s="40"/>
      <c r="CM393" s="40"/>
      <c r="CN393" s="40"/>
      <c r="CO393" s="24"/>
      <c r="CP393" s="364">
        <v>553.0</v>
      </c>
      <c r="CQ393" s="364">
        <v>548.0</v>
      </c>
      <c r="CR393" s="364">
        <v>558.0</v>
      </c>
      <c r="CS393" s="364">
        <v>557.0</v>
      </c>
      <c r="CT393" s="363">
        <f>SUM(CP393:CS393)</f>
        <v>2216</v>
      </c>
      <c r="CU393" s="364">
        <v>534.0</v>
      </c>
      <c r="CV393" s="364">
        <v>534.0</v>
      </c>
      <c r="CW393" s="364">
        <v>556.0</v>
      </c>
      <c r="CX393" s="364">
        <v>543.0</v>
      </c>
      <c r="CY393" s="363">
        <f>SUM(CU393:CX393)</f>
        <v>2167</v>
      </c>
      <c r="CZ393" s="364">
        <v>537.0</v>
      </c>
      <c r="DA393" s="524">
        <v>537.0</v>
      </c>
      <c r="DB393" s="364">
        <v>537.0</v>
      </c>
      <c r="DC393" s="364">
        <v>550.0</v>
      </c>
      <c r="DD393" s="363">
        <f>SUM(CZ393:DC393)</f>
        <v>2161</v>
      </c>
      <c r="DE393" s="364">
        <v>534.0</v>
      </c>
      <c r="DF393" s="524"/>
      <c r="DG393" s="524"/>
      <c r="DH393" s="364"/>
      <c r="DI393" s="363">
        <f>SUM(DE393:DH393)</f>
        <v>534</v>
      </c>
      <c r="DJ393" s="524"/>
      <c r="DK393" s="524"/>
      <c r="DL393" s="524"/>
      <c r="DM393" s="524"/>
      <c r="DN393" s="363">
        <f>SUM(DJ393:DM393)</f>
        <v>0</v>
      </c>
      <c r="DO393" s="524"/>
      <c r="DP393" s="526"/>
      <c r="DQ393" s="526"/>
      <c r="DR393" s="526"/>
      <c r="DS393" s="363"/>
      <c r="DT393" s="524"/>
      <c r="DU393" s="524"/>
      <c r="DV393" s="524"/>
      <c r="DW393" s="524"/>
      <c r="DX393" s="363"/>
      <c r="DY393" s="524"/>
      <c r="DZ393" s="524"/>
      <c r="EA393" s="524"/>
      <c r="EB393" s="524"/>
      <c r="EC393" s="363"/>
      <c r="ED393" s="524"/>
      <c r="EE393" s="524"/>
      <c r="EF393" s="524"/>
      <c r="EG393" s="524"/>
      <c r="EH393" s="363"/>
      <c r="EI393" s="426"/>
      <c r="EJ393" s="364"/>
      <c r="EK393" s="364"/>
      <c r="EL393" s="364"/>
      <c r="EM393" s="363"/>
      <c r="EN393" s="524"/>
      <c r="EO393" s="364"/>
      <c r="EP393" s="364"/>
      <c r="EQ393" s="364"/>
      <c r="ER393" s="363"/>
      <c r="ES393" s="524"/>
      <c r="ET393" s="364"/>
      <c r="EU393" s="364"/>
      <c r="EV393" s="364"/>
      <c r="EW393" s="363"/>
      <c r="EX393" s="524"/>
      <c r="EY393" s="364"/>
      <c r="EZ393" s="364"/>
      <c r="FA393" s="364"/>
      <c r="FB393" s="363"/>
      <c r="FC393" s="524"/>
      <c r="FD393" s="364"/>
      <c r="FE393" s="364"/>
      <c r="FF393" s="364"/>
      <c r="FG393" s="363"/>
      <c r="FH393" s="364"/>
      <c r="FI393" s="40"/>
      <c r="FJ393" s="40"/>
      <c r="FK393" s="104"/>
      <c r="FL393" s="40"/>
    </row>
    <row r="394" ht="12.75" hidden="1" customHeight="1" outlineLevel="1">
      <c r="A394" s="527"/>
      <c r="B394" s="523" t="s">
        <v>175</v>
      </c>
      <c r="C394" s="145"/>
      <c r="D394" s="40"/>
      <c r="E394" s="40"/>
      <c r="F394" s="40"/>
      <c r="G394" s="40"/>
      <c r="H394" s="104"/>
      <c r="I394" s="40"/>
      <c r="J394" s="40"/>
      <c r="K394" s="40"/>
      <c r="L394" s="40"/>
      <c r="M394" s="104"/>
      <c r="N394" s="40"/>
      <c r="O394" s="40"/>
      <c r="P394" s="40"/>
      <c r="Q394" s="40"/>
      <c r="R394" s="104"/>
      <c r="S394" s="40"/>
      <c r="T394" s="40"/>
      <c r="U394" s="40"/>
      <c r="V394" s="40"/>
      <c r="W394" s="104"/>
      <c r="X394" s="40"/>
      <c r="Y394" s="40"/>
      <c r="Z394" s="40"/>
      <c r="AA394" s="40"/>
      <c r="AB394" s="104"/>
      <c r="AC394" s="40"/>
      <c r="AD394" s="40"/>
      <c r="AE394" s="40"/>
      <c r="AF394" s="40"/>
      <c r="AG394" s="104"/>
      <c r="AH394" s="40"/>
      <c r="AI394" s="40"/>
      <c r="AJ394" s="40"/>
      <c r="AK394" s="40"/>
      <c r="AL394" s="104"/>
      <c r="AM394" s="40"/>
      <c r="AN394" s="40"/>
      <c r="AO394" s="40"/>
      <c r="AP394" s="40"/>
      <c r="AQ394" s="104"/>
      <c r="AR394" s="40"/>
      <c r="AS394" s="40"/>
      <c r="AT394" s="40"/>
      <c r="AU394" s="40"/>
      <c r="AV394" s="104"/>
      <c r="AW394" s="40"/>
      <c r="AX394" s="40"/>
      <c r="AY394" s="40"/>
      <c r="AZ394" s="40"/>
      <c r="BA394" s="104"/>
      <c r="BB394" s="40"/>
      <c r="BC394" s="40"/>
      <c r="BD394" s="40"/>
      <c r="BE394" s="40"/>
      <c r="BF394" s="104"/>
      <c r="BG394" s="40"/>
      <c r="BH394" s="40"/>
      <c r="BI394" s="40"/>
      <c r="BJ394" s="40"/>
      <c r="BK394" s="104"/>
      <c r="BL394" s="40"/>
      <c r="BM394" s="40"/>
      <c r="BN394" s="40"/>
      <c r="BO394" s="40"/>
      <c r="BP394" s="104"/>
      <c r="BQ394" s="40"/>
      <c r="BR394" s="40"/>
      <c r="BS394" s="40"/>
      <c r="BT394" s="40"/>
      <c r="BU394" s="104"/>
      <c r="BV394" s="40"/>
      <c r="BW394" s="40"/>
      <c r="BX394" s="40"/>
      <c r="BY394" s="40"/>
      <c r="BZ394" s="24"/>
      <c r="CA394" s="40"/>
      <c r="CB394" s="40"/>
      <c r="CC394" s="40"/>
      <c r="CD394" s="40"/>
      <c r="CE394" s="24"/>
      <c r="CF394" s="40"/>
      <c r="CG394" s="40"/>
      <c r="CH394" s="40"/>
      <c r="CI394" s="40"/>
      <c r="CJ394" s="24"/>
      <c r="CK394" s="40"/>
      <c r="CL394" s="40"/>
      <c r="CM394" s="40"/>
      <c r="CN394" s="40"/>
      <c r="CO394" s="24"/>
      <c r="CP394" s="364"/>
      <c r="CQ394" s="364"/>
      <c r="CR394" s="364"/>
      <c r="CS394" s="364"/>
      <c r="CT394" s="363"/>
      <c r="CU394" s="364"/>
      <c r="CV394" s="364"/>
      <c r="CW394" s="364"/>
      <c r="CX394" s="364"/>
      <c r="CY394" s="363"/>
      <c r="CZ394" s="364"/>
      <c r="DA394" s="524"/>
      <c r="DB394" s="364"/>
      <c r="DC394" s="364"/>
      <c r="DD394" s="363"/>
      <c r="DE394" s="364"/>
      <c r="DF394" s="524"/>
      <c r="DG394" s="524"/>
      <c r="DH394" s="364"/>
      <c r="DI394" s="363"/>
      <c r="DJ394" s="524"/>
      <c r="DK394" s="524"/>
      <c r="DL394" s="524"/>
      <c r="DM394" s="524"/>
      <c r="DN394" s="363"/>
      <c r="DO394" s="524"/>
      <c r="DP394" s="526"/>
      <c r="DQ394" s="526"/>
      <c r="DR394" s="526"/>
      <c r="DS394" s="363"/>
      <c r="DT394" s="524"/>
      <c r="DU394" s="524"/>
      <c r="DV394" s="524"/>
      <c r="DW394" s="524"/>
      <c r="DX394" s="363"/>
      <c r="DY394" s="524"/>
      <c r="DZ394" s="524"/>
      <c r="EA394" s="524"/>
      <c r="EB394" s="524"/>
      <c r="EC394" s="363"/>
      <c r="ED394" s="524"/>
      <c r="EE394" s="524"/>
      <c r="EF394" s="524"/>
      <c r="EG394" s="524"/>
      <c r="EH394" s="363"/>
      <c r="EI394" s="214">
        <v>1000.0</v>
      </c>
      <c r="EJ394" s="524">
        <f>EI394*1.05</f>
        <v>1050</v>
      </c>
      <c r="EK394" s="524">
        <f t="shared" ref="EK394:EL394" si="2255">EJ394*1.08</f>
        <v>1134</v>
      </c>
      <c r="EL394" s="524">
        <f t="shared" si="2255"/>
        <v>1224.72</v>
      </c>
      <c r="EM394" s="363">
        <f t="shared" ref="EM394:EM397" si="2262">SUM(EI394:EL394)</f>
        <v>4408.72</v>
      </c>
      <c r="EN394" s="524">
        <f>EL394*1.05</f>
        <v>1285.956</v>
      </c>
      <c r="EO394" s="524">
        <f t="shared" ref="EO394:EQ394" si="2256">EN394*1.05</f>
        <v>1350.2538</v>
      </c>
      <c r="EP394" s="524">
        <f t="shared" si="2256"/>
        <v>1417.76649</v>
      </c>
      <c r="EQ394" s="524">
        <f t="shared" si="2256"/>
        <v>1488.654815</v>
      </c>
      <c r="ER394" s="363">
        <f t="shared" ref="ER394:ER397" si="2264">SUM(EN394:EQ394)</f>
        <v>5542.631105</v>
      </c>
      <c r="ES394" s="524">
        <f>EQ394*1.06</f>
        <v>1577.974103</v>
      </c>
      <c r="ET394" s="524">
        <f t="shared" ref="ET394:EV394" si="2257">ES394*1.05</f>
        <v>1656.872809</v>
      </c>
      <c r="EU394" s="524">
        <f t="shared" si="2257"/>
        <v>1739.716449</v>
      </c>
      <c r="EV394" s="524">
        <f t="shared" si="2257"/>
        <v>1826.702271</v>
      </c>
      <c r="EW394" s="363">
        <f t="shared" ref="EW394:EW397" si="2266">SUM(ES394:EV394)</f>
        <v>6801.265632</v>
      </c>
      <c r="EX394" s="524">
        <f>EV394*1.06</f>
        <v>1936.304408</v>
      </c>
      <c r="EY394" s="524">
        <f t="shared" ref="EY394:FA394" si="2258">EX394*1.05</f>
        <v>2033.119628</v>
      </c>
      <c r="EZ394" s="524">
        <f t="shared" si="2258"/>
        <v>2134.775609</v>
      </c>
      <c r="FA394" s="524">
        <f t="shared" si="2258"/>
        <v>2241.51439</v>
      </c>
      <c r="FB394" s="363">
        <f t="shared" ref="FB394:FB397" si="2268">SUM(EX394:FA394)</f>
        <v>8345.714035</v>
      </c>
      <c r="FC394" s="524">
        <f>FA394*1.06</f>
        <v>2376.005253</v>
      </c>
      <c r="FD394" s="524">
        <f t="shared" ref="FD394:FF394" si="2259">FC394*1.05</f>
        <v>2494.805516</v>
      </c>
      <c r="FE394" s="524">
        <f t="shared" si="2259"/>
        <v>2619.545792</v>
      </c>
      <c r="FF394" s="524">
        <f t="shared" si="2259"/>
        <v>2750.523081</v>
      </c>
      <c r="FG394" s="363">
        <f t="shared" ref="FG394:FG397" si="2270">SUM(FC394:FF394)</f>
        <v>10240.87964</v>
      </c>
      <c r="FH394" s="364"/>
      <c r="FI394" s="40"/>
      <c r="FJ394" s="40"/>
      <c r="FK394" s="104"/>
      <c r="FL394" s="40"/>
    </row>
    <row r="395" ht="12.75" hidden="1" customHeight="1" outlineLevel="1">
      <c r="A395" s="16"/>
      <c r="B395" s="145" t="s">
        <v>174</v>
      </c>
      <c r="C395" s="145"/>
      <c r="D395" s="40"/>
      <c r="E395" s="40"/>
      <c r="F395" s="40"/>
      <c r="G395" s="40"/>
      <c r="H395" s="104"/>
      <c r="I395" s="40"/>
      <c r="J395" s="40"/>
      <c r="K395" s="40"/>
      <c r="L395" s="40"/>
      <c r="M395" s="104"/>
      <c r="N395" s="40"/>
      <c r="O395" s="40"/>
      <c r="P395" s="40"/>
      <c r="Q395" s="40"/>
      <c r="R395" s="104"/>
      <c r="S395" s="40"/>
      <c r="T395" s="40"/>
      <c r="U395" s="40"/>
      <c r="V395" s="40"/>
      <c r="W395" s="104"/>
      <c r="X395" s="40"/>
      <c r="Y395" s="40"/>
      <c r="Z395" s="40"/>
      <c r="AA395" s="40"/>
      <c r="AB395" s="104"/>
      <c r="AC395" s="40"/>
      <c r="AD395" s="40"/>
      <c r="AE395" s="40"/>
      <c r="AF395" s="40"/>
      <c r="AG395" s="104"/>
      <c r="AH395" s="40"/>
      <c r="AI395" s="40"/>
      <c r="AJ395" s="40"/>
      <c r="AK395" s="40"/>
      <c r="AL395" s="104"/>
      <c r="AM395" s="40"/>
      <c r="AN395" s="40"/>
      <c r="AO395" s="40"/>
      <c r="AP395" s="40"/>
      <c r="AQ395" s="104"/>
      <c r="AR395" s="40"/>
      <c r="AS395" s="40"/>
      <c r="AT395" s="40"/>
      <c r="AU395" s="40"/>
      <c r="AV395" s="104"/>
      <c r="AW395" s="40"/>
      <c r="AX395" s="40"/>
      <c r="AY395" s="40"/>
      <c r="AZ395" s="40"/>
      <c r="BA395" s="104"/>
      <c r="BB395" s="40"/>
      <c r="BC395" s="40"/>
      <c r="BD395" s="40"/>
      <c r="BE395" s="40"/>
      <c r="BF395" s="104"/>
      <c r="BG395" s="40"/>
      <c r="BH395" s="40"/>
      <c r="BI395" s="40"/>
      <c r="BJ395" s="40"/>
      <c r="BK395" s="104"/>
      <c r="BL395" s="40"/>
      <c r="BM395" s="40"/>
      <c r="BN395" s="40"/>
      <c r="BO395" s="40"/>
      <c r="BP395" s="104"/>
      <c r="BQ395" s="40"/>
      <c r="BR395" s="40"/>
      <c r="BS395" s="40"/>
      <c r="BT395" s="40"/>
      <c r="BU395" s="104"/>
      <c r="BV395" s="40"/>
      <c r="BW395" s="40"/>
      <c r="BX395" s="40"/>
      <c r="BY395" s="40"/>
      <c r="BZ395" s="24"/>
      <c r="CA395" s="40"/>
      <c r="CB395" s="40"/>
      <c r="CC395" s="40"/>
      <c r="CD395" s="40"/>
      <c r="CE395" s="24"/>
      <c r="CF395" s="40"/>
      <c r="CG395" s="40"/>
      <c r="CH395" s="40"/>
      <c r="CI395" s="40"/>
      <c r="CJ395" s="24"/>
      <c r="CK395" s="40"/>
      <c r="CL395" s="40"/>
      <c r="CM395" s="40"/>
      <c r="CN395" s="40"/>
      <c r="CO395" s="24"/>
      <c r="CP395" s="364"/>
      <c r="CQ395" s="364"/>
      <c r="CR395" s="364"/>
      <c r="CS395" s="364"/>
      <c r="CT395" s="363">
        <f t="shared" ref="CT395:CT397" si="2271">SUM(CP395:CS395)</f>
        <v>0</v>
      </c>
      <c r="CU395" s="364"/>
      <c r="CV395" s="364"/>
      <c r="CW395" s="364"/>
      <c r="CX395" s="364"/>
      <c r="CY395" s="363">
        <f t="shared" ref="CY395:CY397" si="2272">SUM(CU395:CX395)</f>
        <v>0</v>
      </c>
      <c r="CZ395" s="364"/>
      <c r="DA395" s="524"/>
      <c r="DB395" s="364"/>
      <c r="DC395" s="364"/>
      <c r="DD395" s="363">
        <f t="shared" ref="DD395:DD397" si="2273">SUM(CZ395:DC395)</f>
        <v>0</v>
      </c>
      <c r="DE395" s="364"/>
      <c r="DF395" s="364">
        <v>109.0</v>
      </c>
      <c r="DG395" s="524"/>
      <c r="DH395" s="364"/>
      <c r="DI395" s="363">
        <f t="shared" ref="DI395:DI397" si="2274">SUM(DE395:DH395)</f>
        <v>109</v>
      </c>
      <c r="DJ395" s="364">
        <v>151.0</v>
      </c>
      <c r="DK395" s="364">
        <v>173.0</v>
      </c>
      <c r="DL395" s="364">
        <f>294-DL396</f>
        <v>181</v>
      </c>
      <c r="DM395" s="364">
        <v>183.0</v>
      </c>
      <c r="DN395" s="363">
        <f t="shared" ref="DN395:DN397" si="2275">SUM(DJ395:DM395)</f>
        <v>688</v>
      </c>
      <c r="DO395" s="364">
        <v>209.0</v>
      </c>
      <c r="DP395" s="364">
        <v>201.0</v>
      </c>
      <c r="DQ395" s="364">
        <v>229.0</v>
      </c>
      <c r="DR395" s="364">
        <v>240.0</v>
      </c>
      <c r="DS395" s="363">
        <f t="shared" ref="DS395:DS397" si="2276">SUM(DO395:DR395)</f>
        <v>879</v>
      </c>
      <c r="DT395" s="364">
        <v>254.0</v>
      </c>
      <c r="DU395" s="364">
        <v>146.0</v>
      </c>
      <c r="DV395" s="364">
        <v>234.0</v>
      </c>
      <c r="DW395" s="364">
        <v>333.0</v>
      </c>
      <c r="DX395" s="363">
        <f t="shared" ref="DX395:DX397" si="2277">SUM(DT395:DW395)</f>
        <v>967</v>
      </c>
      <c r="DY395" s="364">
        <v>377.0</v>
      </c>
      <c r="DZ395" s="364">
        <v>327.0</v>
      </c>
      <c r="EA395" s="364">
        <v>326.0</v>
      </c>
      <c r="EB395" s="364">
        <v>356.0</v>
      </c>
      <c r="EC395" s="363">
        <f t="shared" ref="EC395:EC397" si="2278">SUM(DY395:EB395)</f>
        <v>1386</v>
      </c>
      <c r="ED395" s="364">
        <v>391.6</v>
      </c>
      <c r="EE395" s="364">
        <f t="shared" ref="EE395:EG395" si="2260">ED395*1.12</f>
        <v>438.592</v>
      </c>
      <c r="EF395" s="364">
        <f t="shared" si="2260"/>
        <v>491.22304</v>
      </c>
      <c r="EG395" s="364">
        <f t="shared" si="2260"/>
        <v>550.1698048</v>
      </c>
      <c r="EH395" s="363">
        <f t="shared" ref="EH395:EH397" si="2280">SUM(ED395:EG395)</f>
        <v>1871.584845</v>
      </c>
      <c r="EI395" s="528">
        <f>EG395*1.08</f>
        <v>594.1833892</v>
      </c>
      <c r="EJ395" s="524">
        <f t="shared" ref="EJ395:EL395" si="2261">EI395*1.08</f>
        <v>641.7180603</v>
      </c>
      <c r="EK395" s="524">
        <f t="shared" si="2261"/>
        <v>693.0555051</v>
      </c>
      <c r="EL395" s="524">
        <f t="shared" si="2261"/>
        <v>748.4999456</v>
      </c>
      <c r="EM395" s="363">
        <f t="shared" si="2262"/>
        <v>2677.4569</v>
      </c>
      <c r="EN395" s="524">
        <f>EL395*1.08</f>
        <v>808.3799412</v>
      </c>
      <c r="EO395" s="524">
        <f t="shared" ref="EO395:EQ395" si="2263">EN395*1.08</f>
        <v>873.0503365</v>
      </c>
      <c r="EP395" s="524">
        <f t="shared" si="2263"/>
        <v>942.8943634</v>
      </c>
      <c r="EQ395" s="524">
        <f t="shared" si="2263"/>
        <v>1018.325912</v>
      </c>
      <c r="ER395" s="363">
        <f t="shared" si="2264"/>
        <v>3642.650554</v>
      </c>
      <c r="ES395" s="524">
        <f>EQ395*1.08</f>
        <v>1099.791985</v>
      </c>
      <c r="ET395" s="524">
        <f t="shared" ref="ET395:EV395" si="2265">ES395*1.08</f>
        <v>1187.775344</v>
      </c>
      <c r="EU395" s="524">
        <f t="shared" si="2265"/>
        <v>1282.797372</v>
      </c>
      <c r="EV395" s="524">
        <f t="shared" si="2265"/>
        <v>1385.421162</v>
      </c>
      <c r="EW395" s="363">
        <f t="shared" si="2266"/>
        <v>4955.785863</v>
      </c>
      <c r="EX395" s="524">
        <f>EV395*1.08</f>
        <v>1496.254855</v>
      </c>
      <c r="EY395" s="524">
        <f t="shared" ref="EY395:FA395" si="2267">EX395*1.08</f>
        <v>1615.955243</v>
      </c>
      <c r="EZ395" s="524">
        <f t="shared" si="2267"/>
        <v>1745.231662</v>
      </c>
      <c r="FA395" s="524">
        <f t="shared" si="2267"/>
        <v>1884.850195</v>
      </c>
      <c r="FB395" s="363">
        <f t="shared" si="2268"/>
        <v>6742.291955</v>
      </c>
      <c r="FC395" s="524">
        <f>FA395*1.08</f>
        <v>2035.638211</v>
      </c>
      <c r="FD395" s="524">
        <f t="shared" ref="FD395:FF395" si="2269">FC395*1.08</f>
        <v>2198.489268</v>
      </c>
      <c r="FE395" s="524">
        <f t="shared" si="2269"/>
        <v>2374.368409</v>
      </c>
      <c r="FF395" s="524">
        <f t="shared" si="2269"/>
        <v>2564.317882</v>
      </c>
      <c r="FG395" s="363">
        <f t="shared" si="2270"/>
        <v>9172.81377</v>
      </c>
      <c r="FH395" s="364"/>
      <c r="FI395" s="40"/>
      <c r="FJ395" s="40"/>
      <c r="FK395" s="104"/>
      <c r="FL395" s="40"/>
    </row>
    <row r="396" ht="12.75" hidden="1" customHeight="1" outlineLevel="1">
      <c r="A396" s="16"/>
      <c r="B396" s="145" t="s">
        <v>176</v>
      </c>
      <c r="C396" s="145"/>
      <c r="D396" s="40"/>
      <c r="E396" s="40"/>
      <c r="F396" s="40"/>
      <c r="G396" s="40"/>
      <c r="H396" s="104"/>
      <c r="I396" s="40"/>
      <c r="J396" s="40"/>
      <c r="K396" s="40"/>
      <c r="L396" s="40"/>
      <c r="M396" s="104"/>
      <c r="N396" s="40"/>
      <c r="O396" s="40"/>
      <c r="P396" s="40"/>
      <c r="Q396" s="40"/>
      <c r="R396" s="104"/>
      <c r="S396" s="40"/>
      <c r="T396" s="40"/>
      <c r="U396" s="40"/>
      <c r="V396" s="40"/>
      <c r="W396" s="104"/>
      <c r="X396" s="40"/>
      <c r="Y396" s="40"/>
      <c r="Z396" s="40"/>
      <c r="AA396" s="40"/>
      <c r="AB396" s="104"/>
      <c r="AC396" s="40"/>
      <c r="AD396" s="40"/>
      <c r="AE396" s="40"/>
      <c r="AF396" s="40"/>
      <c r="AG396" s="104"/>
      <c r="AH396" s="40"/>
      <c r="AI396" s="40"/>
      <c r="AJ396" s="40"/>
      <c r="AK396" s="40"/>
      <c r="AL396" s="104"/>
      <c r="AM396" s="40"/>
      <c r="AN396" s="40"/>
      <c r="AO396" s="40"/>
      <c r="AP396" s="40"/>
      <c r="AQ396" s="104"/>
      <c r="AR396" s="40"/>
      <c r="AS396" s="40"/>
      <c r="AT396" s="40"/>
      <c r="AU396" s="40"/>
      <c r="AV396" s="104"/>
      <c r="AW396" s="40"/>
      <c r="AX396" s="40"/>
      <c r="AY396" s="40"/>
      <c r="AZ396" s="40"/>
      <c r="BA396" s="104"/>
      <c r="BB396" s="40"/>
      <c r="BC396" s="40"/>
      <c r="BD396" s="40"/>
      <c r="BE396" s="40"/>
      <c r="BF396" s="104"/>
      <c r="BG396" s="40"/>
      <c r="BH396" s="40"/>
      <c r="BI396" s="40"/>
      <c r="BJ396" s="40"/>
      <c r="BK396" s="104"/>
      <c r="BL396" s="40"/>
      <c r="BM396" s="40"/>
      <c r="BN396" s="40"/>
      <c r="BO396" s="40"/>
      <c r="BP396" s="104"/>
      <c r="BQ396" s="40"/>
      <c r="BR396" s="40"/>
      <c r="BS396" s="40"/>
      <c r="BT396" s="40"/>
      <c r="BU396" s="104"/>
      <c r="BV396" s="40"/>
      <c r="BW396" s="40"/>
      <c r="BX396" s="40"/>
      <c r="BY396" s="40"/>
      <c r="BZ396" s="24"/>
      <c r="CA396" s="40"/>
      <c r="CB396" s="40"/>
      <c r="CC396" s="40"/>
      <c r="CD396" s="40"/>
      <c r="CE396" s="363">
        <v>1589.0</v>
      </c>
      <c r="CF396" s="40"/>
      <c r="CG396" s="40"/>
      <c r="CH396" s="40"/>
      <c r="CI396" s="40"/>
      <c r="CJ396" s="363">
        <v>1567.0</v>
      </c>
      <c r="CK396" s="40"/>
      <c r="CL396" s="40"/>
      <c r="CM396" s="40"/>
      <c r="CN396" s="40"/>
      <c r="CO396" s="363">
        <v>1911.0</v>
      </c>
      <c r="CP396" s="364">
        <v>545.0</v>
      </c>
      <c r="CQ396" s="364">
        <v>517.0</v>
      </c>
      <c r="CR396" s="364">
        <v>575.0</v>
      </c>
      <c r="CS396" s="364">
        <v>616.0</v>
      </c>
      <c r="CT396" s="363">
        <f t="shared" si="2271"/>
        <v>2253</v>
      </c>
      <c r="CU396" s="364">
        <v>615.0</v>
      </c>
      <c r="CV396" s="364">
        <v>715.0</v>
      </c>
      <c r="CW396" s="364">
        <v>682.0</v>
      </c>
      <c r="CX396" s="364">
        <v>682.0</v>
      </c>
      <c r="CY396" s="363">
        <f t="shared" si="2272"/>
        <v>2694</v>
      </c>
      <c r="CZ396" s="364">
        <v>50.0</v>
      </c>
      <c r="DA396" s="524">
        <v>40.0</v>
      </c>
      <c r="DB396" s="364">
        <v>44.0</v>
      </c>
      <c r="DC396" s="364">
        <v>65.0</v>
      </c>
      <c r="DD396" s="363">
        <f t="shared" si="2273"/>
        <v>199</v>
      </c>
      <c r="DE396" s="364">
        <v>42.0</v>
      </c>
      <c r="DF396" s="364">
        <v>144.0</v>
      </c>
      <c r="DG396" s="364">
        <v>202.0</v>
      </c>
      <c r="DH396" s="364">
        <v>181.0</v>
      </c>
      <c r="DI396" s="363">
        <f t="shared" si="2274"/>
        <v>569</v>
      </c>
      <c r="DJ396" s="364">
        <f>234-DJ395</f>
        <v>83</v>
      </c>
      <c r="DK396" s="364">
        <v>113.0</v>
      </c>
      <c r="DL396" s="364">
        <f>DK396</f>
        <v>113</v>
      </c>
      <c r="DM396" s="364">
        <f>231-DM395</f>
        <v>48</v>
      </c>
      <c r="DN396" s="363">
        <f t="shared" si="2275"/>
        <v>357</v>
      </c>
      <c r="DO396" s="364">
        <v>53.0</v>
      </c>
      <c r="DP396" s="364">
        <v>65.0</v>
      </c>
      <c r="DQ396" s="364">
        <v>67.0</v>
      </c>
      <c r="DR396" s="364">
        <v>104.0</v>
      </c>
      <c r="DS396" s="363">
        <f t="shared" si="2276"/>
        <v>289</v>
      </c>
      <c r="DT396" s="364">
        <v>66.0</v>
      </c>
      <c r="DU396" s="364">
        <v>139.0</v>
      </c>
      <c r="DV396" s="364">
        <v>106.0</v>
      </c>
      <c r="DW396" s="364">
        <v>211.0</v>
      </c>
      <c r="DX396" s="363">
        <f t="shared" si="2277"/>
        <v>522</v>
      </c>
      <c r="DY396" s="364">
        <v>620.0</v>
      </c>
      <c r="DZ396" s="364">
        <v>172.0</v>
      </c>
      <c r="EA396" s="364">
        <v>81.0</v>
      </c>
      <c r="EB396" s="364">
        <v>195.0</v>
      </c>
      <c r="EC396" s="363">
        <f t="shared" si="2278"/>
        <v>1068</v>
      </c>
      <c r="ED396" s="364">
        <v>195.0</v>
      </c>
      <c r="EE396" s="364">
        <f t="shared" ref="EE396:EG396" si="2279">ED396</f>
        <v>195</v>
      </c>
      <c r="EF396" s="364">
        <f t="shared" si="2279"/>
        <v>195</v>
      </c>
      <c r="EG396" s="364">
        <f t="shared" si="2279"/>
        <v>195</v>
      </c>
      <c r="EH396" s="363">
        <f t="shared" si="2280"/>
        <v>780</v>
      </c>
      <c r="EI396" s="528">
        <f>EG396</f>
        <v>195</v>
      </c>
      <c r="EJ396" s="524">
        <f t="shared" ref="EJ396:EL396" si="2281">EI396</f>
        <v>195</v>
      </c>
      <c r="EK396" s="524">
        <f t="shared" si="2281"/>
        <v>195</v>
      </c>
      <c r="EL396" s="524">
        <f t="shared" si="2281"/>
        <v>195</v>
      </c>
      <c r="EM396" s="363">
        <f t="shared" si="2262"/>
        <v>780</v>
      </c>
      <c r="EN396" s="524">
        <f>EL396</f>
        <v>195</v>
      </c>
      <c r="EO396" s="524">
        <f t="shared" ref="EO396:EQ396" si="2282">EN396</f>
        <v>195</v>
      </c>
      <c r="EP396" s="524">
        <f t="shared" si="2282"/>
        <v>195</v>
      </c>
      <c r="EQ396" s="524">
        <f t="shared" si="2282"/>
        <v>195</v>
      </c>
      <c r="ER396" s="363">
        <f t="shared" si="2264"/>
        <v>780</v>
      </c>
      <c r="ES396" s="524">
        <f>EQ396</f>
        <v>195</v>
      </c>
      <c r="ET396" s="524">
        <f t="shared" ref="ET396:EV396" si="2283">ES396</f>
        <v>195</v>
      </c>
      <c r="EU396" s="524">
        <f t="shared" si="2283"/>
        <v>195</v>
      </c>
      <c r="EV396" s="524">
        <f t="shared" si="2283"/>
        <v>195</v>
      </c>
      <c r="EW396" s="363">
        <f t="shared" si="2266"/>
        <v>780</v>
      </c>
      <c r="EX396" s="524">
        <f>EV396</f>
        <v>195</v>
      </c>
      <c r="EY396" s="524">
        <f t="shared" ref="EY396:FA396" si="2284">EX396</f>
        <v>195</v>
      </c>
      <c r="EZ396" s="524">
        <f t="shared" si="2284"/>
        <v>195</v>
      </c>
      <c r="FA396" s="524">
        <f t="shared" si="2284"/>
        <v>195</v>
      </c>
      <c r="FB396" s="363">
        <f t="shared" si="2268"/>
        <v>780</v>
      </c>
      <c r="FC396" s="524">
        <f>FA396</f>
        <v>195</v>
      </c>
      <c r="FD396" s="524">
        <f t="shared" ref="FD396:FF396" si="2285">FC396</f>
        <v>195</v>
      </c>
      <c r="FE396" s="524">
        <f t="shared" si="2285"/>
        <v>195</v>
      </c>
      <c r="FF396" s="524">
        <f t="shared" si="2285"/>
        <v>195</v>
      </c>
      <c r="FG396" s="363">
        <f t="shared" si="2270"/>
        <v>780</v>
      </c>
      <c r="FH396" s="364"/>
      <c r="FI396" s="40"/>
      <c r="FJ396" s="40"/>
      <c r="FK396" s="104"/>
      <c r="FL396" s="40"/>
    </row>
    <row r="397" ht="12.75" hidden="1" customHeight="1" outlineLevel="2">
      <c r="A397" s="4"/>
      <c r="B397" s="72" t="s">
        <v>246</v>
      </c>
      <c r="C397" s="45"/>
      <c r="D397" s="15"/>
      <c r="E397" s="15"/>
      <c r="F397" s="15"/>
      <c r="G397" s="15"/>
      <c r="H397" s="410"/>
      <c r="I397" s="15"/>
      <c r="J397" s="15"/>
      <c r="K397" s="15"/>
      <c r="L397" s="15"/>
      <c r="M397" s="410"/>
      <c r="N397" s="15"/>
      <c r="O397" s="15"/>
      <c r="P397" s="15"/>
      <c r="Q397" s="15"/>
      <c r="R397" s="410"/>
      <c r="S397" s="15"/>
      <c r="T397" s="15"/>
      <c r="U397" s="15"/>
      <c r="V397" s="15"/>
      <c r="W397" s="410"/>
      <c r="X397" s="15"/>
      <c r="Y397" s="15"/>
      <c r="Z397" s="15"/>
      <c r="AA397" s="15"/>
      <c r="AB397" s="410"/>
      <c r="AC397" s="15"/>
      <c r="AD397" s="15"/>
      <c r="AE397" s="15"/>
      <c r="AF397" s="15"/>
      <c r="AG397" s="410"/>
      <c r="AH397" s="15"/>
      <c r="AI397" s="15"/>
      <c r="AJ397" s="15"/>
      <c r="AK397" s="15"/>
      <c r="AL397" s="410"/>
      <c r="AM397" s="15"/>
      <c r="AN397" s="15"/>
      <c r="AO397" s="15"/>
      <c r="AP397" s="15"/>
      <c r="AQ397" s="410"/>
      <c r="AR397" s="15"/>
      <c r="AS397" s="15"/>
      <c r="AT397" s="15"/>
      <c r="AU397" s="15"/>
      <c r="AV397" s="410"/>
      <c r="AW397" s="15"/>
      <c r="AX397" s="15"/>
      <c r="AY397" s="15"/>
      <c r="AZ397" s="15"/>
      <c r="BA397" s="410"/>
      <c r="BB397" s="15"/>
      <c r="BC397" s="15"/>
      <c r="BD397" s="15"/>
      <c r="BE397" s="15"/>
      <c r="BF397" s="410"/>
      <c r="BG397" s="15"/>
      <c r="BH397" s="15"/>
      <c r="BI397" s="15"/>
      <c r="BJ397" s="15"/>
      <c r="BK397" s="410"/>
      <c r="BL397" s="15"/>
      <c r="BM397" s="15"/>
      <c r="BN397" s="15"/>
      <c r="BO397" s="15"/>
      <c r="BP397" s="410"/>
      <c r="BQ397" s="15"/>
      <c r="BR397" s="15"/>
      <c r="BS397" s="15"/>
      <c r="BT397" s="15"/>
      <c r="BU397" s="410"/>
      <c r="BV397" s="15"/>
      <c r="BW397" s="15"/>
      <c r="BX397" s="15"/>
      <c r="BY397" s="15"/>
      <c r="BZ397" s="24"/>
      <c r="CA397" s="15"/>
      <c r="CB397" s="15"/>
      <c r="CC397" s="15"/>
      <c r="CD397" s="15"/>
      <c r="CE397" s="24"/>
      <c r="CF397" s="15"/>
      <c r="CG397" s="15"/>
      <c r="CH397" s="15"/>
      <c r="CI397" s="15"/>
      <c r="CJ397" s="24"/>
      <c r="CK397" s="15"/>
      <c r="CL397" s="15"/>
      <c r="CM397" s="15"/>
      <c r="CN397" s="40"/>
      <c r="CO397" s="24"/>
      <c r="CP397" s="427"/>
      <c r="CQ397" s="427"/>
      <c r="CR397" s="427"/>
      <c r="CS397" s="427"/>
      <c r="CT397" s="363">
        <f t="shared" si="2271"/>
        <v>0</v>
      </c>
      <c r="CU397" s="427"/>
      <c r="CV397" s="427"/>
      <c r="CW397" s="427"/>
      <c r="CX397" s="427"/>
      <c r="CY397" s="363">
        <f t="shared" si="2272"/>
        <v>0</v>
      </c>
      <c r="CZ397" s="427"/>
      <c r="DA397" s="427"/>
      <c r="DB397" s="427"/>
      <c r="DC397" s="427"/>
      <c r="DD397" s="363">
        <f t="shared" si="2273"/>
        <v>0</v>
      </c>
      <c r="DE397" s="427"/>
      <c r="DF397" s="427"/>
      <c r="DG397" s="36"/>
      <c r="DH397" s="427"/>
      <c r="DI397" s="363">
        <f t="shared" si="2274"/>
        <v>0</v>
      </c>
      <c r="DJ397" s="36"/>
      <c r="DK397" s="36"/>
      <c r="DL397" s="36"/>
      <c r="DM397" s="36"/>
      <c r="DN397" s="363">
        <f t="shared" si="2275"/>
        <v>0</v>
      </c>
      <c r="DO397" s="36"/>
      <c r="DP397" s="36"/>
      <c r="DQ397" s="36"/>
      <c r="DR397" s="36"/>
      <c r="DS397" s="363">
        <f t="shared" si="2276"/>
        <v>0</v>
      </c>
      <c r="DT397" s="36"/>
      <c r="DU397" s="36"/>
      <c r="DV397" s="36"/>
      <c r="DW397" s="36"/>
      <c r="DX397" s="363">
        <f t="shared" si="2277"/>
        <v>0</v>
      </c>
      <c r="DY397" s="36"/>
      <c r="DZ397" s="36"/>
      <c r="EA397" s="36"/>
      <c r="EB397" s="36"/>
      <c r="EC397" s="363">
        <f t="shared" si="2278"/>
        <v>0</v>
      </c>
      <c r="ED397" s="36"/>
      <c r="EE397" s="36"/>
      <c r="EF397" s="36"/>
      <c r="EG397" s="36"/>
      <c r="EH397" s="363">
        <f t="shared" si="2280"/>
        <v>0</v>
      </c>
      <c r="EI397" s="428"/>
      <c r="EJ397" s="427"/>
      <c r="EK397" s="427"/>
      <c r="EL397" s="427"/>
      <c r="EM397" s="363">
        <f t="shared" si="2262"/>
        <v>0</v>
      </c>
      <c r="EN397" s="427"/>
      <c r="EO397" s="427"/>
      <c r="EP397" s="427"/>
      <c r="EQ397" s="427"/>
      <c r="ER397" s="363">
        <f t="shared" si="2264"/>
        <v>0</v>
      </c>
      <c r="ES397" s="427"/>
      <c r="ET397" s="427"/>
      <c r="EU397" s="427"/>
      <c r="EV397" s="427"/>
      <c r="EW397" s="363">
        <f t="shared" si="2266"/>
        <v>0</v>
      </c>
      <c r="EX397" s="427"/>
      <c r="EY397" s="427"/>
      <c r="EZ397" s="427"/>
      <c r="FA397" s="427"/>
      <c r="FB397" s="363">
        <f t="shared" si="2268"/>
        <v>0</v>
      </c>
      <c r="FC397" s="427"/>
      <c r="FD397" s="427"/>
      <c r="FE397" s="427"/>
      <c r="FF397" s="427"/>
      <c r="FG397" s="363">
        <f t="shared" si="2270"/>
        <v>0</v>
      </c>
      <c r="FH397" s="364"/>
      <c r="FI397" s="15"/>
      <c r="FJ397" s="15"/>
      <c r="FK397" s="410"/>
      <c r="FL397" s="15"/>
    </row>
    <row r="398" ht="12.75" hidden="1" customHeight="1" outlineLevel="1">
      <c r="A398" s="4"/>
      <c r="B398" s="529" t="s">
        <v>247</v>
      </c>
      <c r="C398" s="45"/>
      <c r="D398" s="15"/>
      <c r="E398" s="15"/>
      <c r="F398" s="15"/>
      <c r="G398" s="15"/>
      <c r="H398" s="410"/>
      <c r="I398" s="15"/>
      <c r="J398" s="15"/>
      <c r="K398" s="15"/>
      <c r="L398" s="15"/>
      <c r="M398" s="410"/>
      <c r="N398" s="15"/>
      <c r="O398" s="15"/>
      <c r="P398" s="15"/>
      <c r="Q398" s="15"/>
      <c r="R398" s="410"/>
      <c r="S398" s="15"/>
      <c r="T398" s="15"/>
      <c r="U398" s="15"/>
      <c r="V398" s="15"/>
      <c r="W398" s="410"/>
      <c r="X398" s="15"/>
      <c r="Y398" s="15"/>
      <c r="Z398" s="15"/>
      <c r="AA398" s="15"/>
      <c r="AB398" s="410"/>
      <c r="AC398" s="15"/>
      <c r="AD398" s="15"/>
      <c r="AE398" s="15"/>
      <c r="AF398" s="15"/>
      <c r="AG398" s="410"/>
      <c r="AH398" s="15"/>
      <c r="AI398" s="15"/>
      <c r="AJ398" s="15"/>
      <c r="AK398" s="15"/>
      <c r="AL398" s="410"/>
      <c r="AM398" s="15"/>
      <c r="AN398" s="15"/>
      <c r="AO398" s="15"/>
      <c r="AP398" s="15"/>
      <c r="AQ398" s="410"/>
      <c r="AR398" s="15"/>
      <c r="AS398" s="15"/>
      <c r="AT398" s="15"/>
      <c r="AU398" s="15"/>
      <c r="AV398" s="410"/>
      <c r="AW398" s="15"/>
      <c r="AX398" s="15"/>
      <c r="AY398" s="15"/>
      <c r="AZ398" s="15"/>
      <c r="BA398" s="410"/>
      <c r="BB398" s="15"/>
      <c r="BC398" s="15"/>
      <c r="BD398" s="15"/>
      <c r="BE398" s="15"/>
      <c r="BF398" s="410"/>
      <c r="BG398" s="15"/>
      <c r="BH398" s="15"/>
      <c r="BI398" s="15"/>
      <c r="BJ398" s="15"/>
      <c r="BK398" s="410"/>
      <c r="BL398" s="15"/>
      <c r="BM398" s="15"/>
      <c r="BN398" s="15"/>
      <c r="BO398" s="15"/>
      <c r="BP398" s="410"/>
      <c r="BQ398" s="15"/>
      <c r="BR398" s="15"/>
      <c r="BS398" s="15"/>
      <c r="BT398" s="15"/>
      <c r="BU398" s="410"/>
      <c r="BV398" s="15"/>
      <c r="BW398" s="15"/>
      <c r="BX398" s="15"/>
      <c r="BY398" s="15"/>
      <c r="BZ398" s="24"/>
      <c r="CA398" s="15"/>
      <c r="CB398" s="15"/>
      <c r="CC398" s="15"/>
      <c r="CD398" s="15"/>
      <c r="CE398" s="24"/>
      <c r="CF398" s="15"/>
      <c r="CG398" s="15"/>
      <c r="CH398" s="15"/>
      <c r="CI398" s="15"/>
      <c r="CJ398" s="24"/>
      <c r="CK398" s="15"/>
      <c r="CL398" s="15"/>
      <c r="CM398" s="15"/>
      <c r="CN398" s="40"/>
      <c r="CO398" s="24"/>
      <c r="CP398" s="530">
        <f t="shared" ref="CP398:CY398" si="2286">SUM(CP265,CP324,CP357,CP393,CP396)</f>
        <v>12764</v>
      </c>
      <c r="CQ398" s="530">
        <f t="shared" si="2286"/>
        <v>13831</v>
      </c>
      <c r="CR398" s="530">
        <f t="shared" si="2286"/>
        <v>14554</v>
      </c>
      <c r="CS398" s="530">
        <f t="shared" si="2286"/>
        <v>14721</v>
      </c>
      <c r="CT398" s="531">
        <f t="shared" si="2286"/>
        <v>55870</v>
      </c>
      <c r="CU398" s="530">
        <f t="shared" si="2286"/>
        <v>12781</v>
      </c>
      <c r="CV398" s="530">
        <f t="shared" si="2286"/>
        <v>13195</v>
      </c>
      <c r="CW398" s="530">
        <f t="shared" si="2286"/>
        <v>14465</v>
      </c>
      <c r="CX398" s="530">
        <f t="shared" si="2286"/>
        <v>14914</v>
      </c>
      <c r="CY398" s="531">
        <f t="shared" si="2286"/>
        <v>55355</v>
      </c>
      <c r="CZ398" s="530">
        <f t="shared" ref="CZ398:DC398" si="2287">SUM(CZ265,CZ324,CZ357,CZ362,CZ393,CZ391,CZ396)</f>
        <v>13801</v>
      </c>
      <c r="DA398" s="530">
        <f t="shared" si="2287"/>
        <v>13533</v>
      </c>
      <c r="DB398" s="530">
        <f t="shared" si="2287"/>
        <v>15778</v>
      </c>
      <c r="DC398" s="530">
        <f t="shared" si="2287"/>
        <v>16374</v>
      </c>
      <c r="DD398" s="531">
        <f>SUM(DD265,DD324,DD357,DD362,DD393,DD391,DD395,DD396)</f>
        <v>59486</v>
      </c>
      <c r="DE398" s="530">
        <f t="shared" ref="DE398:DF398" si="2288">SUM(DE265,DE324,DE357,DE362,DE393,DE391,DE396)</f>
        <v>14796</v>
      </c>
      <c r="DF398" s="530">
        <f t="shared" si="2288"/>
        <v>14763</v>
      </c>
      <c r="DG398" s="530">
        <f t="shared" ref="DG398:EC398" si="2289">SUM(DG265,DG324,DG357,DG362,DG393,DG391,DG395,DG396)</f>
        <v>16149</v>
      </c>
      <c r="DH398" s="530">
        <f t="shared" si="2289"/>
        <v>17053</v>
      </c>
      <c r="DI398" s="531">
        <f t="shared" si="2289"/>
        <v>62870</v>
      </c>
      <c r="DJ398" s="532">
        <f t="shared" si="2289"/>
        <v>16066</v>
      </c>
      <c r="DK398" s="532">
        <f t="shared" si="2289"/>
        <v>16962</v>
      </c>
      <c r="DL398" s="532">
        <f t="shared" si="2289"/>
        <v>19163</v>
      </c>
      <c r="DM398" s="532">
        <f t="shared" si="2289"/>
        <v>18657</v>
      </c>
      <c r="DN398" s="531">
        <f t="shared" si="2289"/>
        <v>70848</v>
      </c>
      <c r="DO398" s="532">
        <f t="shared" si="2289"/>
        <v>16061</v>
      </c>
      <c r="DP398" s="532">
        <f t="shared" si="2289"/>
        <v>16505</v>
      </c>
      <c r="DQ398" s="532">
        <f t="shared" si="2289"/>
        <v>19190</v>
      </c>
      <c r="DR398" s="532">
        <f t="shared" si="2289"/>
        <v>20209</v>
      </c>
      <c r="DS398" s="531">
        <f t="shared" si="2289"/>
        <v>71965</v>
      </c>
      <c r="DT398" s="532">
        <f t="shared" si="2289"/>
        <v>19828</v>
      </c>
      <c r="DU398" s="532">
        <f t="shared" si="2289"/>
        <v>19728</v>
      </c>
      <c r="DV398" s="532">
        <f t="shared" si="2289"/>
        <v>18333</v>
      </c>
      <c r="DW398" s="532">
        <f t="shared" si="2289"/>
        <v>19978</v>
      </c>
      <c r="DX398" s="531">
        <f t="shared" si="2289"/>
        <v>77867</v>
      </c>
      <c r="DY398" s="532">
        <f t="shared" si="2289"/>
        <v>19673</v>
      </c>
      <c r="DZ398" s="532">
        <f t="shared" si="2289"/>
        <v>19631</v>
      </c>
      <c r="EA398" s="532" t="str">
        <f t="shared" si="2289"/>
        <v>#ERROR!</v>
      </c>
      <c r="EB398" s="532" t="str">
        <f t="shared" si="2289"/>
        <v>#ERROR!</v>
      </c>
      <c r="EC398" s="531" t="str">
        <f t="shared" si="2289"/>
        <v>#ERROR!</v>
      </c>
      <c r="ED398" s="532" t="str">
        <f t="shared" ref="ED398:FG398" si="2290">SUM(ED265,ED324,ED357,ED362,ED393,ED391,ED395,ED396,ED394)</f>
        <v>#ERROR!</v>
      </c>
      <c r="EE398" s="532" t="str">
        <f t="shared" si="2290"/>
        <v>#ERROR!</v>
      </c>
      <c r="EF398" s="532" t="str">
        <f t="shared" si="2290"/>
        <v>#ERROR!</v>
      </c>
      <c r="EG398" s="532" t="str">
        <f t="shared" si="2290"/>
        <v>#ERROR!</v>
      </c>
      <c r="EH398" s="531" t="str">
        <f t="shared" si="2290"/>
        <v>#ERROR!</v>
      </c>
      <c r="EI398" s="533" t="str">
        <f t="shared" si="2290"/>
        <v>#ERROR!</v>
      </c>
      <c r="EJ398" s="530" t="str">
        <f t="shared" si="2290"/>
        <v>#ERROR!</v>
      </c>
      <c r="EK398" s="530" t="str">
        <f t="shared" si="2290"/>
        <v>#ERROR!</v>
      </c>
      <c r="EL398" s="530" t="str">
        <f t="shared" si="2290"/>
        <v>#ERROR!</v>
      </c>
      <c r="EM398" s="531" t="str">
        <f t="shared" si="2290"/>
        <v>#ERROR!</v>
      </c>
      <c r="EN398" s="530" t="str">
        <f t="shared" si="2290"/>
        <v>#ERROR!</v>
      </c>
      <c r="EO398" s="530" t="str">
        <f t="shared" si="2290"/>
        <v>#ERROR!</v>
      </c>
      <c r="EP398" s="530" t="str">
        <f t="shared" si="2290"/>
        <v>#ERROR!</v>
      </c>
      <c r="EQ398" s="530" t="str">
        <f t="shared" si="2290"/>
        <v>#ERROR!</v>
      </c>
      <c r="ER398" s="531" t="str">
        <f t="shared" si="2290"/>
        <v>#ERROR!</v>
      </c>
      <c r="ES398" s="530" t="str">
        <f t="shared" si="2290"/>
        <v>#ERROR!</v>
      </c>
      <c r="ET398" s="530" t="str">
        <f t="shared" si="2290"/>
        <v>#ERROR!</v>
      </c>
      <c r="EU398" s="530" t="str">
        <f t="shared" si="2290"/>
        <v>#ERROR!</v>
      </c>
      <c r="EV398" s="530" t="str">
        <f t="shared" si="2290"/>
        <v>#ERROR!</v>
      </c>
      <c r="EW398" s="531" t="str">
        <f t="shared" si="2290"/>
        <v>#ERROR!</v>
      </c>
      <c r="EX398" s="530" t="str">
        <f t="shared" si="2290"/>
        <v>#ERROR!</v>
      </c>
      <c r="EY398" s="530" t="str">
        <f t="shared" si="2290"/>
        <v>#ERROR!</v>
      </c>
      <c r="EZ398" s="530" t="str">
        <f t="shared" si="2290"/>
        <v>#ERROR!</v>
      </c>
      <c r="FA398" s="530" t="str">
        <f t="shared" si="2290"/>
        <v>#ERROR!</v>
      </c>
      <c r="FB398" s="531" t="str">
        <f t="shared" si="2290"/>
        <v>#ERROR!</v>
      </c>
      <c r="FC398" s="530" t="str">
        <f t="shared" si="2290"/>
        <v>#ERROR!</v>
      </c>
      <c r="FD398" s="530" t="str">
        <f t="shared" si="2290"/>
        <v>#ERROR!</v>
      </c>
      <c r="FE398" s="530" t="str">
        <f t="shared" si="2290"/>
        <v>#ERROR!</v>
      </c>
      <c r="FF398" s="530" t="str">
        <f t="shared" si="2290"/>
        <v>#ERROR!</v>
      </c>
      <c r="FG398" s="531" t="str">
        <f t="shared" si="2290"/>
        <v>#ERROR!</v>
      </c>
      <c r="FH398" s="364"/>
      <c r="FI398" s="15"/>
      <c r="FJ398" s="15"/>
      <c r="FK398" s="410"/>
      <c r="FL398" s="15"/>
    </row>
    <row r="399" ht="12.75" hidden="1" customHeight="1" outlineLevel="1">
      <c r="A399" s="4"/>
      <c r="B399" s="86" t="s">
        <v>209</v>
      </c>
      <c r="C399" s="45"/>
      <c r="D399" s="15"/>
      <c r="E399" s="15"/>
      <c r="F399" s="15"/>
      <c r="G399" s="15"/>
      <c r="H399" s="410"/>
      <c r="I399" s="15"/>
      <c r="J399" s="15"/>
      <c r="K399" s="15"/>
      <c r="L399" s="15"/>
      <c r="M399" s="410"/>
      <c r="N399" s="15"/>
      <c r="O399" s="15"/>
      <c r="P399" s="15"/>
      <c r="Q399" s="15"/>
      <c r="R399" s="410"/>
      <c r="S399" s="15"/>
      <c r="T399" s="15"/>
      <c r="U399" s="15"/>
      <c r="V399" s="15"/>
      <c r="W399" s="410"/>
      <c r="X399" s="15"/>
      <c r="Y399" s="15"/>
      <c r="Z399" s="15"/>
      <c r="AA399" s="15"/>
      <c r="AB399" s="410"/>
      <c r="AC399" s="15"/>
      <c r="AD399" s="15"/>
      <c r="AE399" s="15"/>
      <c r="AF399" s="15"/>
      <c r="AG399" s="410"/>
      <c r="AH399" s="15"/>
      <c r="AI399" s="15"/>
      <c r="AJ399" s="15"/>
      <c r="AK399" s="15"/>
      <c r="AL399" s="410"/>
      <c r="AM399" s="15"/>
      <c r="AN399" s="15"/>
      <c r="AO399" s="15"/>
      <c r="AP399" s="15"/>
      <c r="AQ399" s="410"/>
      <c r="AR399" s="15"/>
      <c r="AS399" s="15"/>
      <c r="AT399" s="15"/>
      <c r="AU399" s="15"/>
      <c r="AV399" s="410"/>
      <c r="AW399" s="15"/>
      <c r="AX399" s="15"/>
      <c r="AY399" s="15"/>
      <c r="AZ399" s="15"/>
      <c r="BA399" s="410"/>
      <c r="BB399" s="15"/>
      <c r="BC399" s="15"/>
      <c r="BD399" s="15"/>
      <c r="BE399" s="15"/>
      <c r="BF399" s="410"/>
      <c r="BG399" s="15"/>
      <c r="BH399" s="15"/>
      <c r="BI399" s="15"/>
      <c r="BJ399" s="15"/>
      <c r="BK399" s="410"/>
      <c r="BL399" s="15"/>
      <c r="BM399" s="15"/>
      <c r="BN399" s="15"/>
      <c r="BO399" s="15"/>
      <c r="BP399" s="410"/>
      <c r="BQ399" s="15"/>
      <c r="BR399" s="15"/>
      <c r="BS399" s="15"/>
      <c r="BT399" s="15"/>
      <c r="BU399" s="410"/>
      <c r="BV399" s="15"/>
      <c r="BW399" s="15"/>
      <c r="BX399" s="15"/>
      <c r="BY399" s="15"/>
      <c r="BZ399" s="24"/>
      <c r="CA399" s="15"/>
      <c r="CB399" s="15"/>
      <c r="CC399" s="15"/>
      <c r="CD399" s="15"/>
      <c r="CE399" s="24"/>
      <c r="CF399" s="15"/>
      <c r="CG399" s="15"/>
      <c r="CH399" s="15"/>
      <c r="CI399" s="15"/>
      <c r="CJ399" s="24"/>
      <c r="CK399" s="15"/>
      <c r="CL399" s="15"/>
      <c r="CM399" s="15"/>
      <c r="CN399" s="40"/>
      <c r="CO399" s="24"/>
      <c r="CP399" s="534">
        <f t="shared" ref="CP399:DX399" si="2291">CP12-CP398</f>
        <v>0</v>
      </c>
      <c r="CQ399" s="534">
        <f t="shared" si="2291"/>
        <v>0</v>
      </c>
      <c r="CR399" s="534">
        <f t="shared" si="2291"/>
        <v>0</v>
      </c>
      <c r="CS399" s="534">
        <f t="shared" si="2291"/>
        <v>0</v>
      </c>
      <c r="CT399" s="535">
        <f t="shared" si="2291"/>
        <v>0</v>
      </c>
      <c r="CU399" s="534">
        <f t="shared" si="2291"/>
        <v>0</v>
      </c>
      <c r="CV399" s="534">
        <f t="shared" si="2291"/>
        <v>0</v>
      </c>
      <c r="CW399" s="534">
        <f t="shared" si="2291"/>
        <v>0</v>
      </c>
      <c r="CX399" s="534">
        <f t="shared" si="2291"/>
        <v>0</v>
      </c>
      <c r="CY399" s="535">
        <f t="shared" si="2291"/>
        <v>0</v>
      </c>
      <c r="CZ399" s="534">
        <f t="shared" si="2291"/>
        <v>0</v>
      </c>
      <c r="DA399" s="534">
        <f t="shared" si="2291"/>
        <v>0</v>
      </c>
      <c r="DB399" s="534">
        <f t="shared" si="2291"/>
        <v>0</v>
      </c>
      <c r="DC399" s="534">
        <f t="shared" si="2291"/>
        <v>0</v>
      </c>
      <c r="DD399" s="535">
        <f t="shared" si="2291"/>
        <v>0</v>
      </c>
      <c r="DE399" s="534">
        <f t="shared" si="2291"/>
        <v>0</v>
      </c>
      <c r="DF399" s="534">
        <f t="shared" si="2291"/>
        <v>0</v>
      </c>
      <c r="DG399" s="536">
        <f t="shared" si="2291"/>
        <v>0</v>
      </c>
      <c r="DH399" s="534">
        <f t="shared" si="2291"/>
        <v>0</v>
      </c>
      <c r="DI399" s="535">
        <f t="shared" si="2291"/>
        <v>-109</v>
      </c>
      <c r="DJ399" s="536">
        <f t="shared" si="2291"/>
        <v>0</v>
      </c>
      <c r="DK399" s="536">
        <f t="shared" si="2291"/>
        <v>0</v>
      </c>
      <c r="DL399" s="536">
        <f t="shared" si="2291"/>
        <v>0</v>
      </c>
      <c r="DM399" s="536">
        <f t="shared" si="2291"/>
        <v>0</v>
      </c>
      <c r="DN399" s="535">
        <f t="shared" si="2291"/>
        <v>0</v>
      </c>
      <c r="DO399" s="537">
        <f t="shared" si="2291"/>
        <v>0</v>
      </c>
      <c r="DP399" s="537">
        <f t="shared" si="2291"/>
        <v>0</v>
      </c>
      <c r="DQ399" s="537">
        <f t="shared" si="2291"/>
        <v>0</v>
      </c>
      <c r="DR399" s="537">
        <f t="shared" si="2291"/>
        <v>0</v>
      </c>
      <c r="DS399" s="538">
        <f t="shared" si="2291"/>
        <v>0</v>
      </c>
      <c r="DT399" s="537">
        <f t="shared" si="2291"/>
        <v>0</v>
      </c>
      <c r="DU399" s="537">
        <f t="shared" si="2291"/>
        <v>0</v>
      </c>
      <c r="DV399" s="537">
        <f t="shared" si="2291"/>
        <v>0</v>
      </c>
      <c r="DW399" s="537">
        <f t="shared" si="2291"/>
        <v>0</v>
      </c>
      <c r="DX399" s="535">
        <f t="shared" si="2291"/>
        <v>0</v>
      </c>
      <c r="DY399" s="537">
        <f t="shared" ref="DY399:EC399" si="2292">DY11-DY398</f>
        <v>0</v>
      </c>
      <c r="DZ399" s="537">
        <f t="shared" si="2292"/>
        <v>0</v>
      </c>
      <c r="EA399" s="537" t="str">
        <f t="shared" si="2292"/>
        <v>#ERROR!</v>
      </c>
      <c r="EB399" s="537" t="str">
        <f t="shared" si="2292"/>
        <v>#ERROR!</v>
      </c>
      <c r="EC399" s="538" t="str">
        <f t="shared" si="2292"/>
        <v>#ERROR!</v>
      </c>
      <c r="ED399" s="537" t="str">
        <f t="shared" ref="ED399:FG399" si="2293">ED12-ED398</f>
        <v>#ERROR!</v>
      </c>
      <c r="EE399" s="537" t="str">
        <f t="shared" si="2293"/>
        <v>#ERROR!</v>
      </c>
      <c r="EF399" s="537" t="str">
        <f t="shared" si="2293"/>
        <v>#ERROR!</v>
      </c>
      <c r="EG399" s="537" t="str">
        <f t="shared" si="2293"/>
        <v>#ERROR!</v>
      </c>
      <c r="EH399" s="539" t="str">
        <f t="shared" si="2293"/>
        <v>#ERROR!</v>
      </c>
      <c r="EI399" s="407" t="str">
        <f t="shared" si="2293"/>
        <v>#ERROR!</v>
      </c>
      <c r="EJ399" s="402" t="str">
        <f t="shared" si="2293"/>
        <v>#ERROR!</v>
      </c>
      <c r="EK399" s="402" t="str">
        <f t="shared" si="2293"/>
        <v>#ERROR!</v>
      </c>
      <c r="EL399" s="402" t="str">
        <f t="shared" si="2293"/>
        <v>#ERROR!</v>
      </c>
      <c r="EM399" s="539" t="str">
        <f t="shared" si="2293"/>
        <v>#ERROR!</v>
      </c>
      <c r="EN399" s="402" t="str">
        <f t="shared" si="2293"/>
        <v>#ERROR!</v>
      </c>
      <c r="EO399" s="402" t="str">
        <f t="shared" si="2293"/>
        <v>#ERROR!</v>
      </c>
      <c r="EP399" s="402" t="str">
        <f t="shared" si="2293"/>
        <v>#ERROR!</v>
      </c>
      <c r="EQ399" s="402" t="str">
        <f t="shared" si="2293"/>
        <v>#ERROR!</v>
      </c>
      <c r="ER399" s="539" t="str">
        <f t="shared" si="2293"/>
        <v>#ERROR!</v>
      </c>
      <c r="ES399" s="402" t="str">
        <f t="shared" si="2293"/>
        <v>#ERROR!</v>
      </c>
      <c r="ET399" s="402" t="str">
        <f t="shared" si="2293"/>
        <v>#ERROR!</v>
      </c>
      <c r="EU399" s="402" t="str">
        <f t="shared" si="2293"/>
        <v>#ERROR!</v>
      </c>
      <c r="EV399" s="402" t="str">
        <f t="shared" si="2293"/>
        <v>#ERROR!</v>
      </c>
      <c r="EW399" s="539" t="str">
        <f t="shared" si="2293"/>
        <v>#ERROR!</v>
      </c>
      <c r="EX399" s="402" t="str">
        <f t="shared" si="2293"/>
        <v>#ERROR!</v>
      </c>
      <c r="EY399" s="402" t="str">
        <f t="shared" si="2293"/>
        <v>#ERROR!</v>
      </c>
      <c r="EZ399" s="402" t="str">
        <f t="shared" si="2293"/>
        <v>#ERROR!</v>
      </c>
      <c r="FA399" s="402" t="str">
        <f t="shared" si="2293"/>
        <v>#ERROR!</v>
      </c>
      <c r="FB399" s="539" t="str">
        <f t="shared" si="2293"/>
        <v>#ERROR!</v>
      </c>
      <c r="FC399" s="402" t="str">
        <f t="shared" si="2293"/>
        <v>#ERROR!</v>
      </c>
      <c r="FD399" s="402" t="str">
        <f t="shared" si="2293"/>
        <v>#ERROR!</v>
      </c>
      <c r="FE399" s="402" t="str">
        <f t="shared" si="2293"/>
        <v>#ERROR!</v>
      </c>
      <c r="FF399" s="402" t="str">
        <f t="shared" si="2293"/>
        <v>#ERROR!</v>
      </c>
      <c r="FG399" s="539" t="str">
        <f t="shared" si="2293"/>
        <v>#ERROR!</v>
      </c>
      <c r="FH399" s="126"/>
      <c r="FI399" s="15"/>
      <c r="FJ399" s="15"/>
      <c r="FK399" s="410"/>
      <c r="FL399" s="15"/>
    </row>
    <row r="400" ht="12.75" hidden="1" customHeight="1" outlineLevel="1">
      <c r="A400" s="4"/>
      <c r="B400" s="45" t="s">
        <v>248</v>
      </c>
      <c r="C400" s="45"/>
      <c r="D400" s="15"/>
      <c r="E400" s="15"/>
      <c r="F400" s="15"/>
      <c r="G400" s="15"/>
      <c r="H400" s="410"/>
      <c r="I400" s="15"/>
      <c r="J400" s="15"/>
      <c r="K400" s="15"/>
      <c r="L400" s="15"/>
      <c r="M400" s="410"/>
      <c r="N400" s="15"/>
      <c r="O400" s="15"/>
      <c r="P400" s="15"/>
      <c r="Q400" s="15"/>
      <c r="R400" s="410"/>
      <c r="S400" s="15"/>
      <c r="T400" s="15"/>
      <c r="U400" s="15"/>
      <c r="V400" s="15"/>
      <c r="W400" s="410"/>
      <c r="X400" s="15"/>
      <c r="Y400" s="15"/>
      <c r="Z400" s="15"/>
      <c r="AA400" s="15"/>
      <c r="AB400" s="410"/>
      <c r="AC400" s="15"/>
      <c r="AD400" s="15"/>
      <c r="AE400" s="15"/>
      <c r="AF400" s="15"/>
      <c r="AG400" s="410"/>
      <c r="AH400" s="15"/>
      <c r="AI400" s="15"/>
      <c r="AJ400" s="15"/>
      <c r="AK400" s="15"/>
      <c r="AL400" s="410"/>
      <c r="AM400" s="15"/>
      <c r="AN400" s="15"/>
      <c r="AO400" s="15"/>
      <c r="AP400" s="15"/>
      <c r="AQ400" s="410"/>
      <c r="AR400" s="15"/>
      <c r="AS400" s="15"/>
      <c r="AT400" s="15"/>
      <c r="AU400" s="15"/>
      <c r="AV400" s="410"/>
      <c r="AW400" s="15"/>
      <c r="AX400" s="15"/>
      <c r="AY400" s="15"/>
      <c r="AZ400" s="15"/>
      <c r="BA400" s="410"/>
      <c r="BB400" s="15"/>
      <c r="BC400" s="15"/>
      <c r="BD400" s="15"/>
      <c r="BE400" s="15"/>
      <c r="BF400" s="410"/>
      <c r="BG400" s="15"/>
      <c r="BH400" s="15"/>
      <c r="BI400" s="15"/>
      <c r="BJ400" s="15"/>
      <c r="BK400" s="410"/>
      <c r="BL400" s="15"/>
      <c r="BM400" s="15"/>
      <c r="BN400" s="15"/>
      <c r="BO400" s="15"/>
      <c r="BP400" s="410"/>
      <c r="BQ400" s="15"/>
      <c r="BR400" s="15"/>
      <c r="BS400" s="15"/>
      <c r="BT400" s="15"/>
      <c r="BU400" s="410"/>
      <c r="BV400" s="15"/>
      <c r="BW400" s="15"/>
      <c r="BX400" s="15"/>
      <c r="BY400" s="15"/>
      <c r="BZ400" s="24"/>
      <c r="CA400" s="15"/>
      <c r="CB400" s="15"/>
      <c r="CC400" s="15"/>
      <c r="CD400" s="15"/>
      <c r="CE400" s="24"/>
      <c r="CF400" s="15"/>
      <c r="CG400" s="15"/>
      <c r="CH400" s="15"/>
      <c r="CI400" s="15"/>
      <c r="CJ400" s="24"/>
      <c r="CK400" s="15"/>
      <c r="CL400" s="15"/>
      <c r="CM400" s="15"/>
      <c r="CN400" s="40"/>
      <c r="CO400" s="24"/>
      <c r="CP400" s="104"/>
      <c r="CQ400" s="104"/>
      <c r="CR400" s="104"/>
      <c r="CS400" s="104"/>
      <c r="CT400" s="481">
        <f>CT324+CT357+CT362</f>
        <v>18675</v>
      </c>
      <c r="CU400" s="427"/>
      <c r="CV400" s="427"/>
      <c r="CW400" s="427"/>
      <c r="CX400" s="427"/>
      <c r="CY400" s="481">
        <f>CY324+CY357+CY362</f>
        <v>20872</v>
      </c>
      <c r="CZ400" s="17"/>
      <c r="DA400" s="17"/>
      <c r="DB400" s="17"/>
      <c r="DC400" s="17"/>
      <c r="DD400" s="481">
        <f>DD324+DD357+DD362+DD391</f>
        <v>24218</v>
      </c>
      <c r="DE400" s="534"/>
      <c r="DF400" s="534"/>
      <c r="DG400" s="536"/>
      <c r="DH400" s="17"/>
      <c r="DI400" s="481">
        <f>DI324+DI357+DI362+DI391</f>
        <v>27655</v>
      </c>
      <c r="DJ400" s="19">
        <f t="shared" ref="DJ400:DM400" si="2294">DJ324+DJ357+DJ362+DJ391+DJ395</f>
        <v>7763</v>
      </c>
      <c r="DK400" s="19">
        <f t="shared" si="2294"/>
        <v>8149</v>
      </c>
      <c r="DL400" s="19">
        <f t="shared" si="2294"/>
        <v>8816</v>
      </c>
      <c r="DM400" s="19">
        <f t="shared" si="2294"/>
        <v>8787</v>
      </c>
      <c r="DN400" s="481">
        <f>DN324+DN357+DN362+DN391</f>
        <v>32827</v>
      </c>
      <c r="DO400" s="19">
        <f t="shared" ref="DO400:DX400" si="2295">DO324+DO357+DO362+DO391+DO395</f>
        <v>7422</v>
      </c>
      <c r="DP400" s="19">
        <f t="shared" si="2295"/>
        <v>7599</v>
      </c>
      <c r="DQ400" s="19">
        <f t="shared" si="2295"/>
        <v>9414</v>
      </c>
      <c r="DR400" s="19">
        <f t="shared" si="2295"/>
        <v>10095</v>
      </c>
      <c r="DS400" s="481">
        <f t="shared" si="2295"/>
        <v>34530</v>
      </c>
      <c r="DT400" s="19">
        <f t="shared" si="2295"/>
        <v>9987</v>
      </c>
      <c r="DU400" s="19">
        <f t="shared" si="2295"/>
        <v>10093</v>
      </c>
      <c r="DV400" s="19">
        <f t="shared" si="2295"/>
        <v>8380</v>
      </c>
      <c r="DW400" s="19">
        <f t="shared" si="2295"/>
        <v>8828</v>
      </c>
      <c r="DX400" s="481">
        <f t="shared" si="2295"/>
        <v>37288</v>
      </c>
      <c r="DY400" s="19">
        <f t="shared" ref="DY400:EB400" si="2296">DY324+DY357+DY391+DY395</f>
        <v>7341</v>
      </c>
      <c r="DZ400" s="19">
        <f t="shared" si="2296"/>
        <v>8252</v>
      </c>
      <c r="EA400" s="19" t="str">
        <f t="shared" si="2296"/>
        <v>#ERROR!</v>
      </c>
      <c r="EB400" s="19" t="str">
        <f t="shared" si="2296"/>
        <v>#ERROR!</v>
      </c>
      <c r="EC400" s="481" t="str">
        <f>EC324+EC357+EC362+EC391</f>
        <v>#ERROR!</v>
      </c>
      <c r="ED400" s="19" t="str">
        <f>ED324+ED357+ED391+ED395</f>
        <v>#ERROR!</v>
      </c>
      <c r="EE400" s="19"/>
      <c r="EF400" s="19"/>
      <c r="EG400" s="19"/>
      <c r="EH400" s="481" t="str">
        <f>EH324+EH357+EH362+EH391</f>
        <v>#ERROR!</v>
      </c>
      <c r="EI400" s="540"/>
      <c r="EJ400" s="534"/>
      <c r="EK400" s="534"/>
      <c r="EL400" s="534"/>
      <c r="EM400" s="481" t="str">
        <f>EM324+EM357+EM362+EM391</f>
        <v>#ERROR!</v>
      </c>
      <c r="EN400" s="534"/>
      <c r="EO400" s="534"/>
      <c r="EP400" s="534"/>
      <c r="EQ400" s="534"/>
      <c r="ER400" s="481" t="str">
        <f>ER324+ER357+ER362+ER391</f>
        <v>#ERROR!</v>
      </c>
      <c r="ES400" s="534"/>
      <c r="ET400" s="534"/>
      <c r="EU400" s="534"/>
      <c r="EV400" s="534"/>
      <c r="EW400" s="481" t="str">
        <f>EW324+EW357+EW362+EW391</f>
        <v>#ERROR!</v>
      </c>
      <c r="EX400" s="534"/>
      <c r="EY400" s="534"/>
      <c r="EZ400" s="534"/>
      <c r="FA400" s="534"/>
      <c r="FB400" s="481" t="str">
        <f>FB324+FB357+FB362+FB391</f>
        <v>#ERROR!</v>
      </c>
      <c r="FC400" s="534"/>
      <c r="FD400" s="534"/>
      <c r="FE400" s="534"/>
      <c r="FF400" s="534"/>
      <c r="FG400" s="481" t="str">
        <f>FG324+FG357+FG362+FG391</f>
        <v>#ERROR!</v>
      </c>
      <c r="FH400" s="36"/>
      <c r="FI400" s="15"/>
      <c r="FJ400" s="15"/>
      <c r="FK400" s="410"/>
      <c r="FL400" s="15"/>
    </row>
    <row r="401" ht="12.75" hidden="1" customHeight="1" outlineLevel="1">
      <c r="A401" s="4"/>
      <c r="B401" s="4" t="s">
        <v>249</v>
      </c>
      <c r="C401" s="45"/>
      <c r="D401" s="15"/>
      <c r="E401" s="15"/>
      <c r="F401" s="15"/>
      <c r="G401" s="15"/>
      <c r="H401" s="410"/>
      <c r="I401" s="15"/>
      <c r="J401" s="15"/>
      <c r="K401" s="15"/>
      <c r="L401" s="15"/>
      <c r="M401" s="410"/>
      <c r="N401" s="15"/>
      <c r="O401" s="15"/>
      <c r="P401" s="15"/>
      <c r="Q401" s="15"/>
      <c r="R401" s="410"/>
      <c r="S401" s="15"/>
      <c r="T401" s="15"/>
      <c r="U401" s="15"/>
      <c r="V401" s="15"/>
      <c r="W401" s="410"/>
      <c r="X401" s="15"/>
      <c r="Y401" s="15"/>
      <c r="Z401" s="15"/>
      <c r="AA401" s="15"/>
      <c r="AB401" s="410"/>
      <c r="AC401" s="15"/>
      <c r="AD401" s="15"/>
      <c r="AE401" s="15"/>
      <c r="AF401" s="15"/>
      <c r="AG401" s="410"/>
      <c r="AH401" s="15"/>
      <c r="AI401" s="15"/>
      <c r="AJ401" s="15"/>
      <c r="AK401" s="15"/>
      <c r="AL401" s="410"/>
      <c r="AM401" s="15"/>
      <c r="AN401" s="15"/>
      <c r="AO401" s="15"/>
      <c r="AP401" s="15"/>
      <c r="AQ401" s="410"/>
      <c r="AR401" s="15"/>
      <c r="AS401" s="15"/>
      <c r="AT401" s="15"/>
      <c r="AU401" s="15"/>
      <c r="AV401" s="410"/>
      <c r="AW401" s="15"/>
      <c r="AX401" s="15"/>
      <c r="AY401" s="15"/>
      <c r="AZ401" s="15"/>
      <c r="BA401" s="410"/>
      <c r="BB401" s="15"/>
      <c r="BC401" s="15"/>
      <c r="BD401" s="15"/>
      <c r="BE401" s="15"/>
      <c r="BF401" s="410"/>
      <c r="BG401" s="15"/>
      <c r="BH401" s="15"/>
      <c r="BI401" s="15"/>
      <c r="BJ401" s="15"/>
      <c r="BK401" s="410"/>
      <c r="BL401" s="15"/>
      <c r="BM401" s="15"/>
      <c r="BN401" s="15"/>
      <c r="BO401" s="15"/>
      <c r="BP401" s="410"/>
      <c r="BQ401" s="15"/>
      <c r="BR401" s="15"/>
      <c r="BS401" s="15"/>
      <c r="BT401" s="15"/>
      <c r="BU401" s="410"/>
      <c r="BV401" s="15"/>
      <c r="BW401" s="15"/>
      <c r="BX401" s="15"/>
      <c r="BY401" s="15"/>
      <c r="BZ401" s="24"/>
      <c r="CA401" s="15"/>
      <c r="CB401" s="15"/>
      <c r="CC401" s="15"/>
      <c r="CD401" s="15"/>
      <c r="CE401" s="24"/>
      <c r="CF401" s="15"/>
      <c r="CG401" s="15"/>
      <c r="CH401" s="15"/>
      <c r="CI401" s="15"/>
      <c r="CJ401" s="24"/>
      <c r="CK401" s="15"/>
      <c r="CL401" s="15"/>
      <c r="CM401" s="15"/>
      <c r="CN401" s="40"/>
      <c r="CO401" s="24"/>
      <c r="CP401" s="104"/>
      <c r="CQ401" s="104"/>
      <c r="CR401" s="104"/>
      <c r="CS401" s="104"/>
      <c r="CT401" s="411">
        <f>CT400/CT12</f>
        <v>0.3342580992</v>
      </c>
      <c r="CU401" s="427"/>
      <c r="CV401" s="427"/>
      <c r="CW401" s="427"/>
      <c r="CX401" s="427"/>
      <c r="CY401" s="411">
        <f>CY400/CY12</f>
        <v>0.3770571764</v>
      </c>
      <c r="CZ401" s="17"/>
      <c r="DA401" s="17"/>
      <c r="DB401" s="17"/>
      <c r="DC401" s="17"/>
      <c r="DD401" s="313">
        <f>DD400/DD12</f>
        <v>0.4071210033</v>
      </c>
      <c r="DE401" s="15"/>
      <c r="DF401" s="15"/>
      <c r="DG401" s="40"/>
      <c r="DH401" s="15"/>
      <c r="DI401" s="313">
        <f t="shared" ref="DI401:DV401" si="2297">DI400/DI12</f>
        <v>0.4406398878</v>
      </c>
      <c r="DJ401" s="40">
        <f t="shared" si="2297"/>
        <v>0.4831943234</v>
      </c>
      <c r="DK401" s="40">
        <f t="shared" si="2297"/>
        <v>0.4804268365</v>
      </c>
      <c r="DL401" s="40">
        <f t="shared" si="2297"/>
        <v>0.4600532276</v>
      </c>
      <c r="DM401" s="40">
        <f t="shared" si="2297"/>
        <v>0.4709760412</v>
      </c>
      <c r="DN401" s="313">
        <f t="shared" si="2297"/>
        <v>0.4633440605</v>
      </c>
      <c r="DO401" s="40">
        <f t="shared" si="2297"/>
        <v>0.4621131934</v>
      </c>
      <c r="DP401" s="40">
        <f t="shared" si="2297"/>
        <v>0.4604059376</v>
      </c>
      <c r="DQ401" s="40">
        <f t="shared" si="2297"/>
        <v>0.4905680042</v>
      </c>
      <c r="DR401" s="40">
        <f t="shared" si="2297"/>
        <v>0.4995299124</v>
      </c>
      <c r="DS401" s="313">
        <f t="shared" si="2297"/>
        <v>0.4798165775</v>
      </c>
      <c r="DT401" s="40">
        <f t="shared" si="2297"/>
        <v>0.5036816623</v>
      </c>
      <c r="DU401" s="40">
        <f t="shared" si="2297"/>
        <v>0.511607867</v>
      </c>
      <c r="DV401" s="40">
        <f t="shared" si="2297"/>
        <v>0.45709922</v>
      </c>
      <c r="DW401" s="40"/>
      <c r="DX401" s="313">
        <f t="shared" ref="DX401:ED401" si="2298">DX400/DX12</f>
        <v>0.4788678131</v>
      </c>
      <c r="DY401" s="40">
        <f t="shared" si="2298"/>
        <v>0.3954001939</v>
      </c>
      <c r="DZ401" s="40">
        <f t="shared" si="2298"/>
        <v>0.4452598068</v>
      </c>
      <c r="EA401" s="40" t="str">
        <f t="shared" si="2298"/>
        <v>#ERROR!</v>
      </c>
      <c r="EB401" s="40" t="str">
        <f t="shared" si="2298"/>
        <v>#ERROR!</v>
      </c>
      <c r="EC401" s="313" t="str">
        <f t="shared" si="2298"/>
        <v>#ERROR!</v>
      </c>
      <c r="ED401" s="40" t="str">
        <f t="shared" si="2298"/>
        <v>#ERROR!</v>
      </c>
      <c r="EE401" s="40"/>
      <c r="EF401" s="40"/>
      <c r="EG401" s="40"/>
      <c r="EH401" s="313" t="str">
        <f>EH400/EH12</f>
        <v>#ERROR!</v>
      </c>
      <c r="EI401" s="25"/>
      <c r="EJ401" s="17"/>
      <c r="EK401" s="17"/>
      <c r="EL401" s="17"/>
      <c r="EM401" s="313" t="str">
        <f>EM400/EM12</f>
        <v>#ERROR!</v>
      </c>
      <c r="EN401" s="17"/>
      <c r="EO401" s="17"/>
      <c r="EP401" s="17"/>
      <c r="EQ401" s="17"/>
      <c r="ER401" s="313" t="str">
        <f>ER400/ER12</f>
        <v>#ERROR!</v>
      </c>
      <c r="ES401" s="17"/>
      <c r="ET401" s="17"/>
      <c r="EU401" s="17"/>
      <c r="EV401" s="17"/>
      <c r="EW401" s="313" t="str">
        <f>EW400/EW12</f>
        <v>#ERROR!</v>
      </c>
      <c r="EX401" s="17"/>
      <c r="EY401" s="17"/>
      <c r="EZ401" s="17"/>
      <c r="FA401" s="17"/>
      <c r="FB401" s="313" t="str">
        <f>FB400/FB12</f>
        <v>#ERROR!</v>
      </c>
      <c r="FC401" s="17"/>
      <c r="FD401" s="17"/>
      <c r="FE401" s="17"/>
      <c r="FF401" s="17"/>
      <c r="FG401" s="313" t="str">
        <f>FG400/FG12</f>
        <v>#ERROR!</v>
      </c>
      <c r="FH401" s="40"/>
      <c r="FI401" s="15"/>
      <c r="FJ401" s="15"/>
      <c r="FK401" s="410"/>
      <c r="FL401" s="15"/>
    </row>
    <row r="402" ht="12.75" hidden="1" customHeight="1" outlineLevel="1">
      <c r="A402" s="4"/>
      <c r="B402" s="4" t="s">
        <v>250</v>
      </c>
      <c r="C402" s="45"/>
      <c r="D402" s="15"/>
      <c r="E402" s="15"/>
      <c r="F402" s="15"/>
      <c r="G402" s="15"/>
      <c r="H402" s="410"/>
      <c r="I402" s="15"/>
      <c r="J402" s="15"/>
      <c r="K402" s="15"/>
      <c r="L402" s="15"/>
      <c r="M402" s="410"/>
      <c r="N402" s="15"/>
      <c r="O402" s="15"/>
      <c r="P402" s="15"/>
      <c r="Q402" s="15"/>
      <c r="R402" s="410"/>
      <c r="S402" s="15"/>
      <c r="T402" s="15"/>
      <c r="U402" s="15"/>
      <c r="V402" s="15"/>
      <c r="W402" s="410"/>
      <c r="X402" s="15"/>
      <c r="Y402" s="15"/>
      <c r="Z402" s="15"/>
      <c r="AA402" s="15"/>
      <c r="AB402" s="410"/>
      <c r="AC402" s="15"/>
      <c r="AD402" s="15"/>
      <c r="AE402" s="15"/>
      <c r="AF402" s="15"/>
      <c r="AG402" s="410"/>
      <c r="AH402" s="15"/>
      <c r="AI402" s="15"/>
      <c r="AJ402" s="15"/>
      <c r="AK402" s="15"/>
      <c r="AL402" s="410"/>
      <c r="AM402" s="15"/>
      <c r="AN402" s="15"/>
      <c r="AO402" s="15"/>
      <c r="AP402" s="15"/>
      <c r="AQ402" s="410"/>
      <c r="AR402" s="15"/>
      <c r="AS402" s="15"/>
      <c r="AT402" s="15"/>
      <c r="AU402" s="15"/>
      <c r="AV402" s="410"/>
      <c r="AW402" s="15"/>
      <c r="AX402" s="15"/>
      <c r="AY402" s="15"/>
      <c r="AZ402" s="15"/>
      <c r="BA402" s="410"/>
      <c r="BB402" s="15"/>
      <c r="BC402" s="15"/>
      <c r="BD402" s="15"/>
      <c r="BE402" s="15"/>
      <c r="BF402" s="410"/>
      <c r="BG402" s="15"/>
      <c r="BH402" s="15"/>
      <c r="BI402" s="15"/>
      <c r="BJ402" s="15"/>
      <c r="BK402" s="410"/>
      <c r="BL402" s="15"/>
      <c r="BM402" s="15"/>
      <c r="BN402" s="15"/>
      <c r="BO402" s="15"/>
      <c r="BP402" s="410"/>
      <c r="BQ402" s="15"/>
      <c r="BR402" s="15"/>
      <c r="BS402" s="15"/>
      <c r="BT402" s="15"/>
      <c r="BU402" s="410"/>
      <c r="BV402" s="15"/>
      <c r="BW402" s="15"/>
      <c r="BX402" s="15"/>
      <c r="BY402" s="15"/>
      <c r="BZ402" s="24"/>
      <c r="CA402" s="15"/>
      <c r="CB402" s="15"/>
      <c r="CC402" s="15"/>
      <c r="CD402" s="15"/>
      <c r="CE402" s="24"/>
      <c r="CF402" s="15"/>
      <c r="CG402" s="15"/>
      <c r="CH402" s="15"/>
      <c r="CI402" s="15"/>
      <c r="CJ402" s="24"/>
      <c r="CK402" s="15"/>
      <c r="CL402" s="15"/>
      <c r="CM402" s="15"/>
      <c r="CN402" s="40"/>
      <c r="CO402" s="24"/>
      <c r="CP402" s="104"/>
      <c r="CQ402" s="104"/>
      <c r="CR402" s="104"/>
      <c r="CS402" s="104"/>
      <c r="CT402" s="411"/>
      <c r="CU402" s="17"/>
      <c r="CV402" s="17"/>
      <c r="CW402" s="17"/>
      <c r="CX402" s="326"/>
      <c r="CY402" s="350"/>
      <c r="CZ402" s="17"/>
      <c r="DA402" s="17"/>
      <c r="DB402" s="17"/>
      <c r="DC402" s="17"/>
      <c r="DD402" s="313">
        <f>(DD400-CY400)/CY400</f>
        <v>0.1603104638</v>
      </c>
      <c r="DE402" s="15"/>
      <c r="DF402" s="15"/>
      <c r="DG402" s="40"/>
      <c r="DH402" s="15"/>
      <c r="DI402" s="313">
        <f>(DI400-DD400)/DD400</f>
        <v>0.1419192336</v>
      </c>
      <c r="DJ402" s="40"/>
      <c r="DK402" s="40"/>
      <c r="DL402" s="40"/>
      <c r="DM402" s="40"/>
      <c r="DN402" s="313">
        <f t="shared" ref="DN402:ED402" si="2299">(DN400-DI400)/DI400</f>
        <v>0.1870186223</v>
      </c>
      <c r="DO402" s="40">
        <f t="shared" si="2299"/>
        <v>-0.04392631715</v>
      </c>
      <c r="DP402" s="40">
        <f t="shared" si="2299"/>
        <v>-0.06749294392</v>
      </c>
      <c r="DQ402" s="40">
        <f t="shared" si="2299"/>
        <v>0.06783121597</v>
      </c>
      <c r="DR402" s="40">
        <f t="shared" si="2299"/>
        <v>0.1488562649</v>
      </c>
      <c r="DS402" s="313">
        <f t="shared" si="2299"/>
        <v>0.05187802723</v>
      </c>
      <c r="DT402" s="40">
        <f t="shared" si="2299"/>
        <v>0.3455941795</v>
      </c>
      <c r="DU402" s="40">
        <f t="shared" si="2299"/>
        <v>0.3282010791</v>
      </c>
      <c r="DV402" s="40">
        <f t="shared" si="2299"/>
        <v>-0.1098364139</v>
      </c>
      <c r="DW402" s="40">
        <f t="shared" si="2299"/>
        <v>-0.1255076771</v>
      </c>
      <c r="DX402" s="313">
        <f t="shared" si="2299"/>
        <v>0.07987257457</v>
      </c>
      <c r="DY402" s="40">
        <f t="shared" si="2299"/>
        <v>-0.2649444278</v>
      </c>
      <c r="DZ402" s="40">
        <f t="shared" si="2299"/>
        <v>-0.1824036461</v>
      </c>
      <c r="EA402" s="40" t="str">
        <f t="shared" si="2299"/>
        <v>#ERROR!</v>
      </c>
      <c r="EB402" s="40" t="str">
        <f t="shared" si="2299"/>
        <v>#ERROR!</v>
      </c>
      <c r="EC402" s="313" t="str">
        <f t="shared" si="2299"/>
        <v>#ERROR!</v>
      </c>
      <c r="ED402" s="40" t="str">
        <f t="shared" si="2299"/>
        <v>#ERROR!</v>
      </c>
      <c r="EE402" s="40"/>
      <c r="EF402" s="40"/>
      <c r="EG402" s="40"/>
      <c r="EH402" s="313" t="str">
        <f>(EH400-EC400)/EC400</f>
        <v>#ERROR!</v>
      </c>
      <c r="EI402" s="25"/>
      <c r="EJ402" s="17"/>
      <c r="EK402" s="17"/>
      <c r="EL402" s="17"/>
      <c r="EM402" s="313" t="str">
        <f>(EM400-EH400)/EH400</f>
        <v>#ERROR!</v>
      </c>
      <c r="EN402" s="17"/>
      <c r="EO402" s="17"/>
      <c r="EP402" s="17"/>
      <c r="EQ402" s="17"/>
      <c r="ER402" s="313" t="str">
        <f>(ER400-EM400)/EM400</f>
        <v>#ERROR!</v>
      </c>
      <c r="ES402" s="17"/>
      <c r="ET402" s="17"/>
      <c r="EU402" s="17"/>
      <c r="EV402" s="17"/>
      <c r="EW402" s="313" t="str">
        <f>(EW400-ER400)/ER400</f>
        <v>#ERROR!</v>
      </c>
      <c r="EX402" s="17"/>
      <c r="EY402" s="17"/>
      <c r="EZ402" s="17"/>
      <c r="FA402" s="17"/>
      <c r="FB402" s="313" t="str">
        <f>(FB400-EW400)/EW400</f>
        <v>#ERROR!</v>
      </c>
      <c r="FC402" s="17"/>
      <c r="FD402" s="17"/>
      <c r="FE402" s="17"/>
      <c r="FF402" s="17"/>
      <c r="FG402" s="313" t="str">
        <f>(FG400-FB400)/FB400</f>
        <v>#ERROR!</v>
      </c>
      <c r="FH402" s="40"/>
      <c r="FI402" s="15"/>
      <c r="FJ402" s="15"/>
      <c r="FK402" s="410"/>
      <c r="FL402" s="15"/>
    </row>
    <row r="403" ht="12.75" hidden="1" customHeight="1" outlineLevel="1">
      <c r="A403" s="4"/>
      <c r="B403" s="4"/>
      <c r="C403" s="45"/>
      <c r="D403" s="15"/>
      <c r="E403" s="15"/>
      <c r="F403" s="15"/>
      <c r="G403" s="15"/>
      <c r="H403" s="410"/>
      <c r="I403" s="15"/>
      <c r="J403" s="15"/>
      <c r="K403" s="15"/>
      <c r="L403" s="15"/>
      <c r="M403" s="410"/>
      <c r="N403" s="15"/>
      <c r="O403" s="15"/>
      <c r="P403" s="15"/>
      <c r="Q403" s="15"/>
      <c r="R403" s="410"/>
      <c r="S403" s="15"/>
      <c r="T403" s="15"/>
      <c r="U403" s="15"/>
      <c r="V403" s="15"/>
      <c r="W403" s="410"/>
      <c r="X403" s="15"/>
      <c r="Y403" s="15"/>
      <c r="Z403" s="15"/>
      <c r="AA403" s="15"/>
      <c r="AB403" s="410"/>
      <c r="AC403" s="15"/>
      <c r="AD403" s="15"/>
      <c r="AE403" s="15"/>
      <c r="AF403" s="15"/>
      <c r="AG403" s="410"/>
      <c r="AH403" s="15"/>
      <c r="AI403" s="15"/>
      <c r="AJ403" s="15"/>
      <c r="AK403" s="15"/>
      <c r="AL403" s="410"/>
      <c r="AM403" s="15"/>
      <c r="AN403" s="15"/>
      <c r="AO403" s="15"/>
      <c r="AP403" s="15"/>
      <c r="AQ403" s="410"/>
      <c r="AR403" s="15"/>
      <c r="AS403" s="15"/>
      <c r="AT403" s="15"/>
      <c r="AU403" s="15"/>
      <c r="AV403" s="410"/>
      <c r="AW403" s="15"/>
      <c r="AX403" s="15"/>
      <c r="AY403" s="15"/>
      <c r="AZ403" s="15"/>
      <c r="BA403" s="410"/>
      <c r="BB403" s="15"/>
      <c r="BC403" s="15"/>
      <c r="BD403" s="15"/>
      <c r="BE403" s="15"/>
      <c r="BF403" s="410"/>
      <c r="BG403" s="15"/>
      <c r="BH403" s="15"/>
      <c r="BI403" s="15"/>
      <c r="BJ403" s="15"/>
      <c r="BK403" s="410"/>
      <c r="BL403" s="15"/>
      <c r="BM403" s="15"/>
      <c r="BN403" s="15"/>
      <c r="BO403" s="15"/>
      <c r="BP403" s="410"/>
      <c r="BQ403" s="15"/>
      <c r="BR403" s="15"/>
      <c r="BS403" s="15"/>
      <c r="BT403" s="15"/>
      <c r="BU403" s="410"/>
      <c r="BV403" s="15"/>
      <c r="BW403" s="15"/>
      <c r="BX403" s="15"/>
      <c r="BY403" s="15"/>
      <c r="BZ403" s="24"/>
      <c r="CA403" s="15"/>
      <c r="CB403" s="15"/>
      <c r="CC403" s="15"/>
      <c r="CD403" s="15"/>
      <c r="CE403" s="24"/>
      <c r="CF403" s="15"/>
      <c r="CG403" s="15"/>
      <c r="CH403" s="15"/>
      <c r="CI403" s="15"/>
      <c r="CJ403" s="24"/>
      <c r="CK403" s="15"/>
      <c r="CL403" s="15"/>
      <c r="CM403" s="15"/>
      <c r="CN403" s="40"/>
      <c r="CO403" s="24"/>
      <c r="CP403" s="104"/>
      <c r="CQ403" s="104"/>
      <c r="CR403" s="104"/>
      <c r="CS403" s="104"/>
      <c r="CT403" s="411"/>
      <c r="CU403" s="17"/>
      <c r="CV403" s="17"/>
      <c r="CW403" s="17"/>
      <c r="CX403" s="326"/>
      <c r="CY403" s="350"/>
      <c r="CZ403" s="17"/>
      <c r="DA403" s="17"/>
      <c r="DB403" s="17"/>
      <c r="DC403" s="17"/>
      <c r="DD403" s="313"/>
      <c r="DE403" s="15"/>
      <c r="DF403" s="15"/>
      <c r="DG403" s="40"/>
      <c r="DH403" s="15"/>
      <c r="DI403" s="313"/>
      <c r="DJ403" s="40"/>
      <c r="DK403" s="40"/>
      <c r="DL403" s="40"/>
      <c r="DM403" s="40"/>
      <c r="DN403" s="313"/>
      <c r="DO403" s="40"/>
      <c r="DP403" s="40"/>
      <c r="DQ403" s="40"/>
      <c r="DR403" s="40"/>
      <c r="DS403" s="313"/>
      <c r="DT403" s="40">
        <f>SUM(DT327+DT331)/DT400</f>
        <v>0.4863574092</v>
      </c>
      <c r="DU403" s="40"/>
      <c r="DV403" s="40"/>
      <c r="DW403" s="40"/>
      <c r="DX403" s="313"/>
      <c r="DY403" s="40"/>
      <c r="DZ403" s="40"/>
      <c r="EA403" s="40"/>
      <c r="EB403" s="40"/>
      <c r="EC403" s="313"/>
      <c r="ED403" s="40"/>
      <c r="EE403" s="40"/>
      <c r="EF403" s="40"/>
      <c r="EG403" s="40"/>
      <c r="EH403" s="313"/>
      <c r="EI403" s="25"/>
      <c r="EJ403" s="17"/>
      <c r="EK403" s="17"/>
      <c r="EL403" s="17"/>
      <c r="EM403" s="313"/>
      <c r="EN403" s="17"/>
      <c r="EO403" s="17"/>
      <c r="EP403" s="17"/>
      <c r="EQ403" s="17"/>
      <c r="ER403" s="313"/>
      <c r="ES403" s="17"/>
      <c r="ET403" s="17"/>
      <c r="EU403" s="17"/>
      <c r="EV403" s="17"/>
      <c r="EW403" s="313"/>
      <c r="EX403" s="17"/>
      <c r="EY403" s="17"/>
      <c r="EZ403" s="17"/>
      <c r="FA403" s="17"/>
      <c r="FB403" s="313"/>
      <c r="FC403" s="17"/>
      <c r="FD403" s="17"/>
      <c r="FE403" s="17"/>
      <c r="FF403" s="17"/>
      <c r="FG403" s="313"/>
      <c r="FH403" s="40"/>
      <c r="FI403" s="15"/>
      <c r="FJ403" s="15"/>
      <c r="FK403" s="410"/>
      <c r="FL403" s="15"/>
    </row>
    <row r="404" ht="12.75" hidden="1" customHeight="1" outlineLevel="1">
      <c r="A404" s="4"/>
      <c r="B404" s="4" t="s">
        <v>251</v>
      </c>
      <c r="C404" s="45"/>
      <c r="D404" s="15"/>
      <c r="E404" s="15"/>
      <c r="F404" s="15"/>
      <c r="G404" s="15"/>
      <c r="H404" s="410"/>
      <c r="I404" s="15"/>
      <c r="J404" s="15"/>
      <c r="K404" s="15"/>
      <c r="L404" s="15"/>
      <c r="M404" s="410"/>
      <c r="N404" s="15"/>
      <c r="O404" s="15"/>
      <c r="P404" s="15"/>
      <c r="Q404" s="15"/>
      <c r="R404" s="410"/>
      <c r="S404" s="15"/>
      <c r="T404" s="15"/>
      <c r="U404" s="15"/>
      <c r="V404" s="15"/>
      <c r="W404" s="410"/>
      <c r="X404" s="15"/>
      <c r="Y404" s="15"/>
      <c r="Z404" s="15"/>
      <c r="AA404" s="15"/>
      <c r="AB404" s="410"/>
      <c r="AC404" s="15"/>
      <c r="AD404" s="15"/>
      <c r="AE404" s="15"/>
      <c r="AF404" s="15"/>
      <c r="AG404" s="410"/>
      <c r="AH404" s="15"/>
      <c r="AI404" s="15"/>
      <c r="AJ404" s="15"/>
      <c r="AK404" s="15"/>
      <c r="AL404" s="410"/>
      <c r="AM404" s="15"/>
      <c r="AN404" s="15"/>
      <c r="AO404" s="15"/>
      <c r="AP404" s="15"/>
      <c r="AQ404" s="410"/>
      <c r="AR404" s="15"/>
      <c r="AS404" s="15"/>
      <c r="AT404" s="15"/>
      <c r="AU404" s="15"/>
      <c r="AV404" s="410"/>
      <c r="AW404" s="15"/>
      <c r="AX404" s="15"/>
      <c r="AY404" s="15"/>
      <c r="AZ404" s="15"/>
      <c r="BA404" s="410"/>
      <c r="BB404" s="15"/>
      <c r="BC404" s="15"/>
      <c r="BD404" s="15"/>
      <c r="BE404" s="15"/>
      <c r="BF404" s="410"/>
      <c r="BG404" s="15"/>
      <c r="BH404" s="15"/>
      <c r="BI404" s="15"/>
      <c r="BJ404" s="15"/>
      <c r="BK404" s="410"/>
      <c r="BL404" s="15"/>
      <c r="BM404" s="15"/>
      <c r="BN404" s="15"/>
      <c r="BO404" s="15"/>
      <c r="BP404" s="410"/>
      <c r="BQ404" s="15"/>
      <c r="BR404" s="15"/>
      <c r="BS404" s="15"/>
      <c r="BT404" s="15"/>
      <c r="BU404" s="410"/>
      <c r="BV404" s="15"/>
      <c r="BW404" s="15"/>
      <c r="BX404" s="15"/>
      <c r="BY404" s="15"/>
      <c r="BZ404" s="24"/>
      <c r="CA404" s="15"/>
      <c r="CB404" s="15"/>
      <c r="CC404" s="15"/>
      <c r="CD404" s="15"/>
      <c r="CE404" s="24"/>
      <c r="CF404" s="15"/>
      <c r="CG404" s="15"/>
      <c r="CH404" s="15"/>
      <c r="CI404" s="15"/>
      <c r="CJ404" s="24"/>
      <c r="CK404" s="15"/>
      <c r="CL404" s="15"/>
      <c r="CM404" s="15"/>
      <c r="CN404" s="40"/>
      <c r="CO404" s="24"/>
      <c r="CP404" s="104"/>
      <c r="CQ404" s="104"/>
      <c r="CR404" s="104"/>
      <c r="CS404" s="104"/>
      <c r="CT404" s="411"/>
      <c r="CU404" s="17"/>
      <c r="CV404" s="17"/>
      <c r="CW404" s="17"/>
      <c r="CX404" s="326"/>
      <c r="CY404" s="350"/>
      <c r="CZ404" s="17"/>
      <c r="DA404" s="17"/>
      <c r="DB404" s="17"/>
      <c r="DC404" s="17"/>
      <c r="DD404" s="313"/>
      <c r="DE404" s="15"/>
      <c r="DF404" s="15"/>
      <c r="DG404" s="40"/>
      <c r="DH404" s="15"/>
      <c r="DI404" s="313"/>
      <c r="DJ404" s="40"/>
      <c r="DK404" s="40"/>
      <c r="DL404" s="40"/>
      <c r="DM404" s="40"/>
      <c r="DN404" s="313"/>
      <c r="DO404" s="40"/>
      <c r="DP404" s="40"/>
      <c r="DQ404" s="40"/>
      <c r="DR404" s="40"/>
      <c r="DS404" s="313"/>
      <c r="DT404" s="19">
        <f t="shared" ref="DT404:DW404" si="2300">SUM(DT324,DT357,DT391,DT395,DT396)</f>
        <v>8715</v>
      </c>
      <c r="DU404" s="19">
        <f t="shared" si="2300"/>
        <v>8573</v>
      </c>
      <c r="DV404" s="19">
        <f t="shared" si="2300"/>
        <v>7333</v>
      </c>
      <c r="DW404" s="19">
        <f t="shared" si="2300"/>
        <v>7831</v>
      </c>
      <c r="DX404" s="481">
        <f>SUM(DT404:DW404)</f>
        <v>32452</v>
      </c>
      <c r="DY404" s="19">
        <f t="shared" ref="DY404:EB404" si="2301">SUM(DY324,DY357,DY391,DY395,DY396)</f>
        <v>7961</v>
      </c>
      <c r="DZ404" s="19">
        <f t="shared" si="2301"/>
        <v>8424</v>
      </c>
      <c r="EA404" s="19" t="str">
        <f t="shared" si="2301"/>
        <v>#ERROR!</v>
      </c>
      <c r="EB404" s="19" t="str">
        <f t="shared" si="2301"/>
        <v>#ERROR!</v>
      </c>
      <c r="EC404" s="481" t="str">
        <f>SUM(DY404:EB404)</f>
        <v>#ERROR!</v>
      </c>
      <c r="ED404" s="19" t="str">
        <f t="shared" ref="ED404:EG404" si="2302">SUM(ED324,ED357,ED391,ED395,ED396)</f>
        <v>#ERROR!</v>
      </c>
      <c r="EE404" s="19" t="str">
        <f t="shared" si="2302"/>
        <v>#ERROR!</v>
      </c>
      <c r="EF404" s="19" t="str">
        <f t="shared" si="2302"/>
        <v>#ERROR!</v>
      </c>
      <c r="EG404" s="19" t="str">
        <f t="shared" si="2302"/>
        <v>#ERROR!</v>
      </c>
      <c r="EH404" s="481" t="str">
        <f>SUM(ED404:EG404)</f>
        <v>#ERROR!</v>
      </c>
      <c r="EI404" s="25" t="str">
        <f t="shared" ref="EI404:EL404" si="2303">SUM(EI324,EI357,EI391,EI395,EI396)</f>
        <v>#ERROR!</v>
      </c>
      <c r="EJ404" s="19" t="str">
        <f t="shared" si="2303"/>
        <v>#ERROR!</v>
      </c>
      <c r="EK404" s="19" t="str">
        <f t="shared" si="2303"/>
        <v>#ERROR!</v>
      </c>
      <c r="EL404" s="19" t="str">
        <f t="shared" si="2303"/>
        <v>#ERROR!</v>
      </c>
      <c r="EM404" s="481" t="str">
        <f>SUM(EI404:EL404)</f>
        <v>#ERROR!</v>
      </c>
      <c r="EN404" s="19" t="str">
        <f t="shared" ref="EN404:EQ404" si="2304">SUM(EN324,EN357,EN391,EN395,EN396)</f>
        <v>#ERROR!</v>
      </c>
      <c r="EO404" s="19" t="str">
        <f t="shared" si="2304"/>
        <v>#ERROR!</v>
      </c>
      <c r="EP404" s="19" t="str">
        <f t="shared" si="2304"/>
        <v>#ERROR!</v>
      </c>
      <c r="EQ404" s="19" t="str">
        <f t="shared" si="2304"/>
        <v>#ERROR!</v>
      </c>
      <c r="ER404" s="481" t="str">
        <f>SUM(EN404:EQ404)</f>
        <v>#ERROR!</v>
      </c>
      <c r="ES404" s="19" t="str">
        <f t="shared" ref="ES404:EV404" si="2305">SUM(ES324,ES357,ES391,ES395,ES396)</f>
        <v>#ERROR!</v>
      </c>
      <c r="ET404" s="19" t="str">
        <f t="shared" si="2305"/>
        <v>#ERROR!</v>
      </c>
      <c r="EU404" s="19" t="str">
        <f t="shared" si="2305"/>
        <v>#ERROR!</v>
      </c>
      <c r="EV404" s="19" t="str">
        <f t="shared" si="2305"/>
        <v>#ERROR!</v>
      </c>
      <c r="EW404" s="481" t="str">
        <f>SUM(ES404:EV404)</f>
        <v>#ERROR!</v>
      </c>
      <c r="EX404" s="19" t="str">
        <f t="shared" ref="EX404:FA404" si="2306">SUM(EX324,EX357,EX391,EX395,EX396)</f>
        <v>#ERROR!</v>
      </c>
      <c r="EY404" s="19" t="str">
        <f t="shared" si="2306"/>
        <v>#ERROR!</v>
      </c>
      <c r="EZ404" s="19" t="str">
        <f t="shared" si="2306"/>
        <v>#ERROR!</v>
      </c>
      <c r="FA404" s="19" t="str">
        <f t="shared" si="2306"/>
        <v>#ERROR!</v>
      </c>
      <c r="FB404" s="481" t="str">
        <f>SUM(EX404:FA404)</f>
        <v>#ERROR!</v>
      </c>
      <c r="FC404" s="19" t="str">
        <f t="shared" ref="FC404:FF404" si="2307">SUM(FC324,FC357,FC391,FC395,FC396)</f>
        <v>#ERROR!</v>
      </c>
      <c r="FD404" s="19" t="str">
        <f t="shared" si="2307"/>
        <v>#ERROR!</v>
      </c>
      <c r="FE404" s="19" t="str">
        <f t="shared" si="2307"/>
        <v>#ERROR!</v>
      </c>
      <c r="FF404" s="19" t="str">
        <f t="shared" si="2307"/>
        <v>#ERROR!</v>
      </c>
      <c r="FG404" s="481" t="str">
        <f>SUM(FC404:FF404)</f>
        <v>#ERROR!</v>
      </c>
      <c r="FH404" s="36"/>
      <c r="FI404" s="15"/>
      <c r="FJ404" s="15"/>
      <c r="FK404" s="410"/>
      <c r="FL404" s="15"/>
    </row>
    <row r="405" ht="12.75" hidden="1" customHeight="1" outlineLevel="1">
      <c r="A405" s="4"/>
      <c r="B405" s="4" t="s">
        <v>146</v>
      </c>
      <c r="C405" s="45"/>
      <c r="D405" s="15"/>
      <c r="E405" s="15"/>
      <c r="F405" s="15"/>
      <c r="G405" s="15"/>
      <c r="H405" s="410"/>
      <c r="I405" s="15"/>
      <c r="J405" s="15"/>
      <c r="K405" s="15"/>
      <c r="L405" s="15"/>
      <c r="M405" s="410"/>
      <c r="N405" s="15"/>
      <c r="O405" s="15"/>
      <c r="P405" s="15"/>
      <c r="Q405" s="15"/>
      <c r="R405" s="410"/>
      <c r="S405" s="15"/>
      <c r="T405" s="15"/>
      <c r="U405" s="15"/>
      <c r="V405" s="15"/>
      <c r="W405" s="410"/>
      <c r="X405" s="15"/>
      <c r="Y405" s="15"/>
      <c r="Z405" s="15"/>
      <c r="AA405" s="15"/>
      <c r="AB405" s="410"/>
      <c r="AC405" s="15"/>
      <c r="AD405" s="15"/>
      <c r="AE405" s="15"/>
      <c r="AF405" s="15"/>
      <c r="AG405" s="410"/>
      <c r="AH405" s="15"/>
      <c r="AI405" s="15"/>
      <c r="AJ405" s="15"/>
      <c r="AK405" s="15"/>
      <c r="AL405" s="410"/>
      <c r="AM405" s="15"/>
      <c r="AN405" s="15"/>
      <c r="AO405" s="15"/>
      <c r="AP405" s="15"/>
      <c r="AQ405" s="410"/>
      <c r="AR405" s="15"/>
      <c r="AS405" s="15"/>
      <c r="AT405" s="15"/>
      <c r="AU405" s="15"/>
      <c r="AV405" s="410"/>
      <c r="AW405" s="15"/>
      <c r="AX405" s="15"/>
      <c r="AY405" s="15"/>
      <c r="AZ405" s="15"/>
      <c r="BA405" s="410"/>
      <c r="BB405" s="15"/>
      <c r="BC405" s="15"/>
      <c r="BD405" s="15"/>
      <c r="BE405" s="15"/>
      <c r="BF405" s="410"/>
      <c r="BG405" s="15"/>
      <c r="BH405" s="15"/>
      <c r="BI405" s="15"/>
      <c r="BJ405" s="15"/>
      <c r="BK405" s="410"/>
      <c r="BL405" s="15"/>
      <c r="BM405" s="15"/>
      <c r="BN405" s="15"/>
      <c r="BO405" s="15"/>
      <c r="BP405" s="410"/>
      <c r="BQ405" s="15"/>
      <c r="BR405" s="15"/>
      <c r="BS405" s="15"/>
      <c r="BT405" s="15"/>
      <c r="BU405" s="410"/>
      <c r="BV405" s="15"/>
      <c r="BW405" s="15"/>
      <c r="BX405" s="15"/>
      <c r="BY405" s="15"/>
      <c r="BZ405" s="24"/>
      <c r="CA405" s="15"/>
      <c r="CB405" s="15"/>
      <c r="CC405" s="15"/>
      <c r="CD405" s="15"/>
      <c r="CE405" s="24"/>
      <c r="CF405" s="15"/>
      <c r="CG405" s="15"/>
      <c r="CH405" s="15"/>
      <c r="CI405" s="15"/>
      <c r="CJ405" s="24"/>
      <c r="CK405" s="15"/>
      <c r="CL405" s="15"/>
      <c r="CM405" s="15"/>
      <c r="CN405" s="40"/>
      <c r="CO405" s="24"/>
      <c r="CP405" s="104"/>
      <c r="CQ405" s="104"/>
      <c r="CR405" s="104"/>
      <c r="CS405" s="104"/>
      <c r="CT405" s="411"/>
      <c r="CU405" s="17"/>
      <c r="CV405" s="17"/>
      <c r="CW405" s="17"/>
      <c r="CX405" s="326"/>
      <c r="CY405" s="350"/>
      <c r="CZ405" s="17"/>
      <c r="DA405" s="17"/>
      <c r="DB405" s="17"/>
      <c r="DC405" s="17"/>
      <c r="DD405" s="313"/>
      <c r="DE405" s="15"/>
      <c r="DF405" s="15"/>
      <c r="DG405" s="40"/>
      <c r="DH405" s="15"/>
      <c r="DI405" s="313"/>
      <c r="DJ405" s="40"/>
      <c r="DK405" s="40"/>
      <c r="DL405" s="40"/>
      <c r="DM405" s="40"/>
      <c r="DN405" s="313"/>
      <c r="DO405" s="40"/>
      <c r="DP405" s="40"/>
      <c r="DQ405" s="40"/>
      <c r="DR405" s="40"/>
      <c r="DS405" s="313"/>
      <c r="DT405" s="40"/>
      <c r="DU405" s="40"/>
      <c r="DV405" s="40"/>
      <c r="DW405" s="40"/>
      <c r="DX405" s="313"/>
      <c r="DY405" s="40">
        <f t="shared" ref="DY405:ED405" si="2308">DY404/DT404-1</f>
        <v>-0.08651749857</v>
      </c>
      <c r="DZ405" s="40">
        <f t="shared" si="2308"/>
        <v>-0.01738014697</v>
      </c>
      <c r="EA405" s="40" t="str">
        <f t="shared" si="2308"/>
        <v>#ERROR!</v>
      </c>
      <c r="EB405" s="40" t="str">
        <f t="shared" si="2308"/>
        <v>#ERROR!</v>
      </c>
      <c r="EC405" s="313" t="str">
        <f t="shared" si="2308"/>
        <v>#ERROR!</v>
      </c>
      <c r="ED405" s="40" t="str">
        <f t="shared" si="2308"/>
        <v>#ERROR!</v>
      </c>
      <c r="EE405" s="40"/>
      <c r="EF405" s="40"/>
      <c r="EG405" s="40"/>
      <c r="EH405" s="313" t="str">
        <f>EH404/EC404-1</f>
        <v>#ERROR!</v>
      </c>
      <c r="EI405" s="25"/>
      <c r="EJ405" s="17"/>
      <c r="EK405" s="17"/>
      <c r="EL405" s="17"/>
      <c r="EM405" s="313" t="str">
        <f>EM404/EH404-1</f>
        <v>#ERROR!</v>
      </c>
      <c r="EN405" s="17"/>
      <c r="EO405" s="17"/>
      <c r="EP405" s="17"/>
      <c r="EQ405" s="17"/>
      <c r="ER405" s="313" t="str">
        <f>ER404/EM404-1</f>
        <v>#ERROR!</v>
      </c>
      <c r="ES405" s="17"/>
      <c r="ET405" s="17"/>
      <c r="EU405" s="17"/>
      <c r="EV405" s="17"/>
      <c r="EW405" s="313" t="str">
        <f>EW404/ER404-1</f>
        <v>#ERROR!</v>
      </c>
      <c r="EX405" s="17"/>
      <c r="EY405" s="17"/>
      <c r="EZ405" s="17"/>
      <c r="FA405" s="17"/>
      <c r="FB405" s="313" t="str">
        <f>FB404/EW404-1</f>
        <v>#ERROR!</v>
      </c>
      <c r="FC405" s="17"/>
      <c r="FD405" s="17"/>
      <c r="FE405" s="17"/>
      <c r="FF405" s="17"/>
      <c r="FG405" s="313" t="str">
        <f>FG404/FB404-1</f>
        <v>#ERROR!</v>
      </c>
      <c r="FH405" s="40"/>
      <c r="FI405" s="15"/>
      <c r="FJ405" s="15"/>
      <c r="FK405" s="410"/>
      <c r="FL405" s="15"/>
    </row>
    <row r="406" ht="12.75" hidden="1" customHeight="1" outlineLevel="1">
      <c r="A406" s="4"/>
      <c r="B406" s="351" t="s">
        <v>252</v>
      </c>
      <c r="C406" s="45"/>
      <c r="D406" s="15"/>
      <c r="E406" s="15"/>
      <c r="F406" s="15"/>
      <c r="G406" s="15"/>
      <c r="H406" s="410"/>
      <c r="I406" s="15"/>
      <c r="J406" s="15"/>
      <c r="K406" s="15"/>
      <c r="L406" s="15"/>
      <c r="M406" s="410"/>
      <c r="N406" s="15"/>
      <c r="O406" s="15"/>
      <c r="P406" s="15"/>
      <c r="Q406" s="15"/>
      <c r="R406" s="410"/>
      <c r="S406" s="15"/>
      <c r="T406" s="15"/>
      <c r="U406" s="15"/>
      <c r="V406" s="15"/>
      <c r="W406" s="410"/>
      <c r="X406" s="15"/>
      <c r="Y406" s="15"/>
      <c r="Z406" s="15"/>
      <c r="AA406" s="15"/>
      <c r="AB406" s="410"/>
      <c r="AC406" s="15"/>
      <c r="AD406" s="15"/>
      <c r="AE406" s="15"/>
      <c r="AF406" s="15"/>
      <c r="AG406" s="410"/>
      <c r="AH406" s="15"/>
      <c r="AI406" s="15"/>
      <c r="AJ406" s="15"/>
      <c r="AK406" s="15"/>
      <c r="AL406" s="410"/>
      <c r="AM406" s="15"/>
      <c r="AN406" s="15"/>
      <c r="AO406" s="15"/>
      <c r="AP406" s="15"/>
      <c r="AQ406" s="410"/>
      <c r="AR406" s="15"/>
      <c r="AS406" s="15"/>
      <c r="AT406" s="15"/>
      <c r="AU406" s="15"/>
      <c r="AV406" s="410"/>
      <c r="AW406" s="15"/>
      <c r="AX406" s="15"/>
      <c r="AY406" s="15"/>
      <c r="AZ406" s="15"/>
      <c r="BA406" s="410"/>
      <c r="BB406" s="15"/>
      <c r="BC406" s="15"/>
      <c r="BD406" s="15"/>
      <c r="BE406" s="15"/>
      <c r="BF406" s="410"/>
      <c r="BG406" s="15"/>
      <c r="BH406" s="15"/>
      <c r="BI406" s="15"/>
      <c r="BJ406" s="15"/>
      <c r="BK406" s="410"/>
      <c r="BL406" s="15"/>
      <c r="BM406" s="15"/>
      <c r="BN406" s="15"/>
      <c r="BO406" s="15"/>
      <c r="BP406" s="410"/>
      <c r="BQ406" s="15"/>
      <c r="BR406" s="15"/>
      <c r="BS406" s="15"/>
      <c r="BT406" s="15"/>
      <c r="BU406" s="410"/>
      <c r="BV406" s="15"/>
      <c r="BW406" s="15"/>
      <c r="BX406" s="15"/>
      <c r="BY406" s="15"/>
      <c r="BZ406" s="24"/>
      <c r="CA406" s="15"/>
      <c r="CB406" s="15"/>
      <c r="CC406" s="15"/>
      <c r="CD406" s="15"/>
      <c r="CE406" s="24"/>
      <c r="CF406" s="15"/>
      <c r="CG406" s="15"/>
      <c r="CH406" s="15"/>
      <c r="CI406" s="15"/>
      <c r="CJ406" s="24"/>
      <c r="CK406" s="15"/>
      <c r="CL406" s="15"/>
      <c r="CM406" s="15"/>
      <c r="CN406" s="40"/>
      <c r="CO406" s="24"/>
      <c r="CP406" s="427"/>
      <c r="CQ406" s="427"/>
      <c r="CR406" s="427"/>
      <c r="CS406" s="427"/>
      <c r="CT406" s="363"/>
      <c r="CU406" s="427"/>
      <c r="CV406" s="427"/>
      <c r="CW406" s="427"/>
      <c r="CX406" s="427"/>
      <c r="CY406" s="363"/>
      <c r="CZ406" s="17"/>
      <c r="DA406" s="17"/>
      <c r="DB406" s="17"/>
      <c r="DC406" s="17"/>
      <c r="DD406" s="80"/>
      <c r="DE406" s="17"/>
      <c r="DF406" s="17"/>
      <c r="DG406" s="19"/>
      <c r="DH406" s="17"/>
      <c r="DI406" s="80"/>
      <c r="DJ406" s="19"/>
      <c r="DK406" s="19"/>
      <c r="DL406" s="19"/>
      <c r="DM406" s="19"/>
      <c r="DN406" s="80"/>
      <c r="DO406" s="19"/>
      <c r="DP406" s="19"/>
      <c r="DQ406" s="19"/>
      <c r="DR406" s="19"/>
      <c r="DS406" s="80"/>
      <c r="DT406" s="19"/>
      <c r="DU406" s="19"/>
      <c r="DV406" s="19"/>
      <c r="DW406" s="19"/>
      <c r="DX406" s="80"/>
      <c r="DY406" s="19"/>
      <c r="DZ406" s="19"/>
      <c r="EA406" s="19"/>
      <c r="EB406" s="19"/>
      <c r="EC406" s="80"/>
      <c r="ED406" s="19"/>
      <c r="EE406" s="19"/>
      <c r="EF406" s="19"/>
      <c r="EG406" s="19"/>
      <c r="EH406" s="80"/>
      <c r="EI406" s="25"/>
      <c r="EJ406" s="17"/>
      <c r="EK406" s="17"/>
      <c r="EL406" s="17"/>
      <c r="EM406" s="80"/>
      <c r="EN406" s="17"/>
      <c r="EO406" s="17"/>
      <c r="EP406" s="17"/>
      <c r="EQ406" s="17"/>
      <c r="ER406" s="80"/>
      <c r="ES406" s="17"/>
      <c r="ET406" s="17"/>
      <c r="EU406" s="17"/>
      <c r="EV406" s="17"/>
      <c r="EW406" s="80"/>
      <c r="EX406" s="17"/>
      <c r="EY406" s="17"/>
      <c r="EZ406" s="17"/>
      <c r="FA406" s="17"/>
      <c r="FB406" s="80"/>
      <c r="FC406" s="17"/>
      <c r="FD406" s="17"/>
      <c r="FE406" s="17"/>
      <c r="FF406" s="17"/>
      <c r="FG406" s="80"/>
      <c r="FH406" s="146"/>
      <c r="FI406" s="15"/>
      <c r="FJ406" s="15"/>
      <c r="FK406" s="410"/>
      <c r="FL406" s="15"/>
    </row>
    <row r="407" ht="12.75" hidden="1" customHeight="1" outlineLevel="1">
      <c r="A407" s="4"/>
      <c r="B407" s="299" t="s">
        <v>253</v>
      </c>
      <c r="C407" s="299"/>
      <c r="D407" s="413"/>
      <c r="E407" s="413"/>
      <c r="F407" s="413"/>
      <c r="G407" s="413"/>
      <c r="H407" s="414"/>
      <c r="I407" s="413"/>
      <c r="J407" s="413"/>
      <c r="K407" s="413"/>
      <c r="L407" s="413"/>
      <c r="M407" s="414"/>
      <c r="N407" s="413"/>
      <c r="O407" s="413"/>
      <c r="P407" s="413"/>
      <c r="Q407" s="413"/>
      <c r="R407" s="414"/>
      <c r="S407" s="413"/>
      <c r="T407" s="413"/>
      <c r="U407" s="413"/>
      <c r="V407" s="413"/>
      <c r="W407" s="414"/>
      <c r="X407" s="413"/>
      <c r="Y407" s="413"/>
      <c r="Z407" s="413"/>
      <c r="AA407" s="413"/>
      <c r="AB407" s="414"/>
      <c r="AC407" s="413"/>
      <c r="AD407" s="413"/>
      <c r="AE407" s="413"/>
      <c r="AF407" s="413"/>
      <c r="AG407" s="414"/>
      <c r="AH407" s="413"/>
      <c r="AI407" s="413"/>
      <c r="AJ407" s="413"/>
      <c r="AK407" s="413"/>
      <c r="AL407" s="414"/>
      <c r="AM407" s="413"/>
      <c r="AN407" s="413"/>
      <c r="AO407" s="413"/>
      <c r="AP407" s="413"/>
      <c r="AQ407" s="414"/>
      <c r="AR407" s="413"/>
      <c r="AS407" s="413"/>
      <c r="AT407" s="413"/>
      <c r="AU407" s="413"/>
      <c r="AV407" s="414"/>
      <c r="AW407" s="413"/>
      <c r="AX407" s="413"/>
      <c r="AY407" s="413"/>
      <c r="AZ407" s="413"/>
      <c r="BA407" s="414"/>
      <c r="BB407" s="413"/>
      <c r="BC407" s="413"/>
      <c r="BD407" s="413"/>
      <c r="BE407" s="413"/>
      <c r="BF407" s="414"/>
      <c r="BG407" s="413"/>
      <c r="BH407" s="413"/>
      <c r="BI407" s="413"/>
      <c r="BJ407" s="413"/>
      <c r="BK407" s="414"/>
      <c r="BL407" s="413"/>
      <c r="BM407" s="413"/>
      <c r="BN407" s="413"/>
      <c r="BO407" s="413"/>
      <c r="BP407" s="414"/>
      <c r="BQ407" s="413"/>
      <c r="BR407" s="413"/>
      <c r="BS407" s="413"/>
      <c r="BT407" s="413"/>
      <c r="BU407" s="414"/>
      <c r="BV407" s="413"/>
      <c r="BW407" s="413"/>
      <c r="BX407" s="413"/>
      <c r="BY407" s="413"/>
      <c r="BZ407" s="415"/>
      <c r="CA407" s="413"/>
      <c r="CB407" s="413"/>
      <c r="CC407" s="413"/>
      <c r="CD407" s="413"/>
      <c r="CE407" s="415"/>
      <c r="CF407" s="413"/>
      <c r="CG407" s="413"/>
      <c r="CH407" s="413"/>
      <c r="CI407" s="413"/>
      <c r="CJ407" s="415"/>
      <c r="CK407" s="413"/>
      <c r="CL407" s="413"/>
      <c r="CM407" s="413"/>
      <c r="CN407" s="416"/>
      <c r="CO407" s="415"/>
      <c r="CP407" s="541"/>
      <c r="CQ407" s="541"/>
      <c r="CR407" s="541"/>
      <c r="CS407" s="541"/>
      <c r="CT407" s="542"/>
      <c r="CU407" s="541"/>
      <c r="CV407" s="541"/>
      <c r="CW407" s="541"/>
      <c r="CX407" s="541"/>
      <c r="CY407" s="542"/>
      <c r="CZ407" s="92"/>
      <c r="DA407" s="92"/>
      <c r="DB407" s="92"/>
      <c r="DC407" s="92"/>
      <c r="DD407" s="95"/>
      <c r="DE407" s="92"/>
      <c r="DF407" s="92"/>
      <c r="DG407" s="92"/>
      <c r="DH407" s="92"/>
      <c r="DI407" s="95"/>
      <c r="DJ407" s="96"/>
      <c r="DK407" s="96"/>
      <c r="DL407" s="96"/>
      <c r="DM407" s="96"/>
      <c r="DN407" s="95"/>
      <c r="DO407" s="96"/>
      <c r="DP407" s="96"/>
      <c r="DQ407" s="96"/>
      <c r="DR407" s="96"/>
      <c r="DS407" s="95"/>
      <c r="DT407" s="96"/>
      <c r="DU407" s="96"/>
      <c r="DV407" s="96"/>
      <c r="DW407" s="96"/>
      <c r="DX407" s="95"/>
      <c r="DY407" s="96"/>
      <c r="DZ407" s="96"/>
      <c r="EA407" s="96"/>
      <c r="EB407" s="96"/>
      <c r="EC407" s="95"/>
      <c r="ED407" s="96"/>
      <c r="EE407" s="96"/>
      <c r="EF407" s="96"/>
      <c r="EG407" s="96"/>
      <c r="EH407" s="95"/>
      <c r="EI407" s="97"/>
      <c r="EJ407" s="92"/>
      <c r="EK407" s="92"/>
      <c r="EL407" s="92"/>
      <c r="EM407" s="95"/>
      <c r="EN407" s="92"/>
      <c r="EO407" s="92"/>
      <c r="EP407" s="92"/>
      <c r="EQ407" s="92"/>
      <c r="ER407" s="95"/>
      <c r="ES407" s="92"/>
      <c r="ET407" s="92"/>
      <c r="EU407" s="92"/>
      <c r="EV407" s="92"/>
      <c r="EW407" s="95"/>
      <c r="EX407" s="92"/>
      <c r="EY407" s="92"/>
      <c r="EZ407" s="92"/>
      <c r="FA407" s="92"/>
      <c r="FB407" s="95"/>
      <c r="FC407" s="92"/>
      <c r="FD407" s="92"/>
      <c r="FE407" s="92"/>
      <c r="FF407" s="92"/>
      <c r="FG407" s="95"/>
      <c r="FH407" s="146"/>
      <c r="FI407" s="15"/>
      <c r="FJ407" s="15"/>
      <c r="FK407" s="410"/>
      <c r="FL407" s="15"/>
    </row>
    <row r="408" ht="12.75" hidden="1" customHeight="1" outlineLevel="1">
      <c r="A408" s="4"/>
      <c r="B408" s="45" t="str">
        <f>B265</f>
        <v>Client Computing Goup (CCG)</v>
      </c>
      <c r="C408" s="45"/>
      <c r="D408" s="15"/>
      <c r="E408" s="15"/>
      <c r="F408" s="15"/>
      <c r="G408" s="15"/>
      <c r="H408" s="410"/>
      <c r="I408" s="15"/>
      <c r="J408" s="15"/>
      <c r="K408" s="15"/>
      <c r="L408" s="15"/>
      <c r="M408" s="410"/>
      <c r="N408" s="15"/>
      <c r="O408" s="15"/>
      <c r="P408" s="15"/>
      <c r="Q408" s="15"/>
      <c r="R408" s="410"/>
      <c r="S408" s="15"/>
      <c r="T408" s="15"/>
      <c r="U408" s="15"/>
      <c r="V408" s="15"/>
      <c r="W408" s="410"/>
      <c r="X408" s="15"/>
      <c r="Y408" s="15"/>
      <c r="Z408" s="15"/>
      <c r="AA408" s="15"/>
      <c r="AB408" s="410"/>
      <c r="AC408" s="15"/>
      <c r="AD408" s="15"/>
      <c r="AE408" s="15"/>
      <c r="AF408" s="15"/>
      <c r="AG408" s="410"/>
      <c r="AH408" s="15"/>
      <c r="AI408" s="15"/>
      <c r="AJ408" s="15"/>
      <c r="AK408" s="15"/>
      <c r="AL408" s="410"/>
      <c r="AM408" s="15"/>
      <c r="AN408" s="15"/>
      <c r="AO408" s="15"/>
      <c r="AP408" s="15"/>
      <c r="AQ408" s="410"/>
      <c r="AR408" s="15"/>
      <c r="AS408" s="15"/>
      <c r="AT408" s="15"/>
      <c r="AU408" s="15"/>
      <c r="AV408" s="410"/>
      <c r="AW408" s="15"/>
      <c r="AX408" s="15"/>
      <c r="AY408" s="15"/>
      <c r="AZ408" s="15"/>
      <c r="BA408" s="410"/>
      <c r="BB408" s="15"/>
      <c r="BC408" s="15"/>
      <c r="BD408" s="15"/>
      <c r="BE408" s="15"/>
      <c r="BF408" s="410"/>
      <c r="BG408" s="15"/>
      <c r="BH408" s="15"/>
      <c r="BI408" s="15"/>
      <c r="BJ408" s="15"/>
      <c r="BK408" s="410"/>
      <c r="BL408" s="15"/>
      <c r="BM408" s="15"/>
      <c r="BN408" s="15"/>
      <c r="BO408" s="15"/>
      <c r="BP408" s="410"/>
      <c r="BQ408" s="15"/>
      <c r="BR408" s="15"/>
      <c r="BS408" s="15"/>
      <c r="BT408" s="15"/>
      <c r="BU408" s="410"/>
      <c r="BV408" s="15"/>
      <c r="BW408" s="15"/>
      <c r="BX408" s="15"/>
      <c r="BY408" s="15"/>
      <c r="BZ408" s="363">
        <v>12971.0</v>
      </c>
      <c r="CA408" s="15"/>
      <c r="CB408" s="15"/>
      <c r="CC408" s="15"/>
      <c r="CD408" s="15"/>
      <c r="CE408" s="363">
        <v>14793.0</v>
      </c>
      <c r="CF408" s="15"/>
      <c r="CG408" s="15"/>
      <c r="CH408" s="15"/>
      <c r="CI408" s="15"/>
      <c r="CJ408" s="363">
        <v>13053.0</v>
      </c>
      <c r="CK408" s="15"/>
      <c r="CL408" s="15"/>
      <c r="CM408" s="15"/>
      <c r="CN408" s="40"/>
      <c r="CO408" s="363">
        <v>8603.0</v>
      </c>
      <c r="CP408" s="427">
        <f>CP409+CP410</f>
        <v>1873</v>
      </c>
      <c r="CQ408" s="427">
        <v>2586.0</v>
      </c>
      <c r="CR408" s="427">
        <v>3053.0</v>
      </c>
      <c r="CS408" s="463">
        <f>2837+4</f>
        <v>2841</v>
      </c>
      <c r="CT408" s="363">
        <f t="shared" ref="CT408:CT416" si="2315">SUM(CP408:CS408)</f>
        <v>10353</v>
      </c>
      <c r="CU408" s="427">
        <v>1411.0</v>
      </c>
      <c r="CV408" s="427">
        <v>1602.0</v>
      </c>
      <c r="CW408" s="427">
        <v>2433.0</v>
      </c>
      <c r="CX408" s="427">
        <v>2720.0</v>
      </c>
      <c r="CY408" s="363">
        <f t="shared" ref="CY408:CY416" si="2316">SUM(CU408:CX408)</f>
        <v>8166</v>
      </c>
      <c r="CZ408" s="427">
        <v>1885.0</v>
      </c>
      <c r="DA408" s="427">
        <v>1911.0</v>
      </c>
      <c r="DB408" s="427">
        <v>3327.0</v>
      </c>
      <c r="DC408" s="427">
        <v>3523.0</v>
      </c>
      <c r="DD408" s="363">
        <f>SUM(CZ408:DC408)</f>
        <v>10646</v>
      </c>
      <c r="DE408" s="427">
        <v>3031.0</v>
      </c>
      <c r="DF408" s="427">
        <v>3025.0</v>
      </c>
      <c r="DG408" s="36">
        <v>3600.0</v>
      </c>
      <c r="DH408" s="427">
        <v>3263.0</v>
      </c>
      <c r="DI408" s="363">
        <f>SUM(DE408:DH408)</f>
        <v>12919</v>
      </c>
      <c r="DJ408" s="36">
        <v>2791.0</v>
      </c>
      <c r="DK408" s="36">
        <v>3200.0</v>
      </c>
      <c r="DL408" s="36">
        <v>4532.0</v>
      </c>
      <c r="DM408" s="36">
        <v>3665.0</v>
      </c>
      <c r="DN408" s="363">
        <f>SUM(DJ408:DM408)</f>
        <v>14188</v>
      </c>
      <c r="DO408" s="36">
        <v>3072.0</v>
      </c>
      <c r="DP408" s="36">
        <v>3737.0</v>
      </c>
      <c r="DQ408" s="36">
        <v>4305.0</v>
      </c>
      <c r="DR408" s="36">
        <v>4088.0</v>
      </c>
      <c r="DS408" s="363">
        <f>SUM(DO408:DR408)</f>
        <v>15202</v>
      </c>
      <c r="DT408" s="36">
        <v>4225.0</v>
      </c>
      <c r="DU408" s="36">
        <v>2842.0</v>
      </c>
      <c r="DV408" s="36">
        <v>3554.0</v>
      </c>
      <c r="DW408" s="36">
        <v>4508.0</v>
      </c>
      <c r="DX408" s="363">
        <f>SUM(DT408:DW408)</f>
        <v>15129</v>
      </c>
      <c r="DY408" s="36">
        <v>4120.0</v>
      </c>
      <c r="DZ408" s="36">
        <v>3760.0</v>
      </c>
      <c r="EA408" s="36">
        <v>3317.0</v>
      </c>
      <c r="EB408" s="36">
        <v>3475.0</v>
      </c>
      <c r="EC408" s="363">
        <f>SUM(DY408:EB408)</f>
        <v>14672</v>
      </c>
      <c r="ED408" s="36">
        <v>3222.854442701321</v>
      </c>
      <c r="EE408" s="36" t="str">
        <f t="shared" ref="EE408:EG408" si="2309">EE265*EE421</f>
        <v>#ERROR!</v>
      </c>
      <c r="EF408" s="36" t="str">
        <f t="shared" si="2309"/>
        <v>#ERROR!</v>
      </c>
      <c r="EG408" s="36" t="str">
        <f t="shared" si="2309"/>
        <v>#ERROR!</v>
      </c>
      <c r="EH408" s="363" t="str">
        <f>SUM(ED408:EG408)</f>
        <v>#ERROR!</v>
      </c>
      <c r="EI408" s="428" t="str">
        <f t="shared" ref="EI408:EL408" si="2310">EI265*EI421</f>
        <v>#ERROR!</v>
      </c>
      <c r="EJ408" s="427" t="str">
        <f t="shared" si="2310"/>
        <v>#ERROR!</v>
      </c>
      <c r="EK408" s="427" t="str">
        <f t="shared" si="2310"/>
        <v>#ERROR!</v>
      </c>
      <c r="EL408" s="427" t="str">
        <f t="shared" si="2310"/>
        <v>#ERROR!</v>
      </c>
      <c r="EM408" s="363" t="str">
        <f>SUM(EI408:EL408)</f>
        <v>#ERROR!</v>
      </c>
      <c r="EN408" s="427" t="str">
        <f t="shared" ref="EN408:EQ408" si="2311">EN265*EN421</f>
        <v>#ERROR!</v>
      </c>
      <c r="EO408" s="427" t="str">
        <f t="shared" si="2311"/>
        <v>#ERROR!</v>
      </c>
      <c r="EP408" s="427" t="str">
        <f t="shared" si="2311"/>
        <v>#ERROR!</v>
      </c>
      <c r="EQ408" s="427" t="str">
        <f t="shared" si="2311"/>
        <v>#ERROR!</v>
      </c>
      <c r="ER408" s="363" t="str">
        <f>SUM(EN408:EQ408)</f>
        <v>#ERROR!</v>
      </c>
      <c r="ES408" s="427" t="str">
        <f t="shared" ref="ES408:EV408" si="2312">ES265*ES421</f>
        <v>#ERROR!</v>
      </c>
      <c r="ET408" s="427" t="str">
        <f t="shared" si="2312"/>
        <v>#ERROR!</v>
      </c>
      <c r="EU408" s="427" t="str">
        <f t="shared" si="2312"/>
        <v>#ERROR!</v>
      </c>
      <c r="EV408" s="427" t="str">
        <f t="shared" si="2312"/>
        <v>#ERROR!</v>
      </c>
      <c r="EW408" s="363" t="str">
        <f>SUM(ES408:EV408)</f>
        <v>#ERROR!</v>
      </c>
      <c r="EX408" s="427" t="str">
        <f t="shared" ref="EX408:FA408" si="2313">EX265*EX421</f>
        <v>#ERROR!</v>
      </c>
      <c r="EY408" s="427" t="str">
        <f t="shared" si="2313"/>
        <v>#ERROR!</v>
      </c>
      <c r="EZ408" s="427" t="str">
        <f t="shared" si="2313"/>
        <v>#ERROR!</v>
      </c>
      <c r="FA408" s="427" t="str">
        <f t="shared" si="2313"/>
        <v>#ERROR!</v>
      </c>
      <c r="FB408" s="363" t="str">
        <f>SUM(EX408:FA408)</f>
        <v>#ERROR!</v>
      </c>
      <c r="FC408" s="427" t="str">
        <f t="shared" ref="FC408:FF408" si="2314">FC265*FC421</f>
        <v>#ERROR!</v>
      </c>
      <c r="FD408" s="427" t="str">
        <f t="shared" si="2314"/>
        <v>#ERROR!</v>
      </c>
      <c r="FE408" s="427" t="str">
        <f t="shared" si="2314"/>
        <v>#ERROR!</v>
      </c>
      <c r="FF408" s="427" t="str">
        <f t="shared" si="2314"/>
        <v>#ERROR!</v>
      </c>
      <c r="FG408" s="363" t="str">
        <f>SUM(FC408:FF408)</f>
        <v>#ERROR!</v>
      </c>
      <c r="FH408" s="364"/>
      <c r="FI408" s="15"/>
      <c r="FJ408" s="15"/>
      <c r="FK408" s="410"/>
      <c r="FL408" s="15"/>
    </row>
    <row r="409" ht="12.75" hidden="1" customHeight="1" outlineLevel="2">
      <c r="A409" s="4"/>
      <c r="B409" s="72" t="s">
        <v>254</v>
      </c>
      <c r="C409" s="45"/>
      <c r="D409" s="15"/>
      <c r="E409" s="15"/>
      <c r="F409" s="15"/>
      <c r="G409" s="15"/>
      <c r="H409" s="410"/>
      <c r="I409" s="15"/>
      <c r="J409" s="15"/>
      <c r="K409" s="15"/>
      <c r="L409" s="15"/>
      <c r="M409" s="410"/>
      <c r="N409" s="15"/>
      <c r="O409" s="15"/>
      <c r="P409" s="15"/>
      <c r="Q409" s="15"/>
      <c r="R409" s="410"/>
      <c r="S409" s="15"/>
      <c r="T409" s="15"/>
      <c r="U409" s="15"/>
      <c r="V409" s="15"/>
      <c r="W409" s="410"/>
      <c r="X409" s="15"/>
      <c r="Y409" s="15"/>
      <c r="Z409" s="15"/>
      <c r="AA409" s="15"/>
      <c r="AB409" s="410"/>
      <c r="AC409" s="15"/>
      <c r="AD409" s="15"/>
      <c r="AE409" s="15"/>
      <c r="AF409" s="15"/>
      <c r="AG409" s="410"/>
      <c r="AH409" s="15"/>
      <c r="AI409" s="15"/>
      <c r="AJ409" s="15"/>
      <c r="AK409" s="15"/>
      <c r="AL409" s="410"/>
      <c r="AM409" s="15"/>
      <c r="AN409" s="15"/>
      <c r="AO409" s="15"/>
      <c r="AP409" s="15"/>
      <c r="AQ409" s="410"/>
      <c r="AR409" s="15"/>
      <c r="AS409" s="15"/>
      <c r="AT409" s="15"/>
      <c r="AU409" s="15"/>
      <c r="AV409" s="410"/>
      <c r="AW409" s="15"/>
      <c r="AX409" s="15"/>
      <c r="AY409" s="15"/>
      <c r="AZ409" s="15"/>
      <c r="BA409" s="410"/>
      <c r="BB409" s="15"/>
      <c r="BC409" s="15"/>
      <c r="BD409" s="15"/>
      <c r="BE409" s="15"/>
      <c r="BF409" s="410"/>
      <c r="BG409" s="15"/>
      <c r="BH409" s="15"/>
      <c r="BI409" s="15"/>
      <c r="BJ409" s="15"/>
      <c r="BK409" s="410"/>
      <c r="BL409" s="15"/>
      <c r="BM409" s="15"/>
      <c r="BN409" s="15"/>
      <c r="BO409" s="15"/>
      <c r="BP409" s="410"/>
      <c r="BQ409" s="15"/>
      <c r="BR409" s="15"/>
      <c r="BS409" s="15"/>
      <c r="BT409" s="15"/>
      <c r="BU409" s="410"/>
      <c r="BV409" s="15"/>
      <c r="BW409" s="15"/>
      <c r="BX409" s="15"/>
      <c r="BY409" s="15"/>
      <c r="BZ409" s="363">
        <f t="shared" ref="BZ409:BZ410" si="2317">SUM(BV409:BY409)</f>
        <v>0</v>
      </c>
      <c r="CA409" s="15"/>
      <c r="CB409" s="15"/>
      <c r="CC409" s="15"/>
      <c r="CD409" s="15"/>
      <c r="CE409" s="363">
        <f t="shared" ref="CE409:CE410" si="2318">SUM(CA409:CD409)</f>
        <v>0</v>
      </c>
      <c r="CF409" s="15"/>
      <c r="CG409" s="15"/>
      <c r="CH409" s="15"/>
      <c r="CI409" s="15"/>
      <c r="CJ409" s="363">
        <f t="shared" ref="CJ409:CJ410" si="2319">SUM(CF409:CI409)</f>
        <v>0</v>
      </c>
      <c r="CK409" s="15"/>
      <c r="CL409" s="15"/>
      <c r="CM409" s="15"/>
      <c r="CN409" s="40"/>
      <c r="CO409" s="363">
        <f t="shared" ref="CO409:CO410" si="2320">SUM(CK409:CN409)</f>
        <v>0</v>
      </c>
      <c r="CP409" s="427">
        <v>2802.0</v>
      </c>
      <c r="CQ409" s="427">
        <v>3734.0</v>
      </c>
      <c r="CR409" s="427">
        <v>4120.0</v>
      </c>
      <c r="CS409" s="427">
        <v>3979.0</v>
      </c>
      <c r="CT409" s="363">
        <f t="shared" si="2315"/>
        <v>14635</v>
      </c>
      <c r="CU409" s="427"/>
      <c r="CV409" s="427"/>
      <c r="CW409" s="427"/>
      <c r="CX409" s="427"/>
      <c r="CY409" s="363">
        <f t="shared" si="2316"/>
        <v>0</v>
      </c>
      <c r="CZ409" s="427"/>
      <c r="DA409" s="427"/>
      <c r="DB409" s="427"/>
      <c r="DC409" s="427"/>
      <c r="DD409" s="363"/>
      <c r="DE409" s="17"/>
      <c r="DF409" s="17"/>
      <c r="DG409" s="19"/>
      <c r="DH409" s="427"/>
      <c r="DI409" s="80"/>
      <c r="DJ409" s="19"/>
      <c r="DK409" s="19"/>
      <c r="DL409" s="19"/>
      <c r="DM409" s="19"/>
      <c r="DN409" s="80"/>
      <c r="DO409" s="19"/>
      <c r="DP409" s="19"/>
      <c r="DQ409" s="19"/>
      <c r="DR409" s="19"/>
      <c r="DS409" s="80"/>
      <c r="DT409" s="19"/>
      <c r="DU409" s="19"/>
      <c r="DV409" s="19"/>
      <c r="DW409" s="19"/>
      <c r="DX409" s="80"/>
      <c r="DY409" s="19"/>
      <c r="DZ409" s="19"/>
      <c r="EA409" s="19"/>
      <c r="EB409" s="19"/>
      <c r="EC409" s="80"/>
      <c r="ED409" s="19"/>
      <c r="EE409" s="19"/>
      <c r="EF409" s="19"/>
      <c r="EG409" s="19"/>
      <c r="EH409" s="80"/>
      <c r="EI409" s="25"/>
      <c r="EJ409" s="17"/>
      <c r="EK409" s="17"/>
      <c r="EL409" s="17"/>
      <c r="EM409" s="80"/>
      <c r="EN409" s="17"/>
      <c r="EO409" s="17"/>
      <c r="EP409" s="17"/>
      <c r="EQ409" s="17"/>
      <c r="ER409" s="80"/>
      <c r="ES409" s="17"/>
      <c r="ET409" s="17"/>
      <c r="EU409" s="17"/>
      <c r="EV409" s="17"/>
      <c r="EW409" s="80"/>
      <c r="EX409" s="17"/>
      <c r="EY409" s="17"/>
      <c r="EZ409" s="17"/>
      <c r="FA409" s="17"/>
      <c r="FB409" s="80"/>
      <c r="FC409" s="17"/>
      <c r="FD409" s="17"/>
      <c r="FE409" s="17"/>
      <c r="FF409" s="17"/>
      <c r="FG409" s="80"/>
      <c r="FH409" s="146"/>
      <c r="FI409" s="15"/>
      <c r="FJ409" s="15"/>
      <c r="FK409" s="410"/>
      <c r="FL409" s="15"/>
    </row>
    <row r="410" ht="12.75" hidden="1" customHeight="1" outlineLevel="2">
      <c r="A410" s="4"/>
      <c r="B410" s="72" t="str">
        <f>B321</f>
        <v>Mobile Communications Group (MCG)</v>
      </c>
      <c r="C410" s="45"/>
      <c r="D410" s="15"/>
      <c r="E410" s="15"/>
      <c r="F410" s="15"/>
      <c r="G410" s="15"/>
      <c r="H410" s="410"/>
      <c r="I410" s="15"/>
      <c r="J410" s="15"/>
      <c r="K410" s="15"/>
      <c r="L410" s="15"/>
      <c r="M410" s="410"/>
      <c r="N410" s="15"/>
      <c r="O410" s="15"/>
      <c r="P410" s="15"/>
      <c r="Q410" s="15"/>
      <c r="R410" s="410"/>
      <c r="S410" s="15"/>
      <c r="T410" s="15"/>
      <c r="U410" s="15"/>
      <c r="V410" s="15"/>
      <c r="W410" s="410"/>
      <c r="X410" s="15"/>
      <c r="Y410" s="15"/>
      <c r="Z410" s="15"/>
      <c r="AA410" s="15"/>
      <c r="AB410" s="410"/>
      <c r="AC410" s="15"/>
      <c r="AD410" s="15"/>
      <c r="AE410" s="15"/>
      <c r="AF410" s="15"/>
      <c r="AG410" s="410"/>
      <c r="AH410" s="15"/>
      <c r="AI410" s="15"/>
      <c r="AJ410" s="15"/>
      <c r="AK410" s="15"/>
      <c r="AL410" s="410"/>
      <c r="AM410" s="15"/>
      <c r="AN410" s="15"/>
      <c r="AO410" s="15"/>
      <c r="AP410" s="15"/>
      <c r="AQ410" s="410"/>
      <c r="AR410" s="15"/>
      <c r="AS410" s="15"/>
      <c r="AT410" s="15"/>
      <c r="AU410" s="15"/>
      <c r="AV410" s="410"/>
      <c r="AW410" s="15"/>
      <c r="AX410" s="15"/>
      <c r="AY410" s="15"/>
      <c r="AZ410" s="15"/>
      <c r="BA410" s="410"/>
      <c r="BB410" s="15"/>
      <c r="BC410" s="15"/>
      <c r="BD410" s="15"/>
      <c r="BE410" s="15"/>
      <c r="BF410" s="410"/>
      <c r="BG410" s="15"/>
      <c r="BH410" s="15"/>
      <c r="BI410" s="15"/>
      <c r="BJ410" s="15"/>
      <c r="BK410" s="410"/>
      <c r="BL410" s="15"/>
      <c r="BM410" s="15"/>
      <c r="BN410" s="15"/>
      <c r="BO410" s="15"/>
      <c r="BP410" s="410"/>
      <c r="BQ410" s="15"/>
      <c r="BR410" s="15"/>
      <c r="BS410" s="15"/>
      <c r="BT410" s="15"/>
      <c r="BU410" s="410"/>
      <c r="BV410" s="15"/>
      <c r="BW410" s="15"/>
      <c r="BX410" s="15"/>
      <c r="BY410" s="15"/>
      <c r="BZ410" s="363">
        <f t="shared" si="2317"/>
        <v>0</v>
      </c>
      <c r="CA410" s="15"/>
      <c r="CB410" s="15"/>
      <c r="CC410" s="15"/>
      <c r="CD410" s="15"/>
      <c r="CE410" s="363">
        <f t="shared" si="2318"/>
        <v>0</v>
      </c>
      <c r="CF410" s="15"/>
      <c r="CG410" s="15"/>
      <c r="CH410" s="15"/>
      <c r="CI410" s="15"/>
      <c r="CJ410" s="363">
        <f t="shared" si="2319"/>
        <v>0</v>
      </c>
      <c r="CK410" s="427">
        <f>-1464-CL410</f>
        <v>-703</v>
      </c>
      <c r="CL410" s="427">
        <v>-761.0</v>
      </c>
      <c r="CM410" s="427">
        <v>-810.0</v>
      </c>
      <c r="CN410" s="427">
        <f>-2445-CO408-CM410-CL410-CK410</f>
        <v>-8774</v>
      </c>
      <c r="CO410" s="363">
        <f t="shared" si="2320"/>
        <v>-11048</v>
      </c>
      <c r="CP410" s="427">
        <v>-929.0</v>
      </c>
      <c r="CQ410" s="427">
        <v>-1124.0</v>
      </c>
      <c r="CR410" s="427">
        <v>-1043.0</v>
      </c>
      <c r="CS410" s="427">
        <v>-1110.0</v>
      </c>
      <c r="CT410" s="363">
        <f t="shared" si="2315"/>
        <v>-4206</v>
      </c>
      <c r="CU410" s="427"/>
      <c r="CV410" s="427"/>
      <c r="CW410" s="427"/>
      <c r="CX410" s="427"/>
      <c r="CY410" s="363">
        <f t="shared" si="2316"/>
        <v>0</v>
      </c>
      <c r="CZ410" s="427"/>
      <c r="DA410" s="427"/>
      <c r="DB410" s="427"/>
      <c r="DC410" s="427"/>
      <c r="DD410" s="363"/>
      <c r="DE410" s="17"/>
      <c r="DF410" s="17"/>
      <c r="DG410" s="19"/>
      <c r="DH410" s="427"/>
      <c r="DI410" s="80"/>
      <c r="DJ410" s="19"/>
      <c r="DK410" s="19"/>
      <c r="DL410" s="19"/>
      <c r="DM410" s="19"/>
      <c r="DN410" s="80"/>
      <c r="DO410" s="19"/>
      <c r="DP410" s="19"/>
      <c r="DQ410" s="19"/>
      <c r="DR410" s="19"/>
      <c r="DS410" s="80"/>
      <c r="DT410" s="19"/>
      <c r="DU410" s="19"/>
      <c r="DV410" s="19"/>
      <c r="DW410" s="19"/>
      <c r="DX410" s="80"/>
      <c r="DY410" s="19"/>
      <c r="DZ410" s="19"/>
      <c r="EA410" s="19"/>
      <c r="EB410" s="19"/>
      <c r="EC410" s="80"/>
      <c r="ED410" s="19"/>
      <c r="EE410" s="19"/>
      <c r="EF410" s="19"/>
      <c r="EG410" s="19"/>
      <c r="EH410" s="80"/>
      <c r="EI410" s="25"/>
      <c r="EJ410" s="17"/>
      <c r="EK410" s="17"/>
      <c r="EL410" s="17"/>
      <c r="EM410" s="80"/>
      <c r="EN410" s="17"/>
      <c r="EO410" s="17"/>
      <c r="EP410" s="17"/>
      <c r="EQ410" s="17"/>
      <c r="ER410" s="80"/>
      <c r="ES410" s="17"/>
      <c r="ET410" s="17"/>
      <c r="EU410" s="17"/>
      <c r="EV410" s="17"/>
      <c r="EW410" s="80"/>
      <c r="EX410" s="17"/>
      <c r="EY410" s="17"/>
      <c r="EZ410" s="17"/>
      <c r="FA410" s="17"/>
      <c r="FB410" s="80"/>
      <c r="FC410" s="17"/>
      <c r="FD410" s="17"/>
      <c r="FE410" s="17"/>
      <c r="FF410" s="17"/>
      <c r="FG410" s="80"/>
      <c r="FH410" s="146"/>
      <c r="FI410" s="15"/>
      <c r="FJ410" s="15"/>
      <c r="FK410" s="410"/>
      <c r="FL410" s="15"/>
    </row>
    <row r="411" ht="12.75" hidden="1" customHeight="1" outlineLevel="1">
      <c r="A411" s="4"/>
      <c r="B411" s="45" t="str">
        <f>B324</f>
        <v>Data Center Group (DCG)</v>
      </c>
      <c r="C411" s="45"/>
      <c r="D411" s="15"/>
      <c r="E411" s="15"/>
      <c r="F411" s="15"/>
      <c r="G411" s="15"/>
      <c r="H411" s="410"/>
      <c r="I411" s="15"/>
      <c r="J411" s="15"/>
      <c r="K411" s="15"/>
      <c r="L411" s="15"/>
      <c r="M411" s="410"/>
      <c r="N411" s="15"/>
      <c r="O411" s="15"/>
      <c r="P411" s="15"/>
      <c r="Q411" s="15"/>
      <c r="R411" s="410"/>
      <c r="S411" s="15"/>
      <c r="T411" s="15"/>
      <c r="U411" s="15"/>
      <c r="V411" s="15"/>
      <c r="W411" s="410"/>
      <c r="X411" s="15"/>
      <c r="Y411" s="15"/>
      <c r="Z411" s="15"/>
      <c r="AA411" s="15"/>
      <c r="AB411" s="410"/>
      <c r="AC411" s="15"/>
      <c r="AD411" s="15"/>
      <c r="AE411" s="15"/>
      <c r="AF411" s="15"/>
      <c r="AG411" s="410"/>
      <c r="AH411" s="15"/>
      <c r="AI411" s="15"/>
      <c r="AJ411" s="15"/>
      <c r="AK411" s="15"/>
      <c r="AL411" s="410"/>
      <c r="AM411" s="15"/>
      <c r="AN411" s="15"/>
      <c r="AO411" s="15"/>
      <c r="AP411" s="15"/>
      <c r="AQ411" s="410"/>
      <c r="AR411" s="15"/>
      <c r="AS411" s="15"/>
      <c r="AT411" s="15"/>
      <c r="AU411" s="15"/>
      <c r="AV411" s="410"/>
      <c r="AW411" s="15"/>
      <c r="AX411" s="15"/>
      <c r="AY411" s="15"/>
      <c r="AZ411" s="15"/>
      <c r="BA411" s="410"/>
      <c r="BB411" s="15"/>
      <c r="BC411" s="15"/>
      <c r="BD411" s="15"/>
      <c r="BE411" s="15"/>
      <c r="BF411" s="410"/>
      <c r="BG411" s="15"/>
      <c r="BH411" s="15"/>
      <c r="BI411" s="15"/>
      <c r="BJ411" s="15"/>
      <c r="BK411" s="410"/>
      <c r="BL411" s="15"/>
      <c r="BM411" s="15"/>
      <c r="BN411" s="15"/>
      <c r="BO411" s="15"/>
      <c r="BP411" s="410"/>
      <c r="BQ411" s="15"/>
      <c r="BR411" s="15"/>
      <c r="BS411" s="15"/>
      <c r="BT411" s="15"/>
      <c r="BU411" s="410"/>
      <c r="BV411" s="15"/>
      <c r="BW411" s="15"/>
      <c r="BX411" s="15"/>
      <c r="BY411" s="15"/>
      <c r="BZ411" s="363">
        <v>4388.0</v>
      </c>
      <c r="CA411" s="15"/>
      <c r="CB411" s="15"/>
      <c r="CC411" s="15"/>
      <c r="CD411" s="15"/>
      <c r="CE411" s="363">
        <v>5100.0</v>
      </c>
      <c r="CF411" s="15"/>
      <c r="CG411" s="15"/>
      <c r="CH411" s="15"/>
      <c r="CI411" s="15"/>
      <c r="CJ411" s="363">
        <v>5073.0</v>
      </c>
      <c r="CK411" s="15"/>
      <c r="CL411" s="15"/>
      <c r="CM411" s="15"/>
      <c r="CN411" s="40"/>
      <c r="CO411" s="363">
        <v>5569.0</v>
      </c>
      <c r="CP411" s="427">
        <v>1317.0</v>
      </c>
      <c r="CQ411" s="427">
        <v>1842.0</v>
      </c>
      <c r="CR411" s="427">
        <v>1946.0</v>
      </c>
      <c r="CS411" s="463">
        <f>2266-10</f>
        <v>2256</v>
      </c>
      <c r="CT411" s="363">
        <f t="shared" si="2315"/>
        <v>7361</v>
      </c>
      <c r="CU411" s="427">
        <v>1699.0</v>
      </c>
      <c r="CV411" s="427">
        <v>1843.0</v>
      </c>
      <c r="CW411" s="427">
        <v>2130.0</v>
      </c>
      <c r="CX411" s="427">
        <v>2175.0</v>
      </c>
      <c r="CY411" s="363">
        <f t="shared" si="2316"/>
        <v>7847</v>
      </c>
      <c r="CZ411" s="427">
        <v>1764.0</v>
      </c>
      <c r="DA411" s="427">
        <v>1765.0</v>
      </c>
      <c r="DB411" s="427">
        <v>2110.0</v>
      </c>
      <c r="DC411" s="427">
        <v>1881.0</v>
      </c>
      <c r="DD411" s="363">
        <f t="shared" ref="DD411:DD416" si="2327">SUM(CZ411:DC411)</f>
        <v>7520</v>
      </c>
      <c r="DE411" s="427">
        <v>1487.0</v>
      </c>
      <c r="DF411" s="427">
        <v>1661.0</v>
      </c>
      <c r="DG411" s="36">
        <v>2255.0</v>
      </c>
      <c r="DH411" s="427">
        <v>2992.0</v>
      </c>
      <c r="DI411" s="363">
        <f t="shared" ref="DI411:DI416" si="2328">SUM(DE411:DH411)</f>
        <v>8395</v>
      </c>
      <c r="DJ411" s="36">
        <v>2602.0</v>
      </c>
      <c r="DK411" s="36">
        <v>2700.0</v>
      </c>
      <c r="DL411" s="36">
        <v>3082.0</v>
      </c>
      <c r="DM411" s="36">
        <v>3055.0</v>
      </c>
      <c r="DN411" s="363">
        <f t="shared" ref="DN411:DN416" si="2329">SUM(DJ411:DM411)</f>
        <v>11439</v>
      </c>
      <c r="DO411" s="36">
        <v>1841.0</v>
      </c>
      <c r="DP411" s="36">
        <v>1800.0</v>
      </c>
      <c r="DQ411" s="36">
        <v>3115.0</v>
      </c>
      <c r="DR411" s="36">
        <v>3471.0</v>
      </c>
      <c r="DS411" s="363">
        <f t="shared" ref="DS411:DS416" si="2330">SUM(DO411:DR411)</f>
        <v>10227</v>
      </c>
      <c r="DT411" s="36">
        <v>3492.0</v>
      </c>
      <c r="DU411" s="36">
        <v>3099.0</v>
      </c>
      <c r="DV411" s="36">
        <v>1903.0</v>
      </c>
      <c r="DW411" s="36">
        <v>2077.0</v>
      </c>
      <c r="DX411" s="363">
        <f t="shared" ref="DX411:DX416" si="2331">SUM(DT411:DW411)</f>
        <v>10571</v>
      </c>
      <c r="DY411" s="36">
        <v>1273.0</v>
      </c>
      <c r="DZ411" s="36">
        <v>1941.0</v>
      </c>
      <c r="EA411" s="36">
        <v>2057.0</v>
      </c>
      <c r="EB411" s="36">
        <v>1726.0</v>
      </c>
      <c r="EC411" s="363">
        <f t="shared" ref="EC411:EC416" si="2332">SUM(DY411:EB411)</f>
        <v>6997</v>
      </c>
      <c r="ED411" s="36">
        <v>2374.4476730506276</v>
      </c>
      <c r="EE411" s="36" t="str">
        <f t="shared" ref="EE411:EG411" si="2321">EE324*EE422</f>
        <v>#ERROR!</v>
      </c>
      <c r="EF411" s="36" t="str">
        <f t="shared" si="2321"/>
        <v>#ERROR!</v>
      </c>
      <c r="EG411" s="36" t="str">
        <f t="shared" si="2321"/>
        <v>#ERROR!</v>
      </c>
      <c r="EH411" s="363" t="str">
        <f t="shared" ref="EH411:EH416" si="2334">SUM(ED411:EG411)</f>
        <v>#ERROR!</v>
      </c>
      <c r="EI411" s="428" t="str">
        <f t="shared" ref="EI411:EL411" si="2322">EI324*EI422</f>
        <v>#ERROR!</v>
      </c>
      <c r="EJ411" s="427" t="str">
        <f t="shared" si="2322"/>
        <v>#ERROR!</v>
      </c>
      <c r="EK411" s="427" t="str">
        <f t="shared" si="2322"/>
        <v>#ERROR!</v>
      </c>
      <c r="EL411" s="427" t="str">
        <f t="shared" si="2322"/>
        <v>#ERROR!</v>
      </c>
      <c r="EM411" s="363" t="str">
        <f t="shared" ref="EM411:EM416" si="2336">SUM(EI411:EL411)</f>
        <v>#ERROR!</v>
      </c>
      <c r="EN411" s="427" t="str">
        <f t="shared" ref="EN411:EQ411" si="2323">EN324*EN422</f>
        <v>#ERROR!</v>
      </c>
      <c r="EO411" s="427" t="str">
        <f t="shared" si="2323"/>
        <v>#ERROR!</v>
      </c>
      <c r="EP411" s="427" t="str">
        <f t="shared" si="2323"/>
        <v>#ERROR!</v>
      </c>
      <c r="EQ411" s="427" t="str">
        <f t="shared" si="2323"/>
        <v>#ERROR!</v>
      </c>
      <c r="ER411" s="363" t="str">
        <f t="shared" ref="ER411:ER416" si="2338">SUM(EN411:EQ411)</f>
        <v>#ERROR!</v>
      </c>
      <c r="ES411" s="427" t="str">
        <f t="shared" ref="ES411:EV411" si="2324">ES324*ES422</f>
        <v>#ERROR!</v>
      </c>
      <c r="ET411" s="427" t="str">
        <f t="shared" si="2324"/>
        <v>#ERROR!</v>
      </c>
      <c r="EU411" s="427" t="str">
        <f t="shared" si="2324"/>
        <v>#ERROR!</v>
      </c>
      <c r="EV411" s="427" t="str">
        <f t="shared" si="2324"/>
        <v>#ERROR!</v>
      </c>
      <c r="EW411" s="363" t="str">
        <f t="shared" ref="EW411:EW416" si="2340">SUM(ES411:EV411)</f>
        <v>#ERROR!</v>
      </c>
      <c r="EX411" s="427" t="str">
        <f t="shared" ref="EX411:FA411" si="2325">EX324*EX422</f>
        <v>#ERROR!</v>
      </c>
      <c r="EY411" s="427" t="str">
        <f t="shared" si="2325"/>
        <v>#ERROR!</v>
      </c>
      <c r="EZ411" s="427" t="str">
        <f t="shared" si="2325"/>
        <v>#ERROR!</v>
      </c>
      <c r="FA411" s="427" t="str">
        <f t="shared" si="2325"/>
        <v>#ERROR!</v>
      </c>
      <c r="FB411" s="363" t="str">
        <f t="shared" ref="FB411:FB416" si="2342">SUM(EX411:FA411)</f>
        <v>#ERROR!</v>
      </c>
      <c r="FC411" s="427" t="str">
        <f t="shared" ref="FC411:FF411" si="2326">FC324*FC422</f>
        <v>#ERROR!</v>
      </c>
      <c r="FD411" s="427" t="str">
        <f t="shared" si="2326"/>
        <v>#ERROR!</v>
      </c>
      <c r="FE411" s="427" t="str">
        <f t="shared" si="2326"/>
        <v>#ERROR!</v>
      </c>
      <c r="FF411" s="427" t="str">
        <f t="shared" si="2326"/>
        <v>#ERROR!</v>
      </c>
      <c r="FG411" s="363" t="str">
        <f t="shared" ref="FG411:FG416" si="2344">SUM(FC411:FF411)</f>
        <v>#ERROR!</v>
      </c>
      <c r="FH411" s="364"/>
      <c r="FI411" s="15"/>
      <c r="FJ411" s="15"/>
      <c r="FK411" s="410"/>
      <c r="FL411" s="15"/>
    </row>
    <row r="412" ht="12.75" hidden="1" customHeight="1" outlineLevel="1">
      <c r="A412" s="4"/>
      <c r="B412" s="523" t="str">
        <f>B357</f>
        <v>Internet of Things Group (IOTG)</v>
      </c>
      <c r="C412" s="45"/>
      <c r="D412" s="15"/>
      <c r="E412" s="15"/>
      <c r="F412" s="15"/>
      <c r="G412" s="15"/>
      <c r="H412" s="410"/>
      <c r="I412" s="15"/>
      <c r="J412" s="15"/>
      <c r="K412" s="15"/>
      <c r="L412" s="15"/>
      <c r="M412" s="410"/>
      <c r="N412" s="15"/>
      <c r="O412" s="15"/>
      <c r="P412" s="15"/>
      <c r="Q412" s="15"/>
      <c r="R412" s="410"/>
      <c r="S412" s="15"/>
      <c r="T412" s="15"/>
      <c r="U412" s="15"/>
      <c r="V412" s="15"/>
      <c r="W412" s="410"/>
      <c r="X412" s="15"/>
      <c r="Y412" s="15"/>
      <c r="Z412" s="15"/>
      <c r="AA412" s="15"/>
      <c r="AB412" s="410"/>
      <c r="AC412" s="15"/>
      <c r="AD412" s="15"/>
      <c r="AE412" s="15"/>
      <c r="AF412" s="15"/>
      <c r="AG412" s="410"/>
      <c r="AH412" s="15"/>
      <c r="AI412" s="15"/>
      <c r="AJ412" s="15"/>
      <c r="AK412" s="15"/>
      <c r="AL412" s="410"/>
      <c r="AM412" s="15"/>
      <c r="AN412" s="15"/>
      <c r="AO412" s="15"/>
      <c r="AP412" s="15"/>
      <c r="AQ412" s="410"/>
      <c r="AR412" s="15"/>
      <c r="AS412" s="15"/>
      <c r="AT412" s="15"/>
      <c r="AU412" s="15"/>
      <c r="AV412" s="410"/>
      <c r="AW412" s="15"/>
      <c r="AX412" s="15"/>
      <c r="AY412" s="15"/>
      <c r="AZ412" s="15"/>
      <c r="BA412" s="410"/>
      <c r="BB412" s="15"/>
      <c r="BC412" s="15"/>
      <c r="BD412" s="15"/>
      <c r="BE412" s="15"/>
      <c r="BF412" s="410"/>
      <c r="BG412" s="15"/>
      <c r="BH412" s="15"/>
      <c r="BI412" s="15"/>
      <c r="BJ412" s="15"/>
      <c r="BK412" s="410"/>
      <c r="BL412" s="15"/>
      <c r="BM412" s="15"/>
      <c r="BN412" s="15"/>
      <c r="BO412" s="15"/>
      <c r="BP412" s="410"/>
      <c r="BQ412" s="15"/>
      <c r="BR412" s="15"/>
      <c r="BS412" s="15"/>
      <c r="BT412" s="15"/>
      <c r="BU412" s="410"/>
      <c r="BV412" s="15"/>
      <c r="BW412" s="15"/>
      <c r="BX412" s="15"/>
      <c r="BY412" s="15"/>
      <c r="BZ412" s="363">
        <f t="shared" ref="BZ412:BZ415" si="2345">SUM(BV412:BY412)</f>
        <v>0</v>
      </c>
      <c r="CA412" s="15"/>
      <c r="CB412" s="15"/>
      <c r="CC412" s="15"/>
      <c r="CD412" s="15"/>
      <c r="CE412" s="363">
        <f t="shared" ref="CE412:CE415" si="2346">SUM(CA412:CD412)</f>
        <v>0</v>
      </c>
      <c r="CF412" s="15"/>
      <c r="CG412" s="15"/>
      <c r="CH412" s="15"/>
      <c r="CI412" s="15"/>
      <c r="CJ412" s="363">
        <v>278.0</v>
      </c>
      <c r="CK412" s="15"/>
      <c r="CL412" s="15"/>
      <c r="CM412" s="15"/>
      <c r="CN412" s="40"/>
      <c r="CO412" s="363">
        <v>550.0</v>
      </c>
      <c r="CP412" s="427">
        <v>123.0</v>
      </c>
      <c r="CQ412" s="427">
        <v>146.0</v>
      </c>
      <c r="CR412" s="427">
        <v>145.0</v>
      </c>
      <c r="CS412" s="427">
        <v>177.0</v>
      </c>
      <c r="CT412" s="363">
        <f t="shared" si="2315"/>
        <v>591</v>
      </c>
      <c r="CU412" s="427">
        <v>87.0</v>
      </c>
      <c r="CV412" s="427">
        <v>146.0</v>
      </c>
      <c r="CW412" s="427">
        <v>150.0</v>
      </c>
      <c r="CX412" s="427">
        <v>132.0</v>
      </c>
      <c r="CY412" s="363">
        <f t="shared" si="2316"/>
        <v>515</v>
      </c>
      <c r="CZ412" s="427">
        <v>123.0</v>
      </c>
      <c r="DA412" s="427">
        <v>89.0</v>
      </c>
      <c r="DB412" s="427">
        <v>191.0</v>
      </c>
      <c r="DC412" s="427">
        <v>182.0</v>
      </c>
      <c r="DD412" s="363">
        <f t="shared" si="2327"/>
        <v>585</v>
      </c>
      <c r="DE412" s="427">
        <v>105.0</v>
      </c>
      <c r="DF412" s="427">
        <v>139.0</v>
      </c>
      <c r="DG412" s="36">
        <v>146.0</v>
      </c>
      <c r="DH412" s="427">
        <v>260.0</v>
      </c>
      <c r="DI412" s="363">
        <f t="shared" si="2328"/>
        <v>650</v>
      </c>
      <c r="DJ412" s="36">
        <f>227</f>
        <v>227</v>
      </c>
      <c r="DK412" s="36">
        <v>243.0</v>
      </c>
      <c r="DL412" s="36">
        <v>321.0</v>
      </c>
      <c r="DM412" s="36">
        <v>189.0</v>
      </c>
      <c r="DN412" s="363">
        <f t="shared" si="2329"/>
        <v>980</v>
      </c>
      <c r="DO412" s="36">
        <f>251+68</f>
        <v>319</v>
      </c>
      <c r="DP412" s="36">
        <f>294+53</f>
        <v>347</v>
      </c>
      <c r="DQ412" s="36">
        <f>309+67</f>
        <v>376</v>
      </c>
      <c r="DR412" s="36">
        <f>243+57</f>
        <v>300</v>
      </c>
      <c r="DS412" s="363">
        <f t="shared" si="2330"/>
        <v>1342</v>
      </c>
      <c r="DT412" s="36">
        <f>243+88</f>
        <v>331</v>
      </c>
      <c r="DU412" s="36">
        <f>70-4</f>
        <v>66</v>
      </c>
      <c r="DV412" s="36">
        <f>61+47</f>
        <v>108</v>
      </c>
      <c r="DW412" s="36">
        <f>123+110</f>
        <v>233</v>
      </c>
      <c r="DX412" s="363">
        <f t="shared" si="2331"/>
        <v>738</v>
      </c>
      <c r="DY412" s="36">
        <f>212+147</f>
        <v>359</v>
      </c>
      <c r="DZ412" s="36">
        <f>287+109</f>
        <v>396</v>
      </c>
      <c r="EA412" s="36">
        <f>276+105</f>
        <v>381</v>
      </c>
      <c r="EB412" s="36">
        <f>270+99</f>
        <v>369</v>
      </c>
      <c r="EC412" s="363">
        <f t="shared" si="2332"/>
        <v>1505</v>
      </c>
      <c r="ED412" s="36">
        <v>362.4</v>
      </c>
      <c r="EE412" s="36">
        <f t="shared" ref="EE412:EG412" si="2333">(EE357+EE395)*EE423</f>
        <v>406.93644</v>
      </c>
      <c r="EF412" s="36">
        <f t="shared" si="2333"/>
        <v>439.7368752</v>
      </c>
      <c r="EG412" s="36">
        <f t="shared" si="2333"/>
        <v>459.2639136</v>
      </c>
      <c r="EH412" s="363">
        <f t="shared" si="2334"/>
        <v>1668.337229</v>
      </c>
      <c r="EI412" s="428">
        <f t="shared" ref="EI412:EL412" si="2335">(EI357+EI395)*EI423</f>
        <v>480.7442083</v>
      </c>
      <c r="EJ412" s="427">
        <f t="shared" si="2335"/>
        <v>476.27941</v>
      </c>
      <c r="EK412" s="427">
        <f t="shared" si="2335"/>
        <v>550.6172384</v>
      </c>
      <c r="EL412" s="427">
        <f t="shared" si="2335"/>
        <v>542.2576404</v>
      </c>
      <c r="EM412" s="363">
        <f t="shared" si="2336"/>
        <v>2049.898497</v>
      </c>
      <c r="EN412" s="427">
        <f t="shared" ref="EN412:EQ412" si="2337">(EN357+EN395)*EN423</f>
        <v>600.7361654</v>
      </c>
      <c r="EO412" s="427">
        <f t="shared" si="2337"/>
        <v>574.6407421</v>
      </c>
      <c r="EP412" s="427">
        <f t="shared" si="2337"/>
        <v>664.6074883</v>
      </c>
      <c r="EQ412" s="427">
        <f t="shared" si="2337"/>
        <v>655.3468772</v>
      </c>
      <c r="ER412" s="363">
        <f t="shared" si="2338"/>
        <v>2495.331273</v>
      </c>
      <c r="ES412" s="427">
        <f t="shared" ref="ES412:EV412" si="2339">(ES357+ES395)*ES423</f>
        <v>728.5686758</v>
      </c>
      <c r="ET412" s="427">
        <f t="shared" si="2339"/>
        <v>699.4037294</v>
      </c>
      <c r="EU412" s="427">
        <f t="shared" si="2339"/>
        <v>809.2540684</v>
      </c>
      <c r="EV412" s="427">
        <f t="shared" si="2339"/>
        <v>799.0285362</v>
      </c>
      <c r="EW412" s="363">
        <f t="shared" si="2340"/>
        <v>3036.25501</v>
      </c>
      <c r="EX412" s="427">
        <f t="shared" ref="EX412:FA412" si="2341">(EX357+EX395)*EX423</f>
        <v>891.5257038</v>
      </c>
      <c r="EY412" s="427">
        <f t="shared" si="2341"/>
        <v>858.9673974</v>
      </c>
      <c r="EZ412" s="427">
        <f t="shared" si="2341"/>
        <v>994.3194141</v>
      </c>
      <c r="FA412" s="427">
        <f t="shared" si="2341"/>
        <v>983.0742357</v>
      </c>
      <c r="FB412" s="363">
        <f t="shared" si="2342"/>
        <v>3727.886751</v>
      </c>
      <c r="FC412" s="427">
        <f t="shared" ref="FC412:FF412" si="2343">(FC357+FC395)*FC423</f>
        <v>1100.915975</v>
      </c>
      <c r="FD412" s="427">
        <f t="shared" si="2343"/>
        <v>1064.620395</v>
      </c>
      <c r="FE412" s="427">
        <f t="shared" si="2343"/>
        <v>1232.92604</v>
      </c>
      <c r="FF412" s="427">
        <f t="shared" si="2343"/>
        <v>1220.622963</v>
      </c>
      <c r="FG412" s="363">
        <f t="shared" si="2344"/>
        <v>4619.085372</v>
      </c>
      <c r="FH412" s="364"/>
      <c r="FI412" s="15"/>
      <c r="FJ412" s="15"/>
      <c r="FK412" s="410"/>
      <c r="FL412" s="15"/>
    </row>
    <row r="413" ht="12.75" hidden="1" customHeight="1" outlineLevel="1">
      <c r="A413" s="4"/>
      <c r="B413" s="45" t="str">
        <f>B362</f>
        <v>Non-Volatile Memory Solutions Group (NSG)</v>
      </c>
      <c r="C413" s="45"/>
      <c r="D413" s="15"/>
      <c r="E413" s="15"/>
      <c r="F413" s="15"/>
      <c r="G413" s="15"/>
      <c r="H413" s="410"/>
      <c r="I413" s="15"/>
      <c r="J413" s="15"/>
      <c r="K413" s="15"/>
      <c r="L413" s="15"/>
      <c r="M413" s="410"/>
      <c r="N413" s="15"/>
      <c r="O413" s="15"/>
      <c r="P413" s="15"/>
      <c r="Q413" s="15"/>
      <c r="R413" s="410"/>
      <c r="S413" s="15"/>
      <c r="T413" s="15"/>
      <c r="U413" s="15"/>
      <c r="V413" s="15"/>
      <c r="W413" s="410"/>
      <c r="X413" s="15"/>
      <c r="Y413" s="15"/>
      <c r="Z413" s="15"/>
      <c r="AA413" s="15"/>
      <c r="AB413" s="410"/>
      <c r="AC413" s="15"/>
      <c r="AD413" s="15"/>
      <c r="AE413" s="15"/>
      <c r="AF413" s="15"/>
      <c r="AG413" s="410"/>
      <c r="AH413" s="15"/>
      <c r="AI413" s="15"/>
      <c r="AJ413" s="15"/>
      <c r="AK413" s="15"/>
      <c r="AL413" s="410"/>
      <c r="AM413" s="15"/>
      <c r="AN413" s="15"/>
      <c r="AO413" s="15"/>
      <c r="AP413" s="15"/>
      <c r="AQ413" s="410"/>
      <c r="AR413" s="15"/>
      <c r="AS413" s="15"/>
      <c r="AT413" s="15"/>
      <c r="AU413" s="15"/>
      <c r="AV413" s="410"/>
      <c r="AW413" s="15"/>
      <c r="AX413" s="15"/>
      <c r="AY413" s="15"/>
      <c r="AZ413" s="15"/>
      <c r="BA413" s="410"/>
      <c r="BB413" s="15"/>
      <c r="BC413" s="15"/>
      <c r="BD413" s="15"/>
      <c r="BE413" s="15"/>
      <c r="BF413" s="410"/>
      <c r="BG413" s="15"/>
      <c r="BH413" s="15"/>
      <c r="BI413" s="15"/>
      <c r="BJ413" s="15"/>
      <c r="BK413" s="410"/>
      <c r="BL413" s="15"/>
      <c r="BM413" s="15"/>
      <c r="BN413" s="15"/>
      <c r="BO413" s="15"/>
      <c r="BP413" s="410"/>
      <c r="BQ413" s="15"/>
      <c r="BR413" s="15"/>
      <c r="BS413" s="15"/>
      <c r="BT413" s="15"/>
      <c r="BU413" s="410"/>
      <c r="BV413" s="15"/>
      <c r="BW413" s="15"/>
      <c r="BX413" s="15"/>
      <c r="BY413" s="15"/>
      <c r="BZ413" s="363">
        <f t="shared" si="2345"/>
        <v>0</v>
      </c>
      <c r="CA413" s="15"/>
      <c r="CB413" s="15"/>
      <c r="CC413" s="15"/>
      <c r="CD413" s="15"/>
      <c r="CE413" s="363">
        <f t="shared" si="2346"/>
        <v>0</v>
      </c>
      <c r="CF413" s="15"/>
      <c r="CG413" s="15"/>
      <c r="CH413" s="15"/>
      <c r="CI413" s="15"/>
      <c r="CJ413" s="363">
        <f t="shared" ref="CJ413:CJ415" si="2353">SUM(CF413:CI413)</f>
        <v>0</v>
      </c>
      <c r="CK413" s="15"/>
      <c r="CL413" s="15"/>
      <c r="CM413" s="15"/>
      <c r="CN413" s="40"/>
      <c r="CO413" s="363">
        <f t="shared" ref="CO413:CO415" si="2354">SUM(CK413:CN413)</f>
        <v>0</v>
      </c>
      <c r="CP413" s="463"/>
      <c r="CQ413" s="463"/>
      <c r="CR413" s="463"/>
      <c r="CS413" s="463">
        <f>255-CR413-CQ413-CP413</f>
        <v>255</v>
      </c>
      <c r="CT413" s="363">
        <f t="shared" si="2315"/>
        <v>255</v>
      </c>
      <c r="CU413" s="427">
        <v>72.0</v>
      </c>
      <c r="CV413" s="427">
        <v>92.0</v>
      </c>
      <c r="CW413" s="427">
        <v>51.0</v>
      </c>
      <c r="CX413" s="427">
        <v>24.0</v>
      </c>
      <c r="CY413" s="363">
        <f t="shared" si="2316"/>
        <v>239</v>
      </c>
      <c r="CZ413" s="427">
        <v>-95.0</v>
      </c>
      <c r="DA413" s="427">
        <v>-224.0</v>
      </c>
      <c r="DB413" s="427">
        <v>-134.0</v>
      </c>
      <c r="DC413" s="427">
        <v>-91.0</v>
      </c>
      <c r="DD413" s="363">
        <f t="shared" si="2327"/>
        <v>-544</v>
      </c>
      <c r="DE413" s="427">
        <v>-129.0</v>
      </c>
      <c r="DF413" s="427">
        <v>-110.0</v>
      </c>
      <c r="DG413" s="36">
        <v>-52.0</v>
      </c>
      <c r="DH413" s="427">
        <v>31.0</v>
      </c>
      <c r="DI413" s="363">
        <f t="shared" si="2328"/>
        <v>-260</v>
      </c>
      <c r="DJ413" s="36">
        <v>-81.0</v>
      </c>
      <c r="DK413" s="36">
        <v>-65.0</v>
      </c>
      <c r="DL413" s="36">
        <v>160.0</v>
      </c>
      <c r="DM413" s="36">
        <v>-19.0</v>
      </c>
      <c r="DN413" s="363">
        <f t="shared" si="2329"/>
        <v>-5</v>
      </c>
      <c r="DO413" s="36">
        <v>-297.0</v>
      </c>
      <c r="DP413" s="36">
        <v>-284.0</v>
      </c>
      <c r="DQ413" s="36">
        <v>-499.0</v>
      </c>
      <c r="DR413" s="36">
        <v>-96.0</v>
      </c>
      <c r="DS413" s="363">
        <f t="shared" si="2330"/>
        <v>-1176</v>
      </c>
      <c r="DT413" s="36">
        <v>-66.0</v>
      </c>
      <c r="DU413" s="36">
        <v>322.0</v>
      </c>
      <c r="DV413" s="36">
        <v>29.0</v>
      </c>
      <c r="DW413" s="36">
        <v>76.0</v>
      </c>
      <c r="DX413" s="363">
        <f t="shared" si="2331"/>
        <v>361</v>
      </c>
      <c r="DY413" s="36">
        <v>171.0</v>
      </c>
      <c r="DZ413" s="36">
        <v>402.0</v>
      </c>
      <c r="EA413" s="36">
        <v>442.0</v>
      </c>
      <c r="EB413" s="36">
        <v>354.0</v>
      </c>
      <c r="EC413" s="363">
        <f t="shared" si="2332"/>
        <v>1369</v>
      </c>
      <c r="ED413" s="36">
        <v>0.0</v>
      </c>
      <c r="EE413" s="36">
        <f t="shared" ref="EE413:EG413" si="2347">EE362*EE424</f>
        <v>0</v>
      </c>
      <c r="EF413" s="36">
        <f t="shared" si="2347"/>
        <v>0</v>
      </c>
      <c r="EG413" s="36">
        <f t="shared" si="2347"/>
        <v>0</v>
      </c>
      <c r="EH413" s="363">
        <f t="shared" si="2334"/>
        <v>0</v>
      </c>
      <c r="EI413" s="428">
        <f t="shared" ref="EI413:EL413" si="2348">EI362*EI424</f>
        <v>0</v>
      </c>
      <c r="EJ413" s="427">
        <f t="shared" si="2348"/>
        <v>0</v>
      </c>
      <c r="EK413" s="427">
        <f t="shared" si="2348"/>
        <v>0</v>
      </c>
      <c r="EL413" s="427">
        <f t="shared" si="2348"/>
        <v>0</v>
      </c>
      <c r="EM413" s="363">
        <f t="shared" si="2336"/>
        <v>0</v>
      </c>
      <c r="EN413" s="427">
        <f t="shared" ref="EN413:EQ413" si="2349">EN362*EN424</f>
        <v>0</v>
      </c>
      <c r="EO413" s="427">
        <f t="shared" si="2349"/>
        <v>0</v>
      </c>
      <c r="EP413" s="427">
        <f t="shared" si="2349"/>
        <v>0</v>
      </c>
      <c r="EQ413" s="427">
        <f t="shared" si="2349"/>
        <v>0</v>
      </c>
      <c r="ER413" s="363">
        <f t="shared" si="2338"/>
        <v>0</v>
      </c>
      <c r="ES413" s="427">
        <f t="shared" ref="ES413:EV413" si="2350">ES362*ES424</f>
        <v>0</v>
      </c>
      <c r="ET413" s="427">
        <f t="shared" si="2350"/>
        <v>0</v>
      </c>
      <c r="EU413" s="427">
        <f t="shared" si="2350"/>
        <v>0</v>
      </c>
      <c r="EV413" s="427">
        <f t="shared" si="2350"/>
        <v>0</v>
      </c>
      <c r="EW413" s="363">
        <f t="shared" si="2340"/>
        <v>0</v>
      </c>
      <c r="EX413" s="427">
        <f t="shared" ref="EX413:FA413" si="2351">EX362*EX424</f>
        <v>0</v>
      </c>
      <c r="EY413" s="427">
        <f t="shared" si="2351"/>
        <v>0</v>
      </c>
      <c r="EZ413" s="427">
        <f t="shared" si="2351"/>
        <v>0</v>
      </c>
      <c r="FA413" s="427">
        <f t="shared" si="2351"/>
        <v>0</v>
      </c>
      <c r="FB413" s="363">
        <f t="shared" si="2342"/>
        <v>0</v>
      </c>
      <c r="FC413" s="427">
        <f t="shared" ref="FC413:FF413" si="2352">FC362*FC424</f>
        <v>0</v>
      </c>
      <c r="FD413" s="427">
        <f t="shared" si="2352"/>
        <v>0</v>
      </c>
      <c r="FE413" s="427">
        <f t="shared" si="2352"/>
        <v>0</v>
      </c>
      <c r="FF413" s="427">
        <f t="shared" si="2352"/>
        <v>0</v>
      </c>
      <c r="FG413" s="363">
        <f t="shared" si="2344"/>
        <v>0</v>
      </c>
      <c r="FH413" s="364"/>
      <c r="FI413" s="15"/>
      <c r="FJ413" s="15"/>
      <c r="FK413" s="410"/>
      <c r="FL413" s="15"/>
    </row>
    <row r="414" ht="12.75" hidden="1" customHeight="1" outlineLevel="1">
      <c r="A414" s="4"/>
      <c r="B414" s="45" t="str">
        <f>B393</f>
        <v>Intel Security Group (ISecG)</v>
      </c>
      <c r="C414" s="45"/>
      <c r="D414" s="15"/>
      <c r="E414" s="15"/>
      <c r="F414" s="15"/>
      <c r="G414" s="15"/>
      <c r="H414" s="410"/>
      <c r="I414" s="15"/>
      <c r="J414" s="15"/>
      <c r="K414" s="15"/>
      <c r="L414" s="15"/>
      <c r="M414" s="410"/>
      <c r="N414" s="15"/>
      <c r="O414" s="15"/>
      <c r="P414" s="15"/>
      <c r="Q414" s="15"/>
      <c r="R414" s="410"/>
      <c r="S414" s="15"/>
      <c r="T414" s="15"/>
      <c r="U414" s="15"/>
      <c r="V414" s="15"/>
      <c r="W414" s="410"/>
      <c r="X414" s="15"/>
      <c r="Y414" s="15"/>
      <c r="Z414" s="15"/>
      <c r="AA414" s="15"/>
      <c r="AB414" s="410"/>
      <c r="AC414" s="15"/>
      <c r="AD414" s="15"/>
      <c r="AE414" s="15"/>
      <c r="AF414" s="15"/>
      <c r="AG414" s="410"/>
      <c r="AH414" s="15"/>
      <c r="AI414" s="15"/>
      <c r="AJ414" s="15"/>
      <c r="AK414" s="15"/>
      <c r="AL414" s="410"/>
      <c r="AM414" s="15"/>
      <c r="AN414" s="15"/>
      <c r="AO414" s="15"/>
      <c r="AP414" s="15"/>
      <c r="AQ414" s="410"/>
      <c r="AR414" s="15"/>
      <c r="AS414" s="15"/>
      <c r="AT414" s="15"/>
      <c r="AU414" s="15"/>
      <c r="AV414" s="410"/>
      <c r="AW414" s="15"/>
      <c r="AX414" s="15"/>
      <c r="AY414" s="15"/>
      <c r="AZ414" s="15"/>
      <c r="BA414" s="410"/>
      <c r="BB414" s="15"/>
      <c r="BC414" s="15"/>
      <c r="BD414" s="15"/>
      <c r="BE414" s="15"/>
      <c r="BF414" s="410"/>
      <c r="BG414" s="15"/>
      <c r="BH414" s="15"/>
      <c r="BI414" s="15"/>
      <c r="BJ414" s="15"/>
      <c r="BK414" s="410"/>
      <c r="BL414" s="15"/>
      <c r="BM414" s="15"/>
      <c r="BN414" s="15"/>
      <c r="BO414" s="15"/>
      <c r="BP414" s="410"/>
      <c r="BQ414" s="15"/>
      <c r="BR414" s="15"/>
      <c r="BS414" s="15"/>
      <c r="BT414" s="15"/>
      <c r="BU414" s="410"/>
      <c r="BV414" s="15"/>
      <c r="BW414" s="15"/>
      <c r="BX414" s="15"/>
      <c r="BY414" s="15"/>
      <c r="BZ414" s="363">
        <f t="shared" si="2345"/>
        <v>0</v>
      </c>
      <c r="CA414" s="15"/>
      <c r="CB414" s="15"/>
      <c r="CC414" s="15"/>
      <c r="CD414" s="15"/>
      <c r="CE414" s="363">
        <f t="shared" si="2346"/>
        <v>0</v>
      </c>
      <c r="CF414" s="15"/>
      <c r="CG414" s="15"/>
      <c r="CH414" s="15"/>
      <c r="CI414" s="15"/>
      <c r="CJ414" s="363">
        <f t="shared" si="2353"/>
        <v>0</v>
      </c>
      <c r="CK414" s="15"/>
      <c r="CL414" s="15"/>
      <c r="CM414" s="15"/>
      <c r="CN414" s="40"/>
      <c r="CO414" s="363">
        <f t="shared" si="2354"/>
        <v>0</v>
      </c>
      <c r="CP414" s="427">
        <v>-7.0</v>
      </c>
      <c r="CQ414" s="427">
        <v>19.0</v>
      </c>
      <c r="CR414" s="427">
        <v>29.0</v>
      </c>
      <c r="CS414" s="463">
        <f>25+83</f>
        <v>108</v>
      </c>
      <c r="CT414" s="363">
        <f t="shared" si="2315"/>
        <v>149</v>
      </c>
      <c r="CU414" s="427">
        <v>15.0</v>
      </c>
      <c r="CV414" s="427">
        <v>22.0</v>
      </c>
      <c r="CW414" s="427">
        <v>97.0</v>
      </c>
      <c r="CX414" s="427">
        <v>79.0</v>
      </c>
      <c r="CY414" s="363">
        <f t="shared" si="2316"/>
        <v>213</v>
      </c>
      <c r="CZ414" s="427">
        <v>85.0</v>
      </c>
      <c r="DA414" s="427">
        <v>97.0</v>
      </c>
      <c r="DB414" s="427">
        <v>115.0</v>
      </c>
      <c r="DC414" s="427">
        <v>103.0</v>
      </c>
      <c r="DD414" s="363">
        <f t="shared" si="2327"/>
        <v>400</v>
      </c>
      <c r="DE414" s="427">
        <v>95.0</v>
      </c>
      <c r="DF414" s="427"/>
      <c r="DG414" s="36">
        <f t="shared" ref="DG414:DH414" si="2355">DG393*DG425</f>
        <v>0</v>
      </c>
      <c r="DH414" s="427">
        <f t="shared" si="2355"/>
        <v>0</v>
      </c>
      <c r="DI414" s="363">
        <f t="shared" si="2328"/>
        <v>95</v>
      </c>
      <c r="DJ414" s="36">
        <f t="shared" ref="DJ414:DM414" si="2356">DJ393*DJ425</f>
        <v>0</v>
      </c>
      <c r="DK414" s="36">
        <f t="shared" si="2356"/>
        <v>0</v>
      </c>
      <c r="DL414" s="36">
        <f t="shared" si="2356"/>
        <v>0</v>
      </c>
      <c r="DM414" s="36">
        <f t="shared" si="2356"/>
        <v>0</v>
      </c>
      <c r="DN414" s="363">
        <f t="shared" si="2329"/>
        <v>0</v>
      </c>
      <c r="DO414" s="36">
        <f t="shared" ref="DO414:DR414" si="2357">DO393*DO425</f>
        <v>0</v>
      </c>
      <c r="DP414" s="36">
        <f t="shared" si="2357"/>
        <v>0</v>
      </c>
      <c r="DQ414" s="36">
        <f t="shared" si="2357"/>
        <v>0</v>
      </c>
      <c r="DR414" s="36">
        <f t="shared" si="2357"/>
        <v>0</v>
      </c>
      <c r="DS414" s="363">
        <f t="shared" si="2330"/>
        <v>0</v>
      </c>
      <c r="DT414" s="36">
        <f t="shared" ref="DT414:DW414" si="2358">DT393*DT425</f>
        <v>0</v>
      </c>
      <c r="DU414" s="36">
        <f t="shared" si="2358"/>
        <v>0</v>
      </c>
      <c r="DV414" s="36">
        <f t="shared" si="2358"/>
        <v>0</v>
      </c>
      <c r="DW414" s="36">
        <f t="shared" si="2358"/>
        <v>0</v>
      </c>
      <c r="DX414" s="363">
        <f t="shared" si="2331"/>
        <v>0</v>
      </c>
      <c r="DY414" s="36">
        <f t="shared" ref="DY414:EB414" si="2359">DY393*DY425</f>
        <v>0</v>
      </c>
      <c r="DZ414" s="36">
        <f t="shared" si="2359"/>
        <v>0</v>
      </c>
      <c r="EA414" s="36">
        <f t="shared" si="2359"/>
        <v>0</v>
      </c>
      <c r="EB414" s="36">
        <f t="shared" si="2359"/>
        <v>0</v>
      </c>
      <c r="EC414" s="363">
        <f t="shared" si="2332"/>
        <v>0</v>
      </c>
      <c r="ED414" s="36">
        <f t="shared" ref="ED414:EG414" si="2360">ED393*ED425</f>
        <v>0</v>
      </c>
      <c r="EE414" s="36">
        <f t="shared" si="2360"/>
        <v>0</v>
      </c>
      <c r="EF414" s="36">
        <f t="shared" si="2360"/>
        <v>0</v>
      </c>
      <c r="EG414" s="36">
        <f t="shared" si="2360"/>
        <v>0</v>
      </c>
      <c r="EH414" s="363">
        <f t="shared" si="2334"/>
        <v>0</v>
      </c>
      <c r="EI414" s="428">
        <f t="shared" ref="EI414:EL414" si="2361">EI393*EI425</f>
        <v>0</v>
      </c>
      <c r="EJ414" s="427">
        <f t="shared" si="2361"/>
        <v>0</v>
      </c>
      <c r="EK414" s="427">
        <f t="shared" si="2361"/>
        <v>0</v>
      </c>
      <c r="EL414" s="427">
        <f t="shared" si="2361"/>
        <v>0</v>
      </c>
      <c r="EM414" s="363">
        <f t="shared" si="2336"/>
        <v>0</v>
      </c>
      <c r="EN414" s="427">
        <f t="shared" ref="EN414:EQ414" si="2362">EN393*EN425</f>
        <v>0</v>
      </c>
      <c r="EO414" s="427">
        <f t="shared" si="2362"/>
        <v>0</v>
      </c>
      <c r="EP414" s="427">
        <f t="shared" si="2362"/>
        <v>0</v>
      </c>
      <c r="EQ414" s="427">
        <f t="shared" si="2362"/>
        <v>0</v>
      </c>
      <c r="ER414" s="363">
        <f t="shared" si="2338"/>
        <v>0</v>
      </c>
      <c r="ES414" s="427">
        <f t="shared" ref="ES414:EV414" si="2363">ES393*ES425</f>
        <v>0</v>
      </c>
      <c r="ET414" s="427">
        <f t="shared" si="2363"/>
        <v>0</v>
      </c>
      <c r="EU414" s="427">
        <f t="shared" si="2363"/>
        <v>0</v>
      </c>
      <c r="EV414" s="427">
        <f t="shared" si="2363"/>
        <v>0</v>
      </c>
      <c r="EW414" s="363">
        <f t="shared" si="2340"/>
        <v>0</v>
      </c>
      <c r="EX414" s="427">
        <f t="shared" ref="EX414:FA414" si="2364">EX393*EX425</f>
        <v>0</v>
      </c>
      <c r="EY414" s="427">
        <f t="shared" si="2364"/>
        <v>0</v>
      </c>
      <c r="EZ414" s="427">
        <f t="shared" si="2364"/>
        <v>0</v>
      </c>
      <c r="FA414" s="427">
        <f t="shared" si="2364"/>
        <v>0</v>
      </c>
      <c r="FB414" s="363">
        <f t="shared" si="2342"/>
        <v>0</v>
      </c>
      <c r="FC414" s="427">
        <f t="shared" ref="FC414:FF414" si="2365">FC393*FC425</f>
        <v>0</v>
      </c>
      <c r="FD414" s="427">
        <f t="shared" si="2365"/>
        <v>0</v>
      </c>
      <c r="FE414" s="427">
        <f t="shared" si="2365"/>
        <v>0</v>
      </c>
      <c r="FF414" s="427">
        <f t="shared" si="2365"/>
        <v>0</v>
      </c>
      <c r="FG414" s="363">
        <f t="shared" si="2344"/>
        <v>0</v>
      </c>
      <c r="FH414" s="364"/>
      <c r="FI414" s="15"/>
      <c r="FJ414" s="15"/>
      <c r="FK414" s="410"/>
      <c r="FL414" s="15"/>
    </row>
    <row r="415" ht="12.75" hidden="1" customHeight="1" outlineLevel="1">
      <c r="A415" s="4"/>
      <c r="B415" s="45" t="str">
        <f>B391</f>
        <v>Programmable Solutions Group (PSG)</v>
      </c>
      <c r="C415" s="45"/>
      <c r="D415" s="15"/>
      <c r="E415" s="15"/>
      <c r="F415" s="15"/>
      <c r="G415" s="15"/>
      <c r="H415" s="410"/>
      <c r="I415" s="15"/>
      <c r="J415" s="15"/>
      <c r="K415" s="15"/>
      <c r="L415" s="15"/>
      <c r="M415" s="410"/>
      <c r="N415" s="15"/>
      <c r="O415" s="15"/>
      <c r="P415" s="15"/>
      <c r="Q415" s="15"/>
      <c r="R415" s="410"/>
      <c r="S415" s="15"/>
      <c r="T415" s="15"/>
      <c r="U415" s="15"/>
      <c r="V415" s="15"/>
      <c r="W415" s="410"/>
      <c r="X415" s="15"/>
      <c r="Y415" s="15"/>
      <c r="Z415" s="15"/>
      <c r="AA415" s="15"/>
      <c r="AB415" s="410"/>
      <c r="AC415" s="15"/>
      <c r="AD415" s="15"/>
      <c r="AE415" s="15"/>
      <c r="AF415" s="15"/>
      <c r="AG415" s="410"/>
      <c r="AH415" s="15"/>
      <c r="AI415" s="15"/>
      <c r="AJ415" s="15"/>
      <c r="AK415" s="15"/>
      <c r="AL415" s="410"/>
      <c r="AM415" s="15"/>
      <c r="AN415" s="15"/>
      <c r="AO415" s="15"/>
      <c r="AP415" s="15"/>
      <c r="AQ415" s="410"/>
      <c r="AR415" s="15"/>
      <c r="AS415" s="15"/>
      <c r="AT415" s="15"/>
      <c r="AU415" s="15"/>
      <c r="AV415" s="410"/>
      <c r="AW415" s="15"/>
      <c r="AX415" s="15"/>
      <c r="AY415" s="15"/>
      <c r="AZ415" s="15"/>
      <c r="BA415" s="410"/>
      <c r="BB415" s="15"/>
      <c r="BC415" s="15"/>
      <c r="BD415" s="15"/>
      <c r="BE415" s="15"/>
      <c r="BF415" s="410"/>
      <c r="BG415" s="15"/>
      <c r="BH415" s="15"/>
      <c r="BI415" s="15"/>
      <c r="BJ415" s="15"/>
      <c r="BK415" s="410"/>
      <c r="BL415" s="15"/>
      <c r="BM415" s="15"/>
      <c r="BN415" s="15"/>
      <c r="BO415" s="15"/>
      <c r="BP415" s="410"/>
      <c r="BQ415" s="15"/>
      <c r="BR415" s="15"/>
      <c r="BS415" s="15"/>
      <c r="BT415" s="15"/>
      <c r="BU415" s="410"/>
      <c r="BV415" s="15"/>
      <c r="BW415" s="15"/>
      <c r="BX415" s="15"/>
      <c r="BY415" s="15"/>
      <c r="BZ415" s="363">
        <f t="shared" si="2345"/>
        <v>0</v>
      </c>
      <c r="CA415" s="15"/>
      <c r="CB415" s="15"/>
      <c r="CC415" s="15"/>
      <c r="CD415" s="15"/>
      <c r="CE415" s="363">
        <f t="shared" si="2346"/>
        <v>0</v>
      </c>
      <c r="CF415" s="15"/>
      <c r="CG415" s="15"/>
      <c r="CH415" s="15"/>
      <c r="CI415" s="15"/>
      <c r="CJ415" s="363">
        <f t="shared" si="2353"/>
        <v>0</v>
      </c>
      <c r="CK415" s="15"/>
      <c r="CL415" s="15"/>
      <c r="CM415" s="15"/>
      <c r="CN415" s="40"/>
      <c r="CO415" s="363">
        <f t="shared" si="2354"/>
        <v>0</v>
      </c>
      <c r="CP415" s="427"/>
      <c r="CQ415" s="427"/>
      <c r="CR415" s="427"/>
      <c r="CS415" s="427"/>
      <c r="CT415" s="363">
        <f t="shared" si="2315"/>
        <v>0</v>
      </c>
      <c r="CU415" s="427"/>
      <c r="CV415" s="427"/>
      <c r="CW415" s="427"/>
      <c r="CX415" s="427"/>
      <c r="CY415" s="363">
        <f t="shared" si="2316"/>
        <v>0</v>
      </c>
      <c r="CZ415" s="427">
        <v>-200.0</v>
      </c>
      <c r="DA415" s="427">
        <v>-62.0</v>
      </c>
      <c r="DB415" s="427">
        <v>78.0</v>
      </c>
      <c r="DC415" s="427">
        <v>80.0</v>
      </c>
      <c r="DD415" s="363">
        <f t="shared" si="2327"/>
        <v>-104</v>
      </c>
      <c r="DE415" s="427">
        <v>92.0</v>
      </c>
      <c r="DF415" s="427">
        <v>97.0</v>
      </c>
      <c r="DG415" s="36">
        <v>113.0</v>
      </c>
      <c r="DH415" s="427">
        <v>156.0</v>
      </c>
      <c r="DI415" s="363">
        <f t="shared" si="2328"/>
        <v>458</v>
      </c>
      <c r="DJ415" s="36">
        <v>97.0</v>
      </c>
      <c r="DK415" s="36">
        <v>101.0</v>
      </c>
      <c r="DL415" s="36">
        <v>106.0</v>
      </c>
      <c r="DM415" s="36">
        <v>162.0</v>
      </c>
      <c r="DN415" s="363">
        <f t="shared" si="2329"/>
        <v>466</v>
      </c>
      <c r="DO415" s="36">
        <v>89.0</v>
      </c>
      <c r="DP415" s="36">
        <v>52.0</v>
      </c>
      <c r="DQ415" s="36">
        <v>92.0</v>
      </c>
      <c r="DR415" s="36">
        <v>85.0</v>
      </c>
      <c r="DS415" s="363">
        <f t="shared" si="2330"/>
        <v>318</v>
      </c>
      <c r="DT415" s="36">
        <v>97.0</v>
      </c>
      <c r="DU415" s="36">
        <v>80.0</v>
      </c>
      <c r="DV415" s="36">
        <v>40.0</v>
      </c>
      <c r="DW415" s="36">
        <v>43.0</v>
      </c>
      <c r="DX415" s="363">
        <f t="shared" si="2331"/>
        <v>260</v>
      </c>
      <c r="DY415" s="36">
        <v>88.0</v>
      </c>
      <c r="DZ415" s="36">
        <v>82.0</v>
      </c>
      <c r="EA415" s="36">
        <v>76.0</v>
      </c>
      <c r="EB415" s="36">
        <v>51.0</v>
      </c>
      <c r="EC415" s="363">
        <f t="shared" si="2332"/>
        <v>297</v>
      </c>
      <c r="ED415" s="36">
        <v>77.61846400000002</v>
      </c>
      <c r="EE415" s="36">
        <f t="shared" ref="EE415:EG415" si="2366">EE391*EE426</f>
        <v>102.73032</v>
      </c>
      <c r="EF415" s="36">
        <f t="shared" si="2366"/>
        <v>115.0579584</v>
      </c>
      <c r="EG415" s="36">
        <f t="shared" si="2366"/>
        <v>117.1125648</v>
      </c>
      <c r="EH415" s="363">
        <f t="shared" si="2334"/>
        <v>412.5193072</v>
      </c>
      <c r="EI415" s="428">
        <f t="shared" ref="EI415:EL415" si="2367">EI391*EI426</f>
        <v>100.447424</v>
      </c>
      <c r="EJ415" s="427">
        <f t="shared" si="2367"/>
        <v>125.55928</v>
      </c>
      <c r="EK415" s="427">
        <f t="shared" si="2367"/>
        <v>140.6263936</v>
      </c>
      <c r="EL415" s="427">
        <f t="shared" si="2367"/>
        <v>135.6040224</v>
      </c>
      <c r="EM415" s="363">
        <f t="shared" si="2336"/>
        <v>502.23712</v>
      </c>
      <c r="EN415" s="427">
        <f t="shared" ref="EN415:EQ415" si="2368">EN391*EN426</f>
        <v>110.4921664</v>
      </c>
      <c r="EO415" s="427">
        <f t="shared" si="2368"/>
        <v>138.115208</v>
      </c>
      <c r="EP415" s="427">
        <f t="shared" si="2368"/>
        <v>154.689033</v>
      </c>
      <c r="EQ415" s="427">
        <f t="shared" si="2368"/>
        <v>149.1644246</v>
      </c>
      <c r="ER415" s="363">
        <f t="shared" si="2338"/>
        <v>552.460832</v>
      </c>
      <c r="ES415" s="427">
        <f t="shared" ref="ES415:EV415" si="2369">ES391*ES426</f>
        <v>121.541383</v>
      </c>
      <c r="ET415" s="427">
        <f t="shared" si="2369"/>
        <v>151.9267288</v>
      </c>
      <c r="EU415" s="427">
        <f t="shared" si="2369"/>
        <v>170.1579363</v>
      </c>
      <c r="EV415" s="427">
        <f t="shared" si="2369"/>
        <v>164.0808671</v>
      </c>
      <c r="EW415" s="363">
        <f t="shared" si="2340"/>
        <v>607.7069152</v>
      </c>
      <c r="EX415" s="427">
        <f t="shared" ref="EX415:FA415" si="2370">EX391*EX426</f>
        <v>133.6955213</v>
      </c>
      <c r="EY415" s="427">
        <f t="shared" si="2370"/>
        <v>167.1194017</v>
      </c>
      <c r="EZ415" s="427">
        <f t="shared" si="2370"/>
        <v>187.1737299</v>
      </c>
      <c r="FA415" s="427">
        <f t="shared" si="2370"/>
        <v>180.4889538</v>
      </c>
      <c r="FB415" s="363">
        <f t="shared" si="2342"/>
        <v>668.4776067</v>
      </c>
      <c r="FC415" s="427">
        <f t="shared" ref="FC415:FF415" si="2371">FC391*FC426</f>
        <v>147.0650735</v>
      </c>
      <c r="FD415" s="427">
        <f t="shared" si="2371"/>
        <v>183.8313418</v>
      </c>
      <c r="FE415" s="427">
        <f t="shared" si="2371"/>
        <v>205.8911029</v>
      </c>
      <c r="FF415" s="427">
        <f t="shared" si="2371"/>
        <v>198.5378492</v>
      </c>
      <c r="FG415" s="363">
        <f t="shared" si="2344"/>
        <v>735.3253674</v>
      </c>
      <c r="FH415" s="364"/>
      <c r="FI415" s="15"/>
      <c r="FJ415" s="15"/>
      <c r="FK415" s="410"/>
      <c r="FL415" s="15"/>
    </row>
    <row r="416" ht="12.75" hidden="1" customHeight="1" outlineLevel="1">
      <c r="A416" s="4"/>
      <c r="B416" s="45" t="str">
        <f>B396</f>
        <v>All Other</v>
      </c>
      <c r="C416" s="45"/>
      <c r="D416" s="15"/>
      <c r="E416" s="15"/>
      <c r="F416" s="15"/>
      <c r="G416" s="15"/>
      <c r="H416" s="410"/>
      <c r="I416" s="15"/>
      <c r="J416" s="15"/>
      <c r="K416" s="15"/>
      <c r="L416" s="15"/>
      <c r="M416" s="410"/>
      <c r="N416" s="15"/>
      <c r="O416" s="15"/>
      <c r="P416" s="15"/>
      <c r="Q416" s="15"/>
      <c r="R416" s="410"/>
      <c r="S416" s="15"/>
      <c r="T416" s="15"/>
      <c r="U416" s="15"/>
      <c r="V416" s="15"/>
      <c r="W416" s="410"/>
      <c r="X416" s="15"/>
      <c r="Y416" s="15"/>
      <c r="Z416" s="15"/>
      <c r="AA416" s="15"/>
      <c r="AB416" s="410"/>
      <c r="AC416" s="15"/>
      <c r="AD416" s="15"/>
      <c r="AE416" s="15"/>
      <c r="AF416" s="15"/>
      <c r="AG416" s="410"/>
      <c r="AH416" s="15"/>
      <c r="AI416" s="15"/>
      <c r="AJ416" s="15"/>
      <c r="AK416" s="15"/>
      <c r="AL416" s="410"/>
      <c r="AM416" s="15"/>
      <c r="AN416" s="15"/>
      <c r="AO416" s="15"/>
      <c r="AP416" s="15"/>
      <c r="AQ416" s="410"/>
      <c r="AR416" s="15"/>
      <c r="AS416" s="15"/>
      <c r="AT416" s="15"/>
      <c r="AU416" s="15"/>
      <c r="AV416" s="410"/>
      <c r="AW416" s="15"/>
      <c r="AX416" s="15"/>
      <c r="AY416" s="15"/>
      <c r="AZ416" s="15"/>
      <c r="BA416" s="410"/>
      <c r="BB416" s="15"/>
      <c r="BC416" s="15"/>
      <c r="BD416" s="15"/>
      <c r="BE416" s="15"/>
      <c r="BF416" s="410"/>
      <c r="BG416" s="15"/>
      <c r="BH416" s="15"/>
      <c r="BI416" s="15"/>
      <c r="BJ416" s="15"/>
      <c r="BK416" s="410"/>
      <c r="BL416" s="15"/>
      <c r="BM416" s="15"/>
      <c r="BN416" s="15"/>
      <c r="BO416" s="15"/>
      <c r="BP416" s="410"/>
      <c r="BQ416" s="15"/>
      <c r="BR416" s="15"/>
      <c r="BS416" s="15"/>
      <c r="BT416" s="15"/>
      <c r="BU416" s="410"/>
      <c r="BV416" s="15"/>
      <c r="BW416" s="15"/>
      <c r="BX416" s="15"/>
      <c r="BY416" s="15"/>
      <c r="BZ416" s="363">
        <v>-1866.0</v>
      </c>
      <c r="CA416" s="15"/>
      <c r="CB416" s="15"/>
      <c r="CC416" s="15"/>
      <c r="CD416" s="15"/>
      <c r="CE416" s="363">
        <v>-1807.0</v>
      </c>
      <c r="CF416" s="15"/>
      <c r="CG416" s="15"/>
      <c r="CH416" s="15"/>
      <c r="CI416" s="15"/>
      <c r="CJ416" s="363">
        <v>-2100.0</v>
      </c>
      <c r="CK416" s="15"/>
      <c r="CL416" s="15"/>
      <c r="CM416" s="15"/>
      <c r="CN416" s="40"/>
      <c r="CO416" s="363">
        <v>-2455.0</v>
      </c>
      <c r="CP416" s="427">
        <v>-773.0</v>
      </c>
      <c r="CQ416" s="427">
        <v>-749.0</v>
      </c>
      <c r="CR416" s="427">
        <v>-633.0</v>
      </c>
      <c r="CS416" s="463">
        <f>-852-332</f>
        <v>-1184</v>
      </c>
      <c r="CT416" s="363">
        <f t="shared" si="2315"/>
        <v>-3339</v>
      </c>
      <c r="CU416" s="427">
        <v>-669.0</v>
      </c>
      <c r="CV416" s="427">
        <v>-809.0</v>
      </c>
      <c r="CW416" s="427">
        <v>-669.0</v>
      </c>
      <c r="CX416" s="427">
        <v>-831.0</v>
      </c>
      <c r="CY416" s="363">
        <f t="shared" si="2316"/>
        <v>-2978</v>
      </c>
      <c r="CZ416" s="427">
        <v>-994.0</v>
      </c>
      <c r="DA416" s="427">
        <v>-2258.0</v>
      </c>
      <c r="DB416" s="427">
        <v>-1225.0</v>
      </c>
      <c r="DC416" s="427">
        <v>-1152.0</v>
      </c>
      <c r="DD416" s="363">
        <f t="shared" si="2327"/>
        <v>-5629</v>
      </c>
      <c r="DE416" s="427">
        <v>-1082.0</v>
      </c>
      <c r="DF416" s="427">
        <v>-985.0</v>
      </c>
      <c r="DG416" s="36">
        <v>-947.0</v>
      </c>
      <c r="DH416" s="427">
        <v>-1307.0</v>
      </c>
      <c r="DI416" s="363">
        <f t="shared" si="2328"/>
        <v>-4321</v>
      </c>
      <c r="DJ416" s="36">
        <v>-1166.0</v>
      </c>
      <c r="DK416" s="36">
        <f t="shared" ref="DK416:DL416" si="2372">DK40-SUM(DK408:DK415)</f>
        <v>-906</v>
      </c>
      <c r="DL416" s="36">
        <f t="shared" si="2372"/>
        <v>-852</v>
      </c>
      <c r="DM416" s="36">
        <v>-828.0</v>
      </c>
      <c r="DN416" s="363">
        <f t="shared" si="2329"/>
        <v>-3752</v>
      </c>
      <c r="DO416" s="36">
        <f>-850</f>
        <v>-850</v>
      </c>
      <c r="DP416" s="36">
        <v>-1035.0</v>
      </c>
      <c r="DQ416" s="36">
        <v>-942.0</v>
      </c>
      <c r="DR416" s="36">
        <v>-1051.0</v>
      </c>
      <c r="DS416" s="363">
        <f t="shared" si="2330"/>
        <v>-3878</v>
      </c>
      <c r="DT416" s="36">
        <f t="shared" ref="DT416:DW416" si="2373">DT40-SUM(DT408:DT415)</f>
        <v>-1041</v>
      </c>
      <c r="DU416" s="36">
        <f t="shared" si="2373"/>
        <v>-712</v>
      </c>
      <c r="DV416" s="36">
        <f t="shared" si="2373"/>
        <v>-575</v>
      </c>
      <c r="DW416" s="36">
        <f t="shared" si="2373"/>
        <v>-1053</v>
      </c>
      <c r="DX416" s="363">
        <f t="shared" si="2331"/>
        <v>-3381</v>
      </c>
      <c r="DY416" s="36">
        <f t="shared" ref="DY416:EA416" si="2374">DY40-SUM(DY408:DY415)</f>
        <v>-2317</v>
      </c>
      <c r="DZ416" s="36">
        <f t="shared" si="2374"/>
        <v>-1035</v>
      </c>
      <c r="EA416" s="36">
        <f t="shared" si="2374"/>
        <v>-1046</v>
      </c>
      <c r="EB416" s="36">
        <v>-986.0</v>
      </c>
      <c r="EC416" s="363">
        <f t="shared" si="2332"/>
        <v>-5384</v>
      </c>
      <c r="ED416" s="36">
        <v>-2549.4335585587514</v>
      </c>
      <c r="EE416" s="36" t="str">
        <f t="shared" ref="EE416:EG416" si="2375">EE40-SUM(EE408:EE415)</f>
        <v>#ERROR!</v>
      </c>
      <c r="EF416" s="36" t="str">
        <f t="shared" si="2375"/>
        <v>#ERROR!</v>
      </c>
      <c r="EG416" s="36" t="str">
        <f t="shared" si="2375"/>
        <v>#ERROR!</v>
      </c>
      <c r="EH416" s="363" t="str">
        <f t="shared" si="2334"/>
        <v>#ERROR!</v>
      </c>
      <c r="EI416" s="543" t="str">
        <f t="shared" ref="EI416:EL416" si="2376">EI40-SUM(EI408:EI415)</f>
        <v>#ERROR!</v>
      </c>
      <c r="EJ416" s="544" t="str">
        <f t="shared" si="2376"/>
        <v>#ERROR!</v>
      </c>
      <c r="EK416" s="544" t="str">
        <f t="shared" si="2376"/>
        <v>#ERROR!</v>
      </c>
      <c r="EL416" s="544" t="str">
        <f t="shared" si="2376"/>
        <v>#ERROR!</v>
      </c>
      <c r="EM416" s="363" t="str">
        <f t="shared" si="2336"/>
        <v>#ERROR!</v>
      </c>
      <c r="EN416" s="544" t="str">
        <f t="shared" ref="EN416:EQ416" si="2377">EN40-SUM(EN408:EN415)</f>
        <v>#ERROR!</v>
      </c>
      <c r="EO416" s="544" t="str">
        <f t="shared" si="2377"/>
        <v>#ERROR!</v>
      </c>
      <c r="EP416" s="544" t="str">
        <f t="shared" si="2377"/>
        <v>#ERROR!</v>
      </c>
      <c r="EQ416" s="544" t="str">
        <f t="shared" si="2377"/>
        <v>#ERROR!</v>
      </c>
      <c r="ER416" s="363" t="str">
        <f t="shared" si="2338"/>
        <v>#ERROR!</v>
      </c>
      <c r="ES416" s="544" t="str">
        <f t="shared" ref="ES416:EV416" si="2378">ES40-SUM(ES408:ES415)</f>
        <v>#ERROR!</v>
      </c>
      <c r="ET416" s="544" t="str">
        <f t="shared" si="2378"/>
        <v>#ERROR!</v>
      </c>
      <c r="EU416" s="544" t="str">
        <f t="shared" si="2378"/>
        <v>#ERROR!</v>
      </c>
      <c r="EV416" s="544" t="str">
        <f t="shared" si="2378"/>
        <v>#ERROR!</v>
      </c>
      <c r="EW416" s="363" t="str">
        <f t="shared" si="2340"/>
        <v>#ERROR!</v>
      </c>
      <c r="EX416" s="544" t="str">
        <f t="shared" ref="EX416:FA416" si="2379">EX40-SUM(EX408:EX415)</f>
        <v>#ERROR!</v>
      </c>
      <c r="EY416" s="544" t="str">
        <f t="shared" si="2379"/>
        <v>#ERROR!</v>
      </c>
      <c r="EZ416" s="544" t="str">
        <f t="shared" si="2379"/>
        <v>#ERROR!</v>
      </c>
      <c r="FA416" s="544" t="str">
        <f t="shared" si="2379"/>
        <v>#ERROR!</v>
      </c>
      <c r="FB416" s="363" t="str">
        <f t="shared" si="2342"/>
        <v>#ERROR!</v>
      </c>
      <c r="FC416" s="544" t="str">
        <f t="shared" ref="FC416:FF416" si="2380">FC40-SUM(FC408:FC415)</f>
        <v>#ERROR!</v>
      </c>
      <c r="FD416" s="544" t="str">
        <f t="shared" si="2380"/>
        <v>#ERROR!</v>
      </c>
      <c r="FE416" s="544" t="str">
        <f t="shared" si="2380"/>
        <v>#ERROR!</v>
      </c>
      <c r="FF416" s="544" t="str">
        <f t="shared" si="2380"/>
        <v>#ERROR!</v>
      </c>
      <c r="FG416" s="363" t="str">
        <f t="shared" si="2344"/>
        <v>#ERROR!</v>
      </c>
      <c r="FH416" s="364"/>
      <c r="FI416" s="15"/>
      <c r="FJ416" s="15"/>
      <c r="FK416" s="410"/>
      <c r="FL416" s="15"/>
    </row>
    <row r="417" ht="12.75" hidden="1" customHeight="1" outlineLevel="1">
      <c r="A417" s="4"/>
      <c r="B417" s="529" t="s">
        <v>255</v>
      </c>
      <c r="C417" s="45"/>
      <c r="D417" s="15"/>
      <c r="E417" s="15"/>
      <c r="F417" s="15"/>
      <c r="G417" s="15"/>
      <c r="H417" s="410"/>
      <c r="I417" s="15"/>
      <c r="J417" s="15"/>
      <c r="K417" s="15"/>
      <c r="L417" s="15"/>
      <c r="M417" s="410"/>
      <c r="N417" s="15"/>
      <c r="O417" s="15"/>
      <c r="P417" s="15"/>
      <c r="Q417" s="15"/>
      <c r="R417" s="410"/>
      <c r="S417" s="15"/>
      <c r="T417" s="15"/>
      <c r="U417" s="15"/>
      <c r="V417" s="15"/>
      <c r="W417" s="410"/>
      <c r="X417" s="15"/>
      <c r="Y417" s="15"/>
      <c r="Z417" s="15"/>
      <c r="AA417" s="15"/>
      <c r="AB417" s="410"/>
      <c r="AC417" s="15"/>
      <c r="AD417" s="15"/>
      <c r="AE417" s="15"/>
      <c r="AF417" s="15"/>
      <c r="AG417" s="410"/>
      <c r="AH417" s="15"/>
      <c r="AI417" s="15"/>
      <c r="AJ417" s="15"/>
      <c r="AK417" s="15"/>
      <c r="AL417" s="410"/>
      <c r="AM417" s="15"/>
      <c r="AN417" s="15"/>
      <c r="AO417" s="15"/>
      <c r="AP417" s="15"/>
      <c r="AQ417" s="410"/>
      <c r="AR417" s="15"/>
      <c r="AS417" s="15"/>
      <c r="AT417" s="15"/>
      <c r="AU417" s="15"/>
      <c r="AV417" s="410"/>
      <c r="AW417" s="15"/>
      <c r="AX417" s="15"/>
      <c r="AY417" s="15"/>
      <c r="AZ417" s="15"/>
      <c r="BA417" s="410"/>
      <c r="BB417" s="15"/>
      <c r="BC417" s="15"/>
      <c r="BD417" s="15"/>
      <c r="BE417" s="15"/>
      <c r="BF417" s="410"/>
      <c r="BG417" s="15"/>
      <c r="BH417" s="15"/>
      <c r="BI417" s="15"/>
      <c r="BJ417" s="15"/>
      <c r="BK417" s="410"/>
      <c r="BL417" s="15"/>
      <c r="BM417" s="15"/>
      <c r="BN417" s="15"/>
      <c r="BO417" s="15"/>
      <c r="BP417" s="410"/>
      <c r="BQ417" s="15"/>
      <c r="BR417" s="15"/>
      <c r="BS417" s="15"/>
      <c r="BT417" s="15"/>
      <c r="BU417" s="410"/>
      <c r="BV417" s="15"/>
      <c r="BW417" s="15"/>
      <c r="BX417" s="15"/>
      <c r="BY417" s="15"/>
      <c r="BZ417" s="531">
        <f>SUM(BZ408:BZ416)</f>
        <v>15493</v>
      </c>
      <c r="CA417" s="15"/>
      <c r="CB417" s="15"/>
      <c r="CC417" s="15"/>
      <c r="CD417" s="15"/>
      <c r="CE417" s="531">
        <f>SUM(CE408:CE416)</f>
        <v>18086</v>
      </c>
      <c r="CF417" s="15"/>
      <c r="CG417" s="15"/>
      <c r="CH417" s="15"/>
      <c r="CI417" s="15"/>
      <c r="CJ417" s="531">
        <f>SUM(CJ408:CJ416)</f>
        <v>16304</v>
      </c>
      <c r="CK417" s="15"/>
      <c r="CL417" s="15"/>
      <c r="CM417" s="15"/>
      <c r="CN417" s="40"/>
      <c r="CO417" s="531">
        <f>SUM(CO408:CO416)</f>
        <v>1219</v>
      </c>
      <c r="CP417" s="530">
        <f t="shared" ref="CP417:CS417" si="2381">CP408+CP411+CP412+CP413+CP414+CP415+CP416</f>
        <v>2533</v>
      </c>
      <c r="CQ417" s="530">
        <f t="shared" si="2381"/>
        <v>3844</v>
      </c>
      <c r="CR417" s="530">
        <f t="shared" si="2381"/>
        <v>4540</v>
      </c>
      <c r="CS417" s="530">
        <f t="shared" si="2381"/>
        <v>4453</v>
      </c>
      <c r="CT417" s="531">
        <f>CT408+SUM(CT411:CT416)</f>
        <v>15370</v>
      </c>
      <c r="CU417" s="530">
        <f t="shared" ref="CU417:FG417" si="2382">SUM(CU408:CU416)</f>
        <v>2615</v>
      </c>
      <c r="CV417" s="530">
        <f t="shared" si="2382"/>
        <v>2896</v>
      </c>
      <c r="CW417" s="530">
        <f t="shared" si="2382"/>
        <v>4192</v>
      </c>
      <c r="CX417" s="530">
        <f t="shared" si="2382"/>
        <v>4299</v>
      </c>
      <c r="CY417" s="531">
        <f t="shared" si="2382"/>
        <v>14002</v>
      </c>
      <c r="CZ417" s="530">
        <f t="shared" si="2382"/>
        <v>2568</v>
      </c>
      <c r="DA417" s="530">
        <f t="shared" si="2382"/>
        <v>1318</v>
      </c>
      <c r="DB417" s="530">
        <f t="shared" si="2382"/>
        <v>4462</v>
      </c>
      <c r="DC417" s="530">
        <f t="shared" si="2382"/>
        <v>4526</v>
      </c>
      <c r="DD417" s="531">
        <f t="shared" si="2382"/>
        <v>12874</v>
      </c>
      <c r="DE417" s="530">
        <f t="shared" si="2382"/>
        <v>3599</v>
      </c>
      <c r="DF417" s="530">
        <f t="shared" si="2382"/>
        <v>3827</v>
      </c>
      <c r="DG417" s="530">
        <f t="shared" si="2382"/>
        <v>5115</v>
      </c>
      <c r="DH417" s="530">
        <f t="shared" si="2382"/>
        <v>5395</v>
      </c>
      <c r="DI417" s="531">
        <f t="shared" si="2382"/>
        <v>17936</v>
      </c>
      <c r="DJ417" s="532">
        <f t="shared" si="2382"/>
        <v>4470</v>
      </c>
      <c r="DK417" s="532">
        <f t="shared" si="2382"/>
        <v>5273</v>
      </c>
      <c r="DL417" s="532">
        <f t="shared" si="2382"/>
        <v>7349</v>
      </c>
      <c r="DM417" s="532">
        <f t="shared" si="2382"/>
        <v>6224</v>
      </c>
      <c r="DN417" s="531">
        <f t="shared" si="2382"/>
        <v>23316</v>
      </c>
      <c r="DO417" s="532">
        <f t="shared" si="2382"/>
        <v>4174</v>
      </c>
      <c r="DP417" s="532">
        <f t="shared" si="2382"/>
        <v>4617</v>
      </c>
      <c r="DQ417" s="532">
        <f t="shared" si="2382"/>
        <v>6447</v>
      </c>
      <c r="DR417" s="532">
        <f t="shared" si="2382"/>
        <v>6797</v>
      </c>
      <c r="DS417" s="531">
        <f t="shared" si="2382"/>
        <v>22035</v>
      </c>
      <c r="DT417" s="532">
        <f t="shared" si="2382"/>
        <v>7038</v>
      </c>
      <c r="DU417" s="532">
        <f t="shared" si="2382"/>
        <v>5697</v>
      </c>
      <c r="DV417" s="532">
        <f t="shared" si="2382"/>
        <v>5059</v>
      </c>
      <c r="DW417" s="532">
        <f t="shared" si="2382"/>
        <v>5884</v>
      </c>
      <c r="DX417" s="531">
        <f t="shared" si="2382"/>
        <v>23678</v>
      </c>
      <c r="DY417" s="532">
        <f t="shared" si="2382"/>
        <v>3694</v>
      </c>
      <c r="DZ417" s="532">
        <f t="shared" si="2382"/>
        <v>5546</v>
      </c>
      <c r="EA417" s="532">
        <f t="shared" si="2382"/>
        <v>5227</v>
      </c>
      <c r="EB417" s="532">
        <f t="shared" si="2382"/>
        <v>4989</v>
      </c>
      <c r="EC417" s="531">
        <f t="shared" si="2382"/>
        <v>19456</v>
      </c>
      <c r="ED417" s="532">
        <f t="shared" si="2382"/>
        <v>3487.887021</v>
      </c>
      <c r="EE417" s="532" t="str">
        <f t="shared" si="2382"/>
        <v>#ERROR!</v>
      </c>
      <c r="EF417" s="532" t="str">
        <f t="shared" si="2382"/>
        <v>#ERROR!</v>
      </c>
      <c r="EG417" s="532" t="str">
        <f t="shared" si="2382"/>
        <v>#ERROR!</v>
      </c>
      <c r="EH417" s="531" t="str">
        <f t="shared" si="2382"/>
        <v>#ERROR!</v>
      </c>
      <c r="EI417" s="533" t="str">
        <f t="shared" si="2382"/>
        <v>#ERROR!</v>
      </c>
      <c r="EJ417" s="530" t="str">
        <f t="shared" si="2382"/>
        <v>#ERROR!</v>
      </c>
      <c r="EK417" s="530" t="str">
        <f t="shared" si="2382"/>
        <v>#ERROR!</v>
      </c>
      <c r="EL417" s="530" t="str">
        <f t="shared" si="2382"/>
        <v>#ERROR!</v>
      </c>
      <c r="EM417" s="531" t="str">
        <f t="shared" si="2382"/>
        <v>#ERROR!</v>
      </c>
      <c r="EN417" s="530" t="str">
        <f t="shared" si="2382"/>
        <v>#ERROR!</v>
      </c>
      <c r="EO417" s="530" t="str">
        <f t="shared" si="2382"/>
        <v>#ERROR!</v>
      </c>
      <c r="EP417" s="530" t="str">
        <f t="shared" si="2382"/>
        <v>#ERROR!</v>
      </c>
      <c r="EQ417" s="530" t="str">
        <f t="shared" si="2382"/>
        <v>#ERROR!</v>
      </c>
      <c r="ER417" s="531" t="str">
        <f t="shared" si="2382"/>
        <v>#ERROR!</v>
      </c>
      <c r="ES417" s="530" t="str">
        <f t="shared" si="2382"/>
        <v>#ERROR!</v>
      </c>
      <c r="ET417" s="530" t="str">
        <f t="shared" si="2382"/>
        <v>#ERROR!</v>
      </c>
      <c r="EU417" s="530" t="str">
        <f t="shared" si="2382"/>
        <v>#ERROR!</v>
      </c>
      <c r="EV417" s="530" t="str">
        <f t="shared" si="2382"/>
        <v>#ERROR!</v>
      </c>
      <c r="EW417" s="531" t="str">
        <f t="shared" si="2382"/>
        <v>#ERROR!</v>
      </c>
      <c r="EX417" s="530" t="str">
        <f t="shared" si="2382"/>
        <v>#ERROR!</v>
      </c>
      <c r="EY417" s="530" t="str">
        <f t="shared" si="2382"/>
        <v>#ERROR!</v>
      </c>
      <c r="EZ417" s="530" t="str">
        <f t="shared" si="2382"/>
        <v>#ERROR!</v>
      </c>
      <c r="FA417" s="530" t="str">
        <f t="shared" si="2382"/>
        <v>#ERROR!</v>
      </c>
      <c r="FB417" s="531" t="str">
        <f t="shared" si="2382"/>
        <v>#ERROR!</v>
      </c>
      <c r="FC417" s="530" t="str">
        <f t="shared" si="2382"/>
        <v>#ERROR!</v>
      </c>
      <c r="FD417" s="530" t="str">
        <f t="shared" si="2382"/>
        <v>#ERROR!</v>
      </c>
      <c r="FE417" s="530" t="str">
        <f t="shared" si="2382"/>
        <v>#ERROR!</v>
      </c>
      <c r="FF417" s="530" t="str">
        <f t="shared" si="2382"/>
        <v>#ERROR!</v>
      </c>
      <c r="FG417" s="531" t="str">
        <f t="shared" si="2382"/>
        <v>#ERROR!</v>
      </c>
      <c r="FH417" s="364"/>
      <c r="FI417" s="15"/>
      <c r="FJ417" s="15"/>
      <c r="FK417" s="410"/>
      <c r="FL417" s="15"/>
    </row>
    <row r="418" ht="12.75" hidden="1" customHeight="1" outlineLevel="1">
      <c r="A418" s="545"/>
      <c r="B418" s="546" t="s">
        <v>209</v>
      </c>
      <c r="C418" s="547"/>
      <c r="D418" s="545"/>
      <c r="E418" s="545"/>
      <c r="F418" s="545"/>
      <c r="G418" s="545"/>
      <c r="H418" s="547"/>
      <c r="I418" s="545"/>
      <c r="J418" s="545"/>
      <c r="K418" s="545"/>
      <c r="L418" s="545"/>
      <c r="M418" s="547"/>
      <c r="N418" s="545"/>
      <c r="O418" s="545"/>
      <c r="P418" s="545"/>
      <c r="Q418" s="545"/>
      <c r="R418" s="547"/>
      <c r="S418" s="545"/>
      <c r="T418" s="545"/>
      <c r="U418" s="545"/>
      <c r="V418" s="545"/>
      <c r="W418" s="547"/>
      <c r="X418" s="545"/>
      <c r="Y418" s="545"/>
      <c r="Z418" s="545"/>
      <c r="AA418" s="545"/>
      <c r="AB418" s="547"/>
      <c r="AC418" s="545"/>
      <c r="AD418" s="545"/>
      <c r="AE418" s="545"/>
      <c r="AF418" s="545"/>
      <c r="AG418" s="547"/>
      <c r="AH418" s="545"/>
      <c r="AI418" s="545"/>
      <c r="AJ418" s="545"/>
      <c r="AK418" s="545"/>
      <c r="AL418" s="547"/>
      <c r="AM418" s="545"/>
      <c r="AN418" s="545"/>
      <c r="AO418" s="545"/>
      <c r="AP418" s="545"/>
      <c r="AQ418" s="547"/>
      <c r="AR418" s="545"/>
      <c r="AS418" s="545"/>
      <c r="AT418" s="545"/>
      <c r="AU418" s="545"/>
      <c r="AV418" s="547"/>
      <c r="AW418" s="545"/>
      <c r="AX418" s="545"/>
      <c r="AY418" s="545"/>
      <c r="AZ418" s="545"/>
      <c r="BA418" s="547"/>
      <c r="BB418" s="545"/>
      <c r="BC418" s="545"/>
      <c r="BD418" s="545"/>
      <c r="BE418" s="545"/>
      <c r="BF418" s="547"/>
      <c r="BG418" s="545"/>
      <c r="BH418" s="545"/>
      <c r="BI418" s="545"/>
      <c r="BJ418" s="545"/>
      <c r="BK418" s="547"/>
      <c r="BL418" s="545"/>
      <c r="BM418" s="545"/>
      <c r="BN418" s="545"/>
      <c r="BO418" s="545"/>
      <c r="BP418" s="547"/>
      <c r="BQ418" s="545"/>
      <c r="BR418" s="545"/>
      <c r="BS418" s="545"/>
      <c r="BT418" s="545"/>
      <c r="BU418" s="547"/>
      <c r="BV418" s="545"/>
      <c r="BW418" s="545"/>
      <c r="BX418" s="545"/>
      <c r="BY418" s="545"/>
      <c r="BZ418" s="548"/>
      <c r="CA418" s="545"/>
      <c r="CB418" s="545"/>
      <c r="CC418" s="545"/>
      <c r="CD418" s="545"/>
      <c r="CE418" s="548"/>
      <c r="CF418" s="545"/>
      <c r="CG418" s="545"/>
      <c r="CH418" s="545"/>
      <c r="CI418" s="545"/>
      <c r="CJ418" s="548"/>
      <c r="CK418" s="545"/>
      <c r="CL418" s="545"/>
      <c r="CM418" s="545"/>
      <c r="CN418" s="549"/>
      <c r="CO418" s="548"/>
      <c r="CP418" s="550">
        <f t="shared" ref="CP418:CS418" si="2383">CP40-CP417</f>
        <v>0</v>
      </c>
      <c r="CQ418" s="550">
        <f t="shared" si="2383"/>
        <v>0</v>
      </c>
      <c r="CR418" s="550">
        <f t="shared" si="2383"/>
        <v>0</v>
      </c>
      <c r="CS418" s="550">
        <f t="shared" si="2383"/>
        <v>0</v>
      </c>
      <c r="CT418" s="538">
        <f>SUM(CP418:CS418)</f>
        <v>0</v>
      </c>
      <c r="CU418" s="550">
        <f t="shared" ref="CU418:CX418" si="2384">CU40-CU417</f>
        <v>0</v>
      </c>
      <c r="CV418" s="550">
        <f t="shared" si="2384"/>
        <v>0</v>
      </c>
      <c r="CW418" s="550">
        <f t="shared" si="2384"/>
        <v>0</v>
      </c>
      <c r="CX418" s="550">
        <f t="shared" si="2384"/>
        <v>0</v>
      </c>
      <c r="CY418" s="538">
        <f>SUM(CU418:CX418)</f>
        <v>0</v>
      </c>
      <c r="CZ418" s="550">
        <f t="shared" ref="CZ418:DC418" si="2385">CZ40-CZ417</f>
        <v>0</v>
      </c>
      <c r="DA418" s="550">
        <f t="shared" si="2385"/>
        <v>0</v>
      </c>
      <c r="DB418" s="550">
        <f t="shared" si="2385"/>
        <v>0</v>
      </c>
      <c r="DC418" s="550">
        <f t="shared" si="2385"/>
        <v>0</v>
      </c>
      <c r="DD418" s="538">
        <f>SUM(CZ418:DC418)</f>
        <v>0</v>
      </c>
      <c r="DE418" s="550">
        <f t="shared" ref="DE418:DH418" si="2386">DE40-DE417</f>
        <v>0</v>
      </c>
      <c r="DF418" s="550">
        <f t="shared" si="2386"/>
        <v>0</v>
      </c>
      <c r="DG418" s="550">
        <f t="shared" si="2386"/>
        <v>0</v>
      </c>
      <c r="DH418" s="550">
        <f t="shared" si="2386"/>
        <v>0</v>
      </c>
      <c r="DI418" s="538">
        <f>SUM(DE418:DH418)</f>
        <v>0</v>
      </c>
      <c r="DJ418" s="550">
        <f t="shared" ref="DJ418:DM418" si="2387">DJ40-DJ417</f>
        <v>0</v>
      </c>
      <c r="DK418" s="550">
        <f t="shared" si="2387"/>
        <v>0</v>
      </c>
      <c r="DL418" s="550">
        <f t="shared" si="2387"/>
        <v>0</v>
      </c>
      <c r="DM418" s="550">
        <f t="shared" si="2387"/>
        <v>0</v>
      </c>
      <c r="DN418" s="551">
        <f>SUM(DJ418:DM418)</f>
        <v>0</v>
      </c>
      <c r="DO418" s="550">
        <f t="shared" ref="DO418:DR418" si="2388">DO40-DO417</f>
        <v>0</v>
      </c>
      <c r="DP418" s="550">
        <f t="shared" si="2388"/>
        <v>0</v>
      </c>
      <c r="DQ418" s="550">
        <f t="shared" si="2388"/>
        <v>0</v>
      </c>
      <c r="DR418" s="550">
        <f t="shared" si="2388"/>
        <v>0</v>
      </c>
      <c r="DS418" s="551">
        <f>SUM(DO418:DR418)</f>
        <v>0</v>
      </c>
      <c r="DT418" s="550">
        <f t="shared" ref="DT418:DW418" si="2389">DT40-DT417</f>
        <v>0</v>
      </c>
      <c r="DU418" s="550">
        <f t="shared" si="2389"/>
        <v>0</v>
      </c>
      <c r="DV418" s="550">
        <f t="shared" si="2389"/>
        <v>0</v>
      </c>
      <c r="DW418" s="550">
        <f t="shared" si="2389"/>
        <v>0</v>
      </c>
      <c r="DX418" s="551">
        <f>SUM(DT418:DW418)</f>
        <v>0</v>
      </c>
      <c r="DY418" s="550">
        <f t="shared" ref="DY418:EB418" si="2390">DY40-DY417</f>
        <v>0</v>
      </c>
      <c r="DZ418" s="550">
        <f t="shared" si="2390"/>
        <v>0</v>
      </c>
      <c r="EA418" s="550">
        <f t="shared" si="2390"/>
        <v>0</v>
      </c>
      <c r="EB418" s="550">
        <f t="shared" si="2390"/>
        <v>0</v>
      </c>
      <c r="EC418" s="551">
        <f>SUM(DY418:EB418)</f>
        <v>0</v>
      </c>
      <c r="ED418" s="550">
        <f t="shared" ref="ED418:EG418" si="2391">ED40-ED417</f>
        <v>853.1129788</v>
      </c>
      <c r="EE418" s="550" t="str">
        <f t="shared" si="2391"/>
        <v>#ERROR!</v>
      </c>
      <c r="EF418" s="550" t="str">
        <f t="shared" si="2391"/>
        <v>#ERROR!</v>
      </c>
      <c r="EG418" s="550" t="str">
        <f t="shared" si="2391"/>
        <v>#ERROR!</v>
      </c>
      <c r="EH418" s="551" t="str">
        <f>SUM(ED418:EG418)</f>
        <v>#ERROR!</v>
      </c>
      <c r="EI418" s="552" t="str">
        <f t="shared" ref="EI418:EL418" si="2392">EI40-EI417</f>
        <v>#ERROR!</v>
      </c>
      <c r="EJ418" s="553" t="str">
        <f t="shared" si="2392"/>
        <v>#ERROR!</v>
      </c>
      <c r="EK418" s="553" t="str">
        <f t="shared" si="2392"/>
        <v>#ERROR!</v>
      </c>
      <c r="EL418" s="553" t="str">
        <f t="shared" si="2392"/>
        <v>#ERROR!</v>
      </c>
      <c r="EM418" s="551" t="str">
        <f>SUM(EI418:EL418)</f>
        <v>#ERROR!</v>
      </c>
      <c r="EN418" s="553" t="str">
        <f t="shared" ref="EN418:EQ418" si="2393">EN40-EN417</f>
        <v>#ERROR!</v>
      </c>
      <c r="EO418" s="553" t="str">
        <f t="shared" si="2393"/>
        <v>#ERROR!</v>
      </c>
      <c r="EP418" s="553" t="str">
        <f t="shared" si="2393"/>
        <v>#ERROR!</v>
      </c>
      <c r="EQ418" s="553" t="str">
        <f t="shared" si="2393"/>
        <v>#ERROR!</v>
      </c>
      <c r="ER418" s="551" t="str">
        <f>SUM(EN418:EQ418)</f>
        <v>#ERROR!</v>
      </c>
      <c r="ES418" s="553" t="str">
        <f t="shared" ref="ES418:EV418" si="2394">ES40-ES417</f>
        <v>#ERROR!</v>
      </c>
      <c r="ET418" s="553" t="str">
        <f t="shared" si="2394"/>
        <v>#ERROR!</v>
      </c>
      <c r="EU418" s="553" t="str">
        <f t="shared" si="2394"/>
        <v>#ERROR!</v>
      </c>
      <c r="EV418" s="553" t="str">
        <f t="shared" si="2394"/>
        <v>#ERROR!</v>
      </c>
      <c r="EW418" s="551" t="str">
        <f>SUM(ES418:EV418)</f>
        <v>#ERROR!</v>
      </c>
      <c r="EX418" s="553" t="str">
        <f t="shared" ref="EX418:FA418" si="2395">EX40-EX417</f>
        <v>#ERROR!</v>
      </c>
      <c r="EY418" s="553" t="str">
        <f t="shared" si="2395"/>
        <v>#ERROR!</v>
      </c>
      <c r="EZ418" s="553" t="str">
        <f t="shared" si="2395"/>
        <v>#ERROR!</v>
      </c>
      <c r="FA418" s="553" t="str">
        <f t="shared" si="2395"/>
        <v>#ERROR!</v>
      </c>
      <c r="FB418" s="551" t="str">
        <f>SUM(EX418:FA418)</f>
        <v>#ERROR!</v>
      </c>
      <c r="FC418" s="553" t="str">
        <f t="shared" ref="FC418:FF418" si="2396">FC40-FC417</f>
        <v>#ERROR!</v>
      </c>
      <c r="FD418" s="553" t="str">
        <f t="shared" si="2396"/>
        <v>#ERROR!</v>
      </c>
      <c r="FE418" s="553" t="str">
        <f t="shared" si="2396"/>
        <v>#ERROR!</v>
      </c>
      <c r="FF418" s="553" t="str">
        <f t="shared" si="2396"/>
        <v>#ERROR!</v>
      </c>
      <c r="FG418" s="551" t="str">
        <f>SUM(FC418:FF418)</f>
        <v>#ERROR!</v>
      </c>
      <c r="FH418" s="554"/>
      <c r="FI418" s="545"/>
      <c r="FJ418" s="545"/>
      <c r="FK418" s="547"/>
      <c r="FL418" s="545"/>
    </row>
    <row r="419" ht="12.75" hidden="1" customHeight="1" outlineLevel="1">
      <c r="A419" s="4"/>
      <c r="B419" s="45"/>
      <c r="C419" s="45"/>
      <c r="D419" s="15"/>
      <c r="E419" s="15"/>
      <c r="F419" s="15"/>
      <c r="G419" s="15"/>
      <c r="H419" s="410"/>
      <c r="I419" s="15"/>
      <c r="J419" s="15"/>
      <c r="K419" s="15"/>
      <c r="L419" s="15"/>
      <c r="M419" s="410"/>
      <c r="N419" s="15"/>
      <c r="O419" s="15"/>
      <c r="P419" s="15"/>
      <c r="Q419" s="15"/>
      <c r="R419" s="410"/>
      <c r="S419" s="15"/>
      <c r="T419" s="15"/>
      <c r="U419" s="15"/>
      <c r="V419" s="15"/>
      <c r="W419" s="410"/>
      <c r="X419" s="15"/>
      <c r="Y419" s="15"/>
      <c r="Z419" s="15"/>
      <c r="AA419" s="15"/>
      <c r="AB419" s="410"/>
      <c r="AC419" s="15"/>
      <c r="AD419" s="15"/>
      <c r="AE419" s="15"/>
      <c r="AF419" s="15"/>
      <c r="AG419" s="410"/>
      <c r="AH419" s="15"/>
      <c r="AI419" s="15"/>
      <c r="AJ419" s="15"/>
      <c r="AK419" s="15"/>
      <c r="AL419" s="410"/>
      <c r="AM419" s="15"/>
      <c r="AN419" s="15"/>
      <c r="AO419" s="15"/>
      <c r="AP419" s="15"/>
      <c r="AQ419" s="410"/>
      <c r="AR419" s="15"/>
      <c r="AS419" s="15"/>
      <c r="AT419" s="15"/>
      <c r="AU419" s="15"/>
      <c r="AV419" s="410"/>
      <c r="AW419" s="15"/>
      <c r="AX419" s="15"/>
      <c r="AY419" s="15"/>
      <c r="AZ419" s="15"/>
      <c r="BA419" s="410"/>
      <c r="BB419" s="15"/>
      <c r="BC419" s="15"/>
      <c r="BD419" s="15"/>
      <c r="BE419" s="15"/>
      <c r="BF419" s="410"/>
      <c r="BG419" s="15"/>
      <c r="BH419" s="15"/>
      <c r="BI419" s="15"/>
      <c r="BJ419" s="15"/>
      <c r="BK419" s="410"/>
      <c r="BL419" s="15"/>
      <c r="BM419" s="15"/>
      <c r="BN419" s="15"/>
      <c r="BO419" s="15"/>
      <c r="BP419" s="410"/>
      <c r="BQ419" s="15"/>
      <c r="BR419" s="15"/>
      <c r="BS419" s="15"/>
      <c r="BT419" s="15"/>
      <c r="BU419" s="410"/>
      <c r="BV419" s="15"/>
      <c r="BW419" s="15"/>
      <c r="BX419" s="15"/>
      <c r="BY419" s="15"/>
      <c r="BZ419" s="24"/>
      <c r="CA419" s="15"/>
      <c r="CB419" s="15"/>
      <c r="CC419" s="15"/>
      <c r="CD419" s="15"/>
      <c r="CE419" s="24"/>
      <c r="CF419" s="15"/>
      <c r="CG419" s="15"/>
      <c r="CH419" s="15"/>
      <c r="CI419" s="15"/>
      <c r="CJ419" s="24"/>
      <c r="CK419" s="15"/>
      <c r="CL419" s="15"/>
      <c r="CM419" s="15"/>
      <c r="CN419" s="40"/>
      <c r="CO419" s="24"/>
      <c r="CP419" s="104"/>
      <c r="CQ419" s="104"/>
      <c r="CR419" s="104"/>
      <c r="CS419" s="104"/>
      <c r="CT419" s="411"/>
      <c r="CU419" s="17"/>
      <c r="CV419" s="17"/>
      <c r="CW419" s="17"/>
      <c r="CX419" s="326"/>
      <c r="CY419" s="350"/>
      <c r="CZ419" s="17"/>
      <c r="DA419" s="17"/>
      <c r="DB419" s="17"/>
      <c r="DC419" s="17"/>
      <c r="DD419" s="80"/>
      <c r="DE419" s="17"/>
      <c r="DF419" s="17"/>
      <c r="DG419" s="19"/>
      <c r="DH419" s="17"/>
      <c r="DI419" s="80"/>
      <c r="DJ419" s="19"/>
      <c r="DK419" s="19"/>
      <c r="DL419" s="19"/>
      <c r="DM419" s="19"/>
      <c r="DN419" s="80"/>
      <c r="DO419" s="19"/>
      <c r="DP419" s="19"/>
      <c r="DQ419" s="19"/>
      <c r="DR419" s="19"/>
      <c r="DS419" s="80"/>
      <c r="DT419" s="19"/>
      <c r="DU419" s="19"/>
      <c r="DV419" s="19"/>
      <c r="DW419" s="19"/>
      <c r="DX419" s="80"/>
      <c r="DY419" s="19"/>
      <c r="DZ419" s="19"/>
      <c r="EA419" s="19"/>
      <c r="EB419" s="19"/>
      <c r="EC419" s="80"/>
      <c r="ED419" s="19"/>
      <c r="EE419" s="19"/>
      <c r="EF419" s="19"/>
      <c r="EG419" s="19"/>
      <c r="EH419" s="80"/>
      <c r="EI419" s="25"/>
      <c r="EJ419" s="17"/>
      <c r="EK419" s="17"/>
      <c r="EL419" s="17"/>
      <c r="EM419" s="80"/>
      <c r="EN419" s="17"/>
      <c r="EO419" s="17"/>
      <c r="EP419" s="17"/>
      <c r="EQ419" s="17"/>
      <c r="ER419" s="80"/>
      <c r="ES419" s="17"/>
      <c r="ET419" s="17"/>
      <c r="EU419" s="17"/>
      <c r="EV419" s="17"/>
      <c r="EW419" s="80"/>
      <c r="EX419" s="17"/>
      <c r="EY419" s="17"/>
      <c r="EZ419" s="17"/>
      <c r="FA419" s="17"/>
      <c r="FB419" s="80"/>
      <c r="FC419" s="17"/>
      <c r="FD419" s="17"/>
      <c r="FE419" s="17"/>
      <c r="FF419" s="17"/>
      <c r="FG419" s="80"/>
      <c r="FH419" s="146"/>
      <c r="FI419" s="15"/>
      <c r="FJ419" s="15"/>
      <c r="FK419" s="410"/>
      <c r="FL419" s="15"/>
    </row>
    <row r="420" ht="12.75" hidden="1" customHeight="1" outlineLevel="1">
      <c r="A420" s="4"/>
      <c r="B420" s="555" t="s">
        <v>256</v>
      </c>
      <c r="C420" s="299"/>
      <c r="D420" s="413"/>
      <c r="E420" s="413"/>
      <c r="F420" s="413"/>
      <c r="G420" s="413"/>
      <c r="H420" s="414"/>
      <c r="I420" s="413"/>
      <c r="J420" s="413"/>
      <c r="K420" s="413"/>
      <c r="L420" s="413"/>
      <c r="M420" s="414"/>
      <c r="N420" s="413"/>
      <c r="O420" s="413"/>
      <c r="P420" s="413"/>
      <c r="Q420" s="413"/>
      <c r="R420" s="414"/>
      <c r="S420" s="413"/>
      <c r="T420" s="413"/>
      <c r="U420" s="413"/>
      <c r="V420" s="413"/>
      <c r="W420" s="414"/>
      <c r="X420" s="413"/>
      <c r="Y420" s="413"/>
      <c r="Z420" s="413"/>
      <c r="AA420" s="413"/>
      <c r="AB420" s="414"/>
      <c r="AC420" s="413"/>
      <c r="AD420" s="413"/>
      <c r="AE420" s="413"/>
      <c r="AF420" s="413"/>
      <c r="AG420" s="414"/>
      <c r="AH420" s="413"/>
      <c r="AI420" s="413"/>
      <c r="AJ420" s="413"/>
      <c r="AK420" s="413"/>
      <c r="AL420" s="414"/>
      <c r="AM420" s="413"/>
      <c r="AN420" s="413"/>
      <c r="AO420" s="413"/>
      <c r="AP420" s="413"/>
      <c r="AQ420" s="414"/>
      <c r="AR420" s="413"/>
      <c r="AS420" s="413"/>
      <c r="AT420" s="413"/>
      <c r="AU420" s="413"/>
      <c r="AV420" s="414"/>
      <c r="AW420" s="413"/>
      <c r="AX420" s="413"/>
      <c r="AY420" s="413"/>
      <c r="AZ420" s="413"/>
      <c r="BA420" s="414"/>
      <c r="BB420" s="413"/>
      <c r="BC420" s="413"/>
      <c r="BD420" s="413"/>
      <c r="BE420" s="413"/>
      <c r="BF420" s="414"/>
      <c r="BG420" s="413"/>
      <c r="BH420" s="413"/>
      <c r="BI420" s="413"/>
      <c r="BJ420" s="413"/>
      <c r="BK420" s="414"/>
      <c r="BL420" s="413"/>
      <c r="BM420" s="413"/>
      <c r="BN420" s="413"/>
      <c r="BO420" s="413"/>
      <c r="BP420" s="414"/>
      <c r="BQ420" s="413"/>
      <c r="BR420" s="413"/>
      <c r="BS420" s="413"/>
      <c r="BT420" s="413"/>
      <c r="BU420" s="414"/>
      <c r="BV420" s="413"/>
      <c r="BW420" s="413"/>
      <c r="BX420" s="413"/>
      <c r="BY420" s="413"/>
      <c r="BZ420" s="415"/>
      <c r="CA420" s="413"/>
      <c r="CB420" s="413"/>
      <c r="CC420" s="413"/>
      <c r="CD420" s="413"/>
      <c r="CE420" s="415"/>
      <c r="CF420" s="413"/>
      <c r="CG420" s="413"/>
      <c r="CH420" s="413"/>
      <c r="CI420" s="413"/>
      <c r="CJ420" s="415"/>
      <c r="CK420" s="413"/>
      <c r="CL420" s="413"/>
      <c r="CM420" s="413"/>
      <c r="CN420" s="416"/>
      <c r="CO420" s="415"/>
      <c r="CP420" s="388"/>
      <c r="CQ420" s="388"/>
      <c r="CR420" s="388"/>
      <c r="CS420" s="388"/>
      <c r="CT420" s="417"/>
      <c r="CU420" s="92"/>
      <c r="CV420" s="92"/>
      <c r="CW420" s="92"/>
      <c r="CX420" s="418"/>
      <c r="CY420" s="301"/>
      <c r="CZ420" s="92"/>
      <c r="DA420" s="92"/>
      <c r="DB420" s="92"/>
      <c r="DC420" s="418"/>
      <c r="DD420" s="301"/>
      <c r="DE420" s="92"/>
      <c r="DF420" s="92"/>
      <c r="DG420" s="96"/>
      <c r="DH420" s="418"/>
      <c r="DI420" s="95"/>
      <c r="DJ420" s="96"/>
      <c r="DK420" s="96"/>
      <c r="DL420" s="96"/>
      <c r="DM420" s="96"/>
      <c r="DN420" s="419"/>
      <c r="DO420" s="96"/>
      <c r="DP420" s="96"/>
      <c r="DQ420" s="96"/>
      <c r="DR420" s="96"/>
      <c r="DS420" s="419"/>
      <c r="DT420" s="96"/>
      <c r="DU420" s="96"/>
      <c r="DV420" s="96"/>
      <c r="DW420" s="96"/>
      <c r="DX420" s="419"/>
      <c r="DY420" s="96"/>
      <c r="DZ420" s="96"/>
      <c r="EA420" s="96"/>
      <c r="EB420" s="96"/>
      <c r="EC420" s="419"/>
      <c r="ED420" s="96"/>
      <c r="EE420" s="96"/>
      <c r="EF420" s="96"/>
      <c r="EG420" s="96"/>
      <c r="EH420" s="419"/>
      <c r="EI420" s="97"/>
      <c r="EJ420" s="92"/>
      <c r="EK420" s="92"/>
      <c r="EL420" s="92"/>
      <c r="EM420" s="419"/>
      <c r="EN420" s="92"/>
      <c r="EO420" s="92"/>
      <c r="EP420" s="92"/>
      <c r="EQ420" s="92"/>
      <c r="ER420" s="419"/>
      <c r="ES420" s="92"/>
      <c r="ET420" s="92"/>
      <c r="EU420" s="92"/>
      <c r="EV420" s="92"/>
      <c r="EW420" s="419"/>
      <c r="EX420" s="92"/>
      <c r="EY420" s="92"/>
      <c r="EZ420" s="92"/>
      <c r="FA420" s="92"/>
      <c r="FB420" s="419"/>
      <c r="FC420" s="92"/>
      <c r="FD420" s="92"/>
      <c r="FE420" s="92"/>
      <c r="FF420" s="92"/>
      <c r="FG420" s="419"/>
      <c r="FH420" s="19"/>
      <c r="FI420" s="15"/>
      <c r="FJ420" s="15"/>
      <c r="FK420" s="410"/>
      <c r="FL420" s="15"/>
    </row>
    <row r="421" ht="12.75" hidden="1" customHeight="1" outlineLevel="1">
      <c r="A421" s="4"/>
      <c r="B421" s="4" t="str">
        <f>B408</f>
        <v>Client Computing Goup (CCG)</v>
      </c>
      <c r="C421" s="45"/>
      <c r="D421" s="15"/>
      <c r="E421" s="15"/>
      <c r="F421" s="15"/>
      <c r="G421" s="15"/>
      <c r="H421" s="410"/>
      <c r="I421" s="15"/>
      <c r="J421" s="15"/>
      <c r="K421" s="15"/>
      <c r="L421" s="15"/>
      <c r="M421" s="410"/>
      <c r="N421" s="15"/>
      <c r="O421" s="15"/>
      <c r="P421" s="15"/>
      <c r="Q421" s="15"/>
      <c r="R421" s="410"/>
      <c r="S421" s="15"/>
      <c r="T421" s="15"/>
      <c r="U421" s="15"/>
      <c r="V421" s="15"/>
      <c r="W421" s="410"/>
      <c r="X421" s="15"/>
      <c r="Y421" s="15"/>
      <c r="Z421" s="15"/>
      <c r="AA421" s="15"/>
      <c r="AB421" s="410"/>
      <c r="AC421" s="15"/>
      <c r="AD421" s="15"/>
      <c r="AE421" s="15"/>
      <c r="AF421" s="15"/>
      <c r="AG421" s="410"/>
      <c r="AH421" s="15"/>
      <c r="AI421" s="15"/>
      <c r="AJ421" s="15"/>
      <c r="AK421" s="15"/>
      <c r="AL421" s="410"/>
      <c r="AM421" s="15"/>
      <c r="AN421" s="15"/>
      <c r="AO421" s="15"/>
      <c r="AP421" s="15"/>
      <c r="AQ421" s="410"/>
      <c r="AR421" s="15"/>
      <c r="AS421" s="15"/>
      <c r="AT421" s="15"/>
      <c r="AU421" s="15"/>
      <c r="AV421" s="410"/>
      <c r="AW421" s="15"/>
      <c r="AX421" s="15"/>
      <c r="AY421" s="15"/>
      <c r="AZ421" s="15"/>
      <c r="BA421" s="410"/>
      <c r="BB421" s="15"/>
      <c r="BC421" s="15"/>
      <c r="BD421" s="15"/>
      <c r="BE421" s="15"/>
      <c r="BF421" s="410"/>
      <c r="BG421" s="15"/>
      <c r="BH421" s="15"/>
      <c r="BI421" s="15"/>
      <c r="BJ421" s="15"/>
      <c r="BK421" s="410"/>
      <c r="BL421" s="15"/>
      <c r="BM421" s="15"/>
      <c r="BN421" s="15"/>
      <c r="BO421" s="15"/>
      <c r="BP421" s="410"/>
      <c r="BQ421" s="15"/>
      <c r="BR421" s="15"/>
      <c r="BS421" s="15"/>
      <c r="BT421" s="15"/>
      <c r="BU421" s="410"/>
      <c r="BV421" s="15"/>
      <c r="BW421" s="15"/>
      <c r="BX421" s="15"/>
      <c r="BY421" s="15"/>
      <c r="BZ421" s="24"/>
      <c r="CA421" s="15"/>
      <c r="CB421" s="15"/>
      <c r="CC421" s="15"/>
      <c r="CD421" s="15"/>
      <c r="CE421" s="24"/>
      <c r="CF421" s="15"/>
      <c r="CG421" s="15"/>
      <c r="CH421" s="15"/>
      <c r="CI421" s="15"/>
      <c r="CJ421" s="24"/>
      <c r="CK421" s="15"/>
      <c r="CL421" s="15"/>
      <c r="CM421" s="15"/>
      <c r="CN421" s="40"/>
      <c r="CO421" s="24"/>
      <c r="CP421" s="40">
        <f t="shared" ref="CP421:ED421" si="2397">CP408/CP265</f>
        <v>0.2313202421</v>
      </c>
      <c r="CQ421" s="40">
        <f t="shared" si="2397"/>
        <v>0.2966276669</v>
      </c>
      <c r="CR421" s="40">
        <f t="shared" si="2397"/>
        <v>0.3321727777</v>
      </c>
      <c r="CS421" s="40">
        <f t="shared" si="2397"/>
        <v>0.3204376269</v>
      </c>
      <c r="CT421" s="24">
        <f t="shared" si="2397"/>
        <v>0.2968857536</v>
      </c>
      <c r="CU421" s="40">
        <f t="shared" si="2397"/>
        <v>0.1901617251</v>
      </c>
      <c r="CV421" s="40">
        <f t="shared" si="2397"/>
        <v>0.212551413</v>
      </c>
      <c r="CW421" s="40">
        <f t="shared" si="2397"/>
        <v>0.2860333882</v>
      </c>
      <c r="CX421" s="40">
        <f t="shared" si="2397"/>
        <v>0.3106441297</v>
      </c>
      <c r="CY421" s="24">
        <f t="shared" si="2397"/>
        <v>0.2534529315</v>
      </c>
      <c r="CZ421" s="40">
        <f t="shared" si="2397"/>
        <v>0.2497019473</v>
      </c>
      <c r="DA421" s="40">
        <f t="shared" si="2397"/>
        <v>0.260425184</v>
      </c>
      <c r="DB421" s="40">
        <f t="shared" si="2397"/>
        <v>0.3741565452</v>
      </c>
      <c r="DC421" s="40">
        <f t="shared" si="2397"/>
        <v>0.3859130244</v>
      </c>
      <c r="DD421" s="24">
        <f t="shared" si="2397"/>
        <v>0.3235079616</v>
      </c>
      <c r="DE421" s="40">
        <f t="shared" si="2397"/>
        <v>0.3800150451</v>
      </c>
      <c r="DF421" s="40">
        <f t="shared" si="2397"/>
        <v>0.3683185194</v>
      </c>
      <c r="DG421" s="40">
        <f t="shared" si="2397"/>
        <v>0.4063205418</v>
      </c>
      <c r="DH421" s="40">
        <f t="shared" si="2397"/>
        <v>0.3644181371</v>
      </c>
      <c r="DI421" s="24">
        <f t="shared" si="2397"/>
        <v>0.3799370644</v>
      </c>
      <c r="DJ421" s="40">
        <f t="shared" si="2397"/>
        <v>0.3395377129</v>
      </c>
      <c r="DK421" s="40">
        <f t="shared" si="2397"/>
        <v>0.367816092</v>
      </c>
      <c r="DL421" s="40">
        <f t="shared" si="2397"/>
        <v>0.4428376002</v>
      </c>
      <c r="DM421" s="40">
        <f t="shared" si="2397"/>
        <v>0.3731419263</v>
      </c>
      <c r="DN421" s="24">
        <f t="shared" si="2397"/>
        <v>0.3837083514</v>
      </c>
      <c r="DO421" s="40">
        <f t="shared" si="2397"/>
        <v>0.357791754</v>
      </c>
      <c r="DP421" s="40">
        <f t="shared" si="2397"/>
        <v>0.422689741</v>
      </c>
      <c r="DQ421" s="40">
        <f t="shared" si="2397"/>
        <v>0.4434030281</v>
      </c>
      <c r="DR421" s="40">
        <f t="shared" si="2397"/>
        <v>0.4083916084</v>
      </c>
      <c r="DS421" s="24">
        <f t="shared" si="2397"/>
        <v>0.4092499865</v>
      </c>
      <c r="DT421" s="40">
        <f t="shared" si="2397"/>
        <v>0.4322250639</v>
      </c>
      <c r="DU421" s="40">
        <f t="shared" si="2397"/>
        <v>0.299283909</v>
      </c>
      <c r="DV421" s="40">
        <f t="shared" si="2397"/>
        <v>0.3609221083</v>
      </c>
      <c r="DW421" s="40">
        <f t="shared" si="2397"/>
        <v>0.412103483</v>
      </c>
      <c r="DX421" s="24">
        <f t="shared" si="2397"/>
        <v>0.3776867963</v>
      </c>
      <c r="DY421" s="40">
        <f t="shared" si="2397"/>
        <v>0.3884959925</v>
      </c>
      <c r="DZ421" s="40">
        <f t="shared" si="2397"/>
        <v>0.3719457909</v>
      </c>
      <c r="EA421" s="40">
        <f t="shared" si="2397"/>
        <v>0.3432326159</v>
      </c>
      <c r="EB421" s="40">
        <f t="shared" si="2397"/>
        <v>0.3429389125</v>
      </c>
      <c r="EC421" s="24">
        <f t="shared" si="2397"/>
        <v>0.3621732369</v>
      </c>
      <c r="ED421" s="40">
        <f t="shared" si="2397"/>
        <v>0.34</v>
      </c>
      <c r="EE421" s="40">
        <v>0.34</v>
      </c>
      <c r="EF421" s="40">
        <v>0.34</v>
      </c>
      <c r="EG421" s="40">
        <v>0.34</v>
      </c>
      <c r="EH421" s="24" t="str">
        <f>EH408/EH265</f>
        <v>#ERROR!</v>
      </c>
      <c r="EI421" s="314">
        <v>0.34</v>
      </c>
      <c r="EJ421" s="315">
        <v>0.34</v>
      </c>
      <c r="EK421" s="315">
        <v>0.34</v>
      </c>
      <c r="EL421" s="315">
        <v>0.34</v>
      </c>
      <c r="EM421" s="24" t="str">
        <f>EM408/EM265</f>
        <v>#ERROR!</v>
      </c>
      <c r="EN421" s="315">
        <v>0.34</v>
      </c>
      <c r="EO421" s="315">
        <v>0.34</v>
      </c>
      <c r="EP421" s="315">
        <v>0.34</v>
      </c>
      <c r="EQ421" s="315">
        <v>0.34</v>
      </c>
      <c r="ER421" s="24" t="str">
        <f>ER408/ER265</f>
        <v>#ERROR!</v>
      </c>
      <c r="ES421" s="315">
        <v>0.34</v>
      </c>
      <c r="ET421" s="315">
        <v>0.34</v>
      </c>
      <c r="EU421" s="315">
        <v>0.34</v>
      </c>
      <c r="EV421" s="315">
        <v>0.34</v>
      </c>
      <c r="EW421" s="24" t="str">
        <f>EW408/EW265</f>
        <v>#ERROR!</v>
      </c>
      <c r="EX421" s="315">
        <v>0.34</v>
      </c>
      <c r="EY421" s="315">
        <v>0.34</v>
      </c>
      <c r="EZ421" s="315">
        <v>0.34</v>
      </c>
      <c r="FA421" s="315">
        <v>0.34</v>
      </c>
      <c r="FB421" s="24" t="str">
        <f>FB408/FB265</f>
        <v>#ERROR!</v>
      </c>
      <c r="FC421" s="315">
        <v>0.34</v>
      </c>
      <c r="FD421" s="315">
        <v>0.34</v>
      </c>
      <c r="FE421" s="315">
        <v>0.34</v>
      </c>
      <c r="FF421" s="315">
        <v>0.34</v>
      </c>
      <c r="FG421" s="24" t="str">
        <f>FG408/FG265</f>
        <v>#ERROR!</v>
      </c>
      <c r="FH421" s="104"/>
      <c r="FI421" s="15"/>
      <c r="FJ421" s="15"/>
      <c r="FK421" s="410"/>
      <c r="FL421" s="15"/>
    </row>
    <row r="422" ht="12.75" hidden="1" customHeight="1" outlineLevel="1">
      <c r="A422" s="4"/>
      <c r="B422" s="4" t="str">
        <f t="shared" ref="B422:B428" si="2399">B411</f>
        <v>Data Center Group (DCG)</v>
      </c>
      <c r="C422" s="45"/>
      <c r="D422" s="15"/>
      <c r="E422" s="15"/>
      <c r="F422" s="15"/>
      <c r="G422" s="15"/>
      <c r="H422" s="410"/>
      <c r="I422" s="15"/>
      <c r="J422" s="15"/>
      <c r="K422" s="15"/>
      <c r="L422" s="15"/>
      <c r="M422" s="410"/>
      <c r="N422" s="15"/>
      <c r="O422" s="15"/>
      <c r="P422" s="15"/>
      <c r="Q422" s="15"/>
      <c r="R422" s="410"/>
      <c r="S422" s="15"/>
      <c r="T422" s="15"/>
      <c r="U422" s="15"/>
      <c r="V422" s="15"/>
      <c r="W422" s="410"/>
      <c r="X422" s="15"/>
      <c r="Y422" s="15"/>
      <c r="Z422" s="15"/>
      <c r="AA422" s="15"/>
      <c r="AB422" s="410"/>
      <c r="AC422" s="15"/>
      <c r="AD422" s="15"/>
      <c r="AE422" s="15"/>
      <c r="AF422" s="15"/>
      <c r="AG422" s="410"/>
      <c r="AH422" s="15"/>
      <c r="AI422" s="15"/>
      <c r="AJ422" s="15"/>
      <c r="AK422" s="15"/>
      <c r="AL422" s="410"/>
      <c r="AM422" s="15"/>
      <c r="AN422" s="15"/>
      <c r="AO422" s="15"/>
      <c r="AP422" s="15"/>
      <c r="AQ422" s="410"/>
      <c r="AR422" s="15"/>
      <c r="AS422" s="15"/>
      <c r="AT422" s="15"/>
      <c r="AU422" s="15"/>
      <c r="AV422" s="410"/>
      <c r="AW422" s="15"/>
      <c r="AX422" s="15"/>
      <c r="AY422" s="15"/>
      <c r="AZ422" s="15"/>
      <c r="BA422" s="410"/>
      <c r="BB422" s="15"/>
      <c r="BC422" s="15"/>
      <c r="BD422" s="15"/>
      <c r="BE422" s="15"/>
      <c r="BF422" s="410"/>
      <c r="BG422" s="15"/>
      <c r="BH422" s="15"/>
      <c r="BI422" s="15"/>
      <c r="BJ422" s="15"/>
      <c r="BK422" s="410"/>
      <c r="BL422" s="15"/>
      <c r="BM422" s="15"/>
      <c r="BN422" s="15"/>
      <c r="BO422" s="15"/>
      <c r="BP422" s="410"/>
      <c r="BQ422" s="15"/>
      <c r="BR422" s="15"/>
      <c r="BS422" s="15"/>
      <c r="BT422" s="15"/>
      <c r="BU422" s="410"/>
      <c r="BV422" s="15"/>
      <c r="BW422" s="15"/>
      <c r="BX422" s="15"/>
      <c r="BY422" s="15"/>
      <c r="BZ422" s="24"/>
      <c r="CA422" s="15"/>
      <c r="CB422" s="15"/>
      <c r="CC422" s="15"/>
      <c r="CD422" s="15"/>
      <c r="CE422" s="24"/>
      <c r="CF422" s="15"/>
      <c r="CG422" s="15"/>
      <c r="CH422" s="15"/>
      <c r="CI422" s="15"/>
      <c r="CJ422" s="24"/>
      <c r="CK422" s="15"/>
      <c r="CL422" s="15"/>
      <c r="CM422" s="15"/>
      <c r="CN422" s="40"/>
      <c r="CO422" s="24"/>
      <c r="CP422" s="40">
        <f t="shared" ref="CP422:ED422" si="2398">CP411/CP324</f>
        <v>0.426627794</v>
      </c>
      <c r="CQ422" s="40">
        <f t="shared" si="2398"/>
        <v>0.5249358792</v>
      </c>
      <c r="CR422" s="40">
        <f t="shared" si="2398"/>
        <v>0.5259459459</v>
      </c>
      <c r="CS422" s="40">
        <f t="shared" si="2398"/>
        <v>0.5514544121</v>
      </c>
      <c r="CT422" s="24">
        <f t="shared" si="2398"/>
        <v>0.511642455</v>
      </c>
      <c r="CU422" s="40">
        <f t="shared" si="2398"/>
        <v>0.4618102745</v>
      </c>
      <c r="CV422" s="40">
        <f t="shared" si="2398"/>
        <v>0.4787012987</v>
      </c>
      <c r="CW422" s="40">
        <f t="shared" si="2398"/>
        <v>0.5144927536</v>
      </c>
      <c r="CX422" s="40">
        <f t="shared" si="2398"/>
        <v>0.5048746518</v>
      </c>
      <c r="CY422" s="24">
        <f t="shared" si="2398"/>
        <v>0.4911435188</v>
      </c>
      <c r="CZ422" s="40">
        <f t="shared" si="2398"/>
        <v>0.4411102776</v>
      </c>
      <c r="DA422" s="40">
        <f t="shared" si="2398"/>
        <v>0.4382915322</v>
      </c>
      <c r="DB422" s="40">
        <f t="shared" si="2398"/>
        <v>0.4645530603</v>
      </c>
      <c r="DC422" s="40">
        <f t="shared" si="2398"/>
        <v>0.4029562982</v>
      </c>
      <c r="DD422" s="24">
        <f t="shared" si="2398"/>
        <v>0.4362961244</v>
      </c>
      <c r="DE422" s="40">
        <f t="shared" si="2398"/>
        <v>0.3513705104</v>
      </c>
      <c r="DF422" s="40">
        <f t="shared" si="2398"/>
        <v>0.3799176578</v>
      </c>
      <c r="DG422" s="40">
        <f t="shared" si="2398"/>
        <v>0.4622796228</v>
      </c>
      <c r="DH422" s="40">
        <f t="shared" si="2398"/>
        <v>0.5360085991</v>
      </c>
      <c r="DI422" s="24">
        <f t="shared" si="2398"/>
        <v>0.4403587914</v>
      </c>
      <c r="DJ422" s="40">
        <f t="shared" si="2398"/>
        <v>0.497134123</v>
      </c>
      <c r="DK422" s="40">
        <f t="shared" si="2398"/>
        <v>0.4909090909</v>
      </c>
      <c r="DL422" s="40">
        <f t="shared" si="2398"/>
        <v>0.5020361622</v>
      </c>
      <c r="DM422" s="40">
        <f t="shared" si="2398"/>
        <v>0.5033778217</v>
      </c>
      <c r="DN422" s="24">
        <f t="shared" si="2398"/>
        <v>0.4986051783</v>
      </c>
      <c r="DO422" s="40">
        <f t="shared" si="2398"/>
        <v>0.3755609955</v>
      </c>
      <c r="DP422" s="40">
        <f t="shared" si="2398"/>
        <v>0.3612281758</v>
      </c>
      <c r="DQ422" s="40">
        <f t="shared" si="2398"/>
        <v>0.4880150399</v>
      </c>
      <c r="DR422" s="40">
        <f t="shared" si="2398"/>
        <v>0.4812144739</v>
      </c>
      <c r="DS422" s="24">
        <f t="shared" si="2398"/>
        <v>0.435543631</v>
      </c>
      <c r="DT422" s="40">
        <f t="shared" si="2398"/>
        <v>0.4993564994</v>
      </c>
      <c r="DU422" s="40">
        <f t="shared" si="2398"/>
        <v>0.4354362793</v>
      </c>
      <c r="DV422" s="40">
        <f t="shared" si="2398"/>
        <v>0.3222692633</v>
      </c>
      <c r="DW422" s="40">
        <f t="shared" si="2398"/>
        <v>0.3411629435</v>
      </c>
      <c r="DX422" s="24">
        <f t="shared" si="2398"/>
        <v>0.4049726085</v>
      </c>
      <c r="DY422" s="40">
        <f t="shared" si="2398"/>
        <v>0.2287922358</v>
      </c>
      <c r="DZ422" s="40">
        <f t="shared" si="2398"/>
        <v>0.300697134</v>
      </c>
      <c r="EA422" s="40" t="str">
        <f t="shared" si="2398"/>
        <v>#ERROR!</v>
      </c>
      <c r="EB422" s="40" t="str">
        <f t="shared" si="2398"/>
        <v>#ERROR!</v>
      </c>
      <c r="EC422" s="24" t="str">
        <f t="shared" si="2398"/>
        <v>#ERROR!</v>
      </c>
      <c r="ED422" s="40" t="str">
        <f t="shared" si="2398"/>
        <v>#ERROR!</v>
      </c>
      <c r="EE422" s="40">
        <v>0.36</v>
      </c>
      <c r="EF422" s="40">
        <v>0.39</v>
      </c>
      <c r="EG422" s="40">
        <v>0.39</v>
      </c>
      <c r="EH422" s="24" t="str">
        <f>EH411/EH324</f>
        <v>#ERROR!</v>
      </c>
      <c r="EI422" s="314">
        <v>0.39</v>
      </c>
      <c r="EJ422" s="315">
        <v>0.42</v>
      </c>
      <c r="EK422" s="315">
        <v>0.44</v>
      </c>
      <c r="EL422" s="315">
        <v>0.44</v>
      </c>
      <c r="EM422" s="24" t="str">
        <f>EM411/EM324</f>
        <v>#ERROR!</v>
      </c>
      <c r="EN422" s="315">
        <v>0.45</v>
      </c>
      <c r="EO422" s="315">
        <v>0.45</v>
      </c>
      <c r="EP422" s="315">
        <v>0.45</v>
      </c>
      <c r="EQ422" s="315">
        <v>0.45</v>
      </c>
      <c r="ER422" s="24" t="str">
        <f>ER411/ER324</f>
        <v>#ERROR!</v>
      </c>
      <c r="ES422" s="315">
        <v>0.45</v>
      </c>
      <c r="ET422" s="315">
        <v>0.45</v>
      </c>
      <c r="EU422" s="315">
        <v>0.45</v>
      </c>
      <c r="EV422" s="315">
        <v>0.45</v>
      </c>
      <c r="EW422" s="24" t="str">
        <f>EW411/EW324</f>
        <v>#ERROR!</v>
      </c>
      <c r="EX422" s="315">
        <v>0.45</v>
      </c>
      <c r="EY422" s="315">
        <v>0.45</v>
      </c>
      <c r="EZ422" s="315">
        <v>0.45</v>
      </c>
      <c r="FA422" s="315">
        <v>0.45</v>
      </c>
      <c r="FB422" s="24" t="str">
        <f>FB411/FB324</f>
        <v>#ERROR!</v>
      </c>
      <c r="FC422" s="315">
        <v>0.45</v>
      </c>
      <c r="FD422" s="315">
        <v>0.45</v>
      </c>
      <c r="FE422" s="315">
        <v>0.45</v>
      </c>
      <c r="FF422" s="315">
        <v>0.45</v>
      </c>
      <c r="FG422" s="24" t="str">
        <f>FG411/FG324</f>
        <v>#ERROR!</v>
      </c>
      <c r="FH422" s="104"/>
      <c r="FI422" s="15"/>
      <c r="FJ422" s="15"/>
      <c r="FK422" s="410"/>
      <c r="FL422" s="15"/>
    </row>
    <row r="423" ht="12.75" hidden="1" customHeight="1" outlineLevel="1">
      <c r="A423" s="4"/>
      <c r="B423" s="4" t="str">
        <f t="shared" si="2399"/>
        <v>Internet of Things Group (IOTG)</v>
      </c>
      <c r="C423" s="45"/>
      <c r="D423" s="15"/>
      <c r="E423" s="15"/>
      <c r="F423" s="15"/>
      <c r="G423" s="15"/>
      <c r="H423" s="410"/>
      <c r="I423" s="15"/>
      <c r="J423" s="15"/>
      <c r="K423" s="15"/>
      <c r="L423" s="15"/>
      <c r="M423" s="410"/>
      <c r="N423" s="15"/>
      <c r="O423" s="15"/>
      <c r="P423" s="15"/>
      <c r="Q423" s="15"/>
      <c r="R423" s="410"/>
      <c r="S423" s="15"/>
      <c r="T423" s="15"/>
      <c r="U423" s="15"/>
      <c r="V423" s="15"/>
      <c r="W423" s="410"/>
      <c r="X423" s="15"/>
      <c r="Y423" s="15"/>
      <c r="Z423" s="15"/>
      <c r="AA423" s="15"/>
      <c r="AB423" s="410"/>
      <c r="AC423" s="15"/>
      <c r="AD423" s="15"/>
      <c r="AE423" s="15"/>
      <c r="AF423" s="15"/>
      <c r="AG423" s="410"/>
      <c r="AH423" s="15"/>
      <c r="AI423" s="15"/>
      <c r="AJ423" s="15"/>
      <c r="AK423" s="15"/>
      <c r="AL423" s="410"/>
      <c r="AM423" s="15"/>
      <c r="AN423" s="15"/>
      <c r="AO423" s="15"/>
      <c r="AP423" s="15"/>
      <c r="AQ423" s="410"/>
      <c r="AR423" s="15"/>
      <c r="AS423" s="15"/>
      <c r="AT423" s="15"/>
      <c r="AU423" s="15"/>
      <c r="AV423" s="410"/>
      <c r="AW423" s="15"/>
      <c r="AX423" s="15"/>
      <c r="AY423" s="15"/>
      <c r="AZ423" s="15"/>
      <c r="BA423" s="410"/>
      <c r="BB423" s="15"/>
      <c r="BC423" s="15"/>
      <c r="BD423" s="15"/>
      <c r="BE423" s="15"/>
      <c r="BF423" s="410"/>
      <c r="BG423" s="15"/>
      <c r="BH423" s="15"/>
      <c r="BI423" s="15"/>
      <c r="BJ423" s="15"/>
      <c r="BK423" s="410"/>
      <c r="BL423" s="15"/>
      <c r="BM423" s="15"/>
      <c r="BN423" s="15"/>
      <c r="BO423" s="15"/>
      <c r="BP423" s="410"/>
      <c r="BQ423" s="15"/>
      <c r="BR423" s="15"/>
      <c r="BS423" s="15"/>
      <c r="BT423" s="15"/>
      <c r="BU423" s="410"/>
      <c r="BV423" s="15"/>
      <c r="BW423" s="15"/>
      <c r="BX423" s="15"/>
      <c r="BY423" s="15"/>
      <c r="BZ423" s="24"/>
      <c r="CA423" s="15"/>
      <c r="CB423" s="15"/>
      <c r="CC423" s="15"/>
      <c r="CD423" s="15"/>
      <c r="CE423" s="24"/>
      <c r="CF423" s="15"/>
      <c r="CG423" s="15"/>
      <c r="CH423" s="15"/>
      <c r="CI423" s="15"/>
      <c r="CJ423" s="24"/>
      <c r="CK423" s="15"/>
      <c r="CL423" s="15"/>
      <c r="CM423" s="15"/>
      <c r="CN423" s="40"/>
      <c r="CO423" s="24"/>
      <c r="CP423" s="40">
        <f t="shared" ref="CP423:DI423" si="2400">CP412/CP357</f>
        <v>0.255186722</v>
      </c>
      <c r="CQ423" s="40">
        <f t="shared" si="2400"/>
        <v>0.2708719852</v>
      </c>
      <c r="CR423" s="40">
        <f t="shared" si="2400"/>
        <v>0.2735849057</v>
      </c>
      <c r="CS423" s="40">
        <f t="shared" si="2400"/>
        <v>0.2994923858</v>
      </c>
      <c r="CT423" s="24">
        <f t="shared" si="2400"/>
        <v>0.2759103641</v>
      </c>
      <c r="CU423" s="40">
        <f t="shared" si="2400"/>
        <v>0.1632270169</v>
      </c>
      <c r="CV423" s="40">
        <f t="shared" si="2400"/>
        <v>0.2611806798</v>
      </c>
      <c r="CW423" s="40">
        <f t="shared" si="2400"/>
        <v>0.2581755594</v>
      </c>
      <c r="CX423" s="40">
        <f t="shared" si="2400"/>
        <v>0.2112</v>
      </c>
      <c r="CY423" s="24">
        <f t="shared" si="2400"/>
        <v>0.2241079199</v>
      </c>
      <c r="CZ423" s="40">
        <f t="shared" si="2400"/>
        <v>0.1889400922</v>
      </c>
      <c r="DA423" s="40">
        <f t="shared" si="2400"/>
        <v>0.1555944056</v>
      </c>
      <c r="DB423" s="40">
        <f t="shared" si="2400"/>
        <v>0.2772133527</v>
      </c>
      <c r="DC423" s="40">
        <f t="shared" si="2400"/>
        <v>0.2506887052</v>
      </c>
      <c r="DD423" s="24">
        <f t="shared" si="2400"/>
        <v>0.2217589083</v>
      </c>
      <c r="DE423" s="40">
        <f t="shared" si="2400"/>
        <v>0.145631068</v>
      </c>
      <c r="DF423" s="40">
        <f t="shared" si="2400"/>
        <v>0.1930555556</v>
      </c>
      <c r="DG423" s="40">
        <f t="shared" si="2400"/>
        <v>0.17196702</v>
      </c>
      <c r="DH423" s="40">
        <f t="shared" si="2400"/>
        <v>0.2957906712</v>
      </c>
      <c r="DI423" s="24">
        <f t="shared" si="2400"/>
        <v>0.2051120227</v>
      </c>
      <c r="DJ423" s="40">
        <f>DJ412/(DJ357+DJ395)</f>
        <v>0.229061554</v>
      </c>
      <c r="DK423" s="40">
        <f t="shared" ref="DK423:DN423" si="2401">DK412/DK357</f>
        <v>0.2761363636</v>
      </c>
      <c r="DL423" s="40">
        <f t="shared" si="2401"/>
        <v>0.3492927095</v>
      </c>
      <c r="DM423" s="40">
        <f t="shared" si="2401"/>
        <v>0.2316176471</v>
      </c>
      <c r="DN423" s="24">
        <f t="shared" si="2401"/>
        <v>0.2836468886</v>
      </c>
      <c r="DO423" s="40">
        <f t="shared" ref="DO423:ED423" si="2402">DO412/(DO357+DO395)</f>
        <v>0.2850759607</v>
      </c>
      <c r="DP423" s="40">
        <f t="shared" si="2402"/>
        <v>0.2923336142</v>
      </c>
      <c r="DQ423" s="40">
        <f t="shared" si="2402"/>
        <v>0.3047001621</v>
      </c>
      <c r="DR423" s="40">
        <f t="shared" si="2402"/>
        <v>0.2586206897</v>
      </c>
      <c r="DS423" s="24">
        <f t="shared" si="2402"/>
        <v>0.2855319149</v>
      </c>
      <c r="DT423" s="40">
        <f t="shared" si="2402"/>
        <v>0.2911169745</v>
      </c>
      <c r="DU423" s="40">
        <f t="shared" si="2402"/>
        <v>0.08088235294</v>
      </c>
      <c r="DV423" s="40">
        <f t="shared" si="2402"/>
        <v>0.1185510428</v>
      </c>
      <c r="DW423" s="40">
        <f t="shared" si="2402"/>
        <v>0.2099099099</v>
      </c>
      <c r="DX423" s="24">
        <f t="shared" si="2402"/>
        <v>0.1857070961</v>
      </c>
      <c r="DY423" s="40">
        <f t="shared" si="2402"/>
        <v>0.2780790085</v>
      </c>
      <c r="DZ423" s="40">
        <f t="shared" si="2402"/>
        <v>0.3020594966</v>
      </c>
      <c r="EA423" s="40">
        <f t="shared" si="2402"/>
        <v>0.2785087719</v>
      </c>
      <c r="EB423" s="40">
        <f t="shared" si="2402"/>
        <v>0.2609618105</v>
      </c>
      <c r="EC423" s="24">
        <f t="shared" si="2402"/>
        <v>0.2795319465</v>
      </c>
      <c r="ED423" s="40">
        <f t="shared" si="2402"/>
        <v>0.25</v>
      </c>
      <c r="EE423" s="40">
        <v>0.27</v>
      </c>
      <c r="EF423" s="40">
        <v>0.28</v>
      </c>
      <c r="EG423" s="40">
        <v>0.28</v>
      </c>
      <c r="EH423" s="24">
        <f>EH412/(EH357+EH395)</f>
        <v>0.2705050955</v>
      </c>
      <c r="EI423" s="314">
        <v>0.28</v>
      </c>
      <c r="EJ423" s="315">
        <v>0.26</v>
      </c>
      <c r="EK423" s="315">
        <v>0.28</v>
      </c>
      <c r="EL423" s="315">
        <v>0.26</v>
      </c>
      <c r="EM423" s="24">
        <f>EM412/(EM357+EM395)</f>
        <v>0.2696921194</v>
      </c>
      <c r="EN423" s="315">
        <v>0.28</v>
      </c>
      <c r="EO423" s="315">
        <v>0.26</v>
      </c>
      <c r="EP423" s="315">
        <v>0.28</v>
      </c>
      <c r="EQ423" s="315">
        <v>0.26</v>
      </c>
      <c r="ER423" s="24">
        <f>ER412/(ER357+ER395)</f>
        <v>0.2697711983</v>
      </c>
      <c r="ES423" s="315">
        <v>0.28</v>
      </c>
      <c r="ET423" s="315">
        <v>0.26</v>
      </c>
      <c r="EU423" s="315">
        <v>0.28</v>
      </c>
      <c r="EV423" s="315">
        <v>0.26</v>
      </c>
      <c r="EW423" s="24">
        <f>EW412/(EW357+EW395)</f>
        <v>0.2697592477</v>
      </c>
      <c r="EX423" s="315">
        <v>0.28</v>
      </c>
      <c r="EY423" s="315">
        <v>0.26</v>
      </c>
      <c r="EZ423" s="315">
        <v>0.28</v>
      </c>
      <c r="FA423" s="315">
        <v>0.26</v>
      </c>
      <c r="FB423" s="24">
        <f>FB412/(FB357+FB395)</f>
        <v>0.2697470217</v>
      </c>
      <c r="FC423" s="315">
        <v>0.28</v>
      </c>
      <c r="FD423" s="315">
        <v>0.26</v>
      </c>
      <c r="FE423" s="315">
        <v>0.28</v>
      </c>
      <c r="FF423" s="315">
        <v>0.26</v>
      </c>
      <c r="FG423" s="24">
        <f>FG412/(FG357+FG395)</f>
        <v>0.269734739</v>
      </c>
      <c r="FH423" s="104"/>
      <c r="FI423" s="15"/>
      <c r="FJ423" s="15"/>
      <c r="FK423" s="410"/>
      <c r="FL423" s="15"/>
    </row>
    <row r="424" ht="12.75" hidden="1" customHeight="1" outlineLevel="1">
      <c r="A424" s="4"/>
      <c r="B424" s="4" t="str">
        <f t="shared" si="2399"/>
        <v>Non-Volatile Memory Solutions Group (NSG)</v>
      </c>
      <c r="C424" s="45"/>
      <c r="D424" s="15"/>
      <c r="E424" s="15"/>
      <c r="F424" s="15"/>
      <c r="G424" s="15"/>
      <c r="H424" s="410"/>
      <c r="I424" s="15"/>
      <c r="J424" s="15"/>
      <c r="K424" s="15"/>
      <c r="L424" s="15"/>
      <c r="M424" s="410"/>
      <c r="N424" s="15"/>
      <c r="O424" s="15"/>
      <c r="P424" s="15"/>
      <c r="Q424" s="15"/>
      <c r="R424" s="410"/>
      <c r="S424" s="15"/>
      <c r="T424" s="15"/>
      <c r="U424" s="15"/>
      <c r="V424" s="15"/>
      <c r="W424" s="410"/>
      <c r="X424" s="15"/>
      <c r="Y424" s="15"/>
      <c r="Z424" s="15"/>
      <c r="AA424" s="15"/>
      <c r="AB424" s="410"/>
      <c r="AC424" s="15"/>
      <c r="AD424" s="15"/>
      <c r="AE424" s="15"/>
      <c r="AF424" s="15"/>
      <c r="AG424" s="410"/>
      <c r="AH424" s="15"/>
      <c r="AI424" s="15"/>
      <c r="AJ424" s="15"/>
      <c r="AK424" s="15"/>
      <c r="AL424" s="410"/>
      <c r="AM424" s="15"/>
      <c r="AN424" s="15"/>
      <c r="AO424" s="15"/>
      <c r="AP424" s="15"/>
      <c r="AQ424" s="410"/>
      <c r="AR424" s="15"/>
      <c r="AS424" s="15"/>
      <c r="AT424" s="15"/>
      <c r="AU424" s="15"/>
      <c r="AV424" s="410"/>
      <c r="AW424" s="15"/>
      <c r="AX424" s="15"/>
      <c r="AY424" s="15"/>
      <c r="AZ424" s="15"/>
      <c r="BA424" s="410"/>
      <c r="BB424" s="15"/>
      <c r="BC424" s="15"/>
      <c r="BD424" s="15"/>
      <c r="BE424" s="15"/>
      <c r="BF424" s="410"/>
      <c r="BG424" s="15"/>
      <c r="BH424" s="15"/>
      <c r="BI424" s="15"/>
      <c r="BJ424" s="15"/>
      <c r="BK424" s="410"/>
      <c r="BL424" s="15"/>
      <c r="BM424" s="15"/>
      <c r="BN424" s="15"/>
      <c r="BO424" s="15"/>
      <c r="BP424" s="410"/>
      <c r="BQ424" s="15"/>
      <c r="BR424" s="15"/>
      <c r="BS424" s="15"/>
      <c r="BT424" s="15"/>
      <c r="BU424" s="410"/>
      <c r="BV424" s="15"/>
      <c r="BW424" s="15"/>
      <c r="BX424" s="15"/>
      <c r="BY424" s="15"/>
      <c r="BZ424" s="24"/>
      <c r="CA424" s="15"/>
      <c r="CB424" s="15"/>
      <c r="CC424" s="15"/>
      <c r="CD424" s="15"/>
      <c r="CE424" s="24"/>
      <c r="CF424" s="15"/>
      <c r="CG424" s="15"/>
      <c r="CH424" s="15"/>
      <c r="CI424" s="15"/>
      <c r="CJ424" s="24"/>
      <c r="CK424" s="15"/>
      <c r="CL424" s="15"/>
      <c r="CM424" s="15"/>
      <c r="CN424" s="40"/>
      <c r="CO424" s="24"/>
      <c r="CP424" s="40" t="str">
        <f t="shared" ref="CP424:ED424" si="2403">CP413/CP362</f>
        <v>#DIV/0!</v>
      </c>
      <c r="CQ424" s="40" t="str">
        <f t="shared" si="2403"/>
        <v>#DIV/0!</v>
      </c>
      <c r="CR424" s="40" t="str">
        <f t="shared" si="2403"/>
        <v>#DIV/0!</v>
      </c>
      <c r="CS424" s="40" t="str">
        <f t="shared" si="2403"/>
        <v>#DIV/0!</v>
      </c>
      <c r="CT424" s="24">
        <f t="shared" si="2403"/>
        <v>0.1188257223</v>
      </c>
      <c r="CU424" s="40">
        <f t="shared" si="2403"/>
        <v>0.1216216216</v>
      </c>
      <c r="CV424" s="40">
        <f t="shared" si="2403"/>
        <v>0.132183908</v>
      </c>
      <c r="CW424" s="40">
        <f t="shared" si="2403"/>
        <v>0.07786259542</v>
      </c>
      <c r="CX424" s="40">
        <f t="shared" si="2403"/>
        <v>0.03669724771</v>
      </c>
      <c r="CY424" s="24">
        <f t="shared" si="2403"/>
        <v>0.09202926454</v>
      </c>
      <c r="CZ424" s="40">
        <f t="shared" si="2403"/>
        <v>-0.170556553</v>
      </c>
      <c r="DA424" s="40">
        <f t="shared" si="2403"/>
        <v>-0.40433213</v>
      </c>
      <c r="DB424" s="40">
        <f t="shared" si="2403"/>
        <v>-0.2064714946</v>
      </c>
      <c r="DC424" s="40">
        <f t="shared" si="2403"/>
        <v>-0.1115196078</v>
      </c>
      <c r="DD424" s="24">
        <f t="shared" si="2403"/>
        <v>-0.2111801242</v>
      </c>
      <c r="DE424" s="40">
        <f t="shared" si="2403"/>
        <v>-0.148960739</v>
      </c>
      <c r="DF424" s="40">
        <f t="shared" si="2403"/>
        <v>-0.1258581236</v>
      </c>
      <c r="DG424" s="40">
        <f t="shared" si="2403"/>
        <v>-0.05836139169</v>
      </c>
      <c r="DH424" s="40">
        <f t="shared" si="2403"/>
        <v>0.03487064117</v>
      </c>
      <c r="DI424" s="24">
        <f t="shared" si="2403"/>
        <v>-0.07386363636</v>
      </c>
      <c r="DJ424" s="40">
        <f t="shared" si="2403"/>
        <v>-0.07788461538</v>
      </c>
      <c r="DK424" s="40">
        <f t="shared" si="2403"/>
        <v>-0.06024096386</v>
      </c>
      <c r="DL424" s="40">
        <f t="shared" si="2403"/>
        <v>0.1480111008</v>
      </c>
      <c r="DM424" s="40">
        <f t="shared" si="2403"/>
        <v>-0.01716350497</v>
      </c>
      <c r="DN424" s="24">
        <f t="shared" si="2403"/>
        <v>-0.001160900859</v>
      </c>
      <c r="DO424" s="40">
        <f t="shared" si="2403"/>
        <v>-0.3245901639</v>
      </c>
      <c r="DP424" s="40">
        <f t="shared" si="2403"/>
        <v>-0.3021276596</v>
      </c>
      <c r="DQ424" s="40">
        <f t="shared" si="2403"/>
        <v>-0.3868217054</v>
      </c>
      <c r="DR424" s="40">
        <f t="shared" si="2403"/>
        <v>-0.07888249795</v>
      </c>
      <c r="DS424" s="24">
        <f t="shared" si="2403"/>
        <v>-0.2696011004</v>
      </c>
      <c r="DT424" s="40">
        <f t="shared" si="2403"/>
        <v>-0.04932735426</v>
      </c>
      <c r="DU424" s="40">
        <f t="shared" si="2403"/>
        <v>0.194092827</v>
      </c>
      <c r="DV424" s="40">
        <f t="shared" si="2403"/>
        <v>0.02515177797</v>
      </c>
      <c r="DW424" s="40">
        <f t="shared" si="2403"/>
        <v>0.06291390728</v>
      </c>
      <c r="DX424" s="24">
        <f t="shared" si="2403"/>
        <v>0.06737588652</v>
      </c>
      <c r="DY424" s="40">
        <f t="shared" si="2403"/>
        <v>0.1544715447</v>
      </c>
      <c r="DZ424" s="40">
        <f t="shared" si="2403"/>
        <v>0.3661202186</v>
      </c>
      <c r="EA424" s="40">
        <f t="shared" si="2403"/>
        <v>0.4</v>
      </c>
      <c r="EB424" s="40">
        <f t="shared" si="2403"/>
        <v>0.3554216867</v>
      </c>
      <c r="EC424" s="24">
        <f t="shared" si="2403"/>
        <v>0.3179284719</v>
      </c>
      <c r="ED424" s="40" t="str">
        <f t="shared" si="2403"/>
        <v>#DIV/0!</v>
      </c>
      <c r="EE424" s="40">
        <v>0.05</v>
      </c>
      <c r="EF424" s="40">
        <v>0.05</v>
      </c>
      <c r="EG424" s="40">
        <v>0.05</v>
      </c>
      <c r="EH424" s="24" t="str">
        <f>EH413/EH362</f>
        <v>#DIV/0!</v>
      </c>
      <c r="EI424" s="314">
        <v>0.05</v>
      </c>
      <c r="EJ424" s="315">
        <v>0.05</v>
      </c>
      <c r="EK424" s="315">
        <v>0.05</v>
      </c>
      <c r="EL424" s="315">
        <v>0.05</v>
      </c>
      <c r="EM424" s="24" t="str">
        <f>EM413/EM362</f>
        <v>#DIV/0!</v>
      </c>
      <c r="EN424" s="315">
        <v>0.05</v>
      </c>
      <c r="EO424" s="315">
        <v>0.05</v>
      </c>
      <c r="EP424" s="315">
        <v>0.05</v>
      </c>
      <c r="EQ424" s="315">
        <v>0.05</v>
      </c>
      <c r="ER424" s="24" t="str">
        <f>ER413/ER362</f>
        <v>#DIV/0!</v>
      </c>
      <c r="ES424" s="315">
        <v>0.05</v>
      </c>
      <c r="ET424" s="315">
        <v>0.05</v>
      </c>
      <c r="EU424" s="315">
        <v>0.05</v>
      </c>
      <c r="EV424" s="315">
        <v>0.05</v>
      </c>
      <c r="EW424" s="24" t="str">
        <f>EW413/EW362</f>
        <v>#DIV/0!</v>
      </c>
      <c r="EX424" s="315">
        <v>0.05</v>
      </c>
      <c r="EY424" s="315">
        <v>0.05</v>
      </c>
      <c r="EZ424" s="315">
        <v>0.05</v>
      </c>
      <c r="FA424" s="315">
        <v>0.05</v>
      </c>
      <c r="FB424" s="24" t="str">
        <f>FB413/FB362</f>
        <v>#DIV/0!</v>
      </c>
      <c r="FC424" s="315">
        <v>0.05</v>
      </c>
      <c r="FD424" s="315">
        <v>0.05</v>
      </c>
      <c r="FE424" s="315">
        <v>0.05</v>
      </c>
      <c r="FF424" s="315">
        <v>0.05</v>
      </c>
      <c r="FG424" s="24" t="str">
        <f>FG413/FG362</f>
        <v>#DIV/0!</v>
      </c>
      <c r="FH424" s="104"/>
      <c r="FI424" s="15"/>
      <c r="FJ424" s="15"/>
      <c r="FK424" s="410"/>
      <c r="FL424" s="15"/>
    </row>
    <row r="425" ht="12.75" hidden="1" customHeight="1" outlineLevel="1">
      <c r="A425" s="4"/>
      <c r="B425" s="4" t="str">
        <f t="shared" si="2399"/>
        <v>Intel Security Group (ISecG)</v>
      </c>
      <c r="C425" s="45"/>
      <c r="D425" s="15"/>
      <c r="E425" s="15"/>
      <c r="F425" s="15"/>
      <c r="G425" s="15"/>
      <c r="H425" s="410"/>
      <c r="I425" s="15"/>
      <c r="J425" s="15"/>
      <c r="K425" s="15"/>
      <c r="L425" s="15"/>
      <c r="M425" s="410"/>
      <c r="N425" s="15"/>
      <c r="O425" s="15"/>
      <c r="P425" s="15"/>
      <c r="Q425" s="15"/>
      <c r="R425" s="410"/>
      <c r="S425" s="15"/>
      <c r="T425" s="15"/>
      <c r="U425" s="15"/>
      <c r="V425" s="15"/>
      <c r="W425" s="410"/>
      <c r="X425" s="15"/>
      <c r="Y425" s="15"/>
      <c r="Z425" s="15"/>
      <c r="AA425" s="15"/>
      <c r="AB425" s="410"/>
      <c r="AC425" s="15"/>
      <c r="AD425" s="15"/>
      <c r="AE425" s="15"/>
      <c r="AF425" s="15"/>
      <c r="AG425" s="410"/>
      <c r="AH425" s="15"/>
      <c r="AI425" s="15"/>
      <c r="AJ425" s="15"/>
      <c r="AK425" s="15"/>
      <c r="AL425" s="410"/>
      <c r="AM425" s="15"/>
      <c r="AN425" s="15"/>
      <c r="AO425" s="15"/>
      <c r="AP425" s="15"/>
      <c r="AQ425" s="410"/>
      <c r="AR425" s="15"/>
      <c r="AS425" s="15"/>
      <c r="AT425" s="15"/>
      <c r="AU425" s="15"/>
      <c r="AV425" s="410"/>
      <c r="AW425" s="15"/>
      <c r="AX425" s="15"/>
      <c r="AY425" s="15"/>
      <c r="AZ425" s="15"/>
      <c r="BA425" s="410"/>
      <c r="BB425" s="15"/>
      <c r="BC425" s="15"/>
      <c r="BD425" s="15"/>
      <c r="BE425" s="15"/>
      <c r="BF425" s="410"/>
      <c r="BG425" s="15"/>
      <c r="BH425" s="15"/>
      <c r="BI425" s="15"/>
      <c r="BJ425" s="15"/>
      <c r="BK425" s="410"/>
      <c r="BL425" s="15"/>
      <c r="BM425" s="15"/>
      <c r="BN425" s="15"/>
      <c r="BO425" s="15"/>
      <c r="BP425" s="410"/>
      <c r="BQ425" s="15"/>
      <c r="BR425" s="15"/>
      <c r="BS425" s="15"/>
      <c r="BT425" s="15"/>
      <c r="BU425" s="410"/>
      <c r="BV425" s="15"/>
      <c r="BW425" s="15"/>
      <c r="BX425" s="15"/>
      <c r="BY425" s="15"/>
      <c r="BZ425" s="24"/>
      <c r="CA425" s="15"/>
      <c r="CB425" s="15"/>
      <c r="CC425" s="15"/>
      <c r="CD425" s="15"/>
      <c r="CE425" s="24"/>
      <c r="CF425" s="15"/>
      <c r="CG425" s="15"/>
      <c r="CH425" s="15"/>
      <c r="CI425" s="15"/>
      <c r="CJ425" s="24"/>
      <c r="CK425" s="15"/>
      <c r="CL425" s="15"/>
      <c r="CM425" s="15"/>
      <c r="CN425" s="40"/>
      <c r="CO425" s="24"/>
      <c r="CP425" s="40">
        <f t="shared" ref="CP425:DE425" si="2404">CP414/CP393</f>
        <v>-0.01265822785</v>
      </c>
      <c r="CQ425" s="40">
        <f t="shared" si="2404"/>
        <v>0.03467153285</v>
      </c>
      <c r="CR425" s="40">
        <f t="shared" si="2404"/>
        <v>0.05197132616</v>
      </c>
      <c r="CS425" s="40">
        <f t="shared" si="2404"/>
        <v>0.1938958707</v>
      </c>
      <c r="CT425" s="24">
        <f t="shared" si="2404"/>
        <v>0.06723826715</v>
      </c>
      <c r="CU425" s="40">
        <f t="shared" si="2404"/>
        <v>0.02808988764</v>
      </c>
      <c r="CV425" s="40">
        <f t="shared" si="2404"/>
        <v>0.04119850187</v>
      </c>
      <c r="CW425" s="40">
        <f t="shared" si="2404"/>
        <v>0.1744604317</v>
      </c>
      <c r="CX425" s="40">
        <f t="shared" si="2404"/>
        <v>0.1454880295</v>
      </c>
      <c r="CY425" s="24">
        <f t="shared" si="2404"/>
        <v>0.09829257037</v>
      </c>
      <c r="CZ425" s="40">
        <f t="shared" si="2404"/>
        <v>0.1582867784</v>
      </c>
      <c r="DA425" s="40">
        <f t="shared" si="2404"/>
        <v>0.1806331471</v>
      </c>
      <c r="DB425" s="40">
        <f t="shared" si="2404"/>
        <v>0.2141527002</v>
      </c>
      <c r="DC425" s="40">
        <f t="shared" si="2404"/>
        <v>0.1872727273</v>
      </c>
      <c r="DD425" s="24">
        <f t="shared" si="2404"/>
        <v>0.185099491</v>
      </c>
      <c r="DE425" s="40">
        <f t="shared" si="2404"/>
        <v>0.1779026217</v>
      </c>
      <c r="DF425" s="40"/>
      <c r="DG425" s="40"/>
      <c r="DH425" s="40"/>
      <c r="DI425" s="24">
        <f>DI414/DI393</f>
        <v>0.1779026217</v>
      </c>
      <c r="DJ425" s="40"/>
      <c r="DK425" s="40"/>
      <c r="DL425" s="40"/>
      <c r="DM425" s="40"/>
      <c r="DN425" s="24"/>
      <c r="DO425" s="40"/>
      <c r="DP425" s="40"/>
      <c r="DQ425" s="40"/>
      <c r="DR425" s="40"/>
      <c r="DS425" s="24"/>
      <c r="DT425" s="40"/>
      <c r="DU425" s="40"/>
      <c r="DV425" s="40"/>
      <c r="DW425" s="40"/>
      <c r="DX425" s="24"/>
      <c r="DY425" s="40"/>
      <c r="DZ425" s="40"/>
      <c r="EA425" s="40"/>
      <c r="EB425" s="40"/>
      <c r="EC425" s="24"/>
      <c r="ED425" s="40"/>
      <c r="EE425" s="40"/>
      <c r="EF425" s="40"/>
      <c r="EG425" s="40"/>
      <c r="EH425" s="24"/>
      <c r="EI425" s="82"/>
      <c r="EJ425" s="40"/>
      <c r="EK425" s="315"/>
      <c r="EL425" s="40"/>
      <c r="EM425" s="24"/>
      <c r="EN425" s="315"/>
      <c r="EO425" s="40"/>
      <c r="EP425" s="315"/>
      <c r="EQ425" s="40"/>
      <c r="ER425" s="24"/>
      <c r="ES425" s="315"/>
      <c r="ET425" s="40"/>
      <c r="EU425" s="315"/>
      <c r="EV425" s="40"/>
      <c r="EW425" s="24"/>
      <c r="EX425" s="315"/>
      <c r="EY425" s="40"/>
      <c r="EZ425" s="315"/>
      <c r="FA425" s="40"/>
      <c r="FB425" s="24"/>
      <c r="FC425" s="315"/>
      <c r="FD425" s="40"/>
      <c r="FE425" s="315"/>
      <c r="FF425" s="40"/>
      <c r="FG425" s="24"/>
      <c r="FH425" s="104"/>
      <c r="FI425" s="15"/>
      <c r="FJ425" s="15"/>
      <c r="FK425" s="410"/>
      <c r="FL425" s="15"/>
    </row>
    <row r="426" ht="12.75" hidden="1" customHeight="1" outlineLevel="1">
      <c r="A426" s="4"/>
      <c r="B426" s="4" t="str">
        <f t="shared" si="2399"/>
        <v>Programmable Solutions Group (PSG)</v>
      </c>
      <c r="C426" s="45"/>
      <c r="D426" s="15"/>
      <c r="E426" s="15"/>
      <c r="F426" s="15"/>
      <c r="G426" s="15"/>
      <c r="H426" s="410"/>
      <c r="I426" s="15"/>
      <c r="J426" s="15"/>
      <c r="K426" s="15"/>
      <c r="L426" s="15"/>
      <c r="M426" s="410"/>
      <c r="N426" s="15"/>
      <c r="O426" s="15"/>
      <c r="P426" s="15"/>
      <c r="Q426" s="15"/>
      <c r="R426" s="410"/>
      <c r="S426" s="15"/>
      <c r="T426" s="15"/>
      <c r="U426" s="15"/>
      <c r="V426" s="15"/>
      <c r="W426" s="410"/>
      <c r="X426" s="15"/>
      <c r="Y426" s="15"/>
      <c r="Z426" s="15"/>
      <c r="AA426" s="15"/>
      <c r="AB426" s="410"/>
      <c r="AC426" s="15"/>
      <c r="AD426" s="15"/>
      <c r="AE426" s="15"/>
      <c r="AF426" s="15"/>
      <c r="AG426" s="410"/>
      <c r="AH426" s="15"/>
      <c r="AI426" s="15"/>
      <c r="AJ426" s="15"/>
      <c r="AK426" s="15"/>
      <c r="AL426" s="410"/>
      <c r="AM426" s="15"/>
      <c r="AN426" s="15"/>
      <c r="AO426" s="15"/>
      <c r="AP426" s="15"/>
      <c r="AQ426" s="410"/>
      <c r="AR426" s="15"/>
      <c r="AS426" s="15"/>
      <c r="AT426" s="15"/>
      <c r="AU426" s="15"/>
      <c r="AV426" s="410"/>
      <c r="AW426" s="15"/>
      <c r="AX426" s="15"/>
      <c r="AY426" s="15"/>
      <c r="AZ426" s="15"/>
      <c r="BA426" s="410"/>
      <c r="BB426" s="15"/>
      <c r="BC426" s="15"/>
      <c r="BD426" s="15"/>
      <c r="BE426" s="15"/>
      <c r="BF426" s="410"/>
      <c r="BG426" s="15"/>
      <c r="BH426" s="15"/>
      <c r="BI426" s="15"/>
      <c r="BJ426" s="15"/>
      <c r="BK426" s="410"/>
      <c r="BL426" s="15"/>
      <c r="BM426" s="15"/>
      <c r="BN426" s="15"/>
      <c r="BO426" s="15"/>
      <c r="BP426" s="410"/>
      <c r="BQ426" s="15"/>
      <c r="BR426" s="15"/>
      <c r="BS426" s="15"/>
      <c r="BT426" s="15"/>
      <c r="BU426" s="410"/>
      <c r="BV426" s="15"/>
      <c r="BW426" s="15"/>
      <c r="BX426" s="15"/>
      <c r="BY426" s="15"/>
      <c r="BZ426" s="24"/>
      <c r="CA426" s="15"/>
      <c r="CB426" s="15"/>
      <c r="CC426" s="15"/>
      <c r="CD426" s="15"/>
      <c r="CE426" s="24"/>
      <c r="CF426" s="15"/>
      <c r="CG426" s="15"/>
      <c r="CH426" s="15"/>
      <c r="CI426" s="15"/>
      <c r="CJ426" s="24"/>
      <c r="CK426" s="15"/>
      <c r="CL426" s="15"/>
      <c r="CM426" s="15"/>
      <c r="CN426" s="40"/>
      <c r="CO426" s="24"/>
      <c r="CP426" s="40"/>
      <c r="CQ426" s="40"/>
      <c r="CR426" s="40"/>
      <c r="CS426" s="40"/>
      <c r="CT426" s="24"/>
      <c r="CU426" s="40"/>
      <c r="CV426" s="40"/>
      <c r="CW426" s="40"/>
      <c r="CX426" s="40"/>
      <c r="CY426" s="24"/>
      <c r="CZ426" s="40"/>
      <c r="DA426" s="40"/>
      <c r="DB426" s="40"/>
      <c r="DC426" s="40"/>
      <c r="DD426" s="24"/>
      <c r="DE426" s="40">
        <f t="shared" ref="DE426:ED426" si="2405">DE415/DE391</f>
        <v>0.2164705882</v>
      </c>
      <c r="DF426" s="40">
        <f t="shared" si="2405"/>
        <v>0.2204545455</v>
      </c>
      <c r="DG426" s="40">
        <f t="shared" si="2405"/>
        <v>0.2409381663</v>
      </c>
      <c r="DH426" s="40">
        <f t="shared" si="2405"/>
        <v>0.2746478873</v>
      </c>
      <c r="DI426" s="24">
        <f t="shared" si="2405"/>
        <v>0.2407991588</v>
      </c>
      <c r="DJ426" s="40">
        <f t="shared" si="2405"/>
        <v>0.1947791165</v>
      </c>
      <c r="DK426" s="40">
        <f t="shared" si="2405"/>
        <v>0.1953578337</v>
      </c>
      <c r="DL426" s="40">
        <f t="shared" si="2405"/>
        <v>0.2137096774</v>
      </c>
      <c r="DM426" s="40">
        <f t="shared" si="2405"/>
        <v>0.2647058824</v>
      </c>
      <c r="DN426" s="24">
        <f t="shared" si="2405"/>
        <v>0.2195007065</v>
      </c>
      <c r="DO426" s="40">
        <f t="shared" si="2405"/>
        <v>0.183127572</v>
      </c>
      <c r="DP426" s="40">
        <f t="shared" si="2405"/>
        <v>0.1063394683</v>
      </c>
      <c r="DQ426" s="40">
        <f t="shared" si="2405"/>
        <v>0.1814595661</v>
      </c>
      <c r="DR426" s="40">
        <f t="shared" si="2405"/>
        <v>0.1683168317</v>
      </c>
      <c r="DS426" s="24">
        <f t="shared" si="2405"/>
        <v>0.1600402617</v>
      </c>
      <c r="DT426" s="40">
        <f t="shared" si="2405"/>
        <v>0.1868978805</v>
      </c>
      <c r="DU426" s="40">
        <f t="shared" si="2405"/>
        <v>0.1596806387</v>
      </c>
      <c r="DV426" s="40">
        <f t="shared" si="2405"/>
        <v>0.09732360097</v>
      </c>
      <c r="DW426" s="40">
        <f t="shared" si="2405"/>
        <v>0.1018957346</v>
      </c>
      <c r="DX426" s="24">
        <f t="shared" si="2405"/>
        <v>0.1403130059</v>
      </c>
      <c r="DY426" s="40">
        <f t="shared" si="2405"/>
        <v>0.1810699588</v>
      </c>
      <c r="DZ426" s="40">
        <f t="shared" si="2405"/>
        <v>0.1687242798</v>
      </c>
      <c r="EA426" s="40">
        <f t="shared" si="2405"/>
        <v>0.1589958159</v>
      </c>
      <c r="EB426" s="40">
        <f t="shared" si="2405"/>
        <v>0.1053719008</v>
      </c>
      <c r="EC426" s="24">
        <f t="shared" si="2405"/>
        <v>0.1431077018</v>
      </c>
      <c r="ED426" s="40">
        <f t="shared" si="2405"/>
        <v>0.17</v>
      </c>
      <c r="EE426" s="40">
        <v>0.18</v>
      </c>
      <c r="EF426" s="40">
        <v>0.18</v>
      </c>
      <c r="EG426" s="40">
        <v>0.19</v>
      </c>
      <c r="EH426" s="24">
        <f>EH415/EH391</f>
        <v>0.1807</v>
      </c>
      <c r="EI426" s="314">
        <v>0.2</v>
      </c>
      <c r="EJ426" s="315">
        <v>0.2</v>
      </c>
      <c r="EK426" s="315">
        <v>0.2</v>
      </c>
      <c r="EL426" s="315">
        <v>0.2</v>
      </c>
      <c r="EM426" s="24">
        <f>EM415/EM391</f>
        <v>0.2</v>
      </c>
      <c r="EN426" s="315">
        <v>0.2</v>
      </c>
      <c r="EO426" s="315">
        <v>0.2</v>
      </c>
      <c r="EP426" s="315">
        <v>0.2</v>
      </c>
      <c r="EQ426" s="315">
        <v>0.2</v>
      </c>
      <c r="ER426" s="24">
        <f>ER415/ER391</f>
        <v>0.2</v>
      </c>
      <c r="ES426" s="315">
        <v>0.2</v>
      </c>
      <c r="ET426" s="315">
        <v>0.2</v>
      </c>
      <c r="EU426" s="315">
        <v>0.2</v>
      </c>
      <c r="EV426" s="315">
        <v>0.2</v>
      </c>
      <c r="EW426" s="24">
        <f>EW415/EW391</f>
        <v>0.2</v>
      </c>
      <c r="EX426" s="315">
        <v>0.2</v>
      </c>
      <c r="EY426" s="315">
        <v>0.2</v>
      </c>
      <c r="EZ426" s="315">
        <v>0.2</v>
      </c>
      <c r="FA426" s="315">
        <v>0.2</v>
      </c>
      <c r="FB426" s="24">
        <f>FB415/FB391</f>
        <v>0.2</v>
      </c>
      <c r="FC426" s="315">
        <v>0.2</v>
      </c>
      <c r="FD426" s="315">
        <v>0.2</v>
      </c>
      <c r="FE426" s="315">
        <v>0.2</v>
      </c>
      <c r="FF426" s="315">
        <v>0.2</v>
      </c>
      <c r="FG426" s="24">
        <f>FG415/FG391</f>
        <v>0.2</v>
      </c>
      <c r="FH426" s="104"/>
      <c r="FI426" s="15"/>
      <c r="FJ426" s="15"/>
      <c r="FK426" s="410"/>
      <c r="FL426" s="15"/>
    </row>
    <row r="427" ht="12.75" hidden="1" customHeight="1" outlineLevel="1">
      <c r="A427" s="4"/>
      <c r="B427" s="4" t="str">
        <f t="shared" si="2399"/>
        <v>All Other</v>
      </c>
      <c r="C427" s="45"/>
      <c r="D427" s="15"/>
      <c r="E427" s="15"/>
      <c r="F427" s="15"/>
      <c r="G427" s="15"/>
      <c r="H427" s="410"/>
      <c r="I427" s="15"/>
      <c r="J427" s="15"/>
      <c r="K427" s="15"/>
      <c r="L427" s="15"/>
      <c r="M427" s="410"/>
      <c r="N427" s="15"/>
      <c r="O427" s="15"/>
      <c r="P427" s="15"/>
      <c r="Q427" s="15"/>
      <c r="R427" s="410"/>
      <c r="S427" s="15"/>
      <c r="T427" s="15"/>
      <c r="U427" s="15"/>
      <c r="V427" s="15"/>
      <c r="W427" s="410"/>
      <c r="X427" s="15"/>
      <c r="Y427" s="15"/>
      <c r="Z427" s="15"/>
      <c r="AA427" s="15"/>
      <c r="AB427" s="410"/>
      <c r="AC427" s="15"/>
      <c r="AD427" s="15"/>
      <c r="AE427" s="15"/>
      <c r="AF427" s="15"/>
      <c r="AG427" s="410"/>
      <c r="AH427" s="15"/>
      <c r="AI427" s="15"/>
      <c r="AJ427" s="15"/>
      <c r="AK427" s="15"/>
      <c r="AL427" s="410"/>
      <c r="AM427" s="15"/>
      <c r="AN427" s="15"/>
      <c r="AO427" s="15"/>
      <c r="AP427" s="15"/>
      <c r="AQ427" s="410"/>
      <c r="AR427" s="15"/>
      <c r="AS427" s="15"/>
      <c r="AT427" s="15"/>
      <c r="AU427" s="15"/>
      <c r="AV427" s="410"/>
      <c r="AW427" s="15"/>
      <c r="AX427" s="15"/>
      <c r="AY427" s="15"/>
      <c r="AZ427" s="15"/>
      <c r="BA427" s="410"/>
      <c r="BB427" s="15"/>
      <c r="BC427" s="15"/>
      <c r="BD427" s="15"/>
      <c r="BE427" s="15"/>
      <c r="BF427" s="410"/>
      <c r="BG427" s="15"/>
      <c r="BH427" s="15"/>
      <c r="BI427" s="15"/>
      <c r="BJ427" s="15"/>
      <c r="BK427" s="410"/>
      <c r="BL427" s="15"/>
      <c r="BM427" s="15"/>
      <c r="BN427" s="15"/>
      <c r="BO427" s="15"/>
      <c r="BP427" s="410"/>
      <c r="BQ427" s="15"/>
      <c r="BR427" s="15"/>
      <c r="BS427" s="15"/>
      <c r="BT427" s="15"/>
      <c r="BU427" s="410"/>
      <c r="BV427" s="15"/>
      <c r="BW427" s="15"/>
      <c r="BX427" s="15"/>
      <c r="BY427" s="15"/>
      <c r="BZ427" s="24"/>
      <c r="CA427" s="15"/>
      <c r="CB427" s="15"/>
      <c r="CC427" s="15"/>
      <c r="CD427" s="15"/>
      <c r="CE427" s="24"/>
      <c r="CF427" s="15"/>
      <c r="CG427" s="15"/>
      <c r="CH427" s="15"/>
      <c r="CI427" s="15"/>
      <c r="CJ427" s="24"/>
      <c r="CK427" s="15"/>
      <c r="CL427" s="15"/>
      <c r="CM427" s="15"/>
      <c r="CN427" s="40"/>
      <c r="CO427" s="24"/>
      <c r="CP427" s="327">
        <f t="shared" ref="CP427:DD427" si="2406">CP416/CP396</f>
        <v>-1.418348624</v>
      </c>
      <c r="CQ427" s="327">
        <f t="shared" si="2406"/>
        <v>-1.448742747</v>
      </c>
      <c r="CR427" s="327">
        <f t="shared" si="2406"/>
        <v>-1.100869565</v>
      </c>
      <c r="CS427" s="327">
        <f t="shared" si="2406"/>
        <v>-1.922077922</v>
      </c>
      <c r="CT427" s="324">
        <f t="shared" si="2406"/>
        <v>-1.482023968</v>
      </c>
      <c r="CU427" s="327">
        <f t="shared" si="2406"/>
        <v>-1.087804878</v>
      </c>
      <c r="CV427" s="327">
        <f t="shared" si="2406"/>
        <v>-1.131468531</v>
      </c>
      <c r="CW427" s="327">
        <f t="shared" si="2406"/>
        <v>-0.9809384164</v>
      </c>
      <c r="CX427" s="327">
        <f t="shared" si="2406"/>
        <v>-1.218475073</v>
      </c>
      <c r="CY427" s="324">
        <f t="shared" si="2406"/>
        <v>-1.105419451</v>
      </c>
      <c r="CZ427" s="327">
        <f t="shared" si="2406"/>
        <v>-19.88</v>
      </c>
      <c r="DA427" s="327">
        <f t="shared" si="2406"/>
        <v>-56.45</v>
      </c>
      <c r="DB427" s="327">
        <f t="shared" si="2406"/>
        <v>-27.84090909</v>
      </c>
      <c r="DC427" s="327">
        <f t="shared" si="2406"/>
        <v>-17.72307692</v>
      </c>
      <c r="DD427" s="324">
        <f t="shared" si="2406"/>
        <v>-28.28643216</v>
      </c>
      <c r="DE427" s="327">
        <f t="shared" ref="DE427:DN427" si="2407">DE416/(DE396+DE395)</f>
        <v>-25.76190476</v>
      </c>
      <c r="DF427" s="327">
        <f t="shared" si="2407"/>
        <v>-3.893280632</v>
      </c>
      <c r="DG427" s="556">
        <f t="shared" si="2407"/>
        <v>-4.688118812</v>
      </c>
      <c r="DH427" s="327">
        <f t="shared" si="2407"/>
        <v>-7.220994475</v>
      </c>
      <c r="DI427" s="324">
        <f t="shared" si="2407"/>
        <v>-6.373156342</v>
      </c>
      <c r="DJ427" s="327">
        <f t="shared" si="2407"/>
        <v>-4.982905983</v>
      </c>
      <c r="DK427" s="327">
        <f t="shared" si="2407"/>
        <v>-3.167832168</v>
      </c>
      <c r="DL427" s="327">
        <f t="shared" si="2407"/>
        <v>-2.897959184</v>
      </c>
      <c r="DM427" s="327">
        <f t="shared" si="2407"/>
        <v>-3.584415584</v>
      </c>
      <c r="DN427" s="324">
        <f t="shared" si="2407"/>
        <v>-3.590430622</v>
      </c>
      <c r="DO427" s="327">
        <f t="shared" ref="DO427:FG427" si="2408">DO416/(DO396)</f>
        <v>-16.03773585</v>
      </c>
      <c r="DP427" s="327">
        <f t="shared" si="2408"/>
        <v>-15.92307692</v>
      </c>
      <c r="DQ427" s="327">
        <f t="shared" si="2408"/>
        <v>-14.05970149</v>
      </c>
      <c r="DR427" s="327">
        <f t="shared" si="2408"/>
        <v>-10.10576923</v>
      </c>
      <c r="DS427" s="324">
        <f t="shared" si="2408"/>
        <v>-13.41868512</v>
      </c>
      <c r="DT427" s="327">
        <f t="shared" si="2408"/>
        <v>-15.77272727</v>
      </c>
      <c r="DU427" s="327">
        <f t="shared" si="2408"/>
        <v>-5.122302158</v>
      </c>
      <c r="DV427" s="327">
        <f t="shared" si="2408"/>
        <v>-5.424528302</v>
      </c>
      <c r="DW427" s="327">
        <f t="shared" si="2408"/>
        <v>-4.990521327</v>
      </c>
      <c r="DX427" s="324">
        <f t="shared" si="2408"/>
        <v>-6.477011494</v>
      </c>
      <c r="DY427" s="327">
        <f t="shared" si="2408"/>
        <v>-3.737096774</v>
      </c>
      <c r="DZ427" s="327">
        <f t="shared" si="2408"/>
        <v>-6.01744186</v>
      </c>
      <c r="EA427" s="327">
        <f t="shared" si="2408"/>
        <v>-12.91358025</v>
      </c>
      <c r="EB427" s="327">
        <f t="shared" si="2408"/>
        <v>-5.056410256</v>
      </c>
      <c r="EC427" s="324">
        <f t="shared" si="2408"/>
        <v>-5.041198502</v>
      </c>
      <c r="ED427" s="327">
        <f t="shared" si="2408"/>
        <v>-13.07401825</v>
      </c>
      <c r="EE427" s="327" t="str">
        <f t="shared" si="2408"/>
        <v>#ERROR!</v>
      </c>
      <c r="EF427" s="327" t="str">
        <f t="shared" si="2408"/>
        <v>#ERROR!</v>
      </c>
      <c r="EG427" s="327" t="str">
        <f t="shared" si="2408"/>
        <v>#ERROR!</v>
      </c>
      <c r="EH427" s="324" t="str">
        <f t="shared" si="2408"/>
        <v>#ERROR!</v>
      </c>
      <c r="EI427" s="361" t="str">
        <f t="shared" si="2408"/>
        <v>#ERROR!</v>
      </c>
      <c r="EJ427" s="327" t="str">
        <f t="shared" si="2408"/>
        <v>#ERROR!</v>
      </c>
      <c r="EK427" s="327" t="str">
        <f t="shared" si="2408"/>
        <v>#ERROR!</v>
      </c>
      <c r="EL427" s="327" t="str">
        <f t="shared" si="2408"/>
        <v>#ERROR!</v>
      </c>
      <c r="EM427" s="324" t="str">
        <f t="shared" si="2408"/>
        <v>#ERROR!</v>
      </c>
      <c r="EN427" s="327" t="str">
        <f t="shared" si="2408"/>
        <v>#ERROR!</v>
      </c>
      <c r="EO427" s="327" t="str">
        <f t="shared" si="2408"/>
        <v>#ERROR!</v>
      </c>
      <c r="EP427" s="327" t="str">
        <f t="shared" si="2408"/>
        <v>#ERROR!</v>
      </c>
      <c r="EQ427" s="327" t="str">
        <f t="shared" si="2408"/>
        <v>#ERROR!</v>
      </c>
      <c r="ER427" s="324" t="str">
        <f t="shared" si="2408"/>
        <v>#ERROR!</v>
      </c>
      <c r="ES427" s="327" t="str">
        <f t="shared" si="2408"/>
        <v>#ERROR!</v>
      </c>
      <c r="ET427" s="327" t="str">
        <f t="shared" si="2408"/>
        <v>#ERROR!</v>
      </c>
      <c r="EU427" s="327" t="str">
        <f t="shared" si="2408"/>
        <v>#ERROR!</v>
      </c>
      <c r="EV427" s="327" t="str">
        <f t="shared" si="2408"/>
        <v>#ERROR!</v>
      </c>
      <c r="EW427" s="324" t="str">
        <f t="shared" si="2408"/>
        <v>#ERROR!</v>
      </c>
      <c r="EX427" s="327" t="str">
        <f t="shared" si="2408"/>
        <v>#ERROR!</v>
      </c>
      <c r="EY427" s="327" t="str">
        <f t="shared" si="2408"/>
        <v>#ERROR!</v>
      </c>
      <c r="EZ427" s="327" t="str">
        <f t="shared" si="2408"/>
        <v>#ERROR!</v>
      </c>
      <c r="FA427" s="327" t="str">
        <f t="shared" si="2408"/>
        <v>#ERROR!</v>
      </c>
      <c r="FB427" s="324" t="str">
        <f t="shared" si="2408"/>
        <v>#ERROR!</v>
      </c>
      <c r="FC427" s="327" t="str">
        <f t="shared" si="2408"/>
        <v>#ERROR!</v>
      </c>
      <c r="FD427" s="327" t="str">
        <f t="shared" si="2408"/>
        <v>#ERROR!</v>
      </c>
      <c r="FE427" s="327" t="str">
        <f t="shared" si="2408"/>
        <v>#ERROR!</v>
      </c>
      <c r="FF427" s="327" t="str">
        <f t="shared" si="2408"/>
        <v>#ERROR!</v>
      </c>
      <c r="FG427" s="324" t="str">
        <f t="shared" si="2408"/>
        <v>#ERROR!</v>
      </c>
      <c r="FH427" s="325"/>
      <c r="FI427" s="15"/>
      <c r="FJ427" s="15"/>
      <c r="FK427" s="410"/>
      <c r="FL427" s="15"/>
    </row>
    <row r="428" ht="12.75" hidden="1" customHeight="1" outlineLevel="1">
      <c r="A428" s="4"/>
      <c r="B428" s="344" t="str">
        <f t="shared" si="2399"/>
        <v>Total Operating Income</v>
      </c>
      <c r="C428" s="344"/>
      <c r="D428" s="557"/>
      <c r="E428" s="557"/>
      <c r="F428" s="557"/>
      <c r="G428" s="557"/>
      <c r="H428" s="347"/>
      <c r="I428" s="557"/>
      <c r="J428" s="557"/>
      <c r="K428" s="557"/>
      <c r="L428" s="557"/>
      <c r="M428" s="347"/>
      <c r="N428" s="557"/>
      <c r="O428" s="557"/>
      <c r="P428" s="557"/>
      <c r="Q428" s="557"/>
      <c r="R428" s="347"/>
      <c r="S428" s="557"/>
      <c r="T428" s="557"/>
      <c r="U428" s="557"/>
      <c r="V428" s="557"/>
      <c r="W428" s="347"/>
      <c r="X428" s="557"/>
      <c r="Y428" s="557"/>
      <c r="Z428" s="557"/>
      <c r="AA428" s="557"/>
      <c r="AB428" s="347"/>
      <c r="AC428" s="557"/>
      <c r="AD428" s="557"/>
      <c r="AE428" s="557"/>
      <c r="AF428" s="557"/>
      <c r="AG428" s="347"/>
      <c r="AH428" s="557"/>
      <c r="AI428" s="557"/>
      <c r="AJ428" s="557"/>
      <c r="AK428" s="557"/>
      <c r="AL428" s="347"/>
      <c r="AM428" s="557"/>
      <c r="AN428" s="557"/>
      <c r="AO428" s="557"/>
      <c r="AP428" s="557"/>
      <c r="AQ428" s="347"/>
      <c r="AR428" s="557"/>
      <c r="AS428" s="557"/>
      <c r="AT428" s="557"/>
      <c r="AU428" s="557"/>
      <c r="AV428" s="347"/>
      <c r="AW428" s="557"/>
      <c r="AX428" s="557"/>
      <c r="AY428" s="557"/>
      <c r="AZ428" s="557"/>
      <c r="BA428" s="347"/>
      <c r="BB428" s="557"/>
      <c r="BC428" s="557"/>
      <c r="BD428" s="557"/>
      <c r="BE428" s="557"/>
      <c r="BF428" s="347"/>
      <c r="BG428" s="557"/>
      <c r="BH428" s="557"/>
      <c r="BI428" s="557"/>
      <c r="BJ428" s="557"/>
      <c r="BK428" s="347"/>
      <c r="BL428" s="557"/>
      <c r="BM428" s="557"/>
      <c r="BN428" s="557"/>
      <c r="BO428" s="557"/>
      <c r="BP428" s="347"/>
      <c r="BQ428" s="557"/>
      <c r="BR428" s="557"/>
      <c r="BS428" s="557"/>
      <c r="BT428" s="557"/>
      <c r="BU428" s="347"/>
      <c r="BV428" s="557"/>
      <c r="BW428" s="557"/>
      <c r="BX428" s="557"/>
      <c r="BY428" s="557"/>
      <c r="BZ428" s="558"/>
      <c r="CA428" s="557"/>
      <c r="CB428" s="557"/>
      <c r="CC428" s="557"/>
      <c r="CD428" s="557"/>
      <c r="CE428" s="558"/>
      <c r="CF428" s="557"/>
      <c r="CG428" s="557"/>
      <c r="CH428" s="557"/>
      <c r="CI428" s="557"/>
      <c r="CJ428" s="558"/>
      <c r="CK428" s="557"/>
      <c r="CL428" s="557"/>
      <c r="CM428" s="557"/>
      <c r="CN428" s="559"/>
      <c r="CO428" s="558"/>
      <c r="CP428" s="347">
        <f t="shared" ref="CP428:FG428" si="2409">CP417/CP398</f>
        <v>0.1984487621</v>
      </c>
      <c r="CQ428" s="347">
        <f t="shared" si="2409"/>
        <v>0.2779263972</v>
      </c>
      <c r="CR428" s="347">
        <f t="shared" si="2409"/>
        <v>0.3119417342</v>
      </c>
      <c r="CS428" s="347">
        <f t="shared" si="2409"/>
        <v>0.3024930372</v>
      </c>
      <c r="CT428" s="558">
        <f t="shared" si="2409"/>
        <v>0.2751029175</v>
      </c>
      <c r="CU428" s="347">
        <f t="shared" si="2409"/>
        <v>0.204600579</v>
      </c>
      <c r="CV428" s="347">
        <f t="shared" si="2409"/>
        <v>0.2194770746</v>
      </c>
      <c r="CW428" s="347">
        <f t="shared" si="2409"/>
        <v>0.2898029727</v>
      </c>
      <c r="CX428" s="347">
        <f t="shared" si="2409"/>
        <v>0.2882526485</v>
      </c>
      <c r="CY428" s="558">
        <f t="shared" si="2409"/>
        <v>0.2529491464</v>
      </c>
      <c r="CZ428" s="347">
        <f t="shared" si="2409"/>
        <v>0.1860734729</v>
      </c>
      <c r="DA428" s="347">
        <f t="shared" si="2409"/>
        <v>0.09739156137</v>
      </c>
      <c r="DB428" s="347">
        <f t="shared" si="2409"/>
        <v>0.2827988338</v>
      </c>
      <c r="DC428" s="347">
        <f t="shared" si="2409"/>
        <v>0.2764138268</v>
      </c>
      <c r="DD428" s="558">
        <f t="shared" si="2409"/>
        <v>0.2164206704</v>
      </c>
      <c r="DE428" s="347">
        <f t="shared" si="2409"/>
        <v>0.2432414166</v>
      </c>
      <c r="DF428" s="347">
        <f t="shared" si="2409"/>
        <v>0.259229154</v>
      </c>
      <c r="DG428" s="104">
        <f t="shared" si="2409"/>
        <v>0.3167378785</v>
      </c>
      <c r="DH428" s="347">
        <f t="shared" si="2409"/>
        <v>0.3163666217</v>
      </c>
      <c r="DI428" s="558">
        <f t="shared" si="2409"/>
        <v>0.2852871004</v>
      </c>
      <c r="DJ428" s="347">
        <f t="shared" si="2409"/>
        <v>0.2782273123</v>
      </c>
      <c r="DK428" s="347">
        <f t="shared" si="2409"/>
        <v>0.3108713595</v>
      </c>
      <c r="DL428" s="347">
        <f t="shared" si="2409"/>
        <v>0.3834994521</v>
      </c>
      <c r="DM428" s="347">
        <f t="shared" si="2409"/>
        <v>0.3336013293</v>
      </c>
      <c r="DN428" s="558">
        <f t="shared" si="2409"/>
        <v>0.329098916</v>
      </c>
      <c r="DO428" s="347">
        <f t="shared" si="2409"/>
        <v>0.2598841915</v>
      </c>
      <c r="DP428" s="347">
        <f t="shared" si="2409"/>
        <v>0.2797334141</v>
      </c>
      <c r="DQ428" s="347">
        <f t="shared" si="2409"/>
        <v>0.3359562272</v>
      </c>
      <c r="DR428" s="347">
        <f t="shared" si="2409"/>
        <v>0.3363352962</v>
      </c>
      <c r="DS428" s="558">
        <f t="shared" si="2409"/>
        <v>0.3061905093</v>
      </c>
      <c r="DT428" s="347">
        <f t="shared" si="2409"/>
        <v>0.3549525923</v>
      </c>
      <c r="DU428" s="347">
        <f t="shared" si="2409"/>
        <v>0.2887773723</v>
      </c>
      <c r="DV428" s="347">
        <f t="shared" si="2409"/>
        <v>0.2759504718</v>
      </c>
      <c r="DW428" s="347">
        <f t="shared" si="2409"/>
        <v>0.2945239764</v>
      </c>
      <c r="DX428" s="558">
        <f t="shared" si="2409"/>
        <v>0.3040826024</v>
      </c>
      <c r="DY428" s="347">
        <f t="shared" si="2409"/>
        <v>0.1877700402</v>
      </c>
      <c r="DZ428" s="347">
        <f t="shared" si="2409"/>
        <v>0.2825123529</v>
      </c>
      <c r="EA428" s="347" t="str">
        <f t="shared" si="2409"/>
        <v>#ERROR!</v>
      </c>
      <c r="EB428" s="347" t="str">
        <f t="shared" si="2409"/>
        <v>#ERROR!</v>
      </c>
      <c r="EC428" s="558" t="str">
        <f t="shared" si="2409"/>
        <v>#ERROR!</v>
      </c>
      <c r="ED428" s="347" t="str">
        <f t="shared" si="2409"/>
        <v>#ERROR!</v>
      </c>
      <c r="EE428" s="347" t="str">
        <f t="shared" si="2409"/>
        <v>#ERROR!</v>
      </c>
      <c r="EF428" s="347" t="str">
        <f t="shared" si="2409"/>
        <v>#ERROR!</v>
      </c>
      <c r="EG428" s="347" t="str">
        <f t="shared" si="2409"/>
        <v>#ERROR!</v>
      </c>
      <c r="EH428" s="558" t="str">
        <f t="shared" si="2409"/>
        <v>#ERROR!</v>
      </c>
      <c r="EI428" s="560" t="str">
        <f t="shared" si="2409"/>
        <v>#ERROR!</v>
      </c>
      <c r="EJ428" s="347" t="str">
        <f t="shared" si="2409"/>
        <v>#ERROR!</v>
      </c>
      <c r="EK428" s="347" t="str">
        <f t="shared" si="2409"/>
        <v>#ERROR!</v>
      </c>
      <c r="EL428" s="347" t="str">
        <f t="shared" si="2409"/>
        <v>#ERROR!</v>
      </c>
      <c r="EM428" s="558" t="str">
        <f t="shared" si="2409"/>
        <v>#ERROR!</v>
      </c>
      <c r="EN428" s="347" t="str">
        <f t="shared" si="2409"/>
        <v>#ERROR!</v>
      </c>
      <c r="EO428" s="347" t="str">
        <f t="shared" si="2409"/>
        <v>#ERROR!</v>
      </c>
      <c r="EP428" s="347" t="str">
        <f t="shared" si="2409"/>
        <v>#ERROR!</v>
      </c>
      <c r="EQ428" s="347" t="str">
        <f t="shared" si="2409"/>
        <v>#ERROR!</v>
      </c>
      <c r="ER428" s="558" t="str">
        <f t="shared" si="2409"/>
        <v>#ERROR!</v>
      </c>
      <c r="ES428" s="347" t="str">
        <f t="shared" si="2409"/>
        <v>#ERROR!</v>
      </c>
      <c r="ET428" s="347" t="str">
        <f t="shared" si="2409"/>
        <v>#ERROR!</v>
      </c>
      <c r="EU428" s="347" t="str">
        <f t="shared" si="2409"/>
        <v>#ERROR!</v>
      </c>
      <c r="EV428" s="347" t="str">
        <f t="shared" si="2409"/>
        <v>#ERROR!</v>
      </c>
      <c r="EW428" s="558" t="str">
        <f t="shared" si="2409"/>
        <v>#ERROR!</v>
      </c>
      <c r="EX428" s="347" t="str">
        <f t="shared" si="2409"/>
        <v>#ERROR!</v>
      </c>
      <c r="EY428" s="347" t="str">
        <f t="shared" si="2409"/>
        <v>#ERROR!</v>
      </c>
      <c r="EZ428" s="347" t="str">
        <f t="shared" si="2409"/>
        <v>#ERROR!</v>
      </c>
      <c r="FA428" s="347" t="str">
        <f t="shared" si="2409"/>
        <v>#ERROR!</v>
      </c>
      <c r="FB428" s="558" t="str">
        <f t="shared" si="2409"/>
        <v>#ERROR!</v>
      </c>
      <c r="FC428" s="347" t="str">
        <f t="shared" si="2409"/>
        <v>#ERROR!</v>
      </c>
      <c r="FD428" s="347" t="str">
        <f t="shared" si="2409"/>
        <v>#ERROR!</v>
      </c>
      <c r="FE428" s="347" t="str">
        <f t="shared" si="2409"/>
        <v>#ERROR!</v>
      </c>
      <c r="FF428" s="347" t="str">
        <f t="shared" si="2409"/>
        <v>#ERROR!</v>
      </c>
      <c r="FG428" s="558" t="str">
        <f t="shared" si="2409"/>
        <v>#ERROR!</v>
      </c>
      <c r="FH428" s="104"/>
      <c r="FI428" s="15"/>
      <c r="FJ428" s="15"/>
      <c r="FK428" s="410"/>
      <c r="FL428" s="15"/>
    </row>
    <row r="429" ht="12.75" hidden="1" customHeight="1" outlineLevel="1">
      <c r="A429" s="4"/>
      <c r="B429" s="45"/>
      <c r="C429" s="45"/>
      <c r="D429" s="15"/>
      <c r="E429" s="15"/>
      <c r="F429" s="15"/>
      <c r="G429" s="15"/>
      <c r="H429" s="410"/>
      <c r="I429" s="15"/>
      <c r="J429" s="15"/>
      <c r="K429" s="15"/>
      <c r="L429" s="15"/>
      <c r="M429" s="410"/>
      <c r="N429" s="15"/>
      <c r="O429" s="15"/>
      <c r="P429" s="15"/>
      <c r="Q429" s="15"/>
      <c r="R429" s="410"/>
      <c r="S429" s="15"/>
      <c r="T429" s="15"/>
      <c r="U429" s="15"/>
      <c r="V429" s="15"/>
      <c r="W429" s="410"/>
      <c r="X429" s="15"/>
      <c r="Y429" s="15"/>
      <c r="Z429" s="15"/>
      <c r="AA429" s="15"/>
      <c r="AB429" s="410"/>
      <c r="AC429" s="15"/>
      <c r="AD429" s="15"/>
      <c r="AE429" s="15"/>
      <c r="AF429" s="15"/>
      <c r="AG429" s="410"/>
      <c r="AH429" s="15"/>
      <c r="AI429" s="15"/>
      <c r="AJ429" s="15"/>
      <c r="AK429" s="15"/>
      <c r="AL429" s="410"/>
      <c r="AM429" s="15"/>
      <c r="AN429" s="15"/>
      <c r="AO429" s="15"/>
      <c r="AP429" s="15"/>
      <c r="AQ429" s="410"/>
      <c r="AR429" s="15"/>
      <c r="AS429" s="15"/>
      <c r="AT429" s="15"/>
      <c r="AU429" s="15"/>
      <c r="AV429" s="410"/>
      <c r="AW429" s="15"/>
      <c r="AX429" s="15"/>
      <c r="AY429" s="15"/>
      <c r="AZ429" s="15"/>
      <c r="BA429" s="410"/>
      <c r="BB429" s="15"/>
      <c r="BC429" s="15"/>
      <c r="BD429" s="15"/>
      <c r="BE429" s="15"/>
      <c r="BF429" s="410"/>
      <c r="BG429" s="15"/>
      <c r="BH429" s="15"/>
      <c r="BI429" s="15"/>
      <c r="BJ429" s="15"/>
      <c r="BK429" s="410"/>
      <c r="BL429" s="15"/>
      <c r="BM429" s="15"/>
      <c r="BN429" s="15"/>
      <c r="BO429" s="15"/>
      <c r="BP429" s="410"/>
      <c r="BQ429" s="15"/>
      <c r="BR429" s="15"/>
      <c r="BS429" s="15"/>
      <c r="BT429" s="15"/>
      <c r="BU429" s="410"/>
      <c r="BV429" s="15"/>
      <c r="BW429" s="15"/>
      <c r="BX429" s="15"/>
      <c r="BY429" s="15"/>
      <c r="BZ429" s="24"/>
      <c r="CA429" s="15"/>
      <c r="CB429" s="15"/>
      <c r="CC429" s="15"/>
      <c r="CD429" s="15"/>
      <c r="CE429" s="24"/>
      <c r="CF429" s="15"/>
      <c r="CG429" s="15"/>
      <c r="CH429" s="15"/>
      <c r="CI429" s="15"/>
      <c r="CJ429" s="24"/>
      <c r="CK429" s="15"/>
      <c r="CL429" s="15"/>
      <c r="CM429" s="15"/>
      <c r="CN429" s="40"/>
      <c r="CO429" s="24"/>
      <c r="CP429" s="104"/>
      <c r="CQ429" s="104"/>
      <c r="CR429" s="104"/>
      <c r="CS429" s="104"/>
      <c r="CT429" s="411"/>
      <c r="CU429" s="17"/>
      <c r="CV429" s="17"/>
      <c r="CW429" s="17"/>
      <c r="CX429" s="326"/>
      <c r="CY429" s="350"/>
      <c r="CZ429" s="17"/>
      <c r="DA429" s="17"/>
      <c r="DB429" s="17"/>
      <c r="DC429" s="326"/>
      <c r="DD429" s="350"/>
      <c r="DE429" s="17"/>
      <c r="DF429" s="17"/>
      <c r="DG429" s="19"/>
      <c r="DH429" s="326"/>
      <c r="DI429" s="80"/>
      <c r="DJ429" s="19"/>
      <c r="DK429" s="19"/>
      <c r="DL429" s="19"/>
      <c r="DM429" s="19"/>
      <c r="DN429" s="80"/>
      <c r="DO429" s="19"/>
      <c r="DP429" s="19"/>
      <c r="DQ429" s="19"/>
      <c r="DR429" s="19"/>
      <c r="DS429" s="80"/>
      <c r="DT429" s="19"/>
      <c r="DU429" s="19"/>
      <c r="DV429" s="19"/>
      <c r="DW429" s="19"/>
      <c r="DX429" s="80"/>
      <c r="DY429" s="19"/>
      <c r="DZ429" s="19"/>
      <c r="EA429" s="19"/>
      <c r="EB429" s="19"/>
      <c r="EC429" s="80"/>
      <c r="ED429" s="19"/>
      <c r="EE429" s="19"/>
      <c r="EF429" s="19"/>
      <c r="EG429" s="19"/>
      <c r="EH429" s="80"/>
      <c r="EI429" s="25"/>
      <c r="EJ429" s="17"/>
      <c r="EK429" s="17"/>
      <c r="EL429" s="17"/>
      <c r="EM429" s="80"/>
      <c r="EN429" s="17"/>
      <c r="EO429" s="17"/>
      <c r="EP429" s="17"/>
      <c r="EQ429" s="17"/>
      <c r="ER429" s="80"/>
      <c r="ES429" s="17"/>
      <c r="ET429" s="17"/>
      <c r="EU429" s="17"/>
      <c r="EV429" s="17"/>
      <c r="EW429" s="80"/>
      <c r="EX429" s="17"/>
      <c r="EY429" s="17"/>
      <c r="EZ429" s="17"/>
      <c r="FA429" s="17"/>
      <c r="FB429" s="80"/>
      <c r="FC429" s="17"/>
      <c r="FD429" s="17"/>
      <c r="FE429" s="17"/>
      <c r="FF429" s="17"/>
      <c r="FG429" s="80"/>
      <c r="FH429" s="146"/>
      <c r="FI429" s="15"/>
      <c r="FJ429" s="15"/>
      <c r="FK429" s="410"/>
      <c r="FL429" s="15"/>
    </row>
    <row r="430" ht="12.75" hidden="1" customHeight="1" outlineLevel="1">
      <c r="A430" s="4"/>
      <c r="B430" s="555" t="s">
        <v>257</v>
      </c>
      <c r="C430" s="299"/>
      <c r="D430" s="413"/>
      <c r="E430" s="413"/>
      <c r="F430" s="413"/>
      <c r="G430" s="413"/>
      <c r="H430" s="414"/>
      <c r="I430" s="413"/>
      <c r="J430" s="413"/>
      <c r="K430" s="413"/>
      <c r="L430" s="413"/>
      <c r="M430" s="414"/>
      <c r="N430" s="413"/>
      <c r="O430" s="413"/>
      <c r="P430" s="413"/>
      <c r="Q430" s="413"/>
      <c r="R430" s="414"/>
      <c r="S430" s="413"/>
      <c r="T430" s="413"/>
      <c r="U430" s="413"/>
      <c r="V430" s="413"/>
      <c r="W430" s="414"/>
      <c r="X430" s="413"/>
      <c r="Y430" s="413"/>
      <c r="Z430" s="413"/>
      <c r="AA430" s="413"/>
      <c r="AB430" s="414"/>
      <c r="AC430" s="413"/>
      <c r="AD430" s="413"/>
      <c r="AE430" s="413"/>
      <c r="AF430" s="413"/>
      <c r="AG430" s="414"/>
      <c r="AH430" s="413"/>
      <c r="AI430" s="413"/>
      <c r="AJ430" s="413"/>
      <c r="AK430" s="413"/>
      <c r="AL430" s="414"/>
      <c r="AM430" s="413"/>
      <c r="AN430" s="413"/>
      <c r="AO430" s="413"/>
      <c r="AP430" s="413"/>
      <c r="AQ430" s="414"/>
      <c r="AR430" s="413"/>
      <c r="AS430" s="413"/>
      <c r="AT430" s="413"/>
      <c r="AU430" s="413"/>
      <c r="AV430" s="414"/>
      <c r="AW430" s="413"/>
      <c r="AX430" s="413"/>
      <c r="AY430" s="413"/>
      <c r="AZ430" s="413"/>
      <c r="BA430" s="414"/>
      <c r="BB430" s="413"/>
      <c r="BC430" s="413"/>
      <c r="BD430" s="413"/>
      <c r="BE430" s="413"/>
      <c r="BF430" s="414"/>
      <c r="BG430" s="413"/>
      <c r="BH430" s="413"/>
      <c r="BI430" s="413"/>
      <c r="BJ430" s="413"/>
      <c r="BK430" s="414"/>
      <c r="BL430" s="413"/>
      <c r="BM430" s="413"/>
      <c r="BN430" s="413"/>
      <c r="BO430" s="413"/>
      <c r="BP430" s="414"/>
      <c r="BQ430" s="413"/>
      <c r="BR430" s="413"/>
      <c r="BS430" s="413"/>
      <c r="BT430" s="413"/>
      <c r="BU430" s="414"/>
      <c r="BV430" s="413"/>
      <c r="BW430" s="413"/>
      <c r="BX430" s="413"/>
      <c r="BY430" s="413"/>
      <c r="BZ430" s="415"/>
      <c r="CA430" s="413"/>
      <c r="CB430" s="413"/>
      <c r="CC430" s="413"/>
      <c r="CD430" s="413"/>
      <c r="CE430" s="415"/>
      <c r="CF430" s="413"/>
      <c r="CG430" s="413"/>
      <c r="CH430" s="413"/>
      <c r="CI430" s="413"/>
      <c r="CJ430" s="415"/>
      <c r="CK430" s="413"/>
      <c r="CL430" s="413"/>
      <c r="CM430" s="413"/>
      <c r="CN430" s="416"/>
      <c r="CO430" s="415"/>
      <c r="CP430" s="388"/>
      <c r="CQ430" s="388"/>
      <c r="CR430" s="388"/>
      <c r="CS430" s="388"/>
      <c r="CT430" s="417"/>
      <c r="CU430" s="92"/>
      <c r="CV430" s="92"/>
      <c r="CW430" s="92"/>
      <c r="CX430" s="418"/>
      <c r="CY430" s="301"/>
      <c r="CZ430" s="92"/>
      <c r="DA430" s="92"/>
      <c r="DB430" s="92"/>
      <c r="DC430" s="418"/>
      <c r="DD430" s="301"/>
      <c r="DE430" s="92"/>
      <c r="DF430" s="92"/>
      <c r="DG430" s="96"/>
      <c r="DH430" s="418"/>
      <c r="DI430" s="95"/>
      <c r="DJ430" s="96"/>
      <c r="DK430" s="96"/>
      <c r="DL430" s="96"/>
      <c r="DM430" s="96"/>
      <c r="DN430" s="95"/>
      <c r="DO430" s="96"/>
      <c r="DP430" s="96"/>
      <c r="DQ430" s="96"/>
      <c r="DR430" s="96"/>
      <c r="DS430" s="95"/>
      <c r="DT430" s="96"/>
      <c r="DU430" s="96"/>
      <c r="DV430" s="96"/>
      <c r="DW430" s="96"/>
      <c r="DX430" s="95"/>
      <c r="DY430" s="96"/>
      <c r="DZ430" s="96"/>
      <c r="EA430" s="96"/>
      <c r="EB430" s="96"/>
      <c r="EC430" s="95"/>
      <c r="ED430" s="96"/>
      <c r="EE430" s="96"/>
      <c r="EF430" s="96"/>
      <c r="EG430" s="96"/>
      <c r="EH430" s="95"/>
      <c r="EI430" s="97"/>
      <c r="EJ430" s="92"/>
      <c r="EK430" s="92"/>
      <c r="EL430" s="92"/>
      <c r="EM430" s="95"/>
      <c r="EN430" s="92"/>
      <c r="EO430" s="92"/>
      <c r="EP430" s="92"/>
      <c r="EQ430" s="92"/>
      <c r="ER430" s="95"/>
      <c r="ES430" s="92"/>
      <c r="ET430" s="92"/>
      <c r="EU430" s="92"/>
      <c r="EV430" s="92"/>
      <c r="EW430" s="95"/>
      <c r="EX430" s="92"/>
      <c r="EY430" s="92"/>
      <c r="EZ430" s="92"/>
      <c r="FA430" s="92"/>
      <c r="FB430" s="95"/>
      <c r="FC430" s="92"/>
      <c r="FD430" s="92"/>
      <c r="FE430" s="92"/>
      <c r="FF430" s="92"/>
      <c r="FG430" s="95"/>
      <c r="FH430" s="146"/>
      <c r="FI430" s="15"/>
      <c r="FJ430" s="15"/>
      <c r="FK430" s="410"/>
      <c r="FL430" s="15"/>
    </row>
    <row r="431" ht="12.75" hidden="1" customHeight="1" outlineLevel="1">
      <c r="A431" s="4"/>
      <c r="B431" s="4" t="str">
        <f>B408</f>
        <v>Client Computing Goup (CCG)</v>
      </c>
      <c r="C431" s="45"/>
      <c r="D431" s="15"/>
      <c r="E431" s="15"/>
      <c r="F431" s="15"/>
      <c r="G431" s="15"/>
      <c r="H431" s="410"/>
      <c r="I431" s="15"/>
      <c r="J431" s="15"/>
      <c r="K431" s="15"/>
      <c r="L431" s="15"/>
      <c r="M431" s="410"/>
      <c r="N431" s="15"/>
      <c r="O431" s="15"/>
      <c r="P431" s="15"/>
      <c r="Q431" s="15"/>
      <c r="R431" s="410"/>
      <c r="S431" s="15"/>
      <c r="T431" s="15"/>
      <c r="U431" s="15"/>
      <c r="V431" s="15"/>
      <c r="W431" s="410"/>
      <c r="X431" s="15"/>
      <c r="Y431" s="15"/>
      <c r="Z431" s="15"/>
      <c r="AA431" s="15"/>
      <c r="AB431" s="410"/>
      <c r="AC431" s="15"/>
      <c r="AD431" s="15"/>
      <c r="AE431" s="15"/>
      <c r="AF431" s="15"/>
      <c r="AG431" s="410"/>
      <c r="AH431" s="15"/>
      <c r="AI431" s="15"/>
      <c r="AJ431" s="15"/>
      <c r="AK431" s="15"/>
      <c r="AL431" s="410"/>
      <c r="AM431" s="15"/>
      <c r="AN431" s="15"/>
      <c r="AO431" s="15"/>
      <c r="AP431" s="15"/>
      <c r="AQ431" s="410"/>
      <c r="AR431" s="15"/>
      <c r="AS431" s="15"/>
      <c r="AT431" s="15"/>
      <c r="AU431" s="15"/>
      <c r="AV431" s="410"/>
      <c r="AW431" s="15"/>
      <c r="AX431" s="15"/>
      <c r="AY431" s="15"/>
      <c r="AZ431" s="15"/>
      <c r="BA431" s="410"/>
      <c r="BB431" s="15"/>
      <c r="BC431" s="15"/>
      <c r="BD431" s="15"/>
      <c r="BE431" s="15"/>
      <c r="BF431" s="410"/>
      <c r="BG431" s="15"/>
      <c r="BH431" s="15"/>
      <c r="BI431" s="15"/>
      <c r="BJ431" s="15"/>
      <c r="BK431" s="410"/>
      <c r="BL431" s="15"/>
      <c r="BM431" s="15"/>
      <c r="BN431" s="15"/>
      <c r="BO431" s="15"/>
      <c r="BP431" s="410"/>
      <c r="BQ431" s="15"/>
      <c r="BR431" s="15"/>
      <c r="BS431" s="15"/>
      <c r="BT431" s="15"/>
      <c r="BU431" s="410"/>
      <c r="BV431" s="15"/>
      <c r="BW431" s="15"/>
      <c r="BX431" s="15"/>
      <c r="BY431" s="15"/>
      <c r="BZ431" s="24"/>
      <c r="CA431" s="15"/>
      <c r="CB431" s="15"/>
      <c r="CC431" s="15"/>
      <c r="CD431" s="15"/>
      <c r="CE431" s="24"/>
      <c r="CF431" s="15"/>
      <c r="CG431" s="15"/>
      <c r="CH431" s="15"/>
      <c r="CI431" s="15"/>
      <c r="CJ431" s="24"/>
      <c r="CK431" s="15"/>
      <c r="CL431" s="15"/>
      <c r="CM431" s="15"/>
      <c r="CN431" s="40"/>
      <c r="CO431" s="24"/>
      <c r="CP431" s="40">
        <f t="shared" ref="CP431:FG431" si="2410">CP408/(CP$417-CP$416)</f>
        <v>0.5665456745</v>
      </c>
      <c r="CQ431" s="40">
        <f t="shared" si="2410"/>
        <v>0.5630306989</v>
      </c>
      <c r="CR431" s="40">
        <f t="shared" si="2410"/>
        <v>0.5901797796</v>
      </c>
      <c r="CS431" s="40">
        <f t="shared" si="2410"/>
        <v>0.5039914848</v>
      </c>
      <c r="CT431" s="24">
        <f t="shared" si="2410"/>
        <v>0.5533700358</v>
      </c>
      <c r="CU431" s="40">
        <f t="shared" si="2410"/>
        <v>0.4296589525</v>
      </c>
      <c r="CV431" s="40">
        <f t="shared" si="2410"/>
        <v>0.432388664</v>
      </c>
      <c r="CW431" s="40">
        <f t="shared" si="2410"/>
        <v>0.5005142975</v>
      </c>
      <c r="CX431" s="40">
        <f t="shared" si="2410"/>
        <v>0.530214425</v>
      </c>
      <c r="CY431" s="24">
        <f t="shared" si="2410"/>
        <v>0.4809187279</v>
      </c>
      <c r="CZ431" s="40">
        <f t="shared" si="2410"/>
        <v>0.5291970803</v>
      </c>
      <c r="DA431" s="40">
        <f t="shared" si="2410"/>
        <v>0.5343959732</v>
      </c>
      <c r="DB431" s="40">
        <f t="shared" si="2410"/>
        <v>0.5850184632</v>
      </c>
      <c r="DC431" s="40">
        <f t="shared" si="2410"/>
        <v>0.6204649524</v>
      </c>
      <c r="DD431" s="24">
        <f t="shared" si="2410"/>
        <v>0.5753661568</v>
      </c>
      <c r="DE431" s="40">
        <f t="shared" si="2410"/>
        <v>0.6475112156</v>
      </c>
      <c r="DF431" s="40">
        <f t="shared" si="2410"/>
        <v>0.6286367415</v>
      </c>
      <c r="DG431" s="40">
        <f t="shared" si="2410"/>
        <v>0.5938634114</v>
      </c>
      <c r="DH431" s="40">
        <f t="shared" si="2410"/>
        <v>0.4868695912</v>
      </c>
      <c r="DI431" s="313">
        <f t="shared" si="2410"/>
        <v>0.5804466011</v>
      </c>
      <c r="DJ431" s="40">
        <f t="shared" si="2410"/>
        <v>0.4952093683</v>
      </c>
      <c r="DK431" s="40">
        <f t="shared" si="2410"/>
        <v>0.5178831526</v>
      </c>
      <c r="DL431" s="40">
        <f t="shared" si="2410"/>
        <v>0.5526155347</v>
      </c>
      <c r="DM431" s="40">
        <f t="shared" si="2410"/>
        <v>0.5197107204</v>
      </c>
      <c r="DN431" s="313">
        <f t="shared" si="2410"/>
        <v>0.5241613714</v>
      </c>
      <c r="DO431" s="40">
        <f t="shared" si="2410"/>
        <v>0.6114649682</v>
      </c>
      <c r="DP431" s="40">
        <f t="shared" si="2410"/>
        <v>0.6611818825</v>
      </c>
      <c r="DQ431" s="40">
        <f t="shared" si="2410"/>
        <v>0.5826228177</v>
      </c>
      <c r="DR431" s="40">
        <f t="shared" si="2410"/>
        <v>0.5208970438</v>
      </c>
      <c r="DS431" s="313">
        <f t="shared" si="2410"/>
        <v>0.5866553467</v>
      </c>
      <c r="DT431" s="40">
        <f t="shared" si="2410"/>
        <v>0.5229607625</v>
      </c>
      <c r="DU431" s="40">
        <f t="shared" si="2410"/>
        <v>0.443438914</v>
      </c>
      <c r="DV431" s="40">
        <f t="shared" si="2410"/>
        <v>0.6308129215</v>
      </c>
      <c r="DW431" s="40">
        <f t="shared" si="2410"/>
        <v>0.6498486377</v>
      </c>
      <c r="DX431" s="313">
        <f t="shared" si="2410"/>
        <v>0.559111571</v>
      </c>
      <c r="DY431" s="40">
        <f t="shared" si="2410"/>
        <v>0.6854100815</v>
      </c>
      <c r="DZ431" s="40">
        <f t="shared" si="2410"/>
        <v>0.5713417414</v>
      </c>
      <c r="EA431" s="40">
        <f t="shared" si="2410"/>
        <v>0.5287741113</v>
      </c>
      <c r="EB431" s="40">
        <f t="shared" si="2410"/>
        <v>0.5815899582</v>
      </c>
      <c r="EC431" s="313">
        <f t="shared" si="2410"/>
        <v>0.5906602254</v>
      </c>
      <c r="ED431" s="40">
        <f t="shared" si="2410"/>
        <v>0.5338219828</v>
      </c>
      <c r="EE431" s="40" t="str">
        <f t="shared" si="2410"/>
        <v>#ERROR!</v>
      </c>
      <c r="EF431" s="40" t="str">
        <f t="shared" si="2410"/>
        <v>#ERROR!</v>
      </c>
      <c r="EG431" s="40" t="str">
        <f t="shared" si="2410"/>
        <v>#ERROR!</v>
      </c>
      <c r="EH431" s="313" t="str">
        <f t="shared" si="2410"/>
        <v>#ERROR!</v>
      </c>
      <c r="EI431" s="82" t="str">
        <f t="shared" si="2410"/>
        <v>#ERROR!</v>
      </c>
      <c r="EJ431" s="40" t="str">
        <f t="shared" si="2410"/>
        <v>#ERROR!</v>
      </c>
      <c r="EK431" s="40" t="str">
        <f t="shared" si="2410"/>
        <v>#ERROR!</v>
      </c>
      <c r="EL431" s="40" t="str">
        <f t="shared" si="2410"/>
        <v>#ERROR!</v>
      </c>
      <c r="EM431" s="313" t="str">
        <f t="shared" si="2410"/>
        <v>#ERROR!</v>
      </c>
      <c r="EN431" s="40" t="str">
        <f t="shared" si="2410"/>
        <v>#ERROR!</v>
      </c>
      <c r="EO431" s="40" t="str">
        <f t="shared" si="2410"/>
        <v>#ERROR!</v>
      </c>
      <c r="EP431" s="40" t="str">
        <f t="shared" si="2410"/>
        <v>#ERROR!</v>
      </c>
      <c r="EQ431" s="40" t="str">
        <f t="shared" si="2410"/>
        <v>#ERROR!</v>
      </c>
      <c r="ER431" s="313" t="str">
        <f t="shared" si="2410"/>
        <v>#ERROR!</v>
      </c>
      <c r="ES431" s="40" t="str">
        <f t="shared" si="2410"/>
        <v>#ERROR!</v>
      </c>
      <c r="ET431" s="40" t="str">
        <f t="shared" si="2410"/>
        <v>#ERROR!</v>
      </c>
      <c r="EU431" s="40" t="str">
        <f t="shared" si="2410"/>
        <v>#ERROR!</v>
      </c>
      <c r="EV431" s="40" t="str">
        <f t="shared" si="2410"/>
        <v>#ERROR!</v>
      </c>
      <c r="EW431" s="313" t="str">
        <f t="shared" si="2410"/>
        <v>#ERROR!</v>
      </c>
      <c r="EX431" s="40" t="str">
        <f t="shared" si="2410"/>
        <v>#ERROR!</v>
      </c>
      <c r="EY431" s="40" t="str">
        <f t="shared" si="2410"/>
        <v>#ERROR!</v>
      </c>
      <c r="EZ431" s="40" t="str">
        <f t="shared" si="2410"/>
        <v>#ERROR!</v>
      </c>
      <c r="FA431" s="40" t="str">
        <f t="shared" si="2410"/>
        <v>#ERROR!</v>
      </c>
      <c r="FB431" s="313" t="str">
        <f t="shared" si="2410"/>
        <v>#ERROR!</v>
      </c>
      <c r="FC431" s="40" t="str">
        <f t="shared" si="2410"/>
        <v>#ERROR!</v>
      </c>
      <c r="FD431" s="40" t="str">
        <f t="shared" si="2410"/>
        <v>#ERROR!</v>
      </c>
      <c r="FE431" s="40" t="str">
        <f t="shared" si="2410"/>
        <v>#ERROR!</v>
      </c>
      <c r="FF431" s="40" t="str">
        <f t="shared" si="2410"/>
        <v>#ERROR!</v>
      </c>
      <c r="FG431" s="313" t="str">
        <f t="shared" si="2410"/>
        <v>#ERROR!</v>
      </c>
      <c r="FH431" s="40"/>
      <c r="FI431" s="15"/>
      <c r="FJ431" s="15"/>
      <c r="FK431" s="410"/>
      <c r="FL431" s="15"/>
    </row>
    <row r="432" ht="12.75" hidden="1" customHeight="1" outlineLevel="1">
      <c r="A432" s="4"/>
      <c r="B432" s="4" t="str">
        <f t="shared" ref="B432:B438" si="2413">B411</f>
        <v>Data Center Group (DCG)</v>
      </c>
      <c r="C432" s="45"/>
      <c r="D432" s="15"/>
      <c r="E432" s="15"/>
      <c r="F432" s="15"/>
      <c r="G432" s="15"/>
      <c r="H432" s="410"/>
      <c r="I432" s="15"/>
      <c r="J432" s="15"/>
      <c r="K432" s="15"/>
      <c r="L432" s="15"/>
      <c r="M432" s="410"/>
      <c r="N432" s="15"/>
      <c r="O432" s="15"/>
      <c r="P432" s="15"/>
      <c r="Q432" s="15"/>
      <c r="R432" s="410"/>
      <c r="S432" s="15"/>
      <c r="T432" s="15"/>
      <c r="U432" s="15"/>
      <c r="V432" s="15"/>
      <c r="W432" s="410"/>
      <c r="X432" s="15"/>
      <c r="Y432" s="15"/>
      <c r="Z432" s="15"/>
      <c r="AA432" s="15"/>
      <c r="AB432" s="410"/>
      <c r="AC432" s="15"/>
      <c r="AD432" s="15"/>
      <c r="AE432" s="15"/>
      <c r="AF432" s="15"/>
      <c r="AG432" s="410"/>
      <c r="AH432" s="15"/>
      <c r="AI432" s="15"/>
      <c r="AJ432" s="15"/>
      <c r="AK432" s="15"/>
      <c r="AL432" s="410"/>
      <c r="AM432" s="15"/>
      <c r="AN432" s="15"/>
      <c r="AO432" s="15"/>
      <c r="AP432" s="15"/>
      <c r="AQ432" s="410"/>
      <c r="AR432" s="15"/>
      <c r="AS432" s="15"/>
      <c r="AT432" s="15"/>
      <c r="AU432" s="15"/>
      <c r="AV432" s="410"/>
      <c r="AW432" s="15"/>
      <c r="AX432" s="15"/>
      <c r="AY432" s="15"/>
      <c r="AZ432" s="15"/>
      <c r="BA432" s="410"/>
      <c r="BB432" s="15"/>
      <c r="BC432" s="15"/>
      <c r="BD432" s="15"/>
      <c r="BE432" s="15"/>
      <c r="BF432" s="410"/>
      <c r="BG432" s="15"/>
      <c r="BH432" s="15"/>
      <c r="BI432" s="15"/>
      <c r="BJ432" s="15"/>
      <c r="BK432" s="410"/>
      <c r="BL432" s="15"/>
      <c r="BM432" s="15"/>
      <c r="BN432" s="15"/>
      <c r="BO432" s="15"/>
      <c r="BP432" s="410"/>
      <c r="BQ432" s="15"/>
      <c r="BR432" s="15"/>
      <c r="BS432" s="15"/>
      <c r="BT432" s="15"/>
      <c r="BU432" s="410"/>
      <c r="BV432" s="15"/>
      <c r="BW432" s="15"/>
      <c r="BX432" s="15"/>
      <c r="BY432" s="15"/>
      <c r="BZ432" s="24"/>
      <c r="CA432" s="15"/>
      <c r="CB432" s="15"/>
      <c r="CC432" s="15"/>
      <c r="CD432" s="15"/>
      <c r="CE432" s="24"/>
      <c r="CF432" s="15"/>
      <c r="CG432" s="15"/>
      <c r="CH432" s="15"/>
      <c r="CI432" s="15"/>
      <c r="CJ432" s="24"/>
      <c r="CK432" s="15"/>
      <c r="CL432" s="15"/>
      <c r="CM432" s="15"/>
      <c r="CN432" s="40"/>
      <c r="CO432" s="24"/>
      <c r="CP432" s="40">
        <f t="shared" ref="CP432:CU432" si="2411">CP411/(CP$417-CP$416)</f>
        <v>0.3983666062</v>
      </c>
      <c r="CQ432" s="40">
        <f t="shared" si="2411"/>
        <v>0.4010450686</v>
      </c>
      <c r="CR432" s="40">
        <f t="shared" si="2411"/>
        <v>0.3761840325</v>
      </c>
      <c r="CS432" s="40">
        <f t="shared" si="2411"/>
        <v>0.4002128792</v>
      </c>
      <c r="CT432" s="24">
        <f t="shared" si="2411"/>
        <v>0.3934470041</v>
      </c>
      <c r="CU432" s="40">
        <f t="shared" si="2411"/>
        <v>0.5173568819</v>
      </c>
      <c r="CV432" s="40">
        <v>-0.011049723756906049</v>
      </c>
      <c r="CW432" s="40">
        <v>0.0</v>
      </c>
      <c r="CX432" s="40">
        <v>0.415423442271881</v>
      </c>
      <c r="CY432" s="24">
        <v>0.05251747982054433</v>
      </c>
      <c r="CZ432" s="40">
        <f t="shared" ref="CZ432:FG432" si="2412">CZ411/(CZ$417-CZ$416)</f>
        <v>0.4952274003</v>
      </c>
      <c r="DA432" s="40">
        <f t="shared" si="2412"/>
        <v>0.4935682327</v>
      </c>
      <c r="DB432" s="40">
        <f t="shared" si="2412"/>
        <v>0.3710216283</v>
      </c>
      <c r="DC432" s="40">
        <f t="shared" si="2412"/>
        <v>0.3312786192</v>
      </c>
      <c r="DD432" s="24">
        <f t="shared" si="2412"/>
        <v>0.4064205804</v>
      </c>
      <c r="DE432" s="40">
        <f t="shared" si="2412"/>
        <v>0.3176671651</v>
      </c>
      <c r="DF432" s="40">
        <f t="shared" si="2412"/>
        <v>0.3451787199</v>
      </c>
      <c r="DG432" s="40">
        <f t="shared" si="2412"/>
        <v>0.3719894424</v>
      </c>
      <c r="DH432" s="40">
        <f t="shared" si="2412"/>
        <v>0.4464339003</v>
      </c>
      <c r="DI432" s="313">
        <f t="shared" si="2412"/>
        <v>0.3771847059</v>
      </c>
      <c r="DJ432" s="40">
        <f t="shared" si="2412"/>
        <v>0.4616749468</v>
      </c>
      <c r="DK432" s="40">
        <f t="shared" si="2412"/>
        <v>0.43696391</v>
      </c>
      <c r="DL432" s="40">
        <f t="shared" si="2412"/>
        <v>0.3758078283</v>
      </c>
      <c r="DM432" s="40">
        <f t="shared" si="2412"/>
        <v>0.4332104368</v>
      </c>
      <c r="DN432" s="313">
        <f t="shared" si="2412"/>
        <v>0.4226023349</v>
      </c>
      <c r="DO432" s="40">
        <f t="shared" si="2412"/>
        <v>0.3664410828</v>
      </c>
      <c r="DP432" s="40">
        <f t="shared" si="2412"/>
        <v>0.3184713376</v>
      </c>
      <c r="DQ432" s="40">
        <f t="shared" si="2412"/>
        <v>0.4215726079</v>
      </c>
      <c r="DR432" s="40">
        <f t="shared" si="2412"/>
        <v>0.4422782875</v>
      </c>
      <c r="DS432" s="313">
        <f t="shared" si="2412"/>
        <v>0.3946667696</v>
      </c>
      <c r="DT432" s="40">
        <f t="shared" si="2412"/>
        <v>0.4322317118</v>
      </c>
      <c r="DU432" s="40">
        <f t="shared" si="2412"/>
        <v>0.4835387736</v>
      </c>
      <c r="DV432" s="40">
        <f t="shared" si="2412"/>
        <v>0.337770678</v>
      </c>
      <c r="DW432" s="40">
        <f t="shared" si="2412"/>
        <v>0.2994089664</v>
      </c>
      <c r="DX432" s="313">
        <f t="shared" si="2412"/>
        <v>0.3906648435</v>
      </c>
      <c r="DY432" s="40">
        <f t="shared" si="2412"/>
        <v>0.2117784063</v>
      </c>
      <c r="DZ432" s="40">
        <f t="shared" si="2412"/>
        <v>0.2949399787</v>
      </c>
      <c r="EA432" s="40">
        <f t="shared" si="2412"/>
        <v>0.3279132791</v>
      </c>
      <c r="EB432" s="40">
        <f t="shared" si="2412"/>
        <v>0.2888702929</v>
      </c>
      <c r="EC432" s="313">
        <f t="shared" si="2412"/>
        <v>0.2816827697</v>
      </c>
      <c r="ED432" s="40">
        <f t="shared" si="2412"/>
        <v>0.3932949463</v>
      </c>
      <c r="EE432" s="40" t="str">
        <f t="shared" si="2412"/>
        <v>#ERROR!</v>
      </c>
      <c r="EF432" s="40" t="str">
        <f t="shared" si="2412"/>
        <v>#ERROR!</v>
      </c>
      <c r="EG432" s="40" t="str">
        <f t="shared" si="2412"/>
        <v>#ERROR!</v>
      </c>
      <c r="EH432" s="313" t="str">
        <f t="shared" si="2412"/>
        <v>#ERROR!</v>
      </c>
      <c r="EI432" s="82" t="str">
        <f t="shared" si="2412"/>
        <v>#ERROR!</v>
      </c>
      <c r="EJ432" s="40" t="str">
        <f t="shared" si="2412"/>
        <v>#ERROR!</v>
      </c>
      <c r="EK432" s="40" t="str">
        <f t="shared" si="2412"/>
        <v>#ERROR!</v>
      </c>
      <c r="EL432" s="40" t="str">
        <f t="shared" si="2412"/>
        <v>#ERROR!</v>
      </c>
      <c r="EM432" s="313" t="str">
        <f t="shared" si="2412"/>
        <v>#ERROR!</v>
      </c>
      <c r="EN432" s="40" t="str">
        <f t="shared" si="2412"/>
        <v>#ERROR!</v>
      </c>
      <c r="EO432" s="40" t="str">
        <f t="shared" si="2412"/>
        <v>#ERROR!</v>
      </c>
      <c r="EP432" s="40" t="str">
        <f t="shared" si="2412"/>
        <v>#ERROR!</v>
      </c>
      <c r="EQ432" s="40" t="str">
        <f t="shared" si="2412"/>
        <v>#ERROR!</v>
      </c>
      <c r="ER432" s="313" t="str">
        <f t="shared" si="2412"/>
        <v>#ERROR!</v>
      </c>
      <c r="ES432" s="40" t="str">
        <f t="shared" si="2412"/>
        <v>#ERROR!</v>
      </c>
      <c r="ET432" s="40" t="str">
        <f t="shared" si="2412"/>
        <v>#ERROR!</v>
      </c>
      <c r="EU432" s="40" t="str">
        <f t="shared" si="2412"/>
        <v>#ERROR!</v>
      </c>
      <c r="EV432" s="40" t="str">
        <f t="shared" si="2412"/>
        <v>#ERROR!</v>
      </c>
      <c r="EW432" s="313" t="str">
        <f t="shared" si="2412"/>
        <v>#ERROR!</v>
      </c>
      <c r="EX432" s="40" t="str">
        <f t="shared" si="2412"/>
        <v>#ERROR!</v>
      </c>
      <c r="EY432" s="40" t="str">
        <f t="shared" si="2412"/>
        <v>#ERROR!</v>
      </c>
      <c r="EZ432" s="40" t="str">
        <f t="shared" si="2412"/>
        <v>#ERROR!</v>
      </c>
      <c r="FA432" s="40" t="str">
        <f t="shared" si="2412"/>
        <v>#ERROR!</v>
      </c>
      <c r="FB432" s="313" t="str">
        <f t="shared" si="2412"/>
        <v>#ERROR!</v>
      </c>
      <c r="FC432" s="40" t="str">
        <f t="shared" si="2412"/>
        <v>#ERROR!</v>
      </c>
      <c r="FD432" s="40" t="str">
        <f t="shared" si="2412"/>
        <v>#ERROR!</v>
      </c>
      <c r="FE432" s="40" t="str">
        <f t="shared" si="2412"/>
        <v>#ERROR!</v>
      </c>
      <c r="FF432" s="40" t="str">
        <f t="shared" si="2412"/>
        <v>#ERROR!</v>
      </c>
      <c r="FG432" s="313" t="str">
        <f t="shared" si="2412"/>
        <v>#ERROR!</v>
      </c>
      <c r="FH432" s="40"/>
      <c r="FI432" s="15"/>
      <c r="FJ432" s="15"/>
      <c r="FK432" s="410"/>
      <c r="FL432" s="15"/>
    </row>
    <row r="433" ht="12.75" hidden="1" customHeight="1" outlineLevel="1">
      <c r="A433" s="4"/>
      <c r="B433" s="4" t="str">
        <f t="shared" si="2413"/>
        <v>Internet of Things Group (IOTG)</v>
      </c>
      <c r="C433" s="45"/>
      <c r="D433" s="15"/>
      <c r="E433" s="15"/>
      <c r="F433" s="15"/>
      <c r="G433" s="15"/>
      <c r="H433" s="410"/>
      <c r="I433" s="15"/>
      <c r="J433" s="15"/>
      <c r="K433" s="15"/>
      <c r="L433" s="15"/>
      <c r="M433" s="410"/>
      <c r="N433" s="15"/>
      <c r="O433" s="15"/>
      <c r="P433" s="15"/>
      <c r="Q433" s="15"/>
      <c r="R433" s="410"/>
      <c r="S433" s="15"/>
      <c r="T433" s="15"/>
      <c r="U433" s="15"/>
      <c r="V433" s="15"/>
      <c r="W433" s="410"/>
      <c r="X433" s="15"/>
      <c r="Y433" s="15"/>
      <c r="Z433" s="15"/>
      <c r="AA433" s="15"/>
      <c r="AB433" s="410"/>
      <c r="AC433" s="15"/>
      <c r="AD433" s="15"/>
      <c r="AE433" s="15"/>
      <c r="AF433" s="15"/>
      <c r="AG433" s="410"/>
      <c r="AH433" s="15"/>
      <c r="AI433" s="15"/>
      <c r="AJ433" s="15"/>
      <c r="AK433" s="15"/>
      <c r="AL433" s="410"/>
      <c r="AM433" s="15"/>
      <c r="AN433" s="15"/>
      <c r="AO433" s="15"/>
      <c r="AP433" s="15"/>
      <c r="AQ433" s="410"/>
      <c r="AR433" s="15"/>
      <c r="AS433" s="15"/>
      <c r="AT433" s="15"/>
      <c r="AU433" s="15"/>
      <c r="AV433" s="410"/>
      <c r="AW433" s="15"/>
      <c r="AX433" s="15"/>
      <c r="AY433" s="15"/>
      <c r="AZ433" s="15"/>
      <c r="BA433" s="410"/>
      <c r="BB433" s="15"/>
      <c r="BC433" s="15"/>
      <c r="BD433" s="15"/>
      <c r="BE433" s="15"/>
      <c r="BF433" s="410"/>
      <c r="BG433" s="15"/>
      <c r="BH433" s="15"/>
      <c r="BI433" s="15"/>
      <c r="BJ433" s="15"/>
      <c r="BK433" s="410"/>
      <c r="BL433" s="15"/>
      <c r="BM433" s="15"/>
      <c r="BN433" s="15"/>
      <c r="BO433" s="15"/>
      <c r="BP433" s="410"/>
      <c r="BQ433" s="15"/>
      <c r="BR433" s="15"/>
      <c r="BS433" s="15"/>
      <c r="BT433" s="15"/>
      <c r="BU433" s="410"/>
      <c r="BV433" s="15"/>
      <c r="BW433" s="15"/>
      <c r="BX433" s="15"/>
      <c r="BY433" s="15"/>
      <c r="BZ433" s="24"/>
      <c r="CA433" s="15"/>
      <c r="CB433" s="15"/>
      <c r="CC433" s="15"/>
      <c r="CD433" s="15"/>
      <c r="CE433" s="24"/>
      <c r="CF433" s="15"/>
      <c r="CG433" s="15"/>
      <c r="CH433" s="15"/>
      <c r="CI433" s="15"/>
      <c r="CJ433" s="24"/>
      <c r="CK433" s="15"/>
      <c r="CL433" s="15"/>
      <c r="CM433" s="15"/>
      <c r="CN433" s="40"/>
      <c r="CO433" s="24"/>
      <c r="CP433" s="40">
        <f t="shared" ref="CP433:FG433" si="2414">CP412/(CP$417-CP$416)</f>
        <v>0.03720508167</v>
      </c>
      <c r="CQ433" s="40">
        <f t="shared" si="2414"/>
        <v>0.03178750272</v>
      </c>
      <c r="CR433" s="40">
        <f t="shared" si="2414"/>
        <v>0.02803015658</v>
      </c>
      <c r="CS433" s="40">
        <f t="shared" si="2414"/>
        <v>0.03139968068</v>
      </c>
      <c r="CT433" s="24">
        <f t="shared" si="2414"/>
        <v>0.03158907478</v>
      </c>
      <c r="CU433" s="40">
        <f t="shared" si="2414"/>
        <v>0.02649208283</v>
      </c>
      <c r="CV433" s="40">
        <f t="shared" si="2414"/>
        <v>0.03940620783</v>
      </c>
      <c r="CW433" s="40">
        <f t="shared" si="2414"/>
        <v>0.03085784818</v>
      </c>
      <c r="CX433" s="40">
        <f t="shared" si="2414"/>
        <v>0.02573099415</v>
      </c>
      <c r="CY433" s="24">
        <f t="shared" si="2414"/>
        <v>0.03032979976</v>
      </c>
      <c r="CZ433" s="40">
        <f t="shared" si="2414"/>
        <v>0.03453116227</v>
      </c>
      <c r="DA433" s="40">
        <f t="shared" si="2414"/>
        <v>0.02488814318</v>
      </c>
      <c r="DB433" s="40">
        <f t="shared" si="2414"/>
        <v>0.03358537014</v>
      </c>
      <c r="DC433" s="40">
        <f t="shared" si="2414"/>
        <v>0.03205353998</v>
      </c>
      <c r="DD433" s="24">
        <f t="shared" si="2414"/>
        <v>0.03161649462</v>
      </c>
      <c r="DE433" s="40">
        <f t="shared" si="2414"/>
        <v>0.02243110446</v>
      </c>
      <c r="DF433" s="40">
        <f t="shared" si="2414"/>
        <v>0.02888611804</v>
      </c>
      <c r="DG433" s="40">
        <f t="shared" si="2414"/>
        <v>0.02408446057</v>
      </c>
      <c r="DH433" s="40">
        <f t="shared" si="2414"/>
        <v>0.03879438973</v>
      </c>
      <c r="DI433" s="313">
        <f t="shared" si="2414"/>
        <v>0.02920429528</v>
      </c>
      <c r="DJ433" s="40">
        <f t="shared" si="2414"/>
        <v>0.04027679205</v>
      </c>
      <c r="DK433" s="40">
        <f t="shared" si="2414"/>
        <v>0.0393267519</v>
      </c>
      <c r="DL433" s="40">
        <f t="shared" si="2414"/>
        <v>0.0391415681</v>
      </c>
      <c r="DM433" s="40">
        <f t="shared" si="2414"/>
        <v>0.02680090754</v>
      </c>
      <c r="DN433" s="313">
        <f t="shared" si="2414"/>
        <v>0.03620511305</v>
      </c>
      <c r="DO433" s="40">
        <f t="shared" si="2414"/>
        <v>0.06349522293</v>
      </c>
      <c r="DP433" s="40">
        <f t="shared" si="2414"/>
        <v>0.06139419674</v>
      </c>
      <c r="DQ433" s="40">
        <f t="shared" si="2414"/>
        <v>0.05088645284</v>
      </c>
      <c r="DR433" s="40">
        <f t="shared" si="2414"/>
        <v>0.03822629969</v>
      </c>
      <c r="DS433" s="313">
        <f t="shared" si="2414"/>
        <v>0.0517886775</v>
      </c>
      <c r="DT433" s="40">
        <f t="shared" si="2414"/>
        <v>0.04097041713</v>
      </c>
      <c r="DU433" s="40">
        <f t="shared" si="2414"/>
        <v>0.01029801841</v>
      </c>
      <c r="DV433" s="40">
        <f t="shared" si="2414"/>
        <v>0.01916932907</v>
      </c>
      <c r="DW433" s="40">
        <f t="shared" si="2414"/>
        <v>0.03358800634</v>
      </c>
      <c r="DX433" s="313">
        <f t="shared" si="2414"/>
        <v>0.02727373517</v>
      </c>
      <c r="DY433" s="40">
        <f t="shared" si="2414"/>
        <v>0.05972383963</v>
      </c>
      <c r="DZ433" s="40">
        <f t="shared" si="2414"/>
        <v>0.06017322595</v>
      </c>
      <c r="EA433" s="40">
        <f t="shared" si="2414"/>
        <v>0.06073648972</v>
      </c>
      <c r="EB433" s="40">
        <f t="shared" si="2414"/>
        <v>0.06175732218</v>
      </c>
      <c r="EC433" s="313">
        <f t="shared" si="2414"/>
        <v>0.06058776167</v>
      </c>
      <c r="ED433" s="40">
        <f t="shared" si="2414"/>
        <v>0.06002662857</v>
      </c>
      <c r="EE433" s="40" t="str">
        <f t="shared" si="2414"/>
        <v>#ERROR!</v>
      </c>
      <c r="EF433" s="40" t="str">
        <f t="shared" si="2414"/>
        <v>#ERROR!</v>
      </c>
      <c r="EG433" s="40" t="str">
        <f t="shared" si="2414"/>
        <v>#ERROR!</v>
      </c>
      <c r="EH433" s="313" t="str">
        <f t="shared" si="2414"/>
        <v>#ERROR!</v>
      </c>
      <c r="EI433" s="82" t="str">
        <f t="shared" si="2414"/>
        <v>#ERROR!</v>
      </c>
      <c r="EJ433" s="40" t="str">
        <f t="shared" si="2414"/>
        <v>#ERROR!</v>
      </c>
      <c r="EK433" s="40" t="str">
        <f t="shared" si="2414"/>
        <v>#ERROR!</v>
      </c>
      <c r="EL433" s="40" t="str">
        <f t="shared" si="2414"/>
        <v>#ERROR!</v>
      </c>
      <c r="EM433" s="313" t="str">
        <f t="shared" si="2414"/>
        <v>#ERROR!</v>
      </c>
      <c r="EN433" s="40" t="str">
        <f t="shared" si="2414"/>
        <v>#ERROR!</v>
      </c>
      <c r="EO433" s="40" t="str">
        <f t="shared" si="2414"/>
        <v>#ERROR!</v>
      </c>
      <c r="EP433" s="40" t="str">
        <f t="shared" si="2414"/>
        <v>#ERROR!</v>
      </c>
      <c r="EQ433" s="40" t="str">
        <f t="shared" si="2414"/>
        <v>#ERROR!</v>
      </c>
      <c r="ER433" s="313" t="str">
        <f t="shared" si="2414"/>
        <v>#ERROR!</v>
      </c>
      <c r="ES433" s="40" t="str">
        <f t="shared" si="2414"/>
        <v>#ERROR!</v>
      </c>
      <c r="ET433" s="40" t="str">
        <f t="shared" si="2414"/>
        <v>#ERROR!</v>
      </c>
      <c r="EU433" s="40" t="str">
        <f t="shared" si="2414"/>
        <v>#ERROR!</v>
      </c>
      <c r="EV433" s="40" t="str">
        <f t="shared" si="2414"/>
        <v>#ERROR!</v>
      </c>
      <c r="EW433" s="313" t="str">
        <f t="shared" si="2414"/>
        <v>#ERROR!</v>
      </c>
      <c r="EX433" s="40" t="str">
        <f t="shared" si="2414"/>
        <v>#ERROR!</v>
      </c>
      <c r="EY433" s="40" t="str">
        <f t="shared" si="2414"/>
        <v>#ERROR!</v>
      </c>
      <c r="EZ433" s="40" t="str">
        <f t="shared" si="2414"/>
        <v>#ERROR!</v>
      </c>
      <c r="FA433" s="40" t="str">
        <f t="shared" si="2414"/>
        <v>#ERROR!</v>
      </c>
      <c r="FB433" s="313" t="str">
        <f t="shared" si="2414"/>
        <v>#ERROR!</v>
      </c>
      <c r="FC433" s="40" t="str">
        <f t="shared" si="2414"/>
        <v>#ERROR!</v>
      </c>
      <c r="FD433" s="40" t="str">
        <f t="shared" si="2414"/>
        <v>#ERROR!</v>
      </c>
      <c r="FE433" s="40" t="str">
        <f t="shared" si="2414"/>
        <v>#ERROR!</v>
      </c>
      <c r="FF433" s="40" t="str">
        <f t="shared" si="2414"/>
        <v>#ERROR!</v>
      </c>
      <c r="FG433" s="313" t="str">
        <f t="shared" si="2414"/>
        <v>#ERROR!</v>
      </c>
      <c r="FH433" s="40"/>
      <c r="FI433" s="15"/>
      <c r="FJ433" s="15"/>
      <c r="FK433" s="410"/>
      <c r="FL433" s="15"/>
    </row>
    <row r="434" ht="12.75" hidden="1" customHeight="1" outlineLevel="1">
      <c r="A434" s="4"/>
      <c r="B434" s="4" t="str">
        <f t="shared" si="2413"/>
        <v>Non-Volatile Memory Solutions Group (NSG)</v>
      </c>
      <c r="C434" s="45"/>
      <c r="D434" s="15"/>
      <c r="E434" s="15"/>
      <c r="F434" s="15"/>
      <c r="G434" s="15"/>
      <c r="H434" s="410"/>
      <c r="I434" s="15"/>
      <c r="J434" s="15"/>
      <c r="K434" s="15"/>
      <c r="L434" s="15"/>
      <c r="M434" s="410"/>
      <c r="N434" s="15"/>
      <c r="O434" s="15"/>
      <c r="P434" s="15"/>
      <c r="Q434" s="15"/>
      <c r="R434" s="410"/>
      <c r="S434" s="15"/>
      <c r="T434" s="15"/>
      <c r="U434" s="15"/>
      <c r="V434" s="15"/>
      <c r="W434" s="410"/>
      <c r="X434" s="15"/>
      <c r="Y434" s="15"/>
      <c r="Z434" s="15"/>
      <c r="AA434" s="15"/>
      <c r="AB434" s="410"/>
      <c r="AC434" s="15"/>
      <c r="AD434" s="15"/>
      <c r="AE434" s="15"/>
      <c r="AF434" s="15"/>
      <c r="AG434" s="410"/>
      <c r="AH434" s="15"/>
      <c r="AI434" s="15"/>
      <c r="AJ434" s="15"/>
      <c r="AK434" s="15"/>
      <c r="AL434" s="410"/>
      <c r="AM434" s="15"/>
      <c r="AN434" s="15"/>
      <c r="AO434" s="15"/>
      <c r="AP434" s="15"/>
      <c r="AQ434" s="410"/>
      <c r="AR434" s="15"/>
      <c r="AS434" s="15"/>
      <c r="AT434" s="15"/>
      <c r="AU434" s="15"/>
      <c r="AV434" s="410"/>
      <c r="AW434" s="15"/>
      <c r="AX434" s="15"/>
      <c r="AY434" s="15"/>
      <c r="AZ434" s="15"/>
      <c r="BA434" s="410"/>
      <c r="BB434" s="15"/>
      <c r="BC434" s="15"/>
      <c r="BD434" s="15"/>
      <c r="BE434" s="15"/>
      <c r="BF434" s="410"/>
      <c r="BG434" s="15"/>
      <c r="BH434" s="15"/>
      <c r="BI434" s="15"/>
      <c r="BJ434" s="15"/>
      <c r="BK434" s="410"/>
      <c r="BL434" s="15"/>
      <c r="BM434" s="15"/>
      <c r="BN434" s="15"/>
      <c r="BO434" s="15"/>
      <c r="BP434" s="410"/>
      <c r="BQ434" s="15"/>
      <c r="BR434" s="15"/>
      <c r="BS434" s="15"/>
      <c r="BT434" s="15"/>
      <c r="BU434" s="410"/>
      <c r="BV434" s="15"/>
      <c r="BW434" s="15"/>
      <c r="BX434" s="15"/>
      <c r="BY434" s="15"/>
      <c r="BZ434" s="24"/>
      <c r="CA434" s="15"/>
      <c r="CB434" s="15"/>
      <c r="CC434" s="15"/>
      <c r="CD434" s="15"/>
      <c r="CE434" s="24"/>
      <c r="CF434" s="15"/>
      <c r="CG434" s="15"/>
      <c r="CH434" s="15"/>
      <c r="CI434" s="15"/>
      <c r="CJ434" s="24"/>
      <c r="CK434" s="15"/>
      <c r="CL434" s="15"/>
      <c r="CM434" s="15"/>
      <c r="CN434" s="40"/>
      <c r="CO434" s="24"/>
      <c r="CP434" s="40"/>
      <c r="CQ434" s="40"/>
      <c r="CR434" s="40"/>
      <c r="CS434" s="40"/>
      <c r="CT434" s="24"/>
      <c r="CU434" s="40"/>
      <c r="CV434" s="40"/>
      <c r="CW434" s="40"/>
      <c r="CX434" s="40"/>
      <c r="CY434" s="24"/>
      <c r="CZ434" s="40"/>
      <c r="DA434" s="40"/>
      <c r="DB434" s="40"/>
      <c r="DC434" s="40"/>
      <c r="DD434" s="24"/>
      <c r="DE434" s="40"/>
      <c r="DF434" s="40"/>
      <c r="DG434" s="40"/>
      <c r="DH434" s="40"/>
      <c r="DI434" s="313"/>
      <c r="DJ434" s="40"/>
      <c r="DK434" s="40"/>
      <c r="DL434" s="40"/>
      <c r="DM434" s="40"/>
      <c r="DN434" s="313"/>
      <c r="DO434" s="40"/>
      <c r="DP434" s="40"/>
      <c r="DQ434" s="40"/>
      <c r="DR434" s="40"/>
      <c r="DS434" s="313"/>
      <c r="DT434" s="40"/>
      <c r="DU434" s="40"/>
      <c r="DV434" s="40"/>
      <c r="DW434" s="40"/>
      <c r="DX434" s="313"/>
      <c r="DY434" s="40"/>
      <c r="DZ434" s="40"/>
      <c r="EA434" s="40"/>
      <c r="EB434" s="40"/>
      <c r="EC434" s="313"/>
      <c r="ED434" s="40"/>
      <c r="EE434" s="40"/>
      <c r="EF434" s="40"/>
      <c r="EG434" s="40"/>
      <c r="EH434" s="313"/>
      <c r="EI434" s="82"/>
      <c r="EJ434" s="40"/>
      <c r="EK434" s="40"/>
      <c r="EL434" s="40"/>
      <c r="EM434" s="313"/>
      <c r="EN434" s="40"/>
      <c r="EO434" s="40"/>
      <c r="EP434" s="40"/>
      <c r="EQ434" s="40"/>
      <c r="ER434" s="313"/>
      <c r="ES434" s="40"/>
      <c r="ET434" s="40"/>
      <c r="EU434" s="40"/>
      <c r="EV434" s="40"/>
      <c r="EW434" s="313"/>
      <c r="EX434" s="40"/>
      <c r="EY434" s="40"/>
      <c r="EZ434" s="40"/>
      <c r="FA434" s="40"/>
      <c r="FB434" s="313"/>
      <c r="FC434" s="40"/>
      <c r="FD434" s="40"/>
      <c r="FE434" s="40"/>
      <c r="FF434" s="40"/>
      <c r="FG434" s="313"/>
      <c r="FH434" s="40"/>
      <c r="FI434" s="15"/>
      <c r="FJ434" s="15"/>
      <c r="FK434" s="410"/>
      <c r="FL434" s="15"/>
    </row>
    <row r="435" ht="12.75" hidden="1" customHeight="1" outlineLevel="1">
      <c r="A435" s="4"/>
      <c r="B435" s="4" t="str">
        <f t="shared" si="2413"/>
        <v>Intel Security Group (ISecG)</v>
      </c>
      <c r="C435" s="45"/>
      <c r="D435" s="15"/>
      <c r="E435" s="15"/>
      <c r="F435" s="15"/>
      <c r="G435" s="15"/>
      <c r="H435" s="410"/>
      <c r="I435" s="15"/>
      <c r="J435" s="15"/>
      <c r="K435" s="15"/>
      <c r="L435" s="15"/>
      <c r="M435" s="410"/>
      <c r="N435" s="15"/>
      <c r="O435" s="15"/>
      <c r="P435" s="15"/>
      <c r="Q435" s="15"/>
      <c r="R435" s="410"/>
      <c r="S435" s="15"/>
      <c r="T435" s="15"/>
      <c r="U435" s="15"/>
      <c r="V435" s="15"/>
      <c r="W435" s="410"/>
      <c r="X435" s="15"/>
      <c r="Y435" s="15"/>
      <c r="Z435" s="15"/>
      <c r="AA435" s="15"/>
      <c r="AB435" s="410"/>
      <c r="AC435" s="15"/>
      <c r="AD435" s="15"/>
      <c r="AE435" s="15"/>
      <c r="AF435" s="15"/>
      <c r="AG435" s="410"/>
      <c r="AH435" s="15"/>
      <c r="AI435" s="15"/>
      <c r="AJ435" s="15"/>
      <c r="AK435" s="15"/>
      <c r="AL435" s="410"/>
      <c r="AM435" s="15"/>
      <c r="AN435" s="15"/>
      <c r="AO435" s="15"/>
      <c r="AP435" s="15"/>
      <c r="AQ435" s="410"/>
      <c r="AR435" s="15"/>
      <c r="AS435" s="15"/>
      <c r="AT435" s="15"/>
      <c r="AU435" s="15"/>
      <c r="AV435" s="410"/>
      <c r="AW435" s="15"/>
      <c r="AX435" s="15"/>
      <c r="AY435" s="15"/>
      <c r="AZ435" s="15"/>
      <c r="BA435" s="410"/>
      <c r="BB435" s="15"/>
      <c r="BC435" s="15"/>
      <c r="BD435" s="15"/>
      <c r="BE435" s="15"/>
      <c r="BF435" s="410"/>
      <c r="BG435" s="15"/>
      <c r="BH435" s="15"/>
      <c r="BI435" s="15"/>
      <c r="BJ435" s="15"/>
      <c r="BK435" s="410"/>
      <c r="BL435" s="15"/>
      <c r="BM435" s="15"/>
      <c r="BN435" s="15"/>
      <c r="BO435" s="15"/>
      <c r="BP435" s="410"/>
      <c r="BQ435" s="15"/>
      <c r="BR435" s="15"/>
      <c r="BS435" s="15"/>
      <c r="BT435" s="15"/>
      <c r="BU435" s="410"/>
      <c r="BV435" s="15"/>
      <c r="BW435" s="15"/>
      <c r="BX435" s="15"/>
      <c r="BY435" s="15"/>
      <c r="BZ435" s="24"/>
      <c r="CA435" s="15"/>
      <c r="CB435" s="15"/>
      <c r="CC435" s="15"/>
      <c r="CD435" s="15"/>
      <c r="CE435" s="24"/>
      <c r="CF435" s="15"/>
      <c r="CG435" s="15"/>
      <c r="CH435" s="15"/>
      <c r="CI435" s="15"/>
      <c r="CJ435" s="24"/>
      <c r="CK435" s="15"/>
      <c r="CL435" s="15"/>
      <c r="CM435" s="15"/>
      <c r="CN435" s="40"/>
      <c r="CO435" s="24"/>
      <c r="CP435" s="40">
        <f t="shared" ref="CP435:DE435" si="2415">CP414/(CP$417-CP$416)</f>
        <v>-0.002117362371</v>
      </c>
      <c r="CQ435" s="40">
        <f t="shared" si="2415"/>
        <v>0.004136729806</v>
      </c>
      <c r="CR435" s="40">
        <f t="shared" si="2415"/>
        <v>0.005606031316</v>
      </c>
      <c r="CS435" s="40">
        <f t="shared" si="2415"/>
        <v>0.0191591272</v>
      </c>
      <c r="CT435" s="24">
        <f t="shared" si="2415"/>
        <v>0.007964081458</v>
      </c>
      <c r="CU435" s="40">
        <f t="shared" si="2415"/>
        <v>0.004567600487</v>
      </c>
      <c r="CV435" s="40">
        <f t="shared" si="2415"/>
        <v>0.005937921727</v>
      </c>
      <c r="CW435" s="40">
        <f t="shared" si="2415"/>
        <v>0.01995474182</v>
      </c>
      <c r="CX435" s="40">
        <f t="shared" si="2415"/>
        <v>0.01539961014</v>
      </c>
      <c r="CY435" s="24">
        <f t="shared" si="2415"/>
        <v>0.01254416961</v>
      </c>
      <c r="CZ435" s="40">
        <f t="shared" si="2415"/>
        <v>0.02386299832</v>
      </c>
      <c r="DA435" s="40">
        <f t="shared" si="2415"/>
        <v>0.02712527964</v>
      </c>
      <c r="DB435" s="40">
        <f t="shared" si="2415"/>
        <v>0.02022155794</v>
      </c>
      <c r="DC435" s="40">
        <f t="shared" si="2415"/>
        <v>0.01814019021</v>
      </c>
      <c r="DD435" s="24">
        <f t="shared" si="2415"/>
        <v>0.02161811598</v>
      </c>
      <c r="DE435" s="40">
        <f t="shared" si="2415"/>
        <v>0.0202948088</v>
      </c>
      <c r="DF435" s="40"/>
      <c r="DG435" s="40"/>
      <c r="DH435" s="40"/>
      <c r="DI435" s="313"/>
      <c r="DJ435" s="40"/>
      <c r="DK435" s="40"/>
      <c r="DL435" s="40"/>
      <c r="DM435" s="40"/>
      <c r="DN435" s="313"/>
      <c r="DO435" s="40"/>
      <c r="DP435" s="40"/>
      <c r="DQ435" s="40"/>
      <c r="DR435" s="40"/>
      <c r="DS435" s="313"/>
      <c r="DT435" s="40"/>
      <c r="DU435" s="40"/>
      <c r="DV435" s="40"/>
      <c r="DW435" s="40"/>
      <c r="DX435" s="313"/>
      <c r="DY435" s="40"/>
      <c r="DZ435" s="40"/>
      <c r="EA435" s="40"/>
      <c r="EB435" s="40"/>
      <c r="EC435" s="313"/>
      <c r="ED435" s="40"/>
      <c r="EE435" s="40"/>
      <c r="EF435" s="40"/>
      <c r="EG435" s="40"/>
      <c r="EH435" s="313"/>
      <c r="EI435" s="82"/>
      <c r="EJ435" s="40"/>
      <c r="EK435" s="40"/>
      <c r="EL435" s="40"/>
      <c r="EM435" s="313"/>
      <c r="EN435" s="40"/>
      <c r="EO435" s="40"/>
      <c r="EP435" s="40"/>
      <c r="EQ435" s="40"/>
      <c r="ER435" s="313"/>
      <c r="ES435" s="40"/>
      <c r="ET435" s="40"/>
      <c r="EU435" s="40"/>
      <c r="EV435" s="40"/>
      <c r="EW435" s="313"/>
      <c r="EX435" s="40"/>
      <c r="EY435" s="40"/>
      <c r="EZ435" s="40"/>
      <c r="FA435" s="40"/>
      <c r="FB435" s="313"/>
      <c r="FC435" s="40"/>
      <c r="FD435" s="40"/>
      <c r="FE435" s="40"/>
      <c r="FF435" s="40"/>
      <c r="FG435" s="313"/>
      <c r="FH435" s="40"/>
      <c r="FI435" s="15"/>
      <c r="FJ435" s="15"/>
      <c r="FK435" s="410"/>
      <c r="FL435" s="15"/>
    </row>
    <row r="436" ht="12.75" hidden="1" customHeight="1" outlineLevel="1">
      <c r="A436" s="4"/>
      <c r="B436" s="4" t="str">
        <f t="shared" si="2413"/>
        <v>Programmable Solutions Group (PSG)</v>
      </c>
      <c r="C436" s="45"/>
      <c r="D436" s="15"/>
      <c r="E436" s="15"/>
      <c r="F436" s="15"/>
      <c r="G436" s="15"/>
      <c r="H436" s="410"/>
      <c r="I436" s="15"/>
      <c r="J436" s="15"/>
      <c r="K436" s="15"/>
      <c r="L436" s="15"/>
      <c r="M436" s="410"/>
      <c r="N436" s="15"/>
      <c r="O436" s="15"/>
      <c r="P436" s="15"/>
      <c r="Q436" s="15"/>
      <c r="R436" s="410"/>
      <c r="S436" s="15"/>
      <c r="T436" s="15"/>
      <c r="U436" s="15"/>
      <c r="V436" s="15"/>
      <c r="W436" s="410"/>
      <c r="X436" s="15"/>
      <c r="Y436" s="15"/>
      <c r="Z436" s="15"/>
      <c r="AA436" s="15"/>
      <c r="AB436" s="410"/>
      <c r="AC436" s="15"/>
      <c r="AD436" s="15"/>
      <c r="AE436" s="15"/>
      <c r="AF436" s="15"/>
      <c r="AG436" s="410"/>
      <c r="AH436" s="15"/>
      <c r="AI436" s="15"/>
      <c r="AJ436" s="15"/>
      <c r="AK436" s="15"/>
      <c r="AL436" s="410"/>
      <c r="AM436" s="15"/>
      <c r="AN436" s="15"/>
      <c r="AO436" s="15"/>
      <c r="AP436" s="15"/>
      <c r="AQ436" s="410"/>
      <c r="AR436" s="15"/>
      <c r="AS436" s="15"/>
      <c r="AT436" s="15"/>
      <c r="AU436" s="15"/>
      <c r="AV436" s="410"/>
      <c r="AW436" s="15"/>
      <c r="AX436" s="15"/>
      <c r="AY436" s="15"/>
      <c r="AZ436" s="15"/>
      <c r="BA436" s="410"/>
      <c r="BB436" s="15"/>
      <c r="BC436" s="15"/>
      <c r="BD436" s="15"/>
      <c r="BE436" s="15"/>
      <c r="BF436" s="410"/>
      <c r="BG436" s="15"/>
      <c r="BH436" s="15"/>
      <c r="BI436" s="15"/>
      <c r="BJ436" s="15"/>
      <c r="BK436" s="410"/>
      <c r="BL436" s="15"/>
      <c r="BM436" s="15"/>
      <c r="BN436" s="15"/>
      <c r="BO436" s="15"/>
      <c r="BP436" s="410"/>
      <c r="BQ436" s="15"/>
      <c r="BR436" s="15"/>
      <c r="BS436" s="15"/>
      <c r="BT436" s="15"/>
      <c r="BU436" s="410"/>
      <c r="BV436" s="15"/>
      <c r="BW436" s="15"/>
      <c r="BX436" s="15"/>
      <c r="BY436" s="15"/>
      <c r="BZ436" s="24"/>
      <c r="CA436" s="15"/>
      <c r="CB436" s="15"/>
      <c r="CC436" s="15"/>
      <c r="CD436" s="15"/>
      <c r="CE436" s="24"/>
      <c r="CF436" s="15"/>
      <c r="CG436" s="15"/>
      <c r="CH436" s="15"/>
      <c r="CI436" s="15"/>
      <c r="CJ436" s="24"/>
      <c r="CK436" s="15"/>
      <c r="CL436" s="15"/>
      <c r="CM436" s="15"/>
      <c r="CN436" s="40"/>
      <c r="CO436" s="24"/>
      <c r="CP436" s="40"/>
      <c r="CQ436" s="40"/>
      <c r="CR436" s="40"/>
      <c r="CS436" s="40"/>
      <c r="CT436" s="24"/>
      <c r="CU436" s="40"/>
      <c r="CV436" s="40"/>
      <c r="CW436" s="40"/>
      <c r="CX436" s="40"/>
      <c r="CY436" s="24"/>
      <c r="CZ436" s="40"/>
      <c r="DA436" s="40"/>
      <c r="DB436" s="40"/>
      <c r="DC436" s="40"/>
      <c r="DD436" s="24"/>
      <c r="DE436" s="40"/>
      <c r="DF436" s="40">
        <f t="shared" ref="DF436:FG436" si="2416">DF415/(DF$417-DF$416)</f>
        <v>0.02015793849</v>
      </c>
      <c r="DG436" s="40">
        <f t="shared" si="2416"/>
        <v>0.01864071264</v>
      </c>
      <c r="DH436" s="40">
        <f t="shared" si="2416"/>
        <v>0.02327663384</v>
      </c>
      <c r="DI436" s="313">
        <f t="shared" si="2416"/>
        <v>0.02057779575</v>
      </c>
      <c r="DJ436" s="40">
        <f t="shared" si="2416"/>
        <v>0.01721078779</v>
      </c>
      <c r="DK436" s="40">
        <f t="shared" si="2416"/>
        <v>0.016345687</v>
      </c>
      <c r="DL436" s="40">
        <f t="shared" si="2416"/>
        <v>0.01292525302</v>
      </c>
      <c r="DM436" s="40">
        <f t="shared" si="2416"/>
        <v>0.02297220647</v>
      </c>
      <c r="DN436" s="313">
        <f t="shared" si="2416"/>
        <v>0.01721590069</v>
      </c>
      <c r="DO436" s="40">
        <f t="shared" si="2416"/>
        <v>0.01771496815</v>
      </c>
      <c r="DP436" s="40">
        <f t="shared" si="2416"/>
        <v>0.009200283086</v>
      </c>
      <c r="DQ436" s="40">
        <f t="shared" si="2416"/>
        <v>0.01245094059</v>
      </c>
      <c r="DR436" s="40">
        <f t="shared" si="2416"/>
        <v>0.01083078491</v>
      </c>
      <c r="DS436" s="313">
        <f t="shared" si="2416"/>
        <v>0.01227183267</v>
      </c>
      <c r="DT436" s="40">
        <f t="shared" si="2416"/>
        <v>0.01200643644</v>
      </c>
      <c r="DU436" s="40">
        <f t="shared" si="2416"/>
        <v>0.01248244656</v>
      </c>
      <c r="DV436" s="40">
        <f t="shared" si="2416"/>
        <v>0.007099751509</v>
      </c>
      <c r="DW436" s="40">
        <f t="shared" si="2416"/>
        <v>0.006198644947</v>
      </c>
      <c r="DX436" s="313">
        <f t="shared" si="2416"/>
        <v>0.009608632987</v>
      </c>
      <c r="DY436" s="40">
        <f t="shared" si="2416"/>
        <v>0.01463982698</v>
      </c>
      <c r="DZ436" s="40">
        <f t="shared" si="2416"/>
        <v>0.01246011244</v>
      </c>
      <c r="EA436" s="40">
        <f t="shared" si="2416"/>
        <v>0.01211541527</v>
      </c>
      <c r="EB436" s="40">
        <f t="shared" si="2416"/>
        <v>0.008535564854</v>
      </c>
      <c r="EC436" s="313">
        <f t="shared" si="2416"/>
        <v>0.01195652174</v>
      </c>
      <c r="ED436" s="40">
        <f t="shared" si="2416"/>
        <v>0.01285644235</v>
      </c>
      <c r="EE436" s="40" t="str">
        <f t="shared" si="2416"/>
        <v>#ERROR!</v>
      </c>
      <c r="EF436" s="40" t="str">
        <f t="shared" si="2416"/>
        <v>#ERROR!</v>
      </c>
      <c r="EG436" s="40" t="str">
        <f t="shared" si="2416"/>
        <v>#ERROR!</v>
      </c>
      <c r="EH436" s="313" t="str">
        <f t="shared" si="2416"/>
        <v>#ERROR!</v>
      </c>
      <c r="EI436" s="82" t="str">
        <f t="shared" si="2416"/>
        <v>#ERROR!</v>
      </c>
      <c r="EJ436" s="40" t="str">
        <f t="shared" si="2416"/>
        <v>#ERROR!</v>
      </c>
      <c r="EK436" s="40" t="str">
        <f t="shared" si="2416"/>
        <v>#ERROR!</v>
      </c>
      <c r="EL436" s="40" t="str">
        <f t="shared" si="2416"/>
        <v>#ERROR!</v>
      </c>
      <c r="EM436" s="313" t="str">
        <f t="shared" si="2416"/>
        <v>#ERROR!</v>
      </c>
      <c r="EN436" s="40" t="str">
        <f t="shared" si="2416"/>
        <v>#ERROR!</v>
      </c>
      <c r="EO436" s="40" t="str">
        <f t="shared" si="2416"/>
        <v>#ERROR!</v>
      </c>
      <c r="EP436" s="40" t="str">
        <f t="shared" si="2416"/>
        <v>#ERROR!</v>
      </c>
      <c r="EQ436" s="40" t="str">
        <f t="shared" si="2416"/>
        <v>#ERROR!</v>
      </c>
      <c r="ER436" s="313" t="str">
        <f t="shared" si="2416"/>
        <v>#ERROR!</v>
      </c>
      <c r="ES436" s="40" t="str">
        <f t="shared" si="2416"/>
        <v>#ERROR!</v>
      </c>
      <c r="ET436" s="40" t="str">
        <f t="shared" si="2416"/>
        <v>#ERROR!</v>
      </c>
      <c r="EU436" s="40" t="str">
        <f t="shared" si="2416"/>
        <v>#ERROR!</v>
      </c>
      <c r="EV436" s="40" t="str">
        <f t="shared" si="2416"/>
        <v>#ERROR!</v>
      </c>
      <c r="EW436" s="313" t="str">
        <f t="shared" si="2416"/>
        <v>#ERROR!</v>
      </c>
      <c r="EX436" s="40" t="str">
        <f t="shared" si="2416"/>
        <v>#ERROR!</v>
      </c>
      <c r="EY436" s="40" t="str">
        <f t="shared" si="2416"/>
        <v>#ERROR!</v>
      </c>
      <c r="EZ436" s="40" t="str">
        <f t="shared" si="2416"/>
        <v>#ERROR!</v>
      </c>
      <c r="FA436" s="40" t="str">
        <f t="shared" si="2416"/>
        <v>#ERROR!</v>
      </c>
      <c r="FB436" s="313" t="str">
        <f t="shared" si="2416"/>
        <v>#ERROR!</v>
      </c>
      <c r="FC436" s="40" t="str">
        <f t="shared" si="2416"/>
        <v>#ERROR!</v>
      </c>
      <c r="FD436" s="40" t="str">
        <f t="shared" si="2416"/>
        <v>#ERROR!</v>
      </c>
      <c r="FE436" s="40" t="str">
        <f t="shared" si="2416"/>
        <v>#ERROR!</v>
      </c>
      <c r="FF436" s="40" t="str">
        <f t="shared" si="2416"/>
        <v>#ERROR!</v>
      </c>
      <c r="FG436" s="313" t="str">
        <f t="shared" si="2416"/>
        <v>#ERROR!</v>
      </c>
      <c r="FH436" s="40"/>
      <c r="FI436" s="15"/>
      <c r="FJ436" s="15"/>
      <c r="FK436" s="410"/>
      <c r="FL436" s="15"/>
    </row>
    <row r="437" ht="12.75" hidden="1" customHeight="1" outlineLevel="1">
      <c r="A437" s="4"/>
      <c r="B437" s="4" t="str">
        <f t="shared" si="2413"/>
        <v>All Other</v>
      </c>
      <c r="C437" s="45"/>
      <c r="D437" s="15"/>
      <c r="E437" s="15"/>
      <c r="F437" s="15"/>
      <c r="G437" s="15"/>
      <c r="H437" s="410"/>
      <c r="I437" s="15"/>
      <c r="J437" s="15"/>
      <c r="K437" s="15"/>
      <c r="L437" s="15"/>
      <c r="M437" s="410"/>
      <c r="N437" s="15"/>
      <c r="O437" s="15"/>
      <c r="P437" s="15"/>
      <c r="Q437" s="15"/>
      <c r="R437" s="410"/>
      <c r="S437" s="15"/>
      <c r="T437" s="15"/>
      <c r="U437" s="15"/>
      <c r="V437" s="15"/>
      <c r="W437" s="410"/>
      <c r="X437" s="15"/>
      <c r="Y437" s="15"/>
      <c r="Z437" s="15"/>
      <c r="AA437" s="15"/>
      <c r="AB437" s="410"/>
      <c r="AC437" s="15"/>
      <c r="AD437" s="15"/>
      <c r="AE437" s="15"/>
      <c r="AF437" s="15"/>
      <c r="AG437" s="410"/>
      <c r="AH437" s="15"/>
      <c r="AI437" s="15"/>
      <c r="AJ437" s="15"/>
      <c r="AK437" s="15"/>
      <c r="AL437" s="410"/>
      <c r="AM437" s="15"/>
      <c r="AN437" s="15"/>
      <c r="AO437" s="15"/>
      <c r="AP437" s="15"/>
      <c r="AQ437" s="410"/>
      <c r="AR437" s="15"/>
      <c r="AS437" s="15"/>
      <c r="AT437" s="15"/>
      <c r="AU437" s="15"/>
      <c r="AV437" s="410"/>
      <c r="AW437" s="15"/>
      <c r="AX437" s="15"/>
      <c r="AY437" s="15"/>
      <c r="AZ437" s="15"/>
      <c r="BA437" s="410"/>
      <c r="BB437" s="15"/>
      <c r="BC437" s="15"/>
      <c r="BD437" s="15"/>
      <c r="BE437" s="15"/>
      <c r="BF437" s="410"/>
      <c r="BG437" s="15"/>
      <c r="BH437" s="15"/>
      <c r="BI437" s="15"/>
      <c r="BJ437" s="15"/>
      <c r="BK437" s="410"/>
      <c r="BL437" s="15"/>
      <c r="BM437" s="15"/>
      <c r="BN437" s="15"/>
      <c r="BO437" s="15"/>
      <c r="BP437" s="410"/>
      <c r="BQ437" s="15"/>
      <c r="BR437" s="15"/>
      <c r="BS437" s="15"/>
      <c r="BT437" s="15"/>
      <c r="BU437" s="410"/>
      <c r="BV437" s="15"/>
      <c r="BW437" s="15"/>
      <c r="BX437" s="15"/>
      <c r="BY437" s="15"/>
      <c r="BZ437" s="24"/>
      <c r="CA437" s="15"/>
      <c r="CB437" s="15"/>
      <c r="CC437" s="15"/>
      <c r="CD437" s="15"/>
      <c r="CE437" s="24"/>
      <c r="CF437" s="15"/>
      <c r="CG437" s="15"/>
      <c r="CH437" s="15"/>
      <c r="CI437" s="15"/>
      <c r="CJ437" s="24"/>
      <c r="CK437" s="15"/>
      <c r="CL437" s="15"/>
      <c r="CM437" s="15"/>
      <c r="CN437" s="40"/>
      <c r="CO437" s="24"/>
      <c r="CP437" s="40">
        <f t="shared" ref="CP437:FG437" si="2417">CP416/CP$417</f>
        <v>-0.3051717331</v>
      </c>
      <c r="CQ437" s="40">
        <f t="shared" si="2417"/>
        <v>-0.1948491155</v>
      </c>
      <c r="CR437" s="40">
        <f t="shared" si="2417"/>
        <v>-0.1394273128</v>
      </c>
      <c r="CS437" s="40">
        <f t="shared" si="2417"/>
        <v>-0.2658881653</v>
      </c>
      <c r="CT437" s="24">
        <f t="shared" si="2417"/>
        <v>-0.2172413793</v>
      </c>
      <c r="CU437" s="40">
        <f t="shared" si="2417"/>
        <v>-0.25583174</v>
      </c>
      <c r="CV437" s="40">
        <f t="shared" si="2417"/>
        <v>-0.2793508287</v>
      </c>
      <c r="CW437" s="40">
        <f t="shared" si="2417"/>
        <v>-0.1595896947</v>
      </c>
      <c r="CX437" s="40">
        <f t="shared" si="2417"/>
        <v>-0.1933007676</v>
      </c>
      <c r="CY437" s="24">
        <f t="shared" si="2417"/>
        <v>-0.2126839023</v>
      </c>
      <c r="CZ437" s="40">
        <f t="shared" si="2417"/>
        <v>-0.3870716511</v>
      </c>
      <c r="DA437" s="40">
        <f t="shared" si="2417"/>
        <v>-1.713201821</v>
      </c>
      <c r="DB437" s="40">
        <f t="shared" si="2417"/>
        <v>-0.2745405648</v>
      </c>
      <c r="DC437" s="40">
        <f t="shared" si="2417"/>
        <v>-0.2545293858</v>
      </c>
      <c r="DD437" s="24">
        <f t="shared" si="2417"/>
        <v>-0.4372378437</v>
      </c>
      <c r="DE437" s="40">
        <f t="shared" si="2417"/>
        <v>-0.3006390664</v>
      </c>
      <c r="DF437" s="40">
        <f t="shared" si="2417"/>
        <v>-0.2573817612</v>
      </c>
      <c r="DG437" s="40">
        <f t="shared" si="2417"/>
        <v>-0.18514174</v>
      </c>
      <c r="DH437" s="40">
        <f t="shared" si="2417"/>
        <v>-0.2422613531</v>
      </c>
      <c r="DI437" s="313">
        <f t="shared" si="2417"/>
        <v>-0.240912132</v>
      </c>
      <c r="DJ437" s="40">
        <f t="shared" si="2417"/>
        <v>-0.2608501119</v>
      </c>
      <c r="DK437" s="40">
        <f t="shared" si="2417"/>
        <v>-0.171818699</v>
      </c>
      <c r="DL437" s="40">
        <f t="shared" si="2417"/>
        <v>-0.1159341407</v>
      </c>
      <c r="DM437" s="40">
        <f t="shared" si="2417"/>
        <v>-0.133033419</v>
      </c>
      <c r="DN437" s="313">
        <f t="shared" si="2417"/>
        <v>-0.1609195402</v>
      </c>
      <c r="DO437" s="40">
        <f t="shared" si="2417"/>
        <v>-0.2036415908</v>
      </c>
      <c r="DP437" s="40">
        <f t="shared" si="2417"/>
        <v>-0.22417154</v>
      </c>
      <c r="DQ437" s="40">
        <f t="shared" si="2417"/>
        <v>-0.1461144718</v>
      </c>
      <c r="DR437" s="40">
        <f t="shared" si="2417"/>
        <v>-0.1546270413</v>
      </c>
      <c r="DS437" s="313">
        <f t="shared" si="2417"/>
        <v>-0.1759927388</v>
      </c>
      <c r="DT437" s="40">
        <f t="shared" si="2417"/>
        <v>-0.1479113384</v>
      </c>
      <c r="DU437" s="40">
        <f t="shared" si="2417"/>
        <v>-0.1249780586</v>
      </c>
      <c r="DV437" s="40">
        <f t="shared" si="2417"/>
        <v>-0.1136588259</v>
      </c>
      <c r="DW437" s="40">
        <f t="shared" si="2417"/>
        <v>-0.1789598912</v>
      </c>
      <c r="DX437" s="313">
        <f t="shared" si="2417"/>
        <v>-0.1427907762</v>
      </c>
      <c r="DY437" s="40">
        <f t="shared" si="2417"/>
        <v>-0.6272333514</v>
      </c>
      <c r="DZ437" s="40">
        <f t="shared" si="2417"/>
        <v>-0.1866209881</v>
      </c>
      <c r="EA437" s="40">
        <f t="shared" si="2417"/>
        <v>-0.2001147886</v>
      </c>
      <c r="EB437" s="40">
        <f t="shared" si="2417"/>
        <v>-0.1976347966</v>
      </c>
      <c r="EC437" s="313">
        <f t="shared" si="2417"/>
        <v>-0.2767269737</v>
      </c>
      <c r="ED437" s="40">
        <f t="shared" si="2417"/>
        <v>-0.7309392601</v>
      </c>
      <c r="EE437" s="40" t="str">
        <f t="shared" si="2417"/>
        <v>#ERROR!</v>
      </c>
      <c r="EF437" s="40" t="str">
        <f t="shared" si="2417"/>
        <v>#ERROR!</v>
      </c>
      <c r="EG437" s="40" t="str">
        <f t="shared" si="2417"/>
        <v>#ERROR!</v>
      </c>
      <c r="EH437" s="313" t="str">
        <f t="shared" si="2417"/>
        <v>#ERROR!</v>
      </c>
      <c r="EI437" s="82" t="str">
        <f t="shared" si="2417"/>
        <v>#ERROR!</v>
      </c>
      <c r="EJ437" s="40" t="str">
        <f t="shared" si="2417"/>
        <v>#ERROR!</v>
      </c>
      <c r="EK437" s="40" t="str">
        <f t="shared" si="2417"/>
        <v>#ERROR!</v>
      </c>
      <c r="EL437" s="40" t="str">
        <f t="shared" si="2417"/>
        <v>#ERROR!</v>
      </c>
      <c r="EM437" s="313" t="str">
        <f t="shared" si="2417"/>
        <v>#ERROR!</v>
      </c>
      <c r="EN437" s="40" t="str">
        <f t="shared" si="2417"/>
        <v>#ERROR!</v>
      </c>
      <c r="EO437" s="40" t="str">
        <f t="shared" si="2417"/>
        <v>#ERROR!</v>
      </c>
      <c r="EP437" s="40" t="str">
        <f t="shared" si="2417"/>
        <v>#ERROR!</v>
      </c>
      <c r="EQ437" s="40" t="str">
        <f t="shared" si="2417"/>
        <v>#ERROR!</v>
      </c>
      <c r="ER437" s="313" t="str">
        <f t="shared" si="2417"/>
        <v>#ERROR!</v>
      </c>
      <c r="ES437" s="40" t="str">
        <f t="shared" si="2417"/>
        <v>#ERROR!</v>
      </c>
      <c r="ET437" s="40" t="str">
        <f t="shared" si="2417"/>
        <v>#ERROR!</v>
      </c>
      <c r="EU437" s="40" t="str">
        <f t="shared" si="2417"/>
        <v>#ERROR!</v>
      </c>
      <c r="EV437" s="40" t="str">
        <f t="shared" si="2417"/>
        <v>#ERROR!</v>
      </c>
      <c r="EW437" s="313" t="str">
        <f t="shared" si="2417"/>
        <v>#ERROR!</v>
      </c>
      <c r="EX437" s="40" t="str">
        <f t="shared" si="2417"/>
        <v>#ERROR!</v>
      </c>
      <c r="EY437" s="40" t="str">
        <f t="shared" si="2417"/>
        <v>#ERROR!</v>
      </c>
      <c r="EZ437" s="40" t="str">
        <f t="shared" si="2417"/>
        <v>#ERROR!</v>
      </c>
      <c r="FA437" s="40" t="str">
        <f t="shared" si="2417"/>
        <v>#ERROR!</v>
      </c>
      <c r="FB437" s="313" t="str">
        <f t="shared" si="2417"/>
        <v>#ERROR!</v>
      </c>
      <c r="FC437" s="40" t="str">
        <f t="shared" si="2417"/>
        <v>#ERROR!</v>
      </c>
      <c r="FD437" s="40" t="str">
        <f t="shared" si="2417"/>
        <v>#ERROR!</v>
      </c>
      <c r="FE437" s="40" t="str">
        <f t="shared" si="2417"/>
        <v>#ERROR!</v>
      </c>
      <c r="FF437" s="40" t="str">
        <f t="shared" si="2417"/>
        <v>#ERROR!</v>
      </c>
      <c r="FG437" s="313" t="str">
        <f t="shared" si="2417"/>
        <v>#ERROR!</v>
      </c>
      <c r="FH437" s="40"/>
      <c r="FI437" s="15"/>
      <c r="FJ437" s="15"/>
      <c r="FK437" s="410"/>
      <c r="FL437" s="15"/>
    </row>
    <row r="438" ht="12.75" hidden="1" customHeight="1" outlineLevel="1">
      <c r="A438" s="4"/>
      <c r="B438" s="344" t="str">
        <f t="shared" si="2413"/>
        <v>Total Operating Income</v>
      </c>
      <c r="C438" s="344"/>
      <c r="D438" s="557"/>
      <c r="E438" s="557"/>
      <c r="F438" s="557"/>
      <c r="G438" s="557"/>
      <c r="H438" s="347"/>
      <c r="I438" s="557"/>
      <c r="J438" s="557"/>
      <c r="K438" s="557"/>
      <c r="L438" s="557"/>
      <c r="M438" s="347"/>
      <c r="N438" s="557"/>
      <c r="O438" s="557"/>
      <c r="P438" s="557"/>
      <c r="Q438" s="557"/>
      <c r="R438" s="347"/>
      <c r="S438" s="557"/>
      <c r="T438" s="557"/>
      <c r="U438" s="557"/>
      <c r="V438" s="557"/>
      <c r="W438" s="347"/>
      <c r="X438" s="557"/>
      <c r="Y438" s="557"/>
      <c r="Z438" s="557"/>
      <c r="AA438" s="557"/>
      <c r="AB438" s="347"/>
      <c r="AC438" s="557"/>
      <c r="AD438" s="557"/>
      <c r="AE438" s="557"/>
      <c r="AF438" s="557"/>
      <c r="AG438" s="347"/>
      <c r="AH438" s="557"/>
      <c r="AI438" s="557"/>
      <c r="AJ438" s="557"/>
      <c r="AK438" s="557"/>
      <c r="AL438" s="347"/>
      <c r="AM438" s="557"/>
      <c r="AN438" s="557"/>
      <c r="AO438" s="557"/>
      <c r="AP438" s="557"/>
      <c r="AQ438" s="347"/>
      <c r="AR438" s="557"/>
      <c r="AS438" s="557"/>
      <c r="AT438" s="557"/>
      <c r="AU438" s="557"/>
      <c r="AV438" s="347"/>
      <c r="AW438" s="557"/>
      <c r="AX438" s="557"/>
      <c r="AY438" s="557"/>
      <c r="AZ438" s="557"/>
      <c r="BA438" s="347"/>
      <c r="BB438" s="557"/>
      <c r="BC438" s="557"/>
      <c r="BD438" s="557"/>
      <c r="BE438" s="557"/>
      <c r="BF438" s="347"/>
      <c r="BG438" s="557"/>
      <c r="BH438" s="557"/>
      <c r="BI438" s="557"/>
      <c r="BJ438" s="557"/>
      <c r="BK438" s="347"/>
      <c r="BL438" s="557"/>
      <c r="BM438" s="557"/>
      <c r="BN438" s="557"/>
      <c r="BO438" s="557"/>
      <c r="BP438" s="347"/>
      <c r="BQ438" s="557"/>
      <c r="BR438" s="557"/>
      <c r="BS438" s="557"/>
      <c r="BT438" s="557"/>
      <c r="BU438" s="347"/>
      <c r="BV438" s="557"/>
      <c r="BW438" s="557"/>
      <c r="BX438" s="557"/>
      <c r="BY438" s="557"/>
      <c r="BZ438" s="558"/>
      <c r="CA438" s="557"/>
      <c r="CB438" s="557"/>
      <c r="CC438" s="557"/>
      <c r="CD438" s="557"/>
      <c r="CE438" s="558"/>
      <c r="CF438" s="557"/>
      <c r="CG438" s="557"/>
      <c r="CH438" s="557"/>
      <c r="CI438" s="557"/>
      <c r="CJ438" s="558"/>
      <c r="CK438" s="557"/>
      <c r="CL438" s="557"/>
      <c r="CM438" s="557"/>
      <c r="CN438" s="559"/>
      <c r="CO438" s="558"/>
      <c r="CP438" s="347">
        <f t="shared" ref="CP438:FG438" si="2418">CP417/CP$417</f>
        <v>1</v>
      </c>
      <c r="CQ438" s="347">
        <f t="shared" si="2418"/>
        <v>1</v>
      </c>
      <c r="CR438" s="347">
        <f t="shared" si="2418"/>
        <v>1</v>
      </c>
      <c r="CS438" s="347">
        <f t="shared" si="2418"/>
        <v>1</v>
      </c>
      <c r="CT438" s="558">
        <f t="shared" si="2418"/>
        <v>1</v>
      </c>
      <c r="CU438" s="347">
        <f t="shared" si="2418"/>
        <v>1</v>
      </c>
      <c r="CV438" s="347">
        <f t="shared" si="2418"/>
        <v>1</v>
      </c>
      <c r="CW438" s="347">
        <f t="shared" si="2418"/>
        <v>1</v>
      </c>
      <c r="CX438" s="347">
        <f t="shared" si="2418"/>
        <v>1</v>
      </c>
      <c r="CY438" s="558">
        <f t="shared" si="2418"/>
        <v>1</v>
      </c>
      <c r="CZ438" s="347">
        <f t="shared" si="2418"/>
        <v>1</v>
      </c>
      <c r="DA438" s="347">
        <f t="shared" si="2418"/>
        <v>1</v>
      </c>
      <c r="DB438" s="347">
        <f t="shared" si="2418"/>
        <v>1</v>
      </c>
      <c r="DC438" s="347">
        <f t="shared" si="2418"/>
        <v>1</v>
      </c>
      <c r="DD438" s="558">
        <f t="shared" si="2418"/>
        <v>1</v>
      </c>
      <c r="DE438" s="347">
        <f t="shared" si="2418"/>
        <v>1</v>
      </c>
      <c r="DF438" s="347">
        <f t="shared" si="2418"/>
        <v>1</v>
      </c>
      <c r="DG438" s="347">
        <f t="shared" si="2418"/>
        <v>1</v>
      </c>
      <c r="DH438" s="347">
        <f t="shared" si="2418"/>
        <v>1</v>
      </c>
      <c r="DI438" s="558">
        <f t="shared" si="2418"/>
        <v>1</v>
      </c>
      <c r="DJ438" s="347">
        <f t="shared" si="2418"/>
        <v>1</v>
      </c>
      <c r="DK438" s="347">
        <f t="shared" si="2418"/>
        <v>1</v>
      </c>
      <c r="DL438" s="347">
        <f t="shared" si="2418"/>
        <v>1</v>
      </c>
      <c r="DM438" s="347">
        <f t="shared" si="2418"/>
        <v>1</v>
      </c>
      <c r="DN438" s="558">
        <f t="shared" si="2418"/>
        <v>1</v>
      </c>
      <c r="DO438" s="347">
        <f t="shared" si="2418"/>
        <v>1</v>
      </c>
      <c r="DP438" s="347">
        <f t="shared" si="2418"/>
        <v>1</v>
      </c>
      <c r="DQ438" s="347">
        <f t="shared" si="2418"/>
        <v>1</v>
      </c>
      <c r="DR438" s="347">
        <f t="shared" si="2418"/>
        <v>1</v>
      </c>
      <c r="DS438" s="558">
        <f t="shared" si="2418"/>
        <v>1</v>
      </c>
      <c r="DT438" s="347">
        <f t="shared" si="2418"/>
        <v>1</v>
      </c>
      <c r="DU438" s="347">
        <f t="shared" si="2418"/>
        <v>1</v>
      </c>
      <c r="DV438" s="347">
        <f t="shared" si="2418"/>
        <v>1</v>
      </c>
      <c r="DW438" s="347">
        <f t="shared" si="2418"/>
        <v>1</v>
      </c>
      <c r="DX438" s="558">
        <f t="shared" si="2418"/>
        <v>1</v>
      </c>
      <c r="DY438" s="347">
        <f t="shared" si="2418"/>
        <v>1</v>
      </c>
      <c r="DZ438" s="347">
        <f t="shared" si="2418"/>
        <v>1</v>
      </c>
      <c r="EA438" s="347">
        <f t="shared" si="2418"/>
        <v>1</v>
      </c>
      <c r="EB438" s="347">
        <f t="shared" si="2418"/>
        <v>1</v>
      </c>
      <c r="EC438" s="558">
        <f t="shared" si="2418"/>
        <v>1</v>
      </c>
      <c r="ED438" s="347">
        <f t="shared" si="2418"/>
        <v>1</v>
      </c>
      <c r="EE438" s="347" t="str">
        <f t="shared" si="2418"/>
        <v>#ERROR!</v>
      </c>
      <c r="EF438" s="347" t="str">
        <f t="shared" si="2418"/>
        <v>#ERROR!</v>
      </c>
      <c r="EG438" s="347" t="str">
        <f t="shared" si="2418"/>
        <v>#ERROR!</v>
      </c>
      <c r="EH438" s="558" t="str">
        <f t="shared" si="2418"/>
        <v>#ERROR!</v>
      </c>
      <c r="EI438" s="560" t="str">
        <f t="shared" si="2418"/>
        <v>#ERROR!</v>
      </c>
      <c r="EJ438" s="347" t="str">
        <f t="shared" si="2418"/>
        <v>#ERROR!</v>
      </c>
      <c r="EK438" s="347" t="str">
        <f t="shared" si="2418"/>
        <v>#ERROR!</v>
      </c>
      <c r="EL438" s="347" t="str">
        <f t="shared" si="2418"/>
        <v>#ERROR!</v>
      </c>
      <c r="EM438" s="558" t="str">
        <f t="shared" si="2418"/>
        <v>#ERROR!</v>
      </c>
      <c r="EN438" s="347" t="str">
        <f t="shared" si="2418"/>
        <v>#ERROR!</v>
      </c>
      <c r="EO438" s="347" t="str">
        <f t="shared" si="2418"/>
        <v>#ERROR!</v>
      </c>
      <c r="EP438" s="347" t="str">
        <f t="shared" si="2418"/>
        <v>#ERROR!</v>
      </c>
      <c r="EQ438" s="347" t="str">
        <f t="shared" si="2418"/>
        <v>#ERROR!</v>
      </c>
      <c r="ER438" s="558" t="str">
        <f t="shared" si="2418"/>
        <v>#ERROR!</v>
      </c>
      <c r="ES438" s="347" t="str">
        <f t="shared" si="2418"/>
        <v>#ERROR!</v>
      </c>
      <c r="ET438" s="347" t="str">
        <f t="shared" si="2418"/>
        <v>#ERROR!</v>
      </c>
      <c r="EU438" s="347" t="str">
        <f t="shared" si="2418"/>
        <v>#ERROR!</v>
      </c>
      <c r="EV438" s="347" t="str">
        <f t="shared" si="2418"/>
        <v>#ERROR!</v>
      </c>
      <c r="EW438" s="558" t="str">
        <f t="shared" si="2418"/>
        <v>#ERROR!</v>
      </c>
      <c r="EX438" s="347" t="str">
        <f t="shared" si="2418"/>
        <v>#ERROR!</v>
      </c>
      <c r="EY438" s="347" t="str">
        <f t="shared" si="2418"/>
        <v>#ERROR!</v>
      </c>
      <c r="EZ438" s="347" t="str">
        <f t="shared" si="2418"/>
        <v>#ERROR!</v>
      </c>
      <c r="FA438" s="347" t="str">
        <f t="shared" si="2418"/>
        <v>#ERROR!</v>
      </c>
      <c r="FB438" s="558" t="str">
        <f t="shared" si="2418"/>
        <v>#ERROR!</v>
      </c>
      <c r="FC438" s="347" t="str">
        <f t="shared" si="2418"/>
        <v>#ERROR!</v>
      </c>
      <c r="FD438" s="347" t="str">
        <f t="shared" si="2418"/>
        <v>#ERROR!</v>
      </c>
      <c r="FE438" s="347" t="str">
        <f t="shared" si="2418"/>
        <v>#ERROR!</v>
      </c>
      <c r="FF438" s="347" t="str">
        <f t="shared" si="2418"/>
        <v>#ERROR!</v>
      </c>
      <c r="FG438" s="558" t="str">
        <f t="shared" si="2418"/>
        <v>#ERROR!</v>
      </c>
      <c r="FH438" s="104"/>
      <c r="FI438" s="15"/>
      <c r="FJ438" s="15"/>
      <c r="FK438" s="410"/>
      <c r="FL438" s="15"/>
    </row>
    <row r="439" ht="12.75" hidden="1" customHeight="1" outlineLevel="1">
      <c r="A439" s="4"/>
      <c r="B439" s="45"/>
      <c r="C439" s="45"/>
      <c r="D439" s="15"/>
      <c r="E439" s="15"/>
      <c r="F439" s="15"/>
      <c r="G439" s="15"/>
      <c r="H439" s="104"/>
      <c r="I439" s="15"/>
      <c r="J439" s="15"/>
      <c r="K439" s="15"/>
      <c r="L439" s="15"/>
      <c r="M439" s="104"/>
      <c r="N439" s="15"/>
      <c r="O439" s="15"/>
      <c r="P439" s="15"/>
      <c r="Q439" s="15"/>
      <c r="R439" s="104"/>
      <c r="S439" s="15"/>
      <c r="T439" s="15"/>
      <c r="U439" s="15"/>
      <c r="V439" s="15"/>
      <c r="W439" s="104"/>
      <c r="X439" s="15"/>
      <c r="Y439" s="15"/>
      <c r="Z439" s="15"/>
      <c r="AA439" s="15"/>
      <c r="AB439" s="104"/>
      <c r="AC439" s="15"/>
      <c r="AD439" s="15"/>
      <c r="AE439" s="15"/>
      <c r="AF439" s="15"/>
      <c r="AG439" s="104"/>
      <c r="AH439" s="15"/>
      <c r="AI439" s="15"/>
      <c r="AJ439" s="15"/>
      <c r="AK439" s="15"/>
      <c r="AL439" s="104"/>
      <c r="AM439" s="15"/>
      <c r="AN439" s="15"/>
      <c r="AO439" s="15"/>
      <c r="AP439" s="15"/>
      <c r="AQ439" s="104"/>
      <c r="AR439" s="15"/>
      <c r="AS439" s="15"/>
      <c r="AT439" s="15"/>
      <c r="AU439" s="15"/>
      <c r="AV439" s="104"/>
      <c r="AW439" s="15"/>
      <c r="AX439" s="15"/>
      <c r="AY439" s="15"/>
      <c r="AZ439" s="15"/>
      <c r="BA439" s="104"/>
      <c r="BB439" s="15"/>
      <c r="BC439" s="15"/>
      <c r="BD439" s="15"/>
      <c r="BE439" s="15"/>
      <c r="BF439" s="104"/>
      <c r="BG439" s="15"/>
      <c r="BH439" s="15"/>
      <c r="BI439" s="15"/>
      <c r="BJ439" s="15"/>
      <c r="BK439" s="104"/>
      <c r="BL439" s="15"/>
      <c r="BM439" s="15"/>
      <c r="BN439" s="15"/>
      <c r="BO439" s="15"/>
      <c r="BP439" s="104"/>
      <c r="BQ439" s="15"/>
      <c r="BR439" s="15"/>
      <c r="BS439" s="15"/>
      <c r="BT439" s="15"/>
      <c r="BU439" s="104"/>
      <c r="BV439" s="15"/>
      <c r="BW439" s="15"/>
      <c r="BX439" s="15"/>
      <c r="BY439" s="15"/>
      <c r="BZ439" s="24"/>
      <c r="CA439" s="15"/>
      <c r="CB439" s="15"/>
      <c r="CC439" s="15"/>
      <c r="CD439" s="15"/>
      <c r="CE439" s="24"/>
      <c r="CF439" s="15"/>
      <c r="CG439" s="15"/>
      <c r="CH439" s="15"/>
      <c r="CI439" s="15"/>
      <c r="CJ439" s="24"/>
      <c r="CK439" s="15"/>
      <c r="CL439" s="15"/>
      <c r="CM439" s="15"/>
      <c r="CN439" s="40"/>
      <c r="CO439" s="24"/>
      <c r="CP439" s="104"/>
      <c r="CQ439" s="104"/>
      <c r="CR439" s="104"/>
      <c r="CS439" s="104"/>
      <c r="CT439" s="24"/>
      <c r="CU439" s="104"/>
      <c r="CV439" s="104"/>
      <c r="CW439" s="104"/>
      <c r="CX439" s="104"/>
      <c r="CY439" s="24"/>
      <c r="CZ439" s="104"/>
      <c r="DA439" s="104"/>
      <c r="DB439" s="104"/>
      <c r="DC439" s="104"/>
      <c r="DD439" s="24"/>
      <c r="DE439" s="104"/>
      <c r="DF439" s="104"/>
      <c r="DG439" s="104"/>
      <c r="DH439" s="104"/>
      <c r="DI439" s="24"/>
      <c r="DJ439" s="104"/>
      <c r="DK439" s="104"/>
      <c r="DL439" s="104"/>
      <c r="DM439" s="104"/>
      <c r="DN439" s="24"/>
      <c r="DO439" s="104"/>
      <c r="DP439" s="104"/>
      <c r="DQ439" s="104"/>
      <c r="DR439" s="104"/>
      <c r="DS439" s="24"/>
      <c r="DT439" s="104"/>
      <c r="DU439" s="104"/>
      <c r="DV439" s="104"/>
      <c r="DW439" s="104"/>
      <c r="DX439" s="24"/>
      <c r="DY439" s="104"/>
      <c r="DZ439" s="104"/>
      <c r="EA439" s="104"/>
      <c r="EB439" s="104"/>
      <c r="EC439" s="24"/>
      <c r="ED439" s="104"/>
      <c r="EE439" s="104"/>
      <c r="EF439" s="104"/>
      <c r="EG439" s="104"/>
      <c r="EH439" s="24"/>
      <c r="EI439" s="317"/>
      <c r="EJ439" s="104"/>
      <c r="EK439" s="104"/>
      <c r="EL439" s="104"/>
      <c r="EM439" s="24"/>
      <c r="EN439" s="104"/>
      <c r="EO439" s="104"/>
      <c r="EP439" s="104"/>
      <c r="EQ439" s="104"/>
      <c r="ER439" s="24"/>
      <c r="ES439" s="104"/>
      <c r="ET439" s="104"/>
      <c r="EU439" s="104"/>
      <c r="EV439" s="104"/>
      <c r="EW439" s="24"/>
      <c r="EX439" s="104"/>
      <c r="EY439" s="104"/>
      <c r="EZ439" s="104"/>
      <c r="FA439" s="104"/>
      <c r="FB439" s="24"/>
      <c r="FC439" s="104"/>
      <c r="FD439" s="104"/>
      <c r="FE439" s="104"/>
      <c r="FF439" s="104"/>
      <c r="FG439" s="24"/>
      <c r="FH439" s="104"/>
      <c r="FI439" s="15"/>
      <c r="FJ439" s="15"/>
      <c r="FK439" s="410"/>
      <c r="FL439" s="15"/>
    </row>
    <row r="440" ht="12.75" hidden="1" customHeight="1" outlineLevel="1">
      <c r="A440" s="4"/>
      <c r="B440" s="555" t="s">
        <v>258</v>
      </c>
      <c r="C440" s="45"/>
      <c r="D440" s="15"/>
      <c r="E440" s="15"/>
      <c r="F440" s="15"/>
      <c r="G440" s="15"/>
      <c r="H440" s="104"/>
      <c r="I440" s="15"/>
      <c r="J440" s="15"/>
      <c r="K440" s="15"/>
      <c r="L440" s="15"/>
      <c r="M440" s="104"/>
      <c r="N440" s="15"/>
      <c r="O440" s="15"/>
      <c r="P440" s="15"/>
      <c r="Q440" s="15"/>
      <c r="R440" s="104"/>
      <c r="S440" s="15"/>
      <c r="T440" s="15"/>
      <c r="U440" s="15"/>
      <c r="V440" s="15"/>
      <c r="W440" s="104"/>
      <c r="X440" s="15"/>
      <c r="Y440" s="15"/>
      <c r="Z440" s="15"/>
      <c r="AA440" s="15"/>
      <c r="AB440" s="104"/>
      <c r="AC440" s="15"/>
      <c r="AD440" s="15"/>
      <c r="AE440" s="15"/>
      <c r="AF440" s="15"/>
      <c r="AG440" s="104"/>
      <c r="AH440" s="15"/>
      <c r="AI440" s="15"/>
      <c r="AJ440" s="15"/>
      <c r="AK440" s="15"/>
      <c r="AL440" s="104"/>
      <c r="AM440" s="15"/>
      <c r="AN440" s="15"/>
      <c r="AO440" s="15"/>
      <c r="AP440" s="15"/>
      <c r="AQ440" s="104"/>
      <c r="AR440" s="15"/>
      <c r="AS440" s="15"/>
      <c r="AT440" s="15"/>
      <c r="AU440" s="15"/>
      <c r="AV440" s="104"/>
      <c r="AW440" s="15"/>
      <c r="AX440" s="15"/>
      <c r="AY440" s="15"/>
      <c r="AZ440" s="15"/>
      <c r="BA440" s="104"/>
      <c r="BB440" s="15"/>
      <c r="BC440" s="15"/>
      <c r="BD440" s="15"/>
      <c r="BE440" s="15"/>
      <c r="BF440" s="104"/>
      <c r="BG440" s="15"/>
      <c r="BH440" s="15"/>
      <c r="BI440" s="15"/>
      <c r="BJ440" s="15"/>
      <c r="BK440" s="104"/>
      <c r="BL440" s="15"/>
      <c r="BM440" s="15"/>
      <c r="BN440" s="15"/>
      <c r="BO440" s="15"/>
      <c r="BP440" s="104"/>
      <c r="BQ440" s="15"/>
      <c r="BR440" s="15"/>
      <c r="BS440" s="15"/>
      <c r="BT440" s="15"/>
      <c r="BU440" s="104"/>
      <c r="BV440" s="15"/>
      <c r="BW440" s="15"/>
      <c r="BX440" s="15"/>
      <c r="BY440" s="15"/>
      <c r="BZ440" s="24"/>
      <c r="CA440" s="15"/>
      <c r="CB440" s="15"/>
      <c r="CC440" s="15"/>
      <c r="CD440" s="15"/>
      <c r="CE440" s="24"/>
      <c r="CF440" s="15"/>
      <c r="CG440" s="15"/>
      <c r="CH440" s="15"/>
      <c r="CI440" s="15"/>
      <c r="CJ440" s="24"/>
      <c r="CK440" s="15"/>
      <c r="CL440" s="15"/>
      <c r="CM440" s="15"/>
      <c r="CN440" s="40"/>
      <c r="CO440" s="24"/>
      <c r="CP440" s="104"/>
      <c r="CQ440" s="104"/>
      <c r="CR440" s="104"/>
      <c r="CS440" s="104"/>
      <c r="CT440" s="24"/>
      <c r="CU440" s="104"/>
      <c r="CV440" s="104"/>
      <c r="CW440" s="104"/>
      <c r="CX440" s="104"/>
      <c r="CY440" s="24"/>
      <c r="CZ440" s="104"/>
      <c r="DA440" s="104"/>
      <c r="DB440" s="104"/>
      <c r="DC440" s="104"/>
      <c r="DD440" s="24"/>
      <c r="DE440" s="104"/>
      <c r="DF440" s="104"/>
      <c r="DG440" s="104"/>
      <c r="DH440" s="104"/>
      <c r="DI440" s="24"/>
      <c r="DJ440" s="104"/>
      <c r="DK440" s="104"/>
      <c r="DL440" s="104"/>
      <c r="DM440" s="104"/>
      <c r="DN440" s="24"/>
      <c r="DO440" s="104"/>
      <c r="DP440" s="104"/>
      <c r="DQ440" s="104"/>
      <c r="DR440" s="104"/>
      <c r="DS440" s="24"/>
      <c r="DT440" s="104"/>
      <c r="DU440" s="104"/>
      <c r="DV440" s="104"/>
      <c r="DW440" s="104"/>
      <c r="DX440" s="24"/>
      <c r="DY440" s="104"/>
      <c r="DZ440" s="104"/>
      <c r="EA440" s="104"/>
      <c r="EB440" s="104"/>
      <c r="EC440" s="24"/>
      <c r="ED440" s="104"/>
      <c r="EE440" s="104"/>
      <c r="EF440" s="104"/>
      <c r="EG440" s="104"/>
      <c r="EH440" s="24"/>
      <c r="EI440" s="317"/>
      <c r="EJ440" s="104"/>
      <c r="EK440" s="104"/>
      <c r="EL440" s="104"/>
      <c r="EM440" s="24"/>
      <c r="EN440" s="104"/>
      <c r="EO440" s="104"/>
      <c r="EP440" s="104"/>
      <c r="EQ440" s="104"/>
      <c r="ER440" s="24"/>
      <c r="ES440" s="104"/>
      <c r="ET440" s="104"/>
      <c r="EU440" s="104"/>
      <c r="EV440" s="104"/>
      <c r="EW440" s="24"/>
      <c r="EX440" s="104"/>
      <c r="EY440" s="104"/>
      <c r="EZ440" s="104"/>
      <c r="FA440" s="104"/>
      <c r="FB440" s="24"/>
      <c r="FC440" s="104"/>
      <c r="FD440" s="104"/>
      <c r="FE440" s="104"/>
      <c r="FF440" s="104"/>
      <c r="FG440" s="24"/>
      <c r="FH440" s="104"/>
      <c r="FI440" s="15"/>
      <c r="FJ440" s="15"/>
      <c r="FK440" s="410"/>
      <c r="FL440" s="15"/>
    </row>
    <row r="441" ht="12.75" hidden="1" customHeight="1" outlineLevel="1">
      <c r="A441" s="4"/>
      <c r="B441" s="4" t="s">
        <v>194</v>
      </c>
      <c r="C441" s="45"/>
      <c r="D441" s="15"/>
      <c r="E441" s="15"/>
      <c r="F441" s="15"/>
      <c r="G441" s="15"/>
      <c r="H441" s="104"/>
      <c r="I441" s="15"/>
      <c r="J441" s="15"/>
      <c r="K441" s="15"/>
      <c r="L441" s="15"/>
      <c r="M441" s="104"/>
      <c r="N441" s="15"/>
      <c r="O441" s="15"/>
      <c r="P441" s="15"/>
      <c r="Q441" s="15"/>
      <c r="R441" s="104"/>
      <c r="S441" s="15"/>
      <c r="T441" s="15"/>
      <c r="U441" s="15"/>
      <c r="V441" s="15"/>
      <c r="W441" s="104"/>
      <c r="X441" s="15"/>
      <c r="Y441" s="15"/>
      <c r="Z441" s="15"/>
      <c r="AA441" s="15"/>
      <c r="AB441" s="104"/>
      <c r="AC441" s="15"/>
      <c r="AD441" s="15"/>
      <c r="AE441" s="15"/>
      <c r="AF441" s="15"/>
      <c r="AG441" s="104"/>
      <c r="AH441" s="15"/>
      <c r="AI441" s="15"/>
      <c r="AJ441" s="15"/>
      <c r="AK441" s="15"/>
      <c r="AL441" s="104"/>
      <c r="AM441" s="15"/>
      <c r="AN441" s="15"/>
      <c r="AO441" s="15"/>
      <c r="AP441" s="15"/>
      <c r="AQ441" s="104"/>
      <c r="AR441" s="15"/>
      <c r="AS441" s="15"/>
      <c r="AT441" s="15"/>
      <c r="AU441" s="15"/>
      <c r="AV441" s="104"/>
      <c r="AW441" s="15"/>
      <c r="AX441" s="15"/>
      <c r="AY441" s="15"/>
      <c r="AZ441" s="15"/>
      <c r="BA441" s="104"/>
      <c r="BB441" s="15"/>
      <c r="BC441" s="15"/>
      <c r="BD441" s="15"/>
      <c r="BE441" s="15"/>
      <c r="BF441" s="104"/>
      <c r="BG441" s="15"/>
      <c r="BH441" s="15"/>
      <c r="BI441" s="15"/>
      <c r="BJ441" s="15"/>
      <c r="BK441" s="104"/>
      <c r="BL441" s="15"/>
      <c r="BM441" s="15"/>
      <c r="BN441" s="15"/>
      <c r="BO441" s="15"/>
      <c r="BP441" s="104"/>
      <c r="BQ441" s="15"/>
      <c r="BR441" s="15"/>
      <c r="BS441" s="15"/>
      <c r="BT441" s="15"/>
      <c r="BU441" s="104"/>
      <c r="BV441" s="15"/>
      <c r="BW441" s="15"/>
      <c r="BX441" s="15"/>
      <c r="BY441" s="15"/>
      <c r="BZ441" s="24"/>
      <c r="CA441" s="15"/>
      <c r="CB441" s="15"/>
      <c r="CC441" s="15"/>
      <c r="CD441" s="15"/>
      <c r="CE441" s="24"/>
      <c r="CF441" s="15"/>
      <c r="CG441" s="15"/>
      <c r="CH441" s="15"/>
      <c r="CI441" s="15"/>
      <c r="CJ441" s="24"/>
      <c r="CK441" s="15"/>
      <c r="CL441" s="15"/>
      <c r="CM441" s="15"/>
      <c r="CN441" s="40"/>
      <c r="CO441" s="24"/>
      <c r="CP441" s="104"/>
      <c r="CQ441" s="104"/>
      <c r="CR441" s="104"/>
      <c r="CS441" s="104"/>
      <c r="CT441" s="24"/>
      <c r="CU441" s="104"/>
      <c r="CV441" s="104"/>
      <c r="CW441" s="104"/>
      <c r="CX441" s="104"/>
      <c r="CY441" s="24"/>
      <c r="CZ441" s="104"/>
      <c r="DA441" s="104"/>
      <c r="DB441" s="104"/>
      <c r="DC441" s="104"/>
      <c r="DD441" s="24"/>
      <c r="DE441" s="40">
        <f>(DE408-DC408)/(DE265-DC265)</f>
        <v>0.4267129228</v>
      </c>
      <c r="DF441" s="40">
        <f t="shared" ref="DF441:DH441" si="2419">(DF408-DE408)/(DF265-DE265)</f>
        <v>-0.0253164557</v>
      </c>
      <c r="DG441" s="40">
        <f t="shared" si="2419"/>
        <v>0.8887171561</v>
      </c>
      <c r="DH441" s="40">
        <f t="shared" si="2419"/>
        <v>-3.585106383</v>
      </c>
      <c r="DI441" s="24">
        <f>(DI408-DD408)/(DI265-DD265)</f>
        <v>2.075799087</v>
      </c>
      <c r="DJ441" s="40">
        <f>(DJ408-DH408)/(DJ265-DH265)</f>
        <v>0.6430517711</v>
      </c>
      <c r="DK441" s="40">
        <f t="shared" ref="DK441:DM441" si="2420">(DK408-DJ408)/(DK265-DJ265)</f>
        <v>0.8520833333</v>
      </c>
      <c r="DL441" s="40">
        <f t="shared" si="2420"/>
        <v>0.8683181226</v>
      </c>
      <c r="DM441" s="40">
        <f t="shared" si="2420"/>
        <v>2.104368932</v>
      </c>
      <c r="DN441" s="24">
        <f>(DN408-DI408)/(DN265-DI265)</f>
        <v>0.4268415742</v>
      </c>
      <c r="DO441" s="40">
        <f>(DO408-DM408)/(DO265-DM265)</f>
        <v>0.4797734628</v>
      </c>
      <c r="DP441" s="40">
        <f t="shared" ref="DP441:DR441" si="2421">(DP408-DO408)/(DP265-DO265)</f>
        <v>2.607843137</v>
      </c>
      <c r="DQ441" s="40">
        <f t="shared" si="2421"/>
        <v>0.6543778802</v>
      </c>
      <c r="DR441" s="40">
        <f t="shared" si="2421"/>
        <v>-0.7209302326</v>
      </c>
      <c r="DS441" s="24">
        <f>(DS408-DN408)/(DS265-DN265)</f>
        <v>5.964705882</v>
      </c>
      <c r="DT441" s="40">
        <f>(DT408-DR408)/(DT265-DR265)</f>
        <v>-0.5829787234</v>
      </c>
      <c r="DU441" s="40">
        <f t="shared" ref="DU441:DW441" si="2422">(DU408-DT408)/(DU265-DT265)</f>
        <v>4.956989247</v>
      </c>
      <c r="DV441" s="40">
        <f t="shared" si="2422"/>
        <v>2.028490028</v>
      </c>
      <c r="DW441" s="40">
        <f t="shared" si="2422"/>
        <v>0.8736263736</v>
      </c>
      <c r="DX441" s="24">
        <f>(DX408-DS408)/(DX265-DS265)</f>
        <v>-0.02507729303</v>
      </c>
      <c r="DY441" s="40">
        <f>(DY408-DW408)/(DY265-DW265)</f>
        <v>1.161676647</v>
      </c>
      <c r="DZ441" s="40">
        <f t="shared" ref="DZ441:EB441" si="2423">(DZ408-DY408)/(DZ265-DY265)</f>
        <v>0.7258064516</v>
      </c>
      <c r="EA441" s="40">
        <f t="shared" si="2423"/>
        <v>0.995505618</v>
      </c>
      <c r="EB441" s="40">
        <f t="shared" si="2423"/>
        <v>0.3368869936</v>
      </c>
      <c r="EC441" s="24">
        <f>(EC408-DX408)/(EC265-DX265)</f>
        <v>-1.00660793</v>
      </c>
      <c r="ED441" s="40">
        <f>(ED408-EB408)/(ED265-EB265)</f>
        <v>0.3855340302</v>
      </c>
      <c r="EE441" s="40"/>
      <c r="EF441" s="40"/>
      <c r="EG441" s="40"/>
      <c r="EH441" s="24" t="str">
        <f>(EH408-EC408)/(EH265-EC265)</f>
        <v>#ERROR!</v>
      </c>
      <c r="EI441" s="317"/>
      <c r="EJ441" s="104"/>
      <c r="EK441" s="104"/>
      <c r="EL441" s="104"/>
      <c r="EM441" s="24" t="str">
        <f>(EM408-EH408)/(EM265-EH265)</f>
        <v>#ERROR!</v>
      </c>
      <c r="EN441" s="104"/>
      <c r="EO441" s="104"/>
      <c r="EP441" s="104"/>
      <c r="EQ441" s="104"/>
      <c r="ER441" s="24" t="str">
        <f>(ER408-EM408)/(ER265-EM265)</f>
        <v>#ERROR!</v>
      </c>
      <c r="ES441" s="104"/>
      <c r="ET441" s="104"/>
      <c r="EU441" s="104"/>
      <c r="EV441" s="104"/>
      <c r="EW441" s="24" t="str">
        <f>(EW408-ER408)/(EW265-ER265)</f>
        <v>#ERROR!</v>
      </c>
      <c r="EX441" s="104"/>
      <c r="EY441" s="104"/>
      <c r="EZ441" s="104"/>
      <c r="FA441" s="104"/>
      <c r="FB441" s="24" t="str">
        <f>(FB408-EW408)/(FB265-EW265)</f>
        <v>#ERROR!</v>
      </c>
      <c r="FC441" s="104"/>
      <c r="FD441" s="104"/>
      <c r="FE441" s="104"/>
      <c r="FF441" s="104"/>
      <c r="FG441" s="24" t="str">
        <f>(FG408-FB408)/(FG265-FB265)</f>
        <v>#ERROR!</v>
      </c>
      <c r="FH441" s="104"/>
      <c r="FI441" s="15"/>
      <c r="FJ441" s="15"/>
      <c r="FK441" s="410"/>
      <c r="FL441" s="15"/>
    </row>
    <row r="442" ht="12.75" hidden="1" customHeight="1" outlineLevel="1">
      <c r="A442" s="4"/>
      <c r="B442" s="4" t="s">
        <v>210</v>
      </c>
      <c r="C442" s="45"/>
      <c r="D442" s="15"/>
      <c r="E442" s="15"/>
      <c r="F442" s="15"/>
      <c r="G442" s="15"/>
      <c r="H442" s="104"/>
      <c r="I442" s="15"/>
      <c r="J442" s="15"/>
      <c r="K442" s="15"/>
      <c r="L442" s="15"/>
      <c r="M442" s="104"/>
      <c r="N442" s="15"/>
      <c r="O442" s="15"/>
      <c r="P442" s="15"/>
      <c r="Q442" s="15"/>
      <c r="R442" s="104"/>
      <c r="S442" s="15"/>
      <c r="T442" s="15"/>
      <c r="U442" s="15"/>
      <c r="V442" s="15"/>
      <c r="W442" s="104"/>
      <c r="X442" s="15"/>
      <c r="Y442" s="15"/>
      <c r="Z442" s="15"/>
      <c r="AA442" s="15"/>
      <c r="AB442" s="104"/>
      <c r="AC442" s="15"/>
      <c r="AD442" s="15"/>
      <c r="AE442" s="15"/>
      <c r="AF442" s="15"/>
      <c r="AG442" s="104"/>
      <c r="AH442" s="15"/>
      <c r="AI442" s="15"/>
      <c r="AJ442" s="15"/>
      <c r="AK442" s="15"/>
      <c r="AL442" s="104"/>
      <c r="AM442" s="15"/>
      <c r="AN442" s="15"/>
      <c r="AO442" s="15"/>
      <c r="AP442" s="15"/>
      <c r="AQ442" s="104"/>
      <c r="AR442" s="15"/>
      <c r="AS442" s="15"/>
      <c r="AT442" s="15"/>
      <c r="AU442" s="15"/>
      <c r="AV442" s="104"/>
      <c r="AW442" s="15"/>
      <c r="AX442" s="15"/>
      <c r="AY442" s="15"/>
      <c r="AZ442" s="15"/>
      <c r="BA442" s="104"/>
      <c r="BB442" s="15"/>
      <c r="BC442" s="15"/>
      <c r="BD442" s="15"/>
      <c r="BE442" s="15"/>
      <c r="BF442" s="104"/>
      <c r="BG442" s="15"/>
      <c r="BH442" s="15"/>
      <c r="BI442" s="15"/>
      <c r="BJ442" s="15"/>
      <c r="BK442" s="104"/>
      <c r="BL442" s="15"/>
      <c r="BM442" s="15"/>
      <c r="BN442" s="15"/>
      <c r="BO442" s="15"/>
      <c r="BP442" s="104"/>
      <c r="BQ442" s="15"/>
      <c r="BR442" s="15"/>
      <c r="BS442" s="15"/>
      <c r="BT442" s="15"/>
      <c r="BU442" s="104"/>
      <c r="BV442" s="15"/>
      <c r="BW442" s="15"/>
      <c r="BX442" s="15"/>
      <c r="BY442" s="15"/>
      <c r="BZ442" s="24"/>
      <c r="CA442" s="15"/>
      <c r="CB442" s="15"/>
      <c r="CC442" s="15"/>
      <c r="CD442" s="15"/>
      <c r="CE442" s="24"/>
      <c r="CF442" s="15"/>
      <c r="CG442" s="15"/>
      <c r="CH442" s="15"/>
      <c r="CI442" s="15"/>
      <c r="CJ442" s="24"/>
      <c r="CK442" s="15"/>
      <c r="CL442" s="15"/>
      <c r="CM442" s="15"/>
      <c r="CN442" s="40"/>
      <c r="CO442" s="24"/>
      <c r="CP442" s="104"/>
      <c r="CQ442" s="104"/>
      <c r="CR442" s="104"/>
      <c r="CS442" s="104"/>
      <c r="CT442" s="24"/>
      <c r="CU442" s="104"/>
      <c r="CV442" s="104"/>
      <c r="CW442" s="104"/>
      <c r="CX442" s="104"/>
      <c r="CY442" s="24"/>
      <c r="CZ442" s="104"/>
      <c r="DA442" s="104"/>
      <c r="DB442" s="104"/>
      <c r="DC442" s="104"/>
      <c r="DD442" s="24"/>
      <c r="DE442" s="40">
        <f>(DE411-DC411)/(DE324-DC324)</f>
        <v>0.9036697248</v>
      </c>
      <c r="DF442" s="40">
        <f t="shared" ref="DF442:DH442" si="2424">(DF411-DE411)/(DF324-DE324)</f>
        <v>1.242857143</v>
      </c>
      <c r="DG442" s="40">
        <f t="shared" si="2424"/>
        <v>1.173913043</v>
      </c>
      <c r="DH442" s="40">
        <f t="shared" si="2424"/>
        <v>1.046875</v>
      </c>
      <c r="DI442" s="24">
        <f>(DI411-DD411)/(DI324-DD324)</f>
        <v>0.4786652079</v>
      </c>
      <c r="DJ442" s="40">
        <f>(DJ411-DH411)/(DJ324-DH324)</f>
        <v>1.120689655</v>
      </c>
      <c r="DK442" s="40">
        <f t="shared" ref="DK442:DM442" si="2425">(DK411-DJ411)/(DK324-DJ324)</f>
        <v>0.3684210526</v>
      </c>
      <c r="DL442" s="40">
        <f t="shared" si="2425"/>
        <v>0.5978090767</v>
      </c>
      <c r="DM442" s="40">
        <f t="shared" si="2425"/>
        <v>0.3857142857</v>
      </c>
      <c r="DN442" s="24">
        <f>(DN411-DI411)/(DN324-DI324)</f>
        <v>0.7849406911</v>
      </c>
      <c r="DO442" s="40">
        <f>(DO411-DM411)/(DO324-DM324)</f>
        <v>1.040274207</v>
      </c>
      <c r="DP442" s="40">
        <f t="shared" ref="DP442:DR442" si="2426">(DP411-DO411)/(DP324-DO324)</f>
        <v>-0.5061728395</v>
      </c>
      <c r="DQ442" s="40">
        <f t="shared" si="2426"/>
        <v>0.9392857143</v>
      </c>
      <c r="DR442" s="40">
        <f t="shared" si="2426"/>
        <v>0.4289156627</v>
      </c>
      <c r="DS442" s="24">
        <f>(DS411-DN411)/(DS324-DN324)</f>
        <v>-2.248608534</v>
      </c>
      <c r="DT442" s="40">
        <f>(DT411-DR411)/(DT324-DR324)</f>
        <v>-0.09545454545</v>
      </c>
      <c r="DU442" s="40">
        <f t="shared" ref="DU442:DW442" si="2427">(DU411-DT411)/(DU324-DT324)</f>
        <v>-3.169354839</v>
      </c>
      <c r="DV442" s="40">
        <f t="shared" si="2427"/>
        <v>0.9867986799</v>
      </c>
      <c r="DW442" s="40">
        <f t="shared" si="2427"/>
        <v>0.9508196721</v>
      </c>
      <c r="DX442" s="24">
        <f>(DX411-DS411)/(DX324-DS324)</f>
        <v>0.1311975591</v>
      </c>
      <c r="DY442" s="40">
        <f>(DY411-DW411)/(DY324-DW324)</f>
        <v>1.534351145</v>
      </c>
      <c r="DZ442" s="40">
        <f t="shared" ref="DZ442:EB442" si="2428">(DZ411-DY411)/(DZ324-DY324)</f>
        <v>0.7497194164</v>
      </c>
      <c r="EA442" s="40" t="str">
        <f t="shared" si="2428"/>
        <v>#ERROR!</v>
      </c>
      <c r="EB442" s="40" t="str">
        <f t="shared" si="2428"/>
        <v>#ERROR!</v>
      </c>
      <c r="EC442" s="24" t="str">
        <f>(EC411-DX411)/(EC324-DX324)</f>
        <v>#ERROR!</v>
      </c>
      <c r="ED442" s="40" t="str">
        <f>(ED411-EB411)/(ED324-EB324)</f>
        <v>#ERROR!</v>
      </c>
      <c r="EE442" s="40"/>
      <c r="EF442" s="40"/>
      <c r="EG442" s="40"/>
      <c r="EH442" s="24" t="str">
        <f>(EH411-EC411)/(EH324-EC324)</f>
        <v>#ERROR!</v>
      </c>
      <c r="EI442" s="317"/>
      <c r="EJ442" s="104"/>
      <c r="EK442" s="104"/>
      <c r="EL442" s="104"/>
      <c r="EM442" s="24" t="str">
        <f>(EM411-EH411)/(EM324-EH324)</f>
        <v>#ERROR!</v>
      </c>
      <c r="EN442" s="104"/>
      <c r="EO442" s="104"/>
      <c r="EP442" s="104"/>
      <c r="EQ442" s="104"/>
      <c r="ER442" s="24" t="str">
        <f>(ER411-EM411)/(ER324-EM324)</f>
        <v>#ERROR!</v>
      </c>
      <c r="ES442" s="104"/>
      <c r="ET442" s="104"/>
      <c r="EU442" s="104"/>
      <c r="EV442" s="104"/>
      <c r="EW442" s="24" t="str">
        <f>(EW411-ER411)/(EW324-ER324)</f>
        <v>#ERROR!</v>
      </c>
      <c r="EX442" s="104"/>
      <c r="EY442" s="104"/>
      <c r="EZ442" s="104"/>
      <c r="FA442" s="104"/>
      <c r="FB442" s="24" t="str">
        <f>(FB411-EW411)/(FB324-EW324)</f>
        <v>#ERROR!</v>
      </c>
      <c r="FC442" s="104"/>
      <c r="FD442" s="104"/>
      <c r="FE442" s="104"/>
      <c r="FF442" s="104"/>
      <c r="FG442" s="24" t="str">
        <f>(FG411-FB411)/(FG324-FB324)</f>
        <v>#ERROR!</v>
      </c>
      <c r="FH442" s="104"/>
      <c r="FI442" s="15"/>
      <c r="FJ442" s="15"/>
      <c r="FK442" s="410"/>
      <c r="FL442" s="15"/>
    </row>
    <row r="443" ht="12.75" hidden="1" customHeight="1" outlineLevel="1">
      <c r="A443" s="4"/>
      <c r="B443" s="4" t="s">
        <v>222</v>
      </c>
      <c r="C443" s="45"/>
      <c r="D443" s="15"/>
      <c r="E443" s="15"/>
      <c r="F443" s="15"/>
      <c r="G443" s="15"/>
      <c r="H443" s="104"/>
      <c r="I443" s="15"/>
      <c r="J443" s="15"/>
      <c r="K443" s="15"/>
      <c r="L443" s="15"/>
      <c r="M443" s="104"/>
      <c r="N443" s="15"/>
      <c r="O443" s="15"/>
      <c r="P443" s="15"/>
      <c r="Q443" s="15"/>
      <c r="R443" s="104"/>
      <c r="S443" s="15"/>
      <c r="T443" s="15"/>
      <c r="U443" s="15"/>
      <c r="V443" s="15"/>
      <c r="W443" s="104"/>
      <c r="X443" s="15"/>
      <c r="Y443" s="15"/>
      <c r="Z443" s="15"/>
      <c r="AA443" s="15"/>
      <c r="AB443" s="104"/>
      <c r="AC443" s="15"/>
      <c r="AD443" s="15"/>
      <c r="AE443" s="15"/>
      <c r="AF443" s="15"/>
      <c r="AG443" s="104"/>
      <c r="AH443" s="15"/>
      <c r="AI443" s="15"/>
      <c r="AJ443" s="15"/>
      <c r="AK443" s="15"/>
      <c r="AL443" s="104"/>
      <c r="AM443" s="15"/>
      <c r="AN443" s="15"/>
      <c r="AO443" s="15"/>
      <c r="AP443" s="15"/>
      <c r="AQ443" s="104"/>
      <c r="AR443" s="15"/>
      <c r="AS443" s="15"/>
      <c r="AT443" s="15"/>
      <c r="AU443" s="15"/>
      <c r="AV443" s="104"/>
      <c r="AW443" s="15"/>
      <c r="AX443" s="15"/>
      <c r="AY443" s="15"/>
      <c r="AZ443" s="15"/>
      <c r="BA443" s="104"/>
      <c r="BB443" s="15"/>
      <c r="BC443" s="15"/>
      <c r="BD443" s="15"/>
      <c r="BE443" s="15"/>
      <c r="BF443" s="104"/>
      <c r="BG443" s="15"/>
      <c r="BH443" s="15"/>
      <c r="BI443" s="15"/>
      <c r="BJ443" s="15"/>
      <c r="BK443" s="104"/>
      <c r="BL443" s="15"/>
      <c r="BM443" s="15"/>
      <c r="BN443" s="15"/>
      <c r="BO443" s="15"/>
      <c r="BP443" s="104"/>
      <c r="BQ443" s="15"/>
      <c r="BR443" s="15"/>
      <c r="BS443" s="15"/>
      <c r="BT443" s="15"/>
      <c r="BU443" s="104"/>
      <c r="BV443" s="15"/>
      <c r="BW443" s="15"/>
      <c r="BX443" s="15"/>
      <c r="BY443" s="15"/>
      <c r="BZ443" s="24"/>
      <c r="CA443" s="15"/>
      <c r="CB443" s="15"/>
      <c r="CC443" s="15"/>
      <c r="CD443" s="15"/>
      <c r="CE443" s="24"/>
      <c r="CF443" s="15"/>
      <c r="CG443" s="15"/>
      <c r="CH443" s="15"/>
      <c r="CI443" s="15"/>
      <c r="CJ443" s="24"/>
      <c r="CK443" s="15"/>
      <c r="CL443" s="15"/>
      <c r="CM443" s="15"/>
      <c r="CN443" s="40"/>
      <c r="CO443" s="24"/>
      <c r="CP443" s="104"/>
      <c r="CQ443" s="104"/>
      <c r="CR443" s="104"/>
      <c r="CS443" s="104"/>
      <c r="CT443" s="24"/>
      <c r="CU443" s="104"/>
      <c r="CV443" s="104"/>
      <c r="CW443" s="104"/>
      <c r="CX443" s="104"/>
      <c r="CY443" s="24"/>
      <c r="CZ443" s="104"/>
      <c r="DA443" s="104"/>
      <c r="DB443" s="104"/>
      <c r="DC443" s="104"/>
      <c r="DD443" s="24"/>
      <c r="DE443" s="40">
        <f>(DE412-DC412)/(DE357-DC357)</f>
        <v>15.4</v>
      </c>
      <c r="DF443" s="40">
        <f t="shared" ref="DF443:DH443" si="2429">(DF412-DE412)/(DF357-DE357)</f>
        <v>-34</v>
      </c>
      <c r="DG443" s="40">
        <f t="shared" si="2429"/>
        <v>0.05426356589</v>
      </c>
      <c r="DH443" s="40">
        <f t="shared" si="2429"/>
        <v>3.8</v>
      </c>
      <c r="DI443" s="24">
        <f>(DI412-DD412)/(DI357-DD357)</f>
        <v>0.1224105461</v>
      </c>
      <c r="DJ443" s="40">
        <f>(DJ412-DH412)/(DJ357-DH357)</f>
        <v>0.8461538462</v>
      </c>
      <c r="DK443" s="40">
        <f t="shared" ref="DK443:DM443" si="2430">(DK412-DJ412)/(DK357-DJ357)</f>
        <v>0.4</v>
      </c>
      <c r="DL443" s="40">
        <f t="shared" si="2430"/>
        <v>2</v>
      </c>
      <c r="DM443" s="40">
        <f t="shared" si="2430"/>
        <v>1.281553398</v>
      </c>
      <c r="DN443" s="24">
        <f>(DN412-DI412)/(DN357-DI357)</f>
        <v>1.153846154</v>
      </c>
      <c r="DO443" s="40">
        <f>(DO412-DM412)/(DO357-DM357)</f>
        <v>1.382978723</v>
      </c>
      <c r="DP443" s="40">
        <f t="shared" ref="DP443:DR443" si="2431">(DP412-DO412)/(DP357-DO357)</f>
        <v>0.3684210526</v>
      </c>
      <c r="DQ443" s="40">
        <f t="shared" si="2431"/>
        <v>1.526315789</v>
      </c>
      <c r="DR443" s="40">
        <f t="shared" si="2431"/>
        <v>0.8941176471</v>
      </c>
      <c r="DS443" s="24">
        <f>(DS412-DN412)/(DS357-DN357)</f>
        <v>0.9890710383</v>
      </c>
      <c r="DT443" s="40">
        <f>(DT412-DR412)/(DT357-DR357)</f>
        <v>-0.8378378378</v>
      </c>
      <c r="DU443" s="40">
        <f t="shared" ref="DU443:DW443" si="2432">(DU412-DT412)/(DU357-DT357)</f>
        <v>1.244131455</v>
      </c>
      <c r="DV443" s="40">
        <f t="shared" si="2432"/>
        <v>6</v>
      </c>
      <c r="DW443" s="40">
        <f t="shared" si="2432"/>
        <v>1.25</v>
      </c>
      <c r="DX443" s="24">
        <f>(DX412-DS412)/(DX357-DS357)</f>
        <v>0.742014742</v>
      </c>
      <c r="DY443" s="40">
        <f>(DY412-DW412)/(DY357-DW357)</f>
        <v>0.9197080292</v>
      </c>
      <c r="DZ443" s="40">
        <f t="shared" ref="DZ443:EB443" si="2433">(DZ412-DY412)/(DZ357-DY357)</f>
        <v>0.5285714286</v>
      </c>
      <c r="EA443" s="40">
        <f t="shared" si="2433"/>
        <v>-0.2586206897</v>
      </c>
      <c r="EB443" s="40">
        <f t="shared" si="2433"/>
        <v>-0.75</v>
      </c>
      <c r="EC443" s="24">
        <f>(EC412-DX412)/(EC357-DX357)</f>
        <v>0.7739656912</v>
      </c>
      <c r="ED443" s="40" t="str">
        <f>(ED412-EB412)/(ED357-EB357)</f>
        <v>#DIV/0!</v>
      </c>
      <c r="EE443" s="40"/>
      <c r="EF443" s="40"/>
      <c r="EG443" s="40"/>
      <c r="EH443" s="24">
        <f>(EH412-EC412)/(EH357-EC357)</f>
        <v>0.5482876609</v>
      </c>
      <c r="EI443" s="317"/>
      <c r="EJ443" s="104"/>
      <c r="EK443" s="104"/>
      <c r="EL443" s="104"/>
      <c r="EM443" s="24">
        <f>(EM412-EH412)/(EM357-EH357)</f>
        <v>0.6080436984</v>
      </c>
      <c r="EN443" s="104"/>
      <c r="EO443" s="104"/>
      <c r="EP443" s="104"/>
      <c r="EQ443" s="104"/>
      <c r="ER443" s="24">
        <f>(ER412-EM412)/(ER357-EM357)</f>
        <v>0.6514760946</v>
      </c>
      <c r="ES443" s="104"/>
      <c r="ET443" s="104"/>
      <c r="EU443" s="104"/>
      <c r="EV443" s="104"/>
      <c r="EW443" s="24">
        <f>(EW412-ER412)/(EW357-ER357)</f>
        <v>0.7811356861</v>
      </c>
      <c r="EX443" s="104"/>
      <c r="EY443" s="104"/>
      <c r="EZ443" s="104"/>
      <c r="FA443" s="104"/>
      <c r="FB443" s="24">
        <f>(FB412-EW412)/(FB357-EW357)</f>
        <v>0.8889805899</v>
      </c>
      <c r="FC443" s="104"/>
      <c r="FD443" s="104"/>
      <c r="FE443" s="104"/>
      <c r="FF443" s="104"/>
      <c r="FG443" s="24">
        <f>(FG412-FB412)/(FG357-FB357)</f>
        <v>1.019574093</v>
      </c>
      <c r="FH443" s="104"/>
      <c r="FI443" s="15"/>
      <c r="FJ443" s="15"/>
      <c r="FK443" s="410"/>
      <c r="FL443" s="15"/>
    </row>
    <row r="444" ht="12.75" hidden="1" customHeight="1" outlineLevel="1">
      <c r="A444" s="4"/>
      <c r="B444" s="4" t="s">
        <v>224</v>
      </c>
      <c r="C444" s="45"/>
      <c r="D444" s="15"/>
      <c r="E444" s="15"/>
      <c r="F444" s="15"/>
      <c r="G444" s="15"/>
      <c r="H444" s="104"/>
      <c r="I444" s="15"/>
      <c r="J444" s="15"/>
      <c r="K444" s="15"/>
      <c r="L444" s="15"/>
      <c r="M444" s="104"/>
      <c r="N444" s="15"/>
      <c r="O444" s="15"/>
      <c r="P444" s="15"/>
      <c r="Q444" s="15"/>
      <c r="R444" s="104"/>
      <c r="S444" s="15"/>
      <c r="T444" s="15"/>
      <c r="U444" s="15"/>
      <c r="V444" s="15"/>
      <c r="W444" s="104"/>
      <c r="X444" s="15"/>
      <c r="Y444" s="15"/>
      <c r="Z444" s="15"/>
      <c r="AA444" s="15"/>
      <c r="AB444" s="104"/>
      <c r="AC444" s="15"/>
      <c r="AD444" s="15"/>
      <c r="AE444" s="15"/>
      <c r="AF444" s="15"/>
      <c r="AG444" s="104"/>
      <c r="AH444" s="15"/>
      <c r="AI444" s="15"/>
      <c r="AJ444" s="15"/>
      <c r="AK444" s="15"/>
      <c r="AL444" s="104"/>
      <c r="AM444" s="15"/>
      <c r="AN444" s="15"/>
      <c r="AO444" s="15"/>
      <c r="AP444" s="15"/>
      <c r="AQ444" s="104"/>
      <c r="AR444" s="15"/>
      <c r="AS444" s="15"/>
      <c r="AT444" s="15"/>
      <c r="AU444" s="15"/>
      <c r="AV444" s="104"/>
      <c r="AW444" s="15"/>
      <c r="AX444" s="15"/>
      <c r="AY444" s="15"/>
      <c r="AZ444" s="15"/>
      <c r="BA444" s="104"/>
      <c r="BB444" s="15"/>
      <c r="BC444" s="15"/>
      <c r="BD444" s="15"/>
      <c r="BE444" s="15"/>
      <c r="BF444" s="104"/>
      <c r="BG444" s="15"/>
      <c r="BH444" s="15"/>
      <c r="BI444" s="15"/>
      <c r="BJ444" s="15"/>
      <c r="BK444" s="104"/>
      <c r="BL444" s="15"/>
      <c r="BM444" s="15"/>
      <c r="BN444" s="15"/>
      <c r="BO444" s="15"/>
      <c r="BP444" s="104"/>
      <c r="BQ444" s="15"/>
      <c r="BR444" s="15"/>
      <c r="BS444" s="15"/>
      <c r="BT444" s="15"/>
      <c r="BU444" s="104"/>
      <c r="BV444" s="15"/>
      <c r="BW444" s="15"/>
      <c r="BX444" s="15"/>
      <c r="BY444" s="15"/>
      <c r="BZ444" s="24"/>
      <c r="CA444" s="15"/>
      <c r="CB444" s="15"/>
      <c r="CC444" s="15"/>
      <c r="CD444" s="15"/>
      <c r="CE444" s="24"/>
      <c r="CF444" s="15"/>
      <c r="CG444" s="15"/>
      <c r="CH444" s="15"/>
      <c r="CI444" s="15"/>
      <c r="CJ444" s="24"/>
      <c r="CK444" s="15"/>
      <c r="CL444" s="15"/>
      <c r="CM444" s="15"/>
      <c r="CN444" s="40"/>
      <c r="CO444" s="24"/>
      <c r="CP444" s="104"/>
      <c r="CQ444" s="104"/>
      <c r="CR444" s="104"/>
      <c r="CS444" s="104"/>
      <c r="CT444" s="24"/>
      <c r="CU444" s="104"/>
      <c r="CV444" s="104"/>
      <c r="CW444" s="104"/>
      <c r="CX444" s="104"/>
      <c r="CY444" s="24"/>
      <c r="CZ444" s="104"/>
      <c r="DA444" s="104"/>
      <c r="DB444" s="104"/>
      <c r="DC444" s="104"/>
      <c r="DD444" s="24"/>
      <c r="DE444" s="40">
        <f>(DE413-DC413)/(DE362-DC362)</f>
        <v>-0.76</v>
      </c>
      <c r="DF444" s="40">
        <f t="shared" ref="DF444:DH444" si="2434">(DF413-DE413)/(DF362-DE362)</f>
        <v>2.375</v>
      </c>
      <c r="DG444" s="40">
        <f t="shared" si="2434"/>
        <v>3.411764706</v>
      </c>
      <c r="DH444" s="327">
        <f t="shared" si="2434"/>
        <v>-41.5</v>
      </c>
      <c r="DI444" s="24">
        <f>(DI413-DD413)/(DI362-DD362)</f>
        <v>0.3008474576</v>
      </c>
      <c r="DJ444" s="40">
        <f>(DJ413-DH413)/(DJ362-DH362)</f>
        <v>-0.7417218543</v>
      </c>
      <c r="DK444" s="40">
        <f t="shared" ref="DK444:DM444" si="2435">(DK413-DJ413)/(DK362-DJ362)</f>
        <v>0.4102564103</v>
      </c>
      <c r="DL444" s="40">
        <f t="shared" si="2435"/>
        <v>112.5</v>
      </c>
      <c r="DM444" s="40">
        <f t="shared" si="2435"/>
        <v>-6.884615385</v>
      </c>
      <c r="DN444" s="24">
        <f>(DN413-DI413)/(DN362-DI362)</f>
        <v>0.3240152478</v>
      </c>
      <c r="DO444" s="40">
        <f>(DO413-DM413)/(DO362-DM362)</f>
        <v>1.447916667</v>
      </c>
      <c r="DP444" s="40">
        <f t="shared" ref="DP444:DR444" si="2436">(DP413-DO413)/(DP362-DO362)</f>
        <v>0.52</v>
      </c>
      <c r="DQ444" s="40">
        <f t="shared" si="2436"/>
        <v>-0.6142857143</v>
      </c>
      <c r="DR444" s="40">
        <f t="shared" si="2436"/>
        <v>-5.520547945</v>
      </c>
      <c r="DS444" s="24">
        <f>(DS413-DN413)/(DS362-DN362)</f>
        <v>-21.29090909</v>
      </c>
      <c r="DT444" s="40">
        <f>(DT413-DR413)/(DT362-DR362)</f>
        <v>0.2479338843</v>
      </c>
      <c r="DU444" s="40">
        <f t="shared" ref="DU444:DW444" si="2437">(DU413-DT413)/(DU362-DT362)</f>
        <v>1.208722741</v>
      </c>
      <c r="DV444" s="40">
        <f t="shared" si="2437"/>
        <v>0.5790513834</v>
      </c>
      <c r="DW444" s="40">
        <f t="shared" si="2437"/>
        <v>0.8545454545</v>
      </c>
      <c r="DX444" s="24">
        <f>(DX413-DS413)/(DX362-DS362)</f>
        <v>1.543172691</v>
      </c>
      <c r="DY444" s="40">
        <f>(DY413-DW413)/(DY362-DW362)</f>
        <v>-0.9405940594</v>
      </c>
      <c r="DZ444" s="40">
        <f t="shared" ref="DZ444:EB444" si="2438">(DZ413-DY413)/(DZ362-DY362)</f>
        <v>-25.66666667</v>
      </c>
      <c r="EA444" s="40">
        <f t="shared" si="2438"/>
        <v>5.714285714</v>
      </c>
      <c r="EB444" s="40">
        <f t="shared" si="2438"/>
        <v>0.8073394495</v>
      </c>
      <c r="EC444" s="24">
        <f>(EC413-DX413)/(EC362-DX362)</f>
        <v>-0.9581749049</v>
      </c>
      <c r="ED444" s="40">
        <f>(ED413-EB413)/(ED362-EB362)</f>
        <v>0.3554216867</v>
      </c>
      <c r="EE444" s="40"/>
      <c r="EF444" s="40"/>
      <c r="EG444" s="40"/>
      <c r="EH444" s="24">
        <f>(EH413-EC413)/(EH362-EC362)</f>
        <v>0.3179284719</v>
      </c>
      <c r="EI444" s="317"/>
      <c r="EJ444" s="104"/>
      <c r="EK444" s="104"/>
      <c r="EL444" s="104"/>
      <c r="EM444" s="24" t="str">
        <f>(EM413-EH413)/(EM362-EH362)</f>
        <v>#DIV/0!</v>
      </c>
      <c r="EN444" s="104"/>
      <c r="EO444" s="104"/>
      <c r="EP444" s="104"/>
      <c r="EQ444" s="104"/>
      <c r="ER444" s="24" t="str">
        <f>(ER413-EM413)/(ER362-EM362)</f>
        <v>#DIV/0!</v>
      </c>
      <c r="ES444" s="104"/>
      <c r="ET444" s="104"/>
      <c r="EU444" s="104"/>
      <c r="EV444" s="104"/>
      <c r="EW444" s="24" t="str">
        <f>(EW413-ER413)/(EW362-ER362)</f>
        <v>#DIV/0!</v>
      </c>
      <c r="EX444" s="104"/>
      <c r="EY444" s="104"/>
      <c r="EZ444" s="104"/>
      <c r="FA444" s="104"/>
      <c r="FB444" s="24" t="str">
        <f>(FB413-EW413)/(FB362-EW362)</f>
        <v>#DIV/0!</v>
      </c>
      <c r="FC444" s="104"/>
      <c r="FD444" s="104"/>
      <c r="FE444" s="104"/>
      <c r="FF444" s="104"/>
      <c r="FG444" s="24" t="str">
        <f>(FG413-FB413)/(FG362-FB362)</f>
        <v>#DIV/0!</v>
      </c>
      <c r="FH444" s="104"/>
      <c r="FI444" s="15"/>
      <c r="FJ444" s="15"/>
      <c r="FK444" s="410"/>
      <c r="FL444" s="15"/>
    </row>
    <row r="445" ht="12.75" hidden="1" customHeight="1" outlineLevel="1">
      <c r="A445" s="4"/>
      <c r="B445" s="4" t="s">
        <v>259</v>
      </c>
      <c r="C445" s="45"/>
      <c r="D445" s="15"/>
      <c r="E445" s="15"/>
      <c r="F445" s="15"/>
      <c r="G445" s="15"/>
      <c r="H445" s="104"/>
      <c r="I445" s="15"/>
      <c r="J445" s="15"/>
      <c r="K445" s="15"/>
      <c r="L445" s="15"/>
      <c r="M445" s="104"/>
      <c r="N445" s="15"/>
      <c r="O445" s="15"/>
      <c r="P445" s="15"/>
      <c r="Q445" s="15"/>
      <c r="R445" s="104"/>
      <c r="S445" s="15"/>
      <c r="T445" s="15"/>
      <c r="U445" s="15"/>
      <c r="V445" s="15"/>
      <c r="W445" s="104"/>
      <c r="X445" s="15"/>
      <c r="Y445" s="15"/>
      <c r="Z445" s="15"/>
      <c r="AA445" s="15"/>
      <c r="AB445" s="104"/>
      <c r="AC445" s="15"/>
      <c r="AD445" s="15"/>
      <c r="AE445" s="15"/>
      <c r="AF445" s="15"/>
      <c r="AG445" s="104"/>
      <c r="AH445" s="15"/>
      <c r="AI445" s="15"/>
      <c r="AJ445" s="15"/>
      <c r="AK445" s="15"/>
      <c r="AL445" s="104"/>
      <c r="AM445" s="15"/>
      <c r="AN445" s="15"/>
      <c r="AO445" s="15"/>
      <c r="AP445" s="15"/>
      <c r="AQ445" s="104"/>
      <c r="AR445" s="15"/>
      <c r="AS445" s="15"/>
      <c r="AT445" s="15"/>
      <c r="AU445" s="15"/>
      <c r="AV445" s="104"/>
      <c r="AW445" s="15"/>
      <c r="AX445" s="15"/>
      <c r="AY445" s="15"/>
      <c r="AZ445" s="15"/>
      <c r="BA445" s="104"/>
      <c r="BB445" s="15"/>
      <c r="BC445" s="15"/>
      <c r="BD445" s="15"/>
      <c r="BE445" s="15"/>
      <c r="BF445" s="104"/>
      <c r="BG445" s="15"/>
      <c r="BH445" s="15"/>
      <c r="BI445" s="15"/>
      <c r="BJ445" s="15"/>
      <c r="BK445" s="104"/>
      <c r="BL445" s="15"/>
      <c r="BM445" s="15"/>
      <c r="BN445" s="15"/>
      <c r="BO445" s="15"/>
      <c r="BP445" s="104"/>
      <c r="BQ445" s="15"/>
      <c r="BR445" s="15"/>
      <c r="BS445" s="15"/>
      <c r="BT445" s="15"/>
      <c r="BU445" s="104"/>
      <c r="BV445" s="15"/>
      <c r="BW445" s="15"/>
      <c r="BX445" s="15"/>
      <c r="BY445" s="15"/>
      <c r="BZ445" s="24"/>
      <c r="CA445" s="15"/>
      <c r="CB445" s="15"/>
      <c r="CC445" s="15"/>
      <c r="CD445" s="15"/>
      <c r="CE445" s="24"/>
      <c r="CF445" s="15"/>
      <c r="CG445" s="15"/>
      <c r="CH445" s="15"/>
      <c r="CI445" s="15"/>
      <c r="CJ445" s="24"/>
      <c r="CK445" s="15"/>
      <c r="CL445" s="15"/>
      <c r="CM445" s="15"/>
      <c r="CN445" s="40"/>
      <c r="CO445" s="24"/>
      <c r="CP445" s="104"/>
      <c r="CQ445" s="104"/>
      <c r="CR445" s="104"/>
      <c r="CS445" s="104"/>
      <c r="CT445" s="24"/>
      <c r="CU445" s="104"/>
      <c r="CV445" s="104"/>
      <c r="CW445" s="104"/>
      <c r="CX445" s="104"/>
      <c r="CY445" s="24"/>
      <c r="CZ445" s="104"/>
      <c r="DA445" s="104"/>
      <c r="DB445" s="104"/>
      <c r="DC445" s="104"/>
      <c r="DD445" s="24"/>
      <c r="DE445" s="40">
        <f>((DE408+DE411)-(DC408+DC411))/((DE265+DE324)-(DC265+DC324))</f>
        <v>0.5575833858</v>
      </c>
      <c r="DF445" s="40">
        <f t="shared" ref="DF445:DH445" si="2439">((DF408+DF411)-(DE408+DE411))/((DF265+DF324)-(DE265+DE324))</f>
        <v>0.4456233422</v>
      </c>
      <c r="DG445" s="40">
        <f t="shared" si="2439"/>
        <v>1.013876843</v>
      </c>
      <c r="DH445" s="40">
        <f t="shared" si="2439"/>
        <v>0.5012531328</v>
      </c>
      <c r="DI445" s="24">
        <f>((DI408+DI411)-(DD408+DD411))/((DI265+DI324)-(DD265+DD324))</f>
        <v>1.07697571</v>
      </c>
      <c r="DJ445" s="40">
        <f>((DJ408+DJ411)-(DH408+DH411))/((DJ265+DJ324)-(DH265+DH324))</f>
        <v>0.7966728281</v>
      </c>
      <c r="DK445" s="40">
        <f t="shared" ref="DK445:DM445" si="2440">((DK408+DK411)-(DJ408+DJ411))/((DK265+DK324)-(DJ265+DJ324))</f>
        <v>0.6796246649</v>
      </c>
      <c r="DL445" s="40">
        <f t="shared" si="2440"/>
        <v>0.7887712839</v>
      </c>
      <c r="DM445" s="40">
        <f t="shared" si="2440"/>
        <v>1.854771784</v>
      </c>
      <c r="DN445" s="24">
        <f>((DN408+DN411)-(DI408+DI411))/((DN265+DN324)-(DI265+DI324))</f>
        <v>0.6295431324</v>
      </c>
      <c r="DO445" s="40">
        <f>((DO408+DO411)-(DM408+DM411))/((DO265+DO324)-(DM265+DM324))</f>
        <v>0.7519766958</v>
      </c>
      <c r="DP445" s="40">
        <f t="shared" ref="DP445:DR445" si="2441">((DP408+DP411)-(DO408+DO411))/((DP265+DP324)-(DO265+DO324))</f>
        <v>1.857142857</v>
      </c>
      <c r="DQ445" s="40">
        <f t="shared" si="2441"/>
        <v>0.8302469136</v>
      </c>
      <c r="DR445" s="40">
        <f t="shared" si="2441"/>
        <v>0.1229000884</v>
      </c>
      <c r="DS445" s="24">
        <f>((DS408+DS411)-(DN408+DN411))/((DS265+DS324)-(DN265+DN324))</f>
        <v>-0.2792665726</v>
      </c>
      <c r="DT445" s="40">
        <f>((DT408+DT411)-(DR408+DR411))/((DT265+DT324)-(DR265+DR324))</f>
        <v>-0.3472527473</v>
      </c>
      <c r="DU445" s="40">
        <f t="shared" ref="DU445:DW445" si="2442">((DU408+DU411)-(DT408+DT411))/((DU265+DU324)-(DT265+DT324))</f>
        <v>11.45806452</v>
      </c>
      <c r="DV445" s="40">
        <f t="shared" si="2442"/>
        <v>0.5621370499</v>
      </c>
      <c r="DW445" s="40">
        <f t="shared" si="2442"/>
        <v>0.8847058824</v>
      </c>
      <c r="DX445" s="24">
        <f>((DX408+DX411)-(DS408+DS411))/((DX265+DX324)-(DS265+DS324))</f>
        <v>0.04897885415</v>
      </c>
      <c r="DY445" s="40">
        <f>((DY408+DY411)-(DW408+DW411))/((DY265+DY324)-(DW265+DW324))</f>
        <v>1.389277389</v>
      </c>
      <c r="DZ445" s="40">
        <f t="shared" ref="DZ445:EB445" si="2443">((DZ408+DZ411)-(DY408+DY411))/((DZ265+DZ324)-(DY265+DY324))</f>
        <v>0.7797468354</v>
      </c>
      <c r="EA445" s="40" t="str">
        <f t="shared" si="2443"/>
        <v>#ERROR!</v>
      </c>
      <c r="EB445" s="40" t="str">
        <f t="shared" si="2443"/>
        <v>#ERROR!</v>
      </c>
      <c r="EC445" s="24" t="str">
        <f>((EC408+EC411)-(DX408+DX411))/((EC265+EC324)-(DX265+DX324))</f>
        <v>#ERROR!</v>
      </c>
      <c r="ED445" s="40" t="str">
        <f>((ED408+ED411)-(EB408+EB411))/((ED265+ED324)-(EB265+EB324))</f>
        <v>#ERROR!</v>
      </c>
      <c r="EE445" s="40"/>
      <c r="EF445" s="40"/>
      <c r="EG445" s="40"/>
      <c r="EH445" s="24" t="str">
        <f>((EH408+EH411)-(EC408+EC411))/((EH265+EH324)-(EC265+EC324))</f>
        <v>#ERROR!</v>
      </c>
      <c r="EI445" s="317"/>
      <c r="EJ445" s="104"/>
      <c r="EK445" s="104"/>
      <c r="EL445" s="104"/>
      <c r="EM445" s="24" t="str">
        <f>((EM408+EM411)-(EH408+EH411))/((EM265+EM324)-(EH265+EH324))</f>
        <v>#ERROR!</v>
      </c>
      <c r="EN445" s="104"/>
      <c r="EO445" s="104"/>
      <c r="EP445" s="104"/>
      <c r="EQ445" s="104"/>
      <c r="ER445" s="24" t="str">
        <f>((ER408+ER411)-(EM408+EM411))/((ER265+ER324)-(EM265+EM324))</f>
        <v>#ERROR!</v>
      </c>
      <c r="ES445" s="104"/>
      <c r="ET445" s="104"/>
      <c r="EU445" s="104"/>
      <c r="EV445" s="104"/>
      <c r="EW445" s="24" t="str">
        <f>((EW408+EW411)-(ER408+ER411))/((EW265+EW324)-(ER265+ER324))</f>
        <v>#ERROR!</v>
      </c>
      <c r="EX445" s="104"/>
      <c r="EY445" s="104"/>
      <c r="EZ445" s="104"/>
      <c r="FA445" s="104"/>
      <c r="FB445" s="24" t="str">
        <f>((FB408+FB411)-(EW408+EW411))/((FB265+FB324)-(EW265+EW324))</f>
        <v>#ERROR!</v>
      </c>
      <c r="FC445" s="104"/>
      <c r="FD445" s="104"/>
      <c r="FE445" s="104"/>
      <c r="FF445" s="104"/>
      <c r="FG445" s="24" t="str">
        <f>((FG408+FG411)-(FB408+FB411))/((FG265+FG324)-(FB265+FB324))</f>
        <v>#ERROR!</v>
      </c>
      <c r="FH445" s="104"/>
      <c r="FI445" s="15"/>
      <c r="FJ445" s="15"/>
      <c r="FK445" s="410"/>
      <c r="FL445" s="15"/>
    </row>
    <row r="446" ht="12.75" hidden="1" customHeight="1" outlineLevel="1">
      <c r="A446" s="4"/>
      <c r="B446" s="4"/>
      <c r="C446" s="45"/>
      <c r="D446" s="15"/>
      <c r="E446" s="15"/>
      <c r="F446" s="15"/>
      <c r="G446" s="15"/>
      <c r="H446" s="104"/>
      <c r="I446" s="15"/>
      <c r="J446" s="15"/>
      <c r="K446" s="15"/>
      <c r="L446" s="15"/>
      <c r="M446" s="104"/>
      <c r="N446" s="15"/>
      <c r="O446" s="15"/>
      <c r="P446" s="15"/>
      <c r="Q446" s="15"/>
      <c r="R446" s="104"/>
      <c r="S446" s="15"/>
      <c r="T446" s="15"/>
      <c r="U446" s="15"/>
      <c r="V446" s="15"/>
      <c r="W446" s="104"/>
      <c r="X446" s="15"/>
      <c r="Y446" s="15"/>
      <c r="Z446" s="15"/>
      <c r="AA446" s="15"/>
      <c r="AB446" s="104"/>
      <c r="AC446" s="15"/>
      <c r="AD446" s="15"/>
      <c r="AE446" s="15"/>
      <c r="AF446" s="15"/>
      <c r="AG446" s="104"/>
      <c r="AH446" s="15"/>
      <c r="AI446" s="15"/>
      <c r="AJ446" s="15"/>
      <c r="AK446" s="15"/>
      <c r="AL446" s="104"/>
      <c r="AM446" s="15"/>
      <c r="AN446" s="15"/>
      <c r="AO446" s="15"/>
      <c r="AP446" s="15"/>
      <c r="AQ446" s="104"/>
      <c r="AR446" s="15"/>
      <c r="AS446" s="15"/>
      <c r="AT446" s="15"/>
      <c r="AU446" s="15"/>
      <c r="AV446" s="104"/>
      <c r="AW446" s="15"/>
      <c r="AX446" s="15"/>
      <c r="AY446" s="15"/>
      <c r="AZ446" s="15"/>
      <c r="BA446" s="104"/>
      <c r="BB446" s="15"/>
      <c r="BC446" s="15"/>
      <c r="BD446" s="15"/>
      <c r="BE446" s="15"/>
      <c r="BF446" s="104"/>
      <c r="BG446" s="15"/>
      <c r="BH446" s="15"/>
      <c r="BI446" s="15"/>
      <c r="BJ446" s="15"/>
      <c r="BK446" s="104"/>
      <c r="BL446" s="15"/>
      <c r="BM446" s="15"/>
      <c r="BN446" s="15"/>
      <c r="BO446" s="15"/>
      <c r="BP446" s="104"/>
      <c r="BQ446" s="15"/>
      <c r="BR446" s="15"/>
      <c r="BS446" s="15"/>
      <c r="BT446" s="15"/>
      <c r="BU446" s="104"/>
      <c r="BV446" s="15"/>
      <c r="BW446" s="15"/>
      <c r="BX446" s="15"/>
      <c r="BY446" s="15"/>
      <c r="BZ446" s="24"/>
      <c r="CA446" s="15"/>
      <c r="CB446" s="15"/>
      <c r="CC446" s="15"/>
      <c r="CD446" s="15"/>
      <c r="CE446" s="24"/>
      <c r="CF446" s="15"/>
      <c r="CG446" s="15"/>
      <c r="CH446" s="15"/>
      <c r="CI446" s="15"/>
      <c r="CJ446" s="24"/>
      <c r="CK446" s="15"/>
      <c r="CL446" s="15"/>
      <c r="CM446" s="15"/>
      <c r="CN446" s="40"/>
      <c r="CO446" s="24"/>
      <c r="CP446" s="104"/>
      <c r="CQ446" s="104"/>
      <c r="CR446" s="104"/>
      <c r="CS446" s="104"/>
      <c r="CT446" s="24"/>
      <c r="CU446" s="104"/>
      <c r="CV446" s="104"/>
      <c r="CW446" s="104"/>
      <c r="CX446" s="104"/>
      <c r="CY446" s="24"/>
      <c r="CZ446" s="104"/>
      <c r="DA446" s="104"/>
      <c r="DB446" s="104"/>
      <c r="DC446" s="104"/>
      <c r="DD446" s="24"/>
      <c r="DE446" s="40"/>
      <c r="DF446" s="40"/>
      <c r="DG446" s="40"/>
      <c r="DH446" s="40"/>
      <c r="DI446" s="24"/>
      <c r="DJ446" s="40"/>
      <c r="DK446" s="40"/>
      <c r="DL446" s="40"/>
      <c r="DM446" s="40"/>
      <c r="DN446" s="24"/>
      <c r="DO446" s="40"/>
      <c r="DP446" s="40"/>
      <c r="DQ446" s="40"/>
      <c r="DR446" s="40"/>
      <c r="DS446" s="24"/>
      <c r="DT446" s="40"/>
      <c r="DU446" s="40"/>
      <c r="DV446" s="40"/>
      <c r="DW446" s="40"/>
      <c r="DX446" s="24"/>
      <c r="DY446" s="40"/>
      <c r="DZ446" s="40"/>
      <c r="EA446" s="40"/>
      <c r="EB446" s="40"/>
      <c r="EC446" s="24"/>
      <c r="ED446" s="40"/>
      <c r="EE446" s="40"/>
      <c r="EF446" s="40"/>
      <c r="EG446" s="40"/>
      <c r="EH446" s="24"/>
      <c r="EI446" s="317"/>
      <c r="EJ446" s="104"/>
      <c r="EK446" s="104"/>
      <c r="EL446" s="104"/>
      <c r="EM446" s="24"/>
      <c r="EN446" s="104"/>
      <c r="EO446" s="104"/>
      <c r="EP446" s="104"/>
      <c r="EQ446" s="104"/>
      <c r="ER446" s="24"/>
      <c r="ES446" s="104"/>
      <c r="ET446" s="104"/>
      <c r="EU446" s="104"/>
      <c r="EV446" s="104"/>
      <c r="EW446" s="24"/>
      <c r="EX446" s="104"/>
      <c r="EY446" s="104"/>
      <c r="EZ446" s="104"/>
      <c r="FA446" s="104"/>
      <c r="FB446" s="24"/>
      <c r="FC446" s="104"/>
      <c r="FD446" s="104"/>
      <c r="FE446" s="104"/>
      <c r="FF446" s="104"/>
      <c r="FG446" s="24"/>
      <c r="FH446" s="104"/>
      <c r="FI446" s="15"/>
      <c r="FJ446" s="15"/>
      <c r="FK446" s="410"/>
      <c r="FL446" s="15"/>
    </row>
    <row r="447" ht="12.75" hidden="1" customHeight="1" outlineLevel="1">
      <c r="A447" s="4"/>
      <c r="B447" s="4"/>
      <c r="C447" s="45"/>
      <c r="D447" s="15"/>
      <c r="E447" s="15"/>
      <c r="F447" s="15"/>
      <c r="G447" s="15"/>
      <c r="H447" s="104"/>
      <c r="I447" s="15"/>
      <c r="J447" s="15"/>
      <c r="K447" s="15"/>
      <c r="L447" s="15"/>
      <c r="M447" s="104"/>
      <c r="N447" s="15"/>
      <c r="O447" s="15"/>
      <c r="P447" s="15"/>
      <c r="Q447" s="15"/>
      <c r="R447" s="104"/>
      <c r="S447" s="15"/>
      <c r="T447" s="15"/>
      <c r="U447" s="15"/>
      <c r="V447" s="15"/>
      <c r="W447" s="104"/>
      <c r="X447" s="15"/>
      <c r="Y447" s="15"/>
      <c r="Z447" s="15"/>
      <c r="AA447" s="15"/>
      <c r="AB447" s="104"/>
      <c r="AC447" s="15"/>
      <c r="AD447" s="15"/>
      <c r="AE447" s="15"/>
      <c r="AF447" s="15"/>
      <c r="AG447" s="104"/>
      <c r="AH447" s="15"/>
      <c r="AI447" s="15"/>
      <c r="AJ447" s="15"/>
      <c r="AK447" s="15"/>
      <c r="AL447" s="104"/>
      <c r="AM447" s="15"/>
      <c r="AN447" s="15"/>
      <c r="AO447" s="15"/>
      <c r="AP447" s="15"/>
      <c r="AQ447" s="104"/>
      <c r="AR447" s="15"/>
      <c r="AS447" s="15"/>
      <c r="AT447" s="15"/>
      <c r="AU447" s="15"/>
      <c r="AV447" s="104"/>
      <c r="AW447" s="15"/>
      <c r="AX447" s="15"/>
      <c r="AY447" s="15"/>
      <c r="AZ447" s="15"/>
      <c r="BA447" s="104"/>
      <c r="BB447" s="15"/>
      <c r="BC447" s="15"/>
      <c r="BD447" s="15"/>
      <c r="BE447" s="15"/>
      <c r="BF447" s="104"/>
      <c r="BG447" s="15"/>
      <c r="BH447" s="15"/>
      <c r="BI447" s="15"/>
      <c r="BJ447" s="15"/>
      <c r="BK447" s="104"/>
      <c r="BL447" s="15"/>
      <c r="BM447" s="15"/>
      <c r="BN447" s="15"/>
      <c r="BO447" s="15"/>
      <c r="BP447" s="104"/>
      <c r="BQ447" s="15"/>
      <c r="BR447" s="15"/>
      <c r="BS447" s="15"/>
      <c r="BT447" s="15"/>
      <c r="BU447" s="104"/>
      <c r="BV447" s="15"/>
      <c r="BW447" s="15"/>
      <c r="BX447" s="15"/>
      <c r="BY447" s="15"/>
      <c r="BZ447" s="24"/>
      <c r="CA447" s="15"/>
      <c r="CB447" s="15"/>
      <c r="CC447" s="15"/>
      <c r="CD447" s="15"/>
      <c r="CE447" s="24"/>
      <c r="CF447" s="15"/>
      <c r="CG447" s="15"/>
      <c r="CH447" s="15"/>
      <c r="CI447" s="15"/>
      <c r="CJ447" s="24"/>
      <c r="CK447" s="15"/>
      <c r="CL447" s="15"/>
      <c r="CM447" s="15"/>
      <c r="CN447" s="40"/>
      <c r="CO447" s="24"/>
      <c r="CP447" s="104"/>
      <c r="CQ447" s="104"/>
      <c r="CR447" s="104"/>
      <c r="CS447" s="104"/>
      <c r="CT447" s="24"/>
      <c r="CU447" s="104"/>
      <c r="CV447" s="104"/>
      <c r="CW447" s="104"/>
      <c r="CX447" s="104"/>
      <c r="CY447" s="24"/>
      <c r="CZ447" s="104"/>
      <c r="DA447" s="104"/>
      <c r="DB447" s="104"/>
      <c r="DC447" s="104"/>
      <c r="DD447" s="24"/>
      <c r="DE447" s="40"/>
      <c r="DF447" s="40"/>
      <c r="DG447" s="40"/>
      <c r="DH447" s="40"/>
      <c r="DI447" s="24"/>
      <c r="DJ447" s="40"/>
      <c r="DK447" s="40"/>
      <c r="DL447" s="40"/>
      <c r="DM447" s="40"/>
      <c r="DN447" s="24"/>
      <c r="DO447" s="40"/>
      <c r="DP447" s="40"/>
      <c r="DQ447" s="40"/>
      <c r="DR447" s="40"/>
      <c r="DS447" s="24"/>
      <c r="DT447" s="40"/>
      <c r="DU447" s="40"/>
      <c r="DV447" s="40"/>
      <c r="DW447" s="40"/>
      <c r="DX447" s="24"/>
      <c r="DY447" s="40"/>
      <c r="DZ447" s="40"/>
      <c r="EA447" s="40"/>
      <c r="EB447" s="40"/>
      <c r="EC447" s="24"/>
      <c r="ED447" s="40"/>
      <c r="EE447" s="40"/>
      <c r="EF447" s="40"/>
      <c r="EG447" s="40"/>
      <c r="EH447" s="24"/>
      <c r="EI447" s="317"/>
      <c r="EJ447" s="104"/>
      <c r="EK447" s="104"/>
      <c r="EL447" s="104"/>
      <c r="EM447" s="24"/>
      <c r="EN447" s="104"/>
      <c r="EO447" s="104"/>
      <c r="EP447" s="104"/>
      <c r="EQ447" s="104"/>
      <c r="ER447" s="24"/>
      <c r="ES447" s="104"/>
      <c r="ET447" s="104"/>
      <c r="EU447" s="104"/>
      <c r="EV447" s="104"/>
      <c r="EW447" s="24"/>
      <c r="EX447" s="104"/>
      <c r="EY447" s="104"/>
      <c r="EZ447" s="104"/>
      <c r="FA447" s="104"/>
      <c r="FB447" s="24"/>
      <c r="FC447" s="104"/>
      <c r="FD447" s="104"/>
      <c r="FE447" s="104"/>
      <c r="FF447" s="104"/>
      <c r="FG447" s="24"/>
      <c r="FH447" s="104"/>
      <c r="FI447" s="15"/>
      <c r="FJ447" s="15"/>
      <c r="FK447" s="410"/>
      <c r="FL447" s="15"/>
    </row>
    <row r="448" ht="12.75" hidden="1" customHeight="1" outlineLevel="1">
      <c r="A448" s="4"/>
      <c r="B448" s="555" t="s">
        <v>260</v>
      </c>
      <c r="C448" s="45"/>
      <c r="D448" s="15"/>
      <c r="E448" s="15"/>
      <c r="F448" s="15"/>
      <c r="G448" s="15"/>
      <c r="H448" s="104"/>
      <c r="I448" s="15"/>
      <c r="J448" s="15"/>
      <c r="K448" s="15"/>
      <c r="L448" s="15"/>
      <c r="M448" s="104"/>
      <c r="N448" s="15"/>
      <c r="O448" s="15"/>
      <c r="P448" s="15"/>
      <c r="Q448" s="15"/>
      <c r="R448" s="104"/>
      <c r="S448" s="15"/>
      <c r="T448" s="15"/>
      <c r="U448" s="15"/>
      <c r="V448" s="15"/>
      <c r="W448" s="104"/>
      <c r="X448" s="15"/>
      <c r="Y448" s="15"/>
      <c r="Z448" s="15"/>
      <c r="AA448" s="15"/>
      <c r="AB448" s="104"/>
      <c r="AC448" s="15"/>
      <c r="AD448" s="15"/>
      <c r="AE448" s="15"/>
      <c r="AF448" s="15"/>
      <c r="AG448" s="104"/>
      <c r="AH448" s="15"/>
      <c r="AI448" s="15"/>
      <c r="AJ448" s="15"/>
      <c r="AK448" s="15"/>
      <c r="AL448" s="104"/>
      <c r="AM448" s="15"/>
      <c r="AN448" s="15"/>
      <c r="AO448" s="15"/>
      <c r="AP448" s="15"/>
      <c r="AQ448" s="104"/>
      <c r="AR448" s="15"/>
      <c r="AS448" s="15"/>
      <c r="AT448" s="15"/>
      <c r="AU448" s="15"/>
      <c r="AV448" s="104"/>
      <c r="AW448" s="15"/>
      <c r="AX448" s="15"/>
      <c r="AY448" s="15"/>
      <c r="AZ448" s="15"/>
      <c r="BA448" s="104"/>
      <c r="BB448" s="15"/>
      <c r="BC448" s="15"/>
      <c r="BD448" s="15"/>
      <c r="BE448" s="15"/>
      <c r="BF448" s="104"/>
      <c r="BG448" s="15"/>
      <c r="BH448" s="15"/>
      <c r="BI448" s="15"/>
      <c r="BJ448" s="15"/>
      <c r="BK448" s="104"/>
      <c r="BL448" s="15"/>
      <c r="BM448" s="15"/>
      <c r="BN448" s="15"/>
      <c r="BO448" s="15"/>
      <c r="BP448" s="104"/>
      <c r="BQ448" s="15"/>
      <c r="BR448" s="15"/>
      <c r="BS448" s="15"/>
      <c r="BT448" s="15"/>
      <c r="BU448" s="104"/>
      <c r="BV448" s="15"/>
      <c r="BW448" s="15"/>
      <c r="BX448" s="15"/>
      <c r="BY448" s="15"/>
      <c r="BZ448" s="24"/>
      <c r="CA448" s="15"/>
      <c r="CB448" s="15"/>
      <c r="CC448" s="15"/>
      <c r="CD448" s="15"/>
      <c r="CE448" s="24"/>
      <c r="CF448" s="15"/>
      <c r="CG448" s="15"/>
      <c r="CH448" s="15"/>
      <c r="CI448" s="15"/>
      <c r="CJ448" s="24"/>
      <c r="CK448" s="15"/>
      <c r="CL448" s="15"/>
      <c r="CM448" s="15"/>
      <c r="CN448" s="40"/>
      <c r="CO448" s="24"/>
      <c r="CP448" s="104"/>
      <c r="CQ448" s="104"/>
      <c r="CR448" s="104"/>
      <c r="CS448" s="104"/>
      <c r="CT448" s="24"/>
      <c r="CU448" s="104"/>
      <c r="CV448" s="104"/>
      <c r="CW448" s="104"/>
      <c r="CX448" s="104"/>
      <c r="CY448" s="24"/>
      <c r="CZ448" s="104"/>
      <c r="DA448" s="104"/>
      <c r="DB448" s="104"/>
      <c r="DC448" s="104"/>
      <c r="DD448" s="24"/>
      <c r="DE448" s="40"/>
      <c r="DF448" s="40"/>
      <c r="DG448" s="40"/>
      <c r="DH448" s="40"/>
      <c r="DI448" s="24"/>
      <c r="DJ448" s="40"/>
      <c r="DK448" s="40"/>
      <c r="DL448" s="40"/>
      <c r="DM448" s="40"/>
      <c r="DN448" s="24"/>
      <c r="DO448" s="40"/>
      <c r="DP448" s="40"/>
      <c r="DQ448" s="40"/>
      <c r="DR448" s="40"/>
      <c r="DS448" s="24"/>
      <c r="DT448" s="40"/>
      <c r="DU448" s="40"/>
      <c r="DV448" s="40"/>
      <c r="DW448" s="40"/>
      <c r="DX448" s="24"/>
      <c r="DY448" s="40"/>
      <c r="DZ448" s="40"/>
      <c r="EA448" s="40"/>
      <c r="EB448" s="40"/>
      <c r="EC448" s="24"/>
      <c r="ED448" s="40"/>
      <c r="EE448" s="40"/>
      <c r="EF448" s="40"/>
      <c r="EG448" s="40"/>
      <c r="EH448" s="24"/>
      <c r="EI448" s="317"/>
      <c r="EJ448" s="104"/>
      <c r="EK448" s="104"/>
      <c r="EL448" s="104"/>
      <c r="EM448" s="24"/>
      <c r="EN448" s="104"/>
      <c r="EO448" s="104"/>
      <c r="EP448" s="104"/>
      <c r="EQ448" s="104"/>
      <c r="ER448" s="24"/>
      <c r="ES448" s="104"/>
      <c r="ET448" s="104"/>
      <c r="EU448" s="104"/>
      <c r="EV448" s="104"/>
      <c r="EW448" s="24"/>
      <c r="EX448" s="104"/>
      <c r="EY448" s="104"/>
      <c r="EZ448" s="104"/>
      <c r="FA448" s="104"/>
      <c r="FB448" s="24"/>
      <c r="FC448" s="104"/>
      <c r="FD448" s="104"/>
      <c r="FE448" s="104"/>
      <c r="FF448" s="104"/>
      <c r="FG448" s="24"/>
      <c r="FH448" s="104"/>
      <c r="FI448" s="15"/>
      <c r="FJ448" s="15"/>
      <c r="FK448" s="410"/>
      <c r="FL448" s="15"/>
    </row>
    <row r="449" ht="12.75" hidden="1" customHeight="1" outlineLevel="1">
      <c r="A449" s="4"/>
      <c r="B449" s="4" t="s">
        <v>194</v>
      </c>
      <c r="C449" s="45"/>
      <c r="D449" s="15"/>
      <c r="E449" s="15"/>
      <c r="F449" s="15"/>
      <c r="G449" s="15"/>
      <c r="H449" s="104"/>
      <c r="I449" s="15"/>
      <c r="J449" s="15"/>
      <c r="K449" s="15"/>
      <c r="L449" s="15"/>
      <c r="M449" s="104"/>
      <c r="N449" s="15"/>
      <c r="O449" s="15"/>
      <c r="P449" s="15"/>
      <c r="Q449" s="15"/>
      <c r="R449" s="104"/>
      <c r="S449" s="15"/>
      <c r="T449" s="15"/>
      <c r="U449" s="15"/>
      <c r="V449" s="15"/>
      <c r="W449" s="104"/>
      <c r="X449" s="15"/>
      <c r="Y449" s="15"/>
      <c r="Z449" s="15"/>
      <c r="AA449" s="15"/>
      <c r="AB449" s="104"/>
      <c r="AC449" s="15"/>
      <c r="AD449" s="15"/>
      <c r="AE449" s="15"/>
      <c r="AF449" s="15"/>
      <c r="AG449" s="104"/>
      <c r="AH449" s="15"/>
      <c r="AI449" s="15"/>
      <c r="AJ449" s="15"/>
      <c r="AK449" s="15"/>
      <c r="AL449" s="104"/>
      <c r="AM449" s="15"/>
      <c r="AN449" s="15"/>
      <c r="AO449" s="15"/>
      <c r="AP449" s="15"/>
      <c r="AQ449" s="104"/>
      <c r="AR449" s="15"/>
      <c r="AS449" s="15"/>
      <c r="AT449" s="15"/>
      <c r="AU449" s="15"/>
      <c r="AV449" s="104"/>
      <c r="AW449" s="15"/>
      <c r="AX449" s="15"/>
      <c r="AY449" s="15"/>
      <c r="AZ449" s="15"/>
      <c r="BA449" s="104"/>
      <c r="BB449" s="15"/>
      <c r="BC449" s="15"/>
      <c r="BD449" s="15"/>
      <c r="BE449" s="15"/>
      <c r="BF449" s="104"/>
      <c r="BG449" s="15"/>
      <c r="BH449" s="15"/>
      <c r="BI449" s="15"/>
      <c r="BJ449" s="15"/>
      <c r="BK449" s="104"/>
      <c r="BL449" s="15"/>
      <c r="BM449" s="15"/>
      <c r="BN449" s="15"/>
      <c r="BO449" s="15"/>
      <c r="BP449" s="104"/>
      <c r="BQ449" s="15"/>
      <c r="BR449" s="15"/>
      <c r="BS449" s="15"/>
      <c r="BT449" s="15"/>
      <c r="BU449" s="104"/>
      <c r="BV449" s="15"/>
      <c r="BW449" s="15"/>
      <c r="BX449" s="15"/>
      <c r="BY449" s="15"/>
      <c r="BZ449" s="24"/>
      <c r="CA449" s="15"/>
      <c r="CB449" s="15"/>
      <c r="CC449" s="15"/>
      <c r="CD449" s="15"/>
      <c r="CE449" s="24"/>
      <c r="CF449" s="15"/>
      <c r="CG449" s="15"/>
      <c r="CH449" s="15"/>
      <c r="CI449" s="15"/>
      <c r="CJ449" s="24"/>
      <c r="CK449" s="15"/>
      <c r="CL449" s="15"/>
      <c r="CM449" s="15"/>
      <c r="CN449" s="40"/>
      <c r="CO449" s="24"/>
      <c r="CP449" s="104"/>
      <c r="CQ449" s="104"/>
      <c r="CR449" s="104"/>
      <c r="CS449" s="104"/>
      <c r="CT449" s="24"/>
      <c r="CU449" s="104"/>
      <c r="CV449" s="104"/>
      <c r="CW449" s="104"/>
      <c r="CX449" s="104"/>
      <c r="CY449" s="24"/>
      <c r="CZ449" s="40"/>
      <c r="DA449" s="40"/>
      <c r="DB449" s="40"/>
      <c r="DC449" s="40"/>
      <c r="DD449" s="24"/>
      <c r="DE449" s="40">
        <f t="shared" ref="DE449:DH449" si="2444">(DE408-CZ408)/(DE265-CZ265)</f>
        <v>2.683840749</v>
      </c>
      <c r="DF449" s="40">
        <f t="shared" si="2444"/>
        <v>1.273142857</v>
      </c>
      <c r="DG449" s="40">
        <f t="shared" si="2444"/>
        <v>-8.53125</v>
      </c>
      <c r="DH449" s="40">
        <f t="shared" si="2444"/>
        <v>1.485714286</v>
      </c>
      <c r="DI449" s="24"/>
      <c r="DJ449" s="40">
        <f t="shared" ref="DJ449:DM449" si="2445">(DJ408-DE408)/(DJ265-DE265)</f>
        <v>-0.9836065574</v>
      </c>
      <c r="DK449" s="40">
        <f t="shared" si="2445"/>
        <v>0.3593429158</v>
      </c>
      <c r="DL449" s="40">
        <f t="shared" si="2445"/>
        <v>0.6783114993</v>
      </c>
      <c r="DM449" s="40">
        <f t="shared" si="2445"/>
        <v>0.4631336406</v>
      </c>
      <c r="DN449" s="24"/>
      <c r="DO449" s="40">
        <f t="shared" ref="DO449:DR449" si="2446">(DO408-DJ408)/(DO265-DJ265)</f>
        <v>0.7677595628</v>
      </c>
      <c r="DP449" s="40">
        <f t="shared" si="2446"/>
        <v>3.808510638</v>
      </c>
      <c r="DQ449" s="40">
        <f t="shared" si="2446"/>
        <v>0.4323809524</v>
      </c>
      <c r="DR449" s="40">
        <f t="shared" si="2446"/>
        <v>2.25</v>
      </c>
      <c r="DS449" s="24"/>
      <c r="DT449" s="40">
        <f t="shared" ref="DT449:DW449" si="2447">(DT408-DO408)/(DT265-DO265)</f>
        <v>0.9697224558</v>
      </c>
      <c r="DU449" s="40">
        <f t="shared" si="2447"/>
        <v>-1.366412214</v>
      </c>
      <c r="DV449" s="40">
        <f t="shared" si="2447"/>
        <v>-5.442028986</v>
      </c>
      <c r="DW449" s="40">
        <f t="shared" si="2447"/>
        <v>0.4520990312</v>
      </c>
      <c r="DX449" s="24"/>
      <c r="DY449" s="40">
        <f t="shared" ref="DY449:EB449" si="2448">(DY408-DT408)/(DY265-DT265)</f>
        <v>-0.1265060241</v>
      </c>
      <c r="DZ449" s="40">
        <f t="shared" si="2448"/>
        <v>1.497553018</v>
      </c>
      <c r="EA449" s="40">
        <f t="shared" si="2448"/>
        <v>1.295081967</v>
      </c>
      <c r="EB449" s="40">
        <f t="shared" si="2448"/>
        <v>1.281637717</v>
      </c>
      <c r="EC449" s="24"/>
      <c r="ED449" s="40">
        <f>(ED408-DY408)/(ED265-DY265)</f>
        <v>0.7967429259</v>
      </c>
      <c r="EE449" s="40"/>
      <c r="EF449" s="40"/>
      <c r="EG449" s="40"/>
      <c r="EH449" s="24"/>
      <c r="EI449" s="317"/>
      <c r="EJ449" s="104"/>
      <c r="EK449" s="104"/>
      <c r="EL449" s="104"/>
      <c r="EM449" s="24"/>
      <c r="EN449" s="104"/>
      <c r="EO449" s="104"/>
      <c r="EP449" s="104"/>
      <c r="EQ449" s="104"/>
      <c r="ER449" s="24"/>
      <c r="ES449" s="104"/>
      <c r="ET449" s="104"/>
      <c r="EU449" s="104"/>
      <c r="EV449" s="104"/>
      <c r="EW449" s="24"/>
      <c r="EX449" s="104"/>
      <c r="EY449" s="104"/>
      <c r="EZ449" s="104"/>
      <c r="FA449" s="104"/>
      <c r="FB449" s="24"/>
      <c r="FC449" s="104"/>
      <c r="FD449" s="104"/>
      <c r="FE449" s="104"/>
      <c r="FF449" s="104"/>
      <c r="FG449" s="24"/>
      <c r="FH449" s="104"/>
      <c r="FI449" s="15"/>
      <c r="FJ449" s="15"/>
      <c r="FK449" s="410"/>
      <c r="FL449" s="15"/>
    </row>
    <row r="450" ht="12.75" hidden="1" customHeight="1" outlineLevel="1">
      <c r="A450" s="4"/>
      <c r="B450" s="4" t="s">
        <v>210</v>
      </c>
      <c r="C450" s="45"/>
      <c r="D450" s="15"/>
      <c r="E450" s="15"/>
      <c r="F450" s="15"/>
      <c r="G450" s="15"/>
      <c r="H450" s="104"/>
      <c r="I450" s="15"/>
      <c r="J450" s="15"/>
      <c r="K450" s="15"/>
      <c r="L450" s="15"/>
      <c r="M450" s="104"/>
      <c r="N450" s="15"/>
      <c r="O450" s="15"/>
      <c r="P450" s="15"/>
      <c r="Q450" s="15"/>
      <c r="R450" s="104"/>
      <c r="S450" s="15"/>
      <c r="T450" s="15"/>
      <c r="U450" s="15"/>
      <c r="V450" s="15"/>
      <c r="W450" s="104"/>
      <c r="X450" s="15"/>
      <c r="Y450" s="15"/>
      <c r="Z450" s="15"/>
      <c r="AA450" s="15"/>
      <c r="AB450" s="104"/>
      <c r="AC450" s="15"/>
      <c r="AD450" s="15"/>
      <c r="AE450" s="15"/>
      <c r="AF450" s="15"/>
      <c r="AG450" s="104"/>
      <c r="AH450" s="15"/>
      <c r="AI450" s="15"/>
      <c r="AJ450" s="15"/>
      <c r="AK450" s="15"/>
      <c r="AL450" s="104"/>
      <c r="AM450" s="15"/>
      <c r="AN450" s="15"/>
      <c r="AO450" s="15"/>
      <c r="AP450" s="15"/>
      <c r="AQ450" s="104"/>
      <c r="AR450" s="15"/>
      <c r="AS450" s="15"/>
      <c r="AT450" s="15"/>
      <c r="AU450" s="15"/>
      <c r="AV450" s="104"/>
      <c r="AW450" s="15"/>
      <c r="AX450" s="15"/>
      <c r="AY450" s="15"/>
      <c r="AZ450" s="15"/>
      <c r="BA450" s="104"/>
      <c r="BB450" s="15"/>
      <c r="BC450" s="15"/>
      <c r="BD450" s="15"/>
      <c r="BE450" s="15"/>
      <c r="BF450" s="104"/>
      <c r="BG450" s="15"/>
      <c r="BH450" s="15"/>
      <c r="BI450" s="15"/>
      <c r="BJ450" s="15"/>
      <c r="BK450" s="104"/>
      <c r="BL450" s="15"/>
      <c r="BM450" s="15"/>
      <c r="BN450" s="15"/>
      <c r="BO450" s="15"/>
      <c r="BP450" s="104"/>
      <c r="BQ450" s="15"/>
      <c r="BR450" s="15"/>
      <c r="BS450" s="15"/>
      <c r="BT450" s="15"/>
      <c r="BU450" s="104"/>
      <c r="BV450" s="15"/>
      <c r="BW450" s="15"/>
      <c r="BX450" s="15"/>
      <c r="BY450" s="15"/>
      <c r="BZ450" s="24"/>
      <c r="CA450" s="15"/>
      <c r="CB450" s="15"/>
      <c r="CC450" s="15"/>
      <c r="CD450" s="15"/>
      <c r="CE450" s="24"/>
      <c r="CF450" s="15"/>
      <c r="CG450" s="15"/>
      <c r="CH450" s="15"/>
      <c r="CI450" s="15"/>
      <c r="CJ450" s="24"/>
      <c r="CK450" s="15"/>
      <c r="CL450" s="15"/>
      <c r="CM450" s="15"/>
      <c r="CN450" s="40"/>
      <c r="CO450" s="24"/>
      <c r="CP450" s="104"/>
      <c r="CQ450" s="104"/>
      <c r="CR450" s="104"/>
      <c r="CS450" s="104"/>
      <c r="CT450" s="24"/>
      <c r="CU450" s="104"/>
      <c r="CV450" s="104"/>
      <c r="CW450" s="104"/>
      <c r="CX450" s="104"/>
      <c r="CY450" s="24"/>
      <c r="CZ450" s="40"/>
      <c r="DA450" s="40"/>
      <c r="DB450" s="40"/>
      <c r="DC450" s="40"/>
      <c r="DD450" s="24"/>
      <c r="DE450" s="40">
        <f t="shared" ref="DE450:DH450" si="2449">(DE411-CZ411)/(DE324-CZ324)</f>
        <v>-1.188841202</v>
      </c>
      <c r="DF450" s="40">
        <f t="shared" si="2449"/>
        <v>-0.3014492754</v>
      </c>
      <c r="DG450" s="40">
        <f t="shared" si="2449"/>
        <v>0.431547619</v>
      </c>
      <c r="DH450" s="40">
        <f t="shared" si="2449"/>
        <v>1.215536105</v>
      </c>
      <c r="DI450" s="24"/>
      <c r="DJ450" s="40">
        <f t="shared" ref="DJ450:DM450" si="2450">(DJ411-DE411)/(DJ324-DE324)</f>
        <v>1.112774451</v>
      </c>
      <c r="DK450" s="40">
        <f t="shared" si="2450"/>
        <v>0.9210992908</v>
      </c>
      <c r="DL450" s="40">
        <f t="shared" si="2450"/>
        <v>0.6558287074</v>
      </c>
      <c r="DM450" s="40">
        <f t="shared" si="2450"/>
        <v>0.1293634497</v>
      </c>
      <c r="DN450" s="24"/>
      <c r="DO450" s="40">
        <f t="shared" ref="DO450:DR450" si="2451">(DO411-DJ411)/(DO324-DJ324)</f>
        <v>2.292168675</v>
      </c>
      <c r="DP450" s="40">
        <f t="shared" si="2451"/>
        <v>1.740812379</v>
      </c>
      <c r="DQ450" s="40">
        <f t="shared" si="2451"/>
        <v>0.1352459016</v>
      </c>
      <c r="DR450" s="40">
        <f t="shared" si="2451"/>
        <v>0.3636363636</v>
      </c>
      <c r="DS450" s="24"/>
      <c r="DT450" s="40">
        <f t="shared" ref="DT450:DW450" si="2452">(DT411-DO411)/(DT324-DO324)</f>
        <v>0.7895743663</v>
      </c>
      <c r="DU450" s="40">
        <f t="shared" si="2452"/>
        <v>0.6087160262</v>
      </c>
      <c r="DV450" s="40">
        <f t="shared" si="2452"/>
        <v>2.535564854</v>
      </c>
      <c r="DW450" s="40">
        <f t="shared" si="2452"/>
        <v>1.239111111</v>
      </c>
      <c r="DX450" s="24"/>
      <c r="DY450" s="40">
        <f t="shared" ref="DY450:EB450" si="2453">(DY411-DT411)/(DY324-DT324)</f>
        <v>1.55283415</v>
      </c>
      <c r="DZ450" s="40">
        <f t="shared" si="2453"/>
        <v>1.749244713</v>
      </c>
      <c r="EA450" s="40" t="str">
        <f t="shared" si="2453"/>
        <v>#ERROR!</v>
      </c>
      <c r="EB450" s="40" t="str">
        <f t="shared" si="2453"/>
        <v>#ERROR!</v>
      </c>
      <c r="EC450" s="24"/>
      <c r="ED450" s="40" t="str">
        <f>(ED411-DY411)/(ED324-DY324)</f>
        <v>#ERROR!</v>
      </c>
      <c r="EE450" s="40"/>
      <c r="EF450" s="40"/>
      <c r="EG450" s="40"/>
      <c r="EH450" s="24"/>
      <c r="EI450" s="317"/>
      <c r="EJ450" s="104"/>
      <c r="EK450" s="104"/>
      <c r="EL450" s="104"/>
      <c r="EM450" s="24"/>
      <c r="EN450" s="104"/>
      <c r="EO450" s="104"/>
      <c r="EP450" s="104"/>
      <c r="EQ450" s="104"/>
      <c r="ER450" s="24"/>
      <c r="ES450" s="104"/>
      <c r="ET450" s="104"/>
      <c r="EU450" s="104"/>
      <c r="EV450" s="104"/>
      <c r="EW450" s="24"/>
      <c r="EX450" s="104"/>
      <c r="EY450" s="104"/>
      <c r="EZ450" s="104"/>
      <c r="FA450" s="104"/>
      <c r="FB450" s="24"/>
      <c r="FC450" s="104"/>
      <c r="FD450" s="104"/>
      <c r="FE450" s="104"/>
      <c r="FF450" s="104"/>
      <c r="FG450" s="24"/>
      <c r="FH450" s="104"/>
      <c r="FI450" s="15"/>
      <c r="FJ450" s="15"/>
      <c r="FK450" s="410"/>
      <c r="FL450" s="15"/>
    </row>
    <row r="451" ht="12.75" hidden="1" customHeight="1" outlineLevel="1">
      <c r="A451" s="4"/>
      <c r="B451" s="4" t="s">
        <v>222</v>
      </c>
      <c r="C451" s="45"/>
      <c r="D451" s="15"/>
      <c r="E451" s="15"/>
      <c r="F451" s="15"/>
      <c r="G451" s="15"/>
      <c r="H451" s="104"/>
      <c r="I451" s="15"/>
      <c r="J451" s="15"/>
      <c r="K451" s="15"/>
      <c r="L451" s="15"/>
      <c r="M451" s="104"/>
      <c r="N451" s="15"/>
      <c r="O451" s="15"/>
      <c r="P451" s="15"/>
      <c r="Q451" s="15"/>
      <c r="R451" s="104"/>
      <c r="S451" s="15"/>
      <c r="T451" s="15"/>
      <c r="U451" s="15"/>
      <c r="V451" s="15"/>
      <c r="W451" s="104"/>
      <c r="X451" s="15"/>
      <c r="Y451" s="15"/>
      <c r="Z451" s="15"/>
      <c r="AA451" s="15"/>
      <c r="AB451" s="104"/>
      <c r="AC451" s="15"/>
      <c r="AD451" s="15"/>
      <c r="AE451" s="15"/>
      <c r="AF451" s="15"/>
      <c r="AG451" s="104"/>
      <c r="AH451" s="15"/>
      <c r="AI451" s="15"/>
      <c r="AJ451" s="15"/>
      <c r="AK451" s="15"/>
      <c r="AL451" s="104"/>
      <c r="AM451" s="15"/>
      <c r="AN451" s="15"/>
      <c r="AO451" s="15"/>
      <c r="AP451" s="15"/>
      <c r="AQ451" s="104"/>
      <c r="AR451" s="15"/>
      <c r="AS451" s="15"/>
      <c r="AT451" s="15"/>
      <c r="AU451" s="15"/>
      <c r="AV451" s="104"/>
      <c r="AW451" s="15"/>
      <c r="AX451" s="15"/>
      <c r="AY451" s="15"/>
      <c r="AZ451" s="15"/>
      <c r="BA451" s="104"/>
      <c r="BB451" s="15"/>
      <c r="BC451" s="15"/>
      <c r="BD451" s="15"/>
      <c r="BE451" s="15"/>
      <c r="BF451" s="104"/>
      <c r="BG451" s="15"/>
      <c r="BH451" s="15"/>
      <c r="BI451" s="15"/>
      <c r="BJ451" s="15"/>
      <c r="BK451" s="104"/>
      <c r="BL451" s="15"/>
      <c r="BM451" s="15"/>
      <c r="BN451" s="15"/>
      <c r="BO451" s="15"/>
      <c r="BP451" s="104"/>
      <c r="BQ451" s="15"/>
      <c r="BR451" s="15"/>
      <c r="BS451" s="15"/>
      <c r="BT451" s="15"/>
      <c r="BU451" s="104"/>
      <c r="BV451" s="15"/>
      <c r="BW451" s="15"/>
      <c r="BX451" s="15"/>
      <c r="BY451" s="15"/>
      <c r="BZ451" s="24"/>
      <c r="CA451" s="15"/>
      <c r="CB451" s="15"/>
      <c r="CC451" s="15"/>
      <c r="CD451" s="15"/>
      <c r="CE451" s="24"/>
      <c r="CF451" s="15"/>
      <c r="CG451" s="15"/>
      <c r="CH451" s="15"/>
      <c r="CI451" s="15"/>
      <c r="CJ451" s="24"/>
      <c r="CK451" s="15"/>
      <c r="CL451" s="15"/>
      <c r="CM451" s="15"/>
      <c r="CN451" s="40"/>
      <c r="CO451" s="24"/>
      <c r="CP451" s="104"/>
      <c r="CQ451" s="104"/>
      <c r="CR451" s="104"/>
      <c r="CS451" s="104"/>
      <c r="CT451" s="24"/>
      <c r="CU451" s="104"/>
      <c r="CV451" s="104"/>
      <c r="CW451" s="104"/>
      <c r="CX451" s="104"/>
      <c r="CY451" s="24"/>
      <c r="CZ451" s="40"/>
      <c r="DA451" s="40"/>
      <c r="DB451" s="40"/>
      <c r="DC451" s="40"/>
      <c r="DD451" s="24"/>
      <c r="DE451" s="40">
        <f t="shared" ref="DE451:DH451" si="2454">(DE412-CZ412)/(DE357-CZ357)</f>
        <v>-0.2571428571</v>
      </c>
      <c r="DF451" s="40">
        <f t="shared" si="2454"/>
        <v>0.3378378378</v>
      </c>
      <c r="DG451" s="40">
        <f t="shared" si="2454"/>
        <v>-0.28125</v>
      </c>
      <c r="DH451" s="40">
        <f t="shared" si="2454"/>
        <v>0.5098039216</v>
      </c>
      <c r="DI451" s="24"/>
      <c r="DJ451" s="40">
        <f t="shared" ref="DJ451:DM451" si="2455">(DJ412-DE412)/(DJ357-DE357)</f>
        <v>1.025210084</v>
      </c>
      <c r="DK451" s="40">
        <f t="shared" si="2455"/>
        <v>0.65</v>
      </c>
      <c r="DL451" s="40">
        <f t="shared" si="2455"/>
        <v>2.5</v>
      </c>
      <c r="DM451" s="40">
        <f t="shared" si="2455"/>
        <v>1.126984127</v>
      </c>
      <c r="DN451" s="24"/>
      <c r="DO451" s="40">
        <f t="shared" ref="DO451:DR451" si="2456">(DO412-DJ412)/(DO357-DJ357)</f>
        <v>1.314285714</v>
      </c>
      <c r="DP451" s="40">
        <f t="shared" si="2456"/>
        <v>0.9811320755</v>
      </c>
      <c r="DQ451" s="40">
        <f t="shared" si="2456"/>
        <v>0.6395348837</v>
      </c>
      <c r="DR451" s="40">
        <f t="shared" si="2456"/>
        <v>1.067307692</v>
      </c>
      <c r="DS451" s="24"/>
      <c r="DT451" s="40">
        <f t="shared" ref="DT451:DW451" si="2457">(DT412-DO412)/(DT357-DO357)</f>
        <v>-0.4444444444</v>
      </c>
      <c r="DU451" s="40">
        <f t="shared" si="2457"/>
        <v>0.8892405063</v>
      </c>
      <c r="DV451" s="40">
        <f t="shared" si="2457"/>
        <v>0.8170731707</v>
      </c>
      <c r="DW451" s="40">
        <f t="shared" si="2457"/>
        <v>0.4685314685</v>
      </c>
      <c r="DX451" s="24"/>
      <c r="DY451" s="40">
        <f t="shared" ref="DY451:EB451" si="2458">(DY412-DT412)/(DY357-DT357)</f>
        <v>0.9032258065</v>
      </c>
      <c r="DZ451" s="40">
        <f t="shared" si="2458"/>
        <v>1.050955414</v>
      </c>
      <c r="EA451" s="40">
        <f t="shared" si="2458"/>
        <v>0.7479452055</v>
      </c>
      <c r="EB451" s="40">
        <f t="shared" si="2458"/>
        <v>0.4839857651</v>
      </c>
      <c r="EC451" s="24"/>
      <c r="ED451" s="40">
        <f>(ED412-DY412)/(ED357-DY357)</f>
        <v>0.02361111111</v>
      </c>
      <c r="EE451" s="40"/>
      <c r="EF451" s="40"/>
      <c r="EG451" s="40"/>
      <c r="EH451" s="24"/>
      <c r="EI451" s="317"/>
      <c r="EJ451" s="104"/>
      <c r="EK451" s="104"/>
      <c r="EL451" s="104"/>
      <c r="EM451" s="24"/>
      <c r="EN451" s="104"/>
      <c r="EO451" s="104"/>
      <c r="EP451" s="104"/>
      <c r="EQ451" s="104"/>
      <c r="ER451" s="24"/>
      <c r="ES451" s="104"/>
      <c r="ET451" s="104"/>
      <c r="EU451" s="104"/>
      <c r="EV451" s="104"/>
      <c r="EW451" s="24"/>
      <c r="EX451" s="104"/>
      <c r="EY451" s="104"/>
      <c r="EZ451" s="104"/>
      <c r="FA451" s="104"/>
      <c r="FB451" s="24"/>
      <c r="FC451" s="104"/>
      <c r="FD451" s="104"/>
      <c r="FE451" s="104"/>
      <c r="FF451" s="104"/>
      <c r="FG451" s="24"/>
      <c r="FH451" s="104"/>
      <c r="FI451" s="15"/>
      <c r="FJ451" s="15"/>
      <c r="FK451" s="410"/>
      <c r="FL451" s="15"/>
    </row>
    <row r="452" ht="12.75" hidden="1" customHeight="1" outlineLevel="1">
      <c r="A452" s="4"/>
      <c r="B452" s="4" t="s">
        <v>224</v>
      </c>
      <c r="C452" s="45"/>
      <c r="D452" s="15"/>
      <c r="E452" s="15"/>
      <c r="F452" s="15"/>
      <c r="G452" s="15"/>
      <c r="H452" s="104"/>
      <c r="I452" s="15"/>
      <c r="J452" s="15"/>
      <c r="K452" s="15"/>
      <c r="L452" s="15"/>
      <c r="M452" s="104"/>
      <c r="N452" s="15"/>
      <c r="O452" s="15"/>
      <c r="P452" s="15"/>
      <c r="Q452" s="15"/>
      <c r="R452" s="104"/>
      <c r="S452" s="15"/>
      <c r="T452" s="15"/>
      <c r="U452" s="15"/>
      <c r="V452" s="15"/>
      <c r="W452" s="104"/>
      <c r="X452" s="15"/>
      <c r="Y452" s="15"/>
      <c r="Z452" s="15"/>
      <c r="AA452" s="15"/>
      <c r="AB452" s="104"/>
      <c r="AC452" s="15"/>
      <c r="AD452" s="15"/>
      <c r="AE452" s="15"/>
      <c r="AF452" s="15"/>
      <c r="AG452" s="104"/>
      <c r="AH452" s="15"/>
      <c r="AI452" s="15"/>
      <c r="AJ452" s="15"/>
      <c r="AK452" s="15"/>
      <c r="AL452" s="104"/>
      <c r="AM452" s="15"/>
      <c r="AN452" s="15"/>
      <c r="AO452" s="15"/>
      <c r="AP452" s="15"/>
      <c r="AQ452" s="104"/>
      <c r="AR452" s="15"/>
      <c r="AS452" s="15"/>
      <c r="AT452" s="15"/>
      <c r="AU452" s="15"/>
      <c r="AV452" s="104"/>
      <c r="AW452" s="15"/>
      <c r="AX452" s="15"/>
      <c r="AY452" s="15"/>
      <c r="AZ452" s="15"/>
      <c r="BA452" s="104"/>
      <c r="BB452" s="15"/>
      <c r="BC452" s="15"/>
      <c r="BD452" s="15"/>
      <c r="BE452" s="15"/>
      <c r="BF452" s="104"/>
      <c r="BG452" s="15"/>
      <c r="BH452" s="15"/>
      <c r="BI452" s="15"/>
      <c r="BJ452" s="15"/>
      <c r="BK452" s="104"/>
      <c r="BL452" s="15"/>
      <c r="BM452" s="15"/>
      <c r="BN452" s="15"/>
      <c r="BO452" s="15"/>
      <c r="BP452" s="104"/>
      <c r="BQ452" s="15"/>
      <c r="BR452" s="15"/>
      <c r="BS452" s="15"/>
      <c r="BT452" s="15"/>
      <c r="BU452" s="104"/>
      <c r="BV452" s="15"/>
      <c r="BW452" s="15"/>
      <c r="BX452" s="15"/>
      <c r="BY452" s="15"/>
      <c r="BZ452" s="24"/>
      <c r="CA452" s="15"/>
      <c r="CB452" s="15"/>
      <c r="CC452" s="15"/>
      <c r="CD452" s="15"/>
      <c r="CE452" s="24"/>
      <c r="CF452" s="15"/>
      <c r="CG452" s="15"/>
      <c r="CH452" s="15"/>
      <c r="CI452" s="15"/>
      <c r="CJ452" s="24"/>
      <c r="CK452" s="15"/>
      <c r="CL452" s="15"/>
      <c r="CM452" s="15"/>
      <c r="CN452" s="40"/>
      <c r="CO452" s="24"/>
      <c r="CP452" s="104"/>
      <c r="CQ452" s="104"/>
      <c r="CR452" s="104"/>
      <c r="CS452" s="104"/>
      <c r="CT452" s="24"/>
      <c r="CU452" s="104"/>
      <c r="CV452" s="104"/>
      <c r="CW452" s="104"/>
      <c r="CX452" s="104"/>
      <c r="CY452" s="24"/>
      <c r="CZ452" s="40"/>
      <c r="DA452" s="40"/>
      <c r="DB452" s="40"/>
      <c r="DC452" s="40"/>
      <c r="DD452" s="24"/>
      <c r="DE452" s="40">
        <f t="shared" ref="DE452:DH452" si="2459">(DE413-CZ413)/(DE362-CZ362)</f>
        <v>-0.1100323625</v>
      </c>
      <c r="DF452" s="40">
        <f t="shared" si="2459"/>
        <v>0.35625</v>
      </c>
      <c r="DG452" s="40">
        <f t="shared" si="2459"/>
        <v>0.3388429752</v>
      </c>
      <c r="DH452" s="40">
        <f t="shared" si="2459"/>
        <v>1.671232877</v>
      </c>
      <c r="DI452" s="24"/>
      <c r="DJ452" s="40">
        <f t="shared" ref="DJ452:DM452" si="2460">(DJ413-DE413)/(DJ362-DE362)</f>
        <v>0.275862069</v>
      </c>
      <c r="DK452" s="40">
        <f t="shared" si="2460"/>
        <v>0.2195121951</v>
      </c>
      <c r="DL452" s="40">
        <f t="shared" si="2460"/>
        <v>1.115789474</v>
      </c>
      <c r="DM452" s="40">
        <f t="shared" si="2460"/>
        <v>-0.2293577982</v>
      </c>
      <c r="DN452" s="24"/>
      <c r="DO452" s="40">
        <f t="shared" ref="DO452:DR452" si="2461">(DO413-DJ413)/(DO362-DJ362)</f>
        <v>1.728</v>
      </c>
      <c r="DP452" s="40">
        <f t="shared" si="2461"/>
        <v>1.575539568</v>
      </c>
      <c r="DQ452" s="40">
        <f t="shared" si="2461"/>
        <v>-3.153110048</v>
      </c>
      <c r="DR452" s="40">
        <f t="shared" si="2461"/>
        <v>-0.7</v>
      </c>
      <c r="DS452" s="24"/>
      <c r="DT452" s="40">
        <f t="shared" ref="DT452:DW452" si="2462">(DT413-DO413)/(DT362-DO362)</f>
        <v>0.5460992908</v>
      </c>
      <c r="DU452" s="40">
        <f t="shared" si="2462"/>
        <v>0.842837274</v>
      </c>
      <c r="DV452" s="40">
        <f t="shared" si="2462"/>
        <v>-3.854014599</v>
      </c>
      <c r="DW452" s="40">
        <f t="shared" si="2462"/>
        <v>-19.11111111</v>
      </c>
      <c r="DX452" s="24"/>
      <c r="DY452" s="40">
        <f t="shared" ref="DY452:EB452" si="2463">(DY413-DT413)/(DY362-DT362)</f>
        <v>-1.025974026</v>
      </c>
      <c r="DZ452" s="40">
        <f t="shared" si="2463"/>
        <v>-0.1426024955</v>
      </c>
      <c r="EA452" s="40">
        <f t="shared" si="2463"/>
        <v>-8.604166667</v>
      </c>
      <c r="EB452" s="40">
        <f t="shared" si="2463"/>
        <v>-1.311320755</v>
      </c>
      <c r="EC452" s="24"/>
      <c r="ED452" s="40">
        <f>(ED413-DY413)/(ED362-DY362)</f>
        <v>0.1544715447</v>
      </c>
      <c r="EE452" s="40"/>
      <c r="EF452" s="40"/>
      <c r="EG452" s="40"/>
      <c r="EH452" s="24"/>
      <c r="EI452" s="317"/>
      <c r="EJ452" s="104"/>
      <c r="EK452" s="104"/>
      <c r="EL452" s="104"/>
      <c r="EM452" s="24"/>
      <c r="EN452" s="104"/>
      <c r="EO452" s="104"/>
      <c r="EP452" s="104"/>
      <c r="EQ452" s="104"/>
      <c r="ER452" s="24"/>
      <c r="ES452" s="104"/>
      <c r="ET452" s="104"/>
      <c r="EU452" s="104"/>
      <c r="EV452" s="104"/>
      <c r="EW452" s="24"/>
      <c r="EX452" s="104"/>
      <c r="EY452" s="104"/>
      <c r="EZ452" s="104"/>
      <c r="FA452" s="104"/>
      <c r="FB452" s="24"/>
      <c r="FC452" s="104"/>
      <c r="FD452" s="104"/>
      <c r="FE452" s="104"/>
      <c r="FF452" s="104"/>
      <c r="FG452" s="24"/>
      <c r="FH452" s="104"/>
      <c r="FI452" s="15"/>
      <c r="FJ452" s="15"/>
      <c r="FK452" s="410"/>
      <c r="FL452" s="15"/>
    </row>
    <row r="453" ht="12.75" hidden="1" customHeight="1" outlineLevel="1">
      <c r="A453" s="4"/>
      <c r="B453" s="4" t="s">
        <v>259</v>
      </c>
      <c r="C453" s="45"/>
      <c r="D453" s="15"/>
      <c r="E453" s="15"/>
      <c r="F453" s="15"/>
      <c r="G453" s="15"/>
      <c r="H453" s="104"/>
      <c r="I453" s="15"/>
      <c r="J453" s="15"/>
      <c r="K453" s="15"/>
      <c r="L453" s="15"/>
      <c r="M453" s="104"/>
      <c r="N453" s="15"/>
      <c r="O453" s="15"/>
      <c r="P453" s="15"/>
      <c r="Q453" s="15"/>
      <c r="R453" s="104"/>
      <c r="S453" s="15"/>
      <c r="T453" s="15"/>
      <c r="U453" s="15"/>
      <c r="V453" s="15"/>
      <c r="W453" s="104"/>
      <c r="X453" s="15"/>
      <c r="Y453" s="15"/>
      <c r="Z453" s="15"/>
      <c r="AA453" s="15"/>
      <c r="AB453" s="104"/>
      <c r="AC453" s="15"/>
      <c r="AD453" s="15"/>
      <c r="AE453" s="15"/>
      <c r="AF453" s="15"/>
      <c r="AG453" s="104"/>
      <c r="AH453" s="15"/>
      <c r="AI453" s="15"/>
      <c r="AJ453" s="15"/>
      <c r="AK453" s="15"/>
      <c r="AL453" s="104"/>
      <c r="AM453" s="15"/>
      <c r="AN453" s="15"/>
      <c r="AO453" s="15"/>
      <c r="AP453" s="15"/>
      <c r="AQ453" s="104"/>
      <c r="AR453" s="15"/>
      <c r="AS453" s="15"/>
      <c r="AT453" s="15"/>
      <c r="AU453" s="15"/>
      <c r="AV453" s="104"/>
      <c r="AW453" s="15"/>
      <c r="AX453" s="15"/>
      <c r="AY453" s="15"/>
      <c r="AZ453" s="15"/>
      <c r="BA453" s="104"/>
      <c r="BB453" s="15"/>
      <c r="BC453" s="15"/>
      <c r="BD453" s="15"/>
      <c r="BE453" s="15"/>
      <c r="BF453" s="104"/>
      <c r="BG453" s="15"/>
      <c r="BH453" s="15"/>
      <c r="BI453" s="15"/>
      <c r="BJ453" s="15"/>
      <c r="BK453" s="104"/>
      <c r="BL453" s="15"/>
      <c r="BM453" s="15"/>
      <c r="BN453" s="15"/>
      <c r="BO453" s="15"/>
      <c r="BP453" s="104"/>
      <c r="BQ453" s="15"/>
      <c r="BR453" s="15"/>
      <c r="BS453" s="15"/>
      <c r="BT453" s="15"/>
      <c r="BU453" s="104"/>
      <c r="BV453" s="15"/>
      <c r="BW453" s="15"/>
      <c r="BX453" s="15"/>
      <c r="BY453" s="15"/>
      <c r="BZ453" s="24"/>
      <c r="CA453" s="15"/>
      <c r="CB453" s="15"/>
      <c r="CC453" s="15"/>
      <c r="CD453" s="15"/>
      <c r="CE453" s="24"/>
      <c r="CF453" s="15"/>
      <c r="CG453" s="15"/>
      <c r="CH453" s="15"/>
      <c r="CI453" s="15"/>
      <c r="CJ453" s="24"/>
      <c r="CK453" s="15"/>
      <c r="CL453" s="15"/>
      <c r="CM453" s="15"/>
      <c r="CN453" s="40"/>
      <c r="CO453" s="24"/>
      <c r="CP453" s="104"/>
      <c r="CQ453" s="104"/>
      <c r="CR453" s="104"/>
      <c r="CS453" s="104"/>
      <c r="CT453" s="24"/>
      <c r="CU453" s="104"/>
      <c r="CV453" s="104"/>
      <c r="CW453" s="104"/>
      <c r="CX453" s="104"/>
      <c r="CY453" s="24"/>
      <c r="CZ453" s="40"/>
      <c r="DA453" s="40"/>
      <c r="DB453" s="40"/>
      <c r="DC453" s="40"/>
      <c r="DD453" s="24"/>
      <c r="DE453" s="40">
        <f t="shared" ref="DE453:DH453" si="2464">(DE408+DE411-CZ408-CZ411)/(DE324+DE265-CZ265-CZ324)</f>
        <v>1.316666667</v>
      </c>
      <c r="DF453" s="40">
        <f t="shared" si="2464"/>
        <v>0.8278688525</v>
      </c>
      <c r="DG453" s="40">
        <f t="shared" si="2464"/>
        <v>1.375</v>
      </c>
      <c r="DH453" s="40">
        <f t="shared" si="2464"/>
        <v>1.151556157</v>
      </c>
      <c r="DI453" s="24"/>
      <c r="DJ453" s="40">
        <f t="shared" ref="DJ453:DM453" si="2465">(DJ408+DJ411-DE408-DE411)/(DJ324+DJ265-DE265-DE324)</f>
        <v>0.702247191</v>
      </c>
      <c r="DK453" s="40">
        <f t="shared" si="2465"/>
        <v>0.7517027864</v>
      </c>
      <c r="DL453" s="40">
        <f t="shared" si="2465"/>
        <v>0.6675521822</v>
      </c>
      <c r="DM453" s="40">
        <f t="shared" si="2465"/>
        <v>0.3431734317</v>
      </c>
      <c r="DN453" s="24"/>
      <c r="DO453" s="40">
        <f t="shared" ref="DO453:DR453" si="2466">(DO408+DO411-DJ408-DJ411)/(DO324+DO265-DJ265-DJ324)</f>
        <v>-14.11764706</v>
      </c>
      <c r="DP453" s="40">
        <f t="shared" si="2466"/>
        <v>0.9654255319</v>
      </c>
      <c r="DQ453" s="40">
        <f t="shared" si="2466"/>
        <v>0.6903914591</v>
      </c>
      <c r="DR453" s="40">
        <f t="shared" si="2466"/>
        <v>0.6298798799</v>
      </c>
      <c r="DS453" s="24"/>
      <c r="DT453" s="40">
        <f t="shared" ref="DT453:DW453" si="2467">(DT408+DT411-DO408-DO411)/(DT324+DT265-DO265-DO324)</f>
        <v>0.8548780488</v>
      </c>
      <c r="DU453" s="40">
        <f t="shared" si="2467"/>
        <v>0.1448547867</v>
      </c>
      <c r="DV453" s="40">
        <f t="shared" si="2467"/>
        <v>5.773529412</v>
      </c>
      <c r="DW453" s="40">
        <f t="shared" si="2467"/>
        <v>4.969387755</v>
      </c>
      <c r="DX453" s="24"/>
      <c r="DY453" s="40">
        <f t="shared" ref="DY453:EB453" si="2468">(DY408+DY411-DT408-DT411)/(DY324+DY265-DT265-DT324)</f>
        <v>3.879799666</v>
      </c>
      <c r="DZ453" s="40">
        <f t="shared" si="2468"/>
        <v>4.897959184</v>
      </c>
      <c r="EA453" s="40" t="str">
        <f t="shared" si="2468"/>
        <v>#ERROR!</v>
      </c>
      <c r="EB453" s="40" t="str">
        <f t="shared" si="2468"/>
        <v>#ERROR!</v>
      </c>
      <c r="EC453" s="24"/>
      <c r="ED453" s="40" t="str">
        <f>(ED408+ED411-DY408-DY411)/(ED324+ED265-DY265-DY324)</f>
        <v>#ERROR!</v>
      </c>
      <c r="EE453" s="40"/>
      <c r="EF453" s="40"/>
      <c r="EG453" s="40"/>
      <c r="EH453" s="24"/>
      <c r="EI453" s="317"/>
      <c r="EJ453" s="104"/>
      <c r="EK453" s="104"/>
      <c r="EL453" s="104"/>
      <c r="EM453" s="24"/>
      <c r="EN453" s="104"/>
      <c r="EO453" s="104"/>
      <c r="EP453" s="104"/>
      <c r="EQ453" s="104"/>
      <c r="ER453" s="24"/>
      <c r="ES453" s="104"/>
      <c r="ET453" s="104"/>
      <c r="EU453" s="104"/>
      <c r="EV453" s="104"/>
      <c r="EW453" s="24"/>
      <c r="EX453" s="104"/>
      <c r="EY453" s="104"/>
      <c r="EZ453" s="104"/>
      <c r="FA453" s="104"/>
      <c r="FB453" s="24"/>
      <c r="FC453" s="104"/>
      <c r="FD453" s="104"/>
      <c r="FE453" s="104"/>
      <c r="FF453" s="104"/>
      <c r="FG453" s="24"/>
      <c r="FH453" s="104"/>
      <c r="FI453" s="15"/>
      <c r="FJ453" s="15"/>
      <c r="FK453" s="410"/>
      <c r="FL453" s="15"/>
    </row>
    <row r="454" ht="12.75" hidden="1" customHeight="1" outlineLevel="1">
      <c r="A454" s="4"/>
      <c r="B454" s="4"/>
      <c r="C454" s="45"/>
      <c r="D454" s="15"/>
      <c r="E454" s="15"/>
      <c r="F454" s="15"/>
      <c r="G454" s="15"/>
      <c r="H454" s="104"/>
      <c r="I454" s="15"/>
      <c r="J454" s="15"/>
      <c r="K454" s="15"/>
      <c r="L454" s="15"/>
      <c r="M454" s="104"/>
      <c r="N454" s="15"/>
      <c r="O454" s="15"/>
      <c r="P454" s="15"/>
      <c r="Q454" s="15"/>
      <c r="R454" s="104"/>
      <c r="S454" s="15"/>
      <c r="T454" s="15"/>
      <c r="U454" s="15"/>
      <c r="V454" s="15"/>
      <c r="W454" s="104"/>
      <c r="X454" s="15"/>
      <c r="Y454" s="15"/>
      <c r="Z454" s="15"/>
      <c r="AA454" s="15"/>
      <c r="AB454" s="104"/>
      <c r="AC454" s="15"/>
      <c r="AD454" s="15"/>
      <c r="AE454" s="15"/>
      <c r="AF454" s="15"/>
      <c r="AG454" s="104"/>
      <c r="AH454" s="15"/>
      <c r="AI454" s="15"/>
      <c r="AJ454" s="15"/>
      <c r="AK454" s="15"/>
      <c r="AL454" s="104"/>
      <c r="AM454" s="15"/>
      <c r="AN454" s="15"/>
      <c r="AO454" s="15"/>
      <c r="AP454" s="15"/>
      <c r="AQ454" s="104"/>
      <c r="AR454" s="15"/>
      <c r="AS454" s="15"/>
      <c r="AT454" s="15"/>
      <c r="AU454" s="15"/>
      <c r="AV454" s="104"/>
      <c r="AW454" s="15"/>
      <c r="AX454" s="15"/>
      <c r="AY454" s="15"/>
      <c r="AZ454" s="15"/>
      <c r="BA454" s="104"/>
      <c r="BB454" s="15"/>
      <c r="BC454" s="15"/>
      <c r="BD454" s="15"/>
      <c r="BE454" s="15"/>
      <c r="BF454" s="104"/>
      <c r="BG454" s="15"/>
      <c r="BH454" s="15"/>
      <c r="BI454" s="15"/>
      <c r="BJ454" s="15"/>
      <c r="BK454" s="104"/>
      <c r="BL454" s="15"/>
      <c r="BM454" s="15"/>
      <c r="BN454" s="15"/>
      <c r="BO454" s="15"/>
      <c r="BP454" s="104"/>
      <c r="BQ454" s="15"/>
      <c r="BR454" s="15"/>
      <c r="BS454" s="15"/>
      <c r="BT454" s="15"/>
      <c r="BU454" s="104"/>
      <c r="BV454" s="15"/>
      <c r="BW454" s="15"/>
      <c r="BX454" s="15"/>
      <c r="BY454" s="15"/>
      <c r="BZ454" s="24"/>
      <c r="CA454" s="15"/>
      <c r="CB454" s="15"/>
      <c r="CC454" s="15"/>
      <c r="CD454" s="15"/>
      <c r="CE454" s="24"/>
      <c r="CF454" s="15"/>
      <c r="CG454" s="15"/>
      <c r="CH454" s="15"/>
      <c r="CI454" s="15"/>
      <c r="CJ454" s="24"/>
      <c r="CK454" s="15"/>
      <c r="CL454" s="15"/>
      <c r="CM454" s="15"/>
      <c r="CN454" s="40"/>
      <c r="CO454" s="24"/>
      <c r="CP454" s="104"/>
      <c r="CQ454" s="104"/>
      <c r="CR454" s="104"/>
      <c r="CS454" s="104"/>
      <c r="CT454" s="24"/>
      <c r="CU454" s="104"/>
      <c r="CV454" s="104"/>
      <c r="CW454" s="104"/>
      <c r="CX454" s="104"/>
      <c r="CY454" s="24"/>
      <c r="CZ454" s="104"/>
      <c r="DA454" s="104"/>
      <c r="DB454" s="104"/>
      <c r="DC454" s="104"/>
      <c r="DD454" s="24"/>
      <c r="DE454" s="40"/>
      <c r="DF454" s="40"/>
      <c r="DG454" s="40"/>
      <c r="DH454" s="40"/>
      <c r="DI454" s="24"/>
      <c r="DJ454" s="40"/>
      <c r="DK454" s="40"/>
      <c r="DL454" s="40"/>
      <c r="DM454" s="40"/>
      <c r="DN454" s="24"/>
      <c r="DO454" s="40"/>
      <c r="DP454" s="40"/>
      <c r="DQ454" s="40"/>
      <c r="DR454" s="40"/>
      <c r="DS454" s="24"/>
      <c r="DT454" s="40"/>
      <c r="DU454" s="40"/>
      <c r="DV454" s="40"/>
      <c r="DW454" s="40"/>
      <c r="DX454" s="24"/>
      <c r="DY454" s="40"/>
      <c r="DZ454" s="40"/>
      <c r="EA454" s="40"/>
      <c r="EB454" s="40"/>
      <c r="EC454" s="24"/>
      <c r="ED454" s="40"/>
      <c r="EE454" s="40"/>
      <c r="EF454" s="40"/>
      <c r="EG454" s="40"/>
      <c r="EH454" s="24"/>
      <c r="EI454" s="317"/>
      <c r="EJ454" s="104"/>
      <c r="EK454" s="104"/>
      <c r="EL454" s="104"/>
      <c r="EM454" s="24"/>
      <c r="EN454" s="104"/>
      <c r="EO454" s="104"/>
      <c r="EP454" s="104"/>
      <c r="EQ454" s="104"/>
      <c r="ER454" s="24"/>
      <c r="ES454" s="104"/>
      <c r="ET454" s="104"/>
      <c r="EU454" s="104"/>
      <c r="EV454" s="104"/>
      <c r="EW454" s="24"/>
      <c r="EX454" s="104"/>
      <c r="EY454" s="104"/>
      <c r="EZ454" s="104"/>
      <c r="FA454" s="104"/>
      <c r="FB454" s="24"/>
      <c r="FC454" s="104"/>
      <c r="FD454" s="104"/>
      <c r="FE454" s="104"/>
      <c r="FF454" s="104"/>
      <c r="FG454" s="24"/>
      <c r="FH454" s="104"/>
      <c r="FI454" s="15"/>
      <c r="FJ454" s="15"/>
      <c r="FK454" s="410"/>
      <c r="FL454" s="15"/>
    </row>
    <row r="455" ht="12.75" hidden="1" customHeight="1" outlineLevel="1">
      <c r="A455" s="4"/>
      <c r="B455" s="555" t="s">
        <v>261</v>
      </c>
      <c r="C455" s="45"/>
      <c r="D455" s="15"/>
      <c r="E455" s="15"/>
      <c r="F455" s="15"/>
      <c r="G455" s="15"/>
      <c r="H455" s="104"/>
      <c r="I455" s="15"/>
      <c r="J455" s="15"/>
      <c r="K455" s="15"/>
      <c r="L455" s="15"/>
      <c r="M455" s="104"/>
      <c r="N455" s="15"/>
      <c r="O455" s="15"/>
      <c r="P455" s="15"/>
      <c r="Q455" s="15"/>
      <c r="R455" s="104"/>
      <c r="S455" s="15"/>
      <c r="T455" s="15"/>
      <c r="U455" s="15"/>
      <c r="V455" s="15"/>
      <c r="W455" s="104"/>
      <c r="X455" s="15"/>
      <c r="Y455" s="15"/>
      <c r="Z455" s="15"/>
      <c r="AA455" s="15"/>
      <c r="AB455" s="104"/>
      <c r="AC455" s="15"/>
      <c r="AD455" s="15"/>
      <c r="AE455" s="15"/>
      <c r="AF455" s="15"/>
      <c r="AG455" s="104"/>
      <c r="AH455" s="15"/>
      <c r="AI455" s="15"/>
      <c r="AJ455" s="15"/>
      <c r="AK455" s="15"/>
      <c r="AL455" s="104"/>
      <c r="AM455" s="15"/>
      <c r="AN455" s="15"/>
      <c r="AO455" s="15"/>
      <c r="AP455" s="15"/>
      <c r="AQ455" s="104"/>
      <c r="AR455" s="15"/>
      <c r="AS455" s="15"/>
      <c r="AT455" s="15"/>
      <c r="AU455" s="15"/>
      <c r="AV455" s="104"/>
      <c r="AW455" s="15"/>
      <c r="AX455" s="15"/>
      <c r="AY455" s="15"/>
      <c r="AZ455" s="15"/>
      <c r="BA455" s="104"/>
      <c r="BB455" s="15"/>
      <c r="BC455" s="15"/>
      <c r="BD455" s="15"/>
      <c r="BE455" s="15"/>
      <c r="BF455" s="104"/>
      <c r="BG455" s="15"/>
      <c r="BH455" s="15"/>
      <c r="BI455" s="15"/>
      <c r="BJ455" s="15"/>
      <c r="BK455" s="104"/>
      <c r="BL455" s="15"/>
      <c r="BM455" s="15"/>
      <c r="BN455" s="15"/>
      <c r="BO455" s="15"/>
      <c r="BP455" s="104"/>
      <c r="BQ455" s="15"/>
      <c r="BR455" s="15"/>
      <c r="BS455" s="15"/>
      <c r="BT455" s="15"/>
      <c r="BU455" s="104"/>
      <c r="BV455" s="15"/>
      <c r="BW455" s="15"/>
      <c r="BX455" s="15"/>
      <c r="BY455" s="15"/>
      <c r="BZ455" s="24"/>
      <c r="CA455" s="15"/>
      <c r="CB455" s="15"/>
      <c r="CC455" s="15"/>
      <c r="CD455" s="15"/>
      <c r="CE455" s="24"/>
      <c r="CF455" s="15"/>
      <c r="CG455" s="15"/>
      <c r="CH455" s="15"/>
      <c r="CI455" s="15"/>
      <c r="CJ455" s="24"/>
      <c r="CK455" s="15"/>
      <c r="CL455" s="15"/>
      <c r="CM455" s="15"/>
      <c r="CN455" s="40"/>
      <c r="CO455" s="24"/>
      <c r="CP455" s="104"/>
      <c r="CQ455" s="104"/>
      <c r="CR455" s="104"/>
      <c r="CS455" s="104"/>
      <c r="CT455" s="24"/>
      <c r="CU455" s="104"/>
      <c r="CV455" s="104"/>
      <c r="CW455" s="104"/>
      <c r="CX455" s="104"/>
      <c r="CY455" s="24"/>
      <c r="CZ455" s="104"/>
      <c r="DA455" s="104"/>
      <c r="DB455" s="104"/>
      <c r="DC455" s="104"/>
      <c r="DD455" s="24"/>
      <c r="DE455" s="40"/>
      <c r="DF455" s="40"/>
      <c r="DG455" s="40"/>
      <c r="DH455" s="40"/>
      <c r="DI455" s="24"/>
      <c r="DJ455" s="40"/>
      <c r="DK455" s="40"/>
      <c r="DL455" s="40"/>
      <c r="DM455" s="40"/>
      <c r="DN455" s="24"/>
      <c r="DO455" s="40"/>
      <c r="DP455" s="40"/>
      <c r="DQ455" s="40"/>
      <c r="DR455" s="40"/>
      <c r="DS455" s="24"/>
      <c r="DT455" s="40"/>
      <c r="DU455" s="40"/>
      <c r="DV455" s="40"/>
      <c r="DW455" s="40"/>
      <c r="DX455" s="24"/>
      <c r="DY455" s="40"/>
      <c r="DZ455" s="40"/>
      <c r="EA455" s="40"/>
      <c r="EB455" s="40"/>
      <c r="EC455" s="24"/>
      <c r="ED455" s="40"/>
      <c r="EE455" s="40"/>
      <c r="EF455" s="40"/>
      <c r="EG455" s="40"/>
      <c r="EH455" s="24"/>
      <c r="EI455" s="317"/>
      <c r="EJ455" s="104"/>
      <c r="EK455" s="104"/>
      <c r="EL455" s="104"/>
      <c r="EM455" s="24"/>
      <c r="EN455" s="104"/>
      <c r="EO455" s="104"/>
      <c r="EP455" s="104"/>
      <c r="EQ455" s="104"/>
      <c r="ER455" s="24"/>
      <c r="ES455" s="104"/>
      <c r="ET455" s="104"/>
      <c r="EU455" s="104"/>
      <c r="EV455" s="104"/>
      <c r="EW455" s="24"/>
      <c r="EX455" s="104"/>
      <c r="EY455" s="104"/>
      <c r="EZ455" s="104"/>
      <c r="FA455" s="104"/>
      <c r="FB455" s="24"/>
      <c r="FC455" s="104"/>
      <c r="FD455" s="104"/>
      <c r="FE455" s="104"/>
      <c r="FF455" s="104"/>
      <c r="FG455" s="24"/>
      <c r="FH455" s="104"/>
      <c r="FI455" s="15"/>
      <c r="FJ455" s="15"/>
      <c r="FK455" s="410"/>
      <c r="FL455" s="15"/>
    </row>
    <row r="456" ht="12.75" hidden="1" customHeight="1" outlineLevel="1">
      <c r="A456" s="4"/>
      <c r="B456" s="4" t="s">
        <v>262</v>
      </c>
      <c r="C456" s="45"/>
      <c r="D456" s="15"/>
      <c r="E456" s="15"/>
      <c r="F456" s="15"/>
      <c r="G456" s="15"/>
      <c r="H456" s="104"/>
      <c r="I456" s="15"/>
      <c r="J456" s="15"/>
      <c r="K456" s="15"/>
      <c r="L456" s="15"/>
      <c r="M456" s="104"/>
      <c r="N456" s="15"/>
      <c r="O456" s="15"/>
      <c r="P456" s="15"/>
      <c r="Q456" s="15"/>
      <c r="R456" s="104"/>
      <c r="S456" s="15"/>
      <c r="T456" s="15"/>
      <c r="U456" s="15"/>
      <c r="V456" s="15"/>
      <c r="W456" s="104"/>
      <c r="X456" s="15"/>
      <c r="Y456" s="15"/>
      <c r="Z456" s="15"/>
      <c r="AA456" s="15"/>
      <c r="AB456" s="104"/>
      <c r="AC456" s="15"/>
      <c r="AD456" s="15"/>
      <c r="AE456" s="15"/>
      <c r="AF456" s="15"/>
      <c r="AG456" s="104"/>
      <c r="AH456" s="15"/>
      <c r="AI456" s="15"/>
      <c r="AJ456" s="15"/>
      <c r="AK456" s="15"/>
      <c r="AL456" s="104"/>
      <c r="AM456" s="15"/>
      <c r="AN456" s="15"/>
      <c r="AO456" s="15"/>
      <c r="AP456" s="15"/>
      <c r="AQ456" s="104"/>
      <c r="AR456" s="15"/>
      <c r="AS456" s="15"/>
      <c r="AT456" s="15"/>
      <c r="AU456" s="15"/>
      <c r="AV456" s="104"/>
      <c r="AW456" s="15"/>
      <c r="AX456" s="15"/>
      <c r="AY456" s="15"/>
      <c r="AZ456" s="15"/>
      <c r="BA456" s="104"/>
      <c r="BB456" s="15"/>
      <c r="BC456" s="15"/>
      <c r="BD456" s="15"/>
      <c r="BE456" s="15"/>
      <c r="BF456" s="104"/>
      <c r="BG456" s="15"/>
      <c r="BH456" s="15"/>
      <c r="BI456" s="15"/>
      <c r="BJ456" s="15"/>
      <c r="BK456" s="104"/>
      <c r="BL456" s="15"/>
      <c r="BM456" s="15"/>
      <c r="BN456" s="15"/>
      <c r="BO456" s="15"/>
      <c r="BP456" s="104"/>
      <c r="BQ456" s="15"/>
      <c r="BR456" s="15"/>
      <c r="BS456" s="15"/>
      <c r="BT456" s="15"/>
      <c r="BU456" s="104"/>
      <c r="BV456" s="15"/>
      <c r="BW456" s="15"/>
      <c r="BX456" s="15"/>
      <c r="BY456" s="15"/>
      <c r="BZ456" s="24"/>
      <c r="CA456" s="15"/>
      <c r="CB456" s="15"/>
      <c r="CC456" s="15"/>
      <c r="CD456" s="15"/>
      <c r="CE456" s="24"/>
      <c r="CF456" s="15"/>
      <c r="CG456" s="15"/>
      <c r="CH456" s="15"/>
      <c r="CI456" s="15"/>
      <c r="CJ456" s="24"/>
      <c r="CK456" s="15"/>
      <c r="CL456" s="15"/>
      <c r="CM456" s="15"/>
      <c r="CN456" s="40"/>
      <c r="CO456" s="24"/>
      <c r="CP456" s="104"/>
      <c r="CQ456" s="104"/>
      <c r="CR456" s="104"/>
      <c r="CS456" s="104"/>
      <c r="CT456" s="24"/>
      <c r="CU456" s="104"/>
      <c r="CV456" s="104"/>
      <c r="CW456" s="104"/>
      <c r="CX456" s="104"/>
      <c r="CY456" s="24"/>
      <c r="CZ456" s="104"/>
      <c r="DA456" s="104"/>
      <c r="DB456" s="104"/>
      <c r="DC456" s="104"/>
      <c r="DD456" s="24"/>
      <c r="DE456" s="40">
        <f t="shared" ref="DE456:EB456" si="2469">DE106+3%</f>
        <v>0.3969910787</v>
      </c>
      <c r="DF456" s="40">
        <f t="shared" si="2469"/>
        <v>0.3774226106</v>
      </c>
      <c r="DG456" s="40">
        <f t="shared" si="2469"/>
        <v>0.3257458666</v>
      </c>
      <c r="DH456" s="40">
        <f t="shared" si="2469"/>
        <v>0.3304749897</v>
      </c>
      <c r="DI456" s="313">
        <f t="shared" si="2469"/>
        <v>0.3559826963</v>
      </c>
      <c r="DJ456" s="40">
        <f t="shared" si="2469"/>
        <v>0.3543495581</v>
      </c>
      <c r="DK456" s="40">
        <f t="shared" si="2469"/>
        <v>0.3457056951</v>
      </c>
      <c r="DL456" s="40">
        <f t="shared" si="2469"/>
        <v>0.2926415488</v>
      </c>
      <c r="DM456" s="40">
        <f t="shared" si="2469"/>
        <v>0.2954767648</v>
      </c>
      <c r="DN456" s="313">
        <f t="shared" si="2469"/>
        <v>0.3200858175</v>
      </c>
      <c r="DO456" s="40">
        <f t="shared" si="2469"/>
        <v>0.3329076645</v>
      </c>
      <c r="DP456" s="40">
        <f t="shared" si="2469"/>
        <v>0.3345743714</v>
      </c>
      <c r="DQ456" s="40">
        <f t="shared" si="2469"/>
        <v>0.2746065659</v>
      </c>
      <c r="DR456" s="40">
        <f t="shared" si="2469"/>
        <v>0.2737527834</v>
      </c>
      <c r="DS456" s="313">
        <f t="shared" si="2469"/>
        <v>0.3011318002</v>
      </c>
      <c r="DT456" s="40">
        <f t="shared" si="2469"/>
        <v>0.2728888441</v>
      </c>
      <c r="DU456" s="40">
        <f t="shared" si="2469"/>
        <v>0.270825223</v>
      </c>
      <c r="DV456" s="40">
        <f t="shared" si="2469"/>
        <v>0.2839137075</v>
      </c>
      <c r="DW456" s="40">
        <f t="shared" si="2469"/>
        <v>0.2982450696</v>
      </c>
      <c r="DX456" s="313">
        <f t="shared" si="2469"/>
        <v>0.2814672454</v>
      </c>
      <c r="DY456" s="40">
        <f t="shared" si="2469"/>
        <v>0.2860056016</v>
      </c>
      <c r="DZ456" s="40">
        <f t="shared" si="2469"/>
        <v>0.3062639616</v>
      </c>
      <c r="EA456" s="40">
        <f t="shared" si="2469"/>
        <v>0.3202637253</v>
      </c>
      <c r="EB456" s="40">
        <f t="shared" si="2469"/>
        <v>0.3256686463</v>
      </c>
      <c r="EC456" s="24"/>
      <c r="ED456" s="40">
        <f>ED106+3%</f>
        <v>0.3298964747</v>
      </c>
      <c r="EE456" s="40"/>
      <c r="EF456" s="40"/>
      <c r="EG456" s="40"/>
      <c r="EH456" s="24"/>
      <c r="EI456" s="317"/>
      <c r="EJ456" s="104"/>
      <c r="EK456" s="104"/>
      <c r="EL456" s="104"/>
      <c r="EM456" s="24"/>
      <c r="EN456" s="104"/>
      <c r="EO456" s="104"/>
      <c r="EP456" s="104"/>
      <c r="EQ456" s="104"/>
      <c r="ER456" s="24"/>
      <c r="ES456" s="104"/>
      <c r="ET456" s="104"/>
      <c r="EU456" s="104"/>
      <c r="EV456" s="104"/>
      <c r="EW456" s="24"/>
      <c r="EX456" s="104"/>
      <c r="EY456" s="104"/>
      <c r="EZ456" s="104"/>
      <c r="FA456" s="104"/>
      <c r="FB456" s="24"/>
      <c r="FC456" s="104"/>
      <c r="FD456" s="104"/>
      <c r="FE456" s="104"/>
      <c r="FF456" s="104"/>
      <c r="FG456" s="24"/>
      <c r="FH456" s="104"/>
      <c r="FI456" s="15"/>
      <c r="FJ456" s="15"/>
      <c r="FK456" s="410"/>
      <c r="FL456" s="15"/>
    </row>
    <row r="457" ht="12.75" hidden="1" customHeight="1" outlineLevel="1">
      <c r="A457" s="4"/>
      <c r="B457" s="4" t="s">
        <v>263</v>
      </c>
      <c r="C457" s="45"/>
      <c r="D457" s="15"/>
      <c r="E457" s="15"/>
      <c r="F457" s="15"/>
      <c r="G457" s="15"/>
      <c r="H457" s="104"/>
      <c r="I457" s="15"/>
      <c r="J457" s="15"/>
      <c r="K457" s="15"/>
      <c r="L457" s="15"/>
      <c r="M457" s="104"/>
      <c r="N457" s="15"/>
      <c r="O457" s="15"/>
      <c r="P457" s="15"/>
      <c r="Q457" s="15"/>
      <c r="R457" s="104"/>
      <c r="S457" s="15"/>
      <c r="T457" s="15"/>
      <c r="U457" s="15"/>
      <c r="V457" s="15"/>
      <c r="W457" s="104"/>
      <c r="X457" s="15"/>
      <c r="Y457" s="15"/>
      <c r="Z457" s="15"/>
      <c r="AA457" s="15"/>
      <c r="AB457" s="104"/>
      <c r="AC457" s="15"/>
      <c r="AD457" s="15"/>
      <c r="AE457" s="15"/>
      <c r="AF457" s="15"/>
      <c r="AG457" s="104"/>
      <c r="AH457" s="15"/>
      <c r="AI457" s="15"/>
      <c r="AJ457" s="15"/>
      <c r="AK457" s="15"/>
      <c r="AL457" s="104"/>
      <c r="AM457" s="15"/>
      <c r="AN457" s="15"/>
      <c r="AO457" s="15"/>
      <c r="AP457" s="15"/>
      <c r="AQ457" s="104"/>
      <c r="AR457" s="15"/>
      <c r="AS457" s="15"/>
      <c r="AT457" s="15"/>
      <c r="AU457" s="15"/>
      <c r="AV457" s="104"/>
      <c r="AW457" s="15"/>
      <c r="AX457" s="15"/>
      <c r="AY457" s="15"/>
      <c r="AZ457" s="15"/>
      <c r="BA457" s="104"/>
      <c r="BB457" s="15"/>
      <c r="BC457" s="15"/>
      <c r="BD457" s="15"/>
      <c r="BE457" s="15"/>
      <c r="BF457" s="104"/>
      <c r="BG457" s="15"/>
      <c r="BH457" s="15"/>
      <c r="BI457" s="15"/>
      <c r="BJ457" s="15"/>
      <c r="BK457" s="104"/>
      <c r="BL457" s="15"/>
      <c r="BM457" s="15"/>
      <c r="BN457" s="15"/>
      <c r="BO457" s="15"/>
      <c r="BP457" s="104"/>
      <c r="BQ457" s="15"/>
      <c r="BR457" s="15"/>
      <c r="BS457" s="15"/>
      <c r="BT457" s="15"/>
      <c r="BU457" s="104"/>
      <c r="BV457" s="15"/>
      <c r="BW457" s="15"/>
      <c r="BX457" s="15"/>
      <c r="BY457" s="15"/>
      <c r="BZ457" s="24"/>
      <c r="CA457" s="15"/>
      <c r="CB457" s="15"/>
      <c r="CC457" s="15"/>
      <c r="CD457" s="15"/>
      <c r="CE457" s="24"/>
      <c r="CF457" s="15"/>
      <c r="CG457" s="15"/>
      <c r="CH457" s="15"/>
      <c r="CI457" s="15"/>
      <c r="CJ457" s="24"/>
      <c r="CK457" s="15"/>
      <c r="CL457" s="15"/>
      <c r="CM457" s="15"/>
      <c r="CN457" s="40"/>
      <c r="CO457" s="24"/>
      <c r="CP457" s="104"/>
      <c r="CQ457" s="104"/>
      <c r="CR457" s="104"/>
      <c r="CS457" s="104"/>
      <c r="CT457" s="24"/>
      <c r="CU457" s="104"/>
      <c r="CV457" s="104"/>
      <c r="CW457" s="104"/>
      <c r="CX457" s="104"/>
      <c r="CY457" s="24"/>
      <c r="CZ457" s="104"/>
      <c r="DA457" s="104"/>
      <c r="DB457" s="104"/>
      <c r="DC457" s="104"/>
      <c r="DD457" s="24"/>
      <c r="DE457" s="40">
        <f t="shared" ref="DE457:EB457" si="2470">DE422</f>
        <v>0.3513705104</v>
      </c>
      <c r="DF457" s="40">
        <f t="shared" si="2470"/>
        <v>0.3799176578</v>
      </c>
      <c r="DG457" s="40">
        <f t="shared" si="2470"/>
        <v>0.4622796228</v>
      </c>
      <c r="DH457" s="40">
        <f t="shared" si="2470"/>
        <v>0.5360085991</v>
      </c>
      <c r="DI457" s="313">
        <f t="shared" si="2470"/>
        <v>0.4403587914</v>
      </c>
      <c r="DJ457" s="40">
        <f t="shared" si="2470"/>
        <v>0.497134123</v>
      </c>
      <c r="DK457" s="40">
        <f t="shared" si="2470"/>
        <v>0.4909090909</v>
      </c>
      <c r="DL457" s="40">
        <f t="shared" si="2470"/>
        <v>0.5020361622</v>
      </c>
      <c r="DM457" s="40">
        <f t="shared" si="2470"/>
        <v>0.5033778217</v>
      </c>
      <c r="DN457" s="313">
        <f t="shared" si="2470"/>
        <v>0.4986051783</v>
      </c>
      <c r="DO457" s="40">
        <f t="shared" si="2470"/>
        <v>0.3755609955</v>
      </c>
      <c r="DP457" s="40">
        <f t="shared" si="2470"/>
        <v>0.3612281758</v>
      </c>
      <c r="DQ457" s="40">
        <f t="shared" si="2470"/>
        <v>0.4880150399</v>
      </c>
      <c r="DR457" s="40">
        <f t="shared" si="2470"/>
        <v>0.4812144739</v>
      </c>
      <c r="DS457" s="313">
        <f t="shared" si="2470"/>
        <v>0.435543631</v>
      </c>
      <c r="DT457" s="40">
        <f t="shared" si="2470"/>
        <v>0.4993564994</v>
      </c>
      <c r="DU457" s="40">
        <f t="shared" si="2470"/>
        <v>0.4354362793</v>
      </c>
      <c r="DV457" s="40">
        <f t="shared" si="2470"/>
        <v>0.3222692633</v>
      </c>
      <c r="DW457" s="40">
        <f t="shared" si="2470"/>
        <v>0.3411629435</v>
      </c>
      <c r="DX457" s="313">
        <f t="shared" si="2470"/>
        <v>0.4049726085</v>
      </c>
      <c r="DY457" s="40">
        <f t="shared" si="2470"/>
        <v>0.2287922358</v>
      </c>
      <c r="DZ457" s="40">
        <f t="shared" si="2470"/>
        <v>0.300697134</v>
      </c>
      <c r="EA457" s="40" t="str">
        <f t="shared" si="2470"/>
        <v>#ERROR!</v>
      </c>
      <c r="EB457" s="40" t="str">
        <f t="shared" si="2470"/>
        <v>#ERROR!</v>
      </c>
      <c r="EC457" s="24"/>
      <c r="ED457" s="40" t="str">
        <f>ED422</f>
        <v>#ERROR!</v>
      </c>
      <c r="EE457" s="40"/>
      <c r="EF457" s="40"/>
      <c r="EG457" s="40"/>
      <c r="EH457" s="24"/>
      <c r="EI457" s="317"/>
      <c r="EJ457" s="104"/>
      <c r="EK457" s="104"/>
      <c r="EL457" s="104"/>
      <c r="EM457" s="24"/>
      <c r="EN457" s="104"/>
      <c r="EO457" s="104"/>
      <c r="EP457" s="104"/>
      <c r="EQ457" s="104"/>
      <c r="ER457" s="24"/>
      <c r="ES457" s="104"/>
      <c r="ET457" s="104"/>
      <c r="EU457" s="104"/>
      <c r="EV457" s="104"/>
      <c r="EW457" s="24"/>
      <c r="EX457" s="104"/>
      <c r="EY457" s="104"/>
      <c r="EZ457" s="104"/>
      <c r="FA457" s="104"/>
      <c r="FB457" s="24"/>
      <c r="FC457" s="104"/>
      <c r="FD457" s="104"/>
      <c r="FE457" s="104"/>
      <c r="FF457" s="104"/>
      <c r="FG457" s="24"/>
      <c r="FH457" s="104"/>
      <c r="FI457" s="15"/>
      <c r="FJ457" s="15"/>
      <c r="FK457" s="410"/>
      <c r="FL457" s="15"/>
    </row>
    <row r="458" ht="12.75" hidden="1" customHeight="1" outlineLevel="1">
      <c r="A458" s="4"/>
      <c r="B458" s="4" t="s">
        <v>264</v>
      </c>
      <c r="C458" s="45"/>
      <c r="D458" s="15"/>
      <c r="E458" s="15"/>
      <c r="F458" s="15"/>
      <c r="G458" s="15"/>
      <c r="H458" s="104"/>
      <c r="I458" s="15"/>
      <c r="J458" s="15"/>
      <c r="K458" s="15"/>
      <c r="L458" s="15"/>
      <c r="M458" s="104"/>
      <c r="N458" s="15"/>
      <c r="O458" s="15"/>
      <c r="P458" s="15"/>
      <c r="Q458" s="15"/>
      <c r="R458" s="104"/>
      <c r="S458" s="15"/>
      <c r="T458" s="15"/>
      <c r="U458" s="15"/>
      <c r="V458" s="15"/>
      <c r="W458" s="104"/>
      <c r="X458" s="15"/>
      <c r="Y458" s="15"/>
      <c r="Z458" s="15"/>
      <c r="AA458" s="15"/>
      <c r="AB458" s="104"/>
      <c r="AC458" s="15"/>
      <c r="AD458" s="15"/>
      <c r="AE458" s="15"/>
      <c r="AF458" s="15"/>
      <c r="AG458" s="104"/>
      <c r="AH458" s="15"/>
      <c r="AI458" s="15"/>
      <c r="AJ458" s="15"/>
      <c r="AK458" s="15"/>
      <c r="AL458" s="104"/>
      <c r="AM458" s="15"/>
      <c r="AN458" s="15"/>
      <c r="AO458" s="15"/>
      <c r="AP458" s="15"/>
      <c r="AQ458" s="104"/>
      <c r="AR458" s="15"/>
      <c r="AS458" s="15"/>
      <c r="AT458" s="15"/>
      <c r="AU458" s="15"/>
      <c r="AV458" s="104"/>
      <c r="AW458" s="15"/>
      <c r="AX458" s="15"/>
      <c r="AY458" s="15"/>
      <c r="AZ458" s="15"/>
      <c r="BA458" s="104"/>
      <c r="BB458" s="15"/>
      <c r="BC458" s="15"/>
      <c r="BD458" s="15"/>
      <c r="BE458" s="15"/>
      <c r="BF458" s="104"/>
      <c r="BG458" s="15"/>
      <c r="BH458" s="15"/>
      <c r="BI458" s="15"/>
      <c r="BJ458" s="15"/>
      <c r="BK458" s="104"/>
      <c r="BL458" s="15"/>
      <c r="BM458" s="15"/>
      <c r="BN458" s="15"/>
      <c r="BO458" s="15"/>
      <c r="BP458" s="104"/>
      <c r="BQ458" s="15"/>
      <c r="BR458" s="15"/>
      <c r="BS458" s="15"/>
      <c r="BT458" s="15"/>
      <c r="BU458" s="104"/>
      <c r="BV458" s="15"/>
      <c r="BW458" s="15"/>
      <c r="BX458" s="15"/>
      <c r="BY458" s="15"/>
      <c r="BZ458" s="24"/>
      <c r="CA458" s="15"/>
      <c r="CB458" s="15"/>
      <c r="CC458" s="15"/>
      <c r="CD458" s="15"/>
      <c r="CE458" s="24"/>
      <c r="CF458" s="15"/>
      <c r="CG458" s="15"/>
      <c r="CH458" s="15"/>
      <c r="CI458" s="15"/>
      <c r="CJ458" s="24"/>
      <c r="CK458" s="15"/>
      <c r="CL458" s="15"/>
      <c r="CM458" s="15"/>
      <c r="CN458" s="40"/>
      <c r="CO458" s="24"/>
      <c r="CP458" s="104"/>
      <c r="CQ458" s="104"/>
      <c r="CR458" s="104"/>
      <c r="CS458" s="104"/>
      <c r="CT458" s="24"/>
      <c r="CU458" s="104"/>
      <c r="CV458" s="104"/>
      <c r="CW458" s="104"/>
      <c r="CX458" s="104"/>
      <c r="CY458" s="24"/>
      <c r="CZ458" s="104"/>
      <c r="DA458" s="104"/>
      <c r="DB458" s="104"/>
      <c r="DC458" s="104"/>
      <c r="DD458" s="24"/>
      <c r="DE458" s="40">
        <f t="shared" ref="DE458:EB458" si="2471">DE456+DE457</f>
        <v>0.7483615891</v>
      </c>
      <c r="DF458" s="40">
        <f t="shared" si="2471"/>
        <v>0.7573402684</v>
      </c>
      <c r="DG458" s="40">
        <f t="shared" si="2471"/>
        <v>0.7880254894</v>
      </c>
      <c r="DH458" s="40">
        <f t="shared" si="2471"/>
        <v>0.8664835888</v>
      </c>
      <c r="DI458" s="313">
        <f t="shared" si="2471"/>
        <v>0.7963414877</v>
      </c>
      <c r="DJ458" s="40">
        <f t="shared" si="2471"/>
        <v>0.8514836811</v>
      </c>
      <c r="DK458" s="40">
        <f t="shared" si="2471"/>
        <v>0.836614786</v>
      </c>
      <c r="DL458" s="40">
        <f t="shared" si="2471"/>
        <v>0.7946777111</v>
      </c>
      <c r="DM458" s="40">
        <f t="shared" si="2471"/>
        <v>0.7988545865</v>
      </c>
      <c r="DN458" s="313">
        <f t="shared" si="2471"/>
        <v>0.8186909958</v>
      </c>
      <c r="DO458" s="40">
        <f t="shared" si="2471"/>
        <v>0.70846866</v>
      </c>
      <c r="DP458" s="40">
        <f t="shared" si="2471"/>
        <v>0.6958025472</v>
      </c>
      <c r="DQ458" s="40">
        <f t="shared" si="2471"/>
        <v>0.7626216059</v>
      </c>
      <c r="DR458" s="40">
        <f t="shared" si="2471"/>
        <v>0.7549672573</v>
      </c>
      <c r="DS458" s="313">
        <f t="shared" si="2471"/>
        <v>0.7366754312</v>
      </c>
      <c r="DT458" s="40">
        <f t="shared" si="2471"/>
        <v>0.7722453434</v>
      </c>
      <c r="DU458" s="40">
        <f t="shared" si="2471"/>
        <v>0.7062615024</v>
      </c>
      <c r="DV458" s="40">
        <f t="shared" si="2471"/>
        <v>0.6061829709</v>
      </c>
      <c r="DW458" s="40">
        <f t="shared" si="2471"/>
        <v>0.6394080131</v>
      </c>
      <c r="DX458" s="313">
        <f t="shared" si="2471"/>
        <v>0.6864398539</v>
      </c>
      <c r="DY458" s="40">
        <f t="shared" si="2471"/>
        <v>0.5147978374</v>
      </c>
      <c r="DZ458" s="40">
        <f t="shared" si="2471"/>
        <v>0.6069610956</v>
      </c>
      <c r="EA458" s="40" t="str">
        <f t="shared" si="2471"/>
        <v>#ERROR!</v>
      </c>
      <c r="EB458" s="40" t="str">
        <f t="shared" si="2471"/>
        <v>#ERROR!</v>
      </c>
      <c r="EC458" s="24"/>
      <c r="ED458" s="40" t="str">
        <f>ED456+ED457</f>
        <v>#ERROR!</v>
      </c>
      <c r="EE458" s="40"/>
      <c r="EF458" s="40"/>
      <c r="EG458" s="40"/>
      <c r="EH458" s="24"/>
      <c r="EI458" s="317"/>
      <c r="EJ458" s="104"/>
      <c r="EK458" s="104"/>
      <c r="EL458" s="104"/>
      <c r="EM458" s="24"/>
      <c r="EN458" s="104"/>
      <c r="EO458" s="104"/>
      <c r="EP458" s="104"/>
      <c r="EQ458" s="104"/>
      <c r="ER458" s="24"/>
      <c r="ES458" s="104"/>
      <c r="ET458" s="104"/>
      <c r="EU458" s="104"/>
      <c r="EV458" s="104"/>
      <c r="EW458" s="24"/>
      <c r="EX458" s="104"/>
      <c r="EY458" s="104"/>
      <c r="EZ458" s="104"/>
      <c r="FA458" s="104"/>
      <c r="FB458" s="24"/>
      <c r="FC458" s="104"/>
      <c r="FD458" s="104"/>
      <c r="FE458" s="104"/>
      <c r="FF458" s="104"/>
      <c r="FG458" s="24"/>
      <c r="FH458" s="104"/>
      <c r="FI458" s="15"/>
      <c r="FJ458" s="15"/>
      <c r="FK458" s="410"/>
      <c r="FL458" s="15"/>
    </row>
    <row r="459" ht="12.75" hidden="1" customHeight="1" outlineLevel="1">
      <c r="A459" s="4"/>
      <c r="B459" s="4"/>
      <c r="C459" s="45"/>
      <c r="D459" s="15"/>
      <c r="E459" s="15"/>
      <c r="F459" s="15"/>
      <c r="G459" s="15"/>
      <c r="H459" s="104"/>
      <c r="I459" s="15"/>
      <c r="J459" s="15"/>
      <c r="K459" s="15"/>
      <c r="L459" s="15"/>
      <c r="M459" s="104"/>
      <c r="N459" s="15"/>
      <c r="O459" s="15"/>
      <c r="P459" s="15"/>
      <c r="Q459" s="15"/>
      <c r="R459" s="104"/>
      <c r="S459" s="15"/>
      <c r="T459" s="15"/>
      <c r="U459" s="15"/>
      <c r="V459" s="15"/>
      <c r="W459" s="104"/>
      <c r="X459" s="15"/>
      <c r="Y459" s="15"/>
      <c r="Z459" s="15"/>
      <c r="AA459" s="15"/>
      <c r="AB459" s="104"/>
      <c r="AC459" s="15"/>
      <c r="AD459" s="15"/>
      <c r="AE459" s="15"/>
      <c r="AF459" s="15"/>
      <c r="AG459" s="104"/>
      <c r="AH459" s="15"/>
      <c r="AI459" s="15"/>
      <c r="AJ459" s="15"/>
      <c r="AK459" s="15"/>
      <c r="AL459" s="104"/>
      <c r="AM459" s="15"/>
      <c r="AN459" s="15"/>
      <c r="AO459" s="15"/>
      <c r="AP459" s="15"/>
      <c r="AQ459" s="104"/>
      <c r="AR459" s="15"/>
      <c r="AS459" s="15"/>
      <c r="AT459" s="15"/>
      <c r="AU459" s="15"/>
      <c r="AV459" s="104"/>
      <c r="AW459" s="15"/>
      <c r="AX459" s="15"/>
      <c r="AY459" s="15"/>
      <c r="AZ459" s="15"/>
      <c r="BA459" s="104"/>
      <c r="BB459" s="15"/>
      <c r="BC459" s="15"/>
      <c r="BD459" s="15"/>
      <c r="BE459" s="15"/>
      <c r="BF459" s="104"/>
      <c r="BG459" s="15"/>
      <c r="BH459" s="15"/>
      <c r="BI459" s="15"/>
      <c r="BJ459" s="15"/>
      <c r="BK459" s="104"/>
      <c r="BL459" s="15"/>
      <c r="BM459" s="15"/>
      <c r="BN459" s="15"/>
      <c r="BO459" s="15"/>
      <c r="BP459" s="104"/>
      <c r="BQ459" s="15"/>
      <c r="BR459" s="15"/>
      <c r="BS459" s="15"/>
      <c r="BT459" s="15"/>
      <c r="BU459" s="104"/>
      <c r="BV459" s="15"/>
      <c r="BW459" s="15"/>
      <c r="BX459" s="15"/>
      <c r="BY459" s="15"/>
      <c r="BZ459" s="24"/>
      <c r="CA459" s="15"/>
      <c r="CB459" s="15"/>
      <c r="CC459" s="15"/>
      <c r="CD459" s="15"/>
      <c r="CE459" s="24"/>
      <c r="CF459" s="15"/>
      <c r="CG459" s="15"/>
      <c r="CH459" s="15"/>
      <c r="CI459" s="15"/>
      <c r="CJ459" s="24"/>
      <c r="CK459" s="15"/>
      <c r="CL459" s="15"/>
      <c r="CM459" s="15"/>
      <c r="CN459" s="40"/>
      <c r="CO459" s="24"/>
      <c r="CP459" s="104"/>
      <c r="CQ459" s="104"/>
      <c r="CR459" s="104"/>
      <c r="CS459" s="104"/>
      <c r="CT459" s="24"/>
      <c r="CU459" s="104"/>
      <c r="CV459" s="104"/>
      <c r="CW459" s="104"/>
      <c r="CX459" s="104"/>
      <c r="CY459" s="24"/>
      <c r="CZ459" s="104"/>
      <c r="DA459" s="104"/>
      <c r="DB459" s="104"/>
      <c r="DC459" s="104"/>
      <c r="DD459" s="24"/>
      <c r="DE459" s="40"/>
      <c r="DF459" s="40"/>
      <c r="DG459" s="40"/>
      <c r="DH459" s="40"/>
      <c r="DI459" s="24"/>
      <c r="DJ459" s="40"/>
      <c r="DK459" s="40"/>
      <c r="DL459" s="40"/>
      <c r="DM459" s="40"/>
      <c r="DN459" s="24"/>
      <c r="DO459" s="40"/>
      <c r="DP459" s="40"/>
      <c r="DQ459" s="40"/>
      <c r="DR459" s="40"/>
      <c r="DS459" s="24"/>
      <c r="DT459" s="40"/>
      <c r="DU459" s="40"/>
      <c r="DV459" s="40"/>
      <c r="DW459" s="40"/>
      <c r="DX459" s="24"/>
      <c r="DY459" s="40"/>
      <c r="DZ459" s="40"/>
      <c r="EA459" s="40"/>
      <c r="EB459" s="40"/>
      <c r="EC459" s="24"/>
      <c r="ED459" s="40"/>
      <c r="EE459" s="40"/>
      <c r="EF459" s="40"/>
      <c r="EG459" s="40"/>
      <c r="EH459" s="24"/>
      <c r="EI459" s="317"/>
      <c r="EJ459" s="104"/>
      <c r="EK459" s="104"/>
      <c r="EL459" s="104"/>
      <c r="EM459" s="24"/>
      <c r="EN459" s="104"/>
      <c r="EO459" s="104"/>
      <c r="EP459" s="104"/>
      <c r="EQ459" s="104"/>
      <c r="ER459" s="24"/>
      <c r="ES459" s="104"/>
      <c r="ET459" s="104"/>
      <c r="EU459" s="104"/>
      <c r="EV459" s="104"/>
      <c r="EW459" s="24"/>
      <c r="EX459" s="104"/>
      <c r="EY459" s="104"/>
      <c r="EZ459" s="104"/>
      <c r="FA459" s="104"/>
      <c r="FB459" s="24"/>
      <c r="FC459" s="104"/>
      <c r="FD459" s="104"/>
      <c r="FE459" s="104"/>
      <c r="FF459" s="104"/>
      <c r="FG459" s="24"/>
      <c r="FH459" s="104"/>
      <c r="FI459" s="15"/>
      <c r="FJ459" s="15"/>
      <c r="FK459" s="410"/>
      <c r="FL459" s="15"/>
    </row>
    <row r="460" ht="12.75" hidden="1" customHeight="1" outlineLevel="1">
      <c r="A460" s="4"/>
      <c r="B460" s="45"/>
      <c r="C460" s="45"/>
      <c r="D460" s="15"/>
      <c r="E460" s="15"/>
      <c r="F460" s="15"/>
      <c r="G460" s="15"/>
      <c r="H460" s="104"/>
      <c r="I460" s="15"/>
      <c r="J460" s="15"/>
      <c r="K460" s="15"/>
      <c r="L460" s="15"/>
      <c r="M460" s="104"/>
      <c r="N460" s="15"/>
      <c r="O460" s="15"/>
      <c r="P460" s="15"/>
      <c r="Q460" s="15"/>
      <c r="R460" s="104"/>
      <c r="S460" s="15"/>
      <c r="T460" s="15"/>
      <c r="U460" s="15"/>
      <c r="V460" s="15"/>
      <c r="W460" s="104"/>
      <c r="X460" s="15"/>
      <c r="Y460" s="15"/>
      <c r="Z460" s="15"/>
      <c r="AA460" s="15"/>
      <c r="AB460" s="104"/>
      <c r="AC460" s="15"/>
      <c r="AD460" s="15"/>
      <c r="AE460" s="15"/>
      <c r="AF460" s="15"/>
      <c r="AG460" s="104"/>
      <c r="AH460" s="15"/>
      <c r="AI460" s="15"/>
      <c r="AJ460" s="15"/>
      <c r="AK460" s="15"/>
      <c r="AL460" s="104"/>
      <c r="AM460" s="15"/>
      <c r="AN460" s="15"/>
      <c r="AO460" s="15"/>
      <c r="AP460" s="15"/>
      <c r="AQ460" s="104"/>
      <c r="AR460" s="15"/>
      <c r="AS460" s="15"/>
      <c r="AT460" s="15"/>
      <c r="AU460" s="15"/>
      <c r="AV460" s="104"/>
      <c r="AW460" s="15"/>
      <c r="AX460" s="15"/>
      <c r="AY460" s="15"/>
      <c r="AZ460" s="15"/>
      <c r="BA460" s="104"/>
      <c r="BB460" s="15"/>
      <c r="BC460" s="15"/>
      <c r="BD460" s="15"/>
      <c r="BE460" s="15"/>
      <c r="BF460" s="104"/>
      <c r="BG460" s="15"/>
      <c r="BH460" s="15"/>
      <c r="BI460" s="15"/>
      <c r="BJ460" s="15"/>
      <c r="BK460" s="104"/>
      <c r="BL460" s="15"/>
      <c r="BM460" s="15"/>
      <c r="BN460" s="15"/>
      <c r="BO460" s="15"/>
      <c r="BP460" s="104"/>
      <c r="BQ460" s="15"/>
      <c r="BR460" s="15"/>
      <c r="BS460" s="15"/>
      <c r="BT460" s="15"/>
      <c r="BU460" s="104"/>
      <c r="BV460" s="15"/>
      <c r="BW460" s="15"/>
      <c r="BX460" s="15"/>
      <c r="BY460" s="15"/>
      <c r="BZ460" s="24"/>
      <c r="CA460" s="15"/>
      <c r="CB460" s="15"/>
      <c r="CC460" s="15"/>
      <c r="CD460" s="15"/>
      <c r="CE460" s="24"/>
      <c r="CF460" s="15"/>
      <c r="CG460" s="15"/>
      <c r="CH460" s="15"/>
      <c r="CI460" s="15"/>
      <c r="CJ460" s="24"/>
      <c r="CK460" s="15"/>
      <c r="CL460" s="15"/>
      <c r="CM460" s="15"/>
      <c r="CN460" s="40"/>
      <c r="CO460" s="24"/>
      <c r="CP460" s="104"/>
      <c r="CQ460" s="104"/>
      <c r="CR460" s="104"/>
      <c r="CS460" s="104"/>
      <c r="CT460" s="24"/>
      <c r="CU460" s="104"/>
      <c r="CV460" s="104"/>
      <c r="CW460" s="104"/>
      <c r="CX460" s="104"/>
      <c r="CY460" s="24"/>
      <c r="CZ460" s="104"/>
      <c r="DA460" s="104"/>
      <c r="DB460" s="104"/>
      <c r="DC460" s="104"/>
      <c r="DD460" s="24"/>
      <c r="DE460" s="104"/>
      <c r="DF460" s="104"/>
      <c r="DG460" s="104"/>
      <c r="DH460" s="104"/>
      <c r="DI460" s="24"/>
      <c r="DJ460" s="104"/>
      <c r="DK460" s="104"/>
      <c r="DL460" s="104"/>
      <c r="DM460" s="104"/>
      <c r="DN460" s="24"/>
      <c r="DO460" s="104"/>
      <c r="DP460" s="104"/>
      <c r="DQ460" s="104"/>
      <c r="DR460" s="104"/>
      <c r="DS460" s="24"/>
      <c r="DT460" s="104"/>
      <c r="DU460" s="104"/>
      <c r="DV460" s="104"/>
      <c r="DW460" s="104"/>
      <c r="DX460" s="24"/>
      <c r="DY460" s="104"/>
      <c r="DZ460" s="104"/>
      <c r="EA460" s="104"/>
      <c r="EB460" s="104"/>
      <c r="EC460" s="24"/>
      <c r="ED460" s="104"/>
      <c r="EE460" s="104"/>
      <c r="EF460" s="104"/>
      <c r="EG460" s="104"/>
      <c r="EH460" s="24"/>
      <c r="EI460" s="317"/>
      <c r="EJ460" s="104"/>
      <c r="EK460" s="104"/>
      <c r="EL460" s="104"/>
      <c r="EM460" s="24"/>
      <c r="EN460" s="104"/>
      <c r="EO460" s="104"/>
      <c r="EP460" s="104"/>
      <c r="EQ460" s="104"/>
      <c r="ER460" s="24"/>
      <c r="ES460" s="104"/>
      <c r="ET460" s="104"/>
      <c r="EU460" s="104"/>
      <c r="EV460" s="104"/>
      <c r="EW460" s="24"/>
      <c r="EX460" s="104"/>
      <c r="EY460" s="104"/>
      <c r="EZ460" s="104"/>
      <c r="FA460" s="104"/>
      <c r="FB460" s="24"/>
      <c r="FC460" s="104"/>
      <c r="FD460" s="104"/>
      <c r="FE460" s="104"/>
      <c r="FF460" s="104"/>
      <c r="FG460" s="24"/>
      <c r="FH460" s="104"/>
      <c r="FI460" s="15"/>
      <c r="FJ460" s="15"/>
      <c r="FK460" s="410"/>
      <c r="FL460" s="15"/>
    </row>
    <row r="461" ht="12.75" hidden="1" customHeight="1" outlineLevel="1">
      <c r="A461" s="4"/>
      <c r="B461" s="45"/>
      <c r="C461" s="45"/>
      <c r="D461" s="15"/>
      <c r="E461" s="15"/>
      <c r="F461" s="15"/>
      <c r="G461" s="15"/>
      <c r="H461" s="104"/>
      <c r="I461" s="15"/>
      <c r="J461" s="15"/>
      <c r="K461" s="15"/>
      <c r="L461" s="15"/>
      <c r="M461" s="104"/>
      <c r="N461" s="15"/>
      <c r="O461" s="15"/>
      <c r="P461" s="15"/>
      <c r="Q461" s="15"/>
      <c r="R461" s="104"/>
      <c r="S461" s="15"/>
      <c r="T461" s="15"/>
      <c r="U461" s="15"/>
      <c r="V461" s="15"/>
      <c r="W461" s="104"/>
      <c r="X461" s="15"/>
      <c r="Y461" s="15"/>
      <c r="Z461" s="15"/>
      <c r="AA461" s="15"/>
      <c r="AB461" s="104"/>
      <c r="AC461" s="15"/>
      <c r="AD461" s="15"/>
      <c r="AE461" s="15"/>
      <c r="AF461" s="15"/>
      <c r="AG461" s="104"/>
      <c r="AH461" s="15"/>
      <c r="AI461" s="15"/>
      <c r="AJ461" s="15"/>
      <c r="AK461" s="15"/>
      <c r="AL461" s="104"/>
      <c r="AM461" s="15"/>
      <c r="AN461" s="15"/>
      <c r="AO461" s="15"/>
      <c r="AP461" s="15"/>
      <c r="AQ461" s="104"/>
      <c r="AR461" s="15"/>
      <c r="AS461" s="15"/>
      <c r="AT461" s="15"/>
      <c r="AU461" s="15"/>
      <c r="AV461" s="104"/>
      <c r="AW461" s="15"/>
      <c r="AX461" s="15"/>
      <c r="AY461" s="15"/>
      <c r="AZ461" s="15"/>
      <c r="BA461" s="104"/>
      <c r="BB461" s="15"/>
      <c r="BC461" s="15"/>
      <c r="BD461" s="15"/>
      <c r="BE461" s="15"/>
      <c r="BF461" s="104"/>
      <c r="BG461" s="15"/>
      <c r="BH461" s="15"/>
      <c r="BI461" s="15"/>
      <c r="BJ461" s="15"/>
      <c r="BK461" s="104"/>
      <c r="BL461" s="15"/>
      <c r="BM461" s="15"/>
      <c r="BN461" s="15"/>
      <c r="BO461" s="15"/>
      <c r="BP461" s="104"/>
      <c r="BQ461" s="15"/>
      <c r="BR461" s="15"/>
      <c r="BS461" s="15"/>
      <c r="BT461" s="15"/>
      <c r="BU461" s="104"/>
      <c r="BV461" s="15"/>
      <c r="BW461" s="15"/>
      <c r="BX461" s="15"/>
      <c r="BY461" s="15"/>
      <c r="BZ461" s="24"/>
      <c r="CA461" s="15"/>
      <c r="CB461" s="15"/>
      <c r="CC461" s="15"/>
      <c r="CD461" s="15"/>
      <c r="CE461" s="24"/>
      <c r="CF461" s="15"/>
      <c r="CG461" s="15"/>
      <c r="CH461" s="15"/>
      <c r="CI461" s="15"/>
      <c r="CJ461" s="24"/>
      <c r="CK461" s="15"/>
      <c r="CL461" s="15"/>
      <c r="CM461" s="15"/>
      <c r="CN461" s="40"/>
      <c r="CO461" s="24"/>
      <c r="CP461" s="104"/>
      <c r="CQ461" s="104"/>
      <c r="CR461" s="104"/>
      <c r="CS461" s="104"/>
      <c r="CT461" s="24"/>
      <c r="CU461" s="104"/>
      <c r="CV461" s="104"/>
      <c r="CW461" s="104"/>
      <c r="CX461" s="104"/>
      <c r="CY461" s="24"/>
      <c r="CZ461" s="104"/>
      <c r="DA461" s="104"/>
      <c r="DB461" s="104"/>
      <c r="DC461" s="104"/>
      <c r="DD461" s="24"/>
      <c r="DE461" s="104"/>
      <c r="DF461" s="104"/>
      <c r="DG461" s="104"/>
      <c r="DH461" s="104"/>
      <c r="DI461" s="24"/>
      <c r="DJ461" s="104"/>
      <c r="DK461" s="104"/>
      <c r="DL461" s="104"/>
      <c r="DM461" s="104"/>
      <c r="DN461" s="24"/>
      <c r="DO461" s="104"/>
      <c r="DP461" s="104"/>
      <c r="DQ461" s="104"/>
      <c r="DR461" s="104"/>
      <c r="DS461" s="24"/>
      <c r="DT461" s="104"/>
      <c r="DU461" s="104"/>
      <c r="DV461" s="104"/>
      <c r="DW461" s="104"/>
      <c r="DX461" s="24"/>
      <c r="DY461" s="104"/>
      <c r="DZ461" s="104"/>
      <c r="EA461" s="104"/>
      <c r="EB461" s="104"/>
      <c r="EC461" s="24"/>
      <c r="ED461" s="104"/>
      <c r="EE461" s="104"/>
      <c r="EF461" s="104"/>
      <c r="EG461" s="104"/>
      <c r="EH461" s="24"/>
      <c r="EI461" s="317"/>
      <c r="EJ461" s="104"/>
      <c r="EK461" s="104"/>
      <c r="EL461" s="104"/>
      <c r="EM461" s="24"/>
      <c r="EN461" s="104"/>
      <c r="EO461" s="104"/>
      <c r="EP461" s="104"/>
      <c r="EQ461" s="104"/>
      <c r="ER461" s="24"/>
      <c r="ES461" s="104"/>
      <c r="ET461" s="104"/>
      <c r="EU461" s="104"/>
      <c r="EV461" s="104"/>
      <c r="EW461" s="24"/>
      <c r="EX461" s="104"/>
      <c r="EY461" s="104"/>
      <c r="EZ461" s="104"/>
      <c r="FA461" s="104"/>
      <c r="FB461" s="24"/>
      <c r="FC461" s="104"/>
      <c r="FD461" s="104"/>
      <c r="FE461" s="104"/>
      <c r="FF461" s="104"/>
      <c r="FG461" s="24"/>
      <c r="FH461" s="104"/>
      <c r="FI461" s="15"/>
      <c r="FJ461" s="15"/>
      <c r="FK461" s="410"/>
      <c r="FL461" s="15"/>
    </row>
    <row r="462" ht="12.75" hidden="1" customHeight="1" outlineLevel="1">
      <c r="A462" s="4"/>
      <c r="B462" s="351" t="s">
        <v>265</v>
      </c>
      <c r="C462" s="299"/>
      <c r="D462" s="413"/>
      <c r="E462" s="413"/>
      <c r="F462" s="413"/>
      <c r="G462" s="413"/>
      <c r="H462" s="414"/>
      <c r="I462" s="413"/>
      <c r="J462" s="413"/>
      <c r="K462" s="413"/>
      <c r="L462" s="413"/>
      <c r="M462" s="414"/>
      <c r="N462" s="413"/>
      <c r="O462" s="413"/>
      <c r="P462" s="413"/>
      <c r="Q462" s="413"/>
      <c r="R462" s="414"/>
      <c r="S462" s="413"/>
      <c r="T462" s="413"/>
      <c r="U462" s="413"/>
      <c r="V462" s="413"/>
      <c r="W462" s="414"/>
      <c r="X462" s="413"/>
      <c r="Y462" s="413"/>
      <c r="Z462" s="413"/>
      <c r="AA462" s="413"/>
      <c r="AB462" s="414"/>
      <c r="AC462" s="413"/>
      <c r="AD462" s="413"/>
      <c r="AE462" s="413"/>
      <c r="AF462" s="413"/>
      <c r="AG462" s="414"/>
      <c r="AH462" s="413"/>
      <c r="AI462" s="413"/>
      <c r="AJ462" s="413"/>
      <c r="AK462" s="413"/>
      <c r="AL462" s="414"/>
      <c r="AM462" s="413"/>
      <c r="AN462" s="413"/>
      <c r="AO462" s="413"/>
      <c r="AP462" s="413"/>
      <c r="AQ462" s="414"/>
      <c r="AR462" s="413"/>
      <c r="AS462" s="413"/>
      <c r="AT462" s="413"/>
      <c r="AU462" s="413"/>
      <c r="AV462" s="414"/>
      <c r="AW462" s="413"/>
      <c r="AX462" s="413"/>
      <c r="AY462" s="413"/>
      <c r="AZ462" s="413"/>
      <c r="BA462" s="414"/>
      <c r="BB462" s="413"/>
      <c r="BC462" s="413"/>
      <c r="BD462" s="413"/>
      <c r="BE462" s="413"/>
      <c r="BF462" s="414"/>
      <c r="BG462" s="413"/>
      <c r="BH462" s="413"/>
      <c r="BI462" s="413"/>
      <c r="BJ462" s="413"/>
      <c r="BK462" s="414"/>
      <c r="BL462" s="413"/>
      <c r="BM462" s="413"/>
      <c r="BN462" s="413"/>
      <c r="BO462" s="413"/>
      <c r="BP462" s="414"/>
      <c r="BQ462" s="413"/>
      <c r="BR462" s="413"/>
      <c r="BS462" s="413"/>
      <c r="BT462" s="413"/>
      <c r="BU462" s="414"/>
      <c r="BV462" s="413"/>
      <c r="BW462" s="413"/>
      <c r="BX462" s="413"/>
      <c r="BY462" s="413"/>
      <c r="BZ462" s="415"/>
      <c r="CA462" s="413"/>
      <c r="CB462" s="413"/>
      <c r="CC462" s="413"/>
      <c r="CD462" s="413"/>
      <c r="CE462" s="415"/>
      <c r="CF462" s="413"/>
      <c r="CG462" s="413"/>
      <c r="CH462" s="413"/>
      <c r="CI462" s="413"/>
      <c r="CJ462" s="415"/>
      <c r="CK462" s="413"/>
      <c r="CL462" s="413"/>
      <c r="CM462" s="413"/>
      <c r="CN462" s="416"/>
      <c r="CO462" s="415"/>
      <c r="CP462" s="388"/>
      <c r="CQ462" s="388"/>
      <c r="CR462" s="388"/>
      <c r="CS462" s="388"/>
      <c r="CT462" s="417"/>
      <c r="CU462" s="92"/>
      <c r="CV462" s="92"/>
      <c r="CW462" s="92"/>
      <c r="CX462" s="418"/>
      <c r="CY462" s="301"/>
      <c r="CZ462" s="92"/>
      <c r="DA462" s="92"/>
      <c r="DB462" s="92"/>
      <c r="DC462" s="418"/>
      <c r="DD462" s="301"/>
      <c r="DE462" s="92"/>
      <c r="DF462" s="92"/>
      <c r="DG462" s="96"/>
      <c r="DH462" s="418"/>
      <c r="DI462" s="95"/>
      <c r="DJ462" s="96"/>
      <c r="DK462" s="96"/>
      <c r="DL462" s="96"/>
      <c r="DM462" s="96"/>
      <c r="DN462" s="95"/>
      <c r="DO462" s="96"/>
      <c r="DP462" s="96"/>
      <c r="DQ462" s="96"/>
      <c r="DR462" s="96"/>
      <c r="DS462" s="95"/>
      <c r="DT462" s="96"/>
      <c r="DU462" s="96"/>
      <c r="DV462" s="96"/>
      <c r="DW462" s="96"/>
      <c r="DX462" s="95"/>
      <c r="DY462" s="96"/>
      <c r="DZ462" s="96"/>
      <c r="EA462" s="96"/>
      <c r="EB462" s="96"/>
      <c r="EC462" s="95"/>
      <c r="ED462" s="96"/>
      <c r="EE462" s="96"/>
      <c r="EF462" s="96"/>
      <c r="EG462" s="96"/>
      <c r="EH462" s="95"/>
      <c r="EI462" s="97"/>
      <c r="EJ462" s="92"/>
      <c r="EK462" s="92"/>
      <c r="EL462" s="92"/>
      <c r="EM462" s="95"/>
      <c r="EN462" s="92"/>
      <c r="EO462" s="92"/>
      <c r="EP462" s="92"/>
      <c r="EQ462" s="92"/>
      <c r="ER462" s="95"/>
      <c r="ES462" s="92"/>
      <c r="ET462" s="92"/>
      <c r="EU462" s="92"/>
      <c r="EV462" s="92"/>
      <c r="EW462" s="95"/>
      <c r="EX462" s="92"/>
      <c r="EY462" s="92"/>
      <c r="EZ462" s="92"/>
      <c r="FA462" s="92"/>
      <c r="FB462" s="95"/>
      <c r="FC462" s="92"/>
      <c r="FD462" s="92"/>
      <c r="FE462" s="92"/>
      <c r="FF462" s="92"/>
      <c r="FG462" s="95"/>
      <c r="FH462" s="146"/>
      <c r="FI462" s="15"/>
      <c r="FJ462" s="15"/>
      <c r="FK462" s="410"/>
      <c r="FL462" s="15"/>
    </row>
    <row r="463" ht="12.75" hidden="1" customHeight="1" outlineLevel="1">
      <c r="A463" s="561"/>
      <c r="B463" s="561" t="s">
        <v>266</v>
      </c>
      <c r="C463" s="562"/>
      <c r="D463" s="561"/>
      <c r="E463" s="561"/>
      <c r="F463" s="561"/>
      <c r="G463" s="561"/>
      <c r="H463" s="562"/>
      <c r="I463" s="561"/>
      <c r="J463" s="561"/>
      <c r="K463" s="561"/>
      <c r="L463" s="561"/>
      <c r="M463" s="562"/>
      <c r="N463" s="561"/>
      <c r="O463" s="561"/>
      <c r="P463" s="561"/>
      <c r="Q463" s="561"/>
      <c r="R463" s="562"/>
      <c r="S463" s="561"/>
      <c r="T463" s="561"/>
      <c r="U463" s="561"/>
      <c r="V463" s="561"/>
      <c r="W463" s="562"/>
      <c r="X463" s="561"/>
      <c r="Y463" s="561"/>
      <c r="Z463" s="561"/>
      <c r="AA463" s="561"/>
      <c r="AB463" s="562"/>
      <c r="AC463" s="561"/>
      <c r="AD463" s="561"/>
      <c r="AE463" s="561"/>
      <c r="AF463" s="561"/>
      <c r="AG463" s="562"/>
      <c r="AH463" s="561"/>
      <c r="AI463" s="561"/>
      <c r="AJ463" s="561"/>
      <c r="AK463" s="561"/>
      <c r="AL463" s="562"/>
      <c r="AM463" s="561"/>
      <c r="AN463" s="561"/>
      <c r="AO463" s="561"/>
      <c r="AP463" s="561"/>
      <c r="AQ463" s="562"/>
      <c r="AR463" s="561"/>
      <c r="AS463" s="561"/>
      <c r="AT463" s="561"/>
      <c r="AU463" s="561"/>
      <c r="AV463" s="562"/>
      <c r="AW463" s="561"/>
      <c r="AX463" s="561"/>
      <c r="AY463" s="561"/>
      <c r="AZ463" s="561"/>
      <c r="BA463" s="562"/>
      <c r="BB463" s="561"/>
      <c r="BC463" s="561"/>
      <c r="BD463" s="561"/>
      <c r="BE463" s="561"/>
      <c r="BF463" s="562"/>
      <c r="BG463" s="561"/>
      <c r="BH463" s="561"/>
      <c r="BI463" s="561"/>
      <c r="BJ463" s="561"/>
      <c r="BK463" s="562"/>
      <c r="BL463" s="561"/>
      <c r="BM463" s="561"/>
      <c r="BN463" s="561"/>
      <c r="BO463" s="561"/>
      <c r="BP463" s="562"/>
      <c r="BQ463" s="561"/>
      <c r="BR463" s="561"/>
      <c r="BS463" s="561"/>
      <c r="BT463" s="561"/>
      <c r="BU463" s="562"/>
      <c r="BV463" s="561"/>
      <c r="BW463" s="561"/>
      <c r="BX463" s="561"/>
      <c r="BY463" s="561"/>
      <c r="BZ463" s="563"/>
      <c r="CA463" s="561"/>
      <c r="CB463" s="561"/>
      <c r="CC463" s="561"/>
      <c r="CD463" s="561"/>
      <c r="CE463" s="563"/>
      <c r="CF463" s="561"/>
      <c r="CG463" s="561"/>
      <c r="CH463" s="561"/>
      <c r="CI463" s="561"/>
      <c r="CJ463" s="563"/>
      <c r="CK463" s="561"/>
      <c r="CL463" s="561"/>
      <c r="CM463" s="561"/>
      <c r="CN463" s="564"/>
      <c r="CO463" s="563"/>
      <c r="CP463" s="564">
        <f t="shared" ref="CP463:CS463" si="2472">CP408*(1-CP$110)/CP$78</f>
        <v>0.2654533743</v>
      </c>
      <c r="CQ463" s="564">
        <f t="shared" si="2472"/>
        <v>0.3598601382</v>
      </c>
      <c r="CR463" s="564">
        <f t="shared" si="2472"/>
        <v>0.4411636372</v>
      </c>
      <c r="CS463" s="564">
        <f t="shared" si="2472"/>
        <v>0.4519093253</v>
      </c>
      <c r="CT463" s="563">
        <f t="shared" ref="CT463:CT469" si="2487">SUM(CP463:CS463)</f>
        <v>1.518386475</v>
      </c>
      <c r="CU463" s="564">
        <f t="shared" ref="CU463:CX463" si="2473">CU408*(1-CU$110)/CU$78</f>
        <v>0.2139844609</v>
      </c>
      <c r="CV463" s="564">
        <f t="shared" si="2473"/>
        <v>0.2960356531</v>
      </c>
      <c r="CW463" s="564">
        <f t="shared" si="2473"/>
        <v>0.3647570976</v>
      </c>
      <c r="CX463" s="564">
        <f t="shared" si="2473"/>
        <v>0.4683837535</v>
      </c>
      <c r="CY463" s="563">
        <f t="shared" ref="CY463:CY469" si="2489">SUM(CU463:CX463)</f>
        <v>1.343160965</v>
      </c>
      <c r="CZ463" s="564">
        <f t="shared" ref="CZ463:DC463" si="2474">CZ408*(1-CZ$110)/CZ$78</f>
        <v>0.3154385965</v>
      </c>
      <c r="DA463" s="564">
        <f t="shared" si="2474"/>
        <v>0.3127690365</v>
      </c>
      <c r="DB463" s="564">
        <f t="shared" si="2474"/>
        <v>0.5336752381</v>
      </c>
      <c r="DC463" s="564">
        <f t="shared" si="2474"/>
        <v>0.5790482861</v>
      </c>
      <c r="DD463" s="563">
        <f t="shared" ref="DD463:DD469" si="2491">SUM(CZ463:DC463)</f>
        <v>1.740931157</v>
      </c>
      <c r="DE463" s="564">
        <f t="shared" ref="DE463:DH463" si="2475">DE408*(1-DE$110)/DE$78</f>
        <v>0.4824594148</v>
      </c>
      <c r="DF463" s="564">
        <f t="shared" si="2475"/>
        <v>0.3834621292</v>
      </c>
      <c r="DG463" s="564">
        <f t="shared" si="2475"/>
        <v>0.5686756192</v>
      </c>
      <c r="DH463" s="564">
        <f t="shared" si="2475"/>
        <v>-0.07754628965</v>
      </c>
      <c r="DI463" s="563">
        <f t="shared" ref="DI463:DI469" si="2493">SUM(DE463:DH463)</f>
        <v>1.357050874</v>
      </c>
      <c r="DJ463" s="564">
        <f t="shared" ref="DJ463:DM463" si="2476">DJ408*(1-DJ$110)/DJ$78</f>
        <v>0.5179050348</v>
      </c>
      <c r="DK463" s="564">
        <f t="shared" si="2476"/>
        <v>0.610344453</v>
      </c>
      <c r="DL463" s="564">
        <f t="shared" si="2476"/>
        <v>0.8734703586</v>
      </c>
      <c r="DM463" s="564">
        <f t="shared" si="2476"/>
        <v>0.7315055883</v>
      </c>
      <c r="DN463" s="563">
        <f t="shared" ref="DN463:DN469" si="2495">SUM(DJ463:DM463)</f>
        <v>2.733225435</v>
      </c>
      <c r="DO463" s="564">
        <f t="shared" ref="DO463:DR463" si="2477">DO408*(1-DO$110)/DO$78</f>
        <v>0.5882724151</v>
      </c>
      <c r="DP463" s="564">
        <f t="shared" si="2477"/>
        <v>0.7309017342</v>
      </c>
      <c r="DQ463" s="564">
        <f t="shared" si="2477"/>
        <v>0.8657601778</v>
      </c>
      <c r="DR463" s="564">
        <f t="shared" si="2477"/>
        <v>0.8000722421</v>
      </c>
      <c r="DS463" s="563">
        <f t="shared" ref="DS463:DS469" si="2497">SUM(DO463:DR463)</f>
        <v>2.985006569</v>
      </c>
      <c r="DT463" s="564">
        <f t="shared" ref="DT463:DW463" si="2478">DT408*(1-DT$110)/DT$78</f>
        <v>0.838642612</v>
      </c>
      <c r="DU463" s="564">
        <f t="shared" si="2478"/>
        <v>0.5706234755</v>
      </c>
      <c r="DV463" s="564">
        <f t="shared" si="2478"/>
        <v>0.7159013496</v>
      </c>
      <c r="DW463" s="564">
        <f t="shared" si="2478"/>
        <v>0.8560546757</v>
      </c>
      <c r="DX463" s="563">
        <f t="shared" ref="DX463:DX469" si="2499">SUM(DT463:DW463)</f>
        <v>2.981222113</v>
      </c>
      <c r="DY463" s="564">
        <f t="shared" ref="DY463:EB463" si="2479">DY408*(1-DY$110)/DY$78</f>
        <v>0.8655128928</v>
      </c>
      <c r="DZ463" s="564">
        <f t="shared" si="2479"/>
        <v>0.81105147</v>
      </c>
      <c r="EA463" s="564">
        <f t="shared" si="2479"/>
        <v>0.8076533517</v>
      </c>
      <c r="EB463" s="564">
        <f t="shared" si="2479"/>
        <v>0.7553058545</v>
      </c>
      <c r="EC463" s="563">
        <f t="shared" ref="EC463:EC469" si="2501">SUM(DY463:EB463)</f>
        <v>3.239523569</v>
      </c>
      <c r="ED463" s="564">
        <f t="shared" ref="ED463:EG463" si="2480">ED408*(1-ED$110)/ED$78</f>
        <v>0.6589847774</v>
      </c>
      <c r="EE463" s="564" t="str">
        <f t="shared" si="2480"/>
        <v>#ERROR!</v>
      </c>
      <c r="EF463" s="564" t="str">
        <f t="shared" si="2480"/>
        <v>#ERROR!</v>
      </c>
      <c r="EG463" s="564" t="str">
        <f t="shared" si="2480"/>
        <v>#ERROR!</v>
      </c>
      <c r="EH463" s="563" t="str">
        <f t="shared" ref="EH463:EH469" si="2503">SUM(ED463:EG463)</f>
        <v>#ERROR!</v>
      </c>
      <c r="EI463" s="565" t="str">
        <f t="shared" ref="EI463:EL463" si="2481">EI408*(1-EI$110)/EI$78</f>
        <v>#ERROR!</v>
      </c>
      <c r="EJ463" s="564" t="str">
        <f t="shared" si="2481"/>
        <v>#ERROR!</v>
      </c>
      <c r="EK463" s="564" t="str">
        <f t="shared" si="2481"/>
        <v>#ERROR!</v>
      </c>
      <c r="EL463" s="564" t="str">
        <f t="shared" si="2481"/>
        <v>#ERROR!</v>
      </c>
      <c r="EM463" s="563" t="str">
        <f t="shared" ref="EM463:EM469" si="2505">SUM(EI463:EL463)</f>
        <v>#ERROR!</v>
      </c>
      <c r="EN463" s="564" t="str">
        <f t="shared" ref="EN463:EQ463" si="2482">EN408*(1-EN$110)/EN$78</f>
        <v>#ERROR!</v>
      </c>
      <c r="EO463" s="564" t="str">
        <f t="shared" si="2482"/>
        <v>#ERROR!</v>
      </c>
      <c r="EP463" s="564" t="str">
        <f t="shared" si="2482"/>
        <v>#ERROR!</v>
      </c>
      <c r="EQ463" s="564" t="str">
        <f t="shared" si="2482"/>
        <v>#ERROR!</v>
      </c>
      <c r="ER463" s="563" t="str">
        <f t="shared" ref="ER463:ER469" si="2507">SUM(EN463:EQ463)</f>
        <v>#ERROR!</v>
      </c>
      <c r="ES463" s="564" t="str">
        <f t="shared" ref="ES463:EV463" si="2483">ES408*(1-ES$110)/ES$78</f>
        <v>#ERROR!</v>
      </c>
      <c r="ET463" s="564" t="str">
        <f t="shared" si="2483"/>
        <v>#ERROR!</v>
      </c>
      <c r="EU463" s="564" t="str">
        <f t="shared" si="2483"/>
        <v>#ERROR!</v>
      </c>
      <c r="EV463" s="564" t="str">
        <f t="shared" si="2483"/>
        <v>#ERROR!</v>
      </c>
      <c r="EW463" s="563" t="str">
        <f t="shared" ref="EW463:EW469" si="2509">SUM(ES463:EV463)</f>
        <v>#ERROR!</v>
      </c>
      <c r="EX463" s="564" t="str">
        <f t="shared" ref="EX463:FA463" si="2484">EX408*(1-EX$110)/EX$78</f>
        <v>#ERROR!</v>
      </c>
      <c r="EY463" s="564" t="str">
        <f t="shared" si="2484"/>
        <v>#ERROR!</v>
      </c>
      <c r="EZ463" s="564" t="str">
        <f t="shared" si="2484"/>
        <v>#ERROR!</v>
      </c>
      <c r="FA463" s="564" t="str">
        <f t="shared" si="2484"/>
        <v>#ERROR!</v>
      </c>
      <c r="FB463" s="563" t="str">
        <f t="shared" ref="FB463:FB469" si="2511">SUM(EX463:FA463)</f>
        <v>#ERROR!</v>
      </c>
      <c r="FC463" s="564" t="str">
        <f t="shared" ref="FC463:FF463" si="2485">FC408*(1-FC$110)/FC$78</f>
        <v>#ERROR!</v>
      </c>
      <c r="FD463" s="564" t="str">
        <f t="shared" si="2485"/>
        <v>#ERROR!</v>
      </c>
      <c r="FE463" s="564" t="str">
        <f t="shared" si="2485"/>
        <v>#ERROR!</v>
      </c>
      <c r="FF463" s="564" t="str">
        <f t="shared" si="2485"/>
        <v>#ERROR!</v>
      </c>
      <c r="FG463" s="563" t="str">
        <f t="shared" ref="FG463:FG469" si="2513">SUM(FC463:FF463)</f>
        <v>#ERROR!</v>
      </c>
      <c r="FH463" s="566"/>
      <c r="FI463" s="561"/>
      <c r="FJ463" s="561"/>
      <c r="FK463" s="562"/>
      <c r="FL463" s="561"/>
    </row>
    <row r="464" ht="12.75" hidden="1" customHeight="1" outlineLevel="1">
      <c r="A464" s="561"/>
      <c r="B464" s="561" t="str">
        <f t="shared" ref="B464:B469" si="2514">B422</f>
        <v>Data Center Group (DCG)</v>
      </c>
      <c r="C464" s="562"/>
      <c r="D464" s="561"/>
      <c r="E464" s="561"/>
      <c r="F464" s="561"/>
      <c r="G464" s="561"/>
      <c r="H464" s="562"/>
      <c r="I464" s="561"/>
      <c r="J464" s="561"/>
      <c r="K464" s="561"/>
      <c r="L464" s="561"/>
      <c r="M464" s="562"/>
      <c r="N464" s="561"/>
      <c r="O464" s="561"/>
      <c r="P464" s="561"/>
      <c r="Q464" s="561"/>
      <c r="R464" s="562"/>
      <c r="S464" s="561"/>
      <c r="T464" s="561"/>
      <c r="U464" s="561"/>
      <c r="V464" s="561"/>
      <c r="W464" s="562"/>
      <c r="X464" s="561"/>
      <c r="Y464" s="561"/>
      <c r="Z464" s="561"/>
      <c r="AA464" s="561"/>
      <c r="AB464" s="562"/>
      <c r="AC464" s="561"/>
      <c r="AD464" s="561"/>
      <c r="AE464" s="561"/>
      <c r="AF464" s="561"/>
      <c r="AG464" s="562"/>
      <c r="AH464" s="561"/>
      <c r="AI464" s="561"/>
      <c r="AJ464" s="561"/>
      <c r="AK464" s="561"/>
      <c r="AL464" s="562"/>
      <c r="AM464" s="561"/>
      <c r="AN464" s="561"/>
      <c r="AO464" s="561"/>
      <c r="AP464" s="561"/>
      <c r="AQ464" s="562"/>
      <c r="AR464" s="561"/>
      <c r="AS464" s="561"/>
      <c r="AT464" s="561"/>
      <c r="AU464" s="561"/>
      <c r="AV464" s="562"/>
      <c r="AW464" s="561"/>
      <c r="AX464" s="561"/>
      <c r="AY464" s="561"/>
      <c r="AZ464" s="561"/>
      <c r="BA464" s="562"/>
      <c r="BB464" s="561"/>
      <c r="BC464" s="561"/>
      <c r="BD464" s="561"/>
      <c r="BE464" s="561"/>
      <c r="BF464" s="562"/>
      <c r="BG464" s="561"/>
      <c r="BH464" s="561"/>
      <c r="BI464" s="561"/>
      <c r="BJ464" s="561"/>
      <c r="BK464" s="562"/>
      <c r="BL464" s="561"/>
      <c r="BM464" s="561"/>
      <c r="BN464" s="561"/>
      <c r="BO464" s="561"/>
      <c r="BP464" s="562"/>
      <c r="BQ464" s="561"/>
      <c r="BR464" s="561"/>
      <c r="BS464" s="561"/>
      <c r="BT464" s="561"/>
      <c r="BU464" s="562"/>
      <c r="BV464" s="561"/>
      <c r="BW464" s="561"/>
      <c r="BX464" s="561"/>
      <c r="BY464" s="561"/>
      <c r="BZ464" s="563"/>
      <c r="CA464" s="561"/>
      <c r="CB464" s="561"/>
      <c r="CC464" s="561"/>
      <c r="CD464" s="561"/>
      <c r="CE464" s="563"/>
      <c r="CF464" s="561"/>
      <c r="CG464" s="561"/>
      <c r="CH464" s="561"/>
      <c r="CI464" s="561"/>
      <c r="CJ464" s="563"/>
      <c r="CK464" s="561"/>
      <c r="CL464" s="561"/>
      <c r="CM464" s="561"/>
      <c r="CN464" s="564"/>
      <c r="CO464" s="563"/>
      <c r="CP464" s="564">
        <f t="shared" ref="CP464:CS464" si="2486">CP411*(1-CP$110)/CP$78</f>
        <v>0.1866535472</v>
      </c>
      <c r="CQ464" s="564">
        <f t="shared" si="2486"/>
        <v>0.256327291</v>
      </c>
      <c r="CR464" s="564">
        <f t="shared" si="2486"/>
        <v>0.2812002745</v>
      </c>
      <c r="CS464" s="564">
        <f t="shared" si="2486"/>
        <v>0.3588551348</v>
      </c>
      <c r="CT464" s="563">
        <f t="shared" si="2487"/>
        <v>1.083036247</v>
      </c>
      <c r="CU464" s="564">
        <f t="shared" ref="CU464:CX464" si="2488">CU411*(1-CU$110)/CU$78</f>
        <v>0.257660949</v>
      </c>
      <c r="CV464" s="564">
        <f t="shared" si="2488"/>
        <v>0.340570355</v>
      </c>
      <c r="CW464" s="564">
        <f t="shared" si="2488"/>
        <v>0.3193311212</v>
      </c>
      <c r="CX464" s="564">
        <f t="shared" si="2488"/>
        <v>0.3745348029</v>
      </c>
      <c r="CY464" s="563">
        <f t="shared" si="2489"/>
        <v>1.292097228</v>
      </c>
      <c r="CZ464" s="564">
        <f t="shared" ref="CZ464:DC464" si="2490">CZ411*(1-CZ$110)/CZ$78</f>
        <v>0.2951902834</v>
      </c>
      <c r="DA464" s="564">
        <f t="shared" si="2490"/>
        <v>0.2888735476</v>
      </c>
      <c r="DB464" s="564">
        <f t="shared" si="2490"/>
        <v>0.3384594988</v>
      </c>
      <c r="DC464" s="564">
        <f t="shared" si="2490"/>
        <v>0.3091654346</v>
      </c>
      <c r="DD464" s="563">
        <f t="shared" si="2491"/>
        <v>1.231688764</v>
      </c>
      <c r="DE464" s="564">
        <f t="shared" ref="DE464:DH464" si="2492">DE411*(1-DE$110)/DE$78</f>
        <v>0.23669322</v>
      </c>
      <c r="DF464" s="564">
        <f t="shared" si="2492"/>
        <v>0.2105555691</v>
      </c>
      <c r="DG464" s="564">
        <f t="shared" si="2492"/>
        <v>0.3562120893</v>
      </c>
      <c r="DH464" s="564">
        <f t="shared" si="2492"/>
        <v>-0.07110588374</v>
      </c>
      <c r="DI464" s="563">
        <f t="shared" si="2493"/>
        <v>0.7323549946</v>
      </c>
      <c r="DJ464" s="564">
        <f t="shared" ref="DJ464:DM464" si="2494">DJ411*(1-DJ$110)/DJ$78</f>
        <v>0.4828337157</v>
      </c>
      <c r="DK464" s="564">
        <f t="shared" si="2494"/>
        <v>0.5149781322</v>
      </c>
      <c r="DL464" s="564">
        <f t="shared" si="2494"/>
        <v>0.5940061</v>
      </c>
      <c r="DM464" s="564">
        <f t="shared" si="2494"/>
        <v>0.6097543171</v>
      </c>
      <c r="DN464" s="563">
        <f t="shared" si="2495"/>
        <v>2.201572265</v>
      </c>
      <c r="DO464" s="564">
        <f t="shared" ref="DO464:DR464" si="2496">DO411*(1-DO$110)/DO$78</f>
        <v>0.3525421602</v>
      </c>
      <c r="DP464" s="564">
        <f t="shared" si="2496"/>
        <v>0.3520532838</v>
      </c>
      <c r="DQ464" s="564">
        <f t="shared" si="2496"/>
        <v>0.6264443563</v>
      </c>
      <c r="DR464" s="564">
        <f t="shared" si="2496"/>
        <v>0.6793176987</v>
      </c>
      <c r="DS464" s="563">
        <f t="shared" si="2497"/>
        <v>2.010357499</v>
      </c>
      <c r="DT464" s="564">
        <f t="shared" ref="DT464:DW464" si="2498">DT411*(1-DT$110)/DT$78</f>
        <v>0.6931455624</v>
      </c>
      <c r="DU464" s="564">
        <f t="shared" si="2498"/>
        <v>0.6222245427</v>
      </c>
      <c r="DV464" s="564">
        <f t="shared" si="2498"/>
        <v>0.383331533</v>
      </c>
      <c r="DW464" s="564">
        <f t="shared" si="2498"/>
        <v>0.3944156081</v>
      </c>
      <c r="DX464" s="563">
        <f t="shared" si="2499"/>
        <v>2.093117246</v>
      </c>
      <c r="DY464" s="564">
        <f t="shared" ref="DY464:EB464" si="2500">DY411*(1-DY$110)/DY$78</f>
        <v>0.2674266778</v>
      </c>
      <c r="DZ464" s="564">
        <f t="shared" si="2500"/>
        <v>0.4186837509</v>
      </c>
      <c r="EA464" s="564">
        <f t="shared" si="2500"/>
        <v>0.5008570831</v>
      </c>
      <c r="EB464" s="564">
        <f t="shared" si="2500"/>
        <v>0.3751533539</v>
      </c>
      <c r="EC464" s="563">
        <f t="shared" si="2501"/>
        <v>1.562120866</v>
      </c>
      <c r="ED464" s="564">
        <f t="shared" ref="ED464:EG464" si="2502">ED411*(1-ED$110)/ED$78</f>
        <v>0.4855090104</v>
      </c>
      <c r="EE464" s="564" t="str">
        <f t="shared" si="2502"/>
        <v>#ERROR!</v>
      </c>
      <c r="EF464" s="564" t="str">
        <f t="shared" si="2502"/>
        <v>#ERROR!</v>
      </c>
      <c r="EG464" s="564" t="str">
        <f t="shared" si="2502"/>
        <v>#ERROR!</v>
      </c>
      <c r="EH464" s="563" t="str">
        <f t="shared" si="2503"/>
        <v>#ERROR!</v>
      </c>
      <c r="EI464" s="565" t="str">
        <f t="shared" ref="EI464:EL464" si="2504">EI411*(1-EI$110)/EI$78</f>
        <v>#ERROR!</v>
      </c>
      <c r="EJ464" s="564" t="str">
        <f t="shared" si="2504"/>
        <v>#ERROR!</v>
      </c>
      <c r="EK464" s="564" t="str">
        <f t="shared" si="2504"/>
        <v>#ERROR!</v>
      </c>
      <c r="EL464" s="564" t="str">
        <f t="shared" si="2504"/>
        <v>#ERROR!</v>
      </c>
      <c r="EM464" s="563" t="str">
        <f t="shared" si="2505"/>
        <v>#ERROR!</v>
      </c>
      <c r="EN464" s="564" t="str">
        <f t="shared" ref="EN464:EQ464" si="2506">EN411*(1-EN$110)/EN$78</f>
        <v>#ERROR!</v>
      </c>
      <c r="EO464" s="564" t="str">
        <f t="shared" si="2506"/>
        <v>#ERROR!</v>
      </c>
      <c r="EP464" s="564" t="str">
        <f t="shared" si="2506"/>
        <v>#ERROR!</v>
      </c>
      <c r="EQ464" s="564" t="str">
        <f t="shared" si="2506"/>
        <v>#ERROR!</v>
      </c>
      <c r="ER464" s="563" t="str">
        <f t="shared" si="2507"/>
        <v>#ERROR!</v>
      </c>
      <c r="ES464" s="564" t="str">
        <f t="shared" ref="ES464:EV464" si="2508">ES411*(1-ES$110)/ES$78</f>
        <v>#ERROR!</v>
      </c>
      <c r="ET464" s="564" t="str">
        <f t="shared" si="2508"/>
        <v>#ERROR!</v>
      </c>
      <c r="EU464" s="564" t="str">
        <f t="shared" si="2508"/>
        <v>#ERROR!</v>
      </c>
      <c r="EV464" s="564" t="str">
        <f t="shared" si="2508"/>
        <v>#ERROR!</v>
      </c>
      <c r="EW464" s="563" t="str">
        <f t="shared" si="2509"/>
        <v>#ERROR!</v>
      </c>
      <c r="EX464" s="564" t="str">
        <f t="shared" ref="EX464:FA464" si="2510">EX411*(1-EX$110)/EX$78</f>
        <v>#ERROR!</v>
      </c>
      <c r="EY464" s="564" t="str">
        <f t="shared" si="2510"/>
        <v>#ERROR!</v>
      </c>
      <c r="EZ464" s="564" t="str">
        <f t="shared" si="2510"/>
        <v>#ERROR!</v>
      </c>
      <c r="FA464" s="564" t="str">
        <f t="shared" si="2510"/>
        <v>#ERROR!</v>
      </c>
      <c r="FB464" s="563" t="str">
        <f t="shared" si="2511"/>
        <v>#ERROR!</v>
      </c>
      <c r="FC464" s="564" t="str">
        <f t="shared" ref="FC464:FF464" si="2512">FC411*(1-FC$110)/FC$78</f>
        <v>#ERROR!</v>
      </c>
      <c r="FD464" s="564" t="str">
        <f t="shared" si="2512"/>
        <v>#ERROR!</v>
      </c>
      <c r="FE464" s="564" t="str">
        <f t="shared" si="2512"/>
        <v>#ERROR!</v>
      </c>
      <c r="FF464" s="564" t="str">
        <f t="shared" si="2512"/>
        <v>#ERROR!</v>
      </c>
      <c r="FG464" s="563" t="str">
        <f t="shared" si="2513"/>
        <v>#ERROR!</v>
      </c>
      <c r="FH464" s="566"/>
      <c r="FI464" s="561"/>
      <c r="FJ464" s="561"/>
      <c r="FK464" s="562"/>
      <c r="FL464" s="561"/>
    </row>
    <row r="465" ht="12.75" hidden="1" customHeight="1" outlineLevel="1">
      <c r="A465" s="561"/>
      <c r="B465" s="567" t="str">
        <f t="shared" si="2514"/>
        <v>Internet of Things Group (IOTG)</v>
      </c>
      <c r="C465" s="562"/>
      <c r="D465" s="561"/>
      <c r="E465" s="561"/>
      <c r="F465" s="561"/>
      <c r="G465" s="561"/>
      <c r="H465" s="562"/>
      <c r="I465" s="561"/>
      <c r="J465" s="561"/>
      <c r="K465" s="561"/>
      <c r="L465" s="561"/>
      <c r="M465" s="562"/>
      <c r="N465" s="561"/>
      <c r="O465" s="561"/>
      <c r="P465" s="561"/>
      <c r="Q465" s="561"/>
      <c r="R465" s="562"/>
      <c r="S465" s="561"/>
      <c r="T465" s="561"/>
      <c r="U465" s="561"/>
      <c r="V465" s="561"/>
      <c r="W465" s="562"/>
      <c r="X465" s="561"/>
      <c r="Y465" s="561"/>
      <c r="Z465" s="561"/>
      <c r="AA465" s="561"/>
      <c r="AB465" s="562"/>
      <c r="AC465" s="561"/>
      <c r="AD465" s="561"/>
      <c r="AE465" s="561"/>
      <c r="AF465" s="561"/>
      <c r="AG465" s="562"/>
      <c r="AH465" s="561"/>
      <c r="AI465" s="561"/>
      <c r="AJ465" s="561"/>
      <c r="AK465" s="561"/>
      <c r="AL465" s="562"/>
      <c r="AM465" s="561"/>
      <c r="AN465" s="561"/>
      <c r="AO465" s="561"/>
      <c r="AP465" s="561"/>
      <c r="AQ465" s="562"/>
      <c r="AR465" s="561"/>
      <c r="AS465" s="561"/>
      <c r="AT465" s="561"/>
      <c r="AU465" s="561"/>
      <c r="AV465" s="562"/>
      <c r="AW465" s="561"/>
      <c r="AX465" s="561"/>
      <c r="AY465" s="561"/>
      <c r="AZ465" s="561"/>
      <c r="BA465" s="562"/>
      <c r="BB465" s="561"/>
      <c r="BC465" s="561"/>
      <c r="BD465" s="561"/>
      <c r="BE465" s="561"/>
      <c r="BF465" s="562"/>
      <c r="BG465" s="561"/>
      <c r="BH465" s="561"/>
      <c r="BI465" s="561"/>
      <c r="BJ465" s="561"/>
      <c r="BK465" s="562"/>
      <c r="BL465" s="561"/>
      <c r="BM465" s="561"/>
      <c r="BN465" s="561"/>
      <c r="BO465" s="561"/>
      <c r="BP465" s="562"/>
      <c r="BQ465" s="561"/>
      <c r="BR465" s="561"/>
      <c r="BS465" s="561"/>
      <c r="BT465" s="561"/>
      <c r="BU465" s="562"/>
      <c r="BV465" s="561"/>
      <c r="BW465" s="561"/>
      <c r="BX465" s="561"/>
      <c r="BY465" s="561"/>
      <c r="BZ465" s="563"/>
      <c r="CA465" s="561"/>
      <c r="CB465" s="561"/>
      <c r="CC465" s="561"/>
      <c r="CD465" s="561"/>
      <c r="CE465" s="563"/>
      <c r="CF465" s="561"/>
      <c r="CG465" s="561"/>
      <c r="CH465" s="561"/>
      <c r="CI465" s="561"/>
      <c r="CJ465" s="563"/>
      <c r="CK465" s="561"/>
      <c r="CL465" s="561"/>
      <c r="CM465" s="561"/>
      <c r="CN465" s="564"/>
      <c r="CO465" s="563"/>
      <c r="CP465" s="564">
        <f t="shared" ref="CP465:CS465" si="2515">CP412*(1-CP$110)/CP$78</f>
        <v>0.01743233585</v>
      </c>
      <c r="CQ465" s="564">
        <f t="shared" si="2515"/>
        <v>0.02031692969</v>
      </c>
      <c r="CR465" s="564">
        <f t="shared" si="2515"/>
        <v>0.02095274399</v>
      </c>
      <c r="CS465" s="564">
        <f t="shared" si="2515"/>
        <v>0.02815485765</v>
      </c>
      <c r="CT465" s="563">
        <f t="shared" si="2487"/>
        <v>0.08685686717</v>
      </c>
      <c r="CU465" s="564">
        <f t="shared" ref="CU465:CX465" si="2516">CU412*(1-CU$110)/CU$78</f>
        <v>0.01319393912</v>
      </c>
      <c r="CV465" s="564">
        <f t="shared" si="2516"/>
        <v>0.02697952894</v>
      </c>
      <c r="CW465" s="564">
        <f t="shared" si="2516"/>
        <v>0.02248810713</v>
      </c>
      <c r="CX465" s="564">
        <f t="shared" si="2516"/>
        <v>0.02273038804</v>
      </c>
      <c r="CY465" s="563">
        <f t="shared" si="2489"/>
        <v>0.08539196322</v>
      </c>
      <c r="CZ465" s="564">
        <f t="shared" ref="CZ465:DC465" si="2517">CZ412*(1-CZ$110)/CZ$78</f>
        <v>0.02058299595</v>
      </c>
      <c r="DA465" s="564">
        <f t="shared" si="2517"/>
        <v>0.01456642818</v>
      </c>
      <c r="DB465" s="564">
        <f t="shared" si="2517"/>
        <v>0.03063780297</v>
      </c>
      <c r="DC465" s="564">
        <f t="shared" si="2517"/>
        <v>0.0299139336</v>
      </c>
      <c r="DD465" s="563">
        <f t="shared" si="2491"/>
        <v>0.0957011607</v>
      </c>
      <c r="DE465" s="564">
        <f t="shared" ref="DE465:DH465" si="2518">DE412*(1-DE$110)/DE$78</f>
        <v>0.01671337465</v>
      </c>
      <c r="DF465" s="564">
        <f t="shared" si="2518"/>
        <v>0.01762024329</v>
      </c>
      <c r="DG465" s="564">
        <f t="shared" si="2518"/>
        <v>0.02306295567</v>
      </c>
      <c r="DH465" s="564">
        <f t="shared" si="2518"/>
        <v>-0.006178987223</v>
      </c>
      <c r="DI465" s="563">
        <f t="shared" si="2493"/>
        <v>0.05121758638</v>
      </c>
      <c r="DJ465" s="564">
        <f t="shared" ref="DJ465:DM465" si="2519">DJ412*(1-DJ$110)/DJ$78</f>
        <v>0.04212269541</v>
      </c>
      <c r="DK465" s="564">
        <f t="shared" si="2519"/>
        <v>0.0463480319</v>
      </c>
      <c r="DL465" s="564">
        <f t="shared" si="2519"/>
        <v>0.06186760484</v>
      </c>
      <c r="DM465" s="564">
        <f t="shared" si="2519"/>
        <v>0.03772293484</v>
      </c>
      <c r="DN465" s="563">
        <f t="shared" si="2495"/>
        <v>0.188061267</v>
      </c>
      <c r="DO465" s="564">
        <f t="shared" ref="DO465:DR465" si="2520">DO412*(1-DO$110)/DO$78</f>
        <v>0.06108688164</v>
      </c>
      <c r="DP465" s="564">
        <f t="shared" si="2520"/>
        <v>0.06786804971</v>
      </c>
      <c r="DQ465" s="564">
        <f t="shared" si="2520"/>
        <v>0.07561575537</v>
      </c>
      <c r="DR465" s="564">
        <f t="shared" si="2520"/>
        <v>0.0587137164</v>
      </c>
      <c r="DS465" s="563">
        <f t="shared" si="2497"/>
        <v>0.2632844031</v>
      </c>
      <c r="DT465" s="564">
        <f t="shared" ref="DT465:DW465" si="2521">DT412*(1-DT$110)/DT$78</f>
        <v>0.06570194191</v>
      </c>
      <c r="DU465" s="564">
        <f t="shared" si="2521"/>
        <v>0.01325163595</v>
      </c>
      <c r="DV465" s="564">
        <f t="shared" si="2521"/>
        <v>0.02175502132</v>
      </c>
      <c r="DW465" s="564">
        <f t="shared" si="2521"/>
        <v>0.0442459493</v>
      </c>
      <c r="DX465" s="563">
        <f t="shared" si="2499"/>
        <v>0.1449545485</v>
      </c>
      <c r="DY465" s="564">
        <f t="shared" ref="DY465:EB465" si="2522">DY412*(1-DY$110)/DY$78</f>
        <v>0.0754172642</v>
      </c>
      <c r="DZ465" s="564">
        <f t="shared" si="2522"/>
        <v>0.08541925057</v>
      </c>
      <c r="EA465" s="564">
        <f t="shared" si="2522"/>
        <v>0.09276934791</v>
      </c>
      <c r="EB465" s="564">
        <f t="shared" si="2522"/>
        <v>0.0802037008</v>
      </c>
      <c r="EC465" s="563">
        <f t="shared" si="2501"/>
        <v>0.3338095635</v>
      </c>
      <c r="ED465" s="564">
        <f t="shared" ref="ED465:EG465" si="2523">ED412*(1-ED$110)/ED$78</f>
        <v>0.07410079716</v>
      </c>
      <c r="EE465" s="564">
        <f t="shared" si="2523"/>
        <v>0.04957180063</v>
      </c>
      <c r="EF465" s="564">
        <f t="shared" si="2523"/>
        <v>-0.5778102848</v>
      </c>
      <c r="EG465" s="564">
        <f t="shared" si="2523"/>
        <v>0.09227526663</v>
      </c>
      <c r="EH465" s="563">
        <f t="shared" si="2503"/>
        <v>-0.3618624203</v>
      </c>
      <c r="EI465" s="565">
        <f t="shared" ref="EI465:EL465" si="2524">EI412*(1-EI$110)/EI$78</f>
        <v>0.101095967</v>
      </c>
      <c r="EJ465" s="564">
        <f t="shared" si="2524"/>
        <v>0.1000570051</v>
      </c>
      <c r="EK465" s="564">
        <f t="shared" si="2524"/>
        <v>0.1155583731</v>
      </c>
      <c r="EL465" s="564">
        <f t="shared" si="2524"/>
        <v>0.1136902489</v>
      </c>
      <c r="EM465" s="563">
        <f t="shared" si="2505"/>
        <v>0.4304015941</v>
      </c>
      <c r="EN465" s="564">
        <f t="shared" ref="EN465:EQ465" si="2525">EN412*(1-EN$110)/EN$78</f>
        <v>0.1234278076</v>
      </c>
      <c r="EO465" s="564">
        <f t="shared" si="2525"/>
        <v>0.1184248848</v>
      </c>
      <c r="EP465" s="564">
        <f t="shared" si="2525"/>
        <v>0.1373834563</v>
      </c>
      <c r="EQ465" s="564">
        <f t="shared" si="2525"/>
        <v>0.1358840437</v>
      </c>
      <c r="ER465" s="563">
        <f t="shared" si="2507"/>
        <v>0.5151201924</v>
      </c>
      <c r="ES465" s="564">
        <f t="shared" ref="ES465:EV465" si="2526">ES412*(1-ES$110)/ES$78</f>
        <v>0.1514426532</v>
      </c>
      <c r="ET465" s="564">
        <f t="shared" si="2526"/>
        <v>0.1457437447</v>
      </c>
      <c r="EU465" s="564">
        <f t="shared" si="2526"/>
        <v>0.1690576934</v>
      </c>
      <c r="EV465" s="564">
        <f t="shared" si="2526"/>
        <v>0.1673417208</v>
      </c>
      <c r="EW465" s="563">
        <f t="shared" si="2509"/>
        <v>0.633585812</v>
      </c>
      <c r="EX465" s="564">
        <f t="shared" ref="EX465:FA465" si="2527">EX412*(1-EX$110)/EX$78</f>
        <v>0.1871026886</v>
      </c>
      <c r="EY465" s="564">
        <f t="shared" si="2527"/>
        <v>0.1806466249</v>
      </c>
      <c r="EZ465" s="564">
        <f t="shared" si="2527"/>
        <v>0.2095506012</v>
      </c>
      <c r="FA465" s="564">
        <f t="shared" si="2527"/>
        <v>0.2076165402</v>
      </c>
      <c r="FB465" s="563">
        <f t="shared" si="2511"/>
        <v>0.7849164549</v>
      </c>
      <c r="FC465" s="564">
        <f t="shared" ref="FC465:FF465" si="2528">FC412*(1-FC$110)/FC$78</f>
        <v>0.2337217095</v>
      </c>
      <c r="FD465" s="564">
        <f t="shared" si="2528"/>
        <v>0.2272077359</v>
      </c>
      <c r="FE465" s="564">
        <f t="shared" si="2528"/>
        <v>0.2645228424</v>
      </c>
      <c r="FF465" s="564">
        <f t="shared" si="2528"/>
        <v>0.2632813237</v>
      </c>
      <c r="FG465" s="563">
        <f t="shared" si="2513"/>
        <v>0.9887336115</v>
      </c>
      <c r="FH465" s="566"/>
      <c r="FI465" s="561"/>
      <c r="FJ465" s="561"/>
      <c r="FK465" s="562"/>
      <c r="FL465" s="561"/>
    </row>
    <row r="466" ht="12.75" hidden="1" customHeight="1" outlineLevel="1">
      <c r="A466" s="561"/>
      <c r="B466" s="567" t="str">
        <f t="shared" si="2514"/>
        <v>Non-Volatile Memory Solutions Group (NSG)</v>
      </c>
      <c r="C466" s="562"/>
      <c r="D466" s="561"/>
      <c r="E466" s="561"/>
      <c r="F466" s="561"/>
      <c r="G466" s="561"/>
      <c r="H466" s="562"/>
      <c r="I466" s="561"/>
      <c r="J466" s="561"/>
      <c r="K466" s="561"/>
      <c r="L466" s="561"/>
      <c r="M466" s="562"/>
      <c r="N466" s="561"/>
      <c r="O466" s="561"/>
      <c r="P466" s="561"/>
      <c r="Q466" s="561"/>
      <c r="R466" s="562"/>
      <c r="S466" s="561"/>
      <c r="T466" s="561"/>
      <c r="U466" s="561"/>
      <c r="V466" s="561"/>
      <c r="W466" s="562"/>
      <c r="X466" s="561"/>
      <c r="Y466" s="561"/>
      <c r="Z466" s="561"/>
      <c r="AA466" s="561"/>
      <c r="AB466" s="562"/>
      <c r="AC466" s="561"/>
      <c r="AD466" s="561"/>
      <c r="AE466" s="561"/>
      <c r="AF466" s="561"/>
      <c r="AG466" s="562"/>
      <c r="AH466" s="561"/>
      <c r="AI466" s="561"/>
      <c r="AJ466" s="561"/>
      <c r="AK466" s="561"/>
      <c r="AL466" s="562"/>
      <c r="AM466" s="561"/>
      <c r="AN466" s="561"/>
      <c r="AO466" s="561"/>
      <c r="AP466" s="561"/>
      <c r="AQ466" s="562"/>
      <c r="AR466" s="561"/>
      <c r="AS466" s="561"/>
      <c r="AT466" s="561"/>
      <c r="AU466" s="561"/>
      <c r="AV466" s="562"/>
      <c r="AW466" s="561"/>
      <c r="AX466" s="561"/>
      <c r="AY466" s="561"/>
      <c r="AZ466" s="561"/>
      <c r="BA466" s="562"/>
      <c r="BB466" s="561"/>
      <c r="BC466" s="561"/>
      <c r="BD466" s="561"/>
      <c r="BE466" s="561"/>
      <c r="BF466" s="562"/>
      <c r="BG466" s="561"/>
      <c r="BH466" s="561"/>
      <c r="BI466" s="561"/>
      <c r="BJ466" s="561"/>
      <c r="BK466" s="562"/>
      <c r="BL466" s="561"/>
      <c r="BM466" s="561"/>
      <c r="BN466" s="561"/>
      <c r="BO466" s="561"/>
      <c r="BP466" s="562"/>
      <c r="BQ466" s="561"/>
      <c r="BR466" s="561"/>
      <c r="BS466" s="561"/>
      <c r="BT466" s="561"/>
      <c r="BU466" s="562"/>
      <c r="BV466" s="561"/>
      <c r="BW466" s="561"/>
      <c r="BX466" s="561"/>
      <c r="BY466" s="561"/>
      <c r="BZ466" s="563"/>
      <c r="CA466" s="561"/>
      <c r="CB466" s="561"/>
      <c r="CC466" s="561"/>
      <c r="CD466" s="561"/>
      <c r="CE466" s="563"/>
      <c r="CF466" s="561"/>
      <c r="CG466" s="561"/>
      <c r="CH466" s="561"/>
      <c r="CI466" s="561"/>
      <c r="CJ466" s="563"/>
      <c r="CK466" s="561"/>
      <c r="CL466" s="561"/>
      <c r="CM466" s="561"/>
      <c r="CN466" s="564"/>
      <c r="CO466" s="563"/>
      <c r="CP466" s="564">
        <f t="shared" ref="CP466:CS466" si="2529">CP413*(1-CP$110)/CP$78</f>
        <v>0</v>
      </c>
      <c r="CQ466" s="564">
        <f t="shared" si="2529"/>
        <v>0</v>
      </c>
      <c r="CR466" s="564">
        <f t="shared" si="2529"/>
        <v>0</v>
      </c>
      <c r="CS466" s="564">
        <f t="shared" si="2529"/>
        <v>0.04056208305</v>
      </c>
      <c r="CT466" s="563">
        <f t="shared" si="2487"/>
        <v>0.04056208305</v>
      </c>
      <c r="CU466" s="564">
        <f t="shared" ref="CU466:CX466" si="2530">CU413*(1-CU$110)/CU$78</f>
        <v>0.01091912203</v>
      </c>
      <c r="CV466" s="564">
        <f t="shared" si="2530"/>
        <v>0.01700079906</v>
      </c>
      <c r="CW466" s="564">
        <f t="shared" si="2530"/>
        <v>0.007645956423</v>
      </c>
      <c r="CX466" s="564">
        <f t="shared" si="2530"/>
        <v>0.004132797825</v>
      </c>
      <c r="CY466" s="563">
        <f t="shared" si="2489"/>
        <v>0.03969867533</v>
      </c>
      <c r="CZ466" s="564">
        <f t="shared" ref="CZ466:DC466" si="2531">CZ413*(1-CZ$110)/CZ$78</f>
        <v>-0.0158974359</v>
      </c>
      <c r="DA466" s="564">
        <f t="shared" si="2531"/>
        <v>-0.03666157205</v>
      </c>
      <c r="DB466" s="564">
        <f t="shared" si="2531"/>
        <v>-0.02149458428</v>
      </c>
      <c r="DC466" s="564">
        <f t="shared" si="2531"/>
        <v>-0.0149569668</v>
      </c>
      <c r="DD466" s="563">
        <f t="shared" si="2491"/>
        <v>-0.08901055903</v>
      </c>
      <c r="DE466" s="564">
        <f t="shared" ref="DE466:DH466" si="2532">DE413*(1-DE$110)/DE$78</f>
        <v>-0.02053357457</v>
      </c>
      <c r="DF466" s="564">
        <f t="shared" si="2532"/>
        <v>-0.01394407742</v>
      </c>
      <c r="DG466" s="564">
        <f t="shared" si="2532"/>
        <v>-0.008214203389</v>
      </c>
      <c r="DH466" s="564">
        <f t="shared" si="2532"/>
        <v>-0.0007367253997</v>
      </c>
      <c r="DI466" s="563">
        <f t="shared" si="2493"/>
        <v>-0.04342858078</v>
      </c>
      <c r="DJ466" s="564">
        <f t="shared" ref="DJ466:DM466" si="2533">DJ413*(1-DJ$110)/DJ$78</f>
        <v>-0.01503056532</v>
      </c>
      <c r="DK466" s="564">
        <f t="shared" si="2533"/>
        <v>-0.0123976217</v>
      </c>
      <c r="DL466" s="564">
        <f t="shared" si="2533"/>
        <v>0.03083743543</v>
      </c>
      <c r="DM466" s="564">
        <f t="shared" si="2533"/>
        <v>-0.003792252709</v>
      </c>
      <c r="DN466" s="563">
        <f t="shared" si="2495"/>
        <v>-0.0003830043028</v>
      </c>
      <c r="DO466" s="564">
        <f t="shared" ref="DO466:DR466" si="2534">DO413*(1-DO$110)/DO$78</f>
        <v>-0.05687399325</v>
      </c>
      <c r="DP466" s="564">
        <f t="shared" si="2534"/>
        <v>-0.05554618477</v>
      </c>
      <c r="DQ466" s="564">
        <f t="shared" si="2534"/>
        <v>-0.1003517604</v>
      </c>
      <c r="DR466" s="564">
        <f t="shared" si="2534"/>
        <v>-0.01878838925</v>
      </c>
      <c r="DS466" s="563">
        <f t="shared" si="2497"/>
        <v>-0.2315603277</v>
      </c>
      <c r="DT466" s="564">
        <f t="shared" ref="DT466:DW466" si="2535">DT413*(1-DT$110)/DT$78</f>
        <v>-0.01310068932</v>
      </c>
      <c r="DU466" s="564">
        <f t="shared" si="2535"/>
        <v>0.06465192086</v>
      </c>
      <c r="DV466" s="564">
        <f t="shared" si="2535"/>
        <v>0.005841626094</v>
      </c>
      <c r="DW466" s="564">
        <f t="shared" si="2535"/>
        <v>0.01443215514</v>
      </c>
      <c r="DX466" s="563">
        <f t="shared" si="2499"/>
        <v>0.07182501277</v>
      </c>
      <c r="DY466" s="564">
        <f t="shared" ref="DY466:EB466" si="2536">DY413*(1-DY$110)/DY$78</f>
        <v>0.03592298657</v>
      </c>
      <c r="DZ466" s="564">
        <f t="shared" si="2536"/>
        <v>0.08671348164</v>
      </c>
      <c r="EA466" s="564">
        <f t="shared" si="2536"/>
        <v>0.1076221831</v>
      </c>
      <c r="EB466" s="564">
        <f t="shared" si="2536"/>
        <v>0.07694338776</v>
      </c>
      <c r="EC466" s="563">
        <f t="shared" si="2501"/>
        <v>0.3072020391</v>
      </c>
      <c r="ED466" s="564">
        <f t="shared" ref="ED466:EG466" si="2537">ED413*(1-ED$110)/ED$78</f>
        <v>0</v>
      </c>
      <c r="EE466" s="564">
        <f t="shared" si="2537"/>
        <v>0</v>
      </c>
      <c r="EF466" s="564">
        <f t="shared" si="2537"/>
        <v>0</v>
      </c>
      <c r="EG466" s="564">
        <f t="shared" si="2537"/>
        <v>0</v>
      </c>
      <c r="EH466" s="563">
        <f t="shared" si="2503"/>
        <v>0</v>
      </c>
      <c r="EI466" s="565">
        <f t="shared" ref="EI466:EL466" si="2538">EI413*(1-EI$110)/EI$78</f>
        <v>0</v>
      </c>
      <c r="EJ466" s="564">
        <f t="shared" si="2538"/>
        <v>0</v>
      </c>
      <c r="EK466" s="564">
        <f t="shared" si="2538"/>
        <v>0</v>
      </c>
      <c r="EL466" s="564">
        <f t="shared" si="2538"/>
        <v>0</v>
      </c>
      <c r="EM466" s="563">
        <f t="shared" si="2505"/>
        <v>0</v>
      </c>
      <c r="EN466" s="564">
        <f t="shared" ref="EN466:EQ466" si="2539">EN413*(1-EN$110)/EN$78</f>
        <v>0</v>
      </c>
      <c r="EO466" s="564">
        <f t="shared" si="2539"/>
        <v>0</v>
      </c>
      <c r="EP466" s="564">
        <f t="shared" si="2539"/>
        <v>0</v>
      </c>
      <c r="EQ466" s="564">
        <f t="shared" si="2539"/>
        <v>0</v>
      </c>
      <c r="ER466" s="563">
        <f t="shared" si="2507"/>
        <v>0</v>
      </c>
      <c r="ES466" s="564">
        <f t="shared" ref="ES466:EV466" si="2540">ES413*(1-ES$110)/ES$78</f>
        <v>0</v>
      </c>
      <c r="ET466" s="564">
        <f t="shared" si="2540"/>
        <v>0</v>
      </c>
      <c r="EU466" s="564">
        <f t="shared" si="2540"/>
        <v>0</v>
      </c>
      <c r="EV466" s="564">
        <f t="shared" si="2540"/>
        <v>0</v>
      </c>
      <c r="EW466" s="563">
        <f t="shared" si="2509"/>
        <v>0</v>
      </c>
      <c r="EX466" s="564">
        <f t="shared" ref="EX466:FA466" si="2541">EX413*(1-EX$110)/EX$78</f>
        <v>0</v>
      </c>
      <c r="EY466" s="564">
        <f t="shared" si="2541"/>
        <v>0</v>
      </c>
      <c r="EZ466" s="564">
        <f t="shared" si="2541"/>
        <v>0</v>
      </c>
      <c r="FA466" s="564">
        <f t="shared" si="2541"/>
        <v>0</v>
      </c>
      <c r="FB466" s="563">
        <f t="shared" si="2511"/>
        <v>0</v>
      </c>
      <c r="FC466" s="564">
        <f t="shared" ref="FC466:FF466" si="2542">FC413*(1-FC$110)/FC$78</f>
        <v>0</v>
      </c>
      <c r="FD466" s="564">
        <f t="shared" si="2542"/>
        <v>0</v>
      </c>
      <c r="FE466" s="564">
        <f t="shared" si="2542"/>
        <v>0</v>
      </c>
      <c r="FF466" s="564">
        <f t="shared" si="2542"/>
        <v>0</v>
      </c>
      <c r="FG466" s="563">
        <f t="shared" si="2513"/>
        <v>0</v>
      </c>
      <c r="FH466" s="566"/>
      <c r="FI466" s="561"/>
      <c r="FJ466" s="561"/>
      <c r="FK466" s="562"/>
      <c r="FL466" s="561"/>
    </row>
    <row r="467" ht="12.75" hidden="1" customHeight="1" outlineLevel="1">
      <c r="A467" s="561"/>
      <c r="B467" s="567" t="str">
        <f t="shared" si="2514"/>
        <v>Intel Security Group (ISecG)</v>
      </c>
      <c r="C467" s="562"/>
      <c r="D467" s="561"/>
      <c r="E467" s="561"/>
      <c r="F467" s="561"/>
      <c r="G467" s="561"/>
      <c r="H467" s="562"/>
      <c r="I467" s="561"/>
      <c r="J467" s="561"/>
      <c r="K467" s="561"/>
      <c r="L467" s="561"/>
      <c r="M467" s="562"/>
      <c r="N467" s="561"/>
      <c r="O467" s="561"/>
      <c r="P467" s="561"/>
      <c r="Q467" s="561"/>
      <c r="R467" s="562"/>
      <c r="S467" s="561"/>
      <c r="T467" s="561"/>
      <c r="U467" s="561"/>
      <c r="V467" s="561"/>
      <c r="W467" s="562"/>
      <c r="X467" s="561"/>
      <c r="Y467" s="561"/>
      <c r="Z467" s="561"/>
      <c r="AA467" s="561"/>
      <c r="AB467" s="562"/>
      <c r="AC467" s="561"/>
      <c r="AD467" s="561"/>
      <c r="AE467" s="561"/>
      <c r="AF467" s="561"/>
      <c r="AG467" s="562"/>
      <c r="AH467" s="561"/>
      <c r="AI467" s="561"/>
      <c r="AJ467" s="561"/>
      <c r="AK467" s="561"/>
      <c r="AL467" s="562"/>
      <c r="AM467" s="561"/>
      <c r="AN467" s="561"/>
      <c r="AO467" s="561"/>
      <c r="AP467" s="561"/>
      <c r="AQ467" s="562"/>
      <c r="AR467" s="561"/>
      <c r="AS467" s="561"/>
      <c r="AT467" s="561"/>
      <c r="AU467" s="561"/>
      <c r="AV467" s="562"/>
      <c r="AW467" s="561"/>
      <c r="AX467" s="561"/>
      <c r="AY467" s="561"/>
      <c r="AZ467" s="561"/>
      <c r="BA467" s="562"/>
      <c r="BB467" s="561"/>
      <c r="BC467" s="561"/>
      <c r="BD467" s="561"/>
      <c r="BE467" s="561"/>
      <c r="BF467" s="562"/>
      <c r="BG467" s="561"/>
      <c r="BH467" s="561"/>
      <c r="BI467" s="561"/>
      <c r="BJ467" s="561"/>
      <c r="BK467" s="562"/>
      <c r="BL467" s="561"/>
      <c r="BM467" s="561"/>
      <c r="BN467" s="561"/>
      <c r="BO467" s="561"/>
      <c r="BP467" s="562"/>
      <c r="BQ467" s="561"/>
      <c r="BR467" s="561"/>
      <c r="BS467" s="561"/>
      <c r="BT467" s="561"/>
      <c r="BU467" s="562"/>
      <c r="BV467" s="561"/>
      <c r="BW467" s="561"/>
      <c r="BX467" s="561"/>
      <c r="BY467" s="561"/>
      <c r="BZ467" s="563"/>
      <c r="CA467" s="561"/>
      <c r="CB467" s="561"/>
      <c r="CC467" s="561"/>
      <c r="CD467" s="561"/>
      <c r="CE467" s="563"/>
      <c r="CF467" s="561"/>
      <c r="CG467" s="561"/>
      <c r="CH467" s="561"/>
      <c r="CI467" s="561"/>
      <c r="CJ467" s="563"/>
      <c r="CK467" s="561"/>
      <c r="CL467" s="561"/>
      <c r="CM467" s="561"/>
      <c r="CN467" s="564"/>
      <c r="CO467" s="563"/>
      <c r="CP467" s="564">
        <f t="shared" ref="CP467:CS467" si="2543">CP414*(1-CP$110)/CP$78</f>
        <v>-0.0009920841539</v>
      </c>
      <c r="CQ467" s="564">
        <f t="shared" si="2543"/>
        <v>0.002643984001</v>
      </c>
      <c r="CR467" s="564">
        <f t="shared" si="2543"/>
        <v>0.004190548797</v>
      </c>
      <c r="CS467" s="564">
        <f t="shared" si="2543"/>
        <v>0.01717923517</v>
      </c>
      <c r="CT467" s="563">
        <f t="shared" si="2487"/>
        <v>0.02302168382</v>
      </c>
      <c r="CU467" s="564">
        <f t="shared" ref="CU467:CX467" si="2544">CU414*(1-CU$110)/CU$78</f>
        <v>0.00227481709</v>
      </c>
      <c r="CV467" s="564">
        <f t="shared" si="2544"/>
        <v>0.00406540847</v>
      </c>
      <c r="CW467" s="564">
        <f t="shared" si="2544"/>
        <v>0.01454230927</v>
      </c>
      <c r="CX467" s="564">
        <f t="shared" si="2544"/>
        <v>0.01360379284</v>
      </c>
      <c r="CY467" s="563">
        <f t="shared" si="2489"/>
        <v>0.03448632767</v>
      </c>
      <c r="CZ467" s="564">
        <f t="shared" ref="CZ467:DC467" si="2545">CZ414*(1-CZ$110)/CZ$78</f>
        <v>0.01422402159</v>
      </c>
      <c r="DA467" s="564">
        <f t="shared" si="2545"/>
        <v>0.01587577004</v>
      </c>
      <c r="DB467" s="564">
        <f t="shared" si="2545"/>
        <v>0.01844684472</v>
      </c>
      <c r="DC467" s="564">
        <f t="shared" si="2545"/>
        <v>0.01692931407</v>
      </c>
      <c r="DD467" s="563">
        <f t="shared" si="2491"/>
        <v>0.06547595042</v>
      </c>
      <c r="DE467" s="564">
        <f t="shared" ref="DE467:DH467" si="2546">DE414*(1-DE$110)/DE$78</f>
        <v>0.01512162468</v>
      </c>
      <c r="DF467" s="564">
        <f t="shared" si="2546"/>
        <v>0</v>
      </c>
      <c r="DG467" s="564">
        <f t="shared" si="2546"/>
        <v>0</v>
      </c>
      <c r="DH467" s="564">
        <f t="shared" si="2546"/>
        <v>0</v>
      </c>
      <c r="DI467" s="563">
        <f t="shared" si="2493"/>
        <v>0.01512162468</v>
      </c>
      <c r="DJ467" s="564">
        <f t="shared" ref="DJ467:DM467" si="2547">DJ414*(1-DJ$110)/DJ$78</f>
        <v>0</v>
      </c>
      <c r="DK467" s="564">
        <f t="shared" si="2547"/>
        <v>0</v>
      </c>
      <c r="DL467" s="564">
        <f t="shared" si="2547"/>
        <v>0</v>
      </c>
      <c r="DM467" s="564">
        <f t="shared" si="2547"/>
        <v>0</v>
      </c>
      <c r="DN467" s="563">
        <f t="shared" si="2495"/>
        <v>0</v>
      </c>
      <c r="DO467" s="564">
        <f t="shared" ref="DO467:DR467" si="2548">DO414*(1-DO$110)/DO$78</f>
        <v>0</v>
      </c>
      <c r="DP467" s="564">
        <f t="shared" si="2548"/>
        <v>0</v>
      </c>
      <c r="DQ467" s="564">
        <f t="shared" si="2548"/>
        <v>0</v>
      </c>
      <c r="DR467" s="564">
        <f t="shared" si="2548"/>
        <v>0</v>
      </c>
      <c r="DS467" s="563">
        <f t="shared" si="2497"/>
        <v>0</v>
      </c>
      <c r="DT467" s="564">
        <f t="shared" ref="DT467:DW467" si="2549">DT414*(1-DT$110)/DT$78</f>
        <v>0</v>
      </c>
      <c r="DU467" s="564">
        <f t="shared" si="2549"/>
        <v>0</v>
      </c>
      <c r="DV467" s="564">
        <f t="shared" si="2549"/>
        <v>0</v>
      </c>
      <c r="DW467" s="564">
        <f t="shared" si="2549"/>
        <v>0</v>
      </c>
      <c r="DX467" s="563">
        <f t="shared" si="2499"/>
        <v>0</v>
      </c>
      <c r="DY467" s="564">
        <f t="shared" ref="DY467:EB467" si="2550">DY414*(1-DY$110)/DY$78</f>
        <v>0</v>
      </c>
      <c r="DZ467" s="564">
        <f t="shared" si="2550"/>
        <v>0</v>
      </c>
      <c r="EA467" s="564">
        <f t="shared" si="2550"/>
        <v>0</v>
      </c>
      <c r="EB467" s="564">
        <f t="shared" si="2550"/>
        <v>0</v>
      </c>
      <c r="EC467" s="563">
        <f t="shared" si="2501"/>
        <v>0</v>
      </c>
      <c r="ED467" s="564">
        <f t="shared" ref="ED467:EG467" si="2551">ED414*(1-ED$110)/ED$78</f>
        <v>0</v>
      </c>
      <c r="EE467" s="564">
        <f t="shared" si="2551"/>
        <v>0</v>
      </c>
      <c r="EF467" s="564">
        <f t="shared" si="2551"/>
        <v>0</v>
      </c>
      <c r="EG467" s="564">
        <f t="shared" si="2551"/>
        <v>0</v>
      </c>
      <c r="EH467" s="563">
        <f t="shared" si="2503"/>
        <v>0</v>
      </c>
      <c r="EI467" s="565">
        <f t="shared" ref="EI467:EL467" si="2552">EI414*(1-EI$110)/EI$78</f>
        <v>0</v>
      </c>
      <c r="EJ467" s="564">
        <f t="shared" si="2552"/>
        <v>0</v>
      </c>
      <c r="EK467" s="564">
        <f t="shared" si="2552"/>
        <v>0</v>
      </c>
      <c r="EL467" s="564">
        <f t="shared" si="2552"/>
        <v>0</v>
      </c>
      <c r="EM467" s="563">
        <f t="shared" si="2505"/>
        <v>0</v>
      </c>
      <c r="EN467" s="564">
        <f t="shared" ref="EN467:EQ467" si="2553">EN414*(1-EN$110)/EN$78</f>
        <v>0</v>
      </c>
      <c r="EO467" s="564">
        <f t="shared" si="2553"/>
        <v>0</v>
      </c>
      <c r="EP467" s="564">
        <f t="shared" si="2553"/>
        <v>0</v>
      </c>
      <c r="EQ467" s="564">
        <f t="shared" si="2553"/>
        <v>0</v>
      </c>
      <c r="ER467" s="563">
        <f t="shared" si="2507"/>
        <v>0</v>
      </c>
      <c r="ES467" s="564">
        <f t="shared" ref="ES467:EV467" si="2554">ES414*(1-ES$110)/ES$78</f>
        <v>0</v>
      </c>
      <c r="ET467" s="564">
        <f t="shared" si="2554"/>
        <v>0</v>
      </c>
      <c r="EU467" s="564">
        <f t="shared" si="2554"/>
        <v>0</v>
      </c>
      <c r="EV467" s="564">
        <f t="shared" si="2554"/>
        <v>0</v>
      </c>
      <c r="EW467" s="563">
        <f t="shared" si="2509"/>
        <v>0</v>
      </c>
      <c r="EX467" s="564">
        <f t="shared" ref="EX467:FA467" si="2555">EX414*(1-EX$110)/EX$78</f>
        <v>0</v>
      </c>
      <c r="EY467" s="564">
        <f t="shared" si="2555"/>
        <v>0</v>
      </c>
      <c r="EZ467" s="564">
        <f t="shared" si="2555"/>
        <v>0</v>
      </c>
      <c r="FA467" s="564">
        <f t="shared" si="2555"/>
        <v>0</v>
      </c>
      <c r="FB467" s="563">
        <f t="shared" si="2511"/>
        <v>0</v>
      </c>
      <c r="FC467" s="564">
        <f t="shared" ref="FC467:FF467" si="2556">FC414*(1-FC$110)/FC$78</f>
        <v>0</v>
      </c>
      <c r="FD467" s="564">
        <f t="shared" si="2556"/>
        <v>0</v>
      </c>
      <c r="FE467" s="564">
        <f t="shared" si="2556"/>
        <v>0</v>
      </c>
      <c r="FF467" s="564">
        <f t="shared" si="2556"/>
        <v>0</v>
      </c>
      <c r="FG467" s="563">
        <f t="shared" si="2513"/>
        <v>0</v>
      </c>
      <c r="FH467" s="566"/>
      <c r="FI467" s="561"/>
      <c r="FJ467" s="561"/>
      <c r="FK467" s="562"/>
      <c r="FL467" s="561"/>
    </row>
    <row r="468" ht="12.75" hidden="1" customHeight="1" outlineLevel="1">
      <c r="A468" s="561"/>
      <c r="B468" s="567" t="str">
        <f t="shared" si="2514"/>
        <v>Programmable Solutions Group (PSG)</v>
      </c>
      <c r="C468" s="562"/>
      <c r="D468" s="561"/>
      <c r="E468" s="561"/>
      <c r="F468" s="561"/>
      <c r="G468" s="561"/>
      <c r="H468" s="562"/>
      <c r="I468" s="561"/>
      <c r="J468" s="561"/>
      <c r="K468" s="561"/>
      <c r="L468" s="561"/>
      <c r="M468" s="562"/>
      <c r="N468" s="561"/>
      <c r="O468" s="561"/>
      <c r="P468" s="561"/>
      <c r="Q468" s="561"/>
      <c r="R468" s="562"/>
      <c r="S468" s="561"/>
      <c r="T468" s="561"/>
      <c r="U468" s="561"/>
      <c r="V468" s="561"/>
      <c r="W468" s="562"/>
      <c r="X468" s="561"/>
      <c r="Y468" s="561"/>
      <c r="Z468" s="561"/>
      <c r="AA468" s="561"/>
      <c r="AB468" s="562"/>
      <c r="AC468" s="561"/>
      <c r="AD468" s="561"/>
      <c r="AE468" s="561"/>
      <c r="AF468" s="561"/>
      <c r="AG468" s="562"/>
      <c r="AH468" s="561"/>
      <c r="AI468" s="561"/>
      <c r="AJ468" s="561"/>
      <c r="AK468" s="561"/>
      <c r="AL468" s="562"/>
      <c r="AM468" s="561"/>
      <c r="AN468" s="561"/>
      <c r="AO468" s="561"/>
      <c r="AP468" s="561"/>
      <c r="AQ468" s="562"/>
      <c r="AR468" s="561"/>
      <c r="AS468" s="561"/>
      <c r="AT468" s="561"/>
      <c r="AU468" s="561"/>
      <c r="AV468" s="562"/>
      <c r="AW468" s="561"/>
      <c r="AX468" s="561"/>
      <c r="AY468" s="561"/>
      <c r="AZ468" s="561"/>
      <c r="BA468" s="562"/>
      <c r="BB468" s="561"/>
      <c r="BC468" s="561"/>
      <c r="BD468" s="561"/>
      <c r="BE468" s="561"/>
      <c r="BF468" s="562"/>
      <c r="BG468" s="561"/>
      <c r="BH468" s="561"/>
      <c r="BI468" s="561"/>
      <c r="BJ468" s="561"/>
      <c r="BK468" s="562"/>
      <c r="BL468" s="561"/>
      <c r="BM468" s="561"/>
      <c r="BN468" s="561"/>
      <c r="BO468" s="561"/>
      <c r="BP468" s="562"/>
      <c r="BQ468" s="561"/>
      <c r="BR468" s="561"/>
      <c r="BS468" s="561"/>
      <c r="BT468" s="561"/>
      <c r="BU468" s="562"/>
      <c r="BV468" s="561"/>
      <c r="BW468" s="561"/>
      <c r="BX468" s="561"/>
      <c r="BY468" s="561"/>
      <c r="BZ468" s="563"/>
      <c r="CA468" s="561"/>
      <c r="CB468" s="561"/>
      <c r="CC468" s="561"/>
      <c r="CD468" s="561"/>
      <c r="CE468" s="563"/>
      <c r="CF468" s="561"/>
      <c r="CG468" s="561"/>
      <c r="CH468" s="561"/>
      <c r="CI468" s="561"/>
      <c r="CJ468" s="563"/>
      <c r="CK468" s="561"/>
      <c r="CL468" s="561"/>
      <c r="CM468" s="561"/>
      <c r="CN468" s="564"/>
      <c r="CO468" s="563"/>
      <c r="CP468" s="564">
        <f t="shared" ref="CP468:CS468" si="2557">CP415*(1-CP$110)/CP$78</f>
        <v>0</v>
      </c>
      <c r="CQ468" s="564">
        <f t="shared" si="2557"/>
        <v>0</v>
      </c>
      <c r="CR468" s="564">
        <f t="shared" si="2557"/>
        <v>0</v>
      </c>
      <c r="CS468" s="564">
        <f t="shared" si="2557"/>
        <v>0</v>
      </c>
      <c r="CT468" s="563">
        <f t="shared" si="2487"/>
        <v>0</v>
      </c>
      <c r="CU468" s="564">
        <f t="shared" ref="CU468:CX468" si="2558">CU415*(1-CU$110)/CU$78</f>
        <v>0</v>
      </c>
      <c r="CV468" s="564">
        <f t="shared" si="2558"/>
        <v>0</v>
      </c>
      <c r="CW468" s="564">
        <f t="shared" si="2558"/>
        <v>0</v>
      </c>
      <c r="CX468" s="564">
        <f t="shared" si="2558"/>
        <v>0</v>
      </c>
      <c r="CY468" s="563">
        <f t="shared" si="2489"/>
        <v>0</v>
      </c>
      <c r="CZ468" s="564">
        <f t="shared" ref="CZ468:DC468" si="2559">CZ415*(1-CZ$110)/CZ$78</f>
        <v>-0.0334682861</v>
      </c>
      <c r="DA468" s="564">
        <f t="shared" si="2559"/>
        <v>-0.01014739941</v>
      </c>
      <c r="DB468" s="564">
        <f t="shared" si="2559"/>
        <v>0.01251177294</v>
      </c>
      <c r="DC468" s="564">
        <f t="shared" si="2559"/>
        <v>0.0131489818</v>
      </c>
      <c r="DD468" s="563">
        <f t="shared" si="2491"/>
        <v>-0.01795493076</v>
      </c>
      <c r="DE468" s="564">
        <f t="shared" ref="DE468:DH468" si="2560">DE415*(1-DE$110)/DE$78</f>
        <v>0.01464409969</v>
      </c>
      <c r="DF468" s="564">
        <f t="shared" si="2560"/>
        <v>0.012296141</v>
      </c>
      <c r="DG468" s="564">
        <f t="shared" si="2560"/>
        <v>0.01785009583</v>
      </c>
      <c r="DH468" s="564">
        <f t="shared" si="2560"/>
        <v>-0.003707392334</v>
      </c>
      <c r="DI468" s="563">
        <f t="shared" si="2493"/>
        <v>0.04108294418</v>
      </c>
      <c r="DJ468" s="564">
        <f t="shared" ref="DJ468:DM468" si="2561">DJ415*(1-DJ$110)/DJ$78</f>
        <v>0.01799956588</v>
      </c>
      <c r="DK468" s="564">
        <f t="shared" si="2561"/>
        <v>0.0192639968</v>
      </c>
      <c r="DL468" s="564">
        <f t="shared" si="2561"/>
        <v>0.02042980097</v>
      </c>
      <c r="DM468" s="564">
        <f t="shared" si="2561"/>
        <v>0.03233394415</v>
      </c>
      <c r="DN468" s="563">
        <f t="shared" si="2495"/>
        <v>0.0900273078</v>
      </c>
      <c r="DO468" s="564">
        <f t="shared" ref="DO468:DR468" si="2562">DO415*(1-DO$110)/DO$78</f>
        <v>0.01704304848</v>
      </c>
      <c r="DP468" s="564">
        <f t="shared" si="2562"/>
        <v>0.0101704282</v>
      </c>
      <c r="DQ468" s="564">
        <f t="shared" si="2562"/>
        <v>0.01850172738</v>
      </c>
      <c r="DR468" s="564">
        <f t="shared" si="2562"/>
        <v>0.01663555298</v>
      </c>
      <c r="DS468" s="563">
        <f t="shared" si="2497"/>
        <v>0.06235075704</v>
      </c>
      <c r="DT468" s="564">
        <f t="shared" ref="DT468:DW468" si="2563">DT415*(1-DT$110)/DT$78</f>
        <v>0.0192540434</v>
      </c>
      <c r="DU468" s="564">
        <f t="shared" si="2563"/>
        <v>0.01606258903</v>
      </c>
      <c r="DV468" s="564">
        <f t="shared" si="2563"/>
        <v>0.008057415302</v>
      </c>
      <c r="DW468" s="564">
        <f t="shared" si="2563"/>
        <v>0.008165561459</v>
      </c>
      <c r="DX468" s="563">
        <f t="shared" si="2499"/>
        <v>0.0515396092</v>
      </c>
      <c r="DY468" s="564">
        <f t="shared" ref="DY468:EB468" si="2564">DY415*(1-DY$110)/DY$78</f>
        <v>0.01848668315</v>
      </c>
      <c r="DZ468" s="564">
        <f t="shared" si="2564"/>
        <v>0.01768782461</v>
      </c>
      <c r="EA468" s="564">
        <f t="shared" si="2564"/>
        <v>0.01850517176</v>
      </c>
      <c r="EB468" s="564">
        <f t="shared" si="2564"/>
        <v>0.01108506434</v>
      </c>
      <c r="EC468" s="563">
        <f t="shared" si="2501"/>
        <v>0.06576474386</v>
      </c>
      <c r="ED468" s="564">
        <f t="shared" ref="ED468:EG468" si="2565">ED415*(1-ED$110)/ED$78</f>
        <v>0.01587083349</v>
      </c>
      <c r="EE468" s="564">
        <f t="shared" si="2565"/>
        <v>0.01251430553</v>
      </c>
      <c r="EF468" s="564">
        <f t="shared" si="2565"/>
        <v>-0.1511851188</v>
      </c>
      <c r="EG468" s="564">
        <f t="shared" si="2565"/>
        <v>0.0235302466</v>
      </c>
      <c r="EH468" s="563">
        <f t="shared" si="2503"/>
        <v>-0.09926973315</v>
      </c>
      <c r="EI468" s="565">
        <f t="shared" ref="EI468:EL468" si="2566">EI415*(1-EI$110)/EI$78</f>
        <v>0.02112314467</v>
      </c>
      <c r="EJ468" s="564">
        <f t="shared" si="2566"/>
        <v>0.02637755328</v>
      </c>
      <c r="EK468" s="564">
        <f t="shared" si="2566"/>
        <v>0.02951334633</v>
      </c>
      <c r="EL468" s="564">
        <f t="shared" si="2566"/>
        <v>0.02843086738</v>
      </c>
      <c r="EM468" s="563">
        <f t="shared" si="2505"/>
        <v>0.1054449117</v>
      </c>
      <c r="EN468" s="564">
        <f t="shared" ref="EN468:EQ468" si="2567">EN415*(1-EN$110)/EN$78</f>
        <v>0.02270182259</v>
      </c>
      <c r="EO468" s="564">
        <f t="shared" si="2567"/>
        <v>0.02846348405</v>
      </c>
      <c r="EP468" s="564">
        <f t="shared" si="2567"/>
        <v>0.03197633847</v>
      </c>
      <c r="EQ468" s="564">
        <f t="shared" si="2567"/>
        <v>0.03092875835</v>
      </c>
      <c r="ER468" s="563">
        <f t="shared" si="2507"/>
        <v>0.1140704035</v>
      </c>
      <c r="ES468" s="564">
        <f t="shared" ref="ES468:EV468" si="2568">ES415*(1-ES$110)/ES$78</f>
        <v>0.02526398695</v>
      </c>
      <c r="ET468" s="564">
        <f t="shared" si="2568"/>
        <v>0.03165892522</v>
      </c>
      <c r="EU468" s="564">
        <f t="shared" si="2568"/>
        <v>0.03554694297</v>
      </c>
      <c r="EV468" s="564">
        <f t="shared" si="2568"/>
        <v>0.03436369717</v>
      </c>
      <c r="EW468" s="563">
        <f t="shared" si="2509"/>
        <v>0.1268335523</v>
      </c>
      <c r="EX468" s="564">
        <f t="shared" ref="EX468:FA468" si="2569">EX415*(1-EX$110)/EX$78</f>
        <v>0.02805840751</v>
      </c>
      <c r="EY468" s="564">
        <f t="shared" si="2569"/>
        <v>0.03514633496</v>
      </c>
      <c r="EZ468" s="564">
        <f t="shared" si="2569"/>
        <v>0.03944644655</v>
      </c>
      <c r="FA468" s="564">
        <f t="shared" si="2569"/>
        <v>0.03811766271</v>
      </c>
      <c r="FB468" s="563">
        <f t="shared" si="2511"/>
        <v>0.1407688517</v>
      </c>
      <c r="FC468" s="564">
        <f t="shared" ref="FC468:FF468" si="2570">FC415*(1-FC$110)/FC$78</f>
        <v>0.03122154748</v>
      </c>
      <c r="FD468" s="564">
        <f t="shared" si="2570"/>
        <v>0.03923267221</v>
      </c>
      <c r="FE468" s="564">
        <f t="shared" si="2570"/>
        <v>0.04417369573</v>
      </c>
      <c r="FF468" s="564">
        <f t="shared" si="2570"/>
        <v>0.04282346748</v>
      </c>
      <c r="FG468" s="563">
        <f t="shared" si="2513"/>
        <v>0.1574513829</v>
      </c>
      <c r="FH468" s="566"/>
      <c r="FI468" s="561"/>
      <c r="FJ468" s="561"/>
      <c r="FK468" s="562"/>
      <c r="FL468" s="561"/>
    </row>
    <row r="469" ht="12.75" hidden="1" customHeight="1" outlineLevel="1">
      <c r="A469" s="561"/>
      <c r="B469" s="561" t="str">
        <f t="shared" si="2514"/>
        <v>All Other</v>
      </c>
      <c r="C469" s="562"/>
      <c r="D469" s="561"/>
      <c r="E469" s="561"/>
      <c r="F469" s="561"/>
      <c r="G469" s="561"/>
      <c r="H469" s="562"/>
      <c r="I469" s="561"/>
      <c r="J469" s="561"/>
      <c r="K469" s="561"/>
      <c r="L469" s="561"/>
      <c r="M469" s="562"/>
      <c r="N469" s="561"/>
      <c r="O469" s="561"/>
      <c r="P469" s="561"/>
      <c r="Q469" s="561"/>
      <c r="R469" s="562"/>
      <c r="S469" s="561"/>
      <c r="T469" s="561"/>
      <c r="U469" s="561"/>
      <c r="V469" s="561"/>
      <c r="W469" s="562"/>
      <c r="X469" s="561"/>
      <c r="Y469" s="561"/>
      <c r="Z469" s="561"/>
      <c r="AA469" s="561"/>
      <c r="AB469" s="562"/>
      <c r="AC469" s="561"/>
      <c r="AD469" s="561"/>
      <c r="AE469" s="561"/>
      <c r="AF469" s="561"/>
      <c r="AG469" s="562"/>
      <c r="AH469" s="561"/>
      <c r="AI469" s="561"/>
      <c r="AJ469" s="561"/>
      <c r="AK469" s="561"/>
      <c r="AL469" s="562"/>
      <c r="AM469" s="561"/>
      <c r="AN469" s="561"/>
      <c r="AO469" s="561"/>
      <c r="AP469" s="561"/>
      <c r="AQ469" s="562"/>
      <c r="AR469" s="561"/>
      <c r="AS469" s="561"/>
      <c r="AT469" s="561"/>
      <c r="AU469" s="561"/>
      <c r="AV469" s="562"/>
      <c r="AW469" s="561"/>
      <c r="AX469" s="561"/>
      <c r="AY469" s="561"/>
      <c r="AZ469" s="561"/>
      <c r="BA469" s="562"/>
      <c r="BB469" s="561"/>
      <c r="BC469" s="561"/>
      <c r="BD469" s="561"/>
      <c r="BE469" s="561"/>
      <c r="BF469" s="562"/>
      <c r="BG469" s="561"/>
      <c r="BH469" s="561"/>
      <c r="BI469" s="561"/>
      <c r="BJ469" s="561"/>
      <c r="BK469" s="562"/>
      <c r="BL469" s="561"/>
      <c r="BM469" s="561"/>
      <c r="BN469" s="561"/>
      <c r="BO469" s="561"/>
      <c r="BP469" s="562"/>
      <c r="BQ469" s="561"/>
      <c r="BR469" s="561"/>
      <c r="BS469" s="561"/>
      <c r="BT469" s="561"/>
      <c r="BU469" s="562"/>
      <c r="BV469" s="561"/>
      <c r="BW469" s="561"/>
      <c r="BX469" s="561"/>
      <c r="BY469" s="561"/>
      <c r="BZ469" s="563"/>
      <c r="CA469" s="561"/>
      <c r="CB469" s="561"/>
      <c r="CC469" s="561"/>
      <c r="CD469" s="561"/>
      <c r="CE469" s="563"/>
      <c r="CF469" s="561"/>
      <c r="CG469" s="561"/>
      <c r="CH469" s="561"/>
      <c r="CI469" s="561"/>
      <c r="CJ469" s="563"/>
      <c r="CK469" s="561"/>
      <c r="CL469" s="561"/>
      <c r="CM469" s="561"/>
      <c r="CN469" s="564"/>
      <c r="CO469" s="563"/>
      <c r="CP469" s="564">
        <f t="shared" ref="CP469:CS469" si="2571">CP471-SUM(CP463:CP468)</f>
        <v>-0.08687822662</v>
      </c>
      <c r="CQ469" s="564">
        <f t="shared" si="2571"/>
        <v>-0.09337438234</v>
      </c>
      <c r="CR469" s="564">
        <f t="shared" si="2571"/>
        <v>-0.0900245483</v>
      </c>
      <c r="CS469" s="564">
        <f t="shared" si="2571"/>
        <v>-0.1555675185</v>
      </c>
      <c r="CT469" s="563">
        <f t="shared" si="2487"/>
        <v>-0.4258446758</v>
      </c>
      <c r="CU469" s="564">
        <f t="shared" ref="CU469:CX469" si="2572">CU471-SUM(CU463:CU468)</f>
        <v>-0.09266088278</v>
      </c>
      <c r="CV469" s="564">
        <f t="shared" si="2572"/>
        <v>-0.1334193143</v>
      </c>
      <c r="CW469" s="564">
        <f t="shared" si="2572"/>
        <v>-0.09115179422</v>
      </c>
      <c r="CX469" s="564">
        <f t="shared" si="2572"/>
        <v>-0.142409325</v>
      </c>
      <c r="CY469" s="563">
        <f t="shared" si="2489"/>
        <v>-0.4596413164</v>
      </c>
      <c r="CZ469" s="564">
        <f t="shared" ref="CZ469:DC469" si="2573">CZ471-SUM(CZ463:CZ468)</f>
        <v>-0.1763778677</v>
      </c>
      <c r="DA469" s="564">
        <f t="shared" si="2573"/>
        <v>-0.3119506979</v>
      </c>
      <c r="DB469" s="564">
        <f t="shared" si="2573"/>
        <v>-0.2195976558</v>
      </c>
      <c r="DC469" s="564">
        <f t="shared" si="2573"/>
        <v>-0.2034804934</v>
      </c>
      <c r="DD469" s="563">
        <f t="shared" si="2491"/>
        <v>-0.9114067148</v>
      </c>
      <c r="DE469" s="564">
        <f t="shared" ref="DE469:DH469" si="2574">DE471-SUM(DE463:DE468)</f>
        <v>-0.1378455471</v>
      </c>
      <c r="DF469" s="564">
        <f t="shared" si="2574"/>
        <v>-0.03042344165</v>
      </c>
      <c r="DG469" s="564">
        <f t="shared" si="2574"/>
        <v>-0.02085143937</v>
      </c>
      <c r="DH469" s="564">
        <f t="shared" si="2574"/>
        <v>0.01585147876</v>
      </c>
      <c r="DI469" s="563">
        <f t="shared" si="2493"/>
        <v>-0.1732689493</v>
      </c>
      <c r="DJ469" s="564">
        <f t="shared" ref="DJ469:DM469" si="2575">DJ471-SUM(DJ463:DJ468)</f>
        <v>-0.1159765843</v>
      </c>
      <c r="DK469" s="564">
        <f t="shared" si="2575"/>
        <v>-0.123976217</v>
      </c>
      <c r="DL469" s="564">
        <f t="shared" si="2575"/>
        <v>-0.2041052758</v>
      </c>
      <c r="DM469" s="564">
        <f t="shared" si="2575"/>
        <v>-0.2828222152</v>
      </c>
      <c r="DN469" s="563">
        <f t="shared" si="2495"/>
        <v>-0.7268802922</v>
      </c>
      <c r="DO469" s="564">
        <f t="shared" ref="DO469:DR469" si="2576">DO471-SUM(DO463:DO468)</f>
        <v>-0.09134308007</v>
      </c>
      <c r="DP469" s="564">
        <f t="shared" si="2576"/>
        <v>-0.1815030263</v>
      </c>
      <c r="DQ469" s="564">
        <f t="shared" si="2576"/>
        <v>-0.1347408407</v>
      </c>
      <c r="DR469" s="564">
        <f t="shared" si="2576"/>
        <v>0.04305672536</v>
      </c>
      <c r="DS469" s="563">
        <f t="shared" si="2497"/>
        <v>-0.3645302217</v>
      </c>
      <c r="DT469" s="564">
        <f t="shared" ref="DT469:DW469" si="2577">DT471-SUM(DT463:DT468)</f>
        <v>-0.2907956039</v>
      </c>
      <c r="DU469" s="564">
        <f t="shared" si="2577"/>
        <v>-0.09517084003</v>
      </c>
      <c r="DV469" s="564">
        <f t="shared" si="2577"/>
        <v>-0.1194511819</v>
      </c>
      <c r="DW469" s="564">
        <f t="shared" si="2577"/>
        <v>0.1046331247</v>
      </c>
      <c r="DX469" s="563">
        <f t="shared" si="2499"/>
        <v>-0.4007845011</v>
      </c>
      <c r="DY469" s="564">
        <f t="shared" ref="DY469:EB469" si="2578">DY471-SUM(DY463:DY468)</f>
        <v>-0.4422098639</v>
      </c>
      <c r="DZ469" s="564">
        <f t="shared" si="2578"/>
        <v>-0.180329529</v>
      </c>
      <c r="EA469" s="564">
        <f t="shared" si="2578"/>
        <v>0.1424411247</v>
      </c>
      <c r="EB469" s="564">
        <f t="shared" si="2578"/>
        <v>-0.1697536323</v>
      </c>
      <c r="EC469" s="563">
        <f t="shared" si="2501"/>
        <v>-0.6498519005</v>
      </c>
      <c r="ED469" s="564">
        <f t="shared" ref="ED469:EG469" si="2579">ED471-SUM(ED463:ED468)</f>
        <v>0.7409424218</v>
      </c>
      <c r="EE469" s="564" t="str">
        <f t="shared" si="2579"/>
        <v>#ERROR!</v>
      </c>
      <c r="EF469" s="564" t="str">
        <f t="shared" si="2579"/>
        <v>#ERROR!</v>
      </c>
      <c r="EG469" s="564" t="str">
        <f t="shared" si="2579"/>
        <v>#ERROR!</v>
      </c>
      <c r="EH469" s="563" t="str">
        <f t="shared" si="2503"/>
        <v>#ERROR!</v>
      </c>
      <c r="EI469" s="565" t="str">
        <f t="shared" ref="EI469:EL469" si="2580">EI471-SUM(EI463:EI468)</f>
        <v>#ERROR!</v>
      </c>
      <c r="EJ469" s="564" t="str">
        <f t="shared" si="2580"/>
        <v>#ERROR!</v>
      </c>
      <c r="EK469" s="564" t="str">
        <f t="shared" si="2580"/>
        <v>#ERROR!</v>
      </c>
      <c r="EL469" s="564" t="str">
        <f t="shared" si="2580"/>
        <v>#ERROR!</v>
      </c>
      <c r="EM469" s="563" t="str">
        <f t="shared" si="2505"/>
        <v>#ERROR!</v>
      </c>
      <c r="EN469" s="564" t="str">
        <f t="shared" ref="EN469:EQ469" si="2581">EN471-SUM(EN463:EN468)</f>
        <v>#ERROR!</v>
      </c>
      <c r="EO469" s="564" t="str">
        <f t="shared" si="2581"/>
        <v>#ERROR!</v>
      </c>
      <c r="EP469" s="564" t="str">
        <f t="shared" si="2581"/>
        <v>#ERROR!</v>
      </c>
      <c r="EQ469" s="564" t="str">
        <f t="shared" si="2581"/>
        <v>#ERROR!</v>
      </c>
      <c r="ER469" s="563" t="str">
        <f t="shared" si="2507"/>
        <v>#ERROR!</v>
      </c>
      <c r="ES469" s="564" t="str">
        <f t="shared" ref="ES469:EV469" si="2582">ES471-SUM(ES463:ES468)</f>
        <v>#ERROR!</v>
      </c>
      <c r="ET469" s="564" t="str">
        <f t="shared" si="2582"/>
        <v>#ERROR!</v>
      </c>
      <c r="EU469" s="564" t="str">
        <f t="shared" si="2582"/>
        <v>#ERROR!</v>
      </c>
      <c r="EV469" s="564" t="str">
        <f t="shared" si="2582"/>
        <v>#ERROR!</v>
      </c>
      <c r="EW469" s="563" t="str">
        <f t="shared" si="2509"/>
        <v>#ERROR!</v>
      </c>
      <c r="EX469" s="564" t="str">
        <f t="shared" ref="EX469:FA469" si="2583">EX471-SUM(EX463:EX468)</f>
        <v>#ERROR!</v>
      </c>
      <c r="EY469" s="564" t="str">
        <f t="shared" si="2583"/>
        <v>#ERROR!</v>
      </c>
      <c r="EZ469" s="564" t="str">
        <f t="shared" si="2583"/>
        <v>#ERROR!</v>
      </c>
      <c r="FA469" s="564" t="str">
        <f t="shared" si="2583"/>
        <v>#ERROR!</v>
      </c>
      <c r="FB469" s="563" t="str">
        <f t="shared" si="2511"/>
        <v>#ERROR!</v>
      </c>
      <c r="FC469" s="564" t="str">
        <f t="shared" ref="FC469:FF469" si="2584">FC471-SUM(FC463:FC468)</f>
        <v>#ERROR!</v>
      </c>
      <c r="FD469" s="564" t="str">
        <f t="shared" si="2584"/>
        <v>#ERROR!</v>
      </c>
      <c r="FE469" s="564" t="str">
        <f t="shared" si="2584"/>
        <v>#ERROR!</v>
      </c>
      <c r="FF469" s="564" t="str">
        <f t="shared" si="2584"/>
        <v>#ERROR!</v>
      </c>
      <c r="FG469" s="563" t="str">
        <f t="shared" si="2513"/>
        <v>#ERROR!</v>
      </c>
      <c r="FH469" s="566"/>
      <c r="FI469" s="561"/>
      <c r="FJ469" s="561"/>
      <c r="FK469" s="562"/>
      <c r="FL469" s="561"/>
    </row>
    <row r="470" ht="12.75" customHeight="1" collapsed="1">
      <c r="A470" s="561"/>
      <c r="B470" s="561"/>
      <c r="C470" s="562"/>
      <c r="D470" s="561"/>
      <c r="E470" s="561"/>
      <c r="F470" s="561"/>
      <c r="G470" s="561"/>
      <c r="H470" s="562"/>
      <c r="I470" s="561"/>
      <c r="J470" s="561"/>
      <c r="K470" s="561"/>
      <c r="L470" s="561"/>
      <c r="M470" s="562"/>
      <c r="N470" s="561"/>
      <c r="O470" s="561"/>
      <c r="P470" s="561"/>
      <c r="Q470" s="561"/>
      <c r="R470" s="562"/>
      <c r="S470" s="561"/>
      <c r="T470" s="561"/>
      <c r="U470" s="561"/>
      <c r="V470" s="561"/>
      <c r="W470" s="562"/>
      <c r="X470" s="561"/>
      <c r="Y470" s="561"/>
      <c r="Z470" s="561"/>
      <c r="AA470" s="561"/>
      <c r="AB470" s="562"/>
      <c r="AC470" s="561"/>
      <c r="AD470" s="561"/>
      <c r="AE470" s="561"/>
      <c r="AF470" s="561"/>
      <c r="AG470" s="562"/>
      <c r="AH470" s="561"/>
      <c r="AI470" s="561"/>
      <c r="AJ470" s="561"/>
      <c r="AK470" s="561"/>
      <c r="AL470" s="562"/>
      <c r="AM470" s="561"/>
      <c r="AN470" s="561"/>
      <c r="AO470" s="561"/>
      <c r="AP470" s="561"/>
      <c r="AQ470" s="562"/>
      <c r="AR470" s="561"/>
      <c r="AS470" s="561"/>
      <c r="AT470" s="561"/>
      <c r="AU470" s="561"/>
      <c r="AV470" s="562"/>
      <c r="AW470" s="561"/>
      <c r="AX470" s="561"/>
      <c r="AY470" s="561"/>
      <c r="AZ470" s="561"/>
      <c r="BA470" s="562"/>
      <c r="BB470" s="561"/>
      <c r="BC470" s="561"/>
      <c r="BD470" s="561"/>
      <c r="BE470" s="561"/>
      <c r="BF470" s="562"/>
      <c r="BG470" s="561"/>
      <c r="BH470" s="561"/>
      <c r="BI470" s="561"/>
      <c r="BJ470" s="561"/>
      <c r="BK470" s="562"/>
      <c r="BL470" s="561"/>
      <c r="BM470" s="561"/>
      <c r="BN470" s="561"/>
      <c r="BO470" s="561"/>
      <c r="BP470" s="562"/>
      <c r="BQ470" s="561"/>
      <c r="BR470" s="561"/>
      <c r="BS470" s="561"/>
      <c r="BT470" s="561"/>
      <c r="BU470" s="562"/>
      <c r="BV470" s="561"/>
      <c r="BW470" s="561"/>
      <c r="BX470" s="561"/>
      <c r="BY470" s="561"/>
      <c r="BZ470" s="563"/>
      <c r="CA470" s="561"/>
      <c r="CB470" s="561"/>
      <c r="CC470" s="561"/>
      <c r="CD470" s="561"/>
      <c r="CE470" s="563"/>
      <c r="CF470" s="561"/>
      <c r="CG470" s="561"/>
      <c r="CH470" s="561"/>
      <c r="CI470" s="561"/>
      <c r="CJ470" s="563"/>
      <c r="CK470" s="561"/>
      <c r="CL470" s="561"/>
      <c r="CM470" s="561"/>
      <c r="CN470" s="564"/>
      <c r="CO470" s="563"/>
      <c r="CP470" s="564"/>
      <c r="CQ470" s="564"/>
      <c r="CR470" s="564"/>
      <c r="CS470" s="564"/>
      <c r="CT470" s="563"/>
      <c r="CU470" s="564"/>
      <c r="CV470" s="564"/>
      <c r="CW470" s="564"/>
      <c r="CX470" s="564"/>
      <c r="CY470" s="563"/>
      <c r="CZ470" s="564"/>
      <c r="DA470" s="564"/>
      <c r="DB470" s="564"/>
      <c r="DC470" s="564"/>
      <c r="DD470" s="563"/>
      <c r="DE470" s="564"/>
      <c r="DF470" s="564"/>
      <c r="DG470" s="564"/>
      <c r="DH470" s="564"/>
      <c r="DI470" s="563"/>
      <c r="DJ470" s="564"/>
      <c r="DK470" s="564"/>
      <c r="DL470" s="564"/>
      <c r="DM470" s="564"/>
      <c r="DN470" s="563"/>
      <c r="DO470" s="564"/>
      <c r="DP470" s="564"/>
      <c r="DQ470" s="564"/>
      <c r="DR470" s="564"/>
      <c r="DS470" s="563"/>
      <c r="DT470" s="564"/>
      <c r="DU470" s="564"/>
      <c r="DV470" s="564"/>
      <c r="DW470" s="564"/>
      <c r="DX470" s="563"/>
      <c r="DY470" s="564"/>
      <c r="DZ470" s="564"/>
      <c r="EA470" s="564"/>
      <c r="EB470" s="564"/>
      <c r="EC470" s="563"/>
      <c r="ED470" s="564"/>
      <c r="EE470" s="564"/>
      <c r="EF470" s="564"/>
      <c r="EG470" s="564"/>
      <c r="EH470" s="563"/>
      <c r="EI470" s="565"/>
      <c r="EJ470" s="564"/>
      <c r="EK470" s="564"/>
      <c r="EL470" s="564"/>
      <c r="EM470" s="563"/>
      <c r="EN470" s="564"/>
      <c r="EO470" s="564"/>
      <c r="EP470" s="564"/>
      <c r="EQ470" s="564"/>
      <c r="ER470" s="563"/>
      <c r="ES470" s="564"/>
      <c r="ET470" s="564"/>
      <c r="EU470" s="564"/>
      <c r="EV470" s="564"/>
      <c r="EW470" s="563"/>
      <c r="EX470" s="564"/>
      <c r="EY470" s="564"/>
      <c r="EZ470" s="564"/>
      <c r="FA470" s="564"/>
      <c r="FB470" s="563"/>
      <c r="FC470" s="564"/>
      <c r="FD470" s="564"/>
      <c r="FE470" s="564"/>
      <c r="FF470" s="564"/>
      <c r="FG470" s="563"/>
      <c r="FH470" s="566"/>
      <c r="FI470" s="561"/>
      <c r="FJ470" s="561"/>
      <c r="FK470" s="562"/>
      <c r="FL470" s="561"/>
    </row>
    <row r="471" ht="12.75" customHeight="1">
      <c r="A471" s="561"/>
      <c r="B471" s="568" t="s">
        <v>267</v>
      </c>
      <c r="C471" s="568"/>
      <c r="D471" s="569"/>
      <c r="E471" s="569"/>
      <c r="F471" s="569"/>
      <c r="G471" s="569"/>
      <c r="H471" s="570"/>
      <c r="I471" s="569"/>
      <c r="J471" s="569"/>
      <c r="K471" s="569"/>
      <c r="L471" s="569"/>
      <c r="M471" s="570"/>
      <c r="N471" s="569"/>
      <c r="O471" s="569"/>
      <c r="P471" s="569"/>
      <c r="Q471" s="569"/>
      <c r="R471" s="570"/>
      <c r="S471" s="569"/>
      <c r="T471" s="569"/>
      <c r="U471" s="569"/>
      <c r="V471" s="569"/>
      <c r="W471" s="570"/>
      <c r="X471" s="569"/>
      <c r="Y471" s="569"/>
      <c r="Z471" s="569"/>
      <c r="AA471" s="569"/>
      <c r="AB471" s="570"/>
      <c r="AC471" s="569"/>
      <c r="AD471" s="569"/>
      <c r="AE471" s="569"/>
      <c r="AF471" s="569"/>
      <c r="AG471" s="570"/>
      <c r="AH471" s="569"/>
      <c r="AI471" s="569"/>
      <c r="AJ471" s="569"/>
      <c r="AK471" s="569"/>
      <c r="AL471" s="570"/>
      <c r="AM471" s="569"/>
      <c r="AN471" s="569"/>
      <c r="AO471" s="569"/>
      <c r="AP471" s="569"/>
      <c r="AQ471" s="570"/>
      <c r="AR471" s="569"/>
      <c r="AS471" s="569"/>
      <c r="AT471" s="569"/>
      <c r="AU471" s="569"/>
      <c r="AV471" s="570"/>
      <c r="AW471" s="569"/>
      <c r="AX471" s="569"/>
      <c r="AY471" s="569"/>
      <c r="AZ471" s="569"/>
      <c r="BA471" s="570"/>
      <c r="BB471" s="569"/>
      <c r="BC471" s="569"/>
      <c r="BD471" s="569"/>
      <c r="BE471" s="569"/>
      <c r="BF471" s="570"/>
      <c r="BG471" s="569"/>
      <c r="BH471" s="569"/>
      <c r="BI471" s="569"/>
      <c r="BJ471" s="569"/>
      <c r="BK471" s="570"/>
      <c r="BL471" s="569"/>
      <c r="BM471" s="569"/>
      <c r="BN471" s="569"/>
      <c r="BO471" s="569"/>
      <c r="BP471" s="570"/>
      <c r="BQ471" s="569"/>
      <c r="BR471" s="569"/>
      <c r="BS471" s="569"/>
      <c r="BT471" s="569"/>
      <c r="BU471" s="570"/>
      <c r="BV471" s="569"/>
      <c r="BW471" s="569"/>
      <c r="BX471" s="569"/>
      <c r="BY471" s="569"/>
      <c r="BZ471" s="571"/>
      <c r="CA471" s="569"/>
      <c r="CB471" s="569"/>
      <c r="CC471" s="569"/>
      <c r="CD471" s="569"/>
      <c r="CE471" s="571"/>
      <c r="CF471" s="569"/>
      <c r="CG471" s="569"/>
      <c r="CH471" s="569"/>
      <c r="CI471" s="569"/>
      <c r="CJ471" s="571"/>
      <c r="CK471" s="569"/>
      <c r="CL471" s="569"/>
      <c r="CM471" s="569"/>
      <c r="CN471" s="572"/>
      <c r="CO471" s="571"/>
      <c r="CP471" s="570">
        <f t="shared" ref="CP471:CS471" si="2585">CP68</f>
        <v>0.3816689466</v>
      </c>
      <c r="CQ471" s="570">
        <f t="shared" si="2585"/>
        <v>0.5457739606</v>
      </c>
      <c r="CR471" s="570">
        <f t="shared" si="2585"/>
        <v>0.6574826561</v>
      </c>
      <c r="CS471" s="570">
        <f t="shared" si="2585"/>
        <v>0.7410931174</v>
      </c>
      <c r="CT471" s="571">
        <f t="shared" ref="CT471:CT475" si="2600">SUM(CP471:CS471)</f>
        <v>2.326018681</v>
      </c>
      <c r="CU471" s="570">
        <f t="shared" ref="CU471:CX471" si="2586">CU68</f>
        <v>0.4053724054</v>
      </c>
      <c r="CV471" s="570">
        <f t="shared" si="2586"/>
        <v>0.5512324302</v>
      </c>
      <c r="CW471" s="570">
        <f t="shared" si="2586"/>
        <v>0.6376127974</v>
      </c>
      <c r="CX471" s="570">
        <f t="shared" si="2586"/>
        <v>0.74097621</v>
      </c>
      <c r="CY471" s="571">
        <f t="shared" ref="CY471:CY475" si="2602">SUM(CU471:CX471)</f>
        <v>2.335193843</v>
      </c>
      <c r="CZ471" s="570">
        <f t="shared" ref="CZ471:DC471" si="2587">CZ68</f>
        <v>0.4196923077</v>
      </c>
      <c r="DA471" s="570">
        <f t="shared" si="2587"/>
        <v>0.273325113</v>
      </c>
      <c r="DB471" s="570">
        <f t="shared" si="2587"/>
        <v>0.6926389174</v>
      </c>
      <c r="DC471" s="570">
        <f t="shared" si="2587"/>
        <v>0.7297684901</v>
      </c>
      <c r="DD471" s="571">
        <f t="shared" ref="DD471:DD475" si="2604">SUM(CZ471:DC471)</f>
        <v>2.115424828</v>
      </c>
      <c r="DE471" s="570">
        <f t="shared" ref="DE471:DH471" si="2588">DE68</f>
        <v>0.6072526122</v>
      </c>
      <c r="DF471" s="570">
        <f t="shared" si="2588"/>
        <v>0.5795665635</v>
      </c>
      <c r="DG471" s="570">
        <f t="shared" si="2588"/>
        <v>0.9367351172</v>
      </c>
      <c r="DH471" s="570">
        <f t="shared" si="2588"/>
        <v>-0.1434237996</v>
      </c>
      <c r="DI471" s="571">
        <f t="shared" ref="DI471:DI475" si="2606">SUM(DE471:DH471)</f>
        <v>1.980130493</v>
      </c>
      <c r="DJ471" s="570">
        <f t="shared" ref="DJ471:DM471" si="2589">DJ68</f>
        <v>0.9298538622</v>
      </c>
      <c r="DK471" s="570">
        <f t="shared" si="2589"/>
        <v>1.054560775</v>
      </c>
      <c r="DL471" s="570">
        <f t="shared" si="2589"/>
        <v>1.376506024</v>
      </c>
      <c r="DM471" s="570">
        <f t="shared" si="2589"/>
        <v>1.124702317</v>
      </c>
      <c r="DN471" s="571">
        <f t="shared" ref="DN471:DN475" si="2608">SUM(DJ471:DM471)</f>
        <v>4.485622978</v>
      </c>
      <c r="DO471" s="570">
        <f t="shared" ref="DO471:DR471" si="2590">DO68</f>
        <v>0.8707274321</v>
      </c>
      <c r="DP471" s="570">
        <f t="shared" si="2590"/>
        <v>0.9239442848</v>
      </c>
      <c r="DQ471" s="570">
        <f t="shared" si="2590"/>
        <v>1.351229416</v>
      </c>
      <c r="DR471" s="570">
        <f t="shared" si="2590"/>
        <v>1.579007546</v>
      </c>
      <c r="DS471" s="571">
        <f t="shared" ref="DS471:DS475" si="2610">SUM(DO471:DR471)</f>
        <v>4.724908679</v>
      </c>
      <c r="DT471" s="570">
        <f t="shared" ref="DT471:DW471" si="2591">DT68</f>
        <v>1.312847866</v>
      </c>
      <c r="DU471" s="570">
        <f t="shared" si="2591"/>
        <v>1.191643324</v>
      </c>
      <c r="DV471" s="570">
        <f t="shared" si="2591"/>
        <v>1.015435763</v>
      </c>
      <c r="DW471" s="570">
        <f t="shared" si="2591"/>
        <v>1.421947075</v>
      </c>
      <c r="DX471" s="571">
        <f t="shared" ref="DX471:DX475" si="2612">SUM(DT471:DW471)</f>
        <v>4.941874028</v>
      </c>
      <c r="DY471" s="570">
        <f t="shared" ref="DY471:EB471" si="2592">DY68</f>
        <v>0.8205566406</v>
      </c>
      <c r="DZ471" s="570">
        <f t="shared" si="2592"/>
        <v>1.239226249</v>
      </c>
      <c r="EA471" s="570">
        <f t="shared" si="2592"/>
        <v>1.669848262</v>
      </c>
      <c r="EB471" s="570">
        <f t="shared" si="2592"/>
        <v>1.128937729</v>
      </c>
      <c r="EC471" s="571">
        <f t="shared" ref="EC471:EC475" si="2614">SUM(DY471:EB471)</f>
        <v>4.858568881</v>
      </c>
      <c r="ED471" s="570">
        <f t="shared" ref="ED471:EG471" si="2593">ED68</f>
        <v>1.97540784</v>
      </c>
      <c r="EE471" s="570">
        <f t="shared" si="2593"/>
        <v>-0.1107317073</v>
      </c>
      <c r="EF471" s="570">
        <f t="shared" si="2593"/>
        <v>0.247030303</v>
      </c>
      <c r="EG471" s="570">
        <f t="shared" si="2593"/>
        <v>-0.1599322526</v>
      </c>
      <c r="EH471" s="571">
        <f t="shared" ref="EH471:EH475" si="2616">SUM(ED471:EG471)</f>
        <v>1.951774183</v>
      </c>
      <c r="EI471" s="573" t="str">
        <f t="shared" ref="EI471:EL471" si="2594">EI68</f>
        <v>#ERROR!</v>
      </c>
      <c r="EJ471" s="570" t="str">
        <f t="shared" si="2594"/>
        <v>#ERROR!</v>
      </c>
      <c r="EK471" s="570" t="str">
        <f t="shared" si="2594"/>
        <v>#ERROR!</v>
      </c>
      <c r="EL471" s="570" t="str">
        <f t="shared" si="2594"/>
        <v>#ERROR!</v>
      </c>
      <c r="EM471" s="571" t="str">
        <f t="shared" ref="EM471:EM475" si="2618">SUM(EI471:EL471)</f>
        <v>#ERROR!</v>
      </c>
      <c r="EN471" s="570" t="str">
        <f t="shared" ref="EN471:EQ471" si="2595">EN68</f>
        <v>#ERROR!</v>
      </c>
      <c r="EO471" s="570" t="str">
        <f t="shared" si="2595"/>
        <v>#ERROR!</v>
      </c>
      <c r="EP471" s="570" t="str">
        <f t="shared" si="2595"/>
        <v>#ERROR!</v>
      </c>
      <c r="EQ471" s="570" t="str">
        <f t="shared" si="2595"/>
        <v>#ERROR!</v>
      </c>
      <c r="ER471" s="571" t="str">
        <f t="shared" ref="ER471:ER475" si="2620">SUM(EN471:EQ471)</f>
        <v>#ERROR!</v>
      </c>
      <c r="ES471" s="570" t="str">
        <f t="shared" ref="ES471:EV471" si="2596">ES68</f>
        <v>#ERROR!</v>
      </c>
      <c r="ET471" s="570" t="str">
        <f t="shared" si="2596"/>
        <v>#ERROR!</v>
      </c>
      <c r="EU471" s="570" t="str">
        <f t="shared" si="2596"/>
        <v>#ERROR!</v>
      </c>
      <c r="EV471" s="570" t="str">
        <f t="shared" si="2596"/>
        <v>#ERROR!</v>
      </c>
      <c r="EW471" s="571" t="str">
        <f t="shared" ref="EW471:EW475" si="2622">SUM(ES471:EV471)</f>
        <v>#ERROR!</v>
      </c>
      <c r="EX471" s="570" t="str">
        <f t="shared" ref="EX471:FA471" si="2597">EX68</f>
        <v>#ERROR!</v>
      </c>
      <c r="EY471" s="570" t="str">
        <f t="shared" si="2597"/>
        <v>#ERROR!</v>
      </c>
      <c r="EZ471" s="570" t="str">
        <f t="shared" si="2597"/>
        <v>#ERROR!</v>
      </c>
      <c r="FA471" s="570" t="str">
        <f t="shared" si="2597"/>
        <v>#ERROR!</v>
      </c>
      <c r="FB471" s="571" t="str">
        <f t="shared" ref="FB471:FB475" si="2624">SUM(EX471:FA471)</f>
        <v>#ERROR!</v>
      </c>
      <c r="FC471" s="570" t="str">
        <f t="shared" ref="FC471:FF471" si="2598">FC68</f>
        <v>#ERROR!</v>
      </c>
      <c r="FD471" s="570" t="str">
        <f t="shared" si="2598"/>
        <v>#ERROR!</v>
      </c>
      <c r="FE471" s="570" t="str">
        <f t="shared" si="2598"/>
        <v>#ERROR!</v>
      </c>
      <c r="FF471" s="570" t="str">
        <f t="shared" si="2598"/>
        <v>#ERROR!</v>
      </c>
      <c r="FG471" s="571" t="str">
        <f t="shared" ref="FG471:FG475" si="2626">SUM(FC471:FF471)</f>
        <v>#ERROR!</v>
      </c>
      <c r="FH471" s="566"/>
      <c r="FI471" s="561"/>
      <c r="FJ471" s="561"/>
      <c r="FK471" s="562"/>
      <c r="FL471" s="561"/>
    </row>
    <row r="472" ht="12.75" customHeight="1">
      <c r="A472" s="561"/>
      <c r="B472" s="562" t="s">
        <v>268</v>
      </c>
      <c r="C472" s="562"/>
      <c r="D472" s="561"/>
      <c r="E472" s="561"/>
      <c r="F472" s="561"/>
      <c r="G472" s="561"/>
      <c r="H472" s="566"/>
      <c r="I472" s="561"/>
      <c r="J472" s="561"/>
      <c r="K472" s="561"/>
      <c r="L472" s="561"/>
      <c r="M472" s="566"/>
      <c r="N472" s="561"/>
      <c r="O472" s="561"/>
      <c r="P472" s="561"/>
      <c r="Q472" s="561"/>
      <c r="R472" s="566"/>
      <c r="S472" s="561"/>
      <c r="T472" s="561"/>
      <c r="U472" s="561"/>
      <c r="V472" s="561"/>
      <c r="W472" s="566"/>
      <c r="X472" s="561"/>
      <c r="Y472" s="561"/>
      <c r="Z472" s="561"/>
      <c r="AA472" s="561"/>
      <c r="AB472" s="566"/>
      <c r="AC472" s="561"/>
      <c r="AD472" s="561"/>
      <c r="AE472" s="561"/>
      <c r="AF472" s="561"/>
      <c r="AG472" s="566"/>
      <c r="AH472" s="561"/>
      <c r="AI472" s="561"/>
      <c r="AJ472" s="561"/>
      <c r="AK472" s="561"/>
      <c r="AL472" s="566"/>
      <c r="AM472" s="561"/>
      <c r="AN472" s="561"/>
      <c r="AO472" s="561"/>
      <c r="AP472" s="561"/>
      <c r="AQ472" s="566"/>
      <c r="AR472" s="561"/>
      <c r="AS472" s="561"/>
      <c r="AT472" s="561"/>
      <c r="AU472" s="561"/>
      <c r="AV472" s="566"/>
      <c r="AW472" s="561"/>
      <c r="AX472" s="561"/>
      <c r="AY472" s="561"/>
      <c r="AZ472" s="561"/>
      <c r="BA472" s="566"/>
      <c r="BB472" s="561"/>
      <c r="BC472" s="561"/>
      <c r="BD472" s="561"/>
      <c r="BE472" s="561"/>
      <c r="BF472" s="566"/>
      <c r="BG472" s="561"/>
      <c r="BH472" s="561"/>
      <c r="BI472" s="561"/>
      <c r="BJ472" s="561"/>
      <c r="BK472" s="566"/>
      <c r="BL472" s="561"/>
      <c r="BM472" s="561"/>
      <c r="BN472" s="561"/>
      <c r="BO472" s="561"/>
      <c r="BP472" s="566"/>
      <c r="BQ472" s="561"/>
      <c r="BR472" s="561"/>
      <c r="BS472" s="561"/>
      <c r="BT472" s="561"/>
      <c r="BU472" s="566"/>
      <c r="BV472" s="561"/>
      <c r="BW472" s="561"/>
      <c r="BX472" s="561"/>
      <c r="BY472" s="561"/>
      <c r="BZ472" s="563"/>
      <c r="CA472" s="561"/>
      <c r="CB472" s="561"/>
      <c r="CC472" s="561"/>
      <c r="CD472" s="561"/>
      <c r="CE472" s="563"/>
      <c r="CF472" s="561"/>
      <c r="CG472" s="561"/>
      <c r="CH472" s="561"/>
      <c r="CI472" s="561"/>
      <c r="CJ472" s="563"/>
      <c r="CK472" s="561"/>
      <c r="CL472" s="561"/>
      <c r="CM472" s="561"/>
      <c r="CN472" s="564"/>
      <c r="CO472" s="563"/>
      <c r="CP472" s="564">
        <f t="shared" ref="CP472:CS472" si="2599">CP24/CP$78</f>
        <v>0</v>
      </c>
      <c r="CQ472" s="564">
        <f t="shared" si="2599"/>
        <v>0</v>
      </c>
      <c r="CR472" s="564">
        <f t="shared" si="2599"/>
        <v>0</v>
      </c>
      <c r="CS472" s="564">
        <f t="shared" si="2599"/>
        <v>0</v>
      </c>
      <c r="CT472" s="574">
        <f t="shared" si="2600"/>
        <v>0</v>
      </c>
      <c r="CU472" s="564">
        <f t="shared" ref="CU472:CX472" si="2601">CU24/CU$78</f>
        <v>0</v>
      </c>
      <c r="CV472" s="564">
        <f t="shared" si="2601"/>
        <v>0</v>
      </c>
      <c r="CW472" s="564">
        <f t="shared" si="2601"/>
        <v>0</v>
      </c>
      <c r="CX472" s="564">
        <f t="shared" si="2601"/>
        <v>0</v>
      </c>
      <c r="CY472" s="574">
        <f t="shared" si="2602"/>
        <v>0</v>
      </c>
      <c r="CZ472" s="564">
        <f t="shared" ref="CZ472:DC472" si="2603">CZ24/CZ$78</f>
        <v>0.01312820513</v>
      </c>
      <c r="DA472" s="564">
        <f t="shared" si="2603"/>
        <v>0</v>
      </c>
      <c r="DB472" s="564">
        <f t="shared" si="2603"/>
        <v>0</v>
      </c>
      <c r="DC472" s="564">
        <f t="shared" si="2603"/>
        <v>0</v>
      </c>
      <c r="DD472" s="574">
        <f t="shared" si="2604"/>
        <v>0.01312820513</v>
      </c>
      <c r="DE472" s="564">
        <f t="shared" ref="DE472:DH472" si="2605">DE24/DE$78</f>
        <v>0</v>
      </c>
      <c r="DF472" s="564">
        <f t="shared" si="2605"/>
        <v>0</v>
      </c>
      <c r="DG472" s="564">
        <f t="shared" si="2605"/>
        <v>0</v>
      </c>
      <c r="DH472" s="564">
        <f t="shared" si="2605"/>
        <v>0</v>
      </c>
      <c r="DI472" s="563">
        <f t="shared" si="2606"/>
        <v>0</v>
      </c>
      <c r="DJ472" s="564">
        <f t="shared" ref="DJ472:DM472" si="2607">DJ24/DJ$78</f>
        <v>0</v>
      </c>
      <c r="DK472" s="564">
        <f t="shared" si="2607"/>
        <v>0</v>
      </c>
      <c r="DL472" s="564">
        <f t="shared" si="2607"/>
        <v>0</v>
      </c>
      <c r="DM472" s="564">
        <f t="shared" si="2607"/>
        <v>0</v>
      </c>
      <c r="DN472" s="574">
        <f t="shared" si="2608"/>
        <v>0</v>
      </c>
      <c r="DO472" s="564">
        <f t="shared" ref="DO472:DR472" si="2609">DO24/DO$78</f>
        <v>0</v>
      </c>
      <c r="DP472" s="564">
        <f t="shared" si="2609"/>
        <v>0</v>
      </c>
      <c r="DQ472" s="564">
        <f t="shared" si="2609"/>
        <v>0</v>
      </c>
      <c r="DR472" s="564">
        <f t="shared" si="2609"/>
        <v>0</v>
      </c>
      <c r="DS472" s="574">
        <f t="shared" si="2610"/>
        <v>0</v>
      </c>
      <c r="DT472" s="564">
        <f t="shared" ref="DT472:DW472" si="2611">DT24/DT$78</f>
        <v>0</v>
      </c>
      <c r="DU472" s="564">
        <f t="shared" si="2611"/>
        <v>0</v>
      </c>
      <c r="DV472" s="564">
        <f t="shared" si="2611"/>
        <v>0</v>
      </c>
      <c r="DW472" s="564">
        <f t="shared" si="2611"/>
        <v>0</v>
      </c>
      <c r="DX472" s="574">
        <f t="shared" si="2612"/>
        <v>0</v>
      </c>
      <c r="DY472" s="564">
        <f t="shared" ref="DY472:EB472" si="2613">DY24/DY$78</f>
        <v>0</v>
      </c>
      <c r="DZ472" s="564">
        <f t="shared" si="2613"/>
        <v>0</v>
      </c>
      <c r="EA472" s="564">
        <f t="shared" si="2613"/>
        <v>0</v>
      </c>
      <c r="EB472" s="564">
        <f t="shared" si="2613"/>
        <v>0</v>
      </c>
      <c r="EC472" s="574">
        <f t="shared" si="2614"/>
        <v>0</v>
      </c>
      <c r="ED472" s="564">
        <f t="shared" ref="ED472:EG472" si="2615">ED24/ED$78</f>
        <v>0</v>
      </c>
      <c r="EE472" s="564">
        <f t="shared" si="2615"/>
        <v>0</v>
      </c>
      <c r="EF472" s="564">
        <f t="shared" si="2615"/>
        <v>0</v>
      </c>
      <c r="EG472" s="564">
        <f t="shared" si="2615"/>
        <v>0</v>
      </c>
      <c r="EH472" s="574">
        <f t="shared" si="2616"/>
        <v>0</v>
      </c>
      <c r="EI472" s="565">
        <f t="shared" ref="EI472:EL472" si="2617">EI24/EI$78</f>
        <v>0</v>
      </c>
      <c r="EJ472" s="564">
        <f t="shared" si="2617"/>
        <v>0</v>
      </c>
      <c r="EK472" s="564">
        <f t="shared" si="2617"/>
        <v>0</v>
      </c>
      <c r="EL472" s="564">
        <f t="shared" si="2617"/>
        <v>0</v>
      </c>
      <c r="EM472" s="574">
        <f t="shared" si="2618"/>
        <v>0</v>
      </c>
      <c r="EN472" s="564">
        <f t="shared" ref="EN472:EQ472" si="2619">EN24/EN$78</f>
        <v>0</v>
      </c>
      <c r="EO472" s="564">
        <f t="shared" si="2619"/>
        <v>0</v>
      </c>
      <c r="EP472" s="564">
        <f t="shared" si="2619"/>
        <v>0</v>
      </c>
      <c r="EQ472" s="564">
        <f t="shared" si="2619"/>
        <v>0</v>
      </c>
      <c r="ER472" s="574">
        <f t="shared" si="2620"/>
        <v>0</v>
      </c>
      <c r="ES472" s="564">
        <f t="shared" ref="ES472:EV472" si="2621">ES24/ES$78</f>
        <v>0</v>
      </c>
      <c r="ET472" s="564">
        <f t="shared" si="2621"/>
        <v>0</v>
      </c>
      <c r="EU472" s="564">
        <f t="shared" si="2621"/>
        <v>0</v>
      </c>
      <c r="EV472" s="564">
        <f t="shared" si="2621"/>
        <v>0</v>
      </c>
      <c r="EW472" s="574">
        <f t="shared" si="2622"/>
        <v>0</v>
      </c>
      <c r="EX472" s="564">
        <f t="shared" ref="EX472:FA472" si="2623">EX24/EX$78</f>
        <v>0</v>
      </c>
      <c r="EY472" s="564">
        <f t="shared" si="2623"/>
        <v>0</v>
      </c>
      <c r="EZ472" s="564">
        <f t="shared" si="2623"/>
        <v>0</v>
      </c>
      <c r="FA472" s="564">
        <f t="shared" si="2623"/>
        <v>0</v>
      </c>
      <c r="FB472" s="574">
        <f t="shared" si="2624"/>
        <v>0</v>
      </c>
      <c r="FC472" s="564">
        <f t="shared" ref="FC472:FF472" si="2625">FC24/FC$78</f>
        <v>0</v>
      </c>
      <c r="FD472" s="564">
        <f t="shared" si="2625"/>
        <v>0</v>
      </c>
      <c r="FE472" s="564">
        <f t="shared" si="2625"/>
        <v>0</v>
      </c>
      <c r="FF472" s="564">
        <f t="shared" si="2625"/>
        <v>0</v>
      </c>
      <c r="FG472" s="574">
        <f t="shared" si="2626"/>
        <v>0</v>
      </c>
      <c r="FH472" s="564"/>
      <c r="FI472" s="561"/>
      <c r="FJ472" s="561"/>
      <c r="FK472" s="562"/>
      <c r="FL472" s="561"/>
    </row>
    <row r="473" ht="12.75" customHeight="1">
      <c r="A473" s="561"/>
      <c r="B473" s="562" t="s">
        <v>48</v>
      </c>
      <c r="C473" s="562"/>
      <c r="D473" s="561"/>
      <c r="E473" s="561"/>
      <c r="F473" s="561"/>
      <c r="G473" s="561"/>
      <c r="H473" s="566"/>
      <c r="I473" s="561"/>
      <c r="J473" s="561"/>
      <c r="K473" s="561"/>
      <c r="L473" s="561"/>
      <c r="M473" s="566"/>
      <c r="N473" s="561"/>
      <c r="O473" s="561"/>
      <c r="P473" s="561"/>
      <c r="Q473" s="561"/>
      <c r="R473" s="566"/>
      <c r="S473" s="561"/>
      <c r="T473" s="561"/>
      <c r="U473" s="561"/>
      <c r="V473" s="561"/>
      <c r="W473" s="566"/>
      <c r="X473" s="561"/>
      <c r="Y473" s="561"/>
      <c r="Z473" s="561"/>
      <c r="AA473" s="561"/>
      <c r="AB473" s="566"/>
      <c r="AC473" s="561"/>
      <c r="AD473" s="561"/>
      <c r="AE473" s="561"/>
      <c r="AF473" s="561"/>
      <c r="AG473" s="566"/>
      <c r="AH473" s="561"/>
      <c r="AI473" s="561"/>
      <c r="AJ473" s="561"/>
      <c r="AK473" s="561"/>
      <c r="AL473" s="566"/>
      <c r="AM473" s="561"/>
      <c r="AN473" s="561"/>
      <c r="AO473" s="561"/>
      <c r="AP473" s="561"/>
      <c r="AQ473" s="566"/>
      <c r="AR473" s="561"/>
      <c r="AS473" s="561"/>
      <c r="AT473" s="561"/>
      <c r="AU473" s="561"/>
      <c r="AV473" s="566"/>
      <c r="AW473" s="561"/>
      <c r="AX473" s="561"/>
      <c r="AY473" s="561"/>
      <c r="AZ473" s="561"/>
      <c r="BA473" s="566"/>
      <c r="BB473" s="561"/>
      <c r="BC473" s="561"/>
      <c r="BD473" s="561"/>
      <c r="BE473" s="561"/>
      <c r="BF473" s="566"/>
      <c r="BG473" s="561"/>
      <c r="BH473" s="561"/>
      <c r="BI473" s="561"/>
      <c r="BJ473" s="561"/>
      <c r="BK473" s="566"/>
      <c r="BL473" s="561"/>
      <c r="BM473" s="561"/>
      <c r="BN473" s="561"/>
      <c r="BO473" s="561"/>
      <c r="BP473" s="566"/>
      <c r="BQ473" s="561"/>
      <c r="BR473" s="561"/>
      <c r="BS473" s="561"/>
      <c r="BT473" s="561"/>
      <c r="BU473" s="566"/>
      <c r="BV473" s="561"/>
      <c r="BW473" s="561"/>
      <c r="BX473" s="561"/>
      <c r="BY473" s="561"/>
      <c r="BZ473" s="563"/>
      <c r="CA473" s="561"/>
      <c r="CB473" s="561"/>
      <c r="CC473" s="561"/>
      <c r="CD473" s="561"/>
      <c r="CE473" s="563"/>
      <c r="CF473" s="561"/>
      <c r="CG473" s="561"/>
      <c r="CH473" s="561"/>
      <c r="CI473" s="561"/>
      <c r="CJ473" s="563"/>
      <c r="CK473" s="561"/>
      <c r="CL473" s="561"/>
      <c r="CM473" s="561"/>
      <c r="CN473" s="564"/>
      <c r="CO473" s="563"/>
      <c r="CP473" s="564">
        <f t="shared" ref="CP473:CS473" si="2627">CP25/CP$78</f>
        <v>0</v>
      </c>
      <c r="CQ473" s="564">
        <f t="shared" si="2627"/>
        <v>0</v>
      </c>
      <c r="CR473" s="564">
        <f t="shared" si="2627"/>
        <v>0</v>
      </c>
      <c r="CS473" s="564">
        <f t="shared" si="2627"/>
        <v>0</v>
      </c>
      <c r="CT473" s="574">
        <f t="shared" si="2600"/>
        <v>0</v>
      </c>
      <c r="CU473" s="564">
        <f t="shared" ref="CU473:CX473" si="2628">CU25/CU$78</f>
        <v>0</v>
      </c>
      <c r="CV473" s="564">
        <f t="shared" si="2628"/>
        <v>0</v>
      </c>
      <c r="CW473" s="564">
        <f t="shared" si="2628"/>
        <v>0</v>
      </c>
      <c r="CX473" s="564">
        <f t="shared" si="2628"/>
        <v>0</v>
      </c>
      <c r="CY473" s="574">
        <f t="shared" si="2602"/>
        <v>0</v>
      </c>
      <c r="CZ473" s="564">
        <f t="shared" ref="CZ473:DC473" si="2629">CZ25/CZ$78</f>
        <v>0.04635897436</v>
      </c>
      <c r="DA473" s="564">
        <f t="shared" si="2629"/>
        <v>0.03308672421</v>
      </c>
      <c r="DB473" s="564">
        <f t="shared" si="2629"/>
        <v>0</v>
      </c>
      <c r="DC473" s="564">
        <f t="shared" si="2629"/>
        <v>0</v>
      </c>
      <c r="DD473" s="574">
        <f t="shared" si="2604"/>
        <v>0.07944569857</v>
      </c>
      <c r="DE473" s="564">
        <f t="shared" ref="DE473:DH473" si="2630">DE25/DE$78</f>
        <v>0</v>
      </c>
      <c r="DF473" s="564">
        <f t="shared" si="2630"/>
        <v>0</v>
      </c>
      <c r="DG473" s="564">
        <f t="shared" si="2630"/>
        <v>0.005600497822</v>
      </c>
      <c r="DH473" s="564">
        <f t="shared" si="2630"/>
        <v>0.005845511482</v>
      </c>
      <c r="DI473" s="563">
        <f t="shared" si="2606"/>
        <v>0.0114460093</v>
      </c>
      <c r="DJ473" s="564">
        <f t="shared" ref="DJ473:DM473" si="2631">DJ25/DJ$78</f>
        <v>0</v>
      </c>
      <c r="DK473" s="564">
        <f t="shared" si="2631"/>
        <v>0</v>
      </c>
      <c r="DL473" s="564">
        <f t="shared" si="2631"/>
        <v>0</v>
      </c>
      <c r="DM473" s="564">
        <f t="shared" si="2631"/>
        <v>0</v>
      </c>
      <c r="DN473" s="574">
        <f t="shared" si="2608"/>
        <v>0</v>
      </c>
      <c r="DO473" s="564">
        <f t="shared" ref="DO473:DR473" si="2632">DO25/DO$78</f>
        <v>0</v>
      </c>
      <c r="DP473" s="564">
        <f t="shared" si="2632"/>
        <v>0</v>
      </c>
      <c r="DQ473" s="564">
        <f t="shared" si="2632"/>
        <v>0</v>
      </c>
      <c r="DR473" s="564">
        <f t="shared" si="2632"/>
        <v>0</v>
      </c>
      <c r="DS473" s="574">
        <f t="shared" si="2610"/>
        <v>0</v>
      </c>
      <c r="DT473" s="564">
        <f t="shared" ref="DT473:DW473" si="2633">DT25/DT$78</f>
        <v>0</v>
      </c>
      <c r="DU473" s="564">
        <f t="shared" si="2633"/>
        <v>0</v>
      </c>
      <c r="DV473" s="564">
        <f t="shared" si="2633"/>
        <v>0</v>
      </c>
      <c r="DW473" s="564">
        <f t="shared" si="2633"/>
        <v>0</v>
      </c>
      <c r="DX473" s="574">
        <f t="shared" si="2612"/>
        <v>0</v>
      </c>
      <c r="DY473" s="564">
        <f t="shared" ref="DY473:EB473" si="2634">DY25/DY$78</f>
        <v>0</v>
      </c>
      <c r="DZ473" s="564">
        <f t="shared" si="2634"/>
        <v>0</v>
      </c>
      <c r="EA473" s="564">
        <f t="shared" si="2634"/>
        <v>0</v>
      </c>
      <c r="EB473" s="564">
        <f t="shared" si="2634"/>
        <v>0</v>
      </c>
      <c r="EC473" s="574">
        <f t="shared" si="2614"/>
        <v>0</v>
      </c>
      <c r="ED473" s="564">
        <f t="shared" ref="ED473:EG473" si="2635">ED25/ED$78</f>
        <v>0</v>
      </c>
      <c r="EE473" s="564">
        <f t="shared" si="2635"/>
        <v>0</v>
      </c>
      <c r="EF473" s="564">
        <f t="shared" si="2635"/>
        <v>0</v>
      </c>
      <c r="EG473" s="564">
        <f t="shared" si="2635"/>
        <v>0</v>
      </c>
      <c r="EH473" s="574">
        <f t="shared" si="2616"/>
        <v>0</v>
      </c>
      <c r="EI473" s="565">
        <f t="shared" ref="EI473:EL473" si="2636">EI25/EI$78</f>
        <v>0</v>
      </c>
      <c r="EJ473" s="564">
        <f t="shared" si="2636"/>
        <v>0</v>
      </c>
      <c r="EK473" s="564">
        <f t="shared" si="2636"/>
        <v>0</v>
      </c>
      <c r="EL473" s="564">
        <f t="shared" si="2636"/>
        <v>0</v>
      </c>
      <c r="EM473" s="574">
        <f t="shared" si="2618"/>
        <v>0</v>
      </c>
      <c r="EN473" s="564">
        <f t="shared" ref="EN473:EQ473" si="2637">EN25/EN$78</f>
        <v>0</v>
      </c>
      <c r="EO473" s="564">
        <f t="shared" si="2637"/>
        <v>0</v>
      </c>
      <c r="EP473" s="564">
        <f t="shared" si="2637"/>
        <v>0</v>
      </c>
      <c r="EQ473" s="564">
        <f t="shared" si="2637"/>
        <v>0</v>
      </c>
      <c r="ER473" s="574">
        <f t="shared" si="2620"/>
        <v>0</v>
      </c>
      <c r="ES473" s="564">
        <f t="shared" ref="ES473:EV473" si="2638">ES25/ES$78</f>
        <v>0</v>
      </c>
      <c r="ET473" s="564">
        <f t="shared" si="2638"/>
        <v>0</v>
      </c>
      <c r="EU473" s="564">
        <f t="shared" si="2638"/>
        <v>0</v>
      </c>
      <c r="EV473" s="564">
        <f t="shared" si="2638"/>
        <v>0</v>
      </c>
      <c r="EW473" s="574">
        <f t="shared" si="2622"/>
        <v>0</v>
      </c>
      <c r="EX473" s="564">
        <f t="shared" ref="EX473:FA473" si="2639">EX25/EX$78</f>
        <v>0</v>
      </c>
      <c r="EY473" s="564">
        <f t="shared" si="2639"/>
        <v>0</v>
      </c>
      <c r="EZ473" s="564">
        <f t="shared" si="2639"/>
        <v>0</v>
      </c>
      <c r="FA473" s="564">
        <f t="shared" si="2639"/>
        <v>0</v>
      </c>
      <c r="FB473" s="574">
        <f t="shared" si="2624"/>
        <v>0</v>
      </c>
      <c r="FC473" s="564">
        <f t="shared" ref="FC473:FF473" si="2640">FC25/FC$78</f>
        <v>0</v>
      </c>
      <c r="FD473" s="564">
        <f t="shared" si="2640"/>
        <v>0</v>
      </c>
      <c r="FE473" s="564">
        <f t="shared" si="2640"/>
        <v>0</v>
      </c>
      <c r="FF473" s="564">
        <f t="shared" si="2640"/>
        <v>0</v>
      </c>
      <c r="FG473" s="574">
        <f t="shared" si="2626"/>
        <v>0</v>
      </c>
      <c r="FH473" s="564"/>
      <c r="FI473" s="561"/>
      <c r="FJ473" s="561"/>
      <c r="FK473" s="562"/>
      <c r="FL473" s="561"/>
    </row>
    <row r="474" ht="12.75" customHeight="1">
      <c r="A474" s="561"/>
      <c r="B474" s="562" t="s">
        <v>269</v>
      </c>
      <c r="C474" s="562"/>
      <c r="D474" s="561"/>
      <c r="E474" s="561"/>
      <c r="F474" s="561"/>
      <c r="G474" s="561"/>
      <c r="H474" s="566"/>
      <c r="I474" s="561"/>
      <c r="J474" s="561"/>
      <c r="K474" s="561"/>
      <c r="L474" s="561"/>
      <c r="M474" s="566"/>
      <c r="N474" s="561"/>
      <c r="O474" s="561"/>
      <c r="P474" s="561"/>
      <c r="Q474" s="561"/>
      <c r="R474" s="566"/>
      <c r="S474" s="561"/>
      <c r="T474" s="561"/>
      <c r="U474" s="561"/>
      <c r="V474" s="561"/>
      <c r="W474" s="566"/>
      <c r="X474" s="561"/>
      <c r="Y474" s="561"/>
      <c r="Z474" s="561"/>
      <c r="AA474" s="561"/>
      <c r="AB474" s="566"/>
      <c r="AC474" s="561"/>
      <c r="AD474" s="561"/>
      <c r="AE474" s="561"/>
      <c r="AF474" s="561"/>
      <c r="AG474" s="566"/>
      <c r="AH474" s="561"/>
      <c r="AI474" s="561"/>
      <c r="AJ474" s="561"/>
      <c r="AK474" s="561"/>
      <c r="AL474" s="566"/>
      <c r="AM474" s="561"/>
      <c r="AN474" s="561"/>
      <c r="AO474" s="561"/>
      <c r="AP474" s="561"/>
      <c r="AQ474" s="566"/>
      <c r="AR474" s="561"/>
      <c r="AS474" s="561"/>
      <c r="AT474" s="561"/>
      <c r="AU474" s="561"/>
      <c r="AV474" s="566"/>
      <c r="AW474" s="561"/>
      <c r="AX474" s="561"/>
      <c r="AY474" s="561"/>
      <c r="AZ474" s="561"/>
      <c r="BA474" s="566"/>
      <c r="BB474" s="561"/>
      <c r="BC474" s="561"/>
      <c r="BD474" s="561"/>
      <c r="BE474" s="561"/>
      <c r="BF474" s="566"/>
      <c r="BG474" s="561"/>
      <c r="BH474" s="561"/>
      <c r="BI474" s="561"/>
      <c r="BJ474" s="561"/>
      <c r="BK474" s="566"/>
      <c r="BL474" s="561"/>
      <c r="BM474" s="561"/>
      <c r="BN474" s="561"/>
      <c r="BO474" s="561"/>
      <c r="BP474" s="566"/>
      <c r="BQ474" s="561"/>
      <c r="BR474" s="561"/>
      <c r="BS474" s="561"/>
      <c r="BT474" s="561"/>
      <c r="BU474" s="566"/>
      <c r="BV474" s="561"/>
      <c r="BW474" s="561"/>
      <c r="BX474" s="561"/>
      <c r="BY474" s="561"/>
      <c r="BZ474" s="563"/>
      <c r="CA474" s="561"/>
      <c r="CB474" s="561"/>
      <c r="CC474" s="561"/>
      <c r="CD474" s="561"/>
      <c r="CE474" s="563"/>
      <c r="CF474" s="561"/>
      <c r="CG474" s="561"/>
      <c r="CH474" s="561"/>
      <c r="CI474" s="561"/>
      <c r="CJ474" s="563"/>
      <c r="CK474" s="561"/>
      <c r="CL474" s="561"/>
      <c r="CM474" s="561"/>
      <c r="CN474" s="564"/>
      <c r="CO474" s="563"/>
      <c r="CP474" s="564">
        <f t="shared" ref="CP474:CS474" si="2641">(CP26+CP33)/CP$78</f>
        <v>0.01172562048</v>
      </c>
      <c r="CQ474" s="564">
        <f t="shared" si="2641"/>
        <v>0.02986531329</v>
      </c>
      <c r="CR474" s="564">
        <f t="shared" si="2641"/>
        <v>0.01922695738</v>
      </c>
      <c r="CS474" s="564">
        <f t="shared" si="2641"/>
        <v>0.02611336032</v>
      </c>
      <c r="CT474" s="574">
        <f t="shared" si="2600"/>
        <v>0.08693125148</v>
      </c>
      <c r="CU474" s="564">
        <f t="shared" ref="CU474:CX474" si="2642">(CU26+CU33)/CU$78</f>
        <v>0.03703703704</v>
      </c>
      <c r="CV474" s="564">
        <f t="shared" si="2642"/>
        <v>0.07964962314</v>
      </c>
      <c r="CW474" s="564">
        <f t="shared" si="2642"/>
        <v>0.01681706317</v>
      </c>
      <c r="CX474" s="564">
        <f t="shared" si="2642"/>
        <v>0.02584085316</v>
      </c>
      <c r="CY474" s="574">
        <f t="shared" si="2602"/>
        <v>0.1593445765</v>
      </c>
      <c r="CZ474" s="564">
        <f t="shared" ref="CZ474:DC474" si="2643">(CZ26+CZ33)/CZ$78</f>
        <v>0.06666666667</v>
      </c>
      <c r="DA474" s="564">
        <f t="shared" si="2643"/>
        <v>0.3571722154</v>
      </c>
      <c r="DB474" s="564">
        <f t="shared" si="2643"/>
        <v>0.0633586221</v>
      </c>
      <c r="DC474" s="564">
        <f t="shared" si="2643"/>
        <v>0.05593116165</v>
      </c>
      <c r="DD474" s="574">
        <f t="shared" si="2604"/>
        <v>0.5431286658</v>
      </c>
      <c r="DE474" s="564">
        <f t="shared" ref="DE474:DH474" si="2644">(DE26+DE33)/DE$78</f>
        <v>0.05060438435</v>
      </c>
      <c r="DF474" s="564">
        <f t="shared" si="2644"/>
        <v>0.04850361197</v>
      </c>
      <c r="DG474" s="564">
        <f t="shared" si="2644"/>
        <v>0.06056834682</v>
      </c>
      <c r="DH474" s="564">
        <f t="shared" si="2644"/>
        <v>0.06576200418</v>
      </c>
      <c r="DI474" s="563">
        <f t="shared" si="2606"/>
        <v>0.2254383473</v>
      </c>
      <c r="DJ474" s="564">
        <f t="shared" ref="DJ474:DM474" si="2645">(DJ26+DJ33)/DJ$78</f>
        <v>0.06784968685</v>
      </c>
      <c r="DK474" s="564">
        <f t="shared" si="2645"/>
        <v>0.06846429324</v>
      </c>
      <c r="DL474" s="564">
        <f t="shared" si="2645"/>
        <v>0.07013769363</v>
      </c>
      <c r="DM474" s="564">
        <f t="shared" si="2645"/>
        <v>0.07122753843</v>
      </c>
      <c r="DN474" s="574">
        <f t="shared" si="2608"/>
        <v>0.2776792121</v>
      </c>
      <c r="DO474" s="564">
        <f t="shared" ref="DO474:DR474" si="2646">(DO26+DO33)/DO$78</f>
        <v>0.07252410167</v>
      </c>
      <c r="DP474" s="564">
        <f t="shared" si="2646"/>
        <v>0.07450806987</v>
      </c>
      <c r="DQ474" s="564">
        <f t="shared" si="2646"/>
        <v>0.07624633431</v>
      </c>
      <c r="DR474" s="564">
        <f t="shared" si="2646"/>
        <v>0.07271895724</v>
      </c>
      <c r="DS474" s="574">
        <f t="shared" si="2610"/>
        <v>0.2959974631</v>
      </c>
      <c r="DT474" s="564">
        <f t="shared" ref="DT474:DW474" si="2647">(DT26+DT33)/DT$78</f>
        <v>0.06702226345</v>
      </c>
      <c r="DU474" s="564">
        <f t="shared" si="2647"/>
        <v>0.07049486461</v>
      </c>
      <c r="DV474" s="564">
        <f t="shared" si="2647"/>
        <v>0.07361671812</v>
      </c>
      <c r="DW474" s="564">
        <f t="shared" si="2647"/>
        <v>0.07526098568</v>
      </c>
      <c r="DX474" s="574">
        <f t="shared" si="2612"/>
        <v>0.2863948319</v>
      </c>
      <c r="DY474" s="564">
        <f t="shared" ref="DY474:EB474" si="2648">(DY26+DY33)/DY$78</f>
        <v>0.1208496094</v>
      </c>
      <c r="DZ474" s="564">
        <f t="shared" si="2648"/>
        <v>0.02840352595</v>
      </c>
      <c r="EA474" s="564">
        <f t="shared" si="2648"/>
        <v>-0.07195301028</v>
      </c>
      <c r="EB474" s="564">
        <f t="shared" si="2648"/>
        <v>-0.04468864469</v>
      </c>
      <c r="EC474" s="574">
        <f t="shared" si="2614"/>
        <v>0.03261148036</v>
      </c>
      <c r="ED474" s="564">
        <f t="shared" ref="ED474:EG474" si="2649">(ED26+ED33)/ED$78</f>
        <v>0.1219868517</v>
      </c>
      <c r="EE474" s="564">
        <f t="shared" si="2649"/>
        <v>0.312195122</v>
      </c>
      <c r="EF474" s="564">
        <f t="shared" si="2649"/>
        <v>0.1216969697</v>
      </c>
      <c r="EG474" s="564">
        <f t="shared" si="2649"/>
        <v>0.1560609727</v>
      </c>
      <c r="EH474" s="574">
        <f t="shared" si="2616"/>
        <v>0.711939916</v>
      </c>
      <c r="EI474" s="565" t="str">
        <f t="shared" ref="EI474:EL474" si="2650">(EI26+EI33)/EI$78</f>
        <v>#ERROR!</v>
      </c>
      <c r="EJ474" s="564" t="str">
        <f t="shared" si="2650"/>
        <v>#ERROR!</v>
      </c>
      <c r="EK474" s="564" t="str">
        <f t="shared" si="2650"/>
        <v>#ERROR!</v>
      </c>
      <c r="EL474" s="564" t="str">
        <f t="shared" si="2650"/>
        <v>#ERROR!</v>
      </c>
      <c r="EM474" s="574" t="str">
        <f t="shared" si="2618"/>
        <v>#ERROR!</v>
      </c>
      <c r="EN474" s="564" t="str">
        <f t="shared" ref="EN474:EQ474" si="2651">(EN26+EN33)/EN$78</f>
        <v>#ERROR!</v>
      </c>
      <c r="EO474" s="564" t="str">
        <f t="shared" si="2651"/>
        <v>#ERROR!</v>
      </c>
      <c r="EP474" s="564" t="str">
        <f t="shared" si="2651"/>
        <v>#ERROR!</v>
      </c>
      <c r="EQ474" s="564" t="str">
        <f t="shared" si="2651"/>
        <v>#ERROR!</v>
      </c>
      <c r="ER474" s="574" t="str">
        <f t="shared" si="2620"/>
        <v>#ERROR!</v>
      </c>
      <c r="ES474" s="564" t="str">
        <f t="shared" ref="ES474:EV474" si="2652">(ES26+ES33)/ES$78</f>
        <v>#ERROR!</v>
      </c>
      <c r="ET474" s="564" t="str">
        <f t="shared" si="2652"/>
        <v>#ERROR!</v>
      </c>
      <c r="EU474" s="564" t="str">
        <f t="shared" si="2652"/>
        <v>#ERROR!</v>
      </c>
      <c r="EV474" s="564" t="str">
        <f t="shared" si="2652"/>
        <v>#ERROR!</v>
      </c>
      <c r="EW474" s="574" t="str">
        <f t="shared" si="2622"/>
        <v>#ERROR!</v>
      </c>
      <c r="EX474" s="564" t="str">
        <f t="shared" ref="EX474:FA474" si="2653">(EX26+EX33)/EX$78</f>
        <v>#ERROR!</v>
      </c>
      <c r="EY474" s="564" t="str">
        <f t="shared" si="2653"/>
        <v>#ERROR!</v>
      </c>
      <c r="EZ474" s="564" t="str">
        <f t="shared" si="2653"/>
        <v>#ERROR!</v>
      </c>
      <c r="FA474" s="564" t="str">
        <f t="shared" si="2653"/>
        <v>#ERROR!</v>
      </c>
      <c r="FB474" s="574" t="str">
        <f t="shared" si="2624"/>
        <v>#ERROR!</v>
      </c>
      <c r="FC474" s="564" t="str">
        <f t="shared" ref="FC474:FF474" si="2654">(FC26+FC33)/FC$78</f>
        <v>#ERROR!</v>
      </c>
      <c r="FD474" s="564" t="str">
        <f t="shared" si="2654"/>
        <v>#ERROR!</v>
      </c>
      <c r="FE474" s="564" t="str">
        <f t="shared" si="2654"/>
        <v>#ERROR!</v>
      </c>
      <c r="FF474" s="564" t="str">
        <f t="shared" si="2654"/>
        <v>#ERROR!</v>
      </c>
      <c r="FG474" s="574" t="str">
        <f t="shared" si="2626"/>
        <v>#ERROR!</v>
      </c>
      <c r="FH474" s="564"/>
      <c r="FI474" s="561"/>
      <c r="FJ474" s="561"/>
      <c r="FK474" s="562"/>
      <c r="FL474" s="561"/>
    </row>
    <row r="475" ht="12.75" customHeight="1">
      <c r="A475" s="561"/>
      <c r="B475" s="562" t="s">
        <v>270</v>
      </c>
      <c r="C475" s="562"/>
      <c r="D475" s="561"/>
      <c r="E475" s="561"/>
      <c r="F475" s="561"/>
      <c r="G475" s="561"/>
      <c r="H475" s="566"/>
      <c r="I475" s="561"/>
      <c r="J475" s="561"/>
      <c r="K475" s="561"/>
      <c r="L475" s="561"/>
      <c r="M475" s="566"/>
      <c r="N475" s="561"/>
      <c r="O475" s="561"/>
      <c r="P475" s="561"/>
      <c r="Q475" s="561"/>
      <c r="R475" s="566"/>
      <c r="S475" s="561"/>
      <c r="T475" s="561"/>
      <c r="U475" s="561"/>
      <c r="V475" s="561"/>
      <c r="W475" s="566"/>
      <c r="X475" s="561"/>
      <c r="Y475" s="561"/>
      <c r="Z475" s="561"/>
      <c r="AA475" s="561"/>
      <c r="AB475" s="566"/>
      <c r="AC475" s="561"/>
      <c r="AD475" s="561"/>
      <c r="AE475" s="561"/>
      <c r="AF475" s="561"/>
      <c r="AG475" s="566"/>
      <c r="AH475" s="561"/>
      <c r="AI475" s="561"/>
      <c r="AJ475" s="561"/>
      <c r="AK475" s="561"/>
      <c r="AL475" s="566"/>
      <c r="AM475" s="561"/>
      <c r="AN475" s="561"/>
      <c r="AO475" s="561"/>
      <c r="AP475" s="561"/>
      <c r="AQ475" s="566"/>
      <c r="AR475" s="561"/>
      <c r="AS475" s="561"/>
      <c r="AT475" s="561"/>
      <c r="AU475" s="561"/>
      <c r="AV475" s="566"/>
      <c r="AW475" s="561"/>
      <c r="AX475" s="561"/>
      <c r="AY475" s="561"/>
      <c r="AZ475" s="561"/>
      <c r="BA475" s="566"/>
      <c r="BB475" s="561"/>
      <c r="BC475" s="561"/>
      <c r="BD475" s="561"/>
      <c r="BE475" s="561"/>
      <c r="BF475" s="566"/>
      <c r="BG475" s="561"/>
      <c r="BH475" s="561"/>
      <c r="BI475" s="561"/>
      <c r="BJ475" s="561"/>
      <c r="BK475" s="566"/>
      <c r="BL475" s="561"/>
      <c r="BM475" s="561"/>
      <c r="BN475" s="561"/>
      <c r="BO475" s="561"/>
      <c r="BP475" s="566"/>
      <c r="BQ475" s="561"/>
      <c r="BR475" s="561"/>
      <c r="BS475" s="561"/>
      <c r="BT475" s="561"/>
      <c r="BU475" s="566"/>
      <c r="BV475" s="561"/>
      <c r="BW475" s="561"/>
      <c r="BX475" s="561"/>
      <c r="BY475" s="561"/>
      <c r="BZ475" s="563"/>
      <c r="CA475" s="561"/>
      <c r="CB475" s="561"/>
      <c r="CC475" s="561"/>
      <c r="CD475" s="561"/>
      <c r="CE475" s="563"/>
      <c r="CF475" s="561"/>
      <c r="CG475" s="561"/>
      <c r="CH475" s="561"/>
      <c r="CI475" s="561"/>
      <c r="CJ475" s="563"/>
      <c r="CK475" s="561"/>
      <c r="CL475" s="561"/>
      <c r="CM475" s="561"/>
      <c r="CN475" s="564"/>
      <c r="CO475" s="563"/>
      <c r="CP475" s="564">
        <f t="shared" ref="CP475:CS475" si="2655">CP34/CP$78</f>
        <v>0.0267735001</v>
      </c>
      <c r="CQ475" s="564">
        <f t="shared" si="2655"/>
        <v>0</v>
      </c>
      <c r="CR475" s="564">
        <f t="shared" si="2655"/>
        <v>0</v>
      </c>
      <c r="CS475" s="564">
        <f t="shared" si="2655"/>
        <v>0</v>
      </c>
      <c r="CT475" s="574">
        <f t="shared" si="2600"/>
        <v>0.0267735001</v>
      </c>
      <c r="CU475" s="564">
        <f t="shared" ref="CU475:CX475" si="2656">CU34/CU$78</f>
        <v>0.02136752137</v>
      </c>
      <c r="CV475" s="564">
        <f t="shared" si="2656"/>
        <v>0</v>
      </c>
      <c r="CW475" s="564">
        <f t="shared" si="2656"/>
        <v>0</v>
      </c>
      <c r="CX475" s="564">
        <f t="shared" si="2656"/>
        <v>0</v>
      </c>
      <c r="CY475" s="574">
        <f t="shared" si="2602"/>
        <v>0.02136752137</v>
      </c>
      <c r="CZ475" s="564">
        <f t="shared" ref="CZ475:DC475" si="2657">CZ34/CZ$78</f>
        <v>0</v>
      </c>
      <c r="DA475" s="564">
        <f t="shared" si="2657"/>
        <v>0</v>
      </c>
      <c r="DB475" s="564">
        <f t="shared" si="2657"/>
        <v>0.07627639943</v>
      </c>
      <c r="DC475" s="564">
        <f t="shared" si="2657"/>
        <v>0.020487605</v>
      </c>
      <c r="DD475" s="574">
        <f t="shared" si="2604"/>
        <v>0.09676400442</v>
      </c>
      <c r="DE475" s="564">
        <f t="shared" ref="DE475:DH475" si="2658">DE34/DE$78</f>
        <v>0.016390084</v>
      </c>
      <c r="DF475" s="564">
        <f t="shared" si="2658"/>
        <v>0.02167182663</v>
      </c>
      <c r="DG475" s="564">
        <f t="shared" si="2658"/>
        <v>0.000829703381</v>
      </c>
      <c r="DH475" s="564">
        <f t="shared" si="2658"/>
        <v>0.04070981211</v>
      </c>
      <c r="DI475" s="563">
        <f t="shared" si="2606"/>
        <v>0.07960142611</v>
      </c>
      <c r="DJ475" s="564">
        <f t="shared" ref="DJ475:DM475" si="2659">DJ34/DJ$78</f>
        <v>0</v>
      </c>
      <c r="DK475" s="564">
        <f t="shared" si="2659"/>
        <v>0</v>
      </c>
      <c r="DL475" s="564">
        <f t="shared" si="2659"/>
        <v>-0.01549053356</v>
      </c>
      <c r="DM475" s="564">
        <f t="shared" si="2659"/>
        <v>0</v>
      </c>
      <c r="DN475" s="574">
        <f t="shared" si="2608"/>
        <v>-0.01549053356</v>
      </c>
      <c r="DO475" s="564">
        <f>IFERROR(DO34/DO$78,"N/A")</f>
        <v>0</v>
      </c>
      <c r="DP475" s="564">
        <f t="shared" ref="DP475:DR475" si="2660">DP34/DP$78</f>
        <v>0.04068096396</v>
      </c>
      <c r="DQ475" s="564">
        <f t="shared" si="2660"/>
        <v>0.02346041056</v>
      </c>
      <c r="DR475" s="564">
        <f t="shared" si="2660"/>
        <v>0.02401097645</v>
      </c>
      <c r="DS475" s="574">
        <f t="shared" si="2610"/>
        <v>0.08815235097</v>
      </c>
      <c r="DT475" s="564">
        <f t="shared" ref="DT475:DW475" si="2661">DT34/DT$78</f>
        <v>0.03756957328</v>
      </c>
      <c r="DU475" s="564">
        <f t="shared" si="2661"/>
        <v>0.002100840336</v>
      </c>
      <c r="DV475" s="564">
        <f t="shared" si="2661"/>
        <v>-0.005936832106</v>
      </c>
      <c r="DW475" s="564">
        <f t="shared" si="2661"/>
        <v>0.0126244234</v>
      </c>
      <c r="DX475" s="574">
        <f t="shared" si="2612"/>
        <v>0.04635800492</v>
      </c>
      <c r="DY475" s="564">
        <f t="shared" ref="DY475:EB475" si="2662">DY34/DY$78</f>
        <v>0.4172363281</v>
      </c>
      <c r="DZ475" s="564">
        <f t="shared" si="2662"/>
        <v>0</v>
      </c>
      <c r="EA475" s="564">
        <f t="shared" si="2662"/>
        <v>0.01027900147</v>
      </c>
      <c r="EB475" s="564">
        <f t="shared" si="2662"/>
        <v>0.007081807082</v>
      </c>
      <c r="EC475" s="574">
        <f t="shared" si="2614"/>
        <v>0.4345971367</v>
      </c>
      <c r="ED475" s="564">
        <f t="shared" ref="ED475:EG475" si="2663">ED34/ED$78</f>
        <v>-0.29486243</v>
      </c>
      <c r="EE475" s="564">
        <f t="shared" si="2663"/>
        <v>0.0212195122</v>
      </c>
      <c r="EF475" s="564">
        <f t="shared" si="2663"/>
        <v>0.160969697</v>
      </c>
      <c r="EG475" s="564">
        <f t="shared" si="2663"/>
        <v>0.1117832083</v>
      </c>
      <c r="EH475" s="574">
        <f t="shared" si="2616"/>
        <v>-0.0008900125095</v>
      </c>
      <c r="EI475" s="565">
        <f t="shared" ref="EI475:EL475" si="2664">EI34/EI$78</f>
        <v>0</v>
      </c>
      <c r="EJ475" s="564">
        <f t="shared" si="2664"/>
        <v>0</v>
      </c>
      <c r="EK475" s="564">
        <f t="shared" si="2664"/>
        <v>0</v>
      </c>
      <c r="EL475" s="564">
        <f t="shared" si="2664"/>
        <v>0</v>
      </c>
      <c r="EM475" s="574">
        <f t="shared" si="2618"/>
        <v>0</v>
      </c>
      <c r="EN475" s="564">
        <f t="shared" ref="EN475:EQ475" si="2665">EN34/EN$78</f>
        <v>0</v>
      </c>
      <c r="EO475" s="564">
        <f t="shared" si="2665"/>
        <v>0</v>
      </c>
      <c r="EP475" s="564">
        <f t="shared" si="2665"/>
        <v>0</v>
      </c>
      <c r="EQ475" s="564">
        <f t="shared" si="2665"/>
        <v>0</v>
      </c>
      <c r="ER475" s="574">
        <f t="shared" si="2620"/>
        <v>0</v>
      </c>
      <c r="ES475" s="564">
        <f t="shared" ref="ES475:EV475" si="2666">ES34/ES$78</f>
        <v>0</v>
      </c>
      <c r="ET475" s="564">
        <f t="shared" si="2666"/>
        <v>0</v>
      </c>
      <c r="EU475" s="564">
        <f t="shared" si="2666"/>
        <v>0</v>
      </c>
      <c r="EV475" s="564">
        <f t="shared" si="2666"/>
        <v>0</v>
      </c>
      <c r="EW475" s="574">
        <f t="shared" si="2622"/>
        <v>0</v>
      </c>
      <c r="EX475" s="564">
        <f t="shared" ref="EX475:FA475" si="2667">EX34/EX$78</f>
        <v>0</v>
      </c>
      <c r="EY475" s="564">
        <f t="shared" si="2667"/>
        <v>0</v>
      </c>
      <c r="EZ475" s="564">
        <f t="shared" si="2667"/>
        <v>0</v>
      </c>
      <c r="FA475" s="564">
        <f t="shared" si="2667"/>
        <v>0</v>
      </c>
      <c r="FB475" s="574">
        <f t="shared" si="2624"/>
        <v>0</v>
      </c>
      <c r="FC475" s="564">
        <f t="shared" ref="FC475:FF475" si="2668">FC34/FC$78</f>
        <v>0</v>
      </c>
      <c r="FD475" s="564">
        <f t="shared" si="2668"/>
        <v>0</v>
      </c>
      <c r="FE475" s="564">
        <f t="shared" si="2668"/>
        <v>0</v>
      </c>
      <c r="FF475" s="564">
        <f t="shared" si="2668"/>
        <v>0</v>
      </c>
      <c r="FG475" s="574">
        <f t="shared" si="2626"/>
        <v>0</v>
      </c>
      <c r="FH475" s="564"/>
      <c r="FI475" s="561"/>
      <c r="FJ475" s="561"/>
      <c r="FK475" s="562"/>
      <c r="FL475" s="561"/>
    </row>
    <row r="476" ht="12.75" customHeight="1">
      <c r="A476" s="561"/>
      <c r="B476" s="562" t="s">
        <v>271</v>
      </c>
      <c r="C476" s="562"/>
      <c r="D476" s="561"/>
      <c r="E476" s="561"/>
      <c r="F476" s="561"/>
      <c r="G476" s="561"/>
      <c r="H476" s="566"/>
      <c r="I476" s="561"/>
      <c r="J476" s="561"/>
      <c r="K476" s="561"/>
      <c r="L476" s="561"/>
      <c r="M476" s="566"/>
      <c r="N476" s="561"/>
      <c r="O476" s="561"/>
      <c r="P476" s="561"/>
      <c r="Q476" s="561"/>
      <c r="R476" s="566"/>
      <c r="S476" s="561"/>
      <c r="T476" s="561"/>
      <c r="U476" s="561"/>
      <c r="V476" s="561"/>
      <c r="W476" s="566"/>
      <c r="X476" s="561"/>
      <c r="Y476" s="561"/>
      <c r="Z476" s="561"/>
      <c r="AA476" s="561"/>
      <c r="AB476" s="566"/>
      <c r="AC476" s="561"/>
      <c r="AD476" s="561"/>
      <c r="AE476" s="561"/>
      <c r="AF476" s="561"/>
      <c r="AG476" s="566"/>
      <c r="AH476" s="561"/>
      <c r="AI476" s="561"/>
      <c r="AJ476" s="561"/>
      <c r="AK476" s="561"/>
      <c r="AL476" s="566"/>
      <c r="AM476" s="561"/>
      <c r="AN476" s="561"/>
      <c r="AO476" s="561"/>
      <c r="AP476" s="561"/>
      <c r="AQ476" s="566"/>
      <c r="AR476" s="561"/>
      <c r="AS476" s="561"/>
      <c r="AT476" s="561"/>
      <c r="AU476" s="561"/>
      <c r="AV476" s="566"/>
      <c r="AW476" s="561"/>
      <c r="AX476" s="561"/>
      <c r="AY476" s="561"/>
      <c r="AZ476" s="561"/>
      <c r="BA476" s="566"/>
      <c r="BB476" s="561"/>
      <c r="BC476" s="561"/>
      <c r="BD476" s="561"/>
      <c r="BE476" s="561"/>
      <c r="BF476" s="566"/>
      <c r="BG476" s="561"/>
      <c r="BH476" s="561"/>
      <c r="BI476" s="561"/>
      <c r="BJ476" s="561"/>
      <c r="BK476" s="566"/>
      <c r="BL476" s="561"/>
      <c r="BM476" s="561"/>
      <c r="BN476" s="561"/>
      <c r="BO476" s="561"/>
      <c r="BP476" s="566"/>
      <c r="BQ476" s="561"/>
      <c r="BR476" s="561"/>
      <c r="BS476" s="561"/>
      <c r="BT476" s="561"/>
      <c r="BU476" s="566"/>
      <c r="BV476" s="561"/>
      <c r="BW476" s="561"/>
      <c r="BX476" s="561"/>
      <c r="BY476" s="561"/>
      <c r="BZ476" s="563"/>
      <c r="CA476" s="561"/>
      <c r="CB476" s="561"/>
      <c r="CC476" s="561"/>
      <c r="CD476" s="561"/>
      <c r="CE476" s="563"/>
      <c r="CF476" s="561"/>
      <c r="CG476" s="561"/>
      <c r="CH476" s="561"/>
      <c r="CI476" s="561"/>
      <c r="CJ476" s="563"/>
      <c r="CK476" s="561"/>
      <c r="CL476" s="561"/>
      <c r="CM476" s="561"/>
      <c r="CN476" s="564"/>
      <c r="CO476" s="563"/>
      <c r="CP476" s="564">
        <f t="shared" ref="CP476:DS476" si="2669">-CP35/CP$78</f>
        <v>0</v>
      </c>
      <c r="CQ476" s="564">
        <f t="shared" si="2669"/>
        <v>0</v>
      </c>
      <c r="CR476" s="564">
        <f t="shared" si="2669"/>
        <v>0</v>
      </c>
      <c r="CS476" s="564">
        <f t="shared" si="2669"/>
        <v>0</v>
      </c>
      <c r="CT476" s="574">
        <f t="shared" si="2669"/>
        <v>0</v>
      </c>
      <c r="CU476" s="564">
        <f t="shared" si="2669"/>
        <v>0</v>
      </c>
      <c r="CV476" s="564">
        <f t="shared" si="2669"/>
        <v>0</v>
      </c>
      <c r="CW476" s="564">
        <f t="shared" si="2669"/>
        <v>0</v>
      </c>
      <c r="CX476" s="564">
        <f t="shared" si="2669"/>
        <v>0</v>
      </c>
      <c r="CY476" s="574">
        <f t="shared" si="2669"/>
        <v>0</v>
      </c>
      <c r="CZ476" s="567">
        <f t="shared" si="2669"/>
        <v>0.02051282051</v>
      </c>
      <c r="DA476" s="564">
        <f t="shared" si="2669"/>
        <v>0</v>
      </c>
      <c r="DB476" s="564">
        <f t="shared" si="2669"/>
        <v>0</v>
      </c>
      <c r="DC476" s="564">
        <f t="shared" si="2669"/>
        <v>0</v>
      </c>
      <c r="DD476" s="574">
        <f t="shared" si="2669"/>
        <v>0.02051387251</v>
      </c>
      <c r="DE476" s="564">
        <f t="shared" si="2669"/>
        <v>0</v>
      </c>
      <c r="DF476" s="564">
        <f t="shared" si="2669"/>
        <v>0</v>
      </c>
      <c r="DG476" s="564">
        <f t="shared" si="2669"/>
        <v>0.02343912051</v>
      </c>
      <c r="DH476" s="564">
        <f t="shared" si="2669"/>
        <v>0</v>
      </c>
      <c r="DI476" s="563">
        <f t="shared" si="2669"/>
        <v>0.02337487718</v>
      </c>
      <c r="DJ476" s="564">
        <f t="shared" si="2669"/>
        <v>0</v>
      </c>
      <c r="DK476" s="564">
        <f t="shared" si="2669"/>
        <v>-0.05456077523</v>
      </c>
      <c r="DL476" s="564">
        <f t="shared" si="2669"/>
        <v>0</v>
      </c>
      <c r="DM476" s="564">
        <f t="shared" si="2669"/>
        <v>0</v>
      </c>
      <c r="DN476" s="574">
        <f t="shared" si="2669"/>
        <v>-0.05509466071</v>
      </c>
      <c r="DO476" s="564">
        <f t="shared" si="2669"/>
        <v>0</v>
      </c>
      <c r="DP476" s="564">
        <f t="shared" si="2669"/>
        <v>0</v>
      </c>
      <c r="DQ476" s="564">
        <f t="shared" si="2669"/>
        <v>0</v>
      </c>
      <c r="DR476" s="564">
        <f t="shared" si="2669"/>
        <v>0</v>
      </c>
      <c r="DS476" s="574">
        <f t="shared" si="2669"/>
        <v>0</v>
      </c>
      <c r="DT476" s="564">
        <f>-(DT35-50)/DT$78</f>
        <v>0.01159554731</v>
      </c>
      <c r="DU476" s="564">
        <f>-(DU35+165)/DU$78</f>
        <v>-0.02684407096</v>
      </c>
      <c r="DV476" s="564">
        <f t="shared" ref="DV476:FG476" si="2670">-DV35/DV$78</f>
        <v>0.01234861078</v>
      </c>
      <c r="DW476" s="564">
        <f t="shared" si="2670"/>
        <v>0.01286720078</v>
      </c>
      <c r="DX476" s="574">
        <f t="shared" si="2670"/>
        <v>0.03663003663</v>
      </c>
      <c r="DY476" s="564">
        <f t="shared" si="2670"/>
        <v>0.04833984375</v>
      </c>
      <c r="DZ476" s="564">
        <f t="shared" si="2670"/>
        <v>0.04750244858</v>
      </c>
      <c r="EA476" s="564">
        <f t="shared" si="2670"/>
        <v>0.05555555556</v>
      </c>
      <c r="EB476" s="564">
        <f t="shared" si="2670"/>
        <v>0.05274725275</v>
      </c>
      <c r="EC476" s="574">
        <f t="shared" si="2670"/>
        <v>0.204144001</v>
      </c>
      <c r="ED476" s="564">
        <f t="shared" si="2670"/>
        <v>0.1485269053</v>
      </c>
      <c r="EE476" s="564">
        <f t="shared" si="2670"/>
        <v>0.1829268293</v>
      </c>
      <c r="EF476" s="564">
        <f t="shared" si="2670"/>
        <v>0.160969697</v>
      </c>
      <c r="EG476" s="564">
        <f t="shared" si="2670"/>
        <v>0.1517057827</v>
      </c>
      <c r="EH476" s="574">
        <f t="shared" si="2670"/>
        <v>0.6440327968</v>
      </c>
      <c r="EI476" s="565">
        <f t="shared" si="2670"/>
        <v>0</v>
      </c>
      <c r="EJ476" s="564">
        <f t="shared" si="2670"/>
        <v>0</v>
      </c>
      <c r="EK476" s="564">
        <f t="shared" si="2670"/>
        <v>0</v>
      </c>
      <c r="EL476" s="564">
        <f t="shared" si="2670"/>
        <v>0</v>
      </c>
      <c r="EM476" s="574">
        <f t="shared" si="2670"/>
        <v>0</v>
      </c>
      <c r="EN476" s="564">
        <f t="shared" si="2670"/>
        <v>0</v>
      </c>
      <c r="EO476" s="564">
        <f t="shared" si="2670"/>
        <v>0</v>
      </c>
      <c r="EP476" s="564">
        <f t="shared" si="2670"/>
        <v>0</v>
      </c>
      <c r="EQ476" s="564">
        <f t="shared" si="2670"/>
        <v>0</v>
      </c>
      <c r="ER476" s="574">
        <f t="shared" si="2670"/>
        <v>0</v>
      </c>
      <c r="ES476" s="564">
        <f t="shared" si="2670"/>
        <v>0</v>
      </c>
      <c r="ET476" s="564">
        <f t="shared" si="2670"/>
        <v>0</v>
      </c>
      <c r="EU476" s="564">
        <f t="shared" si="2670"/>
        <v>0</v>
      </c>
      <c r="EV476" s="564">
        <f t="shared" si="2670"/>
        <v>0</v>
      </c>
      <c r="EW476" s="574">
        <f t="shared" si="2670"/>
        <v>0</v>
      </c>
      <c r="EX476" s="564">
        <f t="shared" si="2670"/>
        <v>0</v>
      </c>
      <c r="EY476" s="564">
        <f t="shared" si="2670"/>
        <v>0</v>
      </c>
      <c r="EZ476" s="564">
        <f t="shared" si="2670"/>
        <v>0</v>
      </c>
      <c r="FA476" s="564">
        <f t="shared" si="2670"/>
        <v>0</v>
      </c>
      <c r="FB476" s="574">
        <f t="shared" si="2670"/>
        <v>0</v>
      </c>
      <c r="FC476" s="564">
        <f t="shared" si="2670"/>
        <v>0</v>
      </c>
      <c r="FD476" s="564">
        <f t="shared" si="2670"/>
        <v>0</v>
      </c>
      <c r="FE476" s="564">
        <f t="shared" si="2670"/>
        <v>0</v>
      </c>
      <c r="FF476" s="564">
        <f t="shared" si="2670"/>
        <v>0</v>
      </c>
      <c r="FG476" s="574">
        <f t="shared" si="2670"/>
        <v>0</v>
      </c>
      <c r="FH476" s="564"/>
      <c r="FI476" s="561"/>
      <c r="FJ476" s="561"/>
      <c r="FK476" s="562"/>
      <c r="FL476" s="561"/>
    </row>
    <row r="477" ht="12.75" customHeight="1">
      <c r="A477" s="561"/>
      <c r="B477" s="562" t="s">
        <v>272</v>
      </c>
      <c r="C477" s="562"/>
      <c r="D477" s="561"/>
      <c r="E477" s="561"/>
      <c r="F477" s="561"/>
      <c r="G477" s="561"/>
      <c r="H477" s="566"/>
      <c r="I477" s="561"/>
      <c r="J477" s="561"/>
      <c r="K477" s="561"/>
      <c r="L477" s="561"/>
      <c r="M477" s="566"/>
      <c r="N477" s="561"/>
      <c r="O477" s="561"/>
      <c r="P477" s="561"/>
      <c r="Q477" s="561"/>
      <c r="R477" s="566"/>
      <c r="S477" s="561"/>
      <c r="T477" s="561"/>
      <c r="U477" s="561"/>
      <c r="V477" s="561"/>
      <c r="W477" s="566"/>
      <c r="X477" s="561"/>
      <c r="Y477" s="561"/>
      <c r="Z477" s="561"/>
      <c r="AA477" s="561"/>
      <c r="AB477" s="566"/>
      <c r="AC477" s="561"/>
      <c r="AD477" s="561"/>
      <c r="AE477" s="561"/>
      <c r="AF477" s="561"/>
      <c r="AG477" s="566"/>
      <c r="AH477" s="561"/>
      <c r="AI477" s="561"/>
      <c r="AJ477" s="561"/>
      <c r="AK477" s="561"/>
      <c r="AL477" s="566"/>
      <c r="AM477" s="561"/>
      <c r="AN477" s="561"/>
      <c r="AO477" s="561"/>
      <c r="AP477" s="561"/>
      <c r="AQ477" s="566"/>
      <c r="AR477" s="561"/>
      <c r="AS477" s="561"/>
      <c r="AT477" s="561"/>
      <c r="AU477" s="561"/>
      <c r="AV477" s="566"/>
      <c r="AW477" s="561"/>
      <c r="AX477" s="561"/>
      <c r="AY477" s="561"/>
      <c r="AZ477" s="561"/>
      <c r="BA477" s="566"/>
      <c r="BB477" s="561"/>
      <c r="BC477" s="561"/>
      <c r="BD477" s="561"/>
      <c r="BE477" s="561"/>
      <c r="BF477" s="566"/>
      <c r="BG477" s="561"/>
      <c r="BH477" s="561"/>
      <c r="BI477" s="561"/>
      <c r="BJ477" s="561"/>
      <c r="BK477" s="566"/>
      <c r="BL477" s="561"/>
      <c r="BM477" s="561"/>
      <c r="BN477" s="561"/>
      <c r="BO477" s="561"/>
      <c r="BP477" s="566"/>
      <c r="BQ477" s="561"/>
      <c r="BR477" s="561"/>
      <c r="BS477" s="561"/>
      <c r="BT477" s="561"/>
      <c r="BU477" s="566"/>
      <c r="BV477" s="561"/>
      <c r="BW477" s="561"/>
      <c r="BX477" s="561"/>
      <c r="BY477" s="561"/>
      <c r="BZ477" s="563"/>
      <c r="CA477" s="561"/>
      <c r="CB477" s="561"/>
      <c r="CC477" s="561"/>
      <c r="CD477" s="561"/>
      <c r="CE477" s="563"/>
      <c r="CF477" s="561"/>
      <c r="CG477" s="561"/>
      <c r="CH477" s="561"/>
      <c r="CI477" s="561"/>
      <c r="CJ477" s="563"/>
      <c r="CK477" s="561"/>
      <c r="CL477" s="561"/>
      <c r="CM477" s="561"/>
      <c r="CN477" s="564"/>
      <c r="CO477" s="563"/>
      <c r="CP477" s="564">
        <f t="shared" ref="CP477:CS477" si="2671">(CP48-CP49)/CP$78</f>
        <v>-0.01426617158</v>
      </c>
      <c r="CQ477" s="564">
        <f t="shared" si="2671"/>
        <v>-0.008198321296</v>
      </c>
      <c r="CR477" s="564">
        <f t="shared" si="2671"/>
        <v>-0.01228939544</v>
      </c>
      <c r="CS477" s="564">
        <f t="shared" si="2671"/>
        <v>-0.004048582996</v>
      </c>
      <c r="CT477" s="574">
        <f t="shared" ref="CT477:CT478" si="2686">SUM(CP477:CS477)</f>
        <v>-0.03880247132</v>
      </c>
      <c r="CU477" s="564">
        <f t="shared" ref="CU477:CX477" si="2672">(CU48-CU49)/CU$78</f>
        <v>-0.01485551486</v>
      </c>
      <c r="CV477" s="564">
        <f t="shared" si="2672"/>
        <v>-0.008555713995</v>
      </c>
      <c r="CW477" s="564">
        <f t="shared" si="2672"/>
        <v>-0.01271534044</v>
      </c>
      <c r="CX477" s="564">
        <f t="shared" si="2672"/>
        <v>-0.004101722724</v>
      </c>
      <c r="CY477" s="574">
        <f t="shared" ref="CY477:CY478" si="2688">SUM(CU477:CX477)</f>
        <v>-0.04022829202</v>
      </c>
      <c r="CZ477" s="564">
        <f t="shared" ref="CZ477:DC477" si="2673">(CZ48-CZ49)/CZ$78</f>
        <v>-0.02707692308</v>
      </c>
      <c r="DA477" s="564">
        <f t="shared" si="2673"/>
        <v>-0.0760378134</v>
      </c>
      <c r="DB477" s="564">
        <f t="shared" si="2673"/>
        <v>-0.03547262661</v>
      </c>
      <c r="DC477" s="564">
        <f t="shared" si="2673"/>
        <v>-0.0143413235</v>
      </c>
      <c r="DD477" s="574">
        <f t="shared" ref="DD477:DD478" si="2690">SUM(CZ477:DC477)</f>
        <v>-0.1529286866</v>
      </c>
      <c r="DE477" s="564">
        <f t="shared" ref="DE477:DH477" si="2674">(DE48-DE49)/DE$78</f>
        <v>-0.01495595165</v>
      </c>
      <c r="DF477" s="564">
        <f t="shared" si="2674"/>
        <v>0.1538539732</v>
      </c>
      <c r="DG477" s="564">
        <f t="shared" si="2674"/>
        <v>-0.02157228791</v>
      </c>
      <c r="DH477" s="564">
        <f t="shared" si="2674"/>
        <v>1.112734864</v>
      </c>
      <c r="DI477" s="563">
        <f t="shared" ref="DI477:DI478" si="2692">SUM(DE477:DH477)</f>
        <v>1.230060598</v>
      </c>
      <c r="DJ477" s="564">
        <f t="shared" ref="DJ477:DM477" si="2675">(DJ48-DJ49)/DJ$78</f>
        <v>-0.1260960334</v>
      </c>
      <c r="DK477" s="564">
        <f t="shared" si="2675"/>
        <v>-0.02772593217</v>
      </c>
      <c r="DL477" s="564">
        <f t="shared" si="2675"/>
        <v>-0.03098106713</v>
      </c>
      <c r="DM477" s="564">
        <f t="shared" si="2675"/>
        <v>0.08183589522</v>
      </c>
      <c r="DN477" s="574">
        <f t="shared" ref="DN477:DN478" si="2694">SUM(DJ477:DM477)</f>
        <v>-0.1029671375</v>
      </c>
      <c r="DO477" s="564">
        <f t="shared" ref="DO477:DR477" si="2676">(DO48-DO49)/DO$78</f>
        <v>-0.05631025416</v>
      </c>
      <c r="DP477" s="564">
        <f t="shared" si="2676"/>
        <v>0.01879283661</v>
      </c>
      <c r="DQ477" s="564">
        <f t="shared" si="2676"/>
        <v>-0.03225806452</v>
      </c>
      <c r="DR477" s="564">
        <f t="shared" si="2676"/>
        <v>-0.1520695175</v>
      </c>
      <c r="DS477" s="574">
        <f t="shared" ref="DS477:DS478" si="2696">SUM(DO477:DR477)</f>
        <v>-0.2218449996</v>
      </c>
      <c r="DT477" s="564">
        <f t="shared" ref="DT477:DW477" si="2677">(DT48-DT49)/DT$78</f>
        <v>0.01623376623</v>
      </c>
      <c r="DU477" s="564">
        <f t="shared" si="2677"/>
        <v>-0.005368814192</v>
      </c>
      <c r="DV477" s="564">
        <f t="shared" si="2677"/>
        <v>-0.01852291617</v>
      </c>
      <c r="DW477" s="564">
        <f t="shared" si="2677"/>
        <v>-0.01820830299</v>
      </c>
      <c r="DX477" s="574">
        <f t="shared" ref="DX477:DX478" si="2698">SUM(DT477:DW477)</f>
        <v>-0.02586626712</v>
      </c>
      <c r="DY477" s="564">
        <f t="shared" ref="DY477:EB477" si="2678">(DY48-DY49)/DY$78</f>
        <v>-0.0166015625</v>
      </c>
      <c r="DZ477" s="564">
        <f t="shared" si="2678"/>
        <v>-0.03844270323</v>
      </c>
      <c r="EA477" s="564">
        <f t="shared" si="2678"/>
        <v>0.04870288791</v>
      </c>
      <c r="EB477" s="564">
        <f t="shared" si="2678"/>
        <v>-0.05714285714</v>
      </c>
      <c r="EC477" s="574">
        <f t="shared" ref="EC477:EC478" si="2700">SUM(DY477:EB477)</f>
        <v>-0.06348423497</v>
      </c>
      <c r="ED477" s="564">
        <f t="shared" ref="ED477:EG477" si="2679">(ED48-ED49)/ED$78</f>
        <v>0.2476260044</v>
      </c>
      <c r="EE477" s="564">
        <f t="shared" si="2679"/>
        <v>-0.1441463415</v>
      </c>
      <c r="EF477" s="564">
        <f t="shared" si="2679"/>
        <v>-0.1282424242</v>
      </c>
      <c r="EG477" s="564">
        <f t="shared" si="2679"/>
        <v>-0.1129929833</v>
      </c>
      <c r="EH477" s="574">
        <f t="shared" ref="EH477:EH478" si="2702">SUM(ED477:EG477)</f>
        <v>-0.1377557446</v>
      </c>
      <c r="EI477" s="565" t="str">
        <f t="shared" ref="EI477:EL477" si="2680">(EI48-EI49)/EI$78</f>
        <v>#ERROR!</v>
      </c>
      <c r="EJ477" s="564" t="str">
        <f t="shared" si="2680"/>
        <v>#ERROR!</v>
      </c>
      <c r="EK477" s="564" t="str">
        <f t="shared" si="2680"/>
        <v>#ERROR!</v>
      </c>
      <c r="EL477" s="564" t="str">
        <f t="shared" si="2680"/>
        <v>#ERROR!</v>
      </c>
      <c r="EM477" s="574" t="str">
        <f t="shared" ref="EM477:EM478" si="2704">SUM(EI477:EL477)</f>
        <v>#ERROR!</v>
      </c>
      <c r="EN477" s="564" t="str">
        <f t="shared" ref="EN477:EQ477" si="2681">(EN48-EN49)/EN$78</f>
        <v>#ERROR!</v>
      </c>
      <c r="EO477" s="564" t="str">
        <f t="shared" si="2681"/>
        <v>#ERROR!</v>
      </c>
      <c r="EP477" s="564" t="str">
        <f t="shared" si="2681"/>
        <v>#ERROR!</v>
      </c>
      <c r="EQ477" s="564" t="str">
        <f t="shared" si="2681"/>
        <v>#ERROR!</v>
      </c>
      <c r="ER477" s="574" t="str">
        <f t="shared" ref="ER477:ER478" si="2706">SUM(EN477:EQ477)</f>
        <v>#ERROR!</v>
      </c>
      <c r="ES477" s="564" t="str">
        <f t="shared" ref="ES477:EV477" si="2682">(ES48-ES49)/ES$78</f>
        <v>#ERROR!</v>
      </c>
      <c r="ET477" s="564" t="str">
        <f t="shared" si="2682"/>
        <v>#ERROR!</v>
      </c>
      <c r="EU477" s="564" t="str">
        <f t="shared" si="2682"/>
        <v>#ERROR!</v>
      </c>
      <c r="EV477" s="564" t="str">
        <f t="shared" si="2682"/>
        <v>#ERROR!</v>
      </c>
      <c r="EW477" s="574" t="str">
        <f t="shared" ref="EW477:EW478" si="2708">SUM(ES477:EV477)</f>
        <v>#ERROR!</v>
      </c>
      <c r="EX477" s="564" t="str">
        <f t="shared" ref="EX477:FA477" si="2683">(EX48-EX49)/EX$78</f>
        <v>#ERROR!</v>
      </c>
      <c r="EY477" s="564" t="str">
        <f t="shared" si="2683"/>
        <v>#ERROR!</v>
      </c>
      <c r="EZ477" s="564" t="str">
        <f t="shared" si="2683"/>
        <v>#ERROR!</v>
      </c>
      <c r="FA477" s="564" t="str">
        <f t="shared" si="2683"/>
        <v>#ERROR!</v>
      </c>
      <c r="FB477" s="574" t="str">
        <f t="shared" ref="FB477:FB478" si="2710">SUM(EX477:FA477)</f>
        <v>#ERROR!</v>
      </c>
      <c r="FC477" s="564" t="str">
        <f t="shared" ref="FC477:FF477" si="2684">(FC48-FC49)/FC$78</f>
        <v>#ERROR!</v>
      </c>
      <c r="FD477" s="564" t="str">
        <f t="shared" si="2684"/>
        <v>#ERROR!</v>
      </c>
      <c r="FE477" s="564" t="str">
        <f t="shared" si="2684"/>
        <v>#ERROR!</v>
      </c>
      <c r="FF477" s="564" t="str">
        <f t="shared" si="2684"/>
        <v>#ERROR!</v>
      </c>
      <c r="FG477" s="574" t="str">
        <f t="shared" ref="FG477:FG478" si="2712">SUM(FC477:FF477)</f>
        <v>#ERROR!</v>
      </c>
      <c r="FH477" s="564"/>
      <c r="FI477" s="561"/>
      <c r="FJ477" s="561"/>
      <c r="FK477" s="562"/>
      <c r="FL477" s="561"/>
    </row>
    <row r="478" ht="12.75" customHeight="1">
      <c r="A478" s="561"/>
      <c r="B478" s="562" t="s">
        <v>273</v>
      </c>
      <c r="C478" s="562"/>
      <c r="D478" s="561"/>
      <c r="E478" s="561"/>
      <c r="F478" s="561"/>
      <c r="G478" s="561"/>
      <c r="H478" s="566"/>
      <c r="I478" s="561"/>
      <c r="J478" s="561"/>
      <c r="K478" s="561"/>
      <c r="L478" s="561"/>
      <c r="M478" s="566"/>
      <c r="N478" s="561"/>
      <c r="O478" s="561"/>
      <c r="P478" s="561"/>
      <c r="Q478" s="561"/>
      <c r="R478" s="566"/>
      <c r="S478" s="561"/>
      <c r="T478" s="561"/>
      <c r="U478" s="561"/>
      <c r="V478" s="561"/>
      <c r="W478" s="566"/>
      <c r="X478" s="561"/>
      <c r="Y478" s="561"/>
      <c r="Z478" s="561"/>
      <c r="AA478" s="561"/>
      <c r="AB478" s="566"/>
      <c r="AC478" s="561"/>
      <c r="AD478" s="561"/>
      <c r="AE478" s="561"/>
      <c r="AF478" s="561"/>
      <c r="AG478" s="566"/>
      <c r="AH478" s="561"/>
      <c r="AI478" s="561"/>
      <c r="AJ478" s="561"/>
      <c r="AK478" s="561"/>
      <c r="AL478" s="566"/>
      <c r="AM478" s="561"/>
      <c r="AN478" s="561"/>
      <c r="AO478" s="561"/>
      <c r="AP478" s="561"/>
      <c r="AQ478" s="566"/>
      <c r="AR478" s="561"/>
      <c r="AS478" s="561"/>
      <c r="AT478" s="561"/>
      <c r="AU478" s="561"/>
      <c r="AV478" s="566"/>
      <c r="AW478" s="561"/>
      <c r="AX478" s="561"/>
      <c r="AY478" s="561"/>
      <c r="AZ478" s="561"/>
      <c r="BA478" s="566"/>
      <c r="BB478" s="561"/>
      <c r="BC478" s="561"/>
      <c r="BD478" s="561"/>
      <c r="BE478" s="561"/>
      <c r="BF478" s="566"/>
      <c r="BG478" s="561"/>
      <c r="BH478" s="561"/>
      <c r="BI478" s="561"/>
      <c r="BJ478" s="561"/>
      <c r="BK478" s="566"/>
      <c r="BL478" s="561"/>
      <c r="BM478" s="561"/>
      <c r="BN478" s="561"/>
      <c r="BO478" s="561"/>
      <c r="BP478" s="566"/>
      <c r="BQ478" s="561"/>
      <c r="BR478" s="561"/>
      <c r="BS478" s="561"/>
      <c r="BT478" s="561"/>
      <c r="BU478" s="566"/>
      <c r="BV478" s="561"/>
      <c r="BW478" s="561"/>
      <c r="BX478" s="561"/>
      <c r="BY478" s="561"/>
      <c r="BZ478" s="563"/>
      <c r="CA478" s="561"/>
      <c r="CB478" s="561"/>
      <c r="CC478" s="561"/>
      <c r="CD478" s="561"/>
      <c r="CE478" s="563"/>
      <c r="CF478" s="561"/>
      <c r="CG478" s="561"/>
      <c r="CH478" s="561"/>
      <c r="CI478" s="561"/>
      <c r="CJ478" s="563"/>
      <c r="CK478" s="561"/>
      <c r="CL478" s="561"/>
      <c r="CM478" s="561"/>
      <c r="CN478" s="564"/>
      <c r="CO478" s="563"/>
      <c r="CP478" s="566">
        <f t="shared" ref="CP478:CS478" si="2685">CP471+SUM(CP472:CP477)</f>
        <v>0.4059018956</v>
      </c>
      <c r="CQ478" s="566">
        <f t="shared" si="2685"/>
        <v>0.5674409526</v>
      </c>
      <c r="CR478" s="566">
        <f t="shared" si="2685"/>
        <v>0.664420218</v>
      </c>
      <c r="CS478" s="566">
        <f t="shared" si="2685"/>
        <v>0.7631578947</v>
      </c>
      <c r="CT478" s="563">
        <f t="shared" si="2686"/>
        <v>2.400920961</v>
      </c>
      <c r="CU478" s="566">
        <f t="shared" ref="CU478:CX478" si="2687">CU471+SUM(CU472:CU477)</f>
        <v>0.4489214489</v>
      </c>
      <c r="CV478" s="566">
        <f t="shared" si="2687"/>
        <v>0.6223263394</v>
      </c>
      <c r="CW478" s="566">
        <f t="shared" si="2687"/>
        <v>0.6417145201</v>
      </c>
      <c r="CX478" s="566">
        <f t="shared" si="2687"/>
        <v>0.7627153404</v>
      </c>
      <c r="CY478" s="563">
        <f t="shared" si="2688"/>
        <v>2.475677649</v>
      </c>
      <c r="CZ478" s="566">
        <f t="shared" ref="CZ478:DC478" si="2689">CZ471+SUM(CZ472:CZ477)</f>
        <v>0.5392820513</v>
      </c>
      <c r="DA478" s="566">
        <f t="shared" si="2689"/>
        <v>0.5875462392</v>
      </c>
      <c r="DB478" s="566">
        <f t="shared" si="2689"/>
        <v>0.7968013123</v>
      </c>
      <c r="DC478" s="566">
        <f t="shared" si="2689"/>
        <v>0.7918459332</v>
      </c>
      <c r="DD478" s="563">
        <f t="shared" si="2690"/>
        <v>2.715475536</v>
      </c>
      <c r="DE478" s="566">
        <f>DE471+SUM(DE472:DE477)</f>
        <v>0.6592911289</v>
      </c>
      <c r="DF478" s="566">
        <f>DF471+SUM(DF472:DF477)-387/DF$78</f>
        <v>0.7237198142</v>
      </c>
      <c r="DG478" s="566">
        <f t="shared" ref="DG478:DH478" si="2691">DG471+SUM(DG472:DG477)</f>
        <v>1.005600498</v>
      </c>
      <c r="DH478" s="566">
        <f t="shared" si="2691"/>
        <v>1.081628392</v>
      </c>
      <c r="DI478" s="563">
        <f t="shared" si="2692"/>
        <v>3.470239833</v>
      </c>
      <c r="DJ478" s="566">
        <f t="shared" ref="DJ478:DM478" si="2693">DJ471+SUM(DJ472:DJ477)</f>
        <v>0.8716075157</v>
      </c>
      <c r="DK478" s="566">
        <f t="shared" si="2693"/>
        <v>1.040738361</v>
      </c>
      <c r="DL478" s="566">
        <f t="shared" si="2693"/>
        <v>1.400172117</v>
      </c>
      <c r="DM478" s="566">
        <f t="shared" si="2693"/>
        <v>1.27776575</v>
      </c>
      <c r="DN478" s="563">
        <f t="shared" si="2694"/>
        <v>4.590283744</v>
      </c>
      <c r="DO478" s="566">
        <f t="shared" ref="DO478:DR478" si="2695">DO471+SUM(DO472:DO477)</f>
        <v>0.8869412796</v>
      </c>
      <c r="DP478" s="566">
        <f t="shared" si="2695"/>
        <v>1.057926155</v>
      </c>
      <c r="DQ478" s="566">
        <f t="shared" si="2695"/>
        <v>1.418678096</v>
      </c>
      <c r="DR478" s="566">
        <f t="shared" si="2695"/>
        <v>1.523667962</v>
      </c>
      <c r="DS478" s="563">
        <f t="shared" si="2696"/>
        <v>4.887213493</v>
      </c>
      <c r="DT478" s="566">
        <f t="shared" ref="DT478:DW478" si="2697">DT471+SUM(DT472:DT477)</f>
        <v>1.445269017</v>
      </c>
      <c r="DU478" s="566">
        <f t="shared" si="2697"/>
        <v>1.232026144</v>
      </c>
      <c r="DV478" s="566">
        <f t="shared" si="2697"/>
        <v>1.076941344</v>
      </c>
      <c r="DW478" s="566">
        <f t="shared" si="2697"/>
        <v>1.504491381</v>
      </c>
      <c r="DX478" s="563">
        <f t="shared" si="2698"/>
        <v>5.258727886</v>
      </c>
      <c r="DY478" s="566">
        <f t="shared" ref="DY478:EB478" si="2699">DY471+SUM(DY472:DY477)</f>
        <v>1.390380859</v>
      </c>
      <c r="DZ478" s="566">
        <f t="shared" si="2699"/>
        <v>1.27668952</v>
      </c>
      <c r="EA478" s="566">
        <f t="shared" si="2699"/>
        <v>1.712432697</v>
      </c>
      <c r="EB478" s="566">
        <f t="shared" si="2699"/>
        <v>1.086935287</v>
      </c>
      <c r="EC478" s="563">
        <f t="shared" si="2700"/>
        <v>5.466438363</v>
      </c>
      <c r="ED478" s="566">
        <f t="shared" ref="ED478:EG478" si="2701">ED471+SUM(ED472:ED477)</f>
        <v>2.198685172</v>
      </c>
      <c r="EE478" s="566">
        <f t="shared" si="2701"/>
        <v>0.2614634146</v>
      </c>
      <c r="EF478" s="566">
        <f t="shared" si="2701"/>
        <v>0.5624242424</v>
      </c>
      <c r="EG478" s="566">
        <f t="shared" si="2701"/>
        <v>0.1466247278</v>
      </c>
      <c r="EH478" s="563">
        <f t="shared" si="2702"/>
        <v>3.169197557</v>
      </c>
      <c r="EI478" s="575" t="str">
        <f t="shared" ref="EI478:EL478" si="2703">EI471+SUM(EI472:EI477)</f>
        <v>#ERROR!</v>
      </c>
      <c r="EJ478" s="566" t="str">
        <f t="shared" si="2703"/>
        <v>#ERROR!</v>
      </c>
      <c r="EK478" s="566" t="str">
        <f t="shared" si="2703"/>
        <v>#ERROR!</v>
      </c>
      <c r="EL478" s="566" t="str">
        <f t="shared" si="2703"/>
        <v>#ERROR!</v>
      </c>
      <c r="EM478" s="563" t="str">
        <f t="shared" si="2704"/>
        <v>#ERROR!</v>
      </c>
      <c r="EN478" s="566" t="str">
        <f t="shared" ref="EN478:EQ478" si="2705">EN471+SUM(EN472:EN477)</f>
        <v>#ERROR!</v>
      </c>
      <c r="EO478" s="566" t="str">
        <f t="shared" si="2705"/>
        <v>#ERROR!</v>
      </c>
      <c r="EP478" s="566" t="str">
        <f t="shared" si="2705"/>
        <v>#ERROR!</v>
      </c>
      <c r="EQ478" s="566" t="str">
        <f t="shared" si="2705"/>
        <v>#ERROR!</v>
      </c>
      <c r="ER478" s="563" t="str">
        <f t="shared" si="2706"/>
        <v>#ERROR!</v>
      </c>
      <c r="ES478" s="566" t="str">
        <f t="shared" ref="ES478:EV478" si="2707">ES471+SUM(ES472:ES477)</f>
        <v>#ERROR!</v>
      </c>
      <c r="ET478" s="566" t="str">
        <f t="shared" si="2707"/>
        <v>#ERROR!</v>
      </c>
      <c r="EU478" s="566" t="str">
        <f t="shared" si="2707"/>
        <v>#ERROR!</v>
      </c>
      <c r="EV478" s="566" t="str">
        <f t="shared" si="2707"/>
        <v>#ERROR!</v>
      </c>
      <c r="EW478" s="563" t="str">
        <f t="shared" si="2708"/>
        <v>#ERROR!</v>
      </c>
      <c r="EX478" s="566" t="str">
        <f t="shared" ref="EX478:FA478" si="2709">EX471+SUM(EX472:EX477)</f>
        <v>#ERROR!</v>
      </c>
      <c r="EY478" s="566" t="str">
        <f t="shared" si="2709"/>
        <v>#ERROR!</v>
      </c>
      <c r="EZ478" s="566" t="str">
        <f t="shared" si="2709"/>
        <v>#ERROR!</v>
      </c>
      <c r="FA478" s="566" t="str">
        <f t="shared" si="2709"/>
        <v>#ERROR!</v>
      </c>
      <c r="FB478" s="563" t="str">
        <f t="shared" si="2710"/>
        <v>#ERROR!</v>
      </c>
      <c r="FC478" s="566" t="str">
        <f t="shared" ref="FC478:FF478" si="2711">FC471+SUM(FC472:FC477)</f>
        <v>#ERROR!</v>
      </c>
      <c r="FD478" s="566" t="str">
        <f t="shared" si="2711"/>
        <v>#ERROR!</v>
      </c>
      <c r="FE478" s="566" t="str">
        <f t="shared" si="2711"/>
        <v>#ERROR!</v>
      </c>
      <c r="FF478" s="566" t="str">
        <f t="shared" si="2711"/>
        <v>#ERROR!</v>
      </c>
      <c r="FG478" s="563" t="str">
        <f t="shared" si="2712"/>
        <v>#ERROR!</v>
      </c>
      <c r="FH478" s="566"/>
      <c r="FI478" s="561"/>
      <c r="FJ478" s="561"/>
      <c r="FK478" s="562"/>
      <c r="FL478" s="561"/>
    </row>
    <row r="479" ht="12.75" customHeight="1">
      <c r="A479" s="427"/>
      <c r="B479" s="498" t="s">
        <v>209</v>
      </c>
      <c r="C479" s="520"/>
      <c r="D479" s="427"/>
      <c r="E479" s="427"/>
      <c r="F479" s="427"/>
      <c r="G479" s="427"/>
      <c r="H479" s="364"/>
      <c r="I479" s="427"/>
      <c r="J479" s="427"/>
      <c r="K479" s="427"/>
      <c r="L479" s="427"/>
      <c r="M479" s="364"/>
      <c r="N479" s="427"/>
      <c r="O479" s="427"/>
      <c r="P479" s="427"/>
      <c r="Q479" s="427"/>
      <c r="R479" s="364"/>
      <c r="S479" s="427"/>
      <c r="T479" s="427"/>
      <c r="U479" s="427"/>
      <c r="V479" s="427"/>
      <c r="W479" s="364"/>
      <c r="X479" s="427"/>
      <c r="Y479" s="427"/>
      <c r="Z479" s="427"/>
      <c r="AA479" s="427"/>
      <c r="AB479" s="364"/>
      <c r="AC479" s="427"/>
      <c r="AD479" s="427"/>
      <c r="AE479" s="427"/>
      <c r="AF479" s="427"/>
      <c r="AG479" s="364"/>
      <c r="AH479" s="427"/>
      <c r="AI479" s="427"/>
      <c r="AJ479" s="427"/>
      <c r="AK479" s="427"/>
      <c r="AL479" s="364"/>
      <c r="AM479" s="427"/>
      <c r="AN479" s="427"/>
      <c r="AO479" s="427"/>
      <c r="AP479" s="427"/>
      <c r="AQ479" s="364"/>
      <c r="AR479" s="427"/>
      <c r="AS479" s="427"/>
      <c r="AT479" s="427"/>
      <c r="AU479" s="427"/>
      <c r="AV479" s="364"/>
      <c r="AW479" s="427"/>
      <c r="AX479" s="427"/>
      <c r="AY479" s="427"/>
      <c r="AZ479" s="427"/>
      <c r="BA479" s="364"/>
      <c r="BB479" s="427"/>
      <c r="BC479" s="427"/>
      <c r="BD479" s="427"/>
      <c r="BE479" s="427"/>
      <c r="BF479" s="364"/>
      <c r="BG479" s="427"/>
      <c r="BH479" s="427"/>
      <c r="BI479" s="427"/>
      <c r="BJ479" s="427"/>
      <c r="BK479" s="364"/>
      <c r="BL479" s="427"/>
      <c r="BM479" s="427"/>
      <c r="BN479" s="427"/>
      <c r="BO479" s="427"/>
      <c r="BP479" s="364"/>
      <c r="BQ479" s="427"/>
      <c r="BR479" s="427"/>
      <c r="BS479" s="427"/>
      <c r="BT479" s="427"/>
      <c r="BU479" s="364"/>
      <c r="BV479" s="427"/>
      <c r="BW479" s="427"/>
      <c r="BX479" s="427"/>
      <c r="BY479" s="427"/>
      <c r="BZ479" s="363"/>
      <c r="CA479" s="427"/>
      <c r="CB479" s="427"/>
      <c r="CC479" s="427"/>
      <c r="CD479" s="427"/>
      <c r="CE479" s="363"/>
      <c r="CF479" s="427"/>
      <c r="CG479" s="427"/>
      <c r="CH479" s="427"/>
      <c r="CI479" s="427"/>
      <c r="CJ479" s="363"/>
      <c r="CK479" s="427"/>
      <c r="CL479" s="427"/>
      <c r="CM479" s="427"/>
      <c r="CN479" s="36"/>
      <c r="CO479" s="363"/>
      <c r="CP479" s="576">
        <f t="shared" ref="CP479:CS479" si="2713">CP478-CP72</f>
        <v>0</v>
      </c>
      <c r="CQ479" s="576">
        <f t="shared" si="2713"/>
        <v>0</v>
      </c>
      <c r="CR479" s="576">
        <f t="shared" si="2713"/>
        <v>0</v>
      </c>
      <c r="CS479" s="576">
        <f t="shared" si="2713"/>
        <v>0</v>
      </c>
      <c r="CT479" s="577"/>
      <c r="CU479" s="576">
        <f t="shared" ref="CU479:CX479" si="2714">CU478-CU72</f>
        <v>0</v>
      </c>
      <c r="CV479" s="576">
        <f t="shared" si="2714"/>
        <v>0</v>
      </c>
      <c r="CW479" s="576">
        <f t="shared" si="2714"/>
        <v>0</v>
      </c>
      <c r="CX479" s="576">
        <f t="shared" si="2714"/>
        <v>0</v>
      </c>
      <c r="CY479" s="577"/>
      <c r="CZ479" s="576">
        <f t="shared" ref="CZ479:DC479" si="2715">CZ478-CZ72</f>
        <v>0</v>
      </c>
      <c r="DA479" s="576">
        <f t="shared" si="2715"/>
        <v>0</v>
      </c>
      <c r="DB479" s="576">
        <f t="shared" si="2715"/>
        <v>0</v>
      </c>
      <c r="DC479" s="576">
        <f t="shared" si="2715"/>
        <v>0</v>
      </c>
      <c r="DD479" s="577"/>
      <c r="DE479" s="576">
        <f t="shared" ref="DE479:DH479" si="2716">DE478-DE72</f>
        <v>0</v>
      </c>
      <c r="DF479" s="576">
        <f t="shared" si="2716"/>
        <v>0</v>
      </c>
      <c r="DG479" s="576">
        <f t="shared" si="2716"/>
        <v>0</v>
      </c>
      <c r="DH479" s="576">
        <f t="shared" si="2716"/>
        <v>0</v>
      </c>
      <c r="DI479" s="363"/>
      <c r="DJ479" s="500">
        <f t="shared" ref="DJ479:DM479" si="2717">DJ478-DJ72</f>
        <v>0</v>
      </c>
      <c r="DK479" s="500">
        <f t="shared" si="2717"/>
        <v>0</v>
      </c>
      <c r="DL479" s="500">
        <f t="shared" si="2717"/>
        <v>0</v>
      </c>
      <c r="DM479" s="500">
        <f t="shared" si="2717"/>
        <v>0</v>
      </c>
      <c r="DN479" s="499"/>
      <c r="DO479" s="500">
        <f t="shared" ref="DO479:DR479" si="2718">DO478-DO72</f>
        <v>0</v>
      </c>
      <c r="DP479" s="500">
        <f t="shared" si="2718"/>
        <v>0</v>
      </c>
      <c r="DQ479" s="500">
        <f t="shared" si="2718"/>
        <v>0</v>
      </c>
      <c r="DR479" s="500">
        <f t="shared" si="2718"/>
        <v>0</v>
      </c>
      <c r="DS479" s="499"/>
      <c r="DT479" s="500">
        <f t="shared" ref="DT479:DW479" si="2719">DT478-DT72</f>
        <v>0</v>
      </c>
      <c r="DU479" s="500">
        <f t="shared" si="2719"/>
        <v>0</v>
      </c>
      <c r="DV479" s="500">
        <f t="shared" si="2719"/>
        <v>-0.0332462598</v>
      </c>
      <c r="DW479" s="500">
        <f t="shared" si="2719"/>
        <v>-0.01165331391</v>
      </c>
      <c r="DX479" s="499"/>
      <c r="DY479" s="500">
        <f t="shared" ref="DY479:EB479" si="2720">DY478-DY72</f>
        <v>0</v>
      </c>
      <c r="DZ479" s="500">
        <f t="shared" si="2720"/>
        <v>0</v>
      </c>
      <c r="EA479" s="500">
        <f t="shared" si="2720"/>
        <v>0</v>
      </c>
      <c r="EB479" s="500">
        <f t="shared" si="2720"/>
        <v>0</v>
      </c>
      <c r="EC479" s="363"/>
      <c r="ED479" s="500">
        <f t="shared" ref="ED479:EG479" si="2721">ED478-ED72</f>
        <v>1.325541758</v>
      </c>
      <c r="EE479" s="500">
        <f t="shared" si="2721"/>
        <v>-0.02658536585</v>
      </c>
      <c r="EF479" s="500">
        <f t="shared" si="2721"/>
        <v>-0.02715151515</v>
      </c>
      <c r="EG479" s="500">
        <f t="shared" si="2721"/>
        <v>0.05129445923</v>
      </c>
      <c r="EH479" s="363"/>
      <c r="EI479" s="501" t="str">
        <f t="shared" ref="EI479:EL479" si="2722">EI478-EI72</f>
        <v>#ERROR!</v>
      </c>
      <c r="EJ479" s="500" t="str">
        <f t="shared" si="2722"/>
        <v>#ERROR!</v>
      </c>
      <c r="EK479" s="500" t="str">
        <f t="shared" si="2722"/>
        <v>#ERROR!</v>
      </c>
      <c r="EL479" s="500" t="str">
        <f t="shared" si="2722"/>
        <v>#ERROR!</v>
      </c>
      <c r="EM479" s="363"/>
      <c r="EN479" s="500" t="str">
        <f t="shared" ref="EN479:EQ479" si="2723">EN478-EN72</f>
        <v>#ERROR!</v>
      </c>
      <c r="EO479" s="500" t="str">
        <f t="shared" si="2723"/>
        <v>#ERROR!</v>
      </c>
      <c r="EP479" s="500" t="str">
        <f t="shared" si="2723"/>
        <v>#ERROR!</v>
      </c>
      <c r="EQ479" s="500" t="str">
        <f t="shared" si="2723"/>
        <v>#ERROR!</v>
      </c>
      <c r="ER479" s="363"/>
      <c r="ES479" s="500" t="str">
        <f t="shared" ref="ES479:EV479" si="2724">ES478-ES72</f>
        <v>#ERROR!</v>
      </c>
      <c r="ET479" s="500" t="str">
        <f t="shared" si="2724"/>
        <v>#ERROR!</v>
      </c>
      <c r="EU479" s="500" t="str">
        <f t="shared" si="2724"/>
        <v>#ERROR!</v>
      </c>
      <c r="EV479" s="500" t="str">
        <f t="shared" si="2724"/>
        <v>#ERROR!</v>
      </c>
      <c r="EW479" s="363"/>
      <c r="EX479" s="500" t="str">
        <f t="shared" ref="EX479:FA479" si="2725">EX478-EX72</f>
        <v>#ERROR!</v>
      </c>
      <c r="EY479" s="500" t="str">
        <f t="shared" si="2725"/>
        <v>#ERROR!</v>
      </c>
      <c r="EZ479" s="500" t="str">
        <f t="shared" si="2725"/>
        <v>#ERROR!</v>
      </c>
      <c r="FA479" s="500" t="str">
        <f t="shared" si="2725"/>
        <v>#ERROR!</v>
      </c>
      <c r="FB479" s="363"/>
      <c r="FC479" s="500" t="str">
        <f t="shared" ref="FC479:FF479" si="2726">FC478-FC72</f>
        <v>#ERROR!</v>
      </c>
      <c r="FD479" s="500" t="str">
        <f t="shared" si="2726"/>
        <v>#ERROR!</v>
      </c>
      <c r="FE479" s="500" t="str">
        <f t="shared" si="2726"/>
        <v>#ERROR!</v>
      </c>
      <c r="FF479" s="500" t="str">
        <f t="shared" si="2726"/>
        <v>#ERROR!</v>
      </c>
      <c r="FG479" s="363"/>
      <c r="FH479" s="364"/>
      <c r="FI479" s="427"/>
      <c r="FJ479" s="427"/>
      <c r="FK479" s="520"/>
      <c r="FL479" s="427"/>
    </row>
    <row r="480" ht="12.75" customHeight="1">
      <c r="A480" s="4"/>
      <c r="B480" s="45"/>
      <c r="C480" s="45"/>
      <c r="D480" s="15"/>
      <c r="E480" s="15"/>
      <c r="F480" s="15"/>
      <c r="G480" s="15"/>
      <c r="H480" s="104"/>
      <c r="I480" s="15"/>
      <c r="J480" s="15"/>
      <c r="K480" s="15"/>
      <c r="L480" s="15"/>
      <c r="M480" s="104"/>
      <c r="N480" s="15"/>
      <c r="O480" s="15"/>
      <c r="P480" s="15"/>
      <c r="Q480" s="15"/>
      <c r="R480" s="104"/>
      <c r="S480" s="15"/>
      <c r="T480" s="15"/>
      <c r="U480" s="15"/>
      <c r="V480" s="15"/>
      <c r="W480" s="104"/>
      <c r="X480" s="15"/>
      <c r="Y480" s="15"/>
      <c r="Z480" s="15"/>
      <c r="AA480" s="15"/>
      <c r="AB480" s="104"/>
      <c r="AC480" s="15"/>
      <c r="AD480" s="15"/>
      <c r="AE480" s="15"/>
      <c r="AF480" s="15"/>
      <c r="AG480" s="104"/>
      <c r="AH480" s="15"/>
      <c r="AI480" s="15"/>
      <c r="AJ480" s="15"/>
      <c r="AK480" s="15"/>
      <c r="AL480" s="104"/>
      <c r="AM480" s="15"/>
      <c r="AN480" s="15"/>
      <c r="AO480" s="15"/>
      <c r="AP480" s="15"/>
      <c r="AQ480" s="104"/>
      <c r="AR480" s="15"/>
      <c r="AS480" s="15"/>
      <c r="AT480" s="15"/>
      <c r="AU480" s="15"/>
      <c r="AV480" s="104"/>
      <c r="AW480" s="15"/>
      <c r="AX480" s="15"/>
      <c r="AY480" s="15"/>
      <c r="AZ480" s="15"/>
      <c r="BA480" s="104"/>
      <c r="BB480" s="15"/>
      <c r="BC480" s="15"/>
      <c r="BD480" s="15"/>
      <c r="BE480" s="15"/>
      <c r="BF480" s="104"/>
      <c r="BG480" s="15"/>
      <c r="BH480" s="15"/>
      <c r="BI480" s="15"/>
      <c r="BJ480" s="15"/>
      <c r="BK480" s="104"/>
      <c r="BL480" s="15"/>
      <c r="BM480" s="15"/>
      <c r="BN480" s="15"/>
      <c r="BO480" s="15"/>
      <c r="BP480" s="104"/>
      <c r="BQ480" s="15"/>
      <c r="BR480" s="15"/>
      <c r="BS480" s="15"/>
      <c r="BT480" s="15"/>
      <c r="BU480" s="104"/>
      <c r="BV480" s="15"/>
      <c r="BW480" s="15"/>
      <c r="BX480" s="15"/>
      <c r="BY480" s="15"/>
      <c r="BZ480" s="24"/>
      <c r="CA480" s="15"/>
      <c r="CB480" s="15"/>
      <c r="CC480" s="15"/>
      <c r="CD480" s="15"/>
      <c r="CE480" s="24"/>
      <c r="CF480" s="15"/>
      <c r="CG480" s="15"/>
      <c r="CH480" s="15"/>
      <c r="CI480" s="15"/>
      <c r="CJ480" s="24"/>
      <c r="CK480" s="15"/>
      <c r="CL480" s="15"/>
      <c r="CM480" s="15"/>
      <c r="CN480" s="40"/>
      <c r="CO480" s="24"/>
      <c r="CP480" s="104"/>
      <c r="CQ480" s="104"/>
      <c r="CR480" s="104"/>
      <c r="CS480" s="104"/>
      <c r="CT480" s="24"/>
      <c r="CU480" s="104"/>
      <c r="CV480" s="104"/>
      <c r="CW480" s="104"/>
      <c r="CX480" s="104"/>
      <c r="CY480" s="24"/>
      <c r="CZ480" s="104"/>
      <c r="DA480" s="104"/>
      <c r="DB480" s="104"/>
      <c r="DC480" s="104"/>
      <c r="DD480" s="24"/>
      <c r="DE480" s="104"/>
      <c r="DF480" s="104"/>
      <c r="DG480" s="104"/>
      <c r="DH480" s="104"/>
      <c r="DI480" s="24"/>
      <c r="DJ480" s="104"/>
      <c r="DK480" s="104"/>
      <c r="DL480" s="104"/>
      <c r="DM480" s="104"/>
      <c r="DN480" s="24"/>
      <c r="DO480" s="104"/>
      <c r="DP480" s="104"/>
      <c r="DQ480" s="104"/>
      <c r="DR480" s="104"/>
      <c r="DS480" s="24"/>
      <c r="DT480" s="104"/>
      <c r="DU480" s="104"/>
      <c r="DV480" s="104"/>
      <c r="DW480" s="104"/>
      <c r="DX480" s="24"/>
      <c r="DY480" s="104"/>
      <c r="DZ480" s="104"/>
      <c r="EA480" s="104"/>
      <c r="EB480" s="104"/>
      <c r="EC480" s="24"/>
      <c r="ED480" s="104"/>
      <c r="EE480" s="104"/>
      <c r="EF480" s="104"/>
      <c r="EG480" s="104"/>
      <c r="EH480" s="24"/>
      <c r="EI480" s="317"/>
      <c r="EJ480" s="104"/>
      <c r="EK480" s="104"/>
      <c r="EL480" s="104"/>
      <c r="EM480" s="24"/>
      <c r="EN480" s="104"/>
      <c r="EO480" s="104"/>
      <c r="EP480" s="104"/>
      <c r="EQ480" s="104"/>
      <c r="ER480" s="24"/>
      <c r="ES480" s="104"/>
      <c r="ET480" s="104"/>
      <c r="EU480" s="104"/>
      <c r="EV480" s="104"/>
      <c r="EW480" s="24"/>
      <c r="EX480" s="104"/>
      <c r="EY480" s="104"/>
      <c r="EZ480" s="104"/>
      <c r="FA480" s="104"/>
      <c r="FB480" s="24"/>
      <c r="FC480" s="104"/>
      <c r="FD480" s="104"/>
      <c r="FE480" s="104"/>
      <c r="FF480" s="104"/>
      <c r="FG480" s="24"/>
      <c r="FH480" s="104"/>
      <c r="FI480" s="15"/>
      <c r="FJ480" s="15"/>
      <c r="FK480" s="410"/>
      <c r="FL480" s="15"/>
    </row>
    <row r="481" ht="12.75" customHeight="1">
      <c r="A481" s="4"/>
      <c r="B481" s="45"/>
      <c r="C481" s="45"/>
      <c r="D481" s="15"/>
      <c r="E481" s="15"/>
      <c r="F481" s="15"/>
      <c r="G481" s="15"/>
      <c r="H481" s="104"/>
      <c r="I481" s="15"/>
      <c r="J481" s="15"/>
      <c r="K481" s="15"/>
      <c r="L481" s="15"/>
      <c r="M481" s="104"/>
      <c r="N481" s="15"/>
      <c r="O481" s="15"/>
      <c r="P481" s="15"/>
      <c r="Q481" s="15"/>
      <c r="R481" s="104"/>
      <c r="S481" s="15"/>
      <c r="T481" s="15"/>
      <c r="U481" s="15"/>
      <c r="V481" s="15"/>
      <c r="W481" s="104"/>
      <c r="X481" s="15"/>
      <c r="Y481" s="15"/>
      <c r="Z481" s="15"/>
      <c r="AA481" s="15"/>
      <c r="AB481" s="104"/>
      <c r="AC481" s="15"/>
      <c r="AD481" s="15"/>
      <c r="AE481" s="15"/>
      <c r="AF481" s="15"/>
      <c r="AG481" s="104"/>
      <c r="AH481" s="15"/>
      <c r="AI481" s="15"/>
      <c r="AJ481" s="15"/>
      <c r="AK481" s="15"/>
      <c r="AL481" s="104"/>
      <c r="AM481" s="15"/>
      <c r="AN481" s="15"/>
      <c r="AO481" s="15"/>
      <c r="AP481" s="15"/>
      <c r="AQ481" s="104"/>
      <c r="AR481" s="15"/>
      <c r="AS481" s="15"/>
      <c r="AT481" s="15"/>
      <c r="AU481" s="15"/>
      <c r="AV481" s="104"/>
      <c r="AW481" s="15"/>
      <c r="AX481" s="15"/>
      <c r="AY481" s="15"/>
      <c r="AZ481" s="15"/>
      <c r="BA481" s="104"/>
      <c r="BB481" s="15"/>
      <c r="BC481" s="15"/>
      <c r="BD481" s="15"/>
      <c r="BE481" s="15"/>
      <c r="BF481" s="104"/>
      <c r="BG481" s="15"/>
      <c r="BH481" s="15"/>
      <c r="BI481" s="15"/>
      <c r="BJ481" s="15"/>
      <c r="BK481" s="104"/>
      <c r="BL481" s="15"/>
      <c r="BM481" s="15"/>
      <c r="BN481" s="15"/>
      <c r="BO481" s="15"/>
      <c r="BP481" s="104"/>
      <c r="BQ481" s="15"/>
      <c r="BR481" s="15"/>
      <c r="BS481" s="15"/>
      <c r="BT481" s="15"/>
      <c r="BU481" s="104"/>
      <c r="BV481" s="15"/>
      <c r="BW481" s="15"/>
      <c r="BX481" s="15"/>
      <c r="BY481" s="15"/>
      <c r="BZ481" s="24"/>
      <c r="CA481" s="15"/>
      <c r="CB481" s="15"/>
      <c r="CC481" s="15"/>
      <c r="CD481" s="15"/>
      <c r="CE481" s="24"/>
      <c r="CF481" s="15"/>
      <c r="CG481" s="15"/>
      <c r="CH481" s="15"/>
      <c r="CI481" s="15"/>
      <c r="CJ481" s="24"/>
      <c r="CK481" s="15"/>
      <c r="CL481" s="15"/>
      <c r="CM481" s="15"/>
      <c r="CN481" s="40"/>
      <c r="CO481" s="24"/>
      <c r="CP481" s="104"/>
      <c r="CQ481" s="104"/>
      <c r="CR481" s="104"/>
      <c r="CS481" s="104"/>
      <c r="CT481" s="24"/>
      <c r="CU481" s="104"/>
      <c r="CV481" s="104"/>
      <c r="CW481" s="104"/>
      <c r="CX481" s="104"/>
      <c r="CY481" s="24"/>
      <c r="CZ481" s="104"/>
      <c r="DA481" s="104"/>
      <c r="DB481" s="104"/>
      <c r="DC481" s="104"/>
      <c r="DD481" s="24"/>
      <c r="DE481" s="104"/>
      <c r="DF481" s="104"/>
      <c r="DG481" s="104"/>
      <c r="DH481" s="104"/>
      <c r="DI481" s="24"/>
      <c r="DJ481" s="104"/>
      <c r="DK481" s="104"/>
      <c r="DL481" s="104"/>
      <c r="DM481" s="104"/>
      <c r="DN481" s="24"/>
      <c r="DO481" s="104"/>
      <c r="DP481" s="104"/>
      <c r="DQ481" s="104"/>
      <c r="DR481" s="104"/>
      <c r="DS481" s="24"/>
      <c r="DT481" s="104"/>
      <c r="DU481" s="104"/>
      <c r="DV481" s="104"/>
      <c r="DW481" s="104"/>
      <c r="DX481" s="24"/>
      <c r="DY481" s="104"/>
      <c r="DZ481" s="104"/>
      <c r="EA481" s="104"/>
      <c r="EB481" s="104"/>
      <c r="EC481" s="24"/>
      <c r="ED481" s="104"/>
      <c r="EE481" s="104"/>
      <c r="EF481" s="104"/>
      <c r="EG481" s="104"/>
      <c r="EH481" s="24"/>
      <c r="EI481" s="317"/>
      <c r="EJ481" s="104"/>
      <c r="EK481" s="104"/>
      <c r="EL481" s="104"/>
      <c r="EM481" s="24"/>
      <c r="EN481" s="104"/>
      <c r="EO481" s="104"/>
      <c r="EP481" s="104"/>
      <c r="EQ481" s="104"/>
      <c r="ER481" s="24"/>
      <c r="ES481" s="104"/>
      <c r="ET481" s="104"/>
      <c r="EU481" s="104"/>
      <c r="EV481" s="104"/>
      <c r="EW481" s="24"/>
      <c r="EX481" s="104"/>
      <c r="EY481" s="104"/>
      <c r="EZ481" s="104"/>
      <c r="FA481" s="104"/>
      <c r="FB481" s="24"/>
      <c r="FC481" s="104"/>
      <c r="FD481" s="104"/>
      <c r="FE481" s="104"/>
      <c r="FF481" s="104"/>
      <c r="FG481" s="24"/>
      <c r="FH481" s="104"/>
      <c r="FI481" s="15"/>
      <c r="FJ481" s="15"/>
      <c r="FK481" s="410"/>
      <c r="FL481" s="15"/>
    </row>
    <row r="482" ht="12.75" customHeight="1">
      <c r="A482" s="4"/>
      <c r="B482" s="45"/>
      <c r="C482" s="45"/>
      <c r="D482" s="15"/>
      <c r="E482" s="15"/>
      <c r="F482" s="15"/>
      <c r="G482" s="15"/>
      <c r="H482" s="104"/>
      <c r="I482" s="15"/>
      <c r="J482" s="15"/>
      <c r="K482" s="15"/>
      <c r="L482" s="15"/>
      <c r="M482" s="104"/>
      <c r="N482" s="15"/>
      <c r="O482" s="15"/>
      <c r="P482" s="15"/>
      <c r="Q482" s="15"/>
      <c r="R482" s="104"/>
      <c r="S482" s="15"/>
      <c r="T482" s="15"/>
      <c r="U482" s="15"/>
      <c r="V482" s="15"/>
      <c r="W482" s="104"/>
      <c r="X482" s="15"/>
      <c r="Y482" s="15"/>
      <c r="Z482" s="15"/>
      <c r="AA482" s="15"/>
      <c r="AB482" s="104"/>
      <c r="AC482" s="15"/>
      <c r="AD482" s="15"/>
      <c r="AE482" s="15"/>
      <c r="AF482" s="15"/>
      <c r="AG482" s="104"/>
      <c r="AH482" s="15"/>
      <c r="AI482" s="15"/>
      <c r="AJ482" s="15"/>
      <c r="AK482" s="15"/>
      <c r="AL482" s="104"/>
      <c r="AM482" s="15"/>
      <c r="AN482" s="15"/>
      <c r="AO482" s="15"/>
      <c r="AP482" s="15"/>
      <c r="AQ482" s="104"/>
      <c r="AR482" s="15"/>
      <c r="AS482" s="15"/>
      <c r="AT482" s="15"/>
      <c r="AU482" s="15"/>
      <c r="AV482" s="104"/>
      <c r="AW482" s="15"/>
      <c r="AX482" s="15"/>
      <c r="AY482" s="15"/>
      <c r="AZ482" s="15"/>
      <c r="BA482" s="104"/>
      <c r="BB482" s="15"/>
      <c r="BC482" s="15"/>
      <c r="BD482" s="15"/>
      <c r="BE482" s="15"/>
      <c r="BF482" s="104"/>
      <c r="BG482" s="15"/>
      <c r="BH482" s="15"/>
      <c r="BI482" s="15"/>
      <c r="BJ482" s="15"/>
      <c r="BK482" s="104"/>
      <c r="BL482" s="15"/>
      <c r="BM482" s="15"/>
      <c r="BN482" s="15"/>
      <c r="BO482" s="15"/>
      <c r="BP482" s="104"/>
      <c r="BQ482" s="15"/>
      <c r="BR482" s="15"/>
      <c r="BS482" s="15"/>
      <c r="BT482" s="15"/>
      <c r="BU482" s="104"/>
      <c r="BV482" s="15"/>
      <c r="BW482" s="15"/>
      <c r="BX482" s="15"/>
      <c r="BY482" s="15"/>
      <c r="BZ482" s="24"/>
      <c r="CA482" s="15"/>
      <c r="CB482" s="15"/>
      <c r="CC482" s="15"/>
      <c r="CD482" s="15"/>
      <c r="CE482" s="24"/>
      <c r="CF482" s="15"/>
      <c r="CG482" s="15"/>
      <c r="CH482" s="15"/>
      <c r="CI482" s="15"/>
      <c r="CJ482" s="24"/>
      <c r="CK482" s="15"/>
      <c r="CL482" s="15"/>
      <c r="CM482" s="15"/>
      <c r="CN482" s="40"/>
      <c r="CO482" s="24"/>
      <c r="CP482" s="104"/>
      <c r="CQ482" s="104"/>
      <c r="CR482" s="104"/>
      <c r="CS482" s="104"/>
      <c r="CT482" s="24"/>
      <c r="CU482" s="104"/>
      <c r="CV482" s="104"/>
      <c r="CW482" s="104"/>
      <c r="CX482" s="104"/>
      <c r="CY482" s="24"/>
      <c r="CZ482" s="104"/>
      <c r="DA482" s="104"/>
      <c r="DB482" s="104"/>
      <c r="DC482" s="104"/>
      <c r="DD482" s="24"/>
      <c r="DE482" s="104"/>
      <c r="DF482" s="104"/>
      <c r="DG482" s="104"/>
      <c r="DH482" s="104"/>
      <c r="DI482" s="24"/>
      <c r="DJ482" s="104"/>
      <c r="DK482" s="104"/>
      <c r="DL482" s="104"/>
      <c r="DM482" s="104"/>
      <c r="DN482" s="24"/>
      <c r="DO482" s="104"/>
      <c r="DP482" s="104"/>
      <c r="DQ482" s="104"/>
      <c r="DR482" s="104"/>
      <c r="DS482" s="24"/>
      <c r="DT482" s="104"/>
      <c r="DU482" s="104"/>
      <c r="DV482" s="104"/>
      <c r="DW482" s="104"/>
      <c r="DX482" s="24"/>
      <c r="DY482" s="104"/>
      <c r="DZ482" s="104"/>
      <c r="EA482" s="104"/>
      <c r="EB482" s="104"/>
      <c r="EC482" s="24"/>
      <c r="ED482" s="104"/>
      <c r="EE482" s="104"/>
      <c r="EF482" s="104"/>
      <c r="EG482" s="104"/>
      <c r="EH482" s="24"/>
      <c r="EI482" s="317"/>
      <c r="EJ482" s="104"/>
      <c r="EK482" s="104"/>
      <c r="EL482" s="104"/>
      <c r="EM482" s="24"/>
      <c r="EN482" s="104"/>
      <c r="EO482" s="104"/>
      <c r="EP482" s="104"/>
      <c r="EQ482" s="104"/>
      <c r="ER482" s="24"/>
      <c r="ES482" s="104"/>
      <c r="ET482" s="104"/>
      <c r="EU482" s="104"/>
      <c r="EV482" s="104"/>
      <c r="EW482" s="24"/>
      <c r="EX482" s="104"/>
      <c r="EY482" s="104"/>
      <c r="EZ482" s="104"/>
      <c r="FA482" s="104"/>
      <c r="FB482" s="24"/>
      <c r="FC482" s="104"/>
      <c r="FD482" s="104"/>
      <c r="FE482" s="104"/>
      <c r="FF482" s="104"/>
      <c r="FG482" s="24"/>
      <c r="FH482" s="104"/>
      <c r="FI482" s="15"/>
      <c r="FJ482" s="15"/>
      <c r="FK482" s="410"/>
      <c r="FL482" s="15"/>
    </row>
    <row r="483" ht="12.75" customHeight="1">
      <c r="A483" s="4"/>
      <c r="B483" s="45"/>
      <c r="C483" s="45"/>
      <c r="D483" s="15"/>
      <c r="E483" s="15"/>
      <c r="F483" s="15"/>
      <c r="G483" s="15"/>
      <c r="H483" s="104"/>
      <c r="I483" s="15"/>
      <c r="J483" s="15"/>
      <c r="K483" s="15"/>
      <c r="L483" s="15"/>
      <c r="M483" s="104"/>
      <c r="N483" s="15"/>
      <c r="O483" s="15"/>
      <c r="P483" s="15"/>
      <c r="Q483" s="15"/>
      <c r="R483" s="104"/>
      <c r="S483" s="15"/>
      <c r="T483" s="15"/>
      <c r="U483" s="15"/>
      <c r="V483" s="15"/>
      <c r="W483" s="104"/>
      <c r="X483" s="15"/>
      <c r="Y483" s="15"/>
      <c r="Z483" s="15"/>
      <c r="AA483" s="15"/>
      <c r="AB483" s="104"/>
      <c r="AC483" s="15"/>
      <c r="AD483" s="15"/>
      <c r="AE483" s="15"/>
      <c r="AF483" s="15"/>
      <c r="AG483" s="104"/>
      <c r="AH483" s="15"/>
      <c r="AI483" s="15"/>
      <c r="AJ483" s="15"/>
      <c r="AK483" s="15"/>
      <c r="AL483" s="104"/>
      <c r="AM483" s="15"/>
      <c r="AN483" s="15"/>
      <c r="AO483" s="15"/>
      <c r="AP483" s="15"/>
      <c r="AQ483" s="104"/>
      <c r="AR483" s="15"/>
      <c r="AS483" s="15"/>
      <c r="AT483" s="15"/>
      <c r="AU483" s="15"/>
      <c r="AV483" s="104"/>
      <c r="AW483" s="15"/>
      <c r="AX483" s="15"/>
      <c r="AY483" s="15"/>
      <c r="AZ483" s="15"/>
      <c r="BA483" s="104"/>
      <c r="BB483" s="15"/>
      <c r="BC483" s="15"/>
      <c r="BD483" s="15"/>
      <c r="BE483" s="15"/>
      <c r="BF483" s="104"/>
      <c r="BG483" s="15"/>
      <c r="BH483" s="15"/>
      <c r="BI483" s="15"/>
      <c r="BJ483" s="15"/>
      <c r="BK483" s="104"/>
      <c r="BL483" s="15"/>
      <c r="BM483" s="15"/>
      <c r="BN483" s="15"/>
      <c r="BO483" s="15"/>
      <c r="BP483" s="104"/>
      <c r="BQ483" s="15"/>
      <c r="BR483" s="15"/>
      <c r="BS483" s="15"/>
      <c r="BT483" s="15"/>
      <c r="BU483" s="104"/>
      <c r="BV483" s="15"/>
      <c r="BW483" s="15"/>
      <c r="BX483" s="15"/>
      <c r="BY483" s="15"/>
      <c r="BZ483" s="24"/>
      <c r="CA483" s="15"/>
      <c r="CB483" s="15"/>
      <c r="CC483" s="15"/>
      <c r="CD483" s="15"/>
      <c r="CE483" s="24"/>
      <c r="CF483" s="15"/>
      <c r="CG483" s="15"/>
      <c r="CH483" s="15"/>
      <c r="CI483" s="15"/>
      <c r="CJ483" s="24"/>
      <c r="CK483" s="15"/>
      <c r="CL483" s="15"/>
      <c r="CM483" s="15"/>
      <c r="CN483" s="40"/>
      <c r="CO483" s="24"/>
      <c r="CP483" s="104"/>
      <c r="CQ483" s="104"/>
      <c r="CR483" s="104"/>
      <c r="CS483" s="104"/>
      <c r="CT483" s="24"/>
      <c r="CU483" s="104"/>
      <c r="CV483" s="104"/>
      <c r="CW483" s="104"/>
      <c r="CX483" s="104"/>
      <c r="CY483" s="24"/>
      <c r="CZ483" s="104"/>
      <c r="DA483" s="104"/>
      <c r="DB483" s="104"/>
      <c r="DC483" s="104"/>
      <c r="DD483" s="24"/>
      <c r="DE483" s="104"/>
      <c r="DF483" s="104"/>
      <c r="DG483" s="104"/>
      <c r="DH483" s="104"/>
      <c r="DI483" s="24"/>
      <c r="DJ483" s="104"/>
      <c r="DK483" s="104"/>
      <c r="DL483" s="104"/>
      <c r="DM483" s="104"/>
      <c r="DN483" s="24"/>
      <c r="DO483" s="104"/>
      <c r="DP483" s="104"/>
      <c r="DQ483" s="104"/>
      <c r="DR483" s="104"/>
      <c r="DS483" s="24"/>
      <c r="DT483" s="104"/>
      <c r="DU483" s="104"/>
      <c r="DV483" s="104"/>
      <c r="DW483" s="104"/>
      <c r="DX483" s="24"/>
      <c r="DY483" s="104"/>
      <c r="DZ483" s="104"/>
      <c r="EA483" s="104"/>
      <c r="EB483" s="104"/>
      <c r="EC483" s="24"/>
      <c r="ED483" s="104"/>
      <c r="EE483" s="104"/>
      <c r="EF483" s="104"/>
      <c r="EG483" s="104"/>
      <c r="EH483" s="24"/>
      <c r="EI483" s="317"/>
      <c r="EJ483" s="104"/>
      <c r="EK483" s="104"/>
      <c r="EL483" s="104"/>
      <c r="EM483" s="24"/>
      <c r="EN483" s="104"/>
      <c r="EO483" s="104"/>
      <c r="EP483" s="104"/>
      <c r="EQ483" s="104"/>
      <c r="ER483" s="24"/>
      <c r="ES483" s="104"/>
      <c r="ET483" s="104"/>
      <c r="EU483" s="104"/>
      <c r="EV483" s="104"/>
      <c r="EW483" s="24"/>
      <c r="EX483" s="104"/>
      <c r="EY483" s="104"/>
      <c r="EZ483" s="104"/>
      <c r="FA483" s="104"/>
      <c r="FB483" s="24"/>
      <c r="FC483" s="104"/>
      <c r="FD483" s="104"/>
      <c r="FE483" s="104"/>
      <c r="FF483" s="104"/>
      <c r="FG483" s="24"/>
      <c r="FH483" s="104"/>
      <c r="FI483" s="15"/>
      <c r="FJ483" s="15"/>
      <c r="FK483" s="410"/>
      <c r="FL483" s="15"/>
    </row>
    <row r="484" ht="12.75" customHeight="1">
      <c r="A484" s="4"/>
      <c r="B484" s="45"/>
      <c r="C484" s="45"/>
      <c r="D484" s="15"/>
      <c r="E484" s="15"/>
      <c r="F484" s="15"/>
      <c r="G484" s="15"/>
      <c r="H484" s="104"/>
      <c r="I484" s="15"/>
      <c r="J484" s="15"/>
      <c r="K484" s="15"/>
      <c r="L484" s="15"/>
      <c r="M484" s="104"/>
      <c r="N484" s="15"/>
      <c r="O484" s="15"/>
      <c r="P484" s="15"/>
      <c r="Q484" s="15"/>
      <c r="R484" s="104"/>
      <c r="S484" s="15"/>
      <c r="T484" s="15"/>
      <c r="U484" s="15"/>
      <c r="V484" s="15"/>
      <c r="W484" s="104"/>
      <c r="X484" s="15"/>
      <c r="Y484" s="15"/>
      <c r="Z484" s="15"/>
      <c r="AA484" s="15"/>
      <c r="AB484" s="104"/>
      <c r="AC484" s="15"/>
      <c r="AD484" s="15"/>
      <c r="AE484" s="15"/>
      <c r="AF484" s="15"/>
      <c r="AG484" s="104"/>
      <c r="AH484" s="15"/>
      <c r="AI484" s="15"/>
      <c r="AJ484" s="15"/>
      <c r="AK484" s="15"/>
      <c r="AL484" s="104"/>
      <c r="AM484" s="15"/>
      <c r="AN484" s="15"/>
      <c r="AO484" s="15"/>
      <c r="AP484" s="15"/>
      <c r="AQ484" s="104"/>
      <c r="AR484" s="15"/>
      <c r="AS484" s="15"/>
      <c r="AT484" s="15"/>
      <c r="AU484" s="15"/>
      <c r="AV484" s="104"/>
      <c r="AW484" s="15"/>
      <c r="AX484" s="15"/>
      <c r="AY484" s="15"/>
      <c r="AZ484" s="15"/>
      <c r="BA484" s="104"/>
      <c r="BB484" s="15"/>
      <c r="BC484" s="15"/>
      <c r="BD484" s="15"/>
      <c r="BE484" s="15"/>
      <c r="BF484" s="104"/>
      <c r="BG484" s="15"/>
      <c r="BH484" s="15"/>
      <c r="BI484" s="15"/>
      <c r="BJ484" s="15"/>
      <c r="BK484" s="104"/>
      <c r="BL484" s="15"/>
      <c r="BM484" s="15"/>
      <c r="BN484" s="15"/>
      <c r="BO484" s="15"/>
      <c r="BP484" s="104"/>
      <c r="BQ484" s="15"/>
      <c r="BR484" s="15"/>
      <c r="BS484" s="15"/>
      <c r="BT484" s="15"/>
      <c r="BU484" s="104"/>
      <c r="BV484" s="15"/>
      <c r="BW484" s="15"/>
      <c r="BX484" s="15"/>
      <c r="BY484" s="15"/>
      <c r="BZ484" s="24"/>
      <c r="CA484" s="15"/>
      <c r="CB484" s="15"/>
      <c r="CC484" s="15"/>
      <c r="CD484" s="15"/>
      <c r="CE484" s="24"/>
      <c r="CF484" s="15"/>
      <c r="CG484" s="15"/>
      <c r="CH484" s="15"/>
      <c r="CI484" s="15"/>
      <c r="CJ484" s="24"/>
      <c r="CK484" s="15"/>
      <c r="CL484" s="15"/>
      <c r="CM484" s="15"/>
      <c r="CN484" s="40"/>
      <c r="CO484" s="24"/>
      <c r="CP484" s="104"/>
      <c r="CQ484" s="104"/>
      <c r="CR484" s="104"/>
      <c r="CS484" s="104"/>
      <c r="CT484" s="24"/>
      <c r="CU484" s="104"/>
      <c r="CV484" s="104"/>
      <c r="CW484" s="104"/>
      <c r="CX484" s="104"/>
      <c r="CY484" s="24"/>
      <c r="CZ484" s="104"/>
      <c r="DA484" s="104"/>
      <c r="DB484" s="104"/>
      <c r="DC484" s="104"/>
      <c r="DD484" s="24"/>
      <c r="DE484" s="104"/>
      <c r="DF484" s="104"/>
      <c r="DG484" s="104"/>
      <c r="DH484" s="104"/>
      <c r="DI484" s="24"/>
      <c r="DJ484" s="104"/>
      <c r="DK484" s="104"/>
      <c r="DL484" s="104"/>
      <c r="DM484" s="104"/>
      <c r="DN484" s="24"/>
      <c r="DO484" s="104"/>
      <c r="DP484" s="104"/>
      <c r="DQ484" s="104"/>
      <c r="DR484" s="104"/>
      <c r="DS484" s="24"/>
      <c r="DT484" s="104"/>
      <c r="DU484" s="104"/>
      <c r="DV484" s="104"/>
      <c r="DW484" s="104"/>
      <c r="DX484" s="24"/>
      <c r="DY484" s="104"/>
      <c r="DZ484" s="104"/>
      <c r="EA484" s="104"/>
      <c r="EB484" s="104"/>
      <c r="EC484" s="24"/>
      <c r="ED484" s="104"/>
      <c r="EE484" s="104"/>
      <c r="EF484" s="104"/>
      <c r="EG484" s="104"/>
      <c r="EH484" s="24"/>
      <c r="EI484" s="317"/>
      <c r="EJ484" s="104"/>
      <c r="EK484" s="104"/>
      <c r="EL484" s="104"/>
      <c r="EM484" s="24"/>
      <c r="EN484" s="104"/>
      <c r="EO484" s="104"/>
      <c r="EP484" s="104"/>
      <c r="EQ484" s="104"/>
      <c r="ER484" s="24"/>
      <c r="ES484" s="104"/>
      <c r="ET484" s="104"/>
      <c r="EU484" s="104"/>
      <c r="EV484" s="104"/>
      <c r="EW484" s="24"/>
      <c r="EX484" s="104"/>
      <c r="EY484" s="104"/>
      <c r="EZ484" s="104"/>
      <c r="FA484" s="104"/>
      <c r="FB484" s="24"/>
      <c r="FC484" s="104"/>
      <c r="FD484" s="104"/>
      <c r="FE484" s="104"/>
      <c r="FF484" s="104"/>
      <c r="FG484" s="24"/>
      <c r="FH484" s="104"/>
      <c r="FI484" s="15"/>
      <c r="FJ484" s="15"/>
      <c r="FK484" s="410"/>
      <c r="FL484" s="15"/>
    </row>
    <row r="485" ht="12.75" customHeight="1">
      <c r="A485" s="4"/>
      <c r="B485" s="45"/>
      <c r="C485" s="45"/>
      <c r="D485" s="15"/>
      <c r="E485" s="15"/>
      <c r="F485" s="15"/>
      <c r="G485" s="15"/>
      <c r="H485" s="104"/>
      <c r="I485" s="15"/>
      <c r="J485" s="15"/>
      <c r="K485" s="15"/>
      <c r="L485" s="15"/>
      <c r="M485" s="104"/>
      <c r="N485" s="15"/>
      <c r="O485" s="15"/>
      <c r="P485" s="15"/>
      <c r="Q485" s="15"/>
      <c r="R485" s="104"/>
      <c r="S485" s="15"/>
      <c r="T485" s="15"/>
      <c r="U485" s="15"/>
      <c r="V485" s="15"/>
      <c r="W485" s="104"/>
      <c r="X485" s="15"/>
      <c r="Y485" s="15"/>
      <c r="Z485" s="15"/>
      <c r="AA485" s="15"/>
      <c r="AB485" s="104"/>
      <c r="AC485" s="15"/>
      <c r="AD485" s="15"/>
      <c r="AE485" s="15"/>
      <c r="AF485" s="15"/>
      <c r="AG485" s="104"/>
      <c r="AH485" s="15"/>
      <c r="AI485" s="15"/>
      <c r="AJ485" s="15"/>
      <c r="AK485" s="15"/>
      <c r="AL485" s="104"/>
      <c r="AM485" s="15"/>
      <c r="AN485" s="15"/>
      <c r="AO485" s="15"/>
      <c r="AP485" s="15"/>
      <c r="AQ485" s="104"/>
      <c r="AR485" s="15"/>
      <c r="AS485" s="15"/>
      <c r="AT485" s="15"/>
      <c r="AU485" s="15"/>
      <c r="AV485" s="104"/>
      <c r="AW485" s="15"/>
      <c r="AX485" s="15"/>
      <c r="AY485" s="15"/>
      <c r="AZ485" s="15"/>
      <c r="BA485" s="104"/>
      <c r="BB485" s="15"/>
      <c r="BC485" s="15"/>
      <c r="BD485" s="15"/>
      <c r="BE485" s="15"/>
      <c r="BF485" s="104"/>
      <c r="BG485" s="15"/>
      <c r="BH485" s="15"/>
      <c r="BI485" s="15"/>
      <c r="BJ485" s="15"/>
      <c r="BK485" s="104"/>
      <c r="BL485" s="15"/>
      <c r="BM485" s="15"/>
      <c r="BN485" s="15"/>
      <c r="BO485" s="15"/>
      <c r="BP485" s="104"/>
      <c r="BQ485" s="15"/>
      <c r="BR485" s="15"/>
      <c r="BS485" s="15"/>
      <c r="BT485" s="15"/>
      <c r="BU485" s="104"/>
      <c r="BV485" s="15"/>
      <c r="BW485" s="15"/>
      <c r="BX485" s="15"/>
      <c r="BY485" s="15"/>
      <c r="BZ485" s="24"/>
      <c r="CA485" s="15"/>
      <c r="CB485" s="15"/>
      <c r="CC485" s="15"/>
      <c r="CD485" s="15"/>
      <c r="CE485" s="24"/>
      <c r="CF485" s="15"/>
      <c r="CG485" s="15"/>
      <c r="CH485" s="15"/>
      <c r="CI485" s="15"/>
      <c r="CJ485" s="24"/>
      <c r="CK485" s="15"/>
      <c r="CL485" s="15"/>
      <c r="CM485" s="15"/>
      <c r="CN485" s="40"/>
      <c r="CO485" s="24"/>
      <c r="CP485" s="104"/>
      <c r="CQ485" s="104"/>
      <c r="CR485" s="104"/>
      <c r="CS485" s="104"/>
      <c r="CT485" s="24"/>
      <c r="CU485" s="104"/>
      <c r="CV485" s="104"/>
      <c r="CW485" s="104"/>
      <c r="CX485" s="104"/>
      <c r="CY485" s="24"/>
      <c r="CZ485" s="104"/>
      <c r="DA485" s="104"/>
      <c r="DB485" s="104"/>
      <c r="DC485" s="104"/>
      <c r="DD485" s="24"/>
      <c r="DE485" s="104"/>
      <c r="DF485" s="104"/>
      <c r="DG485" s="104"/>
      <c r="DH485" s="104"/>
      <c r="DI485" s="24"/>
      <c r="DJ485" s="104"/>
      <c r="DK485" s="104"/>
      <c r="DL485" s="104"/>
      <c r="DM485" s="104"/>
      <c r="DN485" s="24"/>
      <c r="DO485" s="104"/>
      <c r="DP485" s="104"/>
      <c r="DQ485" s="104"/>
      <c r="DR485" s="104"/>
      <c r="DS485" s="24"/>
      <c r="DT485" s="104"/>
      <c r="DU485" s="104"/>
      <c r="DV485" s="104"/>
      <c r="DW485" s="104"/>
      <c r="DX485" s="24"/>
      <c r="DY485" s="104"/>
      <c r="DZ485" s="104"/>
      <c r="EA485" s="104"/>
      <c r="EB485" s="104"/>
      <c r="EC485" s="24"/>
      <c r="ED485" s="104"/>
      <c r="EE485" s="104"/>
      <c r="EF485" s="104"/>
      <c r="EG485" s="104"/>
      <c r="EH485" s="24"/>
      <c r="EI485" s="317"/>
      <c r="EJ485" s="104"/>
      <c r="EK485" s="104"/>
      <c r="EL485" s="104"/>
      <c r="EM485" s="24"/>
      <c r="EN485" s="104"/>
      <c r="EO485" s="104"/>
      <c r="EP485" s="104"/>
      <c r="EQ485" s="104"/>
      <c r="ER485" s="24"/>
      <c r="ES485" s="104"/>
      <c r="ET485" s="104"/>
      <c r="EU485" s="104"/>
      <c r="EV485" s="104"/>
      <c r="EW485" s="24"/>
      <c r="EX485" s="104"/>
      <c r="EY485" s="104"/>
      <c r="EZ485" s="104"/>
      <c r="FA485" s="104"/>
      <c r="FB485" s="24"/>
      <c r="FC485" s="104"/>
      <c r="FD485" s="104"/>
      <c r="FE485" s="104"/>
      <c r="FF485" s="104"/>
      <c r="FG485" s="24"/>
      <c r="FH485" s="104"/>
      <c r="FI485" s="15"/>
      <c r="FJ485" s="15"/>
      <c r="FK485" s="410"/>
      <c r="FL485" s="15"/>
    </row>
    <row r="486" ht="12.75" customHeight="1">
      <c r="A486" s="4"/>
      <c r="B486" s="45"/>
      <c r="C486" s="45"/>
      <c r="D486" s="15"/>
      <c r="E486" s="15"/>
      <c r="F486" s="15"/>
      <c r="G486" s="15"/>
      <c r="H486" s="104"/>
      <c r="I486" s="15"/>
      <c r="J486" s="15"/>
      <c r="K486" s="15"/>
      <c r="L486" s="15"/>
      <c r="M486" s="104"/>
      <c r="N486" s="15"/>
      <c r="O486" s="15"/>
      <c r="P486" s="15"/>
      <c r="Q486" s="15"/>
      <c r="R486" s="104"/>
      <c r="S486" s="15"/>
      <c r="T486" s="15"/>
      <c r="U486" s="15"/>
      <c r="V486" s="15"/>
      <c r="W486" s="104"/>
      <c r="X486" s="15"/>
      <c r="Y486" s="15"/>
      <c r="Z486" s="15"/>
      <c r="AA486" s="15"/>
      <c r="AB486" s="104"/>
      <c r="AC486" s="15"/>
      <c r="AD486" s="15"/>
      <c r="AE486" s="15"/>
      <c r="AF486" s="15"/>
      <c r="AG486" s="104"/>
      <c r="AH486" s="15"/>
      <c r="AI486" s="15"/>
      <c r="AJ486" s="15"/>
      <c r="AK486" s="15"/>
      <c r="AL486" s="104"/>
      <c r="AM486" s="15"/>
      <c r="AN486" s="15"/>
      <c r="AO486" s="15"/>
      <c r="AP486" s="15"/>
      <c r="AQ486" s="104"/>
      <c r="AR486" s="15"/>
      <c r="AS486" s="15"/>
      <c r="AT486" s="15"/>
      <c r="AU486" s="15"/>
      <c r="AV486" s="104"/>
      <c r="AW486" s="15"/>
      <c r="AX486" s="15"/>
      <c r="AY486" s="15"/>
      <c r="AZ486" s="15"/>
      <c r="BA486" s="104"/>
      <c r="BB486" s="15"/>
      <c r="BC486" s="15"/>
      <c r="BD486" s="15"/>
      <c r="BE486" s="15"/>
      <c r="BF486" s="104"/>
      <c r="BG486" s="15"/>
      <c r="BH486" s="15"/>
      <c r="BI486" s="15"/>
      <c r="BJ486" s="15"/>
      <c r="BK486" s="104"/>
      <c r="BL486" s="15"/>
      <c r="BM486" s="15"/>
      <c r="BN486" s="15"/>
      <c r="BO486" s="15"/>
      <c r="BP486" s="104"/>
      <c r="BQ486" s="15"/>
      <c r="BR486" s="15"/>
      <c r="BS486" s="15"/>
      <c r="BT486" s="15"/>
      <c r="BU486" s="104"/>
      <c r="BV486" s="15"/>
      <c r="BW486" s="15"/>
      <c r="BX486" s="15"/>
      <c r="BY486" s="15"/>
      <c r="BZ486" s="24"/>
      <c r="CA486" s="15"/>
      <c r="CB486" s="15"/>
      <c r="CC486" s="15"/>
      <c r="CD486" s="15"/>
      <c r="CE486" s="24"/>
      <c r="CF486" s="15"/>
      <c r="CG486" s="15"/>
      <c r="CH486" s="15"/>
      <c r="CI486" s="15"/>
      <c r="CJ486" s="24"/>
      <c r="CK486" s="15"/>
      <c r="CL486" s="15"/>
      <c r="CM486" s="15"/>
      <c r="CN486" s="40"/>
      <c r="CO486" s="24"/>
      <c r="CP486" s="104"/>
      <c r="CQ486" s="104"/>
      <c r="CR486" s="104"/>
      <c r="CS486" s="104"/>
      <c r="CT486" s="24"/>
      <c r="CU486" s="104"/>
      <c r="CV486" s="104"/>
      <c r="CW486" s="104"/>
      <c r="CX486" s="104"/>
      <c r="CY486" s="24"/>
      <c r="CZ486" s="104"/>
      <c r="DA486" s="104"/>
      <c r="DB486" s="104"/>
      <c r="DC486" s="104"/>
      <c r="DD486" s="24"/>
      <c r="DE486" s="104"/>
      <c r="DF486" s="104"/>
      <c r="DG486" s="104"/>
      <c r="DH486" s="104"/>
      <c r="DI486" s="24"/>
      <c r="DJ486" s="104"/>
      <c r="DK486" s="104"/>
      <c r="DL486" s="104"/>
      <c r="DM486" s="104"/>
      <c r="DN486" s="24"/>
      <c r="DO486" s="104"/>
      <c r="DP486" s="104"/>
      <c r="DQ486" s="104"/>
      <c r="DR486" s="104"/>
      <c r="DS486" s="24"/>
      <c r="DT486" s="104"/>
      <c r="DU486" s="104"/>
      <c r="DV486" s="104"/>
      <c r="DW486" s="104"/>
      <c r="DX486" s="24"/>
      <c r="DY486" s="104"/>
      <c r="DZ486" s="104"/>
      <c r="EA486" s="104"/>
      <c r="EB486" s="104"/>
      <c r="EC486" s="24"/>
      <c r="ED486" s="104"/>
      <c r="EE486" s="104"/>
      <c r="EF486" s="104"/>
      <c r="EG486" s="104"/>
      <c r="EH486" s="24"/>
      <c r="EI486" s="317"/>
      <c r="EJ486" s="104"/>
      <c r="EK486" s="104"/>
      <c r="EL486" s="104"/>
      <c r="EM486" s="24"/>
      <c r="EN486" s="104"/>
      <c r="EO486" s="104"/>
      <c r="EP486" s="104"/>
      <c r="EQ486" s="104"/>
      <c r="ER486" s="24"/>
      <c r="ES486" s="104"/>
      <c r="ET486" s="104"/>
      <c r="EU486" s="104"/>
      <c r="EV486" s="104"/>
      <c r="EW486" s="24"/>
      <c r="EX486" s="104"/>
      <c r="EY486" s="104"/>
      <c r="EZ486" s="104"/>
      <c r="FA486" s="104"/>
      <c r="FB486" s="24"/>
      <c r="FC486" s="104"/>
      <c r="FD486" s="104"/>
      <c r="FE486" s="104"/>
      <c r="FF486" s="104"/>
      <c r="FG486" s="24"/>
      <c r="FH486" s="104"/>
      <c r="FI486" s="15"/>
      <c r="FJ486" s="15"/>
      <c r="FK486" s="410"/>
      <c r="FL486" s="15"/>
    </row>
    <row r="487" ht="12.75" customHeight="1">
      <c r="A487" s="4"/>
      <c r="B487" s="45"/>
      <c r="C487" s="45"/>
      <c r="D487" s="15"/>
      <c r="E487" s="15"/>
      <c r="F487" s="15"/>
      <c r="G487" s="15"/>
      <c r="H487" s="104"/>
      <c r="I487" s="15"/>
      <c r="J487" s="15"/>
      <c r="K487" s="15"/>
      <c r="L487" s="15"/>
      <c r="M487" s="104"/>
      <c r="N487" s="15"/>
      <c r="O487" s="15"/>
      <c r="P487" s="15"/>
      <c r="Q487" s="15"/>
      <c r="R487" s="104"/>
      <c r="S487" s="15"/>
      <c r="T487" s="15"/>
      <c r="U487" s="15"/>
      <c r="V487" s="15"/>
      <c r="W487" s="104"/>
      <c r="X487" s="15"/>
      <c r="Y487" s="15"/>
      <c r="Z487" s="15"/>
      <c r="AA487" s="15"/>
      <c r="AB487" s="104"/>
      <c r="AC487" s="15"/>
      <c r="AD487" s="15"/>
      <c r="AE487" s="15"/>
      <c r="AF487" s="15"/>
      <c r="AG487" s="104"/>
      <c r="AH487" s="15"/>
      <c r="AI487" s="15"/>
      <c r="AJ487" s="15"/>
      <c r="AK487" s="15"/>
      <c r="AL487" s="104"/>
      <c r="AM487" s="15"/>
      <c r="AN487" s="15"/>
      <c r="AO487" s="15"/>
      <c r="AP487" s="15"/>
      <c r="AQ487" s="104"/>
      <c r="AR487" s="15"/>
      <c r="AS487" s="15"/>
      <c r="AT487" s="15"/>
      <c r="AU487" s="15"/>
      <c r="AV487" s="104"/>
      <c r="AW487" s="15"/>
      <c r="AX487" s="15"/>
      <c r="AY487" s="15"/>
      <c r="AZ487" s="15"/>
      <c r="BA487" s="104"/>
      <c r="BB487" s="15"/>
      <c r="BC487" s="15"/>
      <c r="BD487" s="15"/>
      <c r="BE487" s="15"/>
      <c r="BF487" s="104"/>
      <c r="BG487" s="15"/>
      <c r="BH487" s="15"/>
      <c r="BI487" s="15"/>
      <c r="BJ487" s="15"/>
      <c r="BK487" s="104"/>
      <c r="BL487" s="15"/>
      <c r="BM487" s="15"/>
      <c r="BN487" s="15"/>
      <c r="BO487" s="15"/>
      <c r="BP487" s="104"/>
      <c r="BQ487" s="15"/>
      <c r="BR487" s="15"/>
      <c r="BS487" s="15"/>
      <c r="BT487" s="15"/>
      <c r="BU487" s="104"/>
      <c r="BV487" s="15"/>
      <c r="BW487" s="15"/>
      <c r="BX487" s="15"/>
      <c r="BY487" s="15"/>
      <c r="BZ487" s="24"/>
      <c r="CA487" s="15"/>
      <c r="CB487" s="15"/>
      <c r="CC487" s="15"/>
      <c r="CD487" s="15"/>
      <c r="CE487" s="24"/>
      <c r="CF487" s="15"/>
      <c r="CG487" s="15"/>
      <c r="CH487" s="15"/>
      <c r="CI487" s="15"/>
      <c r="CJ487" s="24"/>
      <c r="CK487" s="15"/>
      <c r="CL487" s="15"/>
      <c r="CM487" s="15"/>
      <c r="CN487" s="40"/>
      <c r="CO487" s="24"/>
      <c r="CP487" s="104"/>
      <c r="CQ487" s="104"/>
      <c r="CR487" s="104"/>
      <c r="CS487" s="104"/>
      <c r="CT487" s="24"/>
      <c r="CU487" s="104"/>
      <c r="CV487" s="104"/>
      <c r="CW487" s="104"/>
      <c r="CX487" s="104"/>
      <c r="CY487" s="24"/>
      <c r="CZ487" s="104"/>
      <c r="DA487" s="104"/>
      <c r="DB487" s="104"/>
      <c r="DC487" s="104"/>
      <c r="DD487" s="24"/>
      <c r="DE487" s="104"/>
      <c r="DF487" s="104"/>
      <c r="DG487" s="104"/>
      <c r="DH487" s="104"/>
      <c r="DI487" s="24"/>
      <c r="DJ487" s="104"/>
      <c r="DK487" s="104"/>
      <c r="DL487" s="104"/>
      <c r="DM487" s="104"/>
      <c r="DN487" s="24"/>
      <c r="DO487" s="104"/>
      <c r="DP487" s="104"/>
      <c r="DQ487" s="104"/>
      <c r="DR487" s="104"/>
      <c r="DS487" s="24"/>
      <c r="DT487" s="104"/>
      <c r="DU487" s="104"/>
      <c r="DV487" s="104"/>
      <c r="DW487" s="104"/>
      <c r="DX487" s="24"/>
      <c r="DY487" s="104"/>
      <c r="DZ487" s="104"/>
      <c r="EA487" s="104"/>
      <c r="EB487" s="104"/>
      <c r="EC487" s="24"/>
      <c r="ED487" s="104"/>
      <c r="EE487" s="104"/>
      <c r="EF487" s="104"/>
      <c r="EG487" s="104"/>
      <c r="EH487" s="24"/>
      <c r="EI487" s="317"/>
      <c r="EJ487" s="104"/>
      <c r="EK487" s="104"/>
      <c r="EL487" s="104"/>
      <c r="EM487" s="24"/>
      <c r="EN487" s="104"/>
      <c r="EO487" s="104"/>
      <c r="EP487" s="104"/>
      <c r="EQ487" s="104"/>
      <c r="ER487" s="24"/>
      <c r="ES487" s="104"/>
      <c r="ET487" s="104"/>
      <c r="EU487" s="104"/>
      <c r="EV487" s="104"/>
      <c r="EW487" s="24"/>
      <c r="EX487" s="104"/>
      <c r="EY487" s="104"/>
      <c r="EZ487" s="104"/>
      <c r="FA487" s="104"/>
      <c r="FB487" s="24"/>
      <c r="FC487" s="104"/>
      <c r="FD487" s="104"/>
      <c r="FE487" s="104"/>
      <c r="FF487" s="104"/>
      <c r="FG487" s="24"/>
      <c r="FH487" s="104"/>
      <c r="FI487" s="15"/>
      <c r="FJ487" s="15"/>
      <c r="FK487" s="410"/>
      <c r="FL487" s="15"/>
    </row>
    <row r="488" ht="12.75" customHeight="1">
      <c r="A488" s="4"/>
      <c r="B488" s="45"/>
      <c r="C488" s="45"/>
      <c r="D488" s="15"/>
      <c r="E488" s="15"/>
      <c r="F488" s="15"/>
      <c r="G488" s="15"/>
      <c r="H488" s="104"/>
      <c r="I488" s="15"/>
      <c r="J488" s="15"/>
      <c r="K488" s="15"/>
      <c r="L488" s="15"/>
      <c r="M488" s="104"/>
      <c r="N488" s="15"/>
      <c r="O488" s="15"/>
      <c r="P488" s="15"/>
      <c r="Q488" s="15"/>
      <c r="R488" s="104"/>
      <c r="S488" s="15"/>
      <c r="T488" s="15"/>
      <c r="U488" s="15"/>
      <c r="V488" s="15"/>
      <c r="W488" s="104"/>
      <c r="X488" s="15"/>
      <c r="Y488" s="15"/>
      <c r="Z488" s="15"/>
      <c r="AA488" s="15"/>
      <c r="AB488" s="104"/>
      <c r="AC488" s="15"/>
      <c r="AD488" s="15"/>
      <c r="AE488" s="15"/>
      <c r="AF488" s="15"/>
      <c r="AG488" s="104"/>
      <c r="AH488" s="15"/>
      <c r="AI488" s="15"/>
      <c r="AJ488" s="15"/>
      <c r="AK488" s="15"/>
      <c r="AL488" s="104"/>
      <c r="AM488" s="15"/>
      <c r="AN488" s="15"/>
      <c r="AO488" s="15"/>
      <c r="AP488" s="15"/>
      <c r="AQ488" s="104"/>
      <c r="AR488" s="15"/>
      <c r="AS488" s="15"/>
      <c r="AT488" s="15"/>
      <c r="AU488" s="15"/>
      <c r="AV488" s="104"/>
      <c r="AW488" s="15"/>
      <c r="AX488" s="15"/>
      <c r="AY488" s="15"/>
      <c r="AZ488" s="15"/>
      <c r="BA488" s="104"/>
      <c r="BB488" s="15"/>
      <c r="BC488" s="15"/>
      <c r="BD488" s="15"/>
      <c r="BE488" s="15"/>
      <c r="BF488" s="104"/>
      <c r="BG488" s="15"/>
      <c r="BH488" s="15"/>
      <c r="BI488" s="15"/>
      <c r="BJ488" s="15"/>
      <c r="BK488" s="104"/>
      <c r="BL488" s="15"/>
      <c r="BM488" s="15"/>
      <c r="BN488" s="15"/>
      <c r="BO488" s="15"/>
      <c r="BP488" s="104"/>
      <c r="BQ488" s="15"/>
      <c r="BR488" s="15"/>
      <c r="BS488" s="15"/>
      <c r="BT488" s="15"/>
      <c r="BU488" s="104"/>
      <c r="BV488" s="15"/>
      <c r="BW488" s="15"/>
      <c r="BX488" s="15"/>
      <c r="BY488" s="15"/>
      <c r="BZ488" s="24"/>
      <c r="CA488" s="15"/>
      <c r="CB488" s="15"/>
      <c r="CC488" s="15"/>
      <c r="CD488" s="15"/>
      <c r="CE488" s="24"/>
      <c r="CF488" s="15"/>
      <c r="CG488" s="15"/>
      <c r="CH488" s="15"/>
      <c r="CI488" s="15"/>
      <c r="CJ488" s="24"/>
      <c r="CK488" s="15"/>
      <c r="CL488" s="15"/>
      <c r="CM488" s="15"/>
      <c r="CN488" s="40"/>
      <c r="CO488" s="24"/>
      <c r="CP488" s="104"/>
      <c r="CQ488" s="104"/>
      <c r="CR488" s="104"/>
      <c r="CS488" s="104"/>
      <c r="CT488" s="24"/>
      <c r="CU488" s="104"/>
      <c r="CV488" s="104"/>
      <c r="CW488" s="104"/>
      <c r="CX488" s="104"/>
      <c r="CY488" s="24"/>
      <c r="CZ488" s="104"/>
      <c r="DA488" s="104"/>
      <c r="DB488" s="104"/>
      <c r="DC488" s="104"/>
      <c r="DD488" s="24"/>
      <c r="DE488" s="104"/>
      <c r="DF488" s="104"/>
      <c r="DG488" s="104"/>
      <c r="DH488" s="104"/>
      <c r="DI488" s="24"/>
      <c r="DJ488" s="104"/>
      <c r="DK488" s="104"/>
      <c r="DL488" s="104"/>
      <c r="DM488" s="104"/>
      <c r="DN488" s="24"/>
      <c r="DO488" s="104"/>
      <c r="DP488" s="104"/>
      <c r="DQ488" s="104"/>
      <c r="DR488" s="104"/>
      <c r="DS488" s="24"/>
      <c r="DT488" s="104"/>
      <c r="DU488" s="104"/>
      <c r="DV488" s="104"/>
      <c r="DW488" s="104"/>
      <c r="DX488" s="24"/>
      <c r="DY488" s="104"/>
      <c r="DZ488" s="104"/>
      <c r="EA488" s="104"/>
      <c r="EB488" s="104"/>
      <c r="EC488" s="24"/>
      <c r="ED488" s="104"/>
      <c r="EE488" s="104"/>
      <c r="EF488" s="104"/>
      <c r="EG488" s="104"/>
      <c r="EH488" s="24"/>
      <c r="EI488" s="317"/>
      <c r="EJ488" s="104"/>
      <c r="EK488" s="104"/>
      <c r="EL488" s="104"/>
      <c r="EM488" s="24"/>
      <c r="EN488" s="104"/>
      <c r="EO488" s="104"/>
      <c r="EP488" s="104"/>
      <c r="EQ488" s="104"/>
      <c r="ER488" s="24"/>
      <c r="ES488" s="104"/>
      <c r="ET488" s="104"/>
      <c r="EU488" s="104"/>
      <c r="EV488" s="104"/>
      <c r="EW488" s="24"/>
      <c r="EX488" s="104"/>
      <c r="EY488" s="104"/>
      <c r="EZ488" s="104"/>
      <c r="FA488" s="104"/>
      <c r="FB488" s="24"/>
      <c r="FC488" s="104"/>
      <c r="FD488" s="104"/>
      <c r="FE488" s="104"/>
      <c r="FF488" s="104"/>
      <c r="FG488" s="24"/>
      <c r="FH488" s="104"/>
      <c r="FI488" s="15"/>
      <c r="FJ488" s="15"/>
      <c r="FK488" s="410"/>
      <c r="FL488" s="15"/>
    </row>
    <row r="489" ht="12.75" customHeight="1">
      <c r="A489" s="4"/>
      <c r="B489" s="45"/>
      <c r="C489" s="45"/>
      <c r="D489" s="15"/>
      <c r="E489" s="15"/>
      <c r="F489" s="15"/>
      <c r="G489" s="15"/>
      <c r="H489" s="104"/>
      <c r="I489" s="15"/>
      <c r="J489" s="15"/>
      <c r="K489" s="15"/>
      <c r="L489" s="15"/>
      <c r="M489" s="104"/>
      <c r="N489" s="15"/>
      <c r="O489" s="15"/>
      <c r="P489" s="15"/>
      <c r="Q489" s="15"/>
      <c r="R489" s="104"/>
      <c r="S489" s="15"/>
      <c r="T489" s="15"/>
      <c r="U489" s="15"/>
      <c r="V489" s="15"/>
      <c r="W489" s="104"/>
      <c r="X489" s="15"/>
      <c r="Y489" s="15"/>
      <c r="Z489" s="15"/>
      <c r="AA489" s="15"/>
      <c r="AB489" s="104"/>
      <c r="AC489" s="15"/>
      <c r="AD489" s="15"/>
      <c r="AE489" s="15"/>
      <c r="AF489" s="15"/>
      <c r="AG489" s="104"/>
      <c r="AH489" s="15"/>
      <c r="AI489" s="15"/>
      <c r="AJ489" s="15"/>
      <c r="AK489" s="15"/>
      <c r="AL489" s="104"/>
      <c r="AM489" s="15"/>
      <c r="AN489" s="15"/>
      <c r="AO489" s="15"/>
      <c r="AP489" s="15"/>
      <c r="AQ489" s="104"/>
      <c r="AR489" s="15"/>
      <c r="AS489" s="15"/>
      <c r="AT489" s="15"/>
      <c r="AU489" s="15"/>
      <c r="AV489" s="104"/>
      <c r="AW489" s="15"/>
      <c r="AX489" s="15"/>
      <c r="AY489" s="15"/>
      <c r="AZ489" s="15"/>
      <c r="BA489" s="104"/>
      <c r="BB489" s="15"/>
      <c r="BC489" s="15"/>
      <c r="BD489" s="15"/>
      <c r="BE489" s="15"/>
      <c r="BF489" s="104"/>
      <c r="BG489" s="15"/>
      <c r="BH489" s="15"/>
      <c r="BI489" s="15"/>
      <c r="BJ489" s="15"/>
      <c r="BK489" s="104"/>
      <c r="BL489" s="15"/>
      <c r="BM489" s="15"/>
      <c r="BN489" s="15"/>
      <c r="BO489" s="15"/>
      <c r="BP489" s="104"/>
      <c r="BQ489" s="15"/>
      <c r="BR489" s="15"/>
      <c r="BS489" s="15"/>
      <c r="BT489" s="15"/>
      <c r="BU489" s="104"/>
      <c r="BV489" s="15"/>
      <c r="BW489" s="15"/>
      <c r="BX489" s="15"/>
      <c r="BY489" s="15"/>
      <c r="BZ489" s="24"/>
      <c r="CA489" s="15"/>
      <c r="CB489" s="15"/>
      <c r="CC489" s="15"/>
      <c r="CD489" s="15"/>
      <c r="CE489" s="24"/>
      <c r="CF489" s="15"/>
      <c r="CG489" s="15"/>
      <c r="CH489" s="15"/>
      <c r="CI489" s="15"/>
      <c r="CJ489" s="24"/>
      <c r="CK489" s="15"/>
      <c r="CL489" s="15"/>
      <c r="CM489" s="15"/>
      <c r="CN489" s="40"/>
      <c r="CO489" s="24"/>
      <c r="CP489" s="104"/>
      <c r="CQ489" s="104"/>
      <c r="CR489" s="104"/>
      <c r="CS489" s="104"/>
      <c r="CT489" s="24"/>
      <c r="CU489" s="104"/>
      <c r="CV489" s="104"/>
      <c r="CW489" s="104"/>
      <c r="CX489" s="104"/>
      <c r="CY489" s="24"/>
      <c r="CZ489" s="104"/>
      <c r="DA489" s="104"/>
      <c r="DB489" s="104"/>
      <c r="DC489" s="104"/>
      <c r="DD489" s="24"/>
      <c r="DE489" s="104"/>
      <c r="DF489" s="104"/>
      <c r="DG489" s="104"/>
      <c r="DH489" s="104"/>
      <c r="DI489" s="24"/>
      <c r="DJ489" s="104"/>
      <c r="DK489" s="104"/>
      <c r="DL489" s="104"/>
      <c r="DM489" s="104"/>
      <c r="DN489" s="24"/>
      <c r="DO489" s="104"/>
      <c r="DP489" s="104"/>
      <c r="DQ489" s="104"/>
      <c r="DR489" s="104"/>
      <c r="DS489" s="24"/>
      <c r="DT489" s="104"/>
      <c r="DU489" s="104"/>
      <c r="DV489" s="104"/>
      <c r="DW489" s="104"/>
      <c r="DX489" s="24"/>
      <c r="DY489" s="104"/>
      <c r="DZ489" s="104"/>
      <c r="EA489" s="104"/>
      <c r="EB489" s="104"/>
      <c r="EC489" s="24"/>
      <c r="ED489" s="104"/>
      <c r="EE489" s="104"/>
      <c r="EF489" s="104"/>
      <c r="EG489" s="104"/>
      <c r="EH489" s="24"/>
      <c r="EI489" s="317"/>
      <c r="EJ489" s="104"/>
      <c r="EK489" s="104"/>
      <c r="EL489" s="104"/>
      <c r="EM489" s="24"/>
      <c r="EN489" s="104"/>
      <c r="EO489" s="104"/>
      <c r="EP489" s="104"/>
      <c r="EQ489" s="104"/>
      <c r="ER489" s="24"/>
      <c r="ES489" s="104"/>
      <c r="ET489" s="104"/>
      <c r="EU489" s="104"/>
      <c r="EV489" s="104"/>
      <c r="EW489" s="24"/>
      <c r="EX489" s="104"/>
      <c r="EY489" s="104"/>
      <c r="EZ489" s="104"/>
      <c r="FA489" s="104"/>
      <c r="FB489" s="24"/>
      <c r="FC489" s="104"/>
      <c r="FD489" s="104"/>
      <c r="FE489" s="104"/>
      <c r="FF489" s="104"/>
      <c r="FG489" s="24"/>
      <c r="FH489" s="104"/>
      <c r="FI489" s="15"/>
      <c r="FJ489" s="15"/>
      <c r="FK489" s="410"/>
      <c r="FL489" s="15"/>
    </row>
    <row r="490" ht="12.75" customHeight="1">
      <c r="A490" s="4"/>
      <c r="B490" s="45"/>
      <c r="C490" s="45"/>
      <c r="D490" s="15"/>
      <c r="E490" s="15"/>
      <c r="F490" s="15"/>
      <c r="G490" s="15"/>
      <c r="H490" s="104"/>
      <c r="I490" s="15"/>
      <c r="J490" s="15"/>
      <c r="K490" s="15"/>
      <c r="L490" s="15"/>
      <c r="M490" s="104"/>
      <c r="N490" s="15"/>
      <c r="O490" s="15"/>
      <c r="P490" s="15"/>
      <c r="Q490" s="15"/>
      <c r="R490" s="104"/>
      <c r="S490" s="15"/>
      <c r="T490" s="15"/>
      <c r="U490" s="15"/>
      <c r="V490" s="15"/>
      <c r="W490" s="104"/>
      <c r="X490" s="15"/>
      <c r="Y490" s="15"/>
      <c r="Z490" s="15"/>
      <c r="AA490" s="15"/>
      <c r="AB490" s="104"/>
      <c r="AC490" s="15"/>
      <c r="AD490" s="15"/>
      <c r="AE490" s="15"/>
      <c r="AF490" s="15"/>
      <c r="AG490" s="104"/>
      <c r="AH490" s="15"/>
      <c r="AI490" s="15"/>
      <c r="AJ490" s="15"/>
      <c r="AK490" s="15"/>
      <c r="AL490" s="104"/>
      <c r="AM490" s="15"/>
      <c r="AN490" s="15"/>
      <c r="AO490" s="15"/>
      <c r="AP490" s="15"/>
      <c r="AQ490" s="104"/>
      <c r="AR490" s="15"/>
      <c r="AS490" s="15"/>
      <c r="AT490" s="15"/>
      <c r="AU490" s="15"/>
      <c r="AV490" s="104"/>
      <c r="AW490" s="15"/>
      <c r="AX490" s="15"/>
      <c r="AY490" s="15"/>
      <c r="AZ490" s="15"/>
      <c r="BA490" s="104"/>
      <c r="BB490" s="15"/>
      <c r="BC490" s="15"/>
      <c r="BD490" s="15"/>
      <c r="BE490" s="15"/>
      <c r="BF490" s="104"/>
      <c r="BG490" s="15"/>
      <c r="BH490" s="15"/>
      <c r="BI490" s="15"/>
      <c r="BJ490" s="15"/>
      <c r="BK490" s="104"/>
      <c r="BL490" s="15"/>
      <c r="BM490" s="15"/>
      <c r="BN490" s="15"/>
      <c r="BO490" s="15"/>
      <c r="BP490" s="104"/>
      <c r="BQ490" s="15"/>
      <c r="BR490" s="15"/>
      <c r="BS490" s="15"/>
      <c r="BT490" s="15"/>
      <c r="BU490" s="104"/>
      <c r="BV490" s="15"/>
      <c r="BW490" s="15"/>
      <c r="BX490" s="15"/>
      <c r="BY490" s="15"/>
      <c r="BZ490" s="24"/>
      <c r="CA490" s="15"/>
      <c r="CB490" s="15"/>
      <c r="CC490" s="15"/>
      <c r="CD490" s="15"/>
      <c r="CE490" s="24"/>
      <c r="CF490" s="15"/>
      <c r="CG490" s="15"/>
      <c r="CH490" s="15"/>
      <c r="CI490" s="15"/>
      <c r="CJ490" s="24"/>
      <c r="CK490" s="15"/>
      <c r="CL490" s="15"/>
      <c r="CM490" s="15"/>
      <c r="CN490" s="40"/>
      <c r="CO490" s="24"/>
      <c r="CP490" s="104"/>
      <c r="CQ490" s="104"/>
      <c r="CR490" s="104"/>
      <c r="CS490" s="104"/>
      <c r="CT490" s="24"/>
      <c r="CU490" s="104"/>
      <c r="CV490" s="104"/>
      <c r="CW490" s="104"/>
      <c r="CX490" s="104"/>
      <c r="CY490" s="24"/>
      <c r="CZ490" s="104"/>
      <c r="DA490" s="104"/>
      <c r="DB490" s="104"/>
      <c r="DC490" s="104"/>
      <c r="DD490" s="24"/>
      <c r="DE490" s="104"/>
      <c r="DF490" s="104"/>
      <c r="DG490" s="104"/>
      <c r="DH490" s="104"/>
      <c r="DI490" s="24"/>
      <c r="DJ490" s="104"/>
      <c r="DK490" s="104"/>
      <c r="DL490" s="104"/>
      <c r="DM490" s="104"/>
      <c r="DN490" s="24"/>
      <c r="DO490" s="104"/>
      <c r="DP490" s="104"/>
      <c r="DQ490" s="104"/>
      <c r="DR490" s="104"/>
      <c r="DS490" s="24"/>
      <c r="DT490" s="104"/>
      <c r="DU490" s="104"/>
      <c r="DV490" s="104"/>
      <c r="DW490" s="104"/>
      <c r="DX490" s="24"/>
      <c r="DY490" s="104"/>
      <c r="DZ490" s="104"/>
      <c r="EA490" s="104"/>
      <c r="EB490" s="104"/>
      <c r="EC490" s="24"/>
      <c r="ED490" s="104"/>
      <c r="EE490" s="104"/>
      <c r="EF490" s="104"/>
      <c r="EG490" s="104"/>
      <c r="EH490" s="24"/>
      <c r="EI490" s="317"/>
      <c r="EJ490" s="104"/>
      <c r="EK490" s="104"/>
      <c r="EL490" s="104"/>
      <c r="EM490" s="24"/>
      <c r="EN490" s="104"/>
      <c r="EO490" s="104"/>
      <c r="EP490" s="104"/>
      <c r="EQ490" s="104"/>
      <c r="ER490" s="24"/>
      <c r="ES490" s="104"/>
      <c r="ET490" s="104"/>
      <c r="EU490" s="104"/>
      <c r="EV490" s="104"/>
      <c r="EW490" s="24"/>
      <c r="EX490" s="104"/>
      <c r="EY490" s="104"/>
      <c r="EZ490" s="104"/>
      <c r="FA490" s="104"/>
      <c r="FB490" s="24"/>
      <c r="FC490" s="104"/>
      <c r="FD490" s="104"/>
      <c r="FE490" s="104"/>
      <c r="FF490" s="104"/>
      <c r="FG490" s="24"/>
      <c r="FH490" s="104"/>
      <c r="FI490" s="15"/>
      <c r="FJ490" s="15"/>
      <c r="FK490" s="410"/>
      <c r="FL490" s="15"/>
    </row>
    <row r="491" ht="12.75" customHeight="1">
      <c r="A491" s="4"/>
      <c r="B491" s="45"/>
      <c r="C491" s="45"/>
      <c r="D491" s="15"/>
      <c r="E491" s="15"/>
      <c r="F491" s="15"/>
      <c r="G491" s="15"/>
      <c r="H491" s="104"/>
      <c r="I491" s="15"/>
      <c r="J491" s="15"/>
      <c r="K491" s="15"/>
      <c r="L491" s="15"/>
      <c r="M491" s="104"/>
      <c r="N491" s="15"/>
      <c r="O491" s="15"/>
      <c r="P491" s="15"/>
      <c r="Q491" s="15"/>
      <c r="R491" s="104"/>
      <c r="S491" s="15"/>
      <c r="T491" s="15"/>
      <c r="U491" s="15"/>
      <c r="V491" s="15"/>
      <c r="W491" s="104"/>
      <c r="X491" s="15"/>
      <c r="Y491" s="15"/>
      <c r="Z491" s="15"/>
      <c r="AA491" s="15"/>
      <c r="AB491" s="104"/>
      <c r="AC491" s="15"/>
      <c r="AD491" s="15"/>
      <c r="AE491" s="15"/>
      <c r="AF491" s="15"/>
      <c r="AG491" s="104"/>
      <c r="AH491" s="15"/>
      <c r="AI491" s="15"/>
      <c r="AJ491" s="15"/>
      <c r="AK491" s="15"/>
      <c r="AL491" s="104"/>
      <c r="AM491" s="15"/>
      <c r="AN491" s="15"/>
      <c r="AO491" s="15"/>
      <c r="AP491" s="15"/>
      <c r="AQ491" s="104"/>
      <c r="AR491" s="15"/>
      <c r="AS491" s="15"/>
      <c r="AT491" s="15"/>
      <c r="AU491" s="15"/>
      <c r="AV491" s="104"/>
      <c r="AW491" s="15"/>
      <c r="AX491" s="15"/>
      <c r="AY491" s="15"/>
      <c r="AZ491" s="15"/>
      <c r="BA491" s="104"/>
      <c r="BB491" s="15"/>
      <c r="BC491" s="15"/>
      <c r="BD491" s="15"/>
      <c r="BE491" s="15"/>
      <c r="BF491" s="104"/>
      <c r="BG491" s="15"/>
      <c r="BH491" s="15"/>
      <c r="BI491" s="15"/>
      <c r="BJ491" s="15"/>
      <c r="BK491" s="104"/>
      <c r="BL491" s="15"/>
      <c r="BM491" s="15"/>
      <c r="BN491" s="15"/>
      <c r="BO491" s="15"/>
      <c r="BP491" s="104"/>
      <c r="BQ491" s="15"/>
      <c r="BR491" s="15"/>
      <c r="BS491" s="15"/>
      <c r="BT491" s="15"/>
      <c r="BU491" s="104"/>
      <c r="BV491" s="15"/>
      <c r="BW491" s="15"/>
      <c r="BX491" s="15"/>
      <c r="BY491" s="15"/>
      <c r="BZ491" s="24"/>
      <c r="CA491" s="15"/>
      <c r="CB491" s="15"/>
      <c r="CC491" s="15"/>
      <c r="CD491" s="15"/>
      <c r="CE491" s="24"/>
      <c r="CF491" s="15"/>
      <c r="CG491" s="15"/>
      <c r="CH491" s="15"/>
      <c r="CI491" s="15"/>
      <c r="CJ491" s="24"/>
      <c r="CK491" s="15"/>
      <c r="CL491" s="15"/>
      <c r="CM491" s="15"/>
      <c r="CN491" s="40"/>
      <c r="CO491" s="24"/>
      <c r="CP491" s="104"/>
      <c r="CQ491" s="104"/>
      <c r="CR491" s="104"/>
      <c r="CS491" s="104"/>
      <c r="CT491" s="24"/>
      <c r="CU491" s="104"/>
      <c r="CV491" s="104"/>
      <c r="CW491" s="104"/>
      <c r="CX491" s="104"/>
      <c r="CY491" s="24"/>
      <c r="CZ491" s="104"/>
      <c r="DA491" s="104"/>
      <c r="DB491" s="104"/>
      <c r="DC491" s="104"/>
      <c r="DD491" s="24"/>
      <c r="DE491" s="104"/>
      <c r="DF491" s="104"/>
      <c r="DG491" s="104"/>
      <c r="DH491" s="104"/>
      <c r="DI491" s="24"/>
      <c r="DJ491" s="104"/>
      <c r="DK491" s="104"/>
      <c r="DL491" s="104"/>
      <c r="DM491" s="104"/>
      <c r="DN491" s="24"/>
      <c r="DO491" s="104"/>
      <c r="DP491" s="104"/>
      <c r="DQ491" s="104"/>
      <c r="DR491" s="104"/>
      <c r="DS491" s="24"/>
      <c r="DT491" s="104"/>
      <c r="DU491" s="104"/>
      <c r="DV491" s="104"/>
      <c r="DW491" s="104"/>
      <c r="DX491" s="24"/>
      <c r="DY491" s="104"/>
      <c r="DZ491" s="104"/>
      <c r="EA491" s="104"/>
      <c r="EB491" s="104"/>
      <c r="EC491" s="24"/>
      <c r="ED491" s="104"/>
      <c r="EE491" s="104"/>
      <c r="EF491" s="104"/>
      <c r="EG491" s="104"/>
      <c r="EH491" s="24"/>
      <c r="EI491" s="317"/>
      <c r="EJ491" s="104"/>
      <c r="EK491" s="104"/>
      <c r="EL491" s="104"/>
      <c r="EM491" s="24"/>
      <c r="EN491" s="104"/>
      <c r="EO491" s="104"/>
      <c r="EP491" s="104"/>
      <c r="EQ491" s="104"/>
      <c r="ER491" s="24"/>
      <c r="ES491" s="104"/>
      <c r="ET491" s="104"/>
      <c r="EU491" s="104"/>
      <c r="EV491" s="104"/>
      <c r="EW491" s="24"/>
      <c r="EX491" s="104"/>
      <c r="EY491" s="104"/>
      <c r="EZ491" s="104"/>
      <c r="FA491" s="104"/>
      <c r="FB491" s="24"/>
      <c r="FC491" s="104"/>
      <c r="FD491" s="104"/>
      <c r="FE491" s="104"/>
      <c r="FF491" s="104"/>
      <c r="FG491" s="24"/>
      <c r="FH491" s="104"/>
      <c r="FI491" s="15"/>
      <c r="FJ491" s="15"/>
      <c r="FK491" s="410"/>
      <c r="FL491" s="15"/>
    </row>
    <row r="492" ht="12.75" customHeight="1">
      <c r="A492" s="4"/>
      <c r="B492" s="45"/>
      <c r="C492" s="45"/>
      <c r="D492" s="15"/>
      <c r="E492" s="15"/>
      <c r="F492" s="15"/>
      <c r="G492" s="15"/>
      <c r="H492" s="104"/>
      <c r="I492" s="15"/>
      <c r="J492" s="15"/>
      <c r="K492" s="15"/>
      <c r="L492" s="15"/>
      <c r="M492" s="104"/>
      <c r="N492" s="15"/>
      <c r="O492" s="15"/>
      <c r="P492" s="15"/>
      <c r="Q492" s="15"/>
      <c r="R492" s="104"/>
      <c r="S492" s="15"/>
      <c r="T492" s="15"/>
      <c r="U492" s="15"/>
      <c r="V492" s="15"/>
      <c r="W492" s="104"/>
      <c r="X492" s="15"/>
      <c r="Y492" s="15"/>
      <c r="Z492" s="15"/>
      <c r="AA492" s="15"/>
      <c r="AB492" s="104"/>
      <c r="AC492" s="15"/>
      <c r="AD492" s="15"/>
      <c r="AE492" s="15"/>
      <c r="AF492" s="15"/>
      <c r="AG492" s="104"/>
      <c r="AH492" s="15"/>
      <c r="AI492" s="15"/>
      <c r="AJ492" s="15"/>
      <c r="AK492" s="15"/>
      <c r="AL492" s="104"/>
      <c r="AM492" s="15"/>
      <c r="AN492" s="15"/>
      <c r="AO492" s="15"/>
      <c r="AP492" s="15"/>
      <c r="AQ492" s="104"/>
      <c r="AR492" s="15"/>
      <c r="AS492" s="15"/>
      <c r="AT492" s="15"/>
      <c r="AU492" s="15"/>
      <c r="AV492" s="104"/>
      <c r="AW492" s="15"/>
      <c r="AX492" s="15"/>
      <c r="AY492" s="15"/>
      <c r="AZ492" s="15"/>
      <c r="BA492" s="104"/>
      <c r="BB492" s="15"/>
      <c r="BC492" s="15"/>
      <c r="BD492" s="15"/>
      <c r="BE492" s="15"/>
      <c r="BF492" s="104"/>
      <c r="BG492" s="15"/>
      <c r="BH492" s="15"/>
      <c r="BI492" s="15"/>
      <c r="BJ492" s="15"/>
      <c r="BK492" s="104"/>
      <c r="BL492" s="15"/>
      <c r="BM492" s="15"/>
      <c r="BN492" s="15"/>
      <c r="BO492" s="15"/>
      <c r="BP492" s="104"/>
      <c r="BQ492" s="15"/>
      <c r="BR492" s="15"/>
      <c r="BS492" s="15"/>
      <c r="BT492" s="15"/>
      <c r="BU492" s="104"/>
      <c r="BV492" s="15"/>
      <c r="BW492" s="15"/>
      <c r="BX492" s="15"/>
      <c r="BY492" s="15"/>
      <c r="BZ492" s="24"/>
      <c r="CA492" s="15"/>
      <c r="CB492" s="15"/>
      <c r="CC492" s="15"/>
      <c r="CD492" s="15"/>
      <c r="CE492" s="24"/>
      <c r="CF492" s="15"/>
      <c r="CG492" s="15"/>
      <c r="CH492" s="15"/>
      <c r="CI492" s="15"/>
      <c r="CJ492" s="24"/>
      <c r="CK492" s="15"/>
      <c r="CL492" s="15"/>
      <c r="CM492" s="15"/>
      <c r="CN492" s="40"/>
      <c r="CO492" s="24"/>
      <c r="CP492" s="104"/>
      <c r="CQ492" s="104"/>
      <c r="CR492" s="104"/>
      <c r="CS492" s="104"/>
      <c r="CT492" s="24"/>
      <c r="CU492" s="104"/>
      <c r="CV492" s="104"/>
      <c r="CW492" s="104"/>
      <c r="CX492" s="104"/>
      <c r="CY492" s="24"/>
      <c r="CZ492" s="104"/>
      <c r="DA492" s="104"/>
      <c r="DB492" s="104"/>
      <c r="DC492" s="104"/>
      <c r="DD492" s="24"/>
      <c r="DE492" s="104"/>
      <c r="DF492" s="104"/>
      <c r="DG492" s="104"/>
      <c r="DH492" s="104"/>
      <c r="DI492" s="24"/>
      <c r="DJ492" s="104"/>
      <c r="DK492" s="104"/>
      <c r="DL492" s="104"/>
      <c r="DM492" s="104"/>
      <c r="DN492" s="24"/>
      <c r="DO492" s="104"/>
      <c r="DP492" s="104"/>
      <c r="DQ492" s="104"/>
      <c r="DR492" s="104"/>
      <c r="DS492" s="24"/>
      <c r="DT492" s="104"/>
      <c r="DU492" s="104"/>
      <c r="DV492" s="104"/>
      <c r="DW492" s="104"/>
      <c r="DX492" s="24"/>
      <c r="DY492" s="104"/>
      <c r="DZ492" s="104"/>
      <c r="EA492" s="104"/>
      <c r="EB492" s="104"/>
      <c r="EC492" s="24"/>
      <c r="ED492" s="104"/>
      <c r="EE492" s="104"/>
      <c r="EF492" s="104"/>
      <c r="EG492" s="104"/>
      <c r="EH492" s="24"/>
      <c r="EI492" s="317"/>
      <c r="EJ492" s="104"/>
      <c r="EK492" s="104"/>
      <c r="EL492" s="104"/>
      <c r="EM492" s="24"/>
      <c r="EN492" s="104"/>
      <c r="EO492" s="104"/>
      <c r="EP492" s="104"/>
      <c r="EQ492" s="104"/>
      <c r="ER492" s="24"/>
      <c r="ES492" s="104"/>
      <c r="ET492" s="104"/>
      <c r="EU492" s="104"/>
      <c r="EV492" s="104"/>
      <c r="EW492" s="24"/>
      <c r="EX492" s="104"/>
      <c r="EY492" s="104"/>
      <c r="EZ492" s="104"/>
      <c r="FA492" s="104"/>
      <c r="FB492" s="24"/>
      <c r="FC492" s="104"/>
      <c r="FD492" s="104"/>
      <c r="FE492" s="104"/>
      <c r="FF492" s="104"/>
      <c r="FG492" s="24"/>
      <c r="FH492" s="104"/>
      <c r="FI492" s="15"/>
      <c r="FJ492" s="15"/>
      <c r="FK492" s="410"/>
      <c r="FL492" s="15"/>
    </row>
    <row r="493" ht="12.75" customHeight="1">
      <c r="A493" s="4"/>
      <c r="B493" s="45"/>
      <c r="C493" s="45"/>
      <c r="D493" s="15"/>
      <c r="E493" s="15"/>
      <c r="F493" s="15"/>
      <c r="G493" s="15"/>
      <c r="H493" s="104"/>
      <c r="I493" s="15"/>
      <c r="J493" s="15"/>
      <c r="K493" s="15"/>
      <c r="L493" s="15"/>
      <c r="M493" s="104"/>
      <c r="N493" s="15"/>
      <c r="O493" s="15"/>
      <c r="P493" s="15"/>
      <c r="Q493" s="15"/>
      <c r="R493" s="104"/>
      <c r="S493" s="15"/>
      <c r="T493" s="15"/>
      <c r="U493" s="15"/>
      <c r="V493" s="15"/>
      <c r="W493" s="104"/>
      <c r="X493" s="15"/>
      <c r="Y493" s="15"/>
      <c r="Z493" s="15"/>
      <c r="AA493" s="15"/>
      <c r="AB493" s="104"/>
      <c r="AC493" s="15"/>
      <c r="AD493" s="15"/>
      <c r="AE493" s="15"/>
      <c r="AF493" s="15"/>
      <c r="AG493" s="104"/>
      <c r="AH493" s="15"/>
      <c r="AI493" s="15"/>
      <c r="AJ493" s="15"/>
      <c r="AK493" s="15"/>
      <c r="AL493" s="104"/>
      <c r="AM493" s="15"/>
      <c r="AN493" s="15"/>
      <c r="AO493" s="15"/>
      <c r="AP493" s="15"/>
      <c r="AQ493" s="104"/>
      <c r="AR493" s="15"/>
      <c r="AS493" s="15"/>
      <c r="AT493" s="15"/>
      <c r="AU493" s="15"/>
      <c r="AV493" s="104"/>
      <c r="AW493" s="15"/>
      <c r="AX493" s="15"/>
      <c r="AY493" s="15"/>
      <c r="AZ493" s="15"/>
      <c r="BA493" s="104"/>
      <c r="BB493" s="15"/>
      <c r="BC493" s="15"/>
      <c r="BD493" s="15"/>
      <c r="BE493" s="15"/>
      <c r="BF493" s="104"/>
      <c r="BG493" s="15"/>
      <c r="BH493" s="15"/>
      <c r="BI493" s="15"/>
      <c r="BJ493" s="15"/>
      <c r="BK493" s="104"/>
      <c r="BL493" s="15"/>
      <c r="BM493" s="15"/>
      <c r="BN493" s="15"/>
      <c r="BO493" s="15"/>
      <c r="BP493" s="104"/>
      <c r="BQ493" s="15"/>
      <c r="BR493" s="15"/>
      <c r="BS493" s="15"/>
      <c r="BT493" s="15"/>
      <c r="BU493" s="104"/>
      <c r="BV493" s="15"/>
      <c r="BW493" s="15"/>
      <c r="BX493" s="15"/>
      <c r="BY493" s="15"/>
      <c r="BZ493" s="24"/>
      <c r="CA493" s="15"/>
      <c r="CB493" s="15"/>
      <c r="CC493" s="15"/>
      <c r="CD493" s="15"/>
      <c r="CE493" s="24"/>
      <c r="CF493" s="15"/>
      <c r="CG493" s="15"/>
      <c r="CH493" s="15"/>
      <c r="CI493" s="15"/>
      <c r="CJ493" s="24"/>
      <c r="CK493" s="15"/>
      <c r="CL493" s="15"/>
      <c r="CM493" s="15"/>
      <c r="CN493" s="40"/>
      <c r="CO493" s="24"/>
      <c r="CP493" s="104"/>
      <c r="CQ493" s="104"/>
      <c r="CR493" s="104"/>
      <c r="CS493" s="104"/>
      <c r="CT493" s="24"/>
      <c r="CU493" s="104"/>
      <c r="CV493" s="104"/>
      <c r="CW493" s="104"/>
      <c r="CX493" s="104"/>
      <c r="CY493" s="24"/>
      <c r="CZ493" s="104"/>
      <c r="DA493" s="104"/>
      <c r="DB493" s="104"/>
      <c r="DC493" s="104"/>
      <c r="DD493" s="24"/>
      <c r="DE493" s="104"/>
      <c r="DF493" s="104"/>
      <c r="DG493" s="104"/>
      <c r="DH493" s="104"/>
      <c r="DI493" s="24"/>
      <c r="DJ493" s="104"/>
      <c r="DK493" s="104"/>
      <c r="DL493" s="104"/>
      <c r="DM493" s="104"/>
      <c r="DN493" s="24"/>
      <c r="DO493" s="104"/>
      <c r="DP493" s="104"/>
      <c r="DQ493" s="104"/>
      <c r="DR493" s="104"/>
      <c r="DS493" s="24"/>
      <c r="DT493" s="104"/>
      <c r="DU493" s="104"/>
      <c r="DV493" s="104"/>
      <c r="DW493" s="104"/>
      <c r="DX493" s="24"/>
      <c r="DY493" s="104"/>
      <c r="DZ493" s="104"/>
      <c r="EA493" s="104"/>
      <c r="EB493" s="104"/>
      <c r="EC493" s="24"/>
      <c r="ED493" s="104"/>
      <c r="EE493" s="104"/>
      <c r="EF493" s="104"/>
      <c r="EG493" s="104"/>
      <c r="EH493" s="24"/>
      <c r="EI493" s="317"/>
      <c r="EJ493" s="104"/>
      <c r="EK493" s="104"/>
      <c r="EL493" s="104"/>
      <c r="EM493" s="24"/>
      <c r="EN493" s="104"/>
      <c r="EO493" s="104"/>
      <c r="EP493" s="104"/>
      <c r="EQ493" s="104"/>
      <c r="ER493" s="24"/>
      <c r="ES493" s="104"/>
      <c r="ET493" s="104"/>
      <c r="EU493" s="104"/>
      <c r="EV493" s="104"/>
      <c r="EW493" s="24"/>
      <c r="EX493" s="104"/>
      <c r="EY493" s="104"/>
      <c r="EZ493" s="104"/>
      <c r="FA493" s="104"/>
      <c r="FB493" s="24"/>
      <c r="FC493" s="104"/>
      <c r="FD493" s="104"/>
      <c r="FE493" s="104"/>
      <c r="FF493" s="104"/>
      <c r="FG493" s="24"/>
      <c r="FH493" s="104"/>
      <c r="FI493" s="15"/>
      <c r="FJ493" s="15"/>
      <c r="FK493" s="410"/>
      <c r="FL493" s="15"/>
    </row>
    <row r="494" ht="12.75" customHeight="1">
      <c r="A494" s="4"/>
      <c r="B494" s="45"/>
      <c r="C494" s="45"/>
      <c r="D494" s="15"/>
      <c r="E494" s="15"/>
      <c r="F494" s="15"/>
      <c r="G494" s="15"/>
      <c r="H494" s="104"/>
      <c r="I494" s="15"/>
      <c r="J494" s="15"/>
      <c r="K494" s="15"/>
      <c r="L494" s="15"/>
      <c r="M494" s="104"/>
      <c r="N494" s="15"/>
      <c r="O494" s="15"/>
      <c r="P494" s="15"/>
      <c r="Q494" s="15"/>
      <c r="R494" s="104"/>
      <c r="S494" s="15"/>
      <c r="T494" s="15"/>
      <c r="U494" s="15"/>
      <c r="V494" s="15"/>
      <c r="W494" s="104"/>
      <c r="X494" s="15"/>
      <c r="Y494" s="15"/>
      <c r="Z494" s="15"/>
      <c r="AA494" s="15"/>
      <c r="AB494" s="104"/>
      <c r="AC494" s="15"/>
      <c r="AD494" s="15"/>
      <c r="AE494" s="15"/>
      <c r="AF494" s="15"/>
      <c r="AG494" s="104"/>
      <c r="AH494" s="15"/>
      <c r="AI494" s="15"/>
      <c r="AJ494" s="15"/>
      <c r="AK494" s="15"/>
      <c r="AL494" s="104"/>
      <c r="AM494" s="15"/>
      <c r="AN494" s="15"/>
      <c r="AO494" s="15"/>
      <c r="AP494" s="15"/>
      <c r="AQ494" s="104"/>
      <c r="AR494" s="15"/>
      <c r="AS494" s="15"/>
      <c r="AT494" s="15"/>
      <c r="AU494" s="15"/>
      <c r="AV494" s="104"/>
      <c r="AW494" s="15"/>
      <c r="AX494" s="15"/>
      <c r="AY494" s="15"/>
      <c r="AZ494" s="15"/>
      <c r="BA494" s="104"/>
      <c r="BB494" s="15"/>
      <c r="BC494" s="15"/>
      <c r="BD494" s="15"/>
      <c r="BE494" s="15"/>
      <c r="BF494" s="104"/>
      <c r="BG494" s="15"/>
      <c r="BH494" s="15"/>
      <c r="BI494" s="15"/>
      <c r="BJ494" s="15"/>
      <c r="BK494" s="104"/>
      <c r="BL494" s="15"/>
      <c r="BM494" s="15"/>
      <c r="BN494" s="15"/>
      <c r="BO494" s="15"/>
      <c r="BP494" s="104"/>
      <c r="BQ494" s="15"/>
      <c r="BR494" s="15"/>
      <c r="BS494" s="15"/>
      <c r="BT494" s="15"/>
      <c r="BU494" s="104"/>
      <c r="BV494" s="15"/>
      <c r="BW494" s="15"/>
      <c r="BX494" s="15"/>
      <c r="BY494" s="15"/>
      <c r="BZ494" s="24"/>
      <c r="CA494" s="15"/>
      <c r="CB494" s="15"/>
      <c r="CC494" s="15"/>
      <c r="CD494" s="15"/>
      <c r="CE494" s="24"/>
      <c r="CF494" s="15"/>
      <c r="CG494" s="15"/>
      <c r="CH494" s="15"/>
      <c r="CI494" s="15"/>
      <c r="CJ494" s="24"/>
      <c r="CK494" s="15"/>
      <c r="CL494" s="15"/>
      <c r="CM494" s="15"/>
      <c r="CN494" s="40"/>
      <c r="CO494" s="24"/>
      <c r="CP494" s="104"/>
      <c r="CQ494" s="104"/>
      <c r="CR494" s="104"/>
      <c r="CS494" s="104"/>
      <c r="CT494" s="24"/>
      <c r="CU494" s="104"/>
      <c r="CV494" s="104"/>
      <c r="CW494" s="104"/>
      <c r="CX494" s="104"/>
      <c r="CY494" s="24"/>
      <c r="CZ494" s="104"/>
      <c r="DA494" s="104"/>
      <c r="DB494" s="104"/>
      <c r="DC494" s="104"/>
      <c r="DD494" s="24"/>
      <c r="DE494" s="104"/>
      <c r="DF494" s="104"/>
      <c r="DG494" s="104"/>
      <c r="DH494" s="104"/>
      <c r="DI494" s="24"/>
      <c r="DJ494" s="104"/>
      <c r="DK494" s="104"/>
      <c r="DL494" s="104"/>
      <c r="DM494" s="104"/>
      <c r="DN494" s="24"/>
      <c r="DO494" s="104"/>
      <c r="DP494" s="104"/>
      <c r="DQ494" s="104"/>
      <c r="DR494" s="104"/>
      <c r="DS494" s="24"/>
      <c r="DT494" s="104"/>
      <c r="DU494" s="104"/>
      <c r="DV494" s="104"/>
      <c r="DW494" s="104"/>
      <c r="DX494" s="24"/>
      <c r="DY494" s="104"/>
      <c r="DZ494" s="104"/>
      <c r="EA494" s="104"/>
      <c r="EB494" s="104"/>
      <c r="EC494" s="24"/>
      <c r="ED494" s="104"/>
      <c r="EE494" s="104"/>
      <c r="EF494" s="104"/>
      <c r="EG494" s="104"/>
      <c r="EH494" s="24"/>
      <c r="EI494" s="317"/>
      <c r="EJ494" s="104"/>
      <c r="EK494" s="104"/>
      <c r="EL494" s="104"/>
      <c r="EM494" s="24"/>
      <c r="EN494" s="104"/>
      <c r="EO494" s="104"/>
      <c r="EP494" s="104"/>
      <c r="EQ494" s="104"/>
      <c r="ER494" s="24"/>
      <c r="ES494" s="104"/>
      <c r="ET494" s="104"/>
      <c r="EU494" s="104"/>
      <c r="EV494" s="104"/>
      <c r="EW494" s="24"/>
      <c r="EX494" s="104"/>
      <c r="EY494" s="104"/>
      <c r="EZ494" s="104"/>
      <c r="FA494" s="104"/>
      <c r="FB494" s="24"/>
      <c r="FC494" s="104"/>
      <c r="FD494" s="104"/>
      <c r="FE494" s="104"/>
      <c r="FF494" s="104"/>
      <c r="FG494" s="24"/>
      <c r="FH494" s="104"/>
      <c r="FI494" s="15"/>
      <c r="FJ494" s="15"/>
      <c r="FK494" s="410"/>
      <c r="FL494" s="15"/>
    </row>
    <row r="495" ht="12.75" customHeight="1">
      <c r="A495" s="4"/>
      <c r="B495" s="45"/>
      <c r="C495" s="45"/>
      <c r="D495" s="15"/>
      <c r="E495" s="15"/>
      <c r="F495" s="15"/>
      <c r="G495" s="15"/>
      <c r="H495" s="410"/>
      <c r="I495" s="15"/>
      <c r="J495" s="15"/>
      <c r="K495" s="15"/>
      <c r="L495" s="15"/>
      <c r="M495" s="410"/>
      <c r="N495" s="15"/>
      <c r="O495" s="15"/>
      <c r="P495" s="15"/>
      <c r="Q495" s="15"/>
      <c r="R495" s="410"/>
      <c r="S495" s="15"/>
      <c r="T495" s="15"/>
      <c r="U495" s="15"/>
      <c r="V495" s="15"/>
      <c r="W495" s="410"/>
      <c r="X495" s="15"/>
      <c r="Y495" s="15"/>
      <c r="Z495" s="15"/>
      <c r="AA495" s="15"/>
      <c r="AB495" s="410"/>
      <c r="AC495" s="15"/>
      <c r="AD495" s="15"/>
      <c r="AE495" s="15"/>
      <c r="AF495" s="15"/>
      <c r="AG495" s="410"/>
      <c r="AH495" s="15"/>
      <c r="AI495" s="15"/>
      <c r="AJ495" s="15"/>
      <c r="AK495" s="15"/>
      <c r="AL495" s="410"/>
      <c r="AM495" s="15"/>
      <c r="AN495" s="15"/>
      <c r="AO495" s="15"/>
      <c r="AP495" s="15"/>
      <c r="AQ495" s="410"/>
      <c r="AR495" s="15"/>
      <c r="AS495" s="15"/>
      <c r="AT495" s="15"/>
      <c r="AU495" s="15"/>
      <c r="AV495" s="410"/>
      <c r="AW495" s="15"/>
      <c r="AX495" s="15"/>
      <c r="AY495" s="15"/>
      <c r="AZ495" s="15"/>
      <c r="BA495" s="410"/>
      <c r="BB495" s="15"/>
      <c r="BC495" s="15"/>
      <c r="BD495" s="15"/>
      <c r="BE495" s="15"/>
      <c r="BF495" s="410"/>
      <c r="BG495" s="15"/>
      <c r="BH495" s="15"/>
      <c r="BI495" s="15"/>
      <c r="BJ495" s="15"/>
      <c r="BK495" s="410"/>
      <c r="BL495" s="15"/>
      <c r="BM495" s="15"/>
      <c r="BN495" s="15"/>
      <c r="BO495" s="15"/>
      <c r="BP495" s="410"/>
      <c r="BQ495" s="15"/>
      <c r="BR495" s="15"/>
      <c r="BS495" s="15"/>
      <c r="BT495" s="15"/>
      <c r="BU495" s="410"/>
      <c r="BV495" s="15"/>
      <c r="BW495" s="15"/>
      <c r="BX495" s="15"/>
      <c r="BY495" s="15"/>
      <c r="BZ495" s="24"/>
      <c r="CA495" s="15"/>
      <c r="CB495" s="15"/>
      <c r="CC495" s="15"/>
      <c r="CD495" s="15"/>
      <c r="CE495" s="24"/>
      <c r="CF495" s="15"/>
      <c r="CG495" s="15"/>
      <c r="CH495" s="15"/>
      <c r="CI495" s="15"/>
      <c r="CJ495" s="24"/>
      <c r="CK495" s="15"/>
      <c r="CL495" s="15"/>
      <c r="CM495" s="15"/>
      <c r="CN495" s="40"/>
      <c r="CO495" s="24"/>
      <c r="CP495" s="104"/>
      <c r="CQ495" s="104"/>
      <c r="CR495" s="104"/>
      <c r="CS495" s="104"/>
      <c r="CT495" s="411"/>
      <c r="CU495" s="17"/>
      <c r="CV495" s="17"/>
      <c r="CW495" s="17"/>
      <c r="CX495" s="326"/>
      <c r="CY495" s="350"/>
      <c r="CZ495" s="17"/>
      <c r="DA495" s="17"/>
      <c r="DB495" s="17"/>
      <c r="DC495" s="17"/>
      <c r="DD495" s="80"/>
      <c r="DE495" s="17"/>
      <c r="DF495" s="17"/>
      <c r="DG495" s="19"/>
      <c r="DH495" s="17"/>
      <c r="DI495" s="80"/>
      <c r="DJ495" s="19"/>
      <c r="DK495" s="19"/>
      <c r="DL495" s="19"/>
      <c r="DM495" s="17"/>
      <c r="DN495" s="80"/>
      <c r="DO495" s="17"/>
      <c r="DP495" s="17"/>
      <c r="DQ495" s="17"/>
      <c r="DR495" s="17"/>
      <c r="DS495" s="80"/>
      <c r="DT495" s="17"/>
      <c r="DU495" s="17"/>
      <c r="DV495" s="17"/>
      <c r="DW495" s="17"/>
      <c r="DX495" s="80"/>
      <c r="DY495" s="17"/>
      <c r="DZ495" s="17"/>
      <c r="EA495" s="17"/>
      <c r="EB495" s="17"/>
      <c r="EC495" s="80"/>
      <c r="ED495" s="17"/>
      <c r="EE495" s="17"/>
      <c r="EF495" s="17"/>
      <c r="EG495" s="17"/>
      <c r="EH495" s="80"/>
      <c r="EI495" s="25"/>
      <c r="EJ495" s="17"/>
      <c r="EK495" s="17"/>
      <c r="EL495" s="17"/>
      <c r="EM495" s="80"/>
      <c r="EN495" s="17"/>
      <c r="EO495" s="17"/>
      <c r="EP495" s="17"/>
      <c r="EQ495" s="17"/>
      <c r="ER495" s="80"/>
      <c r="ES495" s="17"/>
      <c r="ET495" s="17"/>
      <c r="EU495" s="17"/>
      <c r="EV495" s="17"/>
      <c r="EW495" s="80"/>
      <c r="EX495" s="17"/>
      <c r="EY495" s="17"/>
      <c r="EZ495" s="17"/>
      <c r="FA495" s="17"/>
      <c r="FB495" s="80"/>
      <c r="FC495" s="17"/>
      <c r="FD495" s="17"/>
      <c r="FE495" s="17"/>
      <c r="FF495" s="17"/>
      <c r="FG495" s="80"/>
      <c r="FH495" s="146"/>
      <c r="FI495" s="15"/>
      <c r="FJ495" s="15"/>
      <c r="FK495" s="410"/>
      <c r="FL495" s="15"/>
    </row>
    <row r="496" ht="12.75" customHeight="1">
      <c r="A496" s="4"/>
      <c r="B496" s="45"/>
      <c r="C496" s="45"/>
      <c r="D496" s="15"/>
      <c r="E496" s="15"/>
      <c r="F496" s="15"/>
      <c r="G496" s="15"/>
      <c r="H496" s="410"/>
      <c r="I496" s="15"/>
      <c r="J496" s="15"/>
      <c r="K496" s="15"/>
      <c r="L496" s="15"/>
      <c r="M496" s="410"/>
      <c r="N496" s="15"/>
      <c r="O496" s="15"/>
      <c r="P496" s="15"/>
      <c r="Q496" s="15"/>
      <c r="R496" s="410"/>
      <c r="S496" s="15"/>
      <c r="T496" s="15"/>
      <c r="U496" s="15"/>
      <c r="V496" s="15"/>
      <c r="W496" s="410"/>
      <c r="X496" s="15"/>
      <c r="Y496" s="15"/>
      <c r="Z496" s="15"/>
      <c r="AA496" s="15"/>
      <c r="AB496" s="410"/>
      <c r="AC496" s="15"/>
      <c r="AD496" s="15"/>
      <c r="AE496" s="15"/>
      <c r="AF496" s="15"/>
      <c r="AG496" s="410"/>
      <c r="AH496" s="15"/>
      <c r="AI496" s="15"/>
      <c r="AJ496" s="15"/>
      <c r="AK496" s="15"/>
      <c r="AL496" s="410"/>
      <c r="AM496" s="15"/>
      <c r="AN496" s="15"/>
      <c r="AO496" s="15"/>
      <c r="AP496" s="15"/>
      <c r="AQ496" s="410"/>
      <c r="AR496" s="15"/>
      <c r="AS496" s="15"/>
      <c r="AT496" s="15"/>
      <c r="AU496" s="15"/>
      <c r="AV496" s="410"/>
      <c r="AW496" s="15"/>
      <c r="AX496" s="15"/>
      <c r="AY496" s="15"/>
      <c r="AZ496" s="15"/>
      <c r="BA496" s="410"/>
      <c r="BB496" s="15"/>
      <c r="BC496" s="15"/>
      <c r="BD496" s="15"/>
      <c r="BE496" s="15"/>
      <c r="BF496" s="410"/>
      <c r="BG496" s="15"/>
      <c r="BH496" s="15"/>
      <c r="BI496" s="15"/>
      <c r="BJ496" s="15"/>
      <c r="BK496" s="410"/>
      <c r="BL496" s="15"/>
      <c r="BM496" s="15"/>
      <c r="BN496" s="15"/>
      <c r="BO496" s="15"/>
      <c r="BP496" s="410"/>
      <c r="BQ496" s="15"/>
      <c r="BR496" s="15"/>
      <c r="BS496" s="15"/>
      <c r="BT496" s="15"/>
      <c r="BU496" s="410"/>
      <c r="BV496" s="15"/>
      <c r="BW496" s="15"/>
      <c r="BX496" s="15"/>
      <c r="BY496" s="15"/>
      <c r="BZ496" s="24"/>
      <c r="CA496" s="15"/>
      <c r="CB496" s="15"/>
      <c r="CC496" s="15"/>
      <c r="CD496" s="15"/>
      <c r="CE496" s="24"/>
      <c r="CF496" s="15"/>
      <c r="CG496" s="15"/>
      <c r="CH496" s="15"/>
      <c r="CI496" s="15"/>
      <c r="CJ496" s="24"/>
      <c r="CK496" s="15"/>
      <c r="CL496" s="15"/>
      <c r="CM496" s="15"/>
      <c r="CN496" s="40"/>
      <c r="CO496" s="24"/>
      <c r="CP496" s="104"/>
      <c r="CQ496" s="104"/>
      <c r="CR496" s="104"/>
      <c r="CS496" s="104"/>
      <c r="CT496" s="411"/>
      <c r="CU496" s="17"/>
      <c r="CV496" s="17"/>
      <c r="CW496" s="17"/>
      <c r="CX496" s="326"/>
      <c r="CY496" s="350"/>
      <c r="CZ496" s="17"/>
      <c r="DA496" s="17"/>
      <c r="DB496" s="17"/>
      <c r="DC496" s="17"/>
      <c r="DD496" s="80"/>
      <c r="DE496" s="17"/>
      <c r="DF496" s="17"/>
      <c r="DG496" s="19"/>
      <c r="DH496" s="17"/>
      <c r="DI496" s="80"/>
      <c r="DJ496" s="19"/>
      <c r="DK496" s="19"/>
      <c r="DL496" s="19"/>
      <c r="DM496" s="17"/>
      <c r="DN496" s="80"/>
      <c r="DO496" s="17"/>
      <c r="DP496" s="17"/>
      <c r="DQ496" s="17"/>
      <c r="DR496" s="17"/>
      <c r="DS496" s="80"/>
      <c r="DT496" s="17"/>
      <c r="DU496" s="17"/>
      <c r="DV496" s="17"/>
      <c r="DW496" s="17"/>
      <c r="DX496" s="80"/>
      <c r="DY496" s="17"/>
      <c r="DZ496" s="17"/>
      <c r="EA496" s="17"/>
      <c r="EB496" s="17"/>
      <c r="EC496" s="80"/>
      <c r="ED496" s="17"/>
      <c r="EE496" s="17"/>
      <c r="EF496" s="17"/>
      <c r="EG496" s="17"/>
      <c r="EH496" s="80"/>
      <c r="EI496" s="25"/>
      <c r="EJ496" s="17"/>
      <c r="EK496" s="17"/>
      <c r="EL496" s="17"/>
      <c r="EM496" s="80"/>
      <c r="EN496" s="17"/>
      <c r="EO496" s="17"/>
      <c r="EP496" s="17"/>
      <c r="EQ496" s="17"/>
      <c r="ER496" s="80"/>
      <c r="ES496" s="17"/>
      <c r="ET496" s="17"/>
      <c r="EU496" s="17"/>
      <c r="EV496" s="17"/>
      <c r="EW496" s="80"/>
      <c r="EX496" s="17"/>
      <c r="EY496" s="17"/>
      <c r="EZ496" s="17"/>
      <c r="FA496" s="17"/>
      <c r="FB496" s="80"/>
      <c r="FC496" s="17"/>
      <c r="FD496" s="17"/>
      <c r="FE496" s="17"/>
      <c r="FF496" s="17"/>
      <c r="FG496" s="80"/>
      <c r="FH496" s="146"/>
      <c r="FI496" s="15"/>
      <c r="FJ496" s="15"/>
      <c r="FK496" s="410"/>
      <c r="FL496" s="15"/>
    </row>
    <row r="497" ht="12.75" customHeight="1">
      <c r="A497" s="4"/>
      <c r="B497" s="45"/>
      <c r="C497" s="45"/>
      <c r="D497" s="15"/>
      <c r="E497" s="15"/>
      <c r="F497" s="15"/>
      <c r="G497" s="15"/>
      <c r="H497" s="410"/>
      <c r="I497" s="15"/>
      <c r="J497" s="15"/>
      <c r="K497" s="15"/>
      <c r="L497" s="15"/>
      <c r="M497" s="410"/>
      <c r="N497" s="15"/>
      <c r="O497" s="15"/>
      <c r="P497" s="15"/>
      <c r="Q497" s="15"/>
      <c r="R497" s="410"/>
      <c r="S497" s="15"/>
      <c r="T497" s="15"/>
      <c r="U497" s="15"/>
      <c r="V497" s="15"/>
      <c r="W497" s="410"/>
      <c r="X497" s="15"/>
      <c r="Y497" s="15"/>
      <c r="Z497" s="15"/>
      <c r="AA497" s="15"/>
      <c r="AB497" s="410"/>
      <c r="AC497" s="15"/>
      <c r="AD497" s="15"/>
      <c r="AE497" s="15"/>
      <c r="AF497" s="15"/>
      <c r="AG497" s="410"/>
      <c r="AH497" s="15"/>
      <c r="AI497" s="15"/>
      <c r="AJ497" s="15"/>
      <c r="AK497" s="15"/>
      <c r="AL497" s="410"/>
      <c r="AM497" s="15"/>
      <c r="AN497" s="15"/>
      <c r="AO497" s="15"/>
      <c r="AP497" s="15"/>
      <c r="AQ497" s="410"/>
      <c r="AR497" s="15"/>
      <c r="AS497" s="15"/>
      <c r="AT497" s="15"/>
      <c r="AU497" s="15"/>
      <c r="AV497" s="410"/>
      <c r="AW497" s="15"/>
      <c r="AX497" s="15"/>
      <c r="AY497" s="15"/>
      <c r="AZ497" s="15"/>
      <c r="BA497" s="410"/>
      <c r="BB497" s="15"/>
      <c r="BC497" s="15"/>
      <c r="BD497" s="15"/>
      <c r="BE497" s="15"/>
      <c r="BF497" s="410"/>
      <c r="BG497" s="15"/>
      <c r="BH497" s="15"/>
      <c r="BI497" s="15"/>
      <c r="BJ497" s="15"/>
      <c r="BK497" s="410"/>
      <c r="BL497" s="15"/>
      <c r="BM497" s="15"/>
      <c r="BN497" s="15"/>
      <c r="BO497" s="15"/>
      <c r="BP497" s="410"/>
      <c r="BQ497" s="15"/>
      <c r="BR497" s="15"/>
      <c r="BS497" s="15"/>
      <c r="BT497" s="15"/>
      <c r="BU497" s="410"/>
      <c r="BV497" s="15"/>
      <c r="BW497" s="15"/>
      <c r="BX497" s="15"/>
      <c r="BY497" s="15"/>
      <c r="BZ497" s="24"/>
      <c r="CA497" s="15"/>
      <c r="CB497" s="15"/>
      <c r="CC497" s="15"/>
      <c r="CD497" s="15"/>
      <c r="CE497" s="24"/>
      <c r="CF497" s="15"/>
      <c r="CG497" s="15"/>
      <c r="CH497" s="15"/>
      <c r="CI497" s="15"/>
      <c r="CJ497" s="24"/>
      <c r="CK497" s="15"/>
      <c r="CL497" s="15"/>
      <c r="CM497" s="15"/>
      <c r="CN497" s="40"/>
      <c r="CO497" s="24"/>
      <c r="CP497" s="104"/>
      <c r="CQ497" s="104"/>
      <c r="CR497" s="104"/>
      <c r="CS497" s="104"/>
      <c r="CT497" s="411"/>
      <c r="CU497" s="17"/>
      <c r="CV497" s="17"/>
      <c r="CW497" s="17"/>
      <c r="CX497" s="326"/>
      <c r="CY497" s="350"/>
      <c r="CZ497" s="17"/>
      <c r="DA497" s="17"/>
      <c r="DB497" s="17"/>
      <c r="DC497" s="17"/>
      <c r="DD497" s="80"/>
      <c r="DE497" s="17"/>
      <c r="DF497" s="17"/>
      <c r="DG497" s="19"/>
      <c r="DH497" s="17"/>
      <c r="DI497" s="80"/>
      <c r="DJ497" s="19"/>
      <c r="DK497" s="19"/>
      <c r="DL497" s="19"/>
      <c r="DM497" s="17"/>
      <c r="DN497" s="80"/>
      <c r="DO497" s="17"/>
      <c r="DP497" s="17"/>
      <c r="DQ497" s="17"/>
      <c r="DR497" s="17"/>
      <c r="DS497" s="80"/>
      <c r="DT497" s="17"/>
      <c r="DU497" s="17"/>
      <c r="DV497" s="17"/>
      <c r="DW497" s="17"/>
      <c r="DX497" s="80"/>
      <c r="DY497" s="17"/>
      <c r="DZ497" s="17"/>
      <c r="EA497" s="17"/>
      <c r="EB497" s="17"/>
      <c r="EC497" s="80"/>
      <c r="ED497" s="17"/>
      <c r="EE497" s="17"/>
      <c r="EF497" s="17"/>
      <c r="EG497" s="17"/>
      <c r="EH497" s="80"/>
      <c r="EI497" s="25"/>
      <c r="EJ497" s="17"/>
      <c r="EK497" s="17"/>
      <c r="EL497" s="17"/>
      <c r="EM497" s="80"/>
      <c r="EN497" s="17"/>
      <c r="EO497" s="17"/>
      <c r="EP497" s="17"/>
      <c r="EQ497" s="17"/>
      <c r="ER497" s="80"/>
      <c r="ES497" s="17"/>
      <c r="ET497" s="17"/>
      <c r="EU497" s="17"/>
      <c r="EV497" s="17"/>
      <c r="EW497" s="80"/>
      <c r="EX497" s="17"/>
      <c r="EY497" s="17"/>
      <c r="EZ497" s="17"/>
      <c r="FA497" s="17"/>
      <c r="FB497" s="80"/>
      <c r="FC497" s="17"/>
      <c r="FD497" s="17"/>
      <c r="FE497" s="17"/>
      <c r="FF497" s="17"/>
      <c r="FG497" s="80"/>
      <c r="FH497" s="146"/>
      <c r="FI497" s="15"/>
      <c r="FJ497" s="15"/>
      <c r="FK497" s="410"/>
      <c r="FL497" s="15"/>
    </row>
    <row r="498" ht="12.75" customHeight="1">
      <c r="A498" s="4"/>
      <c r="B498" s="45"/>
      <c r="C498" s="45"/>
      <c r="D498" s="15"/>
      <c r="E498" s="15"/>
      <c r="F498" s="15"/>
      <c r="G498" s="15"/>
      <c r="H498" s="410"/>
      <c r="I498" s="15"/>
      <c r="J498" s="15"/>
      <c r="K498" s="15"/>
      <c r="L498" s="15"/>
      <c r="M498" s="410"/>
      <c r="N498" s="15"/>
      <c r="O498" s="15"/>
      <c r="P498" s="15"/>
      <c r="Q498" s="15"/>
      <c r="R498" s="410"/>
      <c r="S498" s="15"/>
      <c r="T498" s="15"/>
      <c r="U498" s="15"/>
      <c r="V498" s="15"/>
      <c r="W498" s="410"/>
      <c r="X498" s="15"/>
      <c r="Y498" s="15"/>
      <c r="Z498" s="15"/>
      <c r="AA498" s="15"/>
      <c r="AB498" s="410"/>
      <c r="AC498" s="15"/>
      <c r="AD498" s="15"/>
      <c r="AE498" s="15"/>
      <c r="AF498" s="15"/>
      <c r="AG498" s="410"/>
      <c r="AH498" s="15"/>
      <c r="AI498" s="15"/>
      <c r="AJ498" s="15"/>
      <c r="AK498" s="15"/>
      <c r="AL498" s="410"/>
      <c r="AM498" s="15"/>
      <c r="AN498" s="15"/>
      <c r="AO498" s="15"/>
      <c r="AP498" s="15"/>
      <c r="AQ498" s="410"/>
      <c r="AR498" s="15"/>
      <c r="AS498" s="15"/>
      <c r="AT498" s="15"/>
      <c r="AU498" s="15"/>
      <c r="AV498" s="410"/>
      <c r="AW498" s="15"/>
      <c r="AX498" s="15"/>
      <c r="AY498" s="15"/>
      <c r="AZ498" s="15"/>
      <c r="BA498" s="410"/>
      <c r="BB498" s="15"/>
      <c r="BC498" s="15"/>
      <c r="BD498" s="15"/>
      <c r="BE498" s="15"/>
      <c r="BF498" s="410"/>
      <c r="BG498" s="15"/>
      <c r="BH498" s="15"/>
      <c r="BI498" s="15"/>
      <c r="BJ498" s="15"/>
      <c r="BK498" s="410"/>
      <c r="BL498" s="15"/>
      <c r="BM498" s="15"/>
      <c r="BN498" s="15"/>
      <c r="BO498" s="15"/>
      <c r="BP498" s="410"/>
      <c r="BQ498" s="15"/>
      <c r="BR498" s="15"/>
      <c r="BS498" s="15"/>
      <c r="BT498" s="15"/>
      <c r="BU498" s="410"/>
      <c r="BV498" s="15"/>
      <c r="BW498" s="15"/>
      <c r="BX498" s="15"/>
      <c r="BY498" s="15"/>
      <c r="BZ498" s="24"/>
      <c r="CA498" s="15"/>
      <c r="CB498" s="15"/>
      <c r="CC498" s="15"/>
      <c r="CD498" s="15"/>
      <c r="CE498" s="24"/>
      <c r="CF498" s="15"/>
      <c r="CG498" s="15"/>
      <c r="CH498" s="15"/>
      <c r="CI498" s="15"/>
      <c r="CJ498" s="24"/>
      <c r="CK498" s="15"/>
      <c r="CL498" s="15"/>
      <c r="CM498" s="15"/>
      <c r="CN498" s="40"/>
      <c r="CO498" s="24"/>
      <c r="CP498" s="104"/>
      <c r="CQ498" s="104"/>
      <c r="CR498" s="104"/>
      <c r="CS498" s="104"/>
      <c r="CT498" s="411"/>
      <c r="CU498" s="17"/>
      <c r="CV498" s="17"/>
      <c r="CW498" s="17"/>
      <c r="CX498" s="326"/>
      <c r="CY498" s="350"/>
      <c r="CZ498" s="17"/>
      <c r="DA498" s="17"/>
      <c r="DB498" s="17"/>
      <c r="DC498" s="17"/>
      <c r="DD498" s="80"/>
      <c r="DE498" s="17"/>
      <c r="DF498" s="17"/>
      <c r="DG498" s="19"/>
      <c r="DH498" s="17"/>
      <c r="DI498" s="80"/>
      <c r="DJ498" s="19"/>
      <c r="DK498" s="19"/>
      <c r="DL498" s="19"/>
      <c r="DM498" s="17"/>
      <c r="DN498" s="80"/>
      <c r="DO498" s="17"/>
      <c r="DP498" s="17"/>
      <c r="DQ498" s="17"/>
      <c r="DR498" s="17"/>
      <c r="DS498" s="80"/>
      <c r="DT498" s="17"/>
      <c r="DU498" s="17"/>
      <c r="DV498" s="17"/>
      <c r="DW498" s="17"/>
      <c r="DX498" s="80"/>
      <c r="DY498" s="17"/>
      <c r="DZ498" s="17"/>
      <c r="EA498" s="17"/>
      <c r="EB498" s="17"/>
      <c r="EC498" s="80"/>
      <c r="ED498" s="17"/>
      <c r="EE498" s="17"/>
      <c r="EF498" s="17"/>
      <c r="EG498" s="17"/>
      <c r="EH498" s="80"/>
      <c r="EI498" s="25"/>
      <c r="EJ498" s="17"/>
      <c r="EK498" s="17"/>
      <c r="EL498" s="17"/>
      <c r="EM498" s="80"/>
      <c r="EN498" s="17"/>
      <c r="EO498" s="17"/>
      <c r="EP498" s="17"/>
      <c r="EQ498" s="17"/>
      <c r="ER498" s="80"/>
      <c r="ES498" s="17"/>
      <c r="ET498" s="17"/>
      <c r="EU498" s="17"/>
      <c r="EV498" s="17"/>
      <c r="EW498" s="80"/>
      <c r="EX498" s="17"/>
      <c r="EY498" s="17"/>
      <c r="EZ498" s="17"/>
      <c r="FA498" s="17"/>
      <c r="FB498" s="80"/>
      <c r="FC498" s="17"/>
      <c r="FD498" s="17"/>
      <c r="FE498" s="17"/>
      <c r="FF498" s="17"/>
      <c r="FG498" s="80"/>
      <c r="FH498" s="146"/>
      <c r="FI498" s="15"/>
      <c r="FJ498" s="15"/>
      <c r="FK498" s="410"/>
      <c r="FL498" s="15"/>
    </row>
    <row r="499" ht="12.75" hidden="1" customHeight="1" outlineLevel="1">
      <c r="A499" s="4"/>
      <c r="B499" s="578" t="s">
        <v>274</v>
      </c>
      <c r="C499" s="299"/>
      <c r="D499" s="413"/>
      <c r="E499" s="413"/>
      <c r="F499" s="413"/>
      <c r="G499" s="413"/>
      <c r="H499" s="90"/>
      <c r="I499" s="413"/>
      <c r="J499" s="413"/>
      <c r="K499" s="413"/>
      <c r="L499" s="413"/>
      <c r="M499" s="90"/>
      <c r="N499" s="413"/>
      <c r="O499" s="413"/>
      <c r="P499" s="413"/>
      <c r="Q499" s="413"/>
      <c r="R499" s="90"/>
      <c r="S499" s="413"/>
      <c r="T499" s="413"/>
      <c r="U499" s="413"/>
      <c r="V499" s="413"/>
      <c r="W499" s="90"/>
      <c r="X499" s="413"/>
      <c r="Y499" s="413"/>
      <c r="Z499" s="413"/>
      <c r="AA499" s="413"/>
      <c r="AB499" s="90"/>
      <c r="AC499" s="413"/>
      <c r="AD499" s="413"/>
      <c r="AE499" s="413"/>
      <c r="AF499" s="413"/>
      <c r="AG499" s="90"/>
      <c r="AH499" s="413"/>
      <c r="AI499" s="413"/>
      <c r="AJ499" s="413"/>
      <c r="AK499" s="413"/>
      <c r="AL499" s="90"/>
      <c r="AM499" s="413"/>
      <c r="AN499" s="413"/>
      <c r="AO499" s="413"/>
      <c r="AP499" s="413"/>
      <c r="AQ499" s="90"/>
      <c r="AR499" s="413"/>
      <c r="AS499" s="413"/>
      <c r="AT499" s="413"/>
      <c r="AU499" s="413"/>
      <c r="AV499" s="90"/>
      <c r="AW499" s="413"/>
      <c r="AX499" s="413"/>
      <c r="AY499" s="413"/>
      <c r="AZ499" s="413"/>
      <c r="BA499" s="90"/>
      <c r="BB499" s="413"/>
      <c r="BC499" s="413"/>
      <c r="BD499" s="413"/>
      <c r="BE499" s="413"/>
      <c r="BF499" s="90"/>
      <c r="BG499" s="413"/>
      <c r="BH499" s="413"/>
      <c r="BI499" s="413"/>
      <c r="BJ499" s="413"/>
      <c r="BK499" s="90"/>
      <c r="BL499" s="413"/>
      <c r="BM499" s="413"/>
      <c r="BN499" s="413"/>
      <c r="BO499" s="413"/>
      <c r="BP499" s="90"/>
      <c r="BQ499" s="413"/>
      <c r="BR499" s="413"/>
      <c r="BS499" s="413"/>
      <c r="BT499" s="413"/>
      <c r="BU499" s="90"/>
      <c r="BV499" s="413"/>
      <c r="BW499" s="413"/>
      <c r="BX499" s="413"/>
      <c r="BY499" s="413"/>
      <c r="BZ499" s="417"/>
      <c r="CA499" s="413"/>
      <c r="CB499" s="413"/>
      <c r="CC499" s="413"/>
      <c r="CD499" s="413"/>
      <c r="CE499" s="417"/>
      <c r="CF499" s="413"/>
      <c r="CG499" s="413"/>
      <c r="CH499" s="413"/>
      <c r="CI499" s="413"/>
      <c r="CJ499" s="417"/>
      <c r="CK499" s="413"/>
      <c r="CL499" s="413"/>
      <c r="CM499" s="413"/>
      <c r="CN499" s="416"/>
      <c r="CO499" s="417"/>
      <c r="CP499" s="416"/>
      <c r="CQ499" s="413"/>
      <c r="CR499" s="413"/>
      <c r="CS499" s="413"/>
      <c r="CT499" s="417"/>
      <c r="CU499" s="92"/>
      <c r="CV499" s="92"/>
      <c r="CW499" s="92"/>
      <c r="CX499" s="92"/>
      <c r="CY499" s="419"/>
      <c r="CZ499" s="92"/>
      <c r="DA499" s="92"/>
      <c r="DB499" s="92"/>
      <c r="DC499" s="92"/>
      <c r="DD499" s="419"/>
      <c r="DE499" s="92"/>
      <c r="DF499" s="92"/>
      <c r="DG499" s="19"/>
      <c r="DH499" s="92"/>
      <c r="DI499" s="419"/>
      <c r="DJ499" s="96"/>
      <c r="DK499" s="96"/>
      <c r="DL499" s="96"/>
      <c r="DM499" s="92"/>
      <c r="DN499" s="419"/>
      <c r="DO499" s="92"/>
      <c r="DP499" s="92"/>
      <c r="DQ499" s="92"/>
      <c r="DR499" s="92"/>
      <c r="DS499" s="419"/>
      <c r="DT499" s="92"/>
      <c r="DU499" s="92"/>
      <c r="DV499" s="92"/>
      <c r="DW499" s="92"/>
      <c r="DX499" s="419"/>
      <c r="DY499" s="92"/>
      <c r="DZ499" s="92"/>
      <c r="EA499" s="92"/>
      <c r="EB499" s="92"/>
      <c r="EC499" s="419"/>
      <c r="ED499" s="92"/>
      <c r="EE499" s="92"/>
      <c r="EF499" s="92"/>
      <c r="EG499" s="92"/>
      <c r="EH499" s="419"/>
      <c r="EI499" s="97"/>
      <c r="EJ499" s="92"/>
      <c r="EK499" s="92"/>
      <c r="EL499" s="92"/>
      <c r="EM499" s="419"/>
      <c r="EN499" s="92"/>
      <c r="EO499" s="92"/>
      <c r="EP499" s="92"/>
      <c r="EQ499" s="92"/>
      <c r="ER499" s="419"/>
      <c r="ES499" s="92"/>
      <c r="ET499" s="92"/>
      <c r="EU499" s="92"/>
      <c r="EV499" s="92"/>
      <c r="EW499" s="419"/>
      <c r="EX499" s="92"/>
      <c r="EY499" s="92"/>
      <c r="EZ499" s="92"/>
      <c r="FA499" s="92"/>
      <c r="FB499" s="419"/>
      <c r="FC499" s="92"/>
      <c r="FD499" s="92"/>
      <c r="FE499" s="92"/>
      <c r="FF499" s="92"/>
      <c r="FG499" s="419"/>
      <c r="FH499" s="96"/>
      <c r="FI499" s="413"/>
      <c r="FJ499" s="413"/>
      <c r="FK499" s="90"/>
      <c r="FL499" s="413"/>
    </row>
    <row r="500" ht="12.75" hidden="1" customHeight="1" outlineLevel="1">
      <c r="A500" s="4"/>
      <c r="B500" s="215" t="s">
        <v>275</v>
      </c>
      <c r="C500" s="45"/>
      <c r="D500" s="15"/>
      <c r="E500" s="15"/>
      <c r="F500" s="15"/>
      <c r="G500" s="15"/>
      <c r="H500" s="4"/>
      <c r="I500" s="15"/>
      <c r="J500" s="15"/>
      <c r="K500" s="15"/>
      <c r="L500" s="15"/>
      <c r="M500" s="4"/>
      <c r="N500" s="15"/>
      <c r="O500" s="15"/>
      <c r="P500" s="15"/>
      <c r="Q500" s="15"/>
      <c r="R500" s="4"/>
      <c r="S500" s="15"/>
      <c r="T500" s="15"/>
      <c r="U500" s="15"/>
      <c r="V500" s="15"/>
      <c r="W500" s="4"/>
      <c r="X500" s="15"/>
      <c r="Y500" s="15"/>
      <c r="Z500" s="15"/>
      <c r="AA500" s="15"/>
      <c r="AB500" s="4"/>
      <c r="AC500" s="15"/>
      <c r="AD500" s="15"/>
      <c r="AE500" s="15"/>
      <c r="AF500" s="15"/>
      <c r="AG500" s="4"/>
      <c r="AH500" s="15"/>
      <c r="AI500" s="15"/>
      <c r="AJ500" s="15"/>
      <c r="AK500" s="15"/>
      <c r="AL500" s="4"/>
      <c r="AM500" s="15"/>
      <c r="AN500" s="15"/>
      <c r="AO500" s="15"/>
      <c r="AP500" s="15"/>
      <c r="AQ500" s="4"/>
      <c r="AR500" s="15"/>
      <c r="AS500" s="15"/>
      <c r="AT500" s="15"/>
      <c r="AU500" s="15"/>
      <c r="AV500" s="4"/>
      <c r="AW500" s="15"/>
      <c r="AX500" s="15"/>
      <c r="AY500" s="15"/>
      <c r="AZ500" s="15"/>
      <c r="BA500" s="4"/>
      <c r="BB500" s="15"/>
      <c r="BC500" s="15"/>
      <c r="BD500" s="15"/>
      <c r="BE500" s="15"/>
      <c r="BF500" s="4"/>
      <c r="BG500" s="15"/>
      <c r="BH500" s="15"/>
      <c r="BI500" s="15"/>
      <c r="BJ500" s="15"/>
      <c r="BK500" s="4"/>
      <c r="BL500" s="15"/>
      <c r="BM500" s="15"/>
      <c r="BN500" s="15"/>
      <c r="BO500" s="15"/>
      <c r="BP500" s="4"/>
      <c r="BQ500" s="15"/>
      <c r="BR500" s="15"/>
      <c r="BS500" s="15"/>
      <c r="BT500" s="15"/>
      <c r="BU500" s="4"/>
      <c r="BV500" s="15"/>
      <c r="BW500" s="15"/>
      <c r="BX500" s="15"/>
      <c r="BY500" s="15"/>
      <c r="BZ500" s="411"/>
      <c r="CA500" s="15"/>
      <c r="CB500" s="15"/>
      <c r="CC500" s="15"/>
      <c r="CD500" s="15"/>
      <c r="CE500" s="411"/>
      <c r="CF500" s="15"/>
      <c r="CG500" s="15"/>
      <c r="CH500" s="15"/>
      <c r="CI500" s="15"/>
      <c r="CJ500" s="411"/>
      <c r="CK500" s="15"/>
      <c r="CL500" s="15"/>
      <c r="CM500" s="15"/>
      <c r="CN500" s="40"/>
      <c r="CO500" s="411"/>
      <c r="CP500" s="40"/>
      <c r="CQ500" s="15"/>
      <c r="CR500" s="15"/>
      <c r="CS500" s="15"/>
      <c r="CT500" s="411"/>
      <c r="CU500" s="17"/>
      <c r="CV500" s="17"/>
      <c r="CW500" s="17"/>
      <c r="CX500" s="17"/>
      <c r="CY500" s="38"/>
      <c r="CZ500" s="17"/>
      <c r="DA500" s="17"/>
      <c r="DB500" s="17"/>
      <c r="DC500" s="17"/>
      <c r="DD500" s="38"/>
      <c r="DE500" s="17"/>
      <c r="DF500" s="17"/>
      <c r="DG500" s="19"/>
      <c r="DH500" s="17"/>
      <c r="DI500" s="38"/>
      <c r="DJ500" s="19"/>
      <c r="DK500" s="19"/>
      <c r="DL500" s="19"/>
      <c r="DM500" s="17"/>
      <c r="DN500" s="38"/>
      <c r="DO500" s="17"/>
      <c r="DP500" s="17"/>
      <c r="DQ500" s="17"/>
      <c r="DR500" s="17"/>
      <c r="DS500" s="38"/>
      <c r="DT500" s="17"/>
      <c r="DU500" s="17"/>
      <c r="DV500" s="17"/>
      <c r="DW500" s="17"/>
      <c r="DX500" s="38"/>
      <c r="DY500" s="17"/>
      <c r="DZ500" s="17"/>
      <c r="EA500" s="17"/>
      <c r="EB500" s="17"/>
      <c r="EC500" s="38"/>
      <c r="ED500" s="17"/>
      <c r="EE500" s="17"/>
      <c r="EF500" s="17"/>
      <c r="EG500" s="17"/>
      <c r="EH500" s="38"/>
      <c r="EI500" s="25"/>
      <c r="EJ500" s="17"/>
      <c r="EK500" s="17"/>
      <c r="EL500" s="17"/>
      <c r="EM500" s="38"/>
      <c r="EN500" s="17"/>
      <c r="EO500" s="17"/>
      <c r="EP500" s="17"/>
      <c r="EQ500" s="17"/>
      <c r="ER500" s="38"/>
      <c r="ES500" s="17"/>
      <c r="ET500" s="17"/>
      <c r="EU500" s="17"/>
      <c r="EV500" s="17"/>
      <c r="EW500" s="38"/>
      <c r="EX500" s="17"/>
      <c r="EY500" s="17"/>
      <c r="EZ500" s="17"/>
      <c r="FA500" s="17"/>
      <c r="FB500" s="38"/>
      <c r="FC500" s="17"/>
      <c r="FD500" s="17"/>
      <c r="FE500" s="17"/>
      <c r="FF500" s="17"/>
      <c r="FG500" s="38"/>
      <c r="FH500" s="19"/>
      <c r="FI500" s="15"/>
      <c r="FJ500" s="15"/>
      <c r="FK500" s="4"/>
      <c r="FL500" s="15"/>
    </row>
    <row r="501" ht="12.75" hidden="1" customHeight="1" outlineLevel="1">
      <c r="A501" s="45"/>
      <c r="B501" s="215" t="s">
        <v>150</v>
      </c>
      <c r="C501" s="45"/>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12"/>
      <c r="BE501" s="112"/>
      <c r="BF501" s="112"/>
      <c r="BG501" s="112"/>
      <c r="BH501" s="112"/>
      <c r="BI501" s="112"/>
      <c r="BJ501" s="112"/>
      <c r="BK501" s="112"/>
      <c r="BL501" s="112"/>
      <c r="BM501" s="112"/>
      <c r="BN501" s="112"/>
      <c r="BO501" s="112"/>
      <c r="BP501" s="112"/>
      <c r="BQ501" s="112"/>
      <c r="BR501" s="112"/>
      <c r="BS501" s="112"/>
      <c r="BT501" s="112"/>
      <c r="BU501" s="112"/>
      <c r="BV501" s="112"/>
      <c r="BW501" s="112"/>
      <c r="BX501" s="112"/>
      <c r="BY501" s="112"/>
      <c r="BZ501" s="80"/>
      <c r="CA501" s="112"/>
      <c r="CB501" s="112"/>
      <c r="CC501" s="112"/>
      <c r="CD501" s="112"/>
      <c r="CE501" s="80"/>
      <c r="CF501" s="112"/>
      <c r="CG501" s="112"/>
      <c r="CH501" s="112"/>
      <c r="CI501" s="112"/>
      <c r="CJ501" s="80"/>
      <c r="CK501" s="112"/>
      <c r="CL501" s="112"/>
      <c r="CM501" s="112"/>
      <c r="CN501" s="146"/>
      <c r="CO501" s="80"/>
      <c r="CP501" s="146"/>
      <c r="CQ501" s="112"/>
      <c r="CR501" s="112"/>
      <c r="CS501" s="112"/>
      <c r="CT501" s="80"/>
      <c r="CU501" s="112"/>
      <c r="CV501" s="112"/>
      <c r="CW501" s="112"/>
      <c r="CX501" s="112"/>
      <c r="CY501" s="80"/>
      <c r="CZ501" s="112"/>
      <c r="DA501" s="112"/>
      <c r="DB501" s="112"/>
      <c r="DC501" s="112"/>
      <c r="DD501" s="80"/>
      <c r="DE501" s="112"/>
      <c r="DF501" s="112"/>
      <c r="DG501" s="146"/>
      <c r="DH501" s="112"/>
      <c r="DI501" s="80"/>
      <c r="DJ501" s="146"/>
      <c r="DK501" s="146"/>
      <c r="DL501" s="146"/>
      <c r="DM501" s="112"/>
      <c r="DN501" s="80"/>
      <c r="DO501" s="112"/>
      <c r="DP501" s="112"/>
      <c r="DQ501" s="112"/>
      <c r="DR501" s="112"/>
      <c r="DS501" s="80"/>
      <c r="DT501" s="112"/>
      <c r="DU501" s="112"/>
      <c r="DV501" s="112"/>
      <c r="DW501" s="112"/>
      <c r="DX501" s="80"/>
      <c r="DY501" s="112"/>
      <c r="DZ501" s="112"/>
      <c r="EA501" s="112"/>
      <c r="EB501" s="112"/>
      <c r="EC501" s="80"/>
      <c r="ED501" s="112"/>
      <c r="EE501" s="112"/>
      <c r="EF501" s="112"/>
      <c r="EG501" s="112"/>
      <c r="EH501" s="80"/>
      <c r="EI501" s="110"/>
      <c r="EJ501" s="112"/>
      <c r="EK501" s="112"/>
      <c r="EL501" s="112"/>
      <c r="EM501" s="80"/>
      <c r="EN501" s="112"/>
      <c r="EO501" s="112"/>
      <c r="EP501" s="112"/>
      <c r="EQ501" s="112"/>
      <c r="ER501" s="80"/>
      <c r="ES501" s="112"/>
      <c r="ET501" s="112"/>
      <c r="EU501" s="112"/>
      <c r="EV501" s="112"/>
      <c r="EW501" s="80"/>
      <c r="EX501" s="112"/>
      <c r="EY501" s="112"/>
      <c r="EZ501" s="112"/>
      <c r="FA501" s="112"/>
      <c r="FB501" s="80"/>
      <c r="FC501" s="112"/>
      <c r="FD501" s="112"/>
      <c r="FE501" s="112"/>
      <c r="FF501" s="112"/>
      <c r="FG501" s="80"/>
      <c r="FH501" s="146"/>
      <c r="FI501" s="112"/>
      <c r="FJ501" s="112"/>
      <c r="FK501" s="112"/>
      <c r="FL501" s="112"/>
    </row>
    <row r="502" ht="12.75" hidden="1" customHeight="1" outlineLevel="1">
      <c r="A502" s="45"/>
      <c r="B502" s="215"/>
      <c r="C502" s="45"/>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12"/>
      <c r="BE502" s="112"/>
      <c r="BF502" s="112"/>
      <c r="BG502" s="112"/>
      <c r="BH502" s="112"/>
      <c r="BI502" s="112"/>
      <c r="BJ502" s="112"/>
      <c r="BK502" s="112"/>
      <c r="BL502" s="112"/>
      <c r="BM502" s="112"/>
      <c r="BN502" s="112"/>
      <c r="BO502" s="112"/>
      <c r="BP502" s="112"/>
      <c r="BQ502" s="112"/>
      <c r="BR502" s="112"/>
      <c r="BS502" s="112"/>
      <c r="BT502" s="112"/>
      <c r="BU502" s="112"/>
      <c r="BV502" s="112"/>
      <c r="BW502" s="112"/>
      <c r="BX502" s="112"/>
      <c r="BY502" s="112"/>
      <c r="BZ502" s="80"/>
      <c r="CA502" s="112"/>
      <c r="CB502" s="112"/>
      <c r="CC502" s="112"/>
      <c r="CD502" s="112"/>
      <c r="CE502" s="80"/>
      <c r="CF502" s="112"/>
      <c r="CG502" s="112"/>
      <c r="CH502" s="112"/>
      <c r="CI502" s="112"/>
      <c r="CJ502" s="80"/>
      <c r="CK502" s="112"/>
      <c r="CL502" s="112"/>
      <c r="CM502" s="112"/>
      <c r="CN502" s="146"/>
      <c r="CO502" s="80"/>
      <c r="CP502" s="146"/>
      <c r="CQ502" s="112"/>
      <c r="CR502" s="112"/>
      <c r="CS502" s="112"/>
      <c r="CT502" s="80"/>
      <c r="CU502" s="112"/>
      <c r="CV502" s="112"/>
      <c r="CW502" s="112"/>
      <c r="CX502" s="112"/>
      <c r="CY502" s="80"/>
      <c r="CZ502" s="112"/>
      <c r="DA502" s="112"/>
      <c r="DB502" s="112"/>
      <c r="DC502" s="112"/>
      <c r="DD502" s="80"/>
      <c r="DE502" s="112"/>
      <c r="DF502" s="112"/>
      <c r="DG502" s="146"/>
      <c r="DH502" s="112"/>
      <c r="DI502" s="80"/>
      <c r="DJ502" s="146"/>
      <c r="DK502" s="146"/>
      <c r="DL502" s="146"/>
      <c r="DM502" s="112"/>
      <c r="DN502" s="80"/>
      <c r="DO502" s="112"/>
      <c r="DP502" s="112"/>
      <c r="DQ502" s="112"/>
      <c r="DR502" s="112"/>
      <c r="DS502" s="80"/>
      <c r="DT502" s="112"/>
      <c r="DU502" s="112"/>
      <c r="DV502" s="112"/>
      <c r="DW502" s="112"/>
      <c r="DX502" s="80"/>
      <c r="DY502" s="112"/>
      <c r="DZ502" s="112"/>
      <c r="EA502" s="112"/>
      <c r="EB502" s="112"/>
      <c r="EC502" s="80"/>
      <c r="ED502" s="112"/>
      <c r="EE502" s="112"/>
      <c r="EF502" s="112"/>
      <c r="EG502" s="112"/>
      <c r="EH502" s="80"/>
      <c r="EI502" s="110"/>
      <c r="EJ502" s="112"/>
      <c r="EK502" s="112"/>
      <c r="EL502" s="112"/>
      <c r="EM502" s="80"/>
      <c r="EN502" s="112"/>
      <c r="EO502" s="112"/>
      <c r="EP502" s="112"/>
      <c r="EQ502" s="112"/>
      <c r="ER502" s="80"/>
      <c r="ES502" s="112"/>
      <c r="ET502" s="112"/>
      <c r="EU502" s="112"/>
      <c r="EV502" s="112"/>
      <c r="EW502" s="80"/>
      <c r="EX502" s="112"/>
      <c r="EY502" s="112"/>
      <c r="EZ502" s="112"/>
      <c r="FA502" s="112"/>
      <c r="FB502" s="80"/>
      <c r="FC502" s="112"/>
      <c r="FD502" s="112"/>
      <c r="FE502" s="112"/>
      <c r="FF502" s="112"/>
      <c r="FG502" s="80"/>
      <c r="FH502" s="146"/>
      <c r="FI502" s="112"/>
      <c r="FJ502" s="112"/>
      <c r="FK502" s="112"/>
      <c r="FL502" s="112"/>
    </row>
    <row r="503" ht="12.75" hidden="1" customHeight="1" outlineLevel="1">
      <c r="A503" s="16"/>
      <c r="B503" s="16"/>
      <c r="C503" s="16"/>
      <c r="D503" s="16"/>
      <c r="E503" s="16"/>
      <c r="F503" s="16"/>
      <c r="G503" s="16"/>
      <c r="H503" s="31"/>
      <c r="I503" s="32"/>
      <c r="J503" s="32"/>
      <c r="K503" s="32"/>
      <c r="L503" s="32"/>
      <c r="M503" s="31"/>
      <c r="N503" s="32"/>
      <c r="O503" s="32"/>
      <c r="P503" s="32"/>
      <c r="Q503" s="32"/>
      <c r="R503" s="33"/>
      <c r="S503" s="32"/>
      <c r="T503" s="32"/>
      <c r="U503" s="32"/>
      <c r="V503" s="32"/>
      <c r="W503" s="33"/>
      <c r="X503" s="32"/>
      <c r="Y503" s="32"/>
      <c r="Z503" s="32"/>
      <c r="AA503" s="32"/>
      <c r="AB503" s="31"/>
      <c r="AC503" s="32"/>
      <c r="AD503" s="32"/>
      <c r="AE503" s="32"/>
      <c r="AF503" s="32"/>
      <c r="AG503" s="31"/>
      <c r="AH503" s="32"/>
      <c r="AI503" s="32"/>
      <c r="AJ503" s="32"/>
      <c r="AK503" s="32"/>
      <c r="AL503" s="31"/>
      <c r="AM503" s="32"/>
      <c r="AN503" s="32"/>
      <c r="AO503" s="32"/>
      <c r="AP503" s="32"/>
      <c r="AQ503" s="31"/>
      <c r="AR503" s="32"/>
      <c r="AS503" s="32"/>
      <c r="AT503" s="32"/>
      <c r="AU503" s="32"/>
      <c r="AV503" s="31"/>
      <c r="AW503" s="32"/>
      <c r="AX503" s="32"/>
      <c r="AY503" s="32"/>
      <c r="AZ503" s="32"/>
      <c r="BA503" s="33"/>
      <c r="BB503" s="32"/>
      <c r="BC503" s="32"/>
      <c r="BD503" s="32"/>
      <c r="BE503" s="32"/>
      <c r="BF503" s="33"/>
      <c r="BG503" s="32"/>
      <c r="BH503" s="32"/>
      <c r="BI503" s="32"/>
      <c r="BJ503" s="32"/>
      <c r="BK503" s="33"/>
      <c r="BL503" s="32"/>
      <c r="BM503" s="32"/>
      <c r="BN503" s="32"/>
      <c r="BO503" s="32"/>
      <c r="BP503" s="33"/>
      <c r="BQ503" s="16"/>
      <c r="BR503" s="16"/>
      <c r="BS503" s="16"/>
      <c r="BT503" s="16"/>
      <c r="BU503" s="21"/>
      <c r="BV503" s="16"/>
      <c r="BW503" s="16"/>
      <c r="BX503" s="16"/>
      <c r="BY503" s="16"/>
      <c r="BZ503" s="10"/>
      <c r="CA503" s="16"/>
      <c r="CB503" s="16"/>
      <c r="CC503" s="16"/>
      <c r="CD503" s="16"/>
      <c r="CE503" s="10"/>
      <c r="CF503" s="16"/>
      <c r="CG503" s="16"/>
      <c r="CH503" s="16"/>
      <c r="CI503" s="16"/>
      <c r="CJ503" s="10"/>
      <c r="CK503" s="16"/>
      <c r="CL503" s="16"/>
      <c r="CM503" s="16"/>
      <c r="CN503" s="16"/>
      <c r="CO503" s="10"/>
      <c r="CP503" s="16"/>
      <c r="CQ503" s="16"/>
      <c r="CR503" s="16"/>
      <c r="CS503" s="16"/>
      <c r="CT503" s="10"/>
      <c r="CU503" s="16"/>
      <c r="CV503" s="213"/>
      <c r="CW503" s="16"/>
      <c r="CX503" s="16"/>
      <c r="CY503" s="10"/>
      <c r="CZ503" s="16"/>
      <c r="DA503" s="16"/>
      <c r="DB503" s="16"/>
      <c r="DC503" s="16"/>
      <c r="DD503" s="10"/>
      <c r="DE503" s="16"/>
      <c r="DF503" s="16"/>
      <c r="DG503" s="16"/>
      <c r="DH503" s="16"/>
      <c r="DI503" s="10"/>
      <c r="DJ503" s="16"/>
      <c r="DK503" s="16"/>
      <c r="DL503" s="16"/>
      <c r="DM503" s="16"/>
      <c r="DN503" s="10"/>
      <c r="DO503" s="16"/>
      <c r="DP503" s="16"/>
      <c r="DQ503" s="16"/>
      <c r="DR503" s="16"/>
      <c r="DS503" s="10"/>
      <c r="DT503" s="16"/>
      <c r="DU503" s="16"/>
      <c r="DV503" s="16"/>
      <c r="DW503" s="16"/>
      <c r="DX503" s="10"/>
      <c r="DY503" s="16"/>
      <c r="DZ503" s="16"/>
      <c r="EA503" s="16"/>
      <c r="EB503" s="16"/>
      <c r="EC503" s="10"/>
      <c r="ED503" s="16"/>
      <c r="EE503" s="16"/>
      <c r="EF503" s="16"/>
      <c r="EG503" s="16"/>
      <c r="EH503" s="10"/>
      <c r="EI503" s="214"/>
      <c r="EJ503" s="16"/>
      <c r="EK503" s="16"/>
      <c r="EL503" s="16"/>
      <c r="EM503" s="10"/>
      <c r="EN503" s="16"/>
      <c r="EO503" s="16"/>
      <c r="EP503" s="16"/>
      <c r="EQ503" s="16"/>
      <c r="ER503" s="10"/>
      <c r="ES503" s="16"/>
      <c r="ET503" s="16"/>
      <c r="EU503" s="16"/>
      <c r="EV503" s="16"/>
      <c r="EW503" s="10"/>
      <c r="EX503" s="16"/>
      <c r="EY503" s="16"/>
      <c r="EZ503" s="16"/>
      <c r="FA503" s="16"/>
      <c r="FB503" s="10"/>
      <c r="FC503" s="16"/>
      <c r="FD503" s="16"/>
      <c r="FE503" s="16"/>
      <c r="FF503" s="16"/>
      <c r="FG503" s="10"/>
      <c r="FH503" s="21"/>
      <c r="FI503" s="16"/>
      <c r="FJ503" s="16"/>
      <c r="FK503" s="16"/>
      <c r="FL503" s="16"/>
    </row>
    <row r="504" ht="12.75" hidden="1" customHeight="1" outlineLevel="1">
      <c r="A504" s="4"/>
      <c r="B504" s="72" t="s">
        <v>276</v>
      </c>
      <c r="C504" s="45"/>
      <c r="D504" s="17"/>
      <c r="E504" s="17"/>
      <c r="F504" s="17"/>
      <c r="G504" s="17"/>
      <c r="H504" s="73"/>
      <c r="I504" s="17"/>
      <c r="J504" s="17"/>
      <c r="K504" s="17"/>
      <c r="L504" s="17"/>
      <c r="M504" s="73"/>
      <c r="N504" s="17"/>
      <c r="O504" s="17"/>
      <c r="P504" s="17"/>
      <c r="Q504" s="17"/>
      <c r="R504" s="73"/>
      <c r="S504" s="17"/>
      <c r="T504" s="17"/>
      <c r="U504" s="17"/>
      <c r="V504" s="17"/>
      <c r="W504" s="73"/>
      <c r="X504" s="17"/>
      <c r="Y504" s="17"/>
      <c r="Z504" s="17"/>
      <c r="AA504" s="17"/>
      <c r="AB504" s="73"/>
      <c r="AC504" s="17"/>
      <c r="AD504" s="17"/>
      <c r="AE504" s="17"/>
      <c r="AF504" s="17"/>
      <c r="AG504" s="73"/>
      <c r="AH504" s="17"/>
      <c r="AI504" s="17"/>
      <c r="AJ504" s="17"/>
      <c r="AK504" s="17"/>
      <c r="AL504" s="73"/>
      <c r="AM504" s="17"/>
      <c r="AN504" s="17"/>
      <c r="AO504" s="17"/>
      <c r="AP504" s="17"/>
      <c r="AQ504" s="73"/>
      <c r="AR504" s="17"/>
      <c r="AS504" s="17"/>
      <c r="AT504" s="17"/>
      <c r="AU504" s="17"/>
      <c r="AV504" s="73"/>
      <c r="AW504" s="17"/>
      <c r="AX504" s="17"/>
      <c r="AY504" s="17"/>
      <c r="AZ504" s="17"/>
      <c r="BA504" s="73"/>
      <c r="BB504" s="17"/>
      <c r="BC504" s="17"/>
      <c r="BD504" s="17"/>
      <c r="BE504" s="17"/>
      <c r="BF504" s="73"/>
      <c r="BG504" s="17"/>
      <c r="BH504" s="17"/>
      <c r="BI504" s="17"/>
      <c r="BJ504" s="17"/>
      <c r="BK504" s="73"/>
      <c r="BL504" s="17"/>
      <c r="BM504" s="17"/>
      <c r="BN504" s="17"/>
      <c r="BO504" s="17"/>
      <c r="BP504" s="73"/>
      <c r="BQ504" s="17"/>
      <c r="BR504" s="17"/>
      <c r="BS504" s="17"/>
      <c r="BT504" s="17"/>
      <c r="BU504" s="73"/>
      <c r="BV504" s="17"/>
      <c r="BW504" s="17"/>
      <c r="BX504" s="17"/>
      <c r="BY504" s="17"/>
      <c r="BZ504" s="18"/>
      <c r="CA504" s="17"/>
      <c r="CB504" s="17"/>
      <c r="CC504" s="17"/>
      <c r="CD504" s="17" t="str">
        <f>#REF!*0.195</f>
        <v>#REF!</v>
      </c>
      <c r="CE504" s="18">
        <v>7246.165</v>
      </c>
      <c r="CF504" s="17" t="str">
        <f t="shared" ref="CF504:CI504" si="2727">#REF!*0.195</f>
        <v>#REF!</v>
      </c>
      <c r="CG504" s="17" t="str">
        <f t="shared" si="2727"/>
        <v>#REF!</v>
      </c>
      <c r="CH504" s="17" t="str">
        <f t="shared" si="2727"/>
        <v>#REF!</v>
      </c>
      <c r="CI504" s="17" t="str">
        <f t="shared" si="2727"/>
        <v>#REF!</v>
      </c>
      <c r="CJ504" s="18" t="str">
        <f>SUM(CF504:CI504)</f>
        <v>#REF!</v>
      </c>
      <c r="CK504" s="17" t="str">
        <f t="shared" ref="CK504:CN504" si="2728">#REF!*0.195</f>
        <v>#REF!</v>
      </c>
      <c r="CL504" s="17" t="str">
        <f t="shared" si="2728"/>
        <v>#REF!</v>
      </c>
      <c r="CM504" s="17" t="str">
        <f t="shared" si="2728"/>
        <v>#REF!</v>
      </c>
      <c r="CN504" s="17" t="str">
        <f t="shared" si="2728"/>
        <v>#REF!</v>
      </c>
      <c r="CO504" s="18" t="str">
        <f>SUM(CK504:CN504)</f>
        <v>#REF!</v>
      </c>
      <c r="CP504" s="450" t="str">
        <f t="shared" ref="CP504:CS504" si="2729">#REF!-CP273</f>
        <v>#REF!</v>
      </c>
      <c r="CQ504" s="450" t="str">
        <f t="shared" si="2729"/>
        <v>#REF!</v>
      </c>
      <c r="CR504" s="450" t="str">
        <f t="shared" si="2729"/>
        <v>#REF!</v>
      </c>
      <c r="CS504" s="450" t="str">
        <f t="shared" si="2729"/>
        <v>#REF!</v>
      </c>
      <c r="CT504" s="18" t="str">
        <f>SUM(CP504:CS504)</f>
        <v>#REF!</v>
      </c>
      <c r="CU504" s="450" t="str">
        <f t="shared" ref="CU504:CX504" si="2730">#REF!-CU273</f>
        <v>#REF!</v>
      </c>
      <c r="CV504" s="17" t="str">
        <f t="shared" si="2730"/>
        <v>#REF!</v>
      </c>
      <c r="CW504" s="17" t="str">
        <f t="shared" si="2730"/>
        <v>#REF!</v>
      </c>
      <c r="CX504" s="17" t="str">
        <f t="shared" si="2730"/>
        <v>#REF!</v>
      </c>
      <c r="CY504" s="18" t="str">
        <f>SUM(CU504:CX504)</f>
        <v>#REF!</v>
      </c>
      <c r="CZ504" s="579">
        <v>530.0</v>
      </c>
      <c r="DA504" s="17" t="str">
        <f>DA273*0.11</f>
        <v>#ERROR!</v>
      </c>
      <c r="DB504" s="17" t="str">
        <f>DB273*0.135</f>
        <v>#ERROR!</v>
      </c>
      <c r="DC504" s="17" t="str">
        <f>DC273*0.11</f>
        <v>#ERROR!</v>
      </c>
      <c r="DD504" s="18" t="str">
        <f>SUM(CZ504:DC504)</f>
        <v>#ERROR!</v>
      </c>
      <c r="DE504" s="17" t="str">
        <f t="shared" ref="DE504:DH504" si="2731">DE273*0.11</f>
        <v>#ERROR!</v>
      </c>
      <c r="DF504" s="17" t="str">
        <f t="shared" si="2731"/>
        <v>#ERROR!</v>
      </c>
      <c r="DG504" s="19" t="str">
        <f t="shared" si="2731"/>
        <v>#ERROR!</v>
      </c>
      <c r="DH504" s="17" t="str">
        <f t="shared" si="2731"/>
        <v>#ERROR!</v>
      </c>
      <c r="DI504" s="18" t="str">
        <f>SUM(DE504:DH504)</f>
        <v>#ERROR!</v>
      </c>
      <c r="DJ504" s="19" t="str">
        <f t="shared" ref="DJ504:DM504" si="2732">DJ273*0.11</f>
        <v>#ERROR!</v>
      </c>
      <c r="DK504" s="19" t="str">
        <f t="shared" si="2732"/>
        <v>#ERROR!</v>
      </c>
      <c r="DL504" s="19" t="str">
        <f t="shared" si="2732"/>
        <v>#ERROR!</v>
      </c>
      <c r="DM504" s="17" t="str">
        <f t="shared" si="2732"/>
        <v>#ERROR!</v>
      </c>
      <c r="DN504" s="18" t="str">
        <f>SUM(DJ504:DM504)</f>
        <v>#ERROR!</v>
      </c>
      <c r="DO504" s="17" t="str">
        <f t="shared" ref="DO504:DR504" si="2733">DO273*0.11</f>
        <v>#ERROR!</v>
      </c>
      <c r="DP504" s="17" t="str">
        <f t="shared" si="2733"/>
        <v>#ERROR!</v>
      </c>
      <c r="DQ504" s="17" t="str">
        <f t="shared" si="2733"/>
        <v>#ERROR!</v>
      </c>
      <c r="DR504" s="17" t="str">
        <f t="shared" si="2733"/>
        <v>#ERROR!</v>
      </c>
      <c r="DS504" s="18" t="str">
        <f>SUM(DO504:DR504)</f>
        <v>#ERROR!</v>
      </c>
      <c r="DT504" s="17" t="str">
        <f t="shared" ref="DT504:DW504" si="2734">DT273*0.11</f>
        <v>#ERROR!</v>
      </c>
      <c r="DU504" s="17" t="str">
        <f t="shared" si="2734"/>
        <v>#ERROR!</v>
      </c>
      <c r="DV504" s="17" t="str">
        <f t="shared" si="2734"/>
        <v>#ERROR!</v>
      </c>
      <c r="DW504" s="17" t="str">
        <f t="shared" si="2734"/>
        <v>#ERROR!</v>
      </c>
      <c r="DX504" s="18" t="str">
        <f>SUM(DT504:DW504)</f>
        <v>#ERROR!</v>
      </c>
      <c r="DY504" s="17" t="str">
        <f t="shared" ref="DY504:EB504" si="2735">DY273*0.11</f>
        <v>#ERROR!</v>
      </c>
      <c r="DZ504" s="17" t="str">
        <f t="shared" si="2735"/>
        <v>#ERROR!</v>
      </c>
      <c r="EA504" s="17" t="str">
        <f t="shared" si="2735"/>
        <v>#ERROR!</v>
      </c>
      <c r="EB504" s="17" t="str">
        <f t="shared" si="2735"/>
        <v>#ERROR!</v>
      </c>
      <c r="EC504" s="18" t="str">
        <f>SUM(DY504:EB504)</f>
        <v>#ERROR!</v>
      </c>
      <c r="ED504" s="17" t="str">
        <f t="shared" ref="ED504:EG504" si="2736">ED273*0.11</f>
        <v>#ERROR!</v>
      </c>
      <c r="EE504" s="17" t="str">
        <f t="shared" si="2736"/>
        <v>#ERROR!</v>
      </c>
      <c r="EF504" s="17" t="str">
        <f t="shared" si="2736"/>
        <v>#ERROR!</v>
      </c>
      <c r="EG504" s="17" t="str">
        <f t="shared" si="2736"/>
        <v>#ERROR!</v>
      </c>
      <c r="EH504" s="18" t="str">
        <f>SUM(ED504:EG504)</f>
        <v>#ERROR!</v>
      </c>
      <c r="EI504" s="25" t="str">
        <f t="shared" ref="EI504:EL504" si="2737">EI273*0.11</f>
        <v>#ERROR!</v>
      </c>
      <c r="EJ504" s="17" t="str">
        <f t="shared" si="2737"/>
        <v>#ERROR!</v>
      </c>
      <c r="EK504" s="17" t="str">
        <f t="shared" si="2737"/>
        <v>#ERROR!</v>
      </c>
      <c r="EL504" s="17" t="str">
        <f t="shared" si="2737"/>
        <v>#ERROR!</v>
      </c>
      <c r="EM504" s="18" t="str">
        <f>SUM(EI504:EL504)</f>
        <v>#ERROR!</v>
      </c>
      <c r="EN504" s="17" t="str">
        <f t="shared" ref="EN504:EQ504" si="2738">EN273*0.11</f>
        <v>#ERROR!</v>
      </c>
      <c r="EO504" s="17" t="str">
        <f t="shared" si="2738"/>
        <v>#ERROR!</v>
      </c>
      <c r="EP504" s="17" t="str">
        <f t="shared" si="2738"/>
        <v>#ERROR!</v>
      </c>
      <c r="EQ504" s="17" t="str">
        <f t="shared" si="2738"/>
        <v>#ERROR!</v>
      </c>
      <c r="ER504" s="18" t="str">
        <f>SUM(EN504:EQ504)</f>
        <v>#ERROR!</v>
      </c>
      <c r="ES504" s="17" t="str">
        <f t="shared" ref="ES504:EV504" si="2739">ES273*0.11</f>
        <v>#ERROR!</v>
      </c>
      <c r="ET504" s="17" t="str">
        <f t="shared" si="2739"/>
        <v>#ERROR!</v>
      </c>
      <c r="EU504" s="17" t="str">
        <f t="shared" si="2739"/>
        <v>#ERROR!</v>
      </c>
      <c r="EV504" s="17" t="str">
        <f t="shared" si="2739"/>
        <v>#ERROR!</v>
      </c>
      <c r="EW504" s="18" t="str">
        <f>SUM(ES504:EV504)</f>
        <v>#ERROR!</v>
      </c>
      <c r="EX504" s="17" t="str">
        <f t="shared" ref="EX504:FA504" si="2740">EX273*0.11</f>
        <v>#ERROR!</v>
      </c>
      <c r="EY504" s="17" t="str">
        <f t="shared" si="2740"/>
        <v>#ERROR!</v>
      </c>
      <c r="EZ504" s="17" t="str">
        <f t="shared" si="2740"/>
        <v>#ERROR!</v>
      </c>
      <c r="FA504" s="17" t="str">
        <f t="shared" si="2740"/>
        <v>#ERROR!</v>
      </c>
      <c r="FB504" s="18" t="str">
        <f>SUM(EX504:FA504)</f>
        <v>#ERROR!</v>
      </c>
      <c r="FC504" s="17" t="str">
        <f t="shared" ref="FC504:FF504" si="2741">FC273*0.11</f>
        <v>#ERROR!</v>
      </c>
      <c r="FD504" s="17" t="str">
        <f t="shared" si="2741"/>
        <v>#ERROR!</v>
      </c>
      <c r="FE504" s="17" t="str">
        <f t="shared" si="2741"/>
        <v>#ERROR!</v>
      </c>
      <c r="FF504" s="17" t="str">
        <f t="shared" si="2741"/>
        <v>#ERROR!</v>
      </c>
      <c r="FG504" s="18" t="str">
        <f>SUM(FC504:FF504)</f>
        <v>#ERROR!</v>
      </c>
      <c r="FH504" s="74"/>
      <c r="FI504" s="17"/>
      <c r="FJ504" s="17"/>
      <c r="FK504" s="73"/>
      <c r="FL504" s="17"/>
    </row>
    <row r="505" ht="12.75" hidden="1" customHeight="1" outlineLevel="1">
      <c r="A505" s="16"/>
      <c r="B505" s="16"/>
      <c r="C505" s="16"/>
      <c r="D505" s="16"/>
      <c r="E505" s="16"/>
      <c r="F505" s="16"/>
      <c r="G505" s="16"/>
      <c r="H505" s="31"/>
      <c r="I505" s="32"/>
      <c r="J505" s="32"/>
      <c r="K505" s="32"/>
      <c r="L505" s="32"/>
      <c r="M505" s="31"/>
      <c r="N505" s="32"/>
      <c r="O505" s="32"/>
      <c r="P505" s="32"/>
      <c r="Q505" s="32"/>
      <c r="R505" s="33"/>
      <c r="S505" s="32"/>
      <c r="T505" s="32"/>
      <c r="U505" s="32"/>
      <c r="V505" s="32"/>
      <c r="W505" s="33"/>
      <c r="X505" s="32"/>
      <c r="Y505" s="32"/>
      <c r="Z505" s="32"/>
      <c r="AA505" s="32"/>
      <c r="AB505" s="31"/>
      <c r="AC505" s="32"/>
      <c r="AD505" s="32"/>
      <c r="AE505" s="32"/>
      <c r="AF505" s="32"/>
      <c r="AG505" s="31"/>
      <c r="AH505" s="32"/>
      <c r="AI505" s="32"/>
      <c r="AJ505" s="32"/>
      <c r="AK505" s="32"/>
      <c r="AL505" s="31"/>
      <c r="AM505" s="32"/>
      <c r="AN505" s="32"/>
      <c r="AO505" s="32"/>
      <c r="AP505" s="32"/>
      <c r="AQ505" s="31"/>
      <c r="AR505" s="32"/>
      <c r="AS505" s="32"/>
      <c r="AT505" s="32"/>
      <c r="AU505" s="32"/>
      <c r="AV505" s="31"/>
      <c r="AW505" s="32"/>
      <c r="AX505" s="32"/>
      <c r="AY505" s="32"/>
      <c r="AZ505" s="32"/>
      <c r="BA505" s="33"/>
      <c r="BB505" s="32"/>
      <c r="BC505" s="32"/>
      <c r="BD505" s="32"/>
      <c r="BE505" s="32"/>
      <c r="BF505" s="33"/>
      <c r="BG505" s="32"/>
      <c r="BH505" s="32"/>
      <c r="BI505" s="32"/>
      <c r="BJ505" s="32"/>
      <c r="BK505" s="33"/>
      <c r="BL505" s="32"/>
      <c r="BM505" s="32"/>
      <c r="BN505" s="32"/>
      <c r="BO505" s="32"/>
      <c r="BP505" s="33"/>
      <c r="BQ505" s="16"/>
      <c r="BR505" s="16"/>
      <c r="BS505" s="16"/>
      <c r="BT505" s="16"/>
      <c r="BU505" s="21"/>
      <c r="BV505" s="16"/>
      <c r="BW505" s="16"/>
      <c r="BX505" s="16"/>
      <c r="BY505" s="16"/>
      <c r="BZ505" s="10"/>
      <c r="CA505" s="16"/>
      <c r="CB505" s="16"/>
      <c r="CC505" s="16"/>
      <c r="CD505" s="16"/>
      <c r="CE505" s="10"/>
      <c r="CF505" s="16"/>
      <c r="CG505" s="16"/>
      <c r="CH505" s="16"/>
      <c r="CI505" s="16"/>
      <c r="CJ505" s="10"/>
      <c r="CK505" s="16"/>
      <c r="CL505" s="16"/>
      <c r="CM505" s="16"/>
      <c r="CN505" s="16"/>
      <c r="CO505" s="10"/>
      <c r="CP505" s="16"/>
      <c r="CQ505" s="16"/>
      <c r="CR505" s="16"/>
      <c r="CS505" s="16"/>
      <c r="CT505" s="10"/>
      <c r="CU505" s="16"/>
      <c r="CV505" s="213"/>
      <c r="CW505" s="16"/>
      <c r="CX505" s="16"/>
      <c r="CY505" s="10"/>
      <c r="CZ505" s="16"/>
      <c r="DA505" s="16"/>
      <c r="DB505" s="16"/>
      <c r="DC505" s="16"/>
      <c r="DD505" s="10"/>
      <c r="DE505" s="16"/>
      <c r="DF505" s="16"/>
      <c r="DG505" s="16"/>
      <c r="DH505" s="16"/>
      <c r="DI505" s="10"/>
      <c r="DJ505" s="16"/>
      <c r="DK505" s="16"/>
      <c r="DL505" s="16"/>
      <c r="DM505" s="16"/>
      <c r="DN505" s="10"/>
      <c r="DO505" s="16"/>
      <c r="DP505" s="16"/>
      <c r="DQ505" s="16"/>
      <c r="DR505" s="16"/>
      <c r="DS505" s="10"/>
      <c r="DT505" s="16"/>
      <c r="DU505" s="16"/>
      <c r="DV505" s="16"/>
      <c r="DW505" s="16"/>
      <c r="DX505" s="10"/>
      <c r="DY505" s="16"/>
      <c r="DZ505" s="16"/>
      <c r="EA505" s="16"/>
      <c r="EB505" s="16"/>
      <c r="EC505" s="10"/>
      <c r="ED505" s="16"/>
      <c r="EE505" s="16"/>
      <c r="EF505" s="16"/>
      <c r="EG505" s="16"/>
      <c r="EH505" s="10"/>
      <c r="EI505" s="214"/>
      <c r="EJ505" s="16"/>
      <c r="EK505" s="16"/>
      <c r="EL505" s="16"/>
      <c r="EM505" s="10"/>
      <c r="EN505" s="16"/>
      <c r="EO505" s="16"/>
      <c r="EP505" s="16"/>
      <c r="EQ505" s="16"/>
      <c r="ER505" s="10"/>
      <c r="ES505" s="16"/>
      <c r="ET505" s="16"/>
      <c r="EU505" s="16"/>
      <c r="EV505" s="16"/>
      <c r="EW505" s="10"/>
      <c r="EX505" s="16"/>
      <c r="EY505" s="16"/>
      <c r="EZ505" s="16"/>
      <c r="FA505" s="16"/>
      <c r="FB505" s="10"/>
      <c r="FC505" s="16"/>
      <c r="FD505" s="16"/>
      <c r="FE505" s="16"/>
      <c r="FF505" s="16"/>
      <c r="FG505" s="10"/>
      <c r="FH505" s="21"/>
      <c r="FI505" s="16"/>
      <c r="FJ505" s="16"/>
      <c r="FK505" s="16"/>
      <c r="FL505" s="16"/>
    </row>
    <row r="506" ht="12.75" hidden="1" customHeight="1" outlineLevel="1">
      <c r="A506" s="263"/>
      <c r="B506" s="72" t="s">
        <v>277</v>
      </c>
      <c r="C506" s="45"/>
      <c r="D506" s="17"/>
      <c r="E506" s="17"/>
      <c r="F506" s="17"/>
      <c r="G506" s="17"/>
      <c r="H506" s="73"/>
      <c r="I506" s="17"/>
      <c r="J506" s="17"/>
      <c r="K506" s="17"/>
      <c r="L506" s="17"/>
      <c r="M506" s="73"/>
      <c r="N506" s="17"/>
      <c r="O506" s="17"/>
      <c r="P506" s="17"/>
      <c r="Q506" s="17"/>
      <c r="R506" s="73"/>
      <c r="S506" s="17"/>
      <c r="T506" s="17"/>
      <c r="U506" s="17"/>
      <c r="V506" s="17"/>
      <c r="W506" s="73"/>
      <c r="X506" s="17"/>
      <c r="Y506" s="17"/>
      <c r="Z506" s="17"/>
      <c r="AA506" s="17"/>
      <c r="AB506" s="73"/>
      <c r="AC506" s="17"/>
      <c r="AD506" s="17"/>
      <c r="AE506" s="17"/>
      <c r="AF506" s="17"/>
      <c r="AG506" s="73"/>
      <c r="AH506" s="17"/>
      <c r="AI506" s="17"/>
      <c r="AJ506" s="17"/>
      <c r="AK506" s="17"/>
      <c r="AL506" s="73"/>
      <c r="AM506" s="17"/>
      <c r="AN506" s="17"/>
      <c r="AO506" s="17"/>
      <c r="AP506" s="17"/>
      <c r="AQ506" s="73"/>
      <c r="AR506" s="17"/>
      <c r="AS506" s="17"/>
      <c r="AT506" s="17"/>
      <c r="AU506" s="17"/>
      <c r="AV506" s="73"/>
      <c r="AW506" s="17"/>
      <c r="AX506" s="17"/>
      <c r="AY506" s="17"/>
      <c r="AZ506" s="17"/>
      <c r="BA506" s="73"/>
      <c r="BB506" s="17"/>
      <c r="BC506" s="17"/>
      <c r="BD506" s="17"/>
      <c r="BE506" s="17"/>
      <c r="BF506" s="73"/>
      <c r="BG506" s="17"/>
      <c r="BH506" s="17"/>
      <c r="BI506" s="17"/>
      <c r="BJ506" s="17"/>
      <c r="BK506" s="73"/>
      <c r="BL506" s="17"/>
      <c r="BM506" s="17"/>
      <c r="BN506" s="17"/>
      <c r="BO506" s="17"/>
      <c r="BP506" s="73"/>
      <c r="BQ506" s="17"/>
      <c r="BR506" s="17"/>
      <c r="BS506" s="17"/>
      <c r="BT506" s="17"/>
      <c r="BU506" s="73"/>
      <c r="BV506" s="17"/>
      <c r="BW506" s="17"/>
      <c r="BX506" s="17"/>
      <c r="BY506" s="17"/>
      <c r="BZ506" s="18"/>
      <c r="CA506" s="17"/>
      <c r="CB506" s="17"/>
      <c r="CC506" s="17"/>
      <c r="CD506" s="17">
        <f t="shared" ref="CD506:CI506" si="2742">CD508-CD507</f>
        <v>0</v>
      </c>
      <c r="CE506" s="18">
        <f t="shared" si="2742"/>
        <v>8515.28</v>
      </c>
      <c r="CF506" s="17">
        <f t="shared" si="2742"/>
        <v>2044.25</v>
      </c>
      <c r="CG506" s="17">
        <f t="shared" si="2742"/>
        <v>2383.4</v>
      </c>
      <c r="CH506" s="17">
        <f t="shared" si="2742"/>
        <v>2206.6</v>
      </c>
      <c r="CI506" s="17">
        <f t="shared" si="2742"/>
        <v>2359.6</v>
      </c>
      <c r="CJ506" s="18">
        <f t="shared" ref="CJ506:CJ513" si="2745">SUM(CF506:CI506)</f>
        <v>8993.85</v>
      </c>
      <c r="CK506" s="17">
        <f t="shared" ref="CK506:CN506" si="2743">CK508-CK507</f>
        <v>2197.25</v>
      </c>
      <c r="CL506" s="17">
        <f t="shared" si="2743"/>
        <v>2331.55</v>
      </c>
      <c r="CM506" s="17">
        <f t="shared" si="2743"/>
        <v>2475.2</v>
      </c>
      <c r="CN506" s="17">
        <f t="shared" si="2743"/>
        <v>2548.3</v>
      </c>
      <c r="CO506" s="18">
        <f t="shared" ref="CO506:CO513" si="2747">SUM(CK506:CN506)</f>
        <v>9552.3</v>
      </c>
      <c r="CP506" s="450" t="str">
        <f>[0]!ServerSales</f>
        <v>#ERROR!</v>
      </c>
      <c r="CQ506" s="450" t="str">
        <f>[0]!ServerSales</f>
        <v>#ERROR!</v>
      </c>
      <c r="CR506" s="450" t="str">
        <f>[0]!ServerSales</f>
        <v>#ERROR!</v>
      </c>
      <c r="CS506" s="450" t="str">
        <f>[0]!ServerSales</f>
        <v>#ERROR!</v>
      </c>
      <c r="CT506" s="18" t="str">
        <f t="shared" ref="CT506:CT513" si="2749">SUM(CP506:CS506)</f>
        <v>#ERROR!</v>
      </c>
      <c r="CU506" s="450" t="str">
        <f>[0]!ServerSales</f>
        <v>#ERROR!</v>
      </c>
      <c r="CV506" s="17" t="str">
        <f>[0]!ServerSales</f>
        <v>#ERROR!</v>
      </c>
      <c r="CW506" s="17" t="str">
        <f>[0]!ServerSales</f>
        <v>#ERROR!</v>
      </c>
      <c r="CX506" s="17" t="str">
        <f>[0]!ServerSales</f>
        <v>#ERROR!</v>
      </c>
      <c r="CY506" s="18" t="str">
        <f t="shared" ref="CY506:CY513" si="2751">SUM(CU506:CX506)</f>
        <v>#ERROR!</v>
      </c>
      <c r="CZ506" s="579" t="str">
        <f>[0]!ServerSales/1.08</f>
        <v>#ERROR!</v>
      </c>
      <c r="DA506" s="579" t="str">
        <f>[0]!ServerSales/1.1</f>
        <v>#ERROR!</v>
      </c>
      <c r="DB506" s="579" t="str">
        <f>[0]!ServerSales/1.1</f>
        <v>#ERROR!</v>
      </c>
      <c r="DC506" s="579" t="str">
        <f>[0]!ServerSales/1.09</f>
        <v>#ERROR!</v>
      </c>
      <c r="DD506" s="18" t="str">
        <f t="shared" ref="DD506:DD513" si="2752">SUM(CZ506:DC506)</f>
        <v>#ERROR!</v>
      </c>
      <c r="DE506" s="17" t="str">
        <f>[0]!ServerSales/1.05</f>
        <v>#ERROR!</v>
      </c>
      <c r="DF506" s="17" t="str">
        <f>[0]!ServerSales/1.05</f>
        <v>#ERROR!</v>
      </c>
      <c r="DG506" s="19" t="str">
        <f>[0]!ServerSales/1.05</f>
        <v>#ERROR!</v>
      </c>
      <c r="DH506" s="579" t="str">
        <f>[0]!ServerSales/1.05</f>
        <v>#ERROR!</v>
      </c>
      <c r="DI506" s="18" t="str">
        <f t="shared" ref="DI506:DI513" si="2754">SUM(DE506:DH506)</f>
        <v>#ERROR!</v>
      </c>
      <c r="DJ506" s="19" t="str">
        <f>[0]!ServerSales/1.05</f>
        <v>#ERROR!</v>
      </c>
      <c r="DK506" s="19" t="str">
        <f>[0]!ServerSales/1.05</f>
        <v>#ERROR!</v>
      </c>
      <c r="DL506" s="19" t="str">
        <f>[0]!ServerSales/1.05</f>
        <v>#ERROR!</v>
      </c>
      <c r="DM506" s="17" t="str">
        <f>[0]!ServerSales/1.05</f>
        <v>#ERROR!</v>
      </c>
      <c r="DN506" s="18" t="str">
        <f t="shared" ref="DN506:DN513" si="2756">SUM(DJ506:DM506)</f>
        <v>#ERROR!</v>
      </c>
      <c r="DO506" s="17" t="str">
        <f>[0]!ServerSales/1.05</f>
        <v>#ERROR!</v>
      </c>
      <c r="DP506" s="17" t="str">
        <f>[0]!ServerSales/1.05</f>
        <v>#ERROR!</v>
      </c>
      <c r="DQ506" s="17" t="str">
        <f>[0]!ServerSales/1.05</f>
        <v>#ERROR!</v>
      </c>
      <c r="DR506" s="17" t="str">
        <f>[0]!ServerSales/1.05</f>
        <v>#ERROR!</v>
      </c>
      <c r="DS506" s="18" t="str">
        <f t="shared" ref="DS506:DS513" si="2758">SUM(DO506:DR506)</f>
        <v>#ERROR!</v>
      </c>
      <c r="DT506" s="17" t="str">
        <f>[0]!ServerSales/1.05</f>
        <v>#ERROR!</v>
      </c>
      <c r="DU506" s="17" t="str">
        <f>[0]!ServerSales/1.05</f>
        <v>#ERROR!</v>
      </c>
      <c r="DV506" s="17" t="str">
        <f>[0]!ServerSales/1.05</f>
        <v>#ERROR!</v>
      </c>
      <c r="DW506" s="17" t="str">
        <f>[0]!ServerSales/1.05</f>
        <v>#ERROR!</v>
      </c>
      <c r="DX506" s="18" t="str">
        <f t="shared" ref="DX506:DX513" si="2760">SUM(DT506:DW506)</f>
        <v>#ERROR!</v>
      </c>
      <c r="DY506" s="17" t="str">
        <f>[0]!ServerSales/1.05</f>
        <v>#ERROR!</v>
      </c>
      <c r="DZ506" s="17" t="str">
        <f>[0]!ServerSales/1.05</f>
        <v>#ERROR!</v>
      </c>
      <c r="EA506" s="17" t="str">
        <f>[0]!ServerSales/1.05</f>
        <v>#ERROR!</v>
      </c>
      <c r="EB506" s="17" t="str">
        <f>[0]!ServerSales/1.05</f>
        <v>#ERROR!</v>
      </c>
      <c r="EC506" s="18" t="str">
        <f t="shared" ref="EC506:EC513" si="2762">SUM(DY506:EB506)</f>
        <v>#ERROR!</v>
      </c>
      <c r="ED506" s="17" t="str">
        <f>[0]!ServerSales/1.05</f>
        <v>#ERROR!</v>
      </c>
      <c r="EE506" s="17" t="str">
        <f>[0]!ServerSales/1.05</f>
        <v>#ERROR!</v>
      </c>
      <c r="EF506" s="17" t="str">
        <f>[0]!ServerSales/1.05</f>
        <v>#ERROR!</v>
      </c>
      <c r="EG506" s="17" t="str">
        <f>[0]!ServerSales/1.05</f>
        <v>#ERROR!</v>
      </c>
      <c r="EH506" s="18" t="str">
        <f t="shared" ref="EH506:EH513" si="2764">SUM(ED506:EG506)</f>
        <v>#ERROR!</v>
      </c>
      <c r="EI506" s="25" t="str">
        <f>[0]!ServerSales/1.05</f>
        <v>#ERROR!</v>
      </c>
      <c r="EJ506" s="17" t="str">
        <f>[0]!ServerSales/1.05</f>
        <v>#ERROR!</v>
      </c>
      <c r="EK506" s="17" t="str">
        <f>[0]!ServerSales/1.05</f>
        <v>#ERROR!</v>
      </c>
      <c r="EL506" s="17" t="str">
        <f>[0]!ServerSales/1.05</f>
        <v>#ERROR!</v>
      </c>
      <c r="EM506" s="18" t="str">
        <f t="shared" ref="EM506:EM513" si="2766">SUM(EI506:EL506)</f>
        <v>#ERROR!</v>
      </c>
      <c r="EN506" s="17" t="str">
        <f>[0]!ServerSales/1.05</f>
        <v>#ERROR!</v>
      </c>
      <c r="EO506" s="17" t="str">
        <f>[0]!ServerSales/1.05</f>
        <v>#ERROR!</v>
      </c>
      <c r="EP506" s="17" t="str">
        <f>[0]!ServerSales/1.05</f>
        <v>#ERROR!</v>
      </c>
      <c r="EQ506" s="17" t="str">
        <f>[0]!ServerSales/1.05</f>
        <v>#ERROR!</v>
      </c>
      <c r="ER506" s="18" t="str">
        <f t="shared" ref="ER506:ER513" si="2768">SUM(EN506:EQ506)</f>
        <v>#ERROR!</v>
      </c>
      <c r="ES506" s="17" t="str">
        <f>[0]!ServerSales/1.05</f>
        <v>#ERROR!</v>
      </c>
      <c r="ET506" s="17" t="str">
        <f>[0]!ServerSales/1.05</f>
        <v>#ERROR!</v>
      </c>
      <c r="EU506" s="17" t="str">
        <f>[0]!ServerSales/1.05</f>
        <v>#ERROR!</v>
      </c>
      <c r="EV506" s="17" t="str">
        <f>[0]!ServerSales/1.05</f>
        <v>#ERROR!</v>
      </c>
      <c r="EW506" s="18" t="str">
        <f t="shared" ref="EW506:EW513" si="2770">SUM(ES506:EV506)</f>
        <v>#ERROR!</v>
      </c>
      <c r="EX506" s="17" t="str">
        <f>[0]!ServerSales/1.05</f>
        <v>#ERROR!</v>
      </c>
      <c r="EY506" s="17" t="str">
        <f>[0]!ServerSales/1.05</f>
        <v>#ERROR!</v>
      </c>
      <c r="EZ506" s="17" t="str">
        <f>[0]!ServerSales/1.05</f>
        <v>#ERROR!</v>
      </c>
      <c r="FA506" s="17" t="str">
        <f>[0]!ServerSales/1.05</f>
        <v>#ERROR!</v>
      </c>
      <c r="FB506" s="18" t="str">
        <f t="shared" ref="FB506:FB513" si="2772">SUM(EX506:FA506)</f>
        <v>#ERROR!</v>
      </c>
      <c r="FC506" s="17" t="str">
        <f>[0]!ServerSales/1.05</f>
        <v>#ERROR!</v>
      </c>
      <c r="FD506" s="17" t="str">
        <f>[0]!ServerSales/1.05</f>
        <v>#ERROR!</v>
      </c>
      <c r="FE506" s="17" t="str">
        <f>[0]!ServerSales/1.05</f>
        <v>#ERROR!</v>
      </c>
      <c r="FF506" s="17" t="str">
        <f>[0]!ServerSales/1.05</f>
        <v>#ERROR!</v>
      </c>
      <c r="FG506" s="18" t="str">
        <f t="shared" ref="FG506:FG513" si="2774">SUM(FC506:FF506)</f>
        <v>#ERROR!</v>
      </c>
      <c r="FH506" s="74"/>
      <c r="FI506" s="17"/>
      <c r="FJ506" s="17"/>
      <c r="FK506" s="73"/>
      <c r="FL506" s="17"/>
    </row>
    <row r="507" ht="12.75" hidden="1" customHeight="1" outlineLevel="1">
      <c r="A507" s="4"/>
      <c r="B507" s="72" t="s">
        <v>276</v>
      </c>
      <c r="C507" s="45"/>
      <c r="D507" s="17"/>
      <c r="E507" s="17"/>
      <c r="F507" s="17"/>
      <c r="G507" s="17"/>
      <c r="H507" s="73"/>
      <c r="I507" s="17"/>
      <c r="J507" s="17"/>
      <c r="K507" s="17"/>
      <c r="L507" s="17"/>
      <c r="M507" s="73"/>
      <c r="N507" s="17"/>
      <c r="O507" s="17"/>
      <c r="P507" s="17"/>
      <c r="Q507" s="17"/>
      <c r="R507" s="73"/>
      <c r="S507" s="17"/>
      <c r="T507" s="17"/>
      <c r="U507" s="17"/>
      <c r="V507" s="17"/>
      <c r="W507" s="73"/>
      <c r="X507" s="17"/>
      <c r="Y507" s="17"/>
      <c r="Z507" s="17"/>
      <c r="AA507" s="17"/>
      <c r="AB507" s="73"/>
      <c r="AC507" s="17"/>
      <c r="AD507" s="17"/>
      <c r="AE507" s="17"/>
      <c r="AF507" s="17"/>
      <c r="AG507" s="73"/>
      <c r="AH507" s="17"/>
      <c r="AI507" s="17"/>
      <c r="AJ507" s="17"/>
      <c r="AK507" s="17"/>
      <c r="AL507" s="73"/>
      <c r="AM507" s="17"/>
      <c r="AN507" s="17"/>
      <c r="AO507" s="17"/>
      <c r="AP507" s="17"/>
      <c r="AQ507" s="73"/>
      <c r="AR507" s="17"/>
      <c r="AS507" s="17"/>
      <c r="AT507" s="17"/>
      <c r="AU507" s="17"/>
      <c r="AV507" s="73"/>
      <c r="AW507" s="17"/>
      <c r="AX507" s="17"/>
      <c r="AY507" s="17"/>
      <c r="AZ507" s="17"/>
      <c r="BA507" s="73"/>
      <c r="BB507" s="17"/>
      <c r="BC507" s="17"/>
      <c r="BD507" s="17"/>
      <c r="BE507" s="17"/>
      <c r="BF507" s="73"/>
      <c r="BG507" s="17"/>
      <c r="BH507" s="17"/>
      <c r="BI507" s="17"/>
      <c r="BJ507" s="17"/>
      <c r="BK507" s="73"/>
      <c r="BL507" s="17"/>
      <c r="BM507" s="17"/>
      <c r="BN507" s="17"/>
      <c r="BO507" s="17"/>
      <c r="BP507" s="73"/>
      <c r="BQ507" s="17"/>
      <c r="BR507" s="17"/>
      <c r="BS507" s="17"/>
      <c r="BT507" s="17"/>
      <c r="BU507" s="73"/>
      <c r="BV507" s="17"/>
      <c r="BW507" s="17"/>
      <c r="BX507" s="17"/>
      <c r="BY507" s="17"/>
      <c r="BZ507" s="18"/>
      <c r="CA507" s="17"/>
      <c r="CB507" s="17"/>
      <c r="CC507" s="17"/>
      <c r="CD507" s="17">
        <f>CD508*0.15</f>
        <v>0</v>
      </c>
      <c r="CE507" s="18">
        <v>1613.72</v>
      </c>
      <c r="CF507" s="17">
        <f t="shared" ref="CF507:CI507" si="2744">CF508*0.15</f>
        <v>360.75</v>
      </c>
      <c r="CG507" s="17">
        <f t="shared" si="2744"/>
        <v>420.6</v>
      </c>
      <c r="CH507" s="17">
        <f t="shared" si="2744"/>
        <v>389.4</v>
      </c>
      <c r="CI507" s="17">
        <f t="shared" si="2744"/>
        <v>416.4</v>
      </c>
      <c r="CJ507" s="18">
        <f t="shared" si="2745"/>
        <v>1587.15</v>
      </c>
      <c r="CK507" s="17">
        <f t="shared" ref="CK507:CN507" si="2746">CK508*0.15</f>
        <v>387.75</v>
      </c>
      <c r="CL507" s="17">
        <f t="shared" si="2746"/>
        <v>411.45</v>
      </c>
      <c r="CM507" s="17">
        <f t="shared" si="2746"/>
        <v>436.8</v>
      </c>
      <c r="CN507" s="17">
        <f t="shared" si="2746"/>
        <v>449.7</v>
      </c>
      <c r="CO507" s="18">
        <f t="shared" si="2747"/>
        <v>1685.7</v>
      </c>
      <c r="CP507" s="450" t="str">
        <f t="shared" ref="CP507:CS507" si="2748">CP508-CP506</f>
        <v>#ERROR!</v>
      </c>
      <c r="CQ507" s="450" t="str">
        <f t="shared" si="2748"/>
        <v>#ERROR!</v>
      </c>
      <c r="CR507" s="450" t="str">
        <f t="shared" si="2748"/>
        <v>#ERROR!</v>
      </c>
      <c r="CS507" s="450" t="str">
        <f t="shared" si="2748"/>
        <v>#ERROR!</v>
      </c>
      <c r="CT507" s="18" t="str">
        <f t="shared" si="2749"/>
        <v>#ERROR!</v>
      </c>
      <c r="CU507" s="450" t="str">
        <f t="shared" ref="CU507:CX507" si="2750">CU508-CU506</f>
        <v>#ERROR!</v>
      </c>
      <c r="CV507" s="17" t="str">
        <f t="shared" si="2750"/>
        <v>#ERROR!</v>
      </c>
      <c r="CW507" s="17" t="str">
        <f t="shared" si="2750"/>
        <v>#ERROR!</v>
      </c>
      <c r="CX507" s="17" t="str">
        <f t="shared" si="2750"/>
        <v>#ERROR!</v>
      </c>
      <c r="CY507" s="18" t="str">
        <f t="shared" si="2751"/>
        <v>#ERROR!</v>
      </c>
      <c r="CZ507" s="17" t="str">
        <f>CZ506*0.12</f>
        <v>#ERROR!</v>
      </c>
      <c r="DA507" s="17" t="str">
        <f>DA506*0.15</f>
        <v>#ERROR!</v>
      </c>
      <c r="DB507" s="17" t="str">
        <f>DB506*0.12</f>
        <v>#ERROR!</v>
      </c>
      <c r="DC507" s="17" t="str">
        <f>DC506*0.1</f>
        <v>#ERROR!</v>
      </c>
      <c r="DD507" s="18" t="str">
        <f t="shared" si="2752"/>
        <v>#ERROR!</v>
      </c>
      <c r="DE507" s="17" t="str">
        <f t="shared" ref="DE507:DH507" si="2753">DE506*0.08</f>
        <v>#ERROR!</v>
      </c>
      <c r="DF507" s="17" t="str">
        <f t="shared" si="2753"/>
        <v>#ERROR!</v>
      </c>
      <c r="DG507" s="19" t="str">
        <f t="shared" si="2753"/>
        <v>#ERROR!</v>
      </c>
      <c r="DH507" s="17" t="str">
        <f t="shared" si="2753"/>
        <v>#ERROR!</v>
      </c>
      <c r="DI507" s="18" t="str">
        <f t="shared" si="2754"/>
        <v>#ERROR!</v>
      </c>
      <c r="DJ507" s="19" t="str">
        <f t="shared" ref="DJ507:DM507" si="2755">DJ506*0.08</f>
        <v>#ERROR!</v>
      </c>
      <c r="DK507" s="19" t="str">
        <f t="shared" si="2755"/>
        <v>#ERROR!</v>
      </c>
      <c r="DL507" s="19" t="str">
        <f t="shared" si="2755"/>
        <v>#ERROR!</v>
      </c>
      <c r="DM507" s="17" t="str">
        <f t="shared" si="2755"/>
        <v>#ERROR!</v>
      </c>
      <c r="DN507" s="18" t="str">
        <f t="shared" si="2756"/>
        <v>#ERROR!</v>
      </c>
      <c r="DO507" s="17" t="str">
        <f t="shared" ref="DO507:DR507" si="2757">DO506*0.08</f>
        <v>#ERROR!</v>
      </c>
      <c r="DP507" s="17" t="str">
        <f t="shared" si="2757"/>
        <v>#ERROR!</v>
      </c>
      <c r="DQ507" s="17" t="str">
        <f t="shared" si="2757"/>
        <v>#ERROR!</v>
      </c>
      <c r="DR507" s="17" t="str">
        <f t="shared" si="2757"/>
        <v>#ERROR!</v>
      </c>
      <c r="DS507" s="18" t="str">
        <f t="shared" si="2758"/>
        <v>#ERROR!</v>
      </c>
      <c r="DT507" s="17" t="str">
        <f t="shared" ref="DT507:DW507" si="2759">DT506*0.08</f>
        <v>#ERROR!</v>
      </c>
      <c r="DU507" s="17" t="str">
        <f t="shared" si="2759"/>
        <v>#ERROR!</v>
      </c>
      <c r="DV507" s="17" t="str">
        <f t="shared" si="2759"/>
        <v>#ERROR!</v>
      </c>
      <c r="DW507" s="17" t="str">
        <f t="shared" si="2759"/>
        <v>#ERROR!</v>
      </c>
      <c r="DX507" s="18" t="str">
        <f t="shared" si="2760"/>
        <v>#ERROR!</v>
      </c>
      <c r="DY507" s="17" t="str">
        <f t="shared" ref="DY507:EB507" si="2761">DY506*0.08</f>
        <v>#ERROR!</v>
      </c>
      <c r="DZ507" s="17" t="str">
        <f t="shared" si="2761"/>
        <v>#ERROR!</v>
      </c>
      <c r="EA507" s="17" t="str">
        <f t="shared" si="2761"/>
        <v>#ERROR!</v>
      </c>
      <c r="EB507" s="17" t="str">
        <f t="shared" si="2761"/>
        <v>#ERROR!</v>
      </c>
      <c r="EC507" s="18" t="str">
        <f t="shared" si="2762"/>
        <v>#ERROR!</v>
      </c>
      <c r="ED507" s="17" t="str">
        <f t="shared" ref="ED507:EG507" si="2763">ED506*0.08</f>
        <v>#ERROR!</v>
      </c>
      <c r="EE507" s="17" t="str">
        <f t="shared" si="2763"/>
        <v>#ERROR!</v>
      </c>
      <c r="EF507" s="17" t="str">
        <f t="shared" si="2763"/>
        <v>#ERROR!</v>
      </c>
      <c r="EG507" s="17" t="str">
        <f t="shared" si="2763"/>
        <v>#ERROR!</v>
      </c>
      <c r="EH507" s="18" t="str">
        <f t="shared" si="2764"/>
        <v>#ERROR!</v>
      </c>
      <c r="EI507" s="25" t="str">
        <f t="shared" ref="EI507:EL507" si="2765">EI506*0.08</f>
        <v>#ERROR!</v>
      </c>
      <c r="EJ507" s="17" t="str">
        <f t="shared" si="2765"/>
        <v>#ERROR!</v>
      </c>
      <c r="EK507" s="17" t="str">
        <f t="shared" si="2765"/>
        <v>#ERROR!</v>
      </c>
      <c r="EL507" s="17" t="str">
        <f t="shared" si="2765"/>
        <v>#ERROR!</v>
      </c>
      <c r="EM507" s="18" t="str">
        <f t="shared" si="2766"/>
        <v>#ERROR!</v>
      </c>
      <c r="EN507" s="17" t="str">
        <f t="shared" ref="EN507:EQ507" si="2767">EN506*0.08</f>
        <v>#ERROR!</v>
      </c>
      <c r="EO507" s="17" t="str">
        <f t="shared" si="2767"/>
        <v>#ERROR!</v>
      </c>
      <c r="EP507" s="17" t="str">
        <f t="shared" si="2767"/>
        <v>#ERROR!</v>
      </c>
      <c r="EQ507" s="17" t="str">
        <f t="shared" si="2767"/>
        <v>#ERROR!</v>
      </c>
      <c r="ER507" s="18" t="str">
        <f t="shared" si="2768"/>
        <v>#ERROR!</v>
      </c>
      <c r="ES507" s="17" t="str">
        <f t="shared" ref="ES507:EV507" si="2769">ES506*0.08</f>
        <v>#ERROR!</v>
      </c>
      <c r="ET507" s="17" t="str">
        <f t="shared" si="2769"/>
        <v>#ERROR!</v>
      </c>
      <c r="EU507" s="17" t="str">
        <f t="shared" si="2769"/>
        <v>#ERROR!</v>
      </c>
      <c r="EV507" s="17" t="str">
        <f t="shared" si="2769"/>
        <v>#ERROR!</v>
      </c>
      <c r="EW507" s="18" t="str">
        <f t="shared" si="2770"/>
        <v>#ERROR!</v>
      </c>
      <c r="EX507" s="17" t="str">
        <f t="shared" ref="EX507:FA507" si="2771">EX506*0.08</f>
        <v>#ERROR!</v>
      </c>
      <c r="EY507" s="17" t="str">
        <f t="shared" si="2771"/>
        <v>#ERROR!</v>
      </c>
      <c r="EZ507" s="17" t="str">
        <f t="shared" si="2771"/>
        <v>#ERROR!</v>
      </c>
      <c r="FA507" s="17" t="str">
        <f t="shared" si="2771"/>
        <v>#ERROR!</v>
      </c>
      <c r="FB507" s="18" t="str">
        <f t="shared" si="2772"/>
        <v>#ERROR!</v>
      </c>
      <c r="FC507" s="17" t="str">
        <f t="shared" ref="FC507:FF507" si="2773">FC506*0.08</f>
        <v>#ERROR!</v>
      </c>
      <c r="FD507" s="17" t="str">
        <f t="shared" si="2773"/>
        <v>#ERROR!</v>
      </c>
      <c r="FE507" s="17" t="str">
        <f t="shared" si="2773"/>
        <v>#ERROR!</v>
      </c>
      <c r="FF507" s="17" t="str">
        <f t="shared" si="2773"/>
        <v>#ERROR!</v>
      </c>
      <c r="FG507" s="18" t="str">
        <f t="shared" si="2774"/>
        <v>#ERROR!</v>
      </c>
      <c r="FH507" s="74"/>
      <c r="FI507" s="17"/>
      <c r="FJ507" s="17"/>
      <c r="FK507" s="73"/>
      <c r="FL507" s="17"/>
    </row>
    <row r="508" ht="12.75" hidden="1" customHeight="1" outlineLevel="1">
      <c r="A508" s="45"/>
      <c r="B508" s="215" t="s">
        <v>278</v>
      </c>
      <c r="C508" s="45"/>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12"/>
      <c r="BE508" s="112"/>
      <c r="BF508" s="112"/>
      <c r="BG508" s="112"/>
      <c r="BH508" s="112"/>
      <c r="BI508" s="112"/>
      <c r="BJ508" s="112"/>
      <c r="BK508" s="112"/>
      <c r="BL508" s="112"/>
      <c r="BM508" s="112"/>
      <c r="BN508" s="112"/>
      <c r="BO508" s="112"/>
      <c r="BP508" s="112"/>
      <c r="BQ508" s="112"/>
      <c r="BR508" s="112"/>
      <c r="BS508" s="112"/>
      <c r="BT508" s="112"/>
      <c r="BU508" s="112"/>
      <c r="BV508" s="112"/>
      <c r="BW508" s="112"/>
      <c r="BX508" s="112"/>
      <c r="BY508" s="112"/>
      <c r="BZ508" s="80"/>
      <c r="CA508" s="112"/>
      <c r="CB508" s="112"/>
      <c r="CC508" s="112"/>
      <c r="CD508" s="112"/>
      <c r="CE508" s="80">
        <v>10129.0</v>
      </c>
      <c r="CF508" s="112">
        <v>2405.0</v>
      </c>
      <c r="CG508" s="112">
        <v>2804.0</v>
      </c>
      <c r="CH508" s="112">
        <v>2596.0</v>
      </c>
      <c r="CI508" s="112">
        <v>2776.0</v>
      </c>
      <c r="CJ508" s="80">
        <f t="shared" si="2745"/>
        <v>10581</v>
      </c>
      <c r="CK508" s="112">
        <f>5328-CL508</f>
        <v>2585</v>
      </c>
      <c r="CL508" s="112">
        <v>2743.0</v>
      </c>
      <c r="CM508" s="112">
        <v>2912.0</v>
      </c>
      <c r="CN508" s="146">
        <v>2998.0</v>
      </c>
      <c r="CO508" s="80">
        <f t="shared" si="2747"/>
        <v>11238</v>
      </c>
      <c r="CP508" s="146">
        <v>3087.0</v>
      </c>
      <c r="CQ508" s="112">
        <v>3509.0</v>
      </c>
      <c r="CR508" s="112">
        <v>3700.0</v>
      </c>
      <c r="CS508" s="112">
        <v>4091.0</v>
      </c>
      <c r="CT508" s="80">
        <f t="shared" si="2749"/>
        <v>14387</v>
      </c>
      <c r="CU508" s="112">
        <v>3679.0</v>
      </c>
      <c r="CV508" s="112">
        <v>3850.0</v>
      </c>
      <c r="CW508" s="112">
        <v>4140.0</v>
      </c>
      <c r="CX508" s="112">
        <v>4308.0</v>
      </c>
      <c r="CY508" s="80">
        <f t="shared" si="2751"/>
        <v>15977</v>
      </c>
      <c r="CZ508" s="112" t="str">
        <f t="shared" ref="CZ508:DC508" si="2775">SUM(CZ506:CZ507)</f>
        <v>#ERROR!</v>
      </c>
      <c r="DA508" s="112" t="str">
        <f t="shared" si="2775"/>
        <v>#ERROR!</v>
      </c>
      <c r="DB508" s="112" t="str">
        <f t="shared" si="2775"/>
        <v>#ERROR!</v>
      </c>
      <c r="DC508" s="112" t="str">
        <f t="shared" si="2775"/>
        <v>#ERROR!</v>
      </c>
      <c r="DD508" s="80" t="str">
        <f t="shared" si="2752"/>
        <v>#ERROR!</v>
      </c>
      <c r="DE508" s="112" t="str">
        <f t="shared" ref="DE508:DH508" si="2776">SUM(DE506:DE507)</f>
        <v>#ERROR!</v>
      </c>
      <c r="DF508" s="112" t="str">
        <f t="shared" si="2776"/>
        <v>#ERROR!</v>
      </c>
      <c r="DG508" s="146" t="str">
        <f t="shared" si="2776"/>
        <v>#ERROR!</v>
      </c>
      <c r="DH508" s="112" t="str">
        <f t="shared" si="2776"/>
        <v>#ERROR!</v>
      </c>
      <c r="DI508" s="80" t="str">
        <f t="shared" si="2754"/>
        <v>#ERROR!</v>
      </c>
      <c r="DJ508" s="146" t="str">
        <f t="shared" ref="DJ508:DM508" si="2777">SUM(DJ506:DJ507)</f>
        <v>#ERROR!</v>
      </c>
      <c r="DK508" s="146" t="str">
        <f t="shared" si="2777"/>
        <v>#ERROR!</v>
      </c>
      <c r="DL508" s="146" t="str">
        <f t="shared" si="2777"/>
        <v>#ERROR!</v>
      </c>
      <c r="DM508" s="112" t="str">
        <f t="shared" si="2777"/>
        <v>#ERROR!</v>
      </c>
      <c r="DN508" s="80" t="str">
        <f t="shared" si="2756"/>
        <v>#ERROR!</v>
      </c>
      <c r="DO508" s="112" t="str">
        <f t="shared" ref="DO508:DR508" si="2778">SUM(DO506:DO507)</f>
        <v>#ERROR!</v>
      </c>
      <c r="DP508" s="112" t="str">
        <f t="shared" si="2778"/>
        <v>#ERROR!</v>
      </c>
      <c r="DQ508" s="112" t="str">
        <f t="shared" si="2778"/>
        <v>#ERROR!</v>
      </c>
      <c r="DR508" s="112" t="str">
        <f t="shared" si="2778"/>
        <v>#ERROR!</v>
      </c>
      <c r="DS508" s="80" t="str">
        <f t="shared" si="2758"/>
        <v>#ERROR!</v>
      </c>
      <c r="DT508" s="112" t="str">
        <f t="shared" ref="DT508:DW508" si="2779">SUM(DT506:DT507)</f>
        <v>#ERROR!</v>
      </c>
      <c r="DU508" s="112" t="str">
        <f t="shared" si="2779"/>
        <v>#ERROR!</v>
      </c>
      <c r="DV508" s="112" t="str">
        <f t="shared" si="2779"/>
        <v>#ERROR!</v>
      </c>
      <c r="DW508" s="112" t="str">
        <f t="shared" si="2779"/>
        <v>#ERROR!</v>
      </c>
      <c r="DX508" s="80" t="str">
        <f t="shared" si="2760"/>
        <v>#ERROR!</v>
      </c>
      <c r="DY508" s="112" t="str">
        <f t="shared" ref="DY508:EB508" si="2780">SUM(DY506:DY507)</f>
        <v>#ERROR!</v>
      </c>
      <c r="DZ508" s="112" t="str">
        <f t="shared" si="2780"/>
        <v>#ERROR!</v>
      </c>
      <c r="EA508" s="112" t="str">
        <f t="shared" si="2780"/>
        <v>#ERROR!</v>
      </c>
      <c r="EB508" s="112" t="str">
        <f t="shared" si="2780"/>
        <v>#ERROR!</v>
      </c>
      <c r="EC508" s="80" t="str">
        <f t="shared" si="2762"/>
        <v>#ERROR!</v>
      </c>
      <c r="ED508" s="112" t="str">
        <f t="shared" ref="ED508:EG508" si="2781">SUM(ED506:ED507)</f>
        <v>#ERROR!</v>
      </c>
      <c r="EE508" s="112" t="str">
        <f t="shared" si="2781"/>
        <v>#ERROR!</v>
      </c>
      <c r="EF508" s="112" t="str">
        <f t="shared" si="2781"/>
        <v>#ERROR!</v>
      </c>
      <c r="EG508" s="112" t="str">
        <f t="shared" si="2781"/>
        <v>#ERROR!</v>
      </c>
      <c r="EH508" s="80" t="str">
        <f t="shared" si="2764"/>
        <v>#ERROR!</v>
      </c>
      <c r="EI508" s="110" t="str">
        <f t="shared" ref="EI508:EL508" si="2782">SUM(EI506:EI507)</f>
        <v>#ERROR!</v>
      </c>
      <c r="EJ508" s="112" t="str">
        <f t="shared" si="2782"/>
        <v>#ERROR!</v>
      </c>
      <c r="EK508" s="112" t="str">
        <f t="shared" si="2782"/>
        <v>#ERROR!</v>
      </c>
      <c r="EL508" s="112" t="str">
        <f t="shared" si="2782"/>
        <v>#ERROR!</v>
      </c>
      <c r="EM508" s="80" t="str">
        <f t="shared" si="2766"/>
        <v>#ERROR!</v>
      </c>
      <c r="EN508" s="112" t="str">
        <f t="shared" ref="EN508:EQ508" si="2783">SUM(EN506:EN507)</f>
        <v>#ERROR!</v>
      </c>
      <c r="EO508" s="112" t="str">
        <f t="shared" si="2783"/>
        <v>#ERROR!</v>
      </c>
      <c r="EP508" s="112" t="str">
        <f t="shared" si="2783"/>
        <v>#ERROR!</v>
      </c>
      <c r="EQ508" s="112" t="str">
        <f t="shared" si="2783"/>
        <v>#ERROR!</v>
      </c>
      <c r="ER508" s="80" t="str">
        <f t="shared" si="2768"/>
        <v>#ERROR!</v>
      </c>
      <c r="ES508" s="112" t="str">
        <f t="shared" ref="ES508:EV508" si="2784">SUM(ES506:ES507)</f>
        <v>#ERROR!</v>
      </c>
      <c r="ET508" s="112" t="str">
        <f t="shared" si="2784"/>
        <v>#ERROR!</v>
      </c>
      <c r="EU508" s="112" t="str">
        <f t="shared" si="2784"/>
        <v>#ERROR!</v>
      </c>
      <c r="EV508" s="112" t="str">
        <f t="shared" si="2784"/>
        <v>#ERROR!</v>
      </c>
      <c r="EW508" s="80" t="str">
        <f t="shared" si="2770"/>
        <v>#ERROR!</v>
      </c>
      <c r="EX508" s="112" t="str">
        <f t="shared" ref="EX508:FA508" si="2785">SUM(EX506:EX507)</f>
        <v>#ERROR!</v>
      </c>
      <c r="EY508" s="112" t="str">
        <f t="shared" si="2785"/>
        <v>#ERROR!</v>
      </c>
      <c r="EZ508" s="112" t="str">
        <f t="shared" si="2785"/>
        <v>#ERROR!</v>
      </c>
      <c r="FA508" s="112" t="str">
        <f t="shared" si="2785"/>
        <v>#ERROR!</v>
      </c>
      <c r="FB508" s="80" t="str">
        <f t="shared" si="2772"/>
        <v>#ERROR!</v>
      </c>
      <c r="FC508" s="112" t="str">
        <f t="shared" ref="FC508:FF508" si="2786">SUM(FC506:FC507)</f>
        <v>#ERROR!</v>
      </c>
      <c r="FD508" s="112" t="str">
        <f t="shared" si="2786"/>
        <v>#ERROR!</v>
      </c>
      <c r="FE508" s="112" t="str">
        <f t="shared" si="2786"/>
        <v>#ERROR!</v>
      </c>
      <c r="FF508" s="112" t="str">
        <f t="shared" si="2786"/>
        <v>#ERROR!</v>
      </c>
      <c r="FG508" s="80" t="str">
        <f t="shared" si="2774"/>
        <v>#ERROR!</v>
      </c>
      <c r="FH508" s="146"/>
      <c r="FI508" s="112"/>
      <c r="FJ508" s="112"/>
      <c r="FK508" s="112"/>
      <c r="FL508" s="112"/>
    </row>
    <row r="509" ht="12.75" hidden="1" customHeight="1" outlineLevel="2">
      <c r="A509" s="4"/>
      <c r="B509" s="72" t="s">
        <v>279</v>
      </c>
      <c r="C509" s="45"/>
      <c r="D509" s="17"/>
      <c r="E509" s="17"/>
      <c r="F509" s="17"/>
      <c r="G509" s="17"/>
      <c r="H509" s="73"/>
      <c r="I509" s="17"/>
      <c r="J509" s="17"/>
      <c r="K509" s="17"/>
      <c r="L509" s="17"/>
      <c r="M509" s="73"/>
      <c r="N509" s="17"/>
      <c r="O509" s="17"/>
      <c r="P509" s="17"/>
      <c r="Q509" s="17"/>
      <c r="R509" s="73"/>
      <c r="S509" s="17"/>
      <c r="T509" s="17"/>
      <c r="U509" s="17"/>
      <c r="V509" s="17"/>
      <c r="W509" s="73"/>
      <c r="X509" s="17"/>
      <c r="Y509" s="17"/>
      <c r="Z509" s="17"/>
      <c r="AA509" s="17"/>
      <c r="AB509" s="73"/>
      <c r="AC509" s="17"/>
      <c r="AD509" s="17"/>
      <c r="AE509" s="17"/>
      <c r="AF509" s="17"/>
      <c r="AG509" s="73"/>
      <c r="AH509" s="17"/>
      <c r="AI509" s="17"/>
      <c r="AJ509" s="17"/>
      <c r="AK509" s="17"/>
      <c r="AL509" s="73"/>
      <c r="AM509" s="17"/>
      <c r="AN509" s="17"/>
      <c r="AO509" s="17"/>
      <c r="AP509" s="17"/>
      <c r="AQ509" s="73"/>
      <c r="AR509" s="17"/>
      <c r="AS509" s="17"/>
      <c r="AT509" s="17"/>
      <c r="AU509" s="17"/>
      <c r="AV509" s="73"/>
      <c r="AW509" s="17"/>
      <c r="AX509" s="17"/>
      <c r="AY509" s="17"/>
      <c r="AZ509" s="17"/>
      <c r="BA509" s="73"/>
      <c r="BB509" s="17"/>
      <c r="BC509" s="17"/>
      <c r="BD509" s="17"/>
      <c r="BE509" s="17"/>
      <c r="BF509" s="73"/>
      <c r="BG509" s="17"/>
      <c r="BH509" s="17"/>
      <c r="BI509" s="17"/>
      <c r="BJ509" s="17"/>
      <c r="BK509" s="73"/>
      <c r="BL509" s="17"/>
      <c r="BM509" s="17"/>
      <c r="BN509" s="17"/>
      <c r="BO509" s="17"/>
      <c r="BP509" s="73"/>
      <c r="BQ509" s="17"/>
      <c r="BR509" s="17"/>
      <c r="BS509" s="17"/>
      <c r="BT509" s="17"/>
      <c r="BU509" s="73"/>
      <c r="BV509" s="17"/>
      <c r="BW509" s="17"/>
      <c r="BX509" s="17"/>
      <c r="BY509" s="17"/>
      <c r="BZ509" s="18"/>
      <c r="CA509" s="17"/>
      <c r="CB509" s="17"/>
      <c r="CC509" s="17"/>
      <c r="CD509" s="17"/>
      <c r="CE509" s="18">
        <v>2112.0</v>
      </c>
      <c r="CF509" s="17">
        <v>454.0</v>
      </c>
      <c r="CG509" s="17">
        <v>362.20216320287994</v>
      </c>
      <c r="CH509" s="17">
        <v>387.5563146270816</v>
      </c>
      <c r="CI509" s="17">
        <v>406.93413035843565</v>
      </c>
      <c r="CJ509" s="18">
        <f t="shared" si="2745"/>
        <v>1610.692608</v>
      </c>
      <c r="CK509" s="450">
        <f>696-CL509</f>
        <v>404</v>
      </c>
      <c r="CL509" s="450">
        <v>292.0</v>
      </c>
      <c r="CM509" s="450">
        <v>353.0</v>
      </c>
      <c r="CN509" s="19">
        <f>4092-CO510-CM509-CL509-CK509</f>
        <v>1300</v>
      </c>
      <c r="CO509" s="18">
        <f t="shared" si="2747"/>
        <v>2349</v>
      </c>
      <c r="CP509" s="19">
        <v>156.0</v>
      </c>
      <c r="CQ509" s="17">
        <v>51.0</v>
      </c>
      <c r="CR509" s="17">
        <v>1.0</v>
      </c>
      <c r="CS509" s="17">
        <v>-6.0</v>
      </c>
      <c r="CT509" s="18">
        <f t="shared" si="2749"/>
        <v>202</v>
      </c>
      <c r="CU509" s="450">
        <v>60.0</v>
      </c>
      <c r="CV509" s="17">
        <f>CV511-CV510</f>
        <v>10.01</v>
      </c>
      <c r="CW509" s="17">
        <f>+CV509*1.5</f>
        <v>15.015</v>
      </c>
      <c r="CX509" s="17">
        <f>+CW509*1.25</f>
        <v>18.76875</v>
      </c>
      <c r="CY509" s="18">
        <f t="shared" si="2751"/>
        <v>103.79375</v>
      </c>
      <c r="CZ509" s="17">
        <f>+CX509*1.15</f>
        <v>21.5840625</v>
      </c>
      <c r="DA509" s="17">
        <f>+CZ509*1.23</f>
        <v>26.54839688</v>
      </c>
      <c r="DB509" s="132">
        <v>150.0</v>
      </c>
      <c r="DC509" s="132">
        <v>200.0</v>
      </c>
      <c r="DD509" s="18">
        <f t="shared" si="2752"/>
        <v>398.1324594</v>
      </c>
      <c r="DE509" s="17">
        <f>+DC509*1</f>
        <v>200</v>
      </c>
      <c r="DF509" s="17">
        <f t="shared" ref="DF509:DG509" si="2787">DE509*1.1</f>
        <v>220</v>
      </c>
      <c r="DG509" s="19">
        <f t="shared" si="2787"/>
        <v>242</v>
      </c>
      <c r="DH509" s="132">
        <f>DG509*0.95</f>
        <v>229.9</v>
      </c>
      <c r="DI509" s="18">
        <f t="shared" si="2754"/>
        <v>891.9</v>
      </c>
      <c r="DJ509" s="19">
        <f>+DH509*0.98</f>
        <v>225.302</v>
      </c>
      <c r="DK509" s="19">
        <f t="shared" ref="DK509:DL509" si="2788">DJ509*1.05</f>
        <v>236.5671</v>
      </c>
      <c r="DL509" s="19">
        <f t="shared" si="2788"/>
        <v>248.395455</v>
      </c>
      <c r="DM509" s="17">
        <f>DL509*0.95</f>
        <v>235.9756823</v>
      </c>
      <c r="DN509" s="18">
        <f t="shared" si="2756"/>
        <v>946.2402373</v>
      </c>
      <c r="DO509" s="17">
        <f>+DM509*0.98</f>
        <v>231.2561686</v>
      </c>
      <c r="DP509" s="17">
        <f t="shared" ref="DP509:DQ509" si="2789">DO509*1.05</f>
        <v>242.818977</v>
      </c>
      <c r="DQ509" s="17">
        <f t="shared" si="2789"/>
        <v>254.9599259</v>
      </c>
      <c r="DR509" s="17">
        <f>DQ509*0.95</f>
        <v>242.2119296</v>
      </c>
      <c r="DS509" s="18">
        <f t="shared" si="2758"/>
        <v>971.2470011</v>
      </c>
      <c r="DT509" s="17">
        <f>+DR509*0.98</f>
        <v>237.367691</v>
      </c>
      <c r="DU509" s="17">
        <f t="shared" ref="DU509:DV509" si="2790">DT509*1.05</f>
        <v>249.2360756</v>
      </c>
      <c r="DV509" s="17">
        <f t="shared" si="2790"/>
        <v>261.6978793</v>
      </c>
      <c r="DW509" s="17">
        <f>DV509*0.95</f>
        <v>248.6129854</v>
      </c>
      <c r="DX509" s="18">
        <f t="shared" si="2760"/>
        <v>996.9146312</v>
      </c>
      <c r="DY509" s="17">
        <f>+DW509*0.98</f>
        <v>243.6407257</v>
      </c>
      <c r="DZ509" s="17">
        <f t="shared" ref="DZ509:EA509" si="2791">DY509*1.05</f>
        <v>255.8227619</v>
      </c>
      <c r="EA509" s="17">
        <f t="shared" si="2791"/>
        <v>268.6139</v>
      </c>
      <c r="EB509" s="17">
        <f>EA509*0.95</f>
        <v>255.183205</v>
      </c>
      <c r="EC509" s="18">
        <f t="shared" si="2762"/>
        <v>1023.260593</v>
      </c>
      <c r="ED509" s="17">
        <f>+EB509*0.98</f>
        <v>250.0795409</v>
      </c>
      <c r="EE509" s="17">
        <f t="shared" ref="EE509:EF509" si="2792">ED509*1.05</f>
        <v>262.583518</v>
      </c>
      <c r="EF509" s="17">
        <f t="shared" si="2792"/>
        <v>275.7126939</v>
      </c>
      <c r="EG509" s="17">
        <f>EF509*0.95</f>
        <v>261.9270592</v>
      </c>
      <c r="EH509" s="18">
        <f t="shared" si="2764"/>
        <v>1050.302812</v>
      </c>
      <c r="EI509" s="25">
        <f>+EG509*0.98</f>
        <v>256.688518</v>
      </c>
      <c r="EJ509" s="17">
        <f t="shared" ref="EJ509:EK509" si="2793">EI509*1.05</f>
        <v>269.5229439</v>
      </c>
      <c r="EK509" s="17">
        <f t="shared" si="2793"/>
        <v>282.9990911</v>
      </c>
      <c r="EL509" s="17">
        <f>EK509*0.95</f>
        <v>268.8491365</v>
      </c>
      <c r="EM509" s="18">
        <f t="shared" si="2766"/>
        <v>1078.05969</v>
      </c>
      <c r="EN509" s="17">
        <f>+EL509*0.98</f>
        <v>263.4721538</v>
      </c>
      <c r="EO509" s="17">
        <f t="shared" ref="EO509:EP509" si="2794">EN509*1.05</f>
        <v>276.6457615</v>
      </c>
      <c r="EP509" s="17">
        <f t="shared" si="2794"/>
        <v>290.4780496</v>
      </c>
      <c r="EQ509" s="17">
        <f>EP509*0.95</f>
        <v>275.9541471</v>
      </c>
      <c r="ER509" s="18">
        <f t="shared" si="2768"/>
        <v>1106.550112</v>
      </c>
      <c r="ES509" s="17">
        <f>+EQ509*0.98</f>
        <v>270.4350642</v>
      </c>
      <c r="ET509" s="17">
        <f t="shared" ref="ET509:EU509" si="2795">ES509*1.05</f>
        <v>283.9568174</v>
      </c>
      <c r="EU509" s="17">
        <f t="shared" si="2795"/>
        <v>298.1546582</v>
      </c>
      <c r="EV509" s="17">
        <f>EU509*0.95</f>
        <v>283.2469253</v>
      </c>
      <c r="EW509" s="18">
        <f t="shared" si="2770"/>
        <v>1135.793465</v>
      </c>
      <c r="EX509" s="17">
        <f>+EV509*0.98</f>
        <v>277.5819868</v>
      </c>
      <c r="EY509" s="17">
        <f t="shared" ref="EY509:EZ509" si="2796">EX509*1.05</f>
        <v>291.4610862</v>
      </c>
      <c r="EZ509" s="17">
        <f t="shared" si="2796"/>
        <v>306.0341405</v>
      </c>
      <c r="FA509" s="17">
        <f>EZ509*0.95</f>
        <v>290.7324334</v>
      </c>
      <c r="FB509" s="18">
        <f t="shared" si="2772"/>
        <v>1165.809647</v>
      </c>
      <c r="FC509" s="17">
        <f>+FA509*0.98</f>
        <v>284.9177848</v>
      </c>
      <c r="FD509" s="17">
        <f t="shared" ref="FD509:FE509" si="2797">FC509*1.05</f>
        <v>299.163674</v>
      </c>
      <c r="FE509" s="17">
        <f t="shared" si="2797"/>
        <v>314.1218577</v>
      </c>
      <c r="FF509" s="17">
        <f>FE509*0.95</f>
        <v>298.4157648</v>
      </c>
      <c r="FG509" s="18">
        <f t="shared" si="2774"/>
        <v>1196.619081</v>
      </c>
      <c r="FH509" s="74"/>
      <c r="FI509" s="17"/>
      <c r="FJ509" s="17"/>
      <c r="FK509" s="73"/>
      <c r="FL509" s="17"/>
    </row>
    <row r="510" ht="12.75" hidden="1" customHeight="1" outlineLevel="2">
      <c r="A510" s="4"/>
      <c r="B510" s="72" t="s">
        <v>280</v>
      </c>
      <c r="C510" s="45"/>
      <c r="D510" s="17"/>
      <c r="E510" s="17"/>
      <c r="F510" s="17"/>
      <c r="G510" s="17"/>
      <c r="H510" s="73"/>
      <c r="I510" s="17"/>
      <c r="J510" s="17"/>
      <c r="K510" s="17"/>
      <c r="L510" s="17"/>
      <c r="M510" s="73"/>
      <c r="N510" s="17"/>
      <c r="O510" s="17"/>
      <c r="P510" s="17"/>
      <c r="Q510" s="17"/>
      <c r="R510" s="73"/>
      <c r="S510" s="17"/>
      <c r="T510" s="17"/>
      <c r="U510" s="17"/>
      <c r="V510" s="17"/>
      <c r="W510" s="73"/>
      <c r="X510" s="17"/>
      <c r="Y510" s="17"/>
      <c r="Z510" s="17"/>
      <c r="AA510" s="17"/>
      <c r="AB510" s="73"/>
      <c r="AC510" s="17"/>
      <c r="AD510" s="17"/>
      <c r="AE510" s="17"/>
      <c r="AF510" s="17"/>
      <c r="AG510" s="73"/>
      <c r="AH510" s="17"/>
      <c r="AI510" s="17"/>
      <c r="AJ510" s="17"/>
      <c r="AK510" s="17"/>
      <c r="AL510" s="73"/>
      <c r="AM510" s="17"/>
      <c r="AN510" s="17"/>
      <c r="AO510" s="17"/>
      <c r="AP510" s="17"/>
      <c r="AQ510" s="73"/>
      <c r="AR510" s="17"/>
      <c r="AS510" s="17"/>
      <c r="AT510" s="17"/>
      <c r="AU510" s="17"/>
      <c r="AV510" s="73"/>
      <c r="AW510" s="17"/>
      <c r="AX510" s="17"/>
      <c r="AY510" s="17"/>
      <c r="AZ510" s="17"/>
      <c r="BA510" s="73"/>
      <c r="BB510" s="17"/>
      <c r="BC510" s="17"/>
      <c r="BD510" s="17"/>
      <c r="BE510" s="17"/>
      <c r="BF510" s="73"/>
      <c r="BG510" s="17"/>
      <c r="BH510" s="17"/>
      <c r="BI510" s="17"/>
      <c r="BJ510" s="17"/>
      <c r="BK510" s="73"/>
      <c r="BL510" s="17"/>
      <c r="BM510" s="17"/>
      <c r="BN510" s="17"/>
      <c r="BO510" s="17"/>
      <c r="BP510" s="73"/>
      <c r="BQ510" s="17"/>
      <c r="BR510" s="17"/>
      <c r="BS510" s="17"/>
      <c r="BT510" s="17"/>
      <c r="BU510" s="73"/>
      <c r="BV510" s="17"/>
      <c r="BW510" s="17"/>
      <c r="BX510" s="17"/>
      <c r="BY510" s="17"/>
      <c r="BZ510" s="18"/>
      <c r="CA510" s="17"/>
      <c r="CB510" s="17"/>
      <c r="CC510" s="17"/>
      <c r="CD510" s="17"/>
      <c r="CE510" s="18"/>
      <c r="CF510" s="17"/>
      <c r="CG510" s="17"/>
      <c r="CH510" s="17">
        <v>250.0</v>
      </c>
      <c r="CI510" s="17">
        <v>280.0</v>
      </c>
      <c r="CJ510" s="18">
        <f t="shared" si="2745"/>
        <v>530</v>
      </c>
      <c r="CK510" s="450">
        <f>799-CL510</f>
        <v>365</v>
      </c>
      <c r="CL510" s="450">
        <v>434.0</v>
      </c>
      <c r="CM510" s="450">
        <v>464.0</v>
      </c>
      <c r="CN510" s="133">
        <v>480.0</v>
      </c>
      <c r="CO510" s="18">
        <f t="shared" si="2747"/>
        <v>1743</v>
      </c>
      <c r="CP510" s="19">
        <v>482.0</v>
      </c>
      <c r="CQ510" s="17">
        <f>539+17</f>
        <v>556</v>
      </c>
      <c r="CR510" s="17">
        <v>530.0</v>
      </c>
      <c r="CS510" s="17">
        <v>591.0</v>
      </c>
      <c r="CT510" s="18">
        <f t="shared" si="2749"/>
        <v>2159</v>
      </c>
      <c r="CU510" s="450">
        <v>533.0</v>
      </c>
      <c r="CV510" s="17">
        <f>CU510*1.03</f>
        <v>548.99</v>
      </c>
      <c r="CW510" s="17">
        <f>CV510*1.1</f>
        <v>603.889</v>
      </c>
      <c r="CX510" s="17">
        <f>CW510*1</f>
        <v>603.889</v>
      </c>
      <c r="CY510" s="18">
        <f t="shared" si="2751"/>
        <v>2289.768</v>
      </c>
      <c r="CZ510" s="132">
        <f>CX510*0.95</f>
        <v>573.69455</v>
      </c>
      <c r="DA510" s="132">
        <f>CZ510*0.95</f>
        <v>545.0098225</v>
      </c>
      <c r="DB510" s="132">
        <f>DA510*1.07</f>
        <v>583.1605101</v>
      </c>
      <c r="DC510" s="132">
        <f>DB510*1.03</f>
        <v>600.6553254</v>
      </c>
      <c r="DD510" s="18">
        <f t="shared" si="2752"/>
        <v>2302.520208</v>
      </c>
      <c r="DE510" s="132">
        <f>DC510*1</f>
        <v>600.6553254</v>
      </c>
      <c r="DF510" s="132">
        <f>DE510*1.06</f>
        <v>636.6946449</v>
      </c>
      <c r="DG510" s="133">
        <f>DF510*1.15</f>
        <v>732.1988416</v>
      </c>
      <c r="DH510" s="132">
        <f>DG510*0.97</f>
        <v>710.2328764</v>
      </c>
      <c r="DI510" s="18">
        <f t="shared" si="2754"/>
        <v>2679.781688</v>
      </c>
      <c r="DJ510" s="19">
        <f>DH510*1</f>
        <v>710.2328764</v>
      </c>
      <c r="DK510" s="19">
        <f>DJ510*1.06</f>
        <v>752.846849</v>
      </c>
      <c r="DL510" s="19">
        <f>DK510*1.15</f>
        <v>865.7738763</v>
      </c>
      <c r="DM510" s="17">
        <f>DL510*0.97</f>
        <v>839.80066</v>
      </c>
      <c r="DN510" s="18">
        <f t="shared" si="2756"/>
        <v>3168.654262</v>
      </c>
      <c r="DO510" s="17">
        <f>DM510*1</f>
        <v>839.80066</v>
      </c>
      <c r="DP510" s="17">
        <f>DO510*1.06</f>
        <v>890.1886996</v>
      </c>
      <c r="DQ510" s="17">
        <f>DP510*1.15</f>
        <v>1023.717005</v>
      </c>
      <c r="DR510" s="17">
        <f>DQ510*0.97</f>
        <v>993.0054944</v>
      </c>
      <c r="DS510" s="18">
        <f t="shared" si="2758"/>
        <v>3746.711859</v>
      </c>
      <c r="DT510" s="17">
        <f>DR510*1</f>
        <v>993.0054944</v>
      </c>
      <c r="DU510" s="17">
        <f>DT510*1.06</f>
        <v>1052.585824</v>
      </c>
      <c r="DV510" s="17">
        <f>DU510*1.15</f>
        <v>1210.473698</v>
      </c>
      <c r="DW510" s="17">
        <f>DV510*0.97</f>
        <v>1174.159487</v>
      </c>
      <c r="DX510" s="18">
        <f t="shared" si="2760"/>
        <v>4430.224503</v>
      </c>
      <c r="DY510" s="17">
        <f>DW510*1</f>
        <v>1174.159487</v>
      </c>
      <c r="DZ510" s="17">
        <f>DY510*1.06</f>
        <v>1244.609056</v>
      </c>
      <c r="EA510" s="17">
        <f>DZ510*1.15</f>
        <v>1431.300414</v>
      </c>
      <c r="EB510" s="17">
        <f>EA510*0.97</f>
        <v>1388.361402</v>
      </c>
      <c r="EC510" s="18">
        <f t="shared" si="2762"/>
        <v>5238.430359</v>
      </c>
      <c r="ED510" s="17">
        <f>EB510*1</f>
        <v>1388.361402</v>
      </c>
      <c r="EE510" s="17">
        <f>ED510*1.06</f>
        <v>1471.663086</v>
      </c>
      <c r="EF510" s="17">
        <f>EE510*1.15</f>
        <v>1692.412549</v>
      </c>
      <c r="EG510" s="17">
        <f>EF510*0.97</f>
        <v>1641.640173</v>
      </c>
      <c r="EH510" s="18">
        <f t="shared" si="2764"/>
        <v>6194.07721</v>
      </c>
      <c r="EI510" s="25">
        <f>EG510*1</f>
        <v>1641.640173</v>
      </c>
      <c r="EJ510" s="17">
        <f>EI510*1.06</f>
        <v>1740.138583</v>
      </c>
      <c r="EK510" s="17">
        <f>EJ510*1.15</f>
        <v>2001.15937</v>
      </c>
      <c r="EL510" s="17">
        <f>EK510*0.97</f>
        <v>1941.124589</v>
      </c>
      <c r="EM510" s="18">
        <f t="shared" si="2766"/>
        <v>7324.062715</v>
      </c>
      <c r="EN510" s="17">
        <f>EL510*1</f>
        <v>1941.124589</v>
      </c>
      <c r="EO510" s="17">
        <f>EN510*1.06</f>
        <v>2057.592065</v>
      </c>
      <c r="EP510" s="17">
        <f>EO510*1.15</f>
        <v>2366.230874</v>
      </c>
      <c r="EQ510" s="17">
        <f>EP510*0.97</f>
        <v>2295.243948</v>
      </c>
      <c r="ER510" s="18">
        <f t="shared" si="2768"/>
        <v>8660.191476</v>
      </c>
      <c r="ES510" s="17">
        <f>EQ510*1</f>
        <v>2295.243948</v>
      </c>
      <c r="ET510" s="17">
        <f>ES510*1.06</f>
        <v>2432.958585</v>
      </c>
      <c r="EU510" s="17">
        <f>ET510*1.15</f>
        <v>2797.902373</v>
      </c>
      <c r="EV510" s="17">
        <f>EU510*0.97</f>
        <v>2713.965301</v>
      </c>
      <c r="EW510" s="18">
        <f t="shared" si="2770"/>
        <v>10240.07021</v>
      </c>
      <c r="EX510" s="17">
        <f>EV510*1</f>
        <v>2713.965301</v>
      </c>
      <c r="EY510" s="17">
        <f>EX510*1.06</f>
        <v>2876.80322</v>
      </c>
      <c r="EZ510" s="17">
        <f>EY510*1.15</f>
        <v>3308.323702</v>
      </c>
      <c r="FA510" s="17">
        <f>EZ510*0.97</f>
        <v>3209.073991</v>
      </c>
      <c r="FB510" s="18">
        <f t="shared" si="2772"/>
        <v>12108.16621</v>
      </c>
      <c r="FC510" s="17">
        <f>FA510*1</f>
        <v>3209.073991</v>
      </c>
      <c r="FD510" s="17">
        <f>FC510*1.06</f>
        <v>3401.618431</v>
      </c>
      <c r="FE510" s="17">
        <f>FD510*1.15</f>
        <v>3911.861195</v>
      </c>
      <c r="FF510" s="17">
        <f>FE510*0.97</f>
        <v>3794.50536</v>
      </c>
      <c r="FG510" s="18">
        <f t="shared" si="2774"/>
        <v>14317.05898</v>
      </c>
      <c r="FH510" s="74"/>
      <c r="FI510" s="17"/>
      <c r="FJ510" s="17"/>
      <c r="FK510" s="73"/>
      <c r="FL510" s="17"/>
    </row>
    <row r="511" ht="12.75" hidden="1" customHeight="1" outlineLevel="1">
      <c r="A511" s="45"/>
      <c r="B511" s="215" t="s">
        <v>281</v>
      </c>
      <c r="C511" s="45"/>
      <c r="D511" s="112"/>
      <c r="E511" s="112"/>
      <c r="F511" s="112"/>
      <c r="G511" s="112"/>
      <c r="H511" s="73"/>
      <c r="I511" s="112"/>
      <c r="J511" s="112"/>
      <c r="K511" s="112"/>
      <c r="L511" s="112"/>
      <c r="M511" s="73"/>
      <c r="N511" s="112"/>
      <c r="O511" s="112"/>
      <c r="P511" s="112"/>
      <c r="Q511" s="112"/>
      <c r="R511" s="73"/>
      <c r="S511" s="112"/>
      <c r="T511" s="112"/>
      <c r="U511" s="112"/>
      <c r="V511" s="112"/>
      <c r="W511" s="73"/>
      <c r="X511" s="112"/>
      <c r="Y511" s="112"/>
      <c r="Z511" s="112"/>
      <c r="AA511" s="112"/>
      <c r="AB511" s="73"/>
      <c r="AC511" s="112"/>
      <c r="AD511" s="112"/>
      <c r="AE511" s="112"/>
      <c r="AF511" s="112"/>
      <c r="AG511" s="73"/>
      <c r="AH511" s="112"/>
      <c r="AI511" s="112"/>
      <c r="AJ511" s="112"/>
      <c r="AK511" s="112"/>
      <c r="AL511" s="73"/>
      <c r="AM511" s="112"/>
      <c r="AN511" s="112"/>
      <c r="AO511" s="112"/>
      <c r="AP511" s="112"/>
      <c r="AQ511" s="73"/>
      <c r="AR511" s="112"/>
      <c r="AS511" s="112"/>
      <c r="AT511" s="112"/>
      <c r="AU511" s="112"/>
      <c r="AV511" s="73"/>
      <c r="AW511" s="112"/>
      <c r="AX511" s="112"/>
      <c r="AY511" s="112"/>
      <c r="AZ511" s="112"/>
      <c r="BA511" s="73"/>
      <c r="BB511" s="112"/>
      <c r="BC511" s="112"/>
      <c r="BD511" s="112"/>
      <c r="BE511" s="112"/>
      <c r="BF511" s="73"/>
      <c r="BG511" s="112"/>
      <c r="BH511" s="112"/>
      <c r="BI511" s="112"/>
      <c r="BJ511" s="112"/>
      <c r="BK511" s="73"/>
      <c r="BL511" s="112"/>
      <c r="BM511" s="112"/>
      <c r="BN511" s="112"/>
      <c r="BO511" s="112"/>
      <c r="BP511" s="73"/>
      <c r="BQ511" s="112"/>
      <c r="BR511" s="112"/>
      <c r="BS511" s="112"/>
      <c r="BT511" s="112"/>
      <c r="BU511" s="73"/>
      <c r="BV511" s="112"/>
      <c r="BW511" s="112"/>
      <c r="BX511" s="112"/>
      <c r="BY511" s="112"/>
      <c r="BZ511" s="18"/>
      <c r="CA511" s="112"/>
      <c r="CB511" s="112"/>
      <c r="CC511" s="112"/>
      <c r="CD511" s="112"/>
      <c r="CE511" s="18">
        <v>5005.0</v>
      </c>
      <c r="CF511" s="112">
        <v>1075.0</v>
      </c>
      <c r="CG511" s="112">
        <v>1108.0</v>
      </c>
      <c r="CH511" s="112">
        <v>1177.0</v>
      </c>
      <c r="CI511" s="112">
        <v>1018.0</v>
      </c>
      <c r="CJ511" s="18">
        <f t="shared" si="2745"/>
        <v>4378</v>
      </c>
      <c r="CK511" s="112">
        <f>1920-CL511</f>
        <v>978</v>
      </c>
      <c r="CL511" s="112">
        <v>942.0</v>
      </c>
      <c r="CM511" s="112">
        <v>1067.0</v>
      </c>
      <c r="CN511" s="146">
        <v>1105.0</v>
      </c>
      <c r="CO511" s="18">
        <f t="shared" si="2747"/>
        <v>4092</v>
      </c>
      <c r="CP511" s="146">
        <f t="shared" ref="CP511:CS511" si="2798">+CP510+CP509</f>
        <v>638</v>
      </c>
      <c r="CQ511" s="112">
        <f t="shared" si="2798"/>
        <v>607</v>
      </c>
      <c r="CR511" s="112">
        <f t="shared" si="2798"/>
        <v>531</v>
      </c>
      <c r="CS511" s="112">
        <f t="shared" si="2798"/>
        <v>585</v>
      </c>
      <c r="CT511" s="18">
        <f t="shared" si="2749"/>
        <v>2361</v>
      </c>
      <c r="CU511" s="112">
        <v>533.0</v>
      </c>
      <c r="CV511" s="112">
        <v>559.0</v>
      </c>
      <c r="CW511" s="112">
        <v>581.0</v>
      </c>
      <c r="CX511" s="112">
        <v>625.0</v>
      </c>
      <c r="CY511" s="18">
        <f t="shared" si="2751"/>
        <v>2298</v>
      </c>
      <c r="CZ511" s="112">
        <f t="shared" ref="CZ511:DC511" si="2799">+CZ510+CZ509</f>
        <v>595.2786125</v>
      </c>
      <c r="DA511" s="112">
        <f t="shared" si="2799"/>
        <v>571.5582194</v>
      </c>
      <c r="DB511" s="112">
        <f t="shared" si="2799"/>
        <v>733.1605101</v>
      </c>
      <c r="DC511" s="112">
        <f t="shared" si="2799"/>
        <v>800.6553254</v>
      </c>
      <c r="DD511" s="18">
        <f t="shared" si="2752"/>
        <v>2700.652667</v>
      </c>
      <c r="DE511" s="112">
        <f t="shared" ref="DE511:DH511" si="2800">+DE510+DE509</f>
        <v>800.6553254</v>
      </c>
      <c r="DF511" s="112">
        <f t="shared" si="2800"/>
        <v>856.6946449</v>
      </c>
      <c r="DG511" s="146">
        <f t="shared" si="2800"/>
        <v>974.1988416</v>
      </c>
      <c r="DH511" s="112">
        <f t="shared" si="2800"/>
        <v>940.1328764</v>
      </c>
      <c r="DI511" s="18">
        <f t="shared" si="2754"/>
        <v>3571.681688</v>
      </c>
      <c r="DJ511" s="146">
        <f t="shared" ref="DJ511:DM511" si="2801">+DJ510+DJ509</f>
        <v>935.5348764</v>
      </c>
      <c r="DK511" s="146">
        <f t="shared" si="2801"/>
        <v>989.413949</v>
      </c>
      <c r="DL511" s="146">
        <f t="shared" si="2801"/>
        <v>1114.169331</v>
      </c>
      <c r="DM511" s="112">
        <f t="shared" si="2801"/>
        <v>1075.776342</v>
      </c>
      <c r="DN511" s="18">
        <f t="shared" si="2756"/>
        <v>4114.894499</v>
      </c>
      <c r="DO511" s="112">
        <f t="shared" ref="DO511:DR511" si="2802">+DO510+DO509</f>
        <v>1071.056829</v>
      </c>
      <c r="DP511" s="112">
        <f t="shared" si="2802"/>
        <v>1133.007677</v>
      </c>
      <c r="DQ511" s="112">
        <f t="shared" si="2802"/>
        <v>1278.67693</v>
      </c>
      <c r="DR511" s="112">
        <f t="shared" si="2802"/>
        <v>1235.217424</v>
      </c>
      <c r="DS511" s="18">
        <f t="shared" si="2758"/>
        <v>4717.95886</v>
      </c>
      <c r="DT511" s="112">
        <f t="shared" ref="DT511:DW511" si="2803">+DT510+DT509</f>
        <v>1230.373185</v>
      </c>
      <c r="DU511" s="112">
        <f t="shared" si="2803"/>
        <v>1301.8219</v>
      </c>
      <c r="DV511" s="112">
        <f t="shared" si="2803"/>
        <v>1472.171577</v>
      </c>
      <c r="DW511" s="112">
        <f t="shared" si="2803"/>
        <v>1422.772472</v>
      </c>
      <c r="DX511" s="18">
        <f t="shared" si="2760"/>
        <v>5427.139134</v>
      </c>
      <c r="DY511" s="112">
        <f t="shared" ref="DY511:EB511" si="2804">+DY510+DY509</f>
        <v>1417.800212</v>
      </c>
      <c r="DZ511" s="112">
        <f t="shared" si="2804"/>
        <v>1500.431818</v>
      </c>
      <c r="EA511" s="112">
        <f t="shared" si="2804"/>
        <v>1699.914314</v>
      </c>
      <c r="EB511" s="112">
        <f t="shared" si="2804"/>
        <v>1643.544607</v>
      </c>
      <c r="EC511" s="18">
        <f t="shared" si="2762"/>
        <v>6261.690952</v>
      </c>
      <c r="ED511" s="112">
        <f t="shared" ref="ED511:EG511" si="2805">+ED510+ED509</f>
        <v>1638.440943</v>
      </c>
      <c r="EE511" s="112">
        <f t="shared" si="2805"/>
        <v>1734.246604</v>
      </c>
      <c r="EF511" s="112">
        <f t="shared" si="2805"/>
        <v>1968.125243</v>
      </c>
      <c r="EG511" s="112">
        <f t="shared" si="2805"/>
        <v>1903.567232</v>
      </c>
      <c r="EH511" s="18">
        <f t="shared" si="2764"/>
        <v>7244.380022</v>
      </c>
      <c r="EI511" s="110">
        <f t="shared" ref="EI511:EL511" si="2806">+EI510+EI509</f>
        <v>1898.328691</v>
      </c>
      <c r="EJ511" s="112">
        <f t="shared" si="2806"/>
        <v>2009.661527</v>
      </c>
      <c r="EK511" s="112">
        <f t="shared" si="2806"/>
        <v>2284.158461</v>
      </c>
      <c r="EL511" s="112">
        <f t="shared" si="2806"/>
        <v>2209.973726</v>
      </c>
      <c r="EM511" s="18">
        <f t="shared" si="2766"/>
        <v>8402.122404</v>
      </c>
      <c r="EN511" s="112">
        <f t="shared" ref="EN511:EQ511" si="2807">+EN510+EN509</f>
        <v>2204.596743</v>
      </c>
      <c r="EO511" s="112">
        <f t="shared" si="2807"/>
        <v>2334.237826</v>
      </c>
      <c r="EP511" s="112">
        <f t="shared" si="2807"/>
        <v>2656.708924</v>
      </c>
      <c r="EQ511" s="112">
        <f t="shared" si="2807"/>
        <v>2571.198095</v>
      </c>
      <c r="ER511" s="18">
        <f t="shared" si="2768"/>
        <v>9766.741588</v>
      </c>
      <c r="ES511" s="112">
        <f t="shared" ref="ES511:EV511" si="2808">+ES510+ES509</f>
        <v>2565.679012</v>
      </c>
      <c r="ET511" s="112">
        <f t="shared" si="2808"/>
        <v>2716.915402</v>
      </c>
      <c r="EU511" s="112">
        <f t="shared" si="2808"/>
        <v>3096.057031</v>
      </c>
      <c r="EV511" s="112">
        <f t="shared" si="2808"/>
        <v>2997.212227</v>
      </c>
      <c r="EW511" s="18">
        <f t="shared" si="2770"/>
        <v>11375.86367</v>
      </c>
      <c r="EX511" s="112">
        <f t="shared" ref="EX511:FA511" si="2809">+EX510+EX509</f>
        <v>2991.547288</v>
      </c>
      <c r="EY511" s="112">
        <f t="shared" si="2809"/>
        <v>3168.264306</v>
      </c>
      <c r="EZ511" s="112">
        <f t="shared" si="2809"/>
        <v>3614.357843</v>
      </c>
      <c r="FA511" s="112">
        <f t="shared" si="2809"/>
        <v>3499.806425</v>
      </c>
      <c r="FB511" s="18">
        <f t="shared" si="2772"/>
        <v>13273.97586</v>
      </c>
      <c r="FC511" s="112">
        <f t="shared" ref="FC511:FF511" si="2810">+FC510+FC509</f>
        <v>3493.991776</v>
      </c>
      <c r="FD511" s="112">
        <f t="shared" si="2810"/>
        <v>3700.782105</v>
      </c>
      <c r="FE511" s="112">
        <f t="shared" si="2810"/>
        <v>4225.983053</v>
      </c>
      <c r="FF511" s="112">
        <f t="shared" si="2810"/>
        <v>4092.921124</v>
      </c>
      <c r="FG511" s="18">
        <f t="shared" si="2774"/>
        <v>15513.67806</v>
      </c>
      <c r="FH511" s="74"/>
      <c r="FI511" s="112"/>
      <c r="FJ511" s="112"/>
      <c r="FK511" s="73"/>
      <c r="FL511" s="112"/>
    </row>
    <row r="512" ht="12.75" hidden="1" customHeight="1" outlineLevel="1">
      <c r="A512" s="45"/>
      <c r="B512" s="215" t="s">
        <v>282</v>
      </c>
      <c r="C512" s="45"/>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12"/>
      <c r="BE512" s="112"/>
      <c r="BF512" s="112"/>
      <c r="BG512" s="112"/>
      <c r="BH512" s="112"/>
      <c r="BI512" s="112"/>
      <c r="BJ512" s="112"/>
      <c r="BK512" s="112"/>
      <c r="BL512" s="112"/>
      <c r="BM512" s="112"/>
      <c r="BN512" s="112"/>
      <c r="BO512" s="112"/>
      <c r="BP512" s="112"/>
      <c r="BQ512" s="112"/>
      <c r="BR512" s="112"/>
      <c r="BS512" s="112"/>
      <c r="BT512" s="112"/>
      <c r="BU512" s="112"/>
      <c r="BV512" s="112"/>
      <c r="BW512" s="112"/>
      <c r="BX512" s="112"/>
      <c r="BY512" s="112"/>
      <c r="BZ512" s="80"/>
      <c r="CA512" s="112"/>
      <c r="CB512" s="112"/>
      <c r="CC512" s="112"/>
      <c r="CD512" s="112"/>
      <c r="CE512" s="80" t="str">
        <f>PCClientSales+DataCenterSales+IAGOtherSales</f>
        <v>#NAME?</v>
      </c>
      <c r="CF512" s="112" t="str">
        <f>PCClientSales+DataCenterSales+IAGOtherSales</f>
        <v>#NAME?</v>
      </c>
      <c r="CG512" s="112" t="str">
        <f>PCClientSales+DataCenterSales+IAGOtherSales</f>
        <v>#NAME?</v>
      </c>
      <c r="CH512" s="112" t="str">
        <f>PCClientSales+DataCenterSales+IAGOtherSales</f>
        <v>#NAME?</v>
      </c>
      <c r="CI512" s="112" t="str">
        <f>PCClientSales+DataCenterSales+IAGOtherSales</f>
        <v>#NAME?</v>
      </c>
      <c r="CJ512" s="80" t="str">
        <f t="shared" si="2745"/>
        <v>#NAME?</v>
      </c>
      <c r="CK512" s="112" t="str">
        <f>PCClientSales+DataCenterSales+IAGOtherSales</f>
        <v>#NAME?</v>
      </c>
      <c r="CL512" s="112" t="str">
        <f>PCClientSales+DataCenterSales+IAGOtherSales</f>
        <v>#NAME?</v>
      </c>
      <c r="CM512" s="112" t="str">
        <f>PCClientSales+DataCenterSales+IAGOtherSales</f>
        <v>#NAME?</v>
      </c>
      <c r="CN512" s="146" t="str">
        <f>PCClientSales+DataCenterSales+IAGOtherSales</f>
        <v>#NAME?</v>
      </c>
      <c r="CO512" s="80" t="str">
        <f t="shared" si="2747"/>
        <v>#NAME?</v>
      </c>
      <c r="CP512" s="146" t="str">
        <f>PCClientSales+DataCenterSales+IAGOtherSales</f>
        <v>#NAME?</v>
      </c>
      <c r="CQ512" s="112" t="str">
        <f>PCClientSales+DataCenterSales+IAGOtherSales</f>
        <v>#NAME?</v>
      </c>
      <c r="CR512" s="112" t="str">
        <f>PCClientSales+DataCenterSales+IAGOtherSales</f>
        <v>#NAME?</v>
      </c>
      <c r="CS512" s="112" t="str">
        <f>PCClientSales+DataCenterSales+IAGOtherSales</f>
        <v>#NAME?</v>
      </c>
      <c r="CT512" s="80" t="str">
        <f t="shared" si="2749"/>
        <v>#NAME?</v>
      </c>
      <c r="CU512" s="112" t="str">
        <f>PCClientSales+DataCenterSales+IAGOtherSales</f>
        <v>#NAME?</v>
      </c>
      <c r="CV512" s="112" t="str">
        <f>PCClientSales+DataCenterSales+IAGOtherSales</f>
        <v>#NAME?</v>
      </c>
      <c r="CW512" s="112" t="str">
        <f>PCClientSales+DataCenterSales+IAGOtherSales</f>
        <v>#NAME?</v>
      </c>
      <c r="CX512" s="112" t="str">
        <f>PCClientSales+DataCenterSales+IAGOtherSales</f>
        <v>#NAME?</v>
      </c>
      <c r="CY512" s="80" t="str">
        <f t="shared" si="2751"/>
        <v>#NAME?</v>
      </c>
      <c r="CZ512" s="112" t="str">
        <f>PCClientSales+DataCenterSales+IAGOtherSales</f>
        <v>#NAME?</v>
      </c>
      <c r="DA512" s="112" t="str">
        <f>PCClientSales+DataCenterSales+IAGOtherSales</f>
        <v>#NAME?</v>
      </c>
      <c r="DB512" s="112" t="str">
        <f>PCClientSales+DataCenterSales+IAGOtherSales</f>
        <v>#NAME?</v>
      </c>
      <c r="DC512" s="112" t="str">
        <f>PCClientSales+DataCenterSales+IAGOtherSales</f>
        <v>#NAME?</v>
      </c>
      <c r="DD512" s="80" t="str">
        <f t="shared" si="2752"/>
        <v>#NAME?</v>
      </c>
      <c r="DE512" s="112" t="str">
        <f>PCClientSales+DataCenterSales+IAGOtherSales</f>
        <v>#NAME?</v>
      </c>
      <c r="DF512" s="112" t="str">
        <f>PCClientSales+DataCenterSales+IAGOtherSales</f>
        <v>#NAME?</v>
      </c>
      <c r="DG512" s="146" t="str">
        <f>PCClientSales+DataCenterSales+IAGOtherSales</f>
        <v>#NAME?</v>
      </c>
      <c r="DH512" s="112" t="str">
        <f>PCClientSales+DataCenterSales+IAGOtherSales</f>
        <v>#NAME?</v>
      </c>
      <c r="DI512" s="80" t="str">
        <f t="shared" si="2754"/>
        <v>#NAME?</v>
      </c>
      <c r="DJ512" s="146" t="str">
        <f>PCClientSales+DataCenterSales+IAGOtherSales</f>
        <v>#NAME?</v>
      </c>
      <c r="DK512" s="146" t="str">
        <f>PCClientSales+DataCenterSales+IAGOtherSales</f>
        <v>#NAME?</v>
      </c>
      <c r="DL512" s="146" t="str">
        <f>PCClientSales+DataCenterSales+IAGOtherSales</f>
        <v>#NAME?</v>
      </c>
      <c r="DM512" s="112" t="str">
        <f>PCClientSales+DataCenterSales+IAGOtherSales</f>
        <v>#NAME?</v>
      </c>
      <c r="DN512" s="80" t="str">
        <f t="shared" si="2756"/>
        <v>#NAME?</v>
      </c>
      <c r="DO512" s="112" t="str">
        <f>PCClientSales+DataCenterSales+IAGOtherSales</f>
        <v>#NAME?</v>
      </c>
      <c r="DP512" s="112" t="str">
        <f>PCClientSales+DataCenterSales+IAGOtherSales</f>
        <v>#NAME?</v>
      </c>
      <c r="DQ512" s="112" t="str">
        <f>PCClientSales+DataCenterSales+IAGOtherSales</f>
        <v>#NAME?</v>
      </c>
      <c r="DR512" s="112" t="str">
        <f>PCClientSales+DataCenterSales+IAGOtherSales</f>
        <v>#NAME?</v>
      </c>
      <c r="DS512" s="80" t="str">
        <f t="shared" si="2758"/>
        <v>#NAME?</v>
      </c>
      <c r="DT512" s="112" t="str">
        <f>PCClientSales+DataCenterSales+IAGOtherSales</f>
        <v>#NAME?</v>
      </c>
      <c r="DU512" s="112" t="str">
        <f>PCClientSales+DataCenterSales+IAGOtherSales</f>
        <v>#NAME?</v>
      </c>
      <c r="DV512" s="112" t="str">
        <f>PCClientSales+DataCenterSales+IAGOtherSales</f>
        <v>#NAME?</v>
      </c>
      <c r="DW512" s="112" t="str">
        <f>PCClientSales+DataCenterSales+IAGOtherSales</f>
        <v>#NAME?</v>
      </c>
      <c r="DX512" s="80" t="str">
        <f t="shared" si="2760"/>
        <v>#NAME?</v>
      </c>
      <c r="DY512" s="112" t="str">
        <f>PCClientSales+DataCenterSales+IAGOtherSales</f>
        <v>#NAME?</v>
      </c>
      <c r="DZ512" s="112" t="str">
        <f>PCClientSales+DataCenterSales+IAGOtherSales</f>
        <v>#NAME?</v>
      </c>
      <c r="EA512" s="112" t="str">
        <f>PCClientSales+DataCenterSales+IAGOtherSales</f>
        <v>#NAME?</v>
      </c>
      <c r="EB512" s="112" t="str">
        <f>PCClientSales+DataCenterSales+IAGOtherSales</f>
        <v>#NAME?</v>
      </c>
      <c r="EC512" s="80" t="str">
        <f t="shared" si="2762"/>
        <v>#NAME?</v>
      </c>
      <c r="ED512" s="112" t="str">
        <f>PCClientSales+DataCenterSales+IAGOtherSales</f>
        <v>#NAME?</v>
      </c>
      <c r="EE512" s="112" t="str">
        <f>PCClientSales+DataCenterSales+IAGOtherSales</f>
        <v>#NAME?</v>
      </c>
      <c r="EF512" s="112" t="str">
        <f>PCClientSales+DataCenterSales+IAGOtherSales</f>
        <v>#NAME?</v>
      </c>
      <c r="EG512" s="112" t="str">
        <f>PCClientSales+DataCenterSales+IAGOtherSales</f>
        <v>#NAME?</v>
      </c>
      <c r="EH512" s="80" t="str">
        <f t="shared" si="2764"/>
        <v>#NAME?</v>
      </c>
      <c r="EI512" s="110" t="str">
        <f>PCClientSales+DataCenterSales+IAGOtherSales</f>
        <v>#NAME?</v>
      </c>
      <c r="EJ512" s="112" t="str">
        <f>PCClientSales+DataCenterSales+IAGOtherSales</f>
        <v>#NAME?</v>
      </c>
      <c r="EK512" s="112" t="str">
        <f>PCClientSales+DataCenterSales+IAGOtherSales</f>
        <v>#NAME?</v>
      </c>
      <c r="EL512" s="112" t="str">
        <f>PCClientSales+DataCenterSales+IAGOtherSales</f>
        <v>#NAME?</v>
      </c>
      <c r="EM512" s="80" t="str">
        <f t="shared" si="2766"/>
        <v>#NAME?</v>
      </c>
      <c r="EN512" s="112" t="str">
        <f>PCClientSales+DataCenterSales+IAGOtherSales</f>
        <v>#NAME?</v>
      </c>
      <c r="EO512" s="112" t="str">
        <f>PCClientSales+DataCenterSales+IAGOtherSales</f>
        <v>#NAME?</v>
      </c>
      <c r="EP512" s="112" t="str">
        <f>PCClientSales+DataCenterSales+IAGOtherSales</f>
        <v>#NAME?</v>
      </c>
      <c r="EQ512" s="112" t="str">
        <f>PCClientSales+DataCenterSales+IAGOtherSales</f>
        <v>#NAME?</v>
      </c>
      <c r="ER512" s="80" t="str">
        <f t="shared" si="2768"/>
        <v>#NAME?</v>
      </c>
      <c r="ES512" s="112" t="str">
        <f>PCClientSales+DataCenterSales+IAGOtherSales</f>
        <v>#NAME?</v>
      </c>
      <c r="ET512" s="112" t="str">
        <f>PCClientSales+DataCenterSales+IAGOtherSales</f>
        <v>#NAME?</v>
      </c>
      <c r="EU512" s="112" t="str">
        <f>PCClientSales+DataCenterSales+IAGOtherSales</f>
        <v>#NAME?</v>
      </c>
      <c r="EV512" s="112" t="str">
        <f>PCClientSales+DataCenterSales+IAGOtherSales</f>
        <v>#NAME?</v>
      </c>
      <c r="EW512" s="80" t="str">
        <f t="shared" si="2770"/>
        <v>#NAME?</v>
      </c>
      <c r="EX512" s="112" t="str">
        <f>PCClientSales+DataCenterSales+IAGOtherSales</f>
        <v>#NAME?</v>
      </c>
      <c r="EY512" s="112" t="str">
        <f>PCClientSales+DataCenterSales+IAGOtherSales</f>
        <v>#NAME?</v>
      </c>
      <c r="EZ512" s="112" t="str">
        <f>PCClientSales+DataCenterSales+IAGOtherSales</f>
        <v>#NAME?</v>
      </c>
      <c r="FA512" s="112" t="str">
        <f>PCClientSales+DataCenterSales+IAGOtherSales</f>
        <v>#NAME?</v>
      </c>
      <c r="FB512" s="80" t="str">
        <f t="shared" si="2772"/>
        <v>#NAME?</v>
      </c>
      <c r="FC512" s="112" t="str">
        <f>PCClientSales+DataCenterSales+IAGOtherSales</f>
        <v>#NAME?</v>
      </c>
      <c r="FD512" s="112" t="str">
        <f>PCClientSales+DataCenterSales+IAGOtherSales</f>
        <v>#NAME?</v>
      </c>
      <c r="FE512" s="112" t="str">
        <f>PCClientSales+DataCenterSales+IAGOtherSales</f>
        <v>#NAME?</v>
      </c>
      <c r="FF512" s="112" t="str">
        <f>PCClientSales+DataCenterSales+IAGOtherSales</f>
        <v>#NAME?</v>
      </c>
      <c r="FG512" s="80" t="str">
        <f t="shared" si="2774"/>
        <v>#NAME?</v>
      </c>
      <c r="FH512" s="146"/>
      <c r="FI512" s="112"/>
      <c r="FJ512" s="112"/>
      <c r="FK512" s="112"/>
      <c r="FL512" s="112"/>
    </row>
    <row r="513" ht="12.75" hidden="1" customHeight="1" outlineLevel="1">
      <c r="A513" s="4"/>
      <c r="B513" s="72" t="s">
        <v>283</v>
      </c>
      <c r="C513" s="45"/>
      <c r="D513" s="17"/>
      <c r="E513" s="17"/>
      <c r="F513" s="17"/>
      <c r="G513" s="17"/>
      <c r="H513" s="73"/>
      <c r="I513" s="17"/>
      <c r="J513" s="17"/>
      <c r="K513" s="17"/>
      <c r="L513" s="17"/>
      <c r="M513" s="73"/>
      <c r="N513" s="17"/>
      <c r="O513" s="17"/>
      <c r="P513" s="17"/>
      <c r="Q513" s="17"/>
      <c r="R513" s="73"/>
      <c r="S513" s="17"/>
      <c r="T513" s="17"/>
      <c r="U513" s="17"/>
      <c r="V513" s="17"/>
      <c r="W513" s="73"/>
      <c r="X513" s="17"/>
      <c r="Y513" s="17"/>
      <c r="Z513" s="17"/>
      <c r="AA513" s="17"/>
      <c r="AB513" s="73"/>
      <c r="AC513" s="17"/>
      <c r="AD513" s="17"/>
      <c r="AE513" s="17"/>
      <c r="AF513" s="17"/>
      <c r="AG513" s="73"/>
      <c r="AH513" s="17"/>
      <c r="AI513" s="17"/>
      <c r="AJ513" s="17"/>
      <c r="AK513" s="17"/>
      <c r="AL513" s="73"/>
      <c r="AM513" s="17"/>
      <c r="AN513" s="17"/>
      <c r="AO513" s="17"/>
      <c r="AP513" s="17"/>
      <c r="AQ513" s="73"/>
      <c r="AR513" s="17"/>
      <c r="AS513" s="17"/>
      <c r="AT513" s="17"/>
      <c r="AU513" s="17"/>
      <c r="AV513" s="73"/>
      <c r="AW513" s="17"/>
      <c r="AX513" s="17"/>
      <c r="AY513" s="17"/>
      <c r="AZ513" s="17"/>
      <c r="BA513" s="73"/>
      <c r="BB513" s="17"/>
      <c r="BC513" s="17"/>
      <c r="BD513" s="17"/>
      <c r="BE513" s="17"/>
      <c r="BF513" s="73"/>
      <c r="BG513" s="17"/>
      <c r="BH513" s="17"/>
      <c r="BI513" s="17"/>
      <c r="BJ513" s="17"/>
      <c r="BK513" s="73"/>
      <c r="BL513" s="17"/>
      <c r="BM513" s="17"/>
      <c r="BN513" s="17"/>
      <c r="BO513" s="17"/>
      <c r="BP513" s="73"/>
      <c r="BQ513" s="17"/>
      <c r="BR513" s="17"/>
      <c r="BS513" s="17"/>
      <c r="BT513" s="17"/>
      <c r="BU513" s="73"/>
      <c r="BV513" s="17"/>
      <c r="BW513" s="17"/>
      <c r="BX513" s="17"/>
      <c r="BY513" s="17"/>
      <c r="BZ513" s="18"/>
      <c r="CA513" s="17"/>
      <c r="CB513" s="17"/>
      <c r="CC513" s="17"/>
      <c r="CD513" s="17"/>
      <c r="CE513" s="18">
        <v>1526.0</v>
      </c>
      <c r="CF513" s="17">
        <v>481.0</v>
      </c>
      <c r="CG513" s="17">
        <v>472.26400000000007</v>
      </c>
      <c r="CH513" s="17">
        <v>495.8772000000001</v>
      </c>
      <c r="CI513" s="17">
        <v>510.7535160000001</v>
      </c>
      <c r="CJ513" s="18">
        <f t="shared" si="2745"/>
        <v>1959.894716</v>
      </c>
      <c r="CK513" s="17">
        <v>480.10830504000006</v>
      </c>
      <c r="CL513" s="17">
        <f>CK513*1.04</f>
        <v>499.3126372</v>
      </c>
      <c r="CM513" s="17">
        <f>CL513*1.03</f>
        <v>514.2920164</v>
      </c>
      <c r="CN513" s="19">
        <v>683.0</v>
      </c>
      <c r="CO513" s="18">
        <f t="shared" si="2747"/>
        <v>2176.712959</v>
      </c>
      <c r="CP513" s="19">
        <f>+CP515</f>
        <v>553</v>
      </c>
      <c r="CQ513" s="17">
        <v>524.0</v>
      </c>
      <c r="CR513" s="17">
        <f>CQ513*1.03</f>
        <v>539.72</v>
      </c>
      <c r="CS513" s="17">
        <v>557.0</v>
      </c>
      <c r="CT513" s="18">
        <f t="shared" si="2749"/>
        <v>2173.72</v>
      </c>
      <c r="CU513" s="450">
        <f>CU515</f>
        <v>534</v>
      </c>
      <c r="CV513" s="17">
        <f>CU513*0.9</f>
        <v>480.6</v>
      </c>
      <c r="CW513" s="17">
        <f>CV513*1.25</f>
        <v>600.75</v>
      </c>
      <c r="CX513" s="17">
        <f>CW513*1.03</f>
        <v>618.7725</v>
      </c>
      <c r="CY513" s="18">
        <f t="shared" si="2751"/>
        <v>2234.1225</v>
      </c>
      <c r="CZ513" s="17">
        <f>CX513*1</f>
        <v>618.7725</v>
      </c>
      <c r="DA513" s="17">
        <f>CZ513*1.03</f>
        <v>637.335675</v>
      </c>
      <c r="DB513" s="17">
        <f>DA513*1.02</f>
        <v>650.0823885</v>
      </c>
      <c r="DC513" s="17">
        <f>DB513*1.01</f>
        <v>656.5832124</v>
      </c>
      <c r="DD513" s="18">
        <f t="shared" si="2752"/>
        <v>2562.773776</v>
      </c>
      <c r="DE513" s="17">
        <f>DC513*0.98</f>
        <v>643.4515481</v>
      </c>
      <c r="DF513" s="17">
        <f>DE513*1.03</f>
        <v>662.7550946</v>
      </c>
      <c r="DG513" s="19">
        <f>DF513*1.02</f>
        <v>676.0101965</v>
      </c>
      <c r="DH513" s="17">
        <f>DG513*1.01</f>
        <v>682.7702984</v>
      </c>
      <c r="DI513" s="18">
        <f t="shared" si="2754"/>
        <v>2664.987138</v>
      </c>
      <c r="DJ513" s="19">
        <f>DH513*0.98</f>
        <v>669.1148925</v>
      </c>
      <c r="DK513" s="19">
        <f>DJ513*1.03</f>
        <v>689.1883392</v>
      </c>
      <c r="DL513" s="19">
        <f>DK513*1.02</f>
        <v>702.972106</v>
      </c>
      <c r="DM513" s="17">
        <f>DL513*1.01</f>
        <v>710.0018271</v>
      </c>
      <c r="DN513" s="18">
        <f t="shared" si="2756"/>
        <v>2771.277165</v>
      </c>
      <c r="DO513" s="17">
        <f>DM513*0.98</f>
        <v>695.8017905</v>
      </c>
      <c r="DP513" s="17">
        <f>DO513*1.03</f>
        <v>716.6758443</v>
      </c>
      <c r="DQ513" s="17">
        <f>DP513*1.02</f>
        <v>731.0093611</v>
      </c>
      <c r="DR513" s="17">
        <f>DQ513*1.01</f>
        <v>738.3194548</v>
      </c>
      <c r="DS513" s="18">
        <f t="shared" si="2758"/>
        <v>2881.806451</v>
      </c>
      <c r="DT513" s="17">
        <f>DR513*0.98</f>
        <v>723.5530657</v>
      </c>
      <c r="DU513" s="17">
        <f>DT513*1.03</f>
        <v>745.2596576</v>
      </c>
      <c r="DV513" s="17">
        <f>DU513*1.02</f>
        <v>760.1648508</v>
      </c>
      <c r="DW513" s="17">
        <f>DV513*1.01</f>
        <v>767.7664993</v>
      </c>
      <c r="DX513" s="18">
        <f t="shared" si="2760"/>
        <v>2996.744073</v>
      </c>
      <c r="DY513" s="17">
        <f>DW513*0.98</f>
        <v>752.4111693</v>
      </c>
      <c r="DZ513" s="17">
        <f>DY513*1.03</f>
        <v>774.9835044</v>
      </c>
      <c r="EA513" s="17">
        <f>DZ513*1.02</f>
        <v>790.4831745</v>
      </c>
      <c r="EB513" s="17">
        <f>EA513*1.01</f>
        <v>798.3880062</v>
      </c>
      <c r="EC513" s="18">
        <f t="shared" si="2762"/>
        <v>3116.265854</v>
      </c>
      <c r="ED513" s="17">
        <f>EB513*0.98</f>
        <v>782.4202461</v>
      </c>
      <c r="EE513" s="17">
        <f>ED513*1.03</f>
        <v>805.8928535</v>
      </c>
      <c r="EF513" s="17">
        <f>EE513*1.02</f>
        <v>822.0107105</v>
      </c>
      <c r="EG513" s="17">
        <f>EF513*1.01</f>
        <v>830.2308177</v>
      </c>
      <c r="EH513" s="18">
        <f t="shared" si="2764"/>
        <v>3240.554628</v>
      </c>
      <c r="EI513" s="25">
        <f>EG513*0.98</f>
        <v>813.6262013</v>
      </c>
      <c r="EJ513" s="17">
        <f>EI513*1.03</f>
        <v>838.0349873</v>
      </c>
      <c r="EK513" s="17">
        <f>EJ513*1.02</f>
        <v>854.7956871</v>
      </c>
      <c r="EL513" s="17">
        <f>EK513*1.01</f>
        <v>863.343644</v>
      </c>
      <c r="EM513" s="18">
        <f t="shared" si="2766"/>
        <v>3369.80052</v>
      </c>
      <c r="EN513" s="17">
        <f>EL513*0.98</f>
        <v>846.0767711</v>
      </c>
      <c r="EO513" s="17">
        <f>EN513*1.03</f>
        <v>871.4590742</v>
      </c>
      <c r="EP513" s="17">
        <f>EO513*1.02</f>
        <v>888.8882557</v>
      </c>
      <c r="EQ513" s="17">
        <f>EP513*1.01</f>
        <v>897.7771383</v>
      </c>
      <c r="ER513" s="18">
        <f t="shared" si="2768"/>
        <v>3504.201239</v>
      </c>
      <c r="ES513" s="17">
        <f>EQ513*0.98</f>
        <v>879.8215955</v>
      </c>
      <c r="ET513" s="17">
        <f>ES513*1.03</f>
        <v>906.2162434</v>
      </c>
      <c r="EU513" s="17">
        <f>ET513*1.02</f>
        <v>924.3405682</v>
      </c>
      <c r="EV513" s="17">
        <f>EU513*1.01</f>
        <v>933.5839739</v>
      </c>
      <c r="EW513" s="18">
        <f t="shared" si="2770"/>
        <v>3643.962381</v>
      </c>
      <c r="EX513" s="17">
        <f>EV513*0.98</f>
        <v>914.9122944</v>
      </c>
      <c r="EY513" s="17">
        <f>EX513*1.03</f>
        <v>942.3596633</v>
      </c>
      <c r="EZ513" s="17">
        <f>EY513*1.02</f>
        <v>961.2068565</v>
      </c>
      <c r="FA513" s="17">
        <f>EZ513*1.01</f>
        <v>970.8189251</v>
      </c>
      <c r="FB513" s="18">
        <f t="shared" si="2772"/>
        <v>3789.297739</v>
      </c>
      <c r="FC513" s="17">
        <f>FA513*0.98</f>
        <v>951.4025466</v>
      </c>
      <c r="FD513" s="17">
        <f>FC513*1.03</f>
        <v>979.944623</v>
      </c>
      <c r="FE513" s="17">
        <f>FD513*1.02</f>
        <v>999.5435154</v>
      </c>
      <c r="FF513" s="17">
        <f>FE513*1.01</f>
        <v>1009.538951</v>
      </c>
      <c r="FG513" s="18">
        <f t="shared" si="2774"/>
        <v>3940.429636</v>
      </c>
      <c r="FH513" s="74"/>
      <c r="FI513" s="17"/>
      <c r="FJ513" s="17"/>
      <c r="FK513" s="73"/>
      <c r="FL513" s="17"/>
    </row>
    <row r="514" ht="12.75" hidden="1" customHeight="1" outlineLevel="1">
      <c r="A514" s="4"/>
      <c r="B514" s="72" t="s">
        <v>284</v>
      </c>
      <c r="C514" s="45"/>
      <c r="D514" s="17"/>
      <c r="E514" s="17"/>
      <c r="F514" s="17"/>
      <c r="G514" s="17"/>
      <c r="H514" s="73"/>
      <c r="I514" s="17"/>
      <c r="J514" s="17"/>
      <c r="K514" s="17"/>
      <c r="L514" s="17"/>
      <c r="M514" s="73"/>
      <c r="N514" s="17"/>
      <c r="O514" s="17"/>
      <c r="P514" s="17"/>
      <c r="Q514" s="17"/>
      <c r="R514" s="73"/>
      <c r="S514" s="17"/>
      <c r="T514" s="17"/>
      <c r="U514" s="17"/>
      <c r="V514" s="17"/>
      <c r="W514" s="73"/>
      <c r="X514" s="17"/>
      <c r="Y514" s="17"/>
      <c r="Z514" s="17"/>
      <c r="AA514" s="17"/>
      <c r="AB514" s="73"/>
      <c r="AC514" s="17"/>
      <c r="AD514" s="17"/>
      <c r="AE514" s="17"/>
      <c r="AF514" s="17"/>
      <c r="AG514" s="73"/>
      <c r="AH514" s="17"/>
      <c r="AI514" s="17"/>
      <c r="AJ514" s="17"/>
      <c r="AK514" s="17"/>
      <c r="AL514" s="73"/>
      <c r="AM514" s="17"/>
      <c r="AN514" s="17"/>
      <c r="AO514" s="17"/>
      <c r="AP514" s="17"/>
      <c r="AQ514" s="73"/>
      <c r="AR514" s="17"/>
      <c r="AS514" s="17"/>
      <c r="AT514" s="17"/>
      <c r="AU514" s="17"/>
      <c r="AV514" s="73"/>
      <c r="AW514" s="17"/>
      <c r="AX514" s="17"/>
      <c r="AY514" s="17"/>
      <c r="AZ514" s="17"/>
      <c r="BA514" s="73"/>
      <c r="BB514" s="17"/>
      <c r="BC514" s="17"/>
      <c r="BD514" s="17"/>
      <c r="BE514" s="17"/>
      <c r="BF514" s="73"/>
      <c r="BG514" s="17"/>
      <c r="BH514" s="17"/>
      <c r="BI514" s="17"/>
      <c r="BJ514" s="17"/>
      <c r="BK514" s="73"/>
      <c r="BL514" s="17"/>
      <c r="BM514" s="17"/>
      <c r="BN514" s="17"/>
      <c r="BO514" s="17"/>
      <c r="BP514" s="73"/>
      <c r="BQ514" s="17"/>
      <c r="BR514" s="17"/>
      <c r="BS514" s="17"/>
      <c r="BT514" s="17"/>
      <c r="BU514" s="73"/>
      <c r="BV514" s="17"/>
      <c r="BW514" s="17"/>
      <c r="BX514" s="17"/>
      <c r="BY514" s="17"/>
      <c r="BZ514" s="18"/>
      <c r="CA514" s="17"/>
      <c r="CB514" s="17"/>
      <c r="CC514" s="17"/>
      <c r="CD514" s="17"/>
      <c r="CE514" s="18"/>
      <c r="CF514" s="17"/>
      <c r="CG514" s="17"/>
      <c r="CH514" s="17"/>
      <c r="CI514" s="17"/>
      <c r="CJ514" s="18"/>
      <c r="CK514" s="17"/>
      <c r="CL514" s="17"/>
      <c r="CM514" s="17"/>
      <c r="CN514" s="19"/>
      <c r="CO514" s="18"/>
      <c r="CP514" s="19"/>
      <c r="CQ514" s="17"/>
      <c r="CR514" s="17"/>
      <c r="CS514" s="17"/>
      <c r="CT514" s="18"/>
      <c r="CU514" s="17"/>
      <c r="CV514" s="17"/>
      <c r="CW514" s="17"/>
      <c r="CX514" s="17"/>
      <c r="CY514" s="18"/>
      <c r="CZ514" s="17"/>
      <c r="DA514" s="17"/>
      <c r="DB514" s="17"/>
      <c r="DC514" s="17"/>
      <c r="DD514" s="18"/>
      <c r="DE514" s="17"/>
      <c r="DF514" s="17"/>
      <c r="DG514" s="19"/>
      <c r="DH514" s="17"/>
      <c r="DI514" s="18"/>
      <c r="DJ514" s="19"/>
      <c r="DK514" s="19"/>
      <c r="DL514" s="19"/>
      <c r="DM514" s="17"/>
      <c r="DN514" s="18"/>
      <c r="DO514" s="17"/>
      <c r="DP514" s="17"/>
      <c r="DQ514" s="17"/>
      <c r="DR514" s="17"/>
      <c r="DS514" s="18"/>
      <c r="DT514" s="17"/>
      <c r="DU514" s="17"/>
      <c r="DV514" s="17"/>
      <c r="DW514" s="17"/>
      <c r="DX514" s="18"/>
      <c r="DY514" s="17"/>
      <c r="DZ514" s="17"/>
      <c r="EA514" s="17"/>
      <c r="EB514" s="17"/>
      <c r="EC514" s="18"/>
      <c r="ED514" s="17"/>
      <c r="EE514" s="17"/>
      <c r="EF514" s="17"/>
      <c r="EG514" s="17"/>
      <c r="EH514" s="18"/>
      <c r="EI514" s="25"/>
      <c r="EJ514" s="17"/>
      <c r="EK514" s="17"/>
      <c r="EL514" s="17"/>
      <c r="EM514" s="18"/>
      <c r="EN514" s="17"/>
      <c r="EO514" s="17"/>
      <c r="EP514" s="17"/>
      <c r="EQ514" s="17"/>
      <c r="ER514" s="18"/>
      <c r="ES514" s="17"/>
      <c r="ET514" s="17"/>
      <c r="EU514" s="17"/>
      <c r="EV514" s="17"/>
      <c r="EW514" s="18"/>
      <c r="EX514" s="17"/>
      <c r="EY514" s="17"/>
      <c r="EZ514" s="17"/>
      <c r="FA514" s="17"/>
      <c r="FB514" s="18"/>
      <c r="FC514" s="17"/>
      <c r="FD514" s="17"/>
      <c r="FE514" s="17"/>
      <c r="FF514" s="17"/>
      <c r="FG514" s="18"/>
      <c r="FH514" s="74"/>
      <c r="FI514" s="17"/>
      <c r="FJ514" s="17"/>
      <c r="FK514" s="73"/>
      <c r="FL514" s="17"/>
    </row>
    <row r="515" ht="12.75" hidden="1" customHeight="1" outlineLevel="1">
      <c r="A515" s="45"/>
      <c r="B515" s="215" t="s">
        <v>285</v>
      </c>
      <c r="C515" s="45"/>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12"/>
      <c r="BE515" s="112"/>
      <c r="BF515" s="112"/>
      <c r="BG515" s="112"/>
      <c r="BH515" s="112"/>
      <c r="BI515" s="112"/>
      <c r="BJ515" s="112"/>
      <c r="BK515" s="112"/>
      <c r="BL515" s="112"/>
      <c r="BM515" s="112"/>
      <c r="BN515" s="112"/>
      <c r="BO515" s="112"/>
      <c r="BP515" s="112"/>
      <c r="BQ515" s="112"/>
      <c r="BR515" s="112"/>
      <c r="BS515" s="112"/>
      <c r="BT515" s="112"/>
      <c r="BU515" s="112"/>
      <c r="BV515" s="112"/>
      <c r="BW515" s="112"/>
      <c r="BX515" s="112"/>
      <c r="BY515" s="112"/>
      <c r="BZ515" s="80"/>
      <c r="CA515" s="112"/>
      <c r="CB515" s="112"/>
      <c r="CC515" s="112"/>
      <c r="CD515" s="112"/>
      <c r="CE515" s="80">
        <v>1870.0</v>
      </c>
      <c r="CF515" s="112">
        <v>571.0</v>
      </c>
      <c r="CG515" s="112">
        <v>586.0</v>
      </c>
      <c r="CH515" s="112">
        <v>588.0</v>
      </c>
      <c r="CI515" s="112">
        <v>636.0</v>
      </c>
      <c r="CJ515" s="80">
        <f t="shared" ref="CJ515:CJ516" si="2812">SUM(CF515:CI515)</f>
        <v>2381</v>
      </c>
      <c r="CK515" s="112">
        <f>1198-CL515</f>
        <v>588</v>
      </c>
      <c r="CL515" s="112">
        <v>610.0</v>
      </c>
      <c r="CM515" s="112">
        <v>621.0</v>
      </c>
      <c r="CN515" s="146">
        <f>MFESales</f>
        <v>683</v>
      </c>
      <c r="CO515" s="80">
        <f t="shared" ref="CO515:CO516" si="2814">SUM(CK515:CN515)</f>
        <v>2502</v>
      </c>
      <c r="CP515" s="146">
        <v>553.0</v>
      </c>
      <c r="CQ515" s="112">
        <v>548.0</v>
      </c>
      <c r="CR515" s="112">
        <v>558.0</v>
      </c>
      <c r="CS515" s="112">
        <f>+CS513</f>
        <v>557</v>
      </c>
      <c r="CT515" s="80">
        <f t="shared" ref="CT515:CT516" si="2815">SUM(CP515:CS515)</f>
        <v>2216</v>
      </c>
      <c r="CU515" s="580">
        <v>534.0</v>
      </c>
      <c r="CV515" s="112">
        <f>MFESales+53</f>
        <v>533.6</v>
      </c>
      <c r="CW515" s="112">
        <v>556.0</v>
      </c>
      <c r="CX515" s="112">
        <v>543.0</v>
      </c>
      <c r="CY515" s="80">
        <f t="shared" ref="CY515:CY516" si="2816">SUM(CU515:CX515)</f>
        <v>2166.6</v>
      </c>
      <c r="CZ515" s="112">
        <f>110+MFESales</f>
        <v>728.7725</v>
      </c>
      <c r="DA515" s="112">
        <f>110+MFESales</f>
        <v>747.335675</v>
      </c>
      <c r="DB515" s="112">
        <f>110+MFESales</f>
        <v>760.0823885</v>
      </c>
      <c r="DC515" s="112">
        <f>110+MFESales</f>
        <v>766.5832124</v>
      </c>
      <c r="DD515" s="80">
        <f t="shared" ref="DD515:DD518" si="2817">SUM(CZ515:DC515)</f>
        <v>3002.773776</v>
      </c>
      <c r="DE515" s="112">
        <f>110+MFESales</f>
        <v>753.4515481</v>
      </c>
      <c r="DF515" s="112">
        <f>110+MFESales</f>
        <v>772.7550946</v>
      </c>
      <c r="DG515" s="146">
        <f>110+MFESales</f>
        <v>786.0101965</v>
      </c>
      <c r="DH515" s="112">
        <f>110+MFESales</f>
        <v>792.7702984</v>
      </c>
      <c r="DI515" s="80">
        <f t="shared" ref="DI515:DI518" si="2818">SUM(DE515:DH515)</f>
        <v>3104.987138</v>
      </c>
      <c r="DJ515" s="146">
        <f>110+MFESales</f>
        <v>779.1148925</v>
      </c>
      <c r="DK515" s="146">
        <f>110+MFESales</f>
        <v>799.1883392</v>
      </c>
      <c r="DL515" s="146">
        <f>110+MFESales</f>
        <v>812.972106</v>
      </c>
      <c r="DM515" s="112">
        <f>110+MFESales</f>
        <v>820.0018271</v>
      </c>
      <c r="DN515" s="80">
        <f t="shared" ref="DN515:DN518" si="2819">SUM(DJ515:DM515)</f>
        <v>3211.277165</v>
      </c>
      <c r="DO515" s="112">
        <f>110+MFESales</f>
        <v>805.8017905</v>
      </c>
      <c r="DP515" s="112">
        <f>110+MFESales</f>
        <v>826.6758443</v>
      </c>
      <c r="DQ515" s="112">
        <f>110+MFESales</f>
        <v>841.0093611</v>
      </c>
      <c r="DR515" s="112">
        <f>110+MFESales</f>
        <v>848.3194548</v>
      </c>
      <c r="DS515" s="80">
        <f t="shared" ref="DS515:DS518" si="2820">SUM(DO515:DR515)</f>
        <v>3321.806451</v>
      </c>
      <c r="DT515" s="112">
        <f>110+MFESales</f>
        <v>833.5530657</v>
      </c>
      <c r="DU515" s="112">
        <f>110+MFESales</f>
        <v>855.2596576</v>
      </c>
      <c r="DV515" s="112">
        <f>110+MFESales</f>
        <v>870.1648508</v>
      </c>
      <c r="DW515" s="112">
        <f>110+MFESales</f>
        <v>877.7664993</v>
      </c>
      <c r="DX515" s="80">
        <f t="shared" ref="DX515:DX518" si="2821">SUM(DT515:DW515)</f>
        <v>3436.744073</v>
      </c>
      <c r="DY515" s="112">
        <f>110+MFESales</f>
        <v>862.4111693</v>
      </c>
      <c r="DZ515" s="112">
        <f>110+MFESales</f>
        <v>884.9835044</v>
      </c>
      <c r="EA515" s="112">
        <f>110+MFESales</f>
        <v>900.4831745</v>
      </c>
      <c r="EB515" s="112">
        <f>110+MFESales</f>
        <v>908.3880062</v>
      </c>
      <c r="EC515" s="80">
        <f t="shared" ref="EC515:EC518" si="2822">SUM(DY515:EB515)</f>
        <v>3556.265854</v>
      </c>
      <c r="ED515" s="112">
        <f>110+MFESales</f>
        <v>892.4202461</v>
      </c>
      <c r="EE515" s="112">
        <f>110+MFESales</f>
        <v>915.8928535</v>
      </c>
      <c r="EF515" s="112">
        <f>110+MFESales</f>
        <v>932.0107105</v>
      </c>
      <c r="EG515" s="112">
        <f>110+MFESales</f>
        <v>940.2308177</v>
      </c>
      <c r="EH515" s="80">
        <f t="shared" ref="EH515:EH518" si="2823">SUM(ED515:EG515)</f>
        <v>3680.554628</v>
      </c>
      <c r="EI515" s="110">
        <f>110+MFESales</f>
        <v>923.6262013</v>
      </c>
      <c r="EJ515" s="112">
        <f>110+MFESales</f>
        <v>948.0349873</v>
      </c>
      <c r="EK515" s="112">
        <f>110+MFESales</f>
        <v>964.7956871</v>
      </c>
      <c r="EL515" s="112">
        <f>110+MFESales</f>
        <v>973.343644</v>
      </c>
      <c r="EM515" s="80">
        <f t="shared" ref="EM515:EM518" si="2824">SUM(EI515:EL515)</f>
        <v>3809.80052</v>
      </c>
      <c r="EN515" s="112">
        <f>110+MFESales</f>
        <v>956.0767711</v>
      </c>
      <c r="EO515" s="112">
        <f>110+MFESales</f>
        <v>981.4590742</v>
      </c>
      <c r="EP515" s="112">
        <f>110+MFESales</f>
        <v>998.8882557</v>
      </c>
      <c r="EQ515" s="112">
        <f>110+MFESales</f>
        <v>1007.777138</v>
      </c>
      <c r="ER515" s="80">
        <f t="shared" ref="ER515:ER518" si="2825">SUM(EN515:EQ515)</f>
        <v>3944.201239</v>
      </c>
      <c r="ES515" s="112">
        <f>110+MFESales</f>
        <v>989.8215955</v>
      </c>
      <c r="ET515" s="112">
        <f>110+MFESales</f>
        <v>1016.216243</v>
      </c>
      <c r="EU515" s="112">
        <f>110+MFESales</f>
        <v>1034.340568</v>
      </c>
      <c r="EV515" s="112">
        <f>110+MFESales</f>
        <v>1043.583974</v>
      </c>
      <c r="EW515" s="80">
        <f t="shared" ref="EW515:EW518" si="2826">SUM(ES515:EV515)</f>
        <v>4083.962381</v>
      </c>
      <c r="EX515" s="112">
        <f>110+MFESales</f>
        <v>1024.912294</v>
      </c>
      <c r="EY515" s="112">
        <f>110+MFESales</f>
        <v>1052.359663</v>
      </c>
      <c r="EZ515" s="112">
        <f>110+MFESales</f>
        <v>1071.206857</v>
      </c>
      <c r="FA515" s="112">
        <f>110+MFESales</f>
        <v>1080.818925</v>
      </c>
      <c r="FB515" s="80">
        <f t="shared" ref="FB515:FB518" si="2827">SUM(EX515:FA515)</f>
        <v>4229.297739</v>
      </c>
      <c r="FC515" s="112">
        <f>110+MFESales</f>
        <v>1061.402547</v>
      </c>
      <c r="FD515" s="112">
        <f>110+MFESales</f>
        <v>1089.944623</v>
      </c>
      <c r="FE515" s="112">
        <f>110+MFESales</f>
        <v>1109.543515</v>
      </c>
      <c r="FF515" s="112">
        <f>110+MFESales</f>
        <v>1119.538951</v>
      </c>
      <c r="FG515" s="80">
        <f t="shared" ref="FG515:FG518" si="2828">SUM(FC515:FF515)</f>
        <v>4380.429636</v>
      </c>
      <c r="FH515" s="146"/>
      <c r="FI515" s="112"/>
      <c r="FJ515" s="112"/>
      <c r="FK515" s="112"/>
      <c r="FL515" s="112"/>
    </row>
    <row r="516" ht="12.75" hidden="1" customHeight="1" outlineLevel="2">
      <c r="A516" s="45"/>
      <c r="B516" s="72" t="s">
        <v>286</v>
      </c>
      <c r="C516" s="45"/>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12"/>
      <c r="BE516" s="112"/>
      <c r="BF516" s="112"/>
      <c r="BG516" s="112"/>
      <c r="BH516" s="112"/>
      <c r="BI516" s="112"/>
      <c r="BJ516" s="112"/>
      <c r="BK516" s="112"/>
      <c r="BL516" s="112"/>
      <c r="BM516" s="112"/>
      <c r="BN516" s="112"/>
      <c r="BO516" s="112"/>
      <c r="BP516" s="112"/>
      <c r="BQ516" s="112"/>
      <c r="BR516" s="112"/>
      <c r="BS516" s="112"/>
      <c r="BT516" s="112"/>
      <c r="BU516" s="112"/>
      <c r="BV516" s="112"/>
      <c r="BW516" s="112"/>
      <c r="BX516" s="112"/>
      <c r="BY516" s="112"/>
      <c r="BZ516" s="80"/>
      <c r="CA516" s="112"/>
      <c r="CB516" s="112"/>
      <c r="CC516" s="112"/>
      <c r="CD516" s="112"/>
      <c r="CE516" s="80">
        <v>1591.0</v>
      </c>
      <c r="CF516" s="112">
        <f>CF518</f>
        <v>356</v>
      </c>
      <c r="CG516" s="112">
        <v>319.0</v>
      </c>
      <c r="CH516" s="112">
        <f t="shared" ref="CH516:CI516" si="2811">CH518</f>
        <v>405</v>
      </c>
      <c r="CI516" s="112">
        <f t="shared" si="2811"/>
        <v>487</v>
      </c>
      <c r="CJ516" s="80">
        <f t="shared" si="2812"/>
        <v>1567</v>
      </c>
      <c r="CK516" s="112">
        <f t="shared" ref="CK516:CL516" si="2813">CK518</f>
        <v>437</v>
      </c>
      <c r="CL516" s="112">
        <f t="shared" si="2813"/>
        <v>416</v>
      </c>
      <c r="CM516" s="112">
        <f>+CM518</f>
        <v>496</v>
      </c>
      <c r="CN516" s="146">
        <v>488.0</v>
      </c>
      <c r="CO516" s="80">
        <f t="shared" si="2814"/>
        <v>1837</v>
      </c>
      <c r="CP516" s="146">
        <v>545.0</v>
      </c>
      <c r="CQ516" s="112">
        <v>500.0</v>
      </c>
      <c r="CR516" s="112">
        <f>CQ516*1.2</f>
        <v>600</v>
      </c>
      <c r="CS516" s="112">
        <v>616.0</v>
      </c>
      <c r="CT516" s="80">
        <f t="shared" si="2815"/>
        <v>2261</v>
      </c>
      <c r="CU516" s="580">
        <v>615.0</v>
      </c>
      <c r="CV516" s="112">
        <v>715.0</v>
      </c>
      <c r="CW516" s="112">
        <v>682.0</v>
      </c>
      <c r="CX516" s="112">
        <v>682.0</v>
      </c>
      <c r="CY516" s="80">
        <f t="shared" si="2816"/>
        <v>2694</v>
      </c>
      <c r="CZ516" s="112">
        <f>CX516*1.03</f>
        <v>702.46</v>
      </c>
      <c r="DA516" s="112">
        <f>CZ516*0.97</f>
        <v>681.3862</v>
      </c>
      <c r="DB516" s="112">
        <f>DA516*1.15</f>
        <v>783.59413</v>
      </c>
      <c r="DC516" s="112">
        <f>DB516*1.1</f>
        <v>861.953543</v>
      </c>
      <c r="DD516" s="80">
        <f t="shared" si="2817"/>
        <v>3029.393873</v>
      </c>
      <c r="DE516" s="112">
        <f>DC516*0.85</f>
        <v>732.6605116</v>
      </c>
      <c r="DF516" s="112">
        <f>DE516*0.99</f>
        <v>725.3339064</v>
      </c>
      <c r="DG516" s="146">
        <f>DF516*1.15</f>
        <v>834.1339924</v>
      </c>
      <c r="DH516" s="112">
        <f>DG516*1.1</f>
        <v>917.5473916</v>
      </c>
      <c r="DI516" s="80">
        <f t="shared" si="2818"/>
        <v>3209.675802</v>
      </c>
      <c r="DJ516" s="146">
        <f>DH516*0.85</f>
        <v>779.9152829</v>
      </c>
      <c r="DK516" s="146">
        <f>DJ516*0.97</f>
        <v>756.5178244</v>
      </c>
      <c r="DL516" s="146">
        <f>DK516*1.15</f>
        <v>869.9954981</v>
      </c>
      <c r="DM516" s="112">
        <f>DL516*1.1</f>
        <v>956.9950479</v>
      </c>
      <c r="DN516" s="80">
        <f t="shared" si="2819"/>
        <v>3363.423653</v>
      </c>
      <c r="DO516" s="112">
        <f>DM516*0.85</f>
        <v>813.4457907</v>
      </c>
      <c r="DP516" s="112">
        <f>DO516*0.97</f>
        <v>789.042417</v>
      </c>
      <c r="DQ516" s="112">
        <f>DP516*1.15</f>
        <v>907.3987795</v>
      </c>
      <c r="DR516" s="112">
        <f>DQ516*1.1</f>
        <v>998.1386575</v>
      </c>
      <c r="DS516" s="80">
        <f t="shared" si="2820"/>
        <v>3508.025645</v>
      </c>
      <c r="DT516" s="112">
        <f>DR516*0.85</f>
        <v>848.4178588</v>
      </c>
      <c r="DU516" s="112">
        <f>DT516*0.97</f>
        <v>822.9653231</v>
      </c>
      <c r="DV516" s="112">
        <f>DU516*1.15</f>
        <v>946.4101215</v>
      </c>
      <c r="DW516" s="112">
        <f>DV516*1.1</f>
        <v>1041.051134</v>
      </c>
      <c r="DX516" s="80">
        <f t="shared" si="2821"/>
        <v>3658.844437</v>
      </c>
      <c r="DY516" s="112">
        <f>DW516*0.85</f>
        <v>884.8934636</v>
      </c>
      <c r="DZ516" s="112">
        <f>DY516*0.97</f>
        <v>858.3466597</v>
      </c>
      <c r="EA516" s="112">
        <f>DZ516*1.15</f>
        <v>987.0986587</v>
      </c>
      <c r="EB516" s="112">
        <f>EA516*1.1</f>
        <v>1085.808525</v>
      </c>
      <c r="EC516" s="80">
        <f t="shared" si="2822"/>
        <v>3816.147307</v>
      </c>
      <c r="ED516" s="112">
        <f>EB516*0.85</f>
        <v>922.9372459</v>
      </c>
      <c r="EE516" s="112">
        <f>ED516*0.97</f>
        <v>895.2491285</v>
      </c>
      <c r="EF516" s="112">
        <f>EE516*1.15</f>
        <v>1029.536498</v>
      </c>
      <c r="EG516" s="112">
        <f>EF516*1.1</f>
        <v>1132.490148</v>
      </c>
      <c r="EH516" s="80">
        <f t="shared" si="2823"/>
        <v>3980.21302</v>
      </c>
      <c r="EI516" s="110">
        <f>EG516*0.85</f>
        <v>962.6166254</v>
      </c>
      <c r="EJ516" s="112">
        <f>EI516*0.97</f>
        <v>933.7381267</v>
      </c>
      <c r="EK516" s="112">
        <f>EJ516*1.15</f>
        <v>1073.798846</v>
      </c>
      <c r="EL516" s="112">
        <f>EK516*1.1</f>
        <v>1181.17873</v>
      </c>
      <c r="EM516" s="80">
        <f t="shared" si="2824"/>
        <v>4151.332328</v>
      </c>
      <c r="EN516" s="112">
        <f>EL516*0.85</f>
        <v>1004.001921</v>
      </c>
      <c r="EO516" s="112">
        <f>EN516*0.97</f>
        <v>973.8818631</v>
      </c>
      <c r="EP516" s="112">
        <f>EO516*1.15</f>
        <v>1119.964143</v>
      </c>
      <c r="EQ516" s="112">
        <f>EP516*1.1</f>
        <v>1231.960557</v>
      </c>
      <c r="ER516" s="80">
        <f t="shared" si="2825"/>
        <v>4329.808483</v>
      </c>
      <c r="ES516" s="112">
        <f>EQ516*0.85</f>
        <v>1047.166473</v>
      </c>
      <c r="ET516" s="112">
        <f>ES516*0.97</f>
        <v>1015.751479</v>
      </c>
      <c r="EU516" s="112">
        <f>ET516*1.15</f>
        <v>1168.114201</v>
      </c>
      <c r="EV516" s="112">
        <f>EU516*1.1</f>
        <v>1284.925621</v>
      </c>
      <c r="EW516" s="80">
        <f t="shared" si="2826"/>
        <v>4515.957774</v>
      </c>
      <c r="EX516" s="112">
        <f>EV516*0.85</f>
        <v>1092.186778</v>
      </c>
      <c r="EY516" s="112">
        <f>EX516*0.97</f>
        <v>1059.421175</v>
      </c>
      <c r="EZ516" s="112">
        <f>EY516*1.15</f>
        <v>1218.334351</v>
      </c>
      <c r="FA516" s="112">
        <f>EZ516*1.1</f>
        <v>1340.167786</v>
      </c>
      <c r="FB516" s="80">
        <f t="shared" si="2827"/>
        <v>4710.110089</v>
      </c>
      <c r="FC516" s="112">
        <f>FA516*0.85</f>
        <v>1139.142618</v>
      </c>
      <c r="FD516" s="112">
        <f>FC516*0.97</f>
        <v>1104.968339</v>
      </c>
      <c r="FE516" s="112">
        <f>FD516*1.15</f>
        <v>1270.71359</v>
      </c>
      <c r="FF516" s="112">
        <f>FE516*1.1</f>
        <v>1397.784949</v>
      </c>
      <c r="FG516" s="80">
        <f t="shared" si="2828"/>
        <v>4912.609497</v>
      </c>
      <c r="FH516" s="146"/>
      <c r="FI516" s="112"/>
      <c r="FJ516" s="112"/>
      <c r="FK516" s="112"/>
      <c r="FL516" s="112"/>
    </row>
    <row r="517" ht="12.75" hidden="1" customHeight="1" outlineLevel="2">
      <c r="A517" s="45"/>
      <c r="B517" s="45" t="s">
        <v>287</v>
      </c>
      <c r="C517" s="45"/>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12"/>
      <c r="BE517" s="112"/>
      <c r="BF517" s="112"/>
      <c r="BG517" s="112"/>
      <c r="BH517" s="112"/>
      <c r="BI517" s="112"/>
      <c r="BJ517" s="112"/>
      <c r="BK517" s="112"/>
      <c r="BL517" s="112"/>
      <c r="BM517" s="112"/>
      <c r="BN517" s="112"/>
      <c r="BO517" s="112"/>
      <c r="BP517" s="112"/>
      <c r="BQ517" s="112"/>
      <c r="BR517" s="112"/>
      <c r="BS517" s="112"/>
      <c r="BT517" s="112"/>
      <c r="BU517" s="112"/>
      <c r="BV517" s="112"/>
      <c r="BW517" s="112"/>
      <c r="BX517" s="112"/>
      <c r="BY517" s="112"/>
      <c r="BZ517" s="80"/>
      <c r="CA517" s="112"/>
      <c r="CB517" s="112"/>
      <c r="CC517" s="112"/>
      <c r="CD517" s="112"/>
      <c r="CE517" s="80"/>
      <c r="CF517" s="112"/>
      <c r="CG517" s="112"/>
      <c r="CH517" s="112"/>
      <c r="CI517" s="112"/>
      <c r="CJ517" s="80"/>
      <c r="CK517" s="112"/>
      <c r="CL517" s="112"/>
      <c r="CM517" s="112"/>
      <c r="CN517" s="146"/>
      <c r="CO517" s="80"/>
      <c r="CP517" s="146"/>
      <c r="CQ517" s="112"/>
      <c r="CR517" s="112"/>
      <c r="CS517" s="112"/>
      <c r="CT517" s="80"/>
      <c r="CU517" s="580"/>
      <c r="CV517" s="112"/>
      <c r="CW517" s="112"/>
      <c r="CX517" s="112"/>
      <c r="CY517" s="80"/>
      <c r="CZ517" s="581">
        <v>400.0</v>
      </c>
      <c r="DA517" s="581">
        <f t="shared" ref="DA517:DC517" si="2829">CZ517</f>
        <v>400</v>
      </c>
      <c r="DB517" s="581">
        <f t="shared" si="2829"/>
        <v>400</v>
      </c>
      <c r="DC517" s="581">
        <f t="shared" si="2829"/>
        <v>400</v>
      </c>
      <c r="DD517" s="80">
        <f t="shared" si="2817"/>
        <v>1600</v>
      </c>
      <c r="DE517" s="582">
        <v>400.0</v>
      </c>
      <c r="DF517" s="146">
        <f t="shared" ref="DF517:DH517" si="2830">DE517</f>
        <v>400</v>
      </c>
      <c r="DG517" s="146">
        <f t="shared" si="2830"/>
        <v>400</v>
      </c>
      <c r="DH517" s="581">
        <f t="shared" si="2830"/>
        <v>400</v>
      </c>
      <c r="DI517" s="80">
        <f t="shared" si="2818"/>
        <v>1600</v>
      </c>
      <c r="DJ517" s="582">
        <v>400.0</v>
      </c>
      <c r="DK517" s="146">
        <f t="shared" ref="DK517:DM517" si="2831">DJ517</f>
        <v>400</v>
      </c>
      <c r="DL517" s="146">
        <f t="shared" si="2831"/>
        <v>400</v>
      </c>
      <c r="DM517" s="146">
        <f t="shared" si="2831"/>
        <v>400</v>
      </c>
      <c r="DN517" s="80">
        <f t="shared" si="2819"/>
        <v>1600</v>
      </c>
      <c r="DO517" s="582">
        <v>400.0</v>
      </c>
      <c r="DP517" s="146">
        <f t="shared" ref="DP517:DR517" si="2832">DO517</f>
        <v>400</v>
      </c>
      <c r="DQ517" s="146">
        <f t="shared" si="2832"/>
        <v>400</v>
      </c>
      <c r="DR517" s="146">
        <f t="shared" si="2832"/>
        <v>400</v>
      </c>
      <c r="DS517" s="80">
        <f t="shared" si="2820"/>
        <v>1600</v>
      </c>
      <c r="DT517" s="582">
        <v>400.0</v>
      </c>
      <c r="DU517" s="582">
        <f t="shared" ref="DU517:DW517" si="2833">DT517</f>
        <v>400</v>
      </c>
      <c r="DV517" s="582">
        <f t="shared" si="2833"/>
        <v>400</v>
      </c>
      <c r="DW517" s="582">
        <f t="shared" si="2833"/>
        <v>400</v>
      </c>
      <c r="DX517" s="80">
        <f t="shared" si="2821"/>
        <v>1600</v>
      </c>
      <c r="DY517" s="582">
        <v>400.0</v>
      </c>
      <c r="DZ517" s="582">
        <f t="shared" ref="DZ517:EB517" si="2834">DY517</f>
        <v>400</v>
      </c>
      <c r="EA517" s="582">
        <f t="shared" si="2834"/>
        <v>400</v>
      </c>
      <c r="EB517" s="582">
        <f t="shared" si="2834"/>
        <v>400</v>
      </c>
      <c r="EC517" s="80">
        <f t="shared" si="2822"/>
        <v>1600</v>
      </c>
      <c r="ED517" s="582">
        <v>400.0</v>
      </c>
      <c r="EE517" s="582">
        <f t="shared" ref="EE517:EG517" si="2835">ED517</f>
        <v>400</v>
      </c>
      <c r="EF517" s="582">
        <f t="shared" si="2835"/>
        <v>400</v>
      </c>
      <c r="EG517" s="582">
        <f t="shared" si="2835"/>
        <v>400</v>
      </c>
      <c r="EH517" s="80">
        <f t="shared" si="2823"/>
        <v>1600</v>
      </c>
      <c r="EI517" s="110">
        <v>400.0</v>
      </c>
      <c r="EJ517" s="146">
        <f t="shared" ref="EJ517:EL517" si="2836">EI517</f>
        <v>400</v>
      </c>
      <c r="EK517" s="146">
        <f t="shared" si="2836"/>
        <v>400</v>
      </c>
      <c r="EL517" s="146">
        <f t="shared" si="2836"/>
        <v>400</v>
      </c>
      <c r="EM517" s="80">
        <f t="shared" si="2824"/>
        <v>1600</v>
      </c>
      <c r="EN517" s="582">
        <v>400.0</v>
      </c>
      <c r="EO517" s="146">
        <f t="shared" ref="EO517:EQ517" si="2837">EN517</f>
        <v>400</v>
      </c>
      <c r="EP517" s="146">
        <f t="shared" si="2837"/>
        <v>400</v>
      </c>
      <c r="EQ517" s="146">
        <f t="shared" si="2837"/>
        <v>400</v>
      </c>
      <c r="ER517" s="80">
        <f t="shared" si="2825"/>
        <v>1600</v>
      </c>
      <c r="ES517" s="582">
        <v>400.0</v>
      </c>
      <c r="ET517" s="146">
        <f t="shared" ref="ET517:EV517" si="2838">ES517</f>
        <v>400</v>
      </c>
      <c r="EU517" s="146">
        <f t="shared" si="2838"/>
        <v>400</v>
      </c>
      <c r="EV517" s="146">
        <f t="shared" si="2838"/>
        <v>400</v>
      </c>
      <c r="EW517" s="80">
        <f t="shared" si="2826"/>
        <v>1600</v>
      </c>
      <c r="EX517" s="582">
        <v>400.0</v>
      </c>
      <c r="EY517" s="146">
        <f t="shared" ref="EY517:FA517" si="2839">EX517</f>
        <v>400</v>
      </c>
      <c r="EZ517" s="146">
        <f t="shared" si="2839"/>
        <v>400</v>
      </c>
      <c r="FA517" s="146">
        <f t="shared" si="2839"/>
        <v>400</v>
      </c>
      <c r="FB517" s="80">
        <f t="shared" si="2827"/>
        <v>1600</v>
      </c>
      <c r="FC517" s="582">
        <v>400.0</v>
      </c>
      <c r="FD517" s="146">
        <f t="shared" ref="FD517:FF517" si="2840">FC517</f>
        <v>400</v>
      </c>
      <c r="FE517" s="146">
        <f t="shared" si="2840"/>
        <v>400</v>
      </c>
      <c r="FF517" s="146">
        <f t="shared" si="2840"/>
        <v>400</v>
      </c>
      <c r="FG517" s="80">
        <f t="shared" si="2828"/>
        <v>1600</v>
      </c>
      <c r="FH517" s="146"/>
      <c r="FI517" s="112"/>
      <c r="FJ517" s="112"/>
      <c r="FK517" s="112"/>
      <c r="FL517" s="112"/>
    </row>
    <row r="518" ht="12.75" hidden="1" customHeight="1" outlineLevel="1">
      <c r="A518" s="45"/>
      <c r="B518" s="215" t="s">
        <v>176</v>
      </c>
      <c r="C518" s="45"/>
      <c r="D518" s="112"/>
      <c r="E518" s="112"/>
      <c r="F518" s="112"/>
      <c r="G518" s="112"/>
      <c r="H518" s="73"/>
      <c r="I518" s="112"/>
      <c r="J518" s="112"/>
      <c r="K518" s="112"/>
      <c r="L518" s="112"/>
      <c r="M518" s="73"/>
      <c r="N518" s="112"/>
      <c r="O518" s="112"/>
      <c r="P518" s="112"/>
      <c r="Q518" s="112"/>
      <c r="R518" s="73"/>
      <c r="S518" s="112"/>
      <c r="T518" s="112"/>
      <c r="U518" s="112"/>
      <c r="V518" s="112"/>
      <c r="W518" s="73"/>
      <c r="X518" s="112"/>
      <c r="Y518" s="112"/>
      <c r="Z518" s="112"/>
      <c r="AA518" s="112"/>
      <c r="AB518" s="73"/>
      <c r="AC518" s="112"/>
      <c r="AD518" s="112"/>
      <c r="AE518" s="112"/>
      <c r="AF518" s="112"/>
      <c r="AG518" s="73"/>
      <c r="AH518" s="112"/>
      <c r="AI518" s="112"/>
      <c r="AJ518" s="112"/>
      <c r="AK518" s="112"/>
      <c r="AL518" s="73"/>
      <c r="AM518" s="112"/>
      <c r="AN518" s="112"/>
      <c r="AO518" s="112"/>
      <c r="AP518" s="112"/>
      <c r="AQ518" s="73"/>
      <c r="AR518" s="112"/>
      <c r="AS518" s="112"/>
      <c r="AT518" s="112"/>
      <c r="AU518" s="112"/>
      <c r="AV518" s="73"/>
      <c r="AW518" s="112"/>
      <c r="AX518" s="112"/>
      <c r="AY518" s="112"/>
      <c r="AZ518" s="112"/>
      <c r="BA518" s="73"/>
      <c r="BB518" s="112"/>
      <c r="BC518" s="112"/>
      <c r="BD518" s="112"/>
      <c r="BE518" s="112"/>
      <c r="BF518" s="73"/>
      <c r="BG518" s="112"/>
      <c r="BH518" s="112"/>
      <c r="BI518" s="112"/>
      <c r="BJ518" s="112"/>
      <c r="BK518" s="73"/>
      <c r="BL518" s="112"/>
      <c r="BM518" s="112"/>
      <c r="BN518" s="112"/>
      <c r="BO518" s="112"/>
      <c r="BP518" s="73"/>
      <c r="BQ518" s="112"/>
      <c r="BR518" s="112"/>
      <c r="BS518" s="112"/>
      <c r="BT518" s="112"/>
      <c r="BU518" s="73"/>
      <c r="BV518" s="112"/>
      <c r="BW518" s="112"/>
      <c r="BX518" s="112"/>
      <c r="BY518" s="112"/>
      <c r="BZ518" s="18"/>
      <c r="CA518" s="112"/>
      <c r="CB518" s="112"/>
      <c r="CC518" s="112"/>
      <c r="CD518" s="112"/>
      <c r="CE518" s="18">
        <v>1589.0</v>
      </c>
      <c r="CF518" s="112">
        <v>356.0</v>
      </c>
      <c r="CG518" s="112">
        <v>319.0</v>
      </c>
      <c r="CH518" s="112">
        <v>405.0</v>
      </c>
      <c r="CI518" s="112">
        <v>487.0</v>
      </c>
      <c r="CJ518" s="18">
        <f>SUM(CF518:CI518)</f>
        <v>1567</v>
      </c>
      <c r="CK518" s="112">
        <f>853-CL518</f>
        <v>437</v>
      </c>
      <c r="CL518" s="112">
        <v>416.0</v>
      </c>
      <c r="CM518" s="112">
        <v>496.0</v>
      </c>
      <c r="CN518" s="146">
        <f>NANDSales2</f>
        <v>488</v>
      </c>
      <c r="CO518" s="18">
        <f>SUM(CK518:CN518)</f>
        <v>1837</v>
      </c>
      <c r="CP518" s="146">
        <f>NANDSales2</f>
        <v>545</v>
      </c>
      <c r="CQ518" s="112">
        <f>NANDSales2</f>
        <v>500</v>
      </c>
      <c r="CR518" s="112">
        <v>575.0</v>
      </c>
      <c r="CS518" s="112">
        <f>NANDSales2</f>
        <v>616</v>
      </c>
      <c r="CT518" s="18">
        <f>SUM(CP518:CS518)</f>
        <v>2236</v>
      </c>
      <c r="CU518" s="112">
        <f>NANDSales2</f>
        <v>615</v>
      </c>
      <c r="CV518" s="112">
        <f>NANDSales2</f>
        <v>715</v>
      </c>
      <c r="CW518" s="112">
        <f>NANDSales2</f>
        <v>682</v>
      </c>
      <c r="CX518" s="112">
        <f>NANDSales2</f>
        <v>682</v>
      </c>
      <c r="CY518" s="18">
        <f>SUM(CU518:CX518)</f>
        <v>2694</v>
      </c>
      <c r="CZ518" s="112">
        <f>NANDSales2+10</f>
        <v>712.46</v>
      </c>
      <c r="DA518" s="112">
        <f>NANDSales2+10</f>
        <v>691.3862</v>
      </c>
      <c r="DB518" s="112">
        <f>NANDSales2+10</f>
        <v>793.59413</v>
      </c>
      <c r="DC518" s="112">
        <f>NANDSales2+10</f>
        <v>871.953543</v>
      </c>
      <c r="DD518" s="18">
        <f t="shared" si="2817"/>
        <v>3069.393873</v>
      </c>
      <c r="DE518" s="112">
        <f>NANDSales2+10</f>
        <v>742.6605116</v>
      </c>
      <c r="DF518" s="112">
        <f>NANDSales2+10</f>
        <v>735.3339064</v>
      </c>
      <c r="DG518" s="146">
        <f>NANDSales2+10</f>
        <v>844.1339924</v>
      </c>
      <c r="DH518" s="112">
        <f>NANDSales2+10</f>
        <v>927.5473916</v>
      </c>
      <c r="DI518" s="18">
        <f t="shared" si="2818"/>
        <v>3249.675802</v>
      </c>
      <c r="DJ518" s="146">
        <f>NANDSales2+10</f>
        <v>789.9152829</v>
      </c>
      <c r="DK518" s="146">
        <f>NANDSales2+10</f>
        <v>766.5178244</v>
      </c>
      <c r="DL518" s="146">
        <f>NANDSales2+10</f>
        <v>879.9954981</v>
      </c>
      <c r="DM518" s="112">
        <f>NANDSales2+10</f>
        <v>966.9950479</v>
      </c>
      <c r="DN518" s="18">
        <f t="shared" si="2819"/>
        <v>3403.423653</v>
      </c>
      <c r="DO518" s="112">
        <f>NANDSales2+10</f>
        <v>823.4457907</v>
      </c>
      <c r="DP518" s="112">
        <f>NANDSales2+10</f>
        <v>799.042417</v>
      </c>
      <c r="DQ518" s="112">
        <f>NANDSales2+10</f>
        <v>917.3987795</v>
      </c>
      <c r="DR518" s="112">
        <f>NANDSales2+10</f>
        <v>1008.138657</v>
      </c>
      <c r="DS518" s="18">
        <f t="shared" si="2820"/>
        <v>3548.025645</v>
      </c>
      <c r="DT518" s="112">
        <f>NANDSales2+10</f>
        <v>858.4178588</v>
      </c>
      <c r="DU518" s="112">
        <f>NANDSales2+10</f>
        <v>832.9653231</v>
      </c>
      <c r="DV518" s="112">
        <f>NANDSales2+10</f>
        <v>956.4101215</v>
      </c>
      <c r="DW518" s="112">
        <f>NANDSales2+10</f>
        <v>1051.051134</v>
      </c>
      <c r="DX518" s="18">
        <f t="shared" si="2821"/>
        <v>3698.844437</v>
      </c>
      <c r="DY518" s="112">
        <f>NANDSales2+10</f>
        <v>894.8934636</v>
      </c>
      <c r="DZ518" s="112">
        <f>NANDSales2+10</f>
        <v>868.3466597</v>
      </c>
      <c r="EA518" s="112">
        <f>NANDSales2+10</f>
        <v>997.0986587</v>
      </c>
      <c r="EB518" s="112">
        <f>NANDSales2+10</f>
        <v>1095.808525</v>
      </c>
      <c r="EC518" s="18">
        <f t="shared" si="2822"/>
        <v>3856.147307</v>
      </c>
      <c r="ED518" s="112">
        <f>NANDSales2+10</f>
        <v>932.9372459</v>
      </c>
      <c r="EE518" s="112">
        <f>NANDSales2+10</f>
        <v>905.2491285</v>
      </c>
      <c r="EF518" s="112">
        <f>NANDSales2+10</f>
        <v>1039.536498</v>
      </c>
      <c r="EG518" s="112">
        <f>NANDSales2+10</f>
        <v>1142.490148</v>
      </c>
      <c r="EH518" s="18">
        <f t="shared" si="2823"/>
        <v>4020.21302</v>
      </c>
      <c r="EI518" s="110">
        <f>NANDSales2+10</f>
        <v>972.6166254</v>
      </c>
      <c r="EJ518" s="112">
        <f>NANDSales2+10</f>
        <v>943.7381267</v>
      </c>
      <c r="EK518" s="112">
        <f>NANDSales2+10</f>
        <v>1083.798846</v>
      </c>
      <c r="EL518" s="112">
        <f>NANDSales2+10</f>
        <v>1191.17873</v>
      </c>
      <c r="EM518" s="18">
        <f t="shared" si="2824"/>
        <v>4191.332328</v>
      </c>
      <c r="EN518" s="112">
        <f>NANDSales2+10</f>
        <v>1014.001921</v>
      </c>
      <c r="EO518" s="112">
        <f>NANDSales2+10</f>
        <v>983.8818631</v>
      </c>
      <c r="EP518" s="112">
        <f>NANDSales2+10</f>
        <v>1129.964143</v>
      </c>
      <c r="EQ518" s="112">
        <f>NANDSales2+10</f>
        <v>1241.960557</v>
      </c>
      <c r="ER518" s="18">
        <f t="shared" si="2825"/>
        <v>4369.808483</v>
      </c>
      <c r="ES518" s="112">
        <f>NANDSales2+10</f>
        <v>1057.166473</v>
      </c>
      <c r="ET518" s="112">
        <f>NANDSales2+10</f>
        <v>1025.751479</v>
      </c>
      <c r="EU518" s="112">
        <f>NANDSales2+10</f>
        <v>1178.114201</v>
      </c>
      <c r="EV518" s="112">
        <f>NANDSales2+10</f>
        <v>1294.925621</v>
      </c>
      <c r="EW518" s="18">
        <f t="shared" si="2826"/>
        <v>4555.957774</v>
      </c>
      <c r="EX518" s="112">
        <f>NANDSales2+10</f>
        <v>1102.186778</v>
      </c>
      <c r="EY518" s="112">
        <f>NANDSales2+10</f>
        <v>1069.421175</v>
      </c>
      <c r="EZ518" s="112">
        <f>NANDSales2+10</f>
        <v>1228.334351</v>
      </c>
      <c r="FA518" s="112">
        <f>NANDSales2+10</f>
        <v>1350.167786</v>
      </c>
      <c r="FB518" s="18">
        <f t="shared" si="2827"/>
        <v>4750.110089</v>
      </c>
      <c r="FC518" s="112">
        <f>NANDSales2+10</f>
        <v>1149.142618</v>
      </c>
      <c r="FD518" s="112">
        <f>NANDSales2+10</f>
        <v>1114.968339</v>
      </c>
      <c r="FE518" s="112">
        <f>NANDSales2+10</f>
        <v>1280.71359</v>
      </c>
      <c r="FF518" s="112">
        <f>NANDSales2+10</f>
        <v>1407.784949</v>
      </c>
      <c r="FG518" s="18">
        <f t="shared" si="2828"/>
        <v>4952.609497</v>
      </c>
      <c r="FH518" s="74"/>
      <c r="FI518" s="112"/>
      <c r="FJ518" s="112"/>
      <c r="FK518" s="73"/>
      <c r="FL518" s="112"/>
    </row>
    <row r="519" ht="13.5" hidden="1" customHeight="1" outlineLevel="1">
      <c r="A519" s="4"/>
      <c r="B519" s="529" t="s">
        <v>15</v>
      </c>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c r="AH519" s="164"/>
      <c r="AI519" s="164"/>
      <c r="AJ519" s="164"/>
      <c r="AK519" s="164"/>
      <c r="AL519" s="164"/>
      <c r="AM519" s="164"/>
      <c r="AN519" s="164"/>
      <c r="AO519" s="164"/>
      <c r="AP519" s="164"/>
      <c r="AQ519" s="164"/>
      <c r="AR519" s="164"/>
      <c r="AS519" s="164"/>
      <c r="AT519" s="164"/>
      <c r="AU519" s="164"/>
      <c r="AV519" s="164"/>
      <c r="AW519" s="164"/>
      <c r="AX519" s="164"/>
      <c r="AY519" s="164"/>
      <c r="AZ519" s="164"/>
      <c r="BA519" s="164"/>
      <c r="BB519" s="164"/>
      <c r="BC519" s="164"/>
      <c r="BD519" s="164"/>
      <c r="BE519" s="164"/>
      <c r="BF519" s="164"/>
      <c r="BG519" s="164"/>
      <c r="BH519" s="164"/>
      <c r="BI519" s="164"/>
      <c r="BJ519" s="164"/>
      <c r="BK519" s="164"/>
      <c r="BL519" s="164"/>
      <c r="BM519" s="164"/>
      <c r="BN519" s="164"/>
      <c r="BO519" s="164"/>
      <c r="BP519" s="164"/>
      <c r="BQ519" s="164"/>
      <c r="BR519" s="164"/>
      <c r="BS519" s="164"/>
      <c r="BT519" s="164"/>
      <c r="BU519" s="164"/>
      <c r="BV519" s="164"/>
      <c r="BW519" s="164"/>
      <c r="BX519" s="164"/>
      <c r="BY519" s="164"/>
      <c r="BZ519" s="165"/>
      <c r="CA519" s="164"/>
      <c r="CB519" s="164"/>
      <c r="CC519" s="164"/>
      <c r="CD519" s="164"/>
      <c r="CE519" s="165" t="str">
        <f t="shared" ref="CE519:CY519" si="2841">CE512+CE515+CE518</f>
        <v>#NAME?</v>
      </c>
      <c r="CF519" s="164" t="str">
        <f t="shared" si="2841"/>
        <v>#NAME?</v>
      </c>
      <c r="CG519" s="164" t="str">
        <f t="shared" si="2841"/>
        <v>#NAME?</v>
      </c>
      <c r="CH519" s="164" t="str">
        <f t="shared" si="2841"/>
        <v>#NAME?</v>
      </c>
      <c r="CI519" s="164" t="str">
        <f t="shared" si="2841"/>
        <v>#NAME?</v>
      </c>
      <c r="CJ519" s="165" t="str">
        <f t="shared" si="2841"/>
        <v>#NAME?</v>
      </c>
      <c r="CK519" s="164" t="str">
        <f t="shared" si="2841"/>
        <v>#NAME?</v>
      </c>
      <c r="CL519" s="164" t="str">
        <f t="shared" si="2841"/>
        <v>#NAME?</v>
      </c>
      <c r="CM519" s="164" t="str">
        <f t="shared" si="2841"/>
        <v>#NAME?</v>
      </c>
      <c r="CN519" s="583" t="str">
        <f t="shared" si="2841"/>
        <v>#NAME?</v>
      </c>
      <c r="CO519" s="165" t="str">
        <f t="shared" si="2841"/>
        <v>#NAME?</v>
      </c>
      <c r="CP519" s="583" t="str">
        <f t="shared" si="2841"/>
        <v>#NAME?</v>
      </c>
      <c r="CQ519" s="164" t="str">
        <f t="shared" si="2841"/>
        <v>#NAME?</v>
      </c>
      <c r="CR519" s="164" t="str">
        <f t="shared" si="2841"/>
        <v>#NAME?</v>
      </c>
      <c r="CS519" s="164" t="str">
        <f t="shared" si="2841"/>
        <v>#NAME?</v>
      </c>
      <c r="CT519" s="165" t="str">
        <f t="shared" si="2841"/>
        <v>#NAME?</v>
      </c>
      <c r="CU519" s="164" t="str">
        <f t="shared" si="2841"/>
        <v>#NAME?</v>
      </c>
      <c r="CV519" s="164" t="str">
        <f t="shared" si="2841"/>
        <v>#NAME?</v>
      </c>
      <c r="CW519" s="164" t="str">
        <f t="shared" si="2841"/>
        <v>#NAME?</v>
      </c>
      <c r="CX519" s="164" t="str">
        <f t="shared" si="2841"/>
        <v>#NAME?</v>
      </c>
      <c r="CY519" s="165" t="str">
        <f t="shared" si="2841"/>
        <v>#NAME?</v>
      </c>
      <c r="CZ519" s="164" t="str">
        <f t="shared" ref="CZ519:FG519" si="2842">CZ512+CZ515+CZ518+CZ517</f>
        <v>#NAME?</v>
      </c>
      <c r="DA519" s="164" t="str">
        <f t="shared" si="2842"/>
        <v>#NAME?</v>
      </c>
      <c r="DB519" s="164" t="str">
        <f t="shared" si="2842"/>
        <v>#NAME?</v>
      </c>
      <c r="DC519" s="164" t="str">
        <f t="shared" si="2842"/>
        <v>#NAME?</v>
      </c>
      <c r="DD519" s="165" t="str">
        <f t="shared" si="2842"/>
        <v>#NAME?</v>
      </c>
      <c r="DE519" s="164" t="str">
        <f t="shared" si="2842"/>
        <v>#NAME?</v>
      </c>
      <c r="DF519" s="164" t="str">
        <f t="shared" si="2842"/>
        <v>#NAME?</v>
      </c>
      <c r="DG519" s="146" t="str">
        <f t="shared" si="2842"/>
        <v>#NAME?</v>
      </c>
      <c r="DH519" s="164" t="str">
        <f t="shared" si="2842"/>
        <v>#NAME?</v>
      </c>
      <c r="DI519" s="165" t="str">
        <f t="shared" si="2842"/>
        <v>#NAME?</v>
      </c>
      <c r="DJ519" s="583" t="str">
        <f t="shared" si="2842"/>
        <v>#NAME?</v>
      </c>
      <c r="DK519" s="583" t="str">
        <f t="shared" si="2842"/>
        <v>#NAME?</v>
      </c>
      <c r="DL519" s="583" t="str">
        <f t="shared" si="2842"/>
        <v>#NAME?</v>
      </c>
      <c r="DM519" s="164" t="str">
        <f t="shared" si="2842"/>
        <v>#NAME?</v>
      </c>
      <c r="DN519" s="165" t="str">
        <f t="shared" si="2842"/>
        <v>#NAME?</v>
      </c>
      <c r="DO519" s="164" t="str">
        <f t="shared" si="2842"/>
        <v>#NAME?</v>
      </c>
      <c r="DP519" s="164" t="str">
        <f t="shared" si="2842"/>
        <v>#NAME?</v>
      </c>
      <c r="DQ519" s="164" t="str">
        <f t="shared" si="2842"/>
        <v>#NAME?</v>
      </c>
      <c r="DR519" s="164" t="str">
        <f t="shared" si="2842"/>
        <v>#NAME?</v>
      </c>
      <c r="DS519" s="165" t="str">
        <f t="shared" si="2842"/>
        <v>#NAME?</v>
      </c>
      <c r="DT519" s="164" t="str">
        <f t="shared" si="2842"/>
        <v>#NAME?</v>
      </c>
      <c r="DU519" s="164" t="str">
        <f t="shared" si="2842"/>
        <v>#NAME?</v>
      </c>
      <c r="DV519" s="164" t="str">
        <f t="shared" si="2842"/>
        <v>#NAME?</v>
      </c>
      <c r="DW519" s="164" t="str">
        <f t="shared" si="2842"/>
        <v>#NAME?</v>
      </c>
      <c r="DX519" s="165" t="str">
        <f t="shared" si="2842"/>
        <v>#NAME?</v>
      </c>
      <c r="DY519" s="164" t="str">
        <f t="shared" si="2842"/>
        <v>#NAME?</v>
      </c>
      <c r="DZ519" s="164" t="str">
        <f t="shared" si="2842"/>
        <v>#NAME?</v>
      </c>
      <c r="EA519" s="164" t="str">
        <f t="shared" si="2842"/>
        <v>#NAME?</v>
      </c>
      <c r="EB519" s="164" t="str">
        <f t="shared" si="2842"/>
        <v>#NAME?</v>
      </c>
      <c r="EC519" s="165" t="str">
        <f t="shared" si="2842"/>
        <v>#NAME?</v>
      </c>
      <c r="ED519" s="164" t="str">
        <f t="shared" si="2842"/>
        <v>#NAME?</v>
      </c>
      <c r="EE519" s="164" t="str">
        <f t="shared" si="2842"/>
        <v>#NAME?</v>
      </c>
      <c r="EF519" s="164" t="str">
        <f t="shared" si="2842"/>
        <v>#NAME?</v>
      </c>
      <c r="EG519" s="164" t="str">
        <f t="shared" si="2842"/>
        <v>#NAME?</v>
      </c>
      <c r="EH519" s="165" t="str">
        <f t="shared" si="2842"/>
        <v>#NAME?</v>
      </c>
      <c r="EI519" s="584" t="str">
        <f t="shared" si="2842"/>
        <v>#NAME?</v>
      </c>
      <c r="EJ519" s="164" t="str">
        <f t="shared" si="2842"/>
        <v>#NAME?</v>
      </c>
      <c r="EK519" s="164" t="str">
        <f t="shared" si="2842"/>
        <v>#NAME?</v>
      </c>
      <c r="EL519" s="164" t="str">
        <f t="shared" si="2842"/>
        <v>#NAME?</v>
      </c>
      <c r="EM519" s="165" t="str">
        <f t="shared" si="2842"/>
        <v>#NAME?</v>
      </c>
      <c r="EN519" s="164" t="str">
        <f t="shared" si="2842"/>
        <v>#NAME?</v>
      </c>
      <c r="EO519" s="164" t="str">
        <f t="shared" si="2842"/>
        <v>#NAME?</v>
      </c>
      <c r="EP519" s="164" t="str">
        <f t="shared" si="2842"/>
        <v>#NAME?</v>
      </c>
      <c r="EQ519" s="164" t="str">
        <f t="shared" si="2842"/>
        <v>#NAME?</v>
      </c>
      <c r="ER519" s="165" t="str">
        <f t="shared" si="2842"/>
        <v>#NAME?</v>
      </c>
      <c r="ES519" s="164" t="str">
        <f t="shared" si="2842"/>
        <v>#NAME?</v>
      </c>
      <c r="ET519" s="164" t="str">
        <f t="shared" si="2842"/>
        <v>#NAME?</v>
      </c>
      <c r="EU519" s="164" t="str">
        <f t="shared" si="2842"/>
        <v>#NAME?</v>
      </c>
      <c r="EV519" s="164" t="str">
        <f t="shared" si="2842"/>
        <v>#NAME?</v>
      </c>
      <c r="EW519" s="165" t="str">
        <f t="shared" si="2842"/>
        <v>#NAME?</v>
      </c>
      <c r="EX519" s="164" t="str">
        <f t="shared" si="2842"/>
        <v>#NAME?</v>
      </c>
      <c r="EY519" s="164" t="str">
        <f t="shared" si="2842"/>
        <v>#NAME?</v>
      </c>
      <c r="EZ519" s="164" t="str">
        <f t="shared" si="2842"/>
        <v>#NAME?</v>
      </c>
      <c r="FA519" s="164" t="str">
        <f t="shared" si="2842"/>
        <v>#NAME?</v>
      </c>
      <c r="FB519" s="165" t="str">
        <f t="shared" si="2842"/>
        <v>#NAME?</v>
      </c>
      <c r="FC519" s="164" t="str">
        <f t="shared" si="2842"/>
        <v>#NAME?</v>
      </c>
      <c r="FD519" s="164" t="str">
        <f t="shared" si="2842"/>
        <v>#NAME?</v>
      </c>
      <c r="FE519" s="164" t="str">
        <f t="shared" si="2842"/>
        <v>#NAME?</v>
      </c>
      <c r="FF519" s="164" t="str">
        <f t="shared" si="2842"/>
        <v>#NAME?</v>
      </c>
      <c r="FG519" s="165" t="str">
        <f t="shared" si="2842"/>
        <v>#NAME?</v>
      </c>
      <c r="FH519" s="583"/>
      <c r="FI519" s="164"/>
      <c r="FJ519" s="164"/>
      <c r="FK519" s="164"/>
      <c r="FL519" s="164"/>
    </row>
    <row r="520" ht="12.75" hidden="1" customHeight="1" outlineLevel="1">
      <c r="A520" s="4"/>
      <c r="B520" s="45"/>
      <c r="C520" s="45"/>
      <c r="D520" s="4"/>
      <c r="E520" s="4"/>
      <c r="F520" s="4"/>
      <c r="G520" s="4"/>
      <c r="H520" s="45"/>
      <c r="I520" s="4"/>
      <c r="J520" s="4"/>
      <c r="K520" s="4"/>
      <c r="L520" s="4"/>
      <c r="M520" s="45"/>
      <c r="N520" s="4"/>
      <c r="O520" s="4"/>
      <c r="P520" s="4"/>
      <c r="Q520" s="4"/>
      <c r="R520" s="45"/>
      <c r="S520" s="4"/>
      <c r="T520" s="4"/>
      <c r="U520" s="4"/>
      <c r="V520" s="4"/>
      <c r="W520" s="45"/>
      <c r="X520" s="4"/>
      <c r="Y520" s="4"/>
      <c r="Z520" s="4"/>
      <c r="AA520" s="4"/>
      <c r="AB520" s="45"/>
      <c r="AC520" s="4"/>
      <c r="AD520" s="4"/>
      <c r="AE520" s="4"/>
      <c r="AF520" s="4"/>
      <c r="AG520" s="45"/>
      <c r="AH520" s="4"/>
      <c r="AI520" s="4"/>
      <c r="AJ520" s="4"/>
      <c r="AK520" s="4"/>
      <c r="AL520" s="45"/>
      <c r="AM520" s="4"/>
      <c r="AN520" s="4"/>
      <c r="AO520" s="4"/>
      <c r="AP520" s="4"/>
      <c r="AQ520" s="45"/>
      <c r="AR520" s="4"/>
      <c r="AS520" s="4"/>
      <c r="AT520" s="4"/>
      <c r="AU520" s="4"/>
      <c r="AV520" s="45"/>
      <c r="AW520" s="4"/>
      <c r="AX520" s="4"/>
      <c r="AY520" s="4"/>
      <c r="AZ520" s="4"/>
      <c r="BA520" s="45"/>
      <c r="BB520" s="4"/>
      <c r="BC520" s="4"/>
      <c r="BD520" s="4"/>
      <c r="BE520" s="4"/>
      <c r="BF520" s="45"/>
      <c r="BG520" s="4"/>
      <c r="BH520" s="4"/>
      <c r="BI520" s="4"/>
      <c r="BJ520" s="4"/>
      <c r="BK520" s="45"/>
      <c r="BL520" s="4"/>
      <c r="BM520" s="4"/>
      <c r="BN520" s="4"/>
      <c r="BO520" s="4"/>
      <c r="BP520" s="45"/>
      <c r="BQ520" s="4"/>
      <c r="BR520" s="4"/>
      <c r="BS520" s="4"/>
      <c r="BT520" s="4"/>
      <c r="BU520" s="45"/>
      <c r="BV520" s="4"/>
      <c r="BW520" s="4"/>
      <c r="BX520" s="4"/>
      <c r="BY520" s="4"/>
      <c r="BZ520" s="350"/>
      <c r="CA520" s="4"/>
      <c r="CB520" s="4"/>
      <c r="CC520" s="4"/>
      <c r="CD520" s="4"/>
      <c r="CE520" s="350"/>
      <c r="CF520" s="4"/>
      <c r="CG520" s="4"/>
      <c r="CH520" s="4"/>
      <c r="CI520" s="4"/>
      <c r="CJ520" s="350"/>
      <c r="CK520" s="4"/>
      <c r="CL520" s="4"/>
      <c r="CM520" s="4"/>
      <c r="CN520" s="16"/>
      <c r="CO520" s="350"/>
      <c r="CP520" s="16"/>
      <c r="CQ520" s="4"/>
      <c r="CR520" s="4"/>
      <c r="CS520" s="4"/>
      <c r="CT520" s="350"/>
      <c r="CU520" s="4"/>
      <c r="CV520" s="4"/>
      <c r="CW520" s="4"/>
      <c r="CX520" s="4"/>
      <c r="CY520" s="350"/>
      <c r="CZ520" s="4"/>
      <c r="DA520" s="4"/>
      <c r="DB520" s="4"/>
      <c r="DC520" s="4"/>
      <c r="DD520" s="350"/>
      <c r="DE520" s="4"/>
      <c r="DF520" s="4"/>
      <c r="DG520" s="16"/>
      <c r="DH520" s="4"/>
      <c r="DI520" s="350"/>
      <c r="DJ520" s="16"/>
      <c r="DK520" s="16"/>
      <c r="DL520" s="16"/>
      <c r="DM520" s="4"/>
      <c r="DN520" s="350"/>
      <c r="DO520" s="4"/>
      <c r="DP520" s="4"/>
      <c r="DQ520" s="4"/>
      <c r="DR520" s="4"/>
      <c r="DS520" s="350"/>
      <c r="DT520" s="4"/>
      <c r="DU520" s="4"/>
      <c r="DV520" s="4"/>
      <c r="DW520" s="4"/>
      <c r="DX520" s="350"/>
      <c r="DY520" s="4"/>
      <c r="DZ520" s="4"/>
      <c r="EA520" s="4"/>
      <c r="EB520" s="4"/>
      <c r="EC520" s="350"/>
      <c r="ED520" s="4"/>
      <c r="EE520" s="4"/>
      <c r="EF520" s="4"/>
      <c r="EG520" s="4"/>
      <c r="EH520" s="350"/>
      <c r="EI520" s="214"/>
      <c r="EJ520" s="4"/>
      <c r="EK520" s="4"/>
      <c r="EL520" s="4"/>
      <c r="EM520" s="350"/>
      <c r="EN520" s="4"/>
      <c r="EO520" s="4"/>
      <c r="EP520" s="4"/>
      <c r="EQ520" s="4"/>
      <c r="ER520" s="350"/>
      <c r="ES520" s="4"/>
      <c r="ET520" s="4"/>
      <c r="EU520" s="4"/>
      <c r="EV520" s="4"/>
      <c r="EW520" s="350"/>
      <c r="EX520" s="4"/>
      <c r="EY520" s="4"/>
      <c r="EZ520" s="4"/>
      <c r="FA520" s="4"/>
      <c r="FB520" s="350"/>
      <c r="FC520" s="4"/>
      <c r="FD520" s="4"/>
      <c r="FE520" s="4"/>
      <c r="FF520" s="4"/>
      <c r="FG520" s="350"/>
      <c r="FH520" s="145"/>
      <c r="FI520" s="4"/>
      <c r="FJ520" s="4"/>
      <c r="FK520" s="45"/>
      <c r="FL520" s="4"/>
    </row>
    <row r="521" ht="12.75" hidden="1" customHeight="1" outlineLevel="1">
      <c r="A521" s="4"/>
      <c r="B521" s="578" t="s">
        <v>288</v>
      </c>
      <c r="C521" s="299"/>
      <c r="D521" s="585"/>
      <c r="E521" s="586"/>
      <c r="F521" s="586"/>
      <c r="G521" s="586"/>
      <c r="H521" s="585"/>
      <c r="I521" s="585"/>
      <c r="J521" s="586"/>
      <c r="K521" s="586"/>
      <c r="L521" s="586"/>
      <c r="M521" s="585"/>
      <c r="N521" s="585"/>
      <c r="O521" s="586"/>
      <c r="P521" s="586"/>
      <c r="Q521" s="586"/>
      <c r="R521" s="585"/>
      <c r="S521" s="585"/>
      <c r="T521" s="586"/>
      <c r="U521" s="586"/>
      <c r="V521" s="586"/>
      <c r="W521" s="585"/>
      <c r="X521" s="585"/>
      <c r="Y521" s="586"/>
      <c r="Z521" s="586"/>
      <c r="AA521" s="586"/>
      <c r="AB521" s="585"/>
      <c r="AC521" s="585"/>
      <c r="AD521" s="586"/>
      <c r="AE521" s="586"/>
      <c r="AF521" s="586"/>
      <c r="AG521" s="585"/>
      <c r="AH521" s="585"/>
      <c r="AI521" s="586"/>
      <c r="AJ521" s="586"/>
      <c r="AK521" s="586"/>
      <c r="AL521" s="585"/>
      <c r="AM521" s="585"/>
      <c r="AN521" s="586"/>
      <c r="AO521" s="586"/>
      <c r="AP521" s="586"/>
      <c r="AQ521" s="585"/>
      <c r="AR521" s="585"/>
      <c r="AS521" s="586"/>
      <c r="AT521" s="586"/>
      <c r="AU521" s="586"/>
      <c r="AV521" s="585"/>
      <c r="AW521" s="585"/>
      <c r="AX521" s="586"/>
      <c r="AY521" s="586"/>
      <c r="AZ521" s="586"/>
      <c r="BA521" s="585"/>
      <c r="BB521" s="585"/>
      <c r="BC521" s="586"/>
      <c r="BD521" s="586"/>
      <c r="BE521" s="586"/>
      <c r="BF521" s="585"/>
      <c r="BG521" s="585"/>
      <c r="BH521" s="586"/>
      <c r="BI521" s="586"/>
      <c r="BJ521" s="586"/>
      <c r="BK521" s="585"/>
      <c r="BL521" s="585"/>
      <c r="BM521" s="586"/>
      <c r="BN521" s="586"/>
      <c r="BO521" s="586"/>
      <c r="BP521" s="585"/>
      <c r="BQ521" s="585"/>
      <c r="BR521" s="586"/>
      <c r="BS521" s="586"/>
      <c r="BT521" s="586"/>
      <c r="BU521" s="585"/>
      <c r="BV521" s="585"/>
      <c r="BW521" s="586"/>
      <c r="BX521" s="586"/>
      <c r="BY521" s="586"/>
      <c r="BZ521" s="587"/>
      <c r="CA521" s="585"/>
      <c r="CB521" s="586"/>
      <c r="CC521" s="586"/>
      <c r="CD521" s="586"/>
      <c r="CE521" s="587"/>
      <c r="CF521" s="585"/>
      <c r="CG521" s="586"/>
      <c r="CH521" s="586"/>
      <c r="CI521" s="586"/>
      <c r="CJ521" s="587"/>
      <c r="CK521" s="585"/>
      <c r="CL521" s="586"/>
      <c r="CM521" s="586"/>
      <c r="CN521" s="588"/>
      <c r="CO521" s="587"/>
      <c r="CP521" s="588"/>
      <c r="CQ521" s="586"/>
      <c r="CR521" s="586"/>
      <c r="CS521" s="586"/>
      <c r="CT521" s="587"/>
      <c r="CU521" s="585"/>
      <c r="CV521" s="586"/>
      <c r="CW521" s="586"/>
      <c r="CX521" s="586"/>
      <c r="CY521" s="587"/>
      <c r="CZ521" s="585"/>
      <c r="DA521" s="586"/>
      <c r="DB521" s="586"/>
      <c r="DC521" s="586"/>
      <c r="DD521" s="587"/>
      <c r="DE521" s="585"/>
      <c r="DF521" s="586"/>
      <c r="DG521" s="474"/>
      <c r="DH521" s="586"/>
      <c r="DI521" s="587"/>
      <c r="DJ521" s="589"/>
      <c r="DK521" s="588"/>
      <c r="DL521" s="588"/>
      <c r="DM521" s="586"/>
      <c r="DN521" s="587"/>
      <c r="DO521" s="585"/>
      <c r="DP521" s="586"/>
      <c r="DQ521" s="586"/>
      <c r="DR521" s="586"/>
      <c r="DS521" s="587"/>
      <c r="DT521" s="585"/>
      <c r="DU521" s="585"/>
      <c r="DV521" s="585"/>
      <c r="DW521" s="585"/>
      <c r="DX521" s="587"/>
      <c r="DY521" s="585"/>
      <c r="DZ521" s="585"/>
      <c r="EA521" s="585"/>
      <c r="EB521" s="585"/>
      <c r="EC521" s="587"/>
      <c r="ED521" s="585"/>
      <c r="EE521" s="585"/>
      <c r="EF521" s="585"/>
      <c r="EG521" s="585"/>
      <c r="EH521" s="587"/>
      <c r="EI521" s="590"/>
      <c r="EJ521" s="586"/>
      <c r="EK521" s="586"/>
      <c r="EL521" s="586"/>
      <c r="EM521" s="587"/>
      <c r="EN521" s="585"/>
      <c r="EO521" s="586"/>
      <c r="EP521" s="586"/>
      <c r="EQ521" s="586"/>
      <c r="ER521" s="587"/>
      <c r="ES521" s="585"/>
      <c r="ET521" s="586"/>
      <c r="EU521" s="586"/>
      <c r="EV521" s="586"/>
      <c r="EW521" s="587"/>
      <c r="EX521" s="585"/>
      <c r="EY521" s="586"/>
      <c r="EZ521" s="586"/>
      <c r="FA521" s="586"/>
      <c r="FB521" s="587"/>
      <c r="FC521" s="585"/>
      <c r="FD521" s="586"/>
      <c r="FE521" s="586"/>
      <c r="FF521" s="586"/>
      <c r="FG521" s="587"/>
      <c r="FH521" s="589"/>
      <c r="FI521" s="586"/>
      <c r="FJ521" s="586"/>
      <c r="FK521" s="585"/>
      <c r="FL521" s="585"/>
    </row>
    <row r="522" ht="12.75" hidden="1" customHeight="1" outlineLevel="1">
      <c r="A522" s="4"/>
      <c r="B522" s="72" t="str">
        <f>B273</f>
        <v>Microprocessor Revenue</v>
      </c>
      <c r="C522" s="4"/>
      <c r="D522" s="15"/>
      <c r="E522" s="15"/>
      <c r="F522" s="15"/>
      <c r="G522" s="15"/>
      <c r="H522" s="410"/>
      <c r="I522" s="15"/>
      <c r="J522" s="15"/>
      <c r="K522" s="15"/>
      <c r="L522" s="15"/>
      <c r="M522" s="410"/>
      <c r="N522" s="15"/>
      <c r="O522" s="15"/>
      <c r="P522" s="15"/>
      <c r="Q522" s="15"/>
      <c r="R522" s="410"/>
      <c r="S522" s="15"/>
      <c r="T522" s="15"/>
      <c r="U522" s="15"/>
      <c r="V522" s="15"/>
      <c r="W522" s="410"/>
      <c r="X522" s="15"/>
      <c r="Y522" s="15"/>
      <c r="Z522" s="15"/>
      <c r="AA522" s="15"/>
      <c r="AB522" s="410"/>
      <c r="AC522" s="15"/>
      <c r="AD522" s="15"/>
      <c r="AE522" s="15"/>
      <c r="AF522" s="15"/>
      <c r="AG522" s="410"/>
      <c r="AH522" s="15"/>
      <c r="AI522" s="15"/>
      <c r="AJ522" s="15"/>
      <c r="AK522" s="15"/>
      <c r="AL522" s="410"/>
      <c r="AM522" s="15"/>
      <c r="AN522" s="15"/>
      <c r="AO522" s="15"/>
      <c r="AP522" s="15"/>
      <c r="AQ522" s="410"/>
      <c r="AR522" s="15"/>
      <c r="AS522" s="15"/>
      <c r="AT522" s="15"/>
      <c r="AU522" s="15"/>
      <c r="AV522" s="410"/>
      <c r="AW522" s="15"/>
      <c r="AX522" s="15"/>
      <c r="AY522" s="15"/>
      <c r="AZ522" s="15"/>
      <c r="BA522" s="410"/>
      <c r="BB522" s="15"/>
      <c r="BC522" s="15"/>
      <c r="BD522" s="15"/>
      <c r="BE522" s="15"/>
      <c r="BF522" s="410"/>
      <c r="BG522" s="15"/>
      <c r="BH522" s="15"/>
      <c r="BI522" s="15"/>
      <c r="BJ522" s="15"/>
      <c r="BK522" s="410"/>
      <c r="BL522" s="15"/>
      <c r="BM522" s="15"/>
      <c r="BN522" s="15"/>
      <c r="BO522" s="15"/>
      <c r="BP522" s="410"/>
      <c r="BQ522" s="15"/>
      <c r="BR522" s="15"/>
      <c r="BS522" s="15"/>
      <c r="BT522" s="15"/>
      <c r="BU522" s="410"/>
      <c r="BV522" s="15"/>
      <c r="BW522" s="15"/>
      <c r="BX522" s="15"/>
      <c r="BY522" s="15"/>
      <c r="BZ522" s="24"/>
      <c r="CA522" s="15"/>
      <c r="CB522" s="15"/>
      <c r="CC522" s="15"/>
      <c r="CD522" s="15"/>
      <c r="CE522" s="24" t="str">
        <f>PCClientMPUSales/Sales</f>
        <v>#REF!</v>
      </c>
      <c r="CF522" s="15" t="str">
        <f>PCClientMPUSales/Sales</f>
        <v>#REF!</v>
      </c>
      <c r="CG522" s="15" t="str">
        <f>PCClientMPUSales/Sales</f>
        <v>#REF!</v>
      </c>
      <c r="CH522" s="15" t="str">
        <f>PCClientMPUSales/Sales</f>
        <v>#REF!</v>
      </c>
      <c r="CI522" s="15" t="str">
        <f>PCClientMPUSales/Sales</f>
        <v>#REF!</v>
      </c>
      <c r="CJ522" s="24" t="str">
        <f>PCClientMPUSales/Sales</f>
        <v>#REF!</v>
      </c>
      <c r="CK522" s="15" t="str">
        <f>PCClientMPUSales/Sales</f>
        <v>#REF!</v>
      </c>
      <c r="CL522" s="15" t="str">
        <f>PCClientMPUSales/Sales</f>
        <v>#REF!</v>
      </c>
      <c r="CM522" s="15" t="str">
        <f>PCClientMPUSales/Sales</f>
        <v>#REF!</v>
      </c>
      <c r="CN522" s="40" t="str">
        <f>PCClientMPUSales/Sales</f>
        <v>#REF!</v>
      </c>
      <c r="CO522" s="24" t="str">
        <f>PCClientMPUSales/Sales</f>
        <v>#REF!</v>
      </c>
      <c r="CP522" s="40" t="str">
        <f>PCClientMPUSales/Sales</f>
        <v>#ERROR!</v>
      </c>
      <c r="CQ522" s="15" t="str">
        <f>PCClientMPUSales/Sales</f>
        <v>#ERROR!</v>
      </c>
      <c r="CR522" s="15" t="str">
        <f>PCClientMPUSales/Sales</f>
        <v>#ERROR!</v>
      </c>
      <c r="CS522" s="15" t="str">
        <f>PCClientMPUSales/Sales</f>
        <v>#ERROR!</v>
      </c>
      <c r="CT522" s="24" t="str">
        <f>PCClientMPUSales/Sales</f>
        <v>#ERROR!</v>
      </c>
      <c r="CU522" s="15" t="str">
        <f>PCClientMPUSales/Sales</f>
        <v>#ERROR!</v>
      </c>
      <c r="CV522" s="15" t="str">
        <f>PCClientMPUSales/Sales</f>
        <v>#ERROR!</v>
      </c>
      <c r="CW522" s="15" t="str">
        <f>PCClientMPUSales/Sales</f>
        <v>#ERROR!</v>
      </c>
      <c r="CX522" s="15" t="str">
        <f>PCClientMPUSales/Sales</f>
        <v>#ERROR!</v>
      </c>
      <c r="CY522" s="24" t="str">
        <f>PCClientMPUSales/Sales</f>
        <v>#ERROR!</v>
      </c>
      <c r="CZ522" s="15" t="str">
        <f>PCClientMPUSales/Sales</f>
        <v>#ERROR!</v>
      </c>
      <c r="DA522" s="15" t="str">
        <f>PCClientMPUSales/Sales</f>
        <v>#ERROR!</v>
      </c>
      <c r="DB522" s="15" t="str">
        <f>PCClientMPUSales/Sales</f>
        <v>#ERROR!</v>
      </c>
      <c r="DC522" s="15" t="str">
        <f>PCClientMPUSales/Sales</f>
        <v>#ERROR!</v>
      </c>
      <c r="DD522" s="24" t="str">
        <f>PCClientMPUSales/Sales</f>
        <v>#ERROR!</v>
      </c>
      <c r="DE522" s="15" t="str">
        <f>PCClientMPUSales/Sales</f>
        <v>#ERROR!</v>
      </c>
      <c r="DF522" s="15" t="str">
        <f>PCClientMPUSales/Sales</f>
        <v>#ERROR!</v>
      </c>
      <c r="DG522" s="40" t="str">
        <f>PCClientMPUSales/Sales</f>
        <v>#ERROR!</v>
      </c>
      <c r="DH522" s="15" t="str">
        <f>PCClientMPUSales/Sales</f>
        <v>#ERROR!</v>
      </c>
      <c r="DI522" s="24" t="str">
        <f>PCClientMPUSales/Sales</f>
        <v>#ERROR!</v>
      </c>
      <c r="DJ522" s="40" t="str">
        <f>PCClientMPUSales/Sales</f>
        <v>#ERROR!</v>
      </c>
      <c r="DK522" s="40" t="str">
        <f>PCClientMPUSales/Sales</f>
        <v>#ERROR!</v>
      </c>
      <c r="DL522" s="40" t="str">
        <f>PCClientMPUSales/Sales</f>
        <v>#ERROR!</v>
      </c>
      <c r="DM522" s="15" t="str">
        <f>PCClientMPUSales/Sales</f>
        <v>#ERROR!</v>
      </c>
      <c r="DN522" s="24" t="str">
        <f>PCClientMPUSales/Sales</f>
        <v>#ERROR!</v>
      </c>
      <c r="DO522" s="15" t="str">
        <f>PCClientMPUSales/Sales</f>
        <v>#ERROR!</v>
      </c>
      <c r="DP522" s="15" t="str">
        <f>PCClientMPUSales/Sales</f>
        <v>#ERROR!</v>
      </c>
      <c r="DQ522" s="15" t="str">
        <f>PCClientMPUSales/Sales</f>
        <v>#ERROR!</v>
      </c>
      <c r="DR522" s="15" t="str">
        <f>PCClientMPUSales/Sales</f>
        <v>#ERROR!</v>
      </c>
      <c r="DS522" s="24" t="str">
        <f>PCClientMPUSales/Sales</f>
        <v>#ERROR!</v>
      </c>
      <c r="DT522" s="15" t="str">
        <f>PCClientMPUSales/Sales</f>
        <v>#ERROR!</v>
      </c>
      <c r="DU522" s="15" t="str">
        <f>PCClientMPUSales/Sales</f>
        <v>#ERROR!</v>
      </c>
      <c r="DV522" s="15" t="str">
        <f>PCClientMPUSales/Sales</f>
        <v>#ERROR!</v>
      </c>
      <c r="DW522" s="15" t="str">
        <f>PCClientMPUSales/Sales</f>
        <v>#ERROR!</v>
      </c>
      <c r="DX522" s="24" t="str">
        <f>PCClientMPUSales/Sales</f>
        <v>#ERROR!</v>
      </c>
      <c r="DY522" s="15" t="str">
        <f>PCClientMPUSales/Sales</f>
        <v>#ERROR!</v>
      </c>
      <c r="DZ522" s="15" t="str">
        <f>PCClientMPUSales/Sales</f>
        <v>#ERROR!</v>
      </c>
      <c r="EA522" s="15" t="str">
        <f>PCClientMPUSales/Sales</f>
        <v>#ERROR!</v>
      </c>
      <c r="EB522" s="15" t="str">
        <f>PCClientMPUSales/Sales</f>
        <v>#ERROR!</v>
      </c>
      <c r="EC522" s="24">
        <f>PCClientMPUSales/Sales</f>
        <v>0.3368409071</v>
      </c>
      <c r="ED522" s="15" t="str">
        <f>PCClientMPUSales/Sales</f>
        <v>#ERROR!</v>
      </c>
      <c r="EE522" s="15" t="str">
        <f>PCClientMPUSales/Sales</f>
        <v>#ERROR!</v>
      </c>
      <c r="EF522" s="15" t="str">
        <f>PCClientMPUSales/Sales</f>
        <v>#ERROR!</v>
      </c>
      <c r="EG522" s="15" t="str">
        <f>PCClientMPUSales/Sales</f>
        <v>#ERROR!</v>
      </c>
      <c r="EH522" s="24">
        <f>PCClientMPUSales/Sales</f>
        <v>0</v>
      </c>
      <c r="EI522" s="82" t="str">
        <f>PCClientMPUSales/Sales</f>
        <v>#ERROR!</v>
      </c>
      <c r="EJ522" s="15" t="str">
        <f>PCClientMPUSales/Sales</f>
        <v>#ERROR!</v>
      </c>
      <c r="EK522" s="15" t="str">
        <f>PCClientMPUSales/Sales</f>
        <v>#ERROR!</v>
      </c>
      <c r="EL522" s="15" t="str">
        <f>PCClientMPUSales/Sales</f>
        <v>#ERROR!</v>
      </c>
      <c r="EM522" s="24" t="str">
        <f>PCClientMPUSales/Sales</f>
        <v>#ERROR!</v>
      </c>
      <c r="EN522" s="15" t="str">
        <f>PCClientMPUSales/Sales</f>
        <v>#ERROR!</v>
      </c>
      <c r="EO522" s="15" t="str">
        <f>PCClientMPUSales/Sales</f>
        <v>#ERROR!</v>
      </c>
      <c r="EP522" s="15" t="str">
        <f>PCClientMPUSales/Sales</f>
        <v>#ERROR!</v>
      </c>
      <c r="EQ522" s="15" t="str">
        <f>PCClientMPUSales/Sales</f>
        <v>#ERROR!</v>
      </c>
      <c r="ER522" s="24" t="str">
        <f>PCClientMPUSales/Sales</f>
        <v>#ERROR!</v>
      </c>
      <c r="ES522" s="15" t="str">
        <f>PCClientMPUSales/Sales</f>
        <v>#ERROR!</v>
      </c>
      <c r="ET522" s="15" t="str">
        <f>PCClientMPUSales/Sales</f>
        <v>#ERROR!</v>
      </c>
      <c r="EU522" s="15" t="str">
        <f>PCClientMPUSales/Sales</f>
        <v>#ERROR!</v>
      </c>
      <c r="EV522" s="15" t="str">
        <f>PCClientMPUSales/Sales</f>
        <v>#ERROR!</v>
      </c>
      <c r="EW522" s="24" t="str">
        <f>PCClientMPUSales/Sales</f>
        <v>#ERROR!</v>
      </c>
      <c r="EX522" s="15" t="str">
        <f>PCClientMPUSales/Sales</f>
        <v>#ERROR!</v>
      </c>
      <c r="EY522" s="15" t="str">
        <f>PCClientMPUSales/Sales</f>
        <v>#ERROR!</v>
      </c>
      <c r="EZ522" s="15" t="str">
        <f>PCClientMPUSales/Sales</f>
        <v>#ERROR!</v>
      </c>
      <c r="FA522" s="15" t="str">
        <f>PCClientMPUSales/Sales</f>
        <v>#ERROR!</v>
      </c>
      <c r="FB522" s="24" t="str">
        <f>PCClientMPUSales/Sales</f>
        <v>#ERROR!</v>
      </c>
      <c r="FC522" s="15" t="str">
        <f>PCClientMPUSales/Sales</f>
        <v>#ERROR!</v>
      </c>
      <c r="FD522" s="15" t="str">
        <f>PCClientMPUSales/Sales</f>
        <v>#ERROR!</v>
      </c>
      <c r="FE522" s="15" t="str">
        <f>PCClientMPUSales/Sales</f>
        <v>#ERROR!</v>
      </c>
      <c r="FF522" s="15" t="str">
        <f>PCClientMPUSales/Sales</f>
        <v>#ERROR!</v>
      </c>
      <c r="FG522" s="24" t="str">
        <f>PCClientMPUSales/Sales</f>
        <v>#ERROR!</v>
      </c>
      <c r="FH522" s="104"/>
      <c r="FI522" s="15"/>
      <c r="FJ522" s="15"/>
      <c r="FK522" s="410"/>
      <c r="FL522" s="15"/>
    </row>
    <row r="523" ht="12.75" hidden="1" customHeight="1" outlineLevel="1">
      <c r="A523" s="4"/>
      <c r="B523" s="72" t="str">
        <f>B504</f>
        <v>Chipsets, MBs and other</v>
      </c>
      <c r="C523" s="4"/>
      <c r="D523" s="15"/>
      <c r="E523" s="15"/>
      <c r="F523" s="15"/>
      <c r="G523" s="15"/>
      <c r="H523" s="410"/>
      <c r="I523" s="15"/>
      <c r="J523" s="15"/>
      <c r="K523" s="15"/>
      <c r="L523" s="15"/>
      <c r="M523" s="410"/>
      <c r="N523" s="15"/>
      <c r="O523" s="15"/>
      <c r="P523" s="15"/>
      <c r="Q523" s="15"/>
      <c r="R523" s="410"/>
      <c r="S523" s="15"/>
      <c r="T523" s="15"/>
      <c r="U523" s="15"/>
      <c r="V523" s="15"/>
      <c r="W523" s="410"/>
      <c r="X523" s="15"/>
      <c r="Y523" s="15"/>
      <c r="Z523" s="15"/>
      <c r="AA523" s="15"/>
      <c r="AB523" s="410"/>
      <c r="AC523" s="15"/>
      <c r="AD523" s="15"/>
      <c r="AE523" s="15"/>
      <c r="AF523" s="15"/>
      <c r="AG523" s="410"/>
      <c r="AH523" s="15"/>
      <c r="AI523" s="15"/>
      <c r="AJ523" s="15"/>
      <c r="AK523" s="15"/>
      <c r="AL523" s="410"/>
      <c r="AM523" s="15"/>
      <c r="AN523" s="15"/>
      <c r="AO523" s="15"/>
      <c r="AP523" s="15"/>
      <c r="AQ523" s="410"/>
      <c r="AR523" s="15"/>
      <c r="AS523" s="15"/>
      <c r="AT523" s="15"/>
      <c r="AU523" s="15"/>
      <c r="AV523" s="410"/>
      <c r="AW523" s="15"/>
      <c r="AX523" s="15"/>
      <c r="AY523" s="15"/>
      <c r="AZ523" s="15"/>
      <c r="BA523" s="410"/>
      <c r="BB523" s="15"/>
      <c r="BC523" s="15"/>
      <c r="BD523" s="15"/>
      <c r="BE523" s="15"/>
      <c r="BF523" s="410"/>
      <c r="BG523" s="15"/>
      <c r="BH523" s="15"/>
      <c r="BI523" s="15"/>
      <c r="BJ523" s="15"/>
      <c r="BK523" s="410"/>
      <c r="BL523" s="15"/>
      <c r="BM523" s="15"/>
      <c r="BN523" s="15"/>
      <c r="BO523" s="15"/>
      <c r="BP523" s="410"/>
      <c r="BQ523" s="15"/>
      <c r="BR523" s="15"/>
      <c r="BS523" s="15"/>
      <c r="BT523" s="15"/>
      <c r="BU523" s="410"/>
      <c r="BV523" s="15"/>
      <c r="BW523" s="15"/>
      <c r="BX523" s="15"/>
      <c r="BY523" s="15"/>
      <c r="BZ523" s="24"/>
      <c r="CA523" s="15"/>
      <c r="CB523" s="15"/>
      <c r="CC523" s="15"/>
      <c r="CD523" s="15"/>
      <c r="CE523" s="24">
        <f>PCClientOtherSales/Sales</f>
        <v>0.1341907258</v>
      </c>
      <c r="CF523" s="15" t="str">
        <f>PCClientOtherSales/Sales</f>
        <v>#REF!</v>
      </c>
      <c r="CG523" s="15" t="str">
        <f>PCClientOtherSales/Sales</f>
        <v>#REF!</v>
      </c>
      <c r="CH523" s="15" t="str">
        <f>PCClientOtherSales/Sales</f>
        <v>#REF!</v>
      </c>
      <c r="CI523" s="15" t="str">
        <f>PCClientOtherSales/Sales</f>
        <v>#REF!</v>
      </c>
      <c r="CJ523" s="24" t="str">
        <f>PCClientOtherSales/Sales</f>
        <v>#REF!</v>
      </c>
      <c r="CK523" s="15" t="str">
        <f>PCClientOtherSales/Sales</f>
        <v>#REF!</v>
      </c>
      <c r="CL523" s="15" t="str">
        <f>PCClientOtherSales/Sales</f>
        <v>#REF!</v>
      </c>
      <c r="CM523" s="15" t="str">
        <f>PCClientOtherSales/Sales</f>
        <v>#REF!</v>
      </c>
      <c r="CN523" s="40" t="str">
        <f>PCClientOtherSales/Sales</f>
        <v>#REF!</v>
      </c>
      <c r="CO523" s="24" t="str">
        <f>PCClientOtherSales/Sales</f>
        <v>#REF!</v>
      </c>
      <c r="CP523" s="40" t="str">
        <f>PCClientOtherSales/Sales</f>
        <v>#REF!</v>
      </c>
      <c r="CQ523" s="15" t="str">
        <f>PCClientOtherSales/Sales</f>
        <v>#REF!</v>
      </c>
      <c r="CR523" s="15" t="str">
        <f>PCClientOtherSales/Sales</f>
        <v>#REF!</v>
      </c>
      <c r="CS523" s="15" t="str">
        <f>PCClientOtherSales/Sales</f>
        <v>#REF!</v>
      </c>
      <c r="CT523" s="24" t="str">
        <f>PCClientOtherSales/Sales</f>
        <v>#REF!</v>
      </c>
      <c r="CU523" s="15" t="str">
        <f>PCClientOtherSales/Sales</f>
        <v>#REF!</v>
      </c>
      <c r="CV523" s="15" t="str">
        <f>PCClientOtherSales/Sales</f>
        <v>#REF!</v>
      </c>
      <c r="CW523" s="15" t="str">
        <f>PCClientOtherSales/Sales</f>
        <v>#REF!</v>
      </c>
      <c r="CX523" s="15" t="str">
        <f>PCClientOtherSales/Sales</f>
        <v>#REF!</v>
      </c>
      <c r="CY523" s="24" t="str">
        <f>PCClientOtherSales/Sales</f>
        <v>#REF!</v>
      </c>
      <c r="CZ523" s="15">
        <f>PCClientOtherSales/Sales</f>
        <v>0.03840301427</v>
      </c>
      <c r="DA523" s="15" t="str">
        <f>PCClientOtherSales/Sales</f>
        <v>#ERROR!</v>
      </c>
      <c r="DB523" s="15" t="str">
        <f>PCClientOtherSales/Sales</f>
        <v>#ERROR!</v>
      </c>
      <c r="DC523" s="15" t="str">
        <f>PCClientOtherSales/Sales</f>
        <v>#ERROR!</v>
      </c>
      <c r="DD523" s="24" t="str">
        <f>PCClientOtherSales/Sales</f>
        <v>#ERROR!</v>
      </c>
      <c r="DE523" s="15" t="str">
        <f>PCClientOtherSales/Sales</f>
        <v>#ERROR!</v>
      </c>
      <c r="DF523" s="15" t="str">
        <f>PCClientOtherSales/Sales</f>
        <v>#ERROR!</v>
      </c>
      <c r="DG523" s="40" t="str">
        <f>PCClientOtherSales/Sales</f>
        <v>#ERROR!</v>
      </c>
      <c r="DH523" s="15" t="str">
        <f>PCClientOtherSales/Sales</f>
        <v>#ERROR!</v>
      </c>
      <c r="DI523" s="24" t="str">
        <f>PCClientOtherSales/Sales</f>
        <v>#ERROR!</v>
      </c>
      <c r="DJ523" s="40" t="str">
        <f>PCClientOtherSales/Sales</f>
        <v>#ERROR!</v>
      </c>
      <c r="DK523" s="40" t="str">
        <f>PCClientOtherSales/Sales</f>
        <v>#ERROR!</v>
      </c>
      <c r="DL523" s="40" t="str">
        <f>PCClientOtherSales/Sales</f>
        <v>#ERROR!</v>
      </c>
      <c r="DM523" s="15" t="str">
        <f>PCClientOtherSales/Sales</f>
        <v>#ERROR!</v>
      </c>
      <c r="DN523" s="24" t="str">
        <f>PCClientOtherSales/Sales</f>
        <v>#ERROR!</v>
      </c>
      <c r="DO523" s="15" t="str">
        <f>PCClientOtherSales/Sales</f>
        <v>#ERROR!</v>
      </c>
      <c r="DP523" s="15" t="str">
        <f>PCClientOtherSales/Sales</f>
        <v>#ERROR!</v>
      </c>
      <c r="DQ523" s="15" t="str">
        <f>PCClientOtherSales/Sales</f>
        <v>#ERROR!</v>
      </c>
      <c r="DR523" s="15" t="str">
        <f>PCClientOtherSales/Sales</f>
        <v>#ERROR!</v>
      </c>
      <c r="DS523" s="24" t="str">
        <f>PCClientOtherSales/Sales</f>
        <v>#ERROR!</v>
      </c>
      <c r="DT523" s="15" t="str">
        <f>PCClientOtherSales/Sales</f>
        <v>#ERROR!</v>
      </c>
      <c r="DU523" s="15" t="str">
        <f>PCClientOtherSales/Sales</f>
        <v>#ERROR!</v>
      </c>
      <c r="DV523" s="15" t="str">
        <f>PCClientOtherSales/Sales</f>
        <v>#ERROR!</v>
      </c>
      <c r="DW523" s="15" t="str">
        <f>PCClientOtherSales/Sales</f>
        <v>#ERROR!</v>
      </c>
      <c r="DX523" s="24" t="str">
        <f>PCClientOtherSales/Sales</f>
        <v>#ERROR!</v>
      </c>
      <c r="DY523" s="15" t="str">
        <f>PCClientOtherSales/Sales</f>
        <v>#ERROR!</v>
      </c>
      <c r="DZ523" s="15" t="str">
        <f>PCClientOtherSales/Sales</f>
        <v>#ERROR!</v>
      </c>
      <c r="EA523" s="15" t="str">
        <f>PCClientOtherSales/Sales</f>
        <v>#ERROR!</v>
      </c>
      <c r="EB523" s="15" t="str">
        <f>PCClientOtherSales/Sales</f>
        <v>#ERROR!</v>
      </c>
      <c r="EC523" s="24" t="str">
        <f>PCClientOtherSales/Sales</f>
        <v>#ERROR!</v>
      </c>
      <c r="ED523" s="15" t="str">
        <f>PCClientOtherSales/Sales</f>
        <v>#ERROR!</v>
      </c>
      <c r="EE523" s="15" t="str">
        <f>PCClientOtherSales/Sales</f>
        <v>#ERROR!</v>
      </c>
      <c r="EF523" s="15" t="str">
        <f>PCClientOtherSales/Sales</f>
        <v>#ERROR!</v>
      </c>
      <c r="EG523" s="15" t="str">
        <f>PCClientOtherSales/Sales</f>
        <v>#ERROR!</v>
      </c>
      <c r="EH523" s="24" t="str">
        <f>PCClientOtherSales/Sales</f>
        <v>#ERROR!</v>
      </c>
      <c r="EI523" s="82" t="str">
        <f>PCClientOtherSales/Sales</f>
        <v>#ERROR!</v>
      </c>
      <c r="EJ523" s="15" t="str">
        <f>PCClientOtherSales/Sales</f>
        <v>#ERROR!</v>
      </c>
      <c r="EK523" s="15" t="str">
        <f>PCClientOtherSales/Sales</f>
        <v>#ERROR!</v>
      </c>
      <c r="EL523" s="15" t="str">
        <f>PCClientOtherSales/Sales</f>
        <v>#ERROR!</v>
      </c>
      <c r="EM523" s="24" t="str">
        <f>PCClientOtherSales/Sales</f>
        <v>#ERROR!</v>
      </c>
      <c r="EN523" s="15" t="str">
        <f>PCClientOtherSales/Sales</f>
        <v>#ERROR!</v>
      </c>
      <c r="EO523" s="15" t="str">
        <f>PCClientOtherSales/Sales</f>
        <v>#ERROR!</v>
      </c>
      <c r="EP523" s="15" t="str">
        <f>PCClientOtherSales/Sales</f>
        <v>#ERROR!</v>
      </c>
      <c r="EQ523" s="15" t="str">
        <f>PCClientOtherSales/Sales</f>
        <v>#ERROR!</v>
      </c>
      <c r="ER523" s="24" t="str">
        <f>PCClientOtherSales/Sales</f>
        <v>#ERROR!</v>
      </c>
      <c r="ES523" s="15" t="str">
        <f>PCClientOtherSales/Sales</f>
        <v>#ERROR!</v>
      </c>
      <c r="ET523" s="15" t="str">
        <f>PCClientOtherSales/Sales</f>
        <v>#ERROR!</v>
      </c>
      <c r="EU523" s="15" t="str">
        <f>PCClientOtherSales/Sales</f>
        <v>#ERROR!</v>
      </c>
      <c r="EV523" s="15" t="str">
        <f>PCClientOtherSales/Sales</f>
        <v>#ERROR!</v>
      </c>
      <c r="EW523" s="24" t="str">
        <f>PCClientOtherSales/Sales</f>
        <v>#ERROR!</v>
      </c>
      <c r="EX523" s="15" t="str">
        <f>PCClientOtherSales/Sales</f>
        <v>#ERROR!</v>
      </c>
      <c r="EY523" s="15" t="str">
        <f>PCClientOtherSales/Sales</f>
        <v>#ERROR!</v>
      </c>
      <c r="EZ523" s="15" t="str">
        <f>PCClientOtherSales/Sales</f>
        <v>#ERROR!</v>
      </c>
      <c r="FA523" s="15" t="str">
        <f>PCClientOtherSales/Sales</f>
        <v>#ERROR!</v>
      </c>
      <c r="FB523" s="24" t="str">
        <f>PCClientOtherSales/Sales</f>
        <v>#ERROR!</v>
      </c>
      <c r="FC523" s="15" t="str">
        <f>PCClientOtherSales/Sales</f>
        <v>#ERROR!</v>
      </c>
      <c r="FD523" s="15" t="str">
        <f>PCClientOtherSales/Sales</f>
        <v>#ERROR!</v>
      </c>
      <c r="FE523" s="15" t="str">
        <f>PCClientOtherSales/Sales</f>
        <v>#ERROR!</v>
      </c>
      <c r="FF523" s="15" t="str">
        <f>PCClientOtherSales/Sales</f>
        <v>#ERROR!</v>
      </c>
      <c r="FG523" s="24" t="str">
        <f>PCClientOtherSales/Sales</f>
        <v>#ERROR!</v>
      </c>
      <c r="FH523" s="104"/>
      <c r="FI523" s="15"/>
      <c r="FJ523" s="15"/>
      <c r="FK523" s="410"/>
      <c r="FL523" s="15"/>
    </row>
    <row r="524" ht="12.75" hidden="1" customHeight="1" outlineLevel="1">
      <c r="A524" s="45"/>
      <c r="B524" s="215" t="str">
        <f>B500</f>
        <v>Client Computing Group</v>
      </c>
      <c r="C524" s="45"/>
      <c r="D524" s="410"/>
      <c r="E524" s="410"/>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410"/>
      <c r="AK524" s="410"/>
      <c r="AL524" s="410"/>
      <c r="AM524" s="410"/>
      <c r="AN524" s="410"/>
      <c r="AO524" s="410"/>
      <c r="AP524" s="410"/>
      <c r="AQ524" s="410"/>
      <c r="AR524" s="410"/>
      <c r="AS524" s="410"/>
      <c r="AT524" s="410"/>
      <c r="AU524" s="410"/>
      <c r="AV524" s="410"/>
      <c r="AW524" s="410"/>
      <c r="AX524" s="410"/>
      <c r="AY524" s="410"/>
      <c r="AZ524" s="410"/>
      <c r="BA524" s="410"/>
      <c r="BB524" s="410"/>
      <c r="BC524" s="410"/>
      <c r="BD524" s="410"/>
      <c r="BE524" s="410"/>
      <c r="BF524" s="410"/>
      <c r="BG524" s="410"/>
      <c r="BH524" s="410"/>
      <c r="BI524" s="410"/>
      <c r="BJ524" s="410"/>
      <c r="BK524" s="410"/>
      <c r="BL524" s="410"/>
      <c r="BM524" s="410"/>
      <c r="BN524" s="410"/>
      <c r="BO524" s="410"/>
      <c r="BP524" s="410"/>
      <c r="BQ524" s="410"/>
      <c r="BR524" s="410"/>
      <c r="BS524" s="410"/>
      <c r="BT524" s="410"/>
      <c r="BU524" s="410"/>
      <c r="BV524" s="410"/>
      <c r="BW524" s="410"/>
      <c r="BX524" s="410"/>
      <c r="BY524" s="410"/>
      <c r="BZ524" s="24"/>
      <c r="CA524" s="410"/>
      <c r="CB524" s="410"/>
      <c r="CC524" s="410"/>
      <c r="CD524" s="410"/>
      <c r="CE524" s="24" t="str">
        <f>PCClientSales/Sales</f>
        <v>#NAME?</v>
      </c>
      <c r="CF524" s="410" t="str">
        <f>PCClientSales/Sales</f>
        <v>#NAME?</v>
      </c>
      <c r="CG524" s="410" t="str">
        <f>PCClientSales/Sales</f>
        <v>#NAME?</v>
      </c>
      <c r="CH524" s="410" t="str">
        <f>PCClientSales/Sales</f>
        <v>#NAME?</v>
      </c>
      <c r="CI524" s="410" t="str">
        <f>PCClientSales/Sales</f>
        <v>#NAME?</v>
      </c>
      <c r="CJ524" s="24" t="str">
        <f>PCClientSales/Sales</f>
        <v>#NAME?</v>
      </c>
      <c r="CK524" s="410" t="str">
        <f>PCClientSales/Sales</f>
        <v>#NAME?</v>
      </c>
      <c r="CL524" s="410" t="str">
        <f>PCClientSales/Sales</f>
        <v>#NAME?</v>
      </c>
      <c r="CM524" s="410" t="str">
        <f>PCClientSales/Sales</f>
        <v>#NAME?</v>
      </c>
      <c r="CN524" s="104" t="str">
        <f>PCClientSales/Sales</f>
        <v>#NAME?</v>
      </c>
      <c r="CO524" s="24" t="str">
        <f>PCClientSales/Sales</f>
        <v>#NAME?</v>
      </c>
      <c r="CP524" s="104" t="str">
        <f>PCClientSales/Sales</f>
        <v>#NAME?</v>
      </c>
      <c r="CQ524" s="410" t="str">
        <f>PCClientSales/Sales</f>
        <v>#NAME?</v>
      </c>
      <c r="CR524" s="410" t="str">
        <f>PCClientSales/Sales</f>
        <v>#NAME?</v>
      </c>
      <c r="CS524" s="410" t="str">
        <f>PCClientSales/Sales</f>
        <v>#NAME?</v>
      </c>
      <c r="CT524" s="24" t="str">
        <f>PCClientSales/Sales</f>
        <v>#NAME?</v>
      </c>
      <c r="CU524" s="410" t="str">
        <f>PCClientSales/Sales</f>
        <v>#NAME?</v>
      </c>
      <c r="CV524" s="410" t="str">
        <f>PCClientSales/Sales</f>
        <v>#NAME?</v>
      </c>
      <c r="CW524" s="410" t="str">
        <f>PCClientSales/Sales</f>
        <v>#NAME?</v>
      </c>
      <c r="CX524" s="410" t="str">
        <f>PCClientSales/Sales</f>
        <v>#NAME?</v>
      </c>
      <c r="CY524" s="24" t="str">
        <f>PCClientSales/Sales</f>
        <v>#NAME?</v>
      </c>
      <c r="CZ524" s="410" t="str">
        <f>PCClientSales/Sales</f>
        <v>#NAME?</v>
      </c>
      <c r="DA524" s="410" t="str">
        <f>PCClientSales/Sales</f>
        <v>#NAME?</v>
      </c>
      <c r="DB524" s="410" t="str">
        <f>PCClientSales/Sales</f>
        <v>#NAME?</v>
      </c>
      <c r="DC524" s="410" t="str">
        <f>PCClientSales/Sales</f>
        <v>#NAME?</v>
      </c>
      <c r="DD524" s="24" t="str">
        <f>PCClientSales/Sales</f>
        <v>#NAME?</v>
      </c>
      <c r="DE524" s="410" t="str">
        <f>PCClientSales/Sales</f>
        <v>#NAME?</v>
      </c>
      <c r="DF524" s="410" t="str">
        <f>PCClientSales/Sales</f>
        <v>#NAME?</v>
      </c>
      <c r="DG524" s="104" t="str">
        <f>PCClientSales/Sales</f>
        <v>#NAME?</v>
      </c>
      <c r="DH524" s="410" t="str">
        <f>PCClientSales/Sales</f>
        <v>#NAME?</v>
      </c>
      <c r="DI524" s="24" t="str">
        <f>PCClientSales/Sales</f>
        <v>#NAME?</v>
      </c>
      <c r="DJ524" s="104" t="str">
        <f>PCClientSales/Sales</f>
        <v>#NAME?</v>
      </c>
      <c r="DK524" s="104" t="str">
        <f>PCClientSales/Sales</f>
        <v>#NAME?</v>
      </c>
      <c r="DL524" s="104" t="str">
        <f>PCClientSales/Sales</f>
        <v>#NAME?</v>
      </c>
      <c r="DM524" s="410" t="str">
        <f>PCClientSales/Sales</f>
        <v>#NAME?</v>
      </c>
      <c r="DN524" s="24" t="str">
        <f>PCClientSales/Sales</f>
        <v>#NAME?</v>
      </c>
      <c r="DO524" s="410" t="str">
        <f>PCClientSales/Sales</f>
        <v>#NAME?</v>
      </c>
      <c r="DP524" s="410" t="str">
        <f>PCClientSales/Sales</f>
        <v>#NAME?</v>
      </c>
      <c r="DQ524" s="410" t="str">
        <f>PCClientSales/Sales</f>
        <v>#NAME?</v>
      </c>
      <c r="DR524" s="410" t="str">
        <f>PCClientSales/Sales</f>
        <v>#NAME?</v>
      </c>
      <c r="DS524" s="24" t="str">
        <f>PCClientSales/Sales</f>
        <v>#NAME?</v>
      </c>
      <c r="DT524" s="410" t="str">
        <f>PCClientSales/Sales</f>
        <v>#NAME?</v>
      </c>
      <c r="DU524" s="410" t="str">
        <f>PCClientSales/Sales</f>
        <v>#NAME?</v>
      </c>
      <c r="DV524" s="410" t="str">
        <f>PCClientSales/Sales</f>
        <v>#NAME?</v>
      </c>
      <c r="DW524" s="410" t="str">
        <f>PCClientSales/Sales</f>
        <v>#NAME?</v>
      </c>
      <c r="DX524" s="24" t="str">
        <f>PCClientSales/Sales</f>
        <v>#NAME?</v>
      </c>
      <c r="DY524" s="410" t="str">
        <f>PCClientSales/Sales</f>
        <v>#NAME?</v>
      </c>
      <c r="DZ524" s="410" t="str">
        <f>PCClientSales/Sales</f>
        <v>#NAME?</v>
      </c>
      <c r="EA524" s="410" t="str">
        <f>PCClientSales/Sales</f>
        <v>#NAME?</v>
      </c>
      <c r="EB524" s="410" t="str">
        <f>PCClientSales/Sales</f>
        <v>#NAME?</v>
      </c>
      <c r="EC524" s="24" t="str">
        <f>PCClientSales/Sales</f>
        <v>#NAME?</v>
      </c>
      <c r="ED524" s="410" t="str">
        <f>PCClientSales/Sales</f>
        <v>#NAME?</v>
      </c>
      <c r="EE524" s="410" t="str">
        <f>PCClientSales/Sales</f>
        <v>#NAME?</v>
      </c>
      <c r="EF524" s="410" t="str">
        <f>PCClientSales/Sales</f>
        <v>#NAME?</v>
      </c>
      <c r="EG524" s="410" t="str">
        <f>PCClientSales/Sales</f>
        <v>#NAME?</v>
      </c>
      <c r="EH524" s="24" t="str">
        <f>PCClientSales/Sales</f>
        <v>#NAME?</v>
      </c>
      <c r="EI524" s="317" t="str">
        <f>PCClientSales/Sales</f>
        <v>#NAME?</v>
      </c>
      <c r="EJ524" s="410" t="str">
        <f>PCClientSales/Sales</f>
        <v>#NAME?</v>
      </c>
      <c r="EK524" s="410" t="str">
        <f>PCClientSales/Sales</f>
        <v>#NAME?</v>
      </c>
      <c r="EL524" s="410" t="str">
        <f>PCClientSales/Sales</f>
        <v>#NAME?</v>
      </c>
      <c r="EM524" s="24" t="str">
        <f>PCClientSales/Sales</f>
        <v>#NAME?</v>
      </c>
      <c r="EN524" s="410" t="str">
        <f>PCClientSales/Sales</f>
        <v>#NAME?</v>
      </c>
      <c r="EO524" s="410" t="str">
        <f>PCClientSales/Sales</f>
        <v>#NAME?</v>
      </c>
      <c r="EP524" s="410" t="str">
        <f>PCClientSales/Sales</f>
        <v>#NAME?</v>
      </c>
      <c r="EQ524" s="410" t="str">
        <f>PCClientSales/Sales</f>
        <v>#NAME?</v>
      </c>
      <c r="ER524" s="24" t="str">
        <f>PCClientSales/Sales</f>
        <v>#NAME?</v>
      </c>
      <c r="ES524" s="410" t="str">
        <f>PCClientSales/Sales</f>
        <v>#NAME?</v>
      </c>
      <c r="ET524" s="410" t="str">
        <f>PCClientSales/Sales</f>
        <v>#NAME?</v>
      </c>
      <c r="EU524" s="410" t="str">
        <f>PCClientSales/Sales</f>
        <v>#NAME?</v>
      </c>
      <c r="EV524" s="410" t="str">
        <f>PCClientSales/Sales</f>
        <v>#NAME?</v>
      </c>
      <c r="EW524" s="24" t="str">
        <f>PCClientSales/Sales</f>
        <v>#NAME?</v>
      </c>
      <c r="EX524" s="410" t="str">
        <f>PCClientSales/Sales</f>
        <v>#NAME?</v>
      </c>
      <c r="EY524" s="410" t="str">
        <f>PCClientSales/Sales</f>
        <v>#NAME?</v>
      </c>
      <c r="EZ524" s="410" t="str">
        <f>PCClientSales/Sales</f>
        <v>#NAME?</v>
      </c>
      <c r="FA524" s="410" t="str">
        <f>PCClientSales/Sales</f>
        <v>#NAME?</v>
      </c>
      <c r="FB524" s="24" t="str">
        <f>PCClientSales/Sales</f>
        <v>#NAME?</v>
      </c>
      <c r="FC524" s="410" t="str">
        <f>PCClientSales/Sales</f>
        <v>#NAME?</v>
      </c>
      <c r="FD524" s="410" t="str">
        <f>PCClientSales/Sales</f>
        <v>#NAME?</v>
      </c>
      <c r="FE524" s="410" t="str">
        <f>PCClientSales/Sales</f>
        <v>#NAME?</v>
      </c>
      <c r="FF524" s="410" t="str">
        <f>PCClientSales/Sales</f>
        <v>#NAME?</v>
      </c>
      <c r="FG524" s="24" t="str">
        <f>PCClientSales/Sales</f>
        <v>#NAME?</v>
      </c>
      <c r="FH524" s="104"/>
      <c r="FI524" s="410"/>
      <c r="FJ524" s="410"/>
      <c r="FK524" s="410"/>
      <c r="FL524" s="410"/>
    </row>
    <row r="525" ht="12.75" hidden="1" customHeight="1" outlineLevel="1">
      <c r="A525" s="4"/>
      <c r="B525" s="72" t="str">
        <f t="shared" ref="B525:B528" si="2843">B506</f>
        <v>Processors</v>
      </c>
      <c r="C525" s="4"/>
      <c r="D525" s="15"/>
      <c r="E525" s="15"/>
      <c r="F525" s="15"/>
      <c r="G525" s="15"/>
      <c r="H525" s="410"/>
      <c r="I525" s="15"/>
      <c r="J525" s="15"/>
      <c r="K525" s="15"/>
      <c r="L525" s="15"/>
      <c r="M525" s="410"/>
      <c r="N525" s="15"/>
      <c r="O525" s="15"/>
      <c r="P525" s="15"/>
      <c r="Q525" s="15"/>
      <c r="R525" s="410"/>
      <c r="S525" s="15"/>
      <c r="T525" s="15"/>
      <c r="U525" s="15"/>
      <c r="V525" s="15"/>
      <c r="W525" s="410"/>
      <c r="X525" s="15"/>
      <c r="Y525" s="15"/>
      <c r="Z525" s="15"/>
      <c r="AA525" s="15"/>
      <c r="AB525" s="410"/>
      <c r="AC525" s="15"/>
      <c r="AD525" s="15"/>
      <c r="AE525" s="15"/>
      <c r="AF525" s="15"/>
      <c r="AG525" s="410"/>
      <c r="AH525" s="15"/>
      <c r="AI525" s="15"/>
      <c r="AJ525" s="15"/>
      <c r="AK525" s="15"/>
      <c r="AL525" s="410"/>
      <c r="AM525" s="15"/>
      <c r="AN525" s="15"/>
      <c r="AO525" s="15"/>
      <c r="AP525" s="15"/>
      <c r="AQ525" s="410"/>
      <c r="AR525" s="15"/>
      <c r="AS525" s="15"/>
      <c r="AT525" s="15"/>
      <c r="AU525" s="15"/>
      <c r="AV525" s="410"/>
      <c r="AW525" s="15"/>
      <c r="AX525" s="15"/>
      <c r="AY525" s="15"/>
      <c r="AZ525" s="15"/>
      <c r="BA525" s="410"/>
      <c r="BB525" s="15"/>
      <c r="BC525" s="15"/>
      <c r="BD525" s="15"/>
      <c r="BE525" s="15"/>
      <c r="BF525" s="410"/>
      <c r="BG525" s="15"/>
      <c r="BH525" s="15"/>
      <c r="BI525" s="15"/>
      <c r="BJ525" s="15"/>
      <c r="BK525" s="410"/>
      <c r="BL525" s="15"/>
      <c r="BM525" s="15"/>
      <c r="BN525" s="15"/>
      <c r="BO525" s="15"/>
      <c r="BP525" s="410"/>
      <c r="BQ525" s="15"/>
      <c r="BR525" s="15"/>
      <c r="BS525" s="15"/>
      <c r="BT525" s="15"/>
      <c r="BU525" s="410"/>
      <c r="BV525" s="15"/>
      <c r="BW525" s="15"/>
      <c r="BX525" s="15"/>
      <c r="BY525" s="15"/>
      <c r="BZ525" s="24"/>
      <c r="CA525" s="15"/>
      <c r="CB525" s="15"/>
      <c r="CC525" s="15"/>
      <c r="CD525" s="15"/>
      <c r="CE525" s="24">
        <f>DataCenterMPUSales/Sales</f>
        <v>0.1576932906</v>
      </c>
      <c r="CF525" s="15">
        <f>DataCenterMPUSales/Sales</f>
        <v>0.15839532</v>
      </c>
      <c r="CG525" s="15">
        <f>DataCenterMPUSales/Sales</f>
        <v>0.1765350715</v>
      </c>
      <c r="CH525" s="15">
        <f>DataCenterMPUSales/Sales</f>
        <v>0.1639741399</v>
      </c>
      <c r="CI525" s="15">
        <f>DataCenterMPUSales/Sales</f>
        <v>0.1750834756</v>
      </c>
      <c r="CJ525" s="24">
        <f>DataCenterMPUSales/Sales</f>
        <v>0.1686104497</v>
      </c>
      <c r="CK525" s="15">
        <f>DataCenterMPUSales/Sales</f>
        <v>0.1746621622</v>
      </c>
      <c r="CL525" s="15">
        <f>DataCenterMPUSales/Sales</f>
        <v>0.181995941</v>
      </c>
      <c r="CM525" s="15">
        <f>DataCenterMPUSales/Sales</f>
        <v>0.1835793221</v>
      </c>
      <c r="CN525" s="40">
        <f>DataCenterMPUSales/Sales</f>
        <v>0.1842055805</v>
      </c>
      <c r="CO525" s="24">
        <f>DataCenterMPUSales/Sales</f>
        <v>0.1812305532</v>
      </c>
      <c r="CP525" s="40" t="str">
        <f>DataCenterMPUSales/Sales</f>
        <v>#ERROR!</v>
      </c>
      <c r="CQ525" s="15" t="str">
        <f>DataCenterMPUSales/Sales</f>
        <v>#ERROR!</v>
      </c>
      <c r="CR525" s="15" t="str">
        <f>DataCenterMPUSales/Sales</f>
        <v>#ERROR!</v>
      </c>
      <c r="CS525" s="15" t="str">
        <f>DataCenterMPUSales/Sales</f>
        <v>#ERROR!</v>
      </c>
      <c r="CT525" s="24" t="str">
        <f>DataCenterMPUSales/Sales</f>
        <v>#ERROR!</v>
      </c>
      <c r="CU525" s="15" t="str">
        <f>DataCenterMPUSales/Sales</f>
        <v>#ERROR!</v>
      </c>
      <c r="CV525" s="15" t="str">
        <f>DataCenterMPUSales/Sales</f>
        <v>#ERROR!</v>
      </c>
      <c r="CW525" s="15" t="str">
        <f>DataCenterMPUSales/Sales</f>
        <v>#ERROR!</v>
      </c>
      <c r="CX525" s="15" t="str">
        <f>DataCenterMPUSales/Sales</f>
        <v>#ERROR!</v>
      </c>
      <c r="CY525" s="24" t="str">
        <f>DataCenterMPUSales/Sales</f>
        <v>#ERROR!</v>
      </c>
      <c r="CZ525" s="15" t="str">
        <f>DataCenterMPUSales/Sales</f>
        <v>#ERROR!</v>
      </c>
      <c r="DA525" s="15" t="str">
        <f>DataCenterMPUSales/Sales</f>
        <v>#ERROR!</v>
      </c>
      <c r="DB525" s="15" t="str">
        <f>DataCenterMPUSales/Sales</f>
        <v>#ERROR!</v>
      </c>
      <c r="DC525" s="15" t="str">
        <f>DataCenterMPUSales/Sales</f>
        <v>#ERROR!</v>
      </c>
      <c r="DD525" s="24" t="str">
        <f>DataCenterMPUSales/Sales</f>
        <v>#ERROR!</v>
      </c>
      <c r="DE525" s="15" t="str">
        <f>DataCenterMPUSales/Sales</f>
        <v>#ERROR!</v>
      </c>
      <c r="DF525" s="15" t="str">
        <f>DataCenterMPUSales/Sales</f>
        <v>#ERROR!</v>
      </c>
      <c r="DG525" s="40" t="str">
        <f>DataCenterMPUSales/Sales</f>
        <v>#ERROR!</v>
      </c>
      <c r="DH525" s="15" t="str">
        <f>DataCenterMPUSales/Sales</f>
        <v>#ERROR!</v>
      </c>
      <c r="DI525" s="24" t="str">
        <f>DataCenterMPUSales/Sales</f>
        <v>#ERROR!</v>
      </c>
      <c r="DJ525" s="40" t="str">
        <f>DataCenterMPUSales/Sales</f>
        <v>#ERROR!</v>
      </c>
      <c r="DK525" s="40" t="str">
        <f>DataCenterMPUSales/Sales</f>
        <v>#ERROR!</v>
      </c>
      <c r="DL525" s="40" t="str">
        <f>DataCenterMPUSales/Sales</f>
        <v>#ERROR!</v>
      </c>
      <c r="DM525" s="15" t="str">
        <f>DataCenterMPUSales/Sales</f>
        <v>#ERROR!</v>
      </c>
      <c r="DN525" s="24" t="str">
        <f>DataCenterMPUSales/Sales</f>
        <v>#ERROR!</v>
      </c>
      <c r="DO525" s="15" t="str">
        <f>DataCenterMPUSales/Sales</f>
        <v>#ERROR!</v>
      </c>
      <c r="DP525" s="15" t="str">
        <f>DataCenterMPUSales/Sales</f>
        <v>#ERROR!</v>
      </c>
      <c r="DQ525" s="15" t="str">
        <f>DataCenterMPUSales/Sales</f>
        <v>#ERROR!</v>
      </c>
      <c r="DR525" s="15" t="str">
        <f>DataCenterMPUSales/Sales</f>
        <v>#ERROR!</v>
      </c>
      <c r="DS525" s="24" t="str">
        <f>DataCenterMPUSales/Sales</f>
        <v>#ERROR!</v>
      </c>
      <c r="DT525" s="15" t="str">
        <f>DataCenterMPUSales/Sales</f>
        <v>#ERROR!</v>
      </c>
      <c r="DU525" s="15" t="str">
        <f>DataCenterMPUSales/Sales</f>
        <v>#ERROR!</v>
      </c>
      <c r="DV525" s="15" t="str">
        <f>DataCenterMPUSales/Sales</f>
        <v>#ERROR!</v>
      </c>
      <c r="DW525" s="15" t="str">
        <f>DataCenterMPUSales/Sales</f>
        <v>#ERROR!</v>
      </c>
      <c r="DX525" s="24" t="str">
        <f>DataCenterMPUSales/Sales</f>
        <v>#ERROR!</v>
      </c>
      <c r="DY525" s="15" t="str">
        <f>DataCenterMPUSales/Sales</f>
        <v>#ERROR!</v>
      </c>
      <c r="DZ525" s="15" t="str">
        <f>DataCenterMPUSales/Sales</f>
        <v>#ERROR!</v>
      </c>
      <c r="EA525" s="15" t="str">
        <f>DataCenterMPUSales/Sales</f>
        <v>#ERROR!</v>
      </c>
      <c r="EB525" s="15" t="str">
        <f>DataCenterMPUSales/Sales</f>
        <v>#ERROR!</v>
      </c>
      <c r="EC525" s="24" t="str">
        <f>DataCenterMPUSales/Sales</f>
        <v>#ERROR!</v>
      </c>
      <c r="ED525" s="15" t="str">
        <f>DataCenterMPUSales/Sales</f>
        <v>#ERROR!</v>
      </c>
      <c r="EE525" s="15" t="str">
        <f>DataCenterMPUSales/Sales</f>
        <v>#ERROR!</v>
      </c>
      <c r="EF525" s="15" t="str">
        <f>DataCenterMPUSales/Sales</f>
        <v>#ERROR!</v>
      </c>
      <c r="EG525" s="15" t="str">
        <f>DataCenterMPUSales/Sales</f>
        <v>#ERROR!</v>
      </c>
      <c r="EH525" s="24" t="str">
        <f>DataCenterMPUSales/Sales</f>
        <v>#ERROR!</v>
      </c>
      <c r="EI525" s="82" t="str">
        <f>DataCenterMPUSales/Sales</f>
        <v>#ERROR!</v>
      </c>
      <c r="EJ525" s="15" t="str">
        <f>DataCenterMPUSales/Sales</f>
        <v>#ERROR!</v>
      </c>
      <c r="EK525" s="15" t="str">
        <f>DataCenterMPUSales/Sales</f>
        <v>#ERROR!</v>
      </c>
      <c r="EL525" s="15" t="str">
        <f>DataCenterMPUSales/Sales</f>
        <v>#ERROR!</v>
      </c>
      <c r="EM525" s="24" t="str">
        <f>DataCenterMPUSales/Sales</f>
        <v>#ERROR!</v>
      </c>
      <c r="EN525" s="15" t="str">
        <f>DataCenterMPUSales/Sales</f>
        <v>#ERROR!</v>
      </c>
      <c r="EO525" s="15" t="str">
        <f>DataCenterMPUSales/Sales</f>
        <v>#ERROR!</v>
      </c>
      <c r="EP525" s="15" t="str">
        <f>DataCenterMPUSales/Sales</f>
        <v>#ERROR!</v>
      </c>
      <c r="EQ525" s="15" t="str">
        <f>DataCenterMPUSales/Sales</f>
        <v>#ERROR!</v>
      </c>
      <c r="ER525" s="24" t="str">
        <f>DataCenterMPUSales/Sales</f>
        <v>#ERROR!</v>
      </c>
      <c r="ES525" s="15" t="str">
        <f>DataCenterMPUSales/Sales</f>
        <v>#ERROR!</v>
      </c>
      <c r="ET525" s="15" t="str">
        <f>DataCenterMPUSales/Sales</f>
        <v>#ERROR!</v>
      </c>
      <c r="EU525" s="15" t="str">
        <f>DataCenterMPUSales/Sales</f>
        <v>#ERROR!</v>
      </c>
      <c r="EV525" s="15" t="str">
        <f>DataCenterMPUSales/Sales</f>
        <v>#ERROR!</v>
      </c>
      <c r="EW525" s="24" t="str">
        <f>DataCenterMPUSales/Sales</f>
        <v>#ERROR!</v>
      </c>
      <c r="EX525" s="15" t="str">
        <f>DataCenterMPUSales/Sales</f>
        <v>#ERROR!</v>
      </c>
      <c r="EY525" s="15" t="str">
        <f>DataCenterMPUSales/Sales</f>
        <v>#ERROR!</v>
      </c>
      <c r="EZ525" s="15" t="str">
        <f>DataCenterMPUSales/Sales</f>
        <v>#ERROR!</v>
      </c>
      <c r="FA525" s="15" t="str">
        <f>DataCenterMPUSales/Sales</f>
        <v>#ERROR!</v>
      </c>
      <c r="FB525" s="24" t="str">
        <f>DataCenterMPUSales/Sales</f>
        <v>#ERROR!</v>
      </c>
      <c r="FC525" s="15" t="str">
        <f>DataCenterMPUSales/Sales</f>
        <v>#ERROR!</v>
      </c>
      <c r="FD525" s="15" t="str">
        <f>DataCenterMPUSales/Sales</f>
        <v>#ERROR!</v>
      </c>
      <c r="FE525" s="15" t="str">
        <f>DataCenterMPUSales/Sales</f>
        <v>#ERROR!</v>
      </c>
      <c r="FF525" s="15" t="str">
        <f>DataCenterMPUSales/Sales</f>
        <v>#ERROR!</v>
      </c>
      <c r="FG525" s="24" t="str">
        <f>DataCenterMPUSales/Sales</f>
        <v>#ERROR!</v>
      </c>
      <c r="FH525" s="104"/>
      <c r="FI525" s="15"/>
      <c r="FJ525" s="15"/>
      <c r="FK525" s="410"/>
      <c r="FL525" s="15"/>
    </row>
    <row r="526" ht="12.75" hidden="1" customHeight="1" outlineLevel="1">
      <c r="A526" s="4"/>
      <c r="B526" s="72" t="str">
        <f t="shared" si="2843"/>
        <v>Chipsets, MBs and other</v>
      </c>
      <c r="C526" s="4"/>
      <c r="D526" s="15"/>
      <c r="E526" s="15"/>
      <c r="F526" s="15"/>
      <c r="G526" s="15"/>
      <c r="H526" s="410"/>
      <c r="I526" s="15"/>
      <c r="J526" s="15"/>
      <c r="K526" s="15"/>
      <c r="L526" s="15"/>
      <c r="M526" s="410"/>
      <c r="N526" s="15"/>
      <c r="O526" s="15"/>
      <c r="P526" s="15"/>
      <c r="Q526" s="15"/>
      <c r="R526" s="410"/>
      <c r="S526" s="15"/>
      <c r="T526" s="15"/>
      <c r="U526" s="15"/>
      <c r="V526" s="15"/>
      <c r="W526" s="410"/>
      <c r="X526" s="15"/>
      <c r="Y526" s="15"/>
      <c r="Z526" s="15"/>
      <c r="AA526" s="15"/>
      <c r="AB526" s="410"/>
      <c r="AC526" s="15"/>
      <c r="AD526" s="15"/>
      <c r="AE526" s="15"/>
      <c r="AF526" s="15"/>
      <c r="AG526" s="410"/>
      <c r="AH526" s="15"/>
      <c r="AI526" s="15"/>
      <c r="AJ526" s="15"/>
      <c r="AK526" s="15"/>
      <c r="AL526" s="410"/>
      <c r="AM526" s="15"/>
      <c r="AN526" s="15"/>
      <c r="AO526" s="15"/>
      <c r="AP526" s="15"/>
      <c r="AQ526" s="410"/>
      <c r="AR526" s="15"/>
      <c r="AS526" s="15"/>
      <c r="AT526" s="15"/>
      <c r="AU526" s="15"/>
      <c r="AV526" s="410"/>
      <c r="AW526" s="15"/>
      <c r="AX526" s="15"/>
      <c r="AY526" s="15"/>
      <c r="AZ526" s="15"/>
      <c r="BA526" s="410"/>
      <c r="BB526" s="15"/>
      <c r="BC526" s="15"/>
      <c r="BD526" s="15"/>
      <c r="BE526" s="15"/>
      <c r="BF526" s="410"/>
      <c r="BG526" s="15"/>
      <c r="BH526" s="15"/>
      <c r="BI526" s="15"/>
      <c r="BJ526" s="15"/>
      <c r="BK526" s="410"/>
      <c r="BL526" s="15"/>
      <c r="BM526" s="15"/>
      <c r="BN526" s="15"/>
      <c r="BO526" s="15"/>
      <c r="BP526" s="410"/>
      <c r="BQ526" s="15"/>
      <c r="BR526" s="15"/>
      <c r="BS526" s="15"/>
      <c r="BT526" s="15"/>
      <c r="BU526" s="410"/>
      <c r="BV526" s="15"/>
      <c r="BW526" s="15"/>
      <c r="BX526" s="15"/>
      <c r="BY526" s="15"/>
      <c r="BZ526" s="24"/>
      <c r="CA526" s="15"/>
      <c r="CB526" s="15"/>
      <c r="CC526" s="15"/>
      <c r="CD526" s="15"/>
      <c r="CE526" s="24">
        <f>DataCenterOtherSales/Sales</f>
        <v>0.02988425712</v>
      </c>
      <c r="CF526" s="15">
        <f>DataCenterOtherSales/Sales</f>
        <v>0.0279521153</v>
      </c>
      <c r="CG526" s="15">
        <f>DataCenterOtherSales/Sales</f>
        <v>0.03115324791</v>
      </c>
      <c r="CH526" s="15">
        <f>DataCenterOtherSales/Sales</f>
        <v>0.02893661292</v>
      </c>
      <c r="CI526" s="15">
        <f>DataCenterOtherSales/Sales</f>
        <v>0.03089708392</v>
      </c>
      <c r="CJ526" s="24">
        <f>DataCenterOtherSales/Sales</f>
        <v>0.02975478525</v>
      </c>
      <c r="CK526" s="15">
        <f>DataCenterOtherSales/Sales</f>
        <v>0.0308227345</v>
      </c>
      <c r="CL526" s="15">
        <f>DataCenterOtherSales/Sales</f>
        <v>0.03211693076</v>
      </c>
      <c r="CM526" s="15">
        <f>DataCenterOtherSales/Sales</f>
        <v>0.03239635096</v>
      </c>
      <c r="CN526" s="40">
        <f>DataCenterOtherSales/Sales</f>
        <v>0.03250686714</v>
      </c>
      <c r="CO526" s="24">
        <f>DataCenterOtherSales/Sales</f>
        <v>0.03198186234</v>
      </c>
      <c r="CP526" s="40" t="str">
        <f>DataCenterOtherSales/Sales</f>
        <v>#ERROR!</v>
      </c>
      <c r="CQ526" s="15" t="str">
        <f>DataCenterOtherSales/Sales</f>
        <v>#ERROR!</v>
      </c>
      <c r="CR526" s="15" t="str">
        <f>DataCenterOtherSales/Sales</f>
        <v>#ERROR!</v>
      </c>
      <c r="CS526" s="15" t="str">
        <f>DataCenterOtherSales/Sales</f>
        <v>#ERROR!</v>
      </c>
      <c r="CT526" s="24" t="str">
        <f>DataCenterOtherSales/Sales</f>
        <v>#ERROR!</v>
      </c>
      <c r="CU526" s="15" t="str">
        <f>DataCenterOtherSales/Sales</f>
        <v>#ERROR!</v>
      </c>
      <c r="CV526" s="15" t="str">
        <f>DataCenterOtherSales/Sales</f>
        <v>#ERROR!</v>
      </c>
      <c r="CW526" s="15" t="str">
        <f>DataCenterOtherSales/Sales</f>
        <v>#ERROR!</v>
      </c>
      <c r="CX526" s="15" t="str">
        <f>DataCenterOtherSales/Sales</f>
        <v>#ERROR!</v>
      </c>
      <c r="CY526" s="24" t="str">
        <f>DataCenterOtherSales/Sales</f>
        <v>#ERROR!</v>
      </c>
      <c r="CZ526" s="15" t="str">
        <f>DataCenterOtherSales/Sales</f>
        <v>#ERROR!</v>
      </c>
      <c r="DA526" s="15" t="str">
        <f>DataCenterOtherSales/Sales</f>
        <v>#ERROR!</v>
      </c>
      <c r="DB526" s="15" t="str">
        <f>DataCenterOtherSales/Sales</f>
        <v>#ERROR!</v>
      </c>
      <c r="DC526" s="15" t="str">
        <f>DataCenterOtherSales/Sales</f>
        <v>#ERROR!</v>
      </c>
      <c r="DD526" s="24" t="str">
        <f>DataCenterOtherSales/Sales</f>
        <v>#ERROR!</v>
      </c>
      <c r="DE526" s="15" t="str">
        <f>DataCenterOtherSales/Sales</f>
        <v>#ERROR!</v>
      </c>
      <c r="DF526" s="15" t="str">
        <f>DataCenterOtherSales/Sales</f>
        <v>#ERROR!</v>
      </c>
      <c r="DG526" s="40" t="str">
        <f>DataCenterOtherSales/Sales</f>
        <v>#ERROR!</v>
      </c>
      <c r="DH526" s="15" t="str">
        <f>DataCenterOtherSales/Sales</f>
        <v>#ERROR!</v>
      </c>
      <c r="DI526" s="24" t="str">
        <f>DataCenterOtherSales/Sales</f>
        <v>#ERROR!</v>
      </c>
      <c r="DJ526" s="40" t="str">
        <f>DataCenterOtherSales/Sales</f>
        <v>#ERROR!</v>
      </c>
      <c r="DK526" s="40" t="str">
        <f>DataCenterOtherSales/Sales</f>
        <v>#ERROR!</v>
      </c>
      <c r="DL526" s="40" t="str">
        <f>DataCenterOtherSales/Sales</f>
        <v>#ERROR!</v>
      </c>
      <c r="DM526" s="15" t="str">
        <f>DataCenterOtherSales/Sales</f>
        <v>#ERROR!</v>
      </c>
      <c r="DN526" s="24" t="str">
        <f>DataCenterOtherSales/Sales</f>
        <v>#ERROR!</v>
      </c>
      <c r="DO526" s="15" t="str">
        <f>DataCenterOtherSales/Sales</f>
        <v>#ERROR!</v>
      </c>
      <c r="DP526" s="15" t="str">
        <f>DataCenterOtherSales/Sales</f>
        <v>#ERROR!</v>
      </c>
      <c r="DQ526" s="15" t="str">
        <f>DataCenterOtherSales/Sales</f>
        <v>#ERROR!</v>
      </c>
      <c r="DR526" s="15" t="str">
        <f>DataCenterOtherSales/Sales</f>
        <v>#ERROR!</v>
      </c>
      <c r="DS526" s="24" t="str">
        <f>DataCenterOtherSales/Sales</f>
        <v>#ERROR!</v>
      </c>
      <c r="DT526" s="15" t="str">
        <f>DataCenterOtherSales/Sales</f>
        <v>#ERROR!</v>
      </c>
      <c r="DU526" s="15" t="str">
        <f>DataCenterOtherSales/Sales</f>
        <v>#ERROR!</v>
      </c>
      <c r="DV526" s="15" t="str">
        <f>DataCenterOtherSales/Sales</f>
        <v>#ERROR!</v>
      </c>
      <c r="DW526" s="15" t="str">
        <f>DataCenterOtherSales/Sales</f>
        <v>#ERROR!</v>
      </c>
      <c r="DX526" s="24" t="str">
        <f>DataCenterOtherSales/Sales</f>
        <v>#ERROR!</v>
      </c>
      <c r="DY526" s="15" t="str">
        <f>DataCenterOtherSales/Sales</f>
        <v>#ERROR!</v>
      </c>
      <c r="DZ526" s="15" t="str">
        <f>DataCenterOtherSales/Sales</f>
        <v>#ERROR!</v>
      </c>
      <c r="EA526" s="15" t="str">
        <f>DataCenterOtherSales/Sales</f>
        <v>#ERROR!</v>
      </c>
      <c r="EB526" s="15" t="str">
        <f>DataCenterOtherSales/Sales</f>
        <v>#ERROR!</v>
      </c>
      <c r="EC526" s="24" t="str">
        <f>DataCenterOtherSales/Sales</f>
        <v>#ERROR!</v>
      </c>
      <c r="ED526" s="15" t="str">
        <f>DataCenterOtherSales/Sales</f>
        <v>#ERROR!</v>
      </c>
      <c r="EE526" s="15" t="str">
        <f>DataCenterOtherSales/Sales</f>
        <v>#ERROR!</v>
      </c>
      <c r="EF526" s="15" t="str">
        <f>DataCenterOtherSales/Sales</f>
        <v>#ERROR!</v>
      </c>
      <c r="EG526" s="15" t="str">
        <f>DataCenterOtherSales/Sales</f>
        <v>#ERROR!</v>
      </c>
      <c r="EH526" s="24" t="str">
        <f>DataCenterOtherSales/Sales</f>
        <v>#ERROR!</v>
      </c>
      <c r="EI526" s="82" t="str">
        <f>DataCenterOtherSales/Sales</f>
        <v>#ERROR!</v>
      </c>
      <c r="EJ526" s="15" t="str">
        <f>DataCenterOtherSales/Sales</f>
        <v>#ERROR!</v>
      </c>
      <c r="EK526" s="15" t="str">
        <f>DataCenterOtherSales/Sales</f>
        <v>#ERROR!</v>
      </c>
      <c r="EL526" s="15" t="str">
        <f>DataCenterOtherSales/Sales</f>
        <v>#ERROR!</v>
      </c>
      <c r="EM526" s="24" t="str">
        <f>DataCenterOtherSales/Sales</f>
        <v>#ERROR!</v>
      </c>
      <c r="EN526" s="15" t="str">
        <f>DataCenterOtherSales/Sales</f>
        <v>#ERROR!</v>
      </c>
      <c r="EO526" s="15" t="str">
        <f>DataCenterOtherSales/Sales</f>
        <v>#ERROR!</v>
      </c>
      <c r="EP526" s="15" t="str">
        <f>DataCenterOtherSales/Sales</f>
        <v>#ERROR!</v>
      </c>
      <c r="EQ526" s="15" t="str">
        <f>DataCenterOtherSales/Sales</f>
        <v>#ERROR!</v>
      </c>
      <c r="ER526" s="24" t="str">
        <f>DataCenterOtherSales/Sales</f>
        <v>#ERROR!</v>
      </c>
      <c r="ES526" s="15" t="str">
        <f>DataCenterOtherSales/Sales</f>
        <v>#ERROR!</v>
      </c>
      <c r="ET526" s="15" t="str">
        <f>DataCenterOtherSales/Sales</f>
        <v>#ERROR!</v>
      </c>
      <c r="EU526" s="15" t="str">
        <f>DataCenterOtherSales/Sales</f>
        <v>#ERROR!</v>
      </c>
      <c r="EV526" s="15" t="str">
        <f>DataCenterOtherSales/Sales</f>
        <v>#ERROR!</v>
      </c>
      <c r="EW526" s="24" t="str">
        <f>DataCenterOtherSales/Sales</f>
        <v>#ERROR!</v>
      </c>
      <c r="EX526" s="15" t="str">
        <f>DataCenterOtherSales/Sales</f>
        <v>#ERROR!</v>
      </c>
      <c r="EY526" s="15" t="str">
        <f>DataCenterOtherSales/Sales</f>
        <v>#ERROR!</v>
      </c>
      <c r="EZ526" s="15" t="str">
        <f>DataCenterOtherSales/Sales</f>
        <v>#ERROR!</v>
      </c>
      <c r="FA526" s="15" t="str">
        <f>DataCenterOtherSales/Sales</f>
        <v>#ERROR!</v>
      </c>
      <c r="FB526" s="24" t="str">
        <f>DataCenterOtherSales/Sales</f>
        <v>#ERROR!</v>
      </c>
      <c r="FC526" s="15" t="str">
        <f>DataCenterOtherSales/Sales</f>
        <v>#ERROR!</v>
      </c>
      <c r="FD526" s="15" t="str">
        <f>DataCenterOtherSales/Sales</f>
        <v>#ERROR!</v>
      </c>
      <c r="FE526" s="15" t="str">
        <f>DataCenterOtherSales/Sales</f>
        <v>#ERROR!</v>
      </c>
      <c r="FF526" s="15" t="str">
        <f>DataCenterOtherSales/Sales</f>
        <v>#ERROR!</v>
      </c>
      <c r="FG526" s="24" t="str">
        <f>DataCenterOtherSales/Sales</f>
        <v>#ERROR!</v>
      </c>
      <c r="FH526" s="104"/>
      <c r="FI526" s="15"/>
      <c r="FJ526" s="15"/>
      <c r="FK526" s="410"/>
      <c r="FL526" s="15"/>
    </row>
    <row r="527" ht="12.75" hidden="1" customHeight="1" outlineLevel="1">
      <c r="A527" s="45"/>
      <c r="B527" s="215" t="str">
        <f t="shared" si="2843"/>
        <v>Data Center Group</v>
      </c>
      <c r="C527" s="45"/>
      <c r="D527" s="410"/>
      <c r="E527" s="410"/>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410"/>
      <c r="AK527" s="410"/>
      <c r="AL527" s="410"/>
      <c r="AM527" s="410"/>
      <c r="AN527" s="410"/>
      <c r="AO527" s="410"/>
      <c r="AP527" s="410"/>
      <c r="AQ527" s="410"/>
      <c r="AR527" s="410"/>
      <c r="AS527" s="410"/>
      <c r="AT527" s="410"/>
      <c r="AU527" s="410"/>
      <c r="AV527" s="410"/>
      <c r="AW527" s="410"/>
      <c r="AX527" s="410"/>
      <c r="AY527" s="410"/>
      <c r="AZ527" s="410"/>
      <c r="BA527" s="410"/>
      <c r="BB527" s="410"/>
      <c r="BC527" s="410"/>
      <c r="BD527" s="410"/>
      <c r="BE527" s="410"/>
      <c r="BF527" s="410"/>
      <c r="BG527" s="410"/>
      <c r="BH527" s="410"/>
      <c r="BI527" s="410"/>
      <c r="BJ527" s="410"/>
      <c r="BK527" s="410"/>
      <c r="BL527" s="410"/>
      <c r="BM527" s="410"/>
      <c r="BN527" s="410"/>
      <c r="BO527" s="410"/>
      <c r="BP527" s="410"/>
      <c r="BQ527" s="410"/>
      <c r="BR527" s="410"/>
      <c r="BS527" s="410"/>
      <c r="BT527" s="410"/>
      <c r="BU527" s="410"/>
      <c r="BV527" s="410"/>
      <c r="BW527" s="410"/>
      <c r="BX527" s="410"/>
      <c r="BY527" s="410"/>
      <c r="BZ527" s="24"/>
      <c r="CA527" s="410"/>
      <c r="CB527" s="410"/>
      <c r="CC527" s="410"/>
      <c r="CD527" s="410"/>
      <c r="CE527" s="24">
        <f>DataCenterSales/Sales</f>
        <v>0.1875775477</v>
      </c>
      <c r="CF527" s="410">
        <f>DataCenterSales/Sales</f>
        <v>0.1863474353</v>
      </c>
      <c r="CG527" s="410">
        <f>DataCenterSales/Sales</f>
        <v>0.2076883194</v>
      </c>
      <c r="CH527" s="410">
        <f>DataCenterSales/Sales</f>
        <v>0.1929107528</v>
      </c>
      <c r="CI527" s="410">
        <f>DataCenterSales/Sales</f>
        <v>0.2059805595</v>
      </c>
      <c r="CJ527" s="24">
        <f>DataCenterSales/Sales</f>
        <v>0.198365235</v>
      </c>
      <c r="CK527" s="410">
        <f>DataCenterSales/Sales</f>
        <v>0.2054848967</v>
      </c>
      <c r="CL527" s="410">
        <f>DataCenterSales/Sales</f>
        <v>0.2141128718</v>
      </c>
      <c r="CM527" s="410">
        <f>DataCenterSales/Sales</f>
        <v>0.2159756731</v>
      </c>
      <c r="CN527" s="104">
        <f>DataCenterSales/Sales</f>
        <v>0.2167124476</v>
      </c>
      <c r="CO527" s="24">
        <f>DataCenterSales/Sales</f>
        <v>0.2132124156</v>
      </c>
      <c r="CP527" s="104">
        <f>DataCenterSales/Sales</f>
        <v>0.241852084</v>
      </c>
      <c r="CQ527" s="410">
        <f>DataCenterSales/Sales</f>
        <v>0.2537054443</v>
      </c>
      <c r="CR527" s="410">
        <f>DataCenterSales/Sales</f>
        <v>0.2542256424</v>
      </c>
      <c r="CS527" s="410">
        <f>DataCenterSales/Sales</f>
        <v>0.2779023164</v>
      </c>
      <c r="CT527" s="24">
        <f>DataCenterSales/Sales</f>
        <v>0.2575085019</v>
      </c>
      <c r="CU527" s="410">
        <f>DataCenterSales/Sales</f>
        <v>0.2878491511</v>
      </c>
      <c r="CV527" s="410">
        <f>DataCenterSales/Sales</f>
        <v>0.2917771883</v>
      </c>
      <c r="CW527" s="410">
        <f>DataCenterSales/Sales</f>
        <v>0.2862080885</v>
      </c>
      <c r="CX527" s="410">
        <f>DataCenterSales/Sales</f>
        <v>0.2888561084</v>
      </c>
      <c r="CY527" s="24">
        <f>DataCenterSales/Sales</f>
        <v>0.2886279469</v>
      </c>
      <c r="CZ527" s="410" t="str">
        <f>DataCenterSales/Sales</f>
        <v>#ERROR!</v>
      </c>
      <c r="DA527" s="410" t="str">
        <f>DataCenterSales/Sales</f>
        <v>#ERROR!</v>
      </c>
      <c r="DB527" s="410" t="str">
        <f>DataCenterSales/Sales</f>
        <v>#ERROR!</v>
      </c>
      <c r="DC527" s="410" t="str">
        <f>DataCenterSales/Sales</f>
        <v>#ERROR!</v>
      </c>
      <c r="DD527" s="24" t="str">
        <f>DataCenterSales/Sales</f>
        <v>#ERROR!</v>
      </c>
      <c r="DE527" s="410" t="str">
        <f>DataCenterSales/Sales</f>
        <v>#ERROR!</v>
      </c>
      <c r="DF527" s="410" t="str">
        <f>DataCenterSales/Sales</f>
        <v>#ERROR!</v>
      </c>
      <c r="DG527" s="104" t="str">
        <f>DataCenterSales/Sales</f>
        <v>#ERROR!</v>
      </c>
      <c r="DH527" s="410" t="str">
        <f>DataCenterSales/Sales</f>
        <v>#ERROR!</v>
      </c>
      <c r="DI527" s="24" t="str">
        <f>DataCenterSales/Sales</f>
        <v>#ERROR!</v>
      </c>
      <c r="DJ527" s="104" t="str">
        <f>DataCenterSales/Sales</f>
        <v>#ERROR!</v>
      </c>
      <c r="DK527" s="104" t="str">
        <f>DataCenterSales/Sales</f>
        <v>#ERROR!</v>
      </c>
      <c r="DL527" s="104" t="str">
        <f>DataCenterSales/Sales</f>
        <v>#ERROR!</v>
      </c>
      <c r="DM527" s="410" t="str">
        <f>DataCenterSales/Sales</f>
        <v>#ERROR!</v>
      </c>
      <c r="DN527" s="24" t="str">
        <f>DataCenterSales/Sales</f>
        <v>#ERROR!</v>
      </c>
      <c r="DO527" s="410" t="str">
        <f>DataCenterSales/Sales</f>
        <v>#ERROR!</v>
      </c>
      <c r="DP527" s="410" t="str">
        <f>DataCenterSales/Sales</f>
        <v>#ERROR!</v>
      </c>
      <c r="DQ527" s="410" t="str">
        <f>DataCenterSales/Sales</f>
        <v>#ERROR!</v>
      </c>
      <c r="DR527" s="410" t="str">
        <f>DataCenterSales/Sales</f>
        <v>#ERROR!</v>
      </c>
      <c r="DS527" s="24" t="str">
        <f>DataCenterSales/Sales</f>
        <v>#ERROR!</v>
      </c>
      <c r="DT527" s="410" t="str">
        <f>DataCenterSales/Sales</f>
        <v>#ERROR!</v>
      </c>
      <c r="DU527" s="410" t="str">
        <f>DataCenterSales/Sales</f>
        <v>#ERROR!</v>
      </c>
      <c r="DV527" s="410" t="str">
        <f>DataCenterSales/Sales</f>
        <v>#ERROR!</v>
      </c>
      <c r="DW527" s="410" t="str">
        <f>DataCenterSales/Sales</f>
        <v>#ERROR!</v>
      </c>
      <c r="DX527" s="24" t="str">
        <f>DataCenterSales/Sales</f>
        <v>#ERROR!</v>
      </c>
      <c r="DY527" s="410" t="str">
        <f>DataCenterSales/Sales</f>
        <v>#ERROR!</v>
      </c>
      <c r="DZ527" s="410" t="str">
        <f>DataCenterSales/Sales</f>
        <v>#ERROR!</v>
      </c>
      <c r="EA527" s="410" t="str">
        <f>DataCenterSales/Sales</f>
        <v>#ERROR!</v>
      </c>
      <c r="EB527" s="410" t="str">
        <f>DataCenterSales/Sales</f>
        <v>#ERROR!</v>
      </c>
      <c r="EC527" s="24" t="str">
        <f>DataCenterSales/Sales</f>
        <v>#ERROR!</v>
      </c>
      <c r="ED527" s="410" t="str">
        <f>DataCenterSales/Sales</f>
        <v>#ERROR!</v>
      </c>
      <c r="EE527" s="410" t="str">
        <f>DataCenterSales/Sales</f>
        <v>#ERROR!</v>
      </c>
      <c r="EF527" s="410" t="str">
        <f>DataCenterSales/Sales</f>
        <v>#ERROR!</v>
      </c>
      <c r="EG527" s="410" t="str">
        <f>DataCenterSales/Sales</f>
        <v>#ERROR!</v>
      </c>
      <c r="EH527" s="24" t="str">
        <f>DataCenterSales/Sales</f>
        <v>#ERROR!</v>
      </c>
      <c r="EI527" s="317" t="str">
        <f>DataCenterSales/Sales</f>
        <v>#ERROR!</v>
      </c>
      <c r="EJ527" s="410" t="str">
        <f>DataCenterSales/Sales</f>
        <v>#ERROR!</v>
      </c>
      <c r="EK527" s="410" t="str">
        <f>DataCenterSales/Sales</f>
        <v>#ERROR!</v>
      </c>
      <c r="EL527" s="410" t="str">
        <f>DataCenterSales/Sales</f>
        <v>#ERROR!</v>
      </c>
      <c r="EM527" s="24" t="str">
        <f>DataCenterSales/Sales</f>
        <v>#ERROR!</v>
      </c>
      <c r="EN527" s="410" t="str">
        <f>DataCenterSales/Sales</f>
        <v>#ERROR!</v>
      </c>
      <c r="EO527" s="410" t="str">
        <f>DataCenterSales/Sales</f>
        <v>#ERROR!</v>
      </c>
      <c r="EP527" s="410" t="str">
        <f>DataCenterSales/Sales</f>
        <v>#ERROR!</v>
      </c>
      <c r="EQ527" s="410" t="str">
        <f>DataCenterSales/Sales</f>
        <v>#ERROR!</v>
      </c>
      <c r="ER527" s="24" t="str">
        <f>DataCenterSales/Sales</f>
        <v>#ERROR!</v>
      </c>
      <c r="ES527" s="410" t="str">
        <f>DataCenterSales/Sales</f>
        <v>#ERROR!</v>
      </c>
      <c r="ET527" s="410" t="str">
        <f>DataCenterSales/Sales</f>
        <v>#ERROR!</v>
      </c>
      <c r="EU527" s="410" t="str">
        <f>DataCenterSales/Sales</f>
        <v>#ERROR!</v>
      </c>
      <c r="EV527" s="410" t="str">
        <f>DataCenterSales/Sales</f>
        <v>#ERROR!</v>
      </c>
      <c r="EW527" s="24" t="str">
        <f>DataCenterSales/Sales</f>
        <v>#ERROR!</v>
      </c>
      <c r="EX527" s="410" t="str">
        <f>DataCenterSales/Sales</f>
        <v>#ERROR!</v>
      </c>
      <c r="EY527" s="410" t="str">
        <f>DataCenterSales/Sales</f>
        <v>#ERROR!</v>
      </c>
      <c r="EZ527" s="410" t="str">
        <f>DataCenterSales/Sales</f>
        <v>#ERROR!</v>
      </c>
      <c r="FA527" s="410" t="str">
        <f>DataCenterSales/Sales</f>
        <v>#ERROR!</v>
      </c>
      <c r="FB527" s="24" t="str">
        <f>DataCenterSales/Sales</f>
        <v>#ERROR!</v>
      </c>
      <c r="FC527" s="410" t="str">
        <f>DataCenterSales/Sales</f>
        <v>#ERROR!</v>
      </c>
      <c r="FD527" s="410" t="str">
        <f>DataCenterSales/Sales</f>
        <v>#ERROR!</v>
      </c>
      <c r="FE527" s="410" t="str">
        <f>DataCenterSales/Sales</f>
        <v>#ERROR!</v>
      </c>
      <c r="FF527" s="410" t="str">
        <f>DataCenterSales/Sales</f>
        <v>#ERROR!</v>
      </c>
      <c r="FG527" s="24" t="str">
        <f>DataCenterSales/Sales</f>
        <v>#ERROR!</v>
      </c>
      <c r="FH527" s="104"/>
      <c r="FI527" s="410"/>
      <c r="FJ527" s="410"/>
      <c r="FK527" s="410"/>
      <c r="FL527" s="410"/>
    </row>
    <row r="528" ht="12.75" hidden="1" customHeight="1" outlineLevel="1">
      <c r="A528" s="45"/>
      <c r="B528" s="72" t="str">
        <f t="shared" si="2843"/>
        <v>Mobile Communications Group</v>
      </c>
      <c r="C528" s="410"/>
      <c r="D528" s="410"/>
      <c r="E528" s="410"/>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410"/>
      <c r="AK528" s="410"/>
      <c r="AL528" s="410"/>
      <c r="AM528" s="410"/>
      <c r="AN528" s="410"/>
      <c r="AO528" s="410"/>
      <c r="AP528" s="410"/>
      <c r="AQ528" s="410"/>
      <c r="AR528" s="410"/>
      <c r="AS528" s="410"/>
      <c r="AT528" s="410"/>
      <c r="AU528" s="410"/>
      <c r="AV528" s="410"/>
      <c r="AW528" s="410"/>
      <c r="AX528" s="410"/>
      <c r="AY528" s="410"/>
      <c r="AZ528" s="410"/>
      <c r="BA528" s="410"/>
      <c r="BB528" s="410"/>
      <c r="BC528" s="410"/>
      <c r="BD528" s="410"/>
      <c r="BE528" s="410"/>
      <c r="BF528" s="410"/>
      <c r="BG528" s="410"/>
      <c r="BH528" s="410"/>
      <c r="BI528" s="410"/>
      <c r="BJ528" s="410"/>
      <c r="BK528" s="410"/>
      <c r="BL528" s="410"/>
      <c r="BM528" s="410"/>
      <c r="BN528" s="410"/>
      <c r="BO528" s="410"/>
      <c r="BP528" s="410"/>
      <c r="BQ528" s="410"/>
      <c r="BR528" s="410"/>
      <c r="BS528" s="410"/>
      <c r="BT528" s="410"/>
      <c r="BU528" s="410"/>
      <c r="BV528" s="410"/>
      <c r="BW528" s="410"/>
      <c r="BX528" s="410"/>
      <c r="BY528" s="410"/>
      <c r="BZ528" s="24"/>
      <c r="CA528" s="410"/>
      <c r="CB528" s="410"/>
      <c r="CC528" s="410"/>
      <c r="CD528" s="410"/>
      <c r="CE528" s="24">
        <f>MobileCommSales/Sales</f>
        <v>0.0391118354</v>
      </c>
      <c r="CF528" s="410">
        <f>MobileCommSales/Sales</f>
        <v>0.03517743685</v>
      </c>
      <c r="CG528" s="410">
        <f>MobileCommSales/Sales</f>
        <v>0.02682780262</v>
      </c>
      <c r="CH528" s="410">
        <f>MobileCommSales/Sales</f>
        <v>0.02879960724</v>
      </c>
      <c r="CI528" s="410">
        <f>MobileCommSales/Sales</f>
        <v>0.03019471176</v>
      </c>
      <c r="CJ528" s="24">
        <f>MobileCommSales/Sales</f>
        <v>0.03019614571</v>
      </c>
      <c r="CK528" s="410">
        <f>MobileCommSales/Sales</f>
        <v>0.03211446741</v>
      </c>
      <c r="CL528" s="410">
        <f>MobileCommSales/Sales</f>
        <v>0.02279291234</v>
      </c>
      <c r="CM528" s="410">
        <f>MobileCommSales/Sales</f>
        <v>0.02618111696</v>
      </c>
      <c r="CN528" s="104">
        <f>MobileCommSales/Sales</f>
        <v>0.09397137487</v>
      </c>
      <c r="CO528" s="24">
        <f>MobileCommSales/Sales</f>
        <v>0.04456628975</v>
      </c>
      <c r="CP528" s="104">
        <f>MobileCommSales/Sales</f>
        <v>0.01222187402</v>
      </c>
      <c r="CQ528" s="410">
        <f>MobileCommSales/Sales</f>
        <v>0.003687368954</v>
      </c>
      <c r="CR528" s="410">
        <f>MobileCommSales/Sales</f>
        <v>0.00006870963309</v>
      </c>
      <c r="CS528" s="410">
        <f>MobileCommSales/Sales</f>
        <v>-0.0004075810067</v>
      </c>
      <c r="CT528" s="24">
        <f>MobileCommSales/Sales</f>
        <v>0.003615536066</v>
      </c>
      <c r="CU528" s="410">
        <f>MobileCommSales/Sales</f>
        <v>0.004694468351</v>
      </c>
      <c r="CV528" s="410">
        <f>MobileCommSales/Sales</f>
        <v>0.0007586206897</v>
      </c>
      <c r="CW528" s="410">
        <f>MobileCommSales/Sales</f>
        <v>0.001038022814</v>
      </c>
      <c r="CX528" s="410">
        <f>MobileCommSales/Sales</f>
        <v>0.0012584652</v>
      </c>
      <c r="CY528" s="24">
        <f>MobileCommSales/Sales</f>
        <v>0.001875056454</v>
      </c>
      <c r="CZ528" s="410">
        <f>MobileCommSales/Sales</f>
        <v>0.00156394917</v>
      </c>
      <c r="DA528" s="410">
        <f>MobileCommSales/Sales</f>
        <v>0.001961752522</v>
      </c>
      <c r="DB528" s="410">
        <f>MobileCommSales/Sales</f>
        <v>0.009506908353</v>
      </c>
      <c r="DC528" s="410">
        <f>MobileCommSales/Sales</f>
        <v>0.01221448638</v>
      </c>
      <c r="DD528" s="24">
        <f>MobileCommSales/Sales</f>
        <v>0.006692876633</v>
      </c>
      <c r="DE528" s="410">
        <f>MobileCommSales/Sales</f>
        <v>0.0135171668</v>
      </c>
      <c r="DF528" s="410">
        <f>MobileCommSales/Sales</f>
        <v>0.01490212017</v>
      </c>
      <c r="DG528" s="104">
        <f>MobileCommSales/Sales</f>
        <v>0.01498544802</v>
      </c>
      <c r="DH528" s="410">
        <f>MobileCommSales/Sales</f>
        <v>0.01348149886</v>
      </c>
      <c r="DI528" s="24">
        <f>MobileCommSales/Sales</f>
        <v>0.01421105464</v>
      </c>
      <c r="DJ528" s="104">
        <f>MobileCommSales/Sales</f>
        <v>0.01402352795</v>
      </c>
      <c r="DK528" s="104">
        <f>MobileCommSales/Sales</f>
        <v>0.01394688716</v>
      </c>
      <c r="DL528" s="104">
        <f>MobileCommSales/Sales</f>
        <v>0.0129622426</v>
      </c>
      <c r="DM528" s="410">
        <f>MobileCommSales/Sales</f>
        <v>0.01264810432</v>
      </c>
      <c r="DN528" s="24">
        <f>MobileCommSales/Sales</f>
        <v>0.01335592024</v>
      </c>
      <c r="DO528" s="410">
        <f>MobileCommSales/Sales</f>
        <v>0.01439861582</v>
      </c>
      <c r="DP528" s="410">
        <f>MobileCommSales/Sales</f>
        <v>0.0147118435</v>
      </c>
      <c r="DQ528" s="410">
        <f>MobileCommSales/Sales</f>
        <v>0.01328608264</v>
      </c>
      <c r="DR528" s="410">
        <f>MobileCommSales/Sales</f>
        <v>0.01198534958</v>
      </c>
      <c r="DS528" s="24">
        <f>MobileCommSales/Sales</f>
        <v>0.01349610229</v>
      </c>
      <c r="DT528" s="410">
        <f>MobileCommSales/Sales</f>
        <v>0.01197133806</v>
      </c>
      <c r="DU528" s="410">
        <f>MobileCommSales/Sales</f>
        <v>0.01263362102</v>
      </c>
      <c r="DV528" s="410">
        <f>MobileCommSales/Sales</f>
        <v>0.01427468932</v>
      </c>
      <c r="DW528" s="410">
        <f>MobileCommSales/Sales</f>
        <v>0.01244433804</v>
      </c>
      <c r="DX528" s="24">
        <f>MobileCommSales/Sales</f>
        <v>0.0128027872</v>
      </c>
      <c r="DY528" s="410">
        <f>MobileCommSales/Sales</f>
        <v>0.01312295194</v>
      </c>
      <c r="DZ528" s="410">
        <f>MobileCommSales/Sales</f>
        <v>0.0138036347</v>
      </c>
      <c r="EA528" s="410">
        <f>MobileCommSales/Sales</f>
        <v>0.01485121358</v>
      </c>
      <c r="EB528" s="410">
        <f>MobileCommSales/Sales</f>
        <v>0.01306487841</v>
      </c>
      <c r="EC528" s="24">
        <f>MobileCommSales/Sales</f>
        <v>0.01369496765</v>
      </c>
      <c r="ED528" s="410">
        <f>MobileCommSales/Sales</f>
        <v>0.01362608516</v>
      </c>
      <c r="EE528" s="410">
        <f>MobileCommSales/Sales</f>
        <v>0.0171387976</v>
      </c>
      <c r="EF528" s="410">
        <f>MobileCommSales/Sales</f>
        <v>0.01797579175</v>
      </c>
      <c r="EG528" s="410">
        <f>MobileCommSales/Sales</f>
        <v>0.01865311631</v>
      </c>
      <c r="EH528" s="24">
        <f>MobileCommSales/Sales</f>
        <v>0.01665719561</v>
      </c>
      <c r="EI528" s="317" t="str">
        <f>MobileCommSales/Sales</f>
        <v>#ERROR!</v>
      </c>
      <c r="EJ528" s="410" t="str">
        <f>MobileCommSales/Sales</f>
        <v>#ERROR!</v>
      </c>
      <c r="EK528" s="410" t="str">
        <f>MobileCommSales/Sales</f>
        <v>#ERROR!</v>
      </c>
      <c r="EL528" s="410" t="str">
        <f>MobileCommSales/Sales</f>
        <v>#ERROR!</v>
      </c>
      <c r="EM528" s="24" t="str">
        <f>MobileCommSales/Sales</f>
        <v>#ERROR!</v>
      </c>
      <c r="EN528" s="410" t="str">
        <f>MobileCommSales/Sales</f>
        <v>#ERROR!</v>
      </c>
      <c r="EO528" s="410" t="str">
        <f>MobileCommSales/Sales</f>
        <v>#ERROR!</v>
      </c>
      <c r="EP528" s="410" t="str">
        <f>MobileCommSales/Sales</f>
        <v>#ERROR!</v>
      </c>
      <c r="EQ528" s="410" t="str">
        <f>MobileCommSales/Sales</f>
        <v>#ERROR!</v>
      </c>
      <c r="ER528" s="24" t="str">
        <f>MobileCommSales/Sales</f>
        <v>#ERROR!</v>
      </c>
      <c r="ES528" s="410" t="str">
        <f>MobileCommSales/Sales</f>
        <v>#ERROR!</v>
      </c>
      <c r="ET528" s="410" t="str">
        <f>MobileCommSales/Sales</f>
        <v>#ERROR!</v>
      </c>
      <c r="EU528" s="410" t="str">
        <f>MobileCommSales/Sales</f>
        <v>#ERROR!</v>
      </c>
      <c r="EV528" s="410" t="str">
        <f>MobileCommSales/Sales</f>
        <v>#ERROR!</v>
      </c>
      <c r="EW528" s="24" t="str">
        <f>MobileCommSales/Sales</f>
        <v>#ERROR!</v>
      </c>
      <c r="EX528" s="410" t="str">
        <f>MobileCommSales/Sales</f>
        <v>#ERROR!</v>
      </c>
      <c r="EY528" s="410" t="str">
        <f>MobileCommSales/Sales</f>
        <v>#ERROR!</v>
      </c>
      <c r="EZ528" s="410" t="str">
        <f>MobileCommSales/Sales</f>
        <v>#ERROR!</v>
      </c>
      <c r="FA528" s="410" t="str">
        <f>MobileCommSales/Sales</f>
        <v>#ERROR!</v>
      </c>
      <c r="FB528" s="24" t="str">
        <f>MobileCommSales/Sales</f>
        <v>#ERROR!</v>
      </c>
      <c r="FC528" s="410" t="str">
        <f>MobileCommSales/Sales</f>
        <v>#ERROR!</v>
      </c>
      <c r="FD528" s="410" t="str">
        <f>MobileCommSales/Sales</f>
        <v>#ERROR!</v>
      </c>
      <c r="FE528" s="410" t="str">
        <f>MobileCommSales/Sales</f>
        <v>#ERROR!</v>
      </c>
      <c r="FF528" s="410" t="str">
        <f>MobileCommSales/Sales</f>
        <v>#ERROR!</v>
      </c>
      <c r="FG528" s="24" t="str">
        <f>MobileCommSales/Sales</f>
        <v>#ERROR!</v>
      </c>
      <c r="FH528" s="104"/>
      <c r="FI528" s="410"/>
      <c r="FJ528" s="410"/>
      <c r="FK528" s="410"/>
      <c r="FL528" s="410"/>
    </row>
    <row r="529" ht="12.75" hidden="1" customHeight="1" outlineLevel="1">
      <c r="A529" s="45"/>
      <c r="B529" s="215" t="str">
        <f t="shared" ref="B529:B531" si="2844">B511</f>
        <v>Other IAG</v>
      </c>
      <c r="C529" s="45"/>
      <c r="D529" s="15"/>
      <c r="E529" s="15"/>
      <c r="F529" s="15"/>
      <c r="G529" s="15"/>
      <c r="H529" s="410"/>
      <c r="I529" s="15"/>
      <c r="J529" s="15"/>
      <c r="K529" s="15"/>
      <c r="L529" s="15"/>
      <c r="M529" s="410"/>
      <c r="N529" s="15"/>
      <c r="O529" s="15"/>
      <c r="P529" s="15"/>
      <c r="Q529" s="15"/>
      <c r="R529" s="410"/>
      <c r="S529" s="15"/>
      <c r="T529" s="15"/>
      <c r="U529" s="15"/>
      <c r="V529" s="15"/>
      <c r="W529" s="410"/>
      <c r="X529" s="15"/>
      <c r="Y529" s="15"/>
      <c r="Z529" s="15"/>
      <c r="AA529" s="15"/>
      <c r="AB529" s="410"/>
      <c r="AC529" s="15"/>
      <c r="AD529" s="15"/>
      <c r="AE529" s="15"/>
      <c r="AF529" s="15"/>
      <c r="AG529" s="410"/>
      <c r="AH529" s="15"/>
      <c r="AI529" s="15"/>
      <c r="AJ529" s="15"/>
      <c r="AK529" s="15"/>
      <c r="AL529" s="410"/>
      <c r="AM529" s="15"/>
      <c r="AN529" s="15"/>
      <c r="AO529" s="15"/>
      <c r="AP529" s="15"/>
      <c r="AQ529" s="410"/>
      <c r="AR529" s="15"/>
      <c r="AS529" s="15"/>
      <c r="AT529" s="15"/>
      <c r="AU529" s="15"/>
      <c r="AV529" s="410"/>
      <c r="AW529" s="15"/>
      <c r="AX529" s="15"/>
      <c r="AY529" s="15"/>
      <c r="AZ529" s="15"/>
      <c r="BA529" s="410"/>
      <c r="BB529" s="15"/>
      <c r="BC529" s="15"/>
      <c r="BD529" s="15"/>
      <c r="BE529" s="15"/>
      <c r="BF529" s="410"/>
      <c r="BG529" s="15"/>
      <c r="BH529" s="15"/>
      <c r="BI529" s="15"/>
      <c r="BJ529" s="15"/>
      <c r="BK529" s="410"/>
      <c r="BL529" s="15"/>
      <c r="BM529" s="15"/>
      <c r="BN529" s="15"/>
      <c r="BO529" s="15"/>
      <c r="BP529" s="410"/>
      <c r="BQ529" s="15"/>
      <c r="BR529" s="15"/>
      <c r="BS529" s="15"/>
      <c r="BT529" s="15"/>
      <c r="BU529" s="410"/>
      <c r="BV529" s="15"/>
      <c r="BW529" s="15"/>
      <c r="BX529" s="15"/>
      <c r="BY529" s="15"/>
      <c r="BZ529" s="24"/>
      <c r="CA529" s="15"/>
      <c r="CB529" s="15"/>
      <c r="CC529" s="15"/>
      <c r="CD529" s="15"/>
      <c r="CE529" s="24">
        <f>IAGOtherSales/Sales</f>
        <v>0.09268690161</v>
      </c>
      <c r="CF529" s="15">
        <f>IAGOtherSales/Sales</f>
        <v>0.08329459166</v>
      </c>
      <c r="CG529" s="15">
        <f>IAGOtherSales/Sales</f>
        <v>0.08206799496</v>
      </c>
      <c r="CH529" s="15">
        <f>IAGOtherSales/Sales</f>
        <v>0.0874637735</v>
      </c>
      <c r="CI529" s="15">
        <f>IAGOtherSales/Sales</f>
        <v>0.07553609854</v>
      </c>
      <c r="CJ529" s="24">
        <f>IAGOtherSales/Sales</f>
        <v>0.08207570162</v>
      </c>
      <c r="CK529" s="15">
        <f>IAGOtherSales/Sales</f>
        <v>0.07774244833</v>
      </c>
      <c r="CL529" s="15">
        <f>IAGOtherSales/Sales</f>
        <v>0.07353055968</v>
      </c>
      <c r="CM529" s="15">
        <f>IAGOtherSales/Sales</f>
        <v>0.07913669065</v>
      </c>
      <c r="CN529" s="40">
        <f>IAGOtherSales/Sales</f>
        <v>0.07987566864</v>
      </c>
      <c r="CO529" s="24">
        <f>IAGOtherSales/Sales</f>
        <v>0.07763527358</v>
      </c>
      <c r="CP529" s="40">
        <f>IAGOtherSales/Sales</f>
        <v>0.04998433093</v>
      </c>
      <c r="CQ529" s="15">
        <f>IAGOtherSales/Sales</f>
        <v>0.04388692069</v>
      </c>
      <c r="CR529" s="15">
        <f>IAGOtherSales/Sales</f>
        <v>0.03648481517</v>
      </c>
      <c r="CS529" s="15">
        <f>IAGOtherSales/Sales</f>
        <v>0.03973914816</v>
      </c>
      <c r="CT529" s="24">
        <f>IAGOtherSales/Sales</f>
        <v>0.04225881511</v>
      </c>
      <c r="CU529" s="15">
        <f>IAGOtherSales/Sales</f>
        <v>0.04170252719</v>
      </c>
      <c r="CV529" s="15">
        <f>IAGOtherSales/Sales</f>
        <v>0.04236453202</v>
      </c>
      <c r="CW529" s="15">
        <f>IAGOtherSales/Sales</f>
        <v>0.04016591773</v>
      </c>
      <c r="CX529" s="15">
        <f>IAGOtherSales/Sales</f>
        <v>0.04190693308</v>
      </c>
      <c r="CY529" s="24">
        <f>IAGOtherSales/Sales</f>
        <v>0.04151386505</v>
      </c>
      <c r="CZ529" s="15">
        <f>IAGOtherSales/Sales</f>
        <v>0.04313300576</v>
      </c>
      <c r="DA529" s="15">
        <f>IAGOtherSales/Sales</f>
        <v>0.04223440622</v>
      </c>
      <c r="DB529" s="15">
        <f>IAGOtherSales/Sales</f>
        <v>0.04646726518</v>
      </c>
      <c r="DC529" s="15">
        <f>IAGOtherSales/Sales</f>
        <v>0.04889796784</v>
      </c>
      <c r="DD529" s="24">
        <f>IAGOtherSales/Sales</f>
        <v>0.04539980277</v>
      </c>
      <c r="DE529" s="15">
        <f>IAGOtherSales/Sales</f>
        <v>0.05411295792</v>
      </c>
      <c r="DF529" s="15">
        <f>IAGOtherSales/Sales</f>
        <v>0.05802984792</v>
      </c>
      <c r="DG529" s="40">
        <f>IAGOtherSales/Sales</f>
        <v>0.06032564503</v>
      </c>
      <c r="DH529" s="15">
        <f>IAGOtherSales/Sales</f>
        <v>0.05513005784</v>
      </c>
      <c r="DI529" s="24">
        <f>IAGOtherSales/Sales</f>
        <v>0.05690925397</v>
      </c>
      <c r="DJ529" s="40">
        <f>IAGOtherSales/Sales</f>
        <v>0.05823072802</v>
      </c>
      <c r="DK529" s="40">
        <f>IAGOtherSales/Sales</f>
        <v>0.05833120793</v>
      </c>
      <c r="DL529" s="40">
        <f>IAGOtherSales/Sales</f>
        <v>0.05814169657</v>
      </c>
      <c r="DM529" s="15">
        <f>IAGOtherSales/Sales</f>
        <v>0.0576607355</v>
      </c>
      <c r="DN529" s="24">
        <f>IAGOtherSales/Sales</f>
        <v>0.05808060212</v>
      </c>
      <c r="DO529" s="15">
        <f>IAGOtherSales/Sales</f>
        <v>0.06668680833</v>
      </c>
      <c r="DP529" s="15">
        <f>IAGOtherSales/Sales</f>
        <v>0.06864633</v>
      </c>
      <c r="DQ529" s="15">
        <f>IAGOtherSales/Sales</f>
        <v>0.0666324612</v>
      </c>
      <c r="DR529" s="15">
        <f>IAGOtherSales/Sales</f>
        <v>0.06112214479</v>
      </c>
      <c r="DS529" s="24">
        <f>IAGOtherSales/Sales</f>
        <v>0.06555907538</v>
      </c>
      <c r="DT529" s="15">
        <f>IAGOtherSales/Sales</f>
        <v>0.06205230913</v>
      </c>
      <c r="DU529" s="15">
        <f>IAGOtherSales/Sales</f>
        <v>0.06598853911</v>
      </c>
      <c r="DV529" s="15">
        <f>IAGOtherSales/Sales</f>
        <v>0.08030172787</v>
      </c>
      <c r="DW529" s="15">
        <f>IAGOtherSales/Sales</f>
        <v>0.07121696227</v>
      </c>
      <c r="DX529" s="24">
        <f>IAGOtherSales/Sales</f>
        <v>0.06969755011</v>
      </c>
      <c r="DY529" s="15">
        <f>IAGOtherSales/Sales</f>
        <v>0.07636541056</v>
      </c>
      <c r="DZ529" s="15">
        <f>IAGOtherSales/Sales</f>
        <v>0.08096000744</v>
      </c>
      <c r="EA529" s="15">
        <f>IAGOtherSales/Sales</f>
        <v>0.09398542127</v>
      </c>
      <c r="EB529" s="15">
        <f>IAGOtherSales/Sales</f>
        <v>0.08414625266</v>
      </c>
      <c r="EC529" s="24">
        <f>IAGOtherSales/Sales</f>
        <v>0.08380431692</v>
      </c>
      <c r="ED529" s="15">
        <f>IAGOtherSales/Sales</f>
        <v>0.0892737396</v>
      </c>
      <c r="EE529" s="15">
        <f>IAGOtherSales/Sales</f>
        <v>0.1131940868</v>
      </c>
      <c r="EF529" s="15">
        <f>IAGOtherSales/Sales</f>
        <v>0.1283169411</v>
      </c>
      <c r="EG529" s="15">
        <f>IAGOtherSales/Sales</f>
        <v>0.1355624008</v>
      </c>
      <c r="EH529" s="24">
        <f>IAGOtherSales/Sales</f>
        <v>0.1148916805</v>
      </c>
      <c r="EI529" s="82" t="str">
        <f>IAGOtherSales/Sales</f>
        <v>#ERROR!</v>
      </c>
      <c r="EJ529" s="15" t="str">
        <f>IAGOtherSales/Sales</f>
        <v>#ERROR!</v>
      </c>
      <c r="EK529" s="15" t="str">
        <f>IAGOtherSales/Sales</f>
        <v>#ERROR!</v>
      </c>
      <c r="EL529" s="15" t="str">
        <f>IAGOtherSales/Sales</f>
        <v>#ERROR!</v>
      </c>
      <c r="EM529" s="24" t="str">
        <f>IAGOtherSales/Sales</f>
        <v>#ERROR!</v>
      </c>
      <c r="EN529" s="15" t="str">
        <f>IAGOtherSales/Sales</f>
        <v>#ERROR!</v>
      </c>
      <c r="EO529" s="15" t="str">
        <f>IAGOtherSales/Sales</f>
        <v>#ERROR!</v>
      </c>
      <c r="EP529" s="15" t="str">
        <f>IAGOtherSales/Sales</f>
        <v>#ERROR!</v>
      </c>
      <c r="EQ529" s="15" t="str">
        <f>IAGOtherSales/Sales</f>
        <v>#ERROR!</v>
      </c>
      <c r="ER529" s="24" t="str">
        <f>IAGOtherSales/Sales</f>
        <v>#ERROR!</v>
      </c>
      <c r="ES529" s="15" t="str">
        <f>IAGOtherSales/Sales</f>
        <v>#ERROR!</v>
      </c>
      <c r="ET529" s="15" t="str">
        <f>IAGOtherSales/Sales</f>
        <v>#ERROR!</v>
      </c>
      <c r="EU529" s="15" t="str">
        <f>IAGOtherSales/Sales</f>
        <v>#ERROR!</v>
      </c>
      <c r="EV529" s="15" t="str">
        <f>IAGOtherSales/Sales</f>
        <v>#ERROR!</v>
      </c>
      <c r="EW529" s="24" t="str">
        <f>IAGOtherSales/Sales</f>
        <v>#ERROR!</v>
      </c>
      <c r="EX529" s="15" t="str">
        <f>IAGOtherSales/Sales</f>
        <v>#ERROR!</v>
      </c>
      <c r="EY529" s="15" t="str">
        <f>IAGOtherSales/Sales</f>
        <v>#ERROR!</v>
      </c>
      <c r="EZ529" s="15" t="str">
        <f>IAGOtherSales/Sales</f>
        <v>#ERROR!</v>
      </c>
      <c r="FA529" s="15" t="str">
        <f>IAGOtherSales/Sales</f>
        <v>#ERROR!</v>
      </c>
      <c r="FB529" s="24" t="str">
        <f>IAGOtherSales/Sales</f>
        <v>#ERROR!</v>
      </c>
      <c r="FC529" s="15" t="str">
        <f>IAGOtherSales/Sales</f>
        <v>#ERROR!</v>
      </c>
      <c r="FD529" s="15" t="str">
        <f>IAGOtherSales/Sales</f>
        <v>#ERROR!</v>
      </c>
      <c r="FE529" s="15" t="str">
        <f>IAGOtherSales/Sales</f>
        <v>#ERROR!</v>
      </c>
      <c r="FF529" s="15" t="str">
        <f>IAGOtherSales/Sales</f>
        <v>#ERROR!</v>
      </c>
      <c r="FG529" s="24" t="str">
        <f>IAGOtherSales/Sales</f>
        <v>#ERROR!</v>
      </c>
      <c r="FH529" s="104"/>
      <c r="FI529" s="15"/>
      <c r="FJ529" s="15"/>
      <c r="FK529" s="410"/>
      <c r="FL529" s="15"/>
    </row>
    <row r="530" ht="12.75" hidden="1" customHeight="1" outlineLevel="1">
      <c r="A530" s="45"/>
      <c r="B530" s="215" t="str">
        <f t="shared" si="2844"/>
        <v>IAG Subtotal</v>
      </c>
      <c r="C530" s="45"/>
      <c r="D530" s="410"/>
      <c r="E530" s="410"/>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410"/>
      <c r="AK530" s="410"/>
      <c r="AL530" s="410"/>
      <c r="AM530" s="410"/>
      <c r="AN530" s="410"/>
      <c r="AO530" s="410"/>
      <c r="AP530" s="410"/>
      <c r="AQ530" s="410"/>
      <c r="AR530" s="410"/>
      <c r="AS530" s="410"/>
      <c r="AT530" s="410"/>
      <c r="AU530" s="410"/>
      <c r="AV530" s="410"/>
      <c r="AW530" s="410"/>
      <c r="AX530" s="410"/>
      <c r="AY530" s="410"/>
      <c r="AZ530" s="410"/>
      <c r="BA530" s="410"/>
      <c r="BB530" s="410"/>
      <c r="BC530" s="410"/>
      <c r="BD530" s="410"/>
      <c r="BE530" s="410"/>
      <c r="BF530" s="410"/>
      <c r="BG530" s="410"/>
      <c r="BH530" s="410"/>
      <c r="BI530" s="410"/>
      <c r="BJ530" s="410"/>
      <c r="BK530" s="410"/>
      <c r="BL530" s="410"/>
      <c r="BM530" s="410"/>
      <c r="BN530" s="410"/>
      <c r="BO530" s="410"/>
      <c r="BP530" s="410"/>
      <c r="BQ530" s="410"/>
      <c r="BR530" s="410"/>
      <c r="BS530" s="410"/>
      <c r="BT530" s="410"/>
      <c r="BU530" s="410"/>
      <c r="BV530" s="410"/>
      <c r="BW530" s="410"/>
      <c r="BX530" s="410"/>
      <c r="BY530" s="410"/>
      <c r="BZ530" s="24"/>
      <c r="CA530" s="410"/>
      <c r="CB530" s="410"/>
      <c r="CC530" s="410"/>
      <c r="CD530" s="410"/>
      <c r="CE530" s="24" t="str">
        <f>IAGSales/Sales</f>
        <v>#NAME?</v>
      </c>
      <c r="CF530" s="410" t="str">
        <f>IAGSales/Sales</f>
        <v>#NAME?</v>
      </c>
      <c r="CG530" s="410" t="str">
        <f>IAGSales/Sales</f>
        <v>#NAME?</v>
      </c>
      <c r="CH530" s="410" t="str">
        <f>IAGSales/Sales</f>
        <v>#NAME?</v>
      </c>
      <c r="CI530" s="410" t="str">
        <f>IAGSales/Sales</f>
        <v>#NAME?</v>
      </c>
      <c r="CJ530" s="24" t="str">
        <f>IAGSales/Sales</f>
        <v>#NAME?</v>
      </c>
      <c r="CK530" s="410" t="str">
        <f>IAGSales/Sales</f>
        <v>#NAME?</v>
      </c>
      <c r="CL530" s="410" t="str">
        <f>IAGSales/Sales</f>
        <v>#NAME?</v>
      </c>
      <c r="CM530" s="410" t="str">
        <f>IAGSales/Sales</f>
        <v>#NAME?</v>
      </c>
      <c r="CN530" s="104" t="str">
        <f>IAGSales/Sales</f>
        <v>#NAME?</v>
      </c>
      <c r="CO530" s="24" t="str">
        <f>IAGSales/Sales</f>
        <v>#NAME?</v>
      </c>
      <c r="CP530" s="104" t="str">
        <f>IAGSales/Sales</f>
        <v>#NAME?</v>
      </c>
      <c r="CQ530" s="410" t="str">
        <f>IAGSales/Sales</f>
        <v>#NAME?</v>
      </c>
      <c r="CR530" s="410" t="str">
        <f>IAGSales/Sales</f>
        <v>#NAME?</v>
      </c>
      <c r="CS530" s="410" t="str">
        <f>IAGSales/Sales</f>
        <v>#NAME?</v>
      </c>
      <c r="CT530" s="24" t="str">
        <f>IAGSales/Sales</f>
        <v>#NAME?</v>
      </c>
      <c r="CU530" s="410" t="str">
        <f>IAGSales/Sales</f>
        <v>#NAME?</v>
      </c>
      <c r="CV530" s="410" t="str">
        <f>IAGSales/Sales</f>
        <v>#NAME?</v>
      </c>
      <c r="CW530" s="410" t="str">
        <f>IAGSales/Sales</f>
        <v>#NAME?</v>
      </c>
      <c r="CX530" s="410" t="str">
        <f>IAGSales/Sales</f>
        <v>#NAME?</v>
      </c>
      <c r="CY530" s="24" t="str">
        <f>IAGSales/Sales</f>
        <v>#NAME?</v>
      </c>
      <c r="CZ530" s="410" t="str">
        <f>IAGSales/Sales</f>
        <v>#NAME?</v>
      </c>
      <c r="DA530" s="410" t="str">
        <f>IAGSales/Sales</f>
        <v>#NAME?</v>
      </c>
      <c r="DB530" s="410" t="str">
        <f>IAGSales/Sales</f>
        <v>#NAME?</v>
      </c>
      <c r="DC530" s="410" t="str">
        <f>IAGSales/Sales</f>
        <v>#NAME?</v>
      </c>
      <c r="DD530" s="24" t="str">
        <f>IAGSales/Sales</f>
        <v>#NAME?</v>
      </c>
      <c r="DE530" s="410" t="str">
        <f>IAGSales/Sales</f>
        <v>#NAME?</v>
      </c>
      <c r="DF530" s="410" t="str">
        <f>IAGSales/Sales</f>
        <v>#NAME?</v>
      </c>
      <c r="DG530" s="104" t="str">
        <f>IAGSales/Sales</f>
        <v>#NAME?</v>
      </c>
      <c r="DH530" s="410" t="str">
        <f>IAGSales/Sales</f>
        <v>#NAME?</v>
      </c>
      <c r="DI530" s="24" t="str">
        <f>IAGSales/Sales</f>
        <v>#NAME?</v>
      </c>
      <c r="DJ530" s="104" t="str">
        <f>IAGSales/Sales</f>
        <v>#NAME?</v>
      </c>
      <c r="DK530" s="104" t="str">
        <f>IAGSales/Sales</f>
        <v>#NAME?</v>
      </c>
      <c r="DL530" s="104" t="str">
        <f>IAGSales/Sales</f>
        <v>#NAME?</v>
      </c>
      <c r="DM530" s="410" t="str">
        <f>IAGSales/Sales</f>
        <v>#NAME?</v>
      </c>
      <c r="DN530" s="24" t="str">
        <f>IAGSales/Sales</f>
        <v>#NAME?</v>
      </c>
      <c r="DO530" s="410" t="str">
        <f>IAGSales/Sales</f>
        <v>#NAME?</v>
      </c>
      <c r="DP530" s="410" t="str">
        <f>IAGSales/Sales</f>
        <v>#NAME?</v>
      </c>
      <c r="DQ530" s="410" t="str">
        <f>IAGSales/Sales</f>
        <v>#NAME?</v>
      </c>
      <c r="DR530" s="410" t="str">
        <f>IAGSales/Sales</f>
        <v>#NAME?</v>
      </c>
      <c r="DS530" s="24" t="str">
        <f>IAGSales/Sales</f>
        <v>#NAME?</v>
      </c>
      <c r="DT530" s="410" t="str">
        <f>IAGSales/Sales</f>
        <v>#NAME?</v>
      </c>
      <c r="DU530" s="410" t="str">
        <f>IAGSales/Sales</f>
        <v>#NAME?</v>
      </c>
      <c r="DV530" s="410" t="str">
        <f>IAGSales/Sales</f>
        <v>#NAME?</v>
      </c>
      <c r="DW530" s="410" t="str">
        <f>IAGSales/Sales</f>
        <v>#NAME?</v>
      </c>
      <c r="DX530" s="24" t="str">
        <f>IAGSales/Sales</f>
        <v>#NAME?</v>
      </c>
      <c r="DY530" s="410" t="str">
        <f>IAGSales/Sales</f>
        <v>#NAME?</v>
      </c>
      <c r="DZ530" s="410" t="str">
        <f>IAGSales/Sales</f>
        <v>#NAME?</v>
      </c>
      <c r="EA530" s="410" t="str">
        <f>IAGSales/Sales</f>
        <v>#NAME?</v>
      </c>
      <c r="EB530" s="410" t="str">
        <f>IAGSales/Sales</f>
        <v>#NAME?</v>
      </c>
      <c r="EC530" s="24" t="str">
        <f>IAGSales/Sales</f>
        <v>#NAME?</v>
      </c>
      <c r="ED530" s="410" t="str">
        <f>IAGSales/Sales</f>
        <v>#NAME?</v>
      </c>
      <c r="EE530" s="410" t="str">
        <f>IAGSales/Sales</f>
        <v>#NAME?</v>
      </c>
      <c r="EF530" s="410" t="str">
        <f>IAGSales/Sales</f>
        <v>#NAME?</v>
      </c>
      <c r="EG530" s="410" t="str">
        <f>IAGSales/Sales</f>
        <v>#NAME?</v>
      </c>
      <c r="EH530" s="24" t="str">
        <f>IAGSales/Sales</f>
        <v>#NAME?</v>
      </c>
      <c r="EI530" s="317" t="str">
        <f>IAGSales/Sales</f>
        <v>#NAME?</v>
      </c>
      <c r="EJ530" s="410" t="str">
        <f>IAGSales/Sales</f>
        <v>#NAME?</v>
      </c>
      <c r="EK530" s="410" t="str">
        <f>IAGSales/Sales</f>
        <v>#NAME?</v>
      </c>
      <c r="EL530" s="410" t="str">
        <f>IAGSales/Sales</f>
        <v>#NAME?</v>
      </c>
      <c r="EM530" s="24" t="str">
        <f>IAGSales/Sales</f>
        <v>#NAME?</v>
      </c>
      <c r="EN530" s="410" t="str">
        <f>IAGSales/Sales</f>
        <v>#NAME?</v>
      </c>
      <c r="EO530" s="410" t="str">
        <f>IAGSales/Sales</f>
        <v>#NAME?</v>
      </c>
      <c r="EP530" s="410" t="str">
        <f>IAGSales/Sales</f>
        <v>#NAME?</v>
      </c>
      <c r="EQ530" s="410" t="str">
        <f>IAGSales/Sales</f>
        <v>#NAME?</v>
      </c>
      <c r="ER530" s="24" t="str">
        <f>IAGSales/Sales</f>
        <v>#NAME?</v>
      </c>
      <c r="ES530" s="410" t="str">
        <f>IAGSales/Sales</f>
        <v>#NAME?</v>
      </c>
      <c r="ET530" s="410" t="str">
        <f>IAGSales/Sales</f>
        <v>#NAME?</v>
      </c>
      <c r="EU530" s="410" t="str">
        <f>IAGSales/Sales</f>
        <v>#NAME?</v>
      </c>
      <c r="EV530" s="410" t="str">
        <f>IAGSales/Sales</f>
        <v>#NAME?</v>
      </c>
      <c r="EW530" s="24" t="str">
        <f>IAGSales/Sales</f>
        <v>#NAME?</v>
      </c>
      <c r="EX530" s="410" t="str">
        <f>IAGSales/Sales</f>
        <v>#NAME?</v>
      </c>
      <c r="EY530" s="410" t="str">
        <f>IAGSales/Sales</f>
        <v>#NAME?</v>
      </c>
      <c r="EZ530" s="410" t="str">
        <f>IAGSales/Sales</f>
        <v>#NAME?</v>
      </c>
      <c r="FA530" s="410" t="str">
        <f>IAGSales/Sales</f>
        <v>#NAME?</v>
      </c>
      <c r="FB530" s="24" t="str">
        <f>IAGSales/Sales</f>
        <v>#NAME?</v>
      </c>
      <c r="FC530" s="410" t="str">
        <f>IAGSales/Sales</f>
        <v>#NAME?</v>
      </c>
      <c r="FD530" s="410" t="str">
        <f>IAGSales/Sales</f>
        <v>#NAME?</v>
      </c>
      <c r="FE530" s="410" t="str">
        <f>IAGSales/Sales</f>
        <v>#NAME?</v>
      </c>
      <c r="FF530" s="410" t="str">
        <f>IAGSales/Sales</f>
        <v>#NAME?</v>
      </c>
      <c r="FG530" s="24" t="str">
        <f>IAGSales/Sales</f>
        <v>#NAME?</v>
      </c>
      <c r="FH530" s="104"/>
      <c r="FI530" s="410"/>
      <c r="FJ530" s="410"/>
      <c r="FK530" s="410"/>
      <c r="FL530" s="410"/>
    </row>
    <row r="531" ht="12.75" hidden="1" customHeight="1" outlineLevel="1">
      <c r="A531" s="4"/>
      <c r="B531" s="72" t="str">
        <f t="shared" si="2844"/>
        <v>McAfee</v>
      </c>
      <c r="C531" s="4"/>
      <c r="D531" s="15"/>
      <c r="E531" s="15"/>
      <c r="F531" s="15"/>
      <c r="G531" s="15"/>
      <c r="H531" s="410"/>
      <c r="I531" s="15"/>
      <c r="J531" s="15"/>
      <c r="K531" s="15"/>
      <c r="L531" s="15"/>
      <c r="M531" s="410"/>
      <c r="N531" s="15"/>
      <c r="O531" s="15"/>
      <c r="P531" s="15"/>
      <c r="Q531" s="15"/>
      <c r="R531" s="410"/>
      <c r="S531" s="15"/>
      <c r="T531" s="15"/>
      <c r="U531" s="15"/>
      <c r="V531" s="15"/>
      <c r="W531" s="410"/>
      <c r="X531" s="15"/>
      <c r="Y531" s="15"/>
      <c r="Z531" s="15"/>
      <c r="AA531" s="15"/>
      <c r="AB531" s="410"/>
      <c r="AC531" s="15"/>
      <c r="AD531" s="15"/>
      <c r="AE531" s="15"/>
      <c r="AF531" s="15"/>
      <c r="AG531" s="410"/>
      <c r="AH531" s="15"/>
      <c r="AI531" s="15"/>
      <c r="AJ531" s="15"/>
      <c r="AK531" s="15"/>
      <c r="AL531" s="410"/>
      <c r="AM531" s="15"/>
      <c r="AN531" s="15"/>
      <c r="AO531" s="15"/>
      <c r="AP531" s="15"/>
      <c r="AQ531" s="410"/>
      <c r="AR531" s="15"/>
      <c r="AS531" s="15"/>
      <c r="AT531" s="15"/>
      <c r="AU531" s="15"/>
      <c r="AV531" s="410"/>
      <c r="AW531" s="15"/>
      <c r="AX531" s="15"/>
      <c r="AY531" s="15"/>
      <c r="AZ531" s="15"/>
      <c r="BA531" s="410"/>
      <c r="BB531" s="15"/>
      <c r="BC531" s="15"/>
      <c r="BD531" s="15"/>
      <c r="BE531" s="15"/>
      <c r="BF531" s="410"/>
      <c r="BG531" s="15"/>
      <c r="BH531" s="15"/>
      <c r="BI531" s="15"/>
      <c r="BJ531" s="15"/>
      <c r="BK531" s="410"/>
      <c r="BL531" s="15"/>
      <c r="BM531" s="15"/>
      <c r="BN531" s="15"/>
      <c r="BO531" s="15"/>
      <c r="BP531" s="410"/>
      <c r="BQ531" s="15"/>
      <c r="BR531" s="15"/>
      <c r="BS531" s="15"/>
      <c r="BT531" s="15"/>
      <c r="BU531" s="410"/>
      <c r="BV531" s="15"/>
      <c r="BW531" s="15"/>
      <c r="BX531" s="15"/>
      <c r="BY531" s="15"/>
      <c r="BZ531" s="24"/>
      <c r="CA531" s="15"/>
      <c r="CB531" s="15"/>
      <c r="CC531" s="15"/>
      <c r="CD531" s="15"/>
      <c r="CE531" s="24">
        <f>MFESales/Sales</f>
        <v>0.02825978259</v>
      </c>
      <c r="CF531" s="15">
        <f>MFESales/Sales</f>
        <v>0.03726948706</v>
      </c>
      <c r="CG531" s="15">
        <f>MFESales/Sales</f>
        <v>0.03497992741</v>
      </c>
      <c r="CH531" s="15">
        <f>MFESales/Sales</f>
        <v>0.03684901538</v>
      </c>
      <c r="CI531" s="15">
        <f>MFESales/Sales</f>
        <v>0.03789816102</v>
      </c>
      <c r="CJ531" s="24">
        <f>MFESales/Sales</f>
        <v>0.03674274416</v>
      </c>
      <c r="CK531" s="15">
        <f>MFESales/Sales</f>
        <v>0.03816441217</v>
      </c>
      <c r="CL531" s="15">
        <f>MFESales/Sales</f>
        <v>0.03897530538</v>
      </c>
      <c r="CM531" s="15">
        <f>MFESales/Sales</f>
        <v>0.03814373777</v>
      </c>
      <c r="CN531" s="40">
        <f>MFESales/Sales</f>
        <v>0.04937111465</v>
      </c>
      <c r="CO531" s="24">
        <f>MFESales/Sales</f>
        <v>0.04129758212</v>
      </c>
      <c r="CP531" s="40">
        <f>MFESales/Sales</f>
        <v>0.0433249765</v>
      </c>
      <c r="CQ531" s="15">
        <f>MFESales/Sales</f>
        <v>0.03788590847</v>
      </c>
      <c r="CR531" s="15">
        <f>MFESales/Sales</f>
        <v>0.03708396317</v>
      </c>
      <c r="CS531" s="15">
        <f>MFESales/Sales</f>
        <v>0.03783710346</v>
      </c>
      <c r="CT531" s="24">
        <f>MFESales/Sales</f>
        <v>0.03890674781</v>
      </c>
      <c r="CU531" s="15">
        <f>MFESales/Sales</f>
        <v>0.04178076833</v>
      </c>
      <c r="CV531" s="15">
        <f>MFESales/Sales</f>
        <v>0.03642288746</v>
      </c>
      <c r="CW531" s="15">
        <f>MFESales/Sales</f>
        <v>0.04153128241</v>
      </c>
      <c r="CX531" s="15">
        <f>MFESales/Sales</f>
        <v>0.0414893724</v>
      </c>
      <c r="CY531" s="24">
        <f>MFESales/Sales</f>
        <v>0.04035990425</v>
      </c>
      <c r="CZ531" s="15">
        <f>MFESales/Sales</f>
        <v>0.04483533802</v>
      </c>
      <c r="DA531" s="15">
        <f>MFESales/Sales</f>
        <v>0.04709492906</v>
      </c>
      <c r="DB531" s="15">
        <f>MFESales/Sales</f>
        <v>0.0412018246</v>
      </c>
      <c r="DC531" s="15">
        <f>MFESales/Sales</f>
        <v>0.04009913353</v>
      </c>
      <c r="DD531" s="24">
        <f>MFESales/Sales</f>
        <v>0.0430819651</v>
      </c>
      <c r="DE531" s="15">
        <f>MFESales/Sales</f>
        <v>0.04348820953</v>
      </c>
      <c r="DF531" s="15">
        <f>MFESales/Sales</f>
        <v>0.04489298209</v>
      </c>
      <c r="DG531" s="40">
        <f>MFESales/Sales</f>
        <v>0.0418608085</v>
      </c>
      <c r="DH531" s="15">
        <f>MFESales/Sales</f>
        <v>0.04003813396</v>
      </c>
      <c r="DI531" s="24">
        <f>MFESales/Sales</f>
        <v>0.04246247092</v>
      </c>
      <c r="DJ531" s="40">
        <f>MFESales/Sales</f>
        <v>0.04164788326</v>
      </c>
      <c r="DK531" s="40">
        <f>MFESales/Sales</f>
        <v>0.04063131348</v>
      </c>
      <c r="DL531" s="40">
        <f>MFESales/Sales</f>
        <v>0.03668382331</v>
      </c>
      <c r="DM531" s="15">
        <f>MFESales/Sales</f>
        <v>0.03805551949</v>
      </c>
      <c r="DN531" s="24">
        <f>MFESales/Sales</f>
        <v>0.03911581364</v>
      </c>
      <c r="DO531" s="15">
        <f>MFESales/Sales</f>
        <v>0.04332244509</v>
      </c>
      <c r="DP531" s="15">
        <f>MFESales/Sales</f>
        <v>0.04342174155</v>
      </c>
      <c r="DQ531" s="15">
        <f>MFESales/Sales</f>
        <v>0.03809324446</v>
      </c>
      <c r="DR531" s="15">
        <f>MFESales/Sales</f>
        <v>0.03653419045</v>
      </c>
      <c r="DS531" s="24">
        <f>MFESales/Sales</f>
        <v>0.0400445557</v>
      </c>
      <c r="DT531" s="15">
        <f>MFESales/Sales</f>
        <v>0.03649148001</v>
      </c>
      <c r="DU531" s="15">
        <f>MFESales/Sales</f>
        <v>0.03777674664</v>
      </c>
      <c r="DV531" s="15">
        <f>MFESales/Sales</f>
        <v>0.04146429121</v>
      </c>
      <c r="DW531" s="15">
        <f>MFESales/Sales</f>
        <v>0.03843059862</v>
      </c>
      <c r="DX531" s="24">
        <f>MFESales/Sales</f>
        <v>0.03848541838</v>
      </c>
      <c r="DY531" s="15">
        <f>MFESales/Sales</f>
        <v>0.04052629373</v>
      </c>
      <c r="DZ531" s="15">
        <f>MFESales/Sales</f>
        <v>0.04181640881</v>
      </c>
      <c r="EA531" s="15">
        <f>MFESales/Sales</f>
        <v>0.04370449353</v>
      </c>
      <c r="EB531" s="15">
        <f>MFESales/Sales</f>
        <v>0.04087589628</v>
      </c>
      <c r="EC531" s="24">
        <f>MFESales/Sales</f>
        <v>0.04170702982</v>
      </c>
      <c r="ED531" s="15">
        <f>MFESales/Sales</f>
        <v>0.04263173574</v>
      </c>
      <c r="EE531" s="15">
        <f>MFESales/Sales</f>
        <v>0.0526005387</v>
      </c>
      <c r="EF531" s="15">
        <f>MFESales/Sales</f>
        <v>0.05359308323</v>
      </c>
      <c r="EG531" s="15">
        <f>MFESales/Sales</f>
        <v>0.05912482678</v>
      </c>
      <c r="EH531" s="24">
        <f>MFESales/Sales</f>
        <v>0.05139332362</v>
      </c>
      <c r="EI531" s="82" t="str">
        <f>MFESales/Sales</f>
        <v>#ERROR!</v>
      </c>
      <c r="EJ531" s="15" t="str">
        <f>MFESales/Sales</f>
        <v>#ERROR!</v>
      </c>
      <c r="EK531" s="15" t="str">
        <f>MFESales/Sales</f>
        <v>#ERROR!</v>
      </c>
      <c r="EL531" s="15" t="str">
        <f>MFESales/Sales</f>
        <v>#ERROR!</v>
      </c>
      <c r="EM531" s="24" t="str">
        <f>MFESales/Sales</f>
        <v>#ERROR!</v>
      </c>
      <c r="EN531" s="15" t="str">
        <f>MFESales/Sales</f>
        <v>#ERROR!</v>
      </c>
      <c r="EO531" s="15" t="str">
        <f>MFESales/Sales</f>
        <v>#ERROR!</v>
      </c>
      <c r="EP531" s="15" t="str">
        <f>MFESales/Sales</f>
        <v>#ERROR!</v>
      </c>
      <c r="EQ531" s="15" t="str">
        <f>MFESales/Sales</f>
        <v>#ERROR!</v>
      </c>
      <c r="ER531" s="24" t="str">
        <f>MFESales/Sales</f>
        <v>#ERROR!</v>
      </c>
      <c r="ES531" s="15" t="str">
        <f>MFESales/Sales</f>
        <v>#ERROR!</v>
      </c>
      <c r="ET531" s="15" t="str">
        <f>MFESales/Sales</f>
        <v>#ERROR!</v>
      </c>
      <c r="EU531" s="15" t="str">
        <f>MFESales/Sales</f>
        <v>#ERROR!</v>
      </c>
      <c r="EV531" s="15" t="str">
        <f>MFESales/Sales</f>
        <v>#ERROR!</v>
      </c>
      <c r="EW531" s="24" t="str">
        <f>MFESales/Sales</f>
        <v>#ERROR!</v>
      </c>
      <c r="EX531" s="15" t="str">
        <f>MFESales/Sales</f>
        <v>#ERROR!</v>
      </c>
      <c r="EY531" s="15" t="str">
        <f>MFESales/Sales</f>
        <v>#ERROR!</v>
      </c>
      <c r="EZ531" s="15" t="str">
        <f>MFESales/Sales</f>
        <v>#ERROR!</v>
      </c>
      <c r="FA531" s="15" t="str">
        <f>MFESales/Sales</f>
        <v>#ERROR!</v>
      </c>
      <c r="FB531" s="24" t="str">
        <f>MFESales/Sales</f>
        <v>#ERROR!</v>
      </c>
      <c r="FC531" s="15" t="str">
        <f>MFESales/Sales</f>
        <v>#ERROR!</v>
      </c>
      <c r="FD531" s="15" t="str">
        <f>MFESales/Sales</f>
        <v>#ERROR!</v>
      </c>
      <c r="FE531" s="15" t="str">
        <f>MFESales/Sales</f>
        <v>#ERROR!</v>
      </c>
      <c r="FF531" s="15" t="str">
        <f>MFESales/Sales</f>
        <v>#ERROR!</v>
      </c>
      <c r="FG531" s="24" t="str">
        <f>MFESales/Sales</f>
        <v>#ERROR!</v>
      </c>
      <c r="FH531" s="104"/>
      <c r="FI531" s="15"/>
      <c r="FJ531" s="15"/>
      <c r="FK531" s="410"/>
      <c r="FL531" s="15"/>
    </row>
    <row r="532" ht="12.75" hidden="1" customHeight="1" outlineLevel="1">
      <c r="A532" s="45"/>
      <c r="B532" s="215" t="str">
        <f t="shared" ref="B532:B533" si="2845">B515</f>
        <v>Software and Services Group</v>
      </c>
      <c r="C532" s="45"/>
      <c r="D532" s="410"/>
      <c r="E532" s="410"/>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410"/>
      <c r="AK532" s="410"/>
      <c r="AL532" s="410"/>
      <c r="AM532" s="410"/>
      <c r="AN532" s="410"/>
      <c r="AO532" s="410"/>
      <c r="AP532" s="410"/>
      <c r="AQ532" s="410"/>
      <c r="AR532" s="410"/>
      <c r="AS532" s="410"/>
      <c r="AT532" s="410"/>
      <c r="AU532" s="410"/>
      <c r="AV532" s="410"/>
      <c r="AW532" s="410"/>
      <c r="AX532" s="410"/>
      <c r="AY532" s="410"/>
      <c r="AZ532" s="410"/>
      <c r="BA532" s="410"/>
      <c r="BB532" s="410"/>
      <c r="BC532" s="410"/>
      <c r="BD532" s="410"/>
      <c r="BE532" s="410"/>
      <c r="BF532" s="410"/>
      <c r="BG532" s="410"/>
      <c r="BH532" s="410"/>
      <c r="BI532" s="410"/>
      <c r="BJ532" s="410"/>
      <c r="BK532" s="410"/>
      <c r="BL532" s="410"/>
      <c r="BM532" s="410"/>
      <c r="BN532" s="410"/>
      <c r="BO532" s="410"/>
      <c r="BP532" s="410"/>
      <c r="BQ532" s="410"/>
      <c r="BR532" s="410"/>
      <c r="BS532" s="410"/>
      <c r="BT532" s="410"/>
      <c r="BU532" s="410"/>
      <c r="BV532" s="410"/>
      <c r="BW532" s="410"/>
      <c r="BX532" s="410"/>
      <c r="BY532" s="410"/>
      <c r="BZ532" s="24"/>
      <c r="CA532" s="410"/>
      <c r="CB532" s="410"/>
      <c r="CC532" s="410"/>
      <c r="CD532" s="410"/>
      <c r="CE532" s="24">
        <f>SoftSales/Sales</f>
        <v>0.03463027093</v>
      </c>
      <c r="CF532" s="410">
        <f>SoftSales/Sales</f>
        <v>0.04424298776</v>
      </c>
      <c r="CG532" s="410">
        <f>SoftSales/Sales</f>
        <v>0.04340419228</v>
      </c>
      <c r="CH532" s="410">
        <f>SoftSales/Sales</f>
        <v>0.04369473137</v>
      </c>
      <c r="CI532" s="410">
        <f>SoftSales/Sales</f>
        <v>0.04719151146</v>
      </c>
      <c r="CJ532" s="24">
        <f>SoftSales/Sales</f>
        <v>0.04463733338</v>
      </c>
      <c r="CK532" s="410">
        <f>SoftSales/Sales</f>
        <v>0.04674085851</v>
      </c>
      <c r="CL532" s="410">
        <f>SoftSales/Sales</f>
        <v>0.04761533058</v>
      </c>
      <c r="CM532" s="410">
        <f>SoftSales/Sales</f>
        <v>0.04605799896</v>
      </c>
      <c r="CN532" s="104">
        <f>SoftSales/Sales</f>
        <v>0.04937111465</v>
      </c>
      <c r="CO532" s="24">
        <f>SoftSales/Sales</f>
        <v>0.0474690749</v>
      </c>
      <c r="CP532" s="104">
        <f>SoftSales/Sales</f>
        <v>0.0433249765</v>
      </c>
      <c r="CQ532" s="410">
        <f>SoftSales/Sales</f>
        <v>0.03962114092</v>
      </c>
      <c r="CR532" s="410">
        <f>SoftSales/Sales</f>
        <v>0.03833997526</v>
      </c>
      <c r="CS532" s="410">
        <f>SoftSales/Sales</f>
        <v>0.03783710346</v>
      </c>
      <c r="CT532" s="24">
        <f>SoftSales/Sales</f>
        <v>0.03966350456</v>
      </c>
      <c r="CU532" s="410">
        <f>SoftSales/Sales</f>
        <v>0.04178076833</v>
      </c>
      <c r="CV532" s="410">
        <f>SoftSales/Sales</f>
        <v>0.04043956044</v>
      </c>
      <c r="CW532" s="410">
        <f>SoftSales/Sales</f>
        <v>0.03843760802</v>
      </c>
      <c r="CX532" s="410">
        <f>SoftSales/Sales</f>
        <v>0.03640874346</v>
      </c>
      <c r="CY532" s="24">
        <f>SoftSales/Sales</f>
        <v>0.03914009575</v>
      </c>
      <c r="CZ532" s="410">
        <f>SoftSales/Sales</f>
        <v>0.05280577494</v>
      </c>
      <c r="DA532" s="410">
        <f>SoftSales/Sales</f>
        <v>0.05522320808</v>
      </c>
      <c r="DB532" s="410">
        <f>SoftSales/Sales</f>
        <v>0.04817355739</v>
      </c>
      <c r="DC532" s="410">
        <f>SoftSales/Sales</f>
        <v>0.04681710104</v>
      </c>
      <c r="DD532" s="24">
        <f>SoftSales/Sales</f>
        <v>0.05047866348</v>
      </c>
      <c r="DE532" s="410">
        <f>SoftSales/Sales</f>
        <v>0.05092265127</v>
      </c>
      <c r="DF532" s="410">
        <f>SoftSales/Sales</f>
        <v>0.05234404217</v>
      </c>
      <c r="DG532" s="104">
        <f>SoftSales/Sales</f>
        <v>0.04867237578</v>
      </c>
      <c r="DH532" s="410">
        <f>SoftSales/Sales</f>
        <v>0.04648861188</v>
      </c>
      <c r="DI532" s="24">
        <f>SoftSales/Sales</f>
        <v>0.04947319414</v>
      </c>
      <c r="DJ532" s="104">
        <f>SoftSales/Sales</f>
        <v>0.04849464039</v>
      </c>
      <c r="DK532" s="104">
        <f>SoftSales/Sales</f>
        <v>0.04711639779</v>
      </c>
      <c r="DL532" s="104">
        <f>SoftSales/Sales</f>
        <v>0.04242405187</v>
      </c>
      <c r="DM532" s="410">
        <f>SoftSales/Sales</f>
        <v>0.04395142987</v>
      </c>
      <c r="DN532" s="24">
        <f>SoftSales/Sales</f>
        <v>0.04532629241</v>
      </c>
      <c r="DO532" s="410">
        <f>SoftSales/Sales</f>
        <v>0.0501713337</v>
      </c>
      <c r="DP532" s="410">
        <f>SoftSales/Sales</f>
        <v>0.05008638863</v>
      </c>
      <c r="DQ532" s="410">
        <f>SoftSales/Sales</f>
        <v>0.04382539662</v>
      </c>
      <c r="DR532" s="410">
        <f>SoftSales/Sales</f>
        <v>0.04197730985</v>
      </c>
      <c r="DS532" s="24">
        <f>SoftSales/Sales</f>
        <v>0.04615863893</v>
      </c>
      <c r="DT532" s="410">
        <f>SoftSales/Sales</f>
        <v>0.04203919032</v>
      </c>
      <c r="DU532" s="410">
        <f>SoftSales/Sales</f>
        <v>0.04335257794</v>
      </c>
      <c r="DV532" s="410">
        <f>SoftSales/Sales</f>
        <v>0.0474644003</v>
      </c>
      <c r="DW532" s="410">
        <f>SoftSales/Sales</f>
        <v>0.04393665529</v>
      </c>
      <c r="DX532" s="24">
        <f>SoftSales/Sales</f>
        <v>0.04413607913</v>
      </c>
      <c r="DY532" s="410">
        <f>SoftSales/Sales</f>
        <v>0.04645110252</v>
      </c>
      <c r="DZ532" s="410">
        <f>SoftSales/Sales</f>
        <v>0.04775176735</v>
      </c>
      <c r="EA532" s="410">
        <f>SoftSales/Sales</f>
        <v>0.04978620968</v>
      </c>
      <c r="EB532" s="410">
        <f>SoftSales/Sales</f>
        <v>0.04650768002</v>
      </c>
      <c r="EC532" s="24">
        <f>SoftSales/Sales</f>
        <v>0.04759583841</v>
      </c>
      <c r="ED532" s="410">
        <f>SoftSales/Sales</f>
        <v>0.04862530628</v>
      </c>
      <c r="EE532" s="410">
        <f>SoftSales/Sales</f>
        <v>0.05978022671</v>
      </c>
      <c r="EF532" s="410">
        <f>SoftSales/Sales</f>
        <v>0.06076481357</v>
      </c>
      <c r="EG532" s="410">
        <f>SoftSales/Sales</f>
        <v>0.06695846871</v>
      </c>
      <c r="EH532" s="24">
        <f>SoftSales/Sales</f>
        <v>0.05837146934</v>
      </c>
      <c r="EI532" s="317" t="str">
        <f>SoftSales/Sales</f>
        <v>#ERROR!</v>
      </c>
      <c r="EJ532" s="410" t="str">
        <f>SoftSales/Sales</f>
        <v>#ERROR!</v>
      </c>
      <c r="EK532" s="410" t="str">
        <f>SoftSales/Sales</f>
        <v>#ERROR!</v>
      </c>
      <c r="EL532" s="410" t="str">
        <f>SoftSales/Sales</f>
        <v>#ERROR!</v>
      </c>
      <c r="EM532" s="24" t="str">
        <f>SoftSales/Sales</f>
        <v>#ERROR!</v>
      </c>
      <c r="EN532" s="410" t="str">
        <f>SoftSales/Sales</f>
        <v>#ERROR!</v>
      </c>
      <c r="EO532" s="410" t="str">
        <f>SoftSales/Sales</f>
        <v>#ERROR!</v>
      </c>
      <c r="EP532" s="410" t="str">
        <f>SoftSales/Sales</f>
        <v>#ERROR!</v>
      </c>
      <c r="EQ532" s="410" t="str">
        <f>SoftSales/Sales</f>
        <v>#ERROR!</v>
      </c>
      <c r="ER532" s="24" t="str">
        <f>SoftSales/Sales</f>
        <v>#ERROR!</v>
      </c>
      <c r="ES532" s="410" t="str">
        <f>SoftSales/Sales</f>
        <v>#ERROR!</v>
      </c>
      <c r="ET532" s="410" t="str">
        <f>SoftSales/Sales</f>
        <v>#ERROR!</v>
      </c>
      <c r="EU532" s="410" t="str">
        <f>SoftSales/Sales</f>
        <v>#ERROR!</v>
      </c>
      <c r="EV532" s="410" t="str">
        <f>SoftSales/Sales</f>
        <v>#ERROR!</v>
      </c>
      <c r="EW532" s="24" t="str">
        <f>SoftSales/Sales</f>
        <v>#ERROR!</v>
      </c>
      <c r="EX532" s="410" t="str">
        <f>SoftSales/Sales</f>
        <v>#ERROR!</v>
      </c>
      <c r="EY532" s="410" t="str">
        <f>SoftSales/Sales</f>
        <v>#ERROR!</v>
      </c>
      <c r="EZ532" s="410" t="str">
        <f>SoftSales/Sales</f>
        <v>#ERROR!</v>
      </c>
      <c r="FA532" s="410" t="str">
        <f>SoftSales/Sales</f>
        <v>#ERROR!</v>
      </c>
      <c r="FB532" s="24" t="str">
        <f>SoftSales/Sales</f>
        <v>#ERROR!</v>
      </c>
      <c r="FC532" s="410" t="str">
        <f>SoftSales/Sales</f>
        <v>#ERROR!</v>
      </c>
      <c r="FD532" s="410" t="str">
        <f>SoftSales/Sales</f>
        <v>#ERROR!</v>
      </c>
      <c r="FE532" s="410" t="str">
        <f>SoftSales/Sales</f>
        <v>#ERROR!</v>
      </c>
      <c r="FF532" s="410" t="str">
        <f>SoftSales/Sales</f>
        <v>#ERROR!</v>
      </c>
      <c r="FG532" s="24" t="str">
        <f>SoftSales/Sales</f>
        <v>#ERROR!</v>
      </c>
      <c r="FH532" s="104"/>
      <c r="FI532" s="410"/>
      <c r="FJ532" s="410"/>
      <c r="FK532" s="410"/>
      <c r="FL532" s="410"/>
    </row>
    <row r="533" ht="12.75" hidden="1" customHeight="1" outlineLevel="1">
      <c r="A533" s="4"/>
      <c r="B533" s="72" t="str">
        <f t="shared" si="2845"/>
        <v>NAND Flash</v>
      </c>
      <c r="C533" s="4"/>
      <c r="D533" s="15"/>
      <c r="E533" s="15"/>
      <c r="F533" s="15"/>
      <c r="G533" s="15"/>
      <c r="H533" s="410"/>
      <c r="I533" s="15"/>
      <c r="J533" s="15"/>
      <c r="K533" s="15"/>
      <c r="L533" s="15"/>
      <c r="M533" s="410"/>
      <c r="N533" s="15"/>
      <c r="O533" s="15"/>
      <c r="P533" s="15"/>
      <c r="Q533" s="15"/>
      <c r="R533" s="410"/>
      <c r="S533" s="15"/>
      <c r="T533" s="15"/>
      <c r="U533" s="15"/>
      <c r="V533" s="15"/>
      <c r="W533" s="410"/>
      <c r="X533" s="15"/>
      <c r="Y533" s="15"/>
      <c r="Z533" s="15"/>
      <c r="AA533" s="15"/>
      <c r="AB533" s="410"/>
      <c r="AC533" s="15"/>
      <c r="AD533" s="15"/>
      <c r="AE533" s="15"/>
      <c r="AF533" s="15"/>
      <c r="AG533" s="410"/>
      <c r="AH533" s="15"/>
      <c r="AI533" s="15"/>
      <c r="AJ533" s="15"/>
      <c r="AK533" s="15"/>
      <c r="AL533" s="410"/>
      <c r="AM533" s="15"/>
      <c r="AN533" s="15"/>
      <c r="AO533" s="15"/>
      <c r="AP533" s="15"/>
      <c r="AQ533" s="410"/>
      <c r="AR533" s="15"/>
      <c r="AS533" s="15"/>
      <c r="AT533" s="15"/>
      <c r="AU533" s="15"/>
      <c r="AV533" s="410"/>
      <c r="AW533" s="15"/>
      <c r="AX533" s="15"/>
      <c r="AY533" s="15"/>
      <c r="AZ533" s="15"/>
      <c r="BA533" s="410"/>
      <c r="BB533" s="15"/>
      <c r="BC533" s="15"/>
      <c r="BD533" s="15"/>
      <c r="BE533" s="15"/>
      <c r="BF533" s="410"/>
      <c r="BG533" s="15"/>
      <c r="BH533" s="15"/>
      <c r="BI533" s="15"/>
      <c r="BJ533" s="15"/>
      <c r="BK533" s="410"/>
      <c r="BL533" s="15"/>
      <c r="BM533" s="15"/>
      <c r="BN533" s="15"/>
      <c r="BO533" s="15"/>
      <c r="BP533" s="410"/>
      <c r="BQ533" s="15"/>
      <c r="BR533" s="15"/>
      <c r="BS533" s="15"/>
      <c r="BT533" s="15"/>
      <c r="BU533" s="410"/>
      <c r="BV533" s="15"/>
      <c r="BW533" s="15"/>
      <c r="BX533" s="15"/>
      <c r="BY533" s="15"/>
      <c r="BZ533" s="24"/>
      <c r="CA533" s="15"/>
      <c r="CB533" s="15"/>
      <c r="CC533" s="15"/>
      <c r="CD533" s="15"/>
      <c r="CE533" s="24">
        <f>NANDSales2/Sales</f>
        <v>0.02946350858</v>
      </c>
      <c r="CF533" s="15">
        <f>NANDSales2/Sales</f>
        <v>0.02758406943</v>
      </c>
      <c r="CG533" s="15">
        <f>NANDSales2/Sales</f>
        <v>0.02362787942</v>
      </c>
      <c r="CH533" s="15">
        <f>NANDSales2/Sales</f>
        <v>0.03009586089</v>
      </c>
      <c r="CI533" s="15">
        <f>NANDSales2/Sales</f>
        <v>0.0361356385</v>
      </c>
      <c r="CJ533" s="24">
        <f>NANDSales2/Sales</f>
        <v>0.02937702705</v>
      </c>
      <c r="CK533" s="15">
        <f>NANDSales2/Sales</f>
        <v>0.03473767886</v>
      </c>
      <c r="CL533" s="15">
        <f>NANDSales2/Sales</f>
        <v>0.03247209429</v>
      </c>
      <c r="CM533" s="15">
        <f>NANDSales2/Sales</f>
        <v>0.03678706519</v>
      </c>
      <c r="CN533" s="40">
        <f>NANDSales2/Sales</f>
        <v>0.03527540841</v>
      </c>
      <c r="CO533" s="24">
        <f>NANDSales2/Sales</f>
        <v>0.03485239432</v>
      </c>
      <c r="CP533" s="40">
        <f>NANDSales2/Sales</f>
        <v>0.04269821373</v>
      </c>
      <c r="CQ533" s="15">
        <f>NANDSales2/Sales</f>
        <v>0.03615067602</v>
      </c>
      <c r="CR533" s="15">
        <f>NANDSales2/Sales</f>
        <v>0.04122577985</v>
      </c>
      <c r="CS533" s="15">
        <f>NANDSales2/Sales</f>
        <v>0.04184498336</v>
      </c>
      <c r="CT533" s="24">
        <f>NANDSales2/Sales</f>
        <v>0.04046894577</v>
      </c>
      <c r="CU533" s="15">
        <f>NANDSales2/Sales</f>
        <v>0.0481183006</v>
      </c>
      <c r="CV533" s="15">
        <f>NANDSales2/Sales</f>
        <v>0.05418719212</v>
      </c>
      <c r="CW533" s="15">
        <f>NANDSales2/Sales</f>
        <v>0.04714828897</v>
      </c>
      <c r="CX533" s="15">
        <f>NANDSales2/Sales</f>
        <v>0.04572884538</v>
      </c>
      <c r="CY533" s="24">
        <f>NANDSales2/Sales</f>
        <v>0.04866769036</v>
      </c>
      <c r="CZ533" s="15">
        <f>NANDSales2/Sales</f>
        <v>0.0508992102</v>
      </c>
      <c r="DA533" s="15">
        <f>NANDSales2/Sales</f>
        <v>0.05034997414</v>
      </c>
      <c r="DB533" s="15">
        <f>NANDSales2/Sales</f>
        <v>0.0496637172</v>
      </c>
      <c r="DC533" s="15">
        <f>NANDSales2/Sales</f>
        <v>0.05264159906</v>
      </c>
      <c r="DD533" s="24">
        <f>NANDSales2/Sales</f>
        <v>0.05092616537</v>
      </c>
      <c r="DE533" s="15">
        <f>NANDSales2/Sales</f>
        <v>0.04951747172</v>
      </c>
      <c r="DF533" s="15">
        <f>NANDSales2/Sales</f>
        <v>0.04913187743</v>
      </c>
      <c r="DG533" s="40">
        <f>NANDSales2/Sales</f>
        <v>0.0516523619</v>
      </c>
      <c r="DH533" s="15">
        <f>NANDSales2/Sales</f>
        <v>0.05380562902</v>
      </c>
      <c r="DI533" s="24">
        <f>NANDSales2/Sales</f>
        <v>0.05114124698</v>
      </c>
      <c r="DJ533" s="40">
        <f>NANDSales2/Sales</f>
        <v>0.04854445929</v>
      </c>
      <c r="DK533" s="40">
        <f>NANDSales2/Sales</f>
        <v>0.04460074428</v>
      </c>
      <c r="DL533" s="40">
        <f>NANDSales2/Sales</f>
        <v>0.04539975463</v>
      </c>
      <c r="DM533" s="15">
        <f>NANDSales2/Sales</f>
        <v>0.05129415489</v>
      </c>
      <c r="DN533" s="24">
        <f>NANDSales2/Sales</f>
        <v>0.04747379818</v>
      </c>
      <c r="DO533" s="15">
        <f>NANDSales2/Sales</f>
        <v>0.0506472692</v>
      </c>
      <c r="DP533" s="15">
        <f>NANDSales2/Sales</f>
        <v>0.0478062658</v>
      </c>
      <c r="DQ533" s="15">
        <f>NANDSales2/Sales</f>
        <v>0.04728498069</v>
      </c>
      <c r="DR533" s="15">
        <f>NANDSales2/Sales</f>
        <v>0.04939079902</v>
      </c>
      <c r="DS533" s="24">
        <f>NANDSales2/Sales</f>
        <v>0.0487462745</v>
      </c>
      <c r="DT533" s="15">
        <f>NANDSales2/Sales</f>
        <v>0.04278887729</v>
      </c>
      <c r="DU533" s="15">
        <f>NANDSales2/Sales</f>
        <v>0.04171559829</v>
      </c>
      <c r="DV533" s="15">
        <f>NANDSales2/Sales</f>
        <v>0.05162330887</v>
      </c>
      <c r="DW533" s="15">
        <f>NANDSales2/Sales</f>
        <v>0.05210987755</v>
      </c>
      <c r="DX533" s="24">
        <f>NANDSales2/Sales</f>
        <v>0.04698838323</v>
      </c>
      <c r="DY533" s="15">
        <f>NANDSales2/Sales</f>
        <v>0.04766204156</v>
      </c>
      <c r="DZ533" s="15">
        <f>NANDSales2/Sales</f>
        <v>0.04631450169</v>
      </c>
      <c r="EA533" s="15">
        <f>NANDSales2/Sales</f>
        <v>0.05457503504</v>
      </c>
      <c r="EB533" s="15">
        <f>NANDSales2/Sales</f>
        <v>0.05559126175</v>
      </c>
      <c r="EC533" s="24">
        <f>NANDSales2/Sales</f>
        <v>0.05107400234</v>
      </c>
      <c r="ED533" s="15">
        <f>NANDSales2/Sales</f>
        <v>0.05028808619</v>
      </c>
      <c r="EE533" s="15">
        <f>NANDSales2/Sales</f>
        <v>0.05843281303</v>
      </c>
      <c r="EF533" s="15">
        <f>NANDSales2/Sales</f>
        <v>0.06712325582</v>
      </c>
      <c r="EG533" s="15">
        <f>NANDSales2/Sales</f>
        <v>0.08065020279</v>
      </c>
      <c r="EH533" s="24">
        <f>NANDSales2/Sales</f>
        <v>0.06312387826</v>
      </c>
      <c r="EI533" s="82" t="str">
        <f>NANDSales2/Sales</f>
        <v>#ERROR!</v>
      </c>
      <c r="EJ533" s="15" t="str">
        <f>NANDSales2/Sales</f>
        <v>#ERROR!</v>
      </c>
      <c r="EK533" s="15" t="str">
        <f>NANDSales2/Sales</f>
        <v>#ERROR!</v>
      </c>
      <c r="EL533" s="15" t="str">
        <f>NANDSales2/Sales</f>
        <v>#ERROR!</v>
      </c>
      <c r="EM533" s="24" t="str">
        <f>NANDSales2/Sales</f>
        <v>#ERROR!</v>
      </c>
      <c r="EN533" s="15" t="str">
        <f>NANDSales2/Sales</f>
        <v>#ERROR!</v>
      </c>
      <c r="EO533" s="15" t="str">
        <f>NANDSales2/Sales</f>
        <v>#ERROR!</v>
      </c>
      <c r="EP533" s="15" t="str">
        <f>NANDSales2/Sales</f>
        <v>#ERROR!</v>
      </c>
      <c r="EQ533" s="15" t="str">
        <f>NANDSales2/Sales</f>
        <v>#ERROR!</v>
      </c>
      <c r="ER533" s="24" t="str">
        <f>NANDSales2/Sales</f>
        <v>#ERROR!</v>
      </c>
      <c r="ES533" s="15" t="str">
        <f>NANDSales2/Sales</f>
        <v>#ERROR!</v>
      </c>
      <c r="ET533" s="15" t="str">
        <f>NANDSales2/Sales</f>
        <v>#ERROR!</v>
      </c>
      <c r="EU533" s="15" t="str">
        <f>NANDSales2/Sales</f>
        <v>#ERROR!</v>
      </c>
      <c r="EV533" s="15" t="str">
        <f>NANDSales2/Sales</f>
        <v>#ERROR!</v>
      </c>
      <c r="EW533" s="24" t="str">
        <f>NANDSales2/Sales</f>
        <v>#ERROR!</v>
      </c>
      <c r="EX533" s="15" t="str">
        <f>NANDSales2/Sales</f>
        <v>#ERROR!</v>
      </c>
      <c r="EY533" s="15" t="str">
        <f>NANDSales2/Sales</f>
        <v>#ERROR!</v>
      </c>
      <c r="EZ533" s="15" t="str">
        <f>NANDSales2/Sales</f>
        <v>#ERROR!</v>
      </c>
      <c r="FA533" s="15" t="str">
        <f>NANDSales2/Sales</f>
        <v>#ERROR!</v>
      </c>
      <c r="FB533" s="24" t="str">
        <f>NANDSales2/Sales</f>
        <v>#ERROR!</v>
      </c>
      <c r="FC533" s="15" t="str">
        <f>NANDSales2/Sales</f>
        <v>#ERROR!</v>
      </c>
      <c r="FD533" s="15" t="str">
        <f>NANDSales2/Sales</f>
        <v>#ERROR!</v>
      </c>
      <c r="FE533" s="15" t="str">
        <f>NANDSales2/Sales</f>
        <v>#ERROR!</v>
      </c>
      <c r="FF533" s="15" t="str">
        <f>NANDSales2/Sales</f>
        <v>#ERROR!</v>
      </c>
      <c r="FG533" s="24" t="str">
        <f>NANDSales2/Sales</f>
        <v>#ERROR!</v>
      </c>
      <c r="FH533" s="104"/>
      <c r="FI533" s="15"/>
      <c r="FJ533" s="15"/>
      <c r="FK533" s="410"/>
      <c r="FL533" s="15"/>
    </row>
    <row r="534" ht="12.75" hidden="1" customHeight="1" outlineLevel="1">
      <c r="A534" s="4"/>
      <c r="B534" s="45" t="s">
        <v>289</v>
      </c>
      <c r="C534" s="4"/>
      <c r="D534" s="15"/>
      <c r="E534" s="15"/>
      <c r="F534" s="15"/>
      <c r="G534" s="15"/>
      <c r="H534" s="410"/>
      <c r="I534" s="15"/>
      <c r="J534" s="15"/>
      <c r="K534" s="15"/>
      <c r="L534" s="15"/>
      <c r="M534" s="410"/>
      <c r="N534" s="15"/>
      <c r="O534" s="15"/>
      <c r="P534" s="15"/>
      <c r="Q534" s="15"/>
      <c r="R534" s="410"/>
      <c r="S534" s="15"/>
      <c r="T534" s="15"/>
      <c r="U534" s="15"/>
      <c r="V534" s="15"/>
      <c r="W534" s="410"/>
      <c r="X534" s="15"/>
      <c r="Y534" s="15"/>
      <c r="Z534" s="15"/>
      <c r="AA534" s="15"/>
      <c r="AB534" s="410"/>
      <c r="AC534" s="15"/>
      <c r="AD534" s="15"/>
      <c r="AE534" s="15"/>
      <c r="AF534" s="15"/>
      <c r="AG534" s="410"/>
      <c r="AH534" s="15"/>
      <c r="AI534" s="15"/>
      <c r="AJ534" s="15"/>
      <c r="AK534" s="15"/>
      <c r="AL534" s="410"/>
      <c r="AM534" s="15"/>
      <c r="AN534" s="15"/>
      <c r="AO534" s="15"/>
      <c r="AP534" s="15"/>
      <c r="AQ534" s="410"/>
      <c r="AR534" s="15"/>
      <c r="AS534" s="15"/>
      <c r="AT534" s="15"/>
      <c r="AU534" s="15"/>
      <c r="AV534" s="410"/>
      <c r="AW534" s="15"/>
      <c r="AX534" s="15"/>
      <c r="AY534" s="15"/>
      <c r="AZ534" s="15"/>
      <c r="BA534" s="410"/>
      <c r="BB534" s="15"/>
      <c r="BC534" s="15"/>
      <c r="BD534" s="15"/>
      <c r="BE534" s="15"/>
      <c r="BF534" s="410"/>
      <c r="BG534" s="15"/>
      <c r="BH534" s="15"/>
      <c r="BI534" s="15"/>
      <c r="BJ534" s="15"/>
      <c r="BK534" s="410"/>
      <c r="BL534" s="15"/>
      <c r="BM534" s="15"/>
      <c r="BN534" s="15"/>
      <c r="BO534" s="15"/>
      <c r="BP534" s="410"/>
      <c r="BQ534" s="15"/>
      <c r="BR534" s="15"/>
      <c r="BS534" s="15"/>
      <c r="BT534" s="15"/>
      <c r="BU534" s="410"/>
      <c r="BV534" s="15"/>
      <c r="BW534" s="15"/>
      <c r="BX534" s="15"/>
      <c r="BY534" s="15"/>
      <c r="BZ534" s="24"/>
      <c r="CA534" s="15"/>
      <c r="CB534" s="15"/>
      <c r="CC534" s="15"/>
      <c r="CD534" s="15"/>
      <c r="CE534" s="24"/>
      <c r="CF534" s="15"/>
      <c r="CG534" s="15"/>
      <c r="CH534" s="15"/>
      <c r="CI534" s="15"/>
      <c r="CJ534" s="24"/>
      <c r="CK534" s="15"/>
      <c r="CL534" s="15"/>
      <c r="CM534" s="15"/>
      <c r="CN534" s="40"/>
      <c r="CO534" s="24"/>
      <c r="CP534" s="40"/>
      <c r="CQ534" s="15"/>
      <c r="CR534" s="15"/>
      <c r="CS534" s="15"/>
      <c r="CT534" s="24"/>
      <c r="CU534" s="15"/>
      <c r="CV534" s="15"/>
      <c r="CW534" s="15"/>
      <c r="CX534" s="15"/>
      <c r="CY534" s="24"/>
      <c r="CZ534" s="15">
        <f>ALTR_Sales/Sales</f>
        <v>0.028983407</v>
      </c>
      <c r="DA534" s="15">
        <f>ALTR_Sales/Sales</f>
        <v>0.02955737826</v>
      </c>
      <c r="DB534" s="15">
        <f>ALTR_Sales/Sales</f>
        <v>0.02535175561</v>
      </c>
      <c r="DC534" s="15">
        <f>ALTR_Sales/Sales</f>
        <v>0.02442897276</v>
      </c>
      <c r="DD534" s="313">
        <f>ALTR_Sales/Sales</f>
        <v>0.02689708503</v>
      </c>
      <c r="DE534" s="15">
        <f>ALTR_Sales/Sales</f>
        <v>0.0270343336</v>
      </c>
      <c r="DF534" s="15">
        <f>ALTR_Sales/Sales</f>
        <v>0.02709476394</v>
      </c>
      <c r="DG534" s="40">
        <f>ALTR_Sales/Sales</f>
        <v>0.02476933556</v>
      </c>
      <c r="DH534" s="15">
        <f>ALTR_Sales/Sales</f>
        <v>0.02345628335</v>
      </c>
      <c r="DI534" s="313">
        <f>ALTR_Sales/Sales</f>
        <v>0.02549353898</v>
      </c>
      <c r="DJ534" s="40">
        <f>ALTR_Sales/Sales</f>
        <v>0.02489729864</v>
      </c>
      <c r="DK534" s="40">
        <f>ALTR_Sales/Sales</f>
        <v>0.02358212475</v>
      </c>
      <c r="DL534" s="40">
        <f>ALTR_Sales/Sales</f>
        <v>0.02087355842</v>
      </c>
      <c r="DM534" s="15">
        <f>ALTR_Sales/Sales</f>
        <v>0.02143967412</v>
      </c>
      <c r="DN534" s="313">
        <f>ALTR_Sales/Sales</f>
        <v>0.02258355917</v>
      </c>
      <c r="DO534" s="15">
        <f>ALTR_Sales/Sales</f>
        <v>0.0249050495</v>
      </c>
      <c r="DP534" s="15">
        <f>ALTR_Sales/Sales</f>
        <v>0.02423508028</v>
      </c>
      <c r="DQ534" s="15">
        <f>ALTR_Sales/Sales</f>
        <v>0.02084418968</v>
      </c>
      <c r="DR534" s="15">
        <f>ALTR_Sales/Sales</f>
        <v>0.01979316146</v>
      </c>
      <c r="DS534" s="313">
        <f>ALTR_Sales/Sales</f>
        <v>0.02223302995</v>
      </c>
      <c r="DT534" s="15">
        <f>ALTR_Sales/Sales</f>
        <v>0.02017349203</v>
      </c>
      <c r="DU534" s="15">
        <f>ALTR_Sales/Sales</f>
        <v>0.0202757502</v>
      </c>
      <c r="DV534" s="15">
        <f>ALTR_Sales/Sales</f>
        <v>0.02181857852</v>
      </c>
      <c r="DW534" s="15">
        <f>ALTR_Sales/Sales</f>
        <v>0.02002202423</v>
      </c>
      <c r="DX534" s="313">
        <f>ALTR_Sales/Sales</f>
        <v>0.02054785724</v>
      </c>
      <c r="DY534" s="15">
        <f>ALTR_Sales/Sales</f>
        <v>0.02154475924</v>
      </c>
      <c r="DZ534" s="15">
        <f>ALTR_Sales/Sales</f>
        <v>0.021583122</v>
      </c>
      <c r="EA534" s="15">
        <f>ALTR_Sales/Sales</f>
        <v>0.02211533145</v>
      </c>
      <c r="EB534" s="15">
        <f>ALTR_Sales/Sales</f>
        <v>0.0204792136</v>
      </c>
      <c r="EC534" s="313">
        <f>ALTR_Sales/Sales</f>
        <v>0.02141384941</v>
      </c>
      <c r="ED534" s="15">
        <f>ALTR_Sales/Sales</f>
        <v>0.02179480194</v>
      </c>
      <c r="EE534" s="15">
        <f>ALTR_Sales/Sales</f>
        <v>0.0261079564</v>
      </c>
      <c r="EF534" s="15">
        <f>ALTR_Sales/Sales</f>
        <v>0.02607901943</v>
      </c>
      <c r="EG534" s="15">
        <f>ALTR_Sales/Sales</f>
        <v>0.02848597066</v>
      </c>
      <c r="EH534" s="313">
        <f>ALTR_Sales/Sales</f>
        <v>0.02537507533</v>
      </c>
      <c r="EI534" s="82" t="str">
        <f>ALTR_Sales/Sales</f>
        <v>#ERROR!</v>
      </c>
      <c r="EJ534" s="15" t="str">
        <f>ALTR_Sales/Sales</f>
        <v>#ERROR!</v>
      </c>
      <c r="EK534" s="15" t="str">
        <f>ALTR_Sales/Sales</f>
        <v>#ERROR!</v>
      </c>
      <c r="EL534" s="15" t="str">
        <f>ALTR_Sales/Sales</f>
        <v>#ERROR!</v>
      </c>
      <c r="EM534" s="313" t="str">
        <f>ALTR_Sales/Sales</f>
        <v>#ERROR!</v>
      </c>
      <c r="EN534" s="15" t="str">
        <f>ALTR_Sales/Sales</f>
        <v>#ERROR!</v>
      </c>
      <c r="EO534" s="15" t="str">
        <f>ALTR_Sales/Sales</f>
        <v>#ERROR!</v>
      </c>
      <c r="EP534" s="15" t="str">
        <f>ALTR_Sales/Sales</f>
        <v>#ERROR!</v>
      </c>
      <c r="EQ534" s="15" t="str">
        <f>ALTR_Sales/Sales</f>
        <v>#ERROR!</v>
      </c>
      <c r="ER534" s="313" t="str">
        <f>ALTR_Sales/Sales</f>
        <v>#ERROR!</v>
      </c>
      <c r="ES534" s="15" t="str">
        <f>ALTR_Sales/Sales</f>
        <v>#ERROR!</v>
      </c>
      <c r="ET534" s="15" t="str">
        <f>ALTR_Sales/Sales</f>
        <v>#ERROR!</v>
      </c>
      <c r="EU534" s="15" t="str">
        <f>ALTR_Sales/Sales</f>
        <v>#ERROR!</v>
      </c>
      <c r="EV534" s="15" t="str">
        <f>ALTR_Sales/Sales</f>
        <v>#ERROR!</v>
      </c>
      <c r="EW534" s="313" t="str">
        <f>ALTR_Sales/Sales</f>
        <v>#ERROR!</v>
      </c>
      <c r="EX534" s="15" t="str">
        <f>ALTR_Sales/Sales</f>
        <v>#ERROR!</v>
      </c>
      <c r="EY534" s="15" t="str">
        <f>ALTR_Sales/Sales</f>
        <v>#ERROR!</v>
      </c>
      <c r="EZ534" s="15" t="str">
        <f>ALTR_Sales/Sales</f>
        <v>#ERROR!</v>
      </c>
      <c r="FA534" s="15" t="str">
        <f>ALTR_Sales/Sales</f>
        <v>#ERROR!</v>
      </c>
      <c r="FB534" s="313" t="str">
        <f>ALTR_Sales/Sales</f>
        <v>#ERROR!</v>
      </c>
      <c r="FC534" s="15" t="str">
        <f>ALTR_Sales/Sales</f>
        <v>#ERROR!</v>
      </c>
      <c r="FD534" s="15" t="str">
        <f>ALTR_Sales/Sales</f>
        <v>#ERROR!</v>
      </c>
      <c r="FE534" s="15" t="str">
        <f>ALTR_Sales/Sales</f>
        <v>#ERROR!</v>
      </c>
      <c r="FF534" s="15" t="str">
        <f>ALTR_Sales/Sales</f>
        <v>#ERROR!</v>
      </c>
      <c r="FG534" s="313" t="str">
        <f>ALTR_Sales/Sales</f>
        <v>#ERROR!</v>
      </c>
      <c r="FH534" s="40"/>
      <c r="FI534" s="15"/>
      <c r="FJ534" s="15"/>
      <c r="FK534" s="410"/>
      <c r="FL534" s="15"/>
    </row>
    <row r="535" ht="12.75" hidden="1" customHeight="1" outlineLevel="1">
      <c r="A535" s="45"/>
      <c r="B535" s="215" t="str">
        <f>B518</f>
        <v>All Other</v>
      </c>
      <c r="C535" s="45"/>
      <c r="D535" s="410"/>
      <c r="E535" s="410"/>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410"/>
      <c r="AK535" s="410"/>
      <c r="AL535" s="410"/>
      <c r="AM535" s="410"/>
      <c r="AN535" s="410"/>
      <c r="AO535" s="410"/>
      <c r="AP535" s="410"/>
      <c r="AQ535" s="410"/>
      <c r="AR535" s="410"/>
      <c r="AS535" s="410"/>
      <c r="AT535" s="410"/>
      <c r="AU535" s="410"/>
      <c r="AV535" s="410"/>
      <c r="AW535" s="410"/>
      <c r="AX535" s="410"/>
      <c r="AY535" s="410"/>
      <c r="AZ535" s="410"/>
      <c r="BA535" s="410"/>
      <c r="BB535" s="410"/>
      <c r="BC535" s="410"/>
      <c r="BD535" s="410"/>
      <c r="BE535" s="410"/>
      <c r="BF535" s="410"/>
      <c r="BG535" s="410"/>
      <c r="BH535" s="410"/>
      <c r="BI535" s="410"/>
      <c r="BJ535" s="410"/>
      <c r="BK535" s="410"/>
      <c r="BL535" s="410"/>
      <c r="BM535" s="410"/>
      <c r="BN535" s="410"/>
      <c r="BO535" s="410"/>
      <c r="BP535" s="410"/>
      <c r="BQ535" s="410"/>
      <c r="BR535" s="410"/>
      <c r="BS535" s="410"/>
      <c r="BT535" s="410"/>
      <c r="BU535" s="410"/>
      <c r="BV535" s="410"/>
      <c r="BW535" s="410"/>
      <c r="BX535" s="410"/>
      <c r="BY535" s="410"/>
      <c r="BZ535" s="24"/>
      <c r="CA535" s="410"/>
      <c r="CB535" s="410"/>
      <c r="CC535" s="410"/>
      <c r="CD535" s="410"/>
      <c r="CE535" s="24">
        <f>AllOtherSales/Sales</f>
        <v>0.02942647086</v>
      </c>
      <c r="CF535" s="410">
        <f>AllOtherSales/Sales</f>
        <v>0.02758406943</v>
      </c>
      <c r="CG535" s="410">
        <f>AllOtherSales/Sales</f>
        <v>0.02362787942</v>
      </c>
      <c r="CH535" s="410">
        <f>AllOtherSales/Sales</f>
        <v>0.03009586089</v>
      </c>
      <c r="CI535" s="410">
        <f>AllOtherSales/Sales</f>
        <v>0.0361356385</v>
      </c>
      <c r="CJ535" s="24">
        <f>AllOtherSales/Sales</f>
        <v>0.02937702705</v>
      </c>
      <c r="CK535" s="410">
        <f>AllOtherSales/Sales</f>
        <v>0.03473767886</v>
      </c>
      <c r="CL535" s="410">
        <f>AllOtherSales/Sales</f>
        <v>0.03247209429</v>
      </c>
      <c r="CM535" s="410">
        <f>AllOtherSales/Sales</f>
        <v>0.03678706519</v>
      </c>
      <c r="CN535" s="104">
        <f>AllOtherSales/Sales</f>
        <v>0.03527540841</v>
      </c>
      <c r="CO535" s="24">
        <f>AllOtherSales/Sales</f>
        <v>0.03485239432</v>
      </c>
      <c r="CP535" s="104">
        <f>AllOtherSales/Sales</f>
        <v>0.04269821373</v>
      </c>
      <c r="CQ535" s="410">
        <f>AllOtherSales/Sales</f>
        <v>0.03615067602</v>
      </c>
      <c r="CR535" s="410">
        <f>AllOtherSales/Sales</f>
        <v>0.03950803903</v>
      </c>
      <c r="CS535" s="410">
        <f>AllOtherSales/Sales</f>
        <v>0.04184498336</v>
      </c>
      <c r="CT535" s="24">
        <f>AllOtherSales/Sales</f>
        <v>0.04002147843</v>
      </c>
      <c r="CU535" s="410">
        <f>AllOtherSales/Sales</f>
        <v>0.0481183006</v>
      </c>
      <c r="CV535" s="410">
        <f>AllOtherSales/Sales</f>
        <v>0.05418719212</v>
      </c>
      <c r="CW535" s="410">
        <f>AllOtherSales/Sales</f>
        <v>0.04714828897</v>
      </c>
      <c r="CX535" s="410">
        <f>AllOtherSales/Sales</f>
        <v>0.04572884538</v>
      </c>
      <c r="CY535" s="24">
        <f>AllOtherSales/Sales</f>
        <v>0.04866769036</v>
      </c>
      <c r="CZ535" s="410">
        <f>AllOtherSales/Sales</f>
        <v>0.05162379538</v>
      </c>
      <c r="DA535" s="410">
        <f>AllOtherSales/Sales</f>
        <v>0.05108890859</v>
      </c>
      <c r="DB535" s="410">
        <f>AllOtherSales/Sales</f>
        <v>0.05029751109</v>
      </c>
      <c r="DC535" s="410">
        <f>AllOtherSales/Sales</f>
        <v>0.05325232338</v>
      </c>
      <c r="DD535" s="24">
        <f>AllOtherSales/Sales</f>
        <v>0.05159859249</v>
      </c>
      <c r="DE535" s="410">
        <f>AllOtherSales/Sales</f>
        <v>0.05019333006</v>
      </c>
      <c r="DF535" s="410">
        <f>AllOtherSales/Sales</f>
        <v>0.04980924652</v>
      </c>
      <c r="DG535" s="104">
        <f>AllOtherSales/Sales</f>
        <v>0.05227159529</v>
      </c>
      <c r="DH535" s="410">
        <f>AllOtherSales/Sales</f>
        <v>0.0543920361</v>
      </c>
      <c r="DI535" s="24">
        <f>AllOtherSales/Sales</f>
        <v>0.05177858546</v>
      </c>
      <c r="DJ535" s="104">
        <f>AllOtherSales/Sales</f>
        <v>0.04916689175</v>
      </c>
      <c r="DK535" s="104">
        <f>AllOtherSales/Sales</f>
        <v>0.04519029739</v>
      </c>
      <c r="DL535" s="104">
        <f>AllOtherSales/Sales</f>
        <v>0.0459215936</v>
      </c>
      <c r="DM535" s="410">
        <f>AllOtherSales/Sales</f>
        <v>0.05183014675</v>
      </c>
      <c r="DN535" s="24">
        <f>AllOtherSales/Sales</f>
        <v>0.04803838716</v>
      </c>
      <c r="DO535" s="410">
        <f>AllOtherSales/Sales</f>
        <v>0.05126989544</v>
      </c>
      <c r="DP535" s="410">
        <f>AllOtherSales/Sales</f>
        <v>0.0484121428</v>
      </c>
      <c r="DQ535" s="410">
        <f>AllOtherSales/Sales</f>
        <v>0.04780608544</v>
      </c>
      <c r="DR535" s="410">
        <f>AllOtherSales/Sales</f>
        <v>0.04988562806</v>
      </c>
      <c r="DS535" s="24">
        <f>AllOtherSales/Sales</f>
        <v>0.04930210025</v>
      </c>
      <c r="DT535" s="410">
        <f>AllOtherSales/Sales</f>
        <v>0.04329321459</v>
      </c>
      <c r="DU535" s="410">
        <f>AllOtherSales/Sales</f>
        <v>0.04222249205</v>
      </c>
      <c r="DV535" s="410">
        <f>AllOtherSales/Sales</f>
        <v>0.05216877333</v>
      </c>
      <c r="DW535" s="410">
        <f>AllOtherSales/Sales</f>
        <v>0.05261042816</v>
      </c>
      <c r="DX535" s="24">
        <f>AllOtherSales/Sales</f>
        <v>0.04750207966</v>
      </c>
      <c r="DY535" s="410">
        <f>AllOtherSales/Sales</f>
        <v>0.04820066054</v>
      </c>
      <c r="DZ535" s="410">
        <f>AllOtherSales/Sales</f>
        <v>0.04685407974</v>
      </c>
      <c r="EA535" s="410">
        <f>AllOtherSales/Sales</f>
        <v>0.05512791832</v>
      </c>
      <c r="EB535" s="410">
        <f>AllOtherSales/Sales</f>
        <v>0.05610324209</v>
      </c>
      <c r="EC535" s="24">
        <f>AllOtherSales/Sales</f>
        <v>0.05160934857</v>
      </c>
      <c r="ED535" s="410">
        <f>AllOtherSales/Sales</f>
        <v>0.05083295624</v>
      </c>
      <c r="EE535" s="410">
        <f>AllOtherSales/Sales</f>
        <v>0.05908551194</v>
      </c>
      <c r="EF535" s="410">
        <f>AllOtherSales/Sales</f>
        <v>0.06777523131</v>
      </c>
      <c r="EG535" s="410">
        <f>AllOtherSales/Sales</f>
        <v>0.08136235206</v>
      </c>
      <c r="EH535" s="24">
        <f>AllOtherSales/Sales</f>
        <v>0.06375825514</v>
      </c>
      <c r="EI535" s="317" t="str">
        <f>AllOtherSales/Sales</f>
        <v>#ERROR!</v>
      </c>
      <c r="EJ535" s="410" t="str">
        <f>AllOtherSales/Sales</f>
        <v>#ERROR!</v>
      </c>
      <c r="EK535" s="410" t="str">
        <f>AllOtherSales/Sales</f>
        <v>#ERROR!</v>
      </c>
      <c r="EL535" s="410" t="str">
        <f>AllOtherSales/Sales</f>
        <v>#ERROR!</v>
      </c>
      <c r="EM535" s="24" t="str">
        <f>AllOtherSales/Sales</f>
        <v>#ERROR!</v>
      </c>
      <c r="EN535" s="410" t="str">
        <f>AllOtherSales/Sales</f>
        <v>#ERROR!</v>
      </c>
      <c r="EO535" s="410" t="str">
        <f>AllOtherSales/Sales</f>
        <v>#ERROR!</v>
      </c>
      <c r="EP535" s="410" t="str">
        <f>AllOtherSales/Sales</f>
        <v>#ERROR!</v>
      </c>
      <c r="EQ535" s="410" t="str">
        <f>AllOtherSales/Sales</f>
        <v>#ERROR!</v>
      </c>
      <c r="ER535" s="24" t="str">
        <f>AllOtherSales/Sales</f>
        <v>#ERROR!</v>
      </c>
      <c r="ES535" s="410" t="str">
        <f>AllOtherSales/Sales</f>
        <v>#ERROR!</v>
      </c>
      <c r="ET535" s="410" t="str">
        <f>AllOtherSales/Sales</f>
        <v>#ERROR!</v>
      </c>
      <c r="EU535" s="410" t="str">
        <f>AllOtherSales/Sales</f>
        <v>#ERROR!</v>
      </c>
      <c r="EV535" s="410" t="str">
        <f>AllOtherSales/Sales</f>
        <v>#ERROR!</v>
      </c>
      <c r="EW535" s="24" t="str">
        <f>AllOtherSales/Sales</f>
        <v>#ERROR!</v>
      </c>
      <c r="EX535" s="410" t="str">
        <f>AllOtherSales/Sales</f>
        <v>#ERROR!</v>
      </c>
      <c r="EY535" s="410" t="str">
        <f>AllOtherSales/Sales</f>
        <v>#ERROR!</v>
      </c>
      <c r="EZ535" s="410" t="str">
        <f>AllOtherSales/Sales</f>
        <v>#ERROR!</v>
      </c>
      <c r="FA535" s="410" t="str">
        <f>AllOtherSales/Sales</f>
        <v>#ERROR!</v>
      </c>
      <c r="FB535" s="24" t="str">
        <f>AllOtherSales/Sales</f>
        <v>#ERROR!</v>
      </c>
      <c r="FC535" s="410" t="str">
        <f>AllOtherSales/Sales</f>
        <v>#ERROR!</v>
      </c>
      <c r="FD535" s="410" t="str">
        <f>AllOtherSales/Sales</f>
        <v>#ERROR!</v>
      </c>
      <c r="FE535" s="410" t="str">
        <f>AllOtherSales/Sales</f>
        <v>#ERROR!</v>
      </c>
      <c r="FF535" s="410" t="str">
        <f>AllOtherSales/Sales</f>
        <v>#ERROR!</v>
      </c>
      <c r="FG535" s="24" t="str">
        <f>AllOtherSales/Sales</f>
        <v>#ERROR!</v>
      </c>
      <c r="FH535" s="104"/>
      <c r="FI535" s="410"/>
      <c r="FJ535" s="410"/>
      <c r="FK535" s="410"/>
      <c r="FL535" s="410"/>
    </row>
    <row r="536" ht="12.75" hidden="1" customHeight="1" outlineLevel="1">
      <c r="A536" s="4"/>
      <c r="B536" s="45"/>
      <c r="C536" s="45"/>
      <c r="D536" s="4"/>
      <c r="E536" s="4"/>
      <c r="F536" s="4"/>
      <c r="G536" s="4"/>
      <c r="H536" s="45"/>
      <c r="I536" s="4"/>
      <c r="J536" s="4"/>
      <c r="K536" s="4"/>
      <c r="L536" s="4"/>
      <c r="M536" s="45"/>
      <c r="N536" s="4"/>
      <c r="O536" s="4"/>
      <c r="P536" s="4"/>
      <c r="Q536" s="4"/>
      <c r="R536" s="45"/>
      <c r="S536" s="4"/>
      <c r="T536" s="4"/>
      <c r="U536" s="4"/>
      <c r="V536" s="4"/>
      <c r="W536" s="45"/>
      <c r="X536" s="4"/>
      <c r="Y536" s="4"/>
      <c r="Z536" s="4"/>
      <c r="AA536" s="4"/>
      <c r="AB536" s="45"/>
      <c r="AC536" s="4"/>
      <c r="AD536" s="4"/>
      <c r="AE536" s="4"/>
      <c r="AF536" s="4"/>
      <c r="AG536" s="45"/>
      <c r="AH536" s="4"/>
      <c r="AI536" s="4"/>
      <c r="AJ536" s="4"/>
      <c r="AK536" s="4"/>
      <c r="AL536" s="45"/>
      <c r="AM536" s="4"/>
      <c r="AN536" s="4"/>
      <c r="AO536" s="4"/>
      <c r="AP536" s="4"/>
      <c r="AQ536" s="45"/>
      <c r="AR536" s="4"/>
      <c r="AS536" s="4"/>
      <c r="AT536" s="4"/>
      <c r="AU536" s="4"/>
      <c r="AV536" s="45"/>
      <c r="AW536" s="4"/>
      <c r="AX536" s="4"/>
      <c r="AY536" s="4"/>
      <c r="AZ536" s="4"/>
      <c r="BA536" s="45"/>
      <c r="BB536" s="4"/>
      <c r="BC536" s="4"/>
      <c r="BD536" s="4"/>
      <c r="BE536" s="4"/>
      <c r="BF536" s="45"/>
      <c r="BG536" s="4"/>
      <c r="BH536" s="4"/>
      <c r="BI536" s="4"/>
      <c r="BJ536" s="4"/>
      <c r="BK536" s="45"/>
      <c r="BL536" s="4"/>
      <c r="BM536" s="4"/>
      <c r="BN536" s="4"/>
      <c r="BO536" s="4"/>
      <c r="BP536" s="45"/>
      <c r="BQ536" s="4"/>
      <c r="BR536" s="4"/>
      <c r="BS536" s="4"/>
      <c r="BT536" s="4"/>
      <c r="BU536" s="45"/>
      <c r="BV536" s="4"/>
      <c r="BW536" s="4"/>
      <c r="BX536" s="4"/>
      <c r="BY536" s="4"/>
      <c r="BZ536" s="350"/>
      <c r="CA536" s="4"/>
      <c r="CB536" s="4"/>
      <c r="CC536" s="4"/>
      <c r="CD536" s="4"/>
      <c r="CE536" s="350"/>
      <c r="CF536" s="4"/>
      <c r="CG536" s="4"/>
      <c r="CH536" s="4"/>
      <c r="CI536" s="4"/>
      <c r="CJ536" s="350"/>
      <c r="CK536" s="4"/>
      <c r="CL536" s="4"/>
      <c r="CM536" s="4"/>
      <c r="CN536" s="16"/>
      <c r="CO536" s="350"/>
      <c r="CP536" s="16"/>
      <c r="CQ536" s="4"/>
      <c r="CR536" s="4"/>
      <c r="CS536" s="4"/>
      <c r="CT536" s="350"/>
      <c r="CU536" s="4"/>
      <c r="CV536" s="4"/>
      <c r="CW536" s="4"/>
      <c r="CX536" s="4"/>
      <c r="CY536" s="350"/>
      <c r="CZ536" s="4"/>
      <c r="DA536" s="4"/>
      <c r="DB536" s="4"/>
      <c r="DC536" s="4"/>
      <c r="DD536" s="350"/>
      <c r="DE536" s="4"/>
      <c r="DF536" s="4"/>
      <c r="DG536" s="16"/>
      <c r="DH536" s="4"/>
      <c r="DI536" s="350"/>
      <c r="DJ536" s="16"/>
      <c r="DK536" s="16"/>
      <c r="DL536" s="16"/>
      <c r="DM536" s="4"/>
      <c r="DN536" s="350"/>
      <c r="DO536" s="4"/>
      <c r="DP536" s="4"/>
      <c r="DQ536" s="4"/>
      <c r="DR536" s="4"/>
      <c r="DS536" s="350"/>
      <c r="DT536" s="4"/>
      <c r="DU536" s="4"/>
      <c r="DV536" s="4"/>
      <c r="DW536" s="4"/>
      <c r="DX536" s="350"/>
      <c r="DY536" s="4"/>
      <c r="DZ536" s="4"/>
      <c r="EA536" s="4"/>
      <c r="EB536" s="4"/>
      <c r="EC536" s="350"/>
      <c r="ED536" s="4"/>
      <c r="EE536" s="4"/>
      <c r="EF536" s="4"/>
      <c r="EG536" s="4"/>
      <c r="EH536" s="350"/>
      <c r="EI536" s="214"/>
      <c r="EJ536" s="4"/>
      <c r="EK536" s="4"/>
      <c r="EL536" s="4"/>
      <c r="EM536" s="350"/>
      <c r="EN536" s="4"/>
      <c r="EO536" s="4"/>
      <c r="EP536" s="4"/>
      <c r="EQ536" s="4"/>
      <c r="ER536" s="350"/>
      <c r="ES536" s="4"/>
      <c r="ET536" s="4"/>
      <c r="EU536" s="4"/>
      <c r="EV536" s="4"/>
      <c r="EW536" s="350"/>
      <c r="EX536" s="4"/>
      <c r="EY536" s="4"/>
      <c r="EZ536" s="4"/>
      <c r="FA536" s="4"/>
      <c r="FB536" s="350"/>
      <c r="FC536" s="4"/>
      <c r="FD536" s="4"/>
      <c r="FE536" s="4"/>
      <c r="FF536" s="4"/>
      <c r="FG536" s="350"/>
      <c r="FH536" s="145"/>
      <c r="FI536" s="4"/>
      <c r="FJ536" s="4"/>
      <c r="FK536" s="45"/>
      <c r="FL536" s="4"/>
    </row>
    <row r="537" ht="12.75" hidden="1" customHeight="1" outlineLevel="1">
      <c r="A537" s="4"/>
      <c r="B537" s="578" t="s">
        <v>290</v>
      </c>
      <c r="C537" s="299"/>
      <c r="D537" s="585"/>
      <c r="E537" s="586"/>
      <c r="F537" s="586"/>
      <c r="G537" s="586"/>
      <c r="H537" s="585"/>
      <c r="I537" s="585"/>
      <c r="J537" s="586"/>
      <c r="K537" s="586"/>
      <c r="L537" s="586"/>
      <c r="M537" s="585"/>
      <c r="N537" s="585"/>
      <c r="O537" s="586"/>
      <c r="P537" s="586"/>
      <c r="Q537" s="586"/>
      <c r="R537" s="585"/>
      <c r="S537" s="585"/>
      <c r="T537" s="586"/>
      <c r="U537" s="586"/>
      <c r="V537" s="586"/>
      <c r="W537" s="585"/>
      <c r="X537" s="585"/>
      <c r="Y537" s="586"/>
      <c r="Z537" s="586"/>
      <c r="AA537" s="586"/>
      <c r="AB537" s="585"/>
      <c r="AC537" s="585"/>
      <c r="AD537" s="586"/>
      <c r="AE537" s="586"/>
      <c r="AF537" s="586"/>
      <c r="AG537" s="585"/>
      <c r="AH537" s="585"/>
      <c r="AI537" s="586"/>
      <c r="AJ537" s="586"/>
      <c r="AK537" s="586"/>
      <c r="AL537" s="585"/>
      <c r="AM537" s="585"/>
      <c r="AN537" s="586"/>
      <c r="AO537" s="586"/>
      <c r="AP537" s="586"/>
      <c r="AQ537" s="585"/>
      <c r="AR537" s="585"/>
      <c r="AS537" s="586"/>
      <c r="AT537" s="586"/>
      <c r="AU537" s="586"/>
      <c r="AV537" s="585"/>
      <c r="AW537" s="585"/>
      <c r="AX537" s="586"/>
      <c r="AY537" s="586"/>
      <c r="AZ537" s="586"/>
      <c r="BA537" s="585"/>
      <c r="BB537" s="585"/>
      <c r="BC537" s="586"/>
      <c r="BD537" s="586"/>
      <c r="BE537" s="586"/>
      <c r="BF537" s="585"/>
      <c r="BG537" s="585"/>
      <c r="BH537" s="586"/>
      <c r="BI537" s="586"/>
      <c r="BJ537" s="586"/>
      <c r="BK537" s="585"/>
      <c r="BL537" s="585"/>
      <c r="BM537" s="586"/>
      <c r="BN537" s="586"/>
      <c r="BO537" s="586"/>
      <c r="BP537" s="585"/>
      <c r="BQ537" s="585"/>
      <c r="BR537" s="586"/>
      <c r="BS537" s="586"/>
      <c r="BT537" s="586"/>
      <c r="BU537" s="585"/>
      <c r="BV537" s="585"/>
      <c r="BW537" s="586"/>
      <c r="BX537" s="586"/>
      <c r="BY537" s="586"/>
      <c r="BZ537" s="587"/>
      <c r="CA537" s="585"/>
      <c r="CB537" s="586"/>
      <c r="CC537" s="586"/>
      <c r="CD537" s="586"/>
      <c r="CE537" s="587"/>
      <c r="CF537" s="585"/>
      <c r="CG537" s="586"/>
      <c r="CH537" s="586"/>
      <c r="CI537" s="586"/>
      <c r="CJ537" s="587"/>
      <c r="CK537" s="585"/>
      <c r="CL537" s="586"/>
      <c r="CM537" s="586"/>
      <c r="CN537" s="588"/>
      <c r="CO537" s="587"/>
      <c r="CP537" s="588"/>
      <c r="CQ537" s="586"/>
      <c r="CR537" s="586"/>
      <c r="CS537" s="586"/>
      <c r="CT537" s="587"/>
      <c r="CU537" s="585"/>
      <c r="CV537" s="586"/>
      <c r="CW537" s="586"/>
      <c r="CX537" s="586"/>
      <c r="CY537" s="587"/>
      <c r="CZ537" s="585"/>
      <c r="DA537" s="586"/>
      <c r="DB537" s="586"/>
      <c r="DC537" s="586"/>
      <c r="DD537" s="587"/>
      <c r="DE537" s="585"/>
      <c r="DF537" s="586"/>
      <c r="DG537" s="474"/>
      <c r="DH537" s="586"/>
      <c r="DI537" s="587"/>
      <c r="DJ537" s="589"/>
      <c r="DK537" s="588"/>
      <c r="DL537" s="588"/>
      <c r="DM537" s="586"/>
      <c r="DN537" s="587"/>
      <c r="DO537" s="585"/>
      <c r="DP537" s="586"/>
      <c r="DQ537" s="586"/>
      <c r="DR537" s="586"/>
      <c r="DS537" s="587"/>
      <c r="DT537" s="585"/>
      <c r="DU537" s="585"/>
      <c r="DV537" s="585"/>
      <c r="DW537" s="585"/>
      <c r="DX537" s="587"/>
      <c r="DY537" s="585"/>
      <c r="DZ537" s="585"/>
      <c r="EA537" s="585"/>
      <c r="EB537" s="585"/>
      <c r="EC537" s="587"/>
      <c r="ED537" s="585"/>
      <c r="EE537" s="585"/>
      <c r="EF537" s="585"/>
      <c r="EG537" s="585"/>
      <c r="EH537" s="587"/>
      <c r="EI537" s="590"/>
      <c r="EJ537" s="586"/>
      <c r="EK537" s="586"/>
      <c r="EL537" s="586"/>
      <c r="EM537" s="587"/>
      <c r="EN537" s="585"/>
      <c r="EO537" s="586"/>
      <c r="EP537" s="586"/>
      <c r="EQ537" s="586"/>
      <c r="ER537" s="587"/>
      <c r="ES537" s="585"/>
      <c r="ET537" s="586"/>
      <c r="EU537" s="586"/>
      <c r="EV537" s="586"/>
      <c r="EW537" s="587"/>
      <c r="EX537" s="585"/>
      <c r="EY537" s="586"/>
      <c r="EZ537" s="586"/>
      <c r="FA537" s="586"/>
      <c r="FB537" s="587"/>
      <c r="FC537" s="585"/>
      <c r="FD537" s="586"/>
      <c r="FE537" s="586"/>
      <c r="FF537" s="586"/>
      <c r="FG537" s="587"/>
      <c r="FH537" s="589"/>
      <c r="FI537" s="586"/>
      <c r="FJ537" s="586"/>
      <c r="FK537" s="585"/>
      <c r="FL537" s="585"/>
    </row>
    <row r="538" ht="12.75" hidden="1" customHeight="1" outlineLevel="1">
      <c r="A538" s="4"/>
      <c r="B538" s="72" t="str">
        <f>B273</f>
        <v>Microprocessor Revenue</v>
      </c>
      <c r="C538" s="4"/>
      <c r="D538" s="319"/>
      <c r="E538" s="319"/>
      <c r="F538" s="319"/>
      <c r="G538" s="319"/>
      <c r="H538" s="335"/>
      <c r="I538" s="319"/>
      <c r="J538" s="319"/>
      <c r="K538" s="319"/>
      <c r="L538" s="319"/>
      <c r="M538" s="335"/>
      <c r="N538" s="319"/>
      <c r="O538" s="319"/>
      <c r="P538" s="319"/>
      <c r="Q538" s="319"/>
      <c r="R538" s="335"/>
      <c r="S538" s="319"/>
      <c r="T538" s="319"/>
      <c r="U538" s="319"/>
      <c r="V538" s="319"/>
      <c r="W538" s="335"/>
      <c r="X538" s="319"/>
      <c r="Y538" s="319"/>
      <c r="Z538" s="319"/>
      <c r="AA538" s="319"/>
      <c r="AB538" s="335"/>
      <c r="AC538" s="319"/>
      <c r="AD538" s="319"/>
      <c r="AE538" s="319"/>
      <c r="AF538" s="319"/>
      <c r="AG538" s="335"/>
      <c r="AH538" s="319"/>
      <c r="AI538" s="319"/>
      <c r="AJ538" s="319"/>
      <c r="AK538" s="319"/>
      <c r="AL538" s="335"/>
      <c r="AM538" s="319"/>
      <c r="AN538" s="319"/>
      <c r="AO538" s="319"/>
      <c r="AP538" s="319"/>
      <c r="AQ538" s="335"/>
      <c r="AR538" s="319"/>
      <c r="AS538" s="319"/>
      <c r="AT538" s="319"/>
      <c r="AU538" s="319"/>
      <c r="AV538" s="335"/>
      <c r="AW538" s="319"/>
      <c r="AX538" s="319"/>
      <c r="AY538" s="319"/>
      <c r="AZ538" s="319"/>
      <c r="BA538" s="335"/>
      <c r="BB538" s="319"/>
      <c r="BC538" s="319"/>
      <c r="BD538" s="319"/>
      <c r="BE538" s="319"/>
      <c r="BF538" s="335"/>
      <c r="BG538" s="319"/>
      <c r="BH538" s="319"/>
      <c r="BI538" s="319"/>
      <c r="BJ538" s="319"/>
      <c r="BK538" s="335"/>
      <c r="BL538" s="319"/>
      <c r="BM538" s="319"/>
      <c r="BN538" s="319"/>
      <c r="BO538" s="319"/>
      <c r="BP538" s="335"/>
      <c r="BQ538" s="319"/>
      <c r="BR538" s="319"/>
      <c r="BS538" s="319"/>
      <c r="BT538" s="319"/>
      <c r="BU538" s="335"/>
      <c r="BV538" s="319"/>
      <c r="BW538" s="319"/>
      <c r="BX538" s="319"/>
      <c r="BY538" s="319"/>
      <c r="BZ538" s="342"/>
      <c r="CA538" s="319"/>
      <c r="CB538" s="319"/>
      <c r="CC538" s="319"/>
      <c r="CD538" s="319"/>
      <c r="CE538" s="342"/>
      <c r="CF538" s="319"/>
      <c r="CG538" s="319" t="str">
        <f t="shared" ref="CG538:CI538" si="2846">CG273/CF273-1</f>
        <v>#REF!</v>
      </c>
      <c r="CH538" s="319" t="str">
        <f t="shared" si="2846"/>
        <v>#REF!</v>
      </c>
      <c r="CI538" s="319" t="str">
        <f t="shared" si="2846"/>
        <v>#REF!</v>
      </c>
      <c r="CJ538" s="342"/>
      <c r="CK538" s="319" t="str">
        <f>CK273/CI273-1</f>
        <v>#REF!</v>
      </c>
      <c r="CL538" s="319" t="str">
        <f t="shared" ref="CL538:CN538" si="2847">CL273/CK273-1</f>
        <v>#REF!</v>
      </c>
      <c r="CM538" s="319" t="str">
        <f t="shared" si="2847"/>
        <v>#REF!</v>
      </c>
      <c r="CN538" s="321" t="str">
        <f t="shared" si="2847"/>
        <v>#REF!</v>
      </c>
      <c r="CO538" s="342"/>
      <c r="CP538" s="40" t="str">
        <f>CP273/CN273-1</f>
        <v>#ERROR!</v>
      </c>
      <c r="CQ538" s="15" t="str">
        <f t="shared" ref="CQ538:CS538" si="2848">CQ273/CP273-1</f>
        <v>#ERROR!</v>
      </c>
      <c r="CR538" s="15" t="str">
        <f t="shared" si="2848"/>
        <v>#ERROR!</v>
      </c>
      <c r="CS538" s="15" t="str">
        <f t="shared" si="2848"/>
        <v>#ERROR!</v>
      </c>
      <c r="CT538" s="24"/>
      <c r="CU538" s="15" t="str">
        <f>CU273/CS273-1</f>
        <v>#ERROR!</v>
      </c>
      <c r="CV538" s="15" t="str">
        <f t="shared" ref="CV538:CX538" si="2849">CV273/CU273-1</f>
        <v>#ERROR!</v>
      </c>
      <c r="CW538" s="15" t="str">
        <f t="shared" si="2849"/>
        <v>#ERROR!</v>
      </c>
      <c r="CX538" s="15" t="str">
        <f t="shared" si="2849"/>
        <v>#ERROR!</v>
      </c>
      <c r="CY538" s="24"/>
      <c r="CZ538" s="15" t="str">
        <f>CZ273/CX273-1</f>
        <v>#ERROR!</v>
      </c>
      <c r="DA538" s="15" t="str">
        <f t="shared" ref="DA538:DC538" si="2850">DA273/CZ273-1</f>
        <v>#ERROR!</v>
      </c>
      <c r="DB538" s="15" t="str">
        <f t="shared" si="2850"/>
        <v>#ERROR!</v>
      </c>
      <c r="DC538" s="15" t="str">
        <f t="shared" si="2850"/>
        <v>#ERROR!</v>
      </c>
      <c r="DD538" s="24"/>
      <c r="DE538" s="15" t="str">
        <f>DE273/DC273-1</f>
        <v>#ERROR!</v>
      </c>
      <c r="DF538" s="15" t="str">
        <f t="shared" ref="DF538:DH538" si="2851">DF273/DE273-1</f>
        <v>#ERROR!</v>
      </c>
      <c r="DG538" s="40" t="str">
        <f t="shared" si="2851"/>
        <v>#ERROR!</v>
      </c>
      <c r="DH538" s="15" t="str">
        <f t="shared" si="2851"/>
        <v>#ERROR!</v>
      </c>
      <c r="DI538" s="24"/>
      <c r="DJ538" s="40" t="str">
        <f>DJ273/DH273-1</f>
        <v>#ERROR!</v>
      </c>
      <c r="DK538" s="40" t="str">
        <f t="shared" ref="DK538:DM538" si="2852">DK273/DJ273-1</f>
        <v>#ERROR!</v>
      </c>
      <c r="DL538" s="40" t="str">
        <f t="shared" si="2852"/>
        <v>#ERROR!</v>
      </c>
      <c r="DM538" s="15" t="str">
        <f t="shared" si="2852"/>
        <v>#ERROR!</v>
      </c>
      <c r="DN538" s="24"/>
      <c r="DO538" s="15" t="str">
        <f>DO273/DM273-1</f>
        <v>#ERROR!</v>
      </c>
      <c r="DP538" s="15" t="str">
        <f t="shared" ref="DP538:DR538" si="2853">DP273/DO273-1</f>
        <v>#ERROR!</v>
      </c>
      <c r="DQ538" s="15" t="str">
        <f t="shared" si="2853"/>
        <v>#ERROR!</v>
      </c>
      <c r="DR538" s="15" t="str">
        <f t="shared" si="2853"/>
        <v>#ERROR!</v>
      </c>
      <c r="DS538" s="24"/>
      <c r="DT538" s="15" t="str">
        <f>DT273/DR273-1</f>
        <v>#ERROR!</v>
      </c>
      <c r="DU538" s="15" t="str">
        <f t="shared" ref="DU538:DW538" si="2854">DU273/DT273-1</f>
        <v>#ERROR!</v>
      </c>
      <c r="DV538" s="15" t="str">
        <f t="shared" si="2854"/>
        <v>#ERROR!</v>
      </c>
      <c r="DW538" s="15" t="str">
        <f t="shared" si="2854"/>
        <v>#ERROR!</v>
      </c>
      <c r="DX538" s="24"/>
      <c r="DY538" s="15" t="str">
        <f>DY273/DW273-1</f>
        <v>#ERROR!</v>
      </c>
      <c r="DZ538" s="15" t="str">
        <f t="shared" ref="DZ538:EB538" si="2855">DZ273/DY273-1</f>
        <v>#ERROR!</v>
      </c>
      <c r="EA538" s="15" t="str">
        <f t="shared" si="2855"/>
        <v>#ERROR!</v>
      </c>
      <c r="EB538" s="15" t="str">
        <f t="shared" si="2855"/>
        <v>#ERROR!</v>
      </c>
      <c r="EC538" s="24"/>
      <c r="ED538" s="15" t="str">
        <f>ED273/EB273-1</f>
        <v>#ERROR!</v>
      </c>
      <c r="EE538" s="15" t="str">
        <f t="shared" ref="EE538:EG538" si="2856">EE273/ED273-1</f>
        <v>#ERROR!</v>
      </c>
      <c r="EF538" s="15" t="str">
        <f t="shared" si="2856"/>
        <v>#ERROR!</v>
      </c>
      <c r="EG538" s="15" t="str">
        <f t="shared" si="2856"/>
        <v>#ERROR!</v>
      </c>
      <c r="EH538" s="24"/>
      <c r="EI538" s="82" t="str">
        <f>EI273/EG273-1</f>
        <v>#ERROR!</v>
      </c>
      <c r="EJ538" s="15" t="str">
        <f t="shared" ref="EJ538:EL538" si="2857">EJ273/EI273-1</f>
        <v>#ERROR!</v>
      </c>
      <c r="EK538" s="15" t="str">
        <f t="shared" si="2857"/>
        <v>#ERROR!</v>
      </c>
      <c r="EL538" s="15" t="str">
        <f t="shared" si="2857"/>
        <v>#ERROR!</v>
      </c>
      <c r="EM538" s="24"/>
      <c r="EN538" s="15" t="str">
        <f>EN273/EL273-1</f>
        <v>#ERROR!</v>
      </c>
      <c r="EO538" s="15" t="str">
        <f t="shared" ref="EO538:EQ538" si="2858">EO273/EN273-1</f>
        <v>#ERROR!</v>
      </c>
      <c r="EP538" s="15" t="str">
        <f t="shared" si="2858"/>
        <v>#ERROR!</v>
      </c>
      <c r="EQ538" s="15" t="str">
        <f t="shared" si="2858"/>
        <v>#ERROR!</v>
      </c>
      <c r="ER538" s="24"/>
      <c r="ES538" s="15" t="str">
        <f>ES273/EQ273-1</f>
        <v>#ERROR!</v>
      </c>
      <c r="ET538" s="15" t="str">
        <f t="shared" ref="ET538:EV538" si="2859">ET273/ES273-1</f>
        <v>#ERROR!</v>
      </c>
      <c r="EU538" s="15" t="str">
        <f t="shared" si="2859"/>
        <v>#ERROR!</v>
      </c>
      <c r="EV538" s="15" t="str">
        <f t="shared" si="2859"/>
        <v>#ERROR!</v>
      </c>
      <c r="EW538" s="24"/>
      <c r="EX538" s="15" t="str">
        <f>EX273/EV273-1</f>
        <v>#ERROR!</v>
      </c>
      <c r="EY538" s="15" t="str">
        <f t="shared" ref="EY538:FA538" si="2860">EY273/EX273-1</f>
        <v>#ERROR!</v>
      </c>
      <c r="EZ538" s="15" t="str">
        <f t="shared" si="2860"/>
        <v>#ERROR!</v>
      </c>
      <c r="FA538" s="15" t="str">
        <f t="shared" si="2860"/>
        <v>#ERROR!</v>
      </c>
      <c r="FB538" s="24"/>
      <c r="FC538" s="15" t="str">
        <f>FC273/FA273-1</f>
        <v>#ERROR!</v>
      </c>
      <c r="FD538" s="15" t="str">
        <f t="shared" ref="FD538:FF538" si="2861">FD273/FC273-1</f>
        <v>#ERROR!</v>
      </c>
      <c r="FE538" s="15" t="str">
        <f t="shared" si="2861"/>
        <v>#ERROR!</v>
      </c>
      <c r="FF538" s="15" t="str">
        <f t="shared" si="2861"/>
        <v>#ERROR!</v>
      </c>
      <c r="FG538" s="24"/>
      <c r="FH538" s="104"/>
      <c r="FI538" s="319"/>
      <c r="FJ538" s="319"/>
      <c r="FK538" s="335"/>
      <c r="FL538" s="319"/>
    </row>
    <row r="539" ht="12.75" hidden="1" customHeight="1" outlineLevel="1">
      <c r="A539" s="4"/>
      <c r="B539" s="72" t="str">
        <f>B504</f>
        <v>Chipsets, MBs and other</v>
      </c>
      <c r="C539" s="4"/>
      <c r="D539" s="319"/>
      <c r="E539" s="319"/>
      <c r="F539" s="319"/>
      <c r="G539" s="319"/>
      <c r="H539" s="335"/>
      <c r="I539" s="319"/>
      <c r="J539" s="319"/>
      <c r="K539" s="319"/>
      <c r="L539" s="319"/>
      <c r="M539" s="335"/>
      <c r="N539" s="319"/>
      <c r="O539" s="319"/>
      <c r="P539" s="319"/>
      <c r="Q539" s="319"/>
      <c r="R539" s="335"/>
      <c r="S539" s="319"/>
      <c r="T539" s="319"/>
      <c r="U539" s="319"/>
      <c r="V539" s="319"/>
      <c r="W539" s="335"/>
      <c r="X539" s="319"/>
      <c r="Y539" s="319"/>
      <c r="Z539" s="319"/>
      <c r="AA539" s="319"/>
      <c r="AB539" s="335"/>
      <c r="AC539" s="319"/>
      <c r="AD539" s="319"/>
      <c r="AE539" s="319"/>
      <c r="AF539" s="319"/>
      <c r="AG539" s="335"/>
      <c r="AH539" s="319"/>
      <c r="AI539" s="319"/>
      <c r="AJ539" s="319"/>
      <c r="AK539" s="319"/>
      <c r="AL539" s="335"/>
      <c r="AM539" s="319"/>
      <c r="AN539" s="319"/>
      <c r="AO539" s="319"/>
      <c r="AP539" s="319"/>
      <c r="AQ539" s="335"/>
      <c r="AR539" s="319"/>
      <c r="AS539" s="319"/>
      <c r="AT539" s="319"/>
      <c r="AU539" s="319"/>
      <c r="AV539" s="335"/>
      <c r="AW539" s="319"/>
      <c r="AX539" s="319"/>
      <c r="AY539" s="319"/>
      <c r="AZ539" s="319"/>
      <c r="BA539" s="335"/>
      <c r="BB539" s="319"/>
      <c r="BC539" s="319"/>
      <c r="BD539" s="319"/>
      <c r="BE539" s="319"/>
      <c r="BF539" s="335"/>
      <c r="BG539" s="319"/>
      <c r="BH539" s="319"/>
      <c r="BI539" s="319"/>
      <c r="BJ539" s="319"/>
      <c r="BK539" s="335"/>
      <c r="BL539" s="319"/>
      <c r="BM539" s="319"/>
      <c r="BN539" s="319"/>
      <c r="BO539" s="319"/>
      <c r="BP539" s="335"/>
      <c r="BQ539" s="319"/>
      <c r="BR539" s="319"/>
      <c r="BS539" s="319"/>
      <c r="BT539" s="319"/>
      <c r="BU539" s="335"/>
      <c r="BV539" s="319"/>
      <c r="BW539" s="319"/>
      <c r="BX539" s="319"/>
      <c r="BY539" s="319"/>
      <c r="BZ539" s="342"/>
      <c r="CA539" s="319"/>
      <c r="CB539" s="319"/>
      <c r="CC539" s="319"/>
      <c r="CD539" s="319"/>
      <c r="CE539" s="342"/>
      <c r="CF539" s="319"/>
      <c r="CG539" s="319" t="str">
        <f t="shared" ref="CG539:CI539" si="2862">CG504/CF504-1</f>
        <v>#REF!</v>
      </c>
      <c r="CH539" s="319" t="str">
        <f t="shared" si="2862"/>
        <v>#REF!</v>
      </c>
      <c r="CI539" s="319" t="str">
        <f t="shared" si="2862"/>
        <v>#REF!</v>
      </c>
      <c r="CJ539" s="342"/>
      <c r="CK539" s="319" t="str">
        <f>CK504/CI504-1</f>
        <v>#REF!</v>
      </c>
      <c r="CL539" s="319" t="str">
        <f t="shared" ref="CL539:CN539" si="2863">CL504/CK504-1</f>
        <v>#REF!</v>
      </c>
      <c r="CM539" s="319" t="str">
        <f t="shared" si="2863"/>
        <v>#REF!</v>
      </c>
      <c r="CN539" s="321" t="str">
        <f t="shared" si="2863"/>
        <v>#REF!</v>
      </c>
      <c r="CO539" s="342"/>
      <c r="CP539" s="40" t="str">
        <f>CP504/CN504-1</f>
        <v>#REF!</v>
      </c>
      <c r="CQ539" s="15" t="str">
        <f t="shared" ref="CQ539:CS539" si="2864">CQ504/CP504-1</f>
        <v>#REF!</v>
      </c>
      <c r="CR539" s="15" t="str">
        <f t="shared" si="2864"/>
        <v>#REF!</v>
      </c>
      <c r="CS539" s="15" t="str">
        <f t="shared" si="2864"/>
        <v>#REF!</v>
      </c>
      <c r="CT539" s="24"/>
      <c r="CU539" s="15" t="str">
        <f>CU504/CS504-1</f>
        <v>#REF!</v>
      </c>
      <c r="CV539" s="15" t="str">
        <f t="shared" ref="CV539:CX539" si="2865">CV504/CU504-1</f>
        <v>#REF!</v>
      </c>
      <c r="CW539" s="15" t="str">
        <f t="shared" si="2865"/>
        <v>#REF!</v>
      </c>
      <c r="CX539" s="15" t="str">
        <f t="shared" si="2865"/>
        <v>#REF!</v>
      </c>
      <c r="CY539" s="24"/>
      <c r="CZ539" s="15" t="str">
        <f>CZ504/CX504-1</f>
        <v>#REF!</v>
      </c>
      <c r="DA539" s="15" t="str">
        <f t="shared" ref="DA539:DC539" si="2866">DA504/CZ504-1</f>
        <v>#ERROR!</v>
      </c>
      <c r="DB539" s="15" t="str">
        <f t="shared" si="2866"/>
        <v>#ERROR!</v>
      </c>
      <c r="DC539" s="15" t="str">
        <f t="shared" si="2866"/>
        <v>#ERROR!</v>
      </c>
      <c r="DD539" s="24"/>
      <c r="DE539" s="15" t="str">
        <f>DE504/DC504-1</f>
        <v>#ERROR!</v>
      </c>
      <c r="DF539" s="15" t="str">
        <f t="shared" ref="DF539:DH539" si="2867">DF504/DE504-1</f>
        <v>#ERROR!</v>
      </c>
      <c r="DG539" s="40" t="str">
        <f t="shared" si="2867"/>
        <v>#ERROR!</v>
      </c>
      <c r="DH539" s="15" t="str">
        <f t="shared" si="2867"/>
        <v>#ERROR!</v>
      </c>
      <c r="DI539" s="24"/>
      <c r="DJ539" s="40" t="str">
        <f>DJ504/DH504-1</f>
        <v>#ERROR!</v>
      </c>
      <c r="DK539" s="40" t="str">
        <f t="shared" ref="DK539:DM539" si="2868">DK504/DJ504-1</f>
        <v>#ERROR!</v>
      </c>
      <c r="DL539" s="40" t="str">
        <f t="shared" si="2868"/>
        <v>#ERROR!</v>
      </c>
      <c r="DM539" s="15" t="str">
        <f t="shared" si="2868"/>
        <v>#ERROR!</v>
      </c>
      <c r="DN539" s="24"/>
      <c r="DO539" s="15" t="str">
        <f>DO504/DM504-1</f>
        <v>#ERROR!</v>
      </c>
      <c r="DP539" s="15" t="str">
        <f t="shared" ref="DP539:DR539" si="2869">DP504/DO504-1</f>
        <v>#ERROR!</v>
      </c>
      <c r="DQ539" s="15" t="str">
        <f t="shared" si="2869"/>
        <v>#ERROR!</v>
      </c>
      <c r="DR539" s="15" t="str">
        <f t="shared" si="2869"/>
        <v>#ERROR!</v>
      </c>
      <c r="DS539" s="24"/>
      <c r="DT539" s="15" t="str">
        <f>DT504/DR504-1</f>
        <v>#ERROR!</v>
      </c>
      <c r="DU539" s="15" t="str">
        <f t="shared" ref="DU539:DW539" si="2870">DU504/DT504-1</f>
        <v>#ERROR!</v>
      </c>
      <c r="DV539" s="15" t="str">
        <f t="shared" si="2870"/>
        <v>#ERROR!</v>
      </c>
      <c r="DW539" s="15" t="str">
        <f t="shared" si="2870"/>
        <v>#ERROR!</v>
      </c>
      <c r="DX539" s="24"/>
      <c r="DY539" s="15" t="str">
        <f>DY504/DW504-1</f>
        <v>#ERROR!</v>
      </c>
      <c r="DZ539" s="15" t="str">
        <f t="shared" ref="DZ539:EB539" si="2871">DZ504/DY504-1</f>
        <v>#ERROR!</v>
      </c>
      <c r="EA539" s="15" t="str">
        <f t="shared" si="2871"/>
        <v>#ERROR!</v>
      </c>
      <c r="EB539" s="15" t="str">
        <f t="shared" si="2871"/>
        <v>#ERROR!</v>
      </c>
      <c r="EC539" s="24"/>
      <c r="ED539" s="15" t="str">
        <f>ED504/EB504-1</f>
        <v>#ERROR!</v>
      </c>
      <c r="EE539" s="15" t="str">
        <f t="shared" ref="EE539:EG539" si="2872">EE504/ED504-1</f>
        <v>#ERROR!</v>
      </c>
      <c r="EF539" s="15" t="str">
        <f t="shared" si="2872"/>
        <v>#ERROR!</v>
      </c>
      <c r="EG539" s="15" t="str">
        <f t="shared" si="2872"/>
        <v>#ERROR!</v>
      </c>
      <c r="EH539" s="24"/>
      <c r="EI539" s="82" t="str">
        <f>EI504/EG504-1</f>
        <v>#ERROR!</v>
      </c>
      <c r="EJ539" s="15" t="str">
        <f t="shared" ref="EJ539:EL539" si="2873">EJ504/EI504-1</f>
        <v>#ERROR!</v>
      </c>
      <c r="EK539" s="15" t="str">
        <f t="shared" si="2873"/>
        <v>#ERROR!</v>
      </c>
      <c r="EL539" s="15" t="str">
        <f t="shared" si="2873"/>
        <v>#ERROR!</v>
      </c>
      <c r="EM539" s="24"/>
      <c r="EN539" s="15" t="str">
        <f>EN504/EL504-1</f>
        <v>#ERROR!</v>
      </c>
      <c r="EO539" s="15" t="str">
        <f t="shared" ref="EO539:EQ539" si="2874">EO504/EN504-1</f>
        <v>#ERROR!</v>
      </c>
      <c r="EP539" s="15" t="str">
        <f t="shared" si="2874"/>
        <v>#ERROR!</v>
      </c>
      <c r="EQ539" s="15" t="str">
        <f t="shared" si="2874"/>
        <v>#ERROR!</v>
      </c>
      <c r="ER539" s="24"/>
      <c r="ES539" s="15" t="str">
        <f>ES504/EQ504-1</f>
        <v>#ERROR!</v>
      </c>
      <c r="ET539" s="15" t="str">
        <f t="shared" ref="ET539:EV539" si="2875">ET504/ES504-1</f>
        <v>#ERROR!</v>
      </c>
      <c r="EU539" s="15" t="str">
        <f t="shared" si="2875"/>
        <v>#ERROR!</v>
      </c>
      <c r="EV539" s="15" t="str">
        <f t="shared" si="2875"/>
        <v>#ERROR!</v>
      </c>
      <c r="EW539" s="24"/>
      <c r="EX539" s="15" t="str">
        <f>EX504/EV504-1</f>
        <v>#ERROR!</v>
      </c>
      <c r="EY539" s="15" t="str">
        <f t="shared" ref="EY539:FA539" si="2876">EY504/EX504-1</f>
        <v>#ERROR!</v>
      </c>
      <c r="EZ539" s="15" t="str">
        <f t="shared" si="2876"/>
        <v>#ERROR!</v>
      </c>
      <c r="FA539" s="15" t="str">
        <f t="shared" si="2876"/>
        <v>#ERROR!</v>
      </c>
      <c r="FB539" s="24"/>
      <c r="FC539" s="15" t="str">
        <f>FC504/FA504-1</f>
        <v>#ERROR!</v>
      </c>
      <c r="FD539" s="15" t="str">
        <f t="shared" ref="FD539:FF539" si="2877">FD504/FC504-1</f>
        <v>#ERROR!</v>
      </c>
      <c r="FE539" s="15" t="str">
        <f t="shared" si="2877"/>
        <v>#ERROR!</v>
      </c>
      <c r="FF539" s="15" t="str">
        <f t="shared" si="2877"/>
        <v>#ERROR!</v>
      </c>
      <c r="FG539" s="24"/>
      <c r="FH539" s="104"/>
      <c r="FI539" s="319"/>
      <c r="FJ539" s="319"/>
      <c r="FK539" s="335"/>
      <c r="FL539" s="319"/>
    </row>
    <row r="540" ht="12.75" hidden="1" customHeight="1" outlineLevel="1">
      <c r="A540" s="45"/>
      <c r="B540" s="215" t="str">
        <f>B500</f>
        <v>Client Computing Group</v>
      </c>
      <c r="C540" s="45"/>
      <c r="D540" s="335"/>
      <c r="E540" s="335"/>
      <c r="F540" s="335"/>
      <c r="G540" s="335"/>
      <c r="H540" s="335"/>
      <c r="I540" s="335"/>
      <c r="J540" s="335"/>
      <c r="K540" s="335"/>
      <c r="L540" s="335"/>
      <c r="M540" s="335"/>
      <c r="N540" s="335"/>
      <c r="O540" s="335"/>
      <c r="P540" s="335"/>
      <c r="Q540" s="335"/>
      <c r="R540" s="335"/>
      <c r="S540" s="335"/>
      <c r="T540" s="335"/>
      <c r="U540" s="335"/>
      <c r="V540" s="335"/>
      <c r="W540" s="335"/>
      <c r="X540" s="335"/>
      <c r="Y540" s="335"/>
      <c r="Z540" s="335"/>
      <c r="AA540" s="335"/>
      <c r="AB540" s="335"/>
      <c r="AC540" s="335"/>
      <c r="AD540" s="335"/>
      <c r="AE540" s="335"/>
      <c r="AF540" s="335"/>
      <c r="AG540" s="335"/>
      <c r="AH540" s="335"/>
      <c r="AI540" s="335"/>
      <c r="AJ540" s="335"/>
      <c r="AK540" s="335"/>
      <c r="AL540" s="335"/>
      <c r="AM540" s="335"/>
      <c r="AN540" s="335"/>
      <c r="AO540" s="335"/>
      <c r="AP540" s="335"/>
      <c r="AQ540" s="335"/>
      <c r="AR540" s="335"/>
      <c r="AS540" s="335"/>
      <c r="AT540" s="335"/>
      <c r="AU540" s="335"/>
      <c r="AV540" s="335"/>
      <c r="AW540" s="335"/>
      <c r="AX540" s="335"/>
      <c r="AY540" s="335"/>
      <c r="AZ540" s="335"/>
      <c r="BA540" s="335"/>
      <c r="BB540" s="335"/>
      <c r="BC540" s="335"/>
      <c r="BD540" s="335"/>
      <c r="BE540" s="335"/>
      <c r="BF540" s="335"/>
      <c r="BG540" s="335"/>
      <c r="BH540" s="335"/>
      <c r="BI540" s="335"/>
      <c r="BJ540" s="335"/>
      <c r="BK540" s="335"/>
      <c r="BL540" s="335"/>
      <c r="BM540" s="335"/>
      <c r="BN540" s="335"/>
      <c r="BO540" s="335"/>
      <c r="BP540" s="335"/>
      <c r="BQ540" s="335"/>
      <c r="BR540" s="335"/>
      <c r="BS540" s="335"/>
      <c r="BT540" s="335"/>
      <c r="BU540" s="335"/>
      <c r="BV540" s="335"/>
      <c r="BW540" s="335"/>
      <c r="BX540" s="335"/>
      <c r="BY540" s="335"/>
      <c r="BZ540" s="342"/>
      <c r="CA540" s="335"/>
      <c r="CB540" s="335"/>
      <c r="CC540" s="335"/>
      <c r="CD540" s="335"/>
      <c r="CE540" s="342"/>
      <c r="CF540" s="335"/>
      <c r="CG540" s="335" t="str">
        <f t="shared" ref="CG540:CI540" si="2878">#REF!/#REF!-1</f>
        <v>#REF!</v>
      </c>
      <c r="CH540" s="335" t="str">
        <f t="shared" si="2878"/>
        <v>#REF!</v>
      </c>
      <c r="CI540" s="335" t="str">
        <f t="shared" si="2878"/>
        <v>#REF!</v>
      </c>
      <c r="CJ540" s="342"/>
      <c r="CK540" s="335" t="str">
        <f t="shared" ref="CK540:CN540" si="2879">#REF!/#REF!-1</f>
        <v>#REF!</v>
      </c>
      <c r="CL540" s="335" t="str">
        <f t="shared" si="2879"/>
        <v>#REF!</v>
      </c>
      <c r="CM540" s="335" t="str">
        <f t="shared" si="2879"/>
        <v>#REF!</v>
      </c>
      <c r="CN540" s="343" t="str">
        <f t="shared" si="2879"/>
        <v>#REF!</v>
      </c>
      <c r="CO540" s="342"/>
      <c r="CP540" s="104" t="str">
        <f t="shared" ref="CP540:CS540" si="2880">#REF!/#REF!-1</f>
        <v>#REF!</v>
      </c>
      <c r="CQ540" s="410" t="str">
        <f t="shared" si="2880"/>
        <v>#REF!</v>
      </c>
      <c r="CR540" s="410" t="str">
        <f t="shared" si="2880"/>
        <v>#REF!</v>
      </c>
      <c r="CS540" s="410" t="str">
        <f t="shared" si="2880"/>
        <v>#REF!</v>
      </c>
      <c r="CT540" s="24"/>
      <c r="CU540" s="410" t="str">
        <f t="shared" ref="CU540:CX540" si="2881">#REF!/#REF!-1</f>
        <v>#REF!</v>
      </c>
      <c r="CV540" s="410" t="str">
        <f t="shared" si="2881"/>
        <v>#REF!</v>
      </c>
      <c r="CW540" s="410" t="str">
        <f t="shared" si="2881"/>
        <v>#REF!</v>
      </c>
      <c r="CX540" s="410" t="str">
        <f t="shared" si="2881"/>
        <v>#REF!</v>
      </c>
      <c r="CY540" s="24"/>
      <c r="CZ540" s="410" t="str">
        <f t="shared" ref="CZ540:DC540" si="2882">#REF!/#REF!-1</f>
        <v>#REF!</v>
      </c>
      <c r="DA540" s="410" t="str">
        <f t="shared" si="2882"/>
        <v>#REF!</v>
      </c>
      <c r="DB540" s="410" t="str">
        <f t="shared" si="2882"/>
        <v>#REF!</v>
      </c>
      <c r="DC540" s="410" t="str">
        <f t="shared" si="2882"/>
        <v>#REF!</v>
      </c>
      <c r="DD540" s="24"/>
      <c r="DE540" s="410" t="str">
        <f t="shared" ref="DE540:DH540" si="2883">#REF!/#REF!-1</f>
        <v>#REF!</v>
      </c>
      <c r="DF540" s="410" t="str">
        <f t="shared" si="2883"/>
        <v>#REF!</v>
      </c>
      <c r="DG540" s="104" t="str">
        <f t="shared" si="2883"/>
        <v>#REF!</v>
      </c>
      <c r="DH540" s="410" t="str">
        <f t="shared" si="2883"/>
        <v>#REF!</v>
      </c>
      <c r="DI540" s="24"/>
      <c r="DJ540" s="104" t="str">
        <f t="shared" ref="DJ540:DM540" si="2884">#REF!/#REF!-1</f>
        <v>#REF!</v>
      </c>
      <c r="DK540" s="104" t="str">
        <f t="shared" si="2884"/>
        <v>#REF!</v>
      </c>
      <c r="DL540" s="104" t="str">
        <f t="shared" si="2884"/>
        <v>#REF!</v>
      </c>
      <c r="DM540" s="410" t="str">
        <f t="shared" si="2884"/>
        <v>#REF!</v>
      </c>
      <c r="DN540" s="24"/>
      <c r="DO540" s="410" t="str">
        <f t="shared" ref="DO540:DR540" si="2885">#REF!/#REF!-1</f>
        <v>#REF!</v>
      </c>
      <c r="DP540" s="410" t="str">
        <f t="shared" si="2885"/>
        <v>#REF!</v>
      </c>
      <c r="DQ540" s="410" t="str">
        <f t="shared" si="2885"/>
        <v>#REF!</v>
      </c>
      <c r="DR540" s="410" t="str">
        <f t="shared" si="2885"/>
        <v>#REF!</v>
      </c>
      <c r="DS540" s="24"/>
      <c r="DT540" s="410" t="str">
        <f t="shared" ref="DT540:DW540" si="2886">#REF!/#REF!-1</f>
        <v>#REF!</v>
      </c>
      <c r="DU540" s="410" t="str">
        <f t="shared" si="2886"/>
        <v>#REF!</v>
      </c>
      <c r="DV540" s="410" t="str">
        <f t="shared" si="2886"/>
        <v>#REF!</v>
      </c>
      <c r="DW540" s="410" t="str">
        <f t="shared" si="2886"/>
        <v>#REF!</v>
      </c>
      <c r="DX540" s="24"/>
      <c r="DY540" s="410" t="str">
        <f t="shared" ref="DY540:EB540" si="2887">#REF!/#REF!-1</f>
        <v>#REF!</v>
      </c>
      <c r="DZ540" s="410" t="str">
        <f t="shared" si="2887"/>
        <v>#REF!</v>
      </c>
      <c r="EA540" s="410" t="str">
        <f t="shared" si="2887"/>
        <v>#REF!</v>
      </c>
      <c r="EB540" s="410" t="str">
        <f t="shared" si="2887"/>
        <v>#REF!</v>
      </c>
      <c r="EC540" s="24"/>
      <c r="ED540" s="410" t="str">
        <f t="shared" ref="ED540:EG540" si="2888">#REF!/#REF!-1</f>
        <v>#REF!</v>
      </c>
      <c r="EE540" s="410" t="str">
        <f t="shared" si="2888"/>
        <v>#REF!</v>
      </c>
      <c r="EF540" s="410" t="str">
        <f t="shared" si="2888"/>
        <v>#REF!</v>
      </c>
      <c r="EG540" s="410" t="str">
        <f t="shared" si="2888"/>
        <v>#REF!</v>
      </c>
      <c r="EH540" s="24"/>
      <c r="EI540" s="317" t="str">
        <f t="shared" ref="EI540:EL540" si="2889">#REF!/#REF!-1</f>
        <v>#REF!</v>
      </c>
      <c r="EJ540" s="410" t="str">
        <f t="shared" si="2889"/>
        <v>#REF!</v>
      </c>
      <c r="EK540" s="410" t="str">
        <f t="shared" si="2889"/>
        <v>#REF!</v>
      </c>
      <c r="EL540" s="410" t="str">
        <f t="shared" si="2889"/>
        <v>#REF!</v>
      </c>
      <c r="EM540" s="24"/>
      <c r="EN540" s="410" t="str">
        <f t="shared" ref="EN540:EQ540" si="2890">#REF!/#REF!-1</f>
        <v>#REF!</v>
      </c>
      <c r="EO540" s="410" t="str">
        <f t="shared" si="2890"/>
        <v>#REF!</v>
      </c>
      <c r="EP540" s="410" t="str">
        <f t="shared" si="2890"/>
        <v>#REF!</v>
      </c>
      <c r="EQ540" s="410" t="str">
        <f t="shared" si="2890"/>
        <v>#REF!</v>
      </c>
      <c r="ER540" s="24"/>
      <c r="ES540" s="410" t="str">
        <f t="shared" ref="ES540:EV540" si="2891">#REF!/#REF!-1</f>
        <v>#REF!</v>
      </c>
      <c r="ET540" s="410" t="str">
        <f t="shared" si="2891"/>
        <v>#REF!</v>
      </c>
      <c r="EU540" s="410" t="str">
        <f t="shared" si="2891"/>
        <v>#REF!</v>
      </c>
      <c r="EV540" s="410" t="str">
        <f t="shared" si="2891"/>
        <v>#REF!</v>
      </c>
      <c r="EW540" s="24"/>
      <c r="EX540" s="410" t="str">
        <f t="shared" ref="EX540:FA540" si="2892">#REF!/#REF!-1</f>
        <v>#REF!</v>
      </c>
      <c r="EY540" s="410" t="str">
        <f t="shared" si="2892"/>
        <v>#REF!</v>
      </c>
      <c r="EZ540" s="410" t="str">
        <f t="shared" si="2892"/>
        <v>#REF!</v>
      </c>
      <c r="FA540" s="410" t="str">
        <f t="shared" si="2892"/>
        <v>#REF!</v>
      </c>
      <c r="FB540" s="24"/>
      <c r="FC540" s="410" t="str">
        <f t="shared" ref="FC540:FF540" si="2893">#REF!/#REF!-1</f>
        <v>#REF!</v>
      </c>
      <c r="FD540" s="410" t="str">
        <f t="shared" si="2893"/>
        <v>#REF!</v>
      </c>
      <c r="FE540" s="410" t="str">
        <f t="shared" si="2893"/>
        <v>#REF!</v>
      </c>
      <c r="FF540" s="410" t="str">
        <f t="shared" si="2893"/>
        <v>#REF!</v>
      </c>
      <c r="FG540" s="24"/>
      <c r="FH540" s="104"/>
      <c r="FI540" s="335"/>
      <c r="FJ540" s="335"/>
      <c r="FK540" s="335"/>
      <c r="FL540" s="335"/>
    </row>
    <row r="541" ht="12.75" hidden="1" customHeight="1" outlineLevel="1">
      <c r="A541" s="4"/>
      <c r="B541" s="72" t="str">
        <f t="shared" ref="B541:B543" si="2910">B506</f>
        <v>Processors</v>
      </c>
      <c r="C541" s="4"/>
      <c r="D541" s="319"/>
      <c r="E541" s="319"/>
      <c r="F541" s="319"/>
      <c r="G541" s="319"/>
      <c r="H541" s="335"/>
      <c r="I541" s="319"/>
      <c r="J541" s="319"/>
      <c r="K541" s="319"/>
      <c r="L541" s="319"/>
      <c r="M541" s="335"/>
      <c r="N541" s="319"/>
      <c r="O541" s="319"/>
      <c r="P541" s="319"/>
      <c r="Q541" s="319"/>
      <c r="R541" s="335"/>
      <c r="S541" s="319"/>
      <c r="T541" s="319"/>
      <c r="U541" s="319"/>
      <c r="V541" s="319"/>
      <c r="W541" s="335"/>
      <c r="X541" s="319"/>
      <c r="Y541" s="319"/>
      <c r="Z541" s="319"/>
      <c r="AA541" s="319"/>
      <c r="AB541" s="335"/>
      <c r="AC541" s="319"/>
      <c r="AD541" s="319"/>
      <c r="AE541" s="319"/>
      <c r="AF541" s="319"/>
      <c r="AG541" s="335"/>
      <c r="AH541" s="319"/>
      <c r="AI541" s="319"/>
      <c r="AJ541" s="319"/>
      <c r="AK541" s="319"/>
      <c r="AL541" s="335"/>
      <c r="AM541" s="319"/>
      <c r="AN541" s="319"/>
      <c r="AO541" s="319"/>
      <c r="AP541" s="319"/>
      <c r="AQ541" s="335"/>
      <c r="AR541" s="319"/>
      <c r="AS541" s="319"/>
      <c r="AT541" s="319"/>
      <c r="AU541" s="319"/>
      <c r="AV541" s="335"/>
      <c r="AW541" s="319"/>
      <c r="AX541" s="319"/>
      <c r="AY541" s="319"/>
      <c r="AZ541" s="319"/>
      <c r="BA541" s="335"/>
      <c r="BB541" s="319"/>
      <c r="BC541" s="319"/>
      <c r="BD541" s="319"/>
      <c r="BE541" s="319"/>
      <c r="BF541" s="335"/>
      <c r="BG541" s="319"/>
      <c r="BH541" s="319"/>
      <c r="BI541" s="319"/>
      <c r="BJ541" s="319"/>
      <c r="BK541" s="335"/>
      <c r="BL541" s="319"/>
      <c r="BM541" s="319"/>
      <c r="BN541" s="319"/>
      <c r="BO541" s="319"/>
      <c r="BP541" s="335"/>
      <c r="BQ541" s="319"/>
      <c r="BR541" s="319"/>
      <c r="BS541" s="319"/>
      <c r="BT541" s="319"/>
      <c r="BU541" s="335"/>
      <c r="BV541" s="319"/>
      <c r="BW541" s="319"/>
      <c r="BX541" s="319"/>
      <c r="BY541" s="319"/>
      <c r="BZ541" s="342"/>
      <c r="CA541" s="319"/>
      <c r="CB541" s="319"/>
      <c r="CC541" s="319"/>
      <c r="CD541" s="319"/>
      <c r="CE541" s="342"/>
      <c r="CF541" s="319"/>
      <c r="CG541" s="319">
        <f t="shared" ref="CG541:CI541" si="2894">CG506/CF506-1</f>
        <v>0.1659043659</v>
      </c>
      <c r="CH541" s="319">
        <f t="shared" si="2894"/>
        <v>-0.07417974322</v>
      </c>
      <c r="CI541" s="319">
        <f t="shared" si="2894"/>
        <v>0.06933744222</v>
      </c>
      <c r="CJ541" s="342"/>
      <c r="CK541" s="319">
        <f t="shared" ref="CK541:CK543" si="2912">CK506/CI506-1</f>
        <v>-0.06880403458</v>
      </c>
      <c r="CL541" s="319">
        <f t="shared" ref="CL541:CN541" si="2895">CL506/CK506-1</f>
        <v>0.06112185687</v>
      </c>
      <c r="CM541" s="319">
        <f t="shared" si="2895"/>
        <v>0.06161137441</v>
      </c>
      <c r="CN541" s="321">
        <f t="shared" si="2895"/>
        <v>0.02953296703</v>
      </c>
      <c r="CO541" s="342"/>
      <c r="CP541" s="40" t="str">
        <f t="shared" ref="CP541:CP543" si="2914">CP506/CN506-1</f>
        <v>#ERROR!</v>
      </c>
      <c r="CQ541" s="15" t="str">
        <f t="shared" ref="CQ541:CS541" si="2896">CQ506/CP506-1</f>
        <v>#ERROR!</v>
      </c>
      <c r="CR541" s="15" t="str">
        <f t="shared" si="2896"/>
        <v>#ERROR!</v>
      </c>
      <c r="CS541" s="15" t="str">
        <f t="shared" si="2896"/>
        <v>#ERROR!</v>
      </c>
      <c r="CT541" s="24"/>
      <c r="CU541" s="15" t="str">
        <f t="shared" ref="CU541:CU543" si="2916">CU506/CS506-1</f>
        <v>#ERROR!</v>
      </c>
      <c r="CV541" s="15" t="str">
        <f t="shared" ref="CV541:CX541" si="2897">CV506/CU506-1</f>
        <v>#ERROR!</v>
      </c>
      <c r="CW541" s="15" t="str">
        <f t="shared" si="2897"/>
        <v>#ERROR!</v>
      </c>
      <c r="CX541" s="15" t="str">
        <f t="shared" si="2897"/>
        <v>#ERROR!</v>
      </c>
      <c r="CY541" s="24"/>
      <c r="CZ541" s="15" t="str">
        <f t="shared" ref="CZ541:CZ543" si="2918">CZ506/CX506-1</f>
        <v>#ERROR!</v>
      </c>
      <c r="DA541" s="15" t="str">
        <f t="shared" ref="DA541:DC541" si="2898">DA506/CZ506-1</f>
        <v>#ERROR!</v>
      </c>
      <c r="DB541" s="15" t="str">
        <f t="shared" si="2898"/>
        <v>#ERROR!</v>
      </c>
      <c r="DC541" s="15" t="str">
        <f t="shared" si="2898"/>
        <v>#ERROR!</v>
      </c>
      <c r="DD541" s="24"/>
      <c r="DE541" s="15" t="str">
        <f t="shared" ref="DE541:DE543" si="2920">DE506/DC506-1</f>
        <v>#ERROR!</v>
      </c>
      <c r="DF541" s="15" t="str">
        <f t="shared" ref="DF541:DH541" si="2899">DF506/DE506-1</f>
        <v>#ERROR!</v>
      </c>
      <c r="DG541" s="40" t="str">
        <f t="shared" si="2899"/>
        <v>#ERROR!</v>
      </c>
      <c r="DH541" s="15" t="str">
        <f t="shared" si="2899"/>
        <v>#ERROR!</v>
      </c>
      <c r="DI541" s="24"/>
      <c r="DJ541" s="40" t="str">
        <f t="shared" ref="DJ541:DJ543" si="2922">DJ506/DH506-1</f>
        <v>#ERROR!</v>
      </c>
      <c r="DK541" s="40" t="str">
        <f t="shared" ref="DK541:DM541" si="2900">DK506/DJ506-1</f>
        <v>#ERROR!</v>
      </c>
      <c r="DL541" s="40" t="str">
        <f t="shared" si="2900"/>
        <v>#ERROR!</v>
      </c>
      <c r="DM541" s="15" t="str">
        <f t="shared" si="2900"/>
        <v>#ERROR!</v>
      </c>
      <c r="DN541" s="24"/>
      <c r="DO541" s="15" t="str">
        <f t="shared" ref="DO541:DO543" si="2924">DO506/DM506-1</f>
        <v>#ERROR!</v>
      </c>
      <c r="DP541" s="15" t="str">
        <f t="shared" ref="DP541:DR541" si="2901">DP506/DO506-1</f>
        <v>#ERROR!</v>
      </c>
      <c r="DQ541" s="15" t="str">
        <f t="shared" si="2901"/>
        <v>#ERROR!</v>
      </c>
      <c r="DR541" s="15" t="str">
        <f t="shared" si="2901"/>
        <v>#ERROR!</v>
      </c>
      <c r="DS541" s="24"/>
      <c r="DT541" s="15" t="str">
        <f t="shared" ref="DT541:DT543" si="2926">DT506/DR506-1</f>
        <v>#ERROR!</v>
      </c>
      <c r="DU541" s="15" t="str">
        <f t="shared" ref="DU541:DW541" si="2902">DU506/DT506-1</f>
        <v>#ERROR!</v>
      </c>
      <c r="DV541" s="15" t="str">
        <f t="shared" si="2902"/>
        <v>#ERROR!</v>
      </c>
      <c r="DW541" s="15" t="str">
        <f t="shared" si="2902"/>
        <v>#ERROR!</v>
      </c>
      <c r="DX541" s="24"/>
      <c r="DY541" s="15" t="str">
        <f t="shared" ref="DY541:DY543" si="2928">DY506/DW506-1</f>
        <v>#ERROR!</v>
      </c>
      <c r="DZ541" s="15" t="str">
        <f t="shared" ref="DZ541:EB541" si="2903">DZ506/DY506-1</f>
        <v>#ERROR!</v>
      </c>
      <c r="EA541" s="15" t="str">
        <f t="shared" si="2903"/>
        <v>#ERROR!</v>
      </c>
      <c r="EB541" s="15" t="str">
        <f t="shared" si="2903"/>
        <v>#ERROR!</v>
      </c>
      <c r="EC541" s="24"/>
      <c r="ED541" s="15" t="str">
        <f t="shared" ref="ED541:ED543" si="2930">ED506/EB506-1</f>
        <v>#ERROR!</v>
      </c>
      <c r="EE541" s="15" t="str">
        <f t="shared" ref="EE541:EG541" si="2904">EE506/ED506-1</f>
        <v>#ERROR!</v>
      </c>
      <c r="EF541" s="15" t="str">
        <f t="shared" si="2904"/>
        <v>#ERROR!</v>
      </c>
      <c r="EG541" s="15" t="str">
        <f t="shared" si="2904"/>
        <v>#ERROR!</v>
      </c>
      <c r="EH541" s="24"/>
      <c r="EI541" s="82" t="str">
        <f t="shared" ref="EI541:EI543" si="2932">EI506/EG506-1</f>
        <v>#ERROR!</v>
      </c>
      <c r="EJ541" s="15" t="str">
        <f t="shared" ref="EJ541:EL541" si="2905">EJ506/EI506-1</f>
        <v>#ERROR!</v>
      </c>
      <c r="EK541" s="15" t="str">
        <f t="shared" si="2905"/>
        <v>#ERROR!</v>
      </c>
      <c r="EL541" s="15" t="str">
        <f t="shared" si="2905"/>
        <v>#ERROR!</v>
      </c>
      <c r="EM541" s="24"/>
      <c r="EN541" s="15" t="str">
        <f t="shared" ref="EN541:EN543" si="2934">EN506/EL506-1</f>
        <v>#ERROR!</v>
      </c>
      <c r="EO541" s="15" t="str">
        <f t="shared" ref="EO541:EQ541" si="2906">EO506/EN506-1</f>
        <v>#ERROR!</v>
      </c>
      <c r="EP541" s="15" t="str">
        <f t="shared" si="2906"/>
        <v>#ERROR!</v>
      </c>
      <c r="EQ541" s="15" t="str">
        <f t="shared" si="2906"/>
        <v>#ERROR!</v>
      </c>
      <c r="ER541" s="24"/>
      <c r="ES541" s="15" t="str">
        <f t="shared" ref="ES541:ES543" si="2936">ES506/EQ506-1</f>
        <v>#ERROR!</v>
      </c>
      <c r="ET541" s="15" t="str">
        <f t="shared" ref="ET541:EV541" si="2907">ET506/ES506-1</f>
        <v>#ERROR!</v>
      </c>
      <c r="EU541" s="15" t="str">
        <f t="shared" si="2907"/>
        <v>#ERROR!</v>
      </c>
      <c r="EV541" s="15" t="str">
        <f t="shared" si="2907"/>
        <v>#ERROR!</v>
      </c>
      <c r="EW541" s="24"/>
      <c r="EX541" s="15" t="str">
        <f t="shared" ref="EX541:EX543" si="2938">EX506/EV506-1</f>
        <v>#ERROR!</v>
      </c>
      <c r="EY541" s="15" t="str">
        <f t="shared" ref="EY541:FA541" si="2908">EY506/EX506-1</f>
        <v>#ERROR!</v>
      </c>
      <c r="EZ541" s="15" t="str">
        <f t="shared" si="2908"/>
        <v>#ERROR!</v>
      </c>
      <c r="FA541" s="15" t="str">
        <f t="shared" si="2908"/>
        <v>#ERROR!</v>
      </c>
      <c r="FB541" s="24"/>
      <c r="FC541" s="15" t="str">
        <f t="shared" ref="FC541:FC543" si="2940">FC506/FA506-1</f>
        <v>#ERROR!</v>
      </c>
      <c r="FD541" s="15" t="str">
        <f t="shared" ref="FD541:FF541" si="2909">FD506/FC506-1</f>
        <v>#ERROR!</v>
      </c>
      <c r="FE541" s="15" t="str">
        <f t="shared" si="2909"/>
        <v>#ERROR!</v>
      </c>
      <c r="FF541" s="15" t="str">
        <f t="shared" si="2909"/>
        <v>#ERROR!</v>
      </c>
      <c r="FG541" s="24"/>
      <c r="FH541" s="104"/>
      <c r="FI541" s="319"/>
      <c r="FJ541" s="319"/>
      <c r="FK541" s="335"/>
      <c r="FL541" s="319"/>
    </row>
    <row r="542" ht="12.75" hidden="1" customHeight="1" outlineLevel="1">
      <c r="A542" s="4"/>
      <c r="B542" s="72" t="str">
        <f t="shared" si="2910"/>
        <v>Chipsets, MBs and other</v>
      </c>
      <c r="C542" s="4"/>
      <c r="D542" s="319"/>
      <c r="E542" s="319"/>
      <c r="F542" s="319"/>
      <c r="G542" s="319"/>
      <c r="H542" s="335"/>
      <c r="I542" s="319"/>
      <c r="J542" s="319"/>
      <c r="K542" s="319"/>
      <c r="L542" s="319"/>
      <c r="M542" s="335"/>
      <c r="N542" s="319"/>
      <c r="O542" s="319"/>
      <c r="P542" s="319"/>
      <c r="Q542" s="319"/>
      <c r="R542" s="335"/>
      <c r="S542" s="319"/>
      <c r="T542" s="319"/>
      <c r="U542" s="319"/>
      <c r="V542" s="319"/>
      <c r="W542" s="335"/>
      <c r="X542" s="319"/>
      <c r="Y542" s="319"/>
      <c r="Z542" s="319"/>
      <c r="AA542" s="319"/>
      <c r="AB542" s="335"/>
      <c r="AC542" s="319"/>
      <c r="AD542" s="319"/>
      <c r="AE542" s="319"/>
      <c r="AF542" s="319"/>
      <c r="AG542" s="335"/>
      <c r="AH542" s="319"/>
      <c r="AI542" s="319"/>
      <c r="AJ542" s="319"/>
      <c r="AK542" s="319"/>
      <c r="AL542" s="335"/>
      <c r="AM542" s="319"/>
      <c r="AN542" s="319"/>
      <c r="AO542" s="319"/>
      <c r="AP542" s="319"/>
      <c r="AQ542" s="335"/>
      <c r="AR542" s="319"/>
      <c r="AS542" s="319"/>
      <c r="AT542" s="319"/>
      <c r="AU542" s="319"/>
      <c r="AV542" s="335"/>
      <c r="AW542" s="319"/>
      <c r="AX542" s="319"/>
      <c r="AY542" s="319"/>
      <c r="AZ542" s="319"/>
      <c r="BA542" s="335"/>
      <c r="BB542" s="319"/>
      <c r="BC542" s="319"/>
      <c r="BD542" s="319"/>
      <c r="BE542" s="319"/>
      <c r="BF542" s="335"/>
      <c r="BG542" s="319"/>
      <c r="BH542" s="319"/>
      <c r="BI542" s="319"/>
      <c r="BJ542" s="319"/>
      <c r="BK542" s="335"/>
      <c r="BL542" s="319"/>
      <c r="BM542" s="319"/>
      <c r="BN542" s="319"/>
      <c r="BO542" s="319"/>
      <c r="BP542" s="335"/>
      <c r="BQ542" s="319"/>
      <c r="BR542" s="319"/>
      <c r="BS542" s="319"/>
      <c r="BT542" s="319"/>
      <c r="BU542" s="335"/>
      <c r="BV542" s="319"/>
      <c r="BW542" s="319"/>
      <c r="BX542" s="319"/>
      <c r="BY542" s="319"/>
      <c r="BZ542" s="342"/>
      <c r="CA542" s="319"/>
      <c r="CB542" s="319"/>
      <c r="CC542" s="319"/>
      <c r="CD542" s="319"/>
      <c r="CE542" s="342"/>
      <c r="CF542" s="319"/>
      <c r="CG542" s="319">
        <f t="shared" ref="CG542:CI542" si="2911">CG507/CF507-1</f>
        <v>0.1659043659</v>
      </c>
      <c r="CH542" s="319">
        <f t="shared" si="2911"/>
        <v>-0.07417974322</v>
      </c>
      <c r="CI542" s="319">
        <f t="shared" si="2911"/>
        <v>0.06933744222</v>
      </c>
      <c r="CJ542" s="342"/>
      <c r="CK542" s="319">
        <f t="shared" si="2912"/>
        <v>-0.06880403458</v>
      </c>
      <c r="CL542" s="319">
        <f t="shared" ref="CL542:CN542" si="2913">CL507/CK507-1</f>
        <v>0.06112185687</v>
      </c>
      <c r="CM542" s="319">
        <f t="shared" si="2913"/>
        <v>0.06161137441</v>
      </c>
      <c r="CN542" s="321">
        <f t="shared" si="2913"/>
        <v>0.02953296703</v>
      </c>
      <c r="CO542" s="342"/>
      <c r="CP542" s="40" t="str">
        <f t="shared" si="2914"/>
        <v>#ERROR!</v>
      </c>
      <c r="CQ542" s="15" t="str">
        <f t="shared" ref="CQ542:CS542" si="2915">CQ507/CP507-1</f>
        <v>#ERROR!</v>
      </c>
      <c r="CR542" s="15" t="str">
        <f t="shared" si="2915"/>
        <v>#ERROR!</v>
      </c>
      <c r="CS542" s="15" t="str">
        <f t="shared" si="2915"/>
        <v>#ERROR!</v>
      </c>
      <c r="CT542" s="24"/>
      <c r="CU542" s="15" t="str">
        <f t="shared" si="2916"/>
        <v>#ERROR!</v>
      </c>
      <c r="CV542" s="15" t="str">
        <f t="shared" ref="CV542:CX542" si="2917">CV507/CU507-1</f>
        <v>#ERROR!</v>
      </c>
      <c r="CW542" s="15" t="str">
        <f t="shared" si="2917"/>
        <v>#ERROR!</v>
      </c>
      <c r="CX542" s="15" t="str">
        <f t="shared" si="2917"/>
        <v>#ERROR!</v>
      </c>
      <c r="CY542" s="24"/>
      <c r="CZ542" s="15" t="str">
        <f t="shared" si="2918"/>
        <v>#ERROR!</v>
      </c>
      <c r="DA542" s="15" t="str">
        <f t="shared" ref="DA542:DC542" si="2919">DA507/CZ507-1</f>
        <v>#ERROR!</v>
      </c>
      <c r="DB542" s="15" t="str">
        <f t="shared" si="2919"/>
        <v>#ERROR!</v>
      </c>
      <c r="DC542" s="15" t="str">
        <f t="shared" si="2919"/>
        <v>#ERROR!</v>
      </c>
      <c r="DD542" s="24"/>
      <c r="DE542" s="15" t="str">
        <f t="shared" si="2920"/>
        <v>#ERROR!</v>
      </c>
      <c r="DF542" s="15" t="str">
        <f t="shared" ref="DF542:DH542" si="2921">DF507/DE507-1</f>
        <v>#ERROR!</v>
      </c>
      <c r="DG542" s="40" t="str">
        <f t="shared" si="2921"/>
        <v>#ERROR!</v>
      </c>
      <c r="DH542" s="15" t="str">
        <f t="shared" si="2921"/>
        <v>#ERROR!</v>
      </c>
      <c r="DI542" s="24"/>
      <c r="DJ542" s="40" t="str">
        <f t="shared" si="2922"/>
        <v>#ERROR!</v>
      </c>
      <c r="DK542" s="40" t="str">
        <f t="shared" ref="DK542:DM542" si="2923">DK507/DJ507-1</f>
        <v>#ERROR!</v>
      </c>
      <c r="DL542" s="40" t="str">
        <f t="shared" si="2923"/>
        <v>#ERROR!</v>
      </c>
      <c r="DM542" s="15" t="str">
        <f t="shared" si="2923"/>
        <v>#ERROR!</v>
      </c>
      <c r="DN542" s="24"/>
      <c r="DO542" s="15" t="str">
        <f t="shared" si="2924"/>
        <v>#ERROR!</v>
      </c>
      <c r="DP542" s="15" t="str">
        <f t="shared" ref="DP542:DR542" si="2925">DP507/DO507-1</f>
        <v>#ERROR!</v>
      </c>
      <c r="DQ542" s="15" t="str">
        <f t="shared" si="2925"/>
        <v>#ERROR!</v>
      </c>
      <c r="DR542" s="15" t="str">
        <f t="shared" si="2925"/>
        <v>#ERROR!</v>
      </c>
      <c r="DS542" s="24"/>
      <c r="DT542" s="15" t="str">
        <f t="shared" si="2926"/>
        <v>#ERROR!</v>
      </c>
      <c r="DU542" s="15" t="str">
        <f t="shared" ref="DU542:DW542" si="2927">DU507/DT507-1</f>
        <v>#ERROR!</v>
      </c>
      <c r="DV542" s="15" t="str">
        <f t="shared" si="2927"/>
        <v>#ERROR!</v>
      </c>
      <c r="DW542" s="15" t="str">
        <f t="shared" si="2927"/>
        <v>#ERROR!</v>
      </c>
      <c r="DX542" s="24"/>
      <c r="DY542" s="15" t="str">
        <f t="shared" si="2928"/>
        <v>#ERROR!</v>
      </c>
      <c r="DZ542" s="15" t="str">
        <f t="shared" ref="DZ542:EB542" si="2929">DZ507/DY507-1</f>
        <v>#ERROR!</v>
      </c>
      <c r="EA542" s="15" t="str">
        <f t="shared" si="2929"/>
        <v>#ERROR!</v>
      </c>
      <c r="EB542" s="15" t="str">
        <f t="shared" si="2929"/>
        <v>#ERROR!</v>
      </c>
      <c r="EC542" s="24"/>
      <c r="ED542" s="15" t="str">
        <f t="shared" si="2930"/>
        <v>#ERROR!</v>
      </c>
      <c r="EE542" s="15" t="str">
        <f t="shared" ref="EE542:EG542" si="2931">EE507/ED507-1</f>
        <v>#ERROR!</v>
      </c>
      <c r="EF542" s="15" t="str">
        <f t="shared" si="2931"/>
        <v>#ERROR!</v>
      </c>
      <c r="EG542" s="15" t="str">
        <f t="shared" si="2931"/>
        <v>#ERROR!</v>
      </c>
      <c r="EH542" s="24"/>
      <c r="EI542" s="82" t="str">
        <f t="shared" si="2932"/>
        <v>#ERROR!</v>
      </c>
      <c r="EJ542" s="15" t="str">
        <f t="shared" ref="EJ542:EL542" si="2933">EJ507/EI507-1</f>
        <v>#ERROR!</v>
      </c>
      <c r="EK542" s="15" t="str">
        <f t="shared" si="2933"/>
        <v>#ERROR!</v>
      </c>
      <c r="EL542" s="15" t="str">
        <f t="shared" si="2933"/>
        <v>#ERROR!</v>
      </c>
      <c r="EM542" s="24"/>
      <c r="EN542" s="15" t="str">
        <f t="shared" si="2934"/>
        <v>#ERROR!</v>
      </c>
      <c r="EO542" s="15" t="str">
        <f t="shared" ref="EO542:EQ542" si="2935">EO507/EN507-1</f>
        <v>#ERROR!</v>
      </c>
      <c r="EP542" s="15" t="str">
        <f t="shared" si="2935"/>
        <v>#ERROR!</v>
      </c>
      <c r="EQ542" s="15" t="str">
        <f t="shared" si="2935"/>
        <v>#ERROR!</v>
      </c>
      <c r="ER542" s="24"/>
      <c r="ES542" s="15" t="str">
        <f t="shared" si="2936"/>
        <v>#ERROR!</v>
      </c>
      <c r="ET542" s="15" t="str">
        <f t="shared" ref="ET542:EV542" si="2937">ET507/ES507-1</f>
        <v>#ERROR!</v>
      </c>
      <c r="EU542" s="15" t="str">
        <f t="shared" si="2937"/>
        <v>#ERROR!</v>
      </c>
      <c r="EV542" s="15" t="str">
        <f t="shared" si="2937"/>
        <v>#ERROR!</v>
      </c>
      <c r="EW542" s="24"/>
      <c r="EX542" s="15" t="str">
        <f t="shared" si="2938"/>
        <v>#ERROR!</v>
      </c>
      <c r="EY542" s="15" t="str">
        <f t="shared" ref="EY542:FA542" si="2939">EY507/EX507-1</f>
        <v>#ERROR!</v>
      </c>
      <c r="EZ542" s="15" t="str">
        <f t="shared" si="2939"/>
        <v>#ERROR!</v>
      </c>
      <c r="FA542" s="15" t="str">
        <f t="shared" si="2939"/>
        <v>#ERROR!</v>
      </c>
      <c r="FB542" s="24"/>
      <c r="FC542" s="15" t="str">
        <f t="shared" si="2940"/>
        <v>#ERROR!</v>
      </c>
      <c r="FD542" s="15" t="str">
        <f t="shared" ref="FD542:FF542" si="2941">FD507/FC507-1</f>
        <v>#ERROR!</v>
      </c>
      <c r="FE542" s="15" t="str">
        <f t="shared" si="2941"/>
        <v>#ERROR!</v>
      </c>
      <c r="FF542" s="15" t="str">
        <f t="shared" si="2941"/>
        <v>#ERROR!</v>
      </c>
      <c r="FG542" s="24"/>
      <c r="FH542" s="104"/>
      <c r="FI542" s="319"/>
      <c r="FJ542" s="319"/>
      <c r="FK542" s="335"/>
      <c r="FL542" s="319"/>
    </row>
    <row r="543" ht="12.75" hidden="1" customHeight="1" outlineLevel="1">
      <c r="A543" s="4"/>
      <c r="B543" s="215" t="str">
        <f t="shared" si="2910"/>
        <v>Data Center Group</v>
      </c>
      <c r="C543" s="4"/>
      <c r="D543" s="335"/>
      <c r="E543" s="335"/>
      <c r="F543" s="335"/>
      <c r="G543" s="335"/>
      <c r="H543" s="335"/>
      <c r="I543" s="335"/>
      <c r="J543" s="335"/>
      <c r="K543" s="335"/>
      <c r="L543" s="335"/>
      <c r="M543" s="335"/>
      <c r="N543" s="335"/>
      <c r="O543" s="335"/>
      <c r="P543" s="335"/>
      <c r="Q543" s="335"/>
      <c r="R543" s="335"/>
      <c r="S543" s="335"/>
      <c r="T543" s="335"/>
      <c r="U543" s="335"/>
      <c r="V543" s="335"/>
      <c r="W543" s="335"/>
      <c r="X543" s="335"/>
      <c r="Y543" s="335"/>
      <c r="Z543" s="335"/>
      <c r="AA543" s="335"/>
      <c r="AB543" s="335"/>
      <c r="AC543" s="335"/>
      <c r="AD543" s="335"/>
      <c r="AE543" s="335"/>
      <c r="AF543" s="335"/>
      <c r="AG543" s="335"/>
      <c r="AH543" s="335"/>
      <c r="AI543" s="335"/>
      <c r="AJ543" s="335"/>
      <c r="AK543" s="335"/>
      <c r="AL543" s="335"/>
      <c r="AM543" s="335"/>
      <c r="AN543" s="335"/>
      <c r="AO543" s="335"/>
      <c r="AP543" s="335"/>
      <c r="AQ543" s="335"/>
      <c r="AR543" s="335"/>
      <c r="AS543" s="335"/>
      <c r="AT543" s="335"/>
      <c r="AU543" s="335"/>
      <c r="AV543" s="335"/>
      <c r="AW543" s="335"/>
      <c r="AX543" s="335"/>
      <c r="AY543" s="335"/>
      <c r="AZ543" s="335"/>
      <c r="BA543" s="335"/>
      <c r="BB543" s="335"/>
      <c r="BC543" s="335"/>
      <c r="BD543" s="335"/>
      <c r="BE543" s="335"/>
      <c r="BF543" s="335"/>
      <c r="BG543" s="335"/>
      <c r="BH543" s="335"/>
      <c r="BI543" s="335"/>
      <c r="BJ543" s="335"/>
      <c r="BK543" s="335"/>
      <c r="BL543" s="335"/>
      <c r="BM543" s="335"/>
      <c r="BN543" s="335"/>
      <c r="BO543" s="335"/>
      <c r="BP543" s="335"/>
      <c r="BQ543" s="335"/>
      <c r="BR543" s="335"/>
      <c r="BS543" s="335"/>
      <c r="BT543" s="335"/>
      <c r="BU543" s="335"/>
      <c r="BV543" s="335"/>
      <c r="BW543" s="335"/>
      <c r="BX543" s="335"/>
      <c r="BY543" s="335"/>
      <c r="BZ543" s="342"/>
      <c r="CA543" s="335"/>
      <c r="CB543" s="335"/>
      <c r="CC543" s="335"/>
      <c r="CD543" s="335"/>
      <c r="CE543" s="342"/>
      <c r="CF543" s="335"/>
      <c r="CG543" s="335">
        <f t="shared" ref="CG543:CI543" si="2942">CG508/CF508-1</f>
        <v>0.1659043659</v>
      </c>
      <c r="CH543" s="335">
        <f t="shared" si="2942"/>
        <v>-0.07417974322</v>
      </c>
      <c r="CI543" s="335">
        <f t="shared" si="2942"/>
        <v>0.06933744222</v>
      </c>
      <c r="CJ543" s="342"/>
      <c r="CK543" s="335">
        <f t="shared" si="2912"/>
        <v>-0.06880403458</v>
      </c>
      <c r="CL543" s="335">
        <f t="shared" ref="CL543:CN543" si="2943">CL508/CK508-1</f>
        <v>0.06112185687</v>
      </c>
      <c r="CM543" s="335">
        <f t="shared" si="2943"/>
        <v>0.06161137441</v>
      </c>
      <c r="CN543" s="343">
        <f t="shared" si="2943"/>
        <v>0.02953296703</v>
      </c>
      <c r="CO543" s="342"/>
      <c r="CP543" s="104">
        <f t="shared" si="2914"/>
        <v>0.02968645764</v>
      </c>
      <c r="CQ543" s="410">
        <f t="shared" ref="CQ543:CS543" si="2944">CQ508/CP508-1</f>
        <v>0.1367023</v>
      </c>
      <c r="CR543" s="410">
        <f t="shared" si="2944"/>
        <v>0.05443146195</v>
      </c>
      <c r="CS543" s="410">
        <f t="shared" si="2944"/>
        <v>0.1056756757</v>
      </c>
      <c r="CT543" s="24"/>
      <c r="CU543" s="410">
        <f t="shared" si="2916"/>
        <v>-0.1007088731</v>
      </c>
      <c r="CV543" s="410">
        <f t="shared" ref="CV543:CX543" si="2945">CV508/CU508-1</f>
        <v>0.04648002175</v>
      </c>
      <c r="CW543" s="410">
        <f t="shared" si="2945"/>
        <v>0.07532467532</v>
      </c>
      <c r="CX543" s="410">
        <f t="shared" si="2945"/>
        <v>0.04057971014</v>
      </c>
      <c r="CY543" s="24"/>
      <c r="CZ543" s="410" t="str">
        <f t="shared" si="2918"/>
        <v>#ERROR!</v>
      </c>
      <c r="DA543" s="410" t="str">
        <f t="shared" ref="DA543:DC543" si="2946">DA508/CZ508-1</f>
        <v>#ERROR!</v>
      </c>
      <c r="DB543" s="410" t="str">
        <f t="shared" si="2946"/>
        <v>#ERROR!</v>
      </c>
      <c r="DC543" s="410" t="str">
        <f t="shared" si="2946"/>
        <v>#ERROR!</v>
      </c>
      <c r="DD543" s="24"/>
      <c r="DE543" s="410" t="str">
        <f t="shared" si="2920"/>
        <v>#ERROR!</v>
      </c>
      <c r="DF543" s="410" t="str">
        <f t="shared" ref="DF543:DH543" si="2947">DF508/DE508-1</f>
        <v>#ERROR!</v>
      </c>
      <c r="DG543" s="104" t="str">
        <f t="shared" si="2947"/>
        <v>#ERROR!</v>
      </c>
      <c r="DH543" s="410" t="str">
        <f t="shared" si="2947"/>
        <v>#ERROR!</v>
      </c>
      <c r="DI543" s="24"/>
      <c r="DJ543" s="104" t="str">
        <f t="shared" si="2922"/>
        <v>#ERROR!</v>
      </c>
      <c r="DK543" s="104" t="str">
        <f t="shared" ref="DK543:DM543" si="2948">DK508/DJ508-1</f>
        <v>#ERROR!</v>
      </c>
      <c r="DL543" s="104" t="str">
        <f t="shared" si="2948"/>
        <v>#ERROR!</v>
      </c>
      <c r="DM543" s="410" t="str">
        <f t="shared" si="2948"/>
        <v>#ERROR!</v>
      </c>
      <c r="DN543" s="24"/>
      <c r="DO543" s="410" t="str">
        <f t="shared" si="2924"/>
        <v>#ERROR!</v>
      </c>
      <c r="DP543" s="410" t="str">
        <f t="shared" ref="DP543:DR543" si="2949">DP508/DO508-1</f>
        <v>#ERROR!</v>
      </c>
      <c r="DQ543" s="410" t="str">
        <f t="shared" si="2949"/>
        <v>#ERROR!</v>
      </c>
      <c r="DR543" s="410" t="str">
        <f t="shared" si="2949"/>
        <v>#ERROR!</v>
      </c>
      <c r="DS543" s="24"/>
      <c r="DT543" s="410" t="str">
        <f t="shared" si="2926"/>
        <v>#ERROR!</v>
      </c>
      <c r="DU543" s="410" t="str">
        <f t="shared" ref="DU543:DW543" si="2950">DU508/DT508-1</f>
        <v>#ERROR!</v>
      </c>
      <c r="DV543" s="410" t="str">
        <f t="shared" si="2950"/>
        <v>#ERROR!</v>
      </c>
      <c r="DW543" s="410" t="str">
        <f t="shared" si="2950"/>
        <v>#ERROR!</v>
      </c>
      <c r="DX543" s="24"/>
      <c r="DY543" s="410" t="str">
        <f t="shared" si="2928"/>
        <v>#ERROR!</v>
      </c>
      <c r="DZ543" s="410" t="str">
        <f t="shared" ref="DZ543:EB543" si="2951">DZ508/DY508-1</f>
        <v>#ERROR!</v>
      </c>
      <c r="EA543" s="410" t="str">
        <f t="shared" si="2951"/>
        <v>#ERROR!</v>
      </c>
      <c r="EB543" s="410" t="str">
        <f t="shared" si="2951"/>
        <v>#ERROR!</v>
      </c>
      <c r="EC543" s="24"/>
      <c r="ED543" s="410" t="str">
        <f t="shared" si="2930"/>
        <v>#ERROR!</v>
      </c>
      <c r="EE543" s="410" t="str">
        <f t="shared" ref="EE543:EG543" si="2952">EE508/ED508-1</f>
        <v>#ERROR!</v>
      </c>
      <c r="EF543" s="410" t="str">
        <f t="shared" si="2952"/>
        <v>#ERROR!</v>
      </c>
      <c r="EG543" s="410" t="str">
        <f t="shared" si="2952"/>
        <v>#ERROR!</v>
      </c>
      <c r="EH543" s="24"/>
      <c r="EI543" s="317" t="str">
        <f t="shared" si="2932"/>
        <v>#ERROR!</v>
      </c>
      <c r="EJ543" s="410" t="str">
        <f t="shared" ref="EJ543:EL543" si="2953">EJ508/EI508-1</f>
        <v>#ERROR!</v>
      </c>
      <c r="EK543" s="410" t="str">
        <f t="shared" si="2953"/>
        <v>#ERROR!</v>
      </c>
      <c r="EL543" s="410" t="str">
        <f t="shared" si="2953"/>
        <v>#ERROR!</v>
      </c>
      <c r="EM543" s="24"/>
      <c r="EN543" s="410" t="str">
        <f t="shared" si="2934"/>
        <v>#ERROR!</v>
      </c>
      <c r="EO543" s="410" t="str">
        <f t="shared" ref="EO543:EQ543" si="2954">EO508/EN508-1</f>
        <v>#ERROR!</v>
      </c>
      <c r="EP543" s="410" t="str">
        <f t="shared" si="2954"/>
        <v>#ERROR!</v>
      </c>
      <c r="EQ543" s="410" t="str">
        <f t="shared" si="2954"/>
        <v>#ERROR!</v>
      </c>
      <c r="ER543" s="24"/>
      <c r="ES543" s="410" t="str">
        <f t="shared" si="2936"/>
        <v>#ERROR!</v>
      </c>
      <c r="ET543" s="410" t="str">
        <f t="shared" ref="ET543:EV543" si="2955">ET508/ES508-1</f>
        <v>#ERROR!</v>
      </c>
      <c r="EU543" s="410" t="str">
        <f t="shared" si="2955"/>
        <v>#ERROR!</v>
      </c>
      <c r="EV543" s="410" t="str">
        <f t="shared" si="2955"/>
        <v>#ERROR!</v>
      </c>
      <c r="EW543" s="24"/>
      <c r="EX543" s="410" t="str">
        <f t="shared" si="2938"/>
        <v>#ERROR!</v>
      </c>
      <c r="EY543" s="410" t="str">
        <f t="shared" ref="EY543:FA543" si="2956">EY508/EX508-1</f>
        <v>#ERROR!</v>
      </c>
      <c r="EZ543" s="410" t="str">
        <f t="shared" si="2956"/>
        <v>#ERROR!</v>
      </c>
      <c r="FA543" s="410" t="str">
        <f t="shared" si="2956"/>
        <v>#ERROR!</v>
      </c>
      <c r="FB543" s="24"/>
      <c r="FC543" s="410" t="str">
        <f t="shared" si="2940"/>
        <v>#ERROR!</v>
      </c>
      <c r="FD543" s="410" t="str">
        <f t="shared" ref="FD543:FF543" si="2957">FD508/FC508-1</f>
        <v>#ERROR!</v>
      </c>
      <c r="FE543" s="410" t="str">
        <f t="shared" si="2957"/>
        <v>#ERROR!</v>
      </c>
      <c r="FF543" s="410" t="str">
        <f t="shared" si="2957"/>
        <v>#ERROR!</v>
      </c>
      <c r="FG543" s="24"/>
      <c r="FH543" s="104"/>
      <c r="FI543" s="335"/>
      <c r="FJ543" s="335"/>
      <c r="FK543" s="335"/>
      <c r="FL543" s="335"/>
    </row>
    <row r="544" ht="12.75" hidden="1" customHeight="1" outlineLevel="1">
      <c r="A544" s="45"/>
      <c r="B544" s="215" t="str">
        <f t="shared" ref="B544:B545" si="2974">B511</f>
        <v>Other IAG</v>
      </c>
      <c r="C544" s="45"/>
      <c r="D544" s="335"/>
      <c r="E544" s="335"/>
      <c r="F544" s="335"/>
      <c r="G544" s="335"/>
      <c r="H544" s="335"/>
      <c r="I544" s="335"/>
      <c r="J544" s="335"/>
      <c r="K544" s="335"/>
      <c r="L544" s="335"/>
      <c r="M544" s="335"/>
      <c r="N544" s="335"/>
      <c r="O544" s="335"/>
      <c r="P544" s="335"/>
      <c r="Q544" s="335"/>
      <c r="R544" s="335"/>
      <c r="S544" s="335"/>
      <c r="T544" s="335"/>
      <c r="U544" s="335"/>
      <c r="V544" s="335"/>
      <c r="W544" s="335"/>
      <c r="X544" s="335"/>
      <c r="Y544" s="335"/>
      <c r="Z544" s="335"/>
      <c r="AA544" s="335"/>
      <c r="AB544" s="335"/>
      <c r="AC544" s="335"/>
      <c r="AD544" s="335"/>
      <c r="AE544" s="335"/>
      <c r="AF544" s="335"/>
      <c r="AG544" s="335"/>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c r="BD544" s="335"/>
      <c r="BE544" s="335"/>
      <c r="BF544" s="335"/>
      <c r="BG544" s="335"/>
      <c r="BH544" s="335"/>
      <c r="BI544" s="335"/>
      <c r="BJ544" s="335"/>
      <c r="BK544" s="335"/>
      <c r="BL544" s="335"/>
      <c r="BM544" s="335"/>
      <c r="BN544" s="335"/>
      <c r="BO544" s="335"/>
      <c r="BP544" s="335"/>
      <c r="BQ544" s="335"/>
      <c r="BR544" s="335"/>
      <c r="BS544" s="335"/>
      <c r="BT544" s="335"/>
      <c r="BU544" s="335"/>
      <c r="BV544" s="335"/>
      <c r="BW544" s="335"/>
      <c r="BX544" s="335"/>
      <c r="BY544" s="335"/>
      <c r="BZ544" s="342"/>
      <c r="CA544" s="335"/>
      <c r="CB544" s="335"/>
      <c r="CC544" s="335"/>
      <c r="CD544" s="335"/>
      <c r="CE544" s="342"/>
      <c r="CF544" s="335"/>
      <c r="CG544" s="335">
        <f t="shared" ref="CG544:CI544" si="2958">CG511/CF511-1</f>
        <v>0.03069767442</v>
      </c>
      <c r="CH544" s="335">
        <f t="shared" si="2958"/>
        <v>0.06227436823</v>
      </c>
      <c r="CI544" s="335">
        <f t="shared" si="2958"/>
        <v>-0.1350892099</v>
      </c>
      <c r="CJ544" s="342"/>
      <c r="CK544" s="335">
        <f t="shared" ref="CK544:CK545" si="2976">CK511/CI511-1</f>
        <v>-0.03929273084</v>
      </c>
      <c r="CL544" s="335">
        <f t="shared" ref="CL544:CN544" si="2959">CL511/CK511-1</f>
        <v>-0.03680981595</v>
      </c>
      <c r="CM544" s="335">
        <f t="shared" si="2959"/>
        <v>0.1326963907</v>
      </c>
      <c r="CN544" s="343">
        <f t="shared" si="2959"/>
        <v>0.03561387067</v>
      </c>
      <c r="CO544" s="342"/>
      <c r="CP544" s="104">
        <f t="shared" ref="CP544:CP545" si="2978">CP511/CN511-1</f>
        <v>-0.4226244344</v>
      </c>
      <c r="CQ544" s="410">
        <f t="shared" ref="CQ544:CS544" si="2960">CQ511/CP511-1</f>
        <v>-0.04858934169</v>
      </c>
      <c r="CR544" s="410">
        <f t="shared" si="2960"/>
        <v>-0.1252059308</v>
      </c>
      <c r="CS544" s="410">
        <f t="shared" si="2960"/>
        <v>0.1016949153</v>
      </c>
      <c r="CT544" s="24"/>
      <c r="CU544" s="410">
        <f t="shared" ref="CU544:CU545" si="2980">CU511/CS511-1</f>
        <v>-0.08888888889</v>
      </c>
      <c r="CV544" s="410">
        <f t="shared" ref="CV544:CX544" si="2961">CV511/CU511-1</f>
        <v>0.0487804878</v>
      </c>
      <c r="CW544" s="410">
        <f t="shared" si="2961"/>
        <v>0.03935599284</v>
      </c>
      <c r="CX544" s="410">
        <f t="shared" si="2961"/>
        <v>0.07573149742</v>
      </c>
      <c r="CY544" s="24"/>
      <c r="CZ544" s="410">
        <f t="shared" ref="CZ544:CZ545" si="2982">CZ511/CX511-1</f>
        <v>-0.04755422</v>
      </c>
      <c r="DA544" s="410">
        <f t="shared" ref="DA544:DC544" si="2962">DA511/CZ511-1</f>
        <v>-0.03984754807</v>
      </c>
      <c r="DB544" s="410">
        <f t="shared" si="2962"/>
        <v>0.2827398596</v>
      </c>
      <c r="DC544" s="410">
        <f t="shared" si="2962"/>
        <v>0.09206008013</v>
      </c>
      <c r="DD544" s="24"/>
      <c r="DE544" s="410">
        <f t="shared" ref="DE544:DE545" si="2984">DE511/DC511-1</f>
        <v>0</v>
      </c>
      <c r="DF544" s="410">
        <f t="shared" ref="DF544:DH544" si="2963">DF511/DE511-1</f>
        <v>0.06999181514</v>
      </c>
      <c r="DG544" s="104">
        <f t="shared" si="2963"/>
        <v>0.1371599524</v>
      </c>
      <c r="DH544" s="410">
        <f t="shared" si="2963"/>
        <v>-0.03496818493</v>
      </c>
      <c r="DI544" s="24"/>
      <c r="DJ544" s="104">
        <f t="shared" ref="DJ544:DJ545" si="2986">DJ511/DH511-1</f>
        <v>-0.004890798009</v>
      </c>
      <c r="DK544" s="104">
        <f t="shared" ref="DK544:DM544" si="2964">DK511/DJ511-1</f>
        <v>0.05759173062</v>
      </c>
      <c r="DL544" s="104">
        <f t="shared" si="2964"/>
        <v>0.1260901794</v>
      </c>
      <c r="DM544" s="410">
        <f t="shared" si="2964"/>
        <v>-0.03445884567</v>
      </c>
      <c r="DN544" s="24"/>
      <c r="DO544" s="410">
        <f t="shared" ref="DO544:DO545" si="2988">DO511/DM511-1</f>
        <v>-0.004387076997</v>
      </c>
      <c r="DP544" s="410">
        <f t="shared" ref="DP544:DR544" si="2965">DP511/DO511-1</f>
        <v>0.05784085996</v>
      </c>
      <c r="DQ544" s="410">
        <f t="shared" si="2965"/>
        <v>0.128568638</v>
      </c>
      <c r="DR544" s="410">
        <f t="shared" si="2965"/>
        <v>-0.0339878709</v>
      </c>
      <c r="DS544" s="24"/>
      <c r="DT544" s="410">
        <f t="shared" ref="DT544:DT545" si="2990">DT511/DR511-1</f>
        <v>-0.003921769963</v>
      </c>
      <c r="DU544" s="410">
        <f t="shared" ref="DU544:DW544" si="2966">DU511/DT511-1</f>
        <v>0.05807076671</v>
      </c>
      <c r="DV544" s="410">
        <f t="shared" si="2966"/>
        <v>0.1308548254</v>
      </c>
      <c r="DW544" s="410">
        <f t="shared" si="2966"/>
        <v>-0.03355526331</v>
      </c>
      <c r="DX544" s="24"/>
      <c r="DY544" s="410">
        <f t="shared" ref="DY544:DY545" si="2992">DY511/DW511-1</f>
        <v>-0.003494768</v>
      </c>
      <c r="DZ544" s="410">
        <f t="shared" ref="DZ544:EB544" si="2967">DZ511/DY511-1</f>
        <v>0.05828155812</v>
      </c>
      <c r="EA544" s="410">
        <f t="shared" si="2967"/>
        <v>0.1329500575</v>
      </c>
      <c r="EB544" s="410">
        <f t="shared" si="2967"/>
        <v>-0.03316032282</v>
      </c>
      <c r="EC544" s="24"/>
      <c r="ED544" s="410">
        <f t="shared" ref="ED544:ED545" si="2994">ED511/EB511-1</f>
        <v>-0.003105278724</v>
      </c>
      <c r="EE544" s="410">
        <f t="shared" ref="EE544:EG544" si="2968">EE511/ED511-1</f>
        <v>0.05847367376</v>
      </c>
      <c r="EF544" s="410">
        <f t="shared" si="2968"/>
        <v>0.1348589285</v>
      </c>
      <c r="EG544" s="410">
        <f t="shared" si="2968"/>
        <v>-0.03280177997</v>
      </c>
      <c r="EH544" s="24"/>
      <c r="EI544" s="317">
        <f t="shared" ref="EI544:EI545" si="2996">EI511/EG511-1</f>
        <v>-0.00275196016</v>
      </c>
      <c r="EJ544" s="410">
        <f t="shared" ref="EJ544:EL544" si="2969">EJ511/EI511-1</f>
        <v>0.05864781837</v>
      </c>
      <c r="EK544" s="410">
        <f t="shared" si="2969"/>
        <v>0.1365886399</v>
      </c>
      <c r="EL544" s="410">
        <f t="shared" si="2969"/>
        <v>-0.03247792871</v>
      </c>
      <c r="EM544" s="24"/>
      <c r="EN544" s="410">
        <f t="shared" ref="EN544:EN545" si="2998">EN511/EL511-1</f>
        <v>-0.002433052786</v>
      </c>
      <c r="EO544" s="410">
        <f t="shared" ref="EO544:EQ544" si="2970">EO511/EN511-1</f>
        <v>0.05880489638</v>
      </c>
      <c r="EP544" s="410">
        <f t="shared" si="2970"/>
        <v>0.1381483473</v>
      </c>
      <c r="EQ544" s="410">
        <f t="shared" si="2970"/>
        <v>-0.03218675104</v>
      </c>
      <c r="ER544" s="24"/>
      <c r="ES544" s="410">
        <f t="shared" ref="ES544:ES545" si="3000">ES511/EQ511-1</f>
        <v>-0.002146502423</v>
      </c>
      <c r="ET544" s="410">
        <f t="shared" ref="ET544:EV544" si="2971">ET511/ES511-1</f>
        <v>0.05894595129</v>
      </c>
      <c r="EU544" s="410">
        <f t="shared" si="2971"/>
        <v>0.1395485587</v>
      </c>
      <c r="EV544" s="410">
        <f t="shared" si="2971"/>
        <v>-0.0319260282</v>
      </c>
      <c r="EW544" s="24"/>
      <c r="EX544" s="410">
        <f t="shared" ref="EX544:EX545" si="3002">EX511/EV511-1</f>
        <v>-0.001890069197</v>
      </c>
      <c r="EY544" s="410">
        <f t="shared" ref="EY544:FA544" si="2972">EY511/EX511-1</f>
        <v>0.05907211232</v>
      </c>
      <c r="EZ544" s="410">
        <f t="shared" si="2972"/>
        <v>0.140800607</v>
      </c>
      <c r="FA544" s="410">
        <f t="shared" si="2972"/>
        <v>-0.03169343576</v>
      </c>
      <c r="FB544" s="24"/>
      <c r="FC544" s="410">
        <f t="shared" ref="FC544:FC545" si="3004">FC511/FA511-1</f>
        <v>-0.00166142008</v>
      </c>
      <c r="FD544" s="410">
        <f t="shared" ref="FD544:FF544" si="2973">FD511/FC511-1</f>
        <v>0.05918454935</v>
      </c>
      <c r="FE544" s="410">
        <f t="shared" si="2973"/>
        <v>0.141916204</v>
      </c>
      <c r="FF544" s="410">
        <f t="shared" si="2973"/>
        <v>-0.03148662147</v>
      </c>
      <c r="FG544" s="24"/>
      <c r="FH544" s="104"/>
      <c r="FI544" s="335"/>
      <c r="FJ544" s="335"/>
      <c r="FK544" s="335"/>
      <c r="FL544" s="335"/>
    </row>
    <row r="545" ht="12.75" hidden="1" customHeight="1" outlineLevel="1">
      <c r="A545" s="4"/>
      <c r="B545" s="215" t="str">
        <f t="shared" si="2974"/>
        <v>IAG Subtotal</v>
      </c>
      <c r="C545" s="45"/>
      <c r="D545" s="335"/>
      <c r="E545" s="335"/>
      <c r="F545" s="335"/>
      <c r="G545" s="335"/>
      <c r="H545" s="335"/>
      <c r="I545" s="335"/>
      <c r="J545" s="335"/>
      <c r="K545" s="335"/>
      <c r="L545" s="335"/>
      <c r="M545" s="335"/>
      <c r="N545" s="335"/>
      <c r="O545" s="335"/>
      <c r="P545" s="335"/>
      <c r="Q545" s="335"/>
      <c r="R545" s="335"/>
      <c r="S545" s="335"/>
      <c r="T545" s="335"/>
      <c r="U545" s="335"/>
      <c r="V545" s="335"/>
      <c r="W545" s="335"/>
      <c r="X545" s="335"/>
      <c r="Y545" s="335"/>
      <c r="Z545" s="335"/>
      <c r="AA545" s="335"/>
      <c r="AB545" s="335"/>
      <c r="AC545" s="335"/>
      <c r="AD545" s="335"/>
      <c r="AE545" s="335"/>
      <c r="AF545" s="335"/>
      <c r="AG545" s="335"/>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c r="BD545" s="335"/>
      <c r="BE545" s="335"/>
      <c r="BF545" s="335"/>
      <c r="BG545" s="335"/>
      <c r="BH545" s="335"/>
      <c r="BI545" s="335"/>
      <c r="BJ545" s="335"/>
      <c r="BK545" s="335"/>
      <c r="BL545" s="335"/>
      <c r="BM545" s="335"/>
      <c r="BN545" s="335"/>
      <c r="BO545" s="335"/>
      <c r="BP545" s="335"/>
      <c r="BQ545" s="335"/>
      <c r="BR545" s="335"/>
      <c r="BS545" s="335"/>
      <c r="BT545" s="335"/>
      <c r="BU545" s="335"/>
      <c r="BV545" s="335"/>
      <c r="BW545" s="335"/>
      <c r="BX545" s="335"/>
      <c r="BY545" s="335"/>
      <c r="BZ545" s="342"/>
      <c r="CA545" s="335"/>
      <c r="CB545" s="335"/>
      <c r="CC545" s="335"/>
      <c r="CD545" s="335"/>
      <c r="CE545" s="342"/>
      <c r="CF545" s="335"/>
      <c r="CG545" s="335" t="str">
        <f t="shared" ref="CG545:CI545" si="2975">CG512/CF512-1</f>
        <v>#NAME?</v>
      </c>
      <c r="CH545" s="335" t="str">
        <f t="shared" si="2975"/>
        <v>#NAME?</v>
      </c>
      <c r="CI545" s="335" t="str">
        <f t="shared" si="2975"/>
        <v>#NAME?</v>
      </c>
      <c r="CJ545" s="342"/>
      <c r="CK545" s="335" t="str">
        <f t="shared" si="2976"/>
        <v>#NAME?</v>
      </c>
      <c r="CL545" s="335" t="str">
        <f t="shared" ref="CL545:CN545" si="2977">CL512/CK512-1</f>
        <v>#NAME?</v>
      </c>
      <c r="CM545" s="335" t="str">
        <f t="shared" si="2977"/>
        <v>#NAME?</v>
      </c>
      <c r="CN545" s="343" t="str">
        <f t="shared" si="2977"/>
        <v>#NAME?</v>
      </c>
      <c r="CO545" s="342"/>
      <c r="CP545" s="104" t="str">
        <f t="shared" si="2978"/>
        <v>#NAME?</v>
      </c>
      <c r="CQ545" s="410" t="str">
        <f t="shared" ref="CQ545:CS545" si="2979">CQ512/CP512-1</f>
        <v>#NAME?</v>
      </c>
      <c r="CR545" s="410" t="str">
        <f t="shared" si="2979"/>
        <v>#NAME?</v>
      </c>
      <c r="CS545" s="410" t="str">
        <f t="shared" si="2979"/>
        <v>#NAME?</v>
      </c>
      <c r="CT545" s="24"/>
      <c r="CU545" s="410" t="str">
        <f t="shared" si="2980"/>
        <v>#NAME?</v>
      </c>
      <c r="CV545" s="410" t="str">
        <f t="shared" ref="CV545:CX545" si="2981">CV512/CU512-1</f>
        <v>#NAME?</v>
      </c>
      <c r="CW545" s="410" t="str">
        <f t="shared" si="2981"/>
        <v>#NAME?</v>
      </c>
      <c r="CX545" s="410" t="str">
        <f t="shared" si="2981"/>
        <v>#NAME?</v>
      </c>
      <c r="CY545" s="24"/>
      <c r="CZ545" s="410" t="str">
        <f t="shared" si="2982"/>
        <v>#NAME?</v>
      </c>
      <c r="DA545" s="410" t="str">
        <f t="shared" ref="DA545:DC545" si="2983">DA512/CZ512-1</f>
        <v>#NAME?</v>
      </c>
      <c r="DB545" s="410" t="str">
        <f t="shared" si="2983"/>
        <v>#NAME?</v>
      </c>
      <c r="DC545" s="410" t="str">
        <f t="shared" si="2983"/>
        <v>#NAME?</v>
      </c>
      <c r="DD545" s="24"/>
      <c r="DE545" s="410" t="str">
        <f t="shared" si="2984"/>
        <v>#NAME?</v>
      </c>
      <c r="DF545" s="410" t="str">
        <f t="shared" ref="DF545:DH545" si="2985">DF512/DE512-1</f>
        <v>#NAME?</v>
      </c>
      <c r="DG545" s="104" t="str">
        <f t="shared" si="2985"/>
        <v>#NAME?</v>
      </c>
      <c r="DH545" s="410" t="str">
        <f t="shared" si="2985"/>
        <v>#NAME?</v>
      </c>
      <c r="DI545" s="24"/>
      <c r="DJ545" s="104" t="str">
        <f t="shared" si="2986"/>
        <v>#NAME?</v>
      </c>
      <c r="DK545" s="104" t="str">
        <f t="shared" ref="DK545:DM545" si="2987">DK512/DJ512-1</f>
        <v>#NAME?</v>
      </c>
      <c r="DL545" s="104" t="str">
        <f t="shared" si="2987"/>
        <v>#NAME?</v>
      </c>
      <c r="DM545" s="410" t="str">
        <f t="shared" si="2987"/>
        <v>#NAME?</v>
      </c>
      <c r="DN545" s="24"/>
      <c r="DO545" s="410" t="str">
        <f t="shared" si="2988"/>
        <v>#NAME?</v>
      </c>
      <c r="DP545" s="410" t="str">
        <f t="shared" ref="DP545:DR545" si="2989">DP512/DO512-1</f>
        <v>#NAME?</v>
      </c>
      <c r="DQ545" s="410" t="str">
        <f t="shared" si="2989"/>
        <v>#NAME?</v>
      </c>
      <c r="DR545" s="410" t="str">
        <f t="shared" si="2989"/>
        <v>#NAME?</v>
      </c>
      <c r="DS545" s="24"/>
      <c r="DT545" s="410" t="str">
        <f t="shared" si="2990"/>
        <v>#NAME?</v>
      </c>
      <c r="DU545" s="410" t="str">
        <f t="shared" ref="DU545:DW545" si="2991">DU512/DT512-1</f>
        <v>#NAME?</v>
      </c>
      <c r="DV545" s="410" t="str">
        <f t="shared" si="2991"/>
        <v>#NAME?</v>
      </c>
      <c r="DW545" s="410" t="str">
        <f t="shared" si="2991"/>
        <v>#NAME?</v>
      </c>
      <c r="DX545" s="24"/>
      <c r="DY545" s="410" t="str">
        <f t="shared" si="2992"/>
        <v>#NAME?</v>
      </c>
      <c r="DZ545" s="410" t="str">
        <f t="shared" ref="DZ545:EB545" si="2993">DZ512/DY512-1</f>
        <v>#NAME?</v>
      </c>
      <c r="EA545" s="410" t="str">
        <f t="shared" si="2993"/>
        <v>#NAME?</v>
      </c>
      <c r="EB545" s="410" t="str">
        <f t="shared" si="2993"/>
        <v>#NAME?</v>
      </c>
      <c r="EC545" s="24"/>
      <c r="ED545" s="410" t="str">
        <f t="shared" si="2994"/>
        <v>#NAME?</v>
      </c>
      <c r="EE545" s="410" t="str">
        <f t="shared" ref="EE545:EG545" si="2995">EE512/ED512-1</f>
        <v>#NAME?</v>
      </c>
      <c r="EF545" s="410" t="str">
        <f t="shared" si="2995"/>
        <v>#NAME?</v>
      </c>
      <c r="EG545" s="410" t="str">
        <f t="shared" si="2995"/>
        <v>#NAME?</v>
      </c>
      <c r="EH545" s="24"/>
      <c r="EI545" s="317" t="str">
        <f t="shared" si="2996"/>
        <v>#NAME?</v>
      </c>
      <c r="EJ545" s="410" t="str">
        <f t="shared" ref="EJ545:EL545" si="2997">EJ512/EI512-1</f>
        <v>#NAME?</v>
      </c>
      <c r="EK545" s="410" t="str">
        <f t="shared" si="2997"/>
        <v>#NAME?</v>
      </c>
      <c r="EL545" s="410" t="str">
        <f t="shared" si="2997"/>
        <v>#NAME?</v>
      </c>
      <c r="EM545" s="24"/>
      <c r="EN545" s="410" t="str">
        <f t="shared" si="2998"/>
        <v>#NAME?</v>
      </c>
      <c r="EO545" s="410" t="str">
        <f t="shared" ref="EO545:EQ545" si="2999">EO512/EN512-1</f>
        <v>#NAME?</v>
      </c>
      <c r="EP545" s="410" t="str">
        <f t="shared" si="2999"/>
        <v>#NAME?</v>
      </c>
      <c r="EQ545" s="410" t="str">
        <f t="shared" si="2999"/>
        <v>#NAME?</v>
      </c>
      <c r="ER545" s="24"/>
      <c r="ES545" s="410" t="str">
        <f t="shared" si="3000"/>
        <v>#NAME?</v>
      </c>
      <c r="ET545" s="410" t="str">
        <f t="shared" ref="ET545:EV545" si="3001">ET512/ES512-1</f>
        <v>#NAME?</v>
      </c>
      <c r="EU545" s="410" t="str">
        <f t="shared" si="3001"/>
        <v>#NAME?</v>
      </c>
      <c r="EV545" s="410" t="str">
        <f t="shared" si="3001"/>
        <v>#NAME?</v>
      </c>
      <c r="EW545" s="24"/>
      <c r="EX545" s="410" t="str">
        <f t="shared" si="3002"/>
        <v>#NAME?</v>
      </c>
      <c r="EY545" s="410" t="str">
        <f t="shared" ref="EY545:FA545" si="3003">EY512/EX512-1</f>
        <v>#NAME?</v>
      </c>
      <c r="EZ545" s="410" t="str">
        <f t="shared" si="3003"/>
        <v>#NAME?</v>
      </c>
      <c r="FA545" s="410" t="str">
        <f t="shared" si="3003"/>
        <v>#NAME?</v>
      </c>
      <c r="FB545" s="24"/>
      <c r="FC545" s="410" t="str">
        <f t="shared" si="3004"/>
        <v>#NAME?</v>
      </c>
      <c r="FD545" s="410" t="str">
        <f t="shared" ref="FD545:FF545" si="3005">FD512/FC512-1</f>
        <v>#NAME?</v>
      </c>
      <c r="FE545" s="410" t="str">
        <f t="shared" si="3005"/>
        <v>#NAME?</v>
      </c>
      <c r="FF545" s="410" t="str">
        <f t="shared" si="3005"/>
        <v>#NAME?</v>
      </c>
      <c r="FG545" s="24"/>
      <c r="FH545" s="104"/>
      <c r="FI545" s="335"/>
      <c r="FJ545" s="335"/>
      <c r="FK545" s="335"/>
      <c r="FL545" s="335"/>
    </row>
    <row r="546" ht="12.75" hidden="1" customHeight="1" outlineLevel="1">
      <c r="A546" s="4"/>
      <c r="B546" s="215" t="str">
        <f>B515</f>
        <v>Software and Services Group</v>
      </c>
      <c r="C546" s="45"/>
      <c r="D546" s="335"/>
      <c r="E546" s="335"/>
      <c r="F546" s="335"/>
      <c r="G546" s="335"/>
      <c r="H546" s="335"/>
      <c r="I546" s="335"/>
      <c r="J546" s="335"/>
      <c r="K546" s="335"/>
      <c r="L546" s="335"/>
      <c r="M546" s="335"/>
      <c r="N546" s="335"/>
      <c r="O546" s="335"/>
      <c r="P546" s="335"/>
      <c r="Q546" s="335"/>
      <c r="R546" s="335"/>
      <c r="S546" s="335"/>
      <c r="T546" s="335"/>
      <c r="U546" s="335"/>
      <c r="V546" s="335"/>
      <c r="W546" s="335"/>
      <c r="X546" s="335"/>
      <c r="Y546" s="335"/>
      <c r="Z546" s="335"/>
      <c r="AA546" s="335"/>
      <c r="AB546" s="335"/>
      <c r="AC546" s="335"/>
      <c r="AD546" s="335"/>
      <c r="AE546" s="335"/>
      <c r="AF546" s="335"/>
      <c r="AG546" s="335"/>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c r="BD546" s="335"/>
      <c r="BE546" s="335"/>
      <c r="BF546" s="335"/>
      <c r="BG546" s="335"/>
      <c r="BH546" s="335"/>
      <c r="BI546" s="335"/>
      <c r="BJ546" s="335"/>
      <c r="BK546" s="335"/>
      <c r="BL546" s="335"/>
      <c r="BM546" s="335"/>
      <c r="BN546" s="335"/>
      <c r="BO546" s="335"/>
      <c r="BP546" s="335"/>
      <c r="BQ546" s="335"/>
      <c r="BR546" s="335"/>
      <c r="BS546" s="335"/>
      <c r="BT546" s="335"/>
      <c r="BU546" s="335"/>
      <c r="BV546" s="335"/>
      <c r="BW546" s="335"/>
      <c r="BX546" s="335"/>
      <c r="BY546" s="335"/>
      <c r="BZ546" s="342"/>
      <c r="CA546" s="335"/>
      <c r="CB546" s="335"/>
      <c r="CC546" s="335"/>
      <c r="CD546" s="335"/>
      <c r="CE546" s="342"/>
      <c r="CF546" s="335"/>
      <c r="CG546" s="335">
        <f t="shared" ref="CG546:CI546" si="3006">CG515/CF515-1</f>
        <v>0.02626970228</v>
      </c>
      <c r="CH546" s="335">
        <f t="shared" si="3006"/>
        <v>0.003412969283</v>
      </c>
      <c r="CI546" s="335">
        <f t="shared" si="3006"/>
        <v>0.08163265306</v>
      </c>
      <c r="CJ546" s="342"/>
      <c r="CK546" s="335">
        <f>CK515/CI515-1</f>
        <v>-0.07547169811</v>
      </c>
      <c r="CL546" s="335">
        <f t="shared" ref="CL546:CN546" si="3007">CL515/CK515-1</f>
        <v>0.03741496599</v>
      </c>
      <c r="CM546" s="335">
        <f t="shared" si="3007"/>
        <v>0.01803278689</v>
      </c>
      <c r="CN546" s="343">
        <f t="shared" si="3007"/>
        <v>0.0998389694</v>
      </c>
      <c r="CO546" s="342"/>
      <c r="CP546" s="104">
        <f>CP515/CN515-1</f>
        <v>-0.1903367496</v>
      </c>
      <c r="CQ546" s="410">
        <f t="shared" ref="CQ546:CS546" si="3008">CQ515/CP515-1</f>
        <v>-0.00904159132</v>
      </c>
      <c r="CR546" s="410">
        <f t="shared" si="3008"/>
        <v>0.01824817518</v>
      </c>
      <c r="CS546" s="410">
        <f t="shared" si="3008"/>
        <v>-0.001792114695</v>
      </c>
      <c r="CT546" s="24"/>
      <c r="CU546" s="410">
        <f>CU515/CS515-1</f>
        <v>-0.04129263914</v>
      </c>
      <c r="CV546" s="410">
        <f t="shared" ref="CV546:CX546" si="3009">CV515/CU515-1</f>
        <v>-0.0007490636704</v>
      </c>
      <c r="CW546" s="410">
        <f t="shared" si="3009"/>
        <v>0.04197901049</v>
      </c>
      <c r="CX546" s="410">
        <f t="shared" si="3009"/>
        <v>-0.02338129496</v>
      </c>
      <c r="CY546" s="24"/>
      <c r="CZ546" s="410">
        <f>CZ515/CX515-1</f>
        <v>0.3421224678</v>
      </c>
      <c r="DA546" s="410">
        <f t="shared" ref="DA546:DC546" si="3010">DA515/CZ515-1</f>
        <v>0.02547183792</v>
      </c>
      <c r="DB546" s="410">
        <f t="shared" si="3010"/>
        <v>0.01705620905</v>
      </c>
      <c r="DC546" s="410">
        <f t="shared" si="3010"/>
        <v>0.008552788465</v>
      </c>
      <c r="DD546" s="24"/>
      <c r="DE546" s="410">
        <f>DE515/DC515-1</f>
        <v>-0.01713012239</v>
      </c>
      <c r="DF546" s="410">
        <f t="shared" ref="DF546:DH546" si="3011">DF515/DE515-1</f>
        <v>0.02562015632</v>
      </c>
      <c r="DG546" s="104">
        <f t="shared" si="3011"/>
        <v>0.01715304368</v>
      </c>
      <c r="DH546" s="410">
        <f t="shared" si="3011"/>
        <v>0.008600527061</v>
      </c>
      <c r="DI546" s="24"/>
      <c r="DJ546" s="104">
        <f>DJ515/DH515-1</f>
        <v>-0.01722492126</v>
      </c>
      <c r="DK546" s="104">
        <f t="shared" ref="DK546:DM546" si="3012">DK515/DJ515-1</f>
        <v>0.02576442444</v>
      </c>
      <c r="DL546" s="104">
        <f t="shared" si="3012"/>
        <v>0.01724720708</v>
      </c>
      <c r="DM546" s="410">
        <f t="shared" si="3012"/>
        <v>0.008646940046</v>
      </c>
      <c r="DN546" s="24"/>
      <c r="DO546" s="410">
        <f>DO515/DM515-1</f>
        <v>-0.01731707915</v>
      </c>
      <c r="DP546" s="410">
        <f t="shared" ref="DP546:DR546" si="3013">DP515/DO515-1</f>
        <v>0.02590470009</v>
      </c>
      <c r="DQ546" s="410">
        <f t="shared" si="3013"/>
        <v>0.01733873922</v>
      </c>
      <c r="DR546" s="410">
        <f t="shared" si="3013"/>
        <v>0.008692047852</v>
      </c>
      <c r="DS546" s="24"/>
      <c r="DT546" s="410">
        <f>DT515/DR515-1</f>
        <v>-0.01740663734</v>
      </c>
      <c r="DU546" s="410">
        <f t="shared" ref="DU546:DW546" si="3014">DU515/DT515-1</f>
        <v>0.02604104389</v>
      </c>
      <c r="DV546" s="410">
        <f t="shared" si="3014"/>
        <v>0.01742768178</v>
      </c>
      <c r="DW546" s="410">
        <f t="shared" si="3014"/>
        <v>0.008735871716</v>
      </c>
      <c r="DX546" s="24"/>
      <c r="DY546" s="410">
        <f>DY515/DW515-1</f>
        <v>-0.01749363868</v>
      </c>
      <c r="DZ546" s="410">
        <f t="shared" ref="DZ546:EB546" si="3015">DZ515/DY515-1</f>
        <v>0.02617351895</v>
      </c>
      <c r="EA546" s="410">
        <f t="shared" si="3015"/>
        <v>0.01751407796</v>
      </c>
      <c r="EB546" s="410">
        <f t="shared" si="3015"/>
        <v>0.008778433589</v>
      </c>
      <c r="EC546" s="24"/>
      <c r="ED546" s="410">
        <f>ED515/EB515-1</f>
        <v>-0.01757812742</v>
      </c>
      <c r="EE546" s="410">
        <f t="shared" ref="EE546:EG546" si="3016">EE515/ED515-1</f>
        <v>0.02630219057</v>
      </c>
      <c r="EF546" s="410">
        <f t="shared" si="3016"/>
        <v>0.0175979723</v>
      </c>
      <c r="EG546" s="410">
        <f t="shared" si="3016"/>
        <v>0.008819756053</v>
      </c>
      <c r="EH546" s="24"/>
      <c r="EI546" s="317">
        <f>EI515/EG515-1</f>
        <v>-0.01766014902</v>
      </c>
      <c r="EJ546" s="410">
        <f t="shared" ref="EJ546:EL546" si="3017">EJ515/EI515-1</f>
        <v>0.02642712604</v>
      </c>
      <c r="EK546" s="410">
        <f t="shared" si="3017"/>
        <v>0.01767941054</v>
      </c>
      <c r="EL546" s="410">
        <f t="shared" si="3017"/>
        <v>0.008859862233</v>
      </c>
      <c r="EM546" s="24"/>
      <c r="EN546" s="410">
        <f>EN515/EL515-1</f>
        <v>-0.01773974997</v>
      </c>
      <c r="EO546" s="410">
        <f t="shared" ref="EO546:EQ546" si="3018">EO515/EN515-1</f>
        <v>0.02654839433</v>
      </c>
      <c r="EP546" s="410">
        <f t="shared" si="3018"/>
        <v>0.01775843939</v>
      </c>
      <c r="EQ546" s="410">
        <f t="shared" si="3018"/>
        <v>0.00889877572</v>
      </c>
      <c r="ER546" s="24"/>
      <c r="ES546" s="410">
        <f>ES515/EQ515-1</f>
        <v>-0.01781697767</v>
      </c>
      <c r="ET546" s="410">
        <f t="shared" ref="ET546:EV546" si="3019">ET515/ES515-1</f>
        <v>0.02666606587</v>
      </c>
      <c r="EU546" s="410">
        <f t="shared" si="3019"/>
        <v>0.01783510644</v>
      </c>
      <c r="EV546" s="410">
        <f t="shared" si="3019"/>
        <v>0.008936520491</v>
      </c>
      <c r="EW546" s="24"/>
      <c r="EX546" s="410">
        <f>EX515/EV515-1</f>
        <v>-0.01789188024</v>
      </c>
      <c r="EY546" s="410">
        <f t="shared" ref="EY546:FA546" si="3020">EY515/EX515-1</f>
        <v>0.0267802123</v>
      </c>
      <c r="EZ546" s="410">
        <f t="shared" si="3020"/>
        <v>0.01790945997</v>
      </c>
      <c r="FA546" s="410">
        <f t="shared" si="3020"/>
        <v>0.008973120837</v>
      </c>
      <c r="FB546" s="24"/>
      <c r="FC546" s="410">
        <f>FC515/FA515-1</f>
        <v>-0.0179645064</v>
      </c>
      <c r="FD546" s="410">
        <f t="shared" ref="FD546:FF546" si="3021">FD515/FC515-1</f>
        <v>0.02689090627</v>
      </c>
      <c r="FE546" s="410">
        <f t="shared" si="3021"/>
        <v>0.01798154883</v>
      </c>
      <c r="FF546" s="410">
        <f t="shared" si="3021"/>
        <v>0.009008601299</v>
      </c>
      <c r="FG546" s="24"/>
      <c r="FH546" s="104"/>
      <c r="FI546" s="335"/>
      <c r="FJ546" s="335"/>
      <c r="FK546" s="335"/>
      <c r="FL546" s="335"/>
    </row>
    <row r="547" ht="12.75" hidden="1" customHeight="1" outlineLevel="1">
      <c r="A547" s="4"/>
      <c r="B547" s="45" t="s">
        <v>289</v>
      </c>
      <c r="C547" s="45"/>
      <c r="D547" s="335"/>
      <c r="E547" s="335"/>
      <c r="F547" s="335"/>
      <c r="G547" s="335"/>
      <c r="H547" s="335"/>
      <c r="I547" s="335"/>
      <c r="J547" s="335"/>
      <c r="K547" s="335"/>
      <c r="L547" s="335"/>
      <c r="M547" s="335"/>
      <c r="N547" s="335"/>
      <c r="O547" s="335"/>
      <c r="P547" s="335"/>
      <c r="Q547" s="335"/>
      <c r="R547" s="335"/>
      <c r="S547" s="335"/>
      <c r="T547" s="335"/>
      <c r="U547" s="335"/>
      <c r="V547" s="335"/>
      <c r="W547" s="335"/>
      <c r="X547" s="335"/>
      <c r="Y547" s="335"/>
      <c r="Z547" s="335"/>
      <c r="AA547" s="335"/>
      <c r="AB547" s="335"/>
      <c r="AC547" s="335"/>
      <c r="AD547" s="335"/>
      <c r="AE547" s="335"/>
      <c r="AF547" s="335"/>
      <c r="AG547" s="335"/>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c r="BD547" s="335"/>
      <c r="BE547" s="335"/>
      <c r="BF547" s="335"/>
      <c r="BG547" s="335"/>
      <c r="BH547" s="335"/>
      <c r="BI547" s="335"/>
      <c r="BJ547" s="335"/>
      <c r="BK547" s="335"/>
      <c r="BL547" s="335"/>
      <c r="BM547" s="335"/>
      <c r="BN547" s="335"/>
      <c r="BO547" s="335"/>
      <c r="BP547" s="335"/>
      <c r="BQ547" s="335"/>
      <c r="BR547" s="335"/>
      <c r="BS547" s="335"/>
      <c r="BT547" s="335"/>
      <c r="BU547" s="335"/>
      <c r="BV547" s="335"/>
      <c r="BW547" s="335"/>
      <c r="BX547" s="335"/>
      <c r="BY547" s="335"/>
      <c r="BZ547" s="342"/>
      <c r="CA547" s="335"/>
      <c r="CB547" s="335"/>
      <c r="CC547" s="335"/>
      <c r="CD547" s="335"/>
      <c r="CE547" s="342"/>
      <c r="CF547" s="335"/>
      <c r="CG547" s="335"/>
      <c r="CH547" s="335"/>
      <c r="CI547" s="335"/>
      <c r="CJ547" s="342"/>
      <c r="CK547" s="335"/>
      <c r="CL547" s="335"/>
      <c r="CM547" s="335"/>
      <c r="CN547" s="343"/>
      <c r="CO547" s="342"/>
      <c r="CP547" s="104"/>
      <c r="CQ547" s="410"/>
      <c r="CR547" s="410"/>
      <c r="CS547" s="410"/>
      <c r="CT547" s="24"/>
      <c r="CU547" s="410"/>
      <c r="CV547" s="410"/>
      <c r="CW547" s="410"/>
      <c r="CX547" s="410"/>
      <c r="CY547" s="411"/>
      <c r="CZ547" s="410"/>
      <c r="DA547" s="410" t="str">
        <f t="shared" ref="DA547:DC547" si="3022">DA517/CY517-1</f>
        <v>#DIV/0!</v>
      </c>
      <c r="DB547" s="410">
        <f t="shared" si="3022"/>
        <v>0</v>
      </c>
      <c r="DC547" s="410">
        <f t="shared" si="3022"/>
        <v>0</v>
      </c>
      <c r="DD547" s="411"/>
      <c r="DE547" s="410">
        <f t="shared" ref="DE547:DH547" si="3023">DE517/DC517-1</f>
        <v>0</v>
      </c>
      <c r="DF547" s="410">
        <f t="shared" si="3023"/>
        <v>-0.75</v>
      </c>
      <c r="DG547" s="104">
        <f t="shared" si="3023"/>
        <v>0</v>
      </c>
      <c r="DH547" s="410">
        <f t="shared" si="3023"/>
        <v>0</v>
      </c>
      <c r="DI547" s="24"/>
      <c r="DJ547" s="104">
        <f t="shared" ref="DJ547:DM547" si="3024">DJ517/DH517-1</f>
        <v>0</v>
      </c>
      <c r="DK547" s="104">
        <f t="shared" si="3024"/>
        <v>-0.75</v>
      </c>
      <c r="DL547" s="104">
        <f t="shared" si="3024"/>
        <v>0</v>
      </c>
      <c r="DM547" s="410">
        <f t="shared" si="3024"/>
        <v>0</v>
      </c>
      <c r="DN547" s="24"/>
      <c r="DO547" s="410">
        <f t="shared" ref="DO547:DR547" si="3025">DO517/DM517-1</f>
        <v>0</v>
      </c>
      <c r="DP547" s="410">
        <f t="shared" si="3025"/>
        <v>-0.75</v>
      </c>
      <c r="DQ547" s="410">
        <f t="shared" si="3025"/>
        <v>0</v>
      </c>
      <c r="DR547" s="410">
        <f t="shared" si="3025"/>
        <v>0</v>
      </c>
      <c r="DS547" s="24"/>
      <c r="DT547" s="410">
        <f t="shared" ref="DT547:DW547" si="3026">DT517/DR517-1</f>
        <v>0</v>
      </c>
      <c r="DU547" s="410">
        <f t="shared" si="3026"/>
        <v>-0.75</v>
      </c>
      <c r="DV547" s="410">
        <f t="shared" si="3026"/>
        <v>0</v>
      </c>
      <c r="DW547" s="410">
        <f t="shared" si="3026"/>
        <v>0</v>
      </c>
      <c r="DX547" s="24"/>
      <c r="DY547" s="410">
        <f t="shared" ref="DY547:EB547" si="3027">DY517/DW517-1</f>
        <v>0</v>
      </c>
      <c r="DZ547" s="410">
        <f t="shared" si="3027"/>
        <v>-0.75</v>
      </c>
      <c r="EA547" s="410">
        <f t="shared" si="3027"/>
        <v>0</v>
      </c>
      <c r="EB547" s="410">
        <f t="shared" si="3027"/>
        <v>0</v>
      </c>
      <c r="EC547" s="24"/>
      <c r="ED547" s="410">
        <f t="shared" ref="ED547:EG547" si="3028">ED517/EB517-1</f>
        <v>0</v>
      </c>
      <c r="EE547" s="410">
        <f t="shared" si="3028"/>
        <v>-0.75</v>
      </c>
      <c r="EF547" s="410">
        <f t="shared" si="3028"/>
        <v>0</v>
      </c>
      <c r="EG547" s="410">
        <f t="shared" si="3028"/>
        <v>0</v>
      </c>
      <c r="EH547" s="24"/>
      <c r="EI547" s="317">
        <f t="shared" ref="EI547:EL547" si="3029">EI517/EG517-1</f>
        <v>0</v>
      </c>
      <c r="EJ547" s="410">
        <f t="shared" si="3029"/>
        <v>-0.75</v>
      </c>
      <c r="EK547" s="410">
        <f t="shared" si="3029"/>
        <v>0</v>
      </c>
      <c r="EL547" s="410">
        <f t="shared" si="3029"/>
        <v>0</v>
      </c>
      <c r="EM547" s="24"/>
      <c r="EN547" s="410">
        <f t="shared" ref="EN547:EQ547" si="3030">EN517/EL517-1</f>
        <v>0</v>
      </c>
      <c r="EO547" s="410">
        <f t="shared" si="3030"/>
        <v>-0.75</v>
      </c>
      <c r="EP547" s="410">
        <f t="shared" si="3030"/>
        <v>0</v>
      </c>
      <c r="EQ547" s="410">
        <f t="shared" si="3030"/>
        <v>0</v>
      </c>
      <c r="ER547" s="24"/>
      <c r="ES547" s="410">
        <f t="shared" ref="ES547:EV547" si="3031">ES517/EQ517-1</f>
        <v>0</v>
      </c>
      <c r="ET547" s="410">
        <f t="shared" si="3031"/>
        <v>-0.75</v>
      </c>
      <c r="EU547" s="410">
        <f t="shared" si="3031"/>
        <v>0</v>
      </c>
      <c r="EV547" s="410">
        <f t="shared" si="3031"/>
        <v>0</v>
      </c>
      <c r="EW547" s="24"/>
      <c r="EX547" s="410">
        <f t="shared" ref="EX547:FA547" si="3032">EX517/EV517-1</f>
        <v>0</v>
      </c>
      <c r="EY547" s="410">
        <f t="shared" si="3032"/>
        <v>-0.75</v>
      </c>
      <c r="EZ547" s="410">
        <f t="shared" si="3032"/>
        <v>0</v>
      </c>
      <c r="FA547" s="410">
        <f t="shared" si="3032"/>
        <v>0</v>
      </c>
      <c r="FB547" s="24"/>
      <c r="FC547" s="410">
        <f t="shared" ref="FC547:FF547" si="3033">FC517/FA517-1</f>
        <v>0</v>
      </c>
      <c r="FD547" s="410">
        <f t="shared" si="3033"/>
        <v>-0.75</v>
      </c>
      <c r="FE547" s="410">
        <f t="shared" si="3033"/>
        <v>0</v>
      </c>
      <c r="FF547" s="410">
        <f t="shared" si="3033"/>
        <v>0</v>
      </c>
      <c r="FG547" s="24"/>
      <c r="FH547" s="104"/>
      <c r="FI547" s="335"/>
      <c r="FJ547" s="335"/>
      <c r="FK547" s="335"/>
      <c r="FL547" s="335"/>
    </row>
    <row r="548" ht="12.75" hidden="1" customHeight="1" outlineLevel="1">
      <c r="A548" s="45"/>
      <c r="B548" s="215" t="str">
        <f>B518</f>
        <v>All Other</v>
      </c>
      <c r="C548" s="45"/>
      <c r="D548" s="335"/>
      <c r="E548" s="335"/>
      <c r="F548" s="335"/>
      <c r="G548" s="335"/>
      <c r="H548" s="335"/>
      <c r="I548" s="335"/>
      <c r="J548" s="335"/>
      <c r="K548" s="335"/>
      <c r="L548" s="335"/>
      <c r="M548" s="335"/>
      <c r="N548" s="335"/>
      <c r="O548" s="335"/>
      <c r="P548" s="335"/>
      <c r="Q548" s="335"/>
      <c r="R548" s="335"/>
      <c r="S548" s="335"/>
      <c r="T548" s="335"/>
      <c r="U548" s="335"/>
      <c r="V548" s="335"/>
      <c r="W548" s="335"/>
      <c r="X548" s="335"/>
      <c r="Y548" s="335"/>
      <c r="Z548" s="335"/>
      <c r="AA548" s="335"/>
      <c r="AB548" s="335"/>
      <c r="AC548" s="335"/>
      <c r="AD548" s="335"/>
      <c r="AE548" s="335"/>
      <c r="AF548" s="335"/>
      <c r="AG548" s="335"/>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c r="BD548" s="335"/>
      <c r="BE548" s="335"/>
      <c r="BF548" s="335"/>
      <c r="BG548" s="335"/>
      <c r="BH548" s="335"/>
      <c r="BI548" s="335"/>
      <c r="BJ548" s="335"/>
      <c r="BK548" s="335"/>
      <c r="BL548" s="335"/>
      <c r="BM548" s="335"/>
      <c r="BN548" s="335"/>
      <c r="BO548" s="335"/>
      <c r="BP548" s="335"/>
      <c r="BQ548" s="335"/>
      <c r="BR548" s="335"/>
      <c r="BS548" s="335"/>
      <c r="BT548" s="335"/>
      <c r="BU548" s="335"/>
      <c r="BV548" s="335"/>
      <c r="BW548" s="335"/>
      <c r="BX548" s="335"/>
      <c r="BY548" s="335"/>
      <c r="BZ548" s="342"/>
      <c r="CA548" s="335"/>
      <c r="CB548" s="335"/>
      <c r="CC548" s="335"/>
      <c r="CD548" s="335"/>
      <c r="CE548" s="342"/>
      <c r="CF548" s="335"/>
      <c r="CG548" s="335">
        <f t="shared" ref="CG548:CI548" si="3034">CG518/CF518-1</f>
        <v>-0.1039325843</v>
      </c>
      <c r="CH548" s="335">
        <f t="shared" si="3034"/>
        <v>0.2695924765</v>
      </c>
      <c r="CI548" s="335">
        <f t="shared" si="3034"/>
        <v>0.2024691358</v>
      </c>
      <c r="CJ548" s="342"/>
      <c r="CK548" s="335">
        <f t="shared" ref="CK548:CK549" si="3051">CK518/CI518-1</f>
        <v>-0.1026694045</v>
      </c>
      <c r="CL548" s="335">
        <f t="shared" ref="CL548:CN548" si="3035">CL518/CK518-1</f>
        <v>-0.04805491991</v>
      </c>
      <c r="CM548" s="335">
        <f t="shared" si="3035"/>
        <v>0.1923076923</v>
      </c>
      <c r="CN548" s="343">
        <f t="shared" si="3035"/>
        <v>-0.01612903226</v>
      </c>
      <c r="CO548" s="342"/>
      <c r="CP548" s="104">
        <f t="shared" ref="CP548:CP549" si="3053">CP518/CN518-1</f>
        <v>0.1168032787</v>
      </c>
      <c r="CQ548" s="410">
        <f t="shared" ref="CQ548:CS548" si="3036">CQ518/CP518-1</f>
        <v>-0.08256880734</v>
      </c>
      <c r="CR548" s="410">
        <f t="shared" si="3036"/>
        <v>0.15</v>
      </c>
      <c r="CS548" s="410">
        <f t="shared" si="3036"/>
        <v>0.07130434783</v>
      </c>
      <c r="CT548" s="24"/>
      <c r="CU548" s="410">
        <f t="shared" ref="CU548:CU549" si="3055">CU518/CS518-1</f>
        <v>-0.001623376623</v>
      </c>
      <c r="CV548" s="410">
        <f t="shared" ref="CV548:CX548" si="3037">CV518/CU518-1</f>
        <v>0.162601626</v>
      </c>
      <c r="CW548" s="410">
        <f t="shared" si="3037"/>
        <v>-0.04615384615</v>
      </c>
      <c r="CX548" s="410">
        <f t="shared" si="3037"/>
        <v>0</v>
      </c>
      <c r="CY548" s="24"/>
      <c r="CZ548" s="410">
        <f t="shared" ref="CZ548:CZ549" si="3057">CZ518/CX518-1</f>
        <v>0.0446627566</v>
      </c>
      <c r="DA548" s="410">
        <f t="shared" ref="DA548:DC548" si="3038">DA518/CZ518-1</f>
        <v>-0.02957892373</v>
      </c>
      <c r="DB548" s="410">
        <f t="shared" si="3038"/>
        <v>0.1478304456</v>
      </c>
      <c r="DC548" s="410">
        <f t="shared" si="3038"/>
        <v>0.09873991003</v>
      </c>
      <c r="DD548" s="24"/>
      <c r="DE548" s="410">
        <f t="shared" ref="DE548:DE549" si="3059">DE518/DC518-1</f>
        <v>-0.1482797249</v>
      </c>
      <c r="DF548" s="410">
        <f t="shared" ref="DF548:DH548" si="3039">DF518/DE518-1</f>
        <v>-0.009865348974</v>
      </c>
      <c r="DG548" s="104">
        <f t="shared" si="3039"/>
        <v>0.1479601104</v>
      </c>
      <c r="DH548" s="410">
        <f t="shared" si="3039"/>
        <v>0.09881535395</v>
      </c>
      <c r="DI548" s="24"/>
      <c r="DJ548" s="104">
        <f t="shared" ref="DJ548:DJ549" si="3061">DJ518/DH518-1</f>
        <v>-0.148382832</v>
      </c>
      <c r="DK548" s="104">
        <f t="shared" ref="DK548:DM548" si="3040">DK518/DJ518-1</f>
        <v>-0.02962021244</v>
      </c>
      <c r="DL548" s="104">
        <f t="shared" si="3040"/>
        <v>0.1480430983</v>
      </c>
      <c r="DM548" s="410">
        <f t="shared" si="3040"/>
        <v>0.09886363055</v>
      </c>
      <c r="DN548" s="24"/>
      <c r="DO548" s="410">
        <f t="shared" ref="DO548:DO549" si="3063">DO518/DM518-1</f>
        <v>-0.1484488028</v>
      </c>
      <c r="DP548" s="410">
        <f t="shared" ref="DP548:DR548" si="3041">DP518/DO518-1</f>
        <v>-0.02963567729</v>
      </c>
      <c r="DQ548" s="410">
        <f t="shared" si="3041"/>
        <v>0.148122753</v>
      </c>
      <c r="DR548" s="410">
        <f t="shared" si="3041"/>
        <v>0.09890996149</v>
      </c>
      <c r="DS548" s="24"/>
      <c r="DT548" s="410">
        <f t="shared" ref="DT548:DT549" si="3065">DT518/DR518-1</f>
        <v>-0.1485121094</v>
      </c>
      <c r="DU548" s="410">
        <f t="shared" ref="DU548:DW548" si="3042">DU518/DT518-1</f>
        <v>-0.02965051985</v>
      </c>
      <c r="DV548" s="410">
        <f t="shared" si="3042"/>
        <v>0.1481992047</v>
      </c>
      <c r="DW548" s="410">
        <f t="shared" si="3042"/>
        <v>0.09895442345</v>
      </c>
      <c r="DX548" s="24"/>
      <c r="DY548" s="410">
        <f t="shared" ref="DY548:DY549" si="3067">DY518/DW518-1</f>
        <v>-0.1485728573</v>
      </c>
      <c r="DZ548" s="410">
        <f t="shared" ref="DZ548:EB548" si="3043">DZ518/DY518-1</f>
        <v>-0.02966476456</v>
      </c>
      <c r="EA548" s="410">
        <f t="shared" si="3043"/>
        <v>0.1482725793</v>
      </c>
      <c r="EB548" s="410">
        <f t="shared" si="3043"/>
        <v>0.09899709022</v>
      </c>
      <c r="EC548" s="24"/>
      <c r="ED548" s="410">
        <f t="shared" ref="ED548:ED549" si="3069">ED518/EB518-1</f>
        <v>-0.1486311477</v>
      </c>
      <c r="EE548" s="410">
        <f t="shared" ref="EE548:EG548" si="3044">EE518/ED518-1</f>
        <v>-0.02967843496</v>
      </c>
      <c r="EF548" s="410">
        <f t="shared" si="3044"/>
        <v>0.1483429976</v>
      </c>
      <c r="EG548" s="410">
        <f t="shared" si="3044"/>
        <v>0.09903803281</v>
      </c>
      <c r="EH548" s="24"/>
      <c r="EI548" s="317">
        <f t="shared" ref="EI548:EI549" si="3071">EI518/EG518-1</f>
        <v>-0.1486870784</v>
      </c>
      <c r="EJ548" s="410">
        <f t="shared" ref="EJ548:EL548" si="3045">EJ518/EI518-1</f>
        <v>-0.0296915537</v>
      </c>
      <c r="EK548" s="410">
        <f t="shared" si="3045"/>
        <v>0.148410576</v>
      </c>
      <c r="EL548" s="410">
        <f t="shared" si="3045"/>
        <v>0.09907731956</v>
      </c>
      <c r="EM548" s="24"/>
      <c r="EN548" s="410">
        <f t="shared" ref="EN548:EN549" si="3073">EN518/EL518-1</f>
        <v>-0.1487407431</v>
      </c>
      <c r="EO548" s="410">
        <f t="shared" ref="EO548:EQ548" si="3046">EO518/EN518-1</f>
        <v>-0.02970414257</v>
      </c>
      <c r="EP548" s="410">
        <f t="shared" si="3046"/>
        <v>0.1484754267</v>
      </c>
      <c r="EQ548" s="410">
        <f t="shared" si="3046"/>
        <v>0.09911501617</v>
      </c>
      <c r="ER548" s="24"/>
      <c r="ES548" s="410">
        <f t="shared" ref="ES548:ES549" si="3075">ES518/EQ518-1</f>
        <v>-0.1487922322</v>
      </c>
      <c r="ET548" s="410">
        <f t="shared" ref="ET548:EV548" si="3047">ET518/ES518-1</f>
        <v>-0.02971622256</v>
      </c>
      <c r="EU548" s="410">
        <f t="shared" si="3047"/>
        <v>0.1485376575</v>
      </c>
      <c r="EV548" s="410">
        <f t="shared" si="3047"/>
        <v>0.09915118585</v>
      </c>
      <c r="EW548" s="24"/>
      <c r="EX548" s="410">
        <f t="shared" ref="EX548:EX549" si="3077">EX518/EV518-1</f>
        <v>-0.1488416323</v>
      </c>
      <c r="EY548" s="410">
        <f t="shared" ref="EY548:FA548" si="3048">EY518/EX518-1</f>
        <v>-0.02972781383</v>
      </c>
      <c r="EZ548" s="410">
        <f t="shared" si="3048"/>
        <v>0.1485973721</v>
      </c>
      <c r="FA548" s="410">
        <f t="shared" si="3048"/>
        <v>0.09918588941</v>
      </c>
      <c r="FB548" s="24"/>
      <c r="FC548" s="410">
        <f t="shared" ref="FC548:FC549" si="3079">FC518/FA518-1</f>
        <v>-0.148889027</v>
      </c>
      <c r="FD548" s="410">
        <f t="shared" ref="FD548:FF548" si="3049">FD518/FC518-1</f>
        <v>-0.0297389358</v>
      </c>
      <c r="FE548" s="410">
        <f t="shared" si="3049"/>
        <v>0.1486546703</v>
      </c>
      <c r="FF548" s="410">
        <f t="shared" si="3049"/>
        <v>0.0992191853</v>
      </c>
      <c r="FG548" s="24"/>
      <c r="FH548" s="104"/>
      <c r="FI548" s="335"/>
      <c r="FJ548" s="335"/>
      <c r="FK548" s="335"/>
      <c r="FL548" s="335"/>
    </row>
    <row r="549" ht="13.5" hidden="1" customHeight="1" outlineLevel="1">
      <c r="A549" s="4"/>
      <c r="B549" s="591" t="s">
        <v>291</v>
      </c>
      <c r="C549" s="529"/>
      <c r="D549" s="592"/>
      <c r="E549" s="592"/>
      <c r="F549" s="592"/>
      <c r="G549" s="592"/>
      <c r="H549" s="592"/>
      <c r="I549" s="592"/>
      <c r="J549" s="592"/>
      <c r="K549" s="592"/>
      <c r="L549" s="592"/>
      <c r="M549" s="592"/>
      <c r="N549" s="592"/>
      <c r="O549" s="592"/>
      <c r="P549" s="592"/>
      <c r="Q549" s="592"/>
      <c r="R549" s="592"/>
      <c r="S549" s="592"/>
      <c r="T549" s="592"/>
      <c r="U549" s="592"/>
      <c r="V549" s="592"/>
      <c r="W549" s="592"/>
      <c r="X549" s="592"/>
      <c r="Y549" s="592"/>
      <c r="Z549" s="592"/>
      <c r="AA549" s="592"/>
      <c r="AB549" s="592"/>
      <c r="AC549" s="592"/>
      <c r="AD549" s="592"/>
      <c r="AE549" s="592"/>
      <c r="AF549" s="592"/>
      <c r="AG549" s="592"/>
      <c r="AH549" s="592"/>
      <c r="AI549" s="592"/>
      <c r="AJ549" s="592"/>
      <c r="AK549" s="592"/>
      <c r="AL549" s="592"/>
      <c r="AM549" s="592"/>
      <c r="AN549" s="592"/>
      <c r="AO549" s="592"/>
      <c r="AP549" s="592"/>
      <c r="AQ549" s="592"/>
      <c r="AR549" s="592"/>
      <c r="AS549" s="592"/>
      <c r="AT549" s="592"/>
      <c r="AU549" s="592"/>
      <c r="AV549" s="592"/>
      <c r="AW549" s="592"/>
      <c r="AX549" s="592"/>
      <c r="AY549" s="592"/>
      <c r="AZ549" s="592"/>
      <c r="BA549" s="592"/>
      <c r="BB549" s="592"/>
      <c r="BC549" s="592"/>
      <c r="BD549" s="592"/>
      <c r="BE549" s="592"/>
      <c r="BF549" s="592"/>
      <c r="BG549" s="592"/>
      <c r="BH549" s="592"/>
      <c r="BI549" s="592"/>
      <c r="BJ549" s="592"/>
      <c r="BK549" s="592"/>
      <c r="BL549" s="592"/>
      <c r="BM549" s="592"/>
      <c r="BN549" s="592"/>
      <c r="BO549" s="592"/>
      <c r="BP549" s="592"/>
      <c r="BQ549" s="592"/>
      <c r="BR549" s="592"/>
      <c r="BS549" s="592"/>
      <c r="BT549" s="592"/>
      <c r="BU549" s="592"/>
      <c r="BV549" s="592"/>
      <c r="BW549" s="592"/>
      <c r="BX549" s="592"/>
      <c r="BY549" s="592"/>
      <c r="BZ549" s="593"/>
      <c r="CA549" s="592"/>
      <c r="CB549" s="592"/>
      <c r="CC549" s="592"/>
      <c r="CD549" s="592"/>
      <c r="CE549" s="593"/>
      <c r="CF549" s="592"/>
      <c r="CG549" s="592" t="str">
        <f t="shared" ref="CG549:CI549" si="3050">CG519/CF519-1</f>
        <v>#NAME?</v>
      </c>
      <c r="CH549" s="592" t="str">
        <f t="shared" si="3050"/>
        <v>#NAME?</v>
      </c>
      <c r="CI549" s="592" t="str">
        <f t="shared" si="3050"/>
        <v>#NAME?</v>
      </c>
      <c r="CJ549" s="593"/>
      <c r="CK549" s="592" t="str">
        <f t="shared" si="3051"/>
        <v>#NAME?</v>
      </c>
      <c r="CL549" s="592" t="str">
        <f t="shared" ref="CL549:CN549" si="3052">CL519/CK519-1</f>
        <v>#NAME?</v>
      </c>
      <c r="CM549" s="592" t="str">
        <f t="shared" si="3052"/>
        <v>#NAME?</v>
      </c>
      <c r="CN549" s="594" t="str">
        <f t="shared" si="3052"/>
        <v>#NAME?</v>
      </c>
      <c r="CO549" s="593"/>
      <c r="CP549" s="595" t="str">
        <f t="shared" si="3053"/>
        <v>#NAME?</v>
      </c>
      <c r="CQ549" s="596" t="str">
        <f t="shared" ref="CQ549:CS549" si="3054">CQ519/CP519-1</f>
        <v>#NAME?</v>
      </c>
      <c r="CR549" s="596" t="str">
        <f t="shared" si="3054"/>
        <v>#NAME?</v>
      </c>
      <c r="CS549" s="596" t="str">
        <f t="shared" si="3054"/>
        <v>#NAME?</v>
      </c>
      <c r="CT549" s="597"/>
      <c r="CU549" s="596" t="str">
        <f t="shared" si="3055"/>
        <v>#NAME?</v>
      </c>
      <c r="CV549" s="596" t="str">
        <f t="shared" ref="CV549:CX549" si="3056">CV519/CU519-1</f>
        <v>#NAME?</v>
      </c>
      <c r="CW549" s="596" t="str">
        <f t="shared" si="3056"/>
        <v>#NAME?</v>
      </c>
      <c r="CX549" s="596" t="str">
        <f t="shared" si="3056"/>
        <v>#NAME?</v>
      </c>
      <c r="CY549" s="597"/>
      <c r="CZ549" s="596" t="str">
        <f t="shared" si="3057"/>
        <v>#NAME?</v>
      </c>
      <c r="DA549" s="596" t="str">
        <f t="shared" ref="DA549:DC549" si="3058">DA519/CZ519-1</f>
        <v>#NAME?</v>
      </c>
      <c r="DB549" s="596" t="str">
        <f t="shared" si="3058"/>
        <v>#NAME?</v>
      </c>
      <c r="DC549" s="596" t="str">
        <f t="shared" si="3058"/>
        <v>#NAME?</v>
      </c>
      <c r="DD549" s="597"/>
      <c r="DE549" s="596" t="str">
        <f t="shared" si="3059"/>
        <v>#NAME?</v>
      </c>
      <c r="DF549" s="596" t="str">
        <f t="shared" ref="DF549:DH549" si="3060">DF519/DE519-1</f>
        <v>#NAME?</v>
      </c>
      <c r="DG549" s="104" t="str">
        <f t="shared" si="3060"/>
        <v>#NAME?</v>
      </c>
      <c r="DH549" s="596" t="str">
        <f t="shared" si="3060"/>
        <v>#NAME?</v>
      </c>
      <c r="DI549" s="597"/>
      <c r="DJ549" s="595" t="str">
        <f t="shared" si="3061"/>
        <v>#NAME?</v>
      </c>
      <c r="DK549" s="595" t="str">
        <f t="shared" ref="DK549:DM549" si="3062">DK519/DJ519-1</f>
        <v>#NAME?</v>
      </c>
      <c r="DL549" s="595" t="str">
        <f t="shared" si="3062"/>
        <v>#NAME?</v>
      </c>
      <c r="DM549" s="596" t="str">
        <f t="shared" si="3062"/>
        <v>#NAME?</v>
      </c>
      <c r="DN549" s="597"/>
      <c r="DO549" s="596" t="str">
        <f t="shared" si="3063"/>
        <v>#NAME?</v>
      </c>
      <c r="DP549" s="596" t="str">
        <f t="shared" ref="DP549:DR549" si="3064">DP519/DO519-1</f>
        <v>#NAME?</v>
      </c>
      <c r="DQ549" s="596" t="str">
        <f t="shared" si="3064"/>
        <v>#NAME?</v>
      </c>
      <c r="DR549" s="596" t="str">
        <f t="shared" si="3064"/>
        <v>#NAME?</v>
      </c>
      <c r="DS549" s="597"/>
      <c r="DT549" s="596" t="str">
        <f t="shared" si="3065"/>
        <v>#NAME?</v>
      </c>
      <c r="DU549" s="596" t="str">
        <f t="shared" ref="DU549:DW549" si="3066">DU519/DT519-1</f>
        <v>#NAME?</v>
      </c>
      <c r="DV549" s="596" t="str">
        <f t="shared" si="3066"/>
        <v>#NAME?</v>
      </c>
      <c r="DW549" s="596" t="str">
        <f t="shared" si="3066"/>
        <v>#NAME?</v>
      </c>
      <c r="DX549" s="597"/>
      <c r="DY549" s="596" t="str">
        <f t="shared" si="3067"/>
        <v>#NAME?</v>
      </c>
      <c r="DZ549" s="596" t="str">
        <f t="shared" ref="DZ549:EB549" si="3068">DZ519/DY519-1</f>
        <v>#NAME?</v>
      </c>
      <c r="EA549" s="596" t="str">
        <f t="shared" si="3068"/>
        <v>#NAME?</v>
      </c>
      <c r="EB549" s="596" t="str">
        <f t="shared" si="3068"/>
        <v>#NAME?</v>
      </c>
      <c r="EC549" s="597"/>
      <c r="ED549" s="596" t="str">
        <f t="shared" si="3069"/>
        <v>#NAME?</v>
      </c>
      <c r="EE549" s="596" t="str">
        <f t="shared" ref="EE549:EG549" si="3070">EE519/ED519-1</f>
        <v>#NAME?</v>
      </c>
      <c r="EF549" s="596" t="str">
        <f t="shared" si="3070"/>
        <v>#NAME?</v>
      </c>
      <c r="EG549" s="596" t="str">
        <f t="shared" si="3070"/>
        <v>#NAME?</v>
      </c>
      <c r="EH549" s="597"/>
      <c r="EI549" s="598" t="str">
        <f t="shared" si="3071"/>
        <v>#NAME?</v>
      </c>
      <c r="EJ549" s="596" t="str">
        <f t="shared" ref="EJ549:EL549" si="3072">EJ519/EI519-1</f>
        <v>#NAME?</v>
      </c>
      <c r="EK549" s="596" t="str">
        <f t="shared" si="3072"/>
        <v>#NAME?</v>
      </c>
      <c r="EL549" s="596" t="str">
        <f t="shared" si="3072"/>
        <v>#NAME?</v>
      </c>
      <c r="EM549" s="597"/>
      <c r="EN549" s="596" t="str">
        <f t="shared" si="3073"/>
        <v>#NAME?</v>
      </c>
      <c r="EO549" s="596" t="str">
        <f t="shared" ref="EO549:EQ549" si="3074">EO519/EN519-1</f>
        <v>#NAME?</v>
      </c>
      <c r="EP549" s="596" t="str">
        <f t="shared" si="3074"/>
        <v>#NAME?</v>
      </c>
      <c r="EQ549" s="596" t="str">
        <f t="shared" si="3074"/>
        <v>#NAME?</v>
      </c>
      <c r="ER549" s="597"/>
      <c r="ES549" s="596" t="str">
        <f t="shared" si="3075"/>
        <v>#NAME?</v>
      </c>
      <c r="ET549" s="596" t="str">
        <f t="shared" ref="ET549:EV549" si="3076">ET519/ES519-1</f>
        <v>#NAME?</v>
      </c>
      <c r="EU549" s="596" t="str">
        <f t="shared" si="3076"/>
        <v>#NAME?</v>
      </c>
      <c r="EV549" s="596" t="str">
        <f t="shared" si="3076"/>
        <v>#NAME?</v>
      </c>
      <c r="EW549" s="597"/>
      <c r="EX549" s="596" t="str">
        <f t="shared" si="3077"/>
        <v>#NAME?</v>
      </c>
      <c r="EY549" s="596" t="str">
        <f t="shared" ref="EY549:FA549" si="3078">EY519/EX519-1</f>
        <v>#NAME?</v>
      </c>
      <c r="EZ549" s="596" t="str">
        <f t="shared" si="3078"/>
        <v>#NAME?</v>
      </c>
      <c r="FA549" s="596" t="str">
        <f t="shared" si="3078"/>
        <v>#NAME?</v>
      </c>
      <c r="FB549" s="597"/>
      <c r="FC549" s="596" t="str">
        <f t="shared" si="3079"/>
        <v>#NAME?</v>
      </c>
      <c r="FD549" s="596" t="str">
        <f t="shared" ref="FD549:FF549" si="3080">FD519/FC519-1</f>
        <v>#NAME?</v>
      </c>
      <c r="FE549" s="596" t="str">
        <f t="shared" si="3080"/>
        <v>#NAME?</v>
      </c>
      <c r="FF549" s="596" t="str">
        <f t="shared" si="3080"/>
        <v>#NAME?</v>
      </c>
      <c r="FG549" s="597"/>
      <c r="FH549" s="595"/>
      <c r="FI549" s="592"/>
      <c r="FJ549" s="592"/>
      <c r="FK549" s="592"/>
      <c r="FL549" s="592"/>
    </row>
    <row r="550" ht="12.75" hidden="1" customHeight="1" outlineLevel="1">
      <c r="A550" s="4"/>
      <c r="B550" s="45"/>
      <c r="C550" s="45"/>
      <c r="D550" s="4"/>
      <c r="E550" s="4"/>
      <c r="F550" s="4"/>
      <c r="G550" s="4"/>
      <c r="H550" s="45"/>
      <c r="I550" s="4"/>
      <c r="J550" s="4"/>
      <c r="K550" s="4"/>
      <c r="L550" s="4"/>
      <c r="M550" s="45"/>
      <c r="N550" s="4"/>
      <c r="O550" s="4"/>
      <c r="P550" s="4"/>
      <c r="Q550" s="4"/>
      <c r="R550" s="45"/>
      <c r="S550" s="4"/>
      <c r="T550" s="4"/>
      <c r="U550" s="4"/>
      <c r="V550" s="4"/>
      <c r="W550" s="45"/>
      <c r="X550" s="4"/>
      <c r="Y550" s="4"/>
      <c r="Z550" s="4"/>
      <c r="AA550" s="4"/>
      <c r="AB550" s="45"/>
      <c r="AC550" s="4"/>
      <c r="AD550" s="4"/>
      <c r="AE550" s="4"/>
      <c r="AF550" s="4"/>
      <c r="AG550" s="45"/>
      <c r="AH550" s="4"/>
      <c r="AI550" s="4"/>
      <c r="AJ550" s="4"/>
      <c r="AK550" s="4"/>
      <c r="AL550" s="45"/>
      <c r="AM550" s="4"/>
      <c r="AN550" s="4"/>
      <c r="AO550" s="4"/>
      <c r="AP550" s="4"/>
      <c r="AQ550" s="45"/>
      <c r="AR550" s="4"/>
      <c r="AS550" s="4"/>
      <c r="AT550" s="4"/>
      <c r="AU550" s="4"/>
      <c r="AV550" s="45"/>
      <c r="AW550" s="4"/>
      <c r="AX550" s="4"/>
      <c r="AY550" s="4"/>
      <c r="AZ550" s="4"/>
      <c r="BA550" s="45"/>
      <c r="BB550" s="4"/>
      <c r="BC550" s="4"/>
      <c r="BD550" s="4"/>
      <c r="BE550" s="4"/>
      <c r="BF550" s="45"/>
      <c r="BG550" s="4"/>
      <c r="BH550" s="4"/>
      <c r="BI550" s="4"/>
      <c r="BJ550" s="4"/>
      <c r="BK550" s="45"/>
      <c r="BL550" s="4"/>
      <c r="BM550" s="4"/>
      <c r="BN550" s="4"/>
      <c r="BO550" s="4"/>
      <c r="BP550" s="45"/>
      <c r="BQ550" s="4"/>
      <c r="BR550" s="4"/>
      <c r="BS550" s="4"/>
      <c r="BT550" s="4"/>
      <c r="BU550" s="45"/>
      <c r="BV550" s="4"/>
      <c r="BW550" s="4"/>
      <c r="BX550" s="4"/>
      <c r="BY550" s="4"/>
      <c r="BZ550" s="350"/>
      <c r="CA550" s="4"/>
      <c r="CB550" s="4"/>
      <c r="CC550" s="4"/>
      <c r="CD550" s="4"/>
      <c r="CE550" s="350"/>
      <c r="CF550" s="4"/>
      <c r="CG550" s="4"/>
      <c r="CH550" s="4"/>
      <c r="CI550" s="4"/>
      <c r="CJ550" s="350"/>
      <c r="CK550" s="4"/>
      <c r="CL550" s="4"/>
      <c r="CM550" s="4"/>
      <c r="CN550" s="16"/>
      <c r="CO550" s="350"/>
      <c r="CP550" s="40"/>
      <c r="CQ550" s="40"/>
      <c r="CR550" s="15"/>
      <c r="CS550" s="40"/>
      <c r="CT550" s="24"/>
      <c r="CU550" s="4"/>
      <c r="CV550" s="4"/>
      <c r="CW550" s="4"/>
      <c r="CX550" s="4"/>
      <c r="CY550" s="350"/>
      <c r="CZ550" s="40"/>
      <c r="DA550" s="40"/>
      <c r="DB550" s="15"/>
      <c r="DC550" s="40"/>
      <c r="DD550" s="24"/>
      <c r="DE550" s="40"/>
      <c r="DF550" s="40"/>
      <c r="DG550" s="40"/>
      <c r="DH550" s="40"/>
      <c r="DI550" s="24"/>
      <c r="DJ550" s="40"/>
      <c r="DK550" s="40"/>
      <c r="DL550" s="40"/>
      <c r="DM550" s="40"/>
      <c r="DN550" s="24"/>
      <c r="DO550" s="40"/>
      <c r="DP550" s="40"/>
      <c r="DQ550" s="40"/>
      <c r="DR550" s="40"/>
      <c r="DS550" s="24"/>
      <c r="DT550" s="40"/>
      <c r="DU550" s="40"/>
      <c r="DV550" s="40"/>
      <c r="DW550" s="40"/>
      <c r="DX550" s="24"/>
      <c r="DY550" s="40"/>
      <c r="DZ550" s="40"/>
      <c r="EA550" s="40"/>
      <c r="EB550" s="40"/>
      <c r="EC550" s="24"/>
      <c r="ED550" s="40"/>
      <c r="EE550" s="40"/>
      <c r="EF550" s="40"/>
      <c r="EG550" s="40"/>
      <c r="EH550" s="24"/>
      <c r="EI550" s="82"/>
      <c r="EJ550" s="40"/>
      <c r="EK550" s="15"/>
      <c r="EL550" s="40"/>
      <c r="EM550" s="24"/>
      <c r="EN550" s="40"/>
      <c r="EO550" s="40"/>
      <c r="EP550" s="15"/>
      <c r="EQ550" s="40"/>
      <c r="ER550" s="24"/>
      <c r="ES550" s="40"/>
      <c r="ET550" s="40"/>
      <c r="EU550" s="15"/>
      <c r="EV550" s="40"/>
      <c r="EW550" s="24"/>
      <c r="EX550" s="40"/>
      <c r="EY550" s="40"/>
      <c r="EZ550" s="15"/>
      <c r="FA550" s="40"/>
      <c r="FB550" s="24"/>
      <c r="FC550" s="40"/>
      <c r="FD550" s="40"/>
      <c r="FE550" s="15"/>
      <c r="FF550" s="40"/>
      <c r="FG550" s="24"/>
      <c r="FH550" s="104"/>
      <c r="FI550" s="4"/>
      <c r="FJ550" s="4"/>
      <c r="FK550" s="45"/>
      <c r="FL550" s="4"/>
    </row>
    <row r="551" ht="12.75" hidden="1" customHeight="1" outlineLevel="1">
      <c r="A551" s="4"/>
      <c r="B551" s="578" t="s">
        <v>292</v>
      </c>
      <c r="C551" s="299"/>
      <c r="D551" s="585"/>
      <c r="E551" s="586"/>
      <c r="F551" s="586"/>
      <c r="G551" s="586"/>
      <c r="H551" s="585"/>
      <c r="I551" s="585"/>
      <c r="J551" s="586"/>
      <c r="K551" s="586"/>
      <c r="L551" s="586"/>
      <c r="M551" s="585"/>
      <c r="N551" s="585"/>
      <c r="O551" s="586"/>
      <c r="P551" s="586"/>
      <c r="Q551" s="586"/>
      <c r="R551" s="585"/>
      <c r="S551" s="585"/>
      <c r="T551" s="586"/>
      <c r="U551" s="586"/>
      <c r="V551" s="586"/>
      <c r="W551" s="585"/>
      <c r="X551" s="585"/>
      <c r="Y551" s="586"/>
      <c r="Z551" s="586"/>
      <c r="AA551" s="586"/>
      <c r="AB551" s="585"/>
      <c r="AC551" s="585"/>
      <c r="AD551" s="586"/>
      <c r="AE551" s="586"/>
      <c r="AF551" s="586"/>
      <c r="AG551" s="585"/>
      <c r="AH551" s="585"/>
      <c r="AI551" s="586"/>
      <c r="AJ551" s="586"/>
      <c r="AK551" s="586"/>
      <c r="AL551" s="585"/>
      <c r="AM551" s="585"/>
      <c r="AN551" s="586"/>
      <c r="AO551" s="586"/>
      <c r="AP551" s="586"/>
      <c r="AQ551" s="585"/>
      <c r="AR551" s="585"/>
      <c r="AS551" s="586"/>
      <c r="AT551" s="586"/>
      <c r="AU551" s="586"/>
      <c r="AV551" s="585"/>
      <c r="AW551" s="585"/>
      <c r="AX551" s="586"/>
      <c r="AY551" s="586"/>
      <c r="AZ551" s="586"/>
      <c r="BA551" s="585"/>
      <c r="BB551" s="585"/>
      <c r="BC551" s="586"/>
      <c r="BD551" s="586"/>
      <c r="BE551" s="586"/>
      <c r="BF551" s="585"/>
      <c r="BG551" s="585"/>
      <c r="BH551" s="586"/>
      <c r="BI551" s="586"/>
      <c r="BJ551" s="586"/>
      <c r="BK551" s="585"/>
      <c r="BL551" s="585"/>
      <c r="BM551" s="586"/>
      <c r="BN551" s="586"/>
      <c r="BO551" s="586"/>
      <c r="BP551" s="585"/>
      <c r="BQ551" s="585"/>
      <c r="BR551" s="586"/>
      <c r="BS551" s="586"/>
      <c r="BT551" s="586"/>
      <c r="BU551" s="585"/>
      <c r="BV551" s="585"/>
      <c r="BW551" s="586"/>
      <c r="BX551" s="586"/>
      <c r="BY551" s="586"/>
      <c r="BZ551" s="587"/>
      <c r="CA551" s="585"/>
      <c r="CB551" s="586"/>
      <c r="CC551" s="586"/>
      <c r="CD551" s="586"/>
      <c r="CE551" s="587"/>
      <c r="CF551" s="585"/>
      <c r="CG551" s="586"/>
      <c r="CH551" s="586"/>
      <c r="CI551" s="586"/>
      <c r="CJ551" s="587"/>
      <c r="CK551" s="585"/>
      <c r="CL551" s="586"/>
      <c r="CM551" s="586"/>
      <c r="CN551" s="588"/>
      <c r="CO551" s="587"/>
      <c r="CP551" s="416"/>
      <c r="CQ551" s="416"/>
      <c r="CR551" s="416"/>
      <c r="CS551" s="416"/>
      <c r="CT551" s="415"/>
      <c r="CU551" s="585"/>
      <c r="CV551" s="586"/>
      <c r="CW551" s="586"/>
      <c r="CX551" s="586"/>
      <c r="CY551" s="587"/>
      <c r="CZ551" s="414"/>
      <c r="DA551" s="416"/>
      <c r="DB551" s="416"/>
      <c r="DC551" s="416"/>
      <c r="DD551" s="415"/>
      <c r="DE551" s="414"/>
      <c r="DF551" s="416"/>
      <c r="DG551" s="40"/>
      <c r="DH551" s="416"/>
      <c r="DI551" s="415"/>
      <c r="DJ551" s="388"/>
      <c r="DK551" s="416"/>
      <c r="DL551" s="416"/>
      <c r="DM551" s="416"/>
      <c r="DN551" s="415"/>
      <c r="DO551" s="414"/>
      <c r="DP551" s="416"/>
      <c r="DQ551" s="416"/>
      <c r="DR551" s="416"/>
      <c r="DS551" s="415"/>
      <c r="DT551" s="414"/>
      <c r="DU551" s="414"/>
      <c r="DV551" s="414"/>
      <c r="DW551" s="414"/>
      <c r="DX551" s="415"/>
      <c r="DY551" s="414"/>
      <c r="DZ551" s="414"/>
      <c r="EA551" s="414"/>
      <c r="EB551" s="414"/>
      <c r="EC551" s="415"/>
      <c r="ED551" s="414"/>
      <c r="EE551" s="414"/>
      <c r="EF551" s="414"/>
      <c r="EG551" s="414"/>
      <c r="EH551" s="415"/>
      <c r="EI551" s="420"/>
      <c r="EJ551" s="416"/>
      <c r="EK551" s="416"/>
      <c r="EL551" s="416"/>
      <c r="EM551" s="415"/>
      <c r="EN551" s="414"/>
      <c r="EO551" s="416"/>
      <c r="EP551" s="416"/>
      <c r="EQ551" s="416"/>
      <c r="ER551" s="415"/>
      <c r="ES551" s="414"/>
      <c r="ET551" s="416"/>
      <c r="EU551" s="416"/>
      <c r="EV551" s="416"/>
      <c r="EW551" s="415"/>
      <c r="EX551" s="414"/>
      <c r="EY551" s="416"/>
      <c r="EZ551" s="416"/>
      <c r="FA551" s="416"/>
      <c r="FB551" s="415"/>
      <c r="FC551" s="414"/>
      <c r="FD551" s="416"/>
      <c r="FE551" s="416"/>
      <c r="FF551" s="416"/>
      <c r="FG551" s="415"/>
      <c r="FH551" s="388"/>
      <c r="FI551" s="586"/>
      <c r="FJ551" s="586"/>
      <c r="FK551" s="585"/>
      <c r="FL551" s="585"/>
    </row>
    <row r="552" ht="12.75" hidden="1" customHeight="1" outlineLevel="1">
      <c r="A552" s="4"/>
      <c r="B552" s="72" t="str">
        <f>B273</f>
        <v>Microprocessor Revenue</v>
      </c>
      <c r="C552" s="4"/>
      <c r="D552" s="319"/>
      <c r="E552" s="319"/>
      <c r="F552" s="319"/>
      <c r="G552" s="319"/>
      <c r="H552" s="335"/>
      <c r="I552" s="319"/>
      <c r="J552" s="319"/>
      <c r="K552" s="319"/>
      <c r="L552" s="319"/>
      <c r="M552" s="335"/>
      <c r="N552" s="319"/>
      <c r="O552" s="319"/>
      <c r="P552" s="319"/>
      <c r="Q552" s="319"/>
      <c r="R552" s="335"/>
      <c r="S552" s="319"/>
      <c r="T552" s="319"/>
      <c r="U552" s="319"/>
      <c r="V552" s="319"/>
      <c r="W552" s="335"/>
      <c r="X552" s="319"/>
      <c r="Y552" s="319"/>
      <c r="Z552" s="319"/>
      <c r="AA552" s="319"/>
      <c r="AB552" s="335"/>
      <c r="AC552" s="319"/>
      <c r="AD552" s="319"/>
      <c r="AE552" s="319"/>
      <c r="AF552" s="319"/>
      <c r="AG552" s="335"/>
      <c r="AH552" s="319"/>
      <c r="AI552" s="319"/>
      <c r="AJ552" s="319"/>
      <c r="AK552" s="319"/>
      <c r="AL552" s="335"/>
      <c r="AM552" s="319"/>
      <c r="AN552" s="319"/>
      <c r="AO552" s="319"/>
      <c r="AP552" s="319"/>
      <c r="AQ552" s="335"/>
      <c r="AR552" s="319"/>
      <c r="AS552" s="319"/>
      <c r="AT552" s="319"/>
      <c r="AU552" s="319"/>
      <c r="AV552" s="335"/>
      <c r="AW552" s="319"/>
      <c r="AX552" s="319"/>
      <c r="AY552" s="319"/>
      <c r="AZ552" s="319"/>
      <c r="BA552" s="335"/>
      <c r="BB552" s="319"/>
      <c r="BC552" s="319"/>
      <c r="BD552" s="319"/>
      <c r="BE552" s="319"/>
      <c r="BF552" s="335"/>
      <c r="BG552" s="319"/>
      <c r="BH552" s="319"/>
      <c r="BI552" s="319"/>
      <c r="BJ552" s="319"/>
      <c r="BK552" s="335"/>
      <c r="BL552" s="319"/>
      <c r="BM552" s="319"/>
      <c r="BN552" s="319"/>
      <c r="BO552" s="319"/>
      <c r="BP552" s="335"/>
      <c r="BQ552" s="319"/>
      <c r="BR552" s="319"/>
      <c r="BS552" s="319"/>
      <c r="BT552" s="319"/>
      <c r="BU552" s="335"/>
      <c r="BV552" s="319"/>
      <c r="BW552" s="319"/>
      <c r="BX552" s="319"/>
      <c r="BY552" s="319"/>
      <c r="BZ552" s="342"/>
      <c r="CA552" s="319"/>
      <c r="CB552" s="319"/>
      <c r="CC552" s="319"/>
      <c r="CD552" s="319"/>
      <c r="CE552" s="342"/>
      <c r="CF552" s="319"/>
      <c r="CG552" s="319"/>
      <c r="CH552" s="319"/>
      <c r="CI552" s="319"/>
      <c r="CJ552" s="342" t="str">
        <f t="shared" ref="CJ552:FG552" si="3081">CJ273/CE273-1</f>
        <v>#REF!</v>
      </c>
      <c r="CK552" s="319" t="str">
        <f t="shared" si="3081"/>
        <v>#REF!</v>
      </c>
      <c r="CL552" s="319" t="str">
        <f t="shared" si="3081"/>
        <v>#REF!</v>
      </c>
      <c r="CM552" s="319" t="str">
        <f t="shared" si="3081"/>
        <v>#REF!</v>
      </c>
      <c r="CN552" s="321" t="str">
        <f t="shared" si="3081"/>
        <v>#REF!</v>
      </c>
      <c r="CO552" s="342" t="str">
        <f t="shared" si="3081"/>
        <v>#REF!</v>
      </c>
      <c r="CP552" s="40" t="str">
        <f t="shared" si="3081"/>
        <v>#ERROR!</v>
      </c>
      <c r="CQ552" s="15" t="str">
        <f t="shared" si="3081"/>
        <v>#ERROR!</v>
      </c>
      <c r="CR552" s="15" t="str">
        <f t="shared" si="3081"/>
        <v>#ERROR!</v>
      </c>
      <c r="CS552" s="15" t="str">
        <f t="shared" si="3081"/>
        <v>#ERROR!</v>
      </c>
      <c r="CT552" s="24" t="str">
        <f t="shared" si="3081"/>
        <v>#ERROR!</v>
      </c>
      <c r="CU552" s="15" t="str">
        <f t="shared" si="3081"/>
        <v>#ERROR!</v>
      </c>
      <c r="CV552" s="15" t="str">
        <f t="shared" si="3081"/>
        <v>#ERROR!</v>
      </c>
      <c r="CW552" s="15" t="str">
        <f t="shared" si="3081"/>
        <v>#ERROR!</v>
      </c>
      <c r="CX552" s="15" t="str">
        <f t="shared" si="3081"/>
        <v>#ERROR!</v>
      </c>
      <c r="CY552" s="24" t="str">
        <f t="shared" si="3081"/>
        <v>#ERROR!</v>
      </c>
      <c r="CZ552" s="15" t="str">
        <f t="shared" si="3081"/>
        <v>#ERROR!</v>
      </c>
      <c r="DA552" s="15" t="str">
        <f t="shared" si="3081"/>
        <v>#ERROR!</v>
      </c>
      <c r="DB552" s="15" t="str">
        <f t="shared" si="3081"/>
        <v>#ERROR!</v>
      </c>
      <c r="DC552" s="15" t="str">
        <f t="shared" si="3081"/>
        <v>#ERROR!</v>
      </c>
      <c r="DD552" s="24" t="str">
        <f t="shared" si="3081"/>
        <v>#ERROR!</v>
      </c>
      <c r="DE552" s="15" t="str">
        <f t="shared" si="3081"/>
        <v>#ERROR!</v>
      </c>
      <c r="DF552" s="15" t="str">
        <f t="shared" si="3081"/>
        <v>#ERROR!</v>
      </c>
      <c r="DG552" s="40" t="str">
        <f t="shared" si="3081"/>
        <v>#ERROR!</v>
      </c>
      <c r="DH552" s="15" t="str">
        <f t="shared" si="3081"/>
        <v>#ERROR!</v>
      </c>
      <c r="DI552" s="24" t="str">
        <f t="shared" si="3081"/>
        <v>#ERROR!</v>
      </c>
      <c r="DJ552" s="40" t="str">
        <f t="shared" si="3081"/>
        <v>#ERROR!</v>
      </c>
      <c r="DK552" s="40" t="str">
        <f t="shared" si="3081"/>
        <v>#ERROR!</v>
      </c>
      <c r="DL552" s="40" t="str">
        <f t="shared" si="3081"/>
        <v>#ERROR!</v>
      </c>
      <c r="DM552" s="15" t="str">
        <f t="shared" si="3081"/>
        <v>#ERROR!</v>
      </c>
      <c r="DN552" s="24" t="str">
        <f t="shared" si="3081"/>
        <v>#ERROR!</v>
      </c>
      <c r="DO552" s="15" t="str">
        <f t="shared" si="3081"/>
        <v>#ERROR!</v>
      </c>
      <c r="DP552" s="15" t="str">
        <f t="shared" si="3081"/>
        <v>#ERROR!</v>
      </c>
      <c r="DQ552" s="15" t="str">
        <f t="shared" si="3081"/>
        <v>#ERROR!</v>
      </c>
      <c r="DR552" s="15" t="str">
        <f t="shared" si="3081"/>
        <v>#ERROR!</v>
      </c>
      <c r="DS552" s="24" t="str">
        <f t="shared" si="3081"/>
        <v>#ERROR!</v>
      </c>
      <c r="DT552" s="15" t="str">
        <f t="shared" si="3081"/>
        <v>#ERROR!</v>
      </c>
      <c r="DU552" s="15" t="str">
        <f t="shared" si="3081"/>
        <v>#ERROR!</v>
      </c>
      <c r="DV552" s="15" t="str">
        <f t="shared" si="3081"/>
        <v>#ERROR!</v>
      </c>
      <c r="DW552" s="15" t="str">
        <f t="shared" si="3081"/>
        <v>#ERROR!</v>
      </c>
      <c r="DX552" s="24" t="str">
        <f t="shared" si="3081"/>
        <v>#ERROR!</v>
      </c>
      <c r="DY552" s="15" t="str">
        <f t="shared" si="3081"/>
        <v>#ERROR!</v>
      </c>
      <c r="DZ552" s="15" t="str">
        <f t="shared" si="3081"/>
        <v>#ERROR!</v>
      </c>
      <c r="EA552" s="15" t="str">
        <f t="shared" si="3081"/>
        <v>#ERROR!</v>
      </c>
      <c r="EB552" s="15" t="str">
        <f t="shared" si="3081"/>
        <v>#ERROR!</v>
      </c>
      <c r="EC552" s="24" t="str">
        <f t="shared" si="3081"/>
        <v>#ERROR!</v>
      </c>
      <c r="ED552" s="15" t="str">
        <f t="shared" si="3081"/>
        <v>#ERROR!</v>
      </c>
      <c r="EE552" s="15" t="str">
        <f t="shared" si="3081"/>
        <v>#ERROR!</v>
      </c>
      <c r="EF552" s="15" t="str">
        <f t="shared" si="3081"/>
        <v>#ERROR!</v>
      </c>
      <c r="EG552" s="15" t="str">
        <f t="shared" si="3081"/>
        <v>#ERROR!</v>
      </c>
      <c r="EH552" s="24">
        <f t="shared" si="3081"/>
        <v>-1</v>
      </c>
      <c r="EI552" s="82" t="str">
        <f t="shared" si="3081"/>
        <v>#ERROR!</v>
      </c>
      <c r="EJ552" s="15" t="str">
        <f t="shared" si="3081"/>
        <v>#ERROR!</v>
      </c>
      <c r="EK552" s="15" t="str">
        <f t="shared" si="3081"/>
        <v>#ERROR!</v>
      </c>
      <c r="EL552" s="15" t="str">
        <f t="shared" si="3081"/>
        <v>#ERROR!</v>
      </c>
      <c r="EM552" s="24" t="str">
        <f t="shared" si="3081"/>
        <v>#DIV/0!</v>
      </c>
      <c r="EN552" s="15" t="str">
        <f t="shared" si="3081"/>
        <v>#ERROR!</v>
      </c>
      <c r="EO552" s="15" t="str">
        <f t="shared" si="3081"/>
        <v>#ERROR!</v>
      </c>
      <c r="EP552" s="15" t="str">
        <f t="shared" si="3081"/>
        <v>#ERROR!</v>
      </c>
      <c r="EQ552" s="15" t="str">
        <f t="shared" si="3081"/>
        <v>#ERROR!</v>
      </c>
      <c r="ER552" s="24" t="str">
        <f t="shared" si="3081"/>
        <v>#DIV/0!</v>
      </c>
      <c r="ES552" s="15" t="str">
        <f t="shared" si="3081"/>
        <v>#ERROR!</v>
      </c>
      <c r="ET552" s="15" t="str">
        <f t="shared" si="3081"/>
        <v>#ERROR!</v>
      </c>
      <c r="EU552" s="15" t="str">
        <f t="shared" si="3081"/>
        <v>#ERROR!</v>
      </c>
      <c r="EV552" s="15" t="str">
        <f t="shared" si="3081"/>
        <v>#ERROR!</v>
      </c>
      <c r="EW552" s="24" t="str">
        <f t="shared" si="3081"/>
        <v>#DIV/0!</v>
      </c>
      <c r="EX552" s="15" t="str">
        <f t="shared" si="3081"/>
        <v>#ERROR!</v>
      </c>
      <c r="EY552" s="15" t="str">
        <f t="shared" si="3081"/>
        <v>#ERROR!</v>
      </c>
      <c r="EZ552" s="15" t="str">
        <f t="shared" si="3081"/>
        <v>#ERROR!</v>
      </c>
      <c r="FA552" s="15" t="str">
        <f t="shared" si="3081"/>
        <v>#ERROR!</v>
      </c>
      <c r="FB552" s="24" t="str">
        <f t="shared" si="3081"/>
        <v>#DIV/0!</v>
      </c>
      <c r="FC552" s="15" t="str">
        <f t="shared" si="3081"/>
        <v>#ERROR!</v>
      </c>
      <c r="FD552" s="15" t="str">
        <f t="shared" si="3081"/>
        <v>#ERROR!</v>
      </c>
      <c r="FE552" s="15" t="str">
        <f t="shared" si="3081"/>
        <v>#ERROR!</v>
      </c>
      <c r="FF552" s="15" t="str">
        <f t="shared" si="3081"/>
        <v>#ERROR!</v>
      </c>
      <c r="FG552" s="24" t="str">
        <f t="shared" si="3081"/>
        <v>#DIV/0!</v>
      </c>
      <c r="FH552" s="104"/>
      <c r="FI552" s="319"/>
      <c r="FJ552" s="319"/>
      <c r="FK552" s="335"/>
      <c r="FL552" s="319"/>
    </row>
    <row r="553" ht="12.75" hidden="1" customHeight="1" outlineLevel="1">
      <c r="A553" s="4"/>
      <c r="B553" s="72" t="str">
        <f>B504</f>
        <v>Chipsets, MBs and other</v>
      </c>
      <c r="C553" s="4"/>
      <c r="D553" s="319"/>
      <c r="E553" s="319"/>
      <c r="F553" s="319"/>
      <c r="G553" s="319"/>
      <c r="H553" s="335"/>
      <c r="I553" s="319"/>
      <c r="J553" s="319"/>
      <c r="K553" s="319"/>
      <c r="L553" s="319"/>
      <c r="M553" s="335"/>
      <c r="N553" s="319"/>
      <c r="O553" s="319"/>
      <c r="P553" s="319"/>
      <c r="Q553" s="319"/>
      <c r="R553" s="335"/>
      <c r="S553" s="319"/>
      <c r="T553" s="319"/>
      <c r="U553" s="319"/>
      <c r="V553" s="319"/>
      <c r="W553" s="335"/>
      <c r="X553" s="319"/>
      <c r="Y553" s="319"/>
      <c r="Z553" s="319"/>
      <c r="AA553" s="319"/>
      <c r="AB553" s="335"/>
      <c r="AC553" s="319"/>
      <c r="AD553" s="319"/>
      <c r="AE553" s="319"/>
      <c r="AF553" s="319"/>
      <c r="AG553" s="335"/>
      <c r="AH553" s="319"/>
      <c r="AI553" s="319"/>
      <c r="AJ553" s="319"/>
      <c r="AK553" s="319"/>
      <c r="AL553" s="335"/>
      <c r="AM553" s="319"/>
      <c r="AN553" s="319"/>
      <c r="AO553" s="319"/>
      <c r="AP553" s="319"/>
      <c r="AQ553" s="335"/>
      <c r="AR553" s="319"/>
      <c r="AS553" s="319"/>
      <c r="AT553" s="319"/>
      <c r="AU553" s="319"/>
      <c r="AV553" s="335"/>
      <c r="AW553" s="319"/>
      <c r="AX553" s="319"/>
      <c r="AY553" s="319"/>
      <c r="AZ553" s="319"/>
      <c r="BA553" s="335"/>
      <c r="BB553" s="319"/>
      <c r="BC553" s="319"/>
      <c r="BD553" s="319"/>
      <c r="BE553" s="319"/>
      <c r="BF553" s="335"/>
      <c r="BG553" s="319"/>
      <c r="BH553" s="319"/>
      <c r="BI553" s="319"/>
      <c r="BJ553" s="319"/>
      <c r="BK553" s="335"/>
      <c r="BL553" s="319"/>
      <c r="BM553" s="319"/>
      <c r="BN553" s="319"/>
      <c r="BO553" s="319"/>
      <c r="BP553" s="335"/>
      <c r="BQ553" s="319"/>
      <c r="BR553" s="319"/>
      <c r="BS553" s="319"/>
      <c r="BT553" s="319"/>
      <c r="BU553" s="335"/>
      <c r="BV553" s="319"/>
      <c r="BW553" s="319"/>
      <c r="BX553" s="319"/>
      <c r="BY553" s="319"/>
      <c r="BZ553" s="342"/>
      <c r="CA553" s="319"/>
      <c r="CB553" s="319"/>
      <c r="CC553" s="319"/>
      <c r="CD553" s="319"/>
      <c r="CE553" s="342"/>
      <c r="CF553" s="319"/>
      <c r="CG553" s="319"/>
      <c r="CH553" s="319"/>
      <c r="CI553" s="319"/>
      <c r="CJ553" s="342" t="str">
        <f t="shared" ref="CJ553:FG553" si="3082">CJ504/CE504-1</f>
        <v>#REF!</v>
      </c>
      <c r="CK553" s="319" t="str">
        <f t="shared" si="3082"/>
        <v>#REF!</v>
      </c>
      <c r="CL553" s="319" t="str">
        <f t="shared" si="3082"/>
        <v>#REF!</v>
      </c>
      <c r="CM553" s="319" t="str">
        <f t="shared" si="3082"/>
        <v>#REF!</v>
      </c>
      <c r="CN553" s="321" t="str">
        <f t="shared" si="3082"/>
        <v>#REF!</v>
      </c>
      <c r="CO553" s="342" t="str">
        <f t="shared" si="3082"/>
        <v>#REF!</v>
      </c>
      <c r="CP553" s="40" t="str">
        <f t="shared" si="3082"/>
        <v>#REF!</v>
      </c>
      <c r="CQ553" s="15" t="str">
        <f t="shared" si="3082"/>
        <v>#REF!</v>
      </c>
      <c r="CR553" s="15" t="str">
        <f t="shared" si="3082"/>
        <v>#REF!</v>
      </c>
      <c r="CS553" s="15" t="str">
        <f t="shared" si="3082"/>
        <v>#REF!</v>
      </c>
      <c r="CT553" s="24" t="str">
        <f t="shared" si="3082"/>
        <v>#REF!</v>
      </c>
      <c r="CU553" s="15" t="str">
        <f t="shared" si="3082"/>
        <v>#REF!</v>
      </c>
      <c r="CV553" s="15" t="str">
        <f t="shared" si="3082"/>
        <v>#REF!</v>
      </c>
      <c r="CW553" s="15" t="str">
        <f t="shared" si="3082"/>
        <v>#REF!</v>
      </c>
      <c r="CX553" s="15" t="str">
        <f t="shared" si="3082"/>
        <v>#REF!</v>
      </c>
      <c r="CY553" s="24" t="str">
        <f t="shared" si="3082"/>
        <v>#REF!</v>
      </c>
      <c r="CZ553" s="15" t="str">
        <f t="shared" si="3082"/>
        <v>#REF!</v>
      </c>
      <c r="DA553" s="15" t="str">
        <f t="shared" si="3082"/>
        <v>#ERROR!</v>
      </c>
      <c r="DB553" s="15" t="str">
        <f t="shared" si="3082"/>
        <v>#ERROR!</v>
      </c>
      <c r="DC553" s="15" t="str">
        <f t="shared" si="3082"/>
        <v>#ERROR!</v>
      </c>
      <c r="DD553" s="24" t="str">
        <f t="shared" si="3082"/>
        <v>#ERROR!</v>
      </c>
      <c r="DE553" s="15" t="str">
        <f t="shared" si="3082"/>
        <v>#ERROR!</v>
      </c>
      <c r="DF553" s="15" t="str">
        <f t="shared" si="3082"/>
        <v>#ERROR!</v>
      </c>
      <c r="DG553" s="40" t="str">
        <f t="shared" si="3082"/>
        <v>#ERROR!</v>
      </c>
      <c r="DH553" s="15" t="str">
        <f t="shared" si="3082"/>
        <v>#ERROR!</v>
      </c>
      <c r="DI553" s="24" t="str">
        <f t="shared" si="3082"/>
        <v>#ERROR!</v>
      </c>
      <c r="DJ553" s="40" t="str">
        <f t="shared" si="3082"/>
        <v>#ERROR!</v>
      </c>
      <c r="DK553" s="40" t="str">
        <f t="shared" si="3082"/>
        <v>#ERROR!</v>
      </c>
      <c r="DL553" s="40" t="str">
        <f t="shared" si="3082"/>
        <v>#ERROR!</v>
      </c>
      <c r="DM553" s="15" t="str">
        <f t="shared" si="3082"/>
        <v>#ERROR!</v>
      </c>
      <c r="DN553" s="24" t="str">
        <f t="shared" si="3082"/>
        <v>#ERROR!</v>
      </c>
      <c r="DO553" s="15" t="str">
        <f t="shared" si="3082"/>
        <v>#ERROR!</v>
      </c>
      <c r="DP553" s="15" t="str">
        <f t="shared" si="3082"/>
        <v>#ERROR!</v>
      </c>
      <c r="DQ553" s="15" t="str">
        <f t="shared" si="3082"/>
        <v>#ERROR!</v>
      </c>
      <c r="DR553" s="15" t="str">
        <f t="shared" si="3082"/>
        <v>#ERROR!</v>
      </c>
      <c r="DS553" s="24" t="str">
        <f t="shared" si="3082"/>
        <v>#ERROR!</v>
      </c>
      <c r="DT553" s="15" t="str">
        <f t="shared" si="3082"/>
        <v>#ERROR!</v>
      </c>
      <c r="DU553" s="15" t="str">
        <f t="shared" si="3082"/>
        <v>#ERROR!</v>
      </c>
      <c r="DV553" s="15" t="str">
        <f t="shared" si="3082"/>
        <v>#ERROR!</v>
      </c>
      <c r="DW553" s="15" t="str">
        <f t="shared" si="3082"/>
        <v>#ERROR!</v>
      </c>
      <c r="DX553" s="24" t="str">
        <f t="shared" si="3082"/>
        <v>#ERROR!</v>
      </c>
      <c r="DY553" s="15" t="str">
        <f t="shared" si="3082"/>
        <v>#ERROR!</v>
      </c>
      <c r="DZ553" s="15" t="str">
        <f t="shared" si="3082"/>
        <v>#ERROR!</v>
      </c>
      <c r="EA553" s="15" t="str">
        <f t="shared" si="3082"/>
        <v>#ERROR!</v>
      </c>
      <c r="EB553" s="15" t="str">
        <f t="shared" si="3082"/>
        <v>#ERROR!</v>
      </c>
      <c r="EC553" s="24" t="str">
        <f t="shared" si="3082"/>
        <v>#ERROR!</v>
      </c>
      <c r="ED553" s="15" t="str">
        <f t="shared" si="3082"/>
        <v>#ERROR!</v>
      </c>
      <c r="EE553" s="15" t="str">
        <f t="shared" si="3082"/>
        <v>#ERROR!</v>
      </c>
      <c r="EF553" s="15" t="str">
        <f t="shared" si="3082"/>
        <v>#ERROR!</v>
      </c>
      <c r="EG553" s="15" t="str">
        <f t="shared" si="3082"/>
        <v>#ERROR!</v>
      </c>
      <c r="EH553" s="24" t="str">
        <f t="shared" si="3082"/>
        <v>#ERROR!</v>
      </c>
      <c r="EI553" s="82" t="str">
        <f t="shared" si="3082"/>
        <v>#ERROR!</v>
      </c>
      <c r="EJ553" s="15" t="str">
        <f t="shared" si="3082"/>
        <v>#ERROR!</v>
      </c>
      <c r="EK553" s="15" t="str">
        <f t="shared" si="3082"/>
        <v>#ERROR!</v>
      </c>
      <c r="EL553" s="15" t="str">
        <f t="shared" si="3082"/>
        <v>#ERROR!</v>
      </c>
      <c r="EM553" s="24" t="str">
        <f t="shared" si="3082"/>
        <v>#ERROR!</v>
      </c>
      <c r="EN553" s="15" t="str">
        <f t="shared" si="3082"/>
        <v>#ERROR!</v>
      </c>
      <c r="EO553" s="15" t="str">
        <f t="shared" si="3082"/>
        <v>#ERROR!</v>
      </c>
      <c r="EP553" s="15" t="str">
        <f t="shared" si="3082"/>
        <v>#ERROR!</v>
      </c>
      <c r="EQ553" s="15" t="str">
        <f t="shared" si="3082"/>
        <v>#ERROR!</v>
      </c>
      <c r="ER553" s="24" t="str">
        <f t="shared" si="3082"/>
        <v>#ERROR!</v>
      </c>
      <c r="ES553" s="15" t="str">
        <f t="shared" si="3082"/>
        <v>#ERROR!</v>
      </c>
      <c r="ET553" s="15" t="str">
        <f t="shared" si="3082"/>
        <v>#ERROR!</v>
      </c>
      <c r="EU553" s="15" t="str">
        <f t="shared" si="3082"/>
        <v>#ERROR!</v>
      </c>
      <c r="EV553" s="15" t="str">
        <f t="shared" si="3082"/>
        <v>#ERROR!</v>
      </c>
      <c r="EW553" s="24" t="str">
        <f t="shared" si="3082"/>
        <v>#ERROR!</v>
      </c>
      <c r="EX553" s="15" t="str">
        <f t="shared" si="3082"/>
        <v>#ERROR!</v>
      </c>
      <c r="EY553" s="15" t="str">
        <f t="shared" si="3082"/>
        <v>#ERROR!</v>
      </c>
      <c r="EZ553" s="15" t="str">
        <f t="shared" si="3082"/>
        <v>#ERROR!</v>
      </c>
      <c r="FA553" s="15" t="str">
        <f t="shared" si="3082"/>
        <v>#ERROR!</v>
      </c>
      <c r="FB553" s="24" t="str">
        <f t="shared" si="3082"/>
        <v>#ERROR!</v>
      </c>
      <c r="FC553" s="15" t="str">
        <f t="shared" si="3082"/>
        <v>#ERROR!</v>
      </c>
      <c r="FD553" s="15" t="str">
        <f t="shared" si="3082"/>
        <v>#ERROR!</v>
      </c>
      <c r="FE553" s="15" t="str">
        <f t="shared" si="3082"/>
        <v>#ERROR!</v>
      </c>
      <c r="FF553" s="15" t="str">
        <f t="shared" si="3082"/>
        <v>#ERROR!</v>
      </c>
      <c r="FG553" s="24" t="str">
        <f t="shared" si="3082"/>
        <v>#ERROR!</v>
      </c>
      <c r="FH553" s="104"/>
      <c r="FI553" s="319"/>
      <c r="FJ553" s="319"/>
      <c r="FK553" s="335"/>
      <c r="FL553" s="319"/>
    </row>
    <row r="554" ht="12.75" hidden="1" customHeight="1" outlineLevel="1">
      <c r="A554" s="45"/>
      <c r="B554" s="215" t="str">
        <f>B500</f>
        <v>Client Computing Group</v>
      </c>
      <c r="C554" s="45"/>
      <c r="D554" s="335"/>
      <c r="E554" s="335"/>
      <c r="F554" s="335"/>
      <c r="G554" s="335"/>
      <c r="H554" s="335"/>
      <c r="I554" s="335"/>
      <c r="J554" s="335"/>
      <c r="K554" s="335"/>
      <c r="L554" s="335"/>
      <c r="M554" s="335"/>
      <c r="N554" s="335"/>
      <c r="O554" s="335"/>
      <c r="P554" s="335"/>
      <c r="Q554" s="335"/>
      <c r="R554" s="335"/>
      <c r="S554" s="335"/>
      <c r="T554" s="335"/>
      <c r="U554" s="335"/>
      <c r="V554" s="335"/>
      <c r="W554" s="335"/>
      <c r="X554" s="335"/>
      <c r="Y554" s="335"/>
      <c r="Z554" s="335"/>
      <c r="AA554" s="335"/>
      <c r="AB554" s="335"/>
      <c r="AC554" s="335"/>
      <c r="AD554" s="335"/>
      <c r="AE554" s="335"/>
      <c r="AF554" s="335"/>
      <c r="AG554" s="335"/>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c r="BD554" s="335"/>
      <c r="BE554" s="335"/>
      <c r="BF554" s="335"/>
      <c r="BG554" s="335"/>
      <c r="BH554" s="335"/>
      <c r="BI554" s="335"/>
      <c r="BJ554" s="335"/>
      <c r="BK554" s="335"/>
      <c r="BL554" s="335"/>
      <c r="BM554" s="335"/>
      <c r="BN554" s="335"/>
      <c r="BO554" s="335"/>
      <c r="BP554" s="335"/>
      <c r="BQ554" s="335"/>
      <c r="BR554" s="335"/>
      <c r="BS554" s="335"/>
      <c r="BT554" s="335"/>
      <c r="BU554" s="335"/>
      <c r="BV554" s="335"/>
      <c r="BW554" s="335"/>
      <c r="BX554" s="335"/>
      <c r="BY554" s="335"/>
      <c r="BZ554" s="342"/>
      <c r="CA554" s="335"/>
      <c r="CB554" s="335"/>
      <c r="CC554" s="335"/>
      <c r="CD554" s="335"/>
      <c r="CE554" s="342"/>
      <c r="CF554" s="335"/>
      <c r="CG554" s="335"/>
      <c r="CH554" s="335"/>
      <c r="CI554" s="335"/>
      <c r="CJ554" s="342" t="str">
        <f t="shared" ref="CJ554:FG554" si="3083">#REF!/#REF!-1</f>
        <v>#REF!</v>
      </c>
      <c r="CK554" s="335" t="str">
        <f t="shared" si="3083"/>
        <v>#REF!</v>
      </c>
      <c r="CL554" s="335" t="str">
        <f t="shared" si="3083"/>
        <v>#REF!</v>
      </c>
      <c r="CM554" s="335" t="str">
        <f t="shared" si="3083"/>
        <v>#REF!</v>
      </c>
      <c r="CN554" s="343" t="str">
        <f t="shared" si="3083"/>
        <v>#REF!</v>
      </c>
      <c r="CO554" s="342" t="str">
        <f t="shared" si="3083"/>
        <v>#REF!</v>
      </c>
      <c r="CP554" s="104" t="str">
        <f t="shared" si="3083"/>
        <v>#REF!</v>
      </c>
      <c r="CQ554" s="410" t="str">
        <f t="shared" si="3083"/>
        <v>#REF!</v>
      </c>
      <c r="CR554" s="410" t="str">
        <f t="shared" si="3083"/>
        <v>#REF!</v>
      </c>
      <c r="CS554" s="410" t="str">
        <f t="shared" si="3083"/>
        <v>#REF!</v>
      </c>
      <c r="CT554" s="24" t="str">
        <f t="shared" si="3083"/>
        <v>#REF!</v>
      </c>
      <c r="CU554" s="410" t="str">
        <f t="shared" si="3083"/>
        <v>#REF!</v>
      </c>
      <c r="CV554" s="410" t="str">
        <f t="shared" si="3083"/>
        <v>#REF!</v>
      </c>
      <c r="CW554" s="410" t="str">
        <f t="shared" si="3083"/>
        <v>#REF!</v>
      </c>
      <c r="CX554" s="410" t="str">
        <f t="shared" si="3083"/>
        <v>#REF!</v>
      </c>
      <c r="CY554" s="24" t="str">
        <f t="shared" si="3083"/>
        <v>#REF!</v>
      </c>
      <c r="CZ554" s="410" t="str">
        <f t="shared" si="3083"/>
        <v>#REF!</v>
      </c>
      <c r="DA554" s="410" t="str">
        <f t="shared" si="3083"/>
        <v>#REF!</v>
      </c>
      <c r="DB554" s="410" t="str">
        <f t="shared" si="3083"/>
        <v>#REF!</v>
      </c>
      <c r="DC554" s="410" t="str">
        <f t="shared" si="3083"/>
        <v>#REF!</v>
      </c>
      <c r="DD554" s="24" t="str">
        <f t="shared" si="3083"/>
        <v>#REF!</v>
      </c>
      <c r="DE554" s="410" t="str">
        <f t="shared" si="3083"/>
        <v>#REF!</v>
      </c>
      <c r="DF554" s="410" t="str">
        <f t="shared" si="3083"/>
        <v>#REF!</v>
      </c>
      <c r="DG554" s="104" t="str">
        <f t="shared" si="3083"/>
        <v>#REF!</v>
      </c>
      <c r="DH554" s="410" t="str">
        <f t="shared" si="3083"/>
        <v>#REF!</v>
      </c>
      <c r="DI554" s="24" t="str">
        <f t="shared" si="3083"/>
        <v>#REF!</v>
      </c>
      <c r="DJ554" s="104" t="str">
        <f t="shared" si="3083"/>
        <v>#REF!</v>
      </c>
      <c r="DK554" s="104" t="str">
        <f t="shared" si="3083"/>
        <v>#REF!</v>
      </c>
      <c r="DL554" s="104" t="str">
        <f t="shared" si="3083"/>
        <v>#REF!</v>
      </c>
      <c r="DM554" s="410" t="str">
        <f t="shared" si="3083"/>
        <v>#REF!</v>
      </c>
      <c r="DN554" s="24" t="str">
        <f t="shared" si="3083"/>
        <v>#REF!</v>
      </c>
      <c r="DO554" s="410" t="str">
        <f t="shared" si="3083"/>
        <v>#REF!</v>
      </c>
      <c r="DP554" s="410" t="str">
        <f t="shared" si="3083"/>
        <v>#REF!</v>
      </c>
      <c r="DQ554" s="410" t="str">
        <f t="shared" si="3083"/>
        <v>#REF!</v>
      </c>
      <c r="DR554" s="410" t="str">
        <f t="shared" si="3083"/>
        <v>#REF!</v>
      </c>
      <c r="DS554" s="24" t="str">
        <f t="shared" si="3083"/>
        <v>#REF!</v>
      </c>
      <c r="DT554" s="410" t="str">
        <f t="shared" si="3083"/>
        <v>#REF!</v>
      </c>
      <c r="DU554" s="410" t="str">
        <f t="shared" si="3083"/>
        <v>#REF!</v>
      </c>
      <c r="DV554" s="410" t="str">
        <f t="shared" si="3083"/>
        <v>#REF!</v>
      </c>
      <c r="DW554" s="410" t="str">
        <f t="shared" si="3083"/>
        <v>#REF!</v>
      </c>
      <c r="DX554" s="24" t="str">
        <f t="shared" si="3083"/>
        <v>#REF!</v>
      </c>
      <c r="DY554" s="410" t="str">
        <f t="shared" si="3083"/>
        <v>#REF!</v>
      </c>
      <c r="DZ554" s="410" t="str">
        <f t="shared" si="3083"/>
        <v>#REF!</v>
      </c>
      <c r="EA554" s="410" t="str">
        <f t="shared" si="3083"/>
        <v>#REF!</v>
      </c>
      <c r="EB554" s="410" t="str">
        <f t="shared" si="3083"/>
        <v>#REF!</v>
      </c>
      <c r="EC554" s="24" t="str">
        <f t="shared" si="3083"/>
        <v>#REF!</v>
      </c>
      <c r="ED554" s="410" t="str">
        <f t="shared" si="3083"/>
        <v>#REF!</v>
      </c>
      <c r="EE554" s="410" t="str">
        <f t="shared" si="3083"/>
        <v>#REF!</v>
      </c>
      <c r="EF554" s="410" t="str">
        <f t="shared" si="3083"/>
        <v>#REF!</v>
      </c>
      <c r="EG554" s="410" t="str">
        <f t="shared" si="3083"/>
        <v>#REF!</v>
      </c>
      <c r="EH554" s="24" t="str">
        <f t="shared" si="3083"/>
        <v>#REF!</v>
      </c>
      <c r="EI554" s="317" t="str">
        <f t="shared" si="3083"/>
        <v>#REF!</v>
      </c>
      <c r="EJ554" s="410" t="str">
        <f t="shared" si="3083"/>
        <v>#REF!</v>
      </c>
      <c r="EK554" s="410" t="str">
        <f t="shared" si="3083"/>
        <v>#REF!</v>
      </c>
      <c r="EL554" s="410" t="str">
        <f t="shared" si="3083"/>
        <v>#REF!</v>
      </c>
      <c r="EM554" s="24" t="str">
        <f t="shared" si="3083"/>
        <v>#REF!</v>
      </c>
      <c r="EN554" s="410" t="str">
        <f t="shared" si="3083"/>
        <v>#REF!</v>
      </c>
      <c r="EO554" s="410" t="str">
        <f t="shared" si="3083"/>
        <v>#REF!</v>
      </c>
      <c r="EP554" s="410" t="str">
        <f t="shared" si="3083"/>
        <v>#REF!</v>
      </c>
      <c r="EQ554" s="410" t="str">
        <f t="shared" si="3083"/>
        <v>#REF!</v>
      </c>
      <c r="ER554" s="24" t="str">
        <f t="shared" si="3083"/>
        <v>#REF!</v>
      </c>
      <c r="ES554" s="410" t="str">
        <f t="shared" si="3083"/>
        <v>#REF!</v>
      </c>
      <c r="ET554" s="410" t="str">
        <f t="shared" si="3083"/>
        <v>#REF!</v>
      </c>
      <c r="EU554" s="410" t="str">
        <f t="shared" si="3083"/>
        <v>#REF!</v>
      </c>
      <c r="EV554" s="410" t="str">
        <f t="shared" si="3083"/>
        <v>#REF!</v>
      </c>
      <c r="EW554" s="24" t="str">
        <f t="shared" si="3083"/>
        <v>#REF!</v>
      </c>
      <c r="EX554" s="410" t="str">
        <f t="shared" si="3083"/>
        <v>#REF!</v>
      </c>
      <c r="EY554" s="410" t="str">
        <f t="shared" si="3083"/>
        <v>#REF!</v>
      </c>
      <c r="EZ554" s="410" t="str">
        <f t="shared" si="3083"/>
        <v>#REF!</v>
      </c>
      <c r="FA554" s="410" t="str">
        <f t="shared" si="3083"/>
        <v>#REF!</v>
      </c>
      <c r="FB554" s="24" t="str">
        <f t="shared" si="3083"/>
        <v>#REF!</v>
      </c>
      <c r="FC554" s="410" t="str">
        <f t="shared" si="3083"/>
        <v>#REF!</v>
      </c>
      <c r="FD554" s="410" t="str">
        <f t="shared" si="3083"/>
        <v>#REF!</v>
      </c>
      <c r="FE554" s="410" t="str">
        <f t="shared" si="3083"/>
        <v>#REF!</v>
      </c>
      <c r="FF554" s="410" t="str">
        <f t="shared" si="3083"/>
        <v>#REF!</v>
      </c>
      <c r="FG554" s="24" t="str">
        <f t="shared" si="3083"/>
        <v>#REF!</v>
      </c>
      <c r="FH554" s="104"/>
      <c r="FI554" s="335"/>
      <c r="FJ554" s="335"/>
      <c r="FK554" s="335"/>
      <c r="FL554" s="335"/>
    </row>
    <row r="555" ht="12.75" hidden="1" customHeight="1" outlineLevel="1">
      <c r="A555" s="4"/>
      <c r="B555" s="72" t="str">
        <f t="shared" ref="B555:B557" si="3085">B506</f>
        <v>Processors</v>
      </c>
      <c r="C555" s="4"/>
      <c r="D555" s="319"/>
      <c r="E555" s="319"/>
      <c r="F555" s="319"/>
      <c r="G555" s="319"/>
      <c r="H555" s="335"/>
      <c r="I555" s="319"/>
      <c r="J555" s="319"/>
      <c r="K555" s="319"/>
      <c r="L555" s="319"/>
      <c r="M555" s="335"/>
      <c r="N555" s="319"/>
      <c r="O555" s="319"/>
      <c r="P555" s="319"/>
      <c r="Q555" s="319"/>
      <c r="R555" s="335"/>
      <c r="S555" s="319"/>
      <c r="T555" s="319"/>
      <c r="U555" s="319"/>
      <c r="V555" s="319"/>
      <c r="W555" s="335"/>
      <c r="X555" s="319"/>
      <c r="Y555" s="319"/>
      <c r="Z555" s="319"/>
      <c r="AA555" s="319"/>
      <c r="AB555" s="335"/>
      <c r="AC555" s="319"/>
      <c r="AD555" s="319"/>
      <c r="AE555" s="319"/>
      <c r="AF555" s="319"/>
      <c r="AG555" s="335"/>
      <c r="AH555" s="319"/>
      <c r="AI555" s="319"/>
      <c r="AJ555" s="319"/>
      <c r="AK555" s="319"/>
      <c r="AL555" s="335"/>
      <c r="AM555" s="319"/>
      <c r="AN555" s="319"/>
      <c r="AO555" s="319"/>
      <c r="AP555" s="319"/>
      <c r="AQ555" s="335"/>
      <c r="AR555" s="319"/>
      <c r="AS555" s="319"/>
      <c r="AT555" s="319"/>
      <c r="AU555" s="319"/>
      <c r="AV555" s="335"/>
      <c r="AW555" s="319"/>
      <c r="AX555" s="319"/>
      <c r="AY555" s="319"/>
      <c r="AZ555" s="319"/>
      <c r="BA555" s="335"/>
      <c r="BB555" s="319"/>
      <c r="BC555" s="319"/>
      <c r="BD555" s="319"/>
      <c r="BE555" s="319"/>
      <c r="BF555" s="335"/>
      <c r="BG555" s="319"/>
      <c r="BH555" s="319"/>
      <c r="BI555" s="319"/>
      <c r="BJ555" s="319"/>
      <c r="BK555" s="335"/>
      <c r="BL555" s="319"/>
      <c r="BM555" s="319"/>
      <c r="BN555" s="319"/>
      <c r="BO555" s="319"/>
      <c r="BP555" s="335"/>
      <c r="BQ555" s="319"/>
      <c r="BR555" s="319"/>
      <c r="BS555" s="319"/>
      <c r="BT555" s="319"/>
      <c r="BU555" s="335"/>
      <c r="BV555" s="319"/>
      <c r="BW555" s="319"/>
      <c r="BX555" s="319"/>
      <c r="BY555" s="319"/>
      <c r="BZ555" s="342"/>
      <c r="CA555" s="319"/>
      <c r="CB555" s="319"/>
      <c r="CC555" s="319"/>
      <c r="CD555" s="319"/>
      <c r="CE555" s="342"/>
      <c r="CF555" s="319"/>
      <c r="CG555" s="319"/>
      <c r="CH555" s="319"/>
      <c r="CI555" s="319"/>
      <c r="CJ555" s="342">
        <f t="shared" ref="CJ555:FG555" si="3084">CJ506/CE506-1</f>
        <v>0.0562013228</v>
      </c>
      <c r="CK555" s="319">
        <f t="shared" si="3084"/>
        <v>0.07484407484</v>
      </c>
      <c r="CL555" s="319">
        <f t="shared" si="3084"/>
        <v>-0.02175463623</v>
      </c>
      <c r="CM555" s="319">
        <f t="shared" si="3084"/>
        <v>0.1217257319</v>
      </c>
      <c r="CN555" s="321">
        <f t="shared" si="3084"/>
        <v>0.07997118156</v>
      </c>
      <c r="CO555" s="342">
        <f t="shared" si="3084"/>
        <v>0.06209242983</v>
      </c>
      <c r="CP555" s="40" t="str">
        <f t="shared" si="3084"/>
        <v>#ERROR!</v>
      </c>
      <c r="CQ555" s="15" t="str">
        <f t="shared" si="3084"/>
        <v>#ERROR!</v>
      </c>
      <c r="CR555" s="15" t="str">
        <f t="shared" si="3084"/>
        <v>#ERROR!</v>
      </c>
      <c r="CS555" s="15" t="str">
        <f t="shared" si="3084"/>
        <v>#ERROR!</v>
      </c>
      <c r="CT555" s="24" t="str">
        <f t="shared" si="3084"/>
        <v>#ERROR!</v>
      </c>
      <c r="CU555" s="15" t="str">
        <f t="shared" si="3084"/>
        <v>#ERROR!</v>
      </c>
      <c r="CV555" s="15" t="str">
        <f t="shared" si="3084"/>
        <v>#ERROR!</v>
      </c>
      <c r="CW555" s="15" t="str">
        <f t="shared" si="3084"/>
        <v>#ERROR!</v>
      </c>
      <c r="CX555" s="15" t="str">
        <f t="shared" si="3084"/>
        <v>#ERROR!</v>
      </c>
      <c r="CY555" s="24" t="str">
        <f t="shared" si="3084"/>
        <v>#ERROR!</v>
      </c>
      <c r="CZ555" s="15" t="str">
        <f t="shared" si="3084"/>
        <v>#ERROR!</v>
      </c>
      <c r="DA555" s="15" t="str">
        <f t="shared" si="3084"/>
        <v>#ERROR!</v>
      </c>
      <c r="DB555" s="15" t="str">
        <f t="shared" si="3084"/>
        <v>#ERROR!</v>
      </c>
      <c r="DC555" s="15" t="str">
        <f t="shared" si="3084"/>
        <v>#ERROR!</v>
      </c>
      <c r="DD555" s="24" t="str">
        <f t="shared" si="3084"/>
        <v>#ERROR!</v>
      </c>
      <c r="DE555" s="15" t="str">
        <f t="shared" si="3084"/>
        <v>#ERROR!</v>
      </c>
      <c r="DF555" s="15" t="str">
        <f t="shared" si="3084"/>
        <v>#ERROR!</v>
      </c>
      <c r="DG555" s="40" t="str">
        <f t="shared" si="3084"/>
        <v>#ERROR!</v>
      </c>
      <c r="DH555" s="15" t="str">
        <f t="shared" si="3084"/>
        <v>#ERROR!</v>
      </c>
      <c r="DI555" s="24" t="str">
        <f t="shared" si="3084"/>
        <v>#ERROR!</v>
      </c>
      <c r="DJ555" s="40" t="str">
        <f t="shared" si="3084"/>
        <v>#ERROR!</v>
      </c>
      <c r="DK555" s="40" t="str">
        <f t="shared" si="3084"/>
        <v>#ERROR!</v>
      </c>
      <c r="DL555" s="40" t="str">
        <f t="shared" si="3084"/>
        <v>#ERROR!</v>
      </c>
      <c r="DM555" s="15" t="str">
        <f t="shared" si="3084"/>
        <v>#ERROR!</v>
      </c>
      <c r="DN555" s="24" t="str">
        <f t="shared" si="3084"/>
        <v>#ERROR!</v>
      </c>
      <c r="DO555" s="15" t="str">
        <f t="shared" si="3084"/>
        <v>#ERROR!</v>
      </c>
      <c r="DP555" s="15" t="str">
        <f t="shared" si="3084"/>
        <v>#ERROR!</v>
      </c>
      <c r="DQ555" s="15" t="str">
        <f t="shared" si="3084"/>
        <v>#ERROR!</v>
      </c>
      <c r="DR555" s="15" t="str">
        <f t="shared" si="3084"/>
        <v>#ERROR!</v>
      </c>
      <c r="DS555" s="24" t="str">
        <f t="shared" si="3084"/>
        <v>#ERROR!</v>
      </c>
      <c r="DT555" s="15" t="str">
        <f t="shared" si="3084"/>
        <v>#ERROR!</v>
      </c>
      <c r="DU555" s="15" t="str">
        <f t="shared" si="3084"/>
        <v>#ERROR!</v>
      </c>
      <c r="DV555" s="15" t="str">
        <f t="shared" si="3084"/>
        <v>#ERROR!</v>
      </c>
      <c r="DW555" s="15" t="str">
        <f t="shared" si="3084"/>
        <v>#ERROR!</v>
      </c>
      <c r="DX555" s="24" t="str">
        <f t="shared" si="3084"/>
        <v>#ERROR!</v>
      </c>
      <c r="DY555" s="15" t="str">
        <f t="shared" si="3084"/>
        <v>#ERROR!</v>
      </c>
      <c r="DZ555" s="15" t="str">
        <f t="shared" si="3084"/>
        <v>#ERROR!</v>
      </c>
      <c r="EA555" s="15" t="str">
        <f t="shared" si="3084"/>
        <v>#ERROR!</v>
      </c>
      <c r="EB555" s="15" t="str">
        <f t="shared" si="3084"/>
        <v>#ERROR!</v>
      </c>
      <c r="EC555" s="24" t="str">
        <f t="shared" si="3084"/>
        <v>#ERROR!</v>
      </c>
      <c r="ED555" s="15" t="str">
        <f t="shared" si="3084"/>
        <v>#ERROR!</v>
      </c>
      <c r="EE555" s="15" t="str">
        <f t="shared" si="3084"/>
        <v>#ERROR!</v>
      </c>
      <c r="EF555" s="15" t="str">
        <f t="shared" si="3084"/>
        <v>#ERROR!</v>
      </c>
      <c r="EG555" s="15" t="str">
        <f t="shared" si="3084"/>
        <v>#ERROR!</v>
      </c>
      <c r="EH555" s="24" t="str">
        <f t="shared" si="3084"/>
        <v>#ERROR!</v>
      </c>
      <c r="EI555" s="82" t="str">
        <f t="shared" si="3084"/>
        <v>#ERROR!</v>
      </c>
      <c r="EJ555" s="15" t="str">
        <f t="shared" si="3084"/>
        <v>#ERROR!</v>
      </c>
      <c r="EK555" s="15" t="str">
        <f t="shared" si="3084"/>
        <v>#ERROR!</v>
      </c>
      <c r="EL555" s="15" t="str">
        <f t="shared" si="3084"/>
        <v>#ERROR!</v>
      </c>
      <c r="EM555" s="24" t="str">
        <f t="shared" si="3084"/>
        <v>#ERROR!</v>
      </c>
      <c r="EN555" s="15" t="str">
        <f t="shared" si="3084"/>
        <v>#ERROR!</v>
      </c>
      <c r="EO555" s="15" t="str">
        <f t="shared" si="3084"/>
        <v>#ERROR!</v>
      </c>
      <c r="EP555" s="15" t="str">
        <f t="shared" si="3084"/>
        <v>#ERROR!</v>
      </c>
      <c r="EQ555" s="15" t="str">
        <f t="shared" si="3084"/>
        <v>#ERROR!</v>
      </c>
      <c r="ER555" s="24" t="str">
        <f t="shared" si="3084"/>
        <v>#ERROR!</v>
      </c>
      <c r="ES555" s="15" t="str">
        <f t="shared" si="3084"/>
        <v>#ERROR!</v>
      </c>
      <c r="ET555" s="15" t="str">
        <f t="shared" si="3084"/>
        <v>#ERROR!</v>
      </c>
      <c r="EU555" s="15" t="str">
        <f t="shared" si="3084"/>
        <v>#ERROR!</v>
      </c>
      <c r="EV555" s="15" t="str">
        <f t="shared" si="3084"/>
        <v>#ERROR!</v>
      </c>
      <c r="EW555" s="24" t="str">
        <f t="shared" si="3084"/>
        <v>#ERROR!</v>
      </c>
      <c r="EX555" s="15" t="str">
        <f t="shared" si="3084"/>
        <v>#ERROR!</v>
      </c>
      <c r="EY555" s="15" t="str">
        <f t="shared" si="3084"/>
        <v>#ERROR!</v>
      </c>
      <c r="EZ555" s="15" t="str">
        <f t="shared" si="3084"/>
        <v>#ERROR!</v>
      </c>
      <c r="FA555" s="15" t="str">
        <f t="shared" si="3084"/>
        <v>#ERROR!</v>
      </c>
      <c r="FB555" s="24" t="str">
        <f t="shared" si="3084"/>
        <v>#ERROR!</v>
      </c>
      <c r="FC555" s="15" t="str">
        <f t="shared" si="3084"/>
        <v>#ERROR!</v>
      </c>
      <c r="FD555" s="15" t="str">
        <f t="shared" si="3084"/>
        <v>#ERROR!</v>
      </c>
      <c r="FE555" s="15" t="str">
        <f t="shared" si="3084"/>
        <v>#ERROR!</v>
      </c>
      <c r="FF555" s="15" t="str">
        <f t="shared" si="3084"/>
        <v>#ERROR!</v>
      </c>
      <c r="FG555" s="24" t="str">
        <f t="shared" si="3084"/>
        <v>#ERROR!</v>
      </c>
      <c r="FH555" s="104"/>
      <c r="FI555" s="319"/>
      <c r="FJ555" s="319"/>
      <c r="FK555" s="335"/>
      <c r="FL555" s="319"/>
    </row>
    <row r="556" ht="12.75" hidden="1" customHeight="1" outlineLevel="1">
      <c r="A556" s="4"/>
      <c r="B556" s="72" t="str">
        <f t="shared" si="3085"/>
        <v>Chipsets, MBs and other</v>
      </c>
      <c r="C556" s="4"/>
      <c r="D556" s="319"/>
      <c r="E556" s="319"/>
      <c r="F556" s="319"/>
      <c r="G556" s="319"/>
      <c r="H556" s="335"/>
      <c r="I556" s="319"/>
      <c r="J556" s="319"/>
      <c r="K556" s="319"/>
      <c r="L556" s="319"/>
      <c r="M556" s="335"/>
      <c r="N556" s="319"/>
      <c r="O556" s="319"/>
      <c r="P556" s="319"/>
      <c r="Q556" s="319"/>
      <c r="R556" s="335"/>
      <c r="S556" s="319"/>
      <c r="T556" s="319"/>
      <c r="U556" s="319"/>
      <c r="V556" s="319"/>
      <c r="W556" s="335"/>
      <c r="X556" s="319"/>
      <c r="Y556" s="319"/>
      <c r="Z556" s="319"/>
      <c r="AA556" s="319"/>
      <c r="AB556" s="335"/>
      <c r="AC556" s="319"/>
      <c r="AD556" s="319"/>
      <c r="AE556" s="319"/>
      <c r="AF556" s="319"/>
      <c r="AG556" s="335"/>
      <c r="AH556" s="319"/>
      <c r="AI556" s="319"/>
      <c r="AJ556" s="319"/>
      <c r="AK556" s="319"/>
      <c r="AL556" s="335"/>
      <c r="AM556" s="319"/>
      <c r="AN556" s="319"/>
      <c r="AO556" s="319"/>
      <c r="AP556" s="319"/>
      <c r="AQ556" s="335"/>
      <c r="AR556" s="319"/>
      <c r="AS556" s="319"/>
      <c r="AT556" s="319"/>
      <c r="AU556" s="319"/>
      <c r="AV556" s="335"/>
      <c r="AW556" s="319"/>
      <c r="AX556" s="319"/>
      <c r="AY556" s="319"/>
      <c r="AZ556" s="319"/>
      <c r="BA556" s="335"/>
      <c r="BB556" s="319"/>
      <c r="BC556" s="319"/>
      <c r="BD556" s="319"/>
      <c r="BE556" s="319"/>
      <c r="BF556" s="335"/>
      <c r="BG556" s="319"/>
      <c r="BH556" s="319"/>
      <c r="BI556" s="319"/>
      <c r="BJ556" s="319"/>
      <c r="BK556" s="335"/>
      <c r="BL556" s="319"/>
      <c r="BM556" s="319"/>
      <c r="BN556" s="319"/>
      <c r="BO556" s="319"/>
      <c r="BP556" s="335"/>
      <c r="BQ556" s="319"/>
      <c r="BR556" s="319"/>
      <c r="BS556" s="319"/>
      <c r="BT556" s="319"/>
      <c r="BU556" s="335"/>
      <c r="BV556" s="319"/>
      <c r="BW556" s="319"/>
      <c r="BX556" s="319"/>
      <c r="BY556" s="319"/>
      <c r="BZ556" s="342"/>
      <c r="CA556" s="319"/>
      <c r="CB556" s="319"/>
      <c r="CC556" s="319"/>
      <c r="CD556" s="319"/>
      <c r="CE556" s="342"/>
      <c r="CF556" s="319"/>
      <c r="CG556" s="319"/>
      <c r="CH556" s="319"/>
      <c r="CI556" s="319"/>
      <c r="CJ556" s="342">
        <f t="shared" ref="CJ556:FG556" si="3086">CJ507/CE507-1</f>
        <v>-0.01646506209</v>
      </c>
      <c r="CK556" s="319">
        <f t="shared" si="3086"/>
        <v>0.07484407484</v>
      </c>
      <c r="CL556" s="319">
        <f t="shared" si="3086"/>
        <v>-0.02175463623</v>
      </c>
      <c r="CM556" s="319">
        <f t="shared" si="3086"/>
        <v>0.1217257319</v>
      </c>
      <c r="CN556" s="321">
        <f t="shared" si="3086"/>
        <v>0.07997118156</v>
      </c>
      <c r="CO556" s="342">
        <f t="shared" si="3086"/>
        <v>0.06209242983</v>
      </c>
      <c r="CP556" s="40" t="str">
        <f t="shared" si="3086"/>
        <v>#ERROR!</v>
      </c>
      <c r="CQ556" s="15" t="str">
        <f t="shared" si="3086"/>
        <v>#ERROR!</v>
      </c>
      <c r="CR556" s="15" t="str">
        <f t="shared" si="3086"/>
        <v>#ERROR!</v>
      </c>
      <c r="CS556" s="15" t="str">
        <f t="shared" si="3086"/>
        <v>#ERROR!</v>
      </c>
      <c r="CT556" s="24" t="str">
        <f t="shared" si="3086"/>
        <v>#ERROR!</v>
      </c>
      <c r="CU556" s="15" t="str">
        <f t="shared" si="3086"/>
        <v>#ERROR!</v>
      </c>
      <c r="CV556" s="15" t="str">
        <f t="shared" si="3086"/>
        <v>#ERROR!</v>
      </c>
      <c r="CW556" s="15" t="str">
        <f t="shared" si="3086"/>
        <v>#ERROR!</v>
      </c>
      <c r="CX556" s="15" t="str">
        <f t="shared" si="3086"/>
        <v>#ERROR!</v>
      </c>
      <c r="CY556" s="24" t="str">
        <f t="shared" si="3086"/>
        <v>#ERROR!</v>
      </c>
      <c r="CZ556" s="15" t="str">
        <f t="shared" si="3086"/>
        <v>#ERROR!</v>
      </c>
      <c r="DA556" s="15" t="str">
        <f t="shared" si="3086"/>
        <v>#ERROR!</v>
      </c>
      <c r="DB556" s="15" t="str">
        <f t="shared" si="3086"/>
        <v>#ERROR!</v>
      </c>
      <c r="DC556" s="15" t="str">
        <f t="shared" si="3086"/>
        <v>#ERROR!</v>
      </c>
      <c r="DD556" s="24" t="str">
        <f t="shared" si="3086"/>
        <v>#ERROR!</v>
      </c>
      <c r="DE556" s="15" t="str">
        <f t="shared" si="3086"/>
        <v>#ERROR!</v>
      </c>
      <c r="DF556" s="15" t="str">
        <f t="shared" si="3086"/>
        <v>#ERROR!</v>
      </c>
      <c r="DG556" s="40" t="str">
        <f t="shared" si="3086"/>
        <v>#ERROR!</v>
      </c>
      <c r="DH556" s="15" t="str">
        <f t="shared" si="3086"/>
        <v>#ERROR!</v>
      </c>
      <c r="DI556" s="24" t="str">
        <f t="shared" si="3086"/>
        <v>#ERROR!</v>
      </c>
      <c r="DJ556" s="40" t="str">
        <f t="shared" si="3086"/>
        <v>#ERROR!</v>
      </c>
      <c r="DK556" s="40" t="str">
        <f t="shared" si="3086"/>
        <v>#ERROR!</v>
      </c>
      <c r="DL556" s="40" t="str">
        <f t="shared" si="3086"/>
        <v>#ERROR!</v>
      </c>
      <c r="DM556" s="15" t="str">
        <f t="shared" si="3086"/>
        <v>#ERROR!</v>
      </c>
      <c r="DN556" s="24" t="str">
        <f t="shared" si="3086"/>
        <v>#ERROR!</v>
      </c>
      <c r="DO556" s="15" t="str">
        <f t="shared" si="3086"/>
        <v>#ERROR!</v>
      </c>
      <c r="DP556" s="15" t="str">
        <f t="shared" si="3086"/>
        <v>#ERROR!</v>
      </c>
      <c r="DQ556" s="15" t="str">
        <f t="shared" si="3086"/>
        <v>#ERROR!</v>
      </c>
      <c r="DR556" s="15" t="str">
        <f t="shared" si="3086"/>
        <v>#ERROR!</v>
      </c>
      <c r="DS556" s="24" t="str">
        <f t="shared" si="3086"/>
        <v>#ERROR!</v>
      </c>
      <c r="DT556" s="15" t="str">
        <f t="shared" si="3086"/>
        <v>#ERROR!</v>
      </c>
      <c r="DU556" s="15" t="str">
        <f t="shared" si="3086"/>
        <v>#ERROR!</v>
      </c>
      <c r="DV556" s="15" t="str">
        <f t="shared" si="3086"/>
        <v>#ERROR!</v>
      </c>
      <c r="DW556" s="15" t="str">
        <f t="shared" si="3086"/>
        <v>#ERROR!</v>
      </c>
      <c r="DX556" s="24" t="str">
        <f t="shared" si="3086"/>
        <v>#ERROR!</v>
      </c>
      <c r="DY556" s="15" t="str">
        <f t="shared" si="3086"/>
        <v>#ERROR!</v>
      </c>
      <c r="DZ556" s="15" t="str">
        <f t="shared" si="3086"/>
        <v>#ERROR!</v>
      </c>
      <c r="EA556" s="15" t="str">
        <f t="shared" si="3086"/>
        <v>#ERROR!</v>
      </c>
      <c r="EB556" s="15" t="str">
        <f t="shared" si="3086"/>
        <v>#ERROR!</v>
      </c>
      <c r="EC556" s="24" t="str">
        <f t="shared" si="3086"/>
        <v>#ERROR!</v>
      </c>
      <c r="ED556" s="15" t="str">
        <f t="shared" si="3086"/>
        <v>#ERROR!</v>
      </c>
      <c r="EE556" s="15" t="str">
        <f t="shared" si="3086"/>
        <v>#ERROR!</v>
      </c>
      <c r="EF556" s="15" t="str">
        <f t="shared" si="3086"/>
        <v>#ERROR!</v>
      </c>
      <c r="EG556" s="15" t="str">
        <f t="shared" si="3086"/>
        <v>#ERROR!</v>
      </c>
      <c r="EH556" s="24" t="str">
        <f t="shared" si="3086"/>
        <v>#ERROR!</v>
      </c>
      <c r="EI556" s="82" t="str">
        <f t="shared" si="3086"/>
        <v>#ERROR!</v>
      </c>
      <c r="EJ556" s="15" t="str">
        <f t="shared" si="3086"/>
        <v>#ERROR!</v>
      </c>
      <c r="EK556" s="15" t="str">
        <f t="shared" si="3086"/>
        <v>#ERROR!</v>
      </c>
      <c r="EL556" s="15" t="str">
        <f t="shared" si="3086"/>
        <v>#ERROR!</v>
      </c>
      <c r="EM556" s="24" t="str">
        <f t="shared" si="3086"/>
        <v>#ERROR!</v>
      </c>
      <c r="EN556" s="15" t="str">
        <f t="shared" si="3086"/>
        <v>#ERROR!</v>
      </c>
      <c r="EO556" s="15" t="str">
        <f t="shared" si="3086"/>
        <v>#ERROR!</v>
      </c>
      <c r="EP556" s="15" t="str">
        <f t="shared" si="3086"/>
        <v>#ERROR!</v>
      </c>
      <c r="EQ556" s="15" t="str">
        <f t="shared" si="3086"/>
        <v>#ERROR!</v>
      </c>
      <c r="ER556" s="24" t="str">
        <f t="shared" si="3086"/>
        <v>#ERROR!</v>
      </c>
      <c r="ES556" s="15" t="str">
        <f t="shared" si="3086"/>
        <v>#ERROR!</v>
      </c>
      <c r="ET556" s="15" t="str">
        <f t="shared" si="3086"/>
        <v>#ERROR!</v>
      </c>
      <c r="EU556" s="15" t="str">
        <f t="shared" si="3086"/>
        <v>#ERROR!</v>
      </c>
      <c r="EV556" s="15" t="str">
        <f t="shared" si="3086"/>
        <v>#ERROR!</v>
      </c>
      <c r="EW556" s="24" t="str">
        <f t="shared" si="3086"/>
        <v>#ERROR!</v>
      </c>
      <c r="EX556" s="15" t="str">
        <f t="shared" si="3086"/>
        <v>#ERROR!</v>
      </c>
      <c r="EY556" s="15" t="str">
        <f t="shared" si="3086"/>
        <v>#ERROR!</v>
      </c>
      <c r="EZ556" s="15" t="str">
        <f t="shared" si="3086"/>
        <v>#ERROR!</v>
      </c>
      <c r="FA556" s="15" t="str">
        <f t="shared" si="3086"/>
        <v>#ERROR!</v>
      </c>
      <c r="FB556" s="24" t="str">
        <f t="shared" si="3086"/>
        <v>#ERROR!</v>
      </c>
      <c r="FC556" s="15" t="str">
        <f t="shared" si="3086"/>
        <v>#ERROR!</v>
      </c>
      <c r="FD556" s="15" t="str">
        <f t="shared" si="3086"/>
        <v>#ERROR!</v>
      </c>
      <c r="FE556" s="15" t="str">
        <f t="shared" si="3086"/>
        <v>#ERROR!</v>
      </c>
      <c r="FF556" s="15" t="str">
        <f t="shared" si="3086"/>
        <v>#ERROR!</v>
      </c>
      <c r="FG556" s="24" t="str">
        <f t="shared" si="3086"/>
        <v>#ERROR!</v>
      </c>
      <c r="FH556" s="104"/>
      <c r="FI556" s="319"/>
      <c r="FJ556" s="319"/>
      <c r="FK556" s="335"/>
      <c r="FL556" s="319"/>
    </row>
    <row r="557" ht="12.75" hidden="1" customHeight="1" outlineLevel="1">
      <c r="A557" s="45"/>
      <c r="B557" s="215" t="str">
        <f t="shared" si="3085"/>
        <v>Data Center Group</v>
      </c>
      <c r="C557" s="45"/>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5"/>
      <c r="Z557" s="335"/>
      <c r="AA557" s="335"/>
      <c r="AB557" s="335"/>
      <c r="AC557" s="335"/>
      <c r="AD557" s="335"/>
      <c r="AE557" s="335"/>
      <c r="AF557" s="335"/>
      <c r="AG557" s="335"/>
      <c r="AH557" s="335"/>
      <c r="AI557" s="335"/>
      <c r="AJ557" s="335"/>
      <c r="AK557" s="335"/>
      <c r="AL557" s="335"/>
      <c r="AM557" s="335"/>
      <c r="AN557" s="335"/>
      <c r="AO557" s="335"/>
      <c r="AP557" s="335"/>
      <c r="AQ557" s="335"/>
      <c r="AR557" s="335"/>
      <c r="AS557" s="335"/>
      <c r="AT557" s="335"/>
      <c r="AU557" s="335"/>
      <c r="AV557" s="335"/>
      <c r="AW557" s="335"/>
      <c r="AX557" s="335"/>
      <c r="AY557" s="335"/>
      <c r="AZ557" s="335"/>
      <c r="BA557" s="335"/>
      <c r="BB557" s="335"/>
      <c r="BC557" s="335"/>
      <c r="BD557" s="335"/>
      <c r="BE557" s="335"/>
      <c r="BF557" s="335"/>
      <c r="BG557" s="335"/>
      <c r="BH557" s="335"/>
      <c r="BI557" s="335"/>
      <c r="BJ557" s="335"/>
      <c r="BK557" s="335"/>
      <c r="BL557" s="335"/>
      <c r="BM557" s="335"/>
      <c r="BN557" s="335"/>
      <c r="BO557" s="335"/>
      <c r="BP557" s="335"/>
      <c r="BQ557" s="335"/>
      <c r="BR557" s="335"/>
      <c r="BS557" s="335"/>
      <c r="BT557" s="335"/>
      <c r="BU557" s="335"/>
      <c r="BV557" s="335"/>
      <c r="BW557" s="335"/>
      <c r="BX557" s="335"/>
      <c r="BY557" s="335"/>
      <c r="BZ557" s="342"/>
      <c r="CA557" s="335"/>
      <c r="CB557" s="335"/>
      <c r="CC557" s="335"/>
      <c r="CD557" s="335"/>
      <c r="CE557" s="342"/>
      <c r="CF557" s="335"/>
      <c r="CG557" s="335"/>
      <c r="CH557" s="335"/>
      <c r="CI557" s="335"/>
      <c r="CJ557" s="342">
        <f t="shared" ref="CJ557:FG557" si="3087">CJ508/CE508-1</f>
        <v>0.04462434594</v>
      </c>
      <c r="CK557" s="335">
        <f t="shared" si="3087"/>
        <v>0.07484407484</v>
      </c>
      <c r="CL557" s="335">
        <f t="shared" si="3087"/>
        <v>-0.02175463623</v>
      </c>
      <c r="CM557" s="335">
        <f t="shared" si="3087"/>
        <v>0.1217257319</v>
      </c>
      <c r="CN557" s="343">
        <f t="shared" si="3087"/>
        <v>0.07997118156</v>
      </c>
      <c r="CO557" s="342">
        <f t="shared" si="3087"/>
        <v>0.06209242983</v>
      </c>
      <c r="CP557" s="104">
        <f t="shared" si="3087"/>
        <v>0.1941972921</v>
      </c>
      <c r="CQ557" s="410">
        <f t="shared" si="3087"/>
        <v>0.2792562887</v>
      </c>
      <c r="CR557" s="410">
        <f t="shared" si="3087"/>
        <v>0.2706043956</v>
      </c>
      <c r="CS557" s="410">
        <f t="shared" si="3087"/>
        <v>0.3645763843</v>
      </c>
      <c r="CT557" s="24">
        <f t="shared" si="3087"/>
        <v>0.2802100018</v>
      </c>
      <c r="CU557" s="410">
        <f t="shared" si="3087"/>
        <v>0.1917719469</v>
      </c>
      <c r="CV557" s="410">
        <f t="shared" si="3087"/>
        <v>0.09717868339</v>
      </c>
      <c r="CW557" s="410">
        <f t="shared" si="3087"/>
        <v>0.1189189189</v>
      </c>
      <c r="CX557" s="410">
        <f t="shared" si="3087"/>
        <v>0.05304326571</v>
      </c>
      <c r="CY557" s="24">
        <f t="shared" si="3087"/>
        <v>0.1105164385</v>
      </c>
      <c r="CZ557" s="410" t="str">
        <f t="shared" si="3087"/>
        <v>#ERROR!</v>
      </c>
      <c r="DA557" s="410" t="str">
        <f t="shared" si="3087"/>
        <v>#ERROR!</v>
      </c>
      <c r="DB557" s="410" t="str">
        <f t="shared" si="3087"/>
        <v>#ERROR!</v>
      </c>
      <c r="DC557" s="410" t="str">
        <f t="shared" si="3087"/>
        <v>#ERROR!</v>
      </c>
      <c r="DD557" s="24" t="str">
        <f t="shared" si="3087"/>
        <v>#ERROR!</v>
      </c>
      <c r="DE557" s="410" t="str">
        <f t="shared" si="3087"/>
        <v>#ERROR!</v>
      </c>
      <c r="DF557" s="410" t="str">
        <f t="shared" si="3087"/>
        <v>#ERROR!</v>
      </c>
      <c r="DG557" s="104" t="str">
        <f t="shared" si="3087"/>
        <v>#ERROR!</v>
      </c>
      <c r="DH557" s="410" t="str">
        <f t="shared" si="3087"/>
        <v>#ERROR!</v>
      </c>
      <c r="DI557" s="24" t="str">
        <f t="shared" si="3087"/>
        <v>#ERROR!</v>
      </c>
      <c r="DJ557" s="104" t="str">
        <f t="shared" si="3087"/>
        <v>#ERROR!</v>
      </c>
      <c r="DK557" s="104" t="str">
        <f t="shared" si="3087"/>
        <v>#ERROR!</v>
      </c>
      <c r="DL557" s="104" t="str">
        <f t="shared" si="3087"/>
        <v>#ERROR!</v>
      </c>
      <c r="DM557" s="410" t="str">
        <f t="shared" si="3087"/>
        <v>#ERROR!</v>
      </c>
      <c r="DN557" s="24" t="str">
        <f t="shared" si="3087"/>
        <v>#ERROR!</v>
      </c>
      <c r="DO557" s="410" t="str">
        <f t="shared" si="3087"/>
        <v>#ERROR!</v>
      </c>
      <c r="DP557" s="410" t="str">
        <f t="shared" si="3087"/>
        <v>#ERROR!</v>
      </c>
      <c r="DQ557" s="410" t="str">
        <f t="shared" si="3087"/>
        <v>#ERROR!</v>
      </c>
      <c r="DR557" s="410" t="str">
        <f t="shared" si="3087"/>
        <v>#ERROR!</v>
      </c>
      <c r="DS557" s="24" t="str">
        <f t="shared" si="3087"/>
        <v>#ERROR!</v>
      </c>
      <c r="DT557" s="410" t="str">
        <f t="shared" si="3087"/>
        <v>#ERROR!</v>
      </c>
      <c r="DU557" s="410" t="str">
        <f t="shared" si="3087"/>
        <v>#ERROR!</v>
      </c>
      <c r="DV557" s="410" t="str">
        <f t="shared" si="3087"/>
        <v>#ERROR!</v>
      </c>
      <c r="DW557" s="410" t="str">
        <f t="shared" si="3087"/>
        <v>#ERROR!</v>
      </c>
      <c r="DX557" s="24" t="str">
        <f t="shared" si="3087"/>
        <v>#ERROR!</v>
      </c>
      <c r="DY557" s="410" t="str">
        <f t="shared" si="3087"/>
        <v>#ERROR!</v>
      </c>
      <c r="DZ557" s="410" t="str">
        <f t="shared" si="3087"/>
        <v>#ERROR!</v>
      </c>
      <c r="EA557" s="410" t="str">
        <f t="shared" si="3087"/>
        <v>#ERROR!</v>
      </c>
      <c r="EB557" s="410" t="str">
        <f t="shared" si="3087"/>
        <v>#ERROR!</v>
      </c>
      <c r="EC557" s="24" t="str">
        <f t="shared" si="3087"/>
        <v>#ERROR!</v>
      </c>
      <c r="ED557" s="410" t="str">
        <f t="shared" si="3087"/>
        <v>#ERROR!</v>
      </c>
      <c r="EE557" s="410" t="str">
        <f t="shared" si="3087"/>
        <v>#ERROR!</v>
      </c>
      <c r="EF557" s="410" t="str">
        <f t="shared" si="3087"/>
        <v>#ERROR!</v>
      </c>
      <c r="EG557" s="410" t="str">
        <f t="shared" si="3087"/>
        <v>#ERROR!</v>
      </c>
      <c r="EH557" s="24" t="str">
        <f t="shared" si="3087"/>
        <v>#ERROR!</v>
      </c>
      <c r="EI557" s="317" t="str">
        <f t="shared" si="3087"/>
        <v>#ERROR!</v>
      </c>
      <c r="EJ557" s="410" t="str">
        <f t="shared" si="3087"/>
        <v>#ERROR!</v>
      </c>
      <c r="EK557" s="410" t="str">
        <f t="shared" si="3087"/>
        <v>#ERROR!</v>
      </c>
      <c r="EL557" s="410" t="str">
        <f t="shared" si="3087"/>
        <v>#ERROR!</v>
      </c>
      <c r="EM557" s="24" t="str">
        <f t="shared" si="3087"/>
        <v>#ERROR!</v>
      </c>
      <c r="EN557" s="410" t="str">
        <f t="shared" si="3087"/>
        <v>#ERROR!</v>
      </c>
      <c r="EO557" s="410" t="str">
        <f t="shared" si="3087"/>
        <v>#ERROR!</v>
      </c>
      <c r="EP557" s="410" t="str">
        <f t="shared" si="3087"/>
        <v>#ERROR!</v>
      </c>
      <c r="EQ557" s="410" t="str">
        <f t="shared" si="3087"/>
        <v>#ERROR!</v>
      </c>
      <c r="ER557" s="24" t="str">
        <f t="shared" si="3087"/>
        <v>#ERROR!</v>
      </c>
      <c r="ES557" s="410" t="str">
        <f t="shared" si="3087"/>
        <v>#ERROR!</v>
      </c>
      <c r="ET557" s="410" t="str">
        <f t="shared" si="3087"/>
        <v>#ERROR!</v>
      </c>
      <c r="EU557" s="410" t="str">
        <f t="shared" si="3087"/>
        <v>#ERROR!</v>
      </c>
      <c r="EV557" s="410" t="str">
        <f t="shared" si="3087"/>
        <v>#ERROR!</v>
      </c>
      <c r="EW557" s="24" t="str">
        <f t="shared" si="3087"/>
        <v>#ERROR!</v>
      </c>
      <c r="EX557" s="410" t="str">
        <f t="shared" si="3087"/>
        <v>#ERROR!</v>
      </c>
      <c r="EY557" s="410" t="str">
        <f t="shared" si="3087"/>
        <v>#ERROR!</v>
      </c>
      <c r="EZ557" s="410" t="str">
        <f t="shared" si="3087"/>
        <v>#ERROR!</v>
      </c>
      <c r="FA557" s="410" t="str">
        <f t="shared" si="3087"/>
        <v>#ERROR!</v>
      </c>
      <c r="FB557" s="24" t="str">
        <f t="shared" si="3087"/>
        <v>#ERROR!</v>
      </c>
      <c r="FC557" s="410" t="str">
        <f t="shared" si="3087"/>
        <v>#ERROR!</v>
      </c>
      <c r="FD557" s="410" t="str">
        <f t="shared" si="3087"/>
        <v>#ERROR!</v>
      </c>
      <c r="FE557" s="410" t="str">
        <f t="shared" si="3087"/>
        <v>#ERROR!</v>
      </c>
      <c r="FF557" s="410" t="str">
        <f t="shared" si="3087"/>
        <v>#ERROR!</v>
      </c>
      <c r="FG557" s="24" t="str">
        <f t="shared" si="3087"/>
        <v>#ERROR!</v>
      </c>
      <c r="FH557" s="104"/>
      <c r="FI557" s="335"/>
      <c r="FJ557" s="335"/>
      <c r="FK557" s="335"/>
      <c r="FL557" s="335"/>
    </row>
    <row r="558" ht="12.75" hidden="1" customHeight="1" outlineLevel="1">
      <c r="A558" s="45"/>
      <c r="B558" s="215" t="str">
        <f t="shared" ref="B558:B559" si="3089">B511</f>
        <v>Other IAG</v>
      </c>
      <c r="C558" s="45"/>
      <c r="D558" s="335"/>
      <c r="E558" s="335"/>
      <c r="F558" s="335"/>
      <c r="G558" s="335"/>
      <c r="H558" s="335"/>
      <c r="I558" s="335"/>
      <c r="J558" s="335"/>
      <c r="K558" s="335"/>
      <c r="L558" s="335"/>
      <c r="M558" s="335"/>
      <c r="N558" s="335"/>
      <c r="O558" s="335"/>
      <c r="P558" s="335"/>
      <c r="Q558" s="335"/>
      <c r="R558" s="335"/>
      <c r="S558" s="335"/>
      <c r="T558" s="335"/>
      <c r="U558" s="335"/>
      <c r="V558" s="335"/>
      <c r="W558" s="335"/>
      <c r="X558" s="335"/>
      <c r="Y558" s="335"/>
      <c r="Z558" s="335"/>
      <c r="AA558" s="335"/>
      <c r="AB558" s="335"/>
      <c r="AC558" s="335"/>
      <c r="AD558" s="335"/>
      <c r="AE558" s="335"/>
      <c r="AF558" s="335"/>
      <c r="AG558" s="335"/>
      <c r="AH558" s="335"/>
      <c r="AI558" s="335"/>
      <c r="AJ558" s="335"/>
      <c r="AK558" s="335"/>
      <c r="AL558" s="335"/>
      <c r="AM558" s="335"/>
      <c r="AN558" s="335"/>
      <c r="AO558" s="335"/>
      <c r="AP558" s="335"/>
      <c r="AQ558" s="335"/>
      <c r="AR558" s="335"/>
      <c r="AS558" s="335"/>
      <c r="AT558" s="335"/>
      <c r="AU558" s="335"/>
      <c r="AV558" s="335"/>
      <c r="AW558" s="335"/>
      <c r="AX558" s="335"/>
      <c r="AY558" s="335"/>
      <c r="AZ558" s="335"/>
      <c r="BA558" s="335"/>
      <c r="BB558" s="335"/>
      <c r="BC558" s="335"/>
      <c r="BD558" s="335"/>
      <c r="BE558" s="335"/>
      <c r="BF558" s="335"/>
      <c r="BG558" s="335"/>
      <c r="BH558" s="335"/>
      <c r="BI558" s="335"/>
      <c r="BJ558" s="335"/>
      <c r="BK558" s="335"/>
      <c r="BL558" s="335"/>
      <c r="BM558" s="335"/>
      <c r="BN558" s="335"/>
      <c r="BO558" s="335"/>
      <c r="BP558" s="335"/>
      <c r="BQ558" s="335"/>
      <c r="BR558" s="335"/>
      <c r="BS558" s="335"/>
      <c r="BT558" s="335"/>
      <c r="BU558" s="335"/>
      <c r="BV558" s="335"/>
      <c r="BW558" s="335"/>
      <c r="BX558" s="335"/>
      <c r="BY558" s="335"/>
      <c r="BZ558" s="342"/>
      <c r="CA558" s="335"/>
      <c r="CB558" s="335"/>
      <c r="CC558" s="335"/>
      <c r="CD558" s="335"/>
      <c r="CE558" s="342"/>
      <c r="CF558" s="335"/>
      <c r="CG558" s="335"/>
      <c r="CH558" s="335"/>
      <c r="CI558" s="335"/>
      <c r="CJ558" s="342">
        <f t="shared" ref="CJ558:FG558" si="3088">CJ511/CE511-1</f>
        <v>-0.1252747253</v>
      </c>
      <c r="CK558" s="335">
        <f t="shared" si="3088"/>
        <v>-0.09023255814</v>
      </c>
      <c r="CL558" s="335">
        <f t="shared" si="3088"/>
        <v>-0.1498194946</v>
      </c>
      <c r="CM558" s="335">
        <f t="shared" si="3088"/>
        <v>-0.09345794393</v>
      </c>
      <c r="CN558" s="343">
        <f t="shared" si="3088"/>
        <v>0.08546168959</v>
      </c>
      <c r="CO558" s="342">
        <f t="shared" si="3088"/>
        <v>-0.06532663317</v>
      </c>
      <c r="CP558" s="104">
        <f t="shared" si="3088"/>
        <v>-0.3476482618</v>
      </c>
      <c r="CQ558" s="410">
        <f t="shared" si="3088"/>
        <v>-0.355626327</v>
      </c>
      <c r="CR558" s="410">
        <f t="shared" si="3088"/>
        <v>-0.5023430178</v>
      </c>
      <c r="CS558" s="410">
        <f t="shared" si="3088"/>
        <v>-0.4705882353</v>
      </c>
      <c r="CT558" s="24">
        <f t="shared" si="3088"/>
        <v>-0.4230205279</v>
      </c>
      <c r="CU558" s="410">
        <f t="shared" si="3088"/>
        <v>-0.1645768025</v>
      </c>
      <c r="CV558" s="410">
        <f t="shared" si="3088"/>
        <v>-0.07907742998</v>
      </c>
      <c r="CW558" s="410">
        <f t="shared" si="3088"/>
        <v>0.09416195857</v>
      </c>
      <c r="CX558" s="410">
        <f t="shared" si="3088"/>
        <v>0.06837606838</v>
      </c>
      <c r="CY558" s="24">
        <f t="shared" si="3088"/>
        <v>-0.02668360864</v>
      </c>
      <c r="CZ558" s="410">
        <f t="shared" si="3088"/>
        <v>0.1168454268</v>
      </c>
      <c r="DA558" s="410">
        <f t="shared" si="3088"/>
        <v>0.02246550872</v>
      </c>
      <c r="DB558" s="410">
        <f t="shared" si="3088"/>
        <v>0.2618941654</v>
      </c>
      <c r="DC558" s="410">
        <f t="shared" si="3088"/>
        <v>0.2810485206</v>
      </c>
      <c r="DD558" s="24">
        <f t="shared" si="3088"/>
        <v>0.1752187412</v>
      </c>
      <c r="DE558" s="410">
        <f t="shared" si="3088"/>
        <v>0.3450093932</v>
      </c>
      <c r="DF558" s="410">
        <f t="shared" si="3088"/>
        <v>0.4988755578</v>
      </c>
      <c r="DG558" s="104">
        <f t="shared" si="3088"/>
        <v>0.3287661136</v>
      </c>
      <c r="DH558" s="410">
        <f t="shared" si="3088"/>
        <v>0.1742042382</v>
      </c>
      <c r="DI558" s="24">
        <f t="shared" si="3088"/>
        <v>0.3225253775</v>
      </c>
      <c r="DJ558" s="104">
        <f t="shared" si="3088"/>
        <v>0.1684614424</v>
      </c>
      <c r="DK558" s="104">
        <f t="shared" si="3088"/>
        <v>0.1549201981</v>
      </c>
      <c r="DL558" s="104">
        <f t="shared" si="3088"/>
        <v>0.1436775366</v>
      </c>
      <c r="DM558" s="410">
        <f t="shared" si="3088"/>
        <v>0.1442811642</v>
      </c>
      <c r="DN558" s="24">
        <f t="shared" si="3088"/>
        <v>0.152088808</v>
      </c>
      <c r="DO558" s="410">
        <f t="shared" si="3088"/>
        <v>0.1448603955</v>
      </c>
      <c r="DP558" s="410">
        <f t="shared" si="3088"/>
        <v>0.1451300821</v>
      </c>
      <c r="DQ558" s="410">
        <f t="shared" si="3088"/>
        <v>0.1476504464</v>
      </c>
      <c r="DR558" s="410">
        <f t="shared" si="3088"/>
        <v>0.148210251</v>
      </c>
      <c r="DS558" s="24">
        <f t="shared" si="3088"/>
        <v>0.1465564575</v>
      </c>
      <c r="DT558" s="410">
        <f t="shared" si="3088"/>
        <v>0.1487468756</v>
      </c>
      <c r="DU558" s="410">
        <f t="shared" si="3088"/>
        <v>0.1489965394</v>
      </c>
      <c r="DV558" s="410">
        <f t="shared" si="3088"/>
        <v>0.1513241085</v>
      </c>
      <c r="DW558" s="410">
        <f t="shared" si="3088"/>
        <v>0.1518397041</v>
      </c>
      <c r="DX558" s="24">
        <f t="shared" si="3088"/>
        <v>0.1503150611</v>
      </c>
      <c r="DY558" s="410">
        <f t="shared" si="3088"/>
        <v>0.1523334783</v>
      </c>
      <c r="DZ558" s="410">
        <f t="shared" si="3088"/>
        <v>0.152563049</v>
      </c>
      <c r="EA558" s="410">
        <f t="shared" si="3088"/>
        <v>0.1546985018</v>
      </c>
      <c r="EB558" s="410">
        <f t="shared" si="3088"/>
        <v>0.1551703728</v>
      </c>
      <c r="EC558" s="24">
        <f t="shared" si="3088"/>
        <v>0.1537738018</v>
      </c>
      <c r="ED558" s="410">
        <f t="shared" si="3088"/>
        <v>0.1556218771</v>
      </c>
      <c r="EE558" s="410">
        <f t="shared" si="3088"/>
        <v>0.1558316635</v>
      </c>
      <c r="EF558" s="410">
        <f t="shared" si="3088"/>
        <v>0.157779087</v>
      </c>
      <c r="EG558" s="410">
        <f t="shared" si="3088"/>
        <v>0.1582084378</v>
      </c>
      <c r="EH558" s="24">
        <f t="shared" si="3088"/>
        <v>0.1569366929</v>
      </c>
      <c r="EI558" s="317">
        <f t="shared" si="3088"/>
        <v>0.158618929</v>
      </c>
      <c r="EJ558" s="410">
        <f t="shared" si="3088"/>
        <v>0.15880955</v>
      </c>
      <c r="EK558" s="410">
        <f t="shared" si="3088"/>
        <v>0.160575766</v>
      </c>
      <c r="EL558" s="410">
        <f t="shared" si="3088"/>
        <v>0.1609643668</v>
      </c>
      <c r="EM558" s="24">
        <f t="shared" si="3088"/>
        <v>0.1598124863</v>
      </c>
      <c r="EN558" s="410">
        <f t="shared" si="3088"/>
        <v>0.1613356286</v>
      </c>
      <c r="EO558" s="410">
        <f t="shared" si="3088"/>
        <v>0.161507943</v>
      </c>
      <c r="EP558" s="410">
        <f t="shared" si="3088"/>
        <v>0.1631018463</v>
      </c>
      <c r="EQ558" s="410">
        <f t="shared" si="3088"/>
        <v>0.1634518841</v>
      </c>
      <c r="ER558" s="24">
        <f t="shared" si="3088"/>
        <v>0.1624136281</v>
      </c>
      <c r="ES558" s="410">
        <f t="shared" si="3088"/>
        <v>0.1637860848</v>
      </c>
      <c r="ET558" s="410">
        <f t="shared" si="3088"/>
        <v>0.1639411254</v>
      </c>
      <c r="EU558" s="410">
        <f t="shared" si="3088"/>
        <v>0.1653730686</v>
      </c>
      <c r="EV558" s="410">
        <f t="shared" si="3088"/>
        <v>0.1656870128</v>
      </c>
      <c r="EW558" s="24">
        <f t="shared" si="3088"/>
        <v>0.1647552635</v>
      </c>
      <c r="EX558" s="410">
        <f t="shared" si="3088"/>
        <v>0.1659865767</v>
      </c>
      <c r="EY558" s="410">
        <f t="shared" si="3088"/>
        <v>0.1661254903</v>
      </c>
      <c r="EZ558" s="410">
        <f t="shared" si="3088"/>
        <v>0.1674067393</v>
      </c>
      <c r="FA558" s="410">
        <f t="shared" si="3088"/>
        <v>0.167687224</v>
      </c>
      <c r="FB558" s="24">
        <f t="shared" si="3088"/>
        <v>0.1668543369</v>
      </c>
      <c r="FC558" s="410">
        <f t="shared" si="3088"/>
        <v>0.1679547202</v>
      </c>
      <c r="FD558" s="410">
        <f t="shared" si="3088"/>
        <v>0.1680787169</v>
      </c>
      <c r="FE558" s="410">
        <f t="shared" si="3088"/>
        <v>0.1692209894</v>
      </c>
      <c r="FF558" s="410">
        <f t="shared" si="3088"/>
        <v>0.1694707157</v>
      </c>
      <c r="FG558" s="24">
        <f t="shared" si="3088"/>
        <v>0.1687288135</v>
      </c>
      <c r="FH558" s="104"/>
      <c r="FI558" s="335"/>
      <c r="FJ558" s="335"/>
      <c r="FK558" s="335"/>
      <c r="FL558" s="335"/>
    </row>
    <row r="559" ht="12.75" hidden="1" customHeight="1" outlineLevel="1">
      <c r="A559" s="45"/>
      <c r="B559" s="215" t="str">
        <f t="shared" si="3089"/>
        <v>IAG Subtotal</v>
      </c>
      <c r="C559" s="45"/>
      <c r="D559" s="335"/>
      <c r="E559" s="335"/>
      <c r="F559" s="335"/>
      <c r="G559" s="335"/>
      <c r="H559" s="335"/>
      <c r="I559" s="335"/>
      <c r="J559" s="335"/>
      <c r="K559" s="335"/>
      <c r="L559" s="335"/>
      <c r="M559" s="335"/>
      <c r="N559" s="335"/>
      <c r="O559" s="335"/>
      <c r="P559" s="335"/>
      <c r="Q559" s="335"/>
      <c r="R559" s="335"/>
      <c r="S559" s="335"/>
      <c r="T559" s="335"/>
      <c r="U559" s="335"/>
      <c r="V559" s="335"/>
      <c r="W559" s="335"/>
      <c r="X559" s="335"/>
      <c r="Y559" s="335"/>
      <c r="Z559" s="335"/>
      <c r="AA559" s="335"/>
      <c r="AB559" s="335"/>
      <c r="AC559" s="335"/>
      <c r="AD559" s="335"/>
      <c r="AE559" s="335"/>
      <c r="AF559" s="335"/>
      <c r="AG559" s="335"/>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c r="BD559" s="335"/>
      <c r="BE559" s="335"/>
      <c r="BF559" s="335"/>
      <c r="BG559" s="335"/>
      <c r="BH559" s="335"/>
      <c r="BI559" s="335"/>
      <c r="BJ559" s="335"/>
      <c r="BK559" s="335"/>
      <c r="BL559" s="335"/>
      <c r="BM559" s="335"/>
      <c r="BN559" s="335"/>
      <c r="BO559" s="335"/>
      <c r="BP559" s="335"/>
      <c r="BQ559" s="335"/>
      <c r="BR559" s="335"/>
      <c r="BS559" s="335"/>
      <c r="BT559" s="335"/>
      <c r="BU559" s="335"/>
      <c r="BV559" s="335"/>
      <c r="BW559" s="335"/>
      <c r="BX559" s="335"/>
      <c r="BY559" s="335"/>
      <c r="BZ559" s="342"/>
      <c r="CA559" s="335"/>
      <c r="CB559" s="335"/>
      <c r="CC559" s="335"/>
      <c r="CD559" s="335"/>
      <c r="CE559" s="342"/>
      <c r="CF559" s="335"/>
      <c r="CG559" s="335"/>
      <c r="CH559" s="335"/>
      <c r="CI559" s="335"/>
      <c r="CJ559" s="342" t="str">
        <f t="shared" ref="CJ559:FG559" si="3090">CJ512/CE512-1</f>
        <v>#NAME?</v>
      </c>
      <c r="CK559" s="335" t="str">
        <f t="shared" si="3090"/>
        <v>#NAME?</v>
      </c>
      <c r="CL559" s="335" t="str">
        <f t="shared" si="3090"/>
        <v>#NAME?</v>
      </c>
      <c r="CM559" s="335" t="str">
        <f t="shared" si="3090"/>
        <v>#NAME?</v>
      </c>
      <c r="CN559" s="343" t="str">
        <f t="shared" si="3090"/>
        <v>#NAME?</v>
      </c>
      <c r="CO559" s="342" t="str">
        <f t="shared" si="3090"/>
        <v>#NAME?</v>
      </c>
      <c r="CP559" s="104" t="str">
        <f t="shared" si="3090"/>
        <v>#NAME?</v>
      </c>
      <c r="CQ559" s="410" t="str">
        <f t="shared" si="3090"/>
        <v>#NAME?</v>
      </c>
      <c r="CR559" s="410" t="str">
        <f t="shared" si="3090"/>
        <v>#NAME?</v>
      </c>
      <c r="CS559" s="410" t="str">
        <f t="shared" si="3090"/>
        <v>#NAME?</v>
      </c>
      <c r="CT559" s="24" t="str">
        <f t="shared" si="3090"/>
        <v>#NAME?</v>
      </c>
      <c r="CU559" s="410" t="str">
        <f t="shared" si="3090"/>
        <v>#NAME?</v>
      </c>
      <c r="CV559" s="410" t="str">
        <f t="shared" si="3090"/>
        <v>#NAME?</v>
      </c>
      <c r="CW559" s="410" t="str">
        <f t="shared" si="3090"/>
        <v>#NAME?</v>
      </c>
      <c r="CX559" s="410" t="str">
        <f t="shared" si="3090"/>
        <v>#NAME?</v>
      </c>
      <c r="CY559" s="24" t="str">
        <f t="shared" si="3090"/>
        <v>#NAME?</v>
      </c>
      <c r="CZ559" s="410" t="str">
        <f t="shared" si="3090"/>
        <v>#NAME?</v>
      </c>
      <c r="DA559" s="410" t="str">
        <f t="shared" si="3090"/>
        <v>#NAME?</v>
      </c>
      <c r="DB559" s="410" t="str">
        <f t="shared" si="3090"/>
        <v>#NAME?</v>
      </c>
      <c r="DC559" s="410" t="str">
        <f t="shared" si="3090"/>
        <v>#NAME?</v>
      </c>
      <c r="DD559" s="24" t="str">
        <f t="shared" si="3090"/>
        <v>#NAME?</v>
      </c>
      <c r="DE559" s="410" t="str">
        <f t="shared" si="3090"/>
        <v>#NAME?</v>
      </c>
      <c r="DF559" s="410" t="str">
        <f t="shared" si="3090"/>
        <v>#NAME?</v>
      </c>
      <c r="DG559" s="104" t="str">
        <f t="shared" si="3090"/>
        <v>#NAME?</v>
      </c>
      <c r="DH559" s="410" t="str">
        <f t="shared" si="3090"/>
        <v>#NAME?</v>
      </c>
      <c r="DI559" s="24" t="str">
        <f t="shared" si="3090"/>
        <v>#NAME?</v>
      </c>
      <c r="DJ559" s="104" t="str">
        <f t="shared" si="3090"/>
        <v>#NAME?</v>
      </c>
      <c r="DK559" s="104" t="str">
        <f t="shared" si="3090"/>
        <v>#NAME?</v>
      </c>
      <c r="DL559" s="104" t="str">
        <f t="shared" si="3090"/>
        <v>#NAME?</v>
      </c>
      <c r="DM559" s="410" t="str">
        <f t="shared" si="3090"/>
        <v>#NAME?</v>
      </c>
      <c r="DN559" s="24" t="str">
        <f t="shared" si="3090"/>
        <v>#NAME?</v>
      </c>
      <c r="DO559" s="410" t="str">
        <f t="shared" si="3090"/>
        <v>#NAME?</v>
      </c>
      <c r="DP559" s="410" t="str">
        <f t="shared" si="3090"/>
        <v>#NAME?</v>
      </c>
      <c r="DQ559" s="410" t="str">
        <f t="shared" si="3090"/>
        <v>#NAME?</v>
      </c>
      <c r="DR559" s="410" t="str">
        <f t="shared" si="3090"/>
        <v>#NAME?</v>
      </c>
      <c r="DS559" s="24" t="str">
        <f t="shared" si="3090"/>
        <v>#NAME?</v>
      </c>
      <c r="DT559" s="410" t="str">
        <f t="shared" si="3090"/>
        <v>#NAME?</v>
      </c>
      <c r="DU559" s="410" t="str">
        <f t="shared" si="3090"/>
        <v>#NAME?</v>
      </c>
      <c r="DV559" s="410" t="str">
        <f t="shared" si="3090"/>
        <v>#NAME?</v>
      </c>
      <c r="DW559" s="410" t="str">
        <f t="shared" si="3090"/>
        <v>#NAME?</v>
      </c>
      <c r="DX559" s="24" t="str">
        <f t="shared" si="3090"/>
        <v>#NAME?</v>
      </c>
      <c r="DY559" s="410" t="str">
        <f t="shared" si="3090"/>
        <v>#NAME?</v>
      </c>
      <c r="DZ559" s="410" t="str">
        <f t="shared" si="3090"/>
        <v>#NAME?</v>
      </c>
      <c r="EA559" s="410" t="str">
        <f t="shared" si="3090"/>
        <v>#NAME?</v>
      </c>
      <c r="EB559" s="410" t="str">
        <f t="shared" si="3090"/>
        <v>#NAME?</v>
      </c>
      <c r="EC559" s="24" t="str">
        <f t="shared" si="3090"/>
        <v>#NAME?</v>
      </c>
      <c r="ED559" s="410" t="str">
        <f t="shared" si="3090"/>
        <v>#NAME?</v>
      </c>
      <c r="EE559" s="410" t="str">
        <f t="shared" si="3090"/>
        <v>#NAME?</v>
      </c>
      <c r="EF559" s="410" t="str">
        <f t="shared" si="3090"/>
        <v>#NAME?</v>
      </c>
      <c r="EG559" s="410" t="str">
        <f t="shared" si="3090"/>
        <v>#NAME?</v>
      </c>
      <c r="EH559" s="24" t="str">
        <f t="shared" si="3090"/>
        <v>#NAME?</v>
      </c>
      <c r="EI559" s="317" t="str">
        <f t="shared" si="3090"/>
        <v>#NAME?</v>
      </c>
      <c r="EJ559" s="410" t="str">
        <f t="shared" si="3090"/>
        <v>#NAME?</v>
      </c>
      <c r="EK559" s="410" t="str">
        <f t="shared" si="3090"/>
        <v>#NAME?</v>
      </c>
      <c r="EL559" s="410" t="str">
        <f t="shared" si="3090"/>
        <v>#NAME?</v>
      </c>
      <c r="EM559" s="24" t="str">
        <f t="shared" si="3090"/>
        <v>#NAME?</v>
      </c>
      <c r="EN559" s="410" t="str">
        <f t="shared" si="3090"/>
        <v>#NAME?</v>
      </c>
      <c r="EO559" s="410" t="str">
        <f t="shared" si="3090"/>
        <v>#NAME?</v>
      </c>
      <c r="EP559" s="410" t="str">
        <f t="shared" si="3090"/>
        <v>#NAME?</v>
      </c>
      <c r="EQ559" s="410" t="str">
        <f t="shared" si="3090"/>
        <v>#NAME?</v>
      </c>
      <c r="ER559" s="24" t="str">
        <f t="shared" si="3090"/>
        <v>#NAME?</v>
      </c>
      <c r="ES559" s="410" t="str">
        <f t="shared" si="3090"/>
        <v>#NAME?</v>
      </c>
      <c r="ET559" s="410" t="str">
        <f t="shared" si="3090"/>
        <v>#NAME?</v>
      </c>
      <c r="EU559" s="410" t="str">
        <f t="shared" si="3090"/>
        <v>#NAME?</v>
      </c>
      <c r="EV559" s="410" t="str">
        <f t="shared" si="3090"/>
        <v>#NAME?</v>
      </c>
      <c r="EW559" s="24" t="str">
        <f t="shared" si="3090"/>
        <v>#NAME?</v>
      </c>
      <c r="EX559" s="410" t="str">
        <f t="shared" si="3090"/>
        <v>#NAME?</v>
      </c>
      <c r="EY559" s="410" t="str">
        <f t="shared" si="3090"/>
        <v>#NAME?</v>
      </c>
      <c r="EZ559" s="410" t="str">
        <f t="shared" si="3090"/>
        <v>#NAME?</v>
      </c>
      <c r="FA559" s="410" t="str">
        <f t="shared" si="3090"/>
        <v>#NAME?</v>
      </c>
      <c r="FB559" s="24" t="str">
        <f t="shared" si="3090"/>
        <v>#NAME?</v>
      </c>
      <c r="FC559" s="410" t="str">
        <f t="shared" si="3090"/>
        <v>#NAME?</v>
      </c>
      <c r="FD559" s="410" t="str">
        <f t="shared" si="3090"/>
        <v>#NAME?</v>
      </c>
      <c r="FE559" s="410" t="str">
        <f t="shared" si="3090"/>
        <v>#NAME?</v>
      </c>
      <c r="FF559" s="410" t="str">
        <f t="shared" si="3090"/>
        <v>#NAME?</v>
      </c>
      <c r="FG559" s="24" t="str">
        <f t="shared" si="3090"/>
        <v>#NAME?</v>
      </c>
      <c r="FH559" s="104"/>
      <c r="FI559" s="335"/>
      <c r="FJ559" s="335"/>
      <c r="FK559" s="335"/>
      <c r="FL559" s="335"/>
    </row>
    <row r="560" ht="12.75" hidden="1" customHeight="1" outlineLevel="1">
      <c r="A560" s="45"/>
      <c r="B560" s="215" t="str">
        <f>B515</f>
        <v>Software and Services Group</v>
      </c>
      <c r="C560" s="45"/>
      <c r="D560" s="335"/>
      <c r="E560" s="335"/>
      <c r="F560" s="335"/>
      <c r="G560" s="335"/>
      <c r="H560" s="335"/>
      <c r="I560" s="335"/>
      <c r="J560" s="335"/>
      <c r="K560" s="335"/>
      <c r="L560" s="335"/>
      <c r="M560" s="335"/>
      <c r="N560" s="335"/>
      <c r="O560" s="335"/>
      <c r="P560" s="335"/>
      <c r="Q560" s="335"/>
      <c r="R560" s="335"/>
      <c r="S560" s="335"/>
      <c r="T560" s="335"/>
      <c r="U560" s="335"/>
      <c r="V560" s="335"/>
      <c r="W560" s="335"/>
      <c r="X560" s="335"/>
      <c r="Y560" s="335"/>
      <c r="Z560" s="335"/>
      <c r="AA560" s="335"/>
      <c r="AB560" s="335"/>
      <c r="AC560" s="335"/>
      <c r="AD560" s="335"/>
      <c r="AE560" s="335"/>
      <c r="AF560" s="335"/>
      <c r="AG560" s="335"/>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c r="BD560" s="335"/>
      <c r="BE560" s="335"/>
      <c r="BF560" s="335"/>
      <c r="BG560" s="335"/>
      <c r="BH560" s="335"/>
      <c r="BI560" s="335"/>
      <c r="BJ560" s="335"/>
      <c r="BK560" s="335"/>
      <c r="BL560" s="335"/>
      <c r="BM560" s="335"/>
      <c r="BN560" s="335"/>
      <c r="BO560" s="335"/>
      <c r="BP560" s="335"/>
      <c r="BQ560" s="335"/>
      <c r="BR560" s="335"/>
      <c r="BS560" s="335"/>
      <c r="BT560" s="335"/>
      <c r="BU560" s="335"/>
      <c r="BV560" s="335"/>
      <c r="BW560" s="335"/>
      <c r="BX560" s="335"/>
      <c r="BY560" s="335"/>
      <c r="BZ560" s="342"/>
      <c r="CA560" s="335"/>
      <c r="CB560" s="335"/>
      <c r="CC560" s="335"/>
      <c r="CD560" s="335"/>
      <c r="CE560" s="342"/>
      <c r="CF560" s="335"/>
      <c r="CG560" s="335"/>
      <c r="CH560" s="335"/>
      <c r="CI560" s="335"/>
      <c r="CJ560" s="342">
        <f t="shared" ref="CJ560:FG560" si="3091">CJ515/CE515-1</f>
        <v>0.2732620321</v>
      </c>
      <c r="CK560" s="335">
        <f t="shared" si="3091"/>
        <v>0.02977232925</v>
      </c>
      <c r="CL560" s="335">
        <f t="shared" si="3091"/>
        <v>0.0409556314</v>
      </c>
      <c r="CM560" s="335">
        <f t="shared" si="3091"/>
        <v>0.05612244898</v>
      </c>
      <c r="CN560" s="343">
        <f t="shared" si="3091"/>
        <v>0.07389937107</v>
      </c>
      <c r="CO560" s="342">
        <f t="shared" si="3091"/>
        <v>0.05081898362</v>
      </c>
      <c r="CP560" s="104">
        <f t="shared" si="3091"/>
        <v>-0.05952380952</v>
      </c>
      <c r="CQ560" s="410">
        <f t="shared" si="3091"/>
        <v>-0.1016393443</v>
      </c>
      <c r="CR560" s="410">
        <f t="shared" si="3091"/>
        <v>-0.1014492754</v>
      </c>
      <c r="CS560" s="410">
        <f t="shared" si="3091"/>
        <v>-0.1844802343</v>
      </c>
      <c r="CT560" s="24">
        <f t="shared" si="3091"/>
        <v>-0.1143085532</v>
      </c>
      <c r="CU560" s="410">
        <f t="shared" si="3091"/>
        <v>-0.03435804702</v>
      </c>
      <c r="CV560" s="410">
        <f t="shared" si="3091"/>
        <v>-0.02627737226</v>
      </c>
      <c r="CW560" s="410">
        <f t="shared" si="3091"/>
        <v>-0.003584229391</v>
      </c>
      <c r="CX560" s="410">
        <f t="shared" si="3091"/>
        <v>-0.02513464991</v>
      </c>
      <c r="CY560" s="24">
        <f t="shared" si="3091"/>
        <v>-0.02229241877</v>
      </c>
      <c r="CZ560" s="410">
        <f t="shared" si="3091"/>
        <v>0.3647425094</v>
      </c>
      <c r="DA560" s="410">
        <f t="shared" si="3091"/>
        <v>0.4005541136</v>
      </c>
      <c r="DB560" s="410">
        <f t="shared" si="3091"/>
        <v>0.3670546556</v>
      </c>
      <c r="DC560" s="410">
        <f t="shared" si="3091"/>
        <v>0.4117554556</v>
      </c>
      <c r="DD560" s="24">
        <f t="shared" si="3091"/>
        <v>0.3859382331</v>
      </c>
      <c r="DE560" s="410">
        <f t="shared" si="3091"/>
        <v>0.03386385757</v>
      </c>
      <c r="DF560" s="410">
        <f t="shared" si="3091"/>
        <v>0.03401338974</v>
      </c>
      <c r="DG560" s="104">
        <f t="shared" si="3091"/>
        <v>0.03411183888</v>
      </c>
      <c r="DH560" s="410">
        <f t="shared" si="3091"/>
        <v>0.03416078728</v>
      </c>
      <c r="DI560" s="24">
        <f t="shared" si="3091"/>
        <v>0.0340396478</v>
      </c>
      <c r="DJ560" s="104">
        <f t="shared" si="3091"/>
        <v>0.03406104134</v>
      </c>
      <c r="DK560" s="104">
        <f t="shared" si="3091"/>
        <v>0.03420649679</v>
      </c>
      <c r="DL560" s="104">
        <f t="shared" si="3091"/>
        <v>0.03430223892</v>
      </c>
      <c r="DM560" s="410">
        <f t="shared" si="3091"/>
        <v>0.03434983463</v>
      </c>
      <c r="DN560" s="24">
        <f t="shared" si="3091"/>
        <v>0.03423203462</v>
      </c>
      <c r="DO560" s="410">
        <f t="shared" si="3091"/>
        <v>0.03425284042</v>
      </c>
      <c r="DP560" s="410">
        <f t="shared" si="3091"/>
        <v>0.03439427688</v>
      </c>
      <c r="DQ560" s="410">
        <f t="shared" si="3091"/>
        <v>0.03448735192</v>
      </c>
      <c r="DR560" s="410">
        <f t="shared" si="3091"/>
        <v>0.03453361534</v>
      </c>
      <c r="DS560" s="24">
        <f t="shared" si="3091"/>
        <v>0.03441910499</v>
      </c>
      <c r="DT560" s="410">
        <f t="shared" si="3091"/>
        <v>0.03443933166</v>
      </c>
      <c r="DU560" s="410">
        <f t="shared" si="3091"/>
        <v>0.03457680973</v>
      </c>
      <c r="DV560" s="410">
        <f t="shared" si="3091"/>
        <v>0.03466725935</v>
      </c>
      <c r="DW560" s="410">
        <f t="shared" si="3091"/>
        <v>0.03471221174</v>
      </c>
      <c r="DX560" s="24">
        <f t="shared" si="3091"/>
        <v>0.03460093909</v>
      </c>
      <c r="DY560" s="410">
        <f t="shared" si="3091"/>
        <v>0.03462059566</v>
      </c>
      <c r="DZ560" s="410">
        <f t="shared" si="3091"/>
        <v>0.03475417844</v>
      </c>
      <c r="EA560" s="410">
        <f t="shared" si="3091"/>
        <v>0.03484204592</v>
      </c>
      <c r="EB560" s="410">
        <f t="shared" si="3091"/>
        <v>0.0348857093</v>
      </c>
      <c r="EC560" s="24">
        <f t="shared" si="3091"/>
        <v>0.03477762046</v>
      </c>
      <c r="ED560" s="410">
        <f t="shared" si="3091"/>
        <v>0.03479671629</v>
      </c>
      <c r="EE560" s="410">
        <f t="shared" si="3091"/>
        <v>0.03492646918</v>
      </c>
      <c r="EF560" s="410">
        <f t="shared" si="3091"/>
        <v>0.03501179918</v>
      </c>
      <c r="EG560" s="410">
        <f t="shared" si="3091"/>
        <v>0.03505419624</v>
      </c>
      <c r="EH560" s="24">
        <f t="shared" si="3091"/>
        <v>0.03494923565</v>
      </c>
      <c r="EI560" s="317">
        <f t="shared" si="3091"/>
        <v>0.03496778042</v>
      </c>
      <c r="EJ560" s="410">
        <f t="shared" si="3091"/>
        <v>0.03509377078</v>
      </c>
      <c r="EK560" s="410">
        <f t="shared" si="3091"/>
        <v>0.0351766092</v>
      </c>
      <c r="EL560" s="410">
        <f t="shared" si="3091"/>
        <v>0.03521776322</v>
      </c>
      <c r="EM560" s="24">
        <f t="shared" si="3091"/>
        <v>0.03511587382</v>
      </c>
      <c r="EN560" s="410">
        <f t="shared" si="3091"/>
        <v>0.03513387746</v>
      </c>
      <c r="EO560" s="410">
        <f t="shared" si="3091"/>
        <v>0.03525617442</v>
      </c>
      <c r="EP560" s="410">
        <f t="shared" si="3091"/>
        <v>0.03533656821</v>
      </c>
      <c r="EQ560" s="410">
        <f t="shared" si="3091"/>
        <v>0.03537650295</v>
      </c>
      <c r="ER560" s="24">
        <f t="shared" si="3091"/>
        <v>0.03527762644</v>
      </c>
      <c r="ES560" s="410">
        <f t="shared" si="3091"/>
        <v>0.03529509913</v>
      </c>
      <c r="ET560" s="410">
        <f t="shared" si="3091"/>
        <v>0.03541377328</v>
      </c>
      <c r="EU560" s="410">
        <f t="shared" si="3091"/>
        <v>0.0354917703</v>
      </c>
      <c r="EV560" s="410">
        <f t="shared" si="3091"/>
        <v>0.03553050996</v>
      </c>
      <c r="EW560" s="24">
        <f t="shared" si="3091"/>
        <v>0.03543458694</v>
      </c>
      <c r="EX560" s="410">
        <f t="shared" si="3091"/>
        <v>0.03545153904</v>
      </c>
      <c r="EY560" s="410">
        <f t="shared" si="3091"/>
        <v>0.03556666225</v>
      </c>
      <c r="EZ560" s="410">
        <f t="shared" si="3091"/>
        <v>0.03564231109</v>
      </c>
      <c r="FA560" s="410">
        <f t="shared" si="3091"/>
        <v>0.03567988022</v>
      </c>
      <c r="FB560" s="24">
        <f t="shared" si="3091"/>
        <v>0.03558685041</v>
      </c>
      <c r="FC560" s="410">
        <f t="shared" si="3091"/>
        <v>0.03560329246</v>
      </c>
      <c r="FD560" s="410">
        <f t="shared" si="3091"/>
        <v>0.03571493762</v>
      </c>
      <c r="FE560" s="410">
        <f t="shared" si="3091"/>
        <v>0.03578828747</v>
      </c>
      <c r="FF560" s="410">
        <f t="shared" si="3091"/>
        <v>0.03582471088</v>
      </c>
      <c r="FG560" s="24">
        <f t="shared" si="3091"/>
        <v>0.0357345133</v>
      </c>
      <c r="FH560" s="104"/>
      <c r="FI560" s="335"/>
      <c r="FJ560" s="335"/>
      <c r="FK560" s="335"/>
      <c r="FL560" s="335"/>
    </row>
    <row r="561" ht="12.75" hidden="1" customHeight="1" outlineLevel="1">
      <c r="A561" s="45"/>
      <c r="B561" s="45" t="s">
        <v>289</v>
      </c>
      <c r="C561" s="45"/>
      <c r="D561" s="335"/>
      <c r="E561" s="335"/>
      <c r="F561" s="335"/>
      <c r="G561" s="335"/>
      <c r="H561" s="335"/>
      <c r="I561" s="335"/>
      <c r="J561" s="335"/>
      <c r="K561" s="335"/>
      <c r="L561" s="335"/>
      <c r="M561" s="335"/>
      <c r="N561" s="335"/>
      <c r="O561" s="335"/>
      <c r="P561" s="335"/>
      <c r="Q561" s="335"/>
      <c r="R561" s="335"/>
      <c r="S561" s="335"/>
      <c r="T561" s="335"/>
      <c r="U561" s="335"/>
      <c r="V561" s="335"/>
      <c r="W561" s="335"/>
      <c r="X561" s="335"/>
      <c r="Y561" s="335"/>
      <c r="Z561" s="335"/>
      <c r="AA561" s="335"/>
      <c r="AB561" s="335"/>
      <c r="AC561" s="335"/>
      <c r="AD561" s="335"/>
      <c r="AE561" s="335"/>
      <c r="AF561" s="335"/>
      <c r="AG561" s="335"/>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c r="BD561" s="335"/>
      <c r="BE561" s="335"/>
      <c r="BF561" s="335"/>
      <c r="BG561" s="335"/>
      <c r="BH561" s="335"/>
      <c r="BI561" s="335"/>
      <c r="BJ561" s="335"/>
      <c r="BK561" s="335"/>
      <c r="BL561" s="335"/>
      <c r="BM561" s="335"/>
      <c r="BN561" s="335"/>
      <c r="BO561" s="335"/>
      <c r="BP561" s="335"/>
      <c r="BQ561" s="335"/>
      <c r="BR561" s="335"/>
      <c r="BS561" s="335"/>
      <c r="BT561" s="335"/>
      <c r="BU561" s="335"/>
      <c r="BV561" s="335"/>
      <c r="BW561" s="335"/>
      <c r="BX561" s="335"/>
      <c r="BY561" s="335"/>
      <c r="BZ561" s="342"/>
      <c r="CA561" s="335"/>
      <c r="CB561" s="335"/>
      <c r="CC561" s="335"/>
      <c r="CD561" s="335"/>
      <c r="CE561" s="342"/>
      <c r="CF561" s="335"/>
      <c r="CG561" s="335"/>
      <c r="CH561" s="335"/>
      <c r="CI561" s="335"/>
      <c r="CJ561" s="342"/>
      <c r="CK561" s="335"/>
      <c r="CL561" s="335"/>
      <c r="CM561" s="335"/>
      <c r="CN561" s="343"/>
      <c r="CO561" s="342"/>
      <c r="CP561" s="104"/>
      <c r="CQ561" s="410"/>
      <c r="CR561" s="410"/>
      <c r="CS561" s="410"/>
      <c r="CT561" s="24"/>
      <c r="CU561" s="410"/>
      <c r="CV561" s="410"/>
      <c r="CW561" s="410"/>
      <c r="CX561" s="410"/>
      <c r="CY561" s="24"/>
      <c r="CZ561" s="410"/>
      <c r="DA561" s="410"/>
      <c r="DB561" s="410"/>
      <c r="DC561" s="410"/>
      <c r="DD561" s="24"/>
      <c r="DE561" s="410">
        <f t="shared" ref="DE561:FG561" si="3092">DE517/CZ517-1</f>
        <v>0</v>
      </c>
      <c r="DF561" s="410">
        <f t="shared" si="3092"/>
        <v>0</v>
      </c>
      <c r="DG561" s="104">
        <f t="shared" si="3092"/>
        <v>0</v>
      </c>
      <c r="DH561" s="410">
        <f t="shared" si="3092"/>
        <v>0</v>
      </c>
      <c r="DI561" s="24">
        <f t="shared" si="3092"/>
        <v>0</v>
      </c>
      <c r="DJ561" s="104">
        <f t="shared" si="3092"/>
        <v>0</v>
      </c>
      <c r="DK561" s="104">
        <f t="shared" si="3092"/>
        <v>0</v>
      </c>
      <c r="DL561" s="104">
        <f t="shared" si="3092"/>
        <v>0</v>
      </c>
      <c r="DM561" s="410">
        <f t="shared" si="3092"/>
        <v>0</v>
      </c>
      <c r="DN561" s="24">
        <f t="shared" si="3092"/>
        <v>0</v>
      </c>
      <c r="DO561" s="410">
        <f t="shared" si="3092"/>
        <v>0</v>
      </c>
      <c r="DP561" s="410">
        <f t="shared" si="3092"/>
        <v>0</v>
      </c>
      <c r="DQ561" s="410">
        <f t="shared" si="3092"/>
        <v>0</v>
      </c>
      <c r="DR561" s="410">
        <f t="shared" si="3092"/>
        <v>0</v>
      </c>
      <c r="DS561" s="24">
        <f t="shared" si="3092"/>
        <v>0</v>
      </c>
      <c r="DT561" s="410">
        <f t="shared" si="3092"/>
        <v>0</v>
      </c>
      <c r="DU561" s="410">
        <f t="shared" si="3092"/>
        <v>0</v>
      </c>
      <c r="DV561" s="410">
        <f t="shared" si="3092"/>
        <v>0</v>
      </c>
      <c r="DW561" s="410">
        <f t="shared" si="3092"/>
        <v>0</v>
      </c>
      <c r="DX561" s="24">
        <f t="shared" si="3092"/>
        <v>0</v>
      </c>
      <c r="DY561" s="410">
        <f t="shared" si="3092"/>
        <v>0</v>
      </c>
      <c r="DZ561" s="410">
        <f t="shared" si="3092"/>
        <v>0</v>
      </c>
      <c r="EA561" s="410">
        <f t="shared" si="3092"/>
        <v>0</v>
      </c>
      <c r="EB561" s="410">
        <f t="shared" si="3092"/>
        <v>0</v>
      </c>
      <c r="EC561" s="24">
        <f t="shared" si="3092"/>
        <v>0</v>
      </c>
      <c r="ED561" s="410">
        <f t="shared" si="3092"/>
        <v>0</v>
      </c>
      <c r="EE561" s="410">
        <f t="shared" si="3092"/>
        <v>0</v>
      </c>
      <c r="EF561" s="410">
        <f t="shared" si="3092"/>
        <v>0</v>
      </c>
      <c r="EG561" s="410">
        <f t="shared" si="3092"/>
        <v>0</v>
      </c>
      <c r="EH561" s="24">
        <f t="shared" si="3092"/>
        <v>0</v>
      </c>
      <c r="EI561" s="317">
        <f t="shared" si="3092"/>
        <v>0</v>
      </c>
      <c r="EJ561" s="410">
        <f t="shared" si="3092"/>
        <v>0</v>
      </c>
      <c r="EK561" s="410">
        <f t="shared" si="3092"/>
        <v>0</v>
      </c>
      <c r="EL561" s="410">
        <f t="shared" si="3092"/>
        <v>0</v>
      </c>
      <c r="EM561" s="24">
        <f t="shared" si="3092"/>
        <v>0</v>
      </c>
      <c r="EN561" s="410">
        <f t="shared" si="3092"/>
        <v>0</v>
      </c>
      <c r="EO561" s="410">
        <f t="shared" si="3092"/>
        <v>0</v>
      </c>
      <c r="EP561" s="410">
        <f t="shared" si="3092"/>
        <v>0</v>
      </c>
      <c r="EQ561" s="410">
        <f t="shared" si="3092"/>
        <v>0</v>
      </c>
      <c r="ER561" s="24">
        <f t="shared" si="3092"/>
        <v>0</v>
      </c>
      <c r="ES561" s="410">
        <f t="shared" si="3092"/>
        <v>0</v>
      </c>
      <c r="ET561" s="410">
        <f t="shared" si="3092"/>
        <v>0</v>
      </c>
      <c r="EU561" s="410">
        <f t="shared" si="3092"/>
        <v>0</v>
      </c>
      <c r="EV561" s="410">
        <f t="shared" si="3092"/>
        <v>0</v>
      </c>
      <c r="EW561" s="24">
        <f t="shared" si="3092"/>
        <v>0</v>
      </c>
      <c r="EX561" s="410">
        <f t="shared" si="3092"/>
        <v>0</v>
      </c>
      <c r="EY561" s="410">
        <f t="shared" si="3092"/>
        <v>0</v>
      </c>
      <c r="EZ561" s="410">
        <f t="shared" si="3092"/>
        <v>0</v>
      </c>
      <c r="FA561" s="410">
        <f t="shared" si="3092"/>
        <v>0</v>
      </c>
      <c r="FB561" s="24">
        <f t="shared" si="3092"/>
        <v>0</v>
      </c>
      <c r="FC561" s="410">
        <f t="shared" si="3092"/>
        <v>0</v>
      </c>
      <c r="FD561" s="410">
        <f t="shared" si="3092"/>
        <v>0</v>
      </c>
      <c r="FE561" s="410">
        <f t="shared" si="3092"/>
        <v>0</v>
      </c>
      <c r="FF561" s="410">
        <f t="shared" si="3092"/>
        <v>0</v>
      </c>
      <c r="FG561" s="24">
        <f t="shared" si="3092"/>
        <v>0</v>
      </c>
      <c r="FH561" s="104"/>
      <c r="FI561" s="335"/>
      <c r="FJ561" s="335"/>
      <c r="FK561" s="335"/>
      <c r="FL561" s="335"/>
    </row>
    <row r="562" ht="12.75" hidden="1" customHeight="1" outlineLevel="1">
      <c r="A562" s="45"/>
      <c r="B562" s="215" t="str">
        <f>B518</f>
        <v>All Other</v>
      </c>
      <c r="C562" s="45"/>
      <c r="D562" s="335"/>
      <c r="E562" s="335"/>
      <c r="F562" s="335"/>
      <c r="G562" s="335"/>
      <c r="H562" s="335"/>
      <c r="I562" s="335"/>
      <c r="J562" s="335"/>
      <c r="K562" s="335"/>
      <c r="L562" s="335"/>
      <c r="M562" s="335"/>
      <c r="N562" s="335"/>
      <c r="O562" s="335"/>
      <c r="P562" s="335"/>
      <c r="Q562" s="335"/>
      <c r="R562" s="335"/>
      <c r="S562" s="335"/>
      <c r="T562" s="335"/>
      <c r="U562" s="335"/>
      <c r="V562" s="335"/>
      <c r="W562" s="335"/>
      <c r="X562" s="335"/>
      <c r="Y562" s="335"/>
      <c r="Z562" s="335"/>
      <c r="AA562" s="335"/>
      <c r="AB562" s="335"/>
      <c r="AC562" s="335"/>
      <c r="AD562" s="335"/>
      <c r="AE562" s="335"/>
      <c r="AF562" s="335"/>
      <c r="AG562" s="335"/>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c r="BD562" s="335"/>
      <c r="BE562" s="335"/>
      <c r="BF562" s="335"/>
      <c r="BG562" s="335"/>
      <c r="BH562" s="335"/>
      <c r="BI562" s="335"/>
      <c r="BJ562" s="335"/>
      <c r="BK562" s="335"/>
      <c r="BL562" s="335"/>
      <c r="BM562" s="335"/>
      <c r="BN562" s="335"/>
      <c r="BO562" s="335"/>
      <c r="BP562" s="335"/>
      <c r="BQ562" s="335"/>
      <c r="BR562" s="335"/>
      <c r="BS562" s="335"/>
      <c r="BT562" s="335"/>
      <c r="BU562" s="335"/>
      <c r="BV562" s="335"/>
      <c r="BW562" s="335"/>
      <c r="BX562" s="335"/>
      <c r="BY562" s="335"/>
      <c r="BZ562" s="342"/>
      <c r="CA562" s="335"/>
      <c r="CB562" s="335"/>
      <c r="CC562" s="335"/>
      <c r="CD562" s="335"/>
      <c r="CE562" s="342"/>
      <c r="CF562" s="335"/>
      <c r="CG562" s="335"/>
      <c r="CH562" s="335"/>
      <c r="CI562" s="335"/>
      <c r="CJ562" s="342">
        <f t="shared" ref="CJ562:FG562" si="3093">CJ518/CE518-1</f>
        <v>-0.01384518565</v>
      </c>
      <c r="CK562" s="335">
        <f t="shared" si="3093"/>
        <v>0.2275280899</v>
      </c>
      <c r="CL562" s="335">
        <f t="shared" si="3093"/>
        <v>0.3040752351</v>
      </c>
      <c r="CM562" s="335">
        <f t="shared" si="3093"/>
        <v>0.224691358</v>
      </c>
      <c r="CN562" s="343">
        <f t="shared" si="3093"/>
        <v>0.00205338809</v>
      </c>
      <c r="CO562" s="342">
        <f t="shared" si="3093"/>
        <v>0.1723037652</v>
      </c>
      <c r="CP562" s="104">
        <f t="shared" si="3093"/>
        <v>0.2471395881</v>
      </c>
      <c r="CQ562" s="410">
        <f t="shared" si="3093"/>
        <v>0.2019230769</v>
      </c>
      <c r="CR562" s="410">
        <f t="shared" si="3093"/>
        <v>0.1592741935</v>
      </c>
      <c r="CS562" s="410">
        <f t="shared" si="3093"/>
        <v>0.262295082</v>
      </c>
      <c r="CT562" s="24">
        <f t="shared" si="3093"/>
        <v>0.2172019597</v>
      </c>
      <c r="CU562" s="410">
        <f t="shared" si="3093"/>
        <v>0.128440367</v>
      </c>
      <c r="CV562" s="410">
        <f t="shared" si="3093"/>
        <v>0.43</v>
      </c>
      <c r="CW562" s="410">
        <f t="shared" si="3093"/>
        <v>0.1860869565</v>
      </c>
      <c r="CX562" s="410">
        <f t="shared" si="3093"/>
        <v>0.1071428571</v>
      </c>
      <c r="CY562" s="24">
        <f t="shared" si="3093"/>
        <v>0.2048300537</v>
      </c>
      <c r="CZ562" s="410">
        <f t="shared" si="3093"/>
        <v>0.1584715447</v>
      </c>
      <c r="DA562" s="410">
        <f t="shared" si="3093"/>
        <v>-0.03302629371</v>
      </c>
      <c r="DB562" s="410">
        <f t="shared" si="3093"/>
        <v>0.1636277566</v>
      </c>
      <c r="DC562" s="410">
        <f t="shared" si="3093"/>
        <v>0.2785242566</v>
      </c>
      <c r="DD562" s="24">
        <f t="shared" si="3093"/>
        <v>0.139344422</v>
      </c>
      <c r="DE562" s="410">
        <f t="shared" si="3093"/>
        <v>0.04238906261</v>
      </c>
      <c r="DF562" s="410">
        <f t="shared" si="3093"/>
        <v>0.06356462775</v>
      </c>
      <c r="DG562" s="104">
        <f t="shared" si="3093"/>
        <v>0.06368477347</v>
      </c>
      <c r="DH562" s="410">
        <f t="shared" si="3093"/>
        <v>0.06375781036</v>
      </c>
      <c r="DI562" s="24">
        <f t="shared" si="3093"/>
        <v>0.05873535183</v>
      </c>
      <c r="DJ562" s="104">
        <f t="shared" si="3093"/>
        <v>0.06362903454</v>
      </c>
      <c r="DK562" s="104">
        <f t="shared" si="3093"/>
        <v>0.04240783364</v>
      </c>
      <c r="DL562" s="104">
        <f t="shared" si="3093"/>
        <v>0.04248319105</v>
      </c>
      <c r="DM562" s="410">
        <f t="shared" si="3093"/>
        <v>0.04252899269</v>
      </c>
      <c r="DN562" s="24">
        <f t="shared" si="3093"/>
        <v>0.04731175064</v>
      </c>
      <c r="DO562" s="410">
        <f t="shared" si="3093"/>
        <v>0.04244823277</v>
      </c>
      <c r="DP562" s="410">
        <f t="shared" si="3093"/>
        <v>0.04243161937</v>
      </c>
      <c r="DQ562" s="410">
        <f t="shared" si="3093"/>
        <v>0.04250394636</v>
      </c>
      <c r="DR562" s="410">
        <f t="shared" si="3093"/>
        <v>0.04254790103</v>
      </c>
      <c r="DS562" s="24">
        <f t="shared" si="3093"/>
        <v>0.04248721468</v>
      </c>
      <c r="DT562" s="410">
        <f t="shared" si="3093"/>
        <v>0.0424703952</v>
      </c>
      <c r="DU562" s="410">
        <f t="shared" si="3093"/>
        <v>0.04245444972</v>
      </c>
      <c r="DV562" s="410">
        <f t="shared" si="3093"/>
        <v>0.04252386519</v>
      </c>
      <c r="DW562" s="410">
        <f t="shared" si="3093"/>
        <v>0.04256604576</v>
      </c>
      <c r="DX562" s="24">
        <f t="shared" si="3093"/>
        <v>0.0425078079</v>
      </c>
      <c r="DY562" s="410">
        <f t="shared" si="3093"/>
        <v>0.04249166583</v>
      </c>
      <c r="DZ562" s="410">
        <f t="shared" si="3093"/>
        <v>0.04247636207</v>
      </c>
      <c r="EA562" s="410">
        <f t="shared" si="3093"/>
        <v>0.0425429805</v>
      </c>
      <c r="EB562" s="410">
        <f t="shared" si="3093"/>
        <v>0.0425834571</v>
      </c>
      <c r="EC562" s="24">
        <f t="shared" si="3093"/>
        <v>0.04252757101</v>
      </c>
      <c r="ED562" s="410">
        <f t="shared" si="3093"/>
        <v>0.04251207968</v>
      </c>
      <c r="EE562" s="410">
        <f t="shared" si="3093"/>
        <v>0.04249739244</v>
      </c>
      <c r="EF562" s="410">
        <f t="shared" si="3093"/>
        <v>0.04256132401</v>
      </c>
      <c r="EG562" s="410">
        <f t="shared" si="3093"/>
        <v>0.04260016412</v>
      </c>
      <c r="EH562" s="24">
        <f t="shared" si="3093"/>
        <v>0.04254653675</v>
      </c>
      <c r="EI562" s="317">
        <f t="shared" si="3093"/>
        <v>0.0425316705</v>
      </c>
      <c r="EJ562" s="410">
        <f t="shared" si="3093"/>
        <v>0.04251757549</v>
      </c>
      <c r="EK562" s="410">
        <f t="shared" si="3093"/>
        <v>0.04257892626</v>
      </c>
      <c r="EL562" s="410">
        <f t="shared" si="3093"/>
        <v>0.04261619479</v>
      </c>
      <c r="EM562" s="24">
        <f t="shared" si="3093"/>
        <v>0.0425647366</v>
      </c>
      <c r="EN562" s="410">
        <f t="shared" si="3093"/>
        <v>0.04255047075</v>
      </c>
      <c r="EO562" s="410">
        <f t="shared" si="3093"/>
        <v>0.0425369446</v>
      </c>
      <c r="EP562" s="410">
        <f t="shared" si="3093"/>
        <v>0.04259581661</v>
      </c>
      <c r="EQ562" s="410">
        <f t="shared" si="3093"/>
        <v>0.04263157599</v>
      </c>
      <c r="ER562" s="24">
        <f t="shared" si="3093"/>
        <v>0.04258220087</v>
      </c>
      <c r="ES562" s="410">
        <f t="shared" si="3093"/>
        <v>0.04256851165</v>
      </c>
      <c r="ET562" s="410">
        <f t="shared" si="3093"/>
        <v>0.04255553189</v>
      </c>
      <c r="EU562" s="410">
        <f t="shared" si="3093"/>
        <v>0.04261202332</v>
      </c>
      <c r="EV562" s="410">
        <f t="shared" si="3093"/>
        <v>0.04264633361</v>
      </c>
      <c r="EW562" s="24">
        <f t="shared" si="3093"/>
        <v>0.04259895873</v>
      </c>
      <c r="EX562" s="410">
        <f t="shared" si="3093"/>
        <v>0.04258582327</v>
      </c>
      <c r="EY562" s="410">
        <f t="shared" si="3093"/>
        <v>0.04257336826</v>
      </c>
      <c r="EZ562" s="410">
        <f t="shared" si="3093"/>
        <v>0.04262757358</v>
      </c>
      <c r="FA562" s="410">
        <f t="shared" si="3093"/>
        <v>0.04266049251</v>
      </c>
      <c r="FB562" s="24">
        <f t="shared" si="3093"/>
        <v>0.0426150382</v>
      </c>
      <c r="FC562" s="410">
        <f t="shared" si="3093"/>
        <v>0.04260243453</v>
      </c>
      <c r="FD562" s="410">
        <f t="shared" si="3093"/>
        <v>0.04259048346</v>
      </c>
      <c r="FE562" s="410">
        <f t="shared" si="3093"/>
        <v>0.04264249351</v>
      </c>
      <c r="FF562" s="410">
        <f t="shared" si="3093"/>
        <v>0.04267407661</v>
      </c>
      <c r="FG562" s="24">
        <f t="shared" si="3093"/>
        <v>0.04263046629</v>
      </c>
      <c r="FH562" s="104"/>
      <c r="FI562" s="335"/>
      <c r="FJ562" s="335"/>
      <c r="FK562" s="335"/>
      <c r="FL562" s="335"/>
    </row>
    <row r="563" ht="13.5" hidden="1" customHeight="1" outlineLevel="1">
      <c r="A563" s="4"/>
      <c r="B563" s="591" t="s">
        <v>293</v>
      </c>
      <c r="C563" s="529"/>
      <c r="D563" s="592"/>
      <c r="E563" s="592"/>
      <c r="F563" s="592"/>
      <c r="G563" s="592"/>
      <c r="H563" s="592"/>
      <c r="I563" s="592"/>
      <c r="J563" s="592"/>
      <c r="K563" s="592"/>
      <c r="L563" s="592"/>
      <c r="M563" s="592"/>
      <c r="N563" s="592"/>
      <c r="O563" s="592"/>
      <c r="P563" s="592"/>
      <c r="Q563" s="592"/>
      <c r="R563" s="592"/>
      <c r="S563" s="592"/>
      <c r="T563" s="592"/>
      <c r="U563" s="592"/>
      <c r="V563" s="592"/>
      <c r="W563" s="592"/>
      <c r="X563" s="592"/>
      <c r="Y563" s="592"/>
      <c r="Z563" s="592"/>
      <c r="AA563" s="592"/>
      <c r="AB563" s="592"/>
      <c r="AC563" s="592"/>
      <c r="AD563" s="592"/>
      <c r="AE563" s="592"/>
      <c r="AF563" s="592"/>
      <c r="AG563" s="592"/>
      <c r="AH563" s="592"/>
      <c r="AI563" s="592"/>
      <c r="AJ563" s="592"/>
      <c r="AK563" s="592"/>
      <c r="AL563" s="592"/>
      <c r="AM563" s="592"/>
      <c r="AN563" s="592"/>
      <c r="AO563" s="592"/>
      <c r="AP563" s="592"/>
      <c r="AQ563" s="592"/>
      <c r="AR563" s="592"/>
      <c r="AS563" s="592"/>
      <c r="AT563" s="592"/>
      <c r="AU563" s="592"/>
      <c r="AV563" s="592"/>
      <c r="AW563" s="592"/>
      <c r="AX563" s="592"/>
      <c r="AY563" s="592"/>
      <c r="AZ563" s="592"/>
      <c r="BA563" s="592"/>
      <c r="BB563" s="592"/>
      <c r="BC563" s="592"/>
      <c r="BD563" s="592"/>
      <c r="BE563" s="592"/>
      <c r="BF563" s="592"/>
      <c r="BG563" s="592"/>
      <c r="BH563" s="592"/>
      <c r="BI563" s="592"/>
      <c r="BJ563" s="592"/>
      <c r="BK563" s="592"/>
      <c r="BL563" s="592"/>
      <c r="BM563" s="592"/>
      <c r="BN563" s="592"/>
      <c r="BO563" s="592"/>
      <c r="BP563" s="592"/>
      <c r="BQ563" s="592"/>
      <c r="BR563" s="592"/>
      <c r="BS563" s="592"/>
      <c r="BT563" s="592"/>
      <c r="BU563" s="592"/>
      <c r="BV563" s="592"/>
      <c r="BW563" s="592"/>
      <c r="BX563" s="592"/>
      <c r="BY563" s="592"/>
      <c r="BZ563" s="593"/>
      <c r="CA563" s="592"/>
      <c r="CB563" s="592"/>
      <c r="CC563" s="592"/>
      <c r="CD563" s="592"/>
      <c r="CE563" s="593">
        <f>revGrowth</f>
        <v>0.2378561768</v>
      </c>
      <c r="CF563" s="592">
        <f>revGrowth</f>
        <v>0.00459251187</v>
      </c>
      <c r="CG563" s="592">
        <f>revGrowth</f>
        <v>0.0359883364</v>
      </c>
      <c r="CH563" s="592">
        <f>revGrowth</f>
        <v>-0.05452118317</v>
      </c>
      <c r="CI563" s="592">
        <f>revGrowth</f>
        <v>-0.02952401527</v>
      </c>
      <c r="CJ563" s="593">
        <f>revGrowth</f>
        <v>-0.01218541084</v>
      </c>
      <c r="CK563" s="592">
        <f>revGrowth</f>
        <v>-0.02525956919</v>
      </c>
      <c r="CL563" s="592">
        <f>revGrowth</f>
        <v>-0.05110732538</v>
      </c>
      <c r="CM563" s="592">
        <f>revGrowth</f>
        <v>0.001932079958</v>
      </c>
      <c r="CN563" s="594">
        <f>revGrowth</f>
        <v>0.02648957483</v>
      </c>
      <c r="CO563" s="593">
        <f>revGrowth</f>
        <v>-0.01186704411</v>
      </c>
      <c r="CP563" s="595">
        <f>revGrowth</f>
        <v>0.0146263911</v>
      </c>
      <c r="CQ563" s="596">
        <f>revGrowth</f>
        <v>0.07961907736</v>
      </c>
      <c r="CR563" s="596">
        <f>revGrowth</f>
        <v>0.07943336053</v>
      </c>
      <c r="CS563" s="596">
        <f>revGrowth</f>
        <v>0.06411739193</v>
      </c>
      <c r="CT563" s="597">
        <f>revGrowth</f>
        <v>0.05999089322</v>
      </c>
      <c r="CU563" s="596">
        <f>revGrowth</f>
        <v>0.001331870887</v>
      </c>
      <c r="CV563" s="596">
        <f>revGrowth</f>
        <v>-0.04598365989</v>
      </c>
      <c r="CW563" s="596">
        <f>revGrowth</f>
        <v>-0.006115157345</v>
      </c>
      <c r="CX563" s="596">
        <f>revGrowth</f>
        <v>0.01311052238</v>
      </c>
      <c r="CY563" s="597">
        <f>revGrowth</f>
        <v>-0.009217827099</v>
      </c>
      <c r="CZ563" s="596">
        <f>revGrowth</f>
        <v>0.07980596197</v>
      </c>
      <c r="DA563" s="596">
        <f>revGrowth</f>
        <v>0.02561576355</v>
      </c>
      <c r="DB563" s="596">
        <f>revGrowth</f>
        <v>0.09077082613</v>
      </c>
      <c r="DC563" s="596">
        <f>revGrowth</f>
        <v>0.09789459568</v>
      </c>
      <c r="DD563" s="597">
        <f>revGrowth</f>
        <v>0.07462740493</v>
      </c>
      <c r="DE563" s="596">
        <f>revGrowth</f>
        <v>0.07209622491</v>
      </c>
      <c r="DF563" s="596">
        <f>revGrowth</f>
        <v>0.09088893815</v>
      </c>
      <c r="DG563" s="104">
        <f>revGrowth</f>
        <v>0.02351375333</v>
      </c>
      <c r="DH563" s="596">
        <f>revGrowth</f>
        <v>0.04146818126</v>
      </c>
      <c r="DI563" s="597">
        <f>revGrowth</f>
        <v>0.05505497092</v>
      </c>
      <c r="DJ563" s="595">
        <f>revGrowth</f>
        <v>0.08583400919</v>
      </c>
      <c r="DK563" s="595">
        <f>revGrowth</f>
        <v>0.1489534647</v>
      </c>
      <c r="DL563" s="595">
        <f>revGrowth</f>
        <v>0.1866369435</v>
      </c>
      <c r="DM563" s="596">
        <f>revGrowth</f>
        <v>0.09405969624</v>
      </c>
      <c r="DN563" s="597">
        <f>revGrowth</f>
        <v>0.1288539061</v>
      </c>
      <c r="DO563" s="596">
        <f>revGrowth</f>
        <v>-0.000311216233</v>
      </c>
      <c r="DP563" s="596">
        <f>revGrowth</f>
        <v>-0.02694257753</v>
      </c>
      <c r="DQ563" s="596">
        <f>revGrowth</f>
        <v>0.001408965193</v>
      </c>
      <c r="DR563" s="596">
        <f>revGrowth</f>
        <v>0.08318593557</v>
      </c>
      <c r="DS563" s="597">
        <f>revGrowth</f>
        <v>0.01576614724</v>
      </c>
      <c r="DT563" s="596">
        <f>revGrowth</f>
        <v>0.2345433037</v>
      </c>
      <c r="DU563" s="596">
        <f>revGrowth</f>
        <v>0.1952741593</v>
      </c>
      <c r="DV563" s="596">
        <f>revGrowth</f>
        <v>-0.04465867639</v>
      </c>
      <c r="DW563" s="596">
        <f>revGrowth</f>
        <v>-0.01143055074</v>
      </c>
      <c r="DX563" s="597">
        <f>revGrowth</f>
        <v>0.08201208921</v>
      </c>
      <c r="DY563" s="596">
        <f>revGrowth</f>
        <v>-0.06364736736</v>
      </c>
      <c r="DZ563" s="596">
        <f>revGrowth</f>
        <v>-0.06057380373</v>
      </c>
      <c r="EA563" s="596">
        <f>revGrowth</f>
        <v>-0.01341842579</v>
      </c>
      <c r="EB563" s="596">
        <f>revGrowth</f>
        <v>-0.02232455701</v>
      </c>
      <c r="EC563" s="597">
        <f>revGrowth</f>
        <v>-0.04044075154</v>
      </c>
      <c r="ED563" s="596">
        <f>revGrowth</f>
        <v>-0.01147258429</v>
      </c>
      <c r="EE563" s="596">
        <f>revGrowth</f>
        <v>-0.1733124696</v>
      </c>
      <c r="EF563" s="596">
        <f>revGrowth</f>
        <v>-0.1519876154</v>
      </c>
      <c r="EG563" s="596">
        <f>revGrowth</f>
        <v>-0.2810772066</v>
      </c>
      <c r="EH563" s="597">
        <f>revGrowth</f>
        <v>-0.1561069622</v>
      </c>
      <c r="EI563" s="598" t="str">
        <f>revGrowth</f>
        <v>#ERROR!</v>
      </c>
      <c r="EJ563" s="596" t="str">
        <f>revGrowth</f>
        <v>#ERROR!</v>
      </c>
      <c r="EK563" s="596" t="str">
        <f>revGrowth</f>
        <v>#ERROR!</v>
      </c>
      <c r="EL563" s="596" t="str">
        <f>revGrowth</f>
        <v>#ERROR!</v>
      </c>
      <c r="EM563" s="597" t="str">
        <f>revGrowth</f>
        <v>#ERROR!</v>
      </c>
      <c r="EN563" s="596" t="str">
        <f>revGrowth</f>
        <v>#ERROR!</v>
      </c>
      <c r="EO563" s="596" t="str">
        <f>revGrowth</f>
        <v>#ERROR!</v>
      </c>
      <c r="EP563" s="596" t="str">
        <f>revGrowth</f>
        <v>#ERROR!</v>
      </c>
      <c r="EQ563" s="596" t="str">
        <f>revGrowth</f>
        <v>#ERROR!</v>
      </c>
      <c r="ER563" s="597" t="str">
        <f>revGrowth</f>
        <v>#ERROR!</v>
      </c>
      <c r="ES563" s="596" t="str">
        <f>revGrowth</f>
        <v>#ERROR!</v>
      </c>
      <c r="ET563" s="596" t="str">
        <f>revGrowth</f>
        <v>#ERROR!</v>
      </c>
      <c r="EU563" s="596" t="str">
        <f>revGrowth</f>
        <v>#ERROR!</v>
      </c>
      <c r="EV563" s="596" t="str">
        <f>revGrowth</f>
        <v>#ERROR!</v>
      </c>
      <c r="EW563" s="597" t="str">
        <f>revGrowth</f>
        <v>#ERROR!</v>
      </c>
      <c r="EX563" s="596" t="str">
        <f>revGrowth</f>
        <v>#ERROR!</v>
      </c>
      <c r="EY563" s="596" t="str">
        <f>revGrowth</f>
        <v>#ERROR!</v>
      </c>
      <c r="EZ563" s="596" t="str">
        <f>revGrowth</f>
        <v>#ERROR!</v>
      </c>
      <c r="FA563" s="596" t="str">
        <f>revGrowth</f>
        <v>#ERROR!</v>
      </c>
      <c r="FB563" s="597" t="str">
        <f>revGrowth</f>
        <v>#ERROR!</v>
      </c>
      <c r="FC563" s="596" t="str">
        <f>revGrowth</f>
        <v>#ERROR!</v>
      </c>
      <c r="FD563" s="596" t="str">
        <f>revGrowth</f>
        <v>#ERROR!</v>
      </c>
      <c r="FE563" s="596" t="str">
        <f>revGrowth</f>
        <v>#ERROR!</v>
      </c>
      <c r="FF563" s="596" t="str">
        <f>revGrowth</f>
        <v>#ERROR!</v>
      </c>
      <c r="FG563" s="597" t="str">
        <f>revGrowth</f>
        <v>#ERROR!</v>
      </c>
      <c r="FH563" s="595"/>
      <c r="FI563" s="592"/>
      <c r="FJ563" s="592"/>
      <c r="FK563" s="592"/>
      <c r="FL563" s="592"/>
    </row>
    <row r="564" ht="12.75" hidden="1" customHeight="1" outlineLevel="1">
      <c r="A564" s="4"/>
      <c r="B564" s="45"/>
      <c r="C564" s="45"/>
      <c r="D564" s="4"/>
      <c r="E564" s="4"/>
      <c r="F564" s="4"/>
      <c r="G564" s="4"/>
      <c r="H564" s="45"/>
      <c r="I564" s="4"/>
      <c r="J564" s="4"/>
      <c r="K564" s="4"/>
      <c r="L564" s="4"/>
      <c r="M564" s="45"/>
      <c r="N564" s="4"/>
      <c r="O564" s="4"/>
      <c r="P564" s="4"/>
      <c r="Q564" s="4"/>
      <c r="R564" s="45"/>
      <c r="S564" s="4"/>
      <c r="T564" s="4"/>
      <c r="U564" s="4"/>
      <c r="V564" s="4"/>
      <c r="W564" s="45"/>
      <c r="X564" s="4"/>
      <c r="Y564" s="4"/>
      <c r="Z564" s="4"/>
      <c r="AA564" s="4"/>
      <c r="AB564" s="45"/>
      <c r="AC564" s="4"/>
      <c r="AD564" s="4"/>
      <c r="AE564" s="4"/>
      <c r="AF564" s="4"/>
      <c r="AG564" s="45"/>
      <c r="AH564" s="4"/>
      <c r="AI564" s="4"/>
      <c r="AJ564" s="4"/>
      <c r="AK564" s="4"/>
      <c r="AL564" s="45"/>
      <c r="AM564" s="4"/>
      <c r="AN564" s="4"/>
      <c r="AO564" s="4"/>
      <c r="AP564" s="4"/>
      <c r="AQ564" s="45"/>
      <c r="AR564" s="4"/>
      <c r="AS564" s="4"/>
      <c r="AT564" s="4"/>
      <c r="AU564" s="4"/>
      <c r="AV564" s="45"/>
      <c r="AW564" s="4"/>
      <c r="AX564" s="4"/>
      <c r="AY564" s="4"/>
      <c r="AZ564" s="4"/>
      <c r="BA564" s="45"/>
      <c r="BB564" s="4"/>
      <c r="BC564" s="4"/>
      <c r="BD564" s="4"/>
      <c r="BE564" s="4"/>
      <c r="BF564" s="45"/>
      <c r="BG564" s="4"/>
      <c r="BH564" s="4"/>
      <c r="BI564" s="4"/>
      <c r="BJ564" s="4"/>
      <c r="BK564" s="45"/>
      <c r="BL564" s="4"/>
      <c r="BM564" s="4"/>
      <c r="BN564" s="4"/>
      <c r="BO564" s="4"/>
      <c r="BP564" s="45"/>
      <c r="BQ564" s="4"/>
      <c r="BR564" s="4"/>
      <c r="BS564" s="4"/>
      <c r="BT564" s="4"/>
      <c r="BU564" s="45"/>
      <c r="BV564" s="4"/>
      <c r="BW564" s="4"/>
      <c r="BX564" s="4"/>
      <c r="BY564" s="4"/>
      <c r="BZ564" s="350"/>
      <c r="CA564" s="4"/>
      <c r="CB564" s="4"/>
      <c r="CC564" s="4"/>
      <c r="CD564" s="4"/>
      <c r="CE564" s="350"/>
      <c r="CF564" s="4"/>
      <c r="CG564" s="4"/>
      <c r="CH564" s="4"/>
      <c r="CI564" s="4"/>
      <c r="CJ564" s="350"/>
      <c r="CK564" s="4"/>
      <c r="CL564" s="4"/>
      <c r="CM564" s="4"/>
      <c r="CN564" s="16"/>
      <c r="CO564" s="350"/>
      <c r="CP564" s="16"/>
      <c r="CQ564" s="4"/>
      <c r="CR564" s="4"/>
      <c r="CS564" s="4"/>
      <c r="CT564" s="350"/>
      <c r="CU564" s="4"/>
      <c r="CV564" s="4"/>
      <c r="CW564" s="4"/>
      <c r="CX564" s="4"/>
      <c r="CY564" s="350"/>
      <c r="CZ564" s="4"/>
      <c r="DA564" s="4"/>
      <c r="DB564" s="4"/>
      <c r="DC564" s="4"/>
      <c r="DD564" s="350"/>
      <c r="DE564" s="4"/>
      <c r="DF564" s="4"/>
      <c r="DG564" s="16"/>
      <c r="DH564" s="4"/>
      <c r="DI564" s="350"/>
      <c r="DJ564" s="16"/>
      <c r="DK564" s="16"/>
      <c r="DL564" s="16"/>
      <c r="DM564" s="4"/>
      <c r="DN564" s="350"/>
      <c r="DO564" s="4"/>
      <c r="DP564" s="4"/>
      <c r="DQ564" s="4"/>
      <c r="DR564" s="4"/>
      <c r="DS564" s="350"/>
      <c r="DT564" s="4"/>
      <c r="DU564" s="4"/>
      <c r="DV564" s="4"/>
      <c r="DW564" s="4"/>
      <c r="DX564" s="350"/>
      <c r="DY564" s="4"/>
      <c r="DZ564" s="4"/>
      <c r="EA564" s="4"/>
      <c r="EB564" s="4"/>
      <c r="EC564" s="350"/>
      <c r="ED564" s="4"/>
      <c r="EE564" s="4"/>
      <c r="EF564" s="4"/>
      <c r="EG564" s="4"/>
      <c r="EH564" s="350"/>
      <c r="EI564" s="214"/>
      <c r="EJ564" s="4"/>
      <c r="EK564" s="4"/>
      <c r="EL564" s="4"/>
      <c r="EM564" s="350"/>
      <c r="EN564" s="4"/>
      <c r="EO564" s="4"/>
      <c r="EP564" s="4"/>
      <c r="EQ564" s="4"/>
      <c r="ER564" s="350"/>
      <c r="ES564" s="4"/>
      <c r="ET564" s="4"/>
      <c r="EU564" s="4"/>
      <c r="EV564" s="4"/>
      <c r="EW564" s="350"/>
      <c r="EX564" s="4"/>
      <c r="EY564" s="4"/>
      <c r="EZ564" s="4"/>
      <c r="FA564" s="4"/>
      <c r="FB564" s="350"/>
      <c r="FC564" s="4"/>
      <c r="FD564" s="4"/>
      <c r="FE564" s="4"/>
      <c r="FF564" s="4"/>
      <c r="FG564" s="350"/>
      <c r="FH564" s="145"/>
      <c r="FI564" s="4"/>
      <c r="FJ564" s="4"/>
      <c r="FK564" s="45"/>
      <c r="FL564" s="4"/>
    </row>
    <row r="565" ht="12.75" hidden="1" customHeight="1" outlineLevel="1">
      <c r="A565" s="4"/>
      <c r="B565" s="599"/>
      <c r="C565" s="45"/>
      <c r="D565" s="335"/>
      <c r="E565" s="335"/>
      <c r="F565" s="335"/>
      <c r="G565" s="335"/>
      <c r="H565" s="335"/>
      <c r="I565" s="335"/>
      <c r="J565" s="335"/>
      <c r="K565" s="335"/>
      <c r="L565" s="335"/>
      <c r="M565" s="335"/>
      <c r="N565" s="335"/>
      <c r="O565" s="335"/>
      <c r="P565" s="335"/>
      <c r="Q565" s="335"/>
      <c r="R565" s="335"/>
      <c r="S565" s="335"/>
      <c r="T565" s="335"/>
      <c r="U565" s="335"/>
      <c r="V565" s="335"/>
      <c r="W565" s="335"/>
      <c r="X565" s="335"/>
      <c r="Y565" s="335"/>
      <c r="Z565" s="335"/>
      <c r="AA565" s="335"/>
      <c r="AB565" s="335"/>
      <c r="AC565" s="335"/>
      <c r="AD565" s="335"/>
      <c r="AE565" s="335"/>
      <c r="AF565" s="335"/>
      <c r="AG565" s="335"/>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c r="BD565" s="335"/>
      <c r="BE565" s="335"/>
      <c r="BF565" s="335"/>
      <c r="BG565" s="335"/>
      <c r="BH565" s="335"/>
      <c r="BI565" s="335"/>
      <c r="BJ565" s="335"/>
      <c r="BK565" s="335"/>
      <c r="BL565" s="335"/>
      <c r="BM565" s="335"/>
      <c r="BN565" s="335"/>
      <c r="BO565" s="335"/>
      <c r="BP565" s="335"/>
      <c r="BQ565" s="335"/>
      <c r="BR565" s="335"/>
      <c r="BS565" s="335"/>
      <c r="BT565" s="335"/>
      <c r="BU565" s="335"/>
      <c r="BV565" s="335"/>
      <c r="BW565" s="335"/>
      <c r="BX565" s="335"/>
      <c r="BY565" s="335"/>
      <c r="BZ565" s="342"/>
      <c r="CA565" s="335"/>
      <c r="CB565" s="335"/>
      <c r="CC565" s="335"/>
      <c r="CD565" s="335"/>
      <c r="CE565" s="342"/>
      <c r="CF565" s="335"/>
      <c r="CG565" s="335"/>
      <c r="CH565" s="335"/>
      <c r="CI565" s="335"/>
      <c r="CJ565" s="342"/>
      <c r="CK565" s="335"/>
      <c r="CL565" s="335"/>
      <c r="CM565" s="335"/>
      <c r="CN565" s="343"/>
      <c r="CO565" s="342"/>
      <c r="CP565" s="19">
        <f t="shared" ref="CP565:CS565" si="3094">CP566/20</f>
        <v>5</v>
      </c>
      <c r="CQ565" s="19">
        <f t="shared" si="3094"/>
        <v>5</v>
      </c>
      <c r="CR565" s="19">
        <f t="shared" si="3094"/>
        <v>15</v>
      </c>
      <c r="CS565" s="19">
        <f t="shared" si="3094"/>
        <v>15</v>
      </c>
      <c r="CT565" s="342"/>
      <c r="CU565" s="335"/>
      <c r="CV565" s="335"/>
      <c r="CW565" s="335"/>
      <c r="CX565" s="335"/>
      <c r="CY565" s="342"/>
      <c r="CZ565" s="335"/>
      <c r="DA565" s="335"/>
      <c r="DB565" s="335"/>
      <c r="DC565" s="335"/>
      <c r="DD565" s="350"/>
      <c r="DE565" s="335"/>
      <c r="DF565" s="335"/>
      <c r="DG565" s="343"/>
      <c r="DH565" s="335"/>
      <c r="DI565" s="342"/>
      <c r="DJ565" s="343"/>
      <c r="DK565" s="343"/>
      <c r="DL565" s="343"/>
      <c r="DM565" s="335"/>
      <c r="DN565" s="342"/>
      <c r="DO565" s="335"/>
      <c r="DP565" s="335"/>
      <c r="DQ565" s="335"/>
      <c r="DR565" s="335"/>
      <c r="DS565" s="342"/>
      <c r="DT565" s="335"/>
      <c r="DU565" s="335"/>
      <c r="DV565" s="335"/>
      <c r="DW565" s="335"/>
      <c r="DX565" s="342"/>
      <c r="DY565" s="335"/>
      <c r="DZ565" s="335"/>
      <c r="EA565" s="335"/>
      <c r="EB565" s="335"/>
      <c r="EC565" s="342"/>
      <c r="ED565" s="335"/>
      <c r="EE565" s="335"/>
      <c r="EF565" s="335"/>
      <c r="EG565" s="335"/>
      <c r="EH565" s="342"/>
      <c r="EI565" s="600"/>
      <c r="EJ565" s="335"/>
      <c r="EK565" s="335"/>
      <c r="EL565" s="335"/>
      <c r="EM565" s="342"/>
      <c r="EN565" s="335"/>
      <c r="EO565" s="335"/>
      <c r="EP565" s="335"/>
      <c r="EQ565" s="335"/>
      <c r="ER565" s="342"/>
      <c r="ES565" s="335"/>
      <c r="ET565" s="335"/>
      <c r="EU565" s="335"/>
      <c r="EV565" s="335"/>
      <c r="EW565" s="342"/>
      <c r="EX565" s="335"/>
      <c r="EY565" s="335"/>
      <c r="EZ565" s="335"/>
      <c r="FA565" s="335"/>
      <c r="FB565" s="342"/>
      <c r="FC565" s="335"/>
      <c r="FD565" s="335"/>
      <c r="FE565" s="335"/>
      <c r="FF565" s="335"/>
      <c r="FG565" s="342"/>
      <c r="FH565" s="343"/>
      <c r="FI565" s="335"/>
      <c r="FJ565" s="335"/>
      <c r="FK565" s="335"/>
      <c r="FL565" s="335"/>
    </row>
    <row r="566" ht="12.75" hidden="1" customHeight="1" outlineLevel="1">
      <c r="A566" s="4"/>
      <c r="B566" s="601" t="s">
        <v>294</v>
      </c>
      <c r="C566" s="45"/>
      <c r="D566" s="4"/>
      <c r="E566" s="4"/>
      <c r="F566" s="4"/>
      <c r="G566" s="4"/>
      <c r="H566" s="45"/>
      <c r="I566" s="4"/>
      <c r="J566" s="4"/>
      <c r="K566" s="4"/>
      <c r="L566" s="4"/>
      <c r="M566" s="45"/>
      <c r="N566" s="4"/>
      <c r="O566" s="4"/>
      <c r="P566" s="4"/>
      <c r="Q566" s="4"/>
      <c r="R566" s="45"/>
      <c r="S566" s="4"/>
      <c r="T566" s="4"/>
      <c r="U566" s="4"/>
      <c r="V566" s="4"/>
      <c r="W566" s="45"/>
      <c r="X566" s="4"/>
      <c r="Y566" s="4"/>
      <c r="Z566" s="4"/>
      <c r="AA566" s="4"/>
      <c r="AB566" s="45"/>
      <c r="AC566" s="4"/>
      <c r="AD566" s="4"/>
      <c r="AE566" s="4"/>
      <c r="AF566" s="4"/>
      <c r="AG566" s="45"/>
      <c r="AH566" s="4"/>
      <c r="AI566" s="4"/>
      <c r="AJ566" s="4"/>
      <c r="AK566" s="4"/>
      <c r="AL566" s="45"/>
      <c r="AM566" s="4"/>
      <c r="AN566" s="4"/>
      <c r="AO566" s="4"/>
      <c r="AP566" s="4"/>
      <c r="AQ566" s="45"/>
      <c r="AR566" s="4"/>
      <c r="AS566" s="4"/>
      <c r="AT566" s="4"/>
      <c r="AU566" s="4"/>
      <c r="AV566" s="45"/>
      <c r="AW566" s="4"/>
      <c r="AX566" s="4"/>
      <c r="AY566" s="4"/>
      <c r="AZ566" s="4"/>
      <c r="BA566" s="45"/>
      <c r="BB566" s="4"/>
      <c r="BC566" s="4"/>
      <c r="BD566" s="4"/>
      <c r="BE566" s="4"/>
      <c r="BF566" s="45"/>
      <c r="BG566" s="4"/>
      <c r="BH566" s="4"/>
      <c r="BI566" s="4"/>
      <c r="BJ566" s="4"/>
      <c r="BK566" s="45"/>
      <c r="BL566" s="4"/>
      <c r="BM566" s="4"/>
      <c r="BN566" s="4"/>
      <c r="BO566" s="4"/>
      <c r="BP566" s="45"/>
      <c r="BQ566" s="4"/>
      <c r="BR566" s="4"/>
      <c r="BS566" s="4"/>
      <c r="BT566" s="4"/>
      <c r="BU566" s="45"/>
      <c r="BV566" s="4"/>
      <c r="BW566" s="4"/>
      <c r="BX566" s="4"/>
      <c r="BY566" s="4"/>
      <c r="BZ566" s="350"/>
      <c r="CA566" s="4"/>
      <c r="CB566" s="4"/>
      <c r="CC566" s="4"/>
      <c r="CD566" s="4"/>
      <c r="CE566" s="350"/>
      <c r="CF566" s="4"/>
      <c r="CG566" s="4"/>
      <c r="CH566" s="4"/>
      <c r="CI566" s="4"/>
      <c r="CJ566" s="350"/>
      <c r="CK566" s="4"/>
      <c r="CL566" s="4"/>
      <c r="CM566" s="4"/>
      <c r="CN566" s="16"/>
      <c r="CO566" s="350" t="s">
        <v>295</v>
      </c>
      <c r="CP566" s="497">
        <f t="shared" ref="CP566:CQ566" si="3095">5*20</f>
        <v>100</v>
      </c>
      <c r="CQ566" s="497">
        <f t="shared" si="3095"/>
        <v>100</v>
      </c>
      <c r="CR566" s="497">
        <v>300.0</v>
      </c>
      <c r="CS566" s="497">
        <v>300.0</v>
      </c>
      <c r="CT566" s="602" t="s">
        <v>296</v>
      </c>
      <c r="CU566" s="4">
        <f t="shared" ref="CU566:CX566" si="3096">CU569*0.45</f>
        <v>0</v>
      </c>
      <c r="CV566" s="4">
        <f t="shared" si="3096"/>
        <v>0</v>
      </c>
      <c r="CW566" s="4">
        <f t="shared" si="3096"/>
        <v>0</v>
      </c>
      <c r="CX566" s="4">
        <f t="shared" si="3096"/>
        <v>0</v>
      </c>
      <c r="CY566" s="411">
        <f>SUM(CU566:CX566)</f>
        <v>0</v>
      </c>
      <c r="CZ566" s="4"/>
      <c r="DA566" s="4"/>
      <c r="DB566" s="4"/>
      <c r="DC566" s="4"/>
      <c r="DD566" s="350"/>
      <c r="DE566" s="4"/>
      <c r="DF566" s="4"/>
      <c r="DG566" s="16"/>
      <c r="DH566" s="4"/>
      <c r="DI566" s="350"/>
      <c r="DJ566" s="16"/>
      <c r="DK566" s="16"/>
      <c r="DL566" s="16"/>
      <c r="DM566" s="4"/>
      <c r="DN566" s="350"/>
      <c r="DO566" s="4"/>
      <c r="DP566" s="4"/>
      <c r="DQ566" s="4"/>
      <c r="DR566" s="4"/>
      <c r="DS566" s="350"/>
      <c r="DT566" s="4"/>
      <c r="DU566" s="4"/>
      <c r="DV566" s="4"/>
      <c r="DW566" s="4"/>
      <c r="DX566" s="350"/>
      <c r="DY566" s="4"/>
      <c r="DZ566" s="4"/>
      <c r="EA566" s="4"/>
      <c r="EB566" s="4"/>
      <c r="EC566" s="350"/>
      <c r="ED566" s="4"/>
      <c r="EE566" s="4"/>
      <c r="EF566" s="4"/>
      <c r="EG566" s="4"/>
      <c r="EH566" s="350"/>
      <c r="EI566" s="214"/>
      <c r="EJ566" s="4"/>
      <c r="EK566" s="4"/>
      <c r="EL566" s="4"/>
      <c r="EM566" s="350"/>
      <c r="EN566" s="4"/>
      <c r="EO566" s="4"/>
      <c r="EP566" s="4"/>
      <c r="EQ566" s="4"/>
      <c r="ER566" s="350"/>
      <c r="ES566" s="4"/>
      <c r="ET566" s="4"/>
      <c r="EU566" s="4"/>
      <c r="EV566" s="4"/>
      <c r="EW566" s="350"/>
      <c r="EX566" s="4"/>
      <c r="EY566" s="4"/>
      <c r="EZ566" s="4"/>
      <c r="FA566" s="4"/>
      <c r="FB566" s="350"/>
      <c r="FC566" s="4"/>
      <c r="FD566" s="4"/>
      <c r="FE566" s="4"/>
      <c r="FF566" s="4"/>
      <c r="FG566" s="350"/>
      <c r="FH566" s="145"/>
      <c r="FI566" s="4"/>
      <c r="FJ566" s="4"/>
      <c r="FK566" s="45"/>
      <c r="FL566" s="4"/>
    </row>
    <row r="567" ht="12.75" hidden="1" customHeight="1" outlineLevel="1">
      <c r="A567" s="45"/>
      <c r="B567" s="215" t="str">
        <f>B500</f>
        <v>Client Computing Group</v>
      </c>
      <c r="C567" s="45"/>
      <c r="D567" s="17"/>
      <c r="E567" s="17"/>
      <c r="F567" s="17"/>
      <c r="G567" s="17"/>
      <c r="H567" s="112"/>
      <c r="I567" s="17"/>
      <c r="J567" s="17"/>
      <c r="K567" s="17"/>
      <c r="L567" s="17"/>
      <c r="M567" s="112"/>
      <c r="N567" s="17"/>
      <c r="O567" s="17"/>
      <c r="P567" s="17"/>
      <c r="Q567" s="17"/>
      <c r="R567" s="112"/>
      <c r="S567" s="17"/>
      <c r="T567" s="17"/>
      <c r="U567" s="17"/>
      <c r="V567" s="17"/>
      <c r="W567" s="112"/>
      <c r="X567" s="17"/>
      <c r="Y567" s="17"/>
      <c r="Z567" s="17"/>
      <c r="AA567" s="17"/>
      <c r="AB567" s="112"/>
      <c r="AC567" s="17"/>
      <c r="AD567" s="17"/>
      <c r="AE567" s="17"/>
      <c r="AF567" s="17"/>
      <c r="AG567" s="112"/>
      <c r="AH567" s="17"/>
      <c r="AI567" s="17"/>
      <c r="AJ567" s="17"/>
      <c r="AK567" s="17"/>
      <c r="AL567" s="112"/>
      <c r="AM567" s="17"/>
      <c r="AN567" s="17"/>
      <c r="AO567" s="17"/>
      <c r="AP567" s="17"/>
      <c r="AQ567" s="112"/>
      <c r="AR567" s="17"/>
      <c r="AS567" s="17"/>
      <c r="AT567" s="17"/>
      <c r="AU567" s="17"/>
      <c r="AV567" s="112"/>
      <c r="AW567" s="17"/>
      <c r="AX567" s="17"/>
      <c r="AY567" s="17"/>
      <c r="AZ567" s="17"/>
      <c r="BA567" s="112"/>
      <c r="BB567" s="17"/>
      <c r="BC567" s="17"/>
      <c r="BD567" s="17"/>
      <c r="BE567" s="17"/>
      <c r="BF567" s="112"/>
      <c r="BG567" s="17"/>
      <c r="BH567" s="17"/>
      <c r="BI567" s="17"/>
      <c r="BJ567" s="17"/>
      <c r="BK567" s="112">
        <v>7585.0</v>
      </c>
      <c r="BL567" s="17"/>
      <c r="BM567" s="17"/>
      <c r="BN567" s="17"/>
      <c r="BO567" s="17"/>
      <c r="BP567" s="112"/>
      <c r="BQ567" s="17"/>
      <c r="BR567" s="17"/>
      <c r="BS567" s="17"/>
      <c r="BT567" s="17"/>
      <c r="BU567" s="112"/>
      <c r="BV567" s="17"/>
      <c r="BW567" s="17"/>
      <c r="BX567" s="17"/>
      <c r="BY567" s="17"/>
      <c r="BZ567" s="80"/>
      <c r="CA567" s="17"/>
      <c r="CB567" s="17"/>
      <c r="CC567" s="17"/>
      <c r="CD567" s="17"/>
      <c r="CE567" s="80">
        <v>14793.0</v>
      </c>
      <c r="CF567" s="17">
        <v>3491.0</v>
      </c>
      <c r="CG567" s="17">
        <v>3416.0</v>
      </c>
      <c r="CH567" s="17">
        <v>3337.0</v>
      </c>
      <c r="CI567" s="17">
        <v>2829.0</v>
      </c>
      <c r="CJ567" s="80">
        <f t="shared" ref="CJ567:CJ568" si="3097">SUM(CF567:CI567)</f>
        <v>13073</v>
      </c>
      <c r="CK567" s="17">
        <v>2513.0</v>
      </c>
      <c r="CL567" s="17">
        <v>2659.0</v>
      </c>
      <c r="CM567" s="17">
        <v>3260.0</v>
      </c>
      <c r="CN567" s="19">
        <v>3395.0</v>
      </c>
      <c r="CO567" s="80">
        <f t="shared" ref="CO567:CO574" si="3098">SUM(CK567:CN567)</f>
        <v>11827</v>
      </c>
      <c r="CP567" s="19">
        <v>2802.0</v>
      </c>
      <c r="CQ567" s="17">
        <v>3734.0</v>
      </c>
      <c r="CR567" s="17">
        <v>4120.0</v>
      </c>
      <c r="CS567" s="17">
        <v>3979.0</v>
      </c>
      <c r="CT567" s="80">
        <f t="shared" ref="CT567:CT570" si="3099">SUM(CP567:CS567)</f>
        <v>14635</v>
      </c>
      <c r="CU567" s="19">
        <v>1410.0</v>
      </c>
      <c r="CV567" s="17">
        <f>5445-CW567-CU567</f>
        <v>1602</v>
      </c>
      <c r="CW567" s="17">
        <v>2433.0</v>
      </c>
      <c r="CX567" s="17"/>
      <c r="CY567" s="80"/>
      <c r="CZ567" s="17"/>
      <c r="DA567" s="17"/>
      <c r="DB567" s="17"/>
      <c r="DC567" s="17"/>
      <c r="DD567" s="80"/>
      <c r="DE567" s="17"/>
      <c r="DF567" s="17"/>
      <c r="DG567" s="19"/>
      <c r="DH567" s="17"/>
      <c r="DI567" s="80"/>
      <c r="DJ567" s="19"/>
      <c r="DK567" s="19"/>
      <c r="DL567" s="19"/>
      <c r="DM567" s="17"/>
      <c r="DN567" s="80"/>
      <c r="DO567" s="17"/>
      <c r="DP567" s="17"/>
      <c r="DQ567" s="17"/>
      <c r="DR567" s="17"/>
      <c r="DS567" s="80"/>
      <c r="DT567" s="17"/>
      <c r="DU567" s="17"/>
      <c r="DV567" s="17"/>
      <c r="DW567" s="17"/>
      <c r="DX567" s="80"/>
      <c r="DY567" s="17"/>
      <c r="DZ567" s="17"/>
      <c r="EA567" s="17"/>
      <c r="EB567" s="17"/>
      <c r="EC567" s="80"/>
      <c r="ED567" s="17"/>
      <c r="EE567" s="17"/>
      <c r="EF567" s="17"/>
      <c r="EG567" s="17"/>
      <c r="EH567" s="80"/>
      <c r="EI567" s="25"/>
      <c r="EJ567" s="17"/>
      <c r="EK567" s="17"/>
      <c r="EL567" s="17"/>
      <c r="EM567" s="80"/>
      <c r="EN567" s="17"/>
      <c r="EO567" s="17"/>
      <c r="EP567" s="17"/>
      <c r="EQ567" s="17"/>
      <c r="ER567" s="80"/>
      <c r="ES567" s="17"/>
      <c r="ET567" s="17"/>
      <c r="EU567" s="17"/>
      <c r="EV567" s="17"/>
      <c r="EW567" s="80"/>
      <c r="EX567" s="17"/>
      <c r="EY567" s="17"/>
      <c r="EZ567" s="17"/>
      <c r="FA567" s="17"/>
      <c r="FB567" s="80"/>
      <c r="FC567" s="17"/>
      <c r="FD567" s="17"/>
      <c r="FE567" s="17"/>
      <c r="FF567" s="17"/>
      <c r="FG567" s="80"/>
      <c r="FH567" s="146"/>
      <c r="FI567" s="17"/>
      <c r="FJ567" s="17"/>
      <c r="FK567" s="112"/>
      <c r="FL567" s="17"/>
    </row>
    <row r="568" ht="12.75" hidden="1" customHeight="1" outlineLevel="1">
      <c r="A568" s="45"/>
      <c r="B568" s="215" t="str">
        <f>B508</f>
        <v>Data Center Group</v>
      </c>
      <c r="C568" s="45"/>
      <c r="D568" s="17"/>
      <c r="E568" s="17"/>
      <c r="F568" s="17"/>
      <c r="G568" s="17"/>
      <c r="H568" s="112"/>
      <c r="I568" s="17"/>
      <c r="J568" s="17"/>
      <c r="K568" s="17"/>
      <c r="L568" s="17"/>
      <c r="M568" s="112"/>
      <c r="N568" s="17"/>
      <c r="O568" s="17"/>
      <c r="P568" s="17"/>
      <c r="Q568" s="17"/>
      <c r="R568" s="112"/>
      <c r="S568" s="17"/>
      <c r="T568" s="17"/>
      <c r="U568" s="17"/>
      <c r="V568" s="17"/>
      <c r="W568" s="112"/>
      <c r="X568" s="17"/>
      <c r="Y568" s="17"/>
      <c r="Z568" s="17"/>
      <c r="AA568" s="17"/>
      <c r="AB568" s="112"/>
      <c r="AC568" s="17"/>
      <c r="AD568" s="17"/>
      <c r="AE568" s="17"/>
      <c r="AF568" s="17"/>
      <c r="AG568" s="112"/>
      <c r="AH568" s="17"/>
      <c r="AI568" s="17"/>
      <c r="AJ568" s="17"/>
      <c r="AK568" s="17"/>
      <c r="AL568" s="112"/>
      <c r="AM568" s="17"/>
      <c r="AN568" s="17"/>
      <c r="AO568" s="17"/>
      <c r="AP568" s="17"/>
      <c r="AQ568" s="112"/>
      <c r="AR568" s="17"/>
      <c r="AS568" s="17"/>
      <c r="AT568" s="17"/>
      <c r="AU568" s="17"/>
      <c r="AV568" s="112"/>
      <c r="AW568" s="17"/>
      <c r="AX568" s="17"/>
      <c r="AY568" s="17"/>
      <c r="AZ568" s="17"/>
      <c r="BA568" s="112"/>
      <c r="BB568" s="17"/>
      <c r="BC568" s="17"/>
      <c r="BD568" s="17"/>
      <c r="BE568" s="17"/>
      <c r="BF568" s="112"/>
      <c r="BG568" s="17"/>
      <c r="BH568" s="17"/>
      <c r="BI568" s="17"/>
      <c r="BJ568" s="17"/>
      <c r="BK568" s="112">
        <v>2105.0</v>
      </c>
      <c r="BL568" s="17"/>
      <c r="BM568" s="17"/>
      <c r="BN568" s="17"/>
      <c r="BO568" s="17"/>
      <c r="BP568" s="112"/>
      <c r="BQ568" s="17"/>
      <c r="BR568" s="17"/>
      <c r="BS568" s="17"/>
      <c r="BT568" s="17"/>
      <c r="BU568" s="112"/>
      <c r="BV568" s="17"/>
      <c r="BW568" s="17"/>
      <c r="BX568" s="17"/>
      <c r="BY568" s="17"/>
      <c r="BZ568" s="80"/>
      <c r="CA568" s="17"/>
      <c r="CB568" s="17"/>
      <c r="CC568" s="17"/>
      <c r="CD568" s="17"/>
      <c r="CE568" s="80">
        <v>5100.0</v>
      </c>
      <c r="CF568" s="17">
        <v>1135.0</v>
      </c>
      <c r="CG568" s="17">
        <v>1389.0</v>
      </c>
      <c r="CH568" s="17">
        <v>1212.0</v>
      </c>
      <c r="CI568" s="17">
        <v>1317.0</v>
      </c>
      <c r="CJ568" s="80">
        <f t="shared" si="3097"/>
        <v>5053</v>
      </c>
      <c r="CK568" s="17">
        <v>1079.0</v>
      </c>
      <c r="CL568" s="17">
        <v>1230.0</v>
      </c>
      <c r="CM568" s="17">
        <v>1393.0</v>
      </c>
      <c r="CN568" s="19">
        <v>1462.0</v>
      </c>
      <c r="CO568" s="80">
        <f t="shared" si="3098"/>
        <v>5164</v>
      </c>
      <c r="CP568" s="19">
        <v>1317.0</v>
      </c>
      <c r="CQ568" s="17">
        <v>1817.0</v>
      </c>
      <c r="CR568" s="17">
        <v>1915.0</v>
      </c>
      <c r="CS568" s="17">
        <v>2230.0</v>
      </c>
      <c r="CT568" s="80">
        <f t="shared" si="3099"/>
        <v>7279</v>
      </c>
      <c r="CU568" s="19">
        <v>1701.0</v>
      </c>
      <c r="CV568" s="17">
        <f>5671-CU568-CW568</f>
        <v>1843</v>
      </c>
      <c r="CW568" s="17">
        <v>2127.0</v>
      </c>
      <c r="CX568" s="17">
        <f>CY568-CW568-CV568-CU568</f>
        <v>2173</v>
      </c>
      <c r="CY568" s="80">
        <v>7844.0</v>
      </c>
      <c r="CZ568" s="17"/>
      <c r="DA568" s="17"/>
      <c r="DB568" s="17"/>
      <c r="DC568" s="17"/>
      <c r="DD568" s="80"/>
      <c r="DE568" s="17"/>
      <c r="DF568" s="17"/>
      <c r="DG568" s="19"/>
      <c r="DH568" s="17"/>
      <c r="DI568" s="80"/>
      <c r="DJ568" s="19"/>
      <c r="DK568" s="19"/>
      <c r="DL568" s="19"/>
      <c r="DM568" s="17"/>
      <c r="DN568" s="80"/>
      <c r="DO568" s="17"/>
      <c r="DP568" s="17"/>
      <c r="DQ568" s="17"/>
      <c r="DR568" s="17"/>
      <c r="DS568" s="80"/>
      <c r="DT568" s="17"/>
      <c r="DU568" s="17"/>
      <c r="DV568" s="17"/>
      <c r="DW568" s="17"/>
      <c r="DX568" s="80"/>
      <c r="DY568" s="17"/>
      <c r="DZ568" s="17"/>
      <c r="EA568" s="17"/>
      <c r="EB568" s="17"/>
      <c r="EC568" s="80"/>
      <c r="ED568" s="17"/>
      <c r="EE568" s="17"/>
      <c r="EF568" s="17"/>
      <c r="EG568" s="17"/>
      <c r="EH568" s="80"/>
      <c r="EI568" s="25"/>
      <c r="EJ568" s="17"/>
      <c r="EK568" s="17"/>
      <c r="EL568" s="17"/>
      <c r="EM568" s="80"/>
      <c r="EN568" s="17"/>
      <c r="EO568" s="17"/>
      <c r="EP568" s="17"/>
      <c r="EQ568" s="17"/>
      <c r="ER568" s="80"/>
      <c r="ES568" s="17"/>
      <c r="ET568" s="17"/>
      <c r="EU568" s="17"/>
      <c r="EV568" s="17"/>
      <c r="EW568" s="80"/>
      <c r="EX568" s="17"/>
      <c r="EY568" s="17"/>
      <c r="EZ568" s="17"/>
      <c r="FA568" s="17"/>
      <c r="FB568" s="80"/>
      <c r="FC568" s="17"/>
      <c r="FD568" s="17"/>
      <c r="FE568" s="17"/>
      <c r="FF568" s="17"/>
      <c r="FG568" s="80"/>
      <c r="FH568" s="146"/>
      <c r="FI568" s="17"/>
      <c r="FJ568" s="17"/>
      <c r="FK568" s="112"/>
      <c r="FL568" s="17"/>
    </row>
    <row r="569" ht="12.75" hidden="1" customHeight="1" outlineLevel="1">
      <c r="A569" s="45"/>
      <c r="B569" s="215" t="s">
        <v>297</v>
      </c>
      <c r="C569" s="45"/>
      <c r="D569" s="17"/>
      <c r="E569" s="17"/>
      <c r="F569" s="17"/>
      <c r="G569" s="17"/>
      <c r="H569" s="112"/>
      <c r="I569" s="17"/>
      <c r="J569" s="17"/>
      <c r="K569" s="17"/>
      <c r="L569" s="17"/>
      <c r="M569" s="112"/>
      <c r="N569" s="17"/>
      <c r="O569" s="17"/>
      <c r="P569" s="17"/>
      <c r="Q569" s="17"/>
      <c r="R569" s="112"/>
      <c r="S569" s="17"/>
      <c r="T569" s="17"/>
      <c r="U569" s="17"/>
      <c r="V569" s="17"/>
      <c r="W569" s="112"/>
      <c r="X569" s="17"/>
      <c r="Y569" s="17"/>
      <c r="Z569" s="17"/>
      <c r="AA569" s="17"/>
      <c r="AB569" s="112"/>
      <c r="AC569" s="17"/>
      <c r="AD569" s="17"/>
      <c r="AE569" s="17"/>
      <c r="AF569" s="17"/>
      <c r="AG569" s="112"/>
      <c r="AH569" s="17"/>
      <c r="AI569" s="17"/>
      <c r="AJ569" s="17"/>
      <c r="AK569" s="17"/>
      <c r="AL569" s="112"/>
      <c r="AM569" s="17"/>
      <c r="AN569" s="17"/>
      <c r="AO569" s="17"/>
      <c r="AP569" s="17"/>
      <c r="AQ569" s="112"/>
      <c r="AR569" s="17"/>
      <c r="AS569" s="17"/>
      <c r="AT569" s="17"/>
      <c r="AU569" s="17"/>
      <c r="AV569" s="112"/>
      <c r="AW569" s="17"/>
      <c r="AX569" s="17"/>
      <c r="AY569" s="17"/>
      <c r="AZ569" s="17"/>
      <c r="BA569" s="112"/>
      <c r="BB569" s="17"/>
      <c r="BC569" s="17"/>
      <c r="BD569" s="17"/>
      <c r="BE569" s="17"/>
      <c r="BF569" s="112"/>
      <c r="BG569" s="17"/>
      <c r="BH569" s="17"/>
      <c r="BI569" s="17"/>
      <c r="BJ569" s="17"/>
      <c r="BK569" s="112"/>
      <c r="BL569" s="17"/>
      <c r="BM569" s="17"/>
      <c r="BN569" s="17"/>
      <c r="BO569" s="17"/>
      <c r="BP569" s="112"/>
      <c r="BQ569" s="17"/>
      <c r="BR569" s="17"/>
      <c r="BS569" s="17"/>
      <c r="BT569" s="17"/>
      <c r="BU569" s="112"/>
      <c r="BV569" s="17"/>
      <c r="BW569" s="17"/>
      <c r="BX569" s="17"/>
      <c r="BY569" s="17"/>
      <c r="BZ569" s="80"/>
      <c r="CA569" s="17"/>
      <c r="CB569" s="17"/>
      <c r="CC569" s="17"/>
      <c r="CD569" s="17"/>
      <c r="CE569" s="80"/>
      <c r="CF569" s="17"/>
      <c r="CG569" s="17"/>
      <c r="CH569" s="17"/>
      <c r="CI569" s="17"/>
      <c r="CJ569" s="80"/>
      <c r="CK569" s="450">
        <f>-1464-CL569</f>
        <v>-703</v>
      </c>
      <c r="CL569" s="450">
        <v>-761.0</v>
      </c>
      <c r="CM569" s="450">
        <v>-810.0</v>
      </c>
      <c r="CN569" s="603">
        <f>-2445-CO570-CM569-CL569-CK569</f>
        <v>-663</v>
      </c>
      <c r="CO569" s="80">
        <f t="shared" si="3098"/>
        <v>-2937</v>
      </c>
      <c r="CP569" s="19">
        <v>-929.0</v>
      </c>
      <c r="CQ569" s="17">
        <v>-1124.0</v>
      </c>
      <c r="CR569" s="17">
        <v>-1043.0</v>
      </c>
      <c r="CS569" s="17">
        <v>-1110.0</v>
      </c>
      <c r="CT569" s="80">
        <f t="shared" si="3099"/>
        <v>-4206</v>
      </c>
      <c r="CU569" s="4"/>
      <c r="CV569" s="604"/>
      <c r="CW569" s="604"/>
      <c r="CX569" s="604"/>
      <c r="CY569" s="602">
        <v>-3200.0</v>
      </c>
      <c r="CZ569" s="17"/>
      <c r="DA569" s="17"/>
      <c r="DB569" s="17"/>
      <c r="DC569" s="17"/>
      <c r="DD569" s="80"/>
      <c r="DE569" s="17"/>
      <c r="DF569" s="17"/>
      <c r="DG569" s="19"/>
      <c r="DH569" s="17"/>
      <c r="DI569" s="80"/>
      <c r="DJ569" s="19"/>
      <c r="DK569" s="19"/>
      <c r="DL569" s="19"/>
      <c r="DM569" s="17"/>
      <c r="DN569" s="80"/>
      <c r="DO569" s="17"/>
      <c r="DP569" s="17"/>
      <c r="DQ569" s="17"/>
      <c r="DR569" s="17"/>
      <c r="DS569" s="80"/>
      <c r="DT569" s="17"/>
      <c r="DU569" s="17"/>
      <c r="DV569" s="17"/>
      <c r="DW569" s="17"/>
      <c r="DX569" s="80"/>
      <c r="DY569" s="17"/>
      <c r="DZ569" s="17"/>
      <c r="EA569" s="17"/>
      <c r="EB569" s="17"/>
      <c r="EC569" s="80"/>
      <c r="ED569" s="17"/>
      <c r="EE569" s="17"/>
      <c r="EF569" s="17"/>
      <c r="EG569" s="17"/>
      <c r="EH569" s="80"/>
      <c r="EI569" s="25"/>
      <c r="EJ569" s="17"/>
      <c r="EK569" s="17"/>
      <c r="EL569" s="17"/>
      <c r="EM569" s="80"/>
      <c r="EN569" s="17"/>
      <c r="EO569" s="17"/>
      <c r="EP569" s="17"/>
      <c r="EQ569" s="17"/>
      <c r="ER569" s="80"/>
      <c r="ES569" s="17"/>
      <c r="ET569" s="17"/>
      <c r="EU569" s="17"/>
      <c r="EV569" s="17"/>
      <c r="EW569" s="80"/>
      <c r="EX569" s="17"/>
      <c r="EY569" s="17"/>
      <c r="EZ569" s="17"/>
      <c r="FA569" s="17"/>
      <c r="FB569" s="80"/>
      <c r="FC569" s="17"/>
      <c r="FD569" s="17"/>
      <c r="FE569" s="17"/>
      <c r="FF569" s="17"/>
      <c r="FG569" s="80"/>
      <c r="FH569" s="146"/>
      <c r="FI569" s="17"/>
      <c r="FJ569" s="17"/>
      <c r="FK569" s="112"/>
      <c r="FL569" s="17"/>
    </row>
    <row r="570" ht="12.75" hidden="1" customHeight="1" outlineLevel="1">
      <c r="A570" s="45"/>
      <c r="B570" s="215" t="s">
        <v>298</v>
      </c>
      <c r="C570" s="45"/>
      <c r="D570" s="17"/>
      <c r="E570" s="17"/>
      <c r="F570" s="17"/>
      <c r="G570" s="17"/>
      <c r="H570" s="112"/>
      <c r="I570" s="17"/>
      <c r="J570" s="17"/>
      <c r="K570" s="17"/>
      <c r="L570" s="17"/>
      <c r="M570" s="112"/>
      <c r="N570" s="17"/>
      <c r="O570" s="17"/>
      <c r="P570" s="17"/>
      <c r="Q570" s="17"/>
      <c r="R570" s="112"/>
      <c r="S570" s="17"/>
      <c r="T570" s="17"/>
      <c r="U570" s="17"/>
      <c r="V570" s="17"/>
      <c r="W570" s="112"/>
      <c r="X570" s="17"/>
      <c r="Y570" s="17"/>
      <c r="Z570" s="17"/>
      <c r="AA570" s="17"/>
      <c r="AB570" s="112"/>
      <c r="AC570" s="17"/>
      <c r="AD570" s="17"/>
      <c r="AE570" s="17"/>
      <c r="AF570" s="17"/>
      <c r="AG570" s="112"/>
      <c r="AH570" s="17"/>
      <c r="AI570" s="17"/>
      <c r="AJ570" s="17"/>
      <c r="AK570" s="17"/>
      <c r="AL570" s="112"/>
      <c r="AM570" s="17"/>
      <c r="AN570" s="17"/>
      <c r="AO570" s="17"/>
      <c r="AP570" s="17"/>
      <c r="AQ570" s="112"/>
      <c r="AR570" s="17"/>
      <c r="AS570" s="17"/>
      <c r="AT570" s="17"/>
      <c r="AU570" s="17"/>
      <c r="AV570" s="112"/>
      <c r="AW570" s="17"/>
      <c r="AX570" s="17"/>
      <c r="AY570" s="17"/>
      <c r="AZ570" s="17"/>
      <c r="BA570" s="112"/>
      <c r="BB570" s="17"/>
      <c r="BC570" s="17"/>
      <c r="BD570" s="17"/>
      <c r="BE570" s="17"/>
      <c r="BF570" s="112"/>
      <c r="BG570" s="17"/>
      <c r="BH570" s="17"/>
      <c r="BI570" s="17"/>
      <c r="BJ570" s="17"/>
      <c r="BK570" s="112"/>
      <c r="BL570" s="17"/>
      <c r="BM570" s="17"/>
      <c r="BN570" s="17"/>
      <c r="BO570" s="17"/>
      <c r="BP570" s="112"/>
      <c r="BQ570" s="17"/>
      <c r="BR570" s="17"/>
      <c r="BS570" s="17"/>
      <c r="BT570" s="17"/>
      <c r="BU570" s="112"/>
      <c r="BV570" s="17"/>
      <c r="BW570" s="17"/>
      <c r="BX570" s="17"/>
      <c r="BY570" s="17"/>
      <c r="BZ570" s="80"/>
      <c r="CA570" s="17"/>
      <c r="CB570" s="17"/>
      <c r="CC570" s="17"/>
      <c r="CD570" s="17"/>
      <c r="CE570" s="80"/>
      <c r="CF570" s="17"/>
      <c r="CG570" s="17"/>
      <c r="CH570" s="17"/>
      <c r="CI570" s="17"/>
      <c r="CJ570" s="80"/>
      <c r="CK570" s="450">
        <f>190-CL570</f>
        <v>67</v>
      </c>
      <c r="CL570" s="450">
        <v>123.0</v>
      </c>
      <c r="CM570" s="450">
        <v>152.0</v>
      </c>
      <c r="CN570" s="133">
        <v>150.0</v>
      </c>
      <c r="CO570" s="80">
        <f t="shared" si="3098"/>
        <v>492</v>
      </c>
      <c r="CP570" s="19">
        <v>123.0</v>
      </c>
      <c r="CQ570" s="17">
        <v>155.0</v>
      </c>
      <c r="CR570" s="17">
        <v>153.0</v>
      </c>
      <c r="CS570" s="17">
        <v>185.0</v>
      </c>
      <c r="CT570" s="80">
        <f t="shared" si="3099"/>
        <v>616</v>
      </c>
      <c r="CU570" s="17">
        <v>87.0</v>
      </c>
      <c r="CV570" s="132">
        <f>383-CW570-CU570</f>
        <v>145</v>
      </c>
      <c r="CW570" s="132">
        <v>151.0</v>
      </c>
      <c r="CX570" s="132">
        <v>70.0</v>
      </c>
      <c r="CY570" s="605">
        <f>SUM(CU570:CX570)</f>
        <v>453</v>
      </c>
      <c r="CZ570" s="17"/>
      <c r="DA570" s="17"/>
      <c r="DB570" s="17"/>
      <c r="DC570" s="17"/>
      <c r="DD570" s="80"/>
      <c r="DE570" s="17"/>
      <c r="DF570" s="17"/>
      <c r="DG570" s="19"/>
      <c r="DH570" s="17"/>
      <c r="DI570" s="80"/>
      <c r="DJ570" s="19"/>
      <c r="DK570" s="19"/>
      <c r="DL570" s="19"/>
      <c r="DM570" s="17"/>
      <c r="DN570" s="80"/>
      <c r="DO570" s="17"/>
      <c r="DP570" s="17"/>
      <c r="DQ570" s="17"/>
      <c r="DR570" s="17"/>
      <c r="DS570" s="80"/>
      <c r="DT570" s="17"/>
      <c r="DU570" s="17"/>
      <c r="DV570" s="17"/>
      <c r="DW570" s="17"/>
      <c r="DX570" s="80"/>
      <c r="DY570" s="17"/>
      <c r="DZ570" s="17"/>
      <c r="EA570" s="17"/>
      <c r="EB570" s="17"/>
      <c r="EC570" s="80"/>
      <c r="ED570" s="17"/>
      <c r="EE570" s="17"/>
      <c r="EF570" s="17"/>
      <c r="EG570" s="17"/>
      <c r="EH570" s="80"/>
      <c r="EI570" s="25"/>
      <c r="EJ570" s="17"/>
      <c r="EK570" s="17"/>
      <c r="EL570" s="17"/>
      <c r="EM570" s="80"/>
      <c r="EN570" s="17"/>
      <c r="EO570" s="17"/>
      <c r="EP570" s="17"/>
      <c r="EQ570" s="17"/>
      <c r="ER570" s="80"/>
      <c r="ES570" s="17"/>
      <c r="ET570" s="17"/>
      <c r="EU570" s="17"/>
      <c r="EV570" s="17"/>
      <c r="EW570" s="80"/>
      <c r="EX570" s="17"/>
      <c r="EY570" s="17"/>
      <c r="EZ570" s="17"/>
      <c r="FA570" s="17"/>
      <c r="FB570" s="80"/>
      <c r="FC570" s="17"/>
      <c r="FD570" s="17"/>
      <c r="FE570" s="17"/>
      <c r="FF570" s="17"/>
      <c r="FG570" s="80"/>
      <c r="FH570" s="146"/>
      <c r="FI570" s="17"/>
      <c r="FJ570" s="17"/>
      <c r="FK570" s="112"/>
      <c r="FL570" s="17"/>
    </row>
    <row r="571" ht="12.75" hidden="1" customHeight="1" outlineLevel="1">
      <c r="A571" s="45"/>
      <c r="B571" s="215" t="str">
        <f t="shared" ref="B571:B572" si="3100">B511</f>
        <v>Other IAG</v>
      </c>
      <c r="C571" s="45"/>
      <c r="D571" s="17"/>
      <c r="E571" s="17"/>
      <c r="F571" s="17"/>
      <c r="G571" s="17"/>
      <c r="H571" s="112"/>
      <c r="I571" s="17"/>
      <c r="J571" s="17"/>
      <c r="K571" s="17"/>
      <c r="L571" s="17"/>
      <c r="M571" s="112"/>
      <c r="N571" s="17"/>
      <c r="O571" s="17"/>
      <c r="P571" s="17"/>
      <c r="Q571" s="17"/>
      <c r="R571" s="112"/>
      <c r="S571" s="17"/>
      <c r="T571" s="17"/>
      <c r="U571" s="17"/>
      <c r="V571" s="17"/>
      <c r="W571" s="112"/>
      <c r="X571" s="17"/>
      <c r="Y571" s="17"/>
      <c r="Z571" s="17"/>
      <c r="AA571" s="17"/>
      <c r="AB571" s="112"/>
      <c r="AC571" s="17"/>
      <c r="AD571" s="17"/>
      <c r="AE571" s="17"/>
      <c r="AF571" s="17"/>
      <c r="AG571" s="112"/>
      <c r="AH571" s="17"/>
      <c r="AI571" s="17"/>
      <c r="AJ571" s="17"/>
      <c r="AK571" s="17"/>
      <c r="AL571" s="112"/>
      <c r="AM571" s="17"/>
      <c r="AN571" s="17"/>
      <c r="AO571" s="17"/>
      <c r="AP571" s="17"/>
      <c r="AQ571" s="112"/>
      <c r="AR571" s="17"/>
      <c r="AS571" s="17"/>
      <c r="AT571" s="17"/>
      <c r="AU571" s="17"/>
      <c r="AV571" s="112"/>
      <c r="AW571" s="17"/>
      <c r="AX571" s="17"/>
      <c r="AY571" s="17"/>
      <c r="AZ571" s="17"/>
      <c r="BA571" s="112"/>
      <c r="BB571" s="17"/>
      <c r="BC571" s="17"/>
      <c r="BD571" s="17"/>
      <c r="BE571" s="17"/>
      <c r="BF571" s="112"/>
      <c r="BG571" s="17"/>
      <c r="BH571" s="17"/>
      <c r="BI571" s="17"/>
      <c r="BJ571" s="17"/>
      <c r="BK571" s="112">
        <v>47.0</v>
      </c>
      <c r="BL571" s="17"/>
      <c r="BM571" s="17"/>
      <c r="BN571" s="17"/>
      <c r="BO571" s="17"/>
      <c r="BP571" s="112"/>
      <c r="BQ571" s="17"/>
      <c r="BR571" s="17"/>
      <c r="BS571" s="17"/>
      <c r="BT571" s="17"/>
      <c r="BU571" s="112"/>
      <c r="BV571" s="17"/>
      <c r="BW571" s="17"/>
      <c r="BX571" s="17"/>
      <c r="BY571" s="17"/>
      <c r="BZ571" s="80"/>
      <c r="CA571" s="17"/>
      <c r="CB571" s="17"/>
      <c r="CC571" s="17"/>
      <c r="CD571" s="17"/>
      <c r="CE571" s="80">
        <v>-577.0</v>
      </c>
      <c r="CF571" s="17">
        <v>-312.0</v>
      </c>
      <c r="CG571" s="17">
        <v>-335.0</v>
      </c>
      <c r="CH571" s="17">
        <v>-235.0</v>
      </c>
      <c r="CI571" s="17">
        <v>-495.0</v>
      </c>
      <c r="CJ571" s="80">
        <f t="shared" ref="CJ571:CJ574" si="3102">SUM(CF571:CI571)</f>
        <v>-1377</v>
      </c>
      <c r="CK571" s="17">
        <v>-611.0</v>
      </c>
      <c r="CL571" s="17">
        <v>-608.0</v>
      </c>
      <c r="CM571" s="17">
        <v>-606.0</v>
      </c>
      <c r="CN571" s="19">
        <v>-620.0</v>
      </c>
      <c r="CO571" s="80">
        <f t="shared" si="3098"/>
        <v>-2445</v>
      </c>
      <c r="CP571" s="19"/>
      <c r="CQ571" s="17"/>
      <c r="CR571" s="17"/>
      <c r="CS571" s="17"/>
      <c r="CT571" s="80"/>
      <c r="CU571" s="17"/>
      <c r="CV571" s="17"/>
      <c r="CW571" s="17"/>
      <c r="CX571" s="17"/>
      <c r="CY571" s="80"/>
      <c r="CZ571" s="17"/>
      <c r="DA571" s="17"/>
      <c r="DB571" s="17"/>
      <c r="DC571" s="17"/>
      <c r="DD571" s="80"/>
      <c r="DE571" s="17"/>
      <c r="DF571" s="17"/>
      <c r="DG571" s="19"/>
      <c r="DH571" s="17"/>
      <c r="DI571" s="80"/>
      <c r="DJ571" s="19"/>
      <c r="DK571" s="19"/>
      <c r="DL571" s="19"/>
      <c r="DM571" s="17"/>
      <c r="DN571" s="80"/>
      <c r="DO571" s="17"/>
      <c r="DP571" s="17"/>
      <c r="DQ571" s="17"/>
      <c r="DR571" s="17"/>
      <c r="DS571" s="80"/>
      <c r="DT571" s="17"/>
      <c r="DU571" s="17"/>
      <c r="DV571" s="17"/>
      <c r="DW571" s="17"/>
      <c r="DX571" s="80"/>
      <c r="DY571" s="17"/>
      <c r="DZ571" s="17"/>
      <c r="EA571" s="17"/>
      <c r="EB571" s="17"/>
      <c r="EC571" s="80"/>
      <c r="ED571" s="17"/>
      <c r="EE571" s="17"/>
      <c r="EF571" s="17"/>
      <c r="EG571" s="17"/>
      <c r="EH571" s="80"/>
      <c r="EI571" s="25"/>
      <c r="EJ571" s="17"/>
      <c r="EK571" s="17"/>
      <c r="EL571" s="17"/>
      <c r="EM571" s="80"/>
      <c r="EN571" s="17"/>
      <c r="EO571" s="17"/>
      <c r="EP571" s="17"/>
      <c r="EQ571" s="17"/>
      <c r="ER571" s="80"/>
      <c r="ES571" s="17"/>
      <c r="ET571" s="17"/>
      <c r="EU571" s="17"/>
      <c r="EV571" s="17"/>
      <c r="EW571" s="80"/>
      <c r="EX571" s="17"/>
      <c r="EY571" s="17"/>
      <c r="EZ571" s="17"/>
      <c r="FA571" s="17"/>
      <c r="FB571" s="80"/>
      <c r="FC571" s="17"/>
      <c r="FD571" s="17"/>
      <c r="FE571" s="17"/>
      <c r="FF571" s="17"/>
      <c r="FG571" s="80"/>
      <c r="FH571" s="146"/>
      <c r="FI571" s="17"/>
      <c r="FJ571" s="17"/>
      <c r="FK571" s="112"/>
      <c r="FL571" s="17"/>
    </row>
    <row r="572" ht="12.75" hidden="1" customHeight="1" outlineLevel="1">
      <c r="A572" s="45"/>
      <c r="B572" s="215" t="str">
        <f t="shared" si="3100"/>
        <v>IAG Subtotal</v>
      </c>
      <c r="C572" s="45"/>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12"/>
      <c r="BE572" s="112"/>
      <c r="BF572" s="112"/>
      <c r="BG572" s="112"/>
      <c r="BH572" s="112"/>
      <c r="BI572" s="112"/>
      <c r="BJ572" s="112"/>
      <c r="BK572" s="112"/>
      <c r="BL572" s="112"/>
      <c r="BM572" s="112"/>
      <c r="BN572" s="112"/>
      <c r="BO572" s="112"/>
      <c r="BP572" s="112"/>
      <c r="BQ572" s="112"/>
      <c r="BR572" s="112"/>
      <c r="BS572" s="112"/>
      <c r="BT572" s="112"/>
      <c r="BU572" s="112"/>
      <c r="BV572" s="112"/>
      <c r="BW572" s="112"/>
      <c r="BX572" s="112"/>
      <c r="BY572" s="112"/>
      <c r="BZ572" s="80"/>
      <c r="CA572" s="112"/>
      <c r="CB572" s="112"/>
      <c r="CC572" s="112"/>
      <c r="CD572" s="112"/>
      <c r="CE572" s="80">
        <v>19316.0</v>
      </c>
      <c r="CF572" s="112">
        <f t="shared" ref="CF572:CI572" si="3101">SUM(CF567:CF571)</f>
        <v>4314</v>
      </c>
      <c r="CG572" s="112">
        <f t="shared" si="3101"/>
        <v>4470</v>
      </c>
      <c r="CH572" s="112">
        <f t="shared" si="3101"/>
        <v>4314</v>
      </c>
      <c r="CI572" s="112">
        <f t="shared" si="3101"/>
        <v>3651</v>
      </c>
      <c r="CJ572" s="80">
        <f t="shared" si="3102"/>
        <v>16749</v>
      </c>
      <c r="CK572" s="112">
        <f t="shared" ref="CK572:CN572" si="3103">SUM(CK567:CK571)</f>
        <v>2345</v>
      </c>
      <c r="CL572" s="112">
        <f t="shared" si="3103"/>
        <v>2643</v>
      </c>
      <c r="CM572" s="112">
        <f t="shared" si="3103"/>
        <v>3389</v>
      </c>
      <c r="CN572" s="112">
        <f t="shared" si="3103"/>
        <v>3724</v>
      </c>
      <c r="CO572" s="80">
        <f t="shared" si="3098"/>
        <v>12101</v>
      </c>
      <c r="CP572" s="112">
        <f t="shared" ref="CP572:CS572" si="3104">SUM(CP567:CP571)</f>
        <v>3313</v>
      </c>
      <c r="CQ572" s="112">
        <f t="shared" si="3104"/>
        <v>4582</v>
      </c>
      <c r="CR572" s="112">
        <f t="shared" si="3104"/>
        <v>5145</v>
      </c>
      <c r="CS572" s="112">
        <f t="shared" si="3104"/>
        <v>5284</v>
      </c>
      <c r="CT572" s="80">
        <f t="shared" ref="CT572:CT574" si="3105">SUM(CP572:CS572)</f>
        <v>18324</v>
      </c>
      <c r="CU572" s="112">
        <f>SUM(CU567:CU571)</f>
        <v>3198</v>
      </c>
      <c r="CV572" s="112"/>
      <c r="CW572" s="112"/>
      <c r="CX572" s="112"/>
      <c r="CY572" s="80"/>
      <c r="CZ572" s="112"/>
      <c r="DA572" s="112"/>
      <c r="DB572" s="112"/>
      <c r="DC572" s="112"/>
      <c r="DD572" s="80"/>
      <c r="DE572" s="112"/>
      <c r="DF572" s="112"/>
      <c r="DG572" s="146"/>
      <c r="DH572" s="112"/>
      <c r="DI572" s="80"/>
      <c r="DJ572" s="146"/>
      <c r="DK572" s="146"/>
      <c r="DL572" s="146"/>
      <c r="DM572" s="112"/>
      <c r="DN572" s="80"/>
      <c r="DO572" s="112"/>
      <c r="DP572" s="112"/>
      <c r="DQ572" s="112"/>
      <c r="DR572" s="112"/>
      <c r="DS572" s="80"/>
      <c r="DT572" s="112"/>
      <c r="DU572" s="112"/>
      <c r="DV572" s="112"/>
      <c r="DW572" s="112"/>
      <c r="DX572" s="80"/>
      <c r="DY572" s="112"/>
      <c r="DZ572" s="112"/>
      <c r="EA572" s="112"/>
      <c r="EB572" s="112"/>
      <c r="EC572" s="80"/>
      <c r="ED572" s="112"/>
      <c r="EE572" s="112"/>
      <c r="EF572" s="112"/>
      <c r="EG572" s="112"/>
      <c r="EH572" s="80"/>
      <c r="EI572" s="110"/>
      <c r="EJ572" s="112"/>
      <c r="EK572" s="112"/>
      <c r="EL572" s="112"/>
      <c r="EM572" s="80"/>
      <c r="EN572" s="112"/>
      <c r="EO572" s="112"/>
      <c r="EP572" s="112"/>
      <c r="EQ572" s="112"/>
      <c r="ER572" s="80"/>
      <c r="ES572" s="112"/>
      <c r="ET572" s="112"/>
      <c r="EU572" s="112"/>
      <c r="EV572" s="112"/>
      <c r="EW572" s="80"/>
      <c r="EX572" s="112"/>
      <c r="EY572" s="112"/>
      <c r="EZ572" s="112"/>
      <c r="FA572" s="112"/>
      <c r="FB572" s="80"/>
      <c r="FC572" s="112"/>
      <c r="FD572" s="112"/>
      <c r="FE572" s="112"/>
      <c r="FF572" s="112"/>
      <c r="FG572" s="80"/>
      <c r="FH572" s="146"/>
      <c r="FI572" s="112"/>
      <c r="FJ572" s="112"/>
      <c r="FK572" s="112"/>
      <c r="FL572" s="112"/>
    </row>
    <row r="573" ht="12.75" hidden="1" customHeight="1" outlineLevel="1">
      <c r="A573" s="45"/>
      <c r="B573" s="215" t="str">
        <f>B515</f>
        <v>Software and Services Group</v>
      </c>
      <c r="C573" s="45"/>
      <c r="D573" s="17"/>
      <c r="E573" s="17"/>
      <c r="F573" s="17"/>
      <c r="G573" s="17"/>
      <c r="H573" s="112"/>
      <c r="I573" s="17"/>
      <c r="J573" s="17"/>
      <c r="K573" s="17"/>
      <c r="L573" s="17"/>
      <c r="M573" s="112"/>
      <c r="N573" s="17"/>
      <c r="O573" s="17"/>
      <c r="P573" s="17"/>
      <c r="Q573" s="17"/>
      <c r="R573" s="112"/>
      <c r="S573" s="17"/>
      <c r="T573" s="17"/>
      <c r="U573" s="17"/>
      <c r="V573" s="17"/>
      <c r="W573" s="112"/>
      <c r="X573" s="17"/>
      <c r="Y573" s="17"/>
      <c r="Z573" s="17"/>
      <c r="AA573" s="17"/>
      <c r="AB573" s="112"/>
      <c r="AC573" s="17"/>
      <c r="AD573" s="17"/>
      <c r="AE573" s="17"/>
      <c r="AF573" s="17"/>
      <c r="AG573" s="112"/>
      <c r="AH573" s="17"/>
      <c r="AI573" s="17"/>
      <c r="AJ573" s="17"/>
      <c r="AK573" s="17"/>
      <c r="AL573" s="112"/>
      <c r="AM573" s="17"/>
      <c r="AN573" s="17"/>
      <c r="AO573" s="17"/>
      <c r="AP573" s="17"/>
      <c r="AQ573" s="112"/>
      <c r="AR573" s="17"/>
      <c r="AS573" s="17"/>
      <c r="AT573" s="17"/>
      <c r="AU573" s="17"/>
      <c r="AV573" s="112"/>
      <c r="AW573" s="17"/>
      <c r="AX573" s="17"/>
      <c r="AY573" s="17"/>
      <c r="AZ573" s="17"/>
      <c r="BA573" s="112"/>
      <c r="BB573" s="17"/>
      <c r="BC573" s="17"/>
      <c r="BD573" s="17"/>
      <c r="BE573" s="17"/>
      <c r="BF573" s="112"/>
      <c r="BG573" s="17"/>
      <c r="BH573" s="17"/>
      <c r="BI573" s="17"/>
      <c r="BJ573" s="17"/>
      <c r="BK573" s="112"/>
      <c r="BL573" s="17"/>
      <c r="BM573" s="17"/>
      <c r="BN573" s="17"/>
      <c r="BO573" s="17"/>
      <c r="BP573" s="112"/>
      <c r="BQ573" s="17"/>
      <c r="BR573" s="17"/>
      <c r="BS573" s="17"/>
      <c r="BT573" s="17"/>
      <c r="BU573" s="112"/>
      <c r="BV573" s="17"/>
      <c r="BW573" s="17"/>
      <c r="BX573" s="17"/>
      <c r="BY573" s="17"/>
      <c r="BZ573" s="80"/>
      <c r="CA573" s="17"/>
      <c r="CB573" s="17"/>
      <c r="CC573" s="17"/>
      <c r="CD573" s="17"/>
      <c r="CE573" s="80">
        <v>-32.0</v>
      </c>
      <c r="CF573" s="17">
        <v>7.0</v>
      </c>
      <c r="CG573" s="17">
        <v>14.0</v>
      </c>
      <c r="CH573" s="17">
        <v>4.0</v>
      </c>
      <c r="CI573" s="17">
        <v>-36.0</v>
      </c>
      <c r="CJ573" s="80">
        <f t="shared" si="3102"/>
        <v>-11</v>
      </c>
      <c r="CK573" s="17">
        <v>-24.0</v>
      </c>
      <c r="CL573" s="17">
        <v>-8.0</v>
      </c>
      <c r="CM573" s="17">
        <v>-5.0</v>
      </c>
      <c r="CN573" s="19">
        <v>38.0</v>
      </c>
      <c r="CO573" s="80">
        <f t="shared" si="3098"/>
        <v>1</v>
      </c>
      <c r="CP573" s="19">
        <v>-7.0</v>
      </c>
      <c r="CQ573" s="17">
        <v>8.0</v>
      </c>
      <c r="CR573" s="17">
        <v>29.0</v>
      </c>
      <c r="CS573" s="17">
        <v>25.0</v>
      </c>
      <c r="CT573" s="80">
        <f t="shared" si="3105"/>
        <v>55</v>
      </c>
      <c r="CU573" s="17">
        <v>3.0</v>
      </c>
      <c r="CV573" s="17">
        <f>119-CW573-CU573</f>
        <v>14</v>
      </c>
      <c r="CW573" s="17">
        <v>102.0</v>
      </c>
      <c r="CX573" s="17"/>
      <c r="CY573" s="80"/>
      <c r="CZ573" s="17"/>
      <c r="DA573" s="17"/>
      <c r="DB573" s="17"/>
      <c r="DC573" s="17"/>
      <c r="DD573" s="80"/>
      <c r="DE573" s="17"/>
      <c r="DF573" s="17"/>
      <c r="DG573" s="19"/>
      <c r="DH573" s="17"/>
      <c r="DI573" s="80"/>
      <c r="DJ573" s="19"/>
      <c r="DK573" s="19"/>
      <c r="DL573" s="19"/>
      <c r="DM573" s="17"/>
      <c r="DN573" s="80"/>
      <c r="DO573" s="17"/>
      <c r="DP573" s="17"/>
      <c r="DQ573" s="17"/>
      <c r="DR573" s="17"/>
      <c r="DS573" s="80"/>
      <c r="DT573" s="17"/>
      <c r="DU573" s="17"/>
      <c r="DV573" s="17"/>
      <c r="DW573" s="17"/>
      <c r="DX573" s="80"/>
      <c r="DY573" s="17"/>
      <c r="DZ573" s="17"/>
      <c r="EA573" s="17"/>
      <c r="EB573" s="17"/>
      <c r="EC573" s="80"/>
      <c r="ED573" s="17"/>
      <c r="EE573" s="17"/>
      <c r="EF573" s="17"/>
      <c r="EG573" s="17"/>
      <c r="EH573" s="80"/>
      <c r="EI573" s="25"/>
      <c r="EJ573" s="17"/>
      <c r="EK573" s="17"/>
      <c r="EL573" s="17"/>
      <c r="EM573" s="80"/>
      <c r="EN573" s="17"/>
      <c r="EO573" s="17"/>
      <c r="EP573" s="17"/>
      <c r="EQ573" s="17"/>
      <c r="ER573" s="80"/>
      <c r="ES573" s="17"/>
      <c r="ET573" s="17"/>
      <c r="EU573" s="17"/>
      <c r="EV573" s="17"/>
      <c r="EW573" s="80"/>
      <c r="EX573" s="17"/>
      <c r="EY573" s="17"/>
      <c r="EZ573" s="17"/>
      <c r="FA573" s="17"/>
      <c r="FB573" s="80"/>
      <c r="FC573" s="17"/>
      <c r="FD573" s="17"/>
      <c r="FE573" s="17"/>
      <c r="FF573" s="17"/>
      <c r="FG573" s="80"/>
      <c r="FH573" s="146"/>
      <c r="FI573" s="17"/>
      <c r="FJ573" s="17"/>
      <c r="FK573" s="112"/>
      <c r="FL573" s="17"/>
    </row>
    <row r="574" ht="12.75" hidden="1" customHeight="1" outlineLevel="1">
      <c r="A574" s="45"/>
      <c r="B574" s="215" t="str">
        <f>B518</f>
        <v>All Other</v>
      </c>
      <c r="C574" s="45"/>
      <c r="D574" s="17"/>
      <c r="E574" s="17"/>
      <c r="F574" s="17"/>
      <c r="G574" s="17"/>
      <c r="H574" s="112"/>
      <c r="I574" s="17"/>
      <c r="J574" s="17"/>
      <c r="K574" s="17"/>
      <c r="L574" s="17"/>
      <c r="M574" s="112"/>
      <c r="N574" s="17"/>
      <c r="O574" s="17"/>
      <c r="P574" s="17"/>
      <c r="Q574" s="17"/>
      <c r="R574" s="112"/>
      <c r="S574" s="17"/>
      <c r="T574" s="17"/>
      <c r="U574" s="17"/>
      <c r="V574" s="17"/>
      <c r="W574" s="112"/>
      <c r="X574" s="17"/>
      <c r="Y574" s="17"/>
      <c r="Z574" s="17"/>
      <c r="AA574" s="17"/>
      <c r="AB574" s="112"/>
      <c r="AC574" s="17"/>
      <c r="AD574" s="17"/>
      <c r="AE574" s="17"/>
      <c r="AF574" s="17"/>
      <c r="AG574" s="112"/>
      <c r="AH574" s="17"/>
      <c r="AI574" s="17"/>
      <c r="AJ574" s="17"/>
      <c r="AK574" s="17"/>
      <c r="AL574" s="112"/>
      <c r="AM574" s="17"/>
      <c r="AN574" s="17"/>
      <c r="AO574" s="17"/>
      <c r="AP574" s="17"/>
      <c r="AQ574" s="112"/>
      <c r="AR574" s="17"/>
      <c r="AS574" s="17"/>
      <c r="AT574" s="17"/>
      <c r="AU574" s="17"/>
      <c r="AV574" s="112"/>
      <c r="AW574" s="17"/>
      <c r="AX574" s="17"/>
      <c r="AY574" s="17"/>
      <c r="AZ574" s="17"/>
      <c r="BA574" s="112"/>
      <c r="BB574" s="17"/>
      <c r="BC574" s="17"/>
      <c r="BD574" s="17"/>
      <c r="BE574" s="17"/>
      <c r="BF574" s="112"/>
      <c r="BG574" s="17"/>
      <c r="BH574" s="17"/>
      <c r="BI574" s="17"/>
      <c r="BJ574" s="17"/>
      <c r="BK574" s="112"/>
      <c r="BL574" s="17"/>
      <c r="BM574" s="17"/>
      <c r="BN574" s="17"/>
      <c r="BO574" s="17"/>
      <c r="BP574" s="112"/>
      <c r="BQ574" s="17"/>
      <c r="BR574" s="17"/>
      <c r="BS574" s="17"/>
      <c r="BT574" s="17"/>
      <c r="BU574" s="112"/>
      <c r="BV574" s="17"/>
      <c r="BW574" s="17"/>
      <c r="BX574" s="17"/>
      <c r="BY574" s="17"/>
      <c r="BZ574" s="80"/>
      <c r="CA574" s="17"/>
      <c r="CB574" s="17"/>
      <c r="CC574" s="17"/>
      <c r="CD574" s="17"/>
      <c r="CE574" s="80">
        <v>-1807.0</v>
      </c>
      <c r="CF574" s="17">
        <v>-511.0</v>
      </c>
      <c r="CG574" s="17">
        <v>-652.0</v>
      </c>
      <c r="CH574" s="17">
        <v>-477.0</v>
      </c>
      <c r="CI574" s="17">
        <v>-460.0</v>
      </c>
      <c r="CJ574" s="80">
        <f t="shared" si="3102"/>
        <v>-2100</v>
      </c>
      <c r="CK574" s="17">
        <v>-438.0</v>
      </c>
      <c r="CL574" s="17">
        <v>-554.0</v>
      </c>
      <c r="CM574" s="17">
        <v>-538.0</v>
      </c>
      <c r="CN574" s="19">
        <v>-726.0</v>
      </c>
      <c r="CO574" s="80">
        <f t="shared" si="3098"/>
        <v>-2256</v>
      </c>
      <c r="CP574" s="19">
        <v>-773.0</v>
      </c>
      <c r="CQ574" s="17">
        <v>-746.0</v>
      </c>
      <c r="CR574" s="17">
        <v>-634.0</v>
      </c>
      <c r="CS574" s="17">
        <v>-856.0</v>
      </c>
      <c r="CT574" s="80">
        <f t="shared" si="3105"/>
        <v>-3009</v>
      </c>
      <c r="CU574" s="17">
        <v>-586.0</v>
      </c>
      <c r="CV574" s="112">
        <f>-1915-CW574-CU574</f>
        <v>-708</v>
      </c>
      <c r="CW574" s="17">
        <v>-621.0</v>
      </c>
      <c r="CX574" s="17"/>
      <c r="CY574" s="80"/>
      <c r="CZ574" s="17"/>
      <c r="DA574" s="17"/>
      <c r="DB574" s="17"/>
      <c r="DC574" s="17"/>
      <c r="DD574" s="80"/>
      <c r="DE574" s="17"/>
      <c r="DF574" s="17"/>
      <c r="DG574" s="19"/>
      <c r="DH574" s="17"/>
      <c r="DI574" s="80"/>
      <c r="DJ574" s="19"/>
      <c r="DK574" s="19"/>
      <c r="DL574" s="19"/>
      <c r="DM574" s="17"/>
      <c r="DN574" s="80"/>
      <c r="DO574" s="17"/>
      <c r="DP574" s="17"/>
      <c r="DQ574" s="17"/>
      <c r="DR574" s="17"/>
      <c r="DS574" s="80"/>
      <c r="DT574" s="17"/>
      <c r="DU574" s="17"/>
      <c r="DV574" s="17"/>
      <c r="DW574" s="17"/>
      <c r="DX574" s="80"/>
      <c r="DY574" s="17"/>
      <c r="DZ574" s="17"/>
      <c r="EA574" s="17"/>
      <c r="EB574" s="17"/>
      <c r="EC574" s="80"/>
      <c r="ED574" s="17"/>
      <c r="EE574" s="17"/>
      <c r="EF574" s="17"/>
      <c r="EG574" s="17"/>
      <c r="EH574" s="80"/>
      <c r="EI574" s="25"/>
      <c r="EJ574" s="17"/>
      <c r="EK574" s="17"/>
      <c r="EL574" s="17"/>
      <c r="EM574" s="80"/>
      <c r="EN574" s="17"/>
      <c r="EO574" s="17"/>
      <c r="EP574" s="17"/>
      <c r="EQ574" s="17"/>
      <c r="ER574" s="80"/>
      <c r="ES574" s="17"/>
      <c r="ET574" s="17"/>
      <c r="EU574" s="17"/>
      <c r="EV574" s="17"/>
      <c r="EW574" s="80"/>
      <c r="EX574" s="17"/>
      <c r="EY574" s="17"/>
      <c r="EZ574" s="17"/>
      <c r="FA574" s="17"/>
      <c r="FB574" s="80"/>
      <c r="FC574" s="17"/>
      <c r="FD574" s="17"/>
      <c r="FE574" s="17"/>
      <c r="FF574" s="17"/>
      <c r="FG574" s="80"/>
      <c r="FH574" s="146"/>
      <c r="FI574" s="17"/>
      <c r="FJ574" s="17"/>
      <c r="FK574" s="112"/>
      <c r="FL574" s="17"/>
    </row>
    <row r="575" ht="13.5" hidden="1" customHeight="1" outlineLevel="1">
      <c r="A575" s="4"/>
      <c r="B575" s="529" t="s">
        <v>299</v>
      </c>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c r="AB575" s="164"/>
      <c r="AC575" s="164"/>
      <c r="AD575" s="164"/>
      <c r="AE575" s="164"/>
      <c r="AF575" s="164"/>
      <c r="AG575" s="164"/>
      <c r="AH575" s="164"/>
      <c r="AI575" s="164"/>
      <c r="AJ575" s="164"/>
      <c r="AK575" s="164"/>
      <c r="AL575" s="164"/>
      <c r="AM575" s="164"/>
      <c r="AN575" s="164"/>
      <c r="AO575" s="164"/>
      <c r="AP575" s="164"/>
      <c r="AQ575" s="164"/>
      <c r="AR575" s="164"/>
      <c r="AS575" s="164"/>
      <c r="AT575" s="164"/>
      <c r="AU575" s="164"/>
      <c r="AV575" s="164"/>
      <c r="AW575" s="164"/>
      <c r="AX575" s="164"/>
      <c r="AY575" s="164"/>
      <c r="AZ575" s="164"/>
      <c r="BA575" s="164"/>
      <c r="BB575" s="164"/>
      <c r="BC575" s="164"/>
      <c r="BD575" s="164"/>
      <c r="BE575" s="164"/>
      <c r="BF575" s="164"/>
      <c r="BG575" s="164"/>
      <c r="BH575" s="164"/>
      <c r="BI575" s="164"/>
      <c r="BJ575" s="164"/>
      <c r="BK575" s="164"/>
      <c r="BL575" s="164"/>
      <c r="BM575" s="164"/>
      <c r="BN575" s="164"/>
      <c r="BO575" s="164"/>
      <c r="BP575" s="164"/>
      <c r="BQ575" s="164"/>
      <c r="BR575" s="164"/>
      <c r="BS575" s="164"/>
      <c r="BT575" s="164"/>
      <c r="BU575" s="164"/>
      <c r="BV575" s="164"/>
      <c r="BW575" s="164"/>
      <c r="BX575" s="164"/>
      <c r="BY575" s="164"/>
      <c r="BZ575" s="165"/>
      <c r="CA575" s="164"/>
      <c r="CB575" s="164"/>
      <c r="CC575" s="164"/>
      <c r="CD575" s="164"/>
      <c r="CE575" s="165">
        <v>17477.0</v>
      </c>
      <c r="CF575" s="164">
        <f>EBIT</f>
        <v>3810</v>
      </c>
      <c r="CG575" s="164">
        <f>EBIT</f>
        <v>3832</v>
      </c>
      <c r="CH575" s="164">
        <f>EBIT</f>
        <v>3841</v>
      </c>
      <c r="CI575" s="164">
        <f>EBIT</f>
        <v>3155</v>
      </c>
      <c r="CJ575" s="165">
        <f>EBIT</f>
        <v>14638</v>
      </c>
      <c r="CK575" s="164">
        <f>EBIT</f>
        <v>2519</v>
      </c>
      <c r="CL575" s="164">
        <f>EBIT</f>
        <v>2719</v>
      </c>
      <c r="CM575" s="164">
        <f>EBIT</f>
        <v>3504</v>
      </c>
      <c r="CN575" s="164">
        <f>EBIT</f>
        <v>3549</v>
      </c>
      <c r="CO575" s="165">
        <f>EBIT</f>
        <v>12291</v>
      </c>
      <c r="CP575" s="164">
        <f>EBIT</f>
        <v>2533</v>
      </c>
      <c r="CQ575" s="164">
        <f>EBIT</f>
        <v>3844</v>
      </c>
      <c r="CR575" s="164">
        <f>EBIT</f>
        <v>4540</v>
      </c>
      <c r="CS575" s="164">
        <f>EBIT</f>
        <v>4453</v>
      </c>
      <c r="CT575" s="165">
        <f>EBIT</f>
        <v>15507</v>
      </c>
      <c r="CU575" s="164">
        <f>EBIT</f>
        <v>2615</v>
      </c>
      <c r="CV575" s="164">
        <f>EBIT</f>
        <v>2896</v>
      </c>
      <c r="CW575" s="164">
        <f>EBIT</f>
        <v>4192</v>
      </c>
      <c r="CX575" s="164"/>
      <c r="CY575" s="165"/>
      <c r="CZ575" s="164"/>
      <c r="DA575" s="164"/>
      <c r="DB575" s="164"/>
      <c r="DC575" s="164"/>
      <c r="DD575" s="165"/>
      <c r="DE575" s="164"/>
      <c r="DF575" s="164"/>
      <c r="DG575" s="146"/>
      <c r="DH575" s="164"/>
      <c r="DI575" s="165"/>
      <c r="DJ575" s="583"/>
      <c r="DK575" s="583"/>
      <c r="DL575" s="583"/>
      <c r="DM575" s="164"/>
      <c r="DN575" s="165"/>
      <c r="DO575" s="164"/>
      <c r="DP575" s="164"/>
      <c r="DQ575" s="164"/>
      <c r="DR575" s="164"/>
      <c r="DS575" s="165"/>
      <c r="DT575" s="164"/>
      <c r="DU575" s="164"/>
      <c r="DV575" s="164"/>
      <c r="DW575" s="164"/>
      <c r="DX575" s="165"/>
      <c r="DY575" s="164"/>
      <c r="DZ575" s="164"/>
      <c r="EA575" s="164"/>
      <c r="EB575" s="164"/>
      <c r="EC575" s="165"/>
      <c r="ED575" s="164"/>
      <c r="EE575" s="164"/>
      <c r="EF575" s="164"/>
      <c r="EG575" s="164"/>
      <c r="EH575" s="165"/>
      <c r="EI575" s="584"/>
      <c r="EJ575" s="164"/>
      <c r="EK575" s="164"/>
      <c r="EL575" s="164"/>
      <c r="EM575" s="165"/>
      <c r="EN575" s="164"/>
      <c r="EO575" s="164"/>
      <c r="EP575" s="164"/>
      <c r="EQ575" s="164"/>
      <c r="ER575" s="165"/>
      <c r="ES575" s="164"/>
      <c r="ET575" s="164"/>
      <c r="EU575" s="164"/>
      <c r="EV575" s="164"/>
      <c r="EW575" s="165"/>
      <c r="EX575" s="164"/>
      <c r="EY575" s="164"/>
      <c r="EZ575" s="164"/>
      <c r="FA575" s="164"/>
      <c r="FB575" s="165"/>
      <c r="FC575" s="164"/>
      <c r="FD575" s="164"/>
      <c r="FE575" s="164"/>
      <c r="FF575" s="164"/>
      <c r="FG575" s="165"/>
      <c r="FH575" s="583"/>
      <c r="FI575" s="164"/>
      <c r="FJ575" s="164"/>
      <c r="FK575" s="164"/>
      <c r="FL575" s="164"/>
    </row>
    <row r="576" ht="12.75" hidden="1" customHeight="1" outlineLevel="1">
      <c r="A576" s="4"/>
      <c r="B576" s="45"/>
      <c r="C576" s="45"/>
      <c r="D576" s="4"/>
      <c r="E576" s="4"/>
      <c r="F576" s="4"/>
      <c r="G576" s="4"/>
      <c r="H576" s="45"/>
      <c r="I576" s="4"/>
      <c r="J576" s="4"/>
      <c r="K576" s="4"/>
      <c r="L576" s="4"/>
      <c r="M576" s="45"/>
      <c r="N576" s="4"/>
      <c r="O576" s="4"/>
      <c r="P576" s="4"/>
      <c r="Q576" s="4"/>
      <c r="R576" s="45"/>
      <c r="S576" s="4"/>
      <c r="T576" s="4"/>
      <c r="U576" s="4"/>
      <c r="V576" s="4"/>
      <c r="W576" s="45"/>
      <c r="X576" s="4"/>
      <c r="Y576" s="4"/>
      <c r="Z576" s="4"/>
      <c r="AA576" s="4"/>
      <c r="AB576" s="45"/>
      <c r="AC576" s="4"/>
      <c r="AD576" s="4"/>
      <c r="AE576" s="4"/>
      <c r="AF576" s="4"/>
      <c r="AG576" s="45"/>
      <c r="AH576" s="4"/>
      <c r="AI576" s="4"/>
      <c r="AJ576" s="4"/>
      <c r="AK576" s="4"/>
      <c r="AL576" s="45"/>
      <c r="AM576" s="4"/>
      <c r="AN576" s="4"/>
      <c r="AO576" s="4"/>
      <c r="AP576" s="4"/>
      <c r="AQ576" s="45"/>
      <c r="AR576" s="4"/>
      <c r="AS576" s="4"/>
      <c r="AT576" s="4"/>
      <c r="AU576" s="4"/>
      <c r="AV576" s="45"/>
      <c r="AW576" s="4"/>
      <c r="AX576" s="4"/>
      <c r="AY576" s="4"/>
      <c r="AZ576" s="4"/>
      <c r="BA576" s="45"/>
      <c r="BB576" s="4"/>
      <c r="BC576" s="4"/>
      <c r="BD576" s="4"/>
      <c r="BE576" s="4"/>
      <c r="BF576" s="45"/>
      <c r="BG576" s="4"/>
      <c r="BH576" s="4"/>
      <c r="BI576" s="4"/>
      <c r="BJ576" s="4"/>
      <c r="BK576" s="45"/>
      <c r="BL576" s="4"/>
      <c r="BM576" s="4"/>
      <c r="BN576" s="4"/>
      <c r="BO576" s="4"/>
      <c r="BP576" s="45"/>
      <c r="BQ576" s="4"/>
      <c r="BR576" s="4"/>
      <c r="BS576" s="4"/>
      <c r="BT576" s="4"/>
      <c r="BU576" s="45"/>
      <c r="BV576" s="4"/>
      <c r="BW576" s="4"/>
      <c r="BX576" s="4"/>
      <c r="BY576" s="4"/>
      <c r="BZ576" s="350"/>
      <c r="CA576" s="4"/>
      <c r="CB576" s="4"/>
      <c r="CC576" s="4"/>
      <c r="CD576" s="4"/>
      <c r="CE576" s="350"/>
      <c r="CF576" s="4"/>
      <c r="CG576" s="4"/>
      <c r="CH576" s="4"/>
      <c r="CI576" s="4"/>
      <c r="CJ576" s="350"/>
      <c r="CK576" s="4"/>
      <c r="CL576" s="4"/>
      <c r="CM576" s="4"/>
      <c r="CN576" s="16"/>
      <c r="CO576" s="350"/>
      <c r="CP576" s="16"/>
      <c r="CQ576" s="4"/>
      <c r="CR576" s="4"/>
      <c r="CS576" s="4"/>
      <c r="CT576" s="350"/>
      <c r="CU576" s="4"/>
      <c r="CV576" s="4"/>
      <c r="CW576" s="4"/>
      <c r="CX576" s="4"/>
      <c r="CY576" s="350"/>
      <c r="CZ576" s="4"/>
      <c r="DA576" s="4"/>
      <c r="DB576" s="4"/>
      <c r="DC576" s="4"/>
      <c r="DD576" s="350"/>
      <c r="DE576" s="4"/>
      <c r="DF576" s="4"/>
      <c r="DG576" s="16"/>
      <c r="DH576" s="4"/>
      <c r="DI576" s="350"/>
      <c r="DJ576" s="16"/>
      <c r="DK576" s="16"/>
      <c r="DL576" s="16"/>
      <c r="DM576" s="4"/>
      <c r="DN576" s="350"/>
      <c r="DO576" s="4"/>
      <c r="DP576" s="4"/>
      <c r="DQ576" s="4"/>
      <c r="DR576" s="4"/>
      <c r="DS576" s="350"/>
      <c r="DT576" s="4"/>
      <c r="DU576" s="4"/>
      <c r="DV576" s="4"/>
      <c r="DW576" s="4"/>
      <c r="DX576" s="350"/>
      <c r="DY576" s="4"/>
      <c r="DZ576" s="4"/>
      <c r="EA576" s="4"/>
      <c r="EB576" s="4"/>
      <c r="EC576" s="350"/>
      <c r="ED576" s="4"/>
      <c r="EE576" s="4"/>
      <c r="EF576" s="4"/>
      <c r="EG576" s="4"/>
      <c r="EH576" s="350"/>
      <c r="EI576" s="214"/>
      <c r="EJ576" s="4"/>
      <c r="EK576" s="4"/>
      <c r="EL576" s="4"/>
      <c r="EM576" s="350"/>
      <c r="EN576" s="4"/>
      <c r="EO576" s="4"/>
      <c r="EP576" s="4"/>
      <c r="EQ576" s="4"/>
      <c r="ER576" s="350"/>
      <c r="ES576" s="4"/>
      <c r="ET576" s="4"/>
      <c r="EU576" s="4"/>
      <c r="EV576" s="4"/>
      <c r="EW576" s="350"/>
      <c r="EX576" s="4"/>
      <c r="EY576" s="4"/>
      <c r="EZ576" s="4"/>
      <c r="FA576" s="4"/>
      <c r="FB576" s="350"/>
      <c r="FC576" s="4"/>
      <c r="FD576" s="4"/>
      <c r="FE576" s="4"/>
      <c r="FF576" s="4"/>
      <c r="FG576" s="350"/>
      <c r="FH576" s="145"/>
      <c r="FI576" s="4"/>
      <c r="FJ576" s="4"/>
      <c r="FK576" s="45"/>
      <c r="FL576" s="4"/>
    </row>
    <row r="577" ht="12.75" hidden="1" customHeight="1" outlineLevel="1">
      <c r="A577" s="4"/>
      <c r="B577" s="578" t="s">
        <v>164</v>
      </c>
      <c r="C577" s="299"/>
      <c r="D577" s="585"/>
      <c r="E577" s="586"/>
      <c r="F577" s="586"/>
      <c r="G577" s="586"/>
      <c r="H577" s="585"/>
      <c r="I577" s="585"/>
      <c r="J577" s="586"/>
      <c r="K577" s="586"/>
      <c r="L577" s="586"/>
      <c r="M577" s="585"/>
      <c r="N577" s="585"/>
      <c r="O577" s="586"/>
      <c r="P577" s="586"/>
      <c r="Q577" s="586"/>
      <c r="R577" s="585"/>
      <c r="S577" s="585"/>
      <c r="T577" s="586"/>
      <c r="U577" s="586"/>
      <c r="V577" s="586"/>
      <c r="W577" s="585"/>
      <c r="X577" s="585"/>
      <c r="Y577" s="586"/>
      <c r="Z577" s="586"/>
      <c r="AA577" s="586"/>
      <c r="AB577" s="585"/>
      <c r="AC577" s="585"/>
      <c r="AD577" s="586"/>
      <c r="AE577" s="586"/>
      <c r="AF577" s="586"/>
      <c r="AG577" s="585"/>
      <c r="AH577" s="585"/>
      <c r="AI577" s="586"/>
      <c r="AJ577" s="586"/>
      <c r="AK577" s="586"/>
      <c r="AL577" s="585"/>
      <c r="AM577" s="585"/>
      <c r="AN577" s="586"/>
      <c r="AO577" s="586"/>
      <c r="AP577" s="586"/>
      <c r="AQ577" s="585"/>
      <c r="AR577" s="585"/>
      <c r="AS577" s="586"/>
      <c r="AT577" s="586"/>
      <c r="AU577" s="586"/>
      <c r="AV577" s="585"/>
      <c r="AW577" s="585"/>
      <c r="AX577" s="586"/>
      <c r="AY577" s="586"/>
      <c r="AZ577" s="586"/>
      <c r="BA577" s="585"/>
      <c r="BB577" s="585"/>
      <c r="BC577" s="586"/>
      <c r="BD577" s="586"/>
      <c r="BE577" s="586"/>
      <c r="BF577" s="585"/>
      <c r="BG577" s="585"/>
      <c r="BH577" s="586"/>
      <c r="BI577" s="586"/>
      <c r="BJ577" s="586"/>
      <c r="BK577" s="585"/>
      <c r="BL577" s="585"/>
      <c r="BM577" s="586"/>
      <c r="BN577" s="586"/>
      <c r="BO577" s="586"/>
      <c r="BP577" s="585"/>
      <c r="BQ577" s="585"/>
      <c r="BR577" s="586"/>
      <c r="BS577" s="586"/>
      <c r="BT577" s="586"/>
      <c r="BU577" s="585"/>
      <c r="BV577" s="585"/>
      <c r="BW577" s="586"/>
      <c r="BX577" s="586"/>
      <c r="BY577" s="586"/>
      <c r="BZ577" s="587"/>
      <c r="CA577" s="585"/>
      <c r="CB577" s="586"/>
      <c r="CC577" s="586"/>
      <c r="CD577" s="586"/>
      <c r="CE577" s="587"/>
      <c r="CF577" s="585"/>
      <c r="CG577" s="586"/>
      <c r="CH577" s="586"/>
      <c r="CI577" s="586"/>
      <c r="CJ577" s="587"/>
      <c r="CK577" s="585"/>
      <c r="CL577" s="586"/>
      <c r="CM577" s="586"/>
      <c r="CN577" s="588"/>
      <c r="CO577" s="587"/>
      <c r="CP577" s="588"/>
      <c r="CQ577" s="586"/>
      <c r="CR577" s="586"/>
      <c r="CS577" s="586"/>
      <c r="CT577" s="587"/>
      <c r="CU577" s="585"/>
      <c r="CV577" s="586"/>
      <c r="CW577" s="586"/>
      <c r="CX577" s="586"/>
      <c r="CY577" s="587"/>
      <c r="CZ577" s="585"/>
      <c r="DA577" s="586"/>
      <c r="DB577" s="586"/>
      <c r="DC577" s="586"/>
      <c r="DD577" s="587"/>
      <c r="DE577" s="585"/>
      <c r="DF577" s="586"/>
      <c r="DG577" s="474"/>
      <c r="DH577" s="586"/>
      <c r="DI577" s="587"/>
      <c r="DJ577" s="589"/>
      <c r="DK577" s="588"/>
      <c r="DL577" s="588"/>
      <c r="DM577" s="586"/>
      <c r="DN577" s="587"/>
      <c r="DO577" s="585"/>
      <c r="DP577" s="586"/>
      <c r="DQ577" s="586"/>
      <c r="DR577" s="586"/>
      <c r="DS577" s="587"/>
      <c r="DT577" s="585"/>
      <c r="DU577" s="585"/>
      <c r="DV577" s="585"/>
      <c r="DW577" s="585"/>
      <c r="DX577" s="587"/>
      <c r="DY577" s="585"/>
      <c r="DZ577" s="585"/>
      <c r="EA577" s="585"/>
      <c r="EB577" s="585"/>
      <c r="EC577" s="587"/>
      <c r="ED577" s="585"/>
      <c r="EE577" s="585"/>
      <c r="EF577" s="585"/>
      <c r="EG577" s="585"/>
      <c r="EH577" s="587"/>
      <c r="EI577" s="590"/>
      <c r="EJ577" s="586"/>
      <c r="EK577" s="586"/>
      <c r="EL577" s="586"/>
      <c r="EM577" s="587"/>
      <c r="EN577" s="585"/>
      <c r="EO577" s="586"/>
      <c r="EP577" s="586"/>
      <c r="EQ577" s="586"/>
      <c r="ER577" s="587"/>
      <c r="ES577" s="585"/>
      <c r="ET577" s="586"/>
      <c r="EU577" s="586"/>
      <c r="EV577" s="586"/>
      <c r="EW577" s="587"/>
      <c r="EX577" s="585"/>
      <c r="EY577" s="586"/>
      <c r="EZ577" s="586"/>
      <c r="FA577" s="586"/>
      <c r="FB577" s="587"/>
      <c r="FC577" s="585"/>
      <c r="FD577" s="586"/>
      <c r="FE577" s="586"/>
      <c r="FF577" s="586"/>
      <c r="FG577" s="587"/>
      <c r="FH577" s="589"/>
      <c r="FI577" s="586"/>
      <c r="FJ577" s="586"/>
      <c r="FK577" s="585"/>
      <c r="FL577" s="585"/>
    </row>
    <row r="578" ht="12.75" hidden="1" customHeight="1" outlineLevel="1">
      <c r="A578" s="45"/>
      <c r="B578" s="215" t="str">
        <f t="shared" ref="B578:B579" si="3106">B567</f>
        <v>Client Computing Group</v>
      </c>
      <c r="C578" s="45"/>
      <c r="D578" s="15"/>
      <c r="E578" s="15"/>
      <c r="F578" s="15"/>
      <c r="G578" s="15"/>
      <c r="H578" s="410"/>
      <c r="I578" s="15"/>
      <c r="J578" s="15"/>
      <c r="K578" s="15"/>
      <c r="L578" s="15"/>
      <c r="M578" s="410"/>
      <c r="N578" s="15"/>
      <c r="O578" s="15"/>
      <c r="P578" s="15"/>
      <c r="Q578" s="15"/>
      <c r="R578" s="410"/>
      <c r="S578" s="15"/>
      <c r="T578" s="15"/>
      <c r="U578" s="15"/>
      <c r="V578" s="15"/>
      <c r="W578" s="410"/>
      <c r="X578" s="15"/>
      <c r="Y578" s="15"/>
      <c r="Z578" s="15"/>
      <c r="AA578" s="15"/>
      <c r="AB578" s="410"/>
      <c r="AC578" s="15"/>
      <c r="AD578" s="15"/>
      <c r="AE578" s="15"/>
      <c r="AF578" s="15"/>
      <c r="AG578" s="410"/>
      <c r="AH578" s="15"/>
      <c r="AI578" s="15"/>
      <c r="AJ578" s="15"/>
      <c r="AK578" s="15"/>
      <c r="AL578" s="410"/>
      <c r="AM578" s="15"/>
      <c r="AN578" s="15"/>
      <c r="AO578" s="15"/>
      <c r="AP578" s="15"/>
      <c r="AQ578" s="410"/>
      <c r="AR578" s="15"/>
      <c r="AS578" s="15"/>
      <c r="AT578" s="15"/>
      <c r="AU578" s="15"/>
      <c r="AV578" s="410"/>
      <c r="AW578" s="15"/>
      <c r="AX578" s="15"/>
      <c r="AY578" s="15"/>
      <c r="AZ578" s="15"/>
      <c r="BA578" s="410"/>
      <c r="BB578" s="15"/>
      <c r="BC578" s="15"/>
      <c r="BD578" s="15"/>
      <c r="BE578" s="15"/>
      <c r="BF578" s="410"/>
      <c r="BG578" s="15"/>
      <c r="BH578" s="15"/>
      <c r="BI578" s="15"/>
      <c r="BJ578" s="15"/>
      <c r="BK578" s="410"/>
      <c r="BL578" s="15"/>
      <c r="BM578" s="15"/>
      <c r="BN578" s="15"/>
      <c r="BO578" s="15"/>
      <c r="BP578" s="410"/>
      <c r="BQ578" s="15"/>
      <c r="BR578" s="15"/>
      <c r="BS578" s="15"/>
      <c r="BT578" s="15"/>
      <c r="BU578" s="410"/>
      <c r="BV578" s="15"/>
      <c r="BW578" s="15"/>
      <c r="BX578" s="15"/>
      <c r="BY578" s="15"/>
      <c r="BZ578" s="24"/>
      <c r="CA578" s="15"/>
      <c r="CB578" s="15"/>
      <c r="CC578" s="15"/>
      <c r="CD578" s="15"/>
      <c r="CE578" s="24" t="str">
        <f>PCGOP1/PCClientSales</f>
        <v>#NAME?</v>
      </c>
      <c r="CF578" s="15" t="str">
        <f>PCGOP1/PCClientSales</f>
        <v>#NAME?</v>
      </c>
      <c r="CG578" s="15" t="str">
        <f>PCGOP1/PCClientSales</f>
        <v>#NAME?</v>
      </c>
      <c r="CH578" s="15" t="str">
        <f>PCGOP1/PCClientSales</f>
        <v>#NAME?</v>
      </c>
      <c r="CI578" s="15" t="str">
        <f>PCGOP1/PCClientSales</f>
        <v>#NAME?</v>
      </c>
      <c r="CJ578" s="24" t="str">
        <f>PCGOP1/PCClientSales</f>
        <v>#NAME?</v>
      </c>
      <c r="CK578" s="15" t="str">
        <f>PCGOP1/PCClientSales</f>
        <v>#NAME?</v>
      </c>
      <c r="CL578" s="15" t="str">
        <f>PCGOP1/PCClientSales</f>
        <v>#NAME?</v>
      </c>
      <c r="CM578" s="15" t="str">
        <f>PCGOP1/PCClientSales</f>
        <v>#NAME?</v>
      </c>
      <c r="CN578" s="15" t="str">
        <f>PCGOP1/PCClientSales</f>
        <v>#NAME?</v>
      </c>
      <c r="CO578" s="24"/>
      <c r="CP578" s="15" t="str">
        <f>PCGOP1/PCClientSales</f>
        <v>#NAME?</v>
      </c>
      <c r="CQ578" s="15" t="str">
        <f>PCGOP1/PCClientSales</f>
        <v>#NAME?</v>
      </c>
      <c r="CR578" s="15" t="str">
        <f>PCGOP1/PCClientSales</f>
        <v>#NAME?</v>
      </c>
      <c r="CS578" s="15" t="str">
        <f>PCGOP1/PCClientSales</f>
        <v>#NAME?</v>
      </c>
      <c r="CT578" s="24" t="str">
        <f>PCGOP1/PCClientSales</f>
        <v>#NAME?</v>
      </c>
      <c r="CU578" s="15" t="str">
        <f>PCGOP1/PCClientSales</f>
        <v>#NAME?</v>
      </c>
      <c r="CV578" s="15" t="str">
        <f>PCGOP1/PCClientSales</f>
        <v>#NAME?</v>
      </c>
      <c r="CW578" s="15" t="str">
        <f>PCGOP1/PCClientSales</f>
        <v>#NAME?</v>
      </c>
      <c r="CX578" s="15"/>
      <c r="CY578" s="24"/>
      <c r="CZ578" s="15"/>
      <c r="DA578" s="15"/>
      <c r="DB578" s="15"/>
      <c r="DC578" s="15"/>
      <c r="DD578" s="24"/>
      <c r="DE578" s="15"/>
      <c r="DF578" s="15"/>
      <c r="DG578" s="40"/>
      <c r="DH578" s="15"/>
      <c r="DI578" s="24"/>
      <c r="DJ578" s="40"/>
      <c r="DK578" s="40"/>
      <c r="DL578" s="40"/>
      <c r="DM578" s="15"/>
      <c r="DN578" s="24"/>
      <c r="DO578" s="15"/>
      <c r="DP578" s="15"/>
      <c r="DQ578" s="15"/>
      <c r="DR578" s="15"/>
      <c r="DS578" s="24"/>
      <c r="DT578" s="15"/>
      <c r="DU578" s="15"/>
      <c r="DV578" s="15"/>
      <c r="DW578" s="15"/>
      <c r="DX578" s="24"/>
      <c r="DY578" s="15"/>
      <c r="DZ578" s="15"/>
      <c r="EA578" s="15"/>
      <c r="EB578" s="15"/>
      <c r="EC578" s="24"/>
      <c r="ED578" s="15"/>
      <c r="EE578" s="15"/>
      <c r="EF578" s="15"/>
      <c r="EG578" s="15"/>
      <c r="EH578" s="24"/>
      <c r="EI578" s="82"/>
      <c r="EJ578" s="15"/>
      <c r="EK578" s="15"/>
      <c r="EL578" s="15"/>
      <c r="EM578" s="24"/>
      <c r="EN578" s="15"/>
      <c r="EO578" s="15"/>
      <c r="EP578" s="15"/>
      <c r="EQ578" s="15"/>
      <c r="ER578" s="24"/>
      <c r="ES578" s="15"/>
      <c r="ET578" s="15"/>
      <c r="EU578" s="15"/>
      <c r="EV578" s="15"/>
      <c r="EW578" s="24"/>
      <c r="EX578" s="15"/>
      <c r="EY578" s="15"/>
      <c r="EZ578" s="15"/>
      <c r="FA578" s="15"/>
      <c r="FB578" s="24"/>
      <c r="FC578" s="15"/>
      <c r="FD578" s="15"/>
      <c r="FE578" s="15"/>
      <c r="FF578" s="15"/>
      <c r="FG578" s="24"/>
      <c r="FH578" s="104"/>
      <c r="FI578" s="15"/>
      <c r="FJ578" s="15"/>
      <c r="FK578" s="410"/>
      <c r="FL578" s="15"/>
    </row>
    <row r="579" ht="12.75" hidden="1" customHeight="1" outlineLevel="1">
      <c r="A579" s="45"/>
      <c r="B579" s="215" t="str">
        <f t="shared" si="3106"/>
        <v>Data Center Group</v>
      </c>
      <c r="C579" s="45"/>
      <c r="D579" s="15"/>
      <c r="E579" s="15"/>
      <c r="F579" s="15"/>
      <c r="G579" s="15"/>
      <c r="H579" s="410"/>
      <c r="I579" s="15"/>
      <c r="J579" s="15"/>
      <c r="K579" s="15"/>
      <c r="L579" s="15"/>
      <c r="M579" s="410"/>
      <c r="N579" s="15"/>
      <c r="O579" s="15"/>
      <c r="P579" s="15"/>
      <c r="Q579" s="15"/>
      <c r="R579" s="410"/>
      <c r="S579" s="15"/>
      <c r="T579" s="15"/>
      <c r="U579" s="15"/>
      <c r="V579" s="15"/>
      <c r="W579" s="410"/>
      <c r="X579" s="15"/>
      <c r="Y579" s="15"/>
      <c r="Z579" s="15"/>
      <c r="AA579" s="15"/>
      <c r="AB579" s="410"/>
      <c r="AC579" s="15"/>
      <c r="AD579" s="15"/>
      <c r="AE579" s="15"/>
      <c r="AF579" s="15"/>
      <c r="AG579" s="410"/>
      <c r="AH579" s="15"/>
      <c r="AI579" s="15"/>
      <c r="AJ579" s="15"/>
      <c r="AK579" s="15"/>
      <c r="AL579" s="410"/>
      <c r="AM579" s="15"/>
      <c r="AN579" s="15"/>
      <c r="AO579" s="15"/>
      <c r="AP579" s="15"/>
      <c r="AQ579" s="410"/>
      <c r="AR579" s="15"/>
      <c r="AS579" s="15"/>
      <c r="AT579" s="15"/>
      <c r="AU579" s="15"/>
      <c r="AV579" s="410"/>
      <c r="AW579" s="15"/>
      <c r="AX579" s="15"/>
      <c r="AY579" s="15"/>
      <c r="AZ579" s="15"/>
      <c r="BA579" s="410"/>
      <c r="BB579" s="15"/>
      <c r="BC579" s="15"/>
      <c r="BD579" s="15"/>
      <c r="BE579" s="15"/>
      <c r="BF579" s="410"/>
      <c r="BG579" s="15"/>
      <c r="BH579" s="15"/>
      <c r="BI579" s="15"/>
      <c r="BJ579" s="15"/>
      <c r="BK579" s="410"/>
      <c r="BL579" s="15"/>
      <c r="BM579" s="15"/>
      <c r="BN579" s="15"/>
      <c r="BO579" s="15"/>
      <c r="BP579" s="410"/>
      <c r="BQ579" s="15"/>
      <c r="BR579" s="15"/>
      <c r="BS579" s="15"/>
      <c r="BT579" s="15"/>
      <c r="BU579" s="410"/>
      <c r="BV579" s="15"/>
      <c r="BW579" s="15"/>
      <c r="BX579" s="15"/>
      <c r="BY579" s="15"/>
      <c r="BZ579" s="24"/>
      <c r="CA579" s="15"/>
      <c r="CB579" s="15"/>
      <c r="CC579" s="15"/>
      <c r="CD579" s="15"/>
      <c r="CE579" s="24">
        <f>DCGOP1/DataCenterSales</f>
        <v>0.5035047882</v>
      </c>
      <c r="CF579" s="15">
        <f>DCGOP1/DataCenterSales</f>
        <v>0.4719334719</v>
      </c>
      <c r="CG579" s="15">
        <f>DCGOP1/DataCenterSales</f>
        <v>0.495363766</v>
      </c>
      <c r="CH579" s="15">
        <f>DCGOP1/DataCenterSales</f>
        <v>0.4668721109</v>
      </c>
      <c r="CI579" s="15">
        <f>DCGOP1/DataCenterSales</f>
        <v>0.4744236311</v>
      </c>
      <c r="CJ579" s="24">
        <f>DCGOP1/DataCenterSales</f>
        <v>0.4775541064</v>
      </c>
      <c r="CK579" s="15">
        <f>DCGOP1/DataCenterSales</f>
        <v>0.4174081238</v>
      </c>
      <c r="CL579" s="15">
        <f>DCGOP1/DataCenterSales</f>
        <v>0.4484141451</v>
      </c>
      <c r="CM579" s="15">
        <f>DCGOP1/DataCenterSales</f>
        <v>0.4783653846</v>
      </c>
      <c r="CN579" s="15">
        <f>DCGOP1/DataCenterSales</f>
        <v>0.487658439</v>
      </c>
      <c r="CO579" s="24"/>
      <c r="CP579" s="15">
        <f>DCGOP1/DataCenterSales</f>
        <v>0.426627794</v>
      </c>
      <c r="CQ579" s="15">
        <f>DCGOP1/DataCenterSales</f>
        <v>0.5178113423</v>
      </c>
      <c r="CR579" s="15">
        <f>DCGOP1/DataCenterSales</f>
        <v>0.5175675676</v>
      </c>
      <c r="CS579" s="15">
        <f>DCGOP1/DataCenterSales</f>
        <v>0.5450989978</v>
      </c>
      <c r="CT579" s="24">
        <f>DCGOP1/DataCenterSales</f>
        <v>0.5059428651</v>
      </c>
      <c r="CU579" s="15">
        <f>DCGOP1/DataCenterSales</f>
        <v>0.4623539005</v>
      </c>
      <c r="CV579" s="15">
        <f>DCGOP1/DataCenterSales</f>
        <v>0.4787012987</v>
      </c>
      <c r="CW579" s="15">
        <f>DCGOP1/DataCenterSales</f>
        <v>0.5137681159</v>
      </c>
      <c r="CX579" s="15">
        <f>DCGOP1/DataCenterSales</f>
        <v>0.5044103993</v>
      </c>
      <c r="CY579" s="24">
        <f>DCGOP1/DataCenterSales</f>
        <v>0.4909557489</v>
      </c>
      <c r="CZ579" s="15"/>
      <c r="DA579" s="15"/>
      <c r="DB579" s="15"/>
      <c r="DC579" s="15"/>
      <c r="DD579" s="24"/>
      <c r="DE579" s="15"/>
      <c r="DF579" s="15"/>
      <c r="DG579" s="40"/>
      <c r="DH579" s="15"/>
      <c r="DI579" s="24"/>
      <c r="DJ579" s="40"/>
      <c r="DK579" s="40"/>
      <c r="DL579" s="40"/>
      <c r="DM579" s="15"/>
      <c r="DN579" s="24"/>
      <c r="DO579" s="15"/>
      <c r="DP579" s="15"/>
      <c r="DQ579" s="15"/>
      <c r="DR579" s="15"/>
      <c r="DS579" s="24"/>
      <c r="DT579" s="15"/>
      <c r="DU579" s="15"/>
      <c r="DV579" s="15"/>
      <c r="DW579" s="15"/>
      <c r="DX579" s="24"/>
      <c r="DY579" s="15"/>
      <c r="DZ579" s="15"/>
      <c r="EA579" s="15"/>
      <c r="EB579" s="15"/>
      <c r="EC579" s="24"/>
      <c r="ED579" s="15"/>
      <c r="EE579" s="15"/>
      <c r="EF579" s="15"/>
      <c r="EG579" s="15"/>
      <c r="EH579" s="24"/>
      <c r="EI579" s="82"/>
      <c r="EJ579" s="15"/>
      <c r="EK579" s="15"/>
      <c r="EL579" s="15"/>
      <c r="EM579" s="24"/>
      <c r="EN579" s="15"/>
      <c r="EO579" s="15"/>
      <c r="EP579" s="15"/>
      <c r="EQ579" s="15"/>
      <c r="ER579" s="24"/>
      <c r="ES579" s="15"/>
      <c r="ET579" s="15"/>
      <c r="EU579" s="15"/>
      <c r="EV579" s="15"/>
      <c r="EW579" s="24"/>
      <c r="EX579" s="15"/>
      <c r="EY579" s="15"/>
      <c r="EZ579" s="15"/>
      <c r="FA579" s="15"/>
      <c r="FB579" s="24"/>
      <c r="FC579" s="15"/>
      <c r="FD579" s="15"/>
      <c r="FE579" s="15"/>
      <c r="FF579" s="15"/>
      <c r="FG579" s="24"/>
      <c r="FH579" s="104"/>
      <c r="FI579" s="15"/>
      <c r="FJ579" s="15"/>
      <c r="FK579" s="410"/>
      <c r="FL579" s="15"/>
    </row>
    <row r="580" ht="12.75" hidden="1" customHeight="1" outlineLevel="1">
      <c r="A580" s="45"/>
      <c r="B580" s="215" t="s">
        <v>297</v>
      </c>
      <c r="C580" s="45"/>
      <c r="D580" s="15"/>
      <c r="E580" s="15"/>
      <c r="F580" s="15"/>
      <c r="G580" s="15"/>
      <c r="H580" s="410"/>
      <c r="I580" s="15"/>
      <c r="J580" s="15"/>
      <c r="K580" s="15"/>
      <c r="L580" s="15"/>
      <c r="M580" s="410"/>
      <c r="N580" s="15"/>
      <c r="O580" s="15"/>
      <c r="P580" s="15"/>
      <c r="Q580" s="15"/>
      <c r="R580" s="410"/>
      <c r="S580" s="15"/>
      <c r="T580" s="15"/>
      <c r="U580" s="15"/>
      <c r="V580" s="15"/>
      <c r="W580" s="410"/>
      <c r="X580" s="15"/>
      <c r="Y580" s="15"/>
      <c r="Z580" s="15"/>
      <c r="AA580" s="15"/>
      <c r="AB580" s="410"/>
      <c r="AC580" s="15"/>
      <c r="AD580" s="15"/>
      <c r="AE580" s="15"/>
      <c r="AF580" s="15"/>
      <c r="AG580" s="410"/>
      <c r="AH580" s="15"/>
      <c r="AI580" s="15"/>
      <c r="AJ580" s="15"/>
      <c r="AK580" s="15"/>
      <c r="AL580" s="410"/>
      <c r="AM580" s="15"/>
      <c r="AN580" s="15"/>
      <c r="AO580" s="15"/>
      <c r="AP580" s="15"/>
      <c r="AQ580" s="410"/>
      <c r="AR580" s="15"/>
      <c r="AS580" s="15"/>
      <c r="AT580" s="15"/>
      <c r="AU580" s="15"/>
      <c r="AV580" s="410"/>
      <c r="AW580" s="15"/>
      <c r="AX580" s="15"/>
      <c r="AY580" s="15"/>
      <c r="AZ580" s="15"/>
      <c r="BA580" s="410"/>
      <c r="BB580" s="15"/>
      <c r="BC580" s="15"/>
      <c r="BD580" s="15"/>
      <c r="BE580" s="15"/>
      <c r="BF580" s="410"/>
      <c r="BG580" s="15"/>
      <c r="BH580" s="15"/>
      <c r="BI580" s="15"/>
      <c r="BJ580" s="15"/>
      <c r="BK580" s="410"/>
      <c r="BL580" s="15"/>
      <c r="BM580" s="15"/>
      <c r="BN580" s="15"/>
      <c r="BO580" s="15"/>
      <c r="BP580" s="410"/>
      <c r="BQ580" s="15"/>
      <c r="BR580" s="15"/>
      <c r="BS580" s="15"/>
      <c r="BT580" s="15"/>
      <c r="BU580" s="410"/>
      <c r="BV580" s="15"/>
      <c r="BW580" s="15"/>
      <c r="BX580" s="15"/>
      <c r="BY580" s="15"/>
      <c r="BZ580" s="24"/>
      <c r="CA580" s="15"/>
      <c r="CB580" s="15"/>
      <c r="CC580" s="15"/>
      <c r="CD580" s="15"/>
      <c r="CE580" s="24"/>
      <c r="CF580" s="15"/>
      <c r="CG580" s="15"/>
      <c r="CH580" s="15"/>
      <c r="CI580" s="15"/>
      <c r="CJ580" s="24"/>
      <c r="CK580" s="15">
        <f t="shared" ref="CK580:CW580" si="3107">+CK569/CK509</f>
        <v>-1.74009901</v>
      </c>
      <c r="CL580" s="15">
        <f t="shared" si="3107"/>
        <v>-2.606164384</v>
      </c>
      <c r="CM580" s="15">
        <f t="shared" si="3107"/>
        <v>-2.294617564</v>
      </c>
      <c r="CN580" s="15">
        <f t="shared" si="3107"/>
        <v>-0.51</v>
      </c>
      <c r="CO580" s="24">
        <f t="shared" si="3107"/>
        <v>-1.250319285</v>
      </c>
      <c r="CP580" s="15">
        <f t="shared" si="3107"/>
        <v>-5.955128205</v>
      </c>
      <c r="CQ580" s="15">
        <f t="shared" si="3107"/>
        <v>-22.03921569</v>
      </c>
      <c r="CR580" s="15">
        <f t="shared" si="3107"/>
        <v>-1043</v>
      </c>
      <c r="CS580" s="15">
        <f t="shared" si="3107"/>
        <v>185</v>
      </c>
      <c r="CT580" s="24">
        <f t="shared" si="3107"/>
        <v>-20.82178218</v>
      </c>
      <c r="CU580" s="15">
        <f t="shared" si="3107"/>
        <v>0</v>
      </c>
      <c r="CV580" s="15">
        <f t="shared" si="3107"/>
        <v>0</v>
      </c>
      <c r="CW580" s="15">
        <f t="shared" si="3107"/>
        <v>0</v>
      </c>
      <c r="CX580" s="15"/>
      <c r="CY580" s="24"/>
      <c r="CZ580" s="15"/>
      <c r="DA580" s="15"/>
      <c r="DB580" s="15"/>
      <c r="DC580" s="15"/>
      <c r="DD580" s="24"/>
      <c r="DE580" s="15"/>
      <c r="DF580" s="15"/>
      <c r="DG580" s="40"/>
      <c r="DH580" s="15"/>
      <c r="DI580" s="24"/>
      <c r="DJ580" s="40"/>
      <c r="DK580" s="40"/>
      <c r="DL580" s="40"/>
      <c r="DM580" s="15"/>
      <c r="DN580" s="24"/>
      <c r="DO580" s="15"/>
      <c r="DP580" s="15"/>
      <c r="DQ580" s="15"/>
      <c r="DR580" s="15"/>
      <c r="DS580" s="24"/>
      <c r="DT580" s="15"/>
      <c r="DU580" s="15"/>
      <c r="DV580" s="15"/>
      <c r="DW580" s="15"/>
      <c r="DX580" s="24"/>
      <c r="DY580" s="15"/>
      <c r="DZ580" s="15"/>
      <c r="EA580" s="15"/>
      <c r="EB580" s="15"/>
      <c r="EC580" s="24"/>
      <c r="ED580" s="15"/>
      <c r="EE580" s="15"/>
      <c r="EF580" s="15"/>
      <c r="EG580" s="15"/>
      <c r="EH580" s="24"/>
      <c r="EI580" s="82"/>
      <c r="EJ580" s="15"/>
      <c r="EK580" s="15"/>
      <c r="EL580" s="15"/>
      <c r="EM580" s="24"/>
      <c r="EN580" s="15"/>
      <c r="EO580" s="15"/>
      <c r="EP580" s="15"/>
      <c r="EQ580" s="15"/>
      <c r="ER580" s="24"/>
      <c r="ES580" s="15"/>
      <c r="ET580" s="15"/>
      <c r="EU580" s="15"/>
      <c r="EV580" s="15"/>
      <c r="EW580" s="24"/>
      <c r="EX580" s="15"/>
      <c r="EY580" s="15"/>
      <c r="EZ580" s="15"/>
      <c r="FA580" s="15"/>
      <c r="FB580" s="24"/>
      <c r="FC580" s="15"/>
      <c r="FD580" s="15"/>
      <c r="FE580" s="15"/>
      <c r="FF580" s="15"/>
      <c r="FG580" s="24"/>
      <c r="FH580" s="104"/>
      <c r="FI580" s="15"/>
      <c r="FJ580" s="15"/>
      <c r="FK580" s="410"/>
      <c r="FL580" s="15"/>
    </row>
    <row r="581" ht="12.75" hidden="1" customHeight="1" outlineLevel="1">
      <c r="A581" s="45"/>
      <c r="B581" s="215" t="s">
        <v>298</v>
      </c>
      <c r="C581" s="45"/>
      <c r="D581" s="15"/>
      <c r="E581" s="15"/>
      <c r="F581" s="15"/>
      <c r="G581" s="15"/>
      <c r="H581" s="410"/>
      <c r="I581" s="15"/>
      <c r="J581" s="15"/>
      <c r="K581" s="15"/>
      <c r="L581" s="15"/>
      <c r="M581" s="410"/>
      <c r="N581" s="15"/>
      <c r="O581" s="15"/>
      <c r="P581" s="15"/>
      <c r="Q581" s="15"/>
      <c r="R581" s="410"/>
      <c r="S581" s="15"/>
      <c r="T581" s="15"/>
      <c r="U581" s="15"/>
      <c r="V581" s="15"/>
      <c r="W581" s="410"/>
      <c r="X581" s="15"/>
      <c r="Y581" s="15"/>
      <c r="Z581" s="15"/>
      <c r="AA581" s="15"/>
      <c r="AB581" s="410"/>
      <c r="AC581" s="15"/>
      <c r="AD581" s="15"/>
      <c r="AE581" s="15"/>
      <c r="AF581" s="15"/>
      <c r="AG581" s="410"/>
      <c r="AH581" s="15"/>
      <c r="AI581" s="15"/>
      <c r="AJ581" s="15"/>
      <c r="AK581" s="15"/>
      <c r="AL581" s="410"/>
      <c r="AM581" s="15"/>
      <c r="AN581" s="15"/>
      <c r="AO581" s="15"/>
      <c r="AP581" s="15"/>
      <c r="AQ581" s="410"/>
      <c r="AR581" s="15"/>
      <c r="AS581" s="15"/>
      <c r="AT581" s="15"/>
      <c r="AU581" s="15"/>
      <c r="AV581" s="410"/>
      <c r="AW581" s="15"/>
      <c r="AX581" s="15"/>
      <c r="AY581" s="15"/>
      <c r="AZ581" s="15"/>
      <c r="BA581" s="410"/>
      <c r="BB581" s="15"/>
      <c r="BC581" s="15"/>
      <c r="BD581" s="15"/>
      <c r="BE581" s="15"/>
      <c r="BF581" s="410"/>
      <c r="BG581" s="15"/>
      <c r="BH581" s="15"/>
      <c r="BI581" s="15"/>
      <c r="BJ581" s="15"/>
      <c r="BK581" s="410"/>
      <c r="BL581" s="15"/>
      <c r="BM581" s="15"/>
      <c r="BN581" s="15"/>
      <c r="BO581" s="15"/>
      <c r="BP581" s="410"/>
      <c r="BQ581" s="15"/>
      <c r="BR581" s="15"/>
      <c r="BS581" s="15"/>
      <c r="BT581" s="15"/>
      <c r="BU581" s="410"/>
      <c r="BV581" s="15"/>
      <c r="BW581" s="15"/>
      <c r="BX581" s="15"/>
      <c r="BY581" s="15"/>
      <c r="BZ581" s="24"/>
      <c r="CA581" s="15"/>
      <c r="CB581" s="15"/>
      <c r="CC581" s="15"/>
      <c r="CD581" s="15"/>
      <c r="CE581" s="24"/>
      <c r="CF581" s="15"/>
      <c r="CG581" s="15"/>
      <c r="CH581" s="15"/>
      <c r="CI581" s="15"/>
      <c r="CJ581" s="24"/>
      <c r="CK581" s="15">
        <f t="shared" ref="CK581:CW581" si="3108">+CK570/CK510</f>
        <v>0.1835616438</v>
      </c>
      <c r="CL581" s="15">
        <f t="shared" si="3108"/>
        <v>0.2834101382</v>
      </c>
      <c r="CM581" s="15">
        <f t="shared" si="3108"/>
        <v>0.3275862069</v>
      </c>
      <c r="CN581" s="15">
        <f t="shared" si="3108"/>
        <v>0.3125</v>
      </c>
      <c r="CO581" s="24">
        <f t="shared" si="3108"/>
        <v>0.2822719449</v>
      </c>
      <c r="CP581" s="15">
        <f t="shared" si="3108"/>
        <v>0.255186722</v>
      </c>
      <c r="CQ581" s="15">
        <f t="shared" si="3108"/>
        <v>0.2787769784</v>
      </c>
      <c r="CR581" s="15">
        <f t="shared" si="3108"/>
        <v>0.2886792453</v>
      </c>
      <c r="CS581" s="15">
        <f t="shared" si="3108"/>
        <v>0.3130287648</v>
      </c>
      <c r="CT581" s="24">
        <f t="shared" si="3108"/>
        <v>0.2853172765</v>
      </c>
      <c r="CU581" s="15">
        <f t="shared" si="3108"/>
        <v>0.1632270169</v>
      </c>
      <c r="CV581" s="15">
        <f t="shared" si="3108"/>
        <v>0.2641213865</v>
      </c>
      <c r="CW581" s="15">
        <f t="shared" si="3108"/>
        <v>0.2500459522</v>
      </c>
      <c r="CX581" s="15"/>
      <c r="CY581" s="24"/>
      <c r="CZ581" s="15"/>
      <c r="DA581" s="15"/>
      <c r="DB581" s="15"/>
      <c r="DC581" s="15"/>
      <c r="DD581" s="24"/>
      <c r="DE581" s="15"/>
      <c r="DF581" s="15"/>
      <c r="DG581" s="40"/>
      <c r="DH581" s="15"/>
      <c r="DI581" s="24"/>
      <c r="DJ581" s="40"/>
      <c r="DK581" s="40"/>
      <c r="DL581" s="40"/>
      <c r="DM581" s="15"/>
      <c r="DN581" s="24"/>
      <c r="DO581" s="15"/>
      <c r="DP581" s="15"/>
      <c r="DQ581" s="15"/>
      <c r="DR581" s="15"/>
      <c r="DS581" s="24"/>
      <c r="DT581" s="15"/>
      <c r="DU581" s="15"/>
      <c r="DV581" s="15"/>
      <c r="DW581" s="15"/>
      <c r="DX581" s="24"/>
      <c r="DY581" s="15"/>
      <c r="DZ581" s="15"/>
      <c r="EA581" s="15"/>
      <c r="EB581" s="15"/>
      <c r="EC581" s="24"/>
      <c r="ED581" s="15"/>
      <c r="EE581" s="15"/>
      <c r="EF581" s="15"/>
      <c r="EG581" s="15"/>
      <c r="EH581" s="24"/>
      <c r="EI581" s="82"/>
      <c r="EJ581" s="15"/>
      <c r="EK581" s="15"/>
      <c r="EL581" s="15"/>
      <c r="EM581" s="24"/>
      <c r="EN581" s="15"/>
      <c r="EO581" s="15"/>
      <c r="EP581" s="15"/>
      <c r="EQ581" s="15"/>
      <c r="ER581" s="24"/>
      <c r="ES581" s="15"/>
      <c r="ET581" s="15"/>
      <c r="EU581" s="15"/>
      <c r="EV581" s="15"/>
      <c r="EW581" s="24"/>
      <c r="EX581" s="15"/>
      <c r="EY581" s="15"/>
      <c r="EZ581" s="15"/>
      <c r="FA581" s="15"/>
      <c r="FB581" s="24"/>
      <c r="FC581" s="15"/>
      <c r="FD581" s="15"/>
      <c r="FE581" s="15"/>
      <c r="FF581" s="15"/>
      <c r="FG581" s="24"/>
      <c r="FH581" s="104"/>
      <c r="FI581" s="15"/>
      <c r="FJ581" s="15"/>
      <c r="FK581" s="410"/>
      <c r="FL581" s="15"/>
    </row>
    <row r="582" ht="12.75" hidden="1" customHeight="1" outlineLevel="1">
      <c r="A582" s="45"/>
      <c r="B582" s="215" t="str">
        <f t="shared" ref="B582:B585" si="3109">B571</f>
        <v>Other IAG</v>
      </c>
      <c r="C582" s="45"/>
      <c r="D582" s="15"/>
      <c r="E582" s="15"/>
      <c r="F582" s="15"/>
      <c r="G582" s="15"/>
      <c r="H582" s="410"/>
      <c r="I582" s="15"/>
      <c r="J582" s="15"/>
      <c r="K582" s="15"/>
      <c r="L582" s="15"/>
      <c r="M582" s="410"/>
      <c r="N582" s="15"/>
      <c r="O582" s="15"/>
      <c r="P582" s="15"/>
      <c r="Q582" s="15"/>
      <c r="R582" s="410"/>
      <c r="S582" s="15"/>
      <c r="T582" s="15"/>
      <c r="U582" s="15"/>
      <c r="V582" s="15"/>
      <c r="W582" s="410"/>
      <c r="X582" s="15"/>
      <c r="Y582" s="15"/>
      <c r="Z582" s="15"/>
      <c r="AA582" s="15"/>
      <c r="AB582" s="410"/>
      <c r="AC582" s="15"/>
      <c r="AD582" s="15"/>
      <c r="AE582" s="15"/>
      <c r="AF582" s="15"/>
      <c r="AG582" s="410"/>
      <c r="AH582" s="15"/>
      <c r="AI582" s="15"/>
      <c r="AJ582" s="15"/>
      <c r="AK582" s="15"/>
      <c r="AL582" s="410"/>
      <c r="AM582" s="15"/>
      <c r="AN582" s="15"/>
      <c r="AO582" s="15"/>
      <c r="AP582" s="15"/>
      <c r="AQ582" s="410"/>
      <c r="AR582" s="15"/>
      <c r="AS582" s="15"/>
      <c r="AT582" s="15"/>
      <c r="AU582" s="15"/>
      <c r="AV582" s="410"/>
      <c r="AW582" s="15"/>
      <c r="AX582" s="15"/>
      <c r="AY582" s="15"/>
      <c r="AZ582" s="15"/>
      <c r="BA582" s="410"/>
      <c r="BB582" s="15"/>
      <c r="BC582" s="15"/>
      <c r="BD582" s="15"/>
      <c r="BE582" s="15"/>
      <c r="BF582" s="410"/>
      <c r="BG582" s="15"/>
      <c r="BH582" s="15"/>
      <c r="BI582" s="15"/>
      <c r="BJ582" s="15"/>
      <c r="BK582" s="410"/>
      <c r="BL582" s="15"/>
      <c r="BM582" s="15"/>
      <c r="BN582" s="15"/>
      <c r="BO582" s="15"/>
      <c r="BP582" s="410"/>
      <c r="BQ582" s="15"/>
      <c r="BR582" s="15"/>
      <c r="BS582" s="15"/>
      <c r="BT582" s="15"/>
      <c r="BU582" s="410"/>
      <c r="BV582" s="15"/>
      <c r="BW582" s="15"/>
      <c r="BX582" s="15"/>
      <c r="BY582" s="15"/>
      <c r="BZ582" s="24"/>
      <c r="CA582" s="15"/>
      <c r="CB582" s="15"/>
      <c r="CC582" s="15"/>
      <c r="CD582" s="15"/>
      <c r="CE582" s="24">
        <f>IAGOtherOP1/IAGOtherSales</f>
        <v>-0.1152847153</v>
      </c>
      <c r="CF582" s="15">
        <f>IAGOtherOP1/IAGOtherSales</f>
        <v>-0.2902325581</v>
      </c>
      <c r="CG582" s="15">
        <f>IAGOtherOP1/IAGOtherSales</f>
        <v>-0.3023465704</v>
      </c>
      <c r="CH582" s="15">
        <f>IAGOtherOP1/IAGOtherSales</f>
        <v>-0.1996601529</v>
      </c>
      <c r="CI582" s="15">
        <f>IAGOtherOP1/IAGOtherSales</f>
        <v>-0.4862475442</v>
      </c>
      <c r="CJ582" s="24">
        <f>IAGOtherOP1/IAGOtherSales</f>
        <v>-0.3145271814</v>
      </c>
      <c r="CK582" s="15">
        <f>IAGOtherOP1/IAGOtherSales</f>
        <v>-0.6247443763</v>
      </c>
      <c r="CL582" s="15">
        <f>IAGOtherOP1/IAGOtherSales</f>
        <v>-0.6454352442</v>
      </c>
      <c r="CM582" s="15">
        <f>IAGOtherOP1/IAGOtherSales</f>
        <v>-0.5679475164</v>
      </c>
      <c r="CN582" s="15">
        <f>IAGOtherOP1/IAGOtherSales</f>
        <v>-0.5610859729</v>
      </c>
      <c r="CO582" s="24"/>
      <c r="CP582" s="15"/>
      <c r="CQ582" s="15"/>
      <c r="CR582" s="15"/>
      <c r="CS582" s="15"/>
      <c r="CT582" s="313"/>
      <c r="CU582" s="15"/>
      <c r="CV582" s="15"/>
      <c r="CW582" s="15"/>
      <c r="CX582" s="15"/>
      <c r="CY582" s="24"/>
      <c r="CZ582" s="15"/>
      <c r="DA582" s="15"/>
      <c r="DB582" s="15"/>
      <c r="DC582" s="15"/>
      <c r="DD582" s="24"/>
      <c r="DE582" s="15"/>
      <c r="DF582" s="15"/>
      <c r="DG582" s="40"/>
      <c r="DH582" s="15"/>
      <c r="DI582" s="24"/>
      <c r="DJ582" s="40"/>
      <c r="DK582" s="40"/>
      <c r="DL582" s="40"/>
      <c r="DM582" s="15"/>
      <c r="DN582" s="24"/>
      <c r="DO582" s="15"/>
      <c r="DP582" s="15"/>
      <c r="DQ582" s="15"/>
      <c r="DR582" s="15"/>
      <c r="DS582" s="24"/>
      <c r="DT582" s="15"/>
      <c r="DU582" s="15"/>
      <c r="DV582" s="15"/>
      <c r="DW582" s="15"/>
      <c r="DX582" s="24"/>
      <c r="DY582" s="15"/>
      <c r="DZ582" s="15"/>
      <c r="EA582" s="15"/>
      <c r="EB582" s="15"/>
      <c r="EC582" s="24"/>
      <c r="ED582" s="15"/>
      <c r="EE582" s="15"/>
      <c r="EF582" s="15"/>
      <c r="EG582" s="15"/>
      <c r="EH582" s="24"/>
      <c r="EI582" s="82"/>
      <c r="EJ582" s="15"/>
      <c r="EK582" s="15"/>
      <c r="EL582" s="15"/>
      <c r="EM582" s="24"/>
      <c r="EN582" s="15"/>
      <c r="EO582" s="15"/>
      <c r="EP582" s="15"/>
      <c r="EQ582" s="15"/>
      <c r="ER582" s="24"/>
      <c r="ES582" s="15"/>
      <c r="ET582" s="15"/>
      <c r="EU582" s="15"/>
      <c r="EV582" s="15"/>
      <c r="EW582" s="24"/>
      <c r="EX582" s="15"/>
      <c r="EY582" s="15"/>
      <c r="EZ582" s="15"/>
      <c r="FA582" s="15"/>
      <c r="FB582" s="24"/>
      <c r="FC582" s="15"/>
      <c r="FD582" s="15"/>
      <c r="FE582" s="15"/>
      <c r="FF582" s="15"/>
      <c r="FG582" s="24"/>
      <c r="FH582" s="104"/>
      <c r="FI582" s="15"/>
      <c r="FJ582" s="15"/>
      <c r="FK582" s="410"/>
      <c r="FL582" s="15"/>
    </row>
    <row r="583" ht="12.75" hidden="1" customHeight="1" outlineLevel="1">
      <c r="A583" s="45"/>
      <c r="B583" s="215" t="str">
        <f t="shared" si="3109"/>
        <v>IAG Subtotal</v>
      </c>
      <c r="C583" s="45"/>
      <c r="D583" s="15"/>
      <c r="E583" s="15"/>
      <c r="F583" s="15"/>
      <c r="G583" s="15"/>
      <c r="H583" s="410"/>
      <c r="I583" s="15"/>
      <c r="J583" s="15"/>
      <c r="K583" s="15"/>
      <c r="L583" s="15"/>
      <c r="M583" s="410"/>
      <c r="N583" s="15"/>
      <c r="O583" s="15"/>
      <c r="P583" s="15"/>
      <c r="Q583" s="15"/>
      <c r="R583" s="410"/>
      <c r="S583" s="15"/>
      <c r="T583" s="15"/>
      <c r="U583" s="15"/>
      <c r="V583" s="15"/>
      <c r="W583" s="410"/>
      <c r="X583" s="15"/>
      <c r="Y583" s="15"/>
      <c r="Z583" s="15"/>
      <c r="AA583" s="15"/>
      <c r="AB583" s="410"/>
      <c r="AC583" s="15"/>
      <c r="AD583" s="15"/>
      <c r="AE583" s="15"/>
      <c r="AF583" s="15"/>
      <c r="AG583" s="410"/>
      <c r="AH583" s="15"/>
      <c r="AI583" s="15"/>
      <c r="AJ583" s="15"/>
      <c r="AK583" s="15"/>
      <c r="AL583" s="410"/>
      <c r="AM583" s="15"/>
      <c r="AN583" s="15"/>
      <c r="AO583" s="15"/>
      <c r="AP583" s="15"/>
      <c r="AQ583" s="410"/>
      <c r="AR583" s="15"/>
      <c r="AS583" s="15"/>
      <c r="AT583" s="15"/>
      <c r="AU583" s="15"/>
      <c r="AV583" s="410"/>
      <c r="AW583" s="15"/>
      <c r="AX583" s="15"/>
      <c r="AY583" s="15"/>
      <c r="AZ583" s="15"/>
      <c r="BA583" s="410"/>
      <c r="BB583" s="15"/>
      <c r="BC583" s="15"/>
      <c r="BD583" s="15"/>
      <c r="BE583" s="15"/>
      <c r="BF583" s="410"/>
      <c r="BG583" s="15"/>
      <c r="BH583" s="15"/>
      <c r="BI583" s="15"/>
      <c r="BJ583" s="15"/>
      <c r="BK583" s="410"/>
      <c r="BL583" s="15"/>
      <c r="BM583" s="15"/>
      <c r="BN583" s="15"/>
      <c r="BO583" s="15"/>
      <c r="BP583" s="410"/>
      <c r="BQ583" s="15"/>
      <c r="BR583" s="15"/>
      <c r="BS583" s="15"/>
      <c r="BT583" s="15"/>
      <c r="BU583" s="410"/>
      <c r="BV583" s="15"/>
      <c r="BW583" s="15"/>
      <c r="BX583" s="15"/>
      <c r="BY583" s="15"/>
      <c r="BZ583" s="24"/>
      <c r="CA583" s="15"/>
      <c r="CB583" s="15"/>
      <c r="CC583" s="15"/>
      <c r="CD583" s="15"/>
      <c r="CE583" s="24" t="str">
        <f>IAGSubOP1/IAGSales</f>
        <v>#NAME?</v>
      </c>
      <c r="CF583" s="15" t="str">
        <f>IAGSubOP1/IAGSales</f>
        <v>#NAME?</v>
      </c>
      <c r="CG583" s="15" t="str">
        <f>IAGSubOP1/IAGSales</f>
        <v>#NAME?</v>
      </c>
      <c r="CH583" s="15" t="str">
        <f>IAGSubOP1/IAGSales</f>
        <v>#NAME?</v>
      </c>
      <c r="CI583" s="15" t="str">
        <f>IAGSubOP1/IAGSales</f>
        <v>#NAME?</v>
      </c>
      <c r="CJ583" s="24" t="str">
        <f>IAGSubOP1/IAGSales</f>
        <v>#NAME?</v>
      </c>
      <c r="CK583" s="15" t="str">
        <f>IAGSubOP1/IAGSales</f>
        <v>#NAME?</v>
      </c>
      <c r="CL583" s="15" t="str">
        <f>IAGSubOP1/IAGSales</f>
        <v>#NAME?</v>
      </c>
      <c r="CM583" s="15" t="str">
        <f>IAGSubOP1/IAGSales</f>
        <v>#NAME?</v>
      </c>
      <c r="CN583" s="15" t="str">
        <f>IAGSubOP1/IAGSales</f>
        <v>#NAME?</v>
      </c>
      <c r="CO583" s="24"/>
      <c r="CP583" s="15"/>
      <c r="CQ583" s="15"/>
      <c r="CR583" s="15"/>
      <c r="CS583" s="15"/>
      <c r="CT583" s="313"/>
      <c r="CU583" s="15"/>
      <c r="CV583" s="15"/>
      <c r="CW583" s="15"/>
      <c r="CX583" s="15"/>
      <c r="CY583" s="24"/>
      <c r="CZ583" s="15"/>
      <c r="DA583" s="15"/>
      <c r="DB583" s="15"/>
      <c r="DC583" s="15"/>
      <c r="DD583" s="24"/>
      <c r="DE583" s="15"/>
      <c r="DF583" s="15"/>
      <c r="DG583" s="40"/>
      <c r="DH583" s="15"/>
      <c r="DI583" s="24"/>
      <c r="DJ583" s="40"/>
      <c r="DK583" s="40"/>
      <c r="DL583" s="40"/>
      <c r="DM583" s="15"/>
      <c r="DN583" s="24"/>
      <c r="DO583" s="15"/>
      <c r="DP583" s="15"/>
      <c r="DQ583" s="15"/>
      <c r="DR583" s="15"/>
      <c r="DS583" s="24"/>
      <c r="DT583" s="15"/>
      <c r="DU583" s="15"/>
      <c r="DV583" s="15"/>
      <c r="DW583" s="15"/>
      <c r="DX583" s="24"/>
      <c r="DY583" s="15"/>
      <c r="DZ583" s="15"/>
      <c r="EA583" s="15"/>
      <c r="EB583" s="15"/>
      <c r="EC583" s="24"/>
      <c r="ED583" s="15"/>
      <c r="EE583" s="15"/>
      <c r="EF583" s="15"/>
      <c r="EG583" s="15"/>
      <c r="EH583" s="24"/>
      <c r="EI583" s="82"/>
      <c r="EJ583" s="15"/>
      <c r="EK583" s="15"/>
      <c r="EL583" s="15"/>
      <c r="EM583" s="24"/>
      <c r="EN583" s="15"/>
      <c r="EO583" s="15"/>
      <c r="EP583" s="15"/>
      <c r="EQ583" s="15"/>
      <c r="ER583" s="24"/>
      <c r="ES583" s="15"/>
      <c r="ET583" s="15"/>
      <c r="EU583" s="15"/>
      <c r="EV583" s="15"/>
      <c r="EW583" s="24"/>
      <c r="EX583" s="15"/>
      <c r="EY583" s="15"/>
      <c r="EZ583" s="15"/>
      <c r="FA583" s="15"/>
      <c r="FB583" s="24"/>
      <c r="FC583" s="15"/>
      <c r="FD583" s="15"/>
      <c r="FE583" s="15"/>
      <c r="FF583" s="15"/>
      <c r="FG583" s="24"/>
      <c r="FH583" s="104"/>
      <c r="FI583" s="15"/>
      <c r="FJ583" s="15"/>
      <c r="FK583" s="410"/>
      <c r="FL583" s="15"/>
    </row>
    <row r="584" ht="12.75" hidden="1" customHeight="1" outlineLevel="1">
      <c r="A584" s="45"/>
      <c r="B584" s="215" t="str">
        <f t="shared" si="3109"/>
        <v>Software and Services Group</v>
      </c>
      <c r="C584" s="45"/>
      <c r="D584" s="326"/>
      <c r="E584" s="326"/>
      <c r="F584" s="326"/>
      <c r="G584" s="326"/>
      <c r="H584" s="323"/>
      <c r="I584" s="326"/>
      <c r="J584" s="326"/>
      <c r="K584" s="326"/>
      <c r="L584" s="326"/>
      <c r="M584" s="323"/>
      <c r="N584" s="326"/>
      <c r="O584" s="326"/>
      <c r="P584" s="326"/>
      <c r="Q584" s="326"/>
      <c r="R584" s="323"/>
      <c r="S584" s="326"/>
      <c r="T584" s="326"/>
      <c r="U584" s="326"/>
      <c r="V584" s="326"/>
      <c r="W584" s="323"/>
      <c r="X584" s="326"/>
      <c r="Y584" s="326"/>
      <c r="Z584" s="326"/>
      <c r="AA584" s="326"/>
      <c r="AB584" s="323"/>
      <c r="AC584" s="326"/>
      <c r="AD584" s="326"/>
      <c r="AE584" s="326"/>
      <c r="AF584" s="326"/>
      <c r="AG584" s="323"/>
      <c r="AH584" s="326"/>
      <c r="AI584" s="326"/>
      <c r="AJ584" s="326"/>
      <c r="AK584" s="326"/>
      <c r="AL584" s="323"/>
      <c r="AM584" s="326"/>
      <c r="AN584" s="326"/>
      <c r="AO584" s="326"/>
      <c r="AP584" s="326"/>
      <c r="AQ584" s="323"/>
      <c r="AR584" s="326"/>
      <c r="AS584" s="326"/>
      <c r="AT584" s="326"/>
      <c r="AU584" s="326"/>
      <c r="AV584" s="323"/>
      <c r="AW584" s="326"/>
      <c r="AX584" s="326"/>
      <c r="AY584" s="326"/>
      <c r="AZ584" s="326"/>
      <c r="BA584" s="323"/>
      <c r="BB584" s="326"/>
      <c r="BC584" s="326"/>
      <c r="BD584" s="326"/>
      <c r="BE584" s="326"/>
      <c r="BF584" s="323"/>
      <c r="BG584" s="326"/>
      <c r="BH584" s="326"/>
      <c r="BI584" s="326"/>
      <c r="BJ584" s="326"/>
      <c r="BK584" s="323"/>
      <c r="BL584" s="326"/>
      <c r="BM584" s="326"/>
      <c r="BN584" s="326"/>
      <c r="BO584" s="326"/>
      <c r="BP584" s="323"/>
      <c r="BQ584" s="326"/>
      <c r="BR584" s="326"/>
      <c r="BS584" s="326"/>
      <c r="BT584" s="326"/>
      <c r="BU584" s="323"/>
      <c r="BV584" s="326"/>
      <c r="BW584" s="326"/>
      <c r="BX584" s="326"/>
      <c r="BY584" s="326"/>
      <c r="BZ584" s="324"/>
      <c r="CA584" s="326"/>
      <c r="CB584" s="326"/>
      <c r="CC584" s="326"/>
      <c r="CD584" s="326"/>
      <c r="CE584" s="324">
        <f>SoftOP1/OtherSales</f>
        <v>-0.01711229947</v>
      </c>
      <c r="CF584" s="326">
        <f>SoftOP1/OtherSales</f>
        <v>0.0122591944</v>
      </c>
      <c r="CG584" s="326">
        <f>SoftOP1/OtherSales</f>
        <v>0.02389078498</v>
      </c>
      <c r="CH584" s="326">
        <f>SoftOP1/OtherSales</f>
        <v>0.006802721088</v>
      </c>
      <c r="CI584" s="326">
        <f>SoftOP1/OtherSales</f>
        <v>-0.05660377358</v>
      </c>
      <c r="CJ584" s="324">
        <f>SoftOP1/OtherSales</f>
        <v>-0.004619907602</v>
      </c>
      <c r="CK584" s="326">
        <f>SoftOP1/OtherSales</f>
        <v>-0.04081632653</v>
      </c>
      <c r="CL584" s="326">
        <f>SoftOP1/OtherSales</f>
        <v>-0.0131147541</v>
      </c>
      <c r="CM584" s="326">
        <f>SoftOP1/OtherSales</f>
        <v>-0.008051529791</v>
      </c>
      <c r="CN584" s="326">
        <f>SoftOP1/OtherSales</f>
        <v>0.05563689605</v>
      </c>
      <c r="CO584" s="324"/>
      <c r="CP584" s="326">
        <f>SoftOP1/OtherSales</f>
        <v>-0.01265822785</v>
      </c>
      <c r="CQ584" s="326">
        <f>SoftOP1/OtherSales</f>
        <v>0.01459854015</v>
      </c>
      <c r="CR584" s="326">
        <f>SoftOP1/OtherSales</f>
        <v>0.05197132616</v>
      </c>
      <c r="CS584" s="326">
        <f>SoftOP1/OtherSales</f>
        <v>0.04488330341</v>
      </c>
      <c r="CT584" s="324">
        <f>SoftOP1/OtherSales</f>
        <v>0.02481949458</v>
      </c>
      <c r="CU584" s="326">
        <f>SoftOP1/OtherSales</f>
        <v>0.005617977528</v>
      </c>
      <c r="CV584" s="326">
        <f>SoftOP1/OtherSales</f>
        <v>0.02623688156</v>
      </c>
      <c r="CW584" s="326">
        <f>SoftOP1/OtherSales</f>
        <v>0.1834532374</v>
      </c>
      <c r="CX584" s="326"/>
      <c r="CY584" s="324"/>
      <c r="CZ584" s="326"/>
      <c r="DA584" s="326"/>
      <c r="DB584" s="326"/>
      <c r="DC584" s="326"/>
      <c r="DD584" s="324"/>
      <c r="DE584" s="326"/>
      <c r="DF584" s="326"/>
      <c r="DG584" s="327"/>
      <c r="DH584" s="326"/>
      <c r="DI584" s="324"/>
      <c r="DJ584" s="327"/>
      <c r="DK584" s="327"/>
      <c r="DL584" s="327"/>
      <c r="DM584" s="326"/>
      <c r="DN584" s="324"/>
      <c r="DO584" s="326"/>
      <c r="DP584" s="326"/>
      <c r="DQ584" s="326"/>
      <c r="DR584" s="326"/>
      <c r="DS584" s="324"/>
      <c r="DT584" s="326"/>
      <c r="DU584" s="326"/>
      <c r="DV584" s="326"/>
      <c r="DW584" s="326"/>
      <c r="DX584" s="324"/>
      <c r="DY584" s="326"/>
      <c r="DZ584" s="326"/>
      <c r="EA584" s="326"/>
      <c r="EB584" s="326"/>
      <c r="EC584" s="324"/>
      <c r="ED584" s="326"/>
      <c r="EE584" s="326"/>
      <c r="EF584" s="326"/>
      <c r="EG584" s="326"/>
      <c r="EH584" s="324"/>
      <c r="EI584" s="361"/>
      <c r="EJ584" s="326"/>
      <c r="EK584" s="326"/>
      <c r="EL584" s="326"/>
      <c r="EM584" s="324"/>
      <c r="EN584" s="326"/>
      <c r="EO584" s="326"/>
      <c r="EP584" s="326"/>
      <c r="EQ584" s="326"/>
      <c r="ER584" s="324"/>
      <c r="ES584" s="326"/>
      <c r="ET584" s="326"/>
      <c r="EU584" s="326"/>
      <c r="EV584" s="326"/>
      <c r="EW584" s="324"/>
      <c r="EX584" s="326"/>
      <c r="EY584" s="326"/>
      <c r="EZ584" s="326"/>
      <c r="FA584" s="326"/>
      <c r="FB584" s="324"/>
      <c r="FC584" s="326"/>
      <c r="FD584" s="326"/>
      <c r="FE584" s="326"/>
      <c r="FF584" s="326"/>
      <c r="FG584" s="324"/>
      <c r="FH584" s="325"/>
      <c r="FI584" s="326"/>
      <c r="FJ584" s="326"/>
      <c r="FK584" s="323"/>
      <c r="FL584" s="326"/>
    </row>
    <row r="585" ht="12.75" hidden="1" customHeight="1" outlineLevel="1">
      <c r="A585" s="45"/>
      <c r="B585" s="215" t="str">
        <f t="shared" si="3109"/>
        <v>All Other</v>
      </c>
      <c r="C585" s="45"/>
      <c r="D585" s="326"/>
      <c r="E585" s="326"/>
      <c r="F585" s="326"/>
      <c r="G585" s="326"/>
      <c r="H585" s="323"/>
      <c r="I585" s="326"/>
      <c r="J585" s="326"/>
      <c r="K585" s="326"/>
      <c r="L585" s="326"/>
      <c r="M585" s="323"/>
      <c r="N585" s="326"/>
      <c r="O585" s="326"/>
      <c r="P585" s="326"/>
      <c r="Q585" s="326"/>
      <c r="R585" s="323"/>
      <c r="S585" s="326"/>
      <c r="T585" s="326"/>
      <c r="U585" s="326"/>
      <c r="V585" s="326"/>
      <c r="W585" s="323"/>
      <c r="X585" s="326"/>
      <c r="Y585" s="326"/>
      <c r="Z585" s="326"/>
      <c r="AA585" s="326"/>
      <c r="AB585" s="323"/>
      <c r="AC585" s="326"/>
      <c r="AD585" s="326"/>
      <c r="AE585" s="326"/>
      <c r="AF585" s="326"/>
      <c r="AG585" s="323"/>
      <c r="AH585" s="326"/>
      <c r="AI585" s="326"/>
      <c r="AJ585" s="326"/>
      <c r="AK585" s="326"/>
      <c r="AL585" s="323"/>
      <c r="AM585" s="326"/>
      <c r="AN585" s="326"/>
      <c r="AO585" s="326"/>
      <c r="AP585" s="326"/>
      <c r="AQ585" s="323"/>
      <c r="AR585" s="326"/>
      <c r="AS585" s="326"/>
      <c r="AT585" s="326"/>
      <c r="AU585" s="326"/>
      <c r="AV585" s="323"/>
      <c r="AW585" s="326"/>
      <c r="AX585" s="326"/>
      <c r="AY585" s="326"/>
      <c r="AZ585" s="326"/>
      <c r="BA585" s="323"/>
      <c r="BB585" s="326"/>
      <c r="BC585" s="326"/>
      <c r="BD585" s="326"/>
      <c r="BE585" s="326"/>
      <c r="BF585" s="323"/>
      <c r="BG585" s="326"/>
      <c r="BH585" s="326"/>
      <c r="BI585" s="326"/>
      <c r="BJ585" s="326"/>
      <c r="BK585" s="323"/>
      <c r="BL585" s="326"/>
      <c r="BM585" s="326"/>
      <c r="BN585" s="326"/>
      <c r="BO585" s="326"/>
      <c r="BP585" s="323"/>
      <c r="BQ585" s="326"/>
      <c r="BR585" s="326"/>
      <c r="BS585" s="326"/>
      <c r="BT585" s="326"/>
      <c r="BU585" s="323"/>
      <c r="BV585" s="326"/>
      <c r="BW585" s="326"/>
      <c r="BX585" s="326"/>
      <c r="BY585" s="326"/>
      <c r="BZ585" s="324"/>
      <c r="CA585" s="326"/>
      <c r="CB585" s="326"/>
      <c r="CC585" s="326"/>
      <c r="CD585" s="326"/>
      <c r="CE585" s="324">
        <f>OtherOP1/AllOtherSales</f>
        <v>-1.137193203</v>
      </c>
      <c r="CF585" s="326">
        <f>OtherOP1/AllOtherSales</f>
        <v>-1.435393258</v>
      </c>
      <c r="CG585" s="326">
        <f>OtherOP1/AllOtherSales</f>
        <v>-2.043887147</v>
      </c>
      <c r="CH585" s="326">
        <f>OtherOP1/AllOtherSales</f>
        <v>-1.177777778</v>
      </c>
      <c r="CI585" s="326">
        <f>OtherOP1/AllOtherSales</f>
        <v>-0.9445585216</v>
      </c>
      <c r="CJ585" s="324">
        <f>OtherOP1/AllOtherSales</f>
        <v>-1.340140396</v>
      </c>
      <c r="CK585" s="326">
        <f>OtherOP1/AllOtherSales</f>
        <v>-1.00228833</v>
      </c>
      <c r="CL585" s="326">
        <f>OtherOP1/AllOtherSales</f>
        <v>-1.331730769</v>
      </c>
      <c r="CM585" s="326">
        <f>OtherOP1/AllOtherSales</f>
        <v>-1.084677419</v>
      </c>
      <c r="CN585" s="326">
        <f>OtherOP1/AllOtherSales</f>
        <v>-1.487704918</v>
      </c>
      <c r="CO585" s="324"/>
      <c r="CP585" s="326">
        <f>OtherOP1/AllOtherSales</f>
        <v>-1.418348624</v>
      </c>
      <c r="CQ585" s="326">
        <f>OtherOP1/AllOtherSales</f>
        <v>-1.492</v>
      </c>
      <c r="CR585" s="326">
        <f>OtherOP1/AllOtherSales</f>
        <v>-1.102608696</v>
      </c>
      <c r="CS585" s="326">
        <f>OtherOP1/AllOtherSales</f>
        <v>-1.38961039</v>
      </c>
      <c r="CT585" s="324">
        <f>OtherOP1/AllOtherSales</f>
        <v>-1.345706619</v>
      </c>
      <c r="CU585" s="326">
        <f>OtherOP1/AllOtherSales</f>
        <v>-0.9528455285</v>
      </c>
      <c r="CV585" s="326">
        <f>OtherOP1/AllOtherSales</f>
        <v>-0.9902097902</v>
      </c>
      <c r="CW585" s="326">
        <f>OtherOP1/AllOtherSales</f>
        <v>-0.9105571848</v>
      </c>
      <c r="CX585" s="326"/>
      <c r="CY585" s="324"/>
      <c r="CZ585" s="326"/>
      <c r="DA585" s="326"/>
      <c r="DB585" s="326"/>
      <c r="DC585" s="326"/>
      <c r="DD585" s="324"/>
      <c r="DE585" s="326"/>
      <c r="DF585" s="326"/>
      <c r="DG585" s="327"/>
      <c r="DH585" s="326"/>
      <c r="DI585" s="324"/>
      <c r="DJ585" s="327"/>
      <c r="DK585" s="327"/>
      <c r="DL585" s="327"/>
      <c r="DM585" s="326"/>
      <c r="DN585" s="324"/>
      <c r="DO585" s="326"/>
      <c r="DP585" s="326"/>
      <c r="DQ585" s="326"/>
      <c r="DR585" s="326"/>
      <c r="DS585" s="324"/>
      <c r="DT585" s="326"/>
      <c r="DU585" s="326"/>
      <c r="DV585" s="326"/>
      <c r="DW585" s="326"/>
      <c r="DX585" s="324"/>
      <c r="DY585" s="326"/>
      <c r="DZ585" s="326"/>
      <c r="EA585" s="326"/>
      <c r="EB585" s="326"/>
      <c r="EC585" s="324"/>
      <c r="ED585" s="326"/>
      <c r="EE585" s="326"/>
      <c r="EF585" s="326"/>
      <c r="EG585" s="326"/>
      <c r="EH585" s="324"/>
      <c r="EI585" s="361"/>
      <c r="EJ585" s="326"/>
      <c r="EK585" s="326"/>
      <c r="EL585" s="326"/>
      <c r="EM585" s="324"/>
      <c r="EN585" s="326"/>
      <c r="EO585" s="326"/>
      <c r="EP585" s="326"/>
      <c r="EQ585" s="326"/>
      <c r="ER585" s="324"/>
      <c r="ES585" s="326"/>
      <c r="ET585" s="326"/>
      <c r="EU585" s="326"/>
      <c r="EV585" s="326"/>
      <c r="EW585" s="324"/>
      <c r="EX585" s="326"/>
      <c r="EY585" s="326"/>
      <c r="EZ585" s="326"/>
      <c r="FA585" s="326"/>
      <c r="FB585" s="324"/>
      <c r="FC585" s="326"/>
      <c r="FD585" s="326"/>
      <c r="FE585" s="326"/>
      <c r="FF585" s="326"/>
      <c r="FG585" s="324"/>
      <c r="FH585" s="325"/>
      <c r="FI585" s="326"/>
      <c r="FJ585" s="326"/>
      <c r="FK585" s="323"/>
      <c r="FL585" s="326"/>
    </row>
    <row r="586" ht="13.5" hidden="1" customHeight="1" outlineLevel="1">
      <c r="A586" s="4"/>
      <c r="B586" s="529" t="s">
        <v>300</v>
      </c>
      <c r="C586" s="164"/>
      <c r="D586" s="606"/>
      <c r="E586" s="606"/>
      <c r="F586" s="606"/>
      <c r="G586" s="606"/>
      <c r="H586" s="596"/>
      <c r="I586" s="606"/>
      <c r="J586" s="606"/>
      <c r="K586" s="606"/>
      <c r="L586" s="606"/>
      <c r="M586" s="596"/>
      <c r="N586" s="606"/>
      <c r="O586" s="606"/>
      <c r="P586" s="606"/>
      <c r="Q586" s="606"/>
      <c r="R586" s="596"/>
      <c r="S586" s="606"/>
      <c r="T586" s="606"/>
      <c r="U586" s="606"/>
      <c r="V586" s="606"/>
      <c r="W586" s="596"/>
      <c r="X586" s="606"/>
      <c r="Y586" s="606"/>
      <c r="Z586" s="606"/>
      <c r="AA586" s="606"/>
      <c r="AB586" s="596"/>
      <c r="AC586" s="606"/>
      <c r="AD586" s="606"/>
      <c r="AE586" s="606"/>
      <c r="AF586" s="606"/>
      <c r="AG586" s="596"/>
      <c r="AH586" s="606"/>
      <c r="AI586" s="606"/>
      <c r="AJ586" s="606"/>
      <c r="AK586" s="606"/>
      <c r="AL586" s="596"/>
      <c r="AM586" s="606"/>
      <c r="AN586" s="606"/>
      <c r="AO586" s="606"/>
      <c r="AP586" s="606"/>
      <c r="AQ586" s="596"/>
      <c r="AR586" s="606"/>
      <c r="AS586" s="606"/>
      <c r="AT586" s="606"/>
      <c r="AU586" s="606"/>
      <c r="AV586" s="596"/>
      <c r="AW586" s="606"/>
      <c r="AX586" s="606"/>
      <c r="AY586" s="606"/>
      <c r="AZ586" s="606"/>
      <c r="BA586" s="596"/>
      <c r="BB586" s="606"/>
      <c r="BC586" s="606"/>
      <c r="BD586" s="606"/>
      <c r="BE586" s="606"/>
      <c r="BF586" s="596"/>
      <c r="BG586" s="606"/>
      <c r="BH586" s="606"/>
      <c r="BI586" s="606"/>
      <c r="BJ586" s="606"/>
      <c r="BK586" s="596"/>
      <c r="BL586" s="606"/>
      <c r="BM586" s="606"/>
      <c r="BN586" s="606"/>
      <c r="BO586" s="606"/>
      <c r="BP586" s="596"/>
      <c r="BQ586" s="606"/>
      <c r="BR586" s="606"/>
      <c r="BS586" s="606"/>
      <c r="BT586" s="606"/>
      <c r="BU586" s="596"/>
      <c r="BV586" s="606"/>
      <c r="BW586" s="606"/>
      <c r="BX586" s="606"/>
      <c r="BY586" s="606"/>
      <c r="BZ586" s="597"/>
      <c r="CA586" s="606"/>
      <c r="CB586" s="606"/>
      <c r="CC586" s="606"/>
      <c r="CD586" s="606"/>
      <c r="CE586" s="597">
        <f>opMargins</f>
        <v>0.3236541417</v>
      </c>
      <c r="CF586" s="606">
        <f>opMargins</f>
        <v>0.2952115295</v>
      </c>
      <c r="CG586" s="606">
        <f>opMargins</f>
        <v>0.2838308273</v>
      </c>
      <c r="CH586" s="606">
        <f>opMargins</f>
        <v>0.2854276585</v>
      </c>
      <c r="CI586" s="606">
        <f>opMargins</f>
        <v>0.2341025451</v>
      </c>
      <c r="CJ586" s="597">
        <f>opMargins</f>
        <v>0.2744230517</v>
      </c>
      <c r="CK586" s="606">
        <f>opMargins</f>
        <v>0.2002384738</v>
      </c>
      <c r="CL586" s="606">
        <f>opMargins</f>
        <v>0.2122394817</v>
      </c>
      <c r="CM586" s="606">
        <f>opMargins</f>
        <v>0.2598828154</v>
      </c>
      <c r="CN586" s="606">
        <f>opMargins</f>
        <v>0.2565418534</v>
      </c>
      <c r="CO586" s="597"/>
      <c r="CP586" s="606">
        <f>opMargins</f>
        <v>0.1984487621</v>
      </c>
      <c r="CQ586" s="606">
        <f>opMargins</f>
        <v>0.2779263972</v>
      </c>
      <c r="CR586" s="606">
        <f>opMargins</f>
        <v>0.3119417342</v>
      </c>
      <c r="CS586" s="606">
        <f>opMargins</f>
        <v>0.3024930372</v>
      </c>
      <c r="CT586" s="597">
        <f>opMargins</f>
        <v>0.2775550385</v>
      </c>
      <c r="CU586" s="606">
        <f>opMargins</f>
        <v>0.204600579</v>
      </c>
      <c r="CV586" s="606">
        <f>opMargins</f>
        <v>0.2194770746</v>
      </c>
      <c r="CW586" s="606">
        <f>opMargins</f>
        <v>0.2898029727</v>
      </c>
      <c r="CX586" s="606"/>
      <c r="CY586" s="597"/>
      <c r="CZ586" s="606"/>
      <c r="DA586" s="606"/>
      <c r="DB586" s="606"/>
      <c r="DC586" s="606"/>
      <c r="DD586" s="597"/>
      <c r="DE586" s="606"/>
      <c r="DF586" s="606"/>
      <c r="DG586" s="40"/>
      <c r="DH586" s="606"/>
      <c r="DI586" s="597"/>
      <c r="DJ586" s="607"/>
      <c r="DK586" s="607"/>
      <c r="DL586" s="607"/>
      <c r="DM586" s="606"/>
      <c r="DN586" s="597"/>
      <c r="DO586" s="606"/>
      <c r="DP586" s="606"/>
      <c r="DQ586" s="606"/>
      <c r="DR586" s="606"/>
      <c r="DS586" s="597"/>
      <c r="DT586" s="606"/>
      <c r="DU586" s="606"/>
      <c r="DV586" s="606"/>
      <c r="DW586" s="606"/>
      <c r="DX586" s="597"/>
      <c r="DY586" s="606"/>
      <c r="DZ586" s="606"/>
      <c r="EA586" s="606"/>
      <c r="EB586" s="606"/>
      <c r="EC586" s="597"/>
      <c r="ED586" s="606"/>
      <c r="EE586" s="606"/>
      <c r="EF586" s="606"/>
      <c r="EG586" s="606"/>
      <c r="EH586" s="597"/>
      <c r="EI586" s="608"/>
      <c r="EJ586" s="606"/>
      <c r="EK586" s="606"/>
      <c r="EL586" s="606"/>
      <c r="EM586" s="597"/>
      <c r="EN586" s="606"/>
      <c r="EO586" s="606"/>
      <c r="EP586" s="606"/>
      <c r="EQ586" s="606"/>
      <c r="ER586" s="597"/>
      <c r="ES586" s="606"/>
      <c r="ET586" s="606"/>
      <c r="EU586" s="606"/>
      <c r="EV586" s="606"/>
      <c r="EW586" s="597"/>
      <c r="EX586" s="606"/>
      <c r="EY586" s="606"/>
      <c r="EZ586" s="606"/>
      <c r="FA586" s="606"/>
      <c r="FB586" s="597"/>
      <c r="FC586" s="606"/>
      <c r="FD586" s="606"/>
      <c r="FE586" s="606"/>
      <c r="FF586" s="606"/>
      <c r="FG586" s="597"/>
      <c r="FH586" s="595"/>
      <c r="FI586" s="606"/>
      <c r="FJ586" s="606"/>
      <c r="FK586" s="596"/>
      <c r="FL586" s="606"/>
    </row>
    <row r="587" ht="12.75" hidden="1" customHeight="1" outlineLevel="1">
      <c r="A587" s="4"/>
      <c r="B587" s="344"/>
      <c r="C587" s="112"/>
      <c r="D587" s="15"/>
      <c r="E587" s="15"/>
      <c r="F587" s="15"/>
      <c r="G587" s="15"/>
      <c r="H587" s="410"/>
      <c r="I587" s="15"/>
      <c r="J587" s="15"/>
      <c r="K587" s="15"/>
      <c r="L587" s="15"/>
      <c r="M587" s="410"/>
      <c r="N587" s="15"/>
      <c r="O587" s="15"/>
      <c r="P587" s="15"/>
      <c r="Q587" s="15"/>
      <c r="R587" s="410"/>
      <c r="S587" s="15"/>
      <c r="T587" s="15"/>
      <c r="U587" s="15"/>
      <c r="V587" s="15"/>
      <c r="W587" s="410"/>
      <c r="X587" s="15"/>
      <c r="Y587" s="15"/>
      <c r="Z587" s="15"/>
      <c r="AA587" s="15"/>
      <c r="AB587" s="410"/>
      <c r="AC587" s="15"/>
      <c r="AD587" s="15"/>
      <c r="AE587" s="15"/>
      <c r="AF587" s="15"/>
      <c r="AG587" s="410"/>
      <c r="AH587" s="15"/>
      <c r="AI587" s="15"/>
      <c r="AJ587" s="15"/>
      <c r="AK587" s="15"/>
      <c r="AL587" s="410"/>
      <c r="AM587" s="15"/>
      <c r="AN587" s="15"/>
      <c r="AO587" s="15"/>
      <c r="AP587" s="15"/>
      <c r="AQ587" s="410"/>
      <c r="AR587" s="15"/>
      <c r="AS587" s="15"/>
      <c r="AT587" s="15"/>
      <c r="AU587" s="15"/>
      <c r="AV587" s="410"/>
      <c r="AW587" s="15"/>
      <c r="AX587" s="15"/>
      <c r="AY587" s="15"/>
      <c r="AZ587" s="15"/>
      <c r="BA587" s="410"/>
      <c r="BB587" s="15"/>
      <c r="BC587" s="15"/>
      <c r="BD587" s="15"/>
      <c r="BE587" s="15"/>
      <c r="BF587" s="410"/>
      <c r="BG587" s="15"/>
      <c r="BH587" s="15"/>
      <c r="BI587" s="15"/>
      <c r="BJ587" s="15"/>
      <c r="BK587" s="410"/>
      <c r="BL587" s="15"/>
      <c r="BM587" s="15"/>
      <c r="BN587" s="15"/>
      <c r="BO587" s="15"/>
      <c r="BP587" s="410"/>
      <c r="BQ587" s="15"/>
      <c r="BR587" s="15"/>
      <c r="BS587" s="15"/>
      <c r="BT587" s="15"/>
      <c r="BU587" s="410"/>
      <c r="BV587" s="15"/>
      <c r="BW587" s="15"/>
      <c r="BX587" s="15"/>
      <c r="BY587" s="15"/>
      <c r="BZ587" s="24"/>
      <c r="CA587" s="15"/>
      <c r="CB587" s="15"/>
      <c r="CC587" s="15"/>
      <c r="CD587" s="15"/>
      <c r="CE587" s="24"/>
      <c r="CF587" s="15"/>
      <c r="CG587" s="15"/>
      <c r="CH587" s="15"/>
      <c r="CI587" s="15"/>
      <c r="CJ587" s="24"/>
      <c r="CK587" s="15"/>
      <c r="CL587" s="15"/>
      <c r="CM587" s="15"/>
      <c r="CN587" s="40"/>
      <c r="CO587" s="24"/>
      <c r="CP587" s="40"/>
      <c r="CQ587" s="15"/>
      <c r="CR587" s="15"/>
      <c r="CS587" s="15"/>
      <c r="CT587" s="24"/>
      <c r="CU587" s="15"/>
      <c r="CV587" s="15"/>
      <c r="CW587" s="15"/>
      <c r="CX587" s="15"/>
      <c r="CY587" s="24"/>
      <c r="CZ587" s="15"/>
      <c r="DA587" s="15"/>
      <c r="DB587" s="15"/>
      <c r="DC587" s="15"/>
      <c r="DD587" s="24"/>
      <c r="DE587" s="15"/>
      <c r="DF587" s="15"/>
      <c r="DG587" s="40"/>
      <c r="DH587" s="15"/>
      <c r="DI587" s="24"/>
      <c r="DJ587" s="40"/>
      <c r="DK587" s="40"/>
      <c r="DL587" s="40"/>
      <c r="DM587" s="15"/>
      <c r="DN587" s="24"/>
      <c r="DO587" s="15"/>
      <c r="DP587" s="15"/>
      <c r="DQ587" s="15"/>
      <c r="DR587" s="15"/>
      <c r="DS587" s="24"/>
      <c r="DT587" s="15"/>
      <c r="DU587" s="15"/>
      <c r="DV587" s="15"/>
      <c r="DW587" s="15"/>
      <c r="DX587" s="24"/>
      <c r="DY587" s="15"/>
      <c r="DZ587" s="15"/>
      <c r="EA587" s="15"/>
      <c r="EB587" s="15"/>
      <c r="EC587" s="24"/>
      <c r="ED587" s="15"/>
      <c r="EE587" s="15"/>
      <c r="EF587" s="15"/>
      <c r="EG587" s="15"/>
      <c r="EH587" s="24"/>
      <c r="EI587" s="82"/>
      <c r="EJ587" s="15"/>
      <c r="EK587" s="15"/>
      <c r="EL587" s="15"/>
      <c r="EM587" s="24"/>
      <c r="EN587" s="15"/>
      <c r="EO587" s="15"/>
      <c r="EP587" s="15"/>
      <c r="EQ587" s="15"/>
      <c r="ER587" s="24"/>
      <c r="ES587" s="15"/>
      <c r="ET587" s="15"/>
      <c r="EU587" s="15"/>
      <c r="EV587" s="15"/>
      <c r="EW587" s="24"/>
      <c r="EX587" s="15"/>
      <c r="EY587" s="15"/>
      <c r="EZ587" s="15"/>
      <c r="FA587" s="15"/>
      <c r="FB587" s="24"/>
      <c r="FC587" s="15"/>
      <c r="FD587" s="15"/>
      <c r="FE587" s="15"/>
      <c r="FF587" s="15"/>
      <c r="FG587" s="24"/>
      <c r="FH587" s="104"/>
      <c r="FI587" s="15"/>
      <c r="FJ587" s="15"/>
      <c r="FK587" s="410"/>
      <c r="FL587" s="15"/>
    </row>
    <row r="588" ht="12.75" hidden="1" customHeight="1" outlineLevel="2">
      <c r="A588" s="4"/>
      <c r="B588" s="601" t="s">
        <v>301</v>
      </c>
      <c r="C588" s="45"/>
      <c r="D588" s="15"/>
      <c r="E588" s="15"/>
      <c r="F588" s="15"/>
      <c r="G588" s="15"/>
      <c r="H588" s="410"/>
      <c r="I588" s="15"/>
      <c r="J588" s="15"/>
      <c r="K588" s="15"/>
      <c r="L588" s="15"/>
      <c r="M588" s="410"/>
      <c r="N588" s="15"/>
      <c r="O588" s="15"/>
      <c r="P588" s="15"/>
      <c r="Q588" s="15"/>
      <c r="R588" s="410"/>
      <c r="S588" s="15"/>
      <c r="T588" s="15"/>
      <c r="U588" s="15"/>
      <c r="V588" s="15"/>
      <c r="W588" s="410"/>
      <c r="X588" s="15"/>
      <c r="Y588" s="15"/>
      <c r="Z588" s="15"/>
      <c r="AA588" s="15"/>
      <c r="AB588" s="410"/>
      <c r="AC588" s="15"/>
      <c r="AD588" s="15"/>
      <c r="AE588" s="15"/>
      <c r="AF588" s="15"/>
      <c r="AG588" s="410"/>
      <c r="AH588" s="15"/>
      <c r="AI588" s="15"/>
      <c r="AJ588" s="15"/>
      <c r="AK588" s="15"/>
      <c r="AL588" s="410"/>
      <c r="AM588" s="15"/>
      <c r="AN588" s="15"/>
      <c r="AO588" s="15"/>
      <c r="AP588" s="15"/>
      <c r="AQ588" s="410"/>
      <c r="AR588" s="15"/>
      <c r="AS588" s="15"/>
      <c r="AT588" s="15"/>
      <c r="AU588" s="15"/>
      <c r="AV588" s="410"/>
      <c r="AW588" s="15"/>
      <c r="AX588" s="15"/>
      <c r="AY588" s="15"/>
      <c r="AZ588" s="15"/>
      <c r="BA588" s="410"/>
      <c r="BB588" s="15"/>
      <c r="BC588" s="15"/>
      <c r="BD588" s="15"/>
      <c r="BE588" s="15"/>
      <c r="BF588" s="410"/>
      <c r="BG588" s="15"/>
      <c r="BH588" s="15"/>
      <c r="BI588" s="15"/>
      <c r="BJ588" s="15"/>
      <c r="BK588" s="410"/>
      <c r="BL588" s="15"/>
      <c r="BM588" s="15"/>
      <c r="BN588" s="15"/>
      <c r="BO588" s="15"/>
      <c r="BP588" s="410"/>
      <c r="BQ588" s="15"/>
      <c r="BR588" s="15"/>
      <c r="BS588" s="15"/>
      <c r="BT588" s="15"/>
      <c r="BU588" s="410"/>
      <c r="BV588" s="15"/>
      <c r="BW588" s="15"/>
      <c r="BX588" s="15"/>
      <c r="BY588" s="15"/>
      <c r="BZ588" s="24"/>
      <c r="CA588" s="15"/>
      <c r="CB588" s="15"/>
      <c r="CC588" s="15"/>
      <c r="CD588" s="15"/>
      <c r="CE588" s="24"/>
      <c r="CF588" s="15"/>
      <c r="CG588" s="15"/>
      <c r="CH588" s="15"/>
      <c r="CI588" s="15"/>
      <c r="CJ588" s="24"/>
      <c r="CK588" s="15"/>
      <c r="CL588" s="15"/>
      <c r="CM588" s="15"/>
      <c r="CN588" s="40"/>
      <c r="CO588" s="24"/>
      <c r="CP588" s="40"/>
      <c r="CQ588" s="15"/>
      <c r="CR588" s="15"/>
      <c r="CS588" s="15"/>
      <c r="CT588" s="24"/>
      <c r="CU588" s="15"/>
      <c r="CV588" s="15"/>
      <c r="CW588" s="15"/>
      <c r="CX588" s="15"/>
      <c r="CY588" s="24"/>
      <c r="CZ588" s="15"/>
      <c r="DA588" s="15"/>
      <c r="DB588" s="15"/>
      <c r="DC588" s="15"/>
      <c r="DD588" s="24"/>
      <c r="DE588" s="15"/>
      <c r="DF588" s="15"/>
      <c r="DG588" s="40"/>
      <c r="DH588" s="15"/>
      <c r="DI588" s="24"/>
      <c r="DJ588" s="40"/>
      <c r="DK588" s="40"/>
      <c r="DL588" s="40"/>
      <c r="DM588" s="15"/>
      <c r="DN588" s="24"/>
      <c r="DO588" s="15"/>
      <c r="DP588" s="15"/>
      <c r="DQ588" s="15"/>
      <c r="DR588" s="15"/>
      <c r="DS588" s="24"/>
      <c r="DT588" s="15"/>
      <c r="DU588" s="15"/>
      <c r="DV588" s="15"/>
      <c r="DW588" s="15"/>
      <c r="DX588" s="24"/>
      <c r="DY588" s="15"/>
      <c r="DZ588" s="15"/>
      <c r="EA588" s="15"/>
      <c r="EB588" s="15"/>
      <c r="EC588" s="24"/>
      <c r="ED588" s="15"/>
      <c r="EE588" s="15"/>
      <c r="EF588" s="15"/>
      <c r="EG588" s="15"/>
      <c r="EH588" s="24"/>
      <c r="EI588" s="82"/>
      <c r="EJ588" s="15"/>
      <c r="EK588" s="15"/>
      <c r="EL588" s="15"/>
      <c r="EM588" s="24"/>
      <c r="EN588" s="15"/>
      <c r="EO588" s="15"/>
      <c r="EP588" s="15"/>
      <c r="EQ588" s="15"/>
      <c r="ER588" s="24"/>
      <c r="ES588" s="15"/>
      <c r="ET588" s="15"/>
      <c r="EU588" s="15"/>
      <c r="EV588" s="15"/>
      <c r="EW588" s="24"/>
      <c r="EX588" s="15"/>
      <c r="EY588" s="15"/>
      <c r="EZ588" s="15"/>
      <c r="FA588" s="15"/>
      <c r="FB588" s="24"/>
      <c r="FC588" s="15"/>
      <c r="FD588" s="15"/>
      <c r="FE588" s="15"/>
      <c r="FF588" s="15"/>
      <c r="FG588" s="24"/>
      <c r="FH588" s="104"/>
      <c r="FI588" s="15"/>
      <c r="FJ588" s="15"/>
      <c r="FK588" s="410"/>
      <c r="FL588" s="15"/>
    </row>
    <row r="589" ht="12.75" hidden="1" customHeight="1" outlineLevel="2">
      <c r="A589" s="4"/>
      <c r="B589" s="578" t="s">
        <v>274</v>
      </c>
      <c r="C589" s="299"/>
      <c r="D589" s="413"/>
      <c r="E589" s="413"/>
      <c r="F589" s="413"/>
      <c r="G589" s="413"/>
      <c r="H589" s="90"/>
      <c r="I589" s="413"/>
      <c r="J589" s="413"/>
      <c r="K589" s="413"/>
      <c r="L589" s="413"/>
      <c r="M589" s="90"/>
      <c r="N589" s="413"/>
      <c r="O589" s="413"/>
      <c r="P589" s="413"/>
      <c r="Q589" s="413"/>
      <c r="R589" s="90"/>
      <c r="S589" s="413"/>
      <c r="T589" s="413"/>
      <c r="U589" s="413"/>
      <c r="V589" s="413"/>
      <c r="W589" s="90"/>
      <c r="X589" s="413"/>
      <c r="Y589" s="413"/>
      <c r="Z589" s="413"/>
      <c r="AA589" s="413"/>
      <c r="AB589" s="90"/>
      <c r="AC589" s="413"/>
      <c r="AD589" s="413"/>
      <c r="AE589" s="413"/>
      <c r="AF589" s="413"/>
      <c r="AG589" s="90"/>
      <c r="AH589" s="413"/>
      <c r="AI589" s="413"/>
      <c r="AJ589" s="413"/>
      <c r="AK589" s="413"/>
      <c r="AL589" s="90"/>
      <c r="AM589" s="413"/>
      <c r="AN589" s="413"/>
      <c r="AO589" s="413"/>
      <c r="AP589" s="413"/>
      <c r="AQ589" s="90"/>
      <c r="AR589" s="413"/>
      <c r="AS589" s="413"/>
      <c r="AT589" s="413"/>
      <c r="AU589" s="413"/>
      <c r="AV589" s="90"/>
      <c r="AW589" s="413"/>
      <c r="AX589" s="413"/>
      <c r="AY589" s="413"/>
      <c r="AZ589" s="413"/>
      <c r="BA589" s="90"/>
      <c r="BB589" s="413"/>
      <c r="BC589" s="413"/>
      <c r="BD589" s="413"/>
      <c r="BE589" s="413"/>
      <c r="BF589" s="90"/>
      <c r="BG589" s="413"/>
      <c r="BH589" s="413"/>
      <c r="BI589" s="413"/>
      <c r="BJ589" s="413"/>
      <c r="BK589" s="90"/>
      <c r="BL589" s="413"/>
      <c r="BM589" s="413"/>
      <c r="BN589" s="413"/>
      <c r="BO589" s="413"/>
      <c r="BP589" s="90"/>
      <c r="BQ589" s="413"/>
      <c r="BR589" s="413"/>
      <c r="BS589" s="413"/>
      <c r="BT589" s="413"/>
      <c r="BU589" s="90"/>
      <c r="BV589" s="413"/>
      <c r="BW589" s="413"/>
      <c r="BX589" s="413"/>
      <c r="BY589" s="413"/>
      <c r="BZ589" s="417"/>
      <c r="CA589" s="413"/>
      <c r="CB589" s="413"/>
      <c r="CC589" s="413"/>
      <c r="CD589" s="413"/>
      <c r="CE589" s="417"/>
      <c r="CF589" s="413"/>
      <c r="CG589" s="413"/>
      <c r="CH589" s="413"/>
      <c r="CI589" s="413"/>
      <c r="CJ589" s="417"/>
      <c r="CK589" s="413"/>
      <c r="CL589" s="413"/>
      <c r="CM589" s="413"/>
      <c r="CN589" s="416"/>
      <c r="CO589" s="417"/>
      <c r="CP589" s="416"/>
      <c r="CQ589" s="413"/>
      <c r="CR589" s="413"/>
      <c r="CS589" s="413"/>
      <c r="CT589" s="417"/>
      <c r="CU589" s="413"/>
      <c r="CV589" s="413"/>
      <c r="CW589" s="413"/>
      <c r="CX589" s="413"/>
      <c r="CY589" s="417"/>
      <c r="CZ589" s="413"/>
      <c r="DA589" s="413"/>
      <c r="DB589" s="413"/>
      <c r="DC589" s="413"/>
      <c r="DD589" s="417"/>
      <c r="DE589" s="413"/>
      <c r="DF589" s="413"/>
      <c r="DG589" s="40"/>
      <c r="DH589" s="413"/>
      <c r="DI589" s="417"/>
      <c r="DJ589" s="416"/>
      <c r="DK589" s="416"/>
      <c r="DL589" s="416"/>
      <c r="DM589" s="413"/>
      <c r="DN589" s="417"/>
      <c r="DO589" s="413"/>
      <c r="DP589" s="413"/>
      <c r="DQ589" s="413"/>
      <c r="DR589" s="413"/>
      <c r="DS589" s="417"/>
      <c r="DT589" s="413"/>
      <c r="DU589" s="413"/>
      <c r="DV589" s="413"/>
      <c r="DW589" s="413"/>
      <c r="DX589" s="417"/>
      <c r="DY589" s="413"/>
      <c r="DZ589" s="413"/>
      <c r="EA589" s="413"/>
      <c r="EB589" s="413"/>
      <c r="EC589" s="417"/>
      <c r="ED589" s="413"/>
      <c r="EE589" s="413"/>
      <c r="EF589" s="413"/>
      <c r="EG589" s="413"/>
      <c r="EH589" s="417"/>
      <c r="EI589" s="420"/>
      <c r="EJ589" s="413"/>
      <c r="EK589" s="413"/>
      <c r="EL589" s="413"/>
      <c r="EM589" s="417"/>
      <c r="EN589" s="413"/>
      <c r="EO589" s="413"/>
      <c r="EP589" s="413"/>
      <c r="EQ589" s="413"/>
      <c r="ER589" s="417"/>
      <c r="ES589" s="413"/>
      <c r="ET589" s="413"/>
      <c r="EU589" s="413"/>
      <c r="EV589" s="413"/>
      <c r="EW589" s="417"/>
      <c r="EX589" s="413"/>
      <c r="EY589" s="413"/>
      <c r="EZ589" s="413"/>
      <c r="FA589" s="413"/>
      <c r="FB589" s="417"/>
      <c r="FC589" s="413"/>
      <c r="FD589" s="413"/>
      <c r="FE589" s="413"/>
      <c r="FF589" s="413"/>
      <c r="FG589" s="417"/>
      <c r="FH589" s="135"/>
      <c r="FI589" s="413"/>
      <c r="FJ589" s="413"/>
      <c r="FK589" s="90"/>
      <c r="FL589" s="413"/>
    </row>
    <row r="590" ht="12.75" hidden="1" customHeight="1" outlineLevel="2">
      <c r="A590" s="4"/>
      <c r="B590" s="609" t="s">
        <v>302</v>
      </c>
      <c r="C590" s="610"/>
      <c r="D590" s="611"/>
      <c r="E590" s="611"/>
      <c r="F590" s="611"/>
      <c r="G590" s="611"/>
      <c r="H590" s="612"/>
      <c r="I590" s="611"/>
      <c r="J590" s="611"/>
      <c r="K590" s="611"/>
      <c r="L590" s="611"/>
      <c r="M590" s="612"/>
      <c r="N590" s="611"/>
      <c r="O590" s="611"/>
      <c r="P590" s="611"/>
      <c r="Q590" s="611"/>
      <c r="R590" s="612"/>
      <c r="S590" s="611"/>
      <c r="T590" s="611"/>
      <c r="U590" s="611"/>
      <c r="V590" s="611"/>
      <c r="W590" s="612"/>
      <c r="X590" s="611"/>
      <c r="Y590" s="611"/>
      <c r="Z590" s="611"/>
      <c r="AA590" s="611"/>
      <c r="AB590" s="612"/>
      <c r="AC590" s="611"/>
      <c r="AD590" s="611"/>
      <c r="AE590" s="611"/>
      <c r="AF590" s="611"/>
      <c r="AG590" s="612"/>
      <c r="AH590" s="611"/>
      <c r="AI590" s="611"/>
      <c r="AJ590" s="611"/>
      <c r="AK590" s="611"/>
      <c r="AL590" s="612"/>
      <c r="AM590" s="611"/>
      <c r="AN590" s="611"/>
      <c r="AO590" s="611"/>
      <c r="AP590" s="611"/>
      <c r="AQ590" s="612"/>
      <c r="AR590" s="611"/>
      <c r="AS590" s="611"/>
      <c r="AT590" s="611"/>
      <c r="AU590" s="611"/>
      <c r="AV590" s="612"/>
      <c r="AW590" s="611"/>
      <c r="AX590" s="611"/>
      <c r="AY590" s="611"/>
      <c r="AZ590" s="611"/>
      <c r="BA590" s="612"/>
      <c r="BB590" s="611"/>
      <c r="BC590" s="611"/>
      <c r="BD590" s="611"/>
      <c r="BE590" s="611"/>
      <c r="BF590" s="612"/>
      <c r="BG590" s="611"/>
      <c r="BH590" s="611"/>
      <c r="BI590" s="611"/>
      <c r="BJ590" s="611"/>
      <c r="BK590" s="612"/>
      <c r="BL590" s="611"/>
      <c r="BM590" s="611"/>
      <c r="BN590" s="611"/>
      <c r="BO590" s="611"/>
      <c r="BP590" s="612"/>
      <c r="BQ590" s="611"/>
      <c r="BR590" s="611"/>
      <c r="BS590" s="611"/>
      <c r="BT590" s="611"/>
      <c r="BU590" s="612"/>
      <c r="BV590" s="611">
        <v>355.0</v>
      </c>
      <c r="BW590" s="611">
        <v>413.0</v>
      </c>
      <c r="BX590" s="611">
        <v>396.0</v>
      </c>
      <c r="BY590" s="611">
        <v>391.0</v>
      </c>
      <c r="BZ590" s="613">
        <f t="shared" ref="BZ590:BZ596" si="3110">SUM(BV590:BY590)</f>
        <v>1555</v>
      </c>
      <c r="CA590" s="611">
        <v>370.0</v>
      </c>
      <c r="CB590" s="611">
        <v>352.0</v>
      </c>
      <c r="CC590" s="611">
        <v>269.0</v>
      </c>
      <c r="CD590" s="611">
        <v>167.0</v>
      </c>
      <c r="CE590" s="613">
        <f t="shared" ref="CE590:CE597" si="3111">SUM(CA590:CD590)</f>
        <v>1158</v>
      </c>
      <c r="CF590" s="611"/>
      <c r="CG590" s="611"/>
      <c r="CH590" s="611"/>
      <c r="CI590" s="611"/>
      <c r="CJ590" s="613"/>
      <c r="CK590" s="611"/>
      <c r="CL590" s="611"/>
      <c r="CM590" s="611"/>
      <c r="CN590" s="614"/>
      <c r="CO590" s="613"/>
      <c r="CP590" s="614"/>
      <c r="CQ590" s="611"/>
      <c r="CR590" s="611"/>
      <c r="CS590" s="611"/>
      <c r="CT590" s="613"/>
      <c r="CU590" s="611"/>
      <c r="CV590" s="611"/>
      <c r="CW590" s="611"/>
      <c r="CX590" s="611"/>
      <c r="CY590" s="613"/>
      <c r="CZ590" s="611"/>
      <c r="DA590" s="611"/>
      <c r="DB590" s="611"/>
      <c r="DC590" s="611"/>
      <c r="DD590" s="613"/>
      <c r="DE590" s="611"/>
      <c r="DF590" s="611"/>
      <c r="DG590" s="19"/>
      <c r="DH590" s="611"/>
      <c r="DI590" s="613"/>
      <c r="DJ590" s="614"/>
      <c r="DK590" s="614"/>
      <c r="DL590" s="614"/>
      <c r="DM590" s="611"/>
      <c r="DN590" s="613"/>
      <c r="DO590" s="611"/>
      <c r="DP590" s="611"/>
      <c r="DQ590" s="611"/>
      <c r="DR590" s="611"/>
      <c r="DS590" s="613"/>
      <c r="DT590" s="611"/>
      <c r="DU590" s="611"/>
      <c r="DV590" s="611"/>
      <c r="DW590" s="611"/>
      <c r="DX590" s="613"/>
      <c r="DY590" s="611"/>
      <c r="DZ590" s="611"/>
      <c r="EA590" s="611"/>
      <c r="EB590" s="611"/>
      <c r="EC590" s="613"/>
      <c r="ED590" s="611"/>
      <c r="EE590" s="611"/>
      <c r="EF590" s="611"/>
      <c r="EG590" s="611"/>
      <c r="EH590" s="613"/>
      <c r="EI590" s="615"/>
      <c r="EJ590" s="611"/>
      <c r="EK590" s="611"/>
      <c r="EL590" s="611"/>
      <c r="EM590" s="613"/>
      <c r="EN590" s="611"/>
      <c r="EO590" s="611"/>
      <c r="EP590" s="611"/>
      <c r="EQ590" s="611"/>
      <c r="ER590" s="613"/>
      <c r="ES590" s="611"/>
      <c r="ET590" s="611"/>
      <c r="EU590" s="611"/>
      <c r="EV590" s="611"/>
      <c r="EW590" s="613"/>
      <c r="EX590" s="611"/>
      <c r="EY590" s="611"/>
      <c r="EZ590" s="611"/>
      <c r="FA590" s="611"/>
      <c r="FB590" s="613"/>
      <c r="FC590" s="611"/>
      <c r="FD590" s="611"/>
      <c r="FE590" s="611"/>
      <c r="FF590" s="611"/>
      <c r="FG590" s="613"/>
      <c r="FH590" s="616"/>
      <c r="FI590" s="611"/>
      <c r="FJ590" s="611"/>
      <c r="FK590" s="612"/>
      <c r="FL590" s="611"/>
    </row>
    <row r="591" ht="12.75" hidden="1" customHeight="1" outlineLevel="2">
      <c r="A591" s="4"/>
      <c r="B591" s="72" t="s">
        <v>277</v>
      </c>
      <c r="C591" s="45"/>
      <c r="D591" s="17"/>
      <c r="E591" s="17"/>
      <c r="F591" s="17"/>
      <c r="G591" s="17"/>
      <c r="H591" s="73"/>
      <c r="I591" s="17"/>
      <c r="J591" s="17"/>
      <c r="K591" s="17"/>
      <c r="L591" s="17"/>
      <c r="M591" s="73"/>
      <c r="N591" s="17"/>
      <c r="O591" s="17"/>
      <c r="P591" s="17"/>
      <c r="Q591" s="17"/>
      <c r="R591" s="73"/>
      <c r="S591" s="17"/>
      <c r="T591" s="17"/>
      <c r="U591" s="17"/>
      <c r="V591" s="17"/>
      <c r="W591" s="73"/>
      <c r="X591" s="17"/>
      <c r="Y591" s="17"/>
      <c r="Z591" s="17"/>
      <c r="AA591" s="17"/>
      <c r="AB591" s="73"/>
      <c r="AC591" s="17"/>
      <c r="AD591" s="17"/>
      <c r="AE591" s="17"/>
      <c r="AF591" s="17"/>
      <c r="AG591" s="73"/>
      <c r="AH591" s="17"/>
      <c r="AI591" s="17"/>
      <c r="AJ591" s="17"/>
      <c r="AK591" s="17"/>
      <c r="AL591" s="73"/>
      <c r="AM591" s="17"/>
      <c r="AN591" s="17"/>
      <c r="AO591" s="17"/>
      <c r="AP591" s="17"/>
      <c r="AQ591" s="73"/>
      <c r="AR591" s="17"/>
      <c r="AS591" s="17"/>
      <c r="AT591" s="17"/>
      <c r="AU591" s="17"/>
      <c r="AV591" s="73"/>
      <c r="AW591" s="17"/>
      <c r="AX591" s="17"/>
      <c r="AY591" s="17"/>
      <c r="AZ591" s="17"/>
      <c r="BA591" s="73"/>
      <c r="BB591" s="17"/>
      <c r="BC591" s="17"/>
      <c r="BD591" s="17"/>
      <c r="BE591" s="17"/>
      <c r="BF591" s="73"/>
      <c r="BG591" s="17"/>
      <c r="BH591" s="17"/>
      <c r="BI591" s="17"/>
      <c r="BJ591" s="17"/>
      <c r="BK591" s="73"/>
      <c r="BL591" s="17"/>
      <c r="BM591" s="17"/>
      <c r="BN591" s="17"/>
      <c r="BO591" s="17"/>
      <c r="BP591" s="73"/>
      <c r="BQ591" s="17"/>
      <c r="BR591" s="17"/>
      <c r="BS591" s="17"/>
      <c r="BT591" s="17"/>
      <c r="BU591" s="73"/>
      <c r="BV591" s="17">
        <v>5692.0</v>
      </c>
      <c r="BW591" s="17">
        <v>5902.0</v>
      </c>
      <c r="BX591" s="17">
        <v>6072.0</v>
      </c>
      <c r="BY591" s="17">
        <v>6116.0</v>
      </c>
      <c r="BZ591" s="18">
        <f t="shared" si="3110"/>
        <v>23782</v>
      </c>
      <c r="CA591" s="17">
        <v>6823.0</v>
      </c>
      <c r="CB591" s="17">
        <v>6533.0</v>
      </c>
      <c r="CC591" s="17">
        <v>7521.0</v>
      </c>
      <c r="CD591" s="17">
        <f>CD593-CD592</f>
        <v>7282.835</v>
      </c>
      <c r="CE591" s="18">
        <f t="shared" si="3111"/>
        <v>28159.835</v>
      </c>
      <c r="CF591" s="17">
        <f t="shared" ref="CF591:CI591" si="3112">CF593-CF592</f>
        <v>6803.055</v>
      </c>
      <c r="CG591" s="17">
        <f t="shared" si="3112"/>
        <v>6990.62</v>
      </c>
      <c r="CH591" s="17">
        <f t="shared" si="3112"/>
        <v>6949.565</v>
      </c>
      <c r="CI591" s="17">
        <f t="shared" si="3112"/>
        <v>6847.33</v>
      </c>
      <c r="CJ591" s="18">
        <f t="shared" ref="CJ591:CJ601" si="3115">SUM(CF591:CI591)</f>
        <v>27590.57</v>
      </c>
      <c r="CK591" s="17">
        <f t="shared" ref="CK591:CM591" si="3113">CK593-CK592</f>
        <v>6433.56</v>
      </c>
      <c r="CL591" s="17">
        <f t="shared" si="3113"/>
        <v>6520.5</v>
      </c>
      <c r="CM591" s="17" t="str">
        <f t="shared" si="3113"/>
        <v>#REF!</v>
      </c>
      <c r="CN591" s="19"/>
      <c r="CO591" s="18"/>
      <c r="CP591" s="19"/>
      <c r="CQ591" s="17"/>
      <c r="CR591" s="17"/>
      <c r="CS591" s="17"/>
      <c r="CT591" s="18"/>
      <c r="CU591" s="17"/>
      <c r="CV591" s="17"/>
      <c r="CW591" s="17"/>
      <c r="CX591" s="17"/>
      <c r="CY591" s="18"/>
      <c r="CZ591" s="17"/>
      <c r="DA591" s="17"/>
      <c r="DB591" s="17"/>
      <c r="DC591" s="17"/>
      <c r="DD591" s="18"/>
      <c r="DE591" s="17"/>
      <c r="DF591" s="17"/>
      <c r="DG591" s="19"/>
      <c r="DH591" s="17"/>
      <c r="DI591" s="18"/>
      <c r="DJ591" s="19"/>
      <c r="DK591" s="19"/>
      <c r="DL591" s="19"/>
      <c r="DM591" s="17"/>
      <c r="DN591" s="18"/>
      <c r="DO591" s="17"/>
      <c r="DP591" s="17"/>
      <c r="DQ591" s="17"/>
      <c r="DR591" s="17"/>
      <c r="DS591" s="18"/>
      <c r="DT591" s="17"/>
      <c r="DU591" s="17"/>
      <c r="DV591" s="17"/>
      <c r="DW591" s="17"/>
      <c r="DX591" s="18"/>
      <c r="DY591" s="17"/>
      <c r="DZ591" s="17"/>
      <c r="EA591" s="17"/>
      <c r="EB591" s="17"/>
      <c r="EC591" s="18"/>
      <c r="ED591" s="17"/>
      <c r="EE591" s="17"/>
      <c r="EF591" s="17"/>
      <c r="EG591" s="17"/>
      <c r="EH591" s="18"/>
      <c r="EI591" s="25"/>
      <c r="EJ591" s="17"/>
      <c r="EK591" s="17"/>
      <c r="EL591" s="17"/>
      <c r="EM591" s="18"/>
      <c r="EN591" s="17"/>
      <c r="EO591" s="17"/>
      <c r="EP591" s="17"/>
      <c r="EQ591" s="17"/>
      <c r="ER591" s="18"/>
      <c r="ES591" s="17"/>
      <c r="ET591" s="17"/>
      <c r="EU591" s="17"/>
      <c r="EV591" s="17"/>
      <c r="EW591" s="18"/>
      <c r="EX591" s="17"/>
      <c r="EY591" s="17"/>
      <c r="EZ591" s="17"/>
      <c r="FA591" s="17"/>
      <c r="FB591" s="18"/>
      <c r="FC591" s="17"/>
      <c r="FD591" s="17"/>
      <c r="FE591" s="17"/>
      <c r="FF591" s="17"/>
      <c r="FG591" s="18"/>
      <c r="FH591" s="74"/>
      <c r="FI591" s="17"/>
      <c r="FJ591" s="17"/>
      <c r="FK591" s="73"/>
      <c r="FL591" s="17"/>
    </row>
    <row r="592" ht="12.75" hidden="1" customHeight="1" outlineLevel="2">
      <c r="A592" s="4"/>
      <c r="B592" s="72" t="s">
        <v>276</v>
      </c>
      <c r="C592" s="45"/>
      <c r="D592" s="17"/>
      <c r="E592" s="17"/>
      <c r="F592" s="17"/>
      <c r="G592" s="17"/>
      <c r="H592" s="73"/>
      <c r="I592" s="17"/>
      <c r="J592" s="17"/>
      <c r="K592" s="17"/>
      <c r="L592" s="17"/>
      <c r="M592" s="73"/>
      <c r="N592" s="17"/>
      <c r="O592" s="17"/>
      <c r="P592" s="17"/>
      <c r="Q592" s="17"/>
      <c r="R592" s="73"/>
      <c r="S592" s="17"/>
      <c r="T592" s="17"/>
      <c r="U592" s="17"/>
      <c r="V592" s="17"/>
      <c r="W592" s="73"/>
      <c r="X592" s="17"/>
      <c r="Y592" s="17"/>
      <c r="Z592" s="17"/>
      <c r="AA592" s="17"/>
      <c r="AB592" s="73"/>
      <c r="AC592" s="17"/>
      <c r="AD592" s="17"/>
      <c r="AE592" s="17"/>
      <c r="AF592" s="17"/>
      <c r="AG592" s="73"/>
      <c r="AH592" s="17"/>
      <c r="AI592" s="17"/>
      <c r="AJ592" s="17"/>
      <c r="AK592" s="17"/>
      <c r="AL592" s="73"/>
      <c r="AM592" s="17"/>
      <c r="AN592" s="17"/>
      <c r="AO592" s="17"/>
      <c r="AP592" s="17"/>
      <c r="AQ592" s="73"/>
      <c r="AR592" s="17"/>
      <c r="AS592" s="17"/>
      <c r="AT592" s="17"/>
      <c r="AU592" s="17"/>
      <c r="AV592" s="73"/>
      <c r="AW592" s="17"/>
      <c r="AX592" s="17"/>
      <c r="AY592" s="17"/>
      <c r="AZ592" s="17"/>
      <c r="BA592" s="73"/>
      <c r="BB592" s="17"/>
      <c r="BC592" s="17"/>
      <c r="BD592" s="17"/>
      <c r="BE592" s="17"/>
      <c r="BF592" s="73"/>
      <c r="BG592" s="17"/>
      <c r="BH592" s="17"/>
      <c r="BI592" s="17"/>
      <c r="BJ592" s="17"/>
      <c r="BK592" s="73"/>
      <c r="BL592" s="17"/>
      <c r="BM592" s="17"/>
      <c r="BN592" s="17"/>
      <c r="BO592" s="17"/>
      <c r="BP592" s="73"/>
      <c r="BQ592" s="17"/>
      <c r="BR592" s="17"/>
      <c r="BS592" s="17"/>
      <c r="BT592" s="17"/>
      <c r="BU592" s="73"/>
      <c r="BV592" s="17">
        <v>1683.0</v>
      </c>
      <c r="BW592" s="17">
        <v>1599.0</v>
      </c>
      <c r="BX592" s="17">
        <v>1666.0</v>
      </c>
      <c r="BY592" s="17">
        <v>1597.0</v>
      </c>
      <c r="BZ592" s="18">
        <f t="shared" si="3110"/>
        <v>6545</v>
      </c>
      <c r="CA592" s="17">
        <v>1798.0</v>
      </c>
      <c r="CB592" s="17">
        <v>1788.0</v>
      </c>
      <c r="CC592" s="17">
        <v>1896.0</v>
      </c>
      <c r="CD592" s="17">
        <f>CD593*0.195</f>
        <v>1764.165</v>
      </c>
      <c r="CE592" s="18">
        <f t="shared" si="3111"/>
        <v>7246.165</v>
      </c>
      <c r="CF592" s="17">
        <f t="shared" ref="CF592:CI592" si="3114">CF593*0.195</f>
        <v>1647.945</v>
      </c>
      <c r="CG592" s="17">
        <f t="shared" si="3114"/>
        <v>1693.38</v>
      </c>
      <c r="CH592" s="17">
        <f t="shared" si="3114"/>
        <v>1683.435</v>
      </c>
      <c r="CI592" s="17">
        <f t="shared" si="3114"/>
        <v>1658.67</v>
      </c>
      <c r="CJ592" s="18">
        <f t="shared" si="3115"/>
        <v>6683.43</v>
      </c>
      <c r="CK592" s="17">
        <f t="shared" ref="CK592:CM592" si="3116">CK593*0.195</f>
        <v>1558.44</v>
      </c>
      <c r="CL592" s="17">
        <f t="shared" si="3116"/>
        <v>1579.5</v>
      </c>
      <c r="CM592" s="17" t="str">
        <f t="shared" si="3116"/>
        <v>#REF!</v>
      </c>
      <c r="CN592" s="19"/>
      <c r="CO592" s="18"/>
      <c r="CP592" s="19"/>
      <c r="CQ592" s="17"/>
      <c r="CR592" s="17"/>
      <c r="CS592" s="17"/>
      <c r="CT592" s="18"/>
      <c r="CU592" s="17"/>
      <c r="CV592" s="17"/>
      <c r="CW592" s="17"/>
      <c r="CX592" s="17"/>
      <c r="CY592" s="18"/>
      <c r="CZ592" s="17"/>
      <c r="DA592" s="17"/>
      <c r="DB592" s="17"/>
      <c r="DC592" s="17"/>
      <c r="DD592" s="18"/>
      <c r="DE592" s="17"/>
      <c r="DF592" s="17"/>
      <c r="DG592" s="19"/>
      <c r="DH592" s="17"/>
      <c r="DI592" s="18"/>
      <c r="DJ592" s="19"/>
      <c r="DK592" s="19"/>
      <c r="DL592" s="19"/>
      <c r="DM592" s="17"/>
      <c r="DN592" s="18"/>
      <c r="DO592" s="17"/>
      <c r="DP592" s="17"/>
      <c r="DQ592" s="17"/>
      <c r="DR592" s="17"/>
      <c r="DS592" s="18"/>
      <c r="DT592" s="17"/>
      <c r="DU592" s="17"/>
      <c r="DV592" s="17"/>
      <c r="DW592" s="17"/>
      <c r="DX592" s="18"/>
      <c r="DY592" s="17"/>
      <c r="DZ592" s="17"/>
      <c r="EA592" s="17"/>
      <c r="EB592" s="17"/>
      <c r="EC592" s="18"/>
      <c r="ED592" s="17"/>
      <c r="EE592" s="17"/>
      <c r="EF592" s="17"/>
      <c r="EG592" s="17"/>
      <c r="EH592" s="18"/>
      <c r="EI592" s="25"/>
      <c r="EJ592" s="17"/>
      <c r="EK592" s="17"/>
      <c r="EL592" s="17"/>
      <c r="EM592" s="18"/>
      <c r="EN592" s="17"/>
      <c r="EO592" s="17"/>
      <c r="EP592" s="17"/>
      <c r="EQ592" s="17"/>
      <c r="ER592" s="18"/>
      <c r="ES592" s="17"/>
      <c r="ET592" s="17"/>
      <c r="EU592" s="17"/>
      <c r="EV592" s="17"/>
      <c r="EW592" s="18"/>
      <c r="EX592" s="17"/>
      <c r="EY592" s="17"/>
      <c r="EZ592" s="17"/>
      <c r="FA592" s="17"/>
      <c r="FB592" s="18"/>
      <c r="FC592" s="17"/>
      <c r="FD592" s="17"/>
      <c r="FE592" s="17"/>
      <c r="FF592" s="17"/>
      <c r="FG592" s="18"/>
      <c r="FH592" s="74"/>
      <c r="FI592" s="17"/>
      <c r="FJ592" s="17"/>
      <c r="FK592" s="73"/>
      <c r="FL592" s="17"/>
    </row>
    <row r="593" ht="12.75" hidden="1" customHeight="1" outlineLevel="2">
      <c r="A593" s="45"/>
      <c r="B593" s="215" t="s">
        <v>303</v>
      </c>
      <c r="C593" s="45"/>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12"/>
      <c r="BE593" s="112"/>
      <c r="BF593" s="112"/>
      <c r="BG593" s="112"/>
      <c r="BH593" s="112"/>
      <c r="BI593" s="112"/>
      <c r="BJ593" s="112"/>
      <c r="BK593" s="112"/>
      <c r="BL593" s="112"/>
      <c r="BM593" s="112"/>
      <c r="BN593" s="112"/>
      <c r="BO593" s="112"/>
      <c r="BP593" s="112"/>
      <c r="BQ593" s="112"/>
      <c r="BR593" s="112"/>
      <c r="BS593" s="112"/>
      <c r="BT593" s="112"/>
      <c r="BU593" s="112"/>
      <c r="BV593" s="112">
        <f t="shared" ref="BV593:BY593" si="3117">SUM(BV591:BV592)</f>
        <v>7375</v>
      </c>
      <c r="BW593" s="112">
        <f t="shared" si="3117"/>
        <v>7501</v>
      </c>
      <c r="BX593" s="112">
        <f t="shared" si="3117"/>
        <v>7738</v>
      </c>
      <c r="BY593" s="112">
        <f t="shared" si="3117"/>
        <v>7713</v>
      </c>
      <c r="BZ593" s="80">
        <f t="shared" si="3110"/>
        <v>30327</v>
      </c>
      <c r="CA593" s="112">
        <f t="shared" ref="CA593:CC593" si="3118">SUM(CA591:CA592)</f>
        <v>8621</v>
      </c>
      <c r="CB593" s="112">
        <f t="shared" si="3118"/>
        <v>8321</v>
      </c>
      <c r="CC593" s="112">
        <f t="shared" si="3118"/>
        <v>9417</v>
      </c>
      <c r="CD593" s="112">
        <v>9047.0</v>
      </c>
      <c r="CE593" s="80">
        <f t="shared" si="3111"/>
        <v>35406</v>
      </c>
      <c r="CF593" s="112">
        <v>8451.0</v>
      </c>
      <c r="CG593" s="112">
        <v>8684.0</v>
      </c>
      <c r="CH593" s="112">
        <v>8633.0</v>
      </c>
      <c r="CI593" s="112">
        <v>8506.0</v>
      </c>
      <c r="CJ593" s="80">
        <f t="shared" si="3115"/>
        <v>34274</v>
      </c>
      <c r="CK593" s="112">
        <f>16092-CL593</f>
        <v>7992</v>
      </c>
      <c r="CL593" s="112">
        <v>8100.0</v>
      </c>
      <c r="CM593" s="112" t="str">
        <f>+#REF!</f>
        <v>#REF!</v>
      </c>
      <c r="CN593" s="146"/>
      <c r="CO593" s="80"/>
      <c r="CP593" s="146"/>
      <c r="CQ593" s="112"/>
      <c r="CR593" s="112"/>
      <c r="CS593" s="112"/>
      <c r="CT593" s="80"/>
      <c r="CU593" s="112"/>
      <c r="CV593" s="112"/>
      <c r="CW593" s="112"/>
      <c r="CX593" s="112"/>
      <c r="CY593" s="80"/>
      <c r="CZ593" s="112"/>
      <c r="DA593" s="112"/>
      <c r="DB593" s="112"/>
      <c r="DC593" s="112"/>
      <c r="DD593" s="80"/>
      <c r="DE593" s="112"/>
      <c r="DF593" s="112"/>
      <c r="DG593" s="146"/>
      <c r="DH593" s="112"/>
      <c r="DI593" s="80"/>
      <c r="DJ593" s="146"/>
      <c r="DK593" s="146"/>
      <c r="DL593" s="146"/>
      <c r="DM593" s="112"/>
      <c r="DN593" s="80"/>
      <c r="DO593" s="112"/>
      <c r="DP593" s="112"/>
      <c r="DQ593" s="112"/>
      <c r="DR593" s="112"/>
      <c r="DS593" s="80"/>
      <c r="DT593" s="112"/>
      <c r="DU593" s="112"/>
      <c r="DV593" s="112"/>
      <c r="DW593" s="112"/>
      <c r="DX593" s="80"/>
      <c r="DY593" s="112"/>
      <c r="DZ593" s="112"/>
      <c r="EA593" s="112"/>
      <c r="EB593" s="112"/>
      <c r="EC593" s="80"/>
      <c r="ED593" s="112"/>
      <c r="EE593" s="112"/>
      <c r="EF593" s="112"/>
      <c r="EG593" s="112"/>
      <c r="EH593" s="80"/>
      <c r="EI593" s="110"/>
      <c r="EJ593" s="112"/>
      <c r="EK593" s="112"/>
      <c r="EL593" s="112"/>
      <c r="EM593" s="80"/>
      <c r="EN593" s="112"/>
      <c r="EO593" s="112"/>
      <c r="EP593" s="112"/>
      <c r="EQ593" s="112"/>
      <c r="ER593" s="80"/>
      <c r="ES593" s="112"/>
      <c r="ET593" s="112"/>
      <c r="EU593" s="112"/>
      <c r="EV593" s="112"/>
      <c r="EW593" s="80"/>
      <c r="EX593" s="112"/>
      <c r="EY593" s="112"/>
      <c r="EZ593" s="112"/>
      <c r="FA593" s="112"/>
      <c r="FB593" s="80"/>
      <c r="FC593" s="112"/>
      <c r="FD593" s="112"/>
      <c r="FE593" s="112"/>
      <c r="FF593" s="112"/>
      <c r="FG593" s="80"/>
      <c r="FH593" s="146"/>
      <c r="FI593" s="112"/>
      <c r="FJ593" s="112"/>
      <c r="FK593" s="112"/>
      <c r="FL593" s="112"/>
    </row>
    <row r="594" ht="12.75" hidden="1" customHeight="1" outlineLevel="2">
      <c r="A594" s="4"/>
      <c r="B594" s="72" t="s">
        <v>277</v>
      </c>
      <c r="C594" s="45"/>
      <c r="D594" s="17"/>
      <c r="E594" s="17"/>
      <c r="F594" s="17"/>
      <c r="G594" s="17"/>
      <c r="H594" s="73"/>
      <c r="I594" s="17"/>
      <c r="J594" s="17"/>
      <c r="K594" s="17"/>
      <c r="L594" s="17"/>
      <c r="M594" s="73"/>
      <c r="N594" s="17"/>
      <c r="O594" s="17"/>
      <c r="P594" s="17"/>
      <c r="Q594" s="17"/>
      <c r="R594" s="73"/>
      <c r="S594" s="17"/>
      <c r="T594" s="17"/>
      <c r="U594" s="17"/>
      <c r="V594" s="17"/>
      <c r="W594" s="73"/>
      <c r="X594" s="17"/>
      <c r="Y594" s="17"/>
      <c r="Z594" s="17"/>
      <c r="AA594" s="17"/>
      <c r="AB594" s="73"/>
      <c r="AC594" s="17"/>
      <c r="AD594" s="17"/>
      <c r="AE594" s="17"/>
      <c r="AF594" s="17"/>
      <c r="AG594" s="73"/>
      <c r="AH594" s="17"/>
      <c r="AI594" s="17"/>
      <c r="AJ594" s="17"/>
      <c r="AK594" s="17"/>
      <c r="AL594" s="73"/>
      <c r="AM594" s="17"/>
      <c r="AN594" s="17"/>
      <c r="AO594" s="17"/>
      <c r="AP594" s="17"/>
      <c r="AQ594" s="73"/>
      <c r="AR594" s="17"/>
      <c r="AS594" s="17"/>
      <c r="AT594" s="17"/>
      <c r="AU594" s="17"/>
      <c r="AV594" s="73"/>
      <c r="AW594" s="17"/>
      <c r="AX594" s="17"/>
      <c r="AY594" s="17"/>
      <c r="AZ594" s="17"/>
      <c r="BA594" s="73"/>
      <c r="BB594" s="17"/>
      <c r="BC594" s="17"/>
      <c r="BD594" s="17"/>
      <c r="BE594" s="17"/>
      <c r="BF594" s="73"/>
      <c r="BG594" s="17"/>
      <c r="BH594" s="17"/>
      <c r="BI594" s="17"/>
      <c r="BJ594" s="17"/>
      <c r="BK594" s="73"/>
      <c r="BL594" s="17"/>
      <c r="BM594" s="17"/>
      <c r="BN594" s="17"/>
      <c r="BO594" s="17"/>
      <c r="BP594" s="73"/>
      <c r="BQ594" s="17"/>
      <c r="BR594" s="17"/>
      <c r="BS594" s="17"/>
      <c r="BT594" s="17"/>
      <c r="BU594" s="73"/>
      <c r="BV594" s="17">
        <v>1552.0</v>
      </c>
      <c r="BW594" s="17">
        <v>1797.0</v>
      </c>
      <c r="BX594" s="17">
        <v>1847.0</v>
      </c>
      <c r="BY594" s="17">
        <v>2165.0</v>
      </c>
      <c r="BZ594" s="18">
        <f t="shared" si="3110"/>
        <v>7361</v>
      </c>
      <c r="CA594" s="17">
        <v>2061.0</v>
      </c>
      <c r="CB594" s="17">
        <v>2054.0</v>
      </c>
      <c r="CC594" s="17">
        <v>2118.0</v>
      </c>
      <c r="CD594" s="17">
        <f>CD596-CD595</f>
        <v>2282.28</v>
      </c>
      <c r="CE594" s="18">
        <f t="shared" si="3111"/>
        <v>8515.28</v>
      </c>
      <c r="CF594" s="17">
        <f t="shared" ref="CF594:CI594" si="3119">CF596-CF595</f>
        <v>2085.05</v>
      </c>
      <c r="CG594" s="17">
        <f t="shared" si="3119"/>
        <v>2411.44</v>
      </c>
      <c r="CH594" s="17">
        <f t="shared" si="3119"/>
        <v>2282.44</v>
      </c>
      <c r="CI594" s="17">
        <f t="shared" si="3119"/>
        <v>2433.8</v>
      </c>
      <c r="CJ594" s="18">
        <f t="shared" si="3115"/>
        <v>9212.73</v>
      </c>
      <c r="CK594" s="17">
        <f t="shared" ref="CK594:CM594" si="3120">CK596-CK595</f>
        <v>2223.1</v>
      </c>
      <c r="CL594" s="17">
        <f t="shared" si="3120"/>
        <v>2358.98</v>
      </c>
      <c r="CM594" s="17">
        <f t="shared" si="3120"/>
        <v>2504.32</v>
      </c>
      <c r="CN594" s="19"/>
      <c r="CO594" s="18"/>
      <c r="CP594" s="19"/>
      <c r="CQ594" s="17"/>
      <c r="CR594" s="17"/>
      <c r="CS594" s="17"/>
      <c r="CT594" s="18"/>
      <c r="CU594" s="17"/>
      <c r="CV594" s="17"/>
      <c r="CW594" s="17"/>
      <c r="CX594" s="17"/>
      <c r="CY594" s="18"/>
      <c r="CZ594" s="17"/>
      <c r="DA594" s="17"/>
      <c r="DB594" s="17"/>
      <c r="DC594" s="17"/>
      <c r="DD594" s="18"/>
      <c r="DE594" s="17"/>
      <c r="DF594" s="17"/>
      <c r="DG594" s="19"/>
      <c r="DH594" s="17"/>
      <c r="DI594" s="18"/>
      <c r="DJ594" s="19"/>
      <c r="DK594" s="19"/>
      <c r="DL594" s="19"/>
      <c r="DM594" s="17"/>
      <c r="DN594" s="18"/>
      <c r="DO594" s="17"/>
      <c r="DP594" s="17"/>
      <c r="DQ594" s="17"/>
      <c r="DR594" s="17"/>
      <c r="DS594" s="18"/>
      <c r="DT594" s="17"/>
      <c r="DU594" s="17"/>
      <c r="DV594" s="17"/>
      <c r="DW594" s="17"/>
      <c r="DX594" s="18"/>
      <c r="DY594" s="17"/>
      <c r="DZ594" s="17"/>
      <c r="EA594" s="17"/>
      <c r="EB594" s="17"/>
      <c r="EC594" s="18"/>
      <c r="ED594" s="17"/>
      <c r="EE594" s="17"/>
      <c r="EF594" s="17"/>
      <c r="EG594" s="17"/>
      <c r="EH594" s="18"/>
      <c r="EI594" s="25"/>
      <c r="EJ594" s="17"/>
      <c r="EK594" s="17"/>
      <c r="EL594" s="17"/>
      <c r="EM594" s="18"/>
      <c r="EN594" s="17"/>
      <c r="EO594" s="17"/>
      <c r="EP594" s="17"/>
      <c r="EQ594" s="17"/>
      <c r="ER594" s="18"/>
      <c r="ES594" s="17"/>
      <c r="ET594" s="17"/>
      <c r="EU594" s="17"/>
      <c r="EV594" s="17"/>
      <c r="EW594" s="18"/>
      <c r="EX594" s="17"/>
      <c r="EY594" s="17"/>
      <c r="EZ594" s="17"/>
      <c r="FA594" s="17"/>
      <c r="FB594" s="18"/>
      <c r="FC594" s="17"/>
      <c r="FD594" s="17"/>
      <c r="FE594" s="17"/>
      <c r="FF594" s="17"/>
      <c r="FG594" s="18"/>
      <c r="FH594" s="74"/>
      <c r="FI594" s="17"/>
      <c r="FJ594" s="17"/>
      <c r="FK594" s="73"/>
      <c r="FL594" s="17"/>
    </row>
    <row r="595" ht="12.75" hidden="1" customHeight="1" outlineLevel="2">
      <c r="A595" s="4"/>
      <c r="B595" s="72" t="s">
        <v>276</v>
      </c>
      <c r="C595" s="45"/>
      <c r="D595" s="17"/>
      <c r="E595" s="17"/>
      <c r="F595" s="17"/>
      <c r="G595" s="17"/>
      <c r="H595" s="73"/>
      <c r="I595" s="17"/>
      <c r="J595" s="17"/>
      <c r="K595" s="17"/>
      <c r="L595" s="17"/>
      <c r="M595" s="73"/>
      <c r="N595" s="17"/>
      <c r="O595" s="17"/>
      <c r="P595" s="17"/>
      <c r="Q595" s="17"/>
      <c r="R595" s="73"/>
      <c r="S595" s="17"/>
      <c r="T595" s="17"/>
      <c r="U595" s="17"/>
      <c r="V595" s="17"/>
      <c r="W595" s="73"/>
      <c r="X595" s="17"/>
      <c r="Y595" s="17"/>
      <c r="Z595" s="17"/>
      <c r="AA595" s="17"/>
      <c r="AB595" s="73"/>
      <c r="AC595" s="17"/>
      <c r="AD595" s="17"/>
      <c r="AE595" s="17"/>
      <c r="AF595" s="17"/>
      <c r="AG595" s="73"/>
      <c r="AH595" s="17"/>
      <c r="AI595" s="17"/>
      <c r="AJ595" s="17"/>
      <c r="AK595" s="17"/>
      <c r="AL595" s="73"/>
      <c r="AM595" s="17"/>
      <c r="AN595" s="17"/>
      <c r="AO595" s="17"/>
      <c r="AP595" s="17"/>
      <c r="AQ595" s="73"/>
      <c r="AR595" s="17"/>
      <c r="AS595" s="17"/>
      <c r="AT595" s="17"/>
      <c r="AU595" s="17"/>
      <c r="AV595" s="73"/>
      <c r="AW595" s="17"/>
      <c r="AX595" s="17"/>
      <c r="AY595" s="17"/>
      <c r="AZ595" s="17"/>
      <c r="BA595" s="73"/>
      <c r="BB595" s="17"/>
      <c r="BC595" s="17"/>
      <c r="BD595" s="17"/>
      <c r="BE595" s="17"/>
      <c r="BF595" s="73"/>
      <c r="BG595" s="17"/>
      <c r="BH595" s="17"/>
      <c r="BI595" s="17"/>
      <c r="BJ595" s="17"/>
      <c r="BK595" s="73"/>
      <c r="BL595" s="17"/>
      <c r="BM595" s="17"/>
      <c r="BN595" s="17"/>
      <c r="BO595" s="17"/>
      <c r="BP595" s="73"/>
      <c r="BQ595" s="17"/>
      <c r="BR595" s="17"/>
      <c r="BS595" s="17"/>
      <c r="BT595" s="17"/>
      <c r="BU595" s="73"/>
      <c r="BV595" s="17">
        <v>319.0</v>
      </c>
      <c r="BW595" s="17">
        <v>317.0</v>
      </c>
      <c r="BX595" s="17">
        <v>339.0</v>
      </c>
      <c r="BY595" s="17">
        <v>357.0</v>
      </c>
      <c r="BZ595" s="18">
        <f t="shared" si="3110"/>
        <v>1332</v>
      </c>
      <c r="CA595" s="17">
        <v>403.0</v>
      </c>
      <c r="CB595" s="17">
        <v>382.0</v>
      </c>
      <c r="CC595" s="17">
        <v>394.0</v>
      </c>
      <c r="CD595" s="17">
        <f>CD596*0.16</f>
        <v>434.72</v>
      </c>
      <c r="CE595" s="18">
        <f t="shared" si="3111"/>
        <v>1613.72</v>
      </c>
      <c r="CF595" s="17">
        <f>CF596*0.15</f>
        <v>367.95</v>
      </c>
      <c r="CG595" s="17">
        <f t="shared" ref="CG595:CI595" si="3121">CG596*0.14</f>
        <v>392.56</v>
      </c>
      <c r="CH595" s="17">
        <f t="shared" si="3121"/>
        <v>371.56</v>
      </c>
      <c r="CI595" s="17">
        <f t="shared" si="3121"/>
        <v>396.2</v>
      </c>
      <c r="CJ595" s="18">
        <f t="shared" si="3115"/>
        <v>1528.27</v>
      </c>
      <c r="CK595" s="17">
        <f t="shared" ref="CK595:CM595" si="3122">CK596*0.14</f>
        <v>361.9</v>
      </c>
      <c r="CL595" s="17">
        <f t="shared" si="3122"/>
        <v>384.02</v>
      </c>
      <c r="CM595" s="17">
        <f t="shared" si="3122"/>
        <v>407.68</v>
      </c>
      <c r="CN595" s="19"/>
      <c r="CO595" s="18"/>
      <c r="CP595" s="19"/>
      <c r="CQ595" s="17"/>
      <c r="CR595" s="17"/>
      <c r="CS595" s="17"/>
      <c r="CT595" s="18"/>
      <c r="CU595" s="17"/>
      <c r="CV595" s="17"/>
      <c r="CW595" s="17"/>
      <c r="CX595" s="17"/>
      <c r="CY595" s="18"/>
      <c r="CZ595" s="17"/>
      <c r="DA595" s="17"/>
      <c r="DB595" s="17"/>
      <c r="DC595" s="17"/>
      <c r="DD595" s="18"/>
      <c r="DE595" s="17"/>
      <c r="DF595" s="17"/>
      <c r="DG595" s="19"/>
      <c r="DH595" s="17"/>
      <c r="DI595" s="18"/>
      <c r="DJ595" s="19"/>
      <c r="DK595" s="19"/>
      <c r="DL595" s="19"/>
      <c r="DM595" s="17"/>
      <c r="DN595" s="18"/>
      <c r="DO595" s="17"/>
      <c r="DP595" s="17"/>
      <c r="DQ595" s="17"/>
      <c r="DR595" s="17"/>
      <c r="DS595" s="18"/>
      <c r="DT595" s="17"/>
      <c r="DU595" s="17"/>
      <c r="DV595" s="17"/>
      <c r="DW595" s="17"/>
      <c r="DX595" s="18"/>
      <c r="DY595" s="17"/>
      <c r="DZ595" s="17"/>
      <c r="EA595" s="17"/>
      <c r="EB595" s="17"/>
      <c r="EC595" s="18"/>
      <c r="ED595" s="17"/>
      <c r="EE595" s="17"/>
      <c r="EF595" s="17"/>
      <c r="EG595" s="17"/>
      <c r="EH595" s="18"/>
      <c r="EI595" s="25"/>
      <c r="EJ595" s="17"/>
      <c r="EK595" s="17"/>
      <c r="EL595" s="17"/>
      <c r="EM595" s="18"/>
      <c r="EN595" s="17"/>
      <c r="EO595" s="17"/>
      <c r="EP595" s="17"/>
      <c r="EQ595" s="17"/>
      <c r="ER595" s="18"/>
      <c r="ES595" s="17"/>
      <c r="ET595" s="17"/>
      <c r="EU595" s="17"/>
      <c r="EV595" s="17"/>
      <c r="EW595" s="18"/>
      <c r="EX595" s="17"/>
      <c r="EY595" s="17"/>
      <c r="EZ595" s="17"/>
      <c r="FA595" s="17"/>
      <c r="FB595" s="18"/>
      <c r="FC595" s="17"/>
      <c r="FD595" s="17"/>
      <c r="FE595" s="17"/>
      <c r="FF595" s="17"/>
      <c r="FG595" s="18"/>
      <c r="FH595" s="74"/>
      <c r="FI595" s="17"/>
      <c r="FJ595" s="17"/>
      <c r="FK595" s="73"/>
      <c r="FL595" s="17"/>
    </row>
    <row r="596" ht="12.75" hidden="1" customHeight="1" outlineLevel="2">
      <c r="A596" s="45"/>
      <c r="B596" s="215" t="s">
        <v>278</v>
      </c>
      <c r="C596" s="45"/>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12"/>
      <c r="BE596" s="112"/>
      <c r="BF596" s="112"/>
      <c r="BG596" s="112"/>
      <c r="BH596" s="112"/>
      <c r="BI596" s="112"/>
      <c r="BJ596" s="112"/>
      <c r="BK596" s="112"/>
      <c r="BL596" s="112"/>
      <c r="BM596" s="112"/>
      <c r="BN596" s="112"/>
      <c r="BO596" s="112"/>
      <c r="BP596" s="112"/>
      <c r="BQ596" s="112"/>
      <c r="BR596" s="112"/>
      <c r="BS596" s="112"/>
      <c r="BT596" s="112"/>
      <c r="BU596" s="112"/>
      <c r="BV596" s="112">
        <f t="shared" ref="BV596:BY596" si="3123">SUM(BV594:BV595)</f>
        <v>1871</v>
      </c>
      <c r="BW596" s="112">
        <f t="shared" si="3123"/>
        <v>2114</v>
      </c>
      <c r="BX596" s="112">
        <f t="shared" si="3123"/>
        <v>2186</v>
      </c>
      <c r="BY596" s="112">
        <f t="shared" si="3123"/>
        <v>2522</v>
      </c>
      <c r="BZ596" s="80">
        <f t="shared" si="3110"/>
        <v>8693</v>
      </c>
      <c r="CA596" s="112">
        <f t="shared" ref="CA596:CC596" si="3124">SUM(CA594:CA595)</f>
        <v>2464</v>
      </c>
      <c r="CB596" s="112">
        <f t="shared" si="3124"/>
        <v>2436</v>
      </c>
      <c r="CC596" s="112">
        <f t="shared" si="3124"/>
        <v>2512</v>
      </c>
      <c r="CD596" s="112">
        <v>2717.0</v>
      </c>
      <c r="CE596" s="80">
        <f t="shared" si="3111"/>
        <v>10129</v>
      </c>
      <c r="CF596" s="112">
        <v>2453.0</v>
      </c>
      <c r="CG596" s="112">
        <v>2804.0</v>
      </c>
      <c r="CH596" s="112">
        <v>2654.0</v>
      </c>
      <c r="CI596" s="112">
        <v>2830.0</v>
      </c>
      <c r="CJ596" s="80">
        <f t="shared" si="3115"/>
        <v>10741</v>
      </c>
      <c r="CK596" s="112">
        <f>5328-CL596</f>
        <v>2585</v>
      </c>
      <c r="CL596" s="112">
        <v>2743.0</v>
      </c>
      <c r="CM596" s="112">
        <f>+CM508</f>
        <v>2912</v>
      </c>
      <c r="CN596" s="146"/>
      <c r="CO596" s="80"/>
      <c r="CP596" s="146"/>
      <c r="CQ596" s="112"/>
      <c r="CR596" s="112"/>
      <c r="CS596" s="112"/>
      <c r="CT596" s="80"/>
      <c r="CU596" s="112"/>
      <c r="CV596" s="112"/>
      <c r="CW596" s="112"/>
      <c r="CX596" s="112"/>
      <c r="CY596" s="80"/>
      <c r="CZ596" s="112"/>
      <c r="DA596" s="112"/>
      <c r="DB596" s="112"/>
      <c r="DC596" s="112"/>
      <c r="DD596" s="80"/>
      <c r="DE596" s="112"/>
      <c r="DF596" s="112"/>
      <c r="DG596" s="146"/>
      <c r="DH596" s="112"/>
      <c r="DI596" s="80"/>
      <c r="DJ596" s="146"/>
      <c r="DK596" s="146"/>
      <c r="DL596" s="146"/>
      <c r="DM596" s="112"/>
      <c r="DN596" s="80"/>
      <c r="DO596" s="112"/>
      <c r="DP596" s="112"/>
      <c r="DQ596" s="112"/>
      <c r="DR596" s="112"/>
      <c r="DS596" s="80"/>
      <c r="DT596" s="112"/>
      <c r="DU596" s="112"/>
      <c r="DV596" s="112"/>
      <c r="DW596" s="112"/>
      <c r="DX596" s="80"/>
      <c r="DY596" s="112"/>
      <c r="DZ596" s="112"/>
      <c r="EA596" s="112"/>
      <c r="EB596" s="112"/>
      <c r="EC596" s="80"/>
      <c r="ED596" s="112"/>
      <c r="EE596" s="112"/>
      <c r="EF596" s="112"/>
      <c r="EG596" s="112"/>
      <c r="EH596" s="80"/>
      <c r="EI596" s="110"/>
      <c r="EJ596" s="112"/>
      <c r="EK596" s="112"/>
      <c r="EL596" s="112"/>
      <c r="EM596" s="80"/>
      <c r="EN596" s="112"/>
      <c r="EO596" s="112"/>
      <c r="EP596" s="112"/>
      <c r="EQ596" s="112"/>
      <c r="ER596" s="80"/>
      <c r="ES596" s="112"/>
      <c r="ET596" s="112"/>
      <c r="EU596" s="112"/>
      <c r="EV596" s="112"/>
      <c r="EW596" s="80"/>
      <c r="EX596" s="112"/>
      <c r="EY596" s="112"/>
      <c r="EZ596" s="112"/>
      <c r="FA596" s="112"/>
      <c r="FB596" s="80"/>
      <c r="FC596" s="112"/>
      <c r="FD596" s="112"/>
      <c r="FE596" s="112"/>
      <c r="FF596" s="112"/>
      <c r="FG596" s="80"/>
      <c r="FH596" s="146"/>
      <c r="FI596" s="112"/>
      <c r="FJ596" s="112"/>
      <c r="FK596" s="112"/>
      <c r="FL596" s="112"/>
    </row>
    <row r="597" ht="12.75" hidden="1" customHeight="1" outlineLevel="2">
      <c r="A597" s="4"/>
      <c r="B597" s="72" t="s">
        <v>279</v>
      </c>
      <c r="C597" s="45"/>
      <c r="D597" s="17"/>
      <c r="E597" s="17"/>
      <c r="F597" s="17"/>
      <c r="G597" s="17"/>
      <c r="H597" s="73"/>
      <c r="I597" s="17"/>
      <c r="J597" s="17"/>
      <c r="K597" s="17"/>
      <c r="L597" s="17"/>
      <c r="M597" s="73"/>
      <c r="N597" s="17"/>
      <c r="O597" s="17"/>
      <c r="P597" s="17"/>
      <c r="Q597" s="17"/>
      <c r="R597" s="73"/>
      <c r="S597" s="17"/>
      <c r="T597" s="17"/>
      <c r="U597" s="17"/>
      <c r="V597" s="17"/>
      <c r="W597" s="73"/>
      <c r="X597" s="17"/>
      <c r="Y597" s="17"/>
      <c r="Z597" s="17"/>
      <c r="AA597" s="17"/>
      <c r="AB597" s="73"/>
      <c r="AC597" s="17"/>
      <c r="AD597" s="17"/>
      <c r="AE597" s="17"/>
      <c r="AF597" s="17"/>
      <c r="AG597" s="73"/>
      <c r="AH597" s="17"/>
      <c r="AI597" s="17"/>
      <c r="AJ597" s="17"/>
      <c r="AK597" s="17"/>
      <c r="AL597" s="73"/>
      <c r="AM597" s="17"/>
      <c r="AN597" s="17"/>
      <c r="AO597" s="17"/>
      <c r="AP597" s="17"/>
      <c r="AQ597" s="73"/>
      <c r="AR597" s="17"/>
      <c r="AS597" s="17"/>
      <c r="AT597" s="17"/>
      <c r="AU597" s="17"/>
      <c r="AV597" s="73"/>
      <c r="AW597" s="17"/>
      <c r="AX597" s="17"/>
      <c r="AY597" s="17"/>
      <c r="AZ597" s="17"/>
      <c r="BA597" s="73"/>
      <c r="BB597" s="17"/>
      <c r="BC597" s="17"/>
      <c r="BD597" s="17"/>
      <c r="BE597" s="17"/>
      <c r="BF597" s="73"/>
      <c r="BG597" s="17"/>
      <c r="BH597" s="17"/>
      <c r="BI597" s="17"/>
      <c r="BJ597" s="17"/>
      <c r="BK597" s="73"/>
      <c r="BL597" s="17"/>
      <c r="BM597" s="17"/>
      <c r="BN597" s="17"/>
      <c r="BO597" s="17"/>
      <c r="BP597" s="73"/>
      <c r="BQ597" s="17"/>
      <c r="BR597" s="17"/>
      <c r="BS597" s="17"/>
      <c r="BT597" s="17"/>
      <c r="BU597" s="73"/>
      <c r="BV597" s="17"/>
      <c r="BW597" s="17"/>
      <c r="BX597" s="17"/>
      <c r="BY597" s="17"/>
      <c r="BZ597" s="18"/>
      <c r="CA597" s="17">
        <v>336.0</v>
      </c>
      <c r="CB597" s="17">
        <v>601.0</v>
      </c>
      <c r="CC597" s="17">
        <v>667.0</v>
      </c>
      <c r="CD597" s="17">
        <v>508.0</v>
      </c>
      <c r="CE597" s="18">
        <f t="shared" si="3111"/>
        <v>2112</v>
      </c>
      <c r="CF597" s="17">
        <v>454.0</v>
      </c>
      <c r="CG597" s="17">
        <v>362.20216320287994</v>
      </c>
      <c r="CH597" s="17">
        <v>387.5563146270816</v>
      </c>
      <c r="CI597" s="17">
        <v>406.93413035843565</v>
      </c>
      <c r="CJ597" s="18">
        <f t="shared" si="3115"/>
        <v>1610.692608</v>
      </c>
      <c r="CK597" s="17">
        <v>406.93413035843565</v>
      </c>
      <c r="CL597" s="17">
        <v>406.93413035843565</v>
      </c>
      <c r="CM597" s="17">
        <v>406.93413035843565</v>
      </c>
      <c r="CN597" s="19"/>
      <c r="CO597" s="18"/>
      <c r="CP597" s="19"/>
      <c r="CQ597" s="17"/>
      <c r="CR597" s="17"/>
      <c r="CS597" s="17"/>
      <c r="CT597" s="18"/>
      <c r="CU597" s="17"/>
      <c r="CV597" s="17"/>
      <c r="CW597" s="17"/>
      <c r="CX597" s="17"/>
      <c r="CY597" s="18"/>
      <c r="CZ597" s="17"/>
      <c r="DA597" s="17"/>
      <c r="DB597" s="17"/>
      <c r="DC597" s="17"/>
      <c r="DD597" s="18"/>
      <c r="DE597" s="17"/>
      <c r="DF597" s="17"/>
      <c r="DG597" s="19"/>
      <c r="DH597" s="17"/>
      <c r="DI597" s="18"/>
      <c r="DJ597" s="19"/>
      <c r="DK597" s="19"/>
      <c r="DL597" s="19"/>
      <c r="DM597" s="17"/>
      <c r="DN597" s="18"/>
      <c r="DO597" s="17"/>
      <c r="DP597" s="17"/>
      <c r="DQ597" s="17"/>
      <c r="DR597" s="17"/>
      <c r="DS597" s="18"/>
      <c r="DT597" s="17"/>
      <c r="DU597" s="17"/>
      <c r="DV597" s="17"/>
      <c r="DW597" s="17"/>
      <c r="DX597" s="18"/>
      <c r="DY597" s="17"/>
      <c r="DZ597" s="17"/>
      <c r="EA597" s="17"/>
      <c r="EB597" s="17"/>
      <c r="EC597" s="18"/>
      <c r="ED597" s="17"/>
      <c r="EE597" s="17"/>
      <c r="EF597" s="17"/>
      <c r="EG597" s="17"/>
      <c r="EH597" s="18"/>
      <c r="EI597" s="25"/>
      <c r="EJ597" s="17"/>
      <c r="EK597" s="17"/>
      <c r="EL597" s="17"/>
      <c r="EM597" s="18"/>
      <c r="EN597" s="17"/>
      <c r="EO597" s="17"/>
      <c r="EP597" s="17"/>
      <c r="EQ597" s="17"/>
      <c r="ER597" s="18"/>
      <c r="ES597" s="17"/>
      <c r="ET597" s="17"/>
      <c r="EU597" s="17"/>
      <c r="EV597" s="17"/>
      <c r="EW597" s="18"/>
      <c r="EX597" s="17"/>
      <c r="EY597" s="17"/>
      <c r="EZ597" s="17"/>
      <c r="FA597" s="17"/>
      <c r="FB597" s="18"/>
      <c r="FC597" s="17"/>
      <c r="FD597" s="17"/>
      <c r="FE597" s="17"/>
      <c r="FF597" s="17"/>
      <c r="FG597" s="18"/>
      <c r="FH597" s="74"/>
      <c r="FI597" s="17"/>
      <c r="FJ597" s="17"/>
      <c r="FK597" s="73"/>
      <c r="FL597" s="17"/>
    </row>
    <row r="598" ht="12.75" hidden="1" customHeight="1" outlineLevel="2">
      <c r="A598" s="4"/>
      <c r="B598" s="72" t="s">
        <v>280</v>
      </c>
      <c r="C598" s="45"/>
      <c r="D598" s="17"/>
      <c r="E598" s="17"/>
      <c r="F598" s="17"/>
      <c r="G598" s="17"/>
      <c r="H598" s="73"/>
      <c r="I598" s="17"/>
      <c r="J598" s="17"/>
      <c r="K598" s="17"/>
      <c r="L598" s="17"/>
      <c r="M598" s="73"/>
      <c r="N598" s="17"/>
      <c r="O598" s="17"/>
      <c r="P598" s="17"/>
      <c r="Q598" s="17"/>
      <c r="R598" s="73"/>
      <c r="S598" s="17"/>
      <c r="T598" s="17"/>
      <c r="U598" s="17"/>
      <c r="V598" s="17"/>
      <c r="W598" s="73"/>
      <c r="X598" s="17"/>
      <c r="Y598" s="17"/>
      <c r="Z598" s="17"/>
      <c r="AA598" s="17"/>
      <c r="AB598" s="73"/>
      <c r="AC598" s="17"/>
      <c r="AD598" s="17"/>
      <c r="AE598" s="17"/>
      <c r="AF598" s="17"/>
      <c r="AG598" s="73"/>
      <c r="AH598" s="17"/>
      <c r="AI598" s="17"/>
      <c r="AJ598" s="17"/>
      <c r="AK598" s="17"/>
      <c r="AL598" s="73"/>
      <c r="AM598" s="17"/>
      <c r="AN598" s="17"/>
      <c r="AO598" s="17"/>
      <c r="AP598" s="17"/>
      <c r="AQ598" s="73"/>
      <c r="AR598" s="17"/>
      <c r="AS598" s="17"/>
      <c r="AT598" s="17"/>
      <c r="AU598" s="17"/>
      <c r="AV598" s="73"/>
      <c r="AW598" s="17"/>
      <c r="AX598" s="17"/>
      <c r="AY598" s="17"/>
      <c r="AZ598" s="17"/>
      <c r="BA598" s="73"/>
      <c r="BB598" s="17"/>
      <c r="BC598" s="17"/>
      <c r="BD598" s="17"/>
      <c r="BE598" s="17"/>
      <c r="BF598" s="73"/>
      <c r="BG598" s="17"/>
      <c r="BH598" s="17"/>
      <c r="BI598" s="17"/>
      <c r="BJ598" s="17"/>
      <c r="BK598" s="73"/>
      <c r="BL598" s="17"/>
      <c r="BM598" s="17"/>
      <c r="BN598" s="17"/>
      <c r="BO598" s="17"/>
      <c r="BP598" s="73"/>
      <c r="BQ598" s="17"/>
      <c r="BR598" s="17"/>
      <c r="BS598" s="17"/>
      <c r="BT598" s="17"/>
      <c r="BU598" s="73"/>
      <c r="BV598" s="17"/>
      <c r="BW598" s="17"/>
      <c r="BX598" s="17"/>
      <c r="BY598" s="17"/>
      <c r="BZ598" s="18"/>
      <c r="CA598" s="17"/>
      <c r="CB598" s="17"/>
      <c r="CC598" s="17"/>
      <c r="CD598" s="17"/>
      <c r="CE598" s="18"/>
      <c r="CF598" s="17"/>
      <c r="CG598" s="17"/>
      <c r="CH598" s="17">
        <v>250.0</v>
      </c>
      <c r="CI598" s="17">
        <v>280.0</v>
      </c>
      <c r="CJ598" s="18">
        <f t="shared" si="3115"/>
        <v>530</v>
      </c>
      <c r="CK598" s="17">
        <v>280.0</v>
      </c>
      <c r="CL598" s="17">
        <v>280.0</v>
      </c>
      <c r="CM598" s="17">
        <v>280.0</v>
      </c>
      <c r="CN598" s="19"/>
      <c r="CO598" s="18"/>
      <c r="CP598" s="19"/>
      <c r="CQ598" s="17"/>
      <c r="CR598" s="17"/>
      <c r="CS598" s="17"/>
      <c r="CT598" s="18"/>
      <c r="CU598" s="17"/>
      <c r="CV598" s="17"/>
      <c r="CW598" s="17"/>
      <c r="CX598" s="17"/>
      <c r="CY598" s="18"/>
      <c r="CZ598" s="17"/>
      <c r="DA598" s="17"/>
      <c r="DB598" s="17"/>
      <c r="DC598" s="17"/>
      <c r="DD598" s="18"/>
      <c r="DE598" s="17"/>
      <c r="DF598" s="17"/>
      <c r="DG598" s="19"/>
      <c r="DH598" s="17"/>
      <c r="DI598" s="18"/>
      <c r="DJ598" s="19"/>
      <c r="DK598" s="19"/>
      <c r="DL598" s="19"/>
      <c r="DM598" s="17"/>
      <c r="DN598" s="18"/>
      <c r="DO598" s="17"/>
      <c r="DP598" s="17"/>
      <c r="DQ598" s="17"/>
      <c r="DR598" s="17"/>
      <c r="DS598" s="18"/>
      <c r="DT598" s="17"/>
      <c r="DU598" s="17"/>
      <c r="DV598" s="17"/>
      <c r="DW598" s="17"/>
      <c r="DX598" s="18"/>
      <c r="DY598" s="17"/>
      <c r="DZ598" s="17"/>
      <c r="EA598" s="17"/>
      <c r="EB598" s="17"/>
      <c r="EC598" s="18"/>
      <c r="ED598" s="17"/>
      <c r="EE598" s="17"/>
      <c r="EF598" s="17"/>
      <c r="EG598" s="17"/>
      <c r="EH598" s="18"/>
      <c r="EI598" s="25"/>
      <c r="EJ598" s="17"/>
      <c r="EK598" s="17"/>
      <c r="EL598" s="17"/>
      <c r="EM598" s="18"/>
      <c r="EN598" s="17"/>
      <c r="EO598" s="17"/>
      <c r="EP598" s="17"/>
      <c r="EQ598" s="17"/>
      <c r="ER598" s="18"/>
      <c r="ES598" s="17"/>
      <c r="ET598" s="17"/>
      <c r="EU598" s="17"/>
      <c r="EV598" s="17"/>
      <c r="EW598" s="18"/>
      <c r="EX598" s="17"/>
      <c r="EY598" s="17"/>
      <c r="EZ598" s="17"/>
      <c r="FA598" s="17"/>
      <c r="FB598" s="18"/>
      <c r="FC598" s="17"/>
      <c r="FD598" s="17"/>
      <c r="FE598" s="17"/>
      <c r="FF598" s="17"/>
      <c r="FG598" s="18"/>
      <c r="FH598" s="74"/>
      <c r="FI598" s="17"/>
      <c r="FJ598" s="17"/>
      <c r="FK598" s="73"/>
      <c r="FL598" s="17"/>
    </row>
    <row r="599" ht="12.75" hidden="1" customHeight="1" outlineLevel="2">
      <c r="A599" s="45"/>
      <c r="B599" s="215" t="s">
        <v>281</v>
      </c>
      <c r="C599" s="45"/>
      <c r="D599" s="112"/>
      <c r="E599" s="112"/>
      <c r="F599" s="112"/>
      <c r="G599" s="112"/>
      <c r="H599" s="73"/>
      <c r="I599" s="112"/>
      <c r="J599" s="112"/>
      <c r="K599" s="112"/>
      <c r="L599" s="112"/>
      <c r="M599" s="73"/>
      <c r="N599" s="112"/>
      <c r="O599" s="112"/>
      <c r="P599" s="112"/>
      <c r="Q599" s="112"/>
      <c r="R599" s="73"/>
      <c r="S599" s="112"/>
      <c r="T599" s="112"/>
      <c r="U599" s="112"/>
      <c r="V599" s="112"/>
      <c r="W599" s="73"/>
      <c r="X599" s="112"/>
      <c r="Y599" s="112"/>
      <c r="Z599" s="112"/>
      <c r="AA599" s="112"/>
      <c r="AB599" s="73"/>
      <c r="AC599" s="112"/>
      <c r="AD599" s="112"/>
      <c r="AE599" s="112"/>
      <c r="AF599" s="112"/>
      <c r="AG599" s="73"/>
      <c r="AH599" s="112"/>
      <c r="AI599" s="112"/>
      <c r="AJ599" s="112"/>
      <c r="AK599" s="112"/>
      <c r="AL599" s="73"/>
      <c r="AM599" s="112"/>
      <c r="AN599" s="112"/>
      <c r="AO599" s="112"/>
      <c r="AP599" s="112"/>
      <c r="AQ599" s="73"/>
      <c r="AR599" s="112"/>
      <c r="AS599" s="112"/>
      <c r="AT599" s="112"/>
      <c r="AU599" s="112"/>
      <c r="AV599" s="73"/>
      <c r="AW599" s="112"/>
      <c r="AX599" s="112"/>
      <c r="AY599" s="112"/>
      <c r="AZ599" s="112"/>
      <c r="BA599" s="73"/>
      <c r="BB599" s="112"/>
      <c r="BC599" s="112"/>
      <c r="BD599" s="112"/>
      <c r="BE599" s="112"/>
      <c r="BF599" s="73"/>
      <c r="BG599" s="112"/>
      <c r="BH599" s="112"/>
      <c r="BI599" s="112"/>
      <c r="BJ599" s="112"/>
      <c r="BK599" s="73"/>
      <c r="BL599" s="112"/>
      <c r="BM599" s="112"/>
      <c r="BN599" s="112"/>
      <c r="BO599" s="112"/>
      <c r="BP599" s="73"/>
      <c r="BQ599" s="112"/>
      <c r="BR599" s="112"/>
      <c r="BS599" s="112"/>
      <c r="BT599" s="112"/>
      <c r="BU599" s="73"/>
      <c r="BV599" s="112">
        <v>674.0</v>
      </c>
      <c r="BW599" s="112">
        <v>755.0</v>
      </c>
      <c r="BX599" s="112">
        <v>812.0</v>
      </c>
      <c r="BY599" s="112">
        <v>814.0</v>
      </c>
      <c r="BZ599" s="18">
        <f>SUM(BV599:BY599)</f>
        <v>3055</v>
      </c>
      <c r="CA599" s="112">
        <v>1149.0</v>
      </c>
      <c r="CB599" s="112">
        <v>1389.0</v>
      </c>
      <c r="CC599" s="112">
        <v>1368.0</v>
      </c>
      <c r="CD599" s="112">
        <v>1099.0</v>
      </c>
      <c r="CE599" s="18">
        <f t="shared" ref="CE599:CE601" si="3126">SUM(CA599:CD599)</f>
        <v>5005</v>
      </c>
      <c r="CF599" s="112">
        <v>1075.0</v>
      </c>
      <c r="CG599" s="112">
        <v>1108.0</v>
      </c>
      <c r="CH599" s="112">
        <v>1177.0</v>
      </c>
      <c r="CI599" s="112">
        <v>1018.0</v>
      </c>
      <c r="CJ599" s="18">
        <f t="shared" si="3115"/>
        <v>4378</v>
      </c>
      <c r="CK599" s="112">
        <f>1920-CL599</f>
        <v>978</v>
      </c>
      <c r="CL599" s="112">
        <v>942.0</v>
      </c>
      <c r="CM599" s="112">
        <f>+CM511</f>
        <v>1067</v>
      </c>
      <c r="CN599" s="146"/>
      <c r="CO599" s="18"/>
      <c r="CP599" s="146"/>
      <c r="CQ599" s="112"/>
      <c r="CR599" s="112"/>
      <c r="CS599" s="112"/>
      <c r="CT599" s="18"/>
      <c r="CU599" s="112"/>
      <c r="CV599" s="112"/>
      <c r="CW599" s="112"/>
      <c r="CX599" s="112"/>
      <c r="CY599" s="18"/>
      <c r="CZ599" s="112"/>
      <c r="DA599" s="112"/>
      <c r="DB599" s="112"/>
      <c r="DC599" s="112"/>
      <c r="DD599" s="18"/>
      <c r="DE599" s="112"/>
      <c r="DF599" s="112"/>
      <c r="DG599" s="146"/>
      <c r="DH599" s="112"/>
      <c r="DI599" s="18"/>
      <c r="DJ599" s="146"/>
      <c r="DK599" s="146"/>
      <c r="DL599" s="146"/>
      <c r="DM599" s="112"/>
      <c r="DN599" s="18"/>
      <c r="DO599" s="112"/>
      <c r="DP599" s="112"/>
      <c r="DQ599" s="112"/>
      <c r="DR599" s="112"/>
      <c r="DS599" s="18"/>
      <c r="DT599" s="112"/>
      <c r="DU599" s="112"/>
      <c r="DV599" s="112"/>
      <c r="DW599" s="112"/>
      <c r="DX599" s="18"/>
      <c r="DY599" s="112"/>
      <c r="DZ599" s="112"/>
      <c r="EA599" s="112"/>
      <c r="EB599" s="112"/>
      <c r="EC599" s="18"/>
      <c r="ED599" s="112"/>
      <c r="EE599" s="112"/>
      <c r="EF599" s="112"/>
      <c r="EG599" s="112"/>
      <c r="EH599" s="18"/>
      <c r="EI599" s="110"/>
      <c r="EJ599" s="112"/>
      <c r="EK599" s="112"/>
      <c r="EL599" s="112"/>
      <c r="EM599" s="18"/>
      <c r="EN599" s="112"/>
      <c r="EO599" s="112"/>
      <c r="EP599" s="112"/>
      <c r="EQ599" s="112"/>
      <c r="ER599" s="18"/>
      <c r="ES599" s="112"/>
      <c r="ET599" s="112"/>
      <c r="EU599" s="112"/>
      <c r="EV599" s="112"/>
      <c r="EW599" s="18"/>
      <c r="EX599" s="112"/>
      <c r="EY599" s="112"/>
      <c r="EZ599" s="112"/>
      <c r="FA599" s="112"/>
      <c r="FB599" s="18"/>
      <c r="FC599" s="112"/>
      <c r="FD599" s="112"/>
      <c r="FE599" s="112"/>
      <c r="FF599" s="112"/>
      <c r="FG599" s="18"/>
      <c r="FH599" s="74"/>
      <c r="FI599" s="112"/>
      <c r="FJ599" s="112"/>
      <c r="FK599" s="73"/>
      <c r="FL599" s="112"/>
    </row>
    <row r="600" ht="12.75" hidden="1" customHeight="1" outlineLevel="2">
      <c r="A600" s="45"/>
      <c r="B600" s="215" t="s">
        <v>282</v>
      </c>
      <c r="C600" s="45"/>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12"/>
      <c r="BE600" s="112"/>
      <c r="BF600" s="112"/>
      <c r="BG600" s="112"/>
      <c r="BH600" s="112"/>
      <c r="BI600" s="112"/>
      <c r="BJ600" s="112"/>
      <c r="BK600" s="112"/>
      <c r="BL600" s="112"/>
      <c r="BM600" s="112"/>
      <c r="BN600" s="112"/>
      <c r="BO600" s="112"/>
      <c r="BP600" s="112"/>
      <c r="BQ600" s="112"/>
      <c r="BR600" s="112"/>
      <c r="BS600" s="112"/>
      <c r="BT600" s="112"/>
      <c r="BU600" s="112"/>
      <c r="BV600" s="112">
        <f t="shared" ref="BV600:CD600" si="3125">BV593+BV596+BV599</f>
        <v>9920</v>
      </c>
      <c r="BW600" s="112">
        <f t="shared" si="3125"/>
        <v>10370</v>
      </c>
      <c r="BX600" s="112">
        <f t="shared" si="3125"/>
        <v>10736</v>
      </c>
      <c r="BY600" s="112">
        <f t="shared" si="3125"/>
        <v>11049</v>
      </c>
      <c r="BZ600" s="80">
        <f t="shared" si="3125"/>
        <v>42075</v>
      </c>
      <c r="CA600" s="112">
        <f t="shared" si="3125"/>
        <v>12234</v>
      </c>
      <c r="CB600" s="112">
        <f t="shared" si="3125"/>
        <v>12146</v>
      </c>
      <c r="CC600" s="112">
        <f t="shared" si="3125"/>
        <v>13297</v>
      </c>
      <c r="CD600" s="112">
        <f t="shared" si="3125"/>
        <v>12863</v>
      </c>
      <c r="CE600" s="80">
        <f t="shared" si="3126"/>
        <v>50540</v>
      </c>
      <c r="CF600" s="112" t="str">
        <f>PCClientSales+DataCenterSales+IAGOtherSales</f>
        <v>#NAME?</v>
      </c>
      <c r="CG600" s="112" t="str">
        <f>PCClientSales+DataCenterSales+IAGOtherSales</f>
        <v>#NAME?</v>
      </c>
      <c r="CH600" s="112" t="str">
        <f>PCClientSales+DataCenterSales+IAGOtherSales</f>
        <v>#NAME?</v>
      </c>
      <c r="CI600" s="112" t="str">
        <f>PCClientSales+DataCenterSales+IAGOtherSales</f>
        <v>#NAME?</v>
      </c>
      <c r="CJ600" s="80" t="str">
        <f t="shared" si="3115"/>
        <v>#NAME?</v>
      </c>
      <c r="CK600" s="112" t="str">
        <f>PCClientSales+DataCenterSales+IAGOtherSales</f>
        <v>#NAME?</v>
      </c>
      <c r="CL600" s="112" t="str">
        <f>PCClientSales+DataCenterSales+IAGOtherSales</f>
        <v>#NAME?</v>
      </c>
      <c r="CM600" s="112" t="str">
        <f>PCClientSales+DataCenterSales+IAGOtherSales</f>
        <v>#NAME?</v>
      </c>
      <c r="CN600" s="146"/>
      <c r="CO600" s="80"/>
      <c r="CP600" s="146"/>
      <c r="CQ600" s="112"/>
      <c r="CR600" s="112"/>
      <c r="CS600" s="112"/>
      <c r="CT600" s="80"/>
      <c r="CU600" s="112"/>
      <c r="CV600" s="112"/>
      <c r="CW600" s="112"/>
      <c r="CX600" s="112"/>
      <c r="CY600" s="80"/>
      <c r="CZ600" s="112"/>
      <c r="DA600" s="112"/>
      <c r="DB600" s="112"/>
      <c r="DC600" s="112"/>
      <c r="DD600" s="80"/>
      <c r="DE600" s="112"/>
      <c r="DF600" s="112"/>
      <c r="DG600" s="146"/>
      <c r="DH600" s="112"/>
      <c r="DI600" s="80"/>
      <c r="DJ600" s="146"/>
      <c r="DK600" s="146"/>
      <c r="DL600" s="146"/>
      <c r="DM600" s="112"/>
      <c r="DN600" s="80"/>
      <c r="DO600" s="112"/>
      <c r="DP600" s="112"/>
      <c r="DQ600" s="112"/>
      <c r="DR600" s="112"/>
      <c r="DS600" s="80"/>
      <c r="DT600" s="112"/>
      <c r="DU600" s="112"/>
      <c r="DV600" s="112"/>
      <c r="DW600" s="112"/>
      <c r="DX600" s="80"/>
      <c r="DY600" s="112"/>
      <c r="DZ600" s="112"/>
      <c r="EA600" s="112"/>
      <c r="EB600" s="112"/>
      <c r="EC600" s="80"/>
      <c r="ED600" s="112"/>
      <c r="EE600" s="112"/>
      <c r="EF600" s="112"/>
      <c r="EG600" s="112"/>
      <c r="EH600" s="80"/>
      <c r="EI600" s="110"/>
      <c r="EJ600" s="112"/>
      <c r="EK600" s="112"/>
      <c r="EL600" s="112"/>
      <c r="EM600" s="80"/>
      <c r="EN600" s="112"/>
      <c r="EO600" s="112"/>
      <c r="EP600" s="112"/>
      <c r="EQ600" s="112"/>
      <c r="ER600" s="80"/>
      <c r="ES600" s="112"/>
      <c r="ET600" s="112"/>
      <c r="EU600" s="112"/>
      <c r="EV600" s="112"/>
      <c r="EW600" s="80"/>
      <c r="EX600" s="112"/>
      <c r="EY600" s="112"/>
      <c r="EZ600" s="112"/>
      <c r="FA600" s="112"/>
      <c r="FB600" s="80"/>
      <c r="FC600" s="112"/>
      <c r="FD600" s="112"/>
      <c r="FE600" s="112"/>
      <c r="FF600" s="112"/>
      <c r="FG600" s="80"/>
      <c r="FH600" s="146"/>
      <c r="FI600" s="112"/>
      <c r="FJ600" s="112"/>
      <c r="FK600" s="112"/>
      <c r="FL600" s="112"/>
    </row>
    <row r="601" ht="12.75" hidden="1" customHeight="1" outlineLevel="2">
      <c r="A601" s="4"/>
      <c r="B601" s="72" t="s">
        <v>283</v>
      </c>
      <c r="C601" s="45"/>
      <c r="D601" s="17"/>
      <c r="E601" s="17"/>
      <c r="F601" s="17"/>
      <c r="G601" s="17"/>
      <c r="H601" s="73"/>
      <c r="I601" s="17"/>
      <c r="J601" s="17"/>
      <c r="K601" s="17"/>
      <c r="L601" s="17"/>
      <c r="M601" s="73"/>
      <c r="N601" s="17"/>
      <c r="O601" s="17"/>
      <c r="P601" s="17"/>
      <c r="Q601" s="17"/>
      <c r="R601" s="73"/>
      <c r="S601" s="17"/>
      <c r="T601" s="17"/>
      <c r="U601" s="17"/>
      <c r="V601" s="17"/>
      <c r="W601" s="73"/>
      <c r="X601" s="17"/>
      <c r="Y601" s="17"/>
      <c r="Z601" s="17"/>
      <c r="AA601" s="17"/>
      <c r="AB601" s="73"/>
      <c r="AC601" s="17"/>
      <c r="AD601" s="17"/>
      <c r="AE601" s="17"/>
      <c r="AF601" s="17"/>
      <c r="AG601" s="73"/>
      <c r="AH601" s="17"/>
      <c r="AI601" s="17"/>
      <c r="AJ601" s="17"/>
      <c r="AK601" s="17"/>
      <c r="AL601" s="73"/>
      <c r="AM601" s="17"/>
      <c r="AN601" s="17"/>
      <c r="AO601" s="17"/>
      <c r="AP601" s="17"/>
      <c r="AQ601" s="73"/>
      <c r="AR601" s="17"/>
      <c r="AS601" s="17"/>
      <c r="AT601" s="17"/>
      <c r="AU601" s="17"/>
      <c r="AV601" s="73"/>
      <c r="AW601" s="17"/>
      <c r="AX601" s="17"/>
      <c r="AY601" s="17"/>
      <c r="AZ601" s="17"/>
      <c r="BA601" s="73"/>
      <c r="BB601" s="17"/>
      <c r="BC601" s="17"/>
      <c r="BD601" s="17"/>
      <c r="BE601" s="17"/>
      <c r="BF601" s="73"/>
      <c r="BG601" s="17"/>
      <c r="BH601" s="17"/>
      <c r="BI601" s="17"/>
      <c r="BJ601" s="17"/>
      <c r="BK601" s="73"/>
      <c r="BL601" s="17"/>
      <c r="BM601" s="17"/>
      <c r="BN601" s="17"/>
      <c r="BO601" s="17"/>
      <c r="BP601" s="73"/>
      <c r="BQ601" s="17"/>
      <c r="BR601" s="17"/>
      <c r="BS601" s="17"/>
      <c r="BT601" s="17"/>
      <c r="BU601" s="73"/>
      <c r="BV601" s="17"/>
      <c r="BW601" s="17"/>
      <c r="BX601" s="17"/>
      <c r="BY601" s="17"/>
      <c r="BZ601" s="18"/>
      <c r="CA601" s="17">
        <v>160.0</v>
      </c>
      <c r="CB601" s="17">
        <v>429.0</v>
      </c>
      <c r="CC601" s="17">
        <v>459.0</v>
      </c>
      <c r="CD601" s="17">
        <v>478.0</v>
      </c>
      <c r="CE601" s="18">
        <f t="shared" si="3126"/>
        <v>1526</v>
      </c>
      <c r="CF601" s="17">
        <v>481.0</v>
      </c>
      <c r="CG601" s="17">
        <v>472.26400000000007</v>
      </c>
      <c r="CH601" s="17">
        <v>495.8772000000001</v>
      </c>
      <c r="CI601" s="17">
        <v>510.7535160000001</v>
      </c>
      <c r="CJ601" s="18">
        <f t="shared" si="3115"/>
        <v>1959.894716</v>
      </c>
      <c r="CK601" s="17">
        <f t="shared" ref="CK601:CM601" si="3127">+CK513</f>
        <v>480.108305</v>
      </c>
      <c r="CL601" s="17">
        <f t="shared" si="3127"/>
        <v>499.3126372</v>
      </c>
      <c r="CM601" s="17">
        <f t="shared" si="3127"/>
        <v>514.2920164</v>
      </c>
      <c r="CN601" s="19"/>
      <c r="CO601" s="18"/>
      <c r="CP601" s="19"/>
      <c r="CQ601" s="17"/>
      <c r="CR601" s="17"/>
      <c r="CS601" s="17"/>
      <c r="CT601" s="18"/>
      <c r="CU601" s="17"/>
      <c r="CV601" s="17"/>
      <c r="CW601" s="17"/>
      <c r="CX601" s="17"/>
      <c r="CY601" s="18"/>
      <c r="CZ601" s="17"/>
      <c r="DA601" s="17"/>
      <c r="DB601" s="17"/>
      <c r="DC601" s="17"/>
      <c r="DD601" s="18"/>
      <c r="DE601" s="17"/>
      <c r="DF601" s="17"/>
      <c r="DG601" s="19"/>
      <c r="DH601" s="17"/>
      <c r="DI601" s="18"/>
      <c r="DJ601" s="19"/>
      <c r="DK601" s="19"/>
      <c r="DL601" s="19"/>
      <c r="DM601" s="17"/>
      <c r="DN601" s="18"/>
      <c r="DO601" s="17"/>
      <c r="DP601" s="17"/>
      <c r="DQ601" s="17"/>
      <c r="DR601" s="17"/>
      <c r="DS601" s="18"/>
      <c r="DT601" s="17"/>
      <c r="DU601" s="17"/>
      <c r="DV601" s="17"/>
      <c r="DW601" s="17"/>
      <c r="DX601" s="18"/>
      <c r="DY601" s="17"/>
      <c r="DZ601" s="17"/>
      <c r="EA601" s="17"/>
      <c r="EB601" s="17"/>
      <c r="EC601" s="18"/>
      <c r="ED601" s="17"/>
      <c r="EE601" s="17"/>
      <c r="EF601" s="17"/>
      <c r="EG601" s="17"/>
      <c r="EH601" s="18"/>
      <c r="EI601" s="25"/>
      <c r="EJ601" s="17"/>
      <c r="EK601" s="17"/>
      <c r="EL601" s="17"/>
      <c r="EM601" s="18"/>
      <c r="EN601" s="17"/>
      <c r="EO601" s="17"/>
      <c r="EP601" s="17"/>
      <c r="EQ601" s="17"/>
      <c r="ER601" s="18"/>
      <c r="ES601" s="17"/>
      <c r="ET601" s="17"/>
      <c r="EU601" s="17"/>
      <c r="EV601" s="17"/>
      <c r="EW601" s="18"/>
      <c r="EX601" s="17"/>
      <c r="EY601" s="17"/>
      <c r="EZ601" s="17"/>
      <c r="FA601" s="17"/>
      <c r="FB601" s="18"/>
      <c r="FC601" s="17"/>
      <c r="FD601" s="17"/>
      <c r="FE601" s="17"/>
      <c r="FF601" s="17"/>
      <c r="FG601" s="18"/>
      <c r="FH601" s="74"/>
      <c r="FI601" s="17"/>
      <c r="FJ601" s="17"/>
      <c r="FK601" s="73"/>
      <c r="FL601" s="17"/>
    </row>
    <row r="602" ht="12.75" hidden="1" customHeight="1" outlineLevel="2">
      <c r="A602" s="4"/>
      <c r="B602" s="72" t="s">
        <v>284</v>
      </c>
      <c r="C602" s="45"/>
      <c r="D602" s="17"/>
      <c r="E602" s="17"/>
      <c r="F602" s="17"/>
      <c r="G602" s="17"/>
      <c r="H602" s="73"/>
      <c r="I602" s="17"/>
      <c r="J602" s="17"/>
      <c r="K602" s="17"/>
      <c r="L602" s="17"/>
      <c r="M602" s="73"/>
      <c r="N602" s="17"/>
      <c r="O602" s="17"/>
      <c r="P602" s="17"/>
      <c r="Q602" s="17"/>
      <c r="R602" s="73"/>
      <c r="S602" s="17"/>
      <c r="T602" s="17"/>
      <c r="U602" s="17"/>
      <c r="V602" s="17"/>
      <c r="W602" s="73"/>
      <c r="X602" s="17"/>
      <c r="Y602" s="17"/>
      <c r="Z602" s="17"/>
      <c r="AA602" s="17"/>
      <c r="AB602" s="73"/>
      <c r="AC602" s="17"/>
      <c r="AD602" s="17"/>
      <c r="AE602" s="17"/>
      <c r="AF602" s="17"/>
      <c r="AG602" s="73"/>
      <c r="AH602" s="17"/>
      <c r="AI602" s="17"/>
      <c r="AJ602" s="17"/>
      <c r="AK602" s="17"/>
      <c r="AL602" s="73"/>
      <c r="AM602" s="17"/>
      <c r="AN602" s="17"/>
      <c r="AO602" s="17"/>
      <c r="AP602" s="17"/>
      <c r="AQ602" s="73"/>
      <c r="AR602" s="17"/>
      <c r="AS602" s="17"/>
      <c r="AT602" s="17"/>
      <c r="AU602" s="17"/>
      <c r="AV602" s="73"/>
      <c r="AW602" s="17"/>
      <c r="AX602" s="17"/>
      <c r="AY602" s="17"/>
      <c r="AZ602" s="17"/>
      <c r="BA602" s="73"/>
      <c r="BB602" s="17"/>
      <c r="BC602" s="17"/>
      <c r="BD602" s="17"/>
      <c r="BE602" s="17"/>
      <c r="BF602" s="73"/>
      <c r="BG602" s="17"/>
      <c r="BH602" s="17"/>
      <c r="BI602" s="17"/>
      <c r="BJ602" s="17"/>
      <c r="BK602" s="73"/>
      <c r="BL602" s="17"/>
      <c r="BM602" s="17"/>
      <c r="BN602" s="17"/>
      <c r="BO602" s="17"/>
      <c r="BP602" s="73"/>
      <c r="BQ602" s="17"/>
      <c r="BR602" s="17"/>
      <c r="BS602" s="17"/>
      <c r="BT602" s="17"/>
      <c r="BU602" s="73"/>
      <c r="BV602" s="17"/>
      <c r="BW602" s="17"/>
      <c r="BX602" s="17"/>
      <c r="BY602" s="17"/>
      <c r="BZ602" s="18"/>
      <c r="CA602" s="17"/>
      <c r="CB602" s="17"/>
      <c r="CC602" s="17"/>
      <c r="CD602" s="17"/>
      <c r="CE602" s="18"/>
      <c r="CF602" s="17"/>
      <c r="CG602" s="17"/>
      <c r="CH602" s="17"/>
      <c r="CI602" s="17"/>
      <c r="CJ602" s="18"/>
      <c r="CK602" s="17"/>
      <c r="CL602" s="17"/>
      <c r="CM602" s="17"/>
      <c r="CN602" s="19"/>
      <c r="CO602" s="18"/>
      <c r="CP602" s="19"/>
      <c r="CQ602" s="17"/>
      <c r="CR602" s="17"/>
      <c r="CS602" s="17"/>
      <c r="CT602" s="18"/>
      <c r="CU602" s="17"/>
      <c r="CV602" s="17"/>
      <c r="CW602" s="17"/>
      <c r="CX602" s="17"/>
      <c r="CY602" s="18"/>
      <c r="CZ602" s="17"/>
      <c r="DA602" s="17"/>
      <c r="DB602" s="17"/>
      <c r="DC602" s="17"/>
      <c r="DD602" s="18"/>
      <c r="DE602" s="17"/>
      <c r="DF602" s="17"/>
      <c r="DG602" s="19"/>
      <c r="DH602" s="17"/>
      <c r="DI602" s="18"/>
      <c r="DJ602" s="19"/>
      <c r="DK602" s="19"/>
      <c r="DL602" s="19"/>
      <c r="DM602" s="17"/>
      <c r="DN602" s="18"/>
      <c r="DO602" s="17"/>
      <c r="DP602" s="17"/>
      <c r="DQ602" s="17"/>
      <c r="DR602" s="17"/>
      <c r="DS602" s="18"/>
      <c r="DT602" s="17"/>
      <c r="DU602" s="17"/>
      <c r="DV602" s="17"/>
      <c r="DW602" s="17"/>
      <c r="DX602" s="18"/>
      <c r="DY602" s="17"/>
      <c r="DZ602" s="17"/>
      <c r="EA602" s="17"/>
      <c r="EB602" s="17"/>
      <c r="EC602" s="18"/>
      <c r="ED602" s="17"/>
      <c r="EE602" s="17"/>
      <c r="EF602" s="17"/>
      <c r="EG602" s="17"/>
      <c r="EH602" s="18"/>
      <c r="EI602" s="25"/>
      <c r="EJ602" s="17"/>
      <c r="EK602" s="17"/>
      <c r="EL602" s="17"/>
      <c r="EM602" s="18"/>
      <c r="EN602" s="17"/>
      <c r="EO602" s="17"/>
      <c r="EP602" s="17"/>
      <c r="EQ602" s="17"/>
      <c r="ER602" s="18"/>
      <c r="ES602" s="17"/>
      <c r="ET602" s="17"/>
      <c r="EU602" s="17"/>
      <c r="EV602" s="17"/>
      <c r="EW602" s="18"/>
      <c r="EX602" s="17"/>
      <c r="EY602" s="17"/>
      <c r="EZ602" s="17"/>
      <c r="FA602" s="17"/>
      <c r="FB602" s="18"/>
      <c r="FC602" s="17"/>
      <c r="FD602" s="17"/>
      <c r="FE602" s="17"/>
      <c r="FF602" s="17"/>
      <c r="FG602" s="18"/>
      <c r="FH602" s="74"/>
      <c r="FI602" s="17"/>
      <c r="FJ602" s="17"/>
      <c r="FK602" s="73"/>
      <c r="FL602" s="17"/>
    </row>
    <row r="603" ht="12.75" hidden="1" customHeight="1" outlineLevel="2">
      <c r="A603" s="45"/>
      <c r="B603" s="215" t="s">
        <v>285</v>
      </c>
      <c r="C603" s="45"/>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12"/>
      <c r="BE603" s="112"/>
      <c r="BF603" s="112"/>
      <c r="BG603" s="112"/>
      <c r="BH603" s="112"/>
      <c r="BI603" s="112"/>
      <c r="BJ603" s="112"/>
      <c r="BK603" s="112"/>
      <c r="BL603" s="112"/>
      <c r="BM603" s="112"/>
      <c r="BN603" s="112"/>
      <c r="BO603" s="112"/>
      <c r="BP603" s="112"/>
      <c r="BQ603" s="112"/>
      <c r="BR603" s="112"/>
      <c r="BS603" s="112"/>
      <c r="BT603" s="112"/>
      <c r="BU603" s="112"/>
      <c r="BV603" s="112">
        <v>58.0</v>
      </c>
      <c r="BW603" s="112">
        <v>65.0</v>
      </c>
      <c r="BX603" s="112">
        <v>66.0</v>
      </c>
      <c r="BY603" s="112">
        <v>75.0</v>
      </c>
      <c r="BZ603" s="80">
        <f t="shared" ref="BZ603:BZ605" si="3129">SUM(BV603:BY603)</f>
        <v>264</v>
      </c>
      <c r="CA603" s="112">
        <v>240.0</v>
      </c>
      <c r="CB603" s="112">
        <v>511.0</v>
      </c>
      <c r="CC603" s="112">
        <v>541.0</v>
      </c>
      <c r="CD603" s="112">
        <v>578.0</v>
      </c>
      <c r="CE603" s="80">
        <f t="shared" ref="CE603:CE605" si="3130">SUM(CA603:CD603)</f>
        <v>1870</v>
      </c>
      <c r="CF603" s="112">
        <v>571.0</v>
      </c>
      <c r="CG603" s="112">
        <v>586.0</v>
      </c>
      <c r="CH603" s="112">
        <v>588.0</v>
      </c>
      <c r="CI603" s="112">
        <v>636.0</v>
      </c>
      <c r="CJ603" s="80">
        <f t="shared" ref="CJ603:CJ605" si="3132">SUM(CF603:CI603)</f>
        <v>2381</v>
      </c>
      <c r="CK603" s="112">
        <f t="shared" ref="CK603:CM603" si="3128">+CK515</f>
        <v>588</v>
      </c>
      <c r="CL603" s="112">
        <f t="shared" si="3128"/>
        <v>610</v>
      </c>
      <c r="CM603" s="112">
        <f t="shared" si="3128"/>
        <v>621</v>
      </c>
      <c r="CN603" s="146"/>
      <c r="CO603" s="80"/>
      <c r="CP603" s="146"/>
      <c r="CQ603" s="112"/>
      <c r="CR603" s="112"/>
      <c r="CS603" s="112"/>
      <c r="CT603" s="80"/>
      <c r="CU603" s="112"/>
      <c r="CV603" s="112"/>
      <c r="CW603" s="112"/>
      <c r="CX603" s="112"/>
      <c r="CY603" s="80"/>
      <c r="CZ603" s="112"/>
      <c r="DA603" s="112"/>
      <c r="DB603" s="112"/>
      <c r="DC603" s="112"/>
      <c r="DD603" s="80"/>
      <c r="DE603" s="112"/>
      <c r="DF603" s="112"/>
      <c r="DG603" s="146"/>
      <c r="DH603" s="112"/>
      <c r="DI603" s="80"/>
      <c r="DJ603" s="146"/>
      <c r="DK603" s="146"/>
      <c r="DL603" s="146"/>
      <c r="DM603" s="112"/>
      <c r="DN603" s="80"/>
      <c r="DO603" s="112"/>
      <c r="DP603" s="112"/>
      <c r="DQ603" s="112"/>
      <c r="DR603" s="112"/>
      <c r="DS603" s="80"/>
      <c r="DT603" s="112"/>
      <c r="DU603" s="112"/>
      <c r="DV603" s="112"/>
      <c r="DW603" s="112"/>
      <c r="DX603" s="80"/>
      <c r="DY603" s="112"/>
      <c r="DZ603" s="112"/>
      <c r="EA603" s="112"/>
      <c r="EB603" s="112"/>
      <c r="EC603" s="80"/>
      <c r="ED603" s="112"/>
      <c r="EE603" s="112"/>
      <c r="EF603" s="112"/>
      <c r="EG603" s="112"/>
      <c r="EH603" s="80"/>
      <c r="EI603" s="110"/>
      <c r="EJ603" s="112"/>
      <c r="EK603" s="112"/>
      <c r="EL603" s="112"/>
      <c r="EM603" s="80"/>
      <c r="EN603" s="112"/>
      <c r="EO603" s="112"/>
      <c r="EP603" s="112"/>
      <c r="EQ603" s="112"/>
      <c r="ER603" s="80"/>
      <c r="ES603" s="112"/>
      <c r="ET603" s="112"/>
      <c r="EU603" s="112"/>
      <c r="EV603" s="112"/>
      <c r="EW603" s="80"/>
      <c r="EX603" s="112"/>
      <c r="EY603" s="112"/>
      <c r="EZ603" s="112"/>
      <c r="FA603" s="112"/>
      <c r="FB603" s="80"/>
      <c r="FC603" s="112"/>
      <c r="FD603" s="112"/>
      <c r="FE603" s="112"/>
      <c r="FF603" s="112"/>
      <c r="FG603" s="80"/>
      <c r="FH603" s="146"/>
      <c r="FI603" s="112"/>
      <c r="FJ603" s="112"/>
      <c r="FK603" s="112"/>
      <c r="FL603" s="112"/>
    </row>
    <row r="604" ht="12.75" hidden="1" customHeight="1" outlineLevel="2">
      <c r="A604" s="45"/>
      <c r="B604" s="72" t="s">
        <v>286</v>
      </c>
      <c r="C604" s="45"/>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12"/>
      <c r="BE604" s="112"/>
      <c r="BF604" s="112"/>
      <c r="BG604" s="112"/>
      <c r="BH604" s="112"/>
      <c r="BI604" s="112"/>
      <c r="BJ604" s="112"/>
      <c r="BK604" s="112"/>
      <c r="BL604" s="112"/>
      <c r="BM604" s="112"/>
      <c r="BN604" s="112"/>
      <c r="BO604" s="112"/>
      <c r="BP604" s="112"/>
      <c r="BQ604" s="112"/>
      <c r="BR604" s="112"/>
      <c r="BS604" s="112"/>
      <c r="BT604" s="112"/>
      <c r="BU604" s="112"/>
      <c r="BV604" s="112">
        <v>280.0</v>
      </c>
      <c r="BW604" s="112">
        <v>302.0</v>
      </c>
      <c r="BX604" s="112">
        <v>256.0</v>
      </c>
      <c r="BY604" s="112">
        <v>288.0</v>
      </c>
      <c r="BZ604" s="80">
        <f t="shared" si="3129"/>
        <v>1126</v>
      </c>
      <c r="CA604" s="112">
        <v>355.0</v>
      </c>
      <c r="CB604" s="112">
        <v>375.0</v>
      </c>
      <c r="CC604" s="112">
        <v>415.0</v>
      </c>
      <c r="CD604" s="112">
        <f>CD605</f>
        <v>446</v>
      </c>
      <c r="CE604" s="80">
        <f t="shared" si="3130"/>
        <v>1591</v>
      </c>
      <c r="CF604" s="112">
        <f>CF605</f>
        <v>356</v>
      </c>
      <c r="CG604" s="112">
        <v>319.0</v>
      </c>
      <c r="CH604" s="112">
        <f t="shared" ref="CH604:CI604" si="3131">CH605</f>
        <v>405</v>
      </c>
      <c r="CI604" s="112">
        <f t="shared" si="3131"/>
        <v>487</v>
      </c>
      <c r="CJ604" s="80">
        <f t="shared" si="3132"/>
        <v>1567</v>
      </c>
      <c r="CK604" s="112">
        <f t="shared" ref="CK604:CM604" si="3133">+CK516</f>
        <v>437</v>
      </c>
      <c r="CL604" s="112">
        <f t="shared" si="3133"/>
        <v>416</v>
      </c>
      <c r="CM604" s="112">
        <f t="shared" si="3133"/>
        <v>496</v>
      </c>
      <c r="CN604" s="146"/>
      <c r="CO604" s="80"/>
      <c r="CP604" s="146"/>
      <c r="CQ604" s="112"/>
      <c r="CR604" s="112"/>
      <c r="CS604" s="112"/>
      <c r="CT604" s="80"/>
      <c r="CU604" s="112"/>
      <c r="CV604" s="112"/>
      <c r="CW604" s="112"/>
      <c r="CX604" s="112"/>
      <c r="CY604" s="80"/>
      <c r="CZ604" s="112"/>
      <c r="DA604" s="112"/>
      <c r="DB604" s="112"/>
      <c r="DC604" s="112"/>
      <c r="DD604" s="80"/>
      <c r="DE604" s="112"/>
      <c r="DF604" s="112"/>
      <c r="DG604" s="146"/>
      <c r="DH604" s="112"/>
      <c r="DI604" s="80"/>
      <c r="DJ604" s="146"/>
      <c r="DK604" s="146"/>
      <c r="DL604" s="146"/>
      <c r="DM604" s="112"/>
      <c r="DN604" s="80"/>
      <c r="DO604" s="112"/>
      <c r="DP604" s="112"/>
      <c r="DQ604" s="112"/>
      <c r="DR604" s="112"/>
      <c r="DS604" s="80"/>
      <c r="DT604" s="112"/>
      <c r="DU604" s="112"/>
      <c r="DV604" s="112"/>
      <c r="DW604" s="112"/>
      <c r="DX604" s="80"/>
      <c r="DY604" s="112"/>
      <c r="DZ604" s="112"/>
      <c r="EA604" s="112"/>
      <c r="EB604" s="112"/>
      <c r="EC604" s="80"/>
      <c r="ED604" s="112"/>
      <c r="EE604" s="112"/>
      <c r="EF604" s="112"/>
      <c r="EG604" s="112"/>
      <c r="EH604" s="80"/>
      <c r="EI604" s="110"/>
      <c r="EJ604" s="112"/>
      <c r="EK604" s="112"/>
      <c r="EL604" s="112"/>
      <c r="EM604" s="80"/>
      <c r="EN604" s="112"/>
      <c r="EO604" s="112"/>
      <c r="EP604" s="112"/>
      <c r="EQ604" s="112"/>
      <c r="ER604" s="80"/>
      <c r="ES604" s="112"/>
      <c r="ET604" s="112"/>
      <c r="EU604" s="112"/>
      <c r="EV604" s="112"/>
      <c r="EW604" s="80"/>
      <c r="EX604" s="112"/>
      <c r="EY604" s="112"/>
      <c r="EZ604" s="112"/>
      <c r="FA604" s="112"/>
      <c r="FB604" s="80"/>
      <c r="FC604" s="112"/>
      <c r="FD604" s="112"/>
      <c r="FE604" s="112"/>
      <c r="FF604" s="112"/>
      <c r="FG604" s="80"/>
      <c r="FH604" s="146"/>
      <c r="FI604" s="112"/>
      <c r="FJ604" s="112"/>
      <c r="FK604" s="112"/>
      <c r="FL604" s="112"/>
    </row>
    <row r="605" ht="12.75" hidden="1" customHeight="1" outlineLevel="2">
      <c r="A605" s="45"/>
      <c r="B605" s="215" t="s">
        <v>176</v>
      </c>
      <c r="C605" s="45"/>
      <c r="D605" s="112"/>
      <c r="E605" s="112"/>
      <c r="F605" s="112"/>
      <c r="G605" s="112"/>
      <c r="H605" s="73"/>
      <c r="I605" s="112"/>
      <c r="J605" s="112"/>
      <c r="K605" s="112"/>
      <c r="L605" s="112"/>
      <c r="M605" s="73"/>
      <c r="N605" s="112"/>
      <c r="O605" s="112"/>
      <c r="P605" s="112"/>
      <c r="Q605" s="112"/>
      <c r="R605" s="73"/>
      <c r="S605" s="112"/>
      <c r="T605" s="112"/>
      <c r="U605" s="112"/>
      <c r="V605" s="112"/>
      <c r="W605" s="73"/>
      <c r="X605" s="112"/>
      <c r="Y605" s="112"/>
      <c r="Z605" s="112"/>
      <c r="AA605" s="112"/>
      <c r="AB605" s="73"/>
      <c r="AC605" s="112"/>
      <c r="AD605" s="112"/>
      <c r="AE605" s="112"/>
      <c r="AF605" s="112"/>
      <c r="AG605" s="73"/>
      <c r="AH605" s="112"/>
      <c r="AI605" s="112"/>
      <c r="AJ605" s="112"/>
      <c r="AK605" s="112"/>
      <c r="AL605" s="73"/>
      <c r="AM605" s="112"/>
      <c r="AN605" s="112"/>
      <c r="AO605" s="112"/>
      <c r="AP605" s="112"/>
      <c r="AQ605" s="73"/>
      <c r="AR605" s="112"/>
      <c r="AS605" s="112"/>
      <c r="AT605" s="112"/>
      <c r="AU605" s="112"/>
      <c r="AV605" s="73"/>
      <c r="AW605" s="112"/>
      <c r="AX605" s="112"/>
      <c r="AY605" s="112"/>
      <c r="AZ605" s="112"/>
      <c r="BA605" s="73"/>
      <c r="BB605" s="112"/>
      <c r="BC605" s="112"/>
      <c r="BD605" s="112"/>
      <c r="BE605" s="112"/>
      <c r="BF605" s="73"/>
      <c r="BG605" s="112"/>
      <c r="BH605" s="112"/>
      <c r="BI605" s="112"/>
      <c r="BJ605" s="112"/>
      <c r="BK605" s="73"/>
      <c r="BL605" s="112"/>
      <c r="BM605" s="112"/>
      <c r="BN605" s="112"/>
      <c r="BO605" s="112"/>
      <c r="BP605" s="73"/>
      <c r="BQ605" s="112"/>
      <c r="BR605" s="112"/>
      <c r="BS605" s="112"/>
      <c r="BT605" s="112"/>
      <c r="BU605" s="73"/>
      <c r="BV605" s="112">
        <v>321.0</v>
      </c>
      <c r="BW605" s="112">
        <v>330.0</v>
      </c>
      <c r="BX605" s="112">
        <v>300.0</v>
      </c>
      <c r="BY605" s="112">
        <v>333.0</v>
      </c>
      <c r="BZ605" s="18">
        <f t="shared" si="3129"/>
        <v>1284</v>
      </c>
      <c r="CA605" s="112">
        <v>373.0</v>
      </c>
      <c r="CB605" s="112">
        <v>375.0</v>
      </c>
      <c r="CC605" s="112">
        <v>395.0</v>
      </c>
      <c r="CD605" s="112">
        <v>446.0</v>
      </c>
      <c r="CE605" s="18">
        <f t="shared" si="3130"/>
        <v>1589</v>
      </c>
      <c r="CF605" s="112">
        <v>356.0</v>
      </c>
      <c r="CG605" s="112">
        <v>319.0</v>
      </c>
      <c r="CH605" s="112">
        <v>405.0</v>
      </c>
      <c r="CI605" s="112">
        <v>487.0</v>
      </c>
      <c r="CJ605" s="18">
        <f t="shared" si="3132"/>
        <v>1567</v>
      </c>
      <c r="CK605" s="112">
        <f>853-CL605</f>
        <v>437</v>
      </c>
      <c r="CL605" s="112">
        <v>416.0</v>
      </c>
      <c r="CM605" s="112">
        <f>+CM604</f>
        <v>496</v>
      </c>
      <c r="CN605" s="146"/>
      <c r="CO605" s="18"/>
      <c r="CP605" s="146"/>
      <c r="CQ605" s="112"/>
      <c r="CR605" s="112"/>
      <c r="CS605" s="112"/>
      <c r="CT605" s="18"/>
      <c r="CU605" s="112"/>
      <c r="CV605" s="112"/>
      <c r="CW605" s="112"/>
      <c r="CX605" s="112"/>
      <c r="CY605" s="18"/>
      <c r="CZ605" s="112"/>
      <c r="DA605" s="112"/>
      <c r="DB605" s="112"/>
      <c r="DC605" s="112"/>
      <c r="DD605" s="18"/>
      <c r="DE605" s="112"/>
      <c r="DF605" s="112"/>
      <c r="DG605" s="146"/>
      <c r="DH605" s="112"/>
      <c r="DI605" s="18"/>
      <c r="DJ605" s="146"/>
      <c r="DK605" s="146"/>
      <c r="DL605" s="146"/>
      <c r="DM605" s="112"/>
      <c r="DN605" s="18"/>
      <c r="DO605" s="112"/>
      <c r="DP605" s="112"/>
      <c r="DQ605" s="112"/>
      <c r="DR605" s="112"/>
      <c r="DS605" s="18"/>
      <c r="DT605" s="112"/>
      <c r="DU605" s="112"/>
      <c r="DV605" s="112"/>
      <c r="DW605" s="112"/>
      <c r="DX605" s="18"/>
      <c r="DY605" s="112"/>
      <c r="DZ605" s="112"/>
      <c r="EA605" s="112"/>
      <c r="EB605" s="112"/>
      <c r="EC605" s="18"/>
      <c r="ED605" s="112"/>
      <c r="EE605" s="112"/>
      <c r="EF605" s="112"/>
      <c r="EG605" s="112"/>
      <c r="EH605" s="18"/>
      <c r="EI605" s="110"/>
      <c r="EJ605" s="112"/>
      <c r="EK605" s="112"/>
      <c r="EL605" s="112"/>
      <c r="EM605" s="18"/>
      <c r="EN605" s="112"/>
      <c r="EO605" s="112"/>
      <c r="EP605" s="112"/>
      <c r="EQ605" s="112"/>
      <c r="ER605" s="18"/>
      <c r="ES605" s="112"/>
      <c r="ET605" s="112"/>
      <c r="EU605" s="112"/>
      <c r="EV605" s="112"/>
      <c r="EW605" s="18"/>
      <c r="EX605" s="112"/>
      <c r="EY605" s="112"/>
      <c r="EZ605" s="112"/>
      <c r="FA605" s="112"/>
      <c r="FB605" s="18"/>
      <c r="FC605" s="112"/>
      <c r="FD605" s="112"/>
      <c r="FE605" s="112"/>
      <c r="FF605" s="112"/>
      <c r="FG605" s="18"/>
      <c r="FH605" s="74"/>
      <c r="FI605" s="112"/>
      <c r="FJ605" s="112"/>
      <c r="FK605" s="73"/>
      <c r="FL605" s="112"/>
    </row>
    <row r="606" ht="13.5" hidden="1" customHeight="1" outlineLevel="2">
      <c r="A606" s="4"/>
      <c r="B606" s="529" t="s">
        <v>15</v>
      </c>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c r="AH606" s="164"/>
      <c r="AI606" s="164"/>
      <c r="AJ606" s="164"/>
      <c r="AK606" s="164"/>
      <c r="AL606" s="164"/>
      <c r="AM606" s="164"/>
      <c r="AN606" s="164"/>
      <c r="AO606" s="164"/>
      <c r="AP606" s="164"/>
      <c r="AQ606" s="164"/>
      <c r="AR606" s="164"/>
      <c r="AS606" s="164"/>
      <c r="AT606" s="164"/>
      <c r="AU606" s="164"/>
      <c r="AV606" s="164"/>
      <c r="AW606" s="164"/>
      <c r="AX606" s="164"/>
      <c r="AY606" s="164"/>
      <c r="AZ606" s="164"/>
      <c r="BA606" s="164"/>
      <c r="BB606" s="164"/>
      <c r="BC606" s="164"/>
      <c r="BD606" s="164"/>
      <c r="BE606" s="164"/>
      <c r="BF606" s="164"/>
      <c r="BG606" s="164"/>
      <c r="BH606" s="164"/>
      <c r="BI606" s="164"/>
      <c r="BJ606" s="164"/>
      <c r="BK606" s="164"/>
      <c r="BL606" s="164"/>
      <c r="BM606" s="164"/>
      <c r="BN606" s="164"/>
      <c r="BO606" s="164"/>
      <c r="BP606" s="164"/>
      <c r="BQ606" s="164"/>
      <c r="BR606" s="164"/>
      <c r="BS606" s="164"/>
      <c r="BT606" s="164"/>
      <c r="BU606" s="164"/>
      <c r="BV606" s="164">
        <f t="shared" ref="BV606:CM606" si="3134">BV600+BV603+BV605</f>
        <v>10299</v>
      </c>
      <c r="BW606" s="164">
        <f t="shared" si="3134"/>
        <v>10765</v>
      </c>
      <c r="BX606" s="164">
        <f t="shared" si="3134"/>
        <v>11102</v>
      </c>
      <c r="BY606" s="164">
        <f t="shared" si="3134"/>
        <v>11457</v>
      </c>
      <c r="BZ606" s="165">
        <f t="shared" si="3134"/>
        <v>43623</v>
      </c>
      <c r="CA606" s="164">
        <f t="shared" si="3134"/>
        <v>12847</v>
      </c>
      <c r="CB606" s="164">
        <f t="shared" si="3134"/>
        <v>13032</v>
      </c>
      <c r="CC606" s="164">
        <f t="shared" si="3134"/>
        <v>14233</v>
      </c>
      <c r="CD606" s="164">
        <f t="shared" si="3134"/>
        <v>13887</v>
      </c>
      <c r="CE606" s="165">
        <f t="shared" si="3134"/>
        <v>53999</v>
      </c>
      <c r="CF606" s="164" t="str">
        <f t="shared" si="3134"/>
        <v>#NAME?</v>
      </c>
      <c r="CG606" s="164" t="str">
        <f t="shared" si="3134"/>
        <v>#NAME?</v>
      </c>
      <c r="CH606" s="164" t="str">
        <f t="shared" si="3134"/>
        <v>#NAME?</v>
      </c>
      <c r="CI606" s="164" t="str">
        <f t="shared" si="3134"/>
        <v>#NAME?</v>
      </c>
      <c r="CJ606" s="165" t="str">
        <f t="shared" si="3134"/>
        <v>#NAME?</v>
      </c>
      <c r="CK606" s="164" t="str">
        <f t="shared" si="3134"/>
        <v>#NAME?</v>
      </c>
      <c r="CL606" s="164" t="str">
        <f t="shared" si="3134"/>
        <v>#NAME?</v>
      </c>
      <c r="CM606" s="164" t="str">
        <f t="shared" si="3134"/>
        <v>#NAME?</v>
      </c>
      <c r="CN606" s="583"/>
      <c r="CO606" s="165"/>
      <c r="CP606" s="583"/>
      <c r="CQ606" s="164"/>
      <c r="CR606" s="164"/>
      <c r="CS606" s="164"/>
      <c r="CT606" s="165"/>
      <c r="CU606" s="164"/>
      <c r="CV606" s="164"/>
      <c r="CW606" s="164"/>
      <c r="CX606" s="164"/>
      <c r="CY606" s="165"/>
      <c r="CZ606" s="164"/>
      <c r="DA606" s="164"/>
      <c r="DB606" s="164"/>
      <c r="DC606" s="164"/>
      <c r="DD606" s="165"/>
      <c r="DE606" s="164"/>
      <c r="DF606" s="164"/>
      <c r="DG606" s="146"/>
      <c r="DH606" s="164"/>
      <c r="DI606" s="165"/>
      <c r="DJ606" s="583"/>
      <c r="DK606" s="583"/>
      <c r="DL606" s="583"/>
      <c r="DM606" s="164"/>
      <c r="DN606" s="165"/>
      <c r="DO606" s="164"/>
      <c r="DP606" s="164"/>
      <c r="DQ606" s="164"/>
      <c r="DR606" s="164"/>
      <c r="DS606" s="165"/>
      <c r="DT606" s="164"/>
      <c r="DU606" s="164"/>
      <c r="DV606" s="164"/>
      <c r="DW606" s="164"/>
      <c r="DX606" s="165"/>
      <c r="DY606" s="164"/>
      <c r="DZ606" s="164"/>
      <c r="EA606" s="164"/>
      <c r="EB606" s="164"/>
      <c r="EC606" s="165"/>
      <c r="ED606" s="164"/>
      <c r="EE606" s="164"/>
      <c r="EF606" s="164"/>
      <c r="EG606" s="164"/>
      <c r="EH606" s="165"/>
      <c r="EI606" s="584"/>
      <c r="EJ606" s="164"/>
      <c r="EK606" s="164"/>
      <c r="EL606" s="164"/>
      <c r="EM606" s="165"/>
      <c r="EN606" s="164"/>
      <c r="EO606" s="164"/>
      <c r="EP606" s="164"/>
      <c r="EQ606" s="164"/>
      <c r="ER606" s="165"/>
      <c r="ES606" s="164"/>
      <c r="ET606" s="164"/>
      <c r="EU606" s="164"/>
      <c r="EV606" s="164"/>
      <c r="EW606" s="165"/>
      <c r="EX606" s="164"/>
      <c r="EY606" s="164"/>
      <c r="EZ606" s="164"/>
      <c r="FA606" s="164"/>
      <c r="FB606" s="165"/>
      <c r="FC606" s="164"/>
      <c r="FD606" s="164"/>
      <c r="FE606" s="164"/>
      <c r="FF606" s="164"/>
      <c r="FG606" s="165"/>
      <c r="FH606" s="583"/>
      <c r="FI606" s="164"/>
      <c r="FJ606" s="164"/>
      <c r="FK606" s="164"/>
      <c r="FL606" s="164"/>
    </row>
    <row r="607" ht="13.5" hidden="1" customHeight="1" outlineLevel="2">
      <c r="A607" s="4"/>
      <c r="B607" s="45"/>
      <c r="C607" s="45"/>
      <c r="D607" s="4"/>
      <c r="E607" s="4"/>
      <c r="F607" s="4"/>
      <c r="G607" s="4"/>
      <c r="H607" s="45"/>
      <c r="I607" s="4"/>
      <c r="J607" s="4"/>
      <c r="K607" s="4"/>
      <c r="L607" s="4"/>
      <c r="M607" s="45"/>
      <c r="N607" s="4"/>
      <c r="O607" s="4"/>
      <c r="P607" s="4"/>
      <c r="Q607" s="4"/>
      <c r="R607" s="45"/>
      <c r="S607" s="4"/>
      <c r="T607" s="4"/>
      <c r="U607" s="4"/>
      <c r="V607" s="4"/>
      <c r="W607" s="45"/>
      <c r="X607" s="4"/>
      <c r="Y607" s="4"/>
      <c r="Z607" s="4"/>
      <c r="AA607" s="4"/>
      <c r="AB607" s="45"/>
      <c r="AC607" s="4"/>
      <c r="AD607" s="4"/>
      <c r="AE607" s="4"/>
      <c r="AF607" s="4"/>
      <c r="AG607" s="45"/>
      <c r="AH607" s="4"/>
      <c r="AI607" s="4"/>
      <c r="AJ607" s="4"/>
      <c r="AK607" s="4"/>
      <c r="AL607" s="45"/>
      <c r="AM607" s="4"/>
      <c r="AN607" s="4"/>
      <c r="AO607" s="4"/>
      <c r="AP607" s="4"/>
      <c r="AQ607" s="45"/>
      <c r="AR607" s="4"/>
      <c r="AS607" s="4"/>
      <c r="AT607" s="4"/>
      <c r="AU607" s="4"/>
      <c r="AV607" s="45"/>
      <c r="AW607" s="4"/>
      <c r="AX607" s="4"/>
      <c r="AY607" s="4"/>
      <c r="AZ607" s="4"/>
      <c r="BA607" s="45"/>
      <c r="BB607" s="4"/>
      <c r="BC607" s="4"/>
      <c r="BD607" s="4"/>
      <c r="BE607" s="4"/>
      <c r="BF607" s="45"/>
      <c r="BG607" s="4"/>
      <c r="BH607" s="4"/>
      <c r="BI607" s="4"/>
      <c r="BJ607" s="4"/>
      <c r="BK607" s="45"/>
      <c r="BL607" s="4"/>
      <c r="BM607" s="4"/>
      <c r="BN607" s="4"/>
      <c r="BO607" s="4"/>
      <c r="BP607" s="45"/>
      <c r="BQ607" s="4"/>
      <c r="BR607" s="4"/>
      <c r="BS607" s="4"/>
      <c r="BT607" s="4"/>
      <c r="BU607" s="45"/>
      <c r="BV607" s="4"/>
      <c r="BW607" s="4"/>
      <c r="BX607" s="4"/>
      <c r="BY607" s="4"/>
      <c r="BZ607" s="350"/>
      <c r="CA607" s="4">
        <v>62.0</v>
      </c>
      <c r="CB607" s="4">
        <f t="shared" ref="CB607:CM607" si="3135">CA607+1</f>
        <v>63</v>
      </c>
      <c r="CC607" s="4">
        <f t="shared" si="3135"/>
        <v>64</v>
      </c>
      <c r="CD607" s="4">
        <f t="shared" si="3135"/>
        <v>65</v>
      </c>
      <c r="CE607" s="350">
        <f t="shared" si="3135"/>
        <v>66</v>
      </c>
      <c r="CF607" s="4">
        <f t="shared" si="3135"/>
        <v>67</v>
      </c>
      <c r="CG607" s="4">
        <f t="shared" si="3135"/>
        <v>68</v>
      </c>
      <c r="CH607" s="4">
        <f t="shared" si="3135"/>
        <v>69</v>
      </c>
      <c r="CI607" s="4">
        <f t="shared" si="3135"/>
        <v>70</v>
      </c>
      <c r="CJ607" s="350">
        <f t="shared" si="3135"/>
        <v>71</v>
      </c>
      <c r="CK607" s="4">
        <f t="shared" si="3135"/>
        <v>72</v>
      </c>
      <c r="CL607" s="4">
        <f t="shared" si="3135"/>
        <v>73</v>
      </c>
      <c r="CM607" s="4">
        <f t="shared" si="3135"/>
        <v>74</v>
      </c>
      <c r="CN607" s="16"/>
      <c r="CO607" s="350"/>
      <c r="CP607" s="16"/>
      <c r="CQ607" s="4"/>
      <c r="CR607" s="4"/>
      <c r="CS607" s="4"/>
      <c r="CT607" s="350"/>
      <c r="CU607" s="4"/>
      <c r="CV607" s="4"/>
      <c r="CW607" s="4"/>
      <c r="CX607" s="4"/>
      <c r="CY607" s="350"/>
      <c r="CZ607" s="4"/>
      <c r="DA607" s="4"/>
      <c r="DB607" s="4"/>
      <c r="DC607" s="4"/>
      <c r="DD607" s="350"/>
      <c r="DE607" s="4"/>
      <c r="DF607" s="4"/>
      <c r="DG607" s="16"/>
      <c r="DH607" s="4"/>
      <c r="DI607" s="350"/>
      <c r="DJ607" s="16"/>
      <c r="DK607" s="16"/>
      <c r="DL607" s="16"/>
      <c r="DM607" s="4"/>
      <c r="DN607" s="350"/>
      <c r="DO607" s="4"/>
      <c r="DP607" s="4"/>
      <c r="DQ607" s="4"/>
      <c r="DR607" s="4"/>
      <c r="DS607" s="350"/>
      <c r="DT607" s="4"/>
      <c r="DU607" s="4"/>
      <c r="DV607" s="4"/>
      <c r="DW607" s="4"/>
      <c r="DX607" s="350"/>
      <c r="DY607" s="4"/>
      <c r="DZ607" s="4"/>
      <c r="EA607" s="4"/>
      <c r="EB607" s="4"/>
      <c r="EC607" s="350"/>
      <c r="ED607" s="4"/>
      <c r="EE607" s="4"/>
      <c r="EF607" s="4"/>
      <c r="EG607" s="4"/>
      <c r="EH607" s="350"/>
      <c r="EI607" s="214"/>
      <c r="EJ607" s="4"/>
      <c r="EK607" s="4"/>
      <c r="EL607" s="4"/>
      <c r="EM607" s="350"/>
      <c r="EN607" s="4"/>
      <c r="EO607" s="4"/>
      <c r="EP607" s="4"/>
      <c r="EQ607" s="4"/>
      <c r="ER607" s="350"/>
      <c r="ES607" s="4"/>
      <c r="ET607" s="4"/>
      <c r="EU607" s="4"/>
      <c r="EV607" s="4"/>
      <c r="EW607" s="350"/>
      <c r="EX607" s="4"/>
      <c r="EY607" s="4"/>
      <c r="EZ607" s="4"/>
      <c r="FA607" s="4"/>
      <c r="FB607" s="350"/>
      <c r="FC607" s="4"/>
      <c r="FD607" s="4"/>
      <c r="FE607" s="4"/>
      <c r="FF607" s="4"/>
      <c r="FG607" s="350"/>
      <c r="FH607" s="145"/>
      <c r="FI607" s="4"/>
      <c r="FJ607" s="4"/>
      <c r="FK607" s="45"/>
      <c r="FL607" s="4"/>
    </row>
    <row r="608" ht="12.75" hidden="1" customHeight="1" outlineLevel="2">
      <c r="A608" s="4"/>
      <c r="B608" s="578" t="s">
        <v>288</v>
      </c>
      <c r="C608" s="299"/>
      <c r="D608" s="585"/>
      <c r="E608" s="586"/>
      <c r="F608" s="586"/>
      <c r="G608" s="586"/>
      <c r="H608" s="585"/>
      <c r="I608" s="585"/>
      <c r="J608" s="586"/>
      <c r="K608" s="586"/>
      <c r="L608" s="586"/>
      <c r="M608" s="585"/>
      <c r="N608" s="585"/>
      <c r="O608" s="586"/>
      <c r="P608" s="586"/>
      <c r="Q608" s="586"/>
      <c r="R608" s="585"/>
      <c r="S608" s="585"/>
      <c r="T608" s="586"/>
      <c r="U608" s="586"/>
      <c r="V608" s="586"/>
      <c r="W608" s="585"/>
      <c r="X608" s="585"/>
      <c r="Y608" s="586"/>
      <c r="Z608" s="586"/>
      <c r="AA608" s="586"/>
      <c r="AB608" s="585"/>
      <c r="AC608" s="585"/>
      <c r="AD608" s="586"/>
      <c r="AE608" s="586"/>
      <c r="AF608" s="586"/>
      <c r="AG608" s="585"/>
      <c r="AH608" s="585"/>
      <c r="AI608" s="586"/>
      <c r="AJ608" s="586"/>
      <c r="AK608" s="586"/>
      <c r="AL608" s="585"/>
      <c r="AM608" s="585"/>
      <c r="AN608" s="586"/>
      <c r="AO608" s="586"/>
      <c r="AP608" s="586"/>
      <c r="AQ608" s="585"/>
      <c r="AR608" s="585"/>
      <c r="AS608" s="586"/>
      <c r="AT608" s="586"/>
      <c r="AU608" s="586"/>
      <c r="AV608" s="585"/>
      <c r="AW608" s="585"/>
      <c r="AX608" s="586"/>
      <c r="AY608" s="586"/>
      <c r="AZ608" s="586"/>
      <c r="BA608" s="585"/>
      <c r="BB608" s="585"/>
      <c r="BC608" s="586"/>
      <c r="BD608" s="586"/>
      <c r="BE608" s="586"/>
      <c r="BF608" s="585"/>
      <c r="BG608" s="585"/>
      <c r="BH608" s="586"/>
      <c r="BI608" s="586"/>
      <c r="BJ608" s="586"/>
      <c r="BK608" s="585"/>
      <c r="BL608" s="585"/>
      <c r="BM608" s="586"/>
      <c r="BN608" s="586"/>
      <c r="BO608" s="586"/>
      <c r="BP608" s="585"/>
      <c r="BQ608" s="585"/>
      <c r="BR608" s="586"/>
      <c r="BS608" s="586"/>
      <c r="BT608" s="586"/>
      <c r="BU608" s="585"/>
      <c r="BV608" s="585"/>
      <c r="BW608" s="586"/>
      <c r="BX608" s="586"/>
      <c r="BY608" s="586"/>
      <c r="BZ608" s="587"/>
      <c r="CA608" s="585"/>
      <c r="CB608" s="586"/>
      <c r="CC608" s="586"/>
      <c r="CD608" s="586"/>
      <c r="CE608" s="587"/>
      <c r="CF608" s="585"/>
      <c r="CG608" s="586"/>
      <c r="CH608" s="586"/>
      <c r="CI608" s="586"/>
      <c r="CJ608" s="587"/>
      <c r="CK608" s="585"/>
      <c r="CL608" s="586"/>
      <c r="CM608" s="586"/>
      <c r="CN608" s="588"/>
      <c r="CO608" s="587"/>
      <c r="CP608" s="588"/>
      <c r="CQ608" s="586"/>
      <c r="CR608" s="586"/>
      <c r="CS608" s="586"/>
      <c r="CT608" s="587"/>
      <c r="CU608" s="585"/>
      <c r="CV608" s="586"/>
      <c r="CW608" s="586"/>
      <c r="CX608" s="586"/>
      <c r="CY608" s="587"/>
      <c r="CZ608" s="585"/>
      <c r="DA608" s="586"/>
      <c r="DB608" s="586"/>
      <c r="DC608" s="586"/>
      <c r="DD608" s="587"/>
      <c r="DE608" s="585"/>
      <c r="DF608" s="586"/>
      <c r="DG608" s="474"/>
      <c r="DH608" s="586"/>
      <c r="DI608" s="587"/>
      <c r="DJ608" s="589"/>
      <c r="DK608" s="588"/>
      <c r="DL608" s="588"/>
      <c r="DM608" s="586"/>
      <c r="DN608" s="587"/>
      <c r="DO608" s="585"/>
      <c r="DP608" s="586"/>
      <c r="DQ608" s="586"/>
      <c r="DR608" s="586"/>
      <c r="DS608" s="587"/>
      <c r="DT608" s="585"/>
      <c r="DU608" s="585"/>
      <c r="DV608" s="585"/>
      <c r="DW608" s="585"/>
      <c r="DX608" s="587"/>
      <c r="DY608" s="585"/>
      <c r="DZ608" s="585"/>
      <c r="EA608" s="585"/>
      <c r="EB608" s="585"/>
      <c r="EC608" s="587"/>
      <c r="ED608" s="585"/>
      <c r="EE608" s="585"/>
      <c r="EF608" s="585"/>
      <c r="EG608" s="585"/>
      <c r="EH608" s="587"/>
      <c r="EI608" s="590"/>
      <c r="EJ608" s="586"/>
      <c r="EK608" s="586"/>
      <c r="EL608" s="586"/>
      <c r="EM608" s="587"/>
      <c r="EN608" s="585"/>
      <c r="EO608" s="586"/>
      <c r="EP608" s="586"/>
      <c r="EQ608" s="586"/>
      <c r="ER608" s="587"/>
      <c r="ES608" s="585"/>
      <c r="ET608" s="586"/>
      <c r="EU608" s="586"/>
      <c r="EV608" s="586"/>
      <c r="EW608" s="587"/>
      <c r="EX608" s="585"/>
      <c r="EY608" s="586"/>
      <c r="EZ608" s="586"/>
      <c r="FA608" s="586"/>
      <c r="FB608" s="587"/>
      <c r="FC608" s="585"/>
      <c r="FD608" s="586"/>
      <c r="FE608" s="586"/>
      <c r="FF608" s="586"/>
      <c r="FG608" s="587"/>
      <c r="FH608" s="589"/>
      <c r="FI608" s="586"/>
      <c r="FJ608" s="586"/>
      <c r="FK608" s="585"/>
      <c r="FL608" s="585"/>
    </row>
    <row r="609" ht="12.75" hidden="1" customHeight="1" outlineLevel="2">
      <c r="A609" s="4"/>
      <c r="B609" s="617" t="str">
        <f t="shared" ref="B609:B616" si="3136">B590</f>
        <v>Atom</v>
      </c>
      <c r="C609" s="158"/>
      <c r="D609" s="557"/>
      <c r="E609" s="557"/>
      <c r="F609" s="557"/>
      <c r="G609" s="557"/>
      <c r="H609" s="618"/>
      <c r="I609" s="557"/>
      <c r="J609" s="557"/>
      <c r="K609" s="557"/>
      <c r="L609" s="557"/>
      <c r="M609" s="618"/>
      <c r="N609" s="557"/>
      <c r="O609" s="557"/>
      <c r="P609" s="557"/>
      <c r="Q609" s="557"/>
      <c r="R609" s="618"/>
      <c r="S609" s="557"/>
      <c r="T609" s="557"/>
      <c r="U609" s="557"/>
      <c r="V609" s="557"/>
      <c r="W609" s="618"/>
      <c r="X609" s="557"/>
      <c r="Y609" s="557"/>
      <c r="Z609" s="557"/>
      <c r="AA609" s="557"/>
      <c r="AB609" s="618"/>
      <c r="AC609" s="557"/>
      <c r="AD609" s="557"/>
      <c r="AE609" s="557"/>
      <c r="AF609" s="557"/>
      <c r="AG609" s="618"/>
      <c r="AH609" s="557"/>
      <c r="AI609" s="557"/>
      <c r="AJ609" s="557"/>
      <c r="AK609" s="557"/>
      <c r="AL609" s="618"/>
      <c r="AM609" s="557"/>
      <c r="AN609" s="557"/>
      <c r="AO609" s="557"/>
      <c r="AP609" s="557"/>
      <c r="AQ609" s="618"/>
      <c r="AR609" s="557"/>
      <c r="AS609" s="557"/>
      <c r="AT609" s="557"/>
      <c r="AU609" s="557"/>
      <c r="AV609" s="618"/>
      <c r="AW609" s="557"/>
      <c r="AX609" s="557"/>
      <c r="AY609" s="557"/>
      <c r="AZ609" s="557"/>
      <c r="BA609" s="618"/>
      <c r="BB609" s="557"/>
      <c r="BC609" s="557"/>
      <c r="BD609" s="557"/>
      <c r="BE609" s="557"/>
      <c r="BF609" s="618"/>
      <c r="BG609" s="557"/>
      <c r="BH609" s="557"/>
      <c r="BI609" s="557"/>
      <c r="BJ609" s="557"/>
      <c r="BK609" s="618"/>
      <c r="BL609" s="557"/>
      <c r="BM609" s="557"/>
      <c r="BN609" s="557"/>
      <c r="BO609" s="557"/>
      <c r="BP609" s="618"/>
      <c r="BQ609" s="557"/>
      <c r="BR609" s="557"/>
      <c r="BS609" s="557"/>
      <c r="BT609" s="557"/>
      <c r="BU609" s="618"/>
      <c r="BV609" s="557">
        <f>IF(AtomSales/Sales=0," ",AtomSales/Sales)</f>
        <v>0.03446936596</v>
      </c>
      <c r="BW609" s="557">
        <f>IF(AtomSales/Sales=0," ",AtomSales/Sales)</f>
        <v>0.03836507199</v>
      </c>
      <c r="BX609" s="557">
        <f>IF(AtomSales/Sales=0," ",AtomSales/Sales)</f>
        <v>0.03566924878</v>
      </c>
      <c r="BY609" s="557">
        <f>IF(AtomSales/Sales=0," ",AtomSales/Sales)</f>
        <v>0.03412760758</v>
      </c>
      <c r="BZ609" s="558">
        <f>IF(AtomSales/Sales=0," ",AtomSales/Sales)</f>
        <v>0.03564633336</v>
      </c>
      <c r="CA609" s="557" t="str">
        <f>IF(AtomSales/Sales=0," ",AtomSales/Sales)</f>
        <v> </v>
      </c>
      <c r="CB609" s="557" t="str">
        <f>IF(AtomSales/Sales=0," ",AtomSales/Sales)</f>
        <v> </v>
      </c>
      <c r="CC609" s="557" t="str">
        <f>IF(AtomSales/Sales=0," ",AtomSales/Sales)</f>
        <v> </v>
      </c>
      <c r="CD609" s="557" t="str">
        <f>IF(AtomSales/Sales=0," ",AtomSales/Sales)</f>
        <v> </v>
      </c>
      <c r="CE609" s="558" t="str">
        <f>IF(AtomSales/Sales=0," ",AtomSales/Sales)</f>
        <v> </v>
      </c>
      <c r="CF609" s="557" t="str">
        <f>IF(AtomSales/Sales=0," ",AtomSales/Sales)</f>
        <v> </v>
      </c>
      <c r="CG609" s="557" t="str">
        <f>IF(AtomSales/Sales=0," ",AtomSales/Sales)</f>
        <v> </v>
      </c>
      <c r="CH609" s="557" t="str">
        <f>IF(AtomSales/Sales=0," ",AtomSales/Sales)</f>
        <v> </v>
      </c>
      <c r="CI609" s="557" t="str">
        <f>IF(AtomSales/Sales=0," ",AtomSales/Sales)</f>
        <v> </v>
      </c>
      <c r="CJ609" s="558" t="str">
        <f>IF(AtomSales/Sales=0," ",AtomSales/Sales)</f>
        <v> </v>
      </c>
      <c r="CK609" s="557"/>
      <c r="CL609" s="557"/>
      <c r="CM609" s="557"/>
      <c r="CN609" s="559"/>
      <c r="CO609" s="558"/>
      <c r="CP609" s="559"/>
      <c r="CQ609" s="557"/>
      <c r="CR609" s="557"/>
      <c r="CS609" s="557"/>
      <c r="CT609" s="558"/>
      <c r="CU609" s="557"/>
      <c r="CV609" s="557"/>
      <c r="CW609" s="557"/>
      <c r="CX609" s="557"/>
      <c r="CY609" s="558"/>
      <c r="CZ609" s="557"/>
      <c r="DA609" s="557"/>
      <c r="DB609" s="557"/>
      <c r="DC609" s="557"/>
      <c r="DD609" s="558"/>
      <c r="DE609" s="557"/>
      <c r="DF609" s="557"/>
      <c r="DG609" s="40"/>
      <c r="DH609" s="557"/>
      <c r="DI609" s="558"/>
      <c r="DJ609" s="559"/>
      <c r="DK609" s="559"/>
      <c r="DL609" s="559"/>
      <c r="DM609" s="557"/>
      <c r="DN609" s="558"/>
      <c r="DO609" s="557"/>
      <c r="DP609" s="557"/>
      <c r="DQ609" s="557"/>
      <c r="DR609" s="557"/>
      <c r="DS609" s="558"/>
      <c r="DT609" s="557"/>
      <c r="DU609" s="557"/>
      <c r="DV609" s="557"/>
      <c r="DW609" s="557"/>
      <c r="DX609" s="558"/>
      <c r="DY609" s="557"/>
      <c r="DZ609" s="557"/>
      <c r="EA609" s="557"/>
      <c r="EB609" s="557"/>
      <c r="EC609" s="558"/>
      <c r="ED609" s="557"/>
      <c r="EE609" s="557"/>
      <c r="EF609" s="557"/>
      <c r="EG609" s="557"/>
      <c r="EH609" s="558"/>
      <c r="EI609" s="619"/>
      <c r="EJ609" s="557"/>
      <c r="EK609" s="557"/>
      <c r="EL609" s="557"/>
      <c r="EM609" s="558"/>
      <c r="EN609" s="557"/>
      <c r="EO609" s="557"/>
      <c r="EP609" s="557"/>
      <c r="EQ609" s="557"/>
      <c r="ER609" s="558"/>
      <c r="ES609" s="557"/>
      <c r="ET609" s="557"/>
      <c r="EU609" s="557"/>
      <c r="EV609" s="557"/>
      <c r="EW609" s="558"/>
      <c r="EX609" s="557"/>
      <c r="EY609" s="557"/>
      <c r="EZ609" s="557"/>
      <c r="FA609" s="557"/>
      <c r="FB609" s="558"/>
      <c r="FC609" s="557"/>
      <c r="FD609" s="557"/>
      <c r="FE609" s="557"/>
      <c r="FF609" s="557"/>
      <c r="FG609" s="558"/>
      <c r="FH609" s="347"/>
      <c r="FI609" s="557"/>
      <c r="FJ609" s="557"/>
      <c r="FK609" s="618"/>
      <c r="FL609" s="557"/>
    </row>
    <row r="610" ht="12.75" hidden="1" customHeight="1" outlineLevel="2">
      <c r="A610" s="4"/>
      <c r="B610" s="72" t="str">
        <f t="shared" si="3136"/>
        <v>Processors</v>
      </c>
      <c r="C610" s="4"/>
      <c r="D610" s="15"/>
      <c r="E610" s="15"/>
      <c r="F610" s="15"/>
      <c r="G610" s="15"/>
      <c r="H610" s="410"/>
      <c r="I610" s="15"/>
      <c r="J610" s="15"/>
      <c r="K610" s="15"/>
      <c r="L610" s="15"/>
      <c r="M610" s="410"/>
      <c r="N610" s="15"/>
      <c r="O610" s="15"/>
      <c r="P610" s="15"/>
      <c r="Q610" s="15"/>
      <c r="R610" s="410"/>
      <c r="S610" s="15"/>
      <c r="T610" s="15"/>
      <c r="U610" s="15"/>
      <c r="V610" s="15"/>
      <c r="W610" s="410"/>
      <c r="X610" s="15"/>
      <c r="Y610" s="15"/>
      <c r="Z610" s="15"/>
      <c r="AA610" s="15"/>
      <c r="AB610" s="410"/>
      <c r="AC610" s="15"/>
      <c r="AD610" s="15"/>
      <c r="AE610" s="15"/>
      <c r="AF610" s="15"/>
      <c r="AG610" s="410"/>
      <c r="AH610" s="15"/>
      <c r="AI610" s="15"/>
      <c r="AJ610" s="15"/>
      <c r="AK610" s="15"/>
      <c r="AL610" s="410"/>
      <c r="AM610" s="15"/>
      <c r="AN610" s="15"/>
      <c r="AO610" s="15"/>
      <c r="AP610" s="15"/>
      <c r="AQ610" s="410"/>
      <c r="AR610" s="15"/>
      <c r="AS610" s="15"/>
      <c r="AT610" s="15"/>
      <c r="AU610" s="15"/>
      <c r="AV610" s="410"/>
      <c r="AW610" s="15"/>
      <c r="AX610" s="15"/>
      <c r="AY610" s="15"/>
      <c r="AZ610" s="15"/>
      <c r="BA610" s="410"/>
      <c r="BB610" s="15"/>
      <c r="BC610" s="15"/>
      <c r="BD610" s="15"/>
      <c r="BE610" s="15"/>
      <c r="BF610" s="410"/>
      <c r="BG610" s="15"/>
      <c r="BH610" s="15"/>
      <c r="BI610" s="15"/>
      <c r="BJ610" s="15"/>
      <c r="BK610" s="410"/>
      <c r="BL610" s="15"/>
      <c r="BM610" s="15"/>
      <c r="BN610" s="15"/>
      <c r="BO610" s="15"/>
      <c r="BP610" s="410"/>
      <c r="BQ610" s="15"/>
      <c r="BR610" s="15"/>
      <c r="BS610" s="15"/>
      <c r="BT610" s="15"/>
      <c r="BU610" s="410"/>
      <c r="BV610" s="15"/>
      <c r="BW610" s="15"/>
      <c r="BX610" s="15"/>
      <c r="BY610" s="15"/>
      <c r="BZ610" s="24"/>
      <c r="CA610" s="15"/>
      <c r="CB610" s="15"/>
      <c r="CC610" s="15"/>
      <c r="CD610" s="15"/>
      <c r="CE610" s="24"/>
      <c r="CF610" s="15"/>
      <c r="CG610" s="15"/>
      <c r="CH610" s="15"/>
      <c r="CI610" s="15"/>
      <c r="CJ610" s="24"/>
      <c r="CK610" s="15"/>
      <c r="CL610" s="15"/>
      <c r="CM610" s="15"/>
      <c r="CN610" s="40"/>
      <c r="CO610" s="24"/>
      <c r="CP610" s="40"/>
      <c r="CQ610" s="15"/>
      <c r="CR610" s="15"/>
      <c r="CS610" s="15"/>
      <c r="CT610" s="24"/>
      <c r="CU610" s="15"/>
      <c r="CV610" s="15"/>
      <c r="CW610" s="15"/>
      <c r="CX610" s="15"/>
      <c r="CY610" s="24"/>
      <c r="CZ610" s="15"/>
      <c r="DA610" s="15"/>
      <c r="DB610" s="15"/>
      <c r="DC610" s="15"/>
      <c r="DD610" s="24"/>
      <c r="DE610" s="15"/>
      <c r="DF610" s="15"/>
      <c r="DG610" s="40"/>
      <c r="DH610" s="15"/>
      <c r="DI610" s="24"/>
      <c r="DJ610" s="40"/>
      <c r="DK610" s="40"/>
      <c r="DL610" s="40"/>
      <c r="DM610" s="15"/>
      <c r="DN610" s="24"/>
      <c r="DO610" s="15"/>
      <c r="DP610" s="15"/>
      <c r="DQ610" s="15"/>
      <c r="DR610" s="15"/>
      <c r="DS610" s="24"/>
      <c r="DT610" s="15"/>
      <c r="DU610" s="15"/>
      <c r="DV610" s="15"/>
      <c r="DW610" s="15"/>
      <c r="DX610" s="24"/>
      <c r="DY610" s="15"/>
      <c r="DZ610" s="15"/>
      <c r="EA610" s="15"/>
      <c r="EB610" s="15"/>
      <c r="EC610" s="24"/>
      <c r="ED610" s="15"/>
      <c r="EE610" s="15"/>
      <c r="EF610" s="15"/>
      <c r="EG610" s="15"/>
      <c r="EH610" s="24"/>
      <c r="EI610" s="82"/>
      <c r="EJ610" s="15"/>
      <c r="EK610" s="15"/>
      <c r="EL610" s="15"/>
      <c r="EM610" s="24"/>
      <c r="EN610" s="15"/>
      <c r="EO610" s="15"/>
      <c r="EP610" s="15"/>
      <c r="EQ610" s="15"/>
      <c r="ER610" s="24"/>
      <c r="ES610" s="15"/>
      <c r="ET610" s="15"/>
      <c r="EU610" s="15"/>
      <c r="EV610" s="15"/>
      <c r="EW610" s="24"/>
      <c r="EX610" s="15"/>
      <c r="EY610" s="15"/>
      <c r="EZ610" s="15"/>
      <c r="FA610" s="15"/>
      <c r="FB610" s="24"/>
      <c r="FC610" s="15"/>
      <c r="FD610" s="15"/>
      <c r="FE610" s="15"/>
      <c r="FF610" s="15"/>
      <c r="FG610" s="24"/>
      <c r="FH610" s="104"/>
      <c r="FI610" s="15"/>
      <c r="FJ610" s="15"/>
      <c r="FK610" s="410"/>
      <c r="FL610" s="15"/>
    </row>
    <row r="611" ht="12.75" hidden="1" customHeight="1" outlineLevel="2">
      <c r="A611" s="4"/>
      <c r="B611" s="72" t="str">
        <f t="shared" si="3136"/>
        <v>Chipsets, MBs and other</v>
      </c>
      <c r="C611" s="4"/>
      <c r="D611" s="15"/>
      <c r="E611" s="15"/>
      <c r="F611" s="15"/>
      <c r="G611" s="15"/>
      <c r="H611" s="410"/>
      <c r="I611" s="15"/>
      <c r="J611" s="15"/>
      <c r="K611" s="15"/>
      <c r="L611" s="15"/>
      <c r="M611" s="410"/>
      <c r="N611" s="15"/>
      <c r="O611" s="15"/>
      <c r="P611" s="15"/>
      <c r="Q611" s="15"/>
      <c r="R611" s="410"/>
      <c r="S611" s="15"/>
      <c r="T611" s="15"/>
      <c r="U611" s="15"/>
      <c r="V611" s="15"/>
      <c r="W611" s="410"/>
      <c r="X611" s="15"/>
      <c r="Y611" s="15"/>
      <c r="Z611" s="15"/>
      <c r="AA611" s="15"/>
      <c r="AB611" s="410"/>
      <c r="AC611" s="15"/>
      <c r="AD611" s="15"/>
      <c r="AE611" s="15"/>
      <c r="AF611" s="15"/>
      <c r="AG611" s="410"/>
      <c r="AH611" s="15"/>
      <c r="AI611" s="15"/>
      <c r="AJ611" s="15"/>
      <c r="AK611" s="15"/>
      <c r="AL611" s="410"/>
      <c r="AM611" s="15"/>
      <c r="AN611" s="15"/>
      <c r="AO611" s="15"/>
      <c r="AP611" s="15"/>
      <c r="AQ611" s="410"/>
      <c r="AR611" s="15"/>
      <c r="AS611" s="15"/>
      <c r="AT611" s="15"/>
      <c r="AU611" s="15"/>
      <c r="AV611" s="410"/>
      <c r="AW611" s="15"/>
      <c r="AX611" s="15"/>
      <c r="AY611" s="15"/>
      <c r="AZ611" s="15"/>
      <c r="BA611" s="410"/>
      <c r="BB611" s="15"/>
      <c r="BC611" s="15"/>
      <c r="BD611" s="15"/>
      <c r="BE611" s="15"/>
      <c r="BF611" s="410"/>
      <c r="BG611" s="15"/>
      <c r="BH611" s="15"/>
      <c r="BI611" s="15"/>
      <c r="BJ611" s="15"/>
      <c r="BK611" s="410"/>
      <c r="BL611" s="15"/>
      <c r="BM611" s="15"/>
      <c r="BN611" s="15"/>
      <c r="BO611" s="15"/>
      <c r="BP611" s="410"/>
      <c r="BQ611" s="15"/>
      <c r="BR611" s="15"/>
      <c r="BS611" s="15"/>
      <c r="BT611" s="15"/>
      <c r="BU611" s="410"/>
      <c r="BV611" s="15"/>
      <c r="BW611" s="15"/>
      <c r="BX611" s="15"/>
      <c r="BY611" s="15"/>
      <c r="BZ611" s="24"/>
      <c r="CA611" s="15"/>
      <c r="CB611" s="15"/>
      <c r="CC611" s="15"/>
      <c r="CD611" s="15"/>
      <c r="CE611" s="24"/>
      <c r="CF611" s="15"/>
      <c r="CG611" s="15"/>
      <c r="CH611" s="15"/>
      <c r="CI611" s="15"/>
      <c r="CJ611" s="24"/>
      <c r="CK611" s="15"/>
      <c r="CL611" s="15"/>
      <c r="CM611" s="15"/>
      <c r="CN611" s="40"/>
      <c r="CO611" s="24"/>
      <c r="CP611" s="40"/>
      <c r="CQ611" s="15"/>
      <c r="CR611" s="15"/>
      <c r="CS611" s="15"/>
      <c r="CT611" s="24"/>
      <c r="CU611" s="15"/>
      <c r="CV611" s="15"/>
      <c r="CW611" s="15"/>
      <c r="CX611" s="15"/>
      <c r="CY611" s="24"/>
      <c r="CZ611" s="15"/>
      <c r="DA611" s="15"/>
      <c r="DB611" s="15"/>
      <c r="DC611" s="15"/>
      <c r="DD611" s="24"/>
      <c r="DE611" s="15"/>
      <c r="DF611" s="15"/>
      <c r="DG611" s="40"/>
      <c r="DH611" s="15"/>
      <c r="DI611" s="24"/>
      <c r="DJ611" s="40"/>
      <c r="DK611" s="40"/>
      <c r="DL611" s="40"/>
      <c r="DM611" s="15"/>
      <c r="DN611" s="24"/>
      <c r="DO611" s="15"/>
      <c r="DP611" s="15"/>
      <c r="DQ611" s="15"/>
      <c r="DR611" s="15"/>
      <c r="DS611" s="24"/>
      <c r="DT611" s="15"/>
      <c r="DU611" s="15"/>
      <c r="DV611" s="15"/>
      <c r="DW611" s="15"/>
      <c r="DX611" s="24"/>
      <c r="DY611" s="15"/>
      <c r="DZ611" s="15"/>
      <c r="EA611" s="15"/>
      <c r="EB611" s="15"/>
      <c r="EC611" s="24"/>
      <c r="ED611" s="15"/>
      <c r="EE611" s="15"/>
      <c r="EF611" s="15"/>
      <c r="EG611" s="15"/>
      <c r="EH611" s="24"/>
      <c r="EI611" s="82"/>
      <c r="EJ611" s="15"/>
      <c r="EK611" s="15"/>
      <c r="EL611" s="15"/>
      <c r="EM611" s="24"/>
      <c r="EN611" s="15"/>
      <c r="EO611" s="15"/>
      <c r="EP611" s="15"/>
      <c r="EQ611" s="15"/>
      <c r="ER611" s="24"/>
      <c r="ES611" s="15"/>
      <c r="ET611" s="15"/>
      <c r="EU611" s="15"/>
      <c r="EV611" s="15"/>
      <c r="EW611" s="24"/>
      <c r="EX611" s="15"/>
      <c r="EY611" s="15"/>
      <c r="EZ611" s="15"/>
      <c r="FA611" s="15"/>
      <c r="FB611" s="24"/>
      <c r="FC611" s="15"/>
      <c r="FD611" s="15"/>
      <c r="FE611" s="15"/>
      <c r="FF611" s="15"/>
      <c r="FG611" s="24"/>
      <c r="FH611" s="104"/>
      <c r="FI611" s="15"/>
      <c r="FJ611" s="15"/>
      <c r="FK611" s="410"/>
      <c r="FL611" s="15"/>
    </row>
    <row r="612" ht="12.75" hidden="1" customHeight="1" outlineLevel="2">
      <c r="A612" s="45"/>
      <c r="B612" s="215" t="str">
        <f t="shared" si="3136"/>
        <v>PC Client Group</v>
      </c>
      <c r="C612" s="45"/>
      <c r="D612" s="410"/>
      <c r="E612" s="410"/>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410"/>
      <c r="AK612" s="410"/>
      <c r="AL612" s="410"/>
      <c r="AM612" s="410"/>
      <c r="AN612" s="410"/>
      <c r="AO612" s="410"/>
      <c r="AP612" s="410"/>
      <c r="AQ612" s="410"/>
      <c r="AR612" s="410"/>
      <c r="AS612" s="410"/>
      <c r="AT612" s="410"/>
      <c r="AU612" s="410"/>
      <c r="AV612" s="410"/>
      <c r="AW612" s="410"/>
      <c r="AX612" s="410"/>
      <c r="AY612" s="410"/>
      <c r="AZ612" s="410"/>
      <c r="BA612" s="410"/>
      <c r="BB612" s="410"/>
      <c r="BC612" s="410"/>
      <c r="BD612" s="410"/>
      <c r="BE612" s="410"/>
      <c r="BF612" s="410"/>
      <c r="BG612" s="410"/>
      <c r="BH612" s="410"/>
      <c r="BI612" s="410"/>
      <c r="BJ612" s="410"/>
      <c r="BK612" s="410"/>
      <c r="BL612" s="410"/>
      <c r="BM612" s="410"/>
      <c r="BN612" s="410"/>
      <c r="BO612" s="410"/>
      <c r="BP612" s="410"/>
      <c r="BQ612" s="410"/>
      <c r="BR612" s="410"/>
      <c r="BS612" s="410"/>
      <c r="BT612" s="410"/>
      <c r="BU612" s="410"/>
      <c r="BV612" s="410"/>
      <c r="BW612" s="410"/>
      <c r="BX612" s="410"/>
      <c r="BY612" s="410"/>
      <c r="BZ612" s="24"/>
      <c r="CA612" s="410"/>
      <c r="CB612" s="410"/>
      <c r="CC612" s="410"/>
      <c r="CD612" s="410"/>
      <c r="CE612" s="24"/>
      <c r="CF612" s="410"/>
      <c r="CG612" s="410"/>
      <c r="CH612" s="410"/>
      <c r="CI612" s="410"/>
      <c r="CJ612" s="24"/>
      <c r="CK612" s="410"/>
      <c r="CL612" s="410"/>
      <c r="CM612" s="410"/>
      <c r="CN612" s="104"/>
      <c r="CO612" s="24"/>
      <c r="CP612" s="104"/>
      <c r="CQ612" s="410"/>
      <c r="CR612" s="410"/>
      <c r="CS612" s="410"/>
      <c r="CT612" s="24"/>
      <c r="CU612" s="410"/>
      <c r="CV612" s="410"/>
      <c r="CW612" s="410"/>
      <c r="CX612" s="410"/>
      <c r="CY612" s="24"/>
      <c r="CZ612" s="410"/>
      <c r="DA612" s="410"/>
      <c r="DB612" s="410"/>
      <c r="DC612" s="410"/>
      <c r="DD612" s="24"/>
      <c r="DE612" s="410"/>
      <c r="DF612" s="410"/>
      <c r="DG612" s="104"/>
      <c r="DH612" s="410"/>
      <c r="DI612" s="24"/>
      <c r="DJ612" s="104"/>
      <c r="DK612" s="104"/>
      <c r="DL612" s="104"/>
      <c r="DM612" s="410"/>
      <c r="DN612" s="24"/>
      <c r="DO612" s="410"/>
      <c r="DP612" s="410"/>
      <c r="DQ612" s="410"/>
      <c r="DR612" s="410"/>
      <c r="DS612" s="24"/>
      <c r="DT612" s="410"/>
      <c r="DU612" s="410"/>
      <c r="DV612" s="410"/>
      <c r="DW612" s="410"/>
      <c r="DX612" s="24"/>
      <c r="DY612" s="410"/>
      <c r="DZ612" s="410"/>
      <c r="EA612" s="410"/>
      <c r="EB612" s="410"/>
      <c r="EC612" s="24"/>
      <c r="ED612" s="410"/>
      <c r="EE612" s="410"/>
      <c r="EF612" s="410"/>
      <c r="EG612" s="410"/>
      <c r="EH612" s="24"/>
      <c r="EI612" s="317"/>
      <c r="EJ612" s="410"/>
      <c r="EK612" s="410"/>
      <c r="EL612" s="410"/>
      <c r="EM612" s="24"/>
      <c r="EN612" s="410"/>
      <c r="EO612" s="410"/>
      <c r="EP612" s="410"/>
      <c r="EQ612" s="410"/>
      <c r="ER612" s="24"/>
      <c r="ES612" s="410"/>
      <c r="ET612" s="410"/>
      <c r="EU612" s="410"/>
      <c r="EV612" s="410"/>
      <c r="EW612" s="24"/>
      <c r="EX612" s="410"/>
      <c r="EY612" s="410"/>
      <c r="EZ612" s="410"/>
      <c r="FA612" s="410"/>
      <c r="FB612" s="24"/>
      <c r="FC612" s="410"/>
      <c r="FD612" s="410"/>
      <c r="FE612" s="410"/>
      <c r="FF612" s="410"/>
      <c r="FG612" s="24"/>
      <c r="FH612" s="104"/>
      <c r="FI612" s="410"/>
      <c r="FJ612" s="410"/>
      <c r="FK612" s="410"/>
      <c r="FL612" s="410"/>
    </row>
    <row r="613" ht="12.75" hidden="1" customHeight="1" outlineLevel="2">
      <c r="A613" s="4"/>
      <c r="B613" s="72" t="str">
        <f t="shared" si="3136"/>
        <v>Processors</v>
      </c>
      <c r="C613" s="4"/>
      <c r="D613" s="15"/>
      <c r="E613" s="15"/>
      <c r="F613" s="15"/>
      <c r="G613" s="15"/>
      <c r="H613" s="410"/>
      <c r="I613" s="15"/>
      <c r="J613" s="15"/>
      <c r="K613" s="15"/>
      <c r="L613" s="15"/>
      <c r="M613" s="410"/>
      <c r="N613" s="15"/>
      <c r="O613" s="15"/>
      <c r="P613" s="15"/>
      <c r="Q613" s="15"/>
      <c r="R613" s="410"/>
      <c r="S613" s="15"/>
      <c r="T613" s="15"/>
      <c r="U613" s="15"/>
      <c r="V613" s="15"/>
      <c r="W613" s="410"/>
      <c r="X613" s="15"/>
      <c r="Y613" s="15"/>
      <c r="Z613" s="15"/>
      <c r="AA613" s="15"/>
      <c r="AB613" s="410"/>
      <c r="AC613" s="15"/>
      <c r="AD613" s="15"/>
      <c r="AE613" s="15"/>
      <c r="AF613" s="15"/>
      <c r="AG613" s="410"/>
      <c r="AH613" s="15"/>
      <c r="AI613" s="15"/>
      <c r="AJ613" s="15"/>
      <c r="AK613" s="15"/>
      <c r="AL613" s="410"/>
      <c r="AM613" s="15"/>
      <c r="AN613" s="15"/>
      <c r="AO613" s="15"/>
      <c r="AP613" s="15"/>
      <c r="AQ613" s="410"/>
      <c r="AR613" s="15"/>
      <c r="AS613" s="15"/>
      <c r="AT613" s="15"/>
      <c r="AU613" s="15"/>
      <c r="AV613" s="410"/>
      <c r="AW613" s="15"/>
      <c r="AX613" s="15"/>
      <c r="AY613" s="15"/>
      <c r="AZ613" s="15"/>
      <c r="BA613" s="410"/>
      <c r="BB613" s="15"/>
      <c r="BC613" s="15"/>
      <c r="BD613" s="15"/>
      <c r="BE613" s="15"/>
      <c r="BF613" s="410"/>
      <c r="BG613" s="15"/>
      <c r="BH613" s="15"/>
      <c r="BI613" s="15"/>
      <c r="BJ613" s="15"/>
      <c r="BK613" s="410"/>
      <c r="BL613" s="15"/>
      <c r="BM613" s="15"/>
      <c r="BN613" s="15"/>
      <c r="BO613" s="15"/>
      <c r="BP613" s="410"/>
      <c r="BQ613" s="15"/>
      <c r="BR613" s="15"/>
      <c r="BS613" s="15"/>
      <c r="BT613" s="15"/>
      <c r="BU613" s="410"/>
      <c r="BV613" s="15"/>
      <c r="BW613" s="15"/>
      <c r="BX613" s="15"/>
      <c r="BY613" s="15"/>
      <c r="BZ613" s="24"/>
      <c r="CA613" s="15"/>
      <c r="CB613" s="15"/>
      <c r="CC613" s="15"/>
      <c r="CD613" s="15"/>
      <c r="CE613" s="24"/>
      <c r="CF613" s="15"/>
      <c r="CG613" s="15"/>
      <c r="CH613" s="15"/>
      <c r="CI613" s="15"/>
      <c r="CJ613" s="24"/>
      <c r="CK613" s="15"/>
      <c r="CL613" s="15"/>
      <c r="CM613" s="15"/>
      <c r="CN613" s="40"/>
      <c r="CO613" s="24"/>
      <c r="CP613" s="40"/>
      <c r="CQ613" s="15"/>
      <c r="CR613" s="15"/>
      <c r="CS613" s="15"/>
      <c r="CT613" s="24"/>
      <c r="CU613" s="15"/>
      <c r="CV613" s="15"/>
      <c r="CW613" s="15"/>
      <c r="CX613" s="15"/>
      <c r="CY613" s="24"/>
      <c r="CZ613" s="15"/>
      <c r="DA613" s="15"/>
      <c r="DB613" s="15"/>
      <c r="DC613" s="15"/>
      <c r="DD613" s="24"/>
      <c r="DE613" s="15"/>
      <c r="DF613" s="15"/>
      <c r="DG613" s="40"/>
      <c r="DH613" s="15"/>
      <c r="DI613" s="24"/>
      <c r="DJ613" s="40"/>
      <c r="DK613" s="40"/>
      <c r="DL613" s="40"/>
      <c r="DM613" s="15"/>
      <c r="DN613" s="24"/>
      <c r="DO613" s="15"/>
      <c r="DP613" s="15"/>
      <c r="DQ613" s="15"/>
      <c r="DR613" s="15"/>
      <c r="DS613" s="24"/>
      <c r="DT613" s="15"/>
      <c r="DU613" s="15"/>
      <c r="DV613" s="15"/>
      <c r="DW613" s="15"/>
      <c r="DX613" s="24"/>
      <c r="DY613" s="15"/>
      <c r="DZ613" s="15"/>
      <c r="EA613" s="15"/>
      <c r="EB613" s="15"/>
      <c r="EC613" s="24"/>
      <c r="ED613" s="15"/>
      <c r="EE613" s="15"/>
      <c r="EF613" s="15"/>
      <c r="EG613" s="15"/>
      <c r="EH613" s="24"/>
      <c r="EI613" s="82"/>
      <c r="EJ613" s="15"/>
      <c r="EK613" s="15"/>
      <c r="EL613" s="15"/>
      <c r="EM613" s="24"/>
      <c r="EN613" s="15"/>
      <c r="EO613" s="15"/>
      <c r="EP613" s="15"/>
      <c r="EQ613" s="15"/>
      <c r="ER613" s="24"/>
      <c r="ES613" s="15"/>
      <c r="ET613" s="15"/>
      <c r="EU613" s="15"/>
      <c r="EV613" s="15"/>
      <c r="EW613" s="24"/>
      <c r="EX613" s="15"/>
      <c r="EY613" s="15"/>
      <c r="EZ613" s="15"/>
      <c r="FA613" s="15"/>
      <c r="FB613" s="24"/>
      <c r="FC613" s="15"/>
      <c r="FD613" s="15"/>
      <c r="FE613" s="15"/>
      <c r="FF613" s="15"/>
      <c r="FG613" s="24"/>
      <c r="FH613" s="104"/>
      <c r="FI613" s="15"/>
      <c r="FJ613" s="15"/>
      <c r="FK613" s="410"/>
      <c r="FL613" s="15"/>
    </row>
    <row r="614" ht="12.75" hidden="1" customHeight="1" outlineLevel="2">
      <c r="A614" s="4"/>
      <c r="B614" s="72" t="str">
        <f t="shared" si="3136"/>
        <v>Chipsets, MBs and other</v>
      </c>
      <c r="C614" s="4"/>
      <c r="D614" s="15"/>
      <c r="E614" s="15"/>
      <c r="F614" s="15"/>
      <c r="G614" s="15"/>
      <c r="H614" s="410"/>
      <c r="I614" s="15"/>
      <c r="J614" s="15"/>
      <c r="K614" s="15"/>
      <c r="L614" s="15"/>
      <c r="M614" s="410"/>
      <c r="N614" s="15"/>
      <c r="O614" s="15"/>
      <c r="P614" s="15"/>
      <c r="Q614" s="15"/>
      <c r="R614" s="410"/>
      <c r="S614" s="15"/>
      <c r="T614" s="15"/>
      <c r="U614" s="15"/>
      <c r="V614" s="15"/>
      <c r="W614" s="410"/>
      <c r="X614" s="15"/>
      <c r="Y614" s="15"/>
      <c r="Z614" s="15"/>
      <c r="AA614" s="15"/>
      <c r="AB614" s="410"/>
      <c r="AC614" s="15"/>
      <c r="AD614" s="15"/>
      <c r="AE614" s="15"/>
      <c r="AF614" s="15"/>
      <c r="AG614" s="410"/>
      <c r="AH614" s="15"/>
      <c r="AI614" s="15"/>
      <c r="AJ614" s="15"/>
      <c r="AK614" s="15"/>
      <c r="AL614" s="410"/>
      <c r="AM614" s="15"/>
      <c r="AN614" s="15"/>
      <c r="AO614" s="15"/>
      <c r="AP614" s="15"/>
      <c r="AQ614" s="410"/>
      <c r="AR614" s="15"/>
      <c r="AS614" s="15"/>
      <c r="AT614" s="15"/>
      <c r="AU614" s="15"/>
      <c r="AV614" s="410"/>
      <c r="AW614" s="15"/>
      <c r="AX614" s="15"/>
      <c r="AY614" s="15"/>
      <c r="AZ614" s="15"/>
      <c r="BA614" s="410"/>
      <c r="BB614" s="15"/>
      <c r="BC614" s="15"/>
      <c r="BD614" s="15"/>
      <c r="BE614" s="15"/>
      <c r="BF614" s="410"/>
      <c r="BG614" s="15"/>
      <c r="BH614" s="15"/>
      <c r="BI614" s="15"/>
      <c r="BJ614" s="15"/>
      <c r="BK614" s="410"/>
      <c r="BL614" s="15"/>
      <c r="BM614" s="15"/>
      <c r="BN614" s="15"/>
      <c r="BO614" s="15"/>
      <c r="BP614" s="410"/>
      <c r="BQ614" s="15"/>
      <c r="BR614" s="15"/>
      <c r="BS614" s="15"/>
      <c r="BT614" s="15"/>
      <c r="BU614" s="410"/>
      <c r="BV614" s="15"/>
      <c r="BW614" s="15"/>
      <c r="BX614" s="15"/>
      <c r="BY614" s="15"/>
      <c r="BZ614" s="24"/>
      <c r="CA614" s="15"/>
      <c r="CB614" s="15"/>
      <c r="CC614" s="15"/>
      <c r="CD614" s="15"/>
      <c r="CE614" s="24"/>
      <c r="CF614" s="15"/>
      <c r="CG614" s="15"/>
      <c r="CH614" s="15"/>
      <c r="CI614" s="15"/>
      <c r="CJ614" s="24"/>
      <c r="CK614" s="15"/>
      <c r="CL614" s="15"/>
      <c r="CM614" s="15"/>
      <c r="CN614" s="40"/>
      <c r="CO614" s="24"/>
      <c r="CP614" s="40"/>
      <c r="CQ614" s="15"/>
      <c r="CR614" s="15"/>
      <c r="CS614" s="15"/>
      <c r="CT614" s="24"/>
      <c r="CU614" s="15"/>
      <c r="CV614" s="15"/>
      <c r="CW614" s="15"/>
      <c r="CX614" s="15"/>
      <c r="CY614" s="24"/>
      <c r="CZ614" s="15"/>
      <c r="DA614" s="15"/>
      <c r="DB614" s="15"/>
      <c r="DC614" s="15"/>
      <c r="DD614" s="24"/>
      <c r="DE614" s="15"/>
      <c r="DF614" s="15"/>
      <c r="DG614" s="40"/>
      <c r="DH614" s="15"/>
      <c r="DI614" s="24"/>
      <c r="DJ614" s="40"/>
      <c r="DK614" s="40"/>
      <c r="DL614" s="40"/>
      <c r="DM614" s="15"/>
      <c r="DN614" s="24"/>
      <c r="DO614" s="15"/>
      <c r="DP614" s="15"/>
      <c r="DQ614" s="15"/>
      <c r="DR614" s="15"/>
      <c r="DS614" s="24"/>
      <c r="DT614" s="15"/>
      <c r="DU614" s="15"/>
      <c r="DV614" s="15"/>
      <c r="DW614" s="15"/>
      <c r="DX614" s="24"/>
      <c r="DY614" s="15"/>
      <c r="DZ614" s="15"/>
      <c r="EA614" s="15"/>
      <c r="EB614" s="15"/>
      <c r="EC614" s="24"/>
      <c r="ED614" s="15"/>
      <c r="EE614" s="15"/>
      <c r="EF614" s="15"/>
      <c r="EG614" s="15"/>
      <c r="EH614" s="24"/>
      <c r="EI614" s="82"/>
      <c r="EJ614" s="15"/>
      <c r="EK614" s="15"/>
      <c r="EL614" s="15"/>
      <c r="EM614" s="24"/>
      <c r="EN614" s="15"/>
      <c r="EO614" s="15"/>
      <c r="EP614" s="15"/>
      <c r="EQ614" s="15"/>
      <c r="ER614" s="24"/>
      <c r="ES614" s="15"/>
      <c r="ET614" s="15"/>
      <c r="EU614" s="15"/>
      <c r="EV614" s="15"/>
      <c r="EW614" s="24"/>
      <c r="EX614" s="15"/>
      <c r="EY614" s="15"/>
      <c r="EZ614" s="15"/>
      <c r="FA614" s="15"/>
      <c r="FB614" s="24"/>
      <c r="FC614" s="15"/>
      <c r="FD614" s="15"/>
      <c r="FE614" s="15"/>
      <c r="FF614" s="15"/>
      <c r="FG614" s="24"/>
      <c r="FH614" s="104"/>
      <c r="FI614" s="15"/>
      <c r="FJ614" s="15"/>
      <c r="FK614" s="410"/>
      <c r="FL614" s="15"/>
    </row>
    <row r="615" ht="12.75" hidden="1" customHeight="1" outlineLevel="2">
      <c r="A615" s="45"/>
      <c r="B615" s="215" t="str">
        <f t="shared" si="3136"/>
        <v>Data Center Group</v>
      </c>
      <c r="C615" s="45"/>
      <c r="D615" s="410"/>
      <c r="E615" s="410"/>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410"/>
      <c r="AK615" s="410"/>
      <c r="AL615" s="410"/>
      <c r="AM615" s="410"/>
      <c r="AN615" s="410"/>
      <c r="AO615" s="410"/>
      <c r="AP615" s="410"/>
      <c r="AQ615" s="410"/>
      <c r="AR615" s="410"/>
      <c r="AS615" s="410"/>
      <c r="AT615" s="410"/>
      <c r="AU615" s="410"/>
      <c r="AV615" s="410"/>
      <c r="AW615" s="410"/>
      <c r="AX615" s="410"/>
      <c r="AY615" s="410"/>
      <c r="AZ615" s="410"/>
      <c r="BA615" s="410"/>
      <c r="BB615" s="410"/>
      <c r="BC615" s="410"/>
      <c r="BD615" s="410"/>
      <c r="BE615" s="410"/>
      <c r="BF615" s="410"/>
      <c r="BG615" s="410"/>
      <c r="BH615" s="410"/>
      <c r="BI615" s="410"/>
      <c r="BJ615" s="410"/>
      <c r="BK615" s="410"/>
      <c r="BL615" s="410"/>
      <c r="BM615" s="410"/>
      <c r="BN615" s="410"/>
      <c r="BO615" s="410"/>
      <c r="BP615" s="410"/>
      <c r="BQ615" s="410"/>
      <c r="BR615" s="410"/>
      <c r="BS615" s="410"/>
      <c r="BT615" s="410"/>
      <c r="BU615" s="410"/>
      <c r="BV615" s="410"/>
      <c r="BW615" s="410"/>
      <c r="BX615" s="410"/>
      <c r="BY615" s="410"/>
      <c r="BZ615" s="24"/>
      <c r="CA615" s="410"/>
      <c r="CB615" s="410"/>
      <c r="CC615" s="410"/>
      <c r="CD615" s="410"/>
      <c r="CE615" s="24"/>
      <c r="CF615" s="410"/>
      <c r="CG615" s="410"/>
      <c r="CH615" s="410"/>
      <c r="CI615" s="410"/>
      <c r="CJ615" s="24"/>
      <c r="CK615" s="410"/>
      <c r="CL615" s="410"/>
      <c r="CM615" s="410"/>
      <c r="CN615" s="104"/>
      <c r="CO615" s="24"/>
      <c r="CP615" s="104"/>
      <c r="CQ615" s="410"/>
      <c r="CR615" s="410"/>
      <c r="CS615" s="410"/>
      <c r="CT615" s="24"/>
      <c r="CU615" s="410"/>
      <c r="CV615" s="410"/>
      <c r="CW615" s="410"/>
      <c r="CX615" s="410"/>
      <c r="CY615" s="24"/>
      <c r="CZ615" s="410"/>
      <c r="DA615" s="410"/>
      <c r="DB615" s="410"/>
      <c r="DC615" s="410"/>
      <c r="DD615" s="24"/>
      <c r="DE615" s="410"/>
      <c r="DF615" s="410"/>
      <c r="DG615" s="104"/>
      <c r="DH615" s="410"/>
      <c r="DI615" s="24"/>
      <c r="DJ615" s="104"/>
      <c r="DK615" s="104"/>
      <c r="DL615" s="104"/>
      <c r="DM615" s="410"/>
      <c r="DN615" s="24"/>
      <c r="DO615" s="410"/>
      <c r="DP615" s="410"/>
      <c r="DQ615" s="410"/>
      <c r="DR615" s="410"/>
      <c r="DS615" s="24"/>
      <c r="DT615" s="410"/>
      <c r="DU615" s="410"/>
      <c r="DV615" s="410"/>
      <c r="DW615" s="410"/>
      <c r="DX615" s="24"/>
      <c r="DY615" s="410"/>
      <c r="DZ615" s="410"/>
      <c r="EA615" s="410"/>
      <c r="EB615" s="410"/>
      <c r="EC615" s="24"/>
      <c r="ED615" s="410"/>
      <c r="EE615" s="410"/>
      <c r="EF615" s="410"/>
      <c r="EG615" s="410"/>
      <c r="EH615" s="24"/>
      <c r="EI615" s="317"/>
      <c r="EJ615" s="410"/>
      <c r="EK615" s="410"/>
      <c r="EL615" s="410"/>
      <c r="EM615" s="24"/>
      <c r="EN615" s="410"/>
      <c r="EO615" s="410"/>
      <c r="EP615" s="410"/>
      <c r="EQ615" s="410"/>
      <c r="ER615" s="24"/>
      <c r="ES615" s="410"/>
      <c r="ET615" s="410"/>
      <c r="EU615" s="410"/>
      <c r="EV615" s="410"/>
      <c r="EW615" s="24"/>
      <c r="EX615" s="410"/>
      <c r="EY615" s="410"/>
      <c r="EZ615" s="410"/>
      <c r="FA615" s="410"/>
      <c r="FB615" s="24"/>
      <c r="FC615" s="410"/>
      <c r="FD615" s="410"/>
      <c r="FE615" s="410"/>
      <c r="FF615" s="410"/>
      <c r="FG615" s="24"/>
      <c r="FH615" s="104"/>
      <c r="FI615" s="410"/>
      <c r="FJ615" s="410"/>
      <c r="FK615" s="410"/>
      <c r="FL615" s="410"/>
    </row>
    <row r="616" ht="12.75" hidden="1" customHeight="1" outlineLevel="2">
      <c r="A616" s="45"/>
      <c r="B616" s="72" t="str">
        <f t="shared" si="3136"/>
        <v>Mobile Communications Group</v>
      </c>
      <c r="C616" s="410"/>
      <c r="D616" s="410"/>
      <c r="E616" s="410"/>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410"/>
      <c r="AK616" s="410"/>
      <c r="AL616" s="410"/>
      <c r="AM616" s="410"/>
      <c r="AN616" s="410"/>
      <c r="AO616" s="410"/>
      <c r="AP616" s="410"/>
      <c r="AQ616" s="410"/>
      <c r="AR616" s="410"/>
      <c r="AS616" s="410"/>
      <c r="AT616" s="410"/>
      <c r="AU616" s="410"/>
      <c r="AV616" s="410"/>
      <c r="AW616" s="410"/>
      <c r="AX616" s="410"/>
      <c r="AY616" s="410"/>
      <c r="AZ616" s="410"/>
      <c r="BA616" s="410"/>
      <c r="BB616" s="410"/>
      <c r="BC616" s="410"/>
      <c r="BD616" s="410"/>
      <c r="BE616" s="410"/>
      <c r="BF616" s="410"/>
      <c r="BG616" s="410"/>
      <c r="BH616" s="410"/>
      <c r="BI616" s="410"/>
      <c r="BJ616" s="410"/>
      <c r="BK616" s="410"/>
      <c r="BL616" s="410"/>
      <c r="BM616" s="410"/>
      <c r="BN616" s="410"/>
      <c r="BO616" s="410"/>
      <c r="BP616" s="410"/>
      <c r="BQ616" s="410"/>
      <c r="BR616" s="410"/>
      <c r="BS616" s="410"/>
      <c r="BT616" s="410"/>
      <c r="BU616" s="410"/>
      <c r="BV616" s="410"/>
      <c r="BW616" s="410"/>
      <c r="BX616" s="410"/>
      <c r="BY616" s="410"/>
      <c r="BZ616" s="24"/>
      <c r="CA616" s="410"/>
      <c r="CB616" s="410"/>
      <c r="CC616" s="410"/>
      <c r="CD616" s="410"/>
      <c r="CE616" s="24"/>
      <c r="CF616" s="410"/>
      <c r="CG616" s="410"/>
      <c r="CH616" s="410"/>
      <c r="CI616" s="410"/>
      <c r="CJ616" s="24"/>
      <c r="CK616" s="410"/>
      <c r="CL616" s="410"/>
      <c r="CM616" s="410"/>
      <c r="CN616" s="104"/>
      <c r="CO616" s="24"/>
      <c r="CP616" s="104"/>
      <c r="CQ616" s="410"/>
      <c r="CR616" s="410"/>
      <c r="CS616" s="410"/>
      <c r="CT616" s="24"/>
      <c r="CU616" s="410"/>
      <c r="CV616" s="410"/>
      <c r="CW616" s="410"/>
      <c r="CX616" s="410"/>
      <c r="CY616" s="24"/>
      <c r="CZ616" s="410"/>
      <c r="DA616" s="410"/>
      <c r="DB616" s="410"/>
      <c r="DC616" s="410"/>
      <c r="DD616" s="24"/>
      <c r="DE616" s="410"/>
      <c r="DF616" s="410"/>
      <c r="DG616" s="104"/>
      <c r="DH616" s="410"/>
      <c r="DI616" s="24"/>
      <c r="DJ616" s="104"/>
      <c r="DK616" s="104"/>
      <c r="DL616" s="104"/>
      <c r="DM616" s="410"/>
      <c r="DN616" s="24"/>
      <c r="DO616" s="410"/>
      <c r="DP616" s="410"/>
      <c r="DQ616" s="410"/>
      <c r="DR616" s="410"/>
      <c r="DS616" s="24"/>
      <c r="DT616" s="410"/>
      <c r="DU616" s="410"/>
      <c r="DV616" s="410"/>
      <c r="DW616" s="410"/>
      <c r="DX616" s="24"/>
      <c r="DY616" s="410"/>
      <c r="DZ616" s="410"/>
      <c r="EA616" s="410"/>
      <c r="EB616" s="410"/>
      <c r="EC616" s="24"/>
      <c r="ED616" s="410"/>
      <c r="EE616" s="410"/>
      <c r="EF616" s="410"/>
      <c r="EG616" s="410"/>
      <c r="EH616" s="24"/>
      <c r="EI616" s="317"/>
      <c r="EJ616" s="410"/>
      <c r="EK616" s="410"/>
      <c r="EL616" s="410"/>
      <c r="EM616" s="24"/>
      <c r="EN616" s="410"/>
      <c r="EO616" s="410"/>
      <c r="EP616" s="410"/>
      <c r="EQ616" s="410"/>
      <c r="ER616" s="24"/>
      <c r="ES616" s="410"/>
      <c r="ET616" s="410"/>
      <c r="EU616" s="410"/>
      <c r="EV616" s="410"/>
      <c r="EW616" s="24"/>
      <c r="EX616" s="410"/>
      <c r="EY616" s="410"/>
      <c r="EZ616" s="410"/>
      <c r="FA616" s="410"/>
      <c r="FB616" s="24"/>
      <c r="FC616" s="410"/>
      <c r="FD616" s="410"/>
      <c r="FE616" s="410"/>
      <c r="FF616" s="410"/>
      <c r="FG616" s="24"/>
      <c r="FH616" s="104"/>
      <c r="FI616" s="410"/>
      <c r="FJ616" s="410"/>
      <c r="FK616" s="410"/>
      <c r="FL616" s="410"/>
    </row>
    <row r="617" ht="12.75" hidden="1" customHeight="1" outlineLevel="2">
      <c r="A617" s="45"/>
      <c r="B617" s="215" t="str">
        <f t="shared" ref="B617:B619" si="3137">B599</f>
        <v>Other IAG</v>
      </c>
      <c r="C617" s="45"/>
      <c r="D617" s="15"/>
      <c r="E617" s="15"/>
      <c r="F617" s="15"/>
      <c r="G617" s="15"/>
      <c r="H617" s="410"/>
      <c r="I617" s="15"/>
      <c r="J617" s="15"/>
      <c r="K617" s="15"/>
      <c r="L617" s="15"/>
      <c r="M617" s="410"/>
      <c r="N617" s="15"/>
      <c r="O617" s="15"/>
      <c r="P617" s="15"/>
      <c r="Q617" s="15"/>
      <c r="R617" s="410"/>
      <c r="S617" s="15"/>
      <c r="T617" s="15"/>
      <c r="U617" s="15"/>
      <c r="V617" s="15"/>
      <c r="W617" s="410"/>
      <c r="X617" s="15"/>
      <c r="Y617" s="15"/>
      <c r="Z617" s="15"/>
      <c r="AA617" s="15"/>
      <c r="AB617" s="410"/>
      <c r="AC617" s="15"/>
      <c r="AD617" s="15"/>
      <c r="AE617" s="15"/>
      <c r="AF617" s="15"/>
      <c r="AG617" s="410"/>
      <c r="AH617" s="15"/>
      <c r="AI617" s="15"/>
      <c r="AJ617" s="15"/>
      <c r="AK617" s="15"/>
      <c r="AL617" s="410"/>
      <c r="AM617" s="15"/>
      <c r="AN617" s="15"/>
      <c r="AO617" s="15"/>
      <c r="AP617" s="15"/>
      <c r="AQ617" s="410"/>
      <c r="AR617" s="15"/>
      <c r="AS617" s="15"/>
      <c r="AT617" s="15"/>
      <c r="AU617" s="15"/>
      <c r="AV617" s="410"/>
      <c r="AW617" s="15"/>
      <c r="AX617" s="15"/>
      <c r="AY617" s="15"/>
      <c r="AZ617" s="15"/>
      <c r="BA617" s="410"/>
      <c r="BB617" s="15"/>
      <c r="BC617" s="15"/>
      <c r="BD617" s="15"/>
      <c r="BE617" s="15"/>
      <c r="BF617" s="410"/>
      <c r="BG617" s="15"/>
      <c r="BH617" s="15"/>
      <c r="BI617" s="15"/>
      <c r="BJ617" s="15"/>
      <c r="BK617" s="410"/>
      <c r="BL617" s="15"/>
      <c r="BM617" s="15"/>
      <c r="BN617" s="15"/>
      <c r="BO617" s="15"/>
      <c r="BP617" s="410"/>
      <c r="BQ617" s="15"/>
      <c r="BR617" s="15"/>
      <c r="BS617" s="15"/>
      <c r="BT617" s="15"/>
      <c r="BU617" s="410"/>
      <c r="BV617" s="15"/>
      <c r="BW617" s="15"/>
      <c r="BX617" s="15"/>
      <c r="BY617" s="15"/>
      <c r="BZ617" s="24"/>
      <c r="CA617" s="15"/>
      <c r="CB617" s="15"/>
      <c r="CC617" s="15"/>
      <c r="CD617" s="15"/>
      <c r="CE617" s="24"/>
      <c r="CF617" s="15"/>
      <c r="CG617" s="15"/>
      <c r="CH617" s="15"/>
      <c r="CI617" s="15"/>
      <c r="CJ617" s="24"/>
      <c r="CK617" s="15"/>
      <c r="CL617" s="15"/>
      <c r="CM617" s="15"/>
      <c r="CN617" s="40"/>
      <c r="CO617" s="24"/>
      <c r="CP617" s="40"/>
      <c r="CQ617" s="15"/>
      <c r="CR617" s="15"/>
      <c r="CS617" s="15"/>
      <c r="CT617" s="24"/>
      <c r="CU617" s="15"/>
      <c r="CV617" s="15"/>
      <c r="CW617" s="15"/>
      <c r="CX617" s="15"/>
      <c r="CY617" s="24"/>
      <c r="CZ617" s="15"/>
      <c r="DA617" s="15"/>
      <c r="DB617" s="15"/>
      <c r="DC617" s="15"/>
      <c r="DD617" s="24"/>
      <c r="DE617" s="15"/>
      <c r="DF617" s="15"/>
      <c r="DG617" s="40"/>
      <c r="DH617" s="15"/>
      <c r="DI617" s="24"/>
      <c r="DJ617" s="40"/>
      <c r="DK617" s="40"/>
      <c r="DL617" s="40"/>
      <c r="DM617" s="15"/>
      <c r="DN617" s="24"/>
      <c r="DO617" s="15"/>
      <c r="DP617" s="15"/>
      <c r="DQ617" s="15"/>
      <c r="DR617" s="15"/>
      <c r="DS617" s="24"/>
      <c r="DT617" s="15"/>
      <c r="DU617" s="15"/>
      <c r="DV617" s="15"/>
      <c r="DW617" s="15"/>
      <c r="DX617" s="24"/>
      <c r="DY617" s="15"/>
      <c r="DZ617" s="15"/>
      <c r="EA617" s="15"/>
      <c r="EB617" s="15"/>
      <c r="EC617" s="24"/>
      <c r="ED617" s="15"/>
      <c r="EE617" s="15"/>
      <c r="EF617" s="15"/>
      <c r="EG617" s="15"/>
      <c r="EH617" s="24"/>
      <c r="EI617" s="82"/>
      <c r="EJ617" s="15"/>
      <c r="EK617" s="15"/>
      <c r="EL617" s="15"/>
      <c r="EM617" s="24"/>
      <c r="EN617" s="15"/>
      <c r="EO617" s="15"/>
      <c r="EP617" s="15"/>
      <c r="EQ617" s="15"/>
      <c r="ER617" s="24"/>
      <c r="ES617" s="15"/>
      <c r="ET617" s="15"/>
      <c r="EU617" s="15"/>
      <c r="EV617" s="15"/>
      <c r="EW617" s="24"/>
      <c r="EX617" s="15"/>
      <c r="EY617" s="15"/>
      <c r="EZ617" s="15"/>
      <c r="FA617" s="15"/>
      <c r="FB617" s="24"/>
      <c r="FC617" s="15"/>
      <c r="FD617" s="15"/>
      <c r="FE617" s="15"/>
      <c r="FF617" s="15"/>
      <c r="FG617" s="24"/>
      <c r="FH617" s="104"/>
      <c r="FI617" s="15"/>
      <c r="FJ617" s="15"/>
      <c r="FK617" s="410"/>
      <c r="FL617" s="15"/>
    </row>
    <row r="618" ht="12.75" hidden="1" customHeight="1" outlineLevel="2">
      <c r="A618" s="45"/>
      <c r="B618" s="215" t="str">
        <f t="shared" si="3137"/>
        <v>IAG Subtotal</v>
      </c>
      <c r="C618" s="45"/>
      <c r="D618" s="410"/>
      <c r="E618" s="410"/>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410"/>
      <c r="AK618" s="410"/>
      <c r="AL618" s="410"/>
      <c r="AM618" s="410"/>
      <c r="AN618" s="410"/>
      <c r="AO618" s="410"/>
      <c r="AP618" s="410"/>
      <c r="AQ618" s="410"/>
      <c r="AR618" s="410"/>
      <c r="AS618" s="410"/>
      <c r="AT618" s="410"/>
      <c r="AU618" s="410"/>
      <c r="AV618" s="410"/>
      <c r="AW618" s="410"/>
      <c r="AX618" s="410"/>
      <c r="AY618" s="410"/>
      <c r="AZ618" s="410"/>
      <c r="BA618" s="410"/>
      <c r="BB618" s="410"/>
      <c r="BC618" s="410"/>
      <c r="BD618" s="410"/>
      <c r="BE618" s="410"/>
      <c r="BF618" s="410"/>
      <c r="BG618" s="410"/>
      <c r="BH618" s="410"/>
      <c r="BI618" s="410"/>
      <c r="BJ618" s="410"/>
      <c r="BK618" s="410"/>
      <c r="BL618" s="410"/>
      <c r="BM618" s="410"/>
      <c r="BN618" s="410"/>
      <c r="BO618" s="410"/>
      <c r="BP618" s="410"/>
      <c r="BQ618" s="410"/>
      <c r="BR618" s="410"/>
      <c r="BS618" s="410"/>
      <c r="BT618" s="410"/>
      <c r="BU618" s="410"/>
      <c r="BV618" s="410"/>
      <c r="BW618" s="410"/>
      <c r="BX618" s="410"/>
      <c r="BY618" s="410"/>
      <c r="BZ618" s="24"/>
      <c r="CA618" s="410"/>
      <c r="CB618" s="410"/>
      <c r="CC618" s="410"/>
      <c r="CD618" s="410"/>
      <c r="CE618" s="24"/>
      <c r="CF618" s="410"/>
      <c r="CG618" s="410"/>
      <c r="CH618" s="410"/>
      <c r="CI618" s="410"/>
      <c r="CJ618" s="24"/>
      <c r="CK618" s="410"/>
      <c r="CL618" s="410"/>
      <c r="CM618" s="410"/>
      <c r="CN618" s="104"/>
      <c r="CO618" s="24"/>
      <c r="CP618" s="104"/>
      <c r="CQ618" s="410"/>
      <c r="CR618" s="410"/>
      <c r="CS618" s="410"/>
      <c r="CT618" s="24"/>
      <c r="CU618" s="410"/>
      <c r="CV618" s="410"/>
      <c r="CW618" s="410"/>
      <c r="CX618" s="410"/>
      <c r="CY618" s="24"/>
      <c r="CZ618" s="410"/>
      <c r="DA618" s="410"/>
      <c r="DB618" s="410"/>
      <c r="DC618" s="410"/>
      <c r="DD618" s="24"/>
      <c r="DE618" s="410"/>
      <c r="DF618" s="410"/>
      <c r="DG618" s="104"/>
      <c r="DH618" s="410"/>
      <c r="DI618" s="24"/>
      <c r="DJ618" s="104"/>
      <c r="DK618" s="104"/>
      <c r="DL618" s="104"/>
      <c r="DM618" s="410"/>
      <c r="DN618" s="24"/>
      <c r="DO618" s="410"/>
      <c r="DP618" s="410"/>
      <c r="DQ618" s="410"/>
      <c r="DR618" s="410"/>
      <c r="DS618" s="24"/>
      <c r="DT618" s="410"/>
      <c r="DU618" s="410"/>
      <c r="DV618" s="410"/>
      <c r="DW618" s="410"/>
      <c r="DX618" s="24"/>
      <c r="DY618" s="410"/>
      <c r="DZ618" s="410"/>
      <c r="EA618" s="410"/>
      <c r="EB618" s="410"/>
      <c r="EC618" s="24"/>
      <c r="ED618" s="410"/>
      <c r="EE618" s="410"/>
      <c r="EF618" s="410"/>
      <c r="EG618" s="410"/>
      <c r="EH618" s="24"/>
      <c r="EI618" s="317"/>
      <c r="EJ618" s="410"/>
      <c r="EK618" s="410"/>
      <c r="EL618" s="410"/>
      <c r="EM618" s="24"/>
      <c r="EN618" s="410"/>
      <c r="EO618" s="410"/>
      <c r="EP618" s="410"/>
      <c r="EQ618" s="410"/>
      <c r="ER618" s="24"/>
      <c r="ES618" s="410"/>
      <c r="ET618" s="410"/>
      <c r="EU618" s="410"/>
      <c r="EV618" s="410"/>
      <c r="EW618" s="24"/>
      <c r="EX618" s="410"/>
      <c r="EY618" s="410"/>
      <c r="EZ618" s="410"/>
      <c r="FA618" s="410"/>
      <c r="FB618" s="24"/>
      <c r="FC618" s="410"/>
      <c r="FD618" s="410"/>
      <c r="FE618" s="410"/>
      <c r="FF618" s="410"/>
      <c r="FG618" s="24"/>
      <c r="FH618" s="104"/>
      <c r="FI618" s="410"/>
      <c r="FJ618" s="410"/>
      <c r="FK618" s="410"/>
      <c r="FL618" s="410"/>
    </row>
    <row r="619" ht="12.75" hidden="1" customHeight="1" outlineLevel="2">
      <c r="A619" s="4"/>
      <c r="B619" s="72" t="str">
        <f t="shared" si="3137"/>
        <v>McAfee</v>
      </c>
      <c r="C619" s="4"/>
      <c r="D619" s="15"/>
      <c r="E619" s="15"/>
      <c r="F619" s="15"/>
      <c r="G619" s="15"/>
      <c r="H619" s="410"/>
      <c r="I619" s="15"/>
      <c r="J619" s="15"/>
      <c r="K619" s="15"/>
      <c r="L619" s="15"/>
      <c r="M619" s="410"/>
      <c r="N619" s="15"/>
      <c r="O619" s="15"/>
      <c r="P619" s="15"/>
      <c r="Q619" s="15"/>
      <c r="R619" s="410"/>
      <c r="S619" s="15"/>
      <c r="T619" s="15"/>
      <c r="U619" s="15"/>
      <c r="V619" s="15"/>
      <c r="W619" s="410"/>
      <c r="X619" s="15"/>
      <c r="Y619" s="15"/>
      <c r="Z619" s="15"/>
      <c r="AA619" s="15"/>
      <c r="AB619" s="410"/>
      <c r="AC619" s="15"/>
      <c r="AD619" s="15"/>
      <c r="AE619" s="15"/>
      <c r="AF619" s="15"/>
      <c r="AG619" s="410"/>
      <c r="AH619" s="15"/>
      <c r="AI619" s="15"/>
      <c r="AJ619" s="15"/>
      <c r="AK619" s="15"/>
      <c r="AL619" s="410"/>
      <c r="AM619" s="15"/>
      <c r="AN619" s="15"/>
      <c r="AO619" s="15"/>
      <c r="AP619" s="15"/>
      <c r="AQ619" s="410"/>
      <c r="AR619" s="15"/>
      <c r="AS619" s="15"/>
      <c r="AT619" s="15"/>
      <c r="AU619" s="15"/>
      <c r="AV619" s="410"/>
      <c r="AW619" s="15"/>
      <c r="AX619" s="15"/>
      <c r="AY619" s="15"/>
      <c r="AZ619" s="15"/>
      <c r="BA619" s="410"/>
      <c r="BB619" s="15"/>
      <c r="BC619" s="15"/>
      <c r="BD619" s="15"/>
      <c r="BE619" s="15"/>
      <c r="BF619" s="410"/>
      <c r="BG619" s="15"/>
      <c r="BH619" s="15"/>
      <c r="BI619" s="15"/>
      <c r="BJ619" s="15"/>
      <c r="BK619" s="410"/>
      <c r="BL619" s="15"/>
      <c r="BM619" s="15"/>
      <c r="BN619" s="15"/>
      <c r="BO619" s="15"/>
      <c r="BP619" s="410"/>
      <c r="BQ619" s="15"/>
      <c r="BR619" s="15"/>
      <c r="BS619" s="15"/>
      <c r="BT619" s="15"/>
      <c r="BU619" s="410"/>
      <c r="BV619" s="15"/>
      <c r="BW619" s="15"/>
      <c r="BX619" s="15"/>
      <c r="BY619" s="15"/>
      <c r="BZ619" s="24"/>
      <c r="CA619" s="15"/>
      <c r="CB619" s="15"/>
      <c r="CC619" s="15"/>
      <c r="CD619" s="15"/>
      <c r="CE619" s="24"/>
      <c r="CF619" s="15"/>
      <c r="CG619" s="15"/>
      <c r="CH619" s="15"/>
      <c r="CI619" s="15"/>
      <c r="CJ619" s="24"/>
      <c r="CK619" s="15"/>
      <c r="CL619" s="15"/>
      <c r="CM619" s="15"/>
      <c r="CN619" s="40"/>
      <c r="CO619" s="24"/>
      <c r="CP619" s="40"/>
      <c r="CQ619" s="15"/>
      <c r="CR619" s="15"/>
      <c r="CS619" s="15"/>
      <c r="CT619" s="24"/>
      <c r="CU619" s="15"/>
      <c r="CV619" s="15"/>
      <c r="CW619" s="15"/>
      <c r="CX619" s="15"/>
      <c r="CY619" s="24"/>
      <c r="CZ619" s="15"/>
      <c r="DA619" s="15"/>
      <c r="DB619" s="15"/>
      <c r="DC619" s="15"/>
      <c r="DD619" s="24"/>
      <c r="DE619" s="15"/>
      <c r="DF619" s="15"/>
      <c r="DG619" s="40"/>
      <c r="DH619" s="15"/>
      <c r="DI619" s="24"/>
      <c r="DJ619" s="40"/>
      <c r="DK619" s="40"/>
      <c r="DL619" s="40"/>
      <c r="DM619" s="15"/>
      <c r="DN619" s="24"/>
      <c r="DO619" s="15"/>
      <c r="DP619" s="15"/>
      <c r="DQ619" s="15"/>
      <c r="DR619" s="15"/>
      <c r="DS619" s="24"/>
      <c r="DT619" s="15"/>
      <c r="DU619" s="15"/>
      <c r="DV619" s="15"/>
      <c r="DW619" s="15"/>
      <c r="DX619" s="24"/>
      <c r="DY619" s="15"/>
      <c r="DZ619" s="15"/>
      <c r="EA619" s="15"/>
      <c r="EB619" s="15"/>
      <c r="EC619" s="24"/>
      <c r="ED619" s="15"/>
      <c r="EE619" s="15"/>
      <c r="EF619" s="15"/>
      <c r="EG619" s="15"/>
      <c r="EH619" s="24"/>
      <c r="EI619" s="82"/>
      <c r="EJ619" s="15"/>
      <c r="EK619" s="15"/>
      <c r="EL619" s="15"/>
      <c r="EM619" s="24"/>
      <c r="EN619" s="15"/>
      <c r="EO619" s="15"/>
      <c r="EP619" s="15"/>
      <c r="EQ619" s="15"/>
      <c r="ER619" s="24"/>
      <c r="ES619" s="15"/>
      <c r="ET619" s="15"/>
      <c r="EU619" s="15"/>
      <c r="EV619" s="15"/>
      <c r="EW619" s="24"/>
      <c r="EX619" s="15"/>
      <c r="EY619" s="15"/>
      <c r="EZ619" s="15"/>
      <c r="FA619" s="15"/>
      <c r="FB619" s="24"/>
      <c r="FC619" s="15"/>
      <c r="FD619" s="15"/>
      <c r="FE619" s="15"/>
      <c r="FF619" s="15"/>
      <c r="FG619" s="24"/>
      <c r="FH619" s="104"/>
      <c r="FI619" s="15"/>
      <c r="FJ619" s="15"/>
      <c r="FK619" s="410"/>
      <c r="FL619" s="15"/>
    </row>
    <row r="620" ht="12.75" hidden="1" customHeight="1" outlineLevel="2">
      <c r="A620" s="45"/>
      <c r="B620" s="215" t="str">
        <f t="shared" ref="B620:B622" si="3138">B603</f>
        <v>Software and Services Group</v>
      </c>
      <c r="C620" s="45"/>
      <c r="D620" s="410"/>
      <c r="E620" s="410"/>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410"/>
      <c r="AK620" s="410"/>
      <c r="AL620" s="410"/>
      <c r="AM620" s="410"/>
      <c r="AN620" s="410"/>
      <c r="AO620" s="410"/>
      <c r="AP620" s="410"/>
      <c r="AQ620" s="410"/>
      <c r="AR620" s="410"/>
      <c r="AS620" s="410"/>
      <c r="AT620" s="410"/>
      <c r="AU620" s="410"/>
      <c r="AV620" s="410"/>
      <c r="AW620" s="410"/>
      <c r="AX620" s="410"/>
      <c r="AY620" s="410"/>
      <c r="AZ620" s="410"/>
      <c r="BA620" s="410"/>
      <c r="BB620" s="410"/>
      <c r="BC620" s="410"/>
      <c r="BD620" s="410"/>
      <c r="BE620" s="410"/>
      <c r="BF620" s="410"/>
      <c r="BG620" s="410"/>
      <c r="BH620" s="410"/>
      <c r="BI620" s="410"/>
      <c r="BJ620" s="410"/>
      <c r="BK620" s="410"/>
      <c r="BL620" s="410"/>
      <c r="BM620" s="410"/>
      <c r="BN620" s="410"/>
      <c r="BO620" s="410"/>
      <c r="BP620" s="410"/>
      <c r="BQ620" s="410"/>
      <c r="BR620" s="410"/>
      <c r="BS620" s="410"/>
      <c r="BT620" s="410"/>
      <c r="BU620" s="410"/>
      <c r="BV620" s="410"/>
      <c r="BW620" s="410"/>
      <c r="BX620" s="410"/>
      <c r="BY620" s="410"/>
      <c r="BZ620" s="24"/>
      <c r="CA620" s="410"/>
      <c r="CB620" s="410"/>
      <c r="CC620" s="410"/>
      <c r="CD620" s="410"/>
      <c r="CE620" s="24"/>
      <c r="CF620" s="410"/>
      <c r="CG620" s="410"/>
      <c r="CH620" s="410"/>
      <c r="CI620" s="410"/>
      <c r="CJ620" s="24"/>
      <c r="CK620" s="410"/>
      <c r="CL620" s="410"/>
      <c r="CM620" s="410"/>
      <c r="CN620" s="104"/>
      <c r="CO620" s="24"/>
      <c r="CP620" s="104"/>
      <c r="CQ620" s="410"/>
      <c r="CR620" s="410"/>
      <c r="CS620" s="410"/>
      <c r="CT620" s="24"/>
      <c r="CU620" s="410"/>
      <c r="CV620" s="410"/>
      <c r="CW620" s="410"/>
      <c r="CX620" s="410"/>
      <c r="CY620" s="24"/>
      <c r="CZ620" s="410"/>
      <c r="DA620" s="410"/>
      <c r="DB620" s="410"/>
      <c r="DC620" s="410"/>
      <c r="DD620" s="24"/>
      <c r="DE620" s="410"/>
      <c r="DF620" s="410"/>
      <c r="DG620" s="104"/>
      <c r="DH620" s="410"/>
      <c r="DI620" s="24"/>
      <c r="DJ620" s="104"/>
      <c r="DK620" s="104"/>
      <c r="DL620" s="104"/>
      <c r="DM620" s="410"/>
      <c r="DN620" s="24"/>
      <c r="DO620" s="410"/>
      <c r="DP620" s="410"/>
      <c r="DQ620" s="410"/>
      <c r="DR620" s="410"/>
      <c r="DS620" s="24"/>
      <c r="DT620" s="410"/>
      <c r="DU620" s="410"/>
      <c r="DV620" s="410"/>
      <c r="DW620" s="410"/>
      <c r="DX620" s="24"/>
      <c r="DY620" s="410"/>
      <c r="DZ620" s="410"/>
      <c r="EA620" s="410"/>
      <c r="EB620" s="410"/>
      <c r="EC620" s="24"/>
      <c r="ED620" s="410"/>
      <c r="EE620" s="410"/>
      <c r="EF620" s="410"/>
      <c r="EG620" s="410"/>
      <c r="EH620" s="24"/>
      <c r="EI620" s="317"/>
      <c r="EJ620" s="410"/>
      <c r="EK620" s="410"/>
      <c r="EL620" s="410"/>
      <c r="EM620" s="24"/>
      <c r="EN620" s="410"/>
      <c r="EO620" s="410"/>
      <c r="EP620" s="410"/>
      <c r="EQ620" s="410"/>
      <c r="ER620" s="24"/>
      <c r="ES620" s="410"/>
      <c r="ET620" s="410"/>
      <c r="EU620" s="410"/>
      <c r="EV620" s="410"/>
      <c r="EW620" s="24"/>
      <c r="EX620" s="410"/>
      <c r="EY620" s="410"/>
      <c r="EZ620" s="410"/>
      <c r="FA620" s="410"/>
      <c r="FB620" s="24"/>
      <c r="FC620" s="410"/>
      <c r="FD620" s="410"/>
      <c r="FE620" s="410"/>
      <c r="FF620" s="410"/>
      <c r="FG620" s="24"/>
      <c r="FH620" s="104"/>
      <c r="FI620" s="410"/>
      <c r="FJ620" s="410"/>
      <c r="FK620" s="410"/>
      <c r="FL620" s="410"/>
    </row>
    <row r="621" ht="12.75" hidden="1" customHeight="1" outlineLevel="2">
      <c r="A621" s="4"/>
      <c r="B621" s="72" t="str">
        <f t="shared" si="3138"/>
        <v>NAND Flash</v>
      </c>
      <c r="C621" s="4"/>
      <c r="D621" s="15"/>
      <c r="E621" s="15"/>
      <c r="F621" s="15"/>
      <c r="G621" s="15"/>
      <c r="H621" s="410"/>
      <c r="I621" s="15"/>
      <c r="J621" s="15"/>
      <c r="K621" s="15"/>
      <c r="L621" s="15"/>
      <c r="M621" s="410"/>
      <c r="N621" s="15"/>
      <c r="O621" s="15"/>
      <c r="P621" s="15"/>
      <c r="Q621" s="15"/>
      <c r="R621" s="410"/>
      <c r="S621" s="15"/>
      <c r="T621" s="15"/>
      <c r="U621" s="15"/>
      <c r="V621" s="15"/>
      <c r="W621" s="410"/>
      <c r="X621" s="15"/>
      <c r="Y621" s="15"/>
      <c r="Z621" s="15"/>
      <c r="AA621" s="15"/>
      <c r="AB621" s="410"/>
      <c r="AC621" s="15"/>
      <c r="AD621" s="15"/>
      <c r="AE621" s="15"/>
      <c r="AF621" s="15"/>
      <c r="AG621" s="410"/>
      <c r="AH621" s="15"/>
      <c r="AI621" s="15"/>
      <c r="AJ621" s="15"/>
      <c r="AK621" s="15"/>
      <c r="AL621" s="410"/>
      <c r="AM621" s="15"/>
      <c r="AN621" s="15"/>
      <c r="AO621" s="15"/>
      <c r="AP621" s="15"/>
      <c r="AQ621" s="410"/>
      <c r="AR621" s="15"/>
      <c r="AS621" s="15"/>
      <c r="AT621" s="15"/>
      <c r="AU621" s="15"/>
      <c r="AV621" s="410"/>
      <c r="AW621" s="15"/>
      <c r="AX621" s="15"/>
      <c r="AY621" s="15"/>
      <c r="AZ621" s="15"/>
      <c r="BA621" s="410"/>
      <c r="BB621" s="15"/>
      <c r="BC621" s="15"/>
      <c r="BD621" s="15"/>
      <c r="BE621" s="15"/>
      <c r="BF621" s="410"/>
      <c r="BG621" s="15"/>
      <c r="BH621" s="15"/>
      <c r="BI621" s="15"/>
      <c r="BJ621" s="15"/>
      <c r="BK621" s="410"/>
      <c r="BL621" s="15"/>
      <c r="BM621" s="15"/>
      <c r="BN621" s="15"/>
      <c r="BO621" s="15"/>
      <c r="BP621" s="410"/>
      <c r="BQ621" s="15"/>
      <c r="BR621" s="15"/>
      <c r="BS621" s="15"/>
      <c r="BT621" s="15"/>
      <c r="BU621" s="410"/>
      <c r="BV621" s="15"/>
      <c r="BW621" s="15"/>
      <c r="BX621" s="15"/>
      <c r="BY621" s="15"/>
      <c r="BZ621" s="24"/>
      <c r="CA621" s="15"/>
      <c r="CB621" s="15"/>
      <c r="CC621" s="15"/>
      <c r="CD621" s="15"/>
      <c r="CE621" s="24"/>
      <c r="CF621" s="15"/>
      <c r="CG621" s="15"/>
      <c r="CH621" s="15"/>
      <c r="CI621" s="15"/>
      <c r="CJ621" s="24"/>
      <c r="CK621" s="15"/>
      <c r="CL621" s="15"/>
      <c r="CM621" s="15"/>
      <c r="CN621" s="40"/>
      <c r="CO621" s="24"/>
      <c r="CP621" s="40"/>
      <c r="CQ621" s="15"/>
      <c r="CR621" s="15"/>
      <c r="CS621" s="15"/>
      <c r="CT621" s="24"/>
      <c r="CU621" s="15"/>
      <c r="CV621" s="15"/>
      <c r="CW621" s="15"/>
      <c r="CX621" s="15"/>
      <c r="CY621" s="24"/>
      <c r="CZ621" s="15"/>
      <c r="DA621" s="15"/>
      <c r="DB621" s="15"/>
      <c r="DC621" s="15"/>
      <c r="DD621" s="24"/>
      <c r="DE621" s="15"/>
      <c r="DF621" s="15"/>
      <c r="DG621" s="40"/>
      <c r="DH621" s="15"/>
      <c r="DI621" s="24"/>
      <c r="DJ621" s="40"/>
      <c r="DK621" s="40"/>
      <c r="DL621" s="40"/>
      <c r="DM621" s="15"/>
      <c r="DN621" s="24"/>
      <c r="DO621" s="15"/>
      <c r="DP621" s="15"/>
      <c r="DQ621" s="15"/>
      <c r="DR621" s="15"/>
      <c r="DS621" s="24"/>
      <c r="DT621" s="15"/>
      <c r="DU621" s="15"/>
      <c r="DV621" s="15"/>
      <c r="DW621" s="15"/>
      <c r="DX621" s="24"/>
      <c r="DY621" s="15"/>
      <c r="DZ621" s="15"/>
      <c r="EA621" s="15"/>
      <c r="EB621" s="15"/>
      <c r="EC621" s="24"/>
      <c r="ED621" s="15"/>
      <c r="EE621" s="15"/>
      <c r="EF621" s="15"/>
      <c r="EG621" s="15"/>
      <c r="EH621" s="24"/>
      <c r="EI621" s="82"/>
      <c r="EJ621" s="15"/>
      <c r="EK621" s="15"/>
      <c r="EL621" s="15"/>
      <c r="EM621" s="24"/>
      <c r="EN621" s="15"/>
      <c r="EO621" s="15"/>
      <c r="EP621" s="15"/>
      <c r="EQ621" s="15"/>
      <c r="ER621" s="24"/>
      <c r="ES621" s="15"/>
      <c r="ET621" s="15"/>
      <c r="EU621" s="15"/>
      <c r="EV621" s="15"/>
      <c r="EW621" s="24"/>
      <c r="EX621" s="15"/>
      <c r="EY621" s="15"/>
      <c r="EZ621" s="15"/>
      <c r="FA621" s="15"/>
      <c r="FB621" s="24"/>
      <c r="FC621" s="15"/>
      <c r="FD621" s="15"/>
      <c r="FE621" s="15"/>
      <c r="FF621" s="15"/>
      <c r="FG621" s="24"/>
      <c r="FH621" s="104"/>
      <c r="FI621" s="15"/>
      <c r="FJ621" s="15"/>
      <c r="FK621" s="410"/>
      <c r="FL621" s="15"/>
    </row>
    <row r="622" ht="12.75" hidden="1" customHeight="1" outlineLevel="2">
      <c r="A622" s="45"/>
      <c r="B622" s="215" t="str">
        <f t="shared" si="3138"/>
        <v>All Other</v>
      </c>
      <c r="C622" s="45"/>
      <c r="D622" s="410"/>
      <c r="E622" s="410"/>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410"/>
      <c r="AK622" s="410"/>
      <c r="AL622" s="410"/>
      <c r="AM622" s="410"/>
      <c r="AN622" s="410"/>
      <c r="AO622" s="410"/>
      <c r="AP622" s="410"/>
      <c r="AQ622" s="410"/>
      <c r="AR622" s="410"/>
      <c r="AS622" s="410"/>
      <c r="AT622" s="410"/>
      <c r="AU622" s="410"/>
      <c r="AV622" s="410"/>
      <c r="AW622" s="410"/>
      <c r="AX622" s="410"/>
      <c r="AY622" s="410"/>
      <c r="AZ622" s="410"/>
      <c r="BA622" s="410"/>
      <c r="BB622" s="410"/>
      <c r="BC622" s="410"/>
      <c r="BD622" s="410"/>
      <c r="BE622" s="410"/>
      <c r="BF622" s="410"/>
      <c r="BG622" s="410"/>
      <c r="BH622" s="410"/>
      <c r="BI622" s="410"/>
      <c r="BJ622" s="410"/>
      <c r="BK622" s="410"/>
      <c r="BL622" s="410"/>
      <c r="BM622" s="410"/>
      <c r="BN622" s="410"/>
      <c r="BO622" s="410"/>
      <c r="BP622" s="410"/>
      <c r="BQ622" s="410"/>
      <c r="BR622" s="410"/>
      <c r="BS622" s="410"/>
      <c r="BT622" s="410"/>
      <c r="BU622" s="410"/>
      <c r="BV622" s="410"/>
      <c r="BW622" s="410"/>
      <c r="BX622" s="410"/>
      <c r="BY622" s="410"/>
      <c r="BZ622" s="24"/>
      <c r="CA622" s="410"/>
      <c r="CB622" s="410"/>
      <c r="CC622" s="410"/>
      <c r="CD622" s="410"/>
      <c r="CE622" s="24"/>
      <c r="CF622" s="410"/>
      <c r="CG622" s="410"/>
      <c r="CH622" s="410"/>
      <c r="CI622" s="410"/>
      <c r="CJ622" s="24"/>
      <c r="CK622" s="410"/>
      <c r="CL622" s="410"/>
      <c r="CM622" s="410"/>
      <c r="CN622" s="104"/>
      <c r="CO622" s="24"/>
      <c r="CP622" s="104"/>
      <c r="CQ622" s="410"/>
      <c r="CR622" s="410"/>
      <c r="CS622" s="410"/>
      <c r="CT622" s="24"/>
      <c r="CU622" s="410"/>
      <c r="CV622" s="410"/>
      <c r="CW622" s="410"/>
      <c r="CX622" s="410"/>
      <c r="CY622" s="24"/>
      <c r="CZ622" s="410"/>
      <c r="DA622" s="410"/>
      <c r="DB622" s="410"/>
      <c r="DC622" s="410"/>
      <c r="DD622" s="24"/>
      <c r="DE622" s="410"/>
      <c r="DF622" s="410"/>
      <c r="DG622" s="104"/>
      <c r="DH622" s="410"/>
      <c r="DI622" s="24"/>
      <c r="DJ622" s="104"/>
      <c r="DK622" s="104"/>
      <c r="DL622" s="104"/>
      <c r="DM622" s="410"/>
      <c r="DN622" s="24"/>
      <c r="DO622" s="410"/>
      <c r="DP622" s="410"/>
      <c r="DQ622" s="410"/>
      <c r="DR622" s="410"/>
      <c r="DS622" s="24"/>
      <c r="DT622" s="410"/>
      <c r="DU622" s="410"/>
      <c r="DV622" s="410"/>
      <c r="DW622" s="410"/>
      <c r="DX622" s="24"/>
      <c r="DY622" s="410"/>
      <c r="DZ622" s="410"/>
      <c r="EA622" s="410"/>
      <c r="EB622" s="410"/>
      <c r="EC622" s="24"/>
      <c r="ED622" s="410"/>
      <c r="EE622" s="410"/>
      <c r="EF622" s="410"/>
      <c r="EG622" s="410"/>
      <c r="EH622" s="24"/>
      <c r="EI622" s="317"/>
      <c r="EJ622" s="410"/>
      <c r="EK622" s="410"/>
      <c r="EL622" s="410"/>
      <c r="EM622" s="24"/>
      <c r="EN622" s="410"/>
      <c r="EO622" s="410"/>
      <c r="EP622" s="410"/>
      <c r="EQ622" s="410"/>
      <c r="ER622" s="24"/>
      <c r="ES622" s="410"/>
      <c r="ET622" s="410"/>
      <c r="EU622" s="410"/>
      <c r="EV622" s="410"/>
      <c r="EW622" s="24"/>
      <c r="EX622" s="410"/>
      <c r="EY622" s="410"/>
      <c r="EZ622" s="410"/>
      <c r="FA622" s="410"/>
      <c r="FB622" s="24"/>
      <c r="FC622" s="410"/>
      <c r="FD622" s="410"/>
      <c r="FE622" s="410"/>
      <c r="FF622" s="410"/>
      <c r="FG622" s="24"/>
      <c r="FH622" s="104"/>
      <c r="FI622" s="410"/>
      <c r="FJ622" s="410"/>
      <c r="FK622" s="410"/>
      <c r="FL622" s="410"/>
    </row>
    <row r="623" ht="12.75" hidden="1" customHeight="1" outlineLevel="2">
      <c r="A623" s="4"/>
      <c r="B623" s="45"/>
      <c r="C623" s="45"/>
      <c r="D623" s="4"/>
      <c r="E623" s="4"/>
      <c r="F623" s="4"/>
      <c r="G623" s="4"/>
      <c r="H623" s="45"/>
      <c r="I623" s="4"/>
      <c r="J623" s="4"/>
      <c r="K623" s="4"/>
      <c r="L623" s="4"/>
      <c r="M623" s="45"/>
      <c r="N623" s="4"/>
      <c r="O623" s="4"/>
      <c r="P623" s="4"/>
      <c r="Q623" s="4"/>
      <c r="R623" s="45"/>
      <c r="S623" s="4"/>
      <c r="T623" s="4"/>
      <c r="U623" s="4"/>
      <c r="V623" s="4"/>
      <c r="W623" s="45"/>
      <c r="X623" s="4"/>
      <c r="Y623" s="4"/>
      <c r="Z623" s="4"/>
      <c r="AA623" s="4"/>
      <c r="AB623" s="45"/>
      <c r="AC623" s="4"/>
      <c r="AD623" s="4"/>
      <c r="AE623" s="4"/>
      <c r="AF623" s="4"/>
      <c r="AG623" s="45"/>
      <c r="AH623" s="4"/>
      <c r="AI623" s="4"/>
      <c r="AJ623" s="4"/>
      <c r="AK623" s="4"/>
      <c r="AL623" s="45"/>
      <c r="AM623" s="4"/>
      <c r="AN623" s="4"/>
      <c r="AO623" s="4"/>
      <c r="AP623" s="4"/>
      <c r="AQ623" s="45"/>
      <c r="AR623" s="4"/>
      <c r="AS623" s="4"/>
      <c r="AT623" s="4"/>
      <c r="AU623" s="4"/>
      <c r="AV623" s="45"/>
      <c r="AW623" s="4"/>
      <c r="AX623" s="4"/>
      <c r="AY623" s="4"/>
      <c r="AZ623" s="4"/>
      <c r="BA623" s="45"/>
      <c r="BB623" s="4"/>
      <c r="BC623" s="4"/>
      <c r="BD623" s="4"/>
      <c r="BE623" s="4"/>
      <c r="BF623" s="45"/>
      <c r="BG623" s="4"/>
      <c r="BH623" s="4"/>
      <c r="BI623" s="4"/>
      <c r="BJ623" s="4"/>
      <c r="BK623" s="45"/>
      <c r="BL623" s="4"/>
      <c r="BM623" s="4"/>
      <c r="BN623" s="4"/>
      <c r="BO623" s="4"/>
      <c r="BP623" s="45"/>
      <c r="BQ623" s="4"/>
      <c r="BR623" s="4"/>
      <c r="BS623" s="4"/>
      <c r="BT623" s="4"/>
      <c r="BU623" s="45"/>
      <c r="BV623" s="4"/>
      <c r="BW623" s="4"/>
      <c r="BX623" s="4"/>
      <c r="BY623" s="4"/>
      <c r="BZ623" s="350"/>
      <c r="CA623" s="4"/>
      <c r="CB623" s="4"/>
      <c r="CC623" s="4"/>
      <c r="CD623" s="4"/>
      <c r="CE623" s="350"/>
      <c r="CF623" s="4"/>
      <c r="CG623" s="4"/>
      <c r="CH623" s="4"/>
      <c r="CI623" s="4"/>
      <c r="CJ623" s="350"/>
      <c r="CK623" s="4"/>
      <c r="CL623" s="4"/>
      <c r="CM623" s="4"/>
      <c r="CN623" s="16"/>
      <c r="CO623" s="350"/>
      <c r="CP623" s="16"/>
      <c r="CQ623" s="4"/>
      <c r="CR623" s="4"/>
      <c r="CS623" s="4"/>
      <c r="CT623" s="350"/>
      <c r="CU623" s="4"/>
      <c r="CV623" s="4"/>
      <c r="CW623" s="4"/>
      <c r="CX623" s="4"/>
      <c r="CY623" s="350"/>
      <c r="CZ623" s="4"/>
      <c r="DA623" s="4"/>
      <c r="DB623" s="4"/>
      <c r="DC623" s="4"/>
      <c r="DD623" s="350"/>
      <c r="DE623" s="4"/>
      <c r="DF623" s="4"/>
      <c r="DG623" s="16"/>
      <c r="DH623" s="4"/>
      <c r="DI623" s="350"/>
      <c r="DJ623" s="16"/>
      <c r="DK623" s="16"/>
      <c r="DL623" s="16"/>
      <c r="DM623" s="4"/>
      <c r="DN623" s="350"/>
      <c r="DO623" s="4"/>
      <c r="DP623" s="4"/>
      <c r="DQ623" s="4"/>
      <c r="DR623" s="4"/>
      <c r="DS623" s="350"/>
      <c r="DT623" s="4"/>
      <c r="DU623" s="4"/>
      <c r="DV623" s="4"/>
      <c r="DW623" s="4"/>
      <c r="DX623" s="350"/>
      <c r="DY623" s="4"/>
      <c r="DZ623" s="4"/>
      <c r="EA623" s="4"/>
      <c r="EB623" s="4"/>
      <c r="EC623" s="350"/>
      <c r="ED623" s="4"/>
      <c r="EE623" s="4"/>
      <c r="EF623" s="4"/>
      <c r="EG623" s="4"/>
      <c r="EH623" s="350"/>
      <c r="EI623" s="214"/>
      <c r="EJ623" s="4"/>
      <c r="EK623" s="4"/>
      <c r="EL623" s="4"/>
      <c r="EM623" s="350"/>
      <c r="EN623" s="4"/>
      <c r="EO623" s="4"/>
      <c r="EP623" s="4"/>
      <c r="EQ623" s="4"/>
      <c r="ER623" s="350"/>
      <c r="ES623" s="4"/>
      <c r="ET623" s="4"/>
      <c r="EU623" s="4"/>
      <c r="EV623" s="4"/>
      <c r="EW623" s="350"/>
      <c r="EX623" s="4"/>
      <c r="EY623" s="4"/>
      <c r="EZ623" s="4"/>
      <c r="FA623" s="4"/>
      <c r="FB623" s="350"/>
      <c r="FC623" s="4"/>
      <c r="FD623" s="4"/>
      <c r="FE623" s="4"/>
      <c r="FF623" s="4"/>
      <c r="FG623" s="350"/>
      <c r="FH623" s="145"/>
      <c r="FI623" s="4"/>
      <c r="FJ623" s="4"/>
      <c r="FK623" s="45"/>
      <c r="FL623" s="4"/>
    </row>
    <row r="624" ht="12.75" hidden="1" customHeight="1" outlineLevel="2">
      <c r="A624" s="4"/>
      <c r="B624" s="578" t="s">
        <v>290</v>
      </c>
      <c r="C624" s="299"/>
      <c r="D624" s="585"/>
      <c r="E624" s="586"/>
      <c r="F624" s="586"/>
      <c r="G624" s="586"/>
      <c r="H624" s="585"/>
      <c r="I624" s="585"/>
      <c r="J624" s="586"/>
      <c r="K624" s="586"/>
      <c r="L624" s="586"/>
      <c r="M624" s="585"/>
      <c r="N624" s="585"/>
      <c r="O624" s="586"/>
      <c r="P624" s="586"/>
      <c r="Q624" s="586"/>
      <c r="R624" s="585"/>
      <c r="S624" s="585"/>
      <c r="T624" s="586"/>
      <c r="U624" s="586"/>
      <c r="V624" s="586"/>
      <c r="W624" s="585"/>
      <c r="X624" s="585"/>
      <c r="Y624" s="586"/>
      <c r="Z624" s="586"/>
      <c r="AA624" s="586"/>
      <c r="AB624" s="585"/>
      <c r="AC624" s="585"/>
      <c r="AD624" s="586"/>
      <c r="AE624" s="586"/>
      <c r="AF624" s="586"/>
      <c r="AG624" s="585"/>
      <c r="AH624" s="585"/>
      <c r="AI624" s="586"/>
      <c r="AJ624" s="586"/>
      <c r="AK624" s="586"/>
      <c r="AL624" s="585"/>
      <c r="AM624" s="585"/>
      <c r="AN624" s="586"/>
      <c r="AO624" s="586"/>
      <c r="AP624" s="586"/>
      <c r="AQ624" s="585"/>
      <c r="AR624" s="585"/>
      <c r="AS624" s="586"/>
      <c r="AT624" s="586"/>
      <c r="AU624" s="586"/>
      <c r="AV624" s="585"/>
      <c r="AW624" s="585"/>
      <c r="AX624" s="586"/>
      <c r="AY624" s="586"/>
      <c r="AZ624" s="586"/>
      <c r="BA624" s="585"/>
      <c r="BB624" s="585"/>
      <c r="BC624" s="586"/>
      <c r="BD624" s="586"/>
      <c r="BE624" s="586"/>
      <c r="BF624" s="585"/>
      <c r="BG624" s="585"/>
      <c r="BH624" s="586"/>
      <c r="BI624" s="586"/>
      <c r="BJ624" s="586"/>
      <c r="BK624" s="585"/>
      <c r="BL624" s="585"/>
      <c r="BM624" s="586"/>
      <c r="BN624" s="586"/>
      <c r="BO624" s="586"/>
      <c r="BP624" s="585"/>
      <c r="BQ624" s="585"/>
      <c r="BR624" s="586"/>
      <c r="BS624" s="586"/>
      <c r="BT624" s="586"/>
      <c r="BU624" s="585"/>
      <c r="BV624" s="585"/>
      <c r="BW624" s="586"/>
      <c r="BX624" s="586"/>
      <c r="BY624" s="586"/>
      <c r="BZ624" s="587"/>
      <c r="CA624" s="585"/>
      <c r="CB624" s="586"/>
      <c r="CC624" s="586"/>
      <c r="CD624" s="586"/>
      <c r="CE624" s="587"/>
      <c r="CF624" s="585"/>
      <c r="CG624" s="586"/>
      <c r="CH624" s="586"/>
      <c r="CI624" s="586"/>
      <c r="CJ624" s="587"/>
      <c r="CK624" s="585"/>
      <c r="CL624" s="586"/>
      <c r="CM624" s="586"/>
      <c r="CN624" s="588"/>
      <c r="CO624" s="587"/>
      <c r="CP624" s="588"/>
      <c r="CQ624" s="586"/>
      <c r="CR624" s="586"/>
      <c r="CS624" s="586"/>
      <c r="CT624" s="587"/>
      <c r="CU624" s="585"/>
      <c r="CV624" s="586"/>
      <c r="CW624" s="586"/>
      <c r="CX624" s="586"/>
      <c r="CY624" s="587"/>
      <c r="CZ624" s="585"/>
      <c r="DA624" s="586"/>
      <c r="DB624" s="586"/>
      <c r="DC624" s="586"/>
      <c r="DD624" s="587"/>
      <c r="DE624" s="585"/>
      <c r="DF624" s="586"/>
      <c r="DG624" s="474"/>
      <c r="DH624" s="586"/>
      <c r="DI624" s="587"/>
      <c r="DJ624" s="589"/>
      <c r="DK624" s="588"/>
      <c r="DL624" s="588"/>
      <c r="DM624" s="586"/>
      <c r="DN624" s="587"/>
      <c r="DO624" s="585"/>
      <c r="DP624" s="586"/>
      <c r="DQ624" s="586"/>
      <c r="DR624" s="586"/>
      <c r="DS624" s="587"/>
      <c r="DT624" s="585"/>
      <c r="DU624" s="585"/>
      <c r="DV624" s="585"/>
      <c r="DW624" s="585"/>
      <c r="DX624" s="587"/>
      <c r="DY624" s="585"/>
      <c r="DZ624" s="585"/>
      <c r="EA624" s="585"/>
      <c r="EB624" s="585"/>
      <c r="EC624" s="587"/>
      <c r="ED624" s="585"/>
      <c r="EE624" s="585"/>
      <c r="EF624" s="585"/>
      <c r="EG624" s="585"/>
      <c r="EH624" s="587"/>
      <c r="EI624" s="590"/>
      <c r="EJ624" s="586"/>
      <c r="EK624" s="586"/>
      <c r="EL624" s="586"/>
      <c r="EM624" s="587"/>
      <c r="EN624" s="585"/>
      <c r="EO624" s="586"/>
      <c r="EP624" s="586"/>
      <c r="EQ624" s="586"/>
      <c r="ER624" s="587"/>
      <c r="ES624" s="585"/>
      <c r="ET624" s="586"/>
      <c r="EU624" s="586"/>
      <c r="EV624" s="586"/>
      <c r="EW624" s="587"/>
      <c r="EX624" s="585"/>
      <c r="EY624" s="586"/>
      <c r="EZ624" s="586"/>
      <c r="FA624" s="586"/>
      <c r="FB624" s="587"/>
      <c r="FC624" s="585"/>
      <c r="FD624" s="586"/>
      <c r="FE624" s="586"/>
      <c r="FF624" s="586"/>
      <c r="FG624" s="587"/>
      <c r="FH624" s="589"/>
      <c r="FI624" s="586"/>
      <c r="FJ624" s="586"/>
      <c r="FK624" s="585"/>
      <c r="FL624" s="585"/>
    </row>
    <row r="625" ht="12.75" hidden="1" customHeight="1" outlineLevel="2">
      <c r="A625" s="4"/>
      <c r="B625" s="72" t="str">
        <f t="shared" ref="B625:B630" si="3143">B591</f>
        <v>Processors</v>
      </c>
      <c r="C625" s="4"/>
      <c r="D625" s="319"/>
      <c r="E625" s="319"/>
      <c r="F625" s="319"/>
      <c r="G625" s="319"/>
      <c r="H625" s="335"/>
      <c r="I625" s="319"/>
      <c r="J625" s="319"/>
      <c r="K625" s="319"/>
      <c r="L625" s="319"/>
      <c r="M625" s="335"/>
      <c r="N625" s="319"/>
      <c r="O625" s="319"/>
      <c r="P625" s="319"/>
      <c r="Q625" s="319"/>
      <c r="R625" s="335"/>
      <c r="S625" s="319"/>
      <c r="T625" s="319"/>
      <c r="U625" s="319"/>
      <c r="V625" s="319"/>
      <c r="W625" s="335"/>
      <c r="X625" s="319"/>
      <c r="Y625" s="319"/>
      <c r="Z625" s="319"/>
      <c r="AA625" s="319"/>
      <c r="AB625" s="335"/>
      <c r="AC625" s="319"/>
      <c r="AD625" s="319"/>
      <c r="AE625" s="319"/>
      <c r="AF625" s="319"/>
      <c r="AG625" s="335"/>
      <c r="AH625" s="319"/>
      <c r="AI625" s="319"/>
      <c r="AJ625" s="319"/>
      <c r="AK625" s="319"/>
      <c r="AL625" s="335"/>
      <c r="AM625" s="319"/>
      <c r="AN625" s="319"/>
      <c r="AO625" s="319"/>
      <c r="AP625" s="319"/>
      <c r="AQ625" s="335"/>
      <c r="AR625" s="319"/>
      <c r="AS625" s="319"/>
      <c r="AT625" s="319"/>
      <c r="AU625" s="319"/>
      <c r="AV625" s="335"/>
      <c r="AW625" s="319"/>
      <c r="AX625" s="319"/>
      <c r="AY625" s="319"/>
      <c r="AZ625" s="319"/>
      <c r="BA625" s="335"/>
      <c r="BB625" s="319"/>
      <c r="BC625" s="319"/>
      <c r="BD625" s="319"/>
      <c r="BE625" s="319"/>
      <c r="BF625" s="335"/>
      <c r="BG625" s="319"/>
      <c r="BH625" s="319"/>
      <c r="BI625" s="319"/>
      <c r="BJ625" s="319"/>
      <c r="BK625" s="335"/>
      <c r="BL625" s="319"/>
      <c r="BM625" s="319"/>
      <c r="BN625" s="319"/>
      <c r="BO625" s="319"/>
      <c r="BP625" s="335"/>
      <c r="BQ625" s="319"/>
      <c r="BR625" s="319"/>
      <c r="BS625" s="319"/>
      <c r="BT625" s="319"/>
      <c r="BU625" s="335"/>
      <c r="BV625" s="319"/>
      <c r="BW625" s="319">
        <f t="shared" ref="BW625:BY625" si="3139">BW591/BV591-1</f>
        <v>0.03689388616</v>
      </c>
      <c r="BX625" s="319">
        <f t="shared" si="3139"/>
        <v>0.02880379532</v>
      </c>
      <c r="BY625" s="319">
        <f t="shared" si="3139"/>
        <v>0.007246376812</v>
      </c>
      <c r="BZ625" s="342"/>
      <c r="CA625" s="319">
        <f t="shared" ref="CA625:CA630" si="3145">CA591/BY591-1</f>
        <v>0.1155984303</v>
      </c>
      <c r="CB625" s="319">
        <f t="shared" ref="CB625:CD625" si="3140">CB591/CA591-1</f>
        <v>-0.04250329767</v>
      </c>
      <c r="CC625" s="319">
        <f t="shared" si="3140"/>
        <v>0.1512322057</v>
      </c>
      <c r="CD625" s="319">
        <f t="shared" si="3140"/>
        <v>-0.03166666667</v>
      </c>
      <c r="CE625" s="342"/>
      <c r="CF625" s="319">
        <f t="shared" ref="CF625:CF630" si="3147">CF591/CD591-1</f>
        <v>-0.06587819167</v>
      </c>
      <c r="CG625" s="319">
        <f t="shared" ref="CG625:CI625" si="3141">CG591/CF591-1</f>
        <v>0.02757070169</v>
      </c>
      <c r="CH625" s="319">
        <f t="shared" si="3141"/>
        <v>-0.005872869645</v>
      </c>
      <c r="CI625" s="319">
        <f t="shared" si="3141"/>
        <v>-0.0147109927</v>
      </c>
      <c r="CJ625" s="342"/>
      <c r="CK625" s="319">
        <f t="shared" ref="CK625:CK630" si="3149">CK591/CI591-1</f>
        <v>-0.06042793322</v>
      </c>
      <c r="CL625" s="319">
        <f t="shared" ref="CL625:CM625" si="3142">CL591/CK591-1</f>
        <v>0.01351351351</v>
      </c>
      <c r="CM625" s="319" t="str">
        <f t="shared" si="3142"/>
        <v>#REF!</v>
      </c>
      <c r="CN625" s="321"/>
      <c r="CO625" s="342"/>
      <c r="CP625" s="321"/>
      <c r="CQ625" s="319"/>
      <c r="CR625" s="319"/>
      <c r="CS625" s="319"/>
      <c r="CT625" s="342"/>
      <c r="CU625" s="319"/>
      <c r="CV625" s="319"/>
      <c r="CW625" s="319"/>
      <c r="CX625" s="319"/>
      <c r="CY625" s="342"/>
      <c r="CZ625" s="319"/>
      <c r="DA625" s="319"/>
      <c r="DB625" s="319"/>
      <c r="DC625" s="319"/>
      <c r="DD625" s="342"/>
      <c r="DE625" s="319"/>
      <c r="DF625" s="319"/>
      <c r="DG625" s="321"/>
      <c r="DH625" s="319"/>
      <c r="DI625" s="342"/>
      <c r="DJ625" s="321"/>
      <c r="DK625" s="321"/>
      <c r="DL625" s="321"/>
      <c r="DM625" s="319"/>
      <c r="DN625" s="342"/>
      <c r="DO625" s="319"/>
      <c r="DP625" s="319"/>
      <c r="DQ625" s="319"/>
      <c r="DR625" s="319"/>
      <c r="DS625" s="342"/>
      <c r="DT625" s="319"/>
      <c r="DU625" s="319"/>
      <c r="DV625" s="319"/>
      <c r="DW625" s="319"/>
      <c r="DX625" s="342"/>
      <c r="DY625" s="319"/>
      <c r="DZ625" s="319"/>
      <c r="EA625" s="319"/>
      <c r="EB625" s="319"/>
      <c r="EC625" s="342"/>
      <c r="ED625" s="319"/>
      <c r="EE625" s="319"/>
      <c r="EF625" s="319"/>
      <c r="EG625" s="319"/>
      <c r="EH625" s="342"/>
      <c r="EI625" s="322"/>
      <c r="EJ625" s="319"/>
      <c r="EK625" s="319"/>
      <c r="EL625" s="319"/>
      <c r="EM625" s="342"/>
      <c r="EN625" s="319"/>
      <c r="EO625" s="319"/>
      <c r="EP625" s="319"/>
      <c r="EQ625" s="319"/>
      <c r="ER625" s="342"/>
      <c r="ES625" s="319"/>
      <c r="ET625" s="319"/>
      <c r="EU625" s="319"/>
      <c r="EV625" s="319"/>
      <c r="EW625" s="342"/>
      <c r="EX625" s="319"/>
      <c r="EY625" s="319"/>
      <c r="EZ625" s="319"/>
      <c r="FA625" s="319"/>
      <c r="FB625" s="342"/>
      <c r="FC625" s="319"/>
      <c r="FD625" s="319"/>
      <c r="FE625" s="319"/>
      <c r="FF625" s="319"/>
      <c r="FG625" s="342"/>
      <c r="FH625" s="343"/>
      <c r="FI625" s="319"/>
      <c r="FJ625" s="319"/>
      <c r="FK625" s="335"/>
      <c r="FL625" s="319"/>
    </row>
    <row r="626" ht="12.75" hidden="1" customHeight="1" outlineLevel="2">
      <c r="A626" s="4"/>
      <c r="B626" s="72" t="str">
        <f t="shared" si="3143"/>
        <v>Chipsets, MBs and other</v>
      </c>
      <c r="C626" s="4"/>
      <c r="D626" s="319"/>
      <c r="E626" s="319"/>
      <c r="F626" s="319"/>
      <c r="G626" s="319"/>
      <c r="H626" s="335"/>
      <c r="I626" s="319"/>
      <c r="J626" s="319"/>
      <c r="K626" s="319"/>
      <c r="L626" s="319"/>
      <c r="M626" s="335"/>
      <c r="N626" s="319"/>
      <c r="O626" s="319"/>
      <c r="P626" s="319"/>
      <c r="Q626" s="319"/>
      <c r="R626" s="335"/>
      <c r="S626" s="319"/>
      <c r="T626" s="319"/>
      <c r="U626" s="319"/>
      <c r="V626" s="319"/>
      <c r="W626" s="335"/>
      <c r="X626" s="319"/>
      <c r="Y626" s="319"/>
      <c r="Z626" s="319"/>
      <c r="AA626" s="319"/>
      <c r="AB626" s="335"/>
      <c r="AC626" s="319"/>
      <c r="AD626" s="319"/>
      <c r="AE626" s="319"/>
      <c r="AF626" s="319"/>
      <c r="AG626" s="335"/>
      <c r="AH626" s="319"/>
      <c r="AI626" s="319"/>
      <c r="AJ626" s="319"/>
      <c r="AK626" s="319"/>
      <c r="AL626" s="335"/>
      <c r="AM626" s="319"/>
      <c r="AN626" s="319"/>
      <c r="AO626" s="319"/>
      <c r="AP626" s="319"/>
      <c r="AQ626" s="335"/>
      <c r="AR626" s="319"/>
      <c r="AS626" s="319"/>
      <c r="AT626" s="319"/>
      <c r="AU626" s="319"/>
      <c r="AV626" s="335"/>
      <c r="AW626" s="319"/>
      <c r="AX626" s="319"/>
      <c r="AY626" s="319"/>
      <c r="AZ626" s="319"/>
      <c r="BA626" s="335"/>
      <c r="BB626" s="319"/>
      <c r="BC626" s="319"/>
      <c r="BD626" s="319"/>
      <c r="BE626" s="319"/>
      <c r="BF626" s="335"/>
      <c r="BG626" s="319"/>
      <c r="BH626" s="319"/>
      <c r="BI626" s="319"/>
      <c r="BJ626" s="319"/>
      <c r="BK626" s="335"/>
      <c r="BL626" s="319"/>
      <c r="BM626" s="319"/>
      <c r="BN626" s="319"/>
      <c r="BO626" s="319"/>
      <c r="BP626" s="335"/>
      <c r="BQ626" s="319"/>
      <c r="BR626" s="319"/>
      <c r="BS626" s="319"/>
      <c r="BT626" s="319"/>
      <c r="BU626" s="335"/>
      <c r="BV626" s="319"/>
      <c r="BW626" s="319">
        <f t="shared" ref="BW626:BY626" si="3144">BW592/BV592-1</f>
        <v>-0.04991087344</v>
      </c>
      <c r="BX626" s="319">
        <f t="shared" si="3144"/>
        <v>0.04190118824</v>
      </c>
      <c r="BY626" s="319">
        <f t="shared" si="3144"/>
        <v>-0.04141656663</v>
      </c>
      <c r="BZ626" s="342"/>
      <c r="CA626" s="319">
        <f t="shared" si="3145"/>
        <v>0.1258609894</v>
      </c>
      <c r="CB626" s="319">
        <f t="shared" ref="CB626:CD626" si="3146">CB592/CA592-1</f>
        <v>-0.005561735261</v>
      </c>
      <c r="CC626" s="319">
        <f t="shared" si="3146"/>
        <v>0.06040268456</v>
      </c>
      <c r="CD626" s="319">
        <f t="shared" si="3146"/>
        <v>-0.06953322785</v>
      </c>
      <c r="CE626" s="342"/>
      <c r="CF626" s="319">
        <f t="shared" si="3147"/>
        <v>-0.06587819167</v>
      </c>
      <c r="CG626" s="319">
        <f t="shared" ref="CG626:CI626" si="3148">CG592/CF592-1</f>
        <v>0.02757070169</v>
      </c>
      <c r="CH626" s="319">
        <f t="shared" si="3148"/>
        <v>-0.005872869645</v>
      </c>
      <c r="CI626" s="319">
        <f t="shared" si="3148"/>
        <v>-0.0147109927</v>
      </c>
      <c r="CJ626" s="342"/>
      <c r="CK626" s="319">
        <f t="shared" si="3149"/>
        <v>-0.06042793322</v>
      </c>
      <c r="CL626" s="319">
        <f t="shared" ref="CL626:CM626" si="3150">CL592/CK592-1</f>
        <v>0.01351351351</v>
      </c>
      <c r="CM626" s="319" t="str">
        <f t="shared" si="3150"/>
        <v>#REF!</v>
      </c>
      <c r="CN626" s="321"/>
      <c r="CO626" s="342"/>
      <c r="CP626" s="321"/>
      <c r="CQ626" s="319"/>
      <c r="CR626" s="319"/>
      <c r="CS626" s="319"/>
      <c r="CT626" s="342"/>
      <c r="CU626" s="319"/>
      <c r="CV626" s="319"/>
      <c r="CW626" s="319"/>
      <c r="CX626" s="319"/>
      <c r="CY626" s="342"/>
      <c r="CZ626" s="319"/>
      <c r="DA626" s="319"/>
      <c r="DB626" s="319"/>
      <c r="DC626" s="319"/>
      <c r="DD626" s="342"/>
      <c r="DE626" s="319"/>
      <c r="DF626" s="319"/>
      <c r="DG626" s="321"/>
      <c r="DH626" s="319"/>
      <c r="DI626" s="342"/>
      <c r="DJ626" s="321"/>
      <c r="DK626" s="321"/>
      <c r="DL626" s="321"/>
      <c r="DM626" s="319"/>
      <c r="DN626" s="342"/>
      <c r="DO626" s="319"/>
      <c r="DP626" s="319"/>
      <c r="DQ626" s="319"/>
      <c r="DR626" s="319"/>
      <c r="DS626" s="342"/>
      <c r="DT626" s="319"/>
      <c r="DU626" s="319"/>
      <c r="DV626" s="319"/>
      <c r="DW626" s="319"/>
      <c r="DX626" s="342"/>
      <c r="DY626" s="319"/>
      <c r="DZ626" s="319"/>
      <c r="EA626" s="319"/>
      <c r="EB626" s="319"/>
      <c r="EC626" s="342"/>
      <c r="ED626" s="319"/>
      <c r="EE626" s="319"/>
      <c r="EF626" s="319"/>
      <c r="EG626" s="319"/>
      <c r="EH626" s="342"/>
      <c r="EI626" s="322"/>
      <c r="EJ626" s="319"/>
      <c r="EK626" s="319"/>
      <c r="EL626" s="319"/>
      <c r="EM626" s="342"/>
      <c r="EN626" s="319"/>
      <c r="EO626" s="319"/>
      <c r="EP626" s="319"/>
      <c r="EQ626" s="319"/>
      <c r="ER626" s="342"/>
      <c r="ES626" s="319"/>
      <c r="ET626" s="319"/>
      <c r="EU626" s="319"/>
      <c r="EV626" s="319"/>
      <c r="EW626" s="342"/>
      <c r="EX626" s="319"/>
      <c r="EY626" s="319"/>
      <c r="EZ626" s="319"/>
      <c r="FA626" s="319"/>
      <c r="FB626" s="342"/>
      <c r="FC626" s="319"/>
      <c r="FD626" s="319"/>
      <c r="FE626" s="319"/>
      <c r="FF626" s="319"/>
      <c r="FG626" s="342"/>
      <c r="FH626" s="343"/>
      <c r="FI626" s="319"/>
      <c r="FJ626" s="319"/>
      <c r="FK626" s="335"/>
      <c r="FL626" s="319"/>
    </row>
    <row r="627" ht="12.75" hidden="1" customHeight="1" outlineLevel="2">
      <c r="A627" s="45"/>
      <c r="B627" s="215" t="str">
        <f t="shared" si="3143"/>
        <v>PC Client Group</v>
      </c>
      <c r="C627" s="45"/>
      <c r="D627" s="335"/>
      <c r="E627" s="335"/>
      <c r="F627" s="335"/>
      <c r="G627" s="335"/>
      <c r="H627" s="335"/>
      <c r="I627" s="335"/>
      <c r="J627" s="335"/>
      <c r="K627" s="335"/>
      <c r="L627" s="335"/>
      <c r="M627" s="335"/>
      <c r="N627" s="335"/>
      <c r="O627" s="335"/>
      <c r="P627" s="335"/>
      <c r="Q627" s="335"/>
      <c r="R627" s="335"/>
      <c r="S627" s="335"/>
      <c r="T627" s="335"/>
      <c r="U627" s="335"/>
      <c r="V627" s="335"/>
      <c r="W627" s="335"/>
      <c r="X627" s="335"/>
      <c r="Y627" s="335"/>
      <c r="Z627" s="335"/>
      <c r="AA627" s="335"/>
      <c r="AB627" s="335"/>
      <c r="AC627" s="335"/>
      <c r="AD627" s="335"/>
      <c r="AE627" s="335"/>
      <c r="AF627" s="335"/>
      <c r="AG627" s="335"/>
      <c r="AH627" s="335"/>
      <c r="AI627" s="335"/>
      <c r="AJ627" s="335"/>
      <c r="AK627" s="335"/>
      <c r="AL627" s="335"/>
      <c r="AM627" s="335"/>
      <c r="AN627" s="335"/>
      <c r="AO627" s="335"/>
      <c r="AP627" s="335"/>
      <c r="AQ627" s="335"/>
      <c r="AR627" s="335"/>
      <c r="AS627" s="335"/>
      <c r="AT627" s="335"/>
      <c r="AU627" s="335"/>
      <c r="AV627" s="335"/>
      <c r="AW627" s="335"/>
      <c r="AX627" s="335"/>
      <c r="AY627" s="335"/>
      <c r="AZ627" s="335"/>
      <c r="BA627" s="335"/>
      <c r="BB627" s="335"/>
      <c r="BC627" s="335"/>
      <c r="BD627" s="335"/>
      <c r="BE627" s="335"/>
      <c r="BF627" s="335"/>
      <c r="BG627" s="335"/>
      <c r="BH627" s="335"/>
      <c r="BI627" s="335"/>
      <c r="BJ627" s="335"/>
      <c r="BK627" s="335"/>
      <c r="BL627" s="335"/>
      <c r="BM627" s="335"/>
      <c r="BN627" s="335"/>
      <c r="BO627" s="335"/>
      <c r="BP627" s="335"/>
      <c r="BQ627" s="335"/>
      <c r="BR627" s="335"/>
      <c r="BS627" s="335"/>
      <c r="BT627" s="335"/>
      <c r="BU627" s="335"/>
      <c r="BV627" s="335"/>
      <c r="BW627" s="335">
        <f t="shared" ref="BW627:BY627" si="3151">BW593/BV593-1</f>
        <v>0.01708474576</v>
      </c>
      <c r="BX627" s="335">
        <f t="shared" si="3151"/>
        <v>0.03159578723</v>
      </c>
      <c r="BY627" s="335">
        <f t="shared" si="3151"/>
        <v>-0.003230808995</v>
      </c>
      <c r="BZ627" s="342"/>
      <c r="CA627" s="335">
        <f t="shared" si="3145"/>
        <v>0.1177233243</v>
      </c>
      <c r="CB627" s="335">
        <f t="shared" ref="CB627:CD627" si="3152">CB593/CA593-1</f>
        <v>-0.03479874725</v>
      </c>
      <c r="CC627" s="335">
        <f t="shared" si="3152"/>
        <v>0.1317149381</v>
      </c>
      <c r="CD627" s="335">
        <f t="shared" si="3152"/>
        <v>-0.03929064458</v>
      </c>
      <c r="CE627" s="342"/>
      <c r="CF627" s="335">
        <f t="shared" si="3147"/>
        <v>-0.06587819167</v>
      </c>
      <c r="CG627" s="335">
        <f t="shared" ref="CG627:CI627" si="3153">CG593/CF593-1</f>
        <v>0.02757070169</v>
      </c>
      <c r="CH627" s="335">
        <f t="shared" si="3153"/>
        <v>-0.005872869645</v>
      </c>
      <c r="CI627" s="335">
        <f t="shared" si="3153"/>
        <v>-0.0147109927</v>
      </c>
      <c r="CJ627" s="342"/>
      <c r="CK627" s="335">
        <f t="shared" si="3149"/>
        <v>-0.06042793322</v>
      </c>
      <c r="CL627" s="335">
        <f t="shared" ref="CL627:CM627" si="3154">CL593/CK593-1</f>
        <v>0.01351351351</v>
      </c>
      <c r="CM627" s="335" t="str">
        <f t="shared" si="3154"/>
        <v>#REF!</v>
      </c>
      <c r="CN627" s="343"/>
      <c r="CO627" s="342"/>
      <c r="CP627" s="343"/>
      <c r="CQ627" s="335"/>
      <c r="CR627" s="335"/>
      <c r="CS627" s="335"/>
      <c r="CT627" s="342"/>
      <c r="CU627" s="335"/>
      <c r="CV627" s="335"/>
      <c r="CW627" s="335"/>
      <c r="CX627" s="335"/>
      <c r="CY627" s="342"/>
      <c r="CZ627" s="335"/>
      <c r="DA627" s="335"/>
      <c r="DB627" s="335"/>
      <c r="DC627" s="335"/>
      <c r="DD627" s="342"/>
      <c r="DE627" s="335"/>
      <c r="DF627" s="335"/>
      <c r="DG627" s="343"/>
      <c r="DH627" s="335"/>
      <c r="DI627" s="342"/>
      <c r="DJ627" s="343"/>
      <c r="DK627" s="343"/>
      <c r="DL627" s="343"/>
      <c r="DM627" s="335"/>
      <c r="DN627" s="342"/>
      <c r="DO627" s="335"/>
      <c r="DP627" s="335"/>
      <c r="DQ627" s="335"/>
      <c r="DR627" s="335"/>
      <c r="DS627" s="342"/>
      <c r="DT627" s="335"/>
      <c r="DU627" s="335"/>
      <c r="DV627" s="335"/>
      <c r="DW627" s="335"/>
      <c r="DX627" s="342"/>
      <c r="DY627" s="335"/>
      <c r="DZ627" s="335"/>
      <c r="EA627" s="335"/>
      <c r="EB627" s="335"/>
      <c r="EC627" s="342"/>
      <c r="ED627" s="335"/>
      <c r="EE627" s="335"/>
      <c r="EF627" s="335"/>
      <c r="EG627" s="335"/>
      <c r="EH627" s="342"/>
      <c r="EI627" s="600"/>
      <c r="EJ627" s="335"/>
      <c r="EK627" s="335"/>
      <c r="EL627" s="335"/>
      <c r="EM627" s="342"/>
      <c r="EN627" s="335"/>
      <c r="EO627" s="335"/>
      <c r="EP627" s="335"/>
      <c r="EQ627" s="335"/>
      <c r="ER627" s="342"/>
      <c r="ES627" s="335"/>
      <c r="ET627" s="335"/>
      <c r="EU627" s="335"/>
      <c r="EV627" s="335"/>
      <c r="EW627" s="342"/>
      <c r="EX627" s="335"/>
      <c r="EY627" s="335"/>
      <c r="EZ627" s="335"/>
      <c r="FA627" s="335"/>
      <c r="FB627" s="342"/>
      <c r="FC627" s="335"/>
      <c r="FD627" s="335"/>
      <c r="FE627" s="335"/>
      <c r="FF627" s="335"/>
      <c r="FG627" s="342"/>
      <c r="FH627" s="343"/>
      <c r="FI627" s="335"/>
      <c r="FJ627" s="335"/>
      <c r="FK627" s="335"/>
      <c r="FL627" s="335"/>
    </row>
    <row r="628" ht="12.75" hidden="1" customHeight="1" outlineLevel="2">
      <c r="A628" s="4"/>
      <c r="B628" s="72" t="str">
        <f t="shared" si="3143"/>
        <v>Processors</v>
      </c>
      <c r="C628" s="4"/>
      <c r="D628" s="319"/>
      <c r="E628" s="319"/>
      <c r="F628" s="319"/>
      <c r="G628" s="319"/>
      <c r="H628" s="335"/>
      <c r="I628" s="319"/>
      <c r="J628" s="319"/>
      <c r="K628" s="319"/>
      <c r="L628" s="319"/>
      <c r="M628" s="335"/>
      <c r="N628" s="319"/>
      <c r="O628" s="319"/>
      <c r="P628" s="319"/>
      <c r="Q628" s="319"/>
      <c r="R628" s="335"/>
      <c r="S628" s="319"/>
      <c r="T628" s="319"/>
      <c r="U628" s="319"/>
      <c r="V628" s="319"/>
      <c r="W628" s="335"/>
      <c r="X628" s="319"/>
      <c r="Y628" s="319"/>
      <c r="Z628" s="319"/>
      <c r="AA628" s="319"/>
      <c r="AB628" s="335"/>
      <c r="AC628" s="319"/>
      <c r="AD628" s="319"/>
      <c r="AE628" s="319"/>
      <c r="AF628" s="319"/>
      <c r="AG628" s="335"/>
      <c r="AH628" s="319"/>
      <c r="AI628" s="319"/>
      <c r="AJ628" s="319"/>
      <c r="AK628" s="319"/>
      <c r="AL628" s="335"/>
      <c r="AM628" s="319"/>
      <c r="AN628" s="319"/>
      <c r="AO628" s="319"/>
      <c r="AP628" s="319"/>
      <c r="AQ628" s="335"/>
      <c r="AR628" s="319"/>
      <c r="AS628" s="319"/>
      <c r="AT628" s="319"/>
      <c r="AU628" s="319"/>
      <c r="AV628" s="335"/>
      <c r="AW628" s="319"/>
      <c r="AX628" s="319"/>
      <c r="AY628" s="319"/>
      <c r="AZ628" s="319"/>
      <c r="BA628" s="335"/>
      <c r="BB628" s="319"/>
      <c r="BC628" s="319"/>
      <c r="BD628" s="319"/>
      <c r="BE628" s="319"/>
      <c r="BF628" s="335"/>
      <c r="BG628" s="319"/>
      <c r="BH628" s="319"/>
      <c r="BI628" s="319"/>
      <c r="BJ628" s="319"/>
      <c r="BK628" s="335"/>
      <c r="BL628" s="319"/>
      <c r="BM628" s="319"/>
      <c r="BN628" s="319"/>
      <c r="BO628" s="319"/>
      <c r="BP628" s="335"/>
      <c r="BQ628" s="319"/>
      <c r="BR628" s="319"/>
      <c r="BS628" s="319"/>
      <c r="BT628" s="319"/>
      <c r="BU628" s="335"/>
      <c r="BV628" s="319"/>
      <c r="BW628" s="319">
        <f t="shared" ref="BW628:BY628" si="3155">BW594/BV594-1</f>
        <v>0.1578608247</v>
      </c>
      <c r="BX628" s="319">
        <f t="shared" si="3155"/>
        <v>0.02782415136</v>
      </c>
      <c r="BY628" s="319">
        <f t="shared" si="3155"/>
        <v>0.1721710883</v>
      </c>
      <c r="BZ628" s="342"/>
      <c r="CA628" s="319">
        <f t="shared" si="3145"/>
        <v>-0.0480369515</v>
      </c>
      <c r="CB628" s="319">
        <f t="shared" ref="CB628:CD628" si="3156">CB594/CA594-1</f>
        <v>-0.00339640951</v>
      </c>
      <c r="CC628" s="319">
        <f t="shared" si="3156"/>
        <v>0.0311587147</v>
      </c>
      <c r="CD628" s="319">
        <f t="shared" si="3156"/>
        <v>0.07756373938</v>
      </c>
      <c r="CE628" s="342"/>
      <c r="CF628" s="319">
        <f t="shared" si="3147"/>
        <v>-0.086417968</v>
      </c>
      <c r="CG628" s="319">
        <f t="shared" ref="CG628:CI628" si="3157">CG594/CF594-1</f>
        <v>0.1565382125</v>
      </c>
      <c r="CH628" s="319">
        <f t="shared" si="3157"/>
        <v>-0.05349500713</v>
      </c>
      <c r="CI628" s="319">
        <f t="shared" si="3157"/>
        <v>0.06631499623</v>
      </c>
      <c r="CJ628" s="342"/>
      <c r="CK628" s="319">
        <f t="shared" si="3149"/>
        <v>-0.08657243816</v>
      </c>
      <c r="CL628" s="319">
        <f t="shared" ref="CL628:CM628" si="3158">CL594/CK594-1</f>
        <v>0.06112185687</v>
      </c>
      <c r="CM628" s="319">
        <f t="shared" si="3158"/>
        <v>0.06161137441</v>
      </c>
      <c r="CN628" s="321"/>
      <c r="CO628" s="342"/>
      <c r="CP628" s="321"/>
      <c r="CQ628" s="319"/>
      <c r="CR628" s="319"/>
      <c r="CS628" s="319"/>
      <c r="CT628" s="342"/>
      <c r="CU628" s="319"/>
      <c r="CV628" s="319"/>
      <c r="CW628" s="319"/>
      <c r="CX628" s="319"/>
      <c r="CY628" s="342"/>
      <c r="CZ628" s="319"/>
      <c r="DA628" s="319"/>
      <c r="DB628" s="319"/>
      <c r="DC628" s="319"/>
      <c r="DD628" s="342"/>
      <c r="DE628" s="319"/>
      <c r="DF628" s="319"/>
      <c r="DG628" s="321"/>
      <c r="DH628" s="319"/>
      <c r="DI628" s="342"/>
      <c r="DJ628" s="321"/>
      <c r="DK628" s="321"/>
      <c r="DL628" s="321"/>
      <c r="DM628" s="319"/>
      <c r="DN628" s="342"/>
      <c r="DO628" s="319"/>
      <c r="DP628" s="319"/>
      <c r="DQ628" s="319"/>
      <c r="DR628" s="319"/>
      <c r="DS628" s="342"/>
      <c r="DT628" s="319"/>
      <c r="DU628" s="319"/>
      <c r="DV628" s="319"/>
      <c r="DW628" s="319"/>
      <c r="DX628" s="342"/>
      <c r="DY628" s="319"/>
      <c r="DZ628" s="319"/>
      <c r="EA628" s="319"/>
      <c r="EB628" s="319"/>
      <c r="EC628" s="342"/>
      <c r="ED628" s="319"/>
      <c r="EE628" s="319"/>
      <c r="EF628" s="319"/>
      <c r="EG628" s="319"/>
      <c r="EH628" s="342"/>
      <c r="EI628" s="322"/>
      <c r="EJ628" s="319"/>
      <c r="EK628" s="319"/>
      <c r="EL628" s="319"/>
      <c r="EM628" s="342"/>
      <c r="EN628" s="319"/>
      <c r="EO628" s="319"/>
      <c r="EP628" s="319"/>
      <c r="EQ628" s="319"/>
      <c r="ER628" s="342"/>
      <c r="ES628" s="319"/>
      <c r="ET628" s="319"/>
      <c r="EU628" s="319"/>
      <c r="EV628" s="319"/>
      <c r="EW628" s="342"/>
      <c r="EX628" s="319"/>
      <c r="EY628" s="319"/>
      <c r="EZ628" s="319"/>
      <c r="FA628" s="319"/>
      <c r="FB628" s="342"/>
      <c r="FC628" s="319"/>
      <c r="FD628" s="319"/>
      <c r="FE628" s="319"/>
      <c r="FF628" s="319"/>
      <c r="FG628" s="342"/>
      <c r="FH628" s="343"/>
      <c r="FI628" s="319"/>
      <c r="FJ628" s="319"/>
      <c r="FK628" s="335"/>
      <c r="FL628" s="319"/>
    </row>
    <row r="629" ht="12.75" hidden="1" customHeight="1" outlineLevel="2">
      <c r="A629" s="4"/>
      <c r="B629" s="72" t="str">
        <f t="shared" si="3143"/>
        <v>Chipsets, MBs and other</v>
      </c>
      <c r="C629" s="4"/>
      <c r="D629" s="319"/>
      <c r="E629" s="319"/>
      <c r="F629" s="319"/>
      <c r="G629" s="319"/>
      <c r="H629" s="335"/>
      <c r="I629" s="319"/>
      <c r="J629" s="319"/>
      <c r="K629" s="319"/>
      <c r="L629" s="319"/>
      <c r="M629" s="335"/>
      <c r="N629" s="319"/>
      <c r="O629" s="319"/>
      <c r="P629" s="319"/>
      <c r="Q629" s="319"/>
      <c r="R629" s="335"/>
      <c r="S629" s="319"/>
      <c r="T629" s="319"/>
      <c r="U629" s="319"/>
      <c r="V629" s="319"/>
      <c r="W629" s="335"/>
      <c r="X629" s="319"/>
      <c r="Y629" s="319"/>
      <c r="Z629" s="319"/>
      <c r="AA629" s="319"/>
      <c r="AB629" s="335"/>
      <c r="AC629" s="319"/>
      <c r="AD629" s="319"/>
      <c r="AE629" s="319"/>
      <c r="AF629" s="319"/>
      <c r="AG629" s="335"/>
      <c r="AH629" s="319"/>
      <c r="AI629" s="319"/>
      <c r="AJ629" s="319"/>
      <c r="AK629" s="319"/>
      <c r="AL629" s="335"/>
      <c r="AM629" s="319"/>
      <c r="AN629" s="319"/>
      <c r="AO629" s="319"/>
      <c r="AP629" s="319"/>
      <c r="AQ629" s="335"/>
      <c r="AR629" s="319"/>
      <c r="AS629" s="319"/>
      <c r="AT629" s="319"/>
      <c r="AU629" s="319"/>
      <c r="AV629" s="335"/>
      <c r="AW629" s="319"/>
      <c r="AX629" s="319"/>
      <c r="AY629" s="319"/>
      <c r="AZ629" s="319"/>
      <c r="BA629" s="335"/>
      <c r="BB629" s="319"/>
      <c r="BC629" s="319"/>
      <c r="BD629" s="319"/>
      <c r="BE629" s="319"/>
      <c r="BF629" s="335"/>
      <c r="BG629" s="319"/>
      <c r="BH629" s="319"/>
      <c r="BI629" s="319"/>
      <c r="BJ629" s="319"/>
      <c r="BK629" s="335"/>
      <c r="BL629" s="319"/>
      <c r="BM629" s="319"/>
      <c r="BN629" s="319"/>
      <c r="BO629" s="319"/>
      <c r="BP629" s="335"/>
      <c r="BQ629" s="319"/>
      <c r="BR629" s="319"/>
      <c r="BS629" s="319"/>
      <c r="BT629" s="319"/>
      <c r="BU629" s="335"/>
      <c r="BV629" s="319"/>
      <c r="BW629" s="319">
        <f t="shared" ref="BW629:BY629" si="3159">BW595/BV595-1</f>
        <v>-0.006269592476</v>
      </c>
      <c r="BX629" s="319">
        <f t="shared" si="3159"/>
        <v>0.06940063091</v>
      </c>
      <c r="BY629" s="319">
        <f t="shared" si="3159"/>
        <v>0.05309734513</v>
      </c>
      <c r="BZ629" s="342"/>
      <c r="CA629" s="319">
        <f t="shared" si="3145"/>
        <v>0.1288515406</v>
      </c>
      <c r="CB629" s="319">
        <f t="shared" ref="CB629:CD629" si="3160">CB595/CA595-1</f>
        <v>-0.05210918114</v>
      </c>
      <c r="CC629" s="319">
        <f t="shared" si="3160"/>
        <v>0.03141361257</v>
      </c>
      <c r="CD629" s="319">
        <f t="shared" si="3160"/>
        <v>0.1033502538</v>
      </c>
      <c r="CE629" s="342"/>
      <c r="CF629" s="319">
        <f t="shared" si="3147"/>
        <v>-0.1535931174</v>
      </c>
      <c r="CG629" s="319">
        <f t="shared" ref="CG629:CI629" si="3161">CG595/CF595-1</f>
        <v>0.06688408751</v>
      </c>
      <c r="CH629" s="319">
        <f t="shared" si="3161"/>
        <v>-0.05349500713</v>
      </c>
      <c r="CI629" s="319">
        <f t="shared" si="3161"/>
        <v>0.06631499623</v>
      </c>
      <c r="CJ629" s="342"/>
      <c r="CK629" s="319">
        <f t="shared" si="3149"/>
        <v>-0.08657243816</v>
      </c>
      <c r="CL629" s="319">
        <f t="shared" ref="CL629:CM629" si="3162">CL595/CK595-1</f>
        <v>0.06112185687</v>
      </c>
      <c r="CM629" s="319">
        <f t="shared" si="3162"/>
        <v>0.06161137441</v>
      </c>
      <c r="CN629" s="321"/>
      <c r="CO629" s="342"/>
      <c r="CP629" s="321"/>
      <c r="CQ629" s="319"/>
      <c r="CR629" s="319"/>
      <c r="CS629" s="319"/>
      <c r="CT629" s="342"/>
      <c r="CU629" s="319"/>
      <c r="CV629" s="319"/>
      <c r="CW629" s="319"/>
      <c r="CX629" s="319"/>
      <c r="CY629" s="342"/>
      <c r="CZ629" s="319"/>
      <c r="DA629" s="319"/>
      <c r="DB629" s="319"/>
      <c r="DC629" s="319"/>
      <c r="DD629" s="342"/>
      <c r="DE629" s="319"/>
      <c r="DF629" s="319"/>
      <c r="DG629" s="321"/>
      <c r="DH629" s="319"/>
      <c r="DI629" s="342"/>
      <c r="DJ629" s="321"/>
      <c r="DK629" s="321"/>
      <c r="DL629" s="321"/>
      <c r="DM629" s="319"/>
      <c r="DN629" s="342"/>
      <c r="DO629" s="319"/>
      <c r="DP629" s="319"/>
      <c r="DQ629" s="319"/>
      <c r="DR629" s="319"/>
      <c r="DS629" s="342"/>
      <c r="DT629" s="319"/>
      <c r="DU629" s="319"/>
      <c r="DV629" s="319"/>
      <c r="DW629" s="319"/>
      <c r="DX629" s="342"/>
      <c r="DY629" s="319"/>
      <c r="DZ629" s="319"/>
      <c r="EA629" s="319"/>
      <c r="EB629" s="319"/>
      <c r="EC629" s="342"/>
      <c r="ED629" s="319"/>
      <c r="EE629" s="319"/>
      <c r="EF629" s="319"/>
      <c r="EG629" s="319"/>
      <c r="EH629" s="342"/>
      <c r="EI629" s="322"/>
      <c r="EJ629" s="319"/>
      <c r="EK629" s="319"/>
      <c r="EL629" s="319"/>
      <c r="EM629" s="342"/>
      <c r="EN629" s="319"/>
      <c r="EO629" s="319"/>
      <c r="EP629" s="319"/>
      <c r="EQ629" s="319"/>
      <c r="ER629" s="342"/>
      <c r="ES629" s="319"/>
      <c r="ET629" s="319"/>
      <c r="EU629" s="319"/>
      <c r="EV629" s="319"/>
      <c r="EW629" s="342"/>
      <c r="EX629" s="319"/>
      <c r="EY629" s="319"/>
      <c r="EZ629" s="319"/>
      <c r="FA629" s="319"/>
      <c r="FB629" s="342"/>
      <c r="FC629" s="319"/>
      <c r="FD629" s="319"/>
      <c r="FE629" s="319"/>
      <c r="FF629" s="319"/>
      <c r="FG629" s="342"/>
      <c r="FH629" s="343"/>
      <c r="FI629" s="319"/>
      <c r="FJ629" s="319"/>
      <c r="FK629" s="335"/>
      <c r="FL629" s="319"/>
    </row>
    <row r="630" ht="12.75" hidden="1" customHeight="1" outlineLevel="2">
      <c r="A630" s="4"/>
      <c r="B630" s="215" t="str">
        <f t="shared" si="3143"/>
        <v>Data Center Group</v>
      </c>
      <c r="C630" s="4"/>
      <c r="D630" s="335"/>
      <c r="E630" s="335"/>
      <c r="F630" s="335"/>
      <c r="G630" s="335"/>
      <c r="H630" s="335"/>
      <c r="I630" s="335"/>
      <c r="J630" s="335"/>
      <c r="K630" s="335"/>
      <c r="L630" s="335"/>
      <c r="M630" s="335"/>
      <c r="N630" s="335"/>
      <c r="O630" s="335"/>
      <c r="P630" s="335"/>
      <c r="Q630" s="335"/>
      <c r="R630" s="335"/>
      <c r="S630" s="335"/>
      <c r="T630" s="335"/>
      <c r="U630" s="335"/>
      <c r="V630" s="335"/>
      <c r="W630" s="335"/>
      <c r="X630" s="335"/>
      <c r="Y630" s="335"/>
      <c r="Z630" s="335"/>
      <c r="AA630" s="335"/>
      <c r="AB630" s="335"/>
      <c r="AC630" s="335"/>
      <c r="AD630" s="335"/>
      <c r="AE630" s="335"/>
      <c r="AF630" s="335"/>
      <c r="AG630" s="335"/>
      <c r="AH630" s="335"/>
      <c r="AI630" s="335"/>
      <c r="AJ630" s="335"/>
      <c r="AK630" s="335"/>
      <c r="AL630" s="335"/>
      <c r="AM630" s="335"/>
      <c r="AN630" s="335"/>
      <c r="AO630" s="335"/>
      <c r="AP630" s="335"/>
      <c r="AQ630" s="335"/>
      <c r="AR630" s="335"/>
      <c r="AS630" s="335"/>
      <c r="AT630" s="335"/>
      <c r="AU630" s="335"/>
      <c r="AV630" s="335"/>
      <c r="AW630" s="335"/>
      <c r="AX630" s="335"/>
      <c r="AY630" s="335"/>
      <c r="AZ630" s="335"/>
      <c r="BA630" s="335"/>
      <c r="BB630" s="335"/>
      <c r="BC630" s="335"/>
      <c r="BD630" s="335"/>
      <c r="BE630" s="335"/>
      <c r="BF630" s="335"/>
      <c r="BG630" s="335"/>
      <c r="BH630" s="335"/>
      <c r="BI630" s="335"/>
      <c r="BJ630" s="335"/>
      <c r="BK630" s="335"/>
      <c r="BL630" s="335"/>
      <c r="BM630" s="335"/>
      <c r="BN630" s="335"/>
      <c r="BO630" s="335"/>
      <c r="BP630" s="335"/>
      <c r="BQ630" s="335"/>
      <c r="BR630" s="335"/>
      <c r="BS630" s="335"/>
      <c r="BT630" s="335"/>
      <c r="BU630" s="335"/>
      <c r="BV630" s="335"/>
      <c r="BW630" s="335">
        <f t="shared" ref="BW630:BY630" si="3163">BW596/BV596-1</f>
        <v>0.1298770711</v>
      </c>
      <c r="BX630" s="335">
        <f t="shared" si="3163"/>
        <v>0.03405865658</v>
      </c>
      <c r="BY630" s="335">
        <f t="shared" si="3163"/>
        <v>0.153705398</v>
      </c>
      <c r="BZ630" s="342"/>
      <c r="CA630" s="335">
        <f t="shared" si="3145"/>
        <v>-0.02299762094</v>
      </c>
      <c r="CB630" s="335">
        <f t="shared" ref="CB630:CD630" si="3164">CB596/CA596-1</f>
        <v>-0.01136363636</v>
      </c>
      <c r="CC630" s="335">
        <f t="shared" si="3164"/>
        <v>0.03119868637</v>
      </c>
      <c r="CD630" s="335">
        <f t="shared" si="3164"/>
        <v>0.08160828025</v>
      </c>
      <c r="CE630" s="342"/>
      <c r="CF630" s="335">
        <f t="shared" si="3147"/>
        <v>-0.0971659919</v>
      </c>
      <c r="CG630" s="335">
        <f t="shared" ref="CG630:CI630" si="3165">CG596/CF596-1</f>
        <v>0.1430900938</v>
      </c>
      <c r="CH630" s="335">
        <f t="shared" si="3165"/>
        <v>-0.05349500713</v>
      </c>
      <c r="CI630" s="335">
        <f t="shared" si="3165"/>
        <v>0.06631499623</v>
      </c>
      <c r="CJ630" s="342"/>
      <c r="CK630" s="335">
        <f t="shared" si="3149"/>
        <v>-0.08657243816</v>
      </c>
      <c r="CL630" s="335">
        <f t="shared" ref="CL630:CM630" si="3166">CL596/CK596-1</f>
        <v>0.06112185687</v>
      </c>
      <c r="CM630" s="335">
        <f t="shared" si="3166"/>
        <v>0.06161137441</v>
      </c>
      <c r="CN630" s="343"/>
      <c r="CO630" s="342"/>
      <c r="CP630" s="343"/>
      <c r="CQ630" s="335"/>
      <c r="CR630" s="335"/>
      <c r="CS630" s="335"/>
      <c r="CT630" s="342"/>
      <c r="CU630" s="335"/>
      <c r="CV630" s="335"/>
      <c r="CW630" s="335"/>
      <c r="CX630" s="335"/>
      <c r="CY630" s="342"/>
      <c r="CZ630" s="335"/>
      <c r="DA630" s="335"/>
      <c r="DB630" s="335"/>
      <c r="DC630" s="335"/>
      <c r="DD630" s="342"/>
      <c r="DE630" s="335"/>
      <c r="DF630" s="335"/>
      <c r="DG630" s="343"/>
      <c r="DH630" s="335"/>
      <c r="DI630" s="342"/>
      <c r="DJ630" s="343"/>
      <c r="DK630" s="343"/>
      <c r="DL630" s="343"/>
      <c r="DM630" s="335"/>
      <c r="DN630" s="342"/>
      <c r="DO630" s="335"/>
      <c r="DP630" s="335"/>
      <c r="DQ630" s="335"/>
      <c r="DR630" s="335"/>
      <c r="DS630" s="342"/>
      <c r="DT630" s="335"/>
      <c r="DU630" s="335"/>
      <c r="DV630" s="335"/>
      <c r="DW630" s="335"/>
      <c r="DX630" s="342"/>
      <c r="DY630" s="335"/>
      <c r="DZ630" s="335"/>
      <c r="EA630" s="335"/>
      <c r="EB630" s="335"/>
      <c r="EC630" s="342"/>
      <c r="ED630" s="335"/>
      <c r="EE630" s="335"/>
      <c r="EF630" s="335"/>
      <c r="EG630" s="335"/>
      <c r="EH630" s="342"/>
      <c r="EI630" s="600"/>
      <c r="EJ630" s="335"/>
      <c r="EK630" s="335"/>
      <c r="EL630" s="335"/>
      <c r="EM630" s="342"/>
      <c r="EN630" s="335"/>
      <c r="EO630" s="335"/>
      <c r="EP630" s="335"/>
      <c r="EQ630" s="335"/>
      <c r="ER630" s="342"/>
      <c r="ES630" s="335"/>
      <c r="ET630" s="335"/>
      <c r="EU630" s="335"/>
      <c r="EV630" s="335"/>
      <c r="EW630" s="342"/>
      <c r="EX630" s="335"/>
      <c r="EY630" s="335"/>
      <c r="EZ630" s="335"/>
      <c r="FA630" s="335"/>
      <c r="FB630" s="342"/>
      <c r="FC630" s="335"/>
      <c r="FD630" s="335"/>
      <c r="FE630" s="335"/>
      <c r="FF630" s="335"/>
      <c r="FG630" s="342"/>
      <c r="FH630" s="343"/>
      <c r="FI630" s="335"/>
      <c r="FJ630" s="335"/>
      <c r="FK630" s="335"/>
      <c r="FL630" s="335"/>
    </row>
    <row r="631" ht="12.75" hidden="1" customHeight="1" outlineLevel="2">
      <c r="A631" s="45"/>
      <c r="B631" s="215" t="str">
        <f t="shared" ref="B631:B632" si="3171">B599</f>
        <v>Other IAG</v>
      </c>
      <c r="C631" s="45"/>
      <c r="D631" s="335"/>
      <c r="E631" s="335"/>
      <c r="F631" s="335"/>
      <c r="G631" s="335"/>
      <c r="H631" s="335"/>
      <c r="I631" s="335"/>
      <c r="J631" s="335"/>
      <c r="K631" s="335"/>
      <c r="L631" s="335"/>
      <c r="M631" s="335"/>
      <c r="N631" s="335"/>
      <c r="O631" s="335"/>
      <c r="P631" s="335"/>
      <c r="Q631" s="335"/>
      <c r="R631" s="335"/>
      <c r="S631" s="335"/>
      <c r="T631" s="335"/>
      <c r="U631" s="335"/>
      <c r="V631" s="335"/>
      <c r="W631" s="335"/>
      <c r="X631" s="335"/>
      <c r="Y631" s="335"/>
      <c r="Z631" s="335"/>
      <c r="AA631" s="335"/>
      <c r="AB631" s="335"/>
      <c r="AC631" s="335"/>
      <c r="AD631" s="335"/>
      <c r="AE631" s="335"/>
      <c r="AF631" s="335"/>
      <c r="AG631" s="335"/>
      <c r="AH631" s="335"/>
      <c r="AI631" s="335"/>
      <c r="AJ631" s="335"/>
      <c r="AK631" s="335"/>
      <c r="AL631" s="335"/>
      <c r="AM631" s="335"/>
      <c r="AN631" s="335"/>
      <c r="AO631" s="335"/>
      <c r="AP631" s="335"/>
      <c r="AQ631" s="335"/>
      <c r="AR631" s="335"/>
      <c r="AS631" s="335"/>
      <c r="AT631" s="335"/>
      <c r="AU631" s="335"/>
      <c r="AV631" s="335"/>
      <c r="AW631" s="335"/>
      <c r="AX631" s="335"/>
      <c r="AY631" s="335"/>
      <c r="AZ631" s="335"/>
      <c r="BA631" s="335"/>
      <c r="BB631" s="335"/>
      <c r="BC631" s="335"/>
      <c r="BD631" s="335"/>
      <c r="BE631" s="335"/>
      <c r="BF631" s="335"/>
      <c r="BG631" s="335"/>
      <c r="BH631" s="335"/>
      <c r="BI631" s="335"/>
      <c r="BJ631" s="335"/>
      <c r="BK631" s="335"/>
      <c r="BL631" s="335"/>
      <c r="BM631" s="335"/>
      <c r="BN631" s="335"/>
      <c r="BO631" s="335"/>
      <c r="BP631" s="335"/>
      <c r="BQ631" s="335"/>
      <c r="BR631" s="335"/>
      <c r="BS631" s="335"/>
      <c r="BT631" s="335"/>
      <c r="BU631" s="335"/>
      <c r="BV631" s="335"/>
      <c r="BW631" s="335">
        <f t="shared" ref="BW631:BY631" si="3167">BW599/BV599-1</f>
        <v>0.1201780415</v>
      </c>
      <c r="BX631" s="335">
        <f t="shared" si="3167"/>
        <v>0.07549668874</v>
      </c>
      <c r="BY631" s="335">
        <f t="shared" si="3167"/>
        <v>0.002463054187</v>
      </c>
      <c r="BZ631" s="342"/>
      <c r="CA631" s="335">
        <f t="shared" ref="CA631:CA632" si="3173">CA599/BY599-1</f>
        <v>0.4115479115</v>
      </c>
      <c r="CB631" s="335">
        <f t="shared" ref="CB631:CD631" si="3168">CB599/CA599-1</f>
        <v>0.2088772846</v>
      </c>
      <c r="CC631" s="335">
        <f t="shared" si="3168"/>
        <v>-0.0151187905</v>
      </c>
      <c r="CD631" s="335">
        <f t="shared" si="3168"/>
        <v>-0.1966374269</v>
      </c>
      <c r="CE631" s="342"/>
      <c r="CF631" s="335">
        <f t="shared" ref="CF631:CF632" si="3175">CF599/CD599-1</f>
        <v>-0.02183803458</v>
      </c>
      <c r="CG631" s="335">
        <f t="shared" ref="CG631:CI631" si="3169">CG599/CF599-1</f>
        <v>0.03069767442</v>
      </c>
      <c r="CH631" s="335">
        <f t="shared" si="3169"/>
        <v>0.06227436823</v>
      </c>
      <c r="CI631" s="335">
        <f t="shared" si="3169"/>
        <v>-0.1350892099</v>
      </c>
      <c r="CJ631" s="342"/>
      <c r="CK631" s="335">
        <f t="shared" ref="CK631:CK632" si="3177">CK599/CI599-1</f>
        <v>-0.03929273084</v>
      </c>
      <c r="CL631" s="335">
        <f t="shared" ref="CL631:CM631" si="3170">CL599/CK599-1</f>
        <v>-0.03680981595</v>
      </c>
      <c r="CM631" s="335">
        <f t="shared" si="3170"/>
        <v>0.1326963907</v>
      </c>
      <c r="CN631" s="343"/>
      <c r="CO631" s="342"/>
      <c r="CP631" s="343"/>
      <c r="CQ631" s="335"/>
      <c r="CR631" s="335"/>
      <c r="CS631" s="335"/>
      <c r="CT631" s="342"/>
      <c r="CU631" s="335"/>
      <c r="CV631" s="335"/>
      <c r="CW631" s="335"/>
      <c r="CX631" s="335"/>
      <c r="CY631" s="342"/>
      <c r="CZ631" s="335"/>
      <c r="DA631" s="335"/>
      <c r="DB631" s="335"/>
      <c r="DC631" s="335"/>
      <c r="DD631" s="342"/>
      <c r="DE631" s="335"/>
      <c r="DF631" s="335"/>
      <c r="DG631" s="343"/>
      <c r="DH631" s="335"/>
      <c r="DI631" s="342"/>
      <c r="DJ631" s="343"/>
      <c r="DK631" s="343"/>
      <c r="DL631" s="343"/>
      <c r="DM631" s="335"/>
      <c r="DN631" s="342"/>
      <c r="DO631" s="335"/>
      <c r="DP631" s="335"/>
      <c r="DQ631" s="335"/>
      <c r="DR631" s="335"/>
      <c r="DS631" s="342"/>
      <c r="DT631" s="335"/>
      <c r="DU631" s="335"/>
      <c r="DV631" s="335"/>
      <c r="DW631" s="335"/>
      <c r="DX631" s="342"/>
      <c r="DY631" s="335"/>
      <c r="DZ631" s="335"/>
      <c r="EA631" s="335"/>
      <c r="EB631" s="335"/>
      <c r="EC631" s="342"/>
      <c r="ED631" s="335"/>
      <c r="EE631" s="335"/>
      <c r="EF631" s="335"/>
      <c r="EG631" s="335"/>
      <c r="EH631" s="342"/>
      <c r="EI631" s="600"/>
      <c r="EJ631" s="335"/>
      <c r="EK631" s="335"/>
      <c r="EL631" s="335"/>
      <c r="EM631" s="342"/>
      <c r="EN631" s="335"/>
      <c r="EO631" s="335"/>
      <c r="EP631" s="335"/>
      <c r="EQ631" s="335"/>
      <c r="ER631" s="342"/>
      <c r="ES631" s="335"/>
      <c r="ET631" s="335"/>
      <c r="EU631" s="335"/>
      <c r="EV631" s="335"/>
      <c r="EW631" s="342"/>
      <c r="EX631" s="335"/>
      <c r="EY631" s="335"/>
      <c r="EZ631" s="335"/>
      <c r="FA631" s="335"/>
      <c r="FB631" s="342"/>
      <c r="FC631" s="335"/>
      <c r="FD631" s="335"/>
      <c r="FE631" s="335"/>
      <c r="FF631" s="335"/>
      <c r="FG631" s="342"/>
      <c r="FH631" s="343"/>
      <c r="FI631" s="335"/>
      <c r="FJ631" s="335"/>
      <c r="FK631" s="335"/>
      <c r="FL631" s="335"/>
    </row>
    <row r="632" ht="12.75" hidden="1" customHeight="1" outlineLevel="2">
      <c r="A632" s="4"/>
      <c r="B632" s="215" t="str">
        <f t="shared" si="3171"/>
        <v>IAG Subtotal</v>
      </c>
      <c r="C632" s="45"/>
      <c r="D632" s="335"/>
      <c r="E632" s="335"/>
      <c r="F632" s="335"/>
      <c r="G632" s="335"/>
      <c r="H632" s="335"/>
      <c r="I632" s="335"/>
      <c r="J632" s="335"/>
      <c r="K632" s="335"/>
      <c r="L632" s="335"/>
      <c r="M632" s="335"/>
      <c r="N632" s="335"/>
      <c r="O632" s="335"/>
      <c r="P632" s="335"/>
      <c r="Q632" s="335"/>
      <c r="R632" s="335"/>
      <c r="S632" s="335"/>
      <c r="T632" s="335"/>
      <c r="U632" s="335"/>
      <c r="V632" s="335"/>
      <c r="W632" s="335"/>
      <c r="X632" s="335"/>
      <c r="Y632" s="335"/>
      <c r="Z632" s="335"/>
      <c r="AA632" s="335"/>
      <c r="AB632" s="335"/>
      <c r="AC632" s="335"/>
      <c r="AD632" s="335"/>
      <c r="AE632" s="335"/>
      <c r="AF632" s="335"/>
      <c r="AG632" s="335"/>
      <c r="AH632" s="335"/>
      <c r="AI632" s="335"/>
      <c r="AJ632" s="335"/>
      <c r="AK632" s="335"/>
      <c r="AL632" s="335"/>
      <c r="AM632" s="335"/>
      <c r="AN632" s="335"/>
      <c r="AO632" s="335"/>
      <c r="AP632" s="335"/>
      <c r="AQ632" s="335"/>
      <c r="AR632" s="335"/>
      <c r="AS632" s="335"/>
      <c r="AT632" s="335"/>
      <c r="AU632" s="335"/>
      <c r="AV632" s="335"/>
      <c r="AW632" s="335"/>
      <c r="AX632" s="335"/>
      <c r="AY632" s="335"/>
      <c r="AZ632" s="335"/>
      <c r="BA632" s="335"/>
      <c r="BB632" s="335"/>
      <c r="BC632" s="335"/>
      <c r="BD632" s="335"/>
      <c r="BE632" s="335"/>
      <c r="BF632" s="335"/>
      <c r="BG632" s="335"/>
      <c r="BH632" s="335"/>
      <c r="BI632" s="335"/>
      <c r="BJ632" s="335"/>
      <c r="BK632" s="335"/>
      <c r="BL632" s="335"/>
      <c r="BM632" s="335"/>
      <c r="BN632" s="335"/>
      <c r="BO632" s="335"/>
      <c r="BP632" s="335"/>
      <c r="BQ632" s="335"/>
      <c r="BR632" s="335"/>
      <c r="BS632" s="335"/>
      <c r="BT632" s="335"/>
      <c r="BU632" s="335"/>
      <c r="BV632" s="335"/>
      <c r="BW632" s="335">
        <f t="shared" ref="BW632:BY632" si="3172">BW600/BV600-1</f>
        <v>0.04536290323</v>
      </c>
      <c r="BX632" s="335">
        <f t="shared" si="3172"/>
        <v>0.03529411765</v>
      </c>
      <c r="BY632" s="335">
        <f t="shared" si="3172"/>
        <v>0.02915424739</v>
      </c>
      <c r="BZ632" s="342"/>
      <c r="CA632" s="335">
        <f t="shared" si="3173"/>
        <v>0.1072495248</v>
      </c>
      <c r="CB632" s="335">
        <f t="shared" ref="CB632:CD632" si="3174">CB600/CA600-1</f>
        <v>-0.007193068498</v>
      </c>
      <c r="CC632" s="335">
        <f t="shared" si="3174"/>
        <v>0.09476370822</v>
      </c>
      <c r="CD632" s="335">
        <f t="shared" si="3174"/>
        <v>-0.03263894111</v>
      </c>
      <c r="CE632" s="342"/>
      <c r="CF632" s="335" t="str">
        <f t="shared" si="3175"/>
        <v>#NAME?</v>
      </c>
      <c r="CG632" s="335" t="str">
        <f t="shared" ref="CG632:CI632" si="3176">CG600/CF600-1</f>
        <v>#NAME?</v>
      </c>
      <c r="CH632" s="335" t="str">
        <f t="shared" si="3176"/>
        <v>#NAME?</v>
      </c>
      <c r="CI632" s="335" t="str">
        <f t="shared" si="3176"/>
        <v>#NAME?</v>
      </c>
      <c r="CJ632" s="342"/>
      <c r="CK632" s="335" t="str">
        <f t="shared" si="3177"/>
        <v>#NAME?</v>
      </c>
      <c r="CL632" s="335" t="str">
        <f t="shared" ref="CL632:CM632" si="3178">CL600/CK600-1</f>
        <v>#NAME?</v>
      </c>
      <c r="CM632" s="335" t="str">
        <f t="shared" si="3178"/>
        <v>#NAME?</v>
      </c>
      <c r="CN632" s="343"/>
      <c r="CO632" s="342"/>
      <c r="CP632" s="343"/>
      <c r="CQ632" s="335"/>
      <c r="CR632" s="335"/>
      <c r="CS632" s="335"/>
      <c r="CT632" s="342"/>
      <c r="CU632" s="335"/>
      <c r="CV632" s="335"/>
      <c r="CW632" s="335"/>
      <c r="CX632" s="335"/>
      <c r="CY632" s="342"/>
      <c r="CZ632" s="335"/>
      <c r="DA632" s="335"/>
      <c r="DB632" s="335"/>
      <c r="DC632" s="335"/>
      <c r="DD632" s="342"/>
      <c r="DE632" s="335"/>
      <c r="DF632" s="335"/>
      <c r="DG632" s="343"/>
      <c r="DH632" s="335"/>
      <c r="DI632" s="342"/>
      <c r="DJ632" s="343"/>
      <c r="DK632" s="343"/>
      <c r="DL632" s="343"/>
      <c r="DM632" s="335"/>
      <c r="DN632" s="342"/>
      <c r="DO632" s="335"/>
      <c r="DP632" s="335"/>
      <c r="DQ632" s="335"/>
      <c r="DR632" s="335"/>
      <c r="DS632" s="342"/>
      <c r="DT632" s="335"/>
      <c r="DU632" s="335"/>
      <c r="DV632" s="335"/>
      <c r="DW632" s="335"/>
      <c r="DX632" s="342"/>
      <c r="DY632" s="335"/>
      <c r="DZ632" s="335"/>
      <c r="EA632" s="335"/>
      <c r="EB632" s="335"/>
      <c r="EC632" s="342"/>
      <c r="ED632" s="335"/>
      <c r="EE632" s="335"/>
      <c r="EF632" s="335"/>
      <c r="EG632" s="335"/>
      <c r="EH632" s="342"/>
      <c r="EI632" s="600"/>
      <c r="EJ632" s="335"/>
      <c r="EK632" s="335"/>
      <c r="EL632" s="335"/>
      <c r="EM632" s="342"/>
      <c r="EN632" s="335"/>
      <c r="EO632" s="335"/>
      <c r="EP632" s="335"/>
      <c r="EQ632" s="335"/>
      <c r="ER632" s="342"/>
      <c r="ES632" s="335"/>
      <c r="ET632" s="335"/>
      <c r="EU632" s="335"/>
      <c r="EV632" s="335"/>
      <c r="EW632" s="342"/>
      <c r="EX632" s="335"/>
      <c r="EY632" s="335"/>
      <c r="EZ632" s="335"/>
      <c r="FA632" s="335"/>
      <c r="FB632" s="342"/>
      <c r="FC632" s="335"/>
      <c r="FD632" s="335"/>
      <c r="FE632" s="335"/>
      <c r="FF632" s="335"/>
      <c r="FG632" s="342"/>
      <c r="FH632" s="343"/>
      <c r="FI632" s="335"/>
      <c r="FJ632" s="335"/>
      <c r="FK632" s="335"/>
      <c r="FL632" s="335"/>
    </row>
    <row r="633" ht="12.75" hidden="1" customHeight="1" outlineLevel="2">
      <c r="A633" s="4"/>
      <c r="B633" s="215" t="str">
        <f>B603</f>
        <v>Software and Services Group</v>
      </c>
      <c r="C633" s="45"/>
      <c r="D633" s="335"/>
      <c r="E633" s="335"/>
      <c r="F633" s="335"/>
      <c r="G633" s="335"/>
      <c r="H633" s="335"/>
      <c r="I633" s="335"/>
      <c r="J633" s="335"/>
      <c r="K633" s="335"/>
      <c r="L633" s="335"/>
      <c r="M633" s="335"/>
      <c r="N633" s="335"/>
      <c r="O633" s="335"/>
      <c r="P633" s="335"/>
      <c r="Q633" s="335"/>
      <c r="R633" s="335"/>
      <c r="S633" s="335"/>
      <c r="T633" s="335"/>
      <c r="U633" s="335"/>
      <c r="V633" s="335"/>
      <c r="W633" s="335"/>
      <c r="X633" s="335"/>
      <c r="Y633" s="335"/>
      <c r="Z633" s="335"/>
      <c r="AA633" s="335"/>
      <c r="AB633" s="335"/>
      <c r="AC633" s="335"/>
      <c r="AD633" s="335"/>
      <c r="AE633" s="335"/>
      <c r="AF633" s="335"/>
      <c r="AG633" s="335"/>
      <c r="AH633" s="335"/>
      <c r="AI633" s="335"/>
      <c r="AJ633" s="335"/>
      <c r="AK633" s="335"/>
      <c r="AL633" s="335"/>
      <c r="AM633" s="335"/>
      <c r="AN633" s="335"/>
      <c r="AO633" s="335"/>
      <c r="AP633" s="335"/>
      <c r="AQ633" s="335"/>
      <c r="AR633" s="335"/>
      <c r="AS633" s="335"/>
      <c r="AT633" s="335"/>
      <c r="AU633" s="335"/>
      <c r="AV633" s="335"/>
      <c r="AW633" s="335"/>
      <c r="AX633" s="335"/>
      <c r="AY633" s="335"/>
      <c r="AZ633" s="335"/>
      <c r="BA633" s="335"/>
      <c r="BB633" s="335"/>
      <c r="BC633" s="335"/>
      <c r="BD633" s="335"/>
      <c r="BE633" s="335"/>
      <c r="BF633" s="335"/>
      <c r="BG633" s="335"/>
      <c r="BH633" s="335"/>
      <c r="BI633" s="335"/>
      <c r="BJ633" s="335"/>
      <c r="BK633" s="335"/>
      <c r="BL633" s="335"/>
      <c r="BM633" s="335"/>
      <c r="BN633" s="335"/>
      <c r="BO633" s="335"/>
      <c r="BP633" s="335"/>
      <c r="BQ633" s="335"/>
      <c r="BR633" s="335"/>
      <c r="BS633" s="335"/>
      <c r="BT633" s="335"/>
      <c r="BU633" s="335"/>
      <c r="BV633" s="335"/>
      <c r="BW633" s="335">
        <f t="shared" ref="BW633:BY633" si="3179">BW603/BV603-1</f>
        <v>0.1206896552</v>
      </c>
      <c r="BX633" s="335">
        <f t="shared" si="3179"/>
        <v>0.01538461538</v>
      </c>
      <c r="BY633" s="335">
        <f t="shared" si="3179"/>
        <v>0.1363636364</v>
      </c>
      <c r="BZ633" s="342"/>
      <c r="CA633" s="335">
        <f>CA603/BY603-1</f>
        <v>2.2</v>
      </c>
      <c r="CB633" s="335">
        <f t="shared" ref="CB633:CD633" si="3180">CB603/CA603-1</f>
        <v>1.129166667</v>
      </c>
      <c r="CC633" s="335">
        <f t="shared" si="3180"/>
        <v>0.05870841487</v>
      </c>
      <c r="CD633" s="335">
        <f t="shared" si="3180"/>
        <v>0.06839186691</v>
      </c>
      <c r="CE633" s="342"/>
      <c r="CF633" s="335">
        <f>CF603/CD603-1</f>
        <v>-0.01211072664</v>
      </c>
      <c r="CG633" s="335">
        <f t="shared" ref="CG633:CI633" si="3181">CG603/CF603-1</f>
        <v>0.02626970228</v>
      </c>
      <c r="CH633" s="335">
        <f t="shared" si="3181"/>
        <v>0.003412969283</v>
      </c>
      <c r="CI633" s="335">
        <f t="shared" si="3181"/>
        <v>0.08163265306</v>
      </c>
      <c r="CJ633" s="342"/>
      <c r="CK633" s="335">
        <f>CK603/CI603-1</f>
        <v>-0.07547169811</v>
      </c>
      <c r="CL633" s="335">
        <f t="shared" ref="CL633:CM633" si="3182">CL603/CK603-1</f>
        <v>0.03741496599</v>
      </c>
      <c r="CM633" s="335">
        <f t="shared" si="3182"/>
        <v>0.01803278689</v>
      </c>
      <c r="CN633" s="343"/>
      <c r="CO633" s="342"/>
      <c r="CP633" s="343"/>
      <c r="CQ633" s="335"/>
      <c r="CR633" s="335"/>
      <c r="CS633" s="335"/>
      <c r="CT633" s="342"/>
      <c r="CU633" s="335"/>
      <c r="CV633" s="335"/>
      <c r="CW633" s="335"/>
      <c r="CX633" s="335"/>
      <c r="CY633" s="342"/>
      <c r="CZ633" s="335"/>
      <c r="DA633" s="335"/>
      <c r="DB633" s="335"/>
      <c r="DC633" s="335"/>
      <c r="DD633" s="342"/>
      <c r="DE633" s="335"/>
      <c r="DF633" s="335"/>
      <c r="DG633" s="343"/>
      <c r="DH633" s="335"/>
      <c r="DI633" s="342"/>
      <c r="DJ633" s="343"/>
      <c r="DK633" s="343"/>
      <c r="DL633" s="343"/>
      <c r="DM633" s="335"/>
      <c r="DN633" s="342"/>
      <c r="DO633" s="335"/>
      <c r="DP633" s="335"/>
      <c r="DQ633" s="335"/>
      <c r="DR633" s="335"/>
      <c r="DS633" s="342"/>
      <c r="DT633" s="335"/>
      <c r="DU633" s="335"/>
      <c r="DV633" s="335"/>
      <c r="DW633" s="335"/>
      <c r="DX633" s="342"/>
      <c r="DY633" s="335"/>
      <c r="DZ633" s="335"/>
      <c r="EA633" s="335"/>
      <c r="EB633" s="335"/>
      <c r="EC633" s="342"/>
      <c r="ED633" s="335"/>
      <c r="EE633" s="335"/>
      <c r="EF633" s="335"/>
      <c r="EG633" s="335"/>
      <c r="EH633" s="342"/>
      <c r="EI633" s="600"/>
      <c r="EJ633" s="335"/>
      <c r="EK633" s="335"/>
      <c r="EL633" s="335"/>
      <c r="EM633" s="342"/>
      <c r="EN633" s="335"/>
      <c r="EO633" s="335"/>
      <c r="EP633" s="335"/>
      <c r="EQ633" s="335"/>
      <c r="ER633" s="342"/>
      <c r="ES633" s="335"/>
      <c r="ET633" s="335"/>
      <c r="EU633" s="335"/>
      <c r="EV633" s="335"/>
      <c r="EW633" s="342"/>
      <c r="EX633" s="335"/>
      <c r="EY633" s="335"/>
      <c r="EZ633" s="335"/>
      <c r="FA633" s="335"/>
      <c r="FB633" s="342"/>
      <c r="FC633" s="335"/>
      <c r="FD633" s="335"/>
      <c r="FE633" s="335"/>
      <c r="FF633" s="335"/>
      <c r="FG633" s="342"/>
      <c r="FH633" s="343"/>
      <c r="FI633" s="335"/>
      <c r="FJ633" s="335"/>
      <c r="FK633" s="335"/>
      <c r="FL633" s="335"/>
    </row>
    <row r="634" ht="12.75" hidden="1" customHeight="1" outlineLevel="2">
      <c r="A634" s="45"/>
      <c r="B634" s="215" t="str">
        <f>B605</f>
        <v>All Other</v>
      </c>
      <c r="C634" s="45"/>
      <c r="D634" s="335"/>
      <c r="E634" s="335"/>
      <c r="F634" s="335"/>
      <c r="G634" s="335"/>
      <c r="H634" s="335"/>
      <c r="I634" s="335"/>
      <c r="J634" s="335"/>
      <c r="K634" s="335"/>
      <c r="L634" s="335"/>
      <c r="M634" s="335"/>
      <c r="N634" s="335"/>
      <c r="O634" s="335"/>
      <c r="P634" s="335"/>
      <c r="Q634" s="335"/>
      <c r="R634" s="335"/>
      <c r="S634" s="335"/>
      <c r="T634" s="335"/>
      <c r="U634" s="335"/>
      <c r="V634" s="335"/>
      <c r="W634" s="335"/>
      <c r="X634" s="335"/>
      <c r="Y634" s="335"/>
      <c r="Z634" s="335"/>
      <c r="AA634" s="335"/>
      <c r="AB634" s="335"/>
      <c r="AC634" s="335"/>
      <c r="AD634" s="335"/>
      <c r="AE634" s="335"/>
      <c r="AF634" s="335"/>
      <c r="AG634" s="335"/>
      <c r="AH634" s="335"/>
      <c r="AI634" s="335"/>
      <c r="AJ634" s="335"/>
      <c r="AK634" s="335"/>
      <c r="AL634" s="335"/>
      <c r="AM634" s="335"/>
      <c r="AN634" s="335"/>
      <c r="AO634" s="335"/>
      <c r="AP634" s="335"/>
      <c r="AQ634" s="335"/>
      <c r="AR634" s="335"/>
      <c r="AS634" s="335"/>
      <c r="AT634" s="335"/>
      <c r="AU634" s="335"/>
      <c r="AV634" s="335"/>
      <c r="AW634" s="335"/>
      <c r="AX634" s="335"/>
      <c r="AY634" s="335"/>
      <c r="AZ634" s="335"/>
      <c r="BA634" s="335"/>
      <c r="BB634" s="335"/>
      <c r="BC634" s="335"/>
      <c r="BD634" s="335"/>
      <c r="BE634" s="335"/>
      <c r="BF634" s="335"/>
      <c r="BG634" s="335"/>
      <c r="BH634" s="335"/>
      <c r="BI634" s="335"/>
      <c r="BJ634" s="335"/>
      <c r="BK634" s="335"/>
      <c r="BL634" s="335"/>
      <c r="BM634" s="335"/>
      <c r="BN634" s="335"/>
      <c r="BO634" s="335"/>
      <c r="BP634" s="335"/>
      <c r="BQ634" s="335"/>
      <c r="BR634" s="335"/>
      <c r="BS634" s="335"/>
      <c r="BT634" s="335"/>
      <c r="BU634" s="335"/>
      <c r="BV634" s="335"/>
      <c r="BW634" s="335">
        <f t="shared" ref="BW634:BY634" si="3183">BW605/BV605-1</f>
        <v>0.02803738318</v>
      </c>
      <c r="BX634" s="335">
        <f t="shared" si="3183"/>
        <v>-0.09090909091</v>
      </c>
      <c r="BY634" s="335">
        <f t="shared" si="3183"/>
        <v>0.11</v>
      </c>
      <c r="BZ634" s="342"/>
      <c r="CA634" s="335">
        <f t="shared" ref="CA634:CA635" si="3188">CA605/BY605-1</f>
        <v>0.1201201201</v>
      </c>
      <c r="CB634" s="335">
        <f t="shared" ref="CB634:CD634" si="3184">CB605/CA605-1</f>
        <v>0.005361930295</v>
      </c>
      <c r="CC634" s="335">
        <f t="shared" si="3184"/>
        <v>0.05333333333</v>
      </c>
      <c r="CD634" s="335">
        <f t="shared" si="3184"/>
        <v>0.1291139241</v>
      </c>
      <c r="CE634" s="342"/>
      <c r="CF634" s="335">
        <f t="shared" ref="CF634:CF635" si="3190">CF605/CD605-1</f>
        <v>-0.201793722</v>
      </c>
      <c r="CG634" s="335">
        <f t="shared" ref="CG634:CI634" si="3185">CG605/CF605-1</f>
        <v>-0.1039325843</v>
      </c>
      <c r="CH634" s="335">
        <f t="shared" si="3185"/>
        <v>0.2695924765</v>
      </c>
      <c r="CI634" s="335">
        <f t="shared" si="3185"/>
        <v>0.2024691358</v>
      </c>
      <c r="CJ634" s="342"/>
      <c r="CK634" s="335">
        <f t="shared" ref="CK634:CK635" si="3192">CK605/CI605-1</f>
        <v>-0.1026694045</v>
      </c>
      <c r="CL634" s="335">
        <f t="shared" ref="CL634:CM634" si="3186">CL605/CK605-1</f>
        <v>-0.04805491991</v>
      </c>
      <c r="CM634" s="335">
        <f t="shared" si="3186"/>
        <v>0.1923076923</v>
      </c>
      <c r="CN634" s="343"/>
      <c r="CO634" s="342"/>
      <c r="CP634" s="343"/>
      <c r="CQ634" s="335"/>
      <c r="CR634" s="335"/>
      <c r="CS634" s="335"/>
      <c r="CT634" s="342"/>
      <c r="CU634" s="335"/>
      <c r="CV634" s="335"/>
      <c r="CW634" s="335"/>
      <c r="CX634" s="335"/>
      <c r="CY634" s="342"/>
      <c r="CZ634" s="335"/>
      <c r="DA634" s="335"/>
      <c r="DB634" s="335"/>
      <c r="DC634" s="335"/>
      <c r="DD634" s="342"/>
      <c r="DE634" s="335"/>
      <c r="DF634" s="335"/>
      <c r="DG634" s="343"/>
      <c r="DH634" s="335"/>
      <c r="DI634" s="342"/>
      <c r="DJ634" s="343"/>
      <c r="DK634" s="343"/>
      <c r="DL634" s="343"/>
      <c r="DM634" s="335"/>
      <c r="DN634" s="342"/>
      <c r="DO634" s="335"/>
      <c r="DP634" s="335"/>
      <c r="DQ634" s="335"/>
      <c r="DR634" s="335"/>
      <c r="DS634" s="342"/>
      <c r="DT634" s="335"/>
      <c r="DU634" s="335"/>
      <c r="DV634" s="335"/>
      <c r="DW634" s="335"/>
      <c r="DX634" s="342"/>
      <c r="DY634" s="335"/>
      <c r="DZ634" s="335"/>
      <c r="EA634" s="335"/>
      <c r="EB634" s="335"/>
      <c r="EC634" s="342"/>
      <c r="ED634" s="335"/>
      <c r="EE634" s="335"/>
      <c r="EF634" s="335"/>
      <c r="EG634" s="335"/>
      <c r="EH634" s="342"/>
      <c r="EI634" s="600"/>
      <c r="EJ634" s="335"/>
      <c r="EK634" s="335"/>
      <c r="EL634" s="335"/>
      <c r="EM634" s="342"/>
      <c r="EN634" s="335"/>
      <c r="EO634" s="335"/>
      <c r="EP634" s="335"/>
      <c r="EQ634" s="335"/>
      <c r="ER634" s="342"/>
      <c r="ES634" s="335"/>
      <c r="ET634" s="335"/>
      <c r="EU634" s="335"/>
      <c r="EV634" s="335"/>
      <c r="EW634" s="342"/>
      <c r="EX634" s="335"/>
      <c r="EY634" s="335"/>
      <c r="EZ634" s="335"/>
      <c r="FA634" s="335"/>
      <c r="FB634" s="342"/>
      <c r="FC634" s="335"/>
      <c r="FD634" s="335"/>
      <c r="FE634" s="335"/>
      <c r="FF634" s="335"/>
      <c r="FG634" s="342"/>
      <c r="FH634" s="343"/>
      <c r="FI634" s="335"/>
      <c r="FJ634" s="335"/>
      <c r="FK634" s="335"/>
      <c r="FL634" s="335"/>
    </row>
    <row r="635" ht="13.5" hidden="1" customHeight="1" outlineLevel="2">
      <c r="A635" s="4"/>
      <c r="B635" s="591" t="s">
        <v>291</v>
      </c>
      <c r="C635" s="529"/>
      <c r="D635" s="592"/>
      <c r="E635" s="592"/>
      <c r="F635" s="592"/>
      <c r="G635" s="592"/>
      <c r="H635" s="592"/>
      <c r="I635" s="592"/>
      <c r="J635" s="592"/>
      <c r="K635" s="592"/>
      <c r="L635" s="592"/>
      <c r="M635" s="592"/>
      <c r="N635" s="592"/>
      <c r="O635" s="592"/>
      <c r="P635" s="592"/>
      <c r="Q635" s="592"/>
      <c r="R635" s="592"/>
      <c r="S635" s="592"/>
      <c r="T635" s="592"/>
      <c r="U635" s="592"/>
      <c r="V635" s="592"/>
      <c r="W635" s="592"/>
      <c r="X635" s="592"/>
      <c r="Y635" s="592"/>
      <c r="Z635" s="592"/>
      <c r="AA635" s="592"/>
      <c r="AB635" s="592"/>
      <c r="AC635" s="592"/>
      <c r="AD635" s="592"/>
      <c r="AE635" s="592"/>
      <c r="AF635" s="592"/>
      <c r="AG635" s="592"/>
      <c r="AH635" s="592"/>
      <c r="AI635" s="592"/>
      <c r="AJ635" s="592"/>
      <c r="AK635" s="592"/>
      <c r="AL635" s="592"/>
      <c r="AM635" s="592"/>
      <c r="AN635" s="592"/>
      <c r="AO635" s="592"/>
      <c r="AP635" s="592"/>
      <c r="AQ635" s="592"/>
      <c r="AR635" s="592"/>
      <c r="AS635" s="592"/>
      <c r="AT635" s="592"/>
      <c r="AU635" s="592"/>
      <c r="AV635" s="592"/>
      <c r="AW635" s="592"/>
      <c r="AX635" s="592"/>
      <c r="AY635" s="592"/>
      <c r="AZ635" s="592"/>
      <c r="BA635" s="592"/>
      <c r="BB635" s="592"/>
      <c r="BC635" s="592"/>
      <c r="BD635" s="592"/>
      <c r="BE635" s="592"/>
      <c r="BF635" s="592"/>
      <c r="BG635" s="592"/>
      <c r="BH635" s="592"/>
      <c r="BI635" s="592"/>
      <c r="BJ635" s="592"/>
      <c r="BK635" s="592"/>
      <c r="BL635" s="592"/>
      <c r="BM635" s="592"/>
      <c r="BN635" s="592"/>
      <c r="BO635" s="592"/>
      <c r="BP635" s="592"/>
      <c r="BQ635" s="592"/>
      <c r="BR635" s="592"/>
      <c r="BS635" s="592"/>
      <c r="BT635" s="592"/>
      <c r="BU635" s="592"/>
      <c r="BV635" s="592"/>
      <c r="BW635" s="592">
        <f t="shared" ref="BW635:BY635" si="3187">BW606/BV606-1</f>
        <v>0.04524711137</v>
      </c>
      <c r="BX635" s="592">
        <f t="shared" si="3187"/>
        <v>0.0313051556</v>
      </c>
      <c r="BY635" s="592">
        <f t="shared" si="3187"/>
        <v>0.0319762205</v>
      </c>
      <c r="BZ635" s="593"/>
      <c r="CA635" s="592">
        <f t="shared" si="3188"/>
        <v>0.1213232085</v>
      </c>
      <c r="CB635" s="592">
        <f t="shared" ref="CB635:CD635" si="3189">CB606/CA606-1</f>
        <v>0.01440024909</v>
      </c>
      <c r="CC635" s="592">
        <f t="shared" si="3189"/>
        <v>0.0921577655</v>
      </c>
      <c r="CD635" s="592">
        <f t="shared" si="3189"/>
        <v>-0.0243097028</v>
      </c>
      <c r="CE635" s="593"/>
      <c r="CF635" s="592" t="str">
        <f t="shared" si="3190"/>
        <v>#NAME?</v>
      </c>
      <c r="CG635" s="592" t="str">
        <f t="shared" ref="CG635:CI635" si="3191">CG606/CF606-1</f>
        <v>#NAME?</v>
      </c>
      <c r="CH635" s="592" t="str">
        <f t="shared" si="3191"/>
        <v>#NAME?</v>
      </c>
      <c r="CI635" s="592" t="str">
        <f t="shared" si="3191"/>
        <v>#NAME?</v>
      </c>
      <c r="CJ635" s="593"/>
      <c r="CK635" s="592" t="str">
        <f t="shared" si="3192"/>
        <v>#NAME?</v>
      </c>
      <c r="CL635" s="592" t="str">
        <f t="shared" ref="CL635:CM635" si="3193">CL606/CK606-1</f>
        <v>#NAME?</v>
      </c>
      <c r="CM635" s="592" t="str">
        <f t="shared" si="3193"/>
        <v>#NAME?</v>
      </c>
      <c r="CN635" s="594"/>
      <c r="CO635" s="593"/>
      <c r="CP635" s="594"/>
      <c r="CQ635" s="592"/>
      <c r="CR635" s="592"/>
      <c r="CS635" s="592"/>
      <c r="CT635" s="593"/>
      <c r="CU635" s="592"/>
      <c r="CV635" s="592"/>
      <c r="CW635" s="592"/>
      <c r="CX635" s="592"/>
      <c r="CY635" s="593"/>
      <c r="CZ635" s="592"/>
      <c r="DA635" s="592"/>
      <c r="DB635" s="592"/>
      <c r="DC635" s="592"/>
      <c r="DD635" s="593"/>
      <c r="DE635" s="592"/>
      <c r="DF635" s="592"/>
      <c r="DG635" s="343"/>
      <c r="DH635" s="592"/>
      <c r="DI635" s="593"/>
      <c r="DJ635" s="594"/>
      <c r="DK635" s="594"/>
      <c r="DL635" s="594"/>
      <c r="DM635" s="592"/>
      <c r="DN635" s="593"/>
      <c r="DO635" s="592"/>
      <c r="DP635" s="592"/>
      <c r="DQ635" s="592"/>
      <c r="DR635" s="592"/>
      <c r="DS635" s="593"/>
      <c r="DT635" s="592"/>
      <c r="DU635" s="592"/>
      <c r="DV635" s="592"/>
      <c r="DW635" s="592"/>
      <c r="DX635" s="593"/>
      <c r="DY635" s="592"/>
      <c r="DZ635" s="592"/>
      <c r="EA635" s="592"/>
      <c r="EB635" s="592"/>
      <c r="EC635" s="593"/>
      <c r="ED635" s="592"/>
      <c r="EE635" s="592"/>
      <c r="EF635" s="592"/>
      <c r="EG635" s="592"/>
      <c r="EH635" s="593"/>
      <c r="EI635" s="620"/>
      <c r="EJ635" s="592"/>
      <c r="EK635" s="592"/>
      <c r="EL635" s="592"/>
      <c r="EM635" s="593"/>
      <c r="EN635" s="592"/>
      <c r="EO635" s="592"/>
      <c r="EP635" s="592"/>
      <c r="EQ635" s="592"/>
      <c r="ER635" s="593"/>
      <c r="ES635" s="592"/>
      <c r="ET635" s="592"/>
      <c r="EU635" s="592"/>
      <c r="EV635" s="592"/>
      <c r="EW635" s="593"/>
      <c r="EX635" s="592"/>
      <c r="EY635" s="592"/>
      <c r="EZ635" s="592"/>
      <c r="FA635" s="592"/>
      <c r="FB635" s="593"/>
      <c r="FC635" s="592"/>
      <c r="FD635" s="592"/>
      <c r="FE635" s="592"/>
      <c r="FF635" s="592"/>
      <c r="FG635" s="593"/>
      <c r="FH635" s="594"/>
      <c r="FI635" s="592"/>
      <c r="FJ635" s="592"/>
      <c r="FK635" s="592"/>
      <c r="FL635" s="592"/>
    </row>
    <row r="636" ht="13.5" hidden="1" customHeight="1" outlineLevel="2">
      <c r="A636" s="4"/>
      <c r="B636" s="45"/>
      <c r="C636" s="45"/>
      <c r="D636" s="4"/>
      <c r="E636" s="4"/>
      <c r="F636" s="4"/>
      <c r="G636" s="4"/>
      <c r="H636" s="45"/>
      <c r="I636" s="4"/>
      <c r="J636" s="4"/>
      <c r="K636" s="4"/>
      <c r="L636" s="4"/>
      <c r="M636" s="45"/>
      <c r="N636" s="4"/>
      <c r="O636" s="4"/>
      <c r="P636" s="4"/>
      <c r="Q636" s="4"/>
      <c r="R636" s="45"/>
      <c r="S636" s="4"/>
      <c r="T636" s="4"/>
      <c r="U636" s="4"/>
      <c r="V636" s="4"/>
      <c r="W636" s="45"/>
      <c r="X636" s="4"/>
      <c r="Y636" s="4"/>
      <c r="Z636" s="4"/>
      <c r="AA636" s="4"/>
      <c r="AB636" s="45"/>
      <c r="AC636" s="4"/>
      <c r="AD636" s="4"/>
      <c r="AE636" s="4"/>
      <c r="AF636" s="4"/>
      <c r="AG636" s="45"/>
      <c r="AH636" s="4"/>
      <c r="AI636" s="4"/>
      <c r="AJ636" s="4"/>
      <c r="AK636" s="4"/>
      <c r="AL636" s="45"/>
      <c r="AM636" s="4"/>
      <c r="AN636" s="4"/>
      <c r="AO636" s="4"/>
      <c r="AP636" s="4"/>
      <c r="AQ636" s="45"/>
      <c r="AR636" s="4"/>
      <c r="AS636" s="4"/>
      <c r="AT636" s="4"/>
      <c r="AU636" s="4"/>
      <c r="AV636" s="45"/>
      <c r="AW636" s="4"/>
      <c r="AX636" s="4"/>
      <c r="AY636" s="4"/>
      <c r="AZ636" s="4"/>
      <c r="BA636" s="45"/>
      <c r="BB636" s="4"/>
      <c r="BC636" s="4"/>
      <c r="BD636" s="4"/>
      <c r="BE636" s="4"/>
      <c r="BF636" s="45"/>
      <c r="BG636" s="4"/>
      <c r="BH636" s="4"/>
      <c r="BI636" s="4"/>
      <c r="BJ636" s="4"/>
      <c r="BK636" s="45"/>
      <c r="BL636" s="4"/>
      <c r="BM636" s="4"/>
      <c r="BN636" s="4"/>
      <c r="BO636" s="4"/>
      <c r="BP636" s="45"/>
      <c r="BQ636" s="4"/>
      <c r="BR636" s="4"/>
      <c r="BS636" s="4"/>
      <c r="BT636" s="4"/>
      <c r="BU636" s="45"/>
      <c r="BV636" s="4"/>
      <c r="BW636" s="4"/>
      <c r="BX636" s="4"/>
      <c r="BY636" s="4"/>
      <c r="BZ636" s="350"/>
      <c r="CA636" s="4"/>
      <c r="CB636" s="4"/>
      <c r="CC636" s="4"/>
      <c r="CD636" s="4"/>
      <c r="CE636" s="350"/>
      <c r="CF636" s="4"/>
      <c r="CG636" s="4"/>
      <c r="CH636" s="4"/>
      <c r="CI636" s="4"/>
      <c r="CJ636" s="350"/>
      <c r="CK636" s="4"/>
      <c r="CL636" s="4"/>
      <c r="CM636" s="4"/>
      <c r="CN636" s="16"/>
      <c r="CO636" s="350"/>
      <c r="CP636" s="16"/>
      <c r="CQ636" s="4"/>
      <c r="CR636" s="4"/>
      <c r="CS636" s="4"/>
      <c r="CT636" s="350"/>
      <c r="CU636" s="4"/>
      <c r="CV636" s="4"/>
      <c r="CW636" s="4"/>
      <c r="CX636" s="4"/>
      <c r="CY636" s="350"/>
      <c r="CZ636" s="4"/>
      <c r="DA636" s="4"/>
      <c r="DB636" s="4"/>
      <c r="DC636" s="4"/>
      <c r="DD636" s="350"/>
      <c r="DE636" s="4"/>
      <c r="DF636" s="4"/>
      <c r="DG636" s="16"/>
      <c r="DH636" s="4"/>
      <c r="DI636" s="350"/>
      <c r="DJ636" s="16"/>
      <c r="DK636" s="16"/>
      <c r="DL636" s="16"/>
      <c r="DM636" s="4"/>
      <c r="DN636" s="350"/>
      <c r="DO636" s="4"/>
      <c r="DP636" s="4"/>
      <c r="DQ636" s="4"/>
      <c r="DR636" s="4"/>
      <c r="DS636" s="350"/>
      <c r="DT636" s="4"/>
      <c r="DU636" s="4"/>
      <c r="DV636" s="4"/>
      <c r="DW636" s="4"/>
      <c r="DX636" s="350"/>
      <c r="DY636" s="4"/>
      <c r="DZ636" s="4"/>
      <c r="EA636" s="4"/>
      <c r="EB636" s="4"/>
      <c r="EC636" s="350"/>
      <c r="ED636" s="4"/>
      <c r="EE636" s="4"/>
      <c r="EF636" s="4"/>
      <c r="EG636" s="4"/>
      <c r="EH636" s="350"/>
      <c r="EI636" s="214"/>
      <c r="EJ636" s="4"/>
      <c r="EK636" s="4"/>
      <c r="EL636" s="4"/>
      <c r="EM636" s="350"/>
      <c r="EN636" s="4"/>
      <c r="EO636" s="4"/>
      <c r="EP636" s="4"/>
      <c r="EQ636" s="4"/>
      <c r="ER636" s="350"/>
      <c r="ES636" s="4"/>
      <c r="ET636" s="4"/>
      <c r="EU636" s="4"/>
      <c r="EV636" s="4"/>
      <c r="EW636" s="350"/>
      <c r="EX636" s="4"/>
      <c r="EY636" s="4"/>
      <c r="EZ636" s="4"/>
      <c r="FA636" s="4"/>
      <c r="FB636" s="350"/>
      <c r="FC636" s="4"/>
      <c r="FD636" s="4"/>
      <c r="FE636" s="4"/>
      <c r="FF636" s="4"/>
      <c r="FG636" s="350"/>
      <c r="FH636" s="145"/>
      <c r="FI636" s="4"/>
      <c r="FJ636" s="4"/>
      <c r="FK636" s="45"/>
      <c r="FL636" s="4"/>
    </row>
    <row r="637" ht="12.75" hidden="1" customHeight="1" outlineLevel="2">
      <c r="A637" s="4"/>
      <c r="B637" s="578" t="s">
        <v>292</v>
      </c>
      <c r="C637" s="299"/>
      <c r="D637" s="585"/>
      <c r="E637" s="586"/>
      <c r="F637" s="586"/>
      <c r="G637" s="586"/>
      <c r="H637" s="585"/>
      <c r="I637" s="585"/>
      <c r="J637" s="586"/>
      <c r="K637" s="586"/>
      <c r="L637" s="586"/>
      <c r="M637" s="585"/>
      <c r="N637" s="585"/>
      <c r="O637" s="586"/>
      <c r="P637" s="586"/>
      <c r="Q637" s="586"/>
      <c r="R637" s="585"/>
      <c r="S637" s="585"/>
      <c r="T637" s="586"/>
      <c r="U637" s="586"/>
      <c r="V637" s="586"/>
      <c r="W637" s="585"/>
      <c r="X637" s="585"/>
      <c r="Y637" s="586"/>
      <c r="Z637" s="586"/>
      <c r="AA637" s="586"/>
      <c r="AB637" s="585"/>
      <c r="AC637" s="585"/>
      <c r="AD637" s="586"/>
      <c r="AE637" s="586"/>
      <c r="AF637" s="586"/>
      <c r="AG637" s="585"/>
      <c r="AH637" s="585"/>
      <c r="AI637" s="586"/>
      <c r="AJ637" s="586"/>
      <c r="AK637" s="586"/>
      <c r="AL637" s="585"/>
      <c r="AM637" s="585"/>
      <c r="AN637" s="586"/>
      <c r="AO637" s="586"/>
      <c r="AP637" s="586"/>
      <c r="AQ637" s="585"/>
      <c r="AR637" s="585"/>
      <c r="AS637" s="586"/>
      <c r="AT637" s="586"/>
      <c r="AU637" s="586"/>
      <c r="AV637" s="585"/>
      <c r="AW637" s="585"/>
      <c r="AX637" s="586"/>
      <c r="AY637" s="586"/>
      <c r="AZ637" s="586"/>
      <c r="BA637" s="585"/>
      <c r="BB637" s="585"/>
      <c r="BC637" s="586"/>
      <c r="BD637" s="586"/>
      <c r="BE637" s="586"/>
      <c r="BF637" s="585"/>
      <c r="BG637" s="585"/>
      <c r="BH637" s="586"/>
      <c r="BI637" s="586"/>
      <c r="BJ637" s="586"/>
      <c r="BK637" s="585"/>
      <c r="BL637" s="585"/>
      <c r="BM637" s="586"/>
      <c r="BN637" s="586"/>
      <c r="BO637" s="586"/>
      <c r="BP637" s="585"/>
      <c r="BQ637" s="585"/>
      <c r="BR637" s="586"/>
      <c r="BS637" s="586"/>
      <c r="BT637" s="586"/>
      <c r="BU637" s="585"/>
      <c r="BV637" s="585"/>
      <c r="BW637" s="586"/>
      <c r="BX637" s="586"/>
      <c r="BY637" s="586"/>
      <c r="BZ637" s="587"/>
      <c r="CA637" s="585"/>
      <c r="CB637" s="586"/>
      <c r="CC637" s="586"/>
      <c r="CD637" s="586"/>
      <c r="CE637" s="587"/>
      <c r="CF637" s="585"/>
      <c r="CG637" s="586"/>
      <c r="CH637" s="586"/>
      <c r="CI637" s="586"/>
      <c r="CJ637" s="587"/>
      <c r="CK637" s="585"/>
      <c r="CL637" s="586"/>
      <c r="CM637" s="586"/>
      <c r="CN637" s="588"/>
      <c r="CO637" s="587"/>
      <c r="CP637" s="588"/>
      <c r="CQ637" s="586"/>
      <c r="CR637" s="586"/>
      <c r="CS637" s="586"/>
      <c r="CT637" s="587"/>
      <c r="CU637" s="585"/>
      <c r="CV637" s="586"/>
      <c r="CW637" s="586"/>
      <c r="CX637" s="586"/>
      <c r="CY637" s="587"/>
      <c r="CZ637" s="585"/>
      <c r="DA637" s="586"/>
      <c r="DB637" s="586"/>
      <c r="DC637" s="586"/>
      <c r="DD637" s="587"/>
      <c r="DE637" s="585"/>
      <c r="DF637" s="586"/>
      <c r="DG637" s="474"/>
      <c r="DH637" s="586"/>
      <c r="DI637" s="587"/>
      <c r="DJ637" s="589"/>
      <c r="DK637" s="588"/>
      <c r="DL637" s="588"/>
      <c r="DM637" s="586"/>
      <c r="DN637" s="587"/>
      <c r="DO637" s="585"/>
      <c r="DP637" s="586"/>
      <c r="DQ637" s="586"/>
      <c r="DR637" s="586"/>
      <c r="DS637" s="587"/>
      <c r="DT637" s="585"/>
      <c r="DU637" s="585"/>
      <c r="DV637" s="585"/>
      <c r="DW637" s="585"/>
      <c r="DX637" s="587"/>
      <c r="DY637" s="585"/>
      <c r="DZ637" s="585"/>
      <c r="EA637" s="585"/>
      <c r="EB637" s="585"/>
      <c r="EC637" s="587"/>
      <c r="ED637" s="585"/>
      <c r="EE637" s="585"/>
      <c r="EF637" s="585"/>
      <c r="EG637" s="585"/>
      <c r="EH637" s="587"/>
      <c r="EI637" s="590"/>
      <c r="EJ637" s="586"/>
      <c r="EK637" s="586"/>
      <c r="EL637" s="586"/>
      <c r="EM637" s="587"/>
      <c r="EN637" s="585"/>
      <c r="EO637" s="586"/>
      <c r="EP637" s="586"/>
      <c r="EQ637" s="586"/>
      <c r="ER637" s="587"/>
      <c r="ES637" s="585"/>
      <c r="ET637" s="586"/>
      <c r="EU637" s="586"/>
      <c r="EV637" s="586"/>
      <c r="EW637" s="587"/>
      <c r="EX637" s="585"/>
      <c r="EY637" s="586"/>
      <c r="EZ637" s="586"/>
      <c r="FA637" s="586"/>
      <c r="FB637" s="587"/>
      <c r="FC637" s="585"/>
      <c r="FD637" s="586"/>
      <c r="FE637" s="586"/>
      <c r="FF637" s="586"/>
      <c r="FG637" s="587"/>
      <c r="FH637" s="589"/>
      <c r="FI637" s="586"/>
      <c r="FJ637" s="586"/>
      <c r="FK637" s="585"/>
      <c r="FL637" s="585"/>
    </row>
    <row r="638" ht="12.75" hidden="1" customHeight="1" outlineLevel="2">
      <c r="A638" s="4"/>
      <c r="B638" s="72" t="str">
        <f t="shared" ref="B638:B643" si="3195">B591</f>
        <v>Processors</v>
      </c>
      <c r="C638" s="4"/>
      <c r="D638" s="319"/>
      <c r="E638" s="319"/>
      <c r="F638" s="319"/>
      <c r="G638" s="319"/>
      <c r="H638" s="335"/>
      <c r="I638" s="319"/>
      <c r="J638" s="319"/>
      <c r="K638" s="319"/>
      <c r="L638" s="319"/>
      <c r="M638" s="335"/>
      <c r="N638" s="319"/>
      <c r="O638" s="319"/>
      <c r="P638" s="319"/>
      <c r="Q638" s="319"/>
      <c r="R638" s="335"/>
      <c r="S638" s="319"/>
      <c r="T638" s="319"/>
      <c r="U638" s="319"/>
      <c r="V638" s="319"/>
      <c r="W638" s="335"/>
      <c r="X638" s="319"/>
      <c r="Y638" s="319"/>
      <c r="Z638" s="319"/>
      <c r="AA638" s="319"/>
      <c r="AB638" s="335"/>
      <c r="AC638" s="319"/>
      <c r="AD638" s="319"/>
      <c r="AE638" s="319"/>
      <c r="AF638" s="319"/>
      <c r="AG638" s="335"/>
      <c r="AH638" s="319"/>
      <c r="AI638" s="319"/>
      <c r="AJ638" s="319"/>
      <c r="AK638" s="319"/>
      <c r="AL638" s="335"/>
      <c r="AM638" s="319"/>
      <c r="AN638" s="319"/>
      <c r="AO638" s="319"/>
      <c r="AP638" s="319"/>
      <c r="AQ638" s="335"/>
      <c r="AR638" s="319"/>
      <c r="AS638" s="319"/>
      <c r="AT638" s="319"/>
      <c r="AU638" s="319"/>
      <c r="AV638" s="335"/>
      <c r="AW638" s="319"/>
      <c r="AX638" s="319"/>
      <c r="AY638" s="319"/>
      <c r="AZ638" s="319"/>
      <c r="BA638" s="335"/>
      <c r="BB638" s="319"/>
      <c r="BC638" s="319"/>
      <c r="BD638" s="319"/>
      <c r="BE638" s="319"/>
      <c r="BF638" s="335"/>
      <c r="BG638" s="319"/>
      <c r="BH638" s="319"/>
      <c r="BI638" s="319"/>
      <c r="BJ638" s="319"/>
      <c r="BK638" s="335"/>
      <c r="BL638" s="319"/>
      <c r="BM638" s="319"/>
      <c r="BN638" s="319"/>
      <c r="BO638" s="319"/>
      <c r="BP638" s="335"/>
      <c r="BQ638" s="319"/>
      <c r="BR638" s="319"/>
      <c r="BS638" s="319"/>
      <c r="BT638" s="319"/>
      <c r="BU638" s="335"/>
      <c r="BV638" s="319"/>
      <c r="BW638" s="319"/>
      <c r="BX638" s="319"/>
      <c r="BY638" s="319"/>
      <c r="BZ638" s="342"/>
      <c r="CA638" s="319">
        <f t="shared" ref="CA638:CM638" si="3194">CA591/BV591-1</f>
        <v>0.1986999297</v>
      </c>
      <c r="CB638" s="319">
        <f t="shared" si="3194"/>
        <v>0.1069129109</v>
      </c>
      <c r="CC638" s="319">
        <f t="shared" si="3194"/>
        <v>0.2386363636</v>
      </c>
      <c r="CD638" s="319">
        <f t="shared" si="3194"/>
        <v>0.1907840092</v>
      </c>
      <c r="CE638" s="342">
        <f t="shared" si="3194"/>
        <v>0.1840818686</v>
      </c>
      <c r="CF638" s="319">
        <f t="shared" si="3194"/>
        <v>-0.002923200938</v>
      </c>
      <c r="CG638" s="319">
        <f t="shared" si="3194"/>
        <v>0.0700474514</v>
      </c>
      <c r="CH638" s="319">
        <f t="shared" si="3194"/>
        <v>-0.07597859327</v>
      </c>
      <c r="CI638" s="319">
        <f t="shared" si="3194"/>
        <v>-0.05979882834</v>
      </c>
      <c r="CJ638" s="342">
        <f t="shared" si="3194"/>
        <v>-0.02021549487</v>
      </c>
      <c r="CK638" s="319">
        <f t="shared" si="3194"/>
        <v>-0.05431309904</v>
      </c>
      <c r="CL638" s="319">
        <f t="shared" si="3194"/>
        <v>-0.06725011515</v>
      </c>
      <c r="CM638" s="319" t="str">
        <f t="shared" si="3194"/>
        <v>#REF!</v>
      </c>
      <c r="CN638" s="321"/>
      <c r="CO638" s="342"/>
      <c r="CP638" s="321"/>
      <c r="CQ638" s="319"/>
      <c r="CR638" s="319"/>
      <c r="CS638" s="319"/>
      <c r="CT638" s="342"/>
      <c r="CU638" s="319"/>
      <c r="CV638" s="319"/>
      <c r="CW638" s="319"/>
      <c r="CX638" s="319"/>
      <c r="CY638" s="342"/>
      <c r="CZ638" s="319"/>
      <c r="DA638" s="319"/>
      <c r="DB638" s="319"/>
      <c r="DC638" s="319"/>
      <c r="DD638" s="342"/>
      <c r="DE638" s="319"/>
      <c r="DF638" s="319"/>
      <c r="DG638" s="321"/>
      <c r="DH638" s="319"/>
      <c r="DI638" s="342"/>
      <c r="DJ638" s="321"/>
      <c r="DK638" s="321"/>
      <c r="DL638" s="321"/>
      <c r="DM638" s="319"/>
      <c r="DN638" s="342"/>
      <c r="DO638" s="319"/>
      <c r="DP638" s="319"/>
      <c r="DQ638" s="319"/>
      <c r="DR638" s="319"/>
      <c r="DS638" s="342"/>
      <c r="DT638" s="319"/>
      <c r="DU638" s="319"/>
      <c r="DV638" s="319"/>
      <c r="DW638" s="319"/>
      <c r="DX638" s="342"/>
      <c r="DY638" s="319"/>
      <c r="DZ638" s="319"/>
      <c r="EA638" s="319"/>
      <c r="EB638" s="319"/>
      <c r="EC638" s="342"/>
      <c r="ED638" s="319"/>
      <c r="EE638" s="319"/>
      <c r="EF638" s="319"/>
      <c r="EG638" s="319"/>
      <c r="EH638" s="342"/>
      <c r="EI638" s="322"/>
      <c r="EJ638" s="319"/>
      <c r="EK638" s="319"/>
      <c r="EL638" s="319"/>
      <c r="EM638" s="342"/>
      <c r="EN638" s="319"/>
      <c r="EO638" s="319"/>
      <c r="EP638" s="319"/>
      <c r="EQ638" s="319"/>
      <c r="ER638" s="342"/>
      <c r="ES638" s="319"/>
      <c r="ET638" s="319"/>
      <c r="EU638" s="319"/>
      <c r="EV638" s="319"/>
      <c r="EW638" s="342"/>
      <c r="EX638" s="319"/>
      <c r="EY638" s="319"/>
      <c r="EZ638" s="319"/>
      <c r="FA638" s="319"/>
      <c r="FB638" s="342"/>
      <c r="FC638" s="319"/>
      <c r="FD638" s="319"/>
      <c r="FE638" s="319"/>
      <c r="FF638" s="319"/>
      <c r="FG638" s="342"/>
      <c r="FH638" s="343"/>
      <c r="FI638" s="319"/>
      <c r="FJ638" s="319"/>
      <c r="FK638" s="335"/>
      <c r="FL638" s="319"/>
    </row>
    <row r="639" ht="12.75" hidden="1" customHeight="1" outlineLevel="2">
      <c r="A639" s="4"/>
      <c r="B639" s="72" t="str">
        <f t="shared" si="3195"/>
        <v>Chipsets, MBs and other</v>
      </c>
      <c r="C639" s="4"/>
      <c r="D639" s="319"/>
      <c r="E639" s="319"/>
      <c r="F639" s="319"/>
      <c r="G639" s="319"/>
      <c r="H639" s="335"/>
      <c r="I639" s="319"/>
      <c r="J639" s="319"/>
      <c r="K639" s="319"/>
      <c r="L639" s="319"/>
      <c r="M639" s="335"/>
      <c r="N639" s="319"/>
      <c r="O639" s="319"/>
      <c r="P639" s="319"/>
      <c r="Q639" s="319"/>
      <c r="R639" s="335"/>
      <c r="S639" s="319"/>
      <c r="T639" s="319"/>
      <c r="U639" s="319"/>
      <c r="V639" s="319"/>
      <c r="W639" s="335"/>
      <c r="X639" s="319"/>
      <c r="Y639" s="319"/>
      <c r="Z639" s="319"/>
      <c r="AA639" s="319"/>
      <c r="AB639" s="335"/>
      <c r="AC639" s="319"/>
      <c r="AD639" s="319"/>
      <c r="AE639" s="319"/>
      <c r="AF639" s="319"/>
      <c r="AG639" s="335"/>
      <c r="AH639" s="319"/>
      <c r="AI639" s="319"/>
      <c r="AJ639" s="319"/>
      <c r="AK639" s="319"/>
      <c r="AL639" s="335"/>
      <c r="AM639" s="319"/>
      <c r="AN639" s="319"/>
      <c r="AO639" s="319"/>
      <c r="AP639" s="319"/>
      <c r="AQ639" s="335"/>
      <c r="AR639" s="319"/>
      <c r="AS639" s="319"/>
      <c r="AT639" s="319"/>
      <c r="AU639" s="319"/>
      <c r="AV639" s="335"/>
      <c r="AW639" s="319"/>
      <c r="AX639" s="319"/>
      <c r="AY639" s="319"/>
      <c r="AZ639" s="319"/>
      <c r="BA639" s="335"/>
      <c r="BB639" s="319"/>
      <c r="BC639" s="319"/>
      <c r="BD639" s="319"/>
      <c r="BE639" s="319"/>
      <c r="BF639" s="335"/>
      <c r="BG639" s="319"/>
      <c r="BH639" s="319"/>
      <c r="BI639" s="319"/>
      <c r="BJ639" s="319"/>
      <c r="BK639" s="335"/>
      <c r="BL639" s="319"/>
      <c r="BM639" s="319"/>
      <c r="BN639" s="319"/>
      <c r="BO639" s="319"/>
      <c r="BP639" s="335"/>
      <c r="BQ639" s="319"/>
      <c r="BR639" s="319"/>
      <c r="BS639" s="319"/>
      <c r="BT639" s="319"/>
      <c r="BU639" s="335"/>
      <c r="BV639" s="319"/>
      <c r="BW639" s="319"/>
      <c r="BX639" s="319"/>
      <c r="BY639" s="319"/>
      <c r="BZ639" s="342"/>
      <c r="CA639" s="319">
        <f t="shared" ref="CA639:CM639" si="3196">CA592/BV592-1</f>
        <v>0.06833036245</v>
      </c>
      <c r="CB639" s="319">
        <f t="shared" si="3196"/>
        <v>0.1181988743</v>
      </c>
      <c r="CC639" s="319">
        <f t="shared" si="3196"/>
        <v>0.1380552221</v>
      </c>
      <c r="CD639" s="319">
        <f t="shared" si="3196"/>
        <v>0.1046743895</v>
      </c>
      <c r="CE639" s="342">
        <f t="shared" si="3196"/>
        <v>0.1071298701</v>
      </c>
      <c r="CF639" s="319">
        <f t="shared" si="3196"/>
        <v>-0.08345661846</v>
      </c>
      <c r="CG639" s="319">
        <f t="shared" si="3196"/>
        <v>-0.05291946309</v>
      </c>
      <c r="CH639" s="319">
        <f t="shared" si="3196"/>
        <v>-0.1121123418</v>
      </c>
      <c r="CI639" s="319">
        <f t="shared" si="3196"/>
        <v>-0.05979882834</v>
      </c>
      <c r="CJ639" s="342">
        <f t="shared" si="3196"/>
        <v>-0.07765969999</v>
      </c>
      <c r="CK639" s="319">
        <f t="shared" si="3196"/>
        <v>-0.05431309904</v>
      </c>
      <c r="CL639" s="319">
        <f t="shared" si="3196"/>
        <v>-0.06725011515</v>
      </c>
      <c r="CM639" s="319" t="str">
        <f t="shared" si="3196"/>
        <v>#REF!</v>
      </c>
      <c r="CN639" s="321"/>
      <c r="CO639" s="342"/>
      <c r="CP639" s="321"/>
      <c r="CQ639" s="319"/>
      <c r="CR639" s="319"/>
      <c r="CS639" s="319"/>
      <c r="CT639" s="342"/>
      <c r="CU639" s="319"/>
      <c r="CV639" s="319"/>
      <c r="CW639" s="319"/>
      <c r="CX639" s="319"/>
      <c r="CY639" s="342"/>
      <c r="CZ639" s="319"/>
      <c r="DA639" s="319"/>
      <c r="DB639" s="319"/>
      <c r="DC639" s="319"/>
      <c r="DD639" s="342"/>
      <c r="DE639" s="319"/>
      <c r="DF639" s="319"/>
      <c r="DG639" s="321"/>
      <c r="DH639" s="319"/>
      <c r="DI639" s="342"/>
      <c r="DJ639" s="321"/>
      <c r="DK639" s="321"/>
      <c r="DL639" s="321"/>
      <c r="DM639" s="319"/>
      <c r="DN639" s="342"/>
      <c r="DO639" s="319"/>
      <c r="DP639" s="319"/>
      <c r="DQ639" s="319"/>
      <c r="DR639" s="319"/>
      <c r="DS639" s="342"/>
      <c r="DT639" s="319"/>
      <c r="DU639" s="319"/>
      <c r="DV639" s="319"/>
      <c r="DW639" s="319"/>
      <c r="DX639" s="342"/>
      <c r="DY639" s="319"/>
      <c r="DZ639" s="319"/>
      <c r="EA639" s="319"/>
      <c r="EB639" s="319"/>
      <c r="EC639" s="342"/>
      <c r="ED639" s="319"/>
      <c r="EE639" s="319"/>
      <c r="EF639" s="319"/>
      <c r="EG639" s="319"/>
      <c r="EH639" s="342"/>
      <c r="EI639" s="322"/>
      <c r="EJ639" s="319"/>
      <c r="EK639" s="319"/>
      <c r="EL639" s="319"/>
      <c r="EM639" s="342"/>
      <c r="EN639" s="319"/>
      <c r="EO639" s="319"/>
      <c r="EP639" s="319"/>
      <c r="EQ639" s="319"/>
      <c r="ER639" s="342"/>
      <c r="ES639" s="319"/>
      <c r="ET639" s="319"/>
      <c r="EU639" s="319"/>
      <c r="EV639" s="319"/>
      <c r="EW639" s="342"/>
      <c r="EX639" s="319"/>
      <c r="EY639" s="319"/>
      <c r="EZ639" s="319"/>
      <c r="FA639" s="319"/>
      <c r="FB639" s="342"/>
      <c r="FC639" s="319"/>
      <c r="FD639" s="319"/>
      <c r="FE639" s="319"/>
      <c r="FF639" s="319"/>
      <c r="FG639" s="342"/>
      <c r="FH639" s="343"/>
      <c r="FI639" s="319"/>
      <c r="FJ639" s="319"/>
      <c r="FK639" s="335"/>
      <c r="FL639" s="319"/>
    </row>
    <row r="640" ht="12.75" hidden="1" customHeight="1" outlineLevel="2">
      <c r="A640" s="45"/>
      <c r="B640" s="215" t="str">
        <f t="shared" si="3195"/>
        <v>PC Client Group</v>
      </c>
      <c r="C640" s="45"/>
      <c r="D640" s="335"/>
      <c r="E640" s="335"/>
      <c r="F640" s="335"/>
      <c r="G640" s="335"/>
      <c r="H640" s="335"/>
      <c r="I640" s="335"/>
      <c r="J640" s="335"/>
      <c r="K640" s="335"/>
      <c r="L640" s="335"/>
      <c r="M640" s="335"/>
      <c r="N640" s="335"/>
      <c r="O640" s="335"/>
      <c r="P640" s="335"/>
      <c r="Q640" s="335"/>
      <c r="R640" s="335"/>
      <c r="S640" s="335"/>
      <c r="T640" s="335"/>
      <c r="U640" s="335"/>
      <c r="V640" s="335"/>
      <c r="W640" s="335"/>
      <c r="X640" s="335"/>
      <c r="Y640" s="335"/>
      <c r="Z640" s="335"/>
      <c r="AA640" s="335"/>
      <c r="AB640" s="335"/>
      <c r="AC640" s="335"/>
      <c r="AD640" s="335"/>
      <c r="AE640" s="335"/>
      <c r="AF640" s="335"/>
      <c r="AG640" s="335"/>
      <c r="AH640" s="335"/>
      <c r="AI640" s="335"/>
      <c r="AJ640" s="335"/>
      <c r="AK640" s="335"/>
      <c r="AL640" s="335"/>
      <c r="AM640" s="335"/>
      <c r="AN640" s="335"/>
      <c r="AO640" s="335"/>
      <c r="AP640" s="335"/>
      <c r="AQ640" s="335"/>
      <c r="AR640" s="335"/>
      <c r="AS640" s="335"/>
      <c r="AT640" s="335"/>
      <c r="AU640" s="335"/>
      <c r="AV640" s="335"/>
      <c r="AW640" s="335"/>
      <c r="AX640" s="335"/>
      <c r="AY640" s="335"/>
      <c r="AZ640" s="335"/>
      <c r="BA640" s="335"/>
      <c r="BB640" s="335"/>
      <c r="BC640" s="335"/>
      <c r="BD640" s="335"/>
      <c r="BE640" s="335"/>
      <c r="BF640" s="335"/>
      <c r="BG640" s="335"/>
      <c r="BH640" s="335"/>
      <c r="BI640" s="335"/>
      <c r="BJ640" s="335"/>
      <c r="BK640" s="335"/>
      <c r="BL640" s="335"/>
      <c r="BM640" s="335"/>
      <c r="BN640" s="335"/>
      <c r="BO640" s="335"/>
      <c r="BP640" s="335"/>
      <c r="BQ640" s="335"/>
      <c r="BR640" s="335"/>
      <c r="BS640" s="335"/>
      <c r="BT640" s="335"/>
      <c r="BU640" s="335"/>
      <c r="BV640" s="335"/>
      <c r="BW640" s="335"/>
      <c r="BX640" s="335"/>
      <c r="BY640" s="335"/>
      <c r="BZ640" s="342"/>
      <c r="CA640" s="335">
        <f t="shared" ref="CA640:CM640" si="3197">CA593/BV593-1</f>
        <v>0.1689491525</v>
      </c>
      <c r="CB640" s="335">
        <f t="shared" si="3197"/>
        <v>0.1093187575</v>
      </c>
      <c r="CC640" s="335">
        <f t="shared" si="3197"/>
        <v>0.2169811321</v>
      </c>
      <c r="CD640" s="335">
        <f t="shared" si="3197"/>
        <v>0.1729547517</v>
      </c>
      <c r="CE640" s="342">
        <f t="shared" si="3197"/>
        <v>0.1674745276</v>
      </c>
      <c r="CF640" s="335">
        <f t="shared" si="3197"/>
        <v>-0.01971929011</v>
      </c>
      <c r="CG640" s="335">
        <f t="shared" si="3197"/>
        <v>0.04362456436</v>
      </c>
      <c r="CH640" s="335">
        <f t="shared" si="3197"/>
        <v>-0.08325369013</v>
      </c>
      <c r="CI640" s="335">
        <f t="shared" si="3197"/>
        <v>-0.05979882834</v>
      </c>
      <c r="CJ640" s="342">
        <f t="shared" si="3197"/>
        <v>-0.03197198215</v>
      </c>
      <c r="CK640" s="335">
        <f t="shared" si="3197"/>
        <v>-0.05431309904</v>
      </c>
      <c r="CL640" s="335">
        <f t="shared" si="3197"/>
        <v>-0.06725011515</v>
      </c>
      <c r="CM640" s="335" t="str">
        <f t="shared" si="3197"/>
        <v>#REF!</v>
      </c>
      <c r="CN640" s="343"/>
      <c r="CO640" s="342"/>
      <c r="CP640" s="343"/>
      <c r="CQ640" s="335"/>
      <c r="CR640" s="335"/>
      <c r="CS640" s="335"/>
      <c r="CT640" s="342"/>
      <c r="CU640" s="335"/>
      <c r="CV640" s="335"/>
      <c r="CW640" s="335"/>
      <c r="CX640" s="335"/>
      <c r="CY640" s="342"/>
      <c r="CZ640" s="335"/>
      <c r="DA640" s="335"/>
      <c r="DB640" s="335"/>
      <c r="DC640" s="335"/>
      <c r="DD640" s="342"/>
      <c r="DE640" s="335"/>
      <c r="DF640" s="335"/>
      <c r="DG640" s="343"/>
      <c r="DH640" s="335"/>
      <c r="DI640" s="342"/>
      <c r="DJ640" s="343"/>
      <c r="DK640" s="343"/>
      <c r="DL640" s="343"/>
      <c r="DM640" s="335"/>
      <c r="DN640" s="342"/>
      <c r="DO640" s="335"/>
      <c r="DP640" s="335"/>
      <c r="DQ640" s="335"/>
      <c r="DR640" s="335"/>
      <c r="DS640" s="342"/>
      <c r="DT640" s="335"/>
      <c r="DU640" s="335"/>
      <c r="DV640" s="335"/>
      <c r="DW640" s="335"/>
      <c r="DX640" s="342"/>
      <c r="DY640" s="335"/>
      <c r="DZ640" s="335"/>
      <c r="EA640" s="335"/>
      <c r="EB640" s="335"/>
      <c r="EC640" s="342"/>
      <c r="ED640" s="335"/>
      <c r="EE640" s="335"/>
      <c r="EF640" s="335"/>
      <c r="EG640" s="335"/>
      <c r="EH640" s="342"/>
      <c r="EI640" s="600"/>
      <c r="EJ640" s="335"/>
      <c r="EK640" s="335"/>
      <c r="EL640" s="335"/>
      <c r="EM640" s="342"/>
      <c r="EN640" s="335"/>
      <c r="EO640" s="335"/>
      <c r="EP640" s="335"/>
      <c r="EQ640" s="335"/>
      <c r="ER640" s="342"/>
      <c r="ES640" s="335"/>
      <c r="ET640" s="335"/>
      <c r="EU640" s="335"/>
      <c r="EV640" s="335"/>
      <c r="EW640" s="342"/>
      <c r="EX640" s="335"/>
      <c r="EY640" s="335"/>
      <c r="EZ640" s="335"/>
      <c r="FA640" s="335"/>
      <c r="FB640" s="342"/>
      <c r="FC640" s="335"/>
      <c r="FD640" s="335"/>
      <c r="FE640" s="335"/>
      <c r="FF640" s="335"/>
      <c r="FG640" s="342"/>
      <c r="FH640" s="343"/>
      <c r="FI640" s="335"/>
      <c r="FJ640" s="335"/>
      <c r="FK640" s="335"/>
      <c r="FL640" s="335"/>
    </row>
    <row r="641" ht="12.75" hidden="1" customHeight="1" outlineLevel="2">
      <c r="A641" s="4"/>
      <c r="B641" s="72" t="str">
        <f t="shared" si="3195"/>
        <v>Processors</v>
      </c>
      <c r="C641" s="4"/>
      <c r="D641" s="319"/>
      <c r="E641" s="319"/>
      <c r="F641" s="319"/>
      <c r="G641" s="319"/>
      <c r="H641" s="335"/>
      <c r="I641" s="319"/>
      <c r="J641" s="319"/>
      <c r="K641" s="319"/>
      <c r="L641" s="319"/>
      <c r="M641" s="335"/>
      <c r="N641" s="319"/>
      <c r="O641" s="319"/>
      <c r="P641" s="319"/>
      <c r="Q641" s="319"/>
      <c r="R641" s="335"/>
      <c r="S641" s="319"/>
      <c r="T641" s="319"/>
      <c r="U641" s="319"/>
      <c r="V641" s="319"/>
      <c r="W641" s="335"/>
      <c r="X641" s="319"/>
      <c r="Y641" s="319"/>
      <c r="Z641" s="319"/>
      <c r="AA641" s="319"/>
      <c r="AB641" s="335"/>
      <c r="AC641" s="319"/>
      <c r="AD641" s="319"/>
      <c r="AE641" s="319"/>
      <c r="AF641" s="319"/>
      <c r="AG641" s="335"/>
      <c r="AH641" s="319"/>
      <c r="AI641" s="319"/>
      <c r="AJ641" s="319"/>
      <c r="AK641" s="319"/>
      <c r="AL641" s="335"/>
      <c r="AM641" s="319"/>
      <c r="AN641" s="319"/>
      <c r="AO641" s="319"/>
      <c r="AP641" s="319"/>
      <c r="AQ641" s="335"/>
      <c r="AR641" s="319"/>
      <c r="AS641" s="319"/>
      <c r="AT641" s="319"/>
      <c r="AU641" s="319"/>
      <c r="AV641" s="335"/>
      <c r="AW641" s="319"/>
      <c r="AX641" s="319"/>
      <c r="AY641" s="319"/>
      <c r="AZ641" s="319"/>
      <c r="BA641" s="335"/>
      <c r="BB641" s="319"/>
      <c r="BC641" s="319"/>
      <c r="BD641" s="319"/>
      <c r="BE641" s="319"/>
      <c r="BF641" s="335"/>
      <c r="BG641" s="319"/>
      <c r="BH641" s="319"/>
      <c r="BI641" s="319"/>
      <c r="BJ641" s="319"/>
      <c r="BK641" s="335"/>
      <c r="BL641" s="319"/>
      <c r="BM641" s="319"/>
      <c r="BN641" s="319"/>
      <c r="BO641" s="319"/>
      <c r="BP641" s="335"/>
      <c r="BQ641" s="319"/>
      <c r="BR641" s="319"/>
      <c r="BS641" s="319"/>
      <c r="BT641" s="319"/>
      <c r="BU641" s="335"/>
      <c r="BV641" s="319"/>
      <c r="BW641" s="319"/>
      <c r="BX641" s="319"/>
      <c r="BY641" s="319"/>
      <c r="BZ641" s="342"/>
      <c r="CA641" s="319">
        <f t="shared" ref="CA641:CM641" si="3198">CA594/BV594-1</f>
        <v>0.3279639175</v>
      </c>
      <c r="CB641" s="319">
        <f t="shared" si="3198"/>
        <v>0.143016138</v>
      </c>
      <c r="CC641" s="319">
        <f t="shared" si="3198"/>
        <v>0.146724418</v>
      </c>
      <c r="CD641" s="319">
        <f t="shared" si="3198"/>
        <v>0.05417090069</v>
      </c>
      <c r="CE641" s="342">
        <f t="shared" si="3198"/>
        <v>0.156810216</v>
      </c>
      <c r="CF641" s="319">
        <f t="shared" si="3198"/>
        <v>0.01166909267</v>
      </c>
      <c r="CG641" s="319">
        <f t="shared" si="3198"/>
        <v>0.1740214216</v>
      </c>
      <c r="CH641" s="319">
        <f t="shared" si="3198"/>
        <v>0.07763928234</v>
      </c>
      <c r="CI641" s="319">
        <f t="shared" si="3198"/>
        <v>0.0663897506</v>
      </c>
      <c r="CJ641" s="342">
        <f t="shared" si="3198"/>
        <v>0.08190570363</v>
      </c>
      <c r="CK641" s="319">
        <f t="shared" si="3198"/>
        <v>0.06620944342</v>
      </c>
      <c r="CL641" s="319">
        <f t="shared" si="3198"/>
        <v>-0.02175463623</v>
      </c>
      <c r="CM641" s="319">
        <f t="shared" si="3198"/>
        <v>0.09721175584</v>
      </c>
      <c r="CN641" s="321"/>
      <c r="CO641" s="342"/>
      <c r="CP641" s="321"/>
      <c r="CQ641" s="319"/>
      <c r="CR641" s="319"/>
      <c r="CS641" s="319"/>
      <c r="CT641" s="342"/>
      <c r="CU641" s="319"/>
      <c r="CV641" s="319"/>
      <c r="CW641" s="319"/>
      <c r="CX641" s="319"/>
      <c r="CY641" s="342"/>
      <c r="CZ641" s="319"/>
      <c r="DA641" s="319"/>
      <c r="DB641" s="319"/>
      <c r="DC641" s="319"/>
      <c r="DD641" s="342"/>
      <c r="DE641" s="319"/>
      <c r="DF641" s="319"/>
      <c r="DG641" s="321"/>
      <c r="DH641" s="319"/>
      <c r="DI641" s="342"/>
      <c r="DJ641" s="321"/>
      <c r="DK641" s="321"/>
      <c r="DL641" s="321"/>
      <c r="DM641" s="319"/>
      <c r="DN641" s="342"/>
      <c r="DO641" s="319"/>
      <c r="DP641" s="319"/>
      <c r="DQ641" s="319"/>
      <c r="DR641" s="319"/>
      <c r="DS641" s="342"/>
      <c r="DT641" s="319"/>
      <c r="DU641" s="319"/>
      <c r="DV641" s="319"/>
      <c r="DW641" s="319"/>
      <c r="DX641" s="342"/>
      <c r="DY641" s="319"/>
      <c r="DZ641" s="319"/>
      <c r="EA641" s="319"/>
      <c r="EB641" s="319"/>
      <c r="EC641" s="342"/>
      <c r="ED641" s="319"/>
      <c r="EE641" s="319"/>
      <c r="EF641" s="319"/>
      <c r="EG641" s="319"/>
      <c r="EH641" s="342"/>
      <c r="EI641" s="322"/>
      <c r="EJ641" s="319"/>
      <c r="EK641" s="319"/>
      <c r="EL641" s="319"/>
      <c r="EM641" s="342"/>
      <c r="EN641" s="319"/>
      <c r="EO641" s="319"/>
      <c r="EP641" s="319"/>
      <c r="EQ641" s="319"/>
      <c r="ER641" s="342"/>
      <c r="ES641" s="319"/>
      <c r="ET641" s="319"/>
      <c r="EU641" s="319"/>
      <c r="EV641" s="319"/>
      <c r="EW641" s="342"/>
      <c r="EX641" s="319"/>
      <c r="EY641" s="319"/>
      <c r="EZ641" s="319"/>
      <c r="FA641" s="319"/>
      <c r="FB641" s="342"/>
      <c r="FC641" s="319"/>
      <c r="FD641" s="319"/>
      <c r="FE641" s="319"/>
      <c r="FF641" s="319"/>
      <c r="FG641" s="342"/>
      <c r="FH641" s="343"/>
      <c r="FI641" s="319"/>
      <c r="FJ641" s="319"/>
      <c r="FK641" s="335"/>
      <c r="FL641" s="319"/>
    </row>
    <row r="642" ht="12.75" hidden="1" customHeight="1" outlineLevel="2">
      <c r="A642" s="4"/>
      <c r="B642" s="72" t="str">
        <f t="shared" si="3195"/>
        <v>Chipsets, MBs and other</v>
      </c>
      <c r="C642" s="4"/>
      <c r="D642" s="319"/>
      <c r="E642" s="319"/>
      <c r="F642" s="319"/>
      <c r="G642" s="319"/>
      <c r="H642" s="335"/>
      <c r="I642" s="319"/>
      <c r="J642" s="319"/>
      <c r="K642" s="319"/>
      <c r="L642" s="319"/>
      <c r="M642" s="335"/>
      <c r="N642" s="319"/>
      <c r="O642" s="319"/>
      <c r="P642" s="319"/>
      <c r="Q642" s="319"/>
      <c r="R642" s="335"/>
      <c r="S642" s="319"/>
      <c r="T642" s="319"/>
      <c r="U642" s="319"/>
      <c r="V642" s="319"/>
      <c r="W642" s="335"/>
      <c r="X642" s="319"/>
      <c r="Y642" s="319"/>
      <c r="Z642" s="319"/>
      <c r="AA642" s="319"/>
      <c r="AB642" s="335"/>
      <c r="AC642" s="319"/>
      <c r="AD642" s="319"/>
      <c r="AE642" s="319"/>
      <c r="AF642" s="319"/>
      <c r="AG642" s="335"/>
      <c r="AH642" s="319"/>
      <c r="AI642" s="319"/>
      <c r="AJ642" s="319"/>
      <c r="AK642" s="319"/>
      <c r="AL642" s="335"/>
      <c r="AM642" s="319"/>
      <c r="AN642" s="319"/>
      <c r="AO642" s="319"/>
      <c r="AP642" s="319"/>
      <c r="AQ642" s="335"/>
      <c r="AR642" s="319"/>
      <c r="AS642" s="319"/>
      <c r="AT642" s="319"/>
      <c r="AU642" s="319"/>
      <c r="AV642" s="335"/>
      <c r="AW642" s="319"/>
      <c r="AX642" s="319"/>
      <c r="AY642" s="319"/>
      <c r="AZ642" s="319"/>
      <c r="BA642" s="335"/>
      <c r="BB642" s="319"/>
      <c r="BC642" s="319"/>
      <c r="BD642" s="319"/>
      <c r="BE642" s="319"/>
      <c r="BF642" s="335"/>
      <c r="BG642" s="319"/>
      <c r="BH642" s="319"/>
      <c r="BI642" s="319"/>
      <c r="BJ642" s="319"/>
      <c r="BK642" s="335"/>
      <c r="BL642" s="319"/>
      <c r="BM642" s="319"/>
      <c r="BN642" s="319"/>
      <c r="BO642" s="319"/>
      <c r="BP642" s="335"/>
      <c r="BQ642" s="319"/>
      <c r="BR642" s="319"/>
      <c r="BS642" s="319"/>
      <c r="BT642" s="319"/>
      <c r="BU642" s="335"/>
      <c r="BV642" s="319"/>
      <c r="BW642" s="319"/>
      <c r="BX642" s="319"/>
      <c r="BY642" s="319"/>
      <c r="BZ642" s="342"/>
      <c r="CA642" s="319">
        <f t="shared" ref="CA642:CM642" si="3199">CA595/BV595-1</f>
        <v>0.263322884</v>
      </c>
      <c r="CB642" s="319">
        <f t="shared" si="3199"/>
        <v>0.2050473186</v>
      </c>
      <c r="CC642" s="319">
        <f t="shared" si="3199"/>
        <v>0.1622418879</v>
      </c>
      <c r="CD642" s="319">
        <f t="shared" si="3199"/>
        <v>0.2177030812</v>
      </c>
      <c r="CE642" s="342">
        <f t="shared" si="3199"/>
        <v>0.2115015015</v>
      </c>
      <c r="CF642" s="319">
        <f t="shared" si="3199"/>
        <v>-0.08697270471</v>
      </c>
      <c r="CG642" s="319">
        <f t="shared" si="3199"/>
        <v>0.02764397906</v>
      </c>
      <c r="CH642" s="319">
        <f t="shared" si="3199"/>
        <v>-0.05695431472</v>
      </c>
      <c r="CI642" s="319">
        <f t="shared" si="3199"/>
        <v>-0.08860875966</v>
      </c>
      <c r="CJ642" s="342">
        <f t="shared" si="3199"/>
        <v>-0.05295218501</v>
      </c>
      <c r="CK642" s="319">
        <f t="shared" si="3199"/>
        <v>-0.01644245142</v>
      </c>
      <c r="CL642" s="319">
        <f t="shared" si="3199"/>
        <v>-0.02175463623</v>
      </c>
      <c r="CM642" s="319">
        <f t="shared" si="3199"/>
        <v>0.09721175584</v>
      </c>
      <c r="CN642" s="321"/>
      <c r="CO642" s="342"/>
      <c r="CP642" s="321"/>
      <c r="CQ642" s="319"/>
      <c r="CR642" s="319"/>
      <c r="CS642" s="319"/>
      <c r="CT642" s="342"/>
      <c r="CU642" s="319"/>
      <c r="CV642" s="319"/>
      <c r="CW642" s="319"/>
      <c r="CX642" s="319"/>
      <c r="CY642" s="342"/>
      <c r="CZ642" s="319"/>
      <c r="DA642" s="319"/>
      <c r="DB642" s="319"/>
      <c r="DC642" s="319"/>
      <c r="DD642" s="342"/>
      <c r="DE642" s="319"/>
      <c r="DF642" s="319"/>
      <c r="DG642" s="321"/>
      <c r="DH642" s="319"/>
      <c r="DI642" s="342"/>
      <c r="DJ642" s="321"/>
      <c r="DK642" s="321"/>
      <c r="DL642" s="321"/>
      <c r="DM642" s="319"/>
      <c r="DN642" s="342"/>
      <c r="DO642" s="319"/>
      <c r="DP642" s="319"/>
      <c r="DQ642" s="319"/>
      <c r="DR642" s="319"/>
      <c r="DS642" s="342"/>
      <c r="DT642" s="319"/>
      <c r="DU642" s="319"/>
      <c r="DV642" s="319"/>
      <c r="DW642" s="319"/>
      <c r="DX642" s="342"/>
      <c r="DY642" s="319"/>
      <c r="DZ642" s="319"/>
      <c r="EA642" s="319"/>
      <c r="EB642" s="319"/>
      <c r="EC642" s="342"/>
      <c r="ED642" s="319"/>
      <c r="EE642" s="319"/>
      <c r="EF642" s="319"/>
      <c r="EG642" s="319"/>
      <c r="EH642" s="342"/>
      <c r="EI642" s="322"/>
      <c r="EJ642" s="319"/>
      <c r="EK642" s="319"/>
      <c r="EL642" s="319"/>
      <c r="EM642" s="342"/>
      <c r="EN642" s="319"/>
      <c r="EO642" s="319"/>
      <c r="EP642" s="319"/>
      <c r="EQ642" s="319"/>
      <c r="ER642" s="342"/>
      <c r="ES642" s="319"/>
      <c r="ET642" s="319"/>
      <c r="EU642" s="319"/>
      <c r="EV642" s="319"/>
      <c r="EW642" s="342"/>
      <c r="EX642" s="319"/>
      <c r="EY642" s="319"/>
      <c r="EZ642" s="319"/>
      <c r="FA642" s="319"/>
      <c r="FB642" s="342"/>
      <c r="FC642" s="319"/>
      <c r="FD642" s="319"/>
      <c r="FE642" s="319"/>
      <c r="FF642" s="319"/>
      <c r="FG642" s="342"/>
      <c r="FH642" s="343"/>
      <c r="FI642" s="319"/>
      <c r="FJ642" s="319"/>
      <c r="FK642" s="335"/>
      <c r="FL642" s="319"/>
    </row>
    <row r="643" ht="12.75" hidden="1" customHeight="1" outlineLevel="2">
      <c r="A643" s="45"/>
      <c r="B643" s="215" t="str">
        <f t="shared" si="3195"/>
        <v>Data Center Group</v>
      </c>
      <c r="C643" s="45"/>
      <c r="D643" s="335"/>
      <c r="E643" s="335"/>
      <c r="F643" s="335"/>
      <c r="G643" s="335"/>
      <c r="H643" s="335"/>
      <c r="I643" s="335"/>
      <c r="J643" s="335"/>
      <c r="K643" s="335"/>
      <c r="L643" s="335"/>
      <c r="M643" s="335"/>
      <c r="N643" s="335"/>
      <c r="O643" s="335"/>
      <c r="P643" s="335"/>
      <c r="Q643" s="335"/>
      <c r="R643" s="335"/>
      <c r="S643" s="335"/>
      <c r="T643" s="335"/>
      <c r="U643" s="335"/>
      <c r="V643" s="335"/>
      <c r="W643" s="335"/>
      <c r="X643" s="335"/>
      <c r="Y643" s="335"/>
      <c r="Z643" s="335"/>
      <c r="AA643" s="335"/>
      <c r="AB643" s="335"/>
      <c r="AC643" s="335"/>
      <c r="AD643" s="335"/>
      <c r="AE643" s="335"/>
      <c r="AF643" s="335"/>
      <c r="AG643" s="335"/>
      <c r="AH643" s="335"/>
      <c r="AI643" s="335"/>
      <c r="AJ643" s="335"/>
      <c r="AK643" s="335"/>
      <c r="AL643" s="335"/>
      <c r="AM643" s="335"/>
      <c r="AN643" s="335"/>
      <c r="AO643" s="335"/>
      <c r="AP643" s="335"/>
      <c r="AQ643" s="335"/>
      <c r="AR643" s="335"/>
      <c r="AS643" s="335"/>
      <c r="AT643" s="335"/>
      <c r="AU643" s="335"/>
      <c r="AV643" s="335"/>
      <c r="AW643" s="335"/>
      <c r="AX643" s="335"/>
      <c r="AY643" s="335"/>
      <c r="AZ643" s="335"/>
      <c r="BA643" s="335"/>
      <c r="BB643" s="335"/>
      <c r="BC643" s="335"/>
      <c r="BD643" s="335"/>
      <c r="BE643" s="335"/>
      <c r="BF643" s="335"/>
      <c r="BG643" s="335"/>
      <c r="BH643" s="335"/>
      <c r="BI643" s="335"/>
      <c r="BJ643" s="335"/>
      <c r="BK643" s="335"/>
      <c r="BL643" s="335"/>
      <c r="BM643" s="335"/>
      <c r="BN643" s="335"/>
      <c r="BO643" s="335"/>
      <c r="BP643" s="335"/>
      <c r="BQ643" s="335"/>
      <c r="BR643" s="335"/>
      <c r="BS643" s="335"/>
      <c r="BT643" s="335"/>
      <c r="BU643" s="335"/>
      <c r="BV643" s="335"/>
      <c r="BW643" s="335"/>
      <c r="BX643" s="335"/>
      <c r="BY643" s="335"/>
      <c r="BZ643" s="342"/>
      <c r="CA643" s="335">
        <f t="shared" ref="CA643:CM643" si="3200">CA596/BV596-1</f>
        <v>0.3169428113</v>
      </c>
      <c r="CB643" s="335">
        <f t="shared" si="3200"/>
        <v>0.1523178808</v>
      </c>
      <c r="CC643" s="335">
        <f t="shared" si="3200"/>
        <v>0.1491308326</v>
      </c>
      <c r="CD643" s="335">
        <f t="shared" si="3200"/>
        <v>0.07731958763</v>
      </c>
      <c r="CE643" s="342">
        <f t="shared" si="3200"/>
        <v>0.1651903831</v>
      </c>
      <c r="CF643" s="335">
        <f t="shared" si="3200"/>
        <v>-0.004464285714</v>
      </c>
      <c r="CG643" s="335">
        <f t="shared" si="3200"/>
        <v>0.1510673235</v>
      </c>
      <c r="CH643" s="335">
        <f t="shared" si="3200"/>
        <v>0.05652866242</v>
      </c>
      <c r="CI643" s="335">
        <f t="shared" si="3200"/>
        <v>0.04158998896</v>
      </c>
      <c r="CJ643" s="342">
        <f t="shared" si="3200"/>
        <v>0.06042057459</v>
      </c>
      <c r="CK643" s="335">
        <f t="shared" si="3200"/>
        <v>0.05381165919</v>
      </c>
      <c r="CL643" s="335">
        <f t="shared" si="3200"/>
        <v>-0.02175463623</v>
      </c>
      <c r="CM643" s="335">
        <f t="shared" si="3200"/>
        <v>0.09721175584</v>
      </c>
      <c r="CN643" s="343"/>
      <c r="CO643" s="342"/>
      <c r="CP643" s="343"/>
      <c r="CQ643" s="335"/>
      <c r="CR643" s="335"/>
      <c r="CS643" s="335"/>
      <c r="CT643" s="342"/>
      <c r="CU643" s="335"/>
      <c r="CV643" s="335"/>
      <c r="CW643" s="335"/>
      <c r="CX643" s="335"/>
      <c r="CY643" s="342"/>
      <c r="CZ643" s="335"/>
      <c r="DA643" s="335"/>
      <c r="DB643" s="335"/>
      <c r="DC643" s="335"/>
      <c r="DD643" s="342"/>
      <c r="DE643" s="335"/>
      <c r="DF643" s="335"/>
      <c r="DG643" s="343"/>
      <c r="DH643" s="335"/>
      <c r="DI643" s="342"/>
      <c r="DJ643" s="343"/>
      <c r="DK643" s="343"/>
      <c r="DL643" s="343"/>
      <c r="DM643" s="335"/>
      <c r="DN643" s="342"/>
      <c r="DO643" s="335"/>
      <c r="DP643" s="335"/>
      <c r="DQ643" s="335"/>
      <c r="DR643" s="335"/>
      <c r="DS643" s="342"/>
      <c r="DT643" s="335"/>
      <c r="DU643" s="335"/>
      <c r="DV643" s="335"/>
      <c r="DW643" s="335"/>
      <c r="DX643" s="342"/>
      <c r="DY643" s="335"/>
      <c r="DZ643" s="335"/>
      <c r="EA643" s="335"/>
      <c r="EB643" s="335"/>
      <c r="EC643" s="342"/>
      <c r="ED643" s="335"/>
      <c r="EE643" s="335"/>
      <c r="EF643" s="335"/>
      <c r="EG643" s="335"/>
      <c r="EH643" s="342"/>
      <c r="EI643" s="600"/>
      <c r="EJ643" s="335"/>
      <c r="EK643" s="335"/>
      <c r="EL643" s="335"/>
      <c r="EM643" s="342"/>
      <c r="EN643" s="335"/>
      <c r="EO643" s="335"/>
      <c r="EP643" s="335"/>
      <c r="EQ643" s="335"/>
      <c r="ER643" s="342"/>
      <c r="ES643" s="335"/>
      <c r="ET643" s="335"/>
      <c r="EU643" s="335"/>
      <c r="EV643" s="335"/>
      <c r="EW643" s="342"/>
      <c r="EX643" s="335"/>
      <c r="EY643" s="335"/>
      <c r="EZ643" s="335"/>
      <c r="FA643" s="335"/>
      <c r="FB643" s="342"/>
      <c r="FC643" s="335"/>
      <c r="FD643" s="335"/>
      <c r="FE643" s="335"/>
      <c r="FF643" s="335"/>
      <c r="FG643" s="342"/>
      <c r="FH643" s="343"/>
      <c r="FI643" s="335"/>
      <c r="FJ643" s="335"/>
      <c r="FK643" s="335"/>
      <c r="FL643" s="335"/>
    </row>
    <row r="644" ht="12.75" hidden="1" customHeight="1" outlineLevel="2">
      <c r="A644" s="45"/>
      <c r="B644" s="215" t="str">
        <f t="shared" ref="B644:B645" si="3202">B599</f>
        <v>Other IAG</v>
      </c>
      <c r="C644" s="45"/>
      <c r="D644" s="335"/>
      <c r="E644" s="335"/>
      <c r="F644" s="335"/>
      <c r="G644" s="335"/>
      <c r="H644" s="335"/>
      <c r="I644" s="335"/>
      <c r="J644" s="335"/>
      <c r="K644" s="335"/>
      <c r="L644" s="335"/>
      <c r="M644" s="335"/>
      <c r="N644" s="335"/>
      <c r="O644" s="335"/>
      <c r="P644" s="335"/>
      <c r="Q644" s="335"/>
      <c r="R644" s="335"/>
      <c r="S644" s="335"/>
      <c r="T644" s="335"/>
      <c r="U644" s="335"/>
      <c r="V644" s="335"/>
      <c r="W644" s="335"/>
      <c r="X644" s="335"/>
      <c r="Y644" s="335"/>
      <c r="Z644" s="335"/>
      <c r="AA644" s="335"/>
      <c r="AB644" s="335"/>
      <c r="AC644" s="335"/>
      <c r="AD644" s="335"/>
      <c r="AE644" s="335"/>
      <c r="AF644" s="335"/>
      <c r="AG644" s="335"/>
      <c r="AH644" s="335"/>
      <c r="AI644" s="335"/>
      <c r="AJ644" s="335"/>
      <c r="AK644" s="335"/>
      <c r="AL644" s="335"/>
      <c r="AM644" s="335"/>
      <c r="AN644" s="335"/>
      <c r="AO644" s="335"/>
      <c r="AP644" s="335"/>
      <c r="AQ644" s="335"/>
      <c r="AR644" s="335"/>
      <c r="AS644" s="335"/>
      <c r="AT644" s="335"/>
      <c r="AU644" s="335"/>
      <c r="AV644" s="335"/>
      <c r="AW644" s="335"/>
      <c r="AX644" s="335"/>
      <c r="AY644" s="335"/>
      <c r="AZ644" s="335"/>
      <c r="BA644" s="335"/>
      <c r="BB644" s="335"/>
      <c r="BC644" s="335"/>
      <c r="BD644" s="335"/>
      <c r="BE644" s="335"/>
      <c r="BF644" s="335"/>
      <c r="BG644" s="335"/>
      <c r="BH644" s="335"/>
      <c r="BI644" s="335"/>
      <c r="BJ644" s="335"/>
      <c r="BK644" s="335"/>
      <c r="BL644" s="335"/>
      <c r="BM644" s="335"/>
      <c r="BN644" s="335"/>
      <c r="BO644" s="335"/>
      <c r="BP644" s="335"/>
      <c r="BQ644" s="335"/>
      <c r="BR644" s="335"/>
      <c r="BS644" s="335"/>
      <c r="BT644" s="335"/>
      <c r="BU644" s="335"/>
      <c r="BV644" s="335"/>
      <c r="BW644" s="335"/>
      <c r="BX644" s="335"/>
      <c r="BY644" s="335"/>
      <c r="BZ644" s="342"/>
      <c r="CA644" s="335">
        <f t="shared" ref="CA644:CM644" si="3201">CA599/BV599-1</f>
        <v>0.7047477745</v>
      </c>
      <c r="CB644" s="335">
        <f t="shared" si="3201"/>
        <v>0.8397350993</v>
      </c>
      <c r="CC644" s="335">
        <f t="shared" si="3201"/>
        <v>0.684729064</v>
      </c>
      <c r="CD644" s="335">
        <f t="shared" si="3201"/>
        <v>0.3501228501</v>
      </c>
      <c r="CE644" s="342">
        <f t="shared" si="3201"/>
        <v>0.6382978723</v>
      </c>
      <c r="CF644" s="335">
        <f t="shared" si="3201"/>
        <v>-0.06440382942</v>
      </c>
      <c r="CG644" s="335">
        <f t="shared" si="3201"/>
        <v>-0.2023038157</v>
      </c>
      <c r="CH644" s="335">
        <f t="shared" si="3201"/>
        <v>-0.139619883</v>
      </c>
      <c r="CI644" s="335">
        <f t="shared" si="3201"/>
        <v>-0.0737033667</v>
      </c>
      <c r="CJ644" s="342">
        <f t="shared" si="3201"/>
        <v>-0.1252747253</v>
      </c>
      <c r="CK644" s="335">
        <f t="shared" si="3201"/>
        <v>-0.09023255814</v>
      </c>
      <c r="CL644" s="335">
        <f t="shared" si="3201"/>
        <v>-0.1498194946</v>
      </c>
      <c r="CM644" s="335">
        <f t="shared" si="3201"/>
        <v>-0.09345794393</v>
      </c>
      <c r="CN644" s="343"/>
      <c r="CO644" s="342"/>
      <c r="CP644" s="343"/>
      <c r="CQ644" s="335"/>
      <c r="CR644" s="335"/>
      <c r="CS644" s="335"/>
      <c r="CT644" s="342"/>
      <c r="CU644" s="335"/>
      <c r="CV644" s="335"/>
      <c r="CW644" s="335"/>
      <c r="CX644" s="335"/>
      <c r="CY644" s="342"/>
      <c r="CZ644" s="335"/>
      <c r="DA644" s="335"/>
      <c r="DB644" s="335"/>
      <c r="DC644" s="335"/>
      <c r="DD644" s="342"/>
      <c r="DE644" s="335"/>
      <c r="DF644" s="335"/>
      <c r="DG644" s="343"/>
      <c r="DH644" s="335"/>
      <c r="DI644" s="342"/>
      <c r="DJ644" s="343"/>
      <c r="DK644" s="343"/>
      <c r="DL644" s="343"/>
      <c r="DM644" s="335"/>
      <c r="DN644" s="342"/>
      <c r="DO644" s="335"/>
      <c r="DP644" s="335"/>
      <c r="DQ644" s="335"/>
      <c r="DR644" s="335"/>
      <c r="DS644" s="342"/>
      <c r="DT644" s="335"/>
      <c r="DU644" s="335"/>
      <c r="DV644" s="335"/>
      <c r="DW644" s="335"/>
      <c r="DX644" s="342"/>
      <c r="DY644" s="335"/>
      <c r="DZ644" s="335"/>
      <c r="EA644" s="335"/>
      <c r="EB644" s="335"/>
      <c r="EC644" s="342"/>
      <c r="ED644" s="335"/>
      <c r="EE644" s="335"/>
      <c r="EF644" s="335"/>
      <c r="EG644" s="335"/>
      <c r="EH644" s="342"/>
      <c r="EI644" s="600"/>
      <c r="EJ644" s="335"/>
      <c r="EK644" s="335"/>
      <c r="EL644" s="335"/>
      <c r="EM644" s="342"/>
      <c r="EN644" s="335"/>
      <c r="EO644" s="335"/>
      <c r="EP644" s="335"/>
      <c r="EQ644" s="335"/>
      <c r="ER644" s="342"/>
      <c r="ES644" s="335"/>
      <c r="ET644" s="335"/>
      <c r="EU644" s="335"/>
      <c r="EV644" s="335"/>
      <c r="EW644" s="342"/>
      <c r="EX644" s="335"/>
      <c r="EY644" s="335"/>
      <c r="EZ644" s="335"/>
      <c r="FA644" s="335"/>
      <c r="FB644" s="342"/>
      <c r="FC644" s="335"/>
      <c r="FD644" s="335"/>
      <c r="FE644" s="335"/>
      <c r="FF644" s="335"/>
      <c r="FG644" s="342"/>
      <c r="FH644" s="343"/>
      <c r="FI644" s="335"/>
      <c r="FJ644" s="335"/>
      <c r="FK644" s="335"/>
      <c r="FL644" s="335"/>
    </row>
    <row r="645" ht="12.75" hidden="1" customHeight="1" outlineLevel="2">
      <c r="A645" s="45"/>
      <c r="B645" s="215" t="str">
        <f t="shared" si="3202"/>
        <v>IAG Subtotal</v>
      </c>
      <c r="C645" s="45"/>
      <c r="D645" s="335"/>
      <c r="E645" s="335"/>
      <c r="F645" s="335"/>
      <c r="G645" s="335"/>
      <c r="H645" s="335"/>
      <c r="I645" s="335"/>
      <c r="J645" s="335"/>
      <c r="K645" s="335"/>
      <c r="L645" s="335"/>
      <c r="M645" s="335"/>
      <c r="N645" s="335"/>
      <c r="O645" s="335"/>
      <c r="P645" s="335"/>
      <c r="Q645" s="335"/>
      <c r="R645" s="335"/>
      <c r="S645" s="335"/>
      <c r="T645" s="335"/>
      <c r="U645" s="335"/>
      <c r="V645" s="335"/>
      <c r="W645" s="335"/>
      <c r="X645" s="335"/>
      <c r="Y645" s="335"/>
      <c r="Z645" s="335"/>
      <c r="AA645" s="335"/>
      <c r="AB645" s="335"/>
      <c r="AC645" s="335"/>
      <c r="AD645" s="335"/>
      <c r="AE645" s="335"/>
      <c r="AF645" s="335"/>
      <c r="AG645" s="335"/>
      <c r="AH645" s="335"/>
      <c r="AI645" s="335"/>
      <c r="AJ645" s="335"/>
      <c r="AK645" s="335"/>
      <c r="AL645" s="335"/>
      <c r="AM645" s="335"/>
      <c r="AN645" s="335"/>
      <c r="AO645" s="335"/>
      <c r="AP645" s="335"/>
      <c r="AQ645" s="335"/>
      <c r="AR645" s="335"/>
      <c r="AS645" s="335"/>
      <c r="AT645" s="335"/>
      <c r="AU645" s="335"/>
      <c r="AV645" s="335"/>
      <c r="AW645" s="335"/>
      <c r="AX645" s="335"/>
      <c r="AY645" s="335"/>
      <c r="AZ645" s="335"/>
      <c r="BA645" s="335"/>
      <c r="BB645" s="335"/>
      <c r="BC645" s="335"/>
      <c r="BD645" s="335"/>
      <c r="BE645" s="335"/>
      <c r="BF645" s="335"/>
      <c r="BG645" s="335"/>
      <c r="BH645" s="335"/>
      <c r="BI645" s="335"/>
      <c r="BJ645" s="335"/>
      <c r="BK645" s="335"/>
      <c r="BL645" s="335"/>
      <c r="BM645" s="335"/>
      <c r="BN645" s="335"/>
      <c r="BO645" s="335"/>
      <c r="BP645" s="335"/>
      <c r="BQ645" s="335"/>
      <c r="BR645" s="335"/>
      <c r="BS645" s="335"/>
      <c r="BT645" s="335"/>
      <c r="BU645" s="335"/>
      <c r="BV645" s="335"/>
      <c r="BW645" s="335"/>
      <c r="BX645" s="335"/>
      <c r="BY645" s="335"/>
      <c r="BZ645" s="342"/>
      <c r="CA645" s="335">
        <f t="shared" ref="CA645:CM645" si="3203">CA600/BV600-1</f>
        <v>0.233266129</v>
      </c>
      <c r="CB645" s="335">
        <f t="shared" si="3203"/>
        <v>0.1712632594</v>
      </c>
      <c r="CC645" s="335">
        <f t="shared" si="3203"/>
        <v>0.2385432191</v>
      </c>
      <c r="CD645" s="335">
        <f t="shared" si="3203"/>
        <v>0.1641777536</v>
      </c>
      <c r="CE645" s="342">
        <f t="shared" si="3203"/>
        <v>0.2011883541</v>
      </c>
      <c r="CF645" s="335" t="str">
        <f t="shared" si="3203"/>
        <v>#NAME?</v>
      </c>
      <c r="CG645" s="335" t="str">
        <f t="shared" si="3203"/>
        <v>#NAME?</v>
      </c>
      <c r="CH645" s="335" t="str">
        <f t="shared" si="3203"/>
        <v>#NAME?</v>
      </c>
      <c r="CI645" s="335" t="str">
        <f t="shared" si="3203"/>
        <v>#NAME?</v>
      </c>
      <c r="CJ645" s="342" t="str">
        <f t="shared" si="3203"/>
        <v>#NAME?</v>
      </c>
      <c r="CK645" s="335" t="str">
        <f t="shared" si="3203"/>
        <v>#NAME?</v>
      </c>
      <c r="CL645" s="335" t="str">
        <f t="shared" si="3203"/>
        <v>#NAME?</v>
      </c>
      <c r="CM645" s="335" t="str">
        <f t="shared" si="3203"/>
        <v>#NAME?</v>
      </c>
      <c r="CN645" s="343"/>
      <c r="CO645" s="342"/>
      <c r="CP645" s="343"/>
      <c r="CQ645" s="335"/>
      <c r="CR645" s="335"/>
      <c r="CS645" s="335"/>
      <c r="CT645" s="342"/>
      <c r="CU645" s="335"/>
      <c r="CV645" s="335"/>
      <c r="CW645" s="335"/>
      <c r="CX645" s="335"/>
      <c r="CY645" s="342"/>
      <c r="CZ645" s="335"/>
      <c r="DA645" s="335"/>
      <c r="DB645" s="335"/>
      <c r="DC645" s="335"/>
      <c r="DD645" s="342"/>
      <c r="DE645" s="335"/>
      <c r="DF645" s="335"/>
      <c r="DG645" s="343"/>
      <c r="DH645" s="335"/>
      <c r="DI645" s="342"/>
      <c r="DJ645" s="343"/>
      <c r="DK645" s="343"/>
      <c r="DL645" s="343"/>
      <c r="DM645" s="335"/>
      <c r="DN645" s="342"/>
      <c r="DO645" s="335"/>
      <c r="DP645" s="335"/>
      <c r="DQ645" s="335"/>
      <c r="DR645" s="335"/>
      <c r="DS645" s="342"/>
      <c r="DT645" s="335"/>
      <c r="DU645" s="335"/>
      <c r="DV645" s="335"/>
      <c r="DW645" s="335"/>
      <c r="DX645" s="342"/>
      <c r="DY645" s="335"/>
      <c r="DZ645" s="335"/>
      <c r="EA645" s="335"/>
      <c r="EB645" s="335"/>
      <c r="EC645" s="342"/>
      <c r="ED645" s="335"/>
      <c r="EE645" s="335"/>
      <c r="EF645" s="335"/>
      <c r="EG645" s="335"/>
      <c r="EH645" s="342"/>
      <c r="EI645" s="600"/>
      <c r="EJ645" s="335"/>
      <c r="EK645" s="335"/>
      <c r="EL645" s="335"/>
      <c r="EM645" s="342"/>
      <c r="EN645" s="335"/>
      <c r="EO645" s="335"/>
      <c r="EP645" s="335"/>
      <c r="EQ645" s="335"/>
      <c r="ER645" s="342"/>
      <c r="ES645" s="335"/>
      <c r="ET645" s="335"/>
      <c r="EU645" s="335"/>
      <c r="EV645" s="335"/>
      <c r="EW645" s="342"/>
      <c r="EX645" s="335"/>
      <c r="EY645" s="335"/>
      <c r="EZ645" s="335"/>
      <c r="FA645" s="335"/>
      <c r="FB645" s="342"/>
      <c r="FC645" s="335"/>
      <c r="FD645" s="335"/>
      <c r="FE645" s="335"/>
      <c r="FF645" s="335"/>
      <c r="FG645" s="342"/>
      <c r="FH645" s="343"/>
      <c r="FI645" s="335"/>
      <c r="FJ645" s="335"/>
      <c r="FK645" s="335"/>
      <c r="FL645" s="335"/>
    </row>
    <row r="646" ht="12.75" hidden="1" customHeight="1" outlineLevel="2">
      <c r="A646" s="45"/>
      <c r="B646" s="215" t="str">
        <f>B603</f>
        <v>Software and Services Group</v>
      </c>
      <c r="C646" s="45"/>
      <c r="D646" s="335"/>
      <c r="E646" s="335"/>
      <c r="F646" s="335"/>
      <c r="G646" s="335"/>
      <c r="H646" s="335"/>
      <c r="I646" s="335"/>
      <c r="J646" s="335"/>
      <c r="K646" s="335"/>
      <c r="L646" s="335"/>
      <c r="M646" s="335"/>
      <c r="N646" s="335"/>
      <c r="O646" s="335"/>
      <c r="P646" s="335"/>
      <c r="Q646" s="335"/>
      <c r="R646" s="335"/>
      <c r="S646" s="335"/>
      <c r="T646" s="335"/>
      <c r="U646" s="335"/>
      <c r="V646" s="335"/>
      <c r="W646" s="335"/>
      <c r="X646" s="335"/>
      <c r="Y646" s="335"/>
      <c r="Z646" s="335"/>
      <c r="AA646" s="335"/>
      <c r="AB646" s="335"/>
      <c r="AC646" s="335"/>
      <c r="AD646" s="335"/>
      <c r="AE646" s="335"/>
      <c r="AF646" s="335"/>
      <c r="AG646" s="335"/>
      <c r="AH646" s="335"/>
      <c r="AI646" s="335"/>
      <c r="AJ646" s="335"/>
      <c r="AK646" s="335"/>
      <c r="AL646" s="335"/>
      <c r="AM646" s="335"/>
      <c r="AN646" s="335"/>
      <c r="AO646" s="335"/>
      <c r="AP646" s="335"/>
      <c r="AQ646" s="335"/>
      <c r="AR646" s="335"/>
      <c r="AS646" s="335"/>
      <c r="AT646" s="335"/>
      <c r="AU646" s="335"/>
      <c r="AV646" s="335"/>
      <c r="AW646" s="335"/>
      <c r="AX646" s="335"/>
      <c r="AY646" s="335"/>
      <c r="AZ646" s="335"/>
      <c r="BA646" s="335"/>
      <c r="BB646" s="335"/>
      <c r="BC646" s="335"/>
      <c r="BD646" s="335"/>
      <c r="BE646" s="335"/>
      <c r="BF646" s="335"/>
      <c r="BG646" s="335"/>
      <c r="BH646" s="335"/>
      <c r="BI646" s="335"/>
      <c r="BJ646" s="335"/>
      <c r="BK646" s="335"/>
      <c r="BL646" s="335"/>
      <c r="BM646" s="335"/>
      <c r="BN646" s="335"/>
      <c r="BO646" s="335"/>
      <c r="BP646" s="335"/>
      <c r="BQ646" s="335"/>
      <c r="BR646" s="335"/>
      <c r="BS646" s="335"/>
      <c r="BT646" s="335"/>
      <c r="BU646" s="335"/>
      <c r="BV646" s="335"/>
      <c r="BW646" s="335"/>
      <c r="BX646" s="335"/>
      <c r="BY646" s="335"/>
      <c r="BZ646" s="342"/>
      <c r="CA646" s="335">
        <f t="shared" ref="CA646:CM646" si="3204">CA603/BV603-1</f>
        <v>3.137931034</v>
      </c>
      <c r="CB646" s="335">
        <f t="shared" si="3204"/>
        <v>6.861538462</v>
      </c>
      <c r="CC646" s="335">
        <f t="shared" si="3204"/>
        <v>7.196969697</v>
      </c>
      <c r="CD646" s="335">
        <f t="shared" si="3204"/>
        <v>6.706666667</v>
      </c>
      <c r="CE646" s="342">
        <f t="shared" si="3204"/>
        <v>6.083333333</v>
      </c>
      <c r="CF646" s="335">
        <f t="shared" si="3204"/>
        <v>1.379166667</v>
      </c>
      <c r="CG646" s="335">
        <f t="shared" si="3204"/>
        <v>0.1467710372</v>
      </c>
      <c r="CH646" s="335">
        <f t="shared" si="3204"/>
        <v>0.08687615527</v>
      </c>
      <c r="CI646" s="335">
        <f t="shared" si="3204"/>
        <v>0.1003460208</v>
      </c>
      <c r="CJ646" s="342">
        <f t="shared" si="3204"/>
        <v>0.2732620321</v>
      </c>
      <c r="CK646" s="335">
        <f t="shared" si="3204"/>
        <v>0.02977232925</v>
      </c>
      <c r="CL646" s="335">
        <f t="shared" si="3204"/>
        <v>0.0409556314</v>
      </c>
      <c r="CM646" s="335">
        <f t="shared" si="3204"/>
        <v>0.05612244898</v>
      </c>
      <c r="CN646" s="343"/>
      <c r="CO646" s="342"/>
      <c r="CP646" s="343"/>
      <c r="CQ646" s="335"/>
      <c r="CR646" s="335"/>
      <c r="CS646" s="335"/>
      <c r="CT646" s="342"/>
      <c r="CU646" s="335"/>
      <c r="CV646" s="335"/>
      <c r="CW646" s="335"/>
      <c r="CX646" s="335"/>
      <c r="CY646" s="342"/>
      <c r="CZ646" s="335"/>
      <c r="DA646" s="335"/>
      <c r="DB646" s="335"/>
      <c r="DC646" s="335"/>
      <c r="DD646" s="342"/>
      <c r="DE646" s="335"/>
      <c r="DF646" s="335"/>
      <c r="DG646" s="343"/>
      <c r="DH646" s="335"/>
      <c r="DI646" s="342"/>
      <c r="DJ646" s="343"/>
      <c r="DK646" s="343"/>
      <c r="DL646" s="343"/>
      <c r="DM646" s="335"/>
      <c r="DN646" s="342"/>
      <c r="DO646" s="335"/>
      <c r="DP646" s="335"/>
      <c r="DQ646" s="335"/>
      <c r="DR646" s="335"/>
      <c r="DS646" s="342"/>
      <c r="DT646" s="335"/>
      <c r="DU646" s="335"/>
      <c r="DV646" s="335"/>
      <c r="DW646" s="335"/>
      <c r="DX646" s="342"/>
      <c r="DY646" s="335"/>
      <c r="DZ646" s="335"/>
      <c r="EA646" s="335"/>
      <c r="EB646" s="335"/>
      <c r="EC646" s="342"/>
      <c r="ED646" s="335"/>
      <c r="EE646" s="335"/>
      <c r="EF646" s="335"/>
      <c r="EG646" s="335"/>
      <c r="EH646" s="342"/>
      <c r="EI646" s="600"/>
      <c r="EJ646" s="335"/>
      <c r="EK646" s="335"/>
      <c r="EL646" s="335"/>
      <c r="EM646" s="342"/>
      <c r="EN646" s="335"/>
      <c r="EO646" s="335"/>
      <c r="EP646" s="335"/>
      <c r="EQ646" s="335"/>
      <c r="ER646" s="342"/>
      <c r="ES646" s="335"/>
      <c r="ET646" s="335"/>
      <c r="EU646" s="335"/>
      <c r="EV646" s="335"/>
      <c r="EW646" s="342"/>
      <c r="EX646" s="335"/>
      <c r="EY646" s="335"/>
      <c r="EZ646" s="335"/>
      <c r="FA646" s="335"/>
      <c r="FB646" s="342"/>
      <c r="FC646" s="335"/>
      <c r="FD646" s="335"/>
      <c r="FE646" s="335"/>
      <c r="FF646" s="335"/>
      <c r="FG646" s="342"/>
      <c r="FH646" s="343"/>
      <c r="FI646" s="335"/>
      <c r="FJ646" s="335"/>
      <c r="FK646" s="335"/>
      <c r="FL646" s="335"/>
    </row>
    <row r="647" ht="12.75" hidden="1" customHeight="1" outlineLevel="2">
      <c r="A647" s="45"/>
      <c r="B647" s="215" t="str">
        <f>B605</f>
        <v>All Other</v>
      </c>
      <c r="C647" s="45"/>
      <c r="D647" s="335"/>
      <c r="E647" s="335"/>
      <c r="F647" s="335"/>
      <c r="G647" s="335"/>
      <c r="H647" s="335"/>
      <c r="I647" s="335"/>
      <c r="J647" s="335"/>
      <c r="K647" s="335"/>
      <c r="L647" s="335"/>
      <c r="M647" s="335"/>
      <c r="N647" s="335"/>
      <c r="O647" s="335"/>
      <c r="P647" s="335"/>
      <c r="Q647" s="335"/>
      <c r="R647" s="335"/>
      <c r="S647" s="335"/>
      <c r="T647" s="335"/>
      <c r="U647" s="335"/>
      <c r="V647" s="335"/>
      <c r="W647" s="335"/>
      <c r="X647" s="335"/>
      <c r="Y647" s="335"/>
      <c r="Z647" s="335"/>
      <c r="AA647" s="335"/>
      <c r="AB647" s="335"/>
      <c r="AC647" s="335"/>
      <c r="AD647" s="335"/>
      <c r="AE647" s="335"/>
      <c r="AF647" s="335"/>
      <c r="AG647" s="335"/>
      <c r="AH647" s="335"/>
      <c r="AI647" s="335"/>
      <c r="AJ647" s="335"/>
      <c r="AK647" s="335"/>
      <c r="AL647" s="335"/>
      <c r="AM647" s="335"/>
      <c r="AN647" s="335"/>
      <c r="AO647" s="335"/>
      <c r="AP647" s="335"/>
      <c r="AQ647" s="335"/>
      <c r="AR647" s="335"/>
      <c r="AS647" s="335"/>
      <c r="AT647" s="335"/>
      <c r="AU647" s="335"/>
      <c r="AV647" s="335"/>
      <c r="AW647" s="335"/>
      <c r="AX647" s="335"/>
      <c r="AY647" s="335"/>
      <c r="AZ647" s="335"/>
      <c r="BA647" s="335"/>
      <c r="BB647" s="335"/>
      <c r="BC647" s="335"/>
      <c r="BD647" s="335"/>
      <c r="BE647" s="335"/>
      <c r="BF647" s="335"/>
      <c r="BG647" s="335"/>
      <c r="BH647" s="335"/>
      <c r="BI647" s="335"/>
      <c r="BJ647" s="335"/>
      <c r="BK647" s="335"/>
      <c r="BL647" s="335"/>
      <c r="BM647" s="335"/>
      <c r="BN647" s="335"/>
      <c r="BO647" s="335"/>
      <c r="BP647" s="335"/>
      <c r="BQ647" s="335"/>
      <c r="BR647" s="335"/>
      <c r="BS647" s="335"/>
      <c r="BT647" s="335"/>
      <c r="BU647" s="335"/>
      <c r="BV647" s="335"/>
      <c r="BW647" s="335"/>
      <c r="BX647" s="335"/>
      <c r="BY647" s="335"/>
      <c r="BZ647" s="342"/>
      <c r="CA647" s="335">
        <f t="shared" ref="CA647:CM647" si="3205">CA605/BV605-1</f>
        <v>0.1619937695</v>
      </c>
      <c r="CB647" s="335">
        <f t="shared" si="3205"/>
        <v>0.1363636364</v>
      </c>
      <c r="CC647" s="335">
        <f t="shared" si="3205"/>
        <v>0.3166666667</v>
      </c>
      <c r="CD647" s="335">
        <f t="shared" si="3205"/>
        <v>0.3393393393</v>
      </c>
      <c r="CE647" s="342">
        <f t="shared" si="3205"/>
        <v>0.2375389408</v>
      </c>
      <c r="CF647" s="335">
        <f t="shared" si="3205"/>
        <v>-0.04557640751</v>
      </c>
      <c r="CG647" s="335">
        <f t="shared" si="3205"/>
        <v>-0.1493333333</v>
      </c>
      <c r="CH647" s="335">
        <f t="shared" si="3205"/>
        <v>0.0253164557</v>
      </c>
      <c r="CI647" s="335">
        <f t="shared" si="3205"/>
        <v>0.09192825112</v>
      </c>
      <c r="CJ647" s="342">
        <f t="shared" si="3205"/>
        <v>-0.01384518565</v>
      </c>
      <c r="CK647" s="335">
        <f t="shared" si="3205"/>
        <v>0.2275280899</v>
      </c>
      <c r="CL647" s="335">
        <f t="shared" si="3205"/>
        <v>0.3040752351</v>
      </c>
      <c r="CM647" s="335">
        <f t="shared" si="3205"/>
        <v>0.224691358</v>
      </c>
      <c r="CN647" s="343"/>
      <c r="CO647" s="342"/>
      <c r="CP647" s="343"/>
      <c r="CQ647" s="335"/>
      <c r="CR647" s="335"/>
      <c r="CS647" s="335"/>
      <c r="CT647" s="342"/>
      <c r="CU647" s="335"/>
      <c r="CV647" s="335"/>
      <c r="CW647" s="335"/>
      <c r="CX647" s="335"/>
      <c r="CY647" s="342"/>
      <c r="CZ647" s="335"/>
      <c r="DA647" s="335"/>
      <c r="DB647" s="335"/>
      <c r="DC647" s="335"/>
      <c r="DD647" s="342"/>
      <c r="DE647" s="335"/>
      <c r="DF647" s="335"/>
      <c r="DG647" s="343"/>
      <c r="DH647" s="335"/>
      <c r="DI647" s="342"/>
      <c r="DJ647" s="343"/>
      <c r="DK647" s="343"/>
      <c r="DL647" s="343"/>
      <c r="DM647" s="335"/>
      <c r="DN647" s="342"/>
      <c r="DO647" s="335"/>
      <c r="DP647" s="335"/>
      <c r="DQ647" s="335"/>
      <c r="DR647" s="335"/>
      <c r="DS647" s="342"/>
      <c r="DT647" s="335"/>
      <c r="DU647" s="335"/>
      <c r="DV647" s="335"/>
      <c r="DW647" s="335"/>
      <c r="DX647" s="342"/>
      <c r="DY647" s="335"/>
      <c r="DZ647" s="335"/>
      <c r="EA647" s="335"/>
      <c r="EB647" s="335"/>
      <c r="EC647" s="342"/>
      <c r="ED647" s="335"/>
      <c r="EE647" s="335"/>
      <c r="EF647" s="335"/>
      <c r="EG647" s="335"/>
      <c r="EH647" s="342"/>
      <c r="EI647" s="600"/>
      <c r="EJ647" s="335"/>
      <c r="EK647" s="335"/>
      <c r="EL647" s="335"/>
      <c r="EM647" s="342"/>
      <c r="EN647" s="335"/>
      <c r="EO647" s="335"/>
      <c r="EP647" s="335"/>
      <c r="EQ647" s="335"/>
      <c r="ER647" s="342"/>
      <c r="ES647" s="335"/>
      <c r="ET647" s="335"/>
      <c r="EU647" s="335"/>
      <c r="EV647" s="335"/>
      <c r="EW647" s="342"/>
      <c r="EX647" s="335"/>
      <c r="EY647" s="335"/>
      <c r="EZ647" s="335"/>
      <c r="FA647" s="335"/>
      <c r="FB647" s="342"/>
      <c r="FC647" s="335"/>
      <c r="FD647" s="335"/>
      <c r="FE647" s="335"/>
      <c r="FF647" s="335"/>
      <c r="FG647" s="342"/>
      <c r="FH647" s="343"/>
      <c r="FI647" s="335"/>
      <c r="FJ647" s="335"/>
      <c r="FK647" s="335"/>
      <c r="FL647" s="335"/>
    </row>
    <row r="648" ht="13.5" hidden="1" customHeight="1" outlineLevel="2">
      <c r="A648" s="4"/>
      <c r="B648" s="591" t="s">
        <v>293</v>
      </c>
      <c r="C648" s="529"/>
      <c r="D648" s="592"/>
      <c r="E648" s="592"/>
      <c r="F648" s="592"/>
      <c r="G648" s="592"/>
      <c r="H648" s="592"/>
      <c r="I648" s="592"/>
      <c r="J648" s="592"/>
      <c r="K648" s="592"/>
      <c r="L648" s="592"/>
      <c r="M648" s="592"/>
      <c r="N648" s="592"/>
      <c r="O648" s="592"/>
      <c r="P648" s="592"/>
      <c r="Q648" s="592"/>
      <c r="R648" s="592"/>
      <c r="S648" s="592"/>
      <c r="T648" s="592"/>
      <c r="U648" s="592"/>
      <c r="V648" s="592"/>
      <c r="W648" s="592"/>
      <c r="X648" s="592"/>
      <c r="Y648" s="592"/>
      <c r="Z648" s="592"/>
      <c r="AA648" s="592"/>
      <c r="AB648" s="592"/>
      <c r="AC648" s="592"/>
      <c r="AD648" s="592"/>
      <c r="AE648" s="592"/>
      <c r="AF648" s="592"/>
      <c r="AG648" s="592"/>
      <c r="AH648" s="592"/>
      <c r="AI648" s="592"/>
      <c r="AJ648" s="592"/>
      <c r="AK648" s="592"/>
      <c r="AL648" s="592"/>
      <c r="AM648" s="592"/>
      <c r="AN648" s="592"/>
      <c r="AO648" s="592"/>
      <c r="AP648" s="592"/>
      <c r="AQ648" s="592"/>
      <c r="AR648" s="592"/>
      <c r="AS648" s="592"/>
      <c r="AT648" s="592"/>
      <c r="AU648" s="592"/>
      <c r="AV648" s="592"/>
      <c r="AW648" s="592"/>
      <c r="AX648" s="592"/>
      <c r="AY648" s="592"/>
      <c r="AZ648" s="592"/>
      <c r="BA648" s="592"/>
      <c r="BB648" s="592"/>
      <c r="BC648" s="592"/>
      <c r="BD648" s="592"/>
      <c r="BE648" s="592"/>
      <c r="BF648" s="592"/>
      <c r="BG648" s="592"/>
      <c r="BH648" s="592"/>
      <c r="BI648" s="592"/>
      <c r="BJ648" s="592"/>
      <c r="BK648" s="592"/>
      <c r="BL648" s="592"/>
      <c r="BM648" s="592"/>
      <c r="BN648" s="592"/>
      <c r="BO648" s="592"/>
      <c r="BP648" s="592"/>
      <c r="BQ648" s="592"/>
      <c r="BR648" s="592"/>
      <c r="BS648" s="592"/>
      <c r="BT648" s="592"/>
      <c r="BU648" s="592"/>
      <c r="BV648" s="592"/>
      <c r="BW648" s="592"/>
      <c r="BX648" s="592"/>
      <c r="BY648" s="592"/>
      <c r="BZ648" s="593"/>
      <c r="CA648" s="592">
        <f>revGrowth</f>
        <v>0.2474026605</v>
      </c>
      <c r="CB648" s="592">
        <f>revGrowth</f>
        <v>0.2105898746</v>
      </c>
      <c r="CC648" s="592">
        <f>revGrowth</f>
        <v>0.2820212574</v>
      </c>
      <c r="CD648" s="592">
        <f>revGrowth</f>
        <v>0.2120974077</v>
      </c>
      <c r="CE648" s="593">
        <f>revGrowth</f>
        <v>0.2378561768</v>
      </c>
      <c r="CF648" s="592">
        <f>revGrowth</f>
        <v>0.00459251187</v>
      </c>
      <c r="CG648" s="592">
        <f>revGrowth</f>
        <v>0.0359883364</v>
      </c>
      <c r="CH648" s="592">
        <f>revGrowth</f>
        <v>-0.05452118317</v>
      </c>
      <c r="CI648" s="592">
        <f>revGrowth</f>
        <v>-0.02952401527</v>
      </c>
      <c r="CJ648" s="593">
        <f>revGrowth</f>
        <v>-0.01218541084</v>
      </c>
      <c r="CK648" s="592">
        <f>revGrowth</f>
        <v>-0.02525956919</v>
      </c>
      <c r="CL648" s="592">
        <f>revGrowth</f>
        <v>-0.05110732538</v>
      </c>
      <c r="CM648" s="592">
        <f>revGrowth</f>
        <v>0.001932079958</v>
      </c>
      <c r="CN648" s="594"/>
      <c r="CO648" s="593"/>
      <c r="CP648" s="594"/>
      <c r="CQ648" s="592"/>
      <c r="CR648" s="592"/>
      <c r="CS648" s="592"/>
      <c r="CT648" s="593"/>
      <c r="CU648" s="592"/>
      <c r="CV648" s="592"/>
      <c r="CW648" s="592"/>
      <c r="CX648" s="592"/>
      <c r="CY648" s="593"/>
      <c r="CZ648" s="592"/>
      <c r="DA648" s="592"/>
      <c r="DB648" s="592"/>
      <c r="DC648" s="592"/>
      <c r="DD648" s="593"/>
      <c r="DE648" s="592"/>
      <c r="DF648" s="592"/>
      <c r="DG648" s="343"/>
      <c r="DH648" s="592"/>
      <c r="DI648" s="593"/>
      <c r="DJ648" s="594"/>
      <c r="DK648" s="594"/>
      <c r="DL648" s="594"/>
      <c r="DM648" s="592"/>
      <c r="DN648" s="593"/>
      <c r="DO648" s="592"/>
      <c r="DP648" s="592"/>
      <c r="DQ648" s="592"/>
      <c r="DR648" s="592"/>
      <c r="DS648" s="593"/>
      <c r="DT648" s="592"/>
      <c r="DU648" s="592"/>
      <c r="DV648" s="592"/>
      <c r="DW648" s="592"/>
      <c r="DX648" s="593"/>
      <c r="DY648" s="592"/>
      <c r="DZ648" s="592"/>
      <c r="EA648" s="592"/>
      <c r="EB648" s="592"/>
      <c r="EC648" s="593"/>
      <c r="ED648" s="592"/>
      <c r="EE648" s="592"/>
      <c r="EF648" s="592"/>
      <c r="EG648" s="592"/>
      <c r="EH648" s="593"/>
      <c r="EI648" s="620"/>
      <c r="EJ648" s="592"/>
      <c r="EK648" s="592"/>
      <c r="EL648" s="592"/>
      <c r="EM648" s="593"/>
      <c r="EN648" s="592"/>
      <c r="EO648" s="592"/>
      <c r="EP648" s="592"/>
      <c r="EQ648" s="592"/>
      <c r="ER648" s="593"/>
      <c r="ES648" s="592"/>
      <c r="ET648" s="592"/>
      <c r="EU648" s="592"/>
      <c r="EV648" s="592"/>
      <c r="EW648" s="593"/>
      <c r="EX648" s="592"/>
      <c r="EY648" s="592"/>
      <c r="EZ648" s="592"/>
      <c r="FA648" s="592"/>
      <c r="FB648" s="593"/>
      <c r="FC648" s="592"/>
      <c r="FD648" s="592"/>
      <c r="FE648" s="592"/>
      <c r="FF648" s="592"/>
      <c r="FG648" s="593"/>
      <c r="FH648" s="594"/>
      <c r="FI648" s="592"/>
      <c r="FJ648" s="592"/>
      <c r="FK648" s="592"/>
      <c r="FL648" s="592"/>
    </row>
    <row r="649" ht="12.75" hidden="1" customHeight="1" outlineLevel="2">
      <c r="A649" s="4"/>
      <c r="B649" s="344"/>
      <c r="C649" s="112"/>
      <c r="D649" s="15"/>
      <c r="E649" s="15"/>
      <c r="F649" s="15"/>
      <c r="G649" s="15"/>
      <c r="H649" s="410"/>
      <c r="I649" s="15"/>
      <c r="J649" s="15"/>
      <c r="K649" s="15"/>
      <c r="L649" s="15"/>
      <c r="M649" s="410"/>
      <c r="N649" s="15"/>
      <c r="O649" s="15"/>
      <c r="P649" s="15"/>
      <c r="Q649" s="15"/>
      <c r="R649" s="410"/>
      <c r="S649" s="15"/>
      <c r="T649" s="15"/>
      <c r="U649" s="15"/>
      <c r="V649" s="15"/>
      <c r="W649" s="410"/>
      <c r="X649" s="15"/>
      <c r="Y649" s="15"/>
      <c r="Z649" s="15"/>
      <c r="AA649" s="15"/>
      <c r="AB649" s="410"/>
      <c r="AC649" s="15"/>
      <c r="AD649" s="15"/>
      <c r="AE649" s="15"/>
      <c r="AF649" s="15"/>
      <c r="AG649" s="410"/>
      <c r="AH649" s="15"/>
      <c r="AI649" s="15"/>
      <c r="AJ649" s="15"/>
      <c r="AK649" s="15"/>
      <c r="AL649" s="410"/>
      <c r="AM649" s="15"/>
      <c r="AN649" s="15"/>
      <c r="AO649" s="15"/>
      <c r="AP649" s="15"/>
      <c r="AQ649" s="410"/>
      <c r="AR649" s="15"/>
      <c r="AS649" s="15"/>
      <c r="AT649" s="15"/>
      <c r="AU649" s="15"/>
      <c r="AV649" s="410"/>
      <c r="AW649" s="15"/>
      <c r="AX649" s="15"/>
      <c r="AY649" s="15"/>
      <c r="AZ649" s="15"/>
      <c r="BA649" s="410"/>
      <c r="BB649" s="15"/>
      <c r="BC649" s="15"/>
      <c r="BD649" s="15"/>
      <c r="BE649" s="15"/>
      <c r="BF649" s="410"/>
      <c r="BG649" s="15"/>
      <c r="BH649" s="15"/>
      <c r="BI649" s="15"/>
      <c r="BJ649" s="15"/>
      <c r="BK649" s="410"/>
      <c r="BL649" s="15"/>
      <c r="BM649" s="15"/>
      <c r="BN649" s="15"/>
      <c r="BO649" s="15"/>
      <c r="BP649" s="410"/>
      <c r="BQ649" s="15"/>
      <c r="BR649" s="15"/>
      <c r="BS649" s="15"/>
      <c r="BT649" s="15"/>
      <c r="BU649" s="410"/>
      <c r="BV649" s="15"/>
      <c r="BW649" s="15"/>
      <c r="BX649" s="15"/>
      <c r="BY649" s="15"/>
      <c r="BZ649" s="24"/>
      <c r="CA649" s="15"/>
      <c r="CB649" s="15"/>
      <c r="CC649" s="15"/>
      <c r="CD649" s="15"/>
      <c r="CE649" s="24"/>
      <c r="CF649" s="15"/>
      <c r="CG649" s="15"/>
      <c r="CH649" s="15"/>
      <c r="CI649" s="15"/>
      <c r="CJ649" s="24"/>
      <c r="CK649" s="15"/>
      <c r="CL649" s="15"/>
      <c r="CM649" s="15"/>
      <c r="CN649" s="40"/>
      <c r="CO649" s="24"/>
      <c r="CP649" s="40"/>
      <c r="CQ649" s="15"/>
      <c r="CR649" s="15"/>
      <c r="CS649" s="15"/>
      <c r="CT649" s="24"/>
      <c r="CU649" s="15"/>
      <c r="CV649" s="15"/>
      <c r="CW649" s="15"/>
      <c r="CX649" s="15"/>
      <c r="CY649" s="24"/>
      <c r="CZ649" s="15"/>
      <c r="DA649" s="15"/>
      <c r="DB649" s="15"/>
      <c r="DC649" s="15"/>
      <c r="DD649" s="24"/>
      <c r="DE649" s="15"/>
      <c r="DF649" s="15"/>
      <c r="DG649" s="40"/>
      <c r="DH649" s="15"/>
      <c r="DI649" s="24"/>
      <c r="DJ649" s="40"/>
      <c r="DK649" s="40"/>
      <c r="DL649" s="40"/>
      <c r="DM649" s="15"/>
      <c r="DN649" s="24"/>
      <c r="DO649" s="15"/>
      <c r="DP649" s="15"/>
      <c r="DQ649" s="15"/>
      <c r="DR649" s="15"/>
      <c r="DS649" s="24"/>
      <c r="DT649" s="15"/>
      <c r="DU649" s="15"/>
      <c r="DV649" s="15"/>
      <c r="DW649" s="15"/>
      <c r="DX649" s="24"/>
      <c r="DY649" s="15"/>
      <c r="DZ649" s="15"/>
      <c r="EA649" s="15"/>
      <c r="EB649" s="15"/>
      <c r="EC649" s="24"/>
      <c r="ED649" s="15"/>
      <c r="EE649" s="15"/>
      <c r="EF649" s="15"/>
      <c r="EG649" s="15"/>
      <c r="EH649" s="24"/>
      <c r="EI649" s="82"/>
      <c r="EJ649" s="15"/>
      <c r="EK649" s="15"/>
      <c r="EL649" s="15"/>
      <c r="EM649" s="24"/>
      <c r="EN649" s="15"/>
      <c r="EO649" s="15"/>
      <c r="EP649" s="15"/>
      <c r="EQ649" s="15"/>
      <c r="ER649" s="24"/>
      <c r="ES649" s="15"/>
      <c r="ET649" s="15"/>
      <c r="EU649" s="15"/>
      <c r="EV649" s="15"/>
      <c r="EW649" s="24"/>
      <c r="EX649" s="15"/>
      <c r="EY649" s="15"/>
      <c r="EZ649" s="15"/>
      <c r="FA649" s="15"/>
      <c r="FB649" s="24"/>
      <c r="FC649" s="15"/>
      <c r="FD649" s="15"/>
      <c r="FE649" s="15"/>
      <c r="FF649" s="15"/>
      <c r="FG649" s="24"/>
      <c r="FH649" s="104"/>
      <c r="FI649" s="15"/>
      <c r="FJ649" s="15"/>
      <c r="FK649" s="410"/>
      <c r="FL649" s="15"/>
    </row>
    <row r="650" ht="12.75" hidden="1" customHeight="1" outlineLevel="2">
      <c r="A650" s="4"/>
      <c r="B650" s="601" t="s">
        <v>294</v>
      </c>
      <c r="C650" s="45"/>
      <c r="D650" s="4"/>
      <c r="E650" s="4"/>
      <c r="F650" s="4"/>
      <c r="G650" s="4"/>
      <c r="H650" s="45"/>
      <c r="I650" s="4"/>
      <c r="J650" s="4"/>
      <c r="K650" s="4"/>
      <c r="L650" s="4"/>
      <c r="M650" s="45"/>
      <c r="N650" s="4"/>
      <c r="O650" s="4"/>
      <c r="P650" s="4"/>
      <c r="Q650" s="4"/>
      <c r="R650" s="45"/>
      <c r="S650" s="4"/>
      <c r="T650" s="4"/>
      <c r="U650" s="4"/>
      <c r="V650" s="4"/>
      <c r="W650" s="45"/>
      <c r="X650" s="4"/>
      <c r="Y650" s="4"/>
      <c r="Z650" s="4"/>
      <c r="AA650" s="4"/>
      <c r="AB650" s="45"/>
      <c r="AC650" s="4"/>
      <c r="AD650" s="4"/>
      <c r="AE650" s="4"/>
      <c r="AF650" s="4"/>
      <c r="AG650" s="45"/>
      <c r="AH650" s="4"/>
      <c r="AI650" s="4"/>
      <c r="AJ650" s="4"/>
      <c r="AK650" s="4"/>
      <c r="AL650" s="45"/>
      <c r="AM650" s="4"/>
      <c r="AN650" s="4"/>
      <c r="AO650" s="4"/>
      <c r="AP650" s="4"/>
      <c r="AQ650" s="45"/>
      <c r="AR650" s="4"/>
      <c r="AS650" s="4"/>
      <c r="AT650" s="4"/>
      <c r="AU650" s="4"/>
      <c r="AV650" s="45"/>
      <c r="AW650" s="4"/>
      <c r="AX650" s="4"/>
      <c r="AY650" s="4"/>
      <c r="AZ650" s="4"/>
      <c r="BA650" s="45"/>
      <c r="BB650" s="4"/>
      <c r="BC650" s="4"/>
      <c r="BD650" s="4"/>
      <c r="BE650" s="4"/>
      <c r="BF650" s="45"/>
      <c r="BG650" s="4"/>
      <c r="BH650" s="4"/>
      <c r="BI650" s="4"/>
      <c r="BJ650" s="4"/>
      <c r="BK650" s="45"/>
      <c r="BL650" s="4"/>
      <c r="BM650" s="4"/>
      <c r="BN650" s="4"/>
      <c r="BO650" s="4"/>
      <c r="BP650" s="45"/>
      <c r="BQ650" s="4"/>
      <c r="BR650" s="4"/>
      <c r="BS650" s="4"/>
      <c r="BT650" s="4"/>
      <c r="BU650" s="45"/>
      <c r="BV650" s="4"/>
      <c r="BW650" s="4"/>
      <c r="BX650" s="4"/>
      <c r="BY650" s="4"/>
      <c r="BZ650" s="350"/>
      <c r="CA650" s="4"/>
      <c r="CB650" s="4"/>
      <c r="CC650" s="4"/>
      <c r="CD650" s="4"/>
      <c r="CE650" s="350"/>
      <c r="CF650" s="4"/>
      <c r="CG650" s="4"/>
      <c r="CH650" s="4"/>
      <c r="CI650" s="4"/>
      <c r="CJ650" s="350"/>
      <c r="CK650" s="4"/>
      <c r="CL650" s="4"/>
      <c r="CM650" s="4"/>
      <c r="CN650" s="16"/>
      <c r="CO650" s="350"/>
      <c r="CP650" s="16"/>
      <c r="CQ650" s="4"/>
      <c r="CR650" s="4"/>
      <c r="CS650" s="4"/>
      <c r="CT650" s="350"/>
      <c r="CU650" s="4"/>
      <c r="CV650" s="4"/>
      <c r="CW650" s="4"/>
      <c r="CX650" s="4"/>
      <c r="CY650" s="350"/>
      <c r="CZ650" s="4"/>
      <c r="DA650" s="4"/>
      <c r="DB650" s="4"/>
      <c r="DC650" s="4"/>
      <c r="DD650" s="350"/>
      <c r="DE650" s="4"/>
      <c r="DF650" s="4"/>
      <c r="DG650" s="16"/>
      <c r="DH650" s="4"/>
      <c r="DI650" s="350"/>
      <c r="DJ650" s="16"/>
      <c r="DK650" s="16"/>
      <c r="DL650" s="16"/>
      <c r="DM650" s="4"/>
      <c r="DN650" s="350"/>
      <c r="DO650" s="4"/>
      <c r="DP650" s="4"/>
      <c r="DQ650" s="4"/>
      <c r="DR650" s="4"/>
      <c r="DS650" s="350"/>
      <c r="DT650" s="4"/>
      <c r="DU650" s="4"/>
      <c r="DV650" s="4"/>
      <c r="DW650" s="4"/>
      <c r="DX650" s="350"/>
      <c r="DY650" s="4"/>
      <c r="DZ650" s="4"/>
      <c r="EA650" s="4"/>
      <c r="EB650" s="4"/>
      <c r="EC650" s="350"/>
      <c r="ED650" s="4"/>
      <c r="EE650" s="4"/>
      <c r="EF650" s="4"/>
      <c r="EG650" s="4"/>
      <c r="EH650" s="350"/>
      <c r="EI650" s="214"/>
      <c r="EJ650" s="4"/>
      <c r="EK650" s="4"/>
      <c r="EL650" s="4"/>
      <c r="EM650" s="350"/>
      <c r="EN650" s="4"/>
      <c r="EO650" s="4"/>
      <c r="EP650" s="4"/>
      <c r="EQ650" s="4"/>
      <c r="ER650" s="350"/>
      <c r="ES650" s="4"/>
      <c r="ET650" s="4"/>
      <c r="EU650" s="4"/>
      <c r="EV650" s="4"/>
      <c r="EW650" s="350"/>
      <c r="EX650" s="4"/>
      <c r="EY650" s="4"/>
      <c r="EZ650" s="4"/>
      <c r="FA650" s="4"/>
      <c r="FB650" s="350"/>
      <c r="FC650" s="4"/>
      <c r="FD650" s="4"/>
      <c r="FE650" s="4"/>
      <c r="FF650" s="4"/>
      <c r="FG650" s="350"/>
      <c r="FH650" s="145"/>
      <c r="FI650" s="4"/>
      <c r="FJ650" s="4"/>
      <c r="FK650" s="45"/>
      <c r="FL650" s="4"/>
    </row>
    <row r="651" ht="12.75" hidden="1" customHeight="1" outlineLevel="2">
      <c r="A651" s="45"/>
      <c r="B651" s="215" t="str">
        <f>B593</f>
        <v>PC Client Group</v>
      </c>
      <c r="C651" s="45"/>
      <c r="D651" s="17"/>
      <c r="E651" s="17"/>
      <c r="F651" s="17"/>
      <c r="G651" s="17"/>
      <c r="H651" s="112"/>
      <c r="I651" s="17"/>
      <c r="J651" s="17"/>
      <c r="K651" s="17"/>
      <c r="L651" s="17"/>
      <c r="M651" s="112"/>
      <c r="N651" s="17"/>
      <c r="O651" s="17"/>
      <c r="P651" s="17"/>
      <c r="Q651" s="17"/>
      <c r="R651" s="112"/>
      <c r="S651" s="17"/>
      <c r="T651" s="17"/>
      <c r="U651" s="17"/>
      <c r="V651" s="17"/>
      <c r="W651" s="112"/>
      <c r="X651" s="17"/>
      <c r="Y651" s="17"/>
      <c r="Z651" s="17"/>
      <c r="AA651" s="17"/>
      <c r="AB651" s="112"/>
      <c r="AC651" s="17"/>
      <c r="AD651" s="17"/>
      <c r="AE651" s="17"/>
      <c r="AF651" s="17"/>
      <c r="AG651" s="112"/>
      <c r="AH651" s="17"/>
      <c r="AI651" s="17"/>
      <c r="AJ651" s="17"/>
      <c r="AK651" s="17"/>
      <c r="AL651" s="112"/>
      <c r="AM651" s="17"/>
      <c r="AN651" s="17"/>
      <c r="AO651" s="17"/>
      <c r="AP651" s="17"/>
      <c r="AQ651" s="112"/>
      <c r="AR651" s="17"/>
      <c r="AS651" s="17"/>
      <c r="AT651" s="17"/>
      <c r="AU651" s="17"/>
      <c r="AV651" s="112"/>
      <c r="AW651" s="17"/>
      <c r="AX651" s="17"/>
      <c r="AY651" s="17"/>
      <c r="AZ651" s="17"/>
      <c r="BA651" s="112"/>
      <c r="BB651" s="17"/>
      <c r="BC651" s="17"/>
      <c r="BD651" s="17"/>
      <c r="BE651" s="17"/>
      <c r="BF651" s="112"/>
      <c r="BG651" s="17"/>
      <c r="BH651" s="17"/>
      <c r="BI651" s="17"/>
      <c r="BJ651" s="17"/>
      <c r="BK651" s="112">
        <v>7585.0</v>
      </c>
      <c r="BL651" s="17"/>
      <c r="BM651" s="17"/>
      <c r="BN651" s="17"/>
      <c r="BO651" s="17"/>
      <c r="BP651" s="112"/>
      <c r="BQ651" s="17"/>
      <c r="BR651" s="17"/>
      <c r="BS651" s="17"/>
      <c r="BT651" s="17"/>
      <c r="BU651" s="112"/>
      <c r="BV651" s="17">
        <v>3087.0</v>
      </c>
      <c r="BW651" s="17">
        <v>3333.0</v>
      </c>
      <c r="BX651" s="17">
        <v>3345.0</v>
      </c>
      <c r="BY651" s="17">
        <v>3206.0</v>
      </c>
      <c r="BZ651" s="80">
        <v>12971.0</v>
      </c>
      <c r="CA651" s="17">
        <v>3543.0</v>
      </c>
      <c r="CB651" s="17">
        <v>3284.0</v>
      </c>
      <c r="CC651" s="17">
        <v>4014.0</v>
      </c>
      <c r="CD651" s="17">
        <v>3952.0</v>
      </c>
      <c r="CE651" s="80">
        <v>14793.0</v>
      </c>
      <c r="CF651" s="17">
        <v>3483.0</v>
      </c>
      <c r="CG651" s="17">
        <v>3416.0</v>
      </c>
      <c r="CH651" s="17">
        <v>3337.0</v>
      </c>
      <c r="CI651" s="17">
        <v>2817.0</v>
      </c>
      <c r="CJ651" s="80">
        <f t="shared" ref="CJ651:CJ656" si="3207">SUM(CF651:CI651)</f>
        <v>13053</v>
      </c>
      <c r="CK651" s="17">
        <f t="shared" ref="CK651:CM651" si="3206">+CK567</f>
        <v>2513</v>
      </c>
      <c r="CL651" s="17">
        <f t="shared" si="3206"/>
        <v>2659</v>
      </c>
      <c r="CM651" s="17">
        <f t="shared" si="3206"/>
        <v>3260</v>
      </c>
      <c r="CN651" s="19"/>
      <c r="CO651" s="80"/>
      <c r="CP651" s="19"/>
      <c r="CQ651" s="17"/>
      <c r="CR651" s="17"/>
      <c r="CS651" s="17"/>
      <c r="CT651" s="80"/>
      <c r="CU651" s="17"/>
      <c r="CV651" s="17"/>
      <c r="CW651" s="17"/>
      <c r="CX651" s="17"/>
      <c r="CY651" s="80"/>
      <c r="CZ651" s="17"/>
      <c r="DA651" s="17"/>
      <c r="DB651" s="17"/>
      <c r="DC651" s="17"/>
      <c r="DD651" s="80"/>
      <c r="DE651" s="17"/>
      <c r="DF651" s="17"/>
      <c r="DG651" s="19"/>
      <c r="DH651" s="17"/>
      <c r="DI651" s="80"/>
      <c r="DJ651" s="19"/>
      <c r="DK651" s="19"/>
      <c r="DL651" s="19"/>
      <c r="DM651" s="17"/>
      <c r="DN651" s="80"/>
      <c r="DO651" s="17"/>
      <c r="DP651" s="17"/>
      <c r="DQ651" s="17"/>
      <c r="DR651" s="17"/>
      <c r="DS651" s="80"/>
      <c r="DT651" s="17"/>
      <c r="DU651" s="17"/>
      <c r="DV651" s="17"/>
      <c r="DW651" s="17"/>
      <c r="DX651" s="80"/>
      <c r="DY651" s="17"/>
      <c r="DZ651" s="17"/>
      <c r="EA651" s="17"/>
      <c r="EB651" s="17"/>
      <c r="EC651" s="80"/>
      <c r="ED651" s="17"/>
      <c r="EE651" s="17"/>
      <c r="EF651" s="17"/>
      <c r="EG651" s="17"/>
      <c r="EH651" s="80"/>
      <c r="EI651" s="25"/>
      <c r="EJ651" s="17"/>
      <c r="EK651" s="17"/>
      <c r="EL651" s="17"/>
      <c r="EM651" s="80"/>
      <c r="EN651" s="17"/>
      <c r="EO651" s="17"/>
      <c r="EP651" s="17"/>
      <c r="EQ651" s="17"/>
      <c r="ER651" s="80"/>
      <c r="ES651" s="17"/>
      <c r="ET651" s="17"/>
      <c r="EU651" s="17"/>
      <c r="EV651" s="17"/>
      <c r="EW651" s="80"/>
      <c r="EX651" s="17"/>
      <c r="EY651" s="17"/>
      <c r="EZ651" s="17"/>
      <c r="FA651" s="17"/>
      <c r="FB651" s="80"/>
      <c r="FC651" s="17"/>
      <c r="FD651" s="17"/>
      <c r="FE651" s="17"/>
      <c r="FF651" s="17"/>
      <c r="FG651" s="80"/>
      <c r="FH651" s="146"/>
      <c r="FI651" s="17"/>
      <c r="FJ651" s="17"/>
      <c r="FK651" s="112"/>
      <c r="FL651" s="17"/>
    </row>
    <row r="652" ht="12.75" hidden="1" customHeight="1" outlineLevel="2">
      <c r="A652" s="45"/>
      <c r="B652" s="215" t="str">
        <f>B596</f>
        <v>Data Center Group</v>
      </c>
      <c r="C652" s="45"/>
      <c r="D652" s="17"/>
      <c r="E652" s="17"/>
      <c r="F652" s="17"/>
      <c r="G652" s="17"/>
      <c r="H652" s="112"/>
      <c r="I652" s="17"/>
      <c r="J652" s="17"/>
      <c r="K652" s="17"/>
      <c r="L652" s="17"/>
      <c r="M652" s="112"/>
      <c r="N652" s="17"/>
      <c r="O652" s="17"/>
      <c r="P652" s="17"/>
      <c r="Q652" s="17"/>
      <c r="R652" s="112"/>
      <c r="S652" s="17"/>
      <c r="T652" s="17"/>
      <c r="U652" s="17"/>
      <c r="V652" s="17"/>
      <c r="W652" s="112"/>
      <c r="X652" s="17"/>
      <c r="Y652" s="17"/>
      <c r="Z652" s="17"/>
      <c r="AA652" s="17"/>
      <c r="AB652" s="112"/>
      <c r="AC652" s="17"/>
      <c r="AD652" s="17"/>
      <c r="AE652" s="17"/>
      <c r="AF652" s="17"/>
      <c r="AG652" s="112"/>
      <c r="AH652" s="17"/>
      <c r="AI652" s="17"/>
      <c r="AJ652" s="17"/>
      <c r="AK652" s="17"/>
      <c r="AL652" s="112"/>
      <c r="AM652" s="17"/>
      <c r="AN652" s="17"/>
      <c r="AO652" s="17"/>
      <c r="AP652" s="17"/>
      <c r="AQ652" s="112"/>
      <c r="AR652" s="17"/>
      <c r="AS652" s="17"/>
      <c r="AT652" s="17"/>
      <c r="AU652" s="17"/>
      <c r="AV652" s="112"/>
      <c r="AW652" s="17"/>
      <c r="AX652" s="17"/>
      <c r="AY652" s="17"/>
      <c r="AZ652" s="17"/>
      <c r="BA652" s="112"/>
      <c r="BB652" s="17"/>
      <c r="BC652" s="17"/>
      <c r="BD652" s="17"/>
      <c r="BE652" s="17"/>
      <c r="BF652" s="112"/>
      <c r="BG652" s="17"/>
      <c r="BH652" s="17"/>
      <c r="BI652" s="17"/>
      <c r="BJ652" s="17"/>
      <c r="BK652" s="112">
        <v>2105.0</v>
      </c>
      <c r="BL652" s="17"/>
      <c r="BM652" s="17"/>
      <c r="BN652" s="17"/>
      <c r="BO652" s="17"/>
      <c r="BP652" s="112"/>
      <c r="BQ652" s="17"/>
      <c r="BR652" s="17"/>
      <c r="BS652" s="17"/>
      <c r="BT652" s="17"/>
      <c r="BU652" s="112"/>
      <c r="BV652" s="17">
        <v>833.0</v>
      </c>
      <c r="BW652" s="17">
        <v>1061.0</v>
      </c>
      <c r="BX652" s="17">
        <v>1068.0</v>
      </c>
      <c r="BY652" s="17">
        <v>1426.0</v>
      </c>
      <c r="BZ652" s="80">
        <v>4388.0</v>
      </c>
      <c r="CA652" s="17">
        <v>1222.0</v>
      </c>
      <c r="CB652" s="17">
        <v>1204.0</v>
      </c>
      <c r="CC652" s="17">
        <v>1221.0</v>
      </c>
      <c r="CD652" s="17">
        <v>1453.0</v>
      </c>
      <c r="CE652" s="80">
        <v>5100.0</v>
      </c>
      <c r="CF652" s="17">
        <v>1143.0</v>
      </c>
      <c r="CG652" s="17">
        <v>1389.0</v>
      </c>
      <c r="CH652" s="17">
        <v>1212.0</v>
      </c>
      <c r="CI652" s="17">
        <v>1329.0</v>
      </c>
      <c r="CJ652" s="80">
        <f t="shared" si="3207"/>
        <v>5073</v>
      </c>
      <c r="CK652" s="17">
        <f t="shared" ref="CK652:CM652" si="3208">+CK568</f>
        <v>1079</v>
      </c>
      <c r="CL652" s="17">
        <f t="shared" si="3208"/>
        <v>1230</v>
      </c>
      <c r="CM652" s="17">
        <f t="shared" si="3208"/>
        <v>1393</v>
      </c>
      <c r="CN652" s="19"/>
      <c r="CO652" s="80"/>
      <c r="CP652" s="19"/>
      <c r="CQ652" s="17"/>
      <c r="CR652" s="17"/>
      <c r="CS652" s="17"/>
      <c r="CT652" s="80"/>
      <c r="CU652" s="17"/>
      <c r="CV652" s="17"/>
      <c r="CW652" s="17"/>
      <c r="CX652" s="17"/>
      <c r="CY652" s="80"/>
      <c r="CZ652" s="17"/>
      <c r="DA652" s="17"/>
      <c r="DB652" s="17"/>
      <c r="DC652" s="17"/>
      <c r="DD652" s="80"/>
      <c r="DE652" s="17"/>
      <c r="DF652" s="17"/>
      <c r="DG652" s="19"/>
      <c r="DH652" s="17"/>
      <c r="DI652" s="80"/>
      <c r="DJ652" s="19"/>
      <c r="DK652" s="19"/>
      <c r="DL652" s="19"/>
      <c r="DM652" s="17"/>
      <c r="DN652" s="80"/>
      <c r="DO652" s="17"/>
      <c r="DP652" s="17"/>
      <c r="DQ652" s="17"/>
      <c r="DR652" s="17"/>
      <c r="DS652" s="80"/>
      <c r="DT652" s="17"/>
      <c r="DU652" s="17"/>
      <c r="DV652" s="17"/>
      <c r="DW652" s="17"/>
      <c r="DX652" s="80"/>
      <c r="DY652" s="17"/>
      <c r="DZ652" s="17"/>
      <c r="EA652" s="17"/>
      <c r="EB652" s="17"/>
      <c r="EC652" s="80"/>
      <c r="ED652" s="17"/>
      <c r="EE652" s="17"/>
      <c r="EF652" s="17"/>
      <c r="EG652" s="17"/>
      <c r="EH652" s="80"/>
      <c r="EI652" s="25"/>
      <c r="EJ652" s="17"/>
      <c r="EK652" s="17"/>
      <c r="EL652" s="17"/>
      <c r="EM652" s="80"/>
      <c r="EN652" s="17"/>
      <c r="EO652" s="17"/>
      <c r="EP652" s="17"/>
      <c r="EQ652" s="17"/>
      <c r="ER652" s="80"/>
      <c r="ES652" s="17"/>
      <c r="ET652" s="17"/>
      <c r="EU652" s="17"/>
      <c r="EV652" s="17"/>
      <c r="EW652" s="80"/>
      <c r="EX652" s="17"/>
      <c r="EY652" s="17"/>
      <c r="EZ652" s="17"/>
      <c r="FA652" s="17"/>
      <c r="FB652" s="80"/>
      <c r="FC652" s="17"/>
      <c r="FD652" s="17"/>
      <c r="FE652" s="17"/>
      <c r="FF652" s="17"/>
      <c r="FG652" s="80"/>
      <c r="FH652" s="146"/>
      <c r="FI652" s="17"/>
      <c r="FJ652" s="17"/>
      <c r="FK652" s="112"/>
      <c r="FL652" s="17"/>
    </row>
    <row r="653" ht="12.75" hidden="1" customHeight="1" outlineLevel="2">
      <c r="A653" s="45"/>
      <c r="B653" s="215" t="str">
        <f t="shared" ref="B653:B654" si="3210">B599</f>
        <v>Other IAG</v>
      </c>
      <c r="C653" s="45"/>
      <c r="D653" s="17"/>
      <c r="E653" s="17"/>
      <c r="F653" s="17"/>
      <c r="G653" s="17"/>
      <c r="H653" s="112"/>
      <c r="I653" s="17"/>
      <c r="J653" s="17"/>
      <c r="K653" s="17"/>
      <c r="L653" s="17"/>
      <c r="M653" s="112"/>
      <c r="N653" s="17"/>
      <c r="O653" s="17"/>
      <c r="P653" s="17"/>
      <c r="Q653" s="17"/>
      <c r="R653" s="112"/>
      <c r="S653" s="17"/>
      <c r="T653" s="17"/>
      <c r="U653" s="17"/>
      <c r="V653" s="17"/>
      <c r="W653" s="112"/>
      <c r="X653" s="17"/>
      <c r="Y653" s="17"/>
      <c r="Z653" s="17"/>
      <c r="AA653" s="17"/>
      <c r="AB653" s="112"/>
      <c r="AC653" s="17"/>
      <c r="AD653" s="17"/>
      <c r="AE653" s="17"/>
      <c r="AF653" s="17"/>
      <c r="AG653" s="112"/>
      <c r="AH653" s="17"/>
      <c r="AI653" s="17"/>
      <c r="AJ653" s="17"/>
      <c r="AK653" s="17"/>
      <c r="AL653" s="112"/>
      <c r="AM653" s="17"/>
      <c r="AN653" s="17"/>
      <c r="AO653" s="17"/>
      <c r="AP653" s="17"/>
      <c r="AQ653" s="112"/>
      <c r="AR653" s="17"/>
      <c r="AS653" s="17"/>
      <c r="AT653" s="17"/>
      <c r="AU653" s="17"/>
      <c r="AV653" s="112"/>
      <c r="AW653" s="17"/>
      <c r="AX653" s="17"/>
      <c r="AY653" s="17"/>
      <c r="AZ653" s="17"/>
      <c r="BA653" s="112"/>
      <c r="BB653" s="17"/>
      <c r="BC653" s="17"/>
      <c r="BD653" s="17"/>
      <c r="BE653" s="17"/>
      <c r="BF653" s="112"/>
      <c r="BG653" s="17"/>
      <c r="BH653" s="17"/>
      <c r="BI653" s="17"/>
      <c r="BJ653" s="17"/>
      <c r="BK653" s="112">
        <v>47.0</v>
      </c>
      <c r="BL653" s="17"/>
      <c r="BM653" s="17"/>
      <c r="BN653" s="17"/>
      <c r="BO653" s="17"/>
      <c r="BP653" s="112"/>
      <c r="BQ653" s="17"/>
      <c r="BR653" s="17"/>
      <c r="BS653" s="17"/>
      <c r="BT653" s="17"/>
      <c r="BU653" s="112"/>
      <c r="BV653" s="17">
        <v>26.0</v>
      </c>
      <c r="BW653" s="17">
        <v>76.0</v>
      </c>
      <c r="BX653" s="17">
        <v>92.0</v>
      </c>
      <c r="BY653" s="17">
        <v>76.0</v>
      </c>
      <c r="BZ653" s="80">
        <v>270.0</v>
      </c>
      <c r="CA653" s="17">
        <v>-36.0</v>
      </c>
      <c r="CB653" s="17">
        <v>-33.0</v>
      </c>
      <c r="CC653" s="17">
        <v>-140.0</v>
      </c>
      <c r="CD653" s="17">
        <v>-368.0</v>
      </c>
      <c r="CE653" s="80">
        <v>-577.0</v>
      </c>
      <c r="CF653" s="17">
        <v>-312.0</v>
      </c>
      <c r="CG653" s="17">
        <v>-335.0</v>
      </c>
      <c r="CH653" s="17">
        <v>-235.0</v>
      </c>
      <c r="CI653" s="17">
        <v>-495.0</v>
      </c>
      <c r="CJ653" s="80">
        <f t="shared" si="3207"/>
        <v>-1377</v>
      </c>
      <c r="CK653" s="17">
        <f t="shared" ref="CK653:CM653" si="3209">+CK571</f>
        <v>-611</v>
      </c>
      <c r="CL653" s="17">
        <f t="shared" si="3209"/>
        <v>-608</v>
      </c>
      <c r="CM653" s="17">
        <f t="shared" si="3209"/>
        <v>-606</v>
      </c>
      <c r="CN653" s="19"/>
      <c r="CO653" s="80"/>
      <c r="CP653" s="19"/>
      <c r="CQ653" s="17"/>
      <c r="CR653" s="17"/>
      <c r="CS653" s="17"/>
      <c r="CT653" s="80"/>
      <c r="CU653" s="17"/>
      <c r="CV653" s="17"/>
      <c r="CW653" s="17"/>
      <c r="CX653" s="17"/>
      <c r="CY653" s="80"/>
      <c r="CZ653" s="17"/>
      <c r="DA653" s="17"/>
      <c r="DB653" s="17"/>
      <c r="DC653" s="17"/>
      <c r="DD653" s="80"/>
      <c r="DE653" s="17"/>
      <c r="DF653" s="17"/>
      <c r="DG653" s="19"/>
      <c r="DH653" s="17"/>
      <c r="DI653" s="80"/>
      <c r="DJ653" s="19"/>
      <c r="DK653" s="19"/>
      <c r="DL653" s="19"/>
      <c r="DM653" s="17"/>
      <c r="DN653" s="80"/>
      <c r="DO653" s="17"/>
      <c r="DP653" s="17"/>
      <c r="DQ653" s="17"/>
      <c r="DR653" s="17"/>
      <c r="DS653" s="80"/>
      <c r="DT653" s="17"/>
      <c r="DU653" s="17"/>
      <c r="DV653" s="17"/>
      <c r="DW653" s="17"/>
      <c r="DX653" s="80"/>
      <c r="DY653" s="17"/>
      <c r="DZ653" s="17"/>
      <c r="EA653" s="17"/>
      <c r="EB653" s="17"/>
      <c r="EC653" s="80"/>
      <c r="ED653" s="17"/>
      <c r="EE653" s="17"/>
      <c r="EF653" s="17"/>
      <c r="EG653" s="17"/>
      <c r="EH653" s="80"/>
      <c r="EI653" s="25"/>
      <c r="EJ653" s="17"/>
      <c r="EK653" s="17"/>
      <c r="EL653" s="17"/>
      <c r="EM653" s="80"/>
      <c r="EN653" s="17"/>
      <c r="EO653" s="17"/>
      <c r="EP653" s="17"/>
      <c r="EQ653" s="17"/>
      <c r="ER653" s="80"/>
      <c r="ES653" s="17"/>
      <c r="ET653" s="17"/>
      <c r="EU653" s="17"/>
      <c r="EV653" s="17"/>
      <c r="EW653" s="80"/>
      <c r="EX653" s="17"/>
      <c r="EY653" s="17"/>
      <c r="EZ653" s="17"/>
      <c r="FA653" s="17"/>
      <c r="FB653" s="80"/>
      <c r="FC653" s="17"/>
      <c r="FD653" s="17"/>
      <c r="FE653" s="17"/>
      <c r="FF653" s="17"/>
      <c r="FG653" s="80"/>
      <c r="FH653" s="146"/>
      <c r="FI653" s="17"/>
      <c r="FJ653" s="17"/>
      <c r="FK653" s="112"/>
      <c r="FL653" s="17"/>
    </row>
    <row r="654" ht="12.75" hidden="1" customHeight="1" outlineLevel="2">
      <c r="A654" s="45"/>
      <c r="B654" s="215" t="str">
        <f t="shared" si="3210"/>
        <v>IAG Subtotal</v>
      </c>
      <c r="C654" s="45"/>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12"/>
      <c r="BE654" s="112"/>
      <c r="BF654" s="112"/>
      <c r="BG654" s="112"/>
      <c r="BH654" s="112"/>
      <c r="BI654" s="112"/>
      <c r="BJ654" s="112"/>
      <c r="BK654" s="112"/>
      <c r="BL654" s="112"/>
      <c r="BM654" s="112"/>
      <c r="BN654" s="112"/>
      <c r="BO654" s="112"/>
      <c r="BP654" s="112"/>
      <c r="BQ654" s="112"/>
      <c r="BR654" s="112"/>
      <c r="BS654" s="112"/>
      <c r="BT654" s="112"/>
      <c r="BU654" s="112"/>
      <c r="BV654" s="112">
        <f t="shared" ref="BV654:CI654" si="3211">SUM(BV651:BV653)</f>
        <v>3946</v>
      </c>
      <c r="BW654" s="112">
        <f t="shared" si="3211"/>
        <v>4470</v>
      </c>
      <c r="BX654" s="112">
        <f t="shared" si="3211"/>
        <v>4505</v>
      </c>
      <c r="BY654" s="112">
        <f t="shared" si="3211"/>
        <v>4708</v>
      </c>
      <c r="BZ654" s="80">
        <f t="shared" si="3211"/>
        <v>17629</v>
      </c>
      <c r="CA654" s="112">
        <f t="shared" si="3211"/>
        <v>4729</v>
      </c>
      <c r="CB654" s="112">
        <f t="shared" si="3211"/>
        <v>4455</v>
      </c>
      <c r="CC654" s="112">
        <f t="shared" si="3211"/>
        <v>5095</v>
      </c>
      <c r="CD654" s="112">
        <f t="shared" si="3211"/>
        <v>5037</v>
      </c>
      <c r="CE654" s="80">
        <f t="shared" si="3211"/>
        <v>19316</v>
      </c>
      <c r="CF654" s="112">
        <f t="shared" si="3211"/>
        <v>4314</v>
      </c>
      <c r="CG654" s="112">
        <f t="shared" si="3211"/>
        <v>4470</v>
      </c>
      <c r="CH654" s="112">
        <f t="shared" si="3211"/>
        <v>4314</v>
      </c>
      <c r="CI654" s="112">
        <f t="shared" si="3211"/>
        <v>3651</v>
      </c>
      <c r="CJ654" s="80">
        <f t="shared" si="3207"/>
        <v>16749</v>
      </c>
      <c r="CK654" s="17">
        <f t="shared" ref="CK654:CM654" si="3212">+CK572</f>
        <v>2345</v>
      </c>
      <c r="CL654" s="17">
        <f t="shared" si="3212"/>
        <v>2643</v>
      </c>
      <c r="CM654" s="17">
        <f t="shared" si="3212"/>
        <v>3389</v>
      </c>
      <c r="CN654" s="146"/>
      <c r="CO654" s="80"/>
      <c r="CP654" s="146"/>
      <c r="CQ654" s="112"/>
      <c r="CR654" s="112"/>
      <c r="CS654" s="112"/>
      <c r="CT654" s="80"/>
      <c r="CU654" s="112"/>
      <c r="CV654" s="112"/>
      <c r="CW654" s="112"/>
      <c r="CX654" s="112"/>
      <c r="CY654" s="80"/>
      <c r="CZ654" s="112"/>
      <c r="DA654" s="112"/>
      <c r="DB654" s="112"/>
      <c r="DC654" s="112"/>
      <c r="DD654" s="80"/>
      <c r="DE654" s="112"/>
      <c r="DF654" s="112"/>
      <c r="DG654" s="146"/>
      <c r="DH654" s="112"/>
      <c r="DI654" s="80"/>
      <c r="DJ654" s="146"/>
      <c r="DK654" s="146"/>
      <c r="DL654" s="146"/>
      <c r="DM654" s="112"/>
      <c r="DN654" s="80"/>
      <c r="DO654" s="112"/>
      <c r="DP654" s="112"/>
      <c r="DQ654" s="112"/>
      <c r="DR654" s="112"/>
      <c r="DS654" s="80"/>
      <c r="DT654" s="112"/>
      <c r="DU654" s="112"/>
      <c r="DV654" s="112"/>
      <c r="DW654" s="112"/>
      <c r="DX654" s="80"/>
      <c r="DY654" s="112"/>
      <c r="DZ654" s="112"/>
      <c r="EA654" s="112"/>
      <c r="EB654" s="112"/>
      <c r="EC654" s="80"/>
      <c r="ED654" s="112"/>
      <c r="EE654" s="112"/>
      <c r="EF654" s="112"/>
      <c r="EG654" s="112"/>
      <c r="EH654" s="80"/>
      <c r="EI654" s="110"/>
      <c r="EJ654" s="112"/>
      <c r="EK654" s="112"/>
      <c r="EL654" s="112"/>
      <c r="EM654" s="80"/>
      <c r="EN654" s="112"/>
      <c r="EO654" s="112"/>
      <c r="EP654" s="112"/>
      <c r="EQ654" s="112"/>
      <c r="ER654" s="80"/>
      <c r="ES654" s="112"/>
      <c r="ET654" s="112"/>
      <c r="EU654" s="112"/>
      <c r="EV654" s="112"/>
      <c r="EW654" s="80"/>
      <c r="EX654" s="112"/>
      <c r="EY654" s="112"/>
      <c r="EZ654" s="112"/>
      <c r="FA654" s="112"/>
      <c r="FB654" s="80"/>
      <c r="FC654" s="112"/>
      <c r="FD654" s="112"/>
      <c r="FE654" s="112"/>
      <c r="FF654" s="112"/>
      <c r="FG654" s="80"/>
      <c r="FH654" s="146"/>
      <c r="FI654" s="112"/>
      <c r="FJ654" s="112"/>
      <c r="FK654" s="112"/>
      <c r="FL654" s="112"/>
    </row>
    <row r="655" ht="12.75" hidden="1" customHeight="1" outlineLevel="2">
      <c r="A655" s="45"/>
      <c r="B655" s="215" t="str">
        <f>B603</f>
        <v>Software and Services Group</v>
      </c>
      <c r="C655" s="45"/>
      <c r="D655" s="17"/>
      <c r="E655" s="17"/>
      <c r="F655" s="17"/>
      <c r="G655" s="17"/>
      <c r="H655" s="112"/>
      <c r="I655" s="17"/>
      <c r="J655" s="17"/>
      <c r="K655" s="17"/>
      <c r="L655" s="17"/>
      <c r="M655" s="112"/>
      <c r="N655" s="17"/>
      <c r="O655" s="17"/>
      <c r="P655" s="17"/>
      <c r="Q655" s="17"/>
      <c r="R655" s="112"/>
      <c r="S655" s="17"/>
      <c r="T655" s="17"/>
      <c r="U655" s="17"/>
      <c r="V655" s="17"/>
      <c r="W655" s="112"/>
      <c r="X655" s="17"/>
      <c r="Y655" s="17"/>
      <c r="Z655" s="17"/>
      <c r="AA655" s="17"/>
      <c r="AB655" s="112"/>
      <c r="AC655" s="17"/>
      <c r="AD655" s="17"/>
      <c r="AE655" s="17"/>
      <c r="AF655" s="17"/>
      <c r="AG655" s="112"/>
      <c r="AH655" s="17"/>
      <c r="AI655" s="17"/>
      <c r="AJ655" s="17"/>
      <c r="AK655" s="17"/>
      <c r="AL655" s="112"/>
      <c r="AM655" s="17"/>
      <c r="AN655" s="17"/>
      <c r="AO655" s="17"/>
      <c r="AP655" s="17"/>
      <c r="AQ655" s="112"/>
      <c r="AR655" s="17"/>
      <c r="AS655" s="17"/>
      <c r="AT655" s="17"/>
      <c r="AU655" s="17"/>
      <c r="AV655" s="112"/>
      <c r="AW655" s="17"/>
      <c r="AX655" s="17"/>
      <c r="AY655" s="17"/>
      <c r="AZ655" s="17"/>
      <c r="BA655" s="112"/>
      <c r="BB655" s="17"/>
      <c r="BC655" s="17"/>
      <c r="BD655" s="17"/>
      <c r="BE655" s="17"/>
      <c r="BF655" s="112"/>
      <c r="BG655" s="17"/>
      <c r="BH655" s="17"/>
      <c r="BI655" s="17"/>
      <c r="BJ655" s="17"/>
      <c r="BK655" s="112"/>
      <c r="BL655" s="17"/>
      <c r="BM655" s="17"/>
      <c r="BN655" s="17"/>
      <c r="BO655" s="17"/>
      <c r="BP655" s="112"/>
      <c r="BQ655" s="17"/>
      <c r="BR655" s="17"/>
      <c r="BS655" s="17"/>
      <c r="BT655" s="17"/>
      <c r="BU655" s="112"/>
      <c r="BV655" s="17">
        <v>-44.0</v>
      </c>
      <c r="BW655" s="17">
        <v>-48.0</v>
      </c>
      <c r="BX655" s="17">
        <v>-36.0</v>
      </c>
      <c r="BY655" s="17">
        <v>-47.0</v>
      </c>
      <c r="BZ655" s="80">
        <v>-175.0</v>
      </c>
      <c r="CA655" s="17">
        <v>-52.0</v>
      </c>
      <c r="CB655" s="17">
        <v>-14.0</v>
      </c>
      <c r="CC655" s="17">
        <v>18.0</v>
      </c>
      <c r="CD655" s="17">
        <v>16.0</v>
      </c>
      <c r="CE655" s="80">
        <v>-32.0</v>
      </c>
      <c r="CF655" s="17">
        <v>7.0</v>
      </c>
      <c r="CG655" s="17">
        <v>14.0</v>
      </c>
      <c r="CH655" s="17">
        <v>4.0</v>
      </c>
      <c r="CI655" s="17">
        <v>-36.0</v>
      </c>
      <c r="CJ655" s="80">
        <f t="shared" si="3207"/>
        <v>-11</v>
      </c>
      <c r="CK655" s="17">
        <f t="shared" ref="CK655:CM655" si="3213">+CK573</f>
        <v>-24</v>
      </c>
      <c r="CL655" s="17">
        <f t="shared" si="3213"/>
        <v>-8</v>
      </c>
      <c r="CM655" s="17">
        <f t="shared" si="3213"/>
        <v>-5</v>
      </c>
      <c r="CN655" s="19"/>
      <c r="CO655" s="80"/>
      <c r="CP655" s="19"/>
      <c r="CQ655" s="17"/>
      <c r="CR655" s="17"/>
      <c r="CS655" s="17"/>
      <c r="CT655" s="80"/>
      <c r="CU655" s="17"/>
      <c r="CV655" s="17"/>
      <c r="CW655" s="17"/>
      <c r="CX655" s="17"/>
      <c r="CY655" s="80"/>
      <c r="CZ655" s="17"/>
      <c r="DA655" s="17"/>
      <c r="DB655" s="17"/>
      <c r="DC655" s="17"/>
      <c r="DD655" s="80"/>
      <c r="DE655" s="17"/>
      <c r="DF655" s="17"/>
      <c r="DG655" s="19"/>
      <c r="DH655" s="17"/>
      <c r="DI655" s="80"/>
      <c r="DJ655" s="19"/>
      <c r="DK655" s="19"/>
      <c r="DL655" s="19"/>
      <c r="DM655" s="17"/>
      <c r="DN655" s="80"/>
      <c r="DO655" s="17"/>
      <c r="DP655" s="17"/>
      <c r="DQ655" s="17"/>
      <c r="DR655" s="17"/>
      <c r="DS655" s="80"/>
      <c r="DT655" s="17"/>
      <c r="DU655" s="17"/>
      <c r="DV655" s="17"/>
      <c r="DW655" s="17"/>
      <c r="DX655" s="80"/>
      <c r="DY655" s="17"/>
      <c r="DZ655" s="17"/>
      <c r="EA655" s="17"/>
      <c r="EB655" s="17"/>
      <c r="EC655" s="80"/>
      <c r="ED655" s="17"/>
      <c r="EE655" s="17"/>
      <c r="EF655" s="17"/>
      <c r="EG655" s="17"/>
      <c r="EH655" s="80"/>
      <c r="EI655" s="25"/>
      <c r="EJ655" s="17"/>
      <c r="EK655" s="17"/>
      <c r="EL655" s="17"/>
      <c r="EM655" s="80"/>
      <c r="EN655" s="17"/>
      <c r="EO655" s="17"/>
      <c r="EP655" s="17"/>
      <c r="EQ655" s="17"/>
      <c r="ER655" s="80"/>
      <c r="ES655" s="17"/>
      <c r="ET655" s="17"/>
      <c r="EU655" s="17"/>
      <c r="EV655" s="17"/>
      <c r="EW655" s="80"/>
      <c r="EX655" s="17"/>
      <c r="EY655" s="17"/>
      <c r="EZ655" s="17"/>
      <c r="FA655" s="17"/>
      <c r="FB655" s="80"/>
      <c r="FC655" s="17"/>
      <c r="FD655" s="17"/>
      <c r="FE655" s="17"/>
      <c r="FF655" s="17"/>
      <c r="FG655" s="80"/>
      <c r="FH655" s="146"/>
      <c r="FI655" s="17"/>
      <c r="FJ655" s="17"/>
      <c r="FK655" s="112"/>
      <c r="FL655" s="17"/>
    </row>
    <row r="656" ht="12.75" hidden="1" customHeight="1" outlineLevel="2">
      <c r="A656" s="45"/>
      <c r="B656" s="215" t="str">
        <f>B605</f>
        <v>All Other</v>
      </c>
      <c r="C656" s="45"/>
      <c r="D656" s="17"/>
      <c r="E656" s="17"/>
      <c r="F656" s="17"/>
      <c r="G656" s="17"/>
      <c r="H656" s="112"/>
      <c r="I656" s="17"/>
      <c r="J656" s="17"/>
      <c r="K656" s="17"/>
      <c r="L656" s="17"/>
      <c r="M656" s="112"/>
      <c r="N656" s="17"/>
      <c r="O656" s="17"/>
      <c r="P656" s="17"/>
      <c r="Q656" s="17"/>
      <c r="R656" s="112"/>
      <c r="S656" s="17"/>
      <c r="T656" s="17"/>
      <c r="U656" s="17"/>
      <c r="V656" s="17"/>
      <c r="W656" s="112"/>
      <c r="X656" s="17"/>
      <c r="Y656" s="17"/>
      <c r="Z656" s="17"/>
      <c r="AA656" s="17"/>
      <c r="AB656" s="112"/>
      <c r="AC656" s="17"/>
      <c r="AD656" s="17"/>
      <c r="AE656" s="17"/>
      <c r="AF656" s="17"/>
      <c r="AG656" s="112"/>
      <c r="AH656" s="17"/>
      <c r="AI656" s="17"/>
      <c r="AJ656" s="17"/>
      <c r="AK656" s="17"/>
      <c r="AL656" s="112"/>
      <c r="AM656" s="17"/>
      <c r="AN656" s="17"/>
      <c r="AO656" s="17"/>
      <c r="AP656" s="17"/>
      <c r="AQ656" s="112"/>
      <c r="AR656" s="17"/>
      <c r="AS656" s="17"/>
      <c r="AT656" s="17"/>
      <c r="AU656" s="17"/>
      <c r="AV656" s="112"/>
      <c r="AW656" s="17"/>
      <c r="AX656" s="17"/>
      <c r="AY656" s="17"/>
      <c r="AZ656" s="17"/>
      <c r="BA656" s="112"/>
      <c r="BB656" s="17"/>
      <c r="BC656" s="17"/>
      <c r="BD656" s="17"/>
      <c r="BE656" s="17"/>
      <c r="BF656" s="112"/>
      <c r="BG656" s="17"/>
      <c r="BH656" s="17"/>
      <c r="BI656" s="17"/>
      <c r="BJ656" s="17"/>
      <c r="BK656" s="112"/>
      <c r="BL656" s="17"/>
      <c r="BM656" s="17"/>
      <c r="BN656" s="17"/>
      <c r="BO656" s="17"/>
      <c r="BP656" s="112"/>
      <c r="BQ656" s="17"/>
      <c r="BR656" s="17"/>
      <c r="BS656" s="17"/>
      <c r="BT656" s="17"/>
      <c r="BU656" s="112"/>
      <c r="BV656" s="17">
        <v>-454.0</v>
      </c>
      <c r="BW656" s="17">
        <v>-441.0</v>
      </c>
      <c r="BX656" s="17">
        <v>-333.0</v>
      </c>
      <c r="BY656" s="17">
        <v>-638.0</v>
      </c>
      <c r="BZ656" s="80">
        <v>-1866.0</v>
      </c>
      <c r="CA656" s="17">
        <v>-519.0</v>
      </c>
      <c r="CB656" s="17">
        <v>-506.0</v>
      </c>
      <c r="CC656" s="17">
        <v>-328.0</v>
      </c>
      <c r="CD656" s="17">
        <v>-454.0</v>
      </c>
      <c r="CE656" s="80">
        <v>-1807.0</v>
      </c>
      <c r="CF656" s="17">
        <v>-511.0</v>
      </c>
      <c r="CG656" s="17">
        <v>-652.0</v>
      </c>
      <c r="CH656" s="17">
        <v>-477.0</v>
      </c>
      <c r="CI656" s="17">
        <v>-460.0</v>
      </c>
      <c r="CJ656" s="80">
        <f t="shared" si="3207"/>
        <v>-2100</v>
      </c>
      <c r="CK656" s="17">
        <f t="shared" ref="CK656:CM656" si="3214">+CK574</f>
        <v>-438</v>
      </c>
      <c r="CL656" s="17">
        <f t="shared" si="3214"/>
        <v>-554</v>
      </c>
      <c r="CM656" s="17">
        <f t="shared" si="3214"/>
        <v>-538</v>
      </c>
      <c r="CN656" s="19"/>
      <c r="CO656" s="80"/>
      <c r="CP656" s="19"/>
      <c r="CQ656" s="17"/>
      <c r="CR656" s="17"/>
      <c r="CS656" s="17"/>
      <c r="CT656" s="80"/>
      <c r="CU656" s="17"/>
      <c r="CV656" s="17"/>
      <c r="CW656" s="17"/>
      <c r="CX656" s="17"/>
      <c r="CY656" s="80"/>
      <c r="CZ656" s="17"/>
      <c r="DA656" s="17"/>
      <c r="DB656" s="17"/>
      <c r="DC656" s="17"/>
      <c r="DD656" s="80"/>
      <c r="DE656" s="17"/>
      <c r="DF656" s="17"/>
      <c r="DG656" s="19"/>
      <c r="DH656" s="17"/>
      <c r="DI656" s="80"/>
      <c r="DJ656" s="19"/>
      <c r="DK656" s="19"/>
      <c r="DL656" s="19"/>
      <c r="DM656" s="17"/>
      <c r="DN656" s="80"/>
      <c r="DO656" s="17"/>
      <c r="DP656" s="17"/>
      <c r="DQ656" s="17"/>
      <c r="DR656" s="17"/>
      <c r="DS656" s="80"/>
      <c r="DT656" s="17"/>
      <c r="DU656" s="17"/>
      <c r="DV656" s="17"/>
      <c r="DW656" s="17"/>
      <c r="DX656" s="80"/>
      <c r="DY656" s="17"/>
      <c r="DZ656" s="17"/>
      <c r="EA656" s="17"/>
      <c r="EB656" s="17"/>
      <c r="EC656" s="80"/>
      <c r="ED656" s="17"/>
      <c r="EE656" s="17"/>
      <c r="EF656" s="17"/>
      <c r="EG656" s="17"/>
      <c r="EH656" s="80"/>
      <c r="EI656" s="25"/>
      <c r="EJ656" s="17"/>
      <c r="EK656" s="17"/>
      <c r="EL656" s="17"/>
      <c r="EM656" s="80"/>
      <c r="EN656" s="17"/>
      <c r="EO656" s="17"/>
      <c r="EP656" s="17"/>
      <c r="EQ656" s="17"/>
      <c r="ER656" s="80"/>
      <c r="ES656" s="17"/>
      <c r="ET656" s="17"/>
      <c r="EU656" s="17"/>
      <c r="EV656" s="17"/>
      <c r="EW656" s="80"/>
      <c r="EX656" s="17"/>
      <c r="EY656" s="17"/>
      <c r="EZ656" s="17"/>
      <c r="FA656" s="17"/>
      <c r="FB656" s="80"/>
      <c r="FC656" s="17"/>
      <c r="FD656" s="17"/>
      <c r="FE656" s="17"/>
      <c r="FF656" s="17"/>
      <c r="FG656" s="80"/>
      <c r="FH656" s="146"/>
      <c r="FI656" s="17"/>
      <c r="FJ656" s="17"/>
      <c r="FK656" s="112"/>
      <c r="FL656" s="17"/>
    </row>
    <row r="657" ht="13.5" hidden="1" customHeight="1" outlineLevel="2">
      <c r="A657" s="4"/>
      <c r="B657" s="529" t="s">
        <v>299</v>
      </c>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c r="AB657" s="164"/>
      <c r="AC657" s="164"/>
      <c r="AD657" s="164"/>
      <c r="AE657" s="164"/>
      <c r="AF657" s="164"/>
      <c r="AG657" s="164"/>
      <c r="AH657" s="164"/>
      <c r="AI657" s="164"/>
      <c r="AJ657" s="164"/>
      <c r="AK657" s="164"/>
      <c r="AL657" s="164"/>
      <c r="AM657" s="164"/>
      <c r="AN657" s="164"/>
      <c r="AO657" s="164"/>
      <c r="AP657" s="164"/>
      <c r="AQ657" s="164"/>
      <c r="AR657" s="164"/>
      <c r="AS657" s="164"/>
      <c r="AT657" s="164"/>
      <c r="AU657" s="164"/>
      <c r="AV657" s="164"/>
      <c r="AW657" s="164"/>
      <c r="AX657" s="164"/>
      <c r="AY657" s="164"/>
      <c r="AZ657" s="164"/>
      <c r="BA657" s="164"/>
      <c r="BB657" s="164"/>
      <c r="BC657" s="164"/>
      <c r="BD657" s="164"/>
      <c r="BE657" s="164"/>
      <c r="BF657" s="164"/>
      <c r="BG657" s="164"/>
      <c r="BH657" s="164"/>
      <c r="BI657" s="164"/>
      <c r="BJ657" s="164"/>
      <c r="BK657" s="164"/>
      <c r="BL657" s="164"/>
      <c r="BM657" s="164"/>
      <c r="BN657" s="164"/>
      <c r="BO657" s="164"/>
      <c r="BP657" s="164"/>
      <c r="BQ657" s="164"/>
      <c r="BR657" s="164"/>
      <c r="BS657" s="164"/>
      <c r="BT657" s="164"/>
      <c r="BU657" s="164"/>
      <c r="BV657" s="164">
        <f>EBIT</f>
        <v>3448</v>
      </c>
      <c r="BW657" s="164">
        <f>EBIT</f>
        <v>3981</v>
      </c>
      <c r="BX657" s="164">
        <f>EBIT</f>
        <v>4136</v>
      </c>
      <c r="BY657" s="164">
        <f>EBIT</f>
        <v>4023</v>
      </c>
      <c r="BZ657" s="165">
        <f>EBIT</f>
        <v>15588</v>
      </c>
      <c r="CA657" s="164">
        <f>EBIT</f>
        <v>4158</v>
      </c>
      <c r="CB657" s="164">
        <f>EBIT</f>
        <v>3935</v>
      </c>
      <c r="CC657" s="164">
        <f>EBIT</f>
        <v>4785</v>
      </c>
      <c r="CD657" s="164">
        <f>EBIT</f>
        <v>4599</v>
      </c>
      <c r="CE657" s="165">
        <f>EBIT</f>
        <v>17477</v>
      </c>
      <c r="CF657" s="164">
        <f>EBIT</f>
        <v>3810</v>
      </c>
      <c r="CG657" s="164">
        <f>EBIT</f>
        <v>3832</v>
      </c>
      <c r="CH657" s="164">
        <f>EBIT</f>
        <v>3841</v>
      </c>
      <c r="CI657" s="164">
        <f>EBIT</f>
        <v>3155</v>
      </c>
      <c r="CJ657" s="165">
        <f>EBIT</f>
        <v>14638</v>
      </c>
      <c r="CK657" s="164">
        <f>EBIT</f>
        <v>2519</v>
      </c>
      <c r="CL657" s="164">
        <f>EBIT</f>
        <v>2719</v>
      </c>
      <c r="CM657" s="164">
        <f>EBIT</f>
        <v>3504</v>
      </c>
      <c r="CN657" s="583"/>
      <c r="CO657" s="165"/>
      <c r="CP657" s="583"/>
      <c r="CQ657" s="164"/>
      <c r="CR657" s="164"/>
      <c r="CS657" s="164"/>
      <c r="CT657" s="165"/>
      <c r="CU657" s="164"/>
      <c r="CV657" s="164"/>
      <c r="CW657" s="164"/>
      <c r="CX657" s="164"/>
      <c r="CY657" s="165"/>
      <c r="CZ657" s="164"/>
      <c r="DA657" s="164"/>
      <c r="DB657" s="164"/>
      <c r="DC657" s="164"/>
      <c r="DD657" s="165"/>
      <c r="DE657" s="164"/>
      <c r="DF657" s="164"/>
      <c r="DG657" s="146"/>
      <c r="DH657" s="164"/>
      <c r="DI657" s="165"/>
      <c r="DJ657" s="583"/>
      <c r="DK657" s="583"/>
      <c r="DL657" s="583"/>
      <c r="DM657" s="164"/>
      <c r="DN657" s="165"/>
      <c r="DO657" s="164"/>
      <c r="DP657" s="164"/>
      <c r="DQ657" s="164"/>
      <c r="DR657" s="164"/>
      <c r="DS657" s="165"/>
      <c r="DT657" s="164"/>
      <c r="DU657" s="164"/>
      <c r="DV657" s="164"/>
      <c r="DW657" s="164"/>
      <c r="DX657" s="165"/>
      <c r="DY657" s="164"/>
      <c r="DZ657" s="164"/>
      <c r="EA657" s="164"/>
      <c r="EB657" s="164"/>
      <c r="EC657" s="165"/>
      <c r="ED657" s="164"/>
      <c r="EE657" s="164"/>
      <c r="EF657" s="164"/>
      <c r="EG657" s="164"/>
      <c r="EH657" s="165"/>
      <c r="EI657" s="584"/>
      <c r="EJ657" s="164"/>
      <c r="EK657" s="164"/>
      <c r="EL657" s="164"/>
      <c r="EM657" s="165"/>
      <c r="EN657" s="164"/>
      <c r="EO657" s="164"/>
      <c r="EP657" s="164"/>
      <c r="EQ657" s="164"/>
      <c r="ER657" s="165"/>
      <c r="ES657" s="164"/>
      <c r="ET657" s="164"/>
      <c r="EU657" s="164"/>
      <c r="EV657" s="164"/>
      <c r="EW657" s="165"/>
      <c r="EX657" s="164"/>
      <c r="EY657" s="164"/>
      <c r="EZ657" s="164"/>
      <c r="FA657" s="164"/>
      <c r="FB657" s="165"/>
      <c r="FC657" s="164"/>
      <c r="FD657" s="164"/>
      <c r="FE657" s="164"/>
      <c r="FF657" s="164"/>
      <c r="FG657" s="165"/>
      <c r="FH657" s="583"/>
      <c r="FI657" s="164"/>
      <c r="FJ657" s="164"/>
      <c r="FK657" s="164"/>
      <c r="FL657" s="164"/>
    </row>
    <row r="658" ht="13.5" hidden="1" customHeight="1" outlineLevel="2">
      <c r="A658" s="4"/>
      <c r="B658" s="45"/>
      <c r="C658" s="45"/>
      <c r="D658" s="4"/>
      <c r="E658" s="4"/>
      <c r="F658" s="4"/>
      <c r="G658" s="4"/>
      <c r="H658" s="45"/>
      <c r="I658" s="4"/>
      <c r="J658" s="4"/>
      <c r="K658" s="4"/>
      <c r="L658" s="4"/>
      <c r="M658" s="45"/>
      <c r="N658" s="4"/>
      <c r="O658" s="4"/>
      <c r="P658" s="4"/>
      <c r="Q658" s="4"/>
      <c r="R658" s="45"/>
      <c r="S658" s="4"/>
      <c r="T658" s="4"/>
      <c r="U658" s="4"/>
      <c r="V658" s="4"/>
      <c r="W658" s="45"/>
      <c r="X658" s="4"/>
      <c r="Y658" s="4"/>
      <c r="Z658" s="4"/>
      <c r="AA658" s="4"/>
      <c r="AB658" s="45"/>
      <c r="AC658" s="4"/>
      <c r="AD658" s="4"/>
      <c r="AE658" s="4"/>
      <c r="AF658" s="4"/>
      <c r="AG658" s="45"/>
      <c r="AH658" s="4"/>
      <c r="AI658" s="4"/>
      <c r="AJ658" s="4"/>
      <c r="AK658" s="4"/>
      <c r="AL658" s="45"/>
      <c r="AM658" s="4"/>
      <c r="AN658" s="4"/>
      <c r="AO658" s="4"/>
      <c r="AP658" s="4"/>
      <c r="AQ658" s="45"/>
      <c r="AR658" s="4"/>
      <c r="AS658" s="4"/>
      <c r="AT658" s="4"/>
      <c r="AU658" s="4"/>
      <c r="AV658" s="45"/>
      <c r="AW658" s="4"/>
      <c r="AX658" s="4"/>
      <c r="AY658" s="4"/>
      <c r="AZ658" s="4"/>
      <c r="BA658" s="45"/>
      <c r="BB658" s="4"/>
      <c r="BC658" s="4"/>
      <c r="BD658" s="4"/>
      <c r="BE658" s="4"/>
      <c r="BF658" s="45"/>
      <c r="BG658" s="4"/>
      <c r="BH658" s="4"/>
      <c r="BI658" s="4"/>
      <c r="BJ658" s="4"/>
      <c r="BK658" s="45"/>
      <c r="BL658" s="4"/>
      <c r="BM658" s="4"/>
      <c r="BN658" s="4"/>
      <c r="BO658" s="4"/>
      <c r="BP658" s="45"/>
      <c r="BQ658" s="4"/>
      <c r="BR658" s="4"/>
      <c r="BS658" s="4"/>
      <c r="BT658" s="4"/>
      <c r="BU658" s="45"/>
      <c r="BV658" s="4"/>
      <c r="BW658" s="4"/>
      <c r="BX658" s="4"/>
      <c r="BY658" s="4"/>
      <c r="BZ658" s="350"/>
      <c r="CA658" s="4"/>
      <c r="CB658" s="4"/>
      <c r="CC658" s="4"/>
      <c r="CD658" s="4"/>
      <c r="CE658" s="350"/>
      <c r="CF658" s="4"/>
      <c r="CG658" s="4"/>
      <c r="CH658" s="4"/>
      <c r="CI658" s="4"/>
      <c r="CJ658" s="350"/>
      <c r="CK658" s="4"/>
      <c r="CL658" s="4"/>
      <c r="CM658" s="4"/>
      <c r="CN658" s="16"/>
      <c r="CO658" s="350"/>
      <c r="CP658" s="16"/>
      <c r="CQ658" s="4"/>
      <c r="CR658" s="4"/>
      <c r="CS658" s="4"/>
      <c r="CT658" s="350"/>
      <c r="CU658" s="4"/>
      <c r="CV658" s="4"/>
      <c r="CW658" s="4"/>
      <c r="CX658" s="4"/>
      <c r="CY658" s="350"/>
      <c r="CZ658" s="4"/>
      <c r="DA658" s="4"/>
      <c r="DB658" s="4"/>
      <c r="DC658" s="4"/>
      <c r="DD658" s="350"/>
      <c r="DE658" s="4"/>
      <c r="DF658" s="4"/>
      <c r="DG658" s="16"/>
      <c r="DH658" s="4"/>
      <c r="DI658" s="350"/>
      <c r="DJ658" s="16"/>
      <c r="DK658" s="16"/>
      <c r="DL658" s="16"/>
      <c r="DM658" s="4"/>
      <c r="DN658" s="350"/>
      <c r="DO658" s="4"/>
      <c r="DP658" s="4"/>
      <c r="DQ658" s="4"/>
      <c r="DR658" s="4"/>
      <c r="DS658" s="350"/>
      <c r="DT658" s="4"/>
      <c r="DU658" s="4"/>
      <c r="DV658" s="4"/>
      <c r="DW658" s="4"/>
      <c r="DX658" s="350"/>
      <c r="DY658" s="4"/>
      <c r="DZ658" s="4"/>
      <c r="EA658" s="4"/>
      <c r="EB658" s="4"/>
      <c r="EC658" s="350"/>
      <c r="ED658" s="4"/>
      <c r="EE658" s="4"/>
      <c r="EF658" s="4"/>
      <c r="EG658" s="4"/>
      <c r="EH658" s="350"/>
      <c r="EI658" s="214"/>
      <c r="EJ658" s="4"/>
      <c r="EK658" s="4"/>
      <c r="EL658" s="4"/>
      <c r="EM658" s="350"/>
      <c r="EN658" s="4"/>
      <c r="EO658" s="4"/>
      <c r="EP658" s="4"/>
      <c r="EQ658" s="4"/>
      <c r="ER658" s="350"/>
      <c r="ES658" s="4"/>
      <c r="ET658" s="4"/>
      <c r="EU658" s="4"/>
      <c r="EV658" s="4"/>
      <c r="EW658" s="350"/>
      <c r="EX658" s="4"/>
      <c r="EY658" s="4"/>
      <c r="EZ658" s="4"/>
      <c r="FA658" s="4"/>
      <c r="FB658" s="350"/>
      <c r="FC658" s="4"/>
      <c r="FD658" s="4"/>
      <c r="FE658" s="4"/>
      <c r="FF658" s="4"/>
      <c r="FG658" s="350"/>
      <c r="FH658" s="145"/>
      <c r="FI658" s="4"/>
      <c r="FJ658" s="4"/>
      <c r="FK658" s="45"/>
      <c r="FL658" s="4"/>
    </row>
    <row r="659" ht="12.75" hidden="1" customHeight="1" outlineLevel="2">
      <c r="A659" s="4"/>
      <c r="B659" s="578" t="s">
        <v>164</v>
      </c>
      <c r="C659" s="299"/>
      <c r="D659" s="585"/>
      <c r="E659" s="586"/>
      <c r="F659" s="586"/>
      <c r="G659" s="586"/>
      <c r="H659" s="585"/>
      <c r="I659" s="585"/>
      <c r="J659" s="586"/>
      <c r="K659" s="586"/>
      <c r="L659" s="586"/>
      <c r="M659" s="585"/>
      <c r="N659" s="585"/>
      <c r="O659" s="586"/>
      <c r="P659" s="586"/>
      <c r="Q659" s="586"/>
      <c r="R659" s="585"/>
      <c r="S659" s="585"/>
      <c r="T659" s="586"/>
      <c r="U659" s="586"/>
      <c r="V659" s="586"/>
      <c r="W659" s="585"/>
      <c r="X659" s="585"/>
      <c r="Y659" s="586"/>
      <c r="Z659" s="586"/>
      <c r="AA659" s="586"/>
      <c r="AB659" s="585"/>
      <c r="AC659" s="585"/>
      <c r="AD659" s="586"/>
      <c r="AE659" s="586"/>
      <c r="AF659" s="586"/>
      <c r="AG659" s="585"/>
      <c r="AH659" s="585"/>
      <c r="AI659" s="586"/>
      <c r="AJ659" s="586"/>
      <c r="AK659" s="586"/>
      <c r="AL659" s="585"/>
      <c r="AM659" s="585"/>
      <c r="AN659" s="586"/>
      <c r="AO659" s="586"/>
      <c r="AP659" s="586"/>
      <c r="AQ659" s="585"/>
      <c r="AR659" s="585"/>
      <c r="AS659" s="586"/>
      <c r="AT659" s="586"/>
      <c r="AU659" s="586"/>
      <c r="AV659" s="585"/>
      <c r="AW659" s="585"/>
      <c r="AX659" s="586"/>
      <c r="AY659" s="586"/>
      <c r="AZ659" s="586"/>
      <c r="BA659" s="585"/>
      <c r="BB659" s="585"/>
      <c r="BC659" s="586"/>
      <c r="BD659" s="586"/>
      <c r="BE659" s="586"/>
      <c r="BF659" s="585"/>
      <c r="BG659" s="585"/>
      <c r="BH659" s="586"/>
      <c r="BI659" s="586"/>
      <c r="BJ659" s="586"/>
      <c r="BK659" s="585"/>
      <c r="BL659" s="585"/>
      <c r="BM659" s="586"/>
      <c r="BN659" s="586"/>
      <c r="BO659" s="586"/>
      <c r="BP659" s="585"/>
      <c r="BQ659" s="585"/>
      <c r="BR659" s="586"/>
      <c r="BS659" s="586"/>
      <c r="BT659" s="586"/>
      <c r="BU659" s="585"/>
      <c r="BV659" s="585"/>
      <c r="BW659" s="586"/>
      <c r="BX659" s="586"/>
      <c r="BY659" s="586"/>
      <c r="BZ659" s="587"/>
      <c r="CA659" s="585"/>
      <c r="CB659" s="586"/>
      <c r="CC659" s="586"/>
      <c r="CD659" s="586"/>
      <c r="CE659" s="587"/>
      <c r="CF659" s="585"/>
      <c r="CG659" s="586"/>
      <c r="CH659" s="586"/>
      <c r="CI659" s="586"/>
      <c r="CJ659" s="587"/>
      <c r="CK659" s="585"/>
      <c r="CL659" s="586"/>
      <c r="CM659" s="586"/>
      <c r="CN659" s="588"/>
      <c r="CO659" s="587"/>
      <c r="CP659" s="588"/>
      <c r="CQ659" s="586"/>
      <c r="CR659" s="586"/>
      <c r="CS659" s="586"/>
      <c r="CT659" s="587"/>
      <c r="CU659" s="585"/>
      <c r="CV659" s="586"/>
      <c r="CW659" s="586"/>
      <c r="CX659" s="586"/>
      <c r="CY659" s="587"/>
      <c r="CZ659" s="585"/>
      <c r="DA659" s="586"/>
      <c r="DB659" s="586"/>
      <c r="DC659" s="586"/>
      <c r="DD659" s="587"/>
      <c r="DE659" s="585"/>
      <c r="DF659" s="586"/>
      <c r="DG659" s="474"/>
      <c r="DH659" s="586"/>
      <c r="DI659" s="587"/>
      <c r="DJ659" s="589"/>
      <c r="DK659" s="588"/>
      <c r="DL659" s="588"/>
      <c r="DM659" s="586"/>
      <c r="DN659" s="587"/>
      <c r="DO659" s="585"/>
      <c r="DP659" s="586"/>
      <c r="DQ659" s="586"/>
      <c r="DR659" s="586"/>
      <c r="DS659" s="587"/>
      <c r="DT659" s="585"/>
      <c r="DU659" s="585"/>
      <c r="DV659" s="585"/>
      <c r="DW659" s="585"/>
      <c r="DX659" s="587"/>
      <c r="DY659" s="585"/>
      <c r="DZ659" s="585"/>
      <c r="EA659" s="585"/>
      <c r="EB659" s="585"/>
      <c r="EC659" s="587"/>
      <c r="ED659" s="585"/>
      <c r="EE659" s="585"/>
      <c r="EF659" s="585"/>
      <c r="EG659" s="585"/>
      <c r="EH659" s="587"/>
      <c r="EI659" s="590"/>
      <c r="EJ659" s="586"/>
      <c r="EK659" s="586"/>
      <c r="EL659" s="586"/>
      <c r="EM659" s="587"/>
      <c r="EN659" s="585"/>
      <c r="EO659" s="586"/>
      <c r="EP659" s="586"/>
      <c r="EQ659" s="586"/>
      <c r="ER659" s="587"/>
      <c r="ES659" s="585"/>
      <c r="ET659" s="586"/>
      <c r="EU659" s="586"/>
      <c r="EV659" s="586"/>
      <c r="EW659" s="587"/>
      <c r="EX659" s="585"/>
      <c r="EY659" s="586"/>
      <c r="EZ659" s="586"/>
      <c r="FA659" s="586"/>
      <c r="FB659" s="587"/>
      <c r="FC659" s="585"/>
      <c r="FD659" s="586"/>
      <c r="FE659" s="586"/>
      <c r="FF659" s="586"/>
      <c r="FG659" s="587"/>
      <c r="FH659" s="589"/>
      <c r="FI659" s="586"/>
      <c r="FJ659" s="586"/>
      <c r="FK659" s="585"/>
      <c r="FL659" s="585"/>
    </row>
    <row r="660" ht="12.75" hidden="1" customHeight="1" outlineLevel="2">
      <c r="A660" s="45"/>
      <c r="B660" s="215" t="str">
        <f t="shared" ref="B660:B665" si="3215">B651</f>
        <v>PC Client Group</v>
      </c>
      <c r="C660" s="45"/>
      <c r="D660" s="15"/>
      <c r="E660" s="15"/>
      <c r="F660" s="15"/>
      <c r="G660" s="15"/>
      <c r="H660" s="410"/>
      <c r="I660" s="15"/>
      <c r="J660" s="15"/>
      <c r="K660" s="15"/>
      <c r="L660" s="15"/>
      <c r="M660" s="410"/>
      <c r="N660" s="15"/>
      <c r="O660" s="15"/>
      <c r="P660" s="15"/>
      <c r="Q660" s="15"/>
      <c r="R660" s="410"/>
      <c r="S660" s="15"/>
      <c r="T660" s="15"/>
      <c r="U660" s="15"/>
      <c r="V660" s="15"/>
      <c r="W660" s="410"/>
      <c r="X660" s="15"/>
      <c r="Y660" s="15"/>
      <c r="Z660" s="15"/>
      <c r="AA660" s="15"/>
      <c r="AB660" s="410"/>
      <c r="AC660" s="15"/>
      <c r="AD660" s="15"/>
      <c r="AE660" s="15"/>
      <c r="AF660" s="15"/>
      <c r="AG660" s="410"/>
      <c r="AH660" s="15"/>
      <c r="AI660" s="15"/>
      <c r="AJ660" s="15"/>
      <c r="AK660" s="15"/>
      <c r="AL660" s="410"/>
      <c r="AM660" s="15"/>
      <c r="AN660" s="15"/>
      <c r="AO660" s="15"/>
      <c r="AP660" s="15"/>
      <c r="AQ660" s="410"/>
      <c r="AR660" s="15"/>
      <c r="AS660" s="15"/>
      <c r="AT660" s="15"/>
      <c r="AU660" s="15"/>
      <c r="AV660" s="410"/>
      <c r="AW660" s="15"/>
      <c r="AX660" s="15"/>
      <c r="AY660" s="15"/>
      <c r="AZ660" s="15"/>
      <c r="BA660" s="410"/>
      <c r="BB660" s="15"/>
      <c r="BC660" s="15"/>
      <c r="BD660" s="15"/>
      <c r="BE660" s="15"/>
      <c r="BF660" s="410"/>
      <c r="BG660" s="15"/>
      <c r="BH660" s="15"/>
      <c r="BI660" s="15"/>
      <c r="BJ660" s="15"/>
      <c r="BK660" s="410"/>
      <c r="BL660" s="15"/>
      <c r="BM660" s="15"/>
      <c r="BN660" s="15"/>
      <c r="BO660" s="15"/>
      <c r="BP660" s="410"/>
      <c r="BQ660" s="15"/>
      <c r="BR660" s="15"/>
      <c r="BS660" s="15"/>
      <c r="BT660" s="15"/>
      <c r="BU660" s="410"/>
      <c r="BV660" s="15"/>
      <c r="BW660" s="15"/>
      <c r="BX660" s="15"/>
      <c r="BY660" s="15"/>
      <c r="BZ660" s="24"/>
      <c r="CA660" s="15"/>
      <c r="CB660" s="15"/>
      <c r="CC660" s="15"/>
      <c r="CD660" s="15"/>
      <c r="CE660" s="24"/>
      <c r="CF660" s="15"/>
      <c r="CG660" s="15"/>
      <c r="CH660" s="15"/>
      <c r="CI660" s="15"/>
      <c r="CJ660" s="24"/>
      <c r="CK660" s="15"/>
      <c r="CL660" s="15"/>
      <c r="CM660" s="15"/>
      <c r="CN660" s="40"/>
      <c r="CO660" s="24"/>
      <c r="CP660" s="40"/>
      <c r="CQ660" s="15"/>
      <c r="CR660" s="15"/>
      <c r="CS660" s="15"/>
      <c r="CT660" s="24"/>
      <c r="CU660" s="15"/>
      <c r="CV660" s="15"/>
      <c r="CW660" s="15"/>
      <c r="CX660" s="15"/>
      <c r="CY660" s="24"/>
      <c r="CZ660" s="15"/>
      <c r="DA660" s="15"/>
      <c r="DB660" s="15"/>
      <c r="DC660" s="15"/>
      <c r="DD660" s="24"/>
      <c r="DE660" s="15"/>
      <c r="DF660" s="15"/>
      <c r="DG660" s="40"/>
      <c r="DH660" s="15"/>
      <c r="DI660" s="24"/>
      <c r="DJ660" s="40"/>
      <c r="DK660" s="40"/>
      <c r="DL660" s="40"/>
      <c r="DM660" s="15"/>
      <c r="DN660" s="24"/>
      <c r="DO660" s="15"/>
      <c r="DP660" s="15"/>
      <c r="DQ660" s="15"/>
      <c r="DR660" s="15"/>
      <c r="DS660" s="24"/>
      <c r="DT660" s="15"/>
      <c r="DU660" s="15"/>
      <c r="DV660" s="15"/>
      <c r="DW660" s="15"/>
      <c r="DX660" s="24"/>
      <c r="DY660" s="15"/>
      <c r="DZ660" s="15"/>
      <c r="EA660" s="15"/>
      <c r="EB660" s="15"/>
      <c r="EC660" s="24"/>
      <c r="ED660" s="15"/>
      <c r="EE660" s="15"/>
      <c r="EF660" s="15"/>
      <c r="EG660" s="15"/>
      <c r="EH660" s="24"/>
      <c r="EI660" s="82"/>
      <c r="EJ660" s="15"/>
      <c r="EK660" s="15"/>
      <c r="EL660" s="15"/>
      <c r="EM660" s="24"/>
      <c r="EN660" s="15"/>
      <c r="EO660" s="15"/>
      <c r="EP660" s="15"/>
      <c r="EQ660" s="15"/>
      <c r="ER660" s="24"/>
      <c r="ES660" s="15"/>
      <c r="ET660" s="15"/>
      <c r="EU660" s="15"/>
      <c r="EV660" s="15"/>
      <c r="EW660" s="24"/>
      <c r="EX660" s="15"/>
      <c r="EY660" s="15"/>
      <c r="EZ660" s="15"/>
      <c r="FA660" s="15"/>
      <c r="FB660" s="24"/>
      <c r="FC660" s="15"/>
      <c r="FD660" s="15"/>
      <c r="FE660" s="15"/>
      <c r="FF660" s="15"/>
      <c r="FG660" s="24"/>
      <c r="FH660" s="104"/>
      <c r="FI660" s="15"/>
      <c r="FJ660" s="15"/>
      <c r="FK660" s="410"/>
      <c r="FL660" s="15"/>
    </row>
    <row r="661" ht="12.75" hidden="1" customHeight="1" outlineLevel="2">
      <c r="A661" s="45"/>
      <c r="B661" s="215" t="str">
        <f t="shared" si="3215"/>
        <v>Data Center Group</v>
      </c>
      <c r="C661" s="45"/>
      <c r="D661" s="15"/>
      <c r="E661" s="15"/>
      <c r="F661" s="15"/>
      <c r="G661" s="15"/>
      <c r="H661" s="410"/>
      <c r="I661" s="15"/>
      <c r="J661" s="15"/>
      <c r="K661" s="15"/>
      <c r="L661" s="15"/>
      <c r="M661" s="410"/>
      <c r="N661" s="15"/>
      <c r="O661" s="15"/>
      <c r="P661" s="15"/>
      <c r="Q661" s="15"/>
      <c r="R661" s="410"/>
      <c r="S661" s="15"/>
      <c r="T661" s="15"/>
      <c r="U661" s="15"/>
      <c r="V661" s="15"/>
      <c r="W661" s="410"/>
      <c r="X661" s="15"/>
      <c r="Y661" s="15"/>
      <c r="Z661" s="15"/>
      <c r="AA661" s="15"/>
      <c r="AB661" s="410"/>
      <c r="AC661" s="15"/>
      <c r="AD661" s="15"/>
      <c r="AE661" s="15"/>
      <c r="AF661" s="15"/>
      <c r="AG661" s="410"/>
      <c r="AH661" s="15"/>
      <c r="AI661" s="15"/>
      <c r="AJ661" s="15"/>
      <c r="AK661" s="15"/>
      <c r="AL661" s="410"/>
      <c r="AM661" s="15"/>
      <c r="AN661" s="15"/>
      <c r="AO661" s="15"/>
      <c r="AP661" s="15"/>
      <c r="AQ661" s="410"/>
      <c r="AR661" s="15"/>
      <c r="AS661" s="15"/>
      <c r="AT661" s="15"/>
      <c r="AU661" s="15"/>
      <c r="AV661" s="410"/>
      <c r="AW661" s="15"/>
      <c r="AX661" s="15"/>
      <c r="AY661" s="15"/>
      <c r="AZ661" s="15"/>
      <c r="BA661" s="410"/>
      <c r="BB661" s="15"/>
      <c r="BC661" s="15"/>
      <c r="BD661" s="15"/>
      <c r="BE661" s="15"/>
      <c r="BF661" s="410"/>
      <c r="BG661" s="15"/>
      <c r="BH661" s="15"/>
      <c r="BI661" s="15"/>
      <c r="BJ661" s="15"/>
      <c r="BK661" s="410"/>
      <c r="BL661" s="15"/>
      <c r="BM661" s="15"/>
      <c r="BN661" s="15"/>
      <c r="BO661" s="15"/>
      <c r="BP661" s="410"/>
      <c r="BQ661" s="15"/>
      <c r="BR661" s="15"/>
      <c r="BS661" s="15"/>
      <c r="BT661" s="15"/>
      <c r="BU661" s="410"/>
      <c r="BV661" s="15"/>
      <c r="BW661" s="15"/>
      <c r="BX661" s="15"/>
      <c r="BY661" s="15"/>
      <c r="BZ661" s="24"/>
      <c r="CA661" s="15"/>
      <c r="CB661" s="15"/>
      <c r="CC661" s="15"/>
      <c r="CD661" s="15"/>
      <c r="CE661" s="24"/>
      <c r="CF661" s="15"/>
      <c r="CG661" s="15"/>
      <c r="CH661" s="15"/>
      <c r="CI661" s="15"/>
      <c r="CJ661" s="24"/>
      <c r="CK661" s="15"/>
      <c r="CL661" s="15"/>
      <c r="CM661" s="15"/>
      <c r="CN661" s="40"/>
      <c r="CO661" s="24"/>
      <c r="CP661" s="40"/>
      <c r="CQ661" s="15"/>
      <c r="CR661" s="15"/>
      <c r="CS661" s="15"/>
      <c r="CT661" s="24"/>
      <c r="CU661" s="15"/>
      <c r="CV661" s="15"/>
      <c r="CW661" s="15"/>
      <c r="CX661" s="15"/>
      <c r="CY661" s="24"/>
      <c r="CZ661" s="15"/>
      <c r="DA661" s="15"/>
      <c r="DB661" s="15"/>
      <c r="DC661" s="15"/>
      <c r="DD661" s="24"/>
      <c r="DE661" s="15"/>
      <c r="DF661" s="15"/>
      <c r="DG661" s="40"/>
      <c r="DH661" s="15"/>
      <c r="DI661" s="24"/>
      <c r="DJ661" s="40"/>
      <c r="DK661" s="40"/>
      <c r="DL661" s="40"/>
      <c r="DM661" s="15"/>
      <c r="DN661" s="24"/>
      <c r="DO661" s="15"/>
      <c r="DP661" s="15"/>
      <c r="DQ661" s="15"/>
      <c r="DR661" s="15"/>
      <c r="DS661" s="24"/>
      <c r="DT661" s="15"/>
      <c r="DU661" s="15"/>
      <c r="DV661" s="15"/>
      <c r="DW661" s="15"/>
      <c r="DX661" s="24"/>
      <c r="DY661" s="15"/>
      <c r="DZ661" s="15"/>
      <c r="EA661" s="15"/>
      <c r="EB661" s="15"/>
      <c r="EC661" s="24"/>
      <c r="ED661" s="15"/>
      <c r="EE661" s="15"/>
      <c r="EF661" s="15"/>
      <c r="EG661" s="15"/>
      <c r="EH661" s="24"/>
      <c r="EI661" s="82"/>
      <c r="EJ661" s="15"/>
      <c r="EK661" s="15"/>
      <c r="EL661" s="15"/>
      <c r="EM661" s="24"/>
      <c r="EN661" s="15"/>
      <c r="EO661" s="15"/>
      <c r="EP661" s="15"/>
      <c r="EQ661" s="15"/>
      <c r="ER661" s="24"/>
      <c r="ES661" s="15"/>
      <c r="ET661" s="15"/>
      <c r="EU661" s="15"/>
      <c r="EV661" s="15"/>
      <c r="EW661" s="24"/>
      <c r="EX661" s="15"/>
      <c r="EY661" s="15"/>
      <c r="EZ661" s="15"/>
      <c r="FA661" s="15"/>
      <c r="FB661" s="24"/>
      <c r="FC661" s="15"/>
      <c r="FD661" s="15"/>
      <c r="FE661" s="15"/>
      <c r="FF661" s="15"/>
      <c r="FG661" s="24"/>
      <c r="FH661" s="104"/>
      <c r="FI661" s="15"/>
      <c r="FJ661" s="15"/>
      <c r="FK661" s="410"/>
      <c r="FL661" s="15"/>
    </row>
    <row r="662" ht="12.75" hidden="1" customHeight="1" outlineLevel="2">
      <c r="A662" s="45"/>
      <c r="B662" s="215" t="str">
        <f t="shared" si="3215"/>
        <v>Other IAG</v>
      </c>
      <c r="C662" s="45"/>
      <c r="D662" s="15"/>
      <c r="E662" s="15"/>
      <c r="F662" s="15"/>
      <c r="G662" s="15"/>
      <c r="H662" s="410"/>
      <c r="I662" s="15"/>
      <c r="J662" s="15"/>
      <c r="K662" s="15"/>
      <c r="L662" s="15"/>
      <c r="M662" s="410"/>
      <c r="N662" s="15"/>
      <c r="O662" s="15"/>
      <c r="P662" s="15"/>
      <c r="Q662" s="15"/>
      <c r="R662" s="410"/>
      <c r="S662" s="15"/>
      <c r="T662" s="15"/>
      <c r="U662" s="15"/>
      <c r="V662" s="15"/>
      <c r="W662" s="410"/>
      <c r="X662" s="15"/>
      <c r="Y662" s="15"/>
      <c r="Z662" s="15"/>
      <c r="AA662" s="15"/>
      <c r="AB662" s="410"/>
      <c r="AC662" s="15"/>
      <c r="AD662" s="15"/>
      <c r="AE662" s="15"/>
      <c r="AF662" s="15"/>
      <c r="AG662" s="410"/>
      <c r="AH662" s="15"/>
      <c r="AI662" s="15"/>
      <c r="AJ662" s="15"/>
      <c r="AK662" s="15"/>
      <c r="AL662" s="410"/>
      <c r="AM662" s="15"/>
      <c r="AN662" s="15"/>
      <c r="AO662" s="15"/>
      <c r="AP662" s="15"/>
      <c r="AQ662" s="410"/>
      <c r="AR662" s="15"/>
      <c r="AS662" s="15"/>
      <c r="AT662" s="15"/>
      <c r="AU662" s="15"/>
      <c r="AV662" s="410"/>
      <c r="AW662" s="15"/>
      <c r="AX662" s="15"/>
      <c r="AY662" s="15"/>
      <c r="AZ662" s="15"/>
      <c r="BA662" s="410"/>
      <c r="BB662" s="15"/>
      <c r="BC662" s="15"/>
      <c r="BD662" s="15"/>
      <c r="BE662" s="15"/>
      <c r="BF662" s="410"/>
      <c r="BG662" s="15"/>
      <c r="BH662" s="15"/>
      <c r="BI662" s="15"/>
      <c r="BJ662" s="15"/>
      <c r="BK662" s="410"/>
      <c r="BL662" s="15"/>
      <c r="BM662" s="15"/>
      <c r="BN662" s="15"/>
      <c r="BO662" s="15"/>
      <c r="BP662" s="410"/>
      <c r="BQ662" s="15"/>
      <c r="BR662" s="15"/>
      <c r="BS662" s="15"/>
      <c r="BT662" s="15"/>
      <c r="BU662" s="410"/>
      <c r="BV662" s="15"/>
      <c r="BW662" s="15"/>
      <c r="BX662" s="15"/>
      <c r="BY662" s="15"/>
      <c r="BZ662" s="24"/>
      <c r="CA662" s="15"/>
      <c r="CB662" s="15"/>
      <c r="CC662" s="15"/>
      <c r="CD662" s="15"/>
      <c r="CE662" s="24"/>
      <c r="CF662" s="15"/>
      <c r="CG662" s="15"/>
      <c r="CH662" s="15"/>
      <c r="CI662" s="15"/>
      <c r="CJ662" s="24"/>
      <c r="CK662" s="15"/>
      <c r="CL662" s="15"/>
      <c r="CM662" s="15"/>
      <c r="CN662" s="40"/>
      <c r="CO662" s="24"/>
      <c r="CP662" s="40"/>
      <c r="CQ662" s="15"/>
      <c r="CR662" s="15"/>
      <c r="CS662" s="15"/>
      <c r="CT662" s="24"/>
      <c r="CU662" s="15"/>
      <c r="CV662" s="15"/>
      <c r="CW662" s="15"/>
      <c r="CX662" s="15"/>
      <c r="CY662" s="24"/>
      <c r="CZ662" s="15"/>
      <c r="DA662" s="15"/>
      <c r="DB662" s="15"/>
      <c r="DC662" s="15"/>
      <c r="DD662" s="24"/>
      <c r="DE662" s="15"/>
      <c r="DF662" s="15"/>
      <c r="DG662" s="40"/>
      <c r="DH662" s="15"/>
      <c r="DI662" s="24"/>
      <c r="DJ662" s="40"/>
      <c r="DK662" s="40"/>
      <c r="DL662" s="40"/>
      <c r="DM662" s="15"/>
      <c r="DN662" s="24"/>
      <c r="DO662" s="15"/>
      <c r="DP662" s="15"/>
      <c r="DQ662" s="15"/>
      <c r="DR662" s="15"/>
      <c r="DS662" s="24"/>
      <c r="DT662" s="15"/>
      <c r="DU662" s="15"/>
      <c r="DV662" s="15"/>
      <c r="DW662" s="15"/>
      <c r="DX662" s="24"/>
      <c r="DY662" s="15"/>
      <c r="DZ662" s="15"/>
      <c r="EA662" s="15"/>
      <c r="EB662" s="15"/>
      <c r="EC662" s="24"/>
      <c r="ED662" s="15"/>
      <c r="EE662" s="15"/>
      <c r="EF662" s="15"/>
      <c r="EG662" s="15"/>
      <c r="EH662" s="24"/>
      <c r="EI662" s="82"/>
      <c r="EJ662" s="15"/>
      <c r="EK662" s="15"/>
      <c r="EL662" s="15"/>
      <c r="EM662" s="24"/>
      <c r="EN662" s="15"/>
      <c r="EO662" s="15"/>
      <c r="EP662" s="15"/>
      <c r="EQ662" s="15"/>
      <c r="ER662" s="24"/>
      <c r="ES662" s="15"/>
      <c r="ET662" s="15"/>
      <c r="EU662" s="15"/>
      <c r="EV662" s="15"/>
      <c r="EW662" s="24"/>
      <c r="EX662" s="15"/>
      <c r="EY662" s="15"/>
      <c r="EZ662" s="15"/>
      <c r="FA662" s="15"/>
      <c r="FB662" s="24"/>
      <c r="FC662" s="15"/>
      <c r="FD662" s="15"/>
      <c r="FE662" s="15"/>
      <c r="FF662" s="15"/>
      <c r="FG662" s="24"/>
      <c r="FH662" s="104"/>
      <c r="FI662" s="15"/>
      <c r="FJ662" s="15"/>
      <c r="FK662" s="410"/>
      <c r="FL662" s="15"/>
    </row>
    <row r="663" ht="12.75" hidden="1" customHeight="1" outlineLevel="2">
      <c r="A663" s="45"/>
      <c r="B663" s="215" t="str">
        <f t="shared" si="3215"/>
        <v>IAG Subtotal</v>
      </c>
      <c r="C663" s="45"/>
      <c r="D663" s="15"/>
      <c r="E663" s="15"/>
      <c r="F663" s="15"/>
      <c r="G663" s="15"/>
      <c r="H663" s="410"/>
      <c r="I663" s="15"/>
      <c r="J663" s="15"/>
      <c r="K663" s="15"/>
      <c r="L663" s="15"/>
      <c r="M663" s="410"/>
      <c r="N663" s="15"/>
      <c r="O663" s="15"/>
      <c r="P663" s="15"/>
      <c r="Q663" s="15"/>
      <c r="R663" s="410"/>
      <c r="S663" s="15"/>
      <c r="T663" s="15"/>
      <c r="U663" s="15"/>
      <c r="V663" s="15"/>
      <c r="W663" s="410"/>
      <c r="X663" s="15"/>
      <c r="Y663" s="15"/>
      <c r="Z663" s="15"/>
      <c r="AA663" s="15"/>
      <c r="AB663" s="410"/>
      <c r="AC663" s="15"/>
      <c r="AD663" s="15"/>
      <c r="AE663" s="15"/>
      <c r="AF663" s="15"/>
      <c r="AG663" s="410"/>
      <c r="AH663" s="15"/>
      <c r="AI663" s="15"/>
      <c r="AJ663" s="15"/>
      <c r="AK663" s="15"/>
      <c r="AL663" s="410"/>
      <c r="AM663" s="15"/>
      <c r="AN663" s="15"/>
      <c r="AO663" s="15"/>
      <c r="AP663" s="15"/>
      <c r="AQ663" s="410"/>
      <c r="AR663" s="15"/>
      <c r="AS663" s="15"/>
      <c r="AT663" s="15"/>
      <c r="AU663" s="15"/>
      <c r="AV663" s="410"/>
      <c r="AW663" s="15"/>
      <c r="AX663" s="15"/>
      <c r="AY663" s="15"/>
      <c r="AZ663" s="15"/>
      <c r="BA663" s="410"/>
      <c r="BB663" s="15"/>
      <c r="BC663" s="15"/>
      <c r="BD663" s="15"/>
      <c r="BE663" s="15"/>
      <c r="BF663" s="410"/>
      <c r="BG663" s="15"/>
      <c r="BH663" s="15"/>
      <c r="BI663" s="15"/>
      <c r="BJ663" s="15"/>
      <c r="BK663" s="410"/>
      <c r="BL663" s="15"/>
      <c r="BM663" s="15"/>
      <c r="BN663" s="15"/>
      <c r="BO663" s="15"/>
      <c r="BP663" s="410"/>
      <c r="BQ663" s="15"/>
      <c r="BR663" s="15"/>
      <c r="BS663" s="15"/>
      <c r="BT663" s="15"/>
      <c r="BU663" s="410"/>
      <c r="BV663" s="15"/>
      <c r="BW663" s="15"/>
      <c r="BX663" s="15"/>
      <c r="BY663" s="15"/>
      <c r="BZ663" s="24"/>
      <c r="CA663" s="15"/>
      <c r="CB663" s="15"/>
      <c r="CC663" s="15"/>
      <c r="CD663" s="15"/>
      <c r="CE663" s="24"/>
      <c r="CF663" s="15"/>
      <c r="CG663" s="15"/>
      <c r="CH663" s="15"/>
      <c r="CI663" s="15"/>
      <c r="CJ663" s="24"/>
      <c r="CK663" s="15"/>
      <c r="CL663" s="15"/>
      <c r="CM663" s="15"/>
      <c r="CN663" s="40"/>
      <c r="CO663" s="24"/>
      <c r="CP663" s="40"/>
      <c r="CQ663" s="15"/>
      <c r="CR663" s="15"/>
      <c r="CS663" s="15"/>
      <c r="CT663" s="24"/>
      <c r="CU663" s="15"/>
      <c r="CV663" s="15"/>
      <c r="CW663" s="15"/>
      <c r="CX663" s="15"/>
      <c r="CY663" s="24"/>
      <c r="CZ663" s="15"/>
      <c r="DA663" s="15"/>
      <c r="DB663" s="15"/>
      <c r="DC663" s="15"/>
      <c r="DD663" s="24"/>
      <c r="DE663" s="15"/>
      <c r="DF663" s="15"/>
      <c r="DG663" s="40"/>
      <c r="DH663" s="15"/>
      <c r="DI663" s="24"/>
      <c r="DJ663" s="40"/>
      <c r="DK663" s="40"/>
      <c r="DL663" s="40"/>
      <c r="DM663" s="15"/>
      <c r="DN663" s="24"/>
      <c r="DO663" s="15"/>
      <c r="DP663" s="15"/>
      <c r="DQ663" s="15"/>
      <c r="DR663" s="15"/>
      <c r="DS663" s="24"/>
      <c r="DT663" s="15"/>
      <c r="DU663" s="15"/>
      <c r="DV663" s="15"/>
      <c r="DW663" s="15"/>
      <c r="DX663" s="24"/>
      <c r="DY663" s="15"/>
      <c r="DZ663" s="15"/>
      <c r="EA663" s="15"/>
      <c r="EB663" s="15"/>
      <c r="EC663" s="24"/>
      <c r="ED663" s="15"/>
      <c r="EE663" s="15"/>
      <c r="EF663" s="15"/>
      <c r="EG663" s="15"/>
      <c r="EH663" s="24"/>
      <c r="EI663" s="82"/>
      <c r="EJ663" s="15"/>
      <c r="EK663" s="15"/>
      <c r="EL663" s="15"/>
      <c r="EM663" s="24"/>
      <c r="EN663" s="15"/>
      <c r="EO663" s="15"/>
      <c r="EP663" s="15"/>
      <c r="EQ663" s="15"/>
      <c r="ER663" s="24"/>
      <c r="ES663" s="15"/>
      <c r="ET663" s="15"/>
      <c r="EU663" s="15"/>
      <c r="EV663" s="15"/>
      <c r="EW663" s="24"/>
      <c r="EX663" s="15"/>
      <c r="EY663" s="15"/>
      <c r="EZ663" s="15"/>
      <c r="FA663" s="15"/>
      <c r="FB663" s="24"/>
      <c r="FC663" s="15"/>
      <c r="FD663" s="15"/>
      <c r="FE663" s="15"/>
      <c r="FF663" s="15"/>
      <c r="FG663" s="24"/>
      <c r="FH663" s="104"/>
      <c r="FI663" s="15"/>
      <c r="FJ663" s="15"/>
      <c r="FK663" s="410"/>
      <c r="FL663" s="15"/>
    </row>
    <row r="664" ht="12.75" hidden="1" customHeight="1" outlineLevel="2">
      <c r="A664" s="45"/>
      <c r="B664" s="215" t="str">
        <f t="shared" si="3215"/>
        <v>Software and Services Group</v>
      </c>
      <c r="C664" s="45"/>
      <c r="D664" s="326"/>
      <c r="E664" s="326"/>
      <c r="F664" s="326"/>
      <c r="G664" s="326"/>
      <c r="H664" s="323"/>
      <c r="I664" s="326"/>
      <c r="J664" s="326"/>
      <c r="K664" s="326"/>
      <c r="L664" s="326"/>
      <c r="M664" s="323"/>
      <c r="N664" s="326"/>
      <c r="O664" s="326"/>
      <c r="P664" s="326"/>
      <c r="Q664" s="326"/>
      <c r="R664" s="323"/>
      <c r="S664" s="326"/>
      <c r="T664" s="326"/>
      <c r="U664" s="326"/>
      <c r="V664" s="326"/>
      <c r="W664" s="323"/>
      <c r="X664" s="326"/>
      <c r="Y664" s="326"/>
      <c r="Z664" s="326"/>
      <c r="AA664" s="326"/>
      <c r="AB664" s="323"/>
      <c r="AC664" s="326"/>
      <c r="AD664" s="326"/>
      <c r="AE664" s="326"/>
      <c r="AF664" s="326"/>
      <c r="AG664" s="323"/>
      <c r="AH664" s="326"/>
      <c r="AI664" s="326"/>
      <c r="AJ664" s="326"/>
      <c r="AK664" s="326"/>
      <c r="AL664" s="323"/>
      <c r="AM664" s="326"/>
      <c r="AN664" s="326"/>
      <c r="AO664" s="326"/>
      <c r="AP664" s="326"/>
      <c r="AQ664" s="323"/>
      <c r="AR664" s="326"/>
      <c r="AS664" s="326"/>
      <c r="AT664" s="326"/>
      <c r="AU664" s="326"/>
      <c r="AV664" s="323"/>
      <c r="AW664" s="326"/>
      <c r="AX664" s="326"/>
      <c r="AY664" s="326"/>
      <c r="AZ664" s="326"/>
      <c r="BA664" s="323"/>
      <c r="BB664" s="326"/>
      <c r="BC664" s="326"/>
      <c r="BD664" s="326"/>
      <c r="BE664" s="326"/>
      <c r="BF664" s="323"/>
      <c r="BG664" s="326"/>
      <c r="BH664" s="326"/>
      <c r="BI664" s="326"/>
      <c r="BJ664" s="326"/>
      <c r="BK664" s="323"/>
      <c r="BL664" s="326"/>
      <c r="BM664" s="326"/>
      <c r="BN664" s="326"/>
      <c r="BO664" s="326"/>
      <c r="BP664" s="323"/>
      <c r="BQ664" s="326"/>
      <c r="BR664" s="326"/>
      <c r="BS664" s="326"/>
      <c r="BT664" s="326"/>
      <c r="BU664" s="323"/>
      <c r="BV664" s="326"/>
      <c r="BW664" s="326"/>
      <c r="BX664" s="326"/>
      <c r="BY664" s="326"/>
      <c r="BZ664" s="324"/>
      <c r="CA664" s="326"/>
      <c r="CB664" s="326"/>
      <c r="CC664" s="326"/>
      <c r="CD664" s="326"/>
      <c r="CE664" s="324"/>
      <c r="CF664" s="326"/>
      <c r="CG664" s="326"/>
      <c r="CH664" s="326"/>
      <c r="CI664" s="326"/>
      <c r="CJ664" s="324"/>
      <c r="CK664" s="326"/>
      <c r="CL664" s="326"/>
      <c r="CM664" s="326"/>
      <c r="CN664" s="327"/>
      <c r="CO664" s="324"/>
      <c r="CP664" s="327"/>
      <c r="CQ664" s="326"/>
      <c r="CR664" s="326"/>
      <c r="CS664" s="326"/>
      <c r="CT664" s="324"/>
      <c r="CU664" s="326"/>
      <c r="CV664" s="326"/>
      <c r="CW664" s="326"/>
      <c r="CX664" s="326"/>
      <c r="CY664" s="324"/>
      <c r="CZ664" s="326"/>
      <c r="DA664" s="326"/>
      <c r="DB664" s="326"/>
      <c r="DC664" s="326"/>
      <c r="DD664" s="324"/>
      <c r="DE664" s="326"/>
      <c r="DF664" s="326"/>
      <c r="DG664" s="327"/>
      <c r="DH664" s="326"/>
      <c r="DI664" s="324"/>
      <c r="DJ664" s="327"/>
      <c r="DK664" s="327"/>
      <c r="DL664" s="327"/>
      <c r="DM664" s="326"/>
      <c r="DN664" s="324"/>
      <c r="DO664" s="326"/>
      <c r="DP664" s="326"/>
      <c r="DQ664" s="326"/>
      <c r="DR664" s="326"/>
      <c r="DS664" s="324"/>
      <c r="DT664" s="326"/>
      <c r="DU664" s="326"/>
      <c r="DV664" s="326"/>
      <c r="DW664" s="326"/>
      <c r="DX664" s="324"/>
      <c r="DY664" s="326"/>
      <c r="DZ664" s="326"/>
      <c r="EA664" s="326"/>
      <c r="EB664" s="326"/>
      <c r="EC664" s="324"/>
      <c r="ED664" s="326"/>
      <c r="EE664" s="326"/>
      <c r="EF664" s="326"/>
      <c r="EG664" s="326"/>
      <c r="EH664" s="324"/>
      <c r="EI664" s="361"/>
      <c r="EJ664" s="326"/>
      <c r="EK664" s="326"/>
      <c r="EL664" s="326"/>
      <c r="EM664" s="324"/>
      <c r="EN664" s="326"/>
      <c r="EO664" s="326"/>
      <c r="EP664" s="326"/>
      <c r="EQ664" s="326"/>
      <c r="ER664" s="324"/>
      <c r="ES664" s="326"/>
      <c r="ET664" s="326"/>
      <c r="EU664" s="326"/>
      <c r="EV664" s="326"/>
      <c r="EW664" s="324"/>
      <c r="EX664" s="326"/>
      <c r="EY664" s="326"/>
      <c r="EZ664" s="326"/>
      <c r="FA664" s="326"/>
      <c r="FB664" s="324"/>
      <c r="FC664" s="326"/>
      <c r="FD664" s="326"/>
      <c r="FE664" s="326"/>
      <c r="FF664" s="326"/>
      <c r="FG664" s="324"/>
      <c r="FH664" s="325"/>
      <c r="FI664" s="326"/>
      <c r="FJ664" s="326"/>
      <c r="FK664" s="323"/>
      <c r="FL664" s="326"/>
    </row>
    <row r="665" ht="12.75" hidden="1" customHeight="1" outlineLevel="2">
      <c r="A665" s="45"/>
      <c r="B665" s="215" t="str">
        <f t="shared" si="3215"/>
        <v>All Other</v>
      </c>
      <c r="C665" s="45"/>
      <c r="D665" s="326"/>
      <c r="E665" s="326"/>
      <c r="F665" s="326"/>
      <c r="G665" s="326"/>
      <c r="H665" s="323"/>
      <c r="I665" s="326"/>
      <c r="J665" s="326"/>
      <c r="K665" s="326"/>
      <c r="L665" s="326"/>
      <c r="M665" s="323"/>
      <c r="N665" s="326"/>
      <c r="O665" s="326"/>
      <c r="P665" s="326"/>
      <c r="Q665" s="326"/>
      <c r="R665" s="323"/>
      <c r="S665" s="326"/>
      <c r="T665" s="326"/>
      <c r="U665" s="326"/>
      <c r="V665" s="326"/>
      <c r="W665" s="323"/>
      <c r="X665" s="326"/>
      <c r="Y665" s="326"/>
      <c r="Z665" s="326"/>
      <c r="AA665" s="326"/>
      <c r="AB665" s="323"/>
      <c r="AC665" s="326"/>
      <c r="AD665" s="326"/>
      <c r="AE665" s="326"/>
      <c r="AF665" s="326"/>
      <c r="AG665" s="323"/>
      <c r="AH665" s="326"/>
      <c r="AI665" s="326"/>
      <c r="AJ665" s="326"/>
      <c r="AK665" s="326"/>
      <c r="AL665" s="323"/>
      <c r="AM665" s="326"/>
      <c r="AN665" s="326"/>
      <c r="AO665" s="326"/>
      <c r="AP665" s="326"/>
      <c r="AQ665" s="323"/>
      <c r="AR665" s="326"/>
      <c r="AS665" s="326"/>
      <c r="AT665" s="326"/>
      <c r="AU665" s="326"/>
      <c r="AV665" s="323"/>
      <c r="AW665" s="326"/>
      <c r="AX665" s="326"/>
      <c r="AY665" s="326"/>
      <c r="AZ665" s="326"/>
      <c r="BA665" s="323"/>
      <c r="BB665" s="326"/>
      <c r="BC665" s="326"/>
      <c r="BD665" s="326"/>
      <c r="BE665" s="326"/>
      <c r="BF665" s="323"/>
      <c r="BG665" s="326"/>
      <c r="BH665" s="326"/>
      <c r="BI665" s="326"/>
      <c r="BJ665" s="326"/>
      <c r="BK665" s="323"/>
      <c r="BL665" s="326"/>
      <c r="BM665" s="326"/>
      <c r="BN665" s="326"/>
      <c r="BO665" s="326"/>
      <c r="BP665" s="323"/>
      <c r="BQ665" s="326"/>
      <c r="BR665" s="326"/>
      <c r="BS665" s="326"/>
      <c r="BT665" s="326"/>
      <c r="BU665" s="323"/>
      <c r="BV665" s="326"/>
      <c r="BW665" s="326"/>
      <c r="BX665" s="326"/>
      <c r="BY665" s="326"/>
      <c r="BZ665" s="324"/>
      <c r="CA665" s="326"/>
      <c r="CB665" s="326"/>
      <c r="CC665" s="326"/>
      <c r="CD665" s="326"/>
      <c r="CE665" s="324"/>
      <c r="CF665" s="326"/>
      <c r="CG665" s="326"/>
      <c r="CH665" s="326"/>
      <c r="CI665" s="326"/>
      <c r="CJ665" s="324"/>
      <c r="CK665" s="326"/>
      <c r="CL665" s="326"/>
      <c r="CM665" s="326"/>
      <c r="CN665" s="327"/>
      <c r="CO665" s="324"/>
      <c r="CP665" s="327"/>
      <c r="CQ665" s="326"/>
      <c r="CR665" s="326"/>
      <c r="CS665" s="326"/>
      <c r="CT665" s="324"/>
      <c r="CU665" s="326"/>
      <c r="CV665" s="326"/>
      <c r="CW665" s="326"/>
      <c r="CX665" s="326"/>
      <c r="CY665" s="324"/>
      <c r="CZ665" s="326"/>
      <c r="DA665" s="326"/>
      <c r="DB665" s="326"/>
      <c r="DC665" s="326"/>
      <c r="DD665" s="324"/>
      <c r="DE665" s="326"/>
      <c r="DF665" s="326"/>
      <c r="DG665" s="327"/>
      <c r="DH665" s="326"/>
      <c r="DI665" s="324"/>
      <c r="DJ665" s="327"/>
      <c r="DK665" s="327"/>
      <c r="DL665" s="327"/>
      <c r="DM665" s="326"/>
      <c r="DN665" s="324"/>
      <c r="DO665" s="326"/>
      <c r="DP665" s="326"/>
      <c r="DQ665" s="326"/>
      <c r="DR665" s="326"/>
      <c r="DS665" s="324"/>
      <c r="DT665" s="326"/>
      <c r="DU665" s="326"/>
      <c r="DV665" s="326"/>
      <c r="DW665" s="326"/>
      <c r="DX665" s="324"/>
      <c r="DY665" s="326"/>
      <c r="DZ665" s="326"/>
      <c r="EA665" s="326"/>
      <c r="EB665" s="326"/>
      <c r="EC665" s="324"/>
      <c r="ED665" s="326"/>
      <c r="EE665" s="326"/>
      <c r="EF665" s="326"/>
      <c r="EG665" s="326"/>
      <c r="EH665" s="324"/>
      <c r="EI665" s="361"/>
      <c r="EJ665" s="326"/>
      <c r="EK665" s="326"/>
      <c r="EL665" s="326"/>
      <c r="EM665" s="324"/>
      <c r="EN665" s="326"/>
      <c r="EO665" s="326"/>
      <c r="EP665" s="326"/>
      <c r="EQ665" s="326"/>
      <c r="ER665" s="324"/>
      <c r="ES665" s="326"/>
      <c r="ET665" s="326"/>
      <c r="EU665" s="326"/>
      <c r="EV665" s="326"/>
      <c r="EW665" s="324"/>
      <c r="EX665" s="326"/>
      <c r="EY665" s="326"/>
      <c r="EZ665" s="326"/>
      <c r="FA665" s="326"/>
      <c r="FB665" s="324"/>
      <c r="FC665" s="326"/>
      <c r="FD665" s="326"/>
      <c r="FE665" s="326"/>
      <c r="FF665" s="326"/>
      <c r="FG665" s="324"/>
      <c r="FH665" s="325"/>
      <c r="FI665" s="326"/>
      <c r="FJ665" s="326"/>
      <c r="FK665" s="323"/>
      <c r="FL665" s="326"/>
    </row>
    <row r="666" ht="13.5" hidden="1" customHeight="1" outlineLevel="2">
      <c r="A666" s="4"/>
      <c r="B666" s="529" t="s">
        <v>300</v>
      </c>
      <c r="C666" s="164"/>
      <c r="D666" s="606"/>
      <c r="E666" s="606"/>
      <c r="F666" s="606"/>
      <c r="G666" s="606"/>
      <c r="H666" s="596"/>
      <c r="I666" s="606"/>
      <c r="J666" s="606"/>
      <c r="K666" s="606"/>
      <c r="L666" s="606"/>
      <c r="M666" s="596"/>
      <c r="N666" s="606"/>
      <c r="O666" s="606"/>
      <c r="P666" s="606"/>
      <c r="Q666" s="606"/>
      <c r="R666" s="596"/>
      <c r="S666" s="606"/>
      <c r="T666" s="606"/>
      <c r="U666" s="606"/>
      <c r="V666" s="606"/>
      <c r="W666" s="596"/>
      <c r="X666" s="606"/>
      <c r="Y666" s="606"/>
      <c r="Z666" s="606"/>
      <c r="AA666" s="606"/>
      <c r="AB666" s="596"/>
      <c r="AC666" s="606"/>
      <c r="AD666" s="606"/>
      <c r="AE666" s="606"/>
      <c r="AF666" s="606"/>
      <c r="AG666" s="596"/>
      <c r="AH666" s="606"/>
      <c r="AI666" s="606"/>
      <c r="AJ666" s="606"/>
      <c r="AK666" s="606"/>
      <c r="AL666" s="596"/>
      <c r="AM666" s="606"/>
      <c r="AN666" s="606"/>
      <c r="AO666" s="606"/>
      <c r="AP666" s="606"/>
      <c r="AQ666" s="596"/>
      <c r="AR666" s="606"/>
      <c r="AS666" s="606"/>
      <c r="AT666" s="606"/>
      <c r="AU666" s="606"/>
      <c r="AV666" s="596"/>
      <c r="AW666" s="606"/>
      <c r="AX666" s="606"/>
      <c r="AY666" s="606"/>
      <c r="AZ666" s="606"/>
      <c r="BA666" s="596"/>
      <c r="BB666" s="606"/>
      <c r="BC666" s="606"/>
      <c r="BD666" s="606"/>
      <c r="BE666" s="606"/>
      <c r="BF666" s="596"/>
      <c r="BG666" s="606"/>
      <c r="BH666" s="606"/>
      <c r="BI666" s="606"/>
      <c r="BJ666" s="606"/>
      <c r="BK666" s="596"/>
      <c r="BL666" s="606"/>
      <c r="BM666" s="606"/>
      <c r="BN666" s="606"/>
      <c r="BO666" s="606"/>
      <c r="BP666" s="596"/>
      <c r="BQ666" s="606"/>
      <c r="BR666" s="606"/>
      <c r="BS666" s="606"/>
      <c r="BT666" s="606"/>
      <c r="BU666" s="596"/>
      <c r="BV666" s="606"/>
      <c r="BW666" s="606"/>
      <c r="BX666" s="606"/>
      <c r="BY666" s="606"/>
      <c r="BZ666" s="597"/>
      <c r="CA666" s="606"/>
      <c r="CB666" s="606"/>
      <c r="CC666" s="606"/>
      <c r="CD666" s="606"/>
      <c r="CE666" s="597"/>
      <c r="CF666" s="606"/>
      <c r="CG666" s="606"/>
      <c r="CH666" s="606"/>
      <c r="CI666" s="606"/>
      <c r="CJ666" s="597"/>
      <c r="CK666" s="606"/>
      <c r="CL666" s="606"/>
      <c r="CM666" s="606"/>
      <c r="CN666" s="607"/>
      <c r="CO666" s="597"/>
      <c r="CP666" s="607"/>
      <c r="CQ666" s="606"/>
      <c r="CR666" s="606"/>
      <c r="CS666" s="606"/>
      <c r="CT666" s="597"/>
      <c r="CU666" s="606"/>
      <c r="CV666" s="606"/>
      <c r="CW666" s="606"/>
      <c r="CX666" s="606"/>
      <c r="CY666" s="597"/>
      <c r="CZ666" s="606"/>
      <c r="DA666" s="606"/>
      <c r="DB666" s="606"/>
      <c r="DC666" s="606"/>
      <c r="DD666" s="597"/>
      <c r="DE666" s="606"/>
      <c r="DF666" s="606"/>
      <c r="DG666" s="40"/>
      <c r="DH666" s="606"/>
      <c r="DI666" s="597"/>
      <c r="DJ666" s="607"/>
      <c r="DK666" s="607"/>
      <c r="DL666" s="607"/>
      <c r="DM666" s="606"/>
      <c r="DN666" s="597"/>
      <c r="DO666" s="606"/>
      <c r="DP666" s="606"/>
      <c r="DQ666" s="606"/>
      <c r="DR666" s="606"/>
      <c r="DS666" s="597"/>
      <c r="DT666" s="606"/>
      <c r="DU666" s="606"/>
      <c r="DV666" s="606"/>
      <c r="DW666" s="606"/>
      <c r="DX666" s="597"/>
      <c r="DY666" s="606"/>
      <c r="DZ666" s="606"/>
      <c r="EA666" s="606"/>
      <c r="EB666" s="606"/>
      <c r="EC666" s="597"/>
      <c r="ED666" s="606"/>
      <c r="EE666" s="606"/>
      <c r="EF666" s="606"/>
      <c r="EG666" s="606"/>
      <c r="EH666" s="597"/>
      <c r="EI666" s="608"/>
      <c r="EJ666" s="606"/>
      <c r="EK666" s="606"/>
      <c r="EL666" s="606"/>
      <c r="EM666" s="597"/>
      <c r="EN666" s="606"/>
      <c r="EO666" s="606"/>
      <c r="EP666" s="606"/>
      <c r="EQ666" s="606"/>
      <c r="ER666" s="597"/>
      <c r="ES666" s="606"/>
      <c r="ET666" s="606"/>
      <c r="EU666" s="606"/>
      <c r="EV666" s="606"/>
      <c r="EW666" s="597"/>
      <c r="EX666" s="606"/>
      <c r="EY666" s="606"/>
      <c r="EZ666" s="606"/>
      <c r="FA666" s="606"/>
      <c r="FB666" s="597"/>
      <c r="FC666" s="606"/>
      <c r="FD666" s="606"/>
      <c r="FE666" s="606"/>
      <c r="FF666" s="606"/>
      <c r="FG666" s="597"/>
      <c r="FH666" s="595"/>
      <c r="FI666" s="606"/>
      <c r="FJ666" s="606"/>
      <c r="FK666" s="596"/>
      <c r="FL666" s="606"/>
    </row>
    <row r="667" ht="13.5" hidden="1" customHeight="1" outlineLevel="2">
      <c r="A667" s="4"/>
      <c r="B667" s="344"/>
      <c r="C667" s="112"/>
      <c r="D667" s="15"/>
      <c r="E667" s="15"/>
      <c r="F667" s="15"/>
      <c r="G667" s="15"/>
      <c r="H667" s="410"/>
      <c r="I667" s="15"/>
      <c r="J667" s="15"/>
      <c r="K667" s="15"/>
      <c r="L667" s="15"/>
      <c r="M667" s="410"/>
      <c r="N667" s="15"/>
      <c r="O667" s="15"/>
      <c r="P667" s="15"/>
      <c r="Q667" s="15"/>
      <c r="R667" s="410"/>
      <c r="S667" s="15"/>
      <c r="T667" s="15"/>
      <c r="U667" s="15"/>
      <c r="V667" s="15"/>
      <c r="W667" s="410"/>
      <c r="X667" s="15"/>
      <c r="Y667" s="15"/>
      <c r="Z667" s="15"/>
      <c r="AA667" s="15"/>
      <c r="AB667" s="410"/>
      <c r="AC667" s="15"/>
      <c r="AD667" s="15"/>
      <c r="AE667" s="15"/>
      <c r="AF667" s="15"/>
      <c r="AG667" s="410"/>
      <c r="AH667" s="15"/>
      <c r="AI667" s="15"/>
      <c r="AJ667" s="15"/>
      <c r="AK667" s="15"/>
      <c r="AL667" s="410"/>
      <c r="AM667" s="15"/>
      <c r="AN667" s="15"/>
      <c r="AO667" s="15"/>
      <c r="AP667" s="15"/>
      <c r="AQ667" s="410"/>
      <c r="AR667" s="15"/>
      <c r="AS667" s="15"/>
      <c r="AT667" s="15"/>
      <c r="AU667" s="15"/>
      <c r="AV667" s="410"/>
      <c r="AW667" s="15"/>
      <c r="AX667" s="15"/>
      <c r="AY667" s="15"/>
      <c r="AZ667" s="15"/>
      <c r="BA667" s="410"/>
      <c r="BB667" s="15"/>
      <c r="BC667" s="15"/>
      <c r="BD667" s="15"/>
      <c r="BE667" s="15"/>
      <c r="BF667" s="410"/>
      <c r="BG667" s="15"/>
      <c r="BH667" s="15"/>
      <c r="BI667" s="15"/>
      <c r="BJ667" s="15"/>
      <c r="BK667" s="410"/>
      <c r="BL667" s="15"/>
      <c r="BM667" s="15"/>
      <c r="BN667" s="15"/>
      <c r="BO667" s="15"/>
      <c r="BP667" s="410"/>
      <c r="BQ667" s="15"/>
      <c r="BR667" s="15"/>
      <c r="BS667" s="15"/>
      <c r="BT667" s="15"/>
      <c r="BU667" s="410"/>
      <c r="BV667" s="15"/>
      <c r="BW667" s="15"/>
      <c r="BX667" s="15"/>
      <c r="BY667" s="15"/>
      <c r="BZ667" s="24"/>
      <c r="CA667" s="15"/>
      <c r="CB667" s="15"/>
      <c r="CC667" s="15"/>
      <c r="CD667" s="15"/>
      <c r="CE667" s="24"/>
      <c r="CF667" s="15"/>
      <c r="CG667" s="15"/>
      <c r="CH667" s="15"/>
      <c r="CI667" s="15"/>
      <c r="CJ667" s="24"/>
      <c r="CK667" s="15"/>
      <c r="CL667" s="15"/>
      <c r="CM667" s="15"/>
      <c r="CN667" s="40"/>
      <c r="CO667" s="24"/>
      <c r="CP667" s="40"/>
      <c r="CQ667" s="15"/>
      <c r="CR667" s="15"/>
      <c r="CS667" s="15"/>
      <c r="CT667" s="24"/>
      <c r="CU667" s="15"/>
      <c r="CV667" s="15"/>
      <c r="CW667" s="15"/>
      <c r="CX667" s="15"/>
      <c r="CY667" s="24"/>
      <c r="CZ667" s="15"/>
      <c r="DA667" s="15"/>
      <c r="DB667" s="15"/>
      <c r="DC667" s="15"/>
      <c r="DD667" s="24"/>
      <c r="DE667" s="15"/>
      <c r="DF667" s="15"/>
      <c r="DG667" s="40"/>
      <c r="DH667" s="15"/>
      <c r="DI667" s="24"/>
      <c r="DJ667" s="40"/>
      <c r="DK667" s="40"/>
      <c r="DL667" s="40"/>
      <c r="DM667" s="15"/>
      <c r="DN667" s="24"/>
      <c r="DO667" s="15"/>
      <c r="DP667" s="15"/>
      <c r="DQ667" s="15"/>
      <c r="DR667" s="15"/>
      <c r="DS667" s="24"/>
      <c r="DT667" s="15"/>
      <c r="DU667" s="15"/>
      <c r="DV667" s="15"/>
      <c r="DW667" s="15"/>
      <c r="DX667" s="24"/>
      <c r="DY667" s="15"/>
      <c r="DZ667" s="15"/>
      <c r="EA667" s="15"/>
      <c r="EB667" s="15"/>
      <c r="EC667" s="24"/>
      <c r="ED667" s="15"/>
      <c r="EE667" s="15"/>
      <c r="EF667" s="15"/>
      <c r="EG667" s="15"/>
      <c r="EH667" s="24"/>
      <c r="EI667" s="82"/>
      <c r="EJ667" s="15"/>
      <c r="EK667" s="15"/>
      <c r="EL667" s="15"/>
      <c r="EM667" s="24"/>
      <c r="EN667" s="15"/>
      <c r="EO667" s="15"/>
      <c r="EP667" s="15"/>
      <c r="EQ667" s="15"/>
      <c r="ER667" s="24"/>
      <c r="ES667" s="15"/>
      <c r="ET667" s="15"/>
      <c r="EU667" s="15"/>
      <c r="EV667" s="15"/>
      <c r="EW667" s="24"/>
      <c r="EX667" s="15"/>
      <c r="EY667" s="15"/>
      <c r="EZ667" s="15"/>
      <c r="FA667" s="15"/>
      <c r="FB667" s="24"/>
      <c r="FC667" s="15"/>
      <c r="FD667" s="15"/>
      <c r="FE667" s="15"/>
      <c r="FF667" s="15"/>
      <c r="FG667" s="24"/>
      <c r="FH667" s="104"/>
      <c r="FI667" s="15"/>
      <c r="FJ667" s="15"/>
      <c r="FK667" s="410"/>
      <c r="FL667" s="15"/>
    </row>
    <row r="668" ht="12.75" hidden="1" customHeight="1" outlineLevel="2">
      <c r="A668" s="4"/>
      <c r="B668" s="601" t="s">
        <v>304</v>
      </c>
      <c r="C668" s="45"/>
      <c r="D668" s="15"/>
      <c r="E668" s="15"/>
      <c r="F668" s="15"/>
      <c r="G668" s="15"/>
      <c r="H668" s="410"/>
      <c r="I668" s="15"/>
      <c r="J668" s="15"/>
      <c r="K668" s="15"/>
      <c r="L668" s="15"/>
      <c r="M668" s="410"/>
      <c r="N668" s="15"/>
      <c r="O668" s="15"/>
      <c r="P668" s="15"/>
      <c r="Q668" s="15"/>
      <c r="R668" s="410"/>
      <c r="S668" s="15"/>
      <c r="T668" s="15"/>
      <c r="U668" s="15"/>
      <c r="V668" s="15"/>
      <c r="W668" s="410"/>
      <c r="X668" s="15"/>
      <c r="Y668" s="15"/>
      <c r="Z668" s="15"/>
      <c r="AA668" s="15"/>
      <c r="AB668" s="410"/>
      <c r="AC668" s="15"/>
      <c r="AD668" s="15"/>
      <c r="AE668" s="15"/>
      <c r="AF668" s="15"/>
      <c r="AG668" s="410"/>
      <c r="AH668" s="15"/>
      <c r="AI668" s="15"/>
      <c r="AJ668" s="15"/>
      <c r="AK668" s="15"/>
      <c r="AL668" s="410"/>
      <c r="AM668" s="15"/>
      <c r="AN668" s="15"/>
      <c r="AO668" s="15"/>
      <c r="AP668" s="15"/>
      <c r="AQ668" s="410"/>
      <c r="AR668" s="15"/>
      <c r="AS668" s="15"/>
      <c r="AT668" s="15"/>
      <c r="AU668" s="15"/>
      <c r="AV668" s="410"/>
      <c r="AW668" s="15"/>
      <c r="AX668" s="15"/>
      <c r="AY668" s="15"/>
      <c r="AZ668" s="15"/>
      <c r="BA668" s="410"/>
      <c r="BB668" s="15"/>
      <c r="BC668" s="15"/>
      <c r="BD668" s="15"/>
      <c r="BE668" s="15"/>
      <c r="BF668" s="410"/>
      <c r="BG668" s="15"/>
      <c r="BH668" s="15"/>
      <c r="BI668" s="15"/>
      <c r="BJ668" s="15"/>
      <c r="BK668" s="410"/>
      <c r="BL668" s="15"/>
      <c r="BM668" s="15"/>
      <c r="BN668" s="15"/>
      <c r="BO668" s="15"/>
      <c r="BP668" s="410"/>
      <c r="BQ668" s="15"/>
      <c r="BR668" s="15"/>
      <c r="BS668" s="15"/>
      <c r="BT668" s="15"/>
      <c r="BU668" s="410"/>
      <c r="BV668" s="15"/>
      <c r="BW668" s="15"/>
      <c r="BX668" s="15"/>
      <c r="BY668" s="15"/>
      <c r="BZ668" s="24"/>
      <c r="CA668" s="15"/>
      <c r="CB668" s="15"/>
      <c r="CC668" s="15"/>
      <c r="CD668" s="15"/>
      <c r="CE668" s="24"/>
      <c r="CF668" s="15"/>
      <c r="CG668" s="15"/>
      <c r="CH668" s="15"/>
      <c r="CI668" s="15"/>
      <c r="CJ668" s="24"/>
      <c r="CK668" s="15"/>
      <c r="CL668" s="15"/>
      <c r="CM668" s="15"/>
      <c r="CN668" s="40"/>
      <c r="CO668" s="24"/>
      <c r="CP668" s="40"/>
      <c r="CQ668" s="15"/>
      <c r="CR668" s="15"/>
      <c r="CS668" s="15"/>
      <c r="CT668" s="24"/>
      <c r="CU668" s="15"/>
      <c r="CV668" s="15"/>
      <c r="CW668" s="15"/>
      <c r="CX668" s="15"/>
      <c r="CY668" s="24"/>
      <c r="CZ668" s="15"/>
      <c r="DA668" s="15"/>
      <c r="DB668" s="15"/>
      <c r="DC668" s="15"/>
      <c r="DD668" s="24"/>
      <c r="DE668" s="15"/>
      <c r="DF668" s="15"/>
      <c r="DG668" s="40"/>
      <c r="DH668" s="15"/>
      <c r="DI668" s="24"/>
      <c r="DJ668" s="40"/>
      <c r="DK668" s="40"/>
      <c r="DL668" s="40"/>
      <c r="DM668" s="15"/>
      <c r="DN668" s="24"/>
      <c r="DO668" s="15"/>
      <c r="DP668" s="15"/>
      <c r="DQ668" s="15"/>
      <c r="DR668" s="15"/>
      <c r="DS668" s="24"/>
      <c r="DT668" s="15"/>
      <c r="DU668" s="15"/>
      <c r="DV668" s="15"/>
      <c r="DW668" s="15"/>
      <c r="DX668" s="24"/>
      <c r="DY668" s="15"/>
      <c r="DZ668" s="15"/>
      <c r="EA668" s="15"/>
      <c r="EB668" s="15"/>
      <c r="EC668" s="24"/>
      <c r="ED668" s="15"/>
      <c r="EE668" s="15"/>
      <c r="EF668" s="15"/>
      <c r="EG668" s="15"/>
      <c r="EH668" s="24"/>
      <c r="EI668" s="82"/>
      <c r="EJ668" s="15"/>
      <c r="EK668" s="15"/>
      <c r="EL668" s="15"/>
      <c r="EM668" s="24"/>
      <c r="EN668" s="15"/>
      <c r="EO668" s="15"/>
      <c r="EP668" s="15"/>
      <c r="EQ668" s="15"/>
      <c r="ER668" s="24"/>
      <c r="ES668" s="15"/>
      <c r="ET668" s="15"/>
      <c r="EU668" s="15"/>
      <c r="EV668" s="15"/>
      <c r="EW668" s="24"/>
      <c r="EX668" s="15"/>
      <c r="EY668" s="15"/>
      <c r="EZ668" s="15"/>
      <c r="FA668" s="15"/>
      <c r="FB668" s="24"/>
      <c r="FC668" s="15"/>
      <c r="FD668" s="15"/>
      <c r="FE668" s="15"/>
      <c r="FF668" s="15"/>
      <c r="FG668" s="24"/>
      <c r="FH668" s="104"/>
      <c r="FI668" s="15"/>
      <c r="FJ668" s="15"/>
      <c r="FK668" s="410"/>
      <c r="FL668" s="15"/>
    </row>
    <row r="669" ht="12.75" hidden="1" customHeight="1" outlineLevel="2">
      <c r="A669" s="4"/>
      <c r="B669" s="578" t="s">
        <v>274</v>
      </c>
      <c r="C669" s="299"/>
      <c r="D669" s="413"/>
      <c r="E669" s="413"/>
      <c r="F669" s="413"/>
      <c r="G669" s="413"/>
      <c r="H669" s="90"/>
      <c r="I669" s="413"/>
      <c r="J669" s="413"/>
      <c r="K669" s="413"/>
      <c r="L669" s="413"/>
      <c r="M669" s="90"/>
      <c r="N669" s="413"/>
      <c r="O669" s="413"/>
      <c r="P669" s="413"/>
      <c r="Q669" s="413"/>
      <c r="R669" s="90"/>
      <c r="S669" s="413"/>
      <c r="T669" s="413"/>
      <c r="U669" s="413"/>
      <c r="V669" s="413"/>
      <c r="W669" s="90"/>
      <c r="X669" s="413"/>
      <c r="Y669" s="413"/>
      <c r="Z669" s="413"/>
      <c r="AA669" s="413"/>
      <c r="AB669" s="90"/>
      <c r="AC669" s="413"/>
      <c r="AD669" s="413"/>
      <c r="AE669" s="413"/>
      <c r="AF669" s="413"/>
      <c r="AG669" s="90"/>
      <c r="AH669" s="413"/>
      <c r="AI669" s="413"/>
      <c r="AJ669" s="413"/>
      <c r="AK669" s="413"/>
      <c r="AL669" s="90"/>
      <c r="AM669" s="413"/>
      <c r="AN669" s="413"/>
      <c r="AO669" s="413"/>
      <c r="AP669" s="413"/>
      <c r="AQ669" s="90"/>
      <c r="AR669" s="413"/>
      <c r="AS669" s="413"/>
      <c r="AT669" s="413"/>
      <c r="AU669" s="413"/>
      <c r="AV669" s="90"/>
      <c r="AW669" s="413"/>
      <c r="AX669" s="413"/>
      <c r="AY669" s="413"/>
      <c r="AZ669" s="413"/>
      <c r="BA669" s="90"/>
      <c r="BB669" s="413"/>
      <c r="BC669" s="413"/>
      <c r="BD669" s="413"/>
      <c r="BE669" s="413"/>
      <c r="BF669" s="90"/>
      <c r="BG669" s="413"/>
      <c r="BH669" s="413"/>
      <c r="BI669" s="413"/>
      <c r="BJ669" s="413"/>
      <c r="BK669" s="90"/>
      <c r="BL669" s="413"/>
      <c r="BM669" s="413"/>
      <c r="BN669" s="413"/>
      <c r="BO669" s="413"/>
      <c r="BP669" s="90"/>
      <c r="BQ669" s="413"/>
      <c r="BR669" s="413"/>
      <c r="BS669" s="413"/>
      <c r="BT669" s="413"/>
      <c r="BU669" s="90"/>
      <c r="BV669" s="413"/>
      <c r="BW669" s="413"/>
      <c r="BX669" s="413"/>
      <c r="BY669" s="413"/>
      <c r="BZ669" s="417"/>
      <c r="CA669" s="413"/>
      <c r="CB669" s="413"/>
      <c r="CC669" s="413"/>
      <c r="CD669" s="413"/>
      <c r="CE669" s="417"/>
      <c r="CF669" s="413"/>
      <c r="CG669" s="413"/>
      <c r="CH669" s="413"/>
      <c r="CI669" s="413"/>
      <c r="CJ669" s="417"/>
      <c r="CK669" s="413"/>
      <c r="CL669" s="413"/>
      <c r="CM669" s="413"/>
      <c r="CN669" s="416"/>
      <c r="CO669" s="417"/>
      <c r="CP669" s="416"/>
      <c r="CQ669" s="413"/>
      <c r="CR669" s="413"/>
      <c r="CS669" s="413"/>
      <c r="CT669" s="417"/>
      <c r="CU669" s="413"/>
      <c r="CV669" s="413"/>
      <c r="CW669" s="413"/>
      <c r="CX669" s="413"/>
      <c r="CY669" s="417"/>
      <c r="CZ669" s="413"/>
      <c r="DA669" s="413"/>
      <c r="DB669" s="413"/>
      <c r="DC669" s="413"/>
      <c r="DD669" s="417"/>
      <c r="DE669" s="413"/>
      <c r="DF669" s="413"/>
      <c r="DG669" s="40"/>
      <c r="DH669" s="413"/>
      <c r="DI669" s="417"/>
      <c r="DJ669" s="416"/>
      <c r="DK669" s="416"/>
      <c r="DL669" s="416"/>
      <c r="DM669" s="413"/>
      <c r="DN669" s="417"/>
      <c r="DO669" s="413"/>
      <c r="DP669" s="413"/>
      <c r="DQ669" s="413"/>
      <c r="DR669" s="413"/>
      <c r="DS669" s="417"/>
      <c r="DT669" s="413"/>
      <c r="DU669" s="413"/>
      <c r="DV669" s="413"/>
      <c r="DW669" s="413"/>
      <c r="DX669" s="417"/>
      <c r="DY669" s="413"/>
      <c r="DZ669" s="413"/>
      <c r="EA669" s="413"/>
      <c r="EB669" s="413"/>
      <c r="EC669" s="417"/>
      <c r="ED669" s="413"/>
      <c r="EE669" s="413"/>
      <c r="EF669" s="413"/>
      <c r="EG669" s="413"/>
      <c r="EH669" s="417"/>
      <c r="EI669" s="420"/>
      <c r="EJ669" s="413"/>
      <c r="EK669" s="413"/>
      <c r="EL669" s="413"/>
      <c r="EM669" s="417"/>
      <c r="EN669" s="413"/>
      <c r="EO669" s="413"/>
      <c r="EP669" s="413"/>
      <c r="EQ669" s="413"/>
      <c r="ER669" s="417"/>
      <c r="ES669" s="413"/>
      <c r="ET669" s="413"/>
      <c r="EU669" s="413"/>
      <c r="EV669" s="413"/>
      <c r="EW669" s="417"/>
      <c r="EX669" s="413"/>
      <c r="EY669" s="413"/>
      <c r="EZ669" s="413"/>
      <c r="FA669" s="413"/>
      <c r="FB669" s="417"/>
      <c r="FC669" s="413"/>
      <c r="FD669" s="413"/>
      <c r="FE669" s="413"/>
      <c r="FF669" s="413"/>
      <c r="FG669" s="417"/>
      <c r="FH669" s="135"/>
      <c r="FI669" s="413"/>
      <c r="FJ669" s="413"/>
      <c r="FK669" s="90"/>
      <c r="FL669" s="413"/>
    </row>
    <row r="670" ht="12.75" hidden="1" customHeight="1" outlineLevel="2">
      <c r="A670" s="4"/>
      <c r="B670" s="609" t="s">
        <v>302</v>
      </c>
      <c r="C670" s="610"/>
      <c r="D670" s="611"/>
      <c r="E670" s="611"/>
      <c r="F670" s="611"/>
      <c r="G670" s="611"/>
      <c r="H670" s="612"/>
      <c r="I670" s="611"/>
      <c r="J670" s="611"/>
      <c r="K670" s="611"/>
      <c r="L670" s="611"/>
      <c r="M670" s="612"/>
      <c r="N670" s="611"/>
      <c r="O670" s="611"/>
      <c r="P670" s="611"/>
      <c r="Q670" s="611"/>
      <c r="R670" s="612"/>
      <c r="S670" s="611"/>
      <c r="T670" s="611"/>
      <c r="U670" s="611"/>
      <c r="V670" s="611"/>
      <c r="W670" s="612"/>
      <c r="X670" s="611"/>
      <c r="Y670" s="611"/>
      <c r="Z670" s="611"/>
      <c r="AA670" s="611"/>
      <c r="AB670" s="612"/>
      <c r="AC670" s="611"/>
      <c r="AD670" s="611"/>
      <c r="AE670" s="611"/>
      <c r="AF670" s="611"/>
      <c r="AG670" s="612"/>
      <c r="AH670" s="611"/>
      <c r="AI670" s="611"/>
      <c r="AJ670" s="611"/>
      <c r="AK670" s="611"/>
      <c r="AL670" s="612"/>
      <c r="AM670" s="611"/>
      <c r="AN670" s="611"/>
      <c r="AO670" s="611"/>
      <c r="AP670" s="611"/>
      <c r="AQ670" s="612"/>
      <c r="AR670" s="611"/>
      <c r="AS670" s="611"/>
      <c r="AT670" s="611"/>
      <c r="AU670" s="611"/>
      <c r="AV670" s="612"/>
      <c r="AW670" s="611"/>
      <c r="AX670" s="611"/>
      <c r="AY670" s="611"/>
      <c r="AZ670" s="611"/>
      <c r="BA670" s="612"/>
      <c r="BB670" s="611"/>
      <c r="BC670" s="611"/>
      <c r="BD670" s="611"/>
      <c r="BE670" s="611"/>
      <c r="BF670" s="612"/>
      <c r="BG670" s="611"/>
      <c r="BH670" s="611"/>
      <c r="BI670" s="611"/>
      <c r="BJ670" s="611"/>
      <c r="BK670" s="612"/>
      <c r="BL670" s="611"/>
      <c r="BM670" s="611"/>
      <c r="BN670" s="611">
        <v>215.0</v>
      </c>
      <c r="BO670" s="611">
        <f>BP670-BN670</f>
        <v>322.0786517</v>
      </c>
      <c r="BP670" s="612">
        <f>BU670/2.67</f>
        <v>537.0786517</v>
      </c>
      <c r="BQ670" s="611">
        <v>219.0</v>
      </c>
      <c r="BR670" s="611">
        <v>362.0</v>
      </c>
      <c r="BS670" s="611">
        <v>415.0</v>
      </c>
      <c r="BT670" s="611">
        <v>438.0</v>
      </c>
      <c r="BU670" s="612">
        <f>SUM(BQ670:BT670)</f>
        <v>1434</v>
      </c>
      <c r="BV670" s="611">
        <v>355.0</v>
      </c>
      <c r="BW670" s="611">
        <v>413.0</v>
      </c>
      <c r="BX670" s="611">
        <v>396.0</v>
      </c>
      <c r="BY670" s="611">
        <v>391.0</v>
      </c>
      <c r="BZ670" s="613">
        <f t="shared" ref="BZ670:BZ677" si="3216">SUM(BV670:BY670)</f>
        <v>1555</v>
      </c>
      <c r="CA670" s="611"/>
      <c r="CB670" s="611"/>
      <c r="CC670" s="611"/>
      <c r="CD670" s="611"/>
      <c r="CE670" s="613"/>
      <c r="CF670" s="611"/>
      <c r="CG670" s="611"/>
      <c r="CH670" s="611"/>
      <c r="CI670" s="611"/>
      <c r="CJ670" s="613"/>
      <c r="CK670" s="611"/>
      <c r="CL670" s="611"/>
      <c r="CM670" s="611"/>
      <c r="CN670" s="614"/>
      <c r="CO670" s="613"/>
      <c r="CP670" s="614"/>
      <c r="CQ670" s="611"/>
      <c r="CR670" s="611"/>
      <c r="CS670" s="611"/>
      <c r="CT670" s="613"/>
      <c r="CU670" s="611"/>
      <c r="CV670" s="611"/>
      <c r="CW670" s="611"/>
      <c r="CX670" s="611"/>
      <c r="CY670" s="613"/>
      <c r="CZ670" s="611"/>
      <c r="DA670" s="611"/>
      <c r="DB670" s="611"/>
      <c r="DC670" s="611"/>
      <c r="DD670" s="613"/>
      <c r="DE670" s="611"/>
      <c r="DF670" s="611"/>
      <c r="DG670" s="19"/>
      <c r="DH670" s="611"/>
      <c r="DI670" s="613"/>
      <c r="DJ670" s="614"/>
      <c r="DK670" s="614"/>
      <c r="DL670" s="614"/>
      <c r="DM670" s="611"/>
      <c r="DN670" s="613"/>
      <c r="DO670" s="611"/>
      <c r="DP670" s="611"/>
      <c r="DQ670" s="611"/>
      <c r="DR670" s="611"/>
      <c r="DS670" s="613"/>
      <c r="DT670" s="611"/>
      <c r="DU670" s="611"/>
      <c r="DV670" s="611"/>
      <c r="DW670" s="611"/>
      <c r="DX670" s="613"/>
      <c r="DY670" s="611"/>
      <c r="DZ670" s="611"/>
      <c r="EA670" s="611"/>
      <c r="EB670" s="611"/>
      <c r="EC670" s="613"/>
      <c r="ED670" s="611"/>
      <c r="EE670" s="611"/>
      <c r="EF670" s="611"/>
      <c r="EG670" s="611"/>
      <c r="EH670" s="613"/>
      <c r="EI670" s="615"/>
      <c r="EJ670" s="611"/>
      <c r="EK670" s="611"/>
      <c r="EL670" s="611"/>
      <c r="EM670" s="613"/>
      <c r="EN670" s="611"/>
      <c r="EO670" s="611"/>
      <c r="EP670" s="611"/>
      <c r="EQ670" s="611"/>
      <c r="ER670" s="613"/>
      <c r="ES670" s="611"/>
      <c r="ET670" s="611"/>
      <c r="EU670" s="611"/>
      <c r="EV670" s="611"/>
      <c r="EW670" s="613"/>
      <c r="EX670" s="611"/>
      <c r="EY670" s="611"/>
      <c r="EZ670" s="611"/>
      <c r="FA670" s="611"/>
      <c r="FB670" s="613"/>
      <c r="FC670" s="611"/>
      <c r="FD670" s="611"/>
      <c r="FE670" s="611"/>
      <c r="FF670" s="611"/>
      <c r="FG670" s="613"/>
      <c r="FH670" s="616"/>
      <c r="FI670" s="611"/>
      <c r="FJ670" s="611"/>
      <c r="FK670" s="612"/>
      <c r="FL670" s="611"/>
    </row>
    <row r="671" ht="12.75" hidden="1" customHeight="1" outlineLevel="2">
      <c r="A671" s="4"/>
      <c r="B671" s="72" t="s">
        <v>277</v>
      </c>
      <c r="C671" s="45"/>
      <c r="D671" s="17"/>
      <c r="E671" s="17"/>
      <c r="F671" s="17"/>
      <c r="G671" s="17"/>
      <c r="H671" s="73"/>
      <c r="I671" s="17"/>
      <c r="J671" s="17"/>
      <c r="K671" s="17"/>
      <c r="L671" s="17"/>
      <c r="M671" s="73"/>
      <c r="N671" s="17"/>
      <c r="O671" s="17"/>
      <c r="P671" s="17"/>
      <c r="Q671" s="17"/>
      <c r="R671" s="73"/>
      <c r="S671" s="17"/>
      <c r="T671" s="17"/>
      <c r="U671" s="17"/>
      <c r="V671" s="17"/>
      <c r="W671" s="73"/>
      <c r="X671" s="17"/>
      <c r="Y671" s="17"/>
      <c r="Z671" s="17"/>
      <c r="AA671" s="17"/>
      <c r="AB671" s="73"/>
      <c r="AC671" s="17"/>
      <c r="AD671" s="17"/>
      <c r="AE671" s="17"/>
      <c r="AF671" s="17"/>
      <c r="AG671" s="73"/>
      <c r="AH671" s="17"/>
      <c r="AI671" s="17"/>
      <c r="AJ671" s="17"/>
      <c r="AK671" s="17"/>
      <c r="AL671" s="73"/>
      <c r="AM671" s="17"/>
      <c r="AN671" s="17"/>
      <c r="AO671" s="17"/>
      <c r="AP671" s="17"/>
      <c r="AQ671" s="73"/>
      <c r="AR671" s="17"/>
      <c r="AS671" s="17"/>
      <c r="AT671" s="17"/>
      <c r="AU671" s="17"/>
      <c r="AV671" s="73"/>
      <c r="AW671" s="17"/>
      <c r="AX671" s="17"/>
      <c r="AY671" s="17"/>
      <c r="AZ671" s="17"/>
      <c r="BA671" s="73"/>
      <c r="BB671" s="17"/>
      <c r="BC671" s="17"/>
      <c r="BD671" s="17"/>
      <c r="BE671" s="17"/>
      <c r="BF671" s="73"/>
      <c r="BG671" s="17"/>
      <c r="BH671" s="17"/>
      <c r="BI671" s="17"/>
      <c r="BJ671" s="17"/>
      <c r="BK671" s="73">
        <v>19914.0</v>
      </c>
      <c r="BL671" s="17"/>
      <c r="BM671" s="17"/>
      <c r="BN671" s="17"/>
      <c r="BO671" s="17">
        <v>4844.0</v>
      </c>
      <c r="BP671" s="73">
        <v>21516.0</v>
      </c>
      <c r="BQ671" s="17">
        <v>4249.0</v>
      </c>
      <c r="BR671" s="17">
        <f t="shared" ref="BR671:BR678" si="3217">BU671-BQ671-BS671-BS671</f>
        <v>5231</v>
      </c>
      <c r="BS671" s="17">
        <v>5217.0</v>
      </c>
      <c r="BT671" s="17">
        <v>5881.0</v>
      </c>
      <c r="BU671" s="73">
        <v>19914.0</v>
      </c>
      <c r="BV671" s="17">
        <v>5913.0</v>
      </c>
      <c r="BW671" s="17">
        <v>6155.0</v>
      </c>
      <c r="BX671" s="17">
        <v>6305.0</v>
      </c>
      <c r="BY671" s="17">
        <v>6348.0</v>
      </c>
      <c r="BZ671" s="18">
        <f t="shared" si="3216"/>
        <v>24721</v>
      </c>
      <c r="CA671" s="17"/>
      <c r="CB671" s="17"/>
      <c r="CC671" s="17"/>
      <c r="CD671" s="17"/>
      <c r="CE671" s="18"/>
      <c r="CF671" s="17"/>
      <c r="CG671" s="17"/>
      <c r="CH671" s="17"/>
      <c r="CI671" s="17"/>
      <c r="CJ671" s="18"/>
      <c r="CK671" s="17"/>
      <c r="CL671" s="17"/>
      <c r="CM671" s="17"/>
      <c r="CN671" s="19"/>
      <c r="CO671" s="18"/>
      <c r="CP671" s="19"/>
      <c r="CQ671" s="17"/>
      <c r="CR671" s="17"/>
      <c r="CS671" s="17"/>
      <c r="CT671" s="18"/>
      <c r="CU671" s="17"/>
      <c r="CV671" s="17"/>
      <c r="CW671" s="17"/>
      <c r="CX671" s="17"/>
      <c r="CY671" s="18"/>
      <c r="CZ671" s="17"/>
      <c r="DA671" s="17"/>
      <c r="DB671" s="17"/>
      <c r="DC671" s="17"/>
      <c r="DD671" s="18"/>
      <c r="DE671" s="17"/>
      <c r="DF671" s="17"/>
      <c r="DG671" s="19"/>
      <c r="DH671" s="17"/>
      <c r="DI671" s="18"/>
      <c r="DJ671" s="19"/>
      <c r="DK671" s="19"/>
      <c r="DL671" s="19"/>
      <c r="DM671" s="17"/>
      <c r="DN671" s="18"/>
      <c r="DO671" s="17"/>
      <c r="DP671" s="17"/>
      <c r="DQ671" s="17"/>
      <c r="DR671" s="17"/>
      <c r="DS671" s="18"/>
      <c r="DT671" s="17"/>
      <c r="DU671" s="17"/>
      <c r="DV671" s="17"/>
      <c r="DW671" s="17"/>
      <c r="DX671" s="18"/>
      <c r="DY671" s="17"/>
      <c r="DZ671" s="17"/>
      <c r="EA671" s="17"/>
      <c r="EB671" s="17"/>
      <c r="EC671" s="18"/>
      <c r="ED671" s="17"/>
      <c r="EE671" s="17"/>
      <c r="EF671" s="17"/>
      <c r="EG671" s="17"/>
      <c r="EH671" s="18"/>
      <c r="EI671" s="25"/>
      <c r="EJ671" s="17"/>
      <c r="EK671" s="17"/>
      <c r="EL671" s="17"/>
      <c r="EM671" s="18"/>
      <c r="EN671" s="17"/>
      <c r="EO671" s="17"/>
      <c r="EP671" s="17"/>
      <c r="EQ671" s="17"/>
      <c r="ER671" s="18"/>
      <c r="ES671" s="17"/>
      <c r="ET671" s="17"/>
      <c r="EU671" s="17"/>
      <c r="EV671" s="17"/>
      <c r="EW671" s="18"/>
      <c r="EX671" s="17"/>
      <c r="EY671" s="17"/>
      <c r="EZ671" s="17"/>
      <c r="FA671" s="17"/>
      <c r="FB671" s="18"/>
      <c r="FC671" s="17"/>
      <c r="FD671" s="17"/>
      <c r="FE671" s="17"/>
      <c r="FF671" s="17"/>
      <c r="FG671" s="18"/>
      <c r="FH671" s="74"/>
      <c r="FI671" s="17"/>
      <c r="FJ671" s="17"/>
      <c r="FK671" s="73"/>
      <c r="FL671" s="17"/>
    </row>
    <row r="672" ht="12.75" hidden="1" customHeight="1" outlineLevel="2">
      <c r="A672" s="4"/>
      <c r="B672" s="72" t="s">
        <v>276</v>
      </c>
      <c r="C672" s="45"/>
      <c r="D672" s="17"/>
      <c r="E672" s="17"/>
      <c r="F672" s="17"/>
      <c r="G672" s="17"/>
      <c r="H672" s="73"/>
      <c r="I672" s="17"/>
      <c r="J672" s="17"/>
      <c r="K672" s="17"/>
      <c r="L672" s="17"/>
      <c r="M672" s="73"/>
      <c r="N672" s="17"/>
      <c r="O672" s="17"/>
      <c r="P672" s="17"/>
      <c r="Q672" s="17"/>
      <c r="R672" s="73"/>
      <c r="S672" s="17"/>
      <c r="T672" s="17"/>
      <c r="U672" s="17"/>
      <c r="V672" s="17"/>
      <c r="W672" s="73"/>
      <c r="X672" s="17"/>
      <c r="Y672" s="17"/>
      <c r="Z672" s="17"/>
      <c r="AA672" s="17"/>
      <c r="AB672" s="73"/>
      <c r="AC672" s="17"/>
      <c r="AD672" s="17"/>
      <c r="AE672" s="17"/>
      <c r="AF672" s="17"/>
      <c r="AG672" s="73"/>
      <c r="AH672" s="17"/>
      <c r="AI672" s="17"/>
      <c r="AJ672" s="17"/>
      <c r="AK672" s="17"/>
      <c r="AL672" s="73"/>
      <c r="AM672" s="17"/>
      <c r="AN672" s="17"/>
      <c r="AO672" s="17"/>
      <c r="AP672" s="17"/>
      <c r="AQ672" s="73"/>
      <c r="AR672" s="17"/>
      <c r="AS672" s="17"/>
      <c r="AT672" s="17"/>
      <c r="AU672" s="17"/>
      <c r="AV672" s="73"/>
      <c r="AW672" s="17"/>
      <c r="AX672" s="17"/>
      <c r="AY672" s="17"/>
      <c r="AZ672" s="17"/>
      <c r="BA672" s="73"/>
      <c r="BB672" s="17"/>
      <c r="BC672" s="17"/>
      <c r="BD672" s="17"/>
      <c r="BE672" s="17"/>
      <c r="BF672" s="73"/>
      <c r="BG672" s="17"/>
      <c r="BH672" s="17"/>
      <c r="BI672" s="17"/>
      <c r="BJ672" s="17"/>
      <c r="BK672" s="73">
        <v>6261.0</v>
      </c>
      <c r="BL672" s="17"/>
      <c r="BM672" s="17"/>
      <c r="BN672" s="17"/>
      <c r="BO672" s="17">
        <v>1305.0</v>
      </c>
      <c r="BP672" s="73">
        <v>6451.0</v>
      </c>
      <c r="BQ672" s="17">
        <v>1112.0</v>
      </c>
      <c r="BR672" s="17">
        <f t="shared" si="3217"/>
        <v>1472</v>
      </c>
      <c r="BS672" s="17">
        <v>1839.0</v>
      </c>
      <c r="BT672" s="17">
        <v>1877.0</v>
      </c>
      <c r="BU672" s="73">
        <v>6262.0</v>
      </c>
      <c r="BV672" s="17">
        <v>1761.0</v>
      </c>
      <c r="BW672" s="17">
        <v>1684.0</v>
      </c>
      <c r="BX672" s="17">
        <v>1750.0</v>
      </c>
      <c r="BY672" s="17">
        <v>1682.0</v>
      </c>
      <c r="BZ672" s="18">
        <f t="shared" si="3216"/>
        <v>6877</v>
      </c>
      <c r="CA672" s="17"/>
      <c r="CB672" s="17"/>
      <c r="CC672" s="17"/>
      <c r="CD672" s="17"/>
      <c r="CE672" s="18"/>
      <c r="CF672" s="17"/>
      <c r="CG672" s="17"/>
      <c r="CH672" s="17"/>
      <c r="CI672" s="17"/>
      <c r="CJ672" s="18"/>
      <c r="CK672" s="17"/>
      <c r="CL672" s="17"/>
      <c r="CM672" s="17"/>
      <c r="CN672" s="19"/>
      <c r="CO672" s="18"/>
      <c r="CP672" s="19"/>
      <c r="CQ672" s="17"/>
      <c r="CR672" s="17"/>
      <c r="CS672" s="17"/>
      <c r="CT672" s="18"/>
      <c r="CU672" s="17"/>
      <c r="CV672" s="17"/>
      <c r="CW672" s="17"/>
      <c r="CX672" s="17"/>
      <c r="CY672" s="18"/>
      <c r="CZ672" s="17"/>
      <c r="DA672" s="17"/>
      <c r="DB672" s="17"/>
      <c r="DC672" s="17"/>
      <c r="DD672" s="18"/>
      <c r="DE672" s="17"/>
      <c r="DF672" s="17"/>
      <c r="DG672" s="19"/>
      <c r="DH672" s="17"/>
      <c r="DI672" s="18"/>
      <c r="DJ672" s="19"/>
      <c r="DK672" s="19"/>
      <c r="DL672" s="19"/>
      <c r="DM672" s="17"/>
      <c r="DN672" s="18"/>
      <c r="DO672" s="17"/>
      <c r="DP672" s="17"/>
      <c r="DQ672" s="17"/>
      <c r="DR672" s="17"/>
      <c r="DS672" s="18"/>
      <c r="DT672" s="17"/>
      <c r="DU672" s="17"/>
      <c r="DV672" s="17"/>
      <c r="DW672" s="17"/>
      <c r="DX672" s="18"/>
      <c r="DY672" s="17"/>
      <c r="DZ672" s="17"/>
      <c r="EA672" s="17"/>
      <c r="EB672" s="17"/>
      <c r="EC672" s="18"/>
      <c r="ED672" s="17"/>
      <c r="EE672" s="17"/>
      <c r="EF672" s="17"/>
      <c r="EG672" s="17"/>
      <c r="EH672" s="18"/>
      <c r="EI672" s="25"/>
      <c r="EJ672" s="17"/>
      <c r="EK672" s="17"/>
      <c r="EL672" s="17"/>
      <c r="EM672" s="18"/>
      <c r="EN672" s="17"/>
      <c r="EO672" s="17"/>
      <c r="EP672" s="17"/>
      <c r="EQ672" s="17"/>
      <c r="ER672" s="18"/>
      <c r="ES672" s="17"/>
      <c r="ET672" s="17"/>
      <c r="EU672" s="17"/>
      <c r="EV672" s="17"/>
      <c r="EW672" s="18"/>
      <c r="EX672" s="17"/>
      <c r="EY672" s="17"/>
      <c r="EZ672" s="17"/>
      <c r="FA672" s="17"/>
      <c r="FB672" s="18"/>
      <c r="FC672" s="17"/>
      <c r="FD672" s="17"/>
      <c r="FE672" s="17"/>
      <c r="FF672" s="17"/>
      <c r="FG672" s="18"/>
      <c r="FH672" s="74"/>
      <c r="FI672" s="17"/>
      <c r="FJ672" s="17"/>
      <c r="FK672" s="73"/>
      <c r="FL672" s="17"/>
    </row>
    <row r="673" ht="12.75" hidden="1" customHeight="1" outlineLevel="2">
      <c r="A673" s="45"/>
      <c r="B673" s="215" t="s">
        <v>303</v>
      </c>
      <c r="C673" s="45"/>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12"/>
      <c r="BE673" s="112"/>
      <c r="BF673" s="112"/>
      <c r="BG673" s="112"/>
      <c r="BH673" s="112"/>
      <c r="BI673" s="112"/>
      <c r="BJ673" s="112"/>
      <c r="BK673" s="112">
        <f>SUM(BK671:BK672)</f>
        <v>26175</v>
      </c>
      <c r="BL673" s="112"/>
      <c r="BM673" s="112"/>
      <c r="BN673" s="112"/>
      <c r="BO673" s="112">
        <f t="shared" ref="BO673:BQ673" si="3218">SUM(BO671:BO672)</f>
        <v>6149</v>
      </c>
      <c r="BP673" s="112">
        <f t="shared" si="3218"/>
        <v>27967</v>
      </c>
      <c r="BQ673" s="112">
        <f t="shared" si="3218"/>
        <v>5361</v>
      </c>
      <c r="BR673" s="112">
        <f t="shared" si="3217"/>
        <v>6703</v>
      </c>
      <c r="BS673" s="112">
        <f t="shared" ref="BS673:BY673" si="3219">SUM(BS671:BS672)</f>
        <v>7056</v>
      </c>
      <c r="BT673" s="112">
        <f t="shared" si="3219"/>
        <v>7758</v>
      </c>
      <c r="BU673" s="112">
        <f t="shared" si="3219"/>
        <v>26176</v>
      </c>
      <c r="BV673" s="112">
        <f t="shared" si="3219"/>
        <v>7674</v>
      </c>
      <c r="BW673" s="112">
        <f t="shared" si="3219"/>
        <v>7839</v>
      </c>
      <c r="BX673" s="112">
        <f t="shared" si="3219"/>
        <v>8055</v>
      </c>
      <c r="BY673" s="112">
        <f t="shared" si="3219"/>
        <v>8030</v>
      </c>
      <c r="BZ673" s="80">
        <f t="shared" si="3216"/>
        <v>31598</v>
      </c>
      <c r="CA673" s="112"/>
      <c r="CB673" s="112"/>
      <c r="CC673" s="112"/>
      <c r="CD673" s="112"/>
      <c r="CE673" s="80"/>
      <c r="CF673" s="112"/>
      <c r="CG673" s="112"/>
      <c r="CH673" s="112"/>
      <c r="CI673" s="112"/>
      <c r="CJ673" s="80"/>
      <c r="CK673" s="112"/>
      <c r="CL673" s="112"/>
      <c r="CM673" s="112"/>
      <c r="CN673" s="146"/>
      <c r="CO673" s="80"/>
      <c r="CP673" s="146"/>
      <c r="CQ673" s="112"/>
      <c r="CR673" s="112"/>
      <c r="CS673" s="112"/>
      <c r="CT673" s="80"/>
      <c r="CU673" s="112"/>
      <c r="CV673" s="112"/>
      <c r="CW673" s="112"/>
      <c r="CX673" s="112"/>
      <c r="CY673" s="80"/>
      <c r="CZ673" s="112"/>
      <c r="DA673" s="112"/>
      <c r="DB673" s="112"/>
      <c r="DC673" s="112"/>
      <c r="DD673" s="80"/>
      <c r="DE673" s="112"/>
      <c r="DF673" s="112"/>
      <c r="DG673" s="146"/>
      <c r="DH673" s="112"/>
      <c r="DI673" s="80"/>
      <c r="DJ673" s="146"/>
      <c r="DK673" s="146"/>
      <c r="DL673" s="146"/>
      <c r="DM673" s="112"/>
      <c r="DN673" s="80"/>
      <c r="DO673" s="112"/>
      <c r="DP673" s="112"/>
      <c r="DQ673" s="112"/>
      <c r="DR673" s="112"/>
      <c r="DS673" s="80"/>
      <c r="DT673" s="112"/>
      <c r="DU673" s="112"/>
      <c r="DV673" s="112"/>
      <c r="DW673" s="112"/>
      <c r="DX673" s="80"/>
      <c r="DY673" s="112"/>
      <c r="DZ673" s="112"/>
      <c r="EA673" s="112"/>
      <c r="EB673" s="112"/>
      <c r="EC673" s="80"/>
      <c r="ED673" s="112"/>
      <c r="EE673" s="112"/>
      <c r="EF673" s="112"/>
      <c r="EG673" s="112"/>
      <c r="EH673" s="80"/>
      <c r="EI673" s="110"/>
      <c r="EJ673" s="112"/>
      <c r="EK673" s="112"/>
      <c r="EL673" s="112"/>
      <c r="EM673" s="80"/>
      <c r="EN673" s="112"/>
      <c r="EO673" s="112"/>
      <c r="EP673" s="112"/>
      <c r="EQ673" s="112"/>
      <c r="ER673" s="80"/>
      <c r="ES673" s="112"/>
      <c r="ET673" s="112"/>
      <c r="EU673" s="112"/>
      <c r="EV673" s="112"/>
      <c r="EW673" s="80"/>
      <c r="EX673" s="112"/>
      <c r="EY673" s="112"/>
      <c r="EZ673" s="112"/>
      <c r="FA673" s="112"/>
      <c r="FB673" s="80"/>
      <c r="FC673" s="112"/>
      <c r="FD673" s="112"/>
      <c r="FE673" s="112"/>
      <c r="FF673" s="112"/>
      <c r="FG673" s="80"/>
      <c r="FH673" s="146"/>
      <c r="FI673" s="112"/>
      <c r="FJ673" s="112"/>
      <c r="FK673" s="112"/>
      <c r="FL673" s="112"/>
    </row>
    <row r="674" ht="12.75" hidden="1" customHeight="1" outlineLevel="2">
      <c r="A674" s="4"/>
      <c r="B674" s="72" t="s">
        <v>277</v>
      </c>
      <c r="C674" s="45"/>
      <c r="D674" s="17"/>
      <c r="E674" s="17"/>
      <c r="F674" s="17"/>
      <c r="G674" s="17"/>
      <c r="H674" s="73"/>
      <c r="I674" s="17"/>
      <c r="J674" s="17"/>
      <c r="K674" s="17"/>
      <c r="L674" s="17"/>
      <c r="M674" s="73"/>
      <c r="N674" s="17"/>
      <c r="O674" s="17"/>
      <c r="P674" s="17"/>
      <c r="Q674" s="17"/>
      <c r="R674" s="73"/>
      <c r="S674" s="17"/>
      <c r="T674" s="17"/>
      <c r="U674" s="17"/>
      <c r="V674" s="17"/>
      <c r="W674" s="73"/>
      <c r="X674" s="17"/>
      <c r="Y674" s="17"/>
      <c r="Z674" s="17"/>
      <c r="AA674" s="17"/>
      <c r="AB674" s="73"/>
      <c r="AC674" s="17"/>
      <c r="AD674" s="17"/>
      <c r="AE674" s="17"/>
      <c r="AF674" s="17"/>
      <c r="AG674" s="73"/>
      <c r="AH674" s="17"/>
      <c r="AI674" s="17"/>
      <c r="AJ674" s="17"/>
      <c r="AK674" s="17"/>
      <c r="AL674" s="73"/>
      <c r="AM674" s="17"/>
      <c r="AN674" s="17"/>
      <c r="AO674" s="17"/>
      <c r="AP674" s="17"/>
      <c r="AQ674" s="73"/>
      <c r="AR674" s="17"/>
      <c r="AS674" s="17"/>
      <c r="AT674" s="17"/>
      <c r="AU674" s="17"/>
      <c r="AV674" s="73"/>
      <c r="AW674" s="17"/>
      <c r="AX674" s="17"/>
      <c r="AY674" s="17"/>
      <c r="AZ674" s="17"/>
      <c r="BA674" s="73"/>
      <c r="BB674" s="17"/>
      <c r="BC674" s="17"/>
      <c r="BD674" s="17"/>
      <c r="BE674" s="17"/>
      <c r="BF674" s="73"/>
      <c r="BG674" s="17"/>
      <c r="BH674" s="17"/>
      <c r="BI674" s="17"/>
      <c r="BJ674" s="17"/>
      <c r="BK674" s="73">
        <v>4796.0</v>
      </c>
      <c r="BL674" s="17"/>
      <c r="BM674" s="17"/>
      <c r="BN674" s="17"/>
      <c r="BO674" s="17">
        <v>1197.0</v>
      </c>
      <c r="BP674" s="73">
        <v>5126.0</v>
      </c>
      <c r="BQ674" s="17">
        <v>1012.0</v>
      </c>
      <c r="BR674" s="17">
        <f t="shared" si="3217"/>
        <v>1533</v>
      </c>
      <c r="BS674" s="17">
        <v>1378.0</v>
      </c>
      <c r="BT674" s="17">
        <v>1703.0</v>
      </c>
      <c r="BU674" s="73">
        <v>5301.0</v>
      </c>
      <c r="BV674" s="17">
        <v>1552.0</v>
      </c>
      <c r="BW674" s="17">
        <v>1797.0</v>
      </c>
      <c r="BX674" s="17">
        <v>1847.0</v>
      </c>
      <c r="BY674" s="17">
        <v>2165.0</v>
      </c>
      <c r="BZ674" s="18">
        <f t="shared" si="3216"/>
        <v>7361</v>
      </c>
      <c r="CA674" s="17"/>
      <c r="CB674" s="17"/>
      <c r="CC674" s="17"/>
      <c r="CD674" s="17"/>
      <c r="CE674" s="18"/>
      <c r="CF674" s="17"/>
      <c r="CG674" s="17"/>
      <c r="CH674" s="17"/>
      <c r="CI674" s="17"/>
      <c r="CJ674" s="18"/>
      <c r="CK674" s="17"/>
      <c r="CL674" s="17"/>
      <c r="CM674" s="17"/>
      <c r="CN674" s="19"/>
      <c r="CO674" s="18"/>
      <c r="CP674" s="19"/>
      <c r="CQ674" s="17"/>
      <c r="CR674" s="17"/>
      <c r="CS674" s="17"/>
      <c r="CT674" s="18"/>
      <c r="CU674" s="17"/>
      <c r="CV674" s="17"/>
      <c r="CW674" s="17"/>
      <c r="CX674" s="17"/>
      <c r="CY674" s="18"/>
      <c r="CZ674" s="17"/>
      <c r="DA674" s="17"/>
      <c r="DB674" s="17"/>
      <c r="DC674" s="17"/>
      <c r="DD674" s="18"/>
      <c r="DE674" s="17"/>
      <c r="DF674" s="17"/>
      <c r="DG674" s="19"/>
      <c r="DH674" s="17"/>
      <c r="DI674" s="18"/>
      <c r="DJ674" s="19"/>
      <c r="DK674" s="19"/>
      <c r="DL674" s="19"/>
      <c r="DM674" s="17"/>
      <c r="DN674" s="18"/>
      <c r="DO674" s="17"/>
      <c r="DP674" s="17"/>
      <c r="DQ674" s="17"/>
      <c r="DR674" s="17"/>
      <c r="DS674" s="18"/>
      <c r="DT674" s="17"/>
      <c r="DU674" s="17"/>
      <c r="DV674" s="17"/>
      <c r="DW674" s="17"/>
      <c r="DX674" s="18"/>
      <c r="DY674" s="17"/>
      <c r="DZ674" s="17"/>
      <c r="EA674" s="17"/>
      <c r="EB674" s="17"/>
      <c r="EC674" s="18"/>
      <c r="ED674" s="17"/>
      <c r="EE674" s="17"/>
      <c r="EF674" s="17"/>
      <c r="EG674" s="17"/>
      <c r="EH674" s="18"/>
      <c r="EI674" s="25"/>
      <c r="EJ674" s="17"/>
      <c r="EK674" s="17"/>
      <c r="EL674" s="17"/>
      <c r="EM674" s="18"/>
      <c r="EN674" s="17"/>
      <c r="EO674" s="17"/>
      <c r="EP674" s="17"/>
      <c r="EQ674" s="17"/>
      <c r="ER674" s="18"/>
      <c r="ES674" s="17"/>
      <c r="ET674" s="17"/>
      <c r="EU674" s="17"/>
      <c r="EV674" s="17"/>
      <c r="EW674" s="18"/>
      <c r="EX674" s="17"/>
      <c r="EY674" s="17"/>
      <c r="EZ674" s="17"/>
      <c r="FA674" s="17"/>
      <c r="FB674" s="18"/>
      <c r="FC674" s="17"/>
      <c r="FD674" s="17"/>
      <c r="FE674" s="17"/>
      <c r="FF674" s="17"/>
      <c r="FG674" s="18"/>
      <c r="FH674" s="74"/>
      <c r="FI674" s="17"/>
      <c r="FJ674" s="17"/>
      <c r="FK674" s="73"/>
      <c r="FL674" s="17"/>
    </row>
    <row r="675" ht="12.75" hidden="1" customHeight="1" outlineLevel="2">
      <c r="A675" s="4"/>
      <c r="B675" s="72" t="s">
        <v>276</v>
      </c>
      <c r="C675" s="45"/>
      <c r="D675" s="17"/>
      <c r="E675" s="17"/>
      <c r="F675" s="17"/>
      <c r="G675" s="17"/>
      <c r="H675" s="73"/>
      <c r="I675" s="17"/>
      <c r="J675" s="17"/>
      <c r="K675" s="17"/>
      <c r="L675" s="17"/>
      <c r="M675" s="73"/>
      <c r="N675" s="17"/>
      <c r="O675" s="17"/>
      <c r="P675" s="17"/>
      <c r="Q675" s="17"/>
      <c r="R675" s="73"/>
      <c r="S675" s="17"/>
      <c r="T675" s="17"/>
      <c r="U675" s="17"/>
      <c r="V675" s="17"/>
      <c r="W675" s="73"/>
      <c r="X675" s="17"/>
      <c r="Y675" s="17"/>
      <c r="Z675" s="17"/>
      <c r="AA675" s="17"/>
      <c r="AB675" s="73"/>
      <c r="AC675" s="17"/>
      <c r="AD675" s="17"/>
      <c r="AE675" s="17"/>
      <c r="AF675" s="17"/>
      <c r="AG675" s="73"/>
      <c r="AH675" s="17"/>
      <c r="AI675" s="17"/>
      <c r="AJ675" s="17"/>
      <c r="AK675" s="17"/>
      <c r="AL675" s="73"/>
      <c r="AM675" s="17"/>
      <c r="AN675" s="17"/>
      <c r="AO675" s="17"/>
      <c r="AP675" s="17"/>
      <c r="AQ675" s="73"/>
      <c r="AR675" s="17"/>
      <c r="AS675" s="17"/>
      <c r="AT675" s="17"/>
      <c r="AU675" s="17"/>
      <c r="AV675" s="73"/>
      <c r="AW675" s="17"/>
      <c r="AX675" s="17"/>
      <c r="AY675" s="17"/>
      <c r="AZ675" s="17"/>
      <c r="BA675" s="73"/>
      <c r="BB675" s="17"/>
      <c r="BC675" s="17"/>
      <c r="BD675" s="17"/>
      <c r="BE675" s="17"/>
      <c r="BF675" s="73"/>
      <c r="BG675" s="17"/>
      <c r="BH675" s="17"/>
      <c r="BI675" s="17"/>
      <c r="BJ675" s="17"/>
      <c r="BK675" s="73">
        <v>1659.0</v>
      </c>
      <c r="BL675" s="17"/>
      <c r="BM675" s="17"/>
      <c r="BN675" s="17"/>
      <c r="BO675" s="17">
        <v>294.0</v>
      </c>
      <c r="BP675" s="73">
        <v>1464.0</v>
      </c>
      <c r="BQ675" s="17">
        <v>252.0</v>
      </c>
      <c r="BR675" s="17">
        <f t="shared" si="3217"/>
        <v>299</v>
      </c>
      <c r="BS675" s="17">
        <v>298.0</v>
      </c>
      <c r="BT675" s="17">
        <v>321.0</v>
      </c>
      <c r="BU675" s="73">
        <v>1147.0</v>
      </c>
      <c r="BV675" s="17">
        <v>319.0</v>
      </c>
      <c r="BW675" s="17">
        <v>317.0</v>
      </c>
      <c r="BX675" s="17">
        <v>339.0</v>
      </c>
      <c r="BY675" s="17">
        <v>357.0</v>
      </c>
      <c r="BZ675" s="18">
        <f t="shared" si="3216"/>
        <v>1332</v>
      </c>
      <c r="CA675" s="17"/>
      <c r="CB675" s="17"/>
      <c r="CC675" s="17"/>
      <c r="CD675" s="17"/>
      <c r="CE675" s="18"/>
      <c r="CF675" s="17"/>
      <c r="CG675" s="17"/>
      <c r="CH675" s="17"/>
      <c r="CI675" s="17"/>
      <c r="CJ675" s="18"/>
      <c r="CK675" s="17"/>
      <c r="CL675" s="17"/>
      <c r="CM675" s="17"/>
      <c r="CN675" s="19"/>
      <c r="CO675" s="18"/>
      <c r="CP675" s="19"/>
      <c r="CQ675" s="17"/>
      <c r="CR675" s="17"/>
      <c r="CS675" s="17"/>
      <c r="CT675" s="18"/>
      <c r="CU675" s="17"/>
      <c r="CV675" s="17"/>
      <c r="CW675" s="17"/>
      <c r="CX675" s="17"/>
      <c r="CY675" s="18"/>
      <c r="CZ675" s="17"/>
      <c r="DA675" s="17"/>
      <c r="DB675" s="17"/>
      <c r="DC675" s="17"/>
      <c r="DD675" s="18"/>
      <c r="DE675" s="17"/>
      <c r="DF675" s="17"/>
      <c r="DG675" s="19"/>
      <c r="DH675" s="17"/>
      <c r="DI675" s="18"/>
      <c r="DJ675" s="19"/>
      <c r="DK675" s="19"/>
      <c r="DL675" s="19"/>
      <c r="DM675" s="17"/>
      <c r="DN675" s="18"/>
      <c r="DO675" s="17"/>
      <c r="DP675" s="17"/>
      <c r="DQ675" s="17"/>
      <c r="DR675" s="17"/>
      <c r="DS675" s="18"/>
      <c r="DT675" s="17"/>
      <c r="DU675" s="17"/>
      <c r="DV675" s="17"/>
      <c r="DW675" s="17"/>
      <c r="DX675" s="18"/>
      <c r="DY675" s="17"/>
      <c r="DZ675" s="17"/>
      <c r="EA675" s="17"/>
      <c r="EB675" s="17"/>
      <c r="EC675" s="18"/>
      <c r="ED675" s="17"/>
      <c r="EE675" s="17"/>
      <c r="EF675" s="17"/>
      <c r="EG675" s="17"/>
      <c r="EH675" s="18"/>
      <c r="EI675" s="25"/>
      <c r="EJ675" s="17"/>
      <c r="EK675" s="17"/>
      <c r="EL675" s="17"/>
      <c r="EM675" s="18"/>
      <c r="EN675" s="17"/>
      <c r="EO675" s="17"/>
      <c r="EP675" s="17"/>
      <c r="EQ675" s="17"/>
      <c r="ER675" s="18"/>
      <c r="ES675" s="17"/>
      <c r="ET675" s="17"/>
      <c r="EU675" s="17"/>
      <c r="EV675" s="17"/>
      <c r="EW675" s="18"/>
      <c r="EX675" s="17"/>
      <c r="EY675" s="17"/>
      <c r="EZ675" s="17"/>
      <c r="FA675" s="17"/>
      <c r="FB675" s="18"/>
      <c r="FC675" s="17"/>
      <c r="FD675" s="17"/>
      <c r="FE675" s="17"/>
      <c r="FF675" s="17"/>
      <c r="FG675" s="18"/>
      <c r="FH675" s="74"/>
      <c r="FI675" s="17"/>
      <c r="FJ675" s="17"/>
      <c r="FK675" s="73"/>
      <c r="FL675" s="17"/>
    </row>
    <row r="676" ht="12.75" hidden="1" customHeight="1" outlineLevel="2">
      <c r="A676" s="45"/>
      <c r="B676" s="215" t="s">
        <v>278</v>
      </c>
      <c r="C676" s="45"/>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12"/>
      <c r="BE676" s="112"/>
      <c r="BF676" s="112"/>
      <c r="BG676" s="112"/>
      <c r="BH676" s="112"/>
      <c r="BI676" s="112"/>
      <c r="BJ676" s="112"/>
      <c r="BK676" s="112">
        <f>SUM(BK674:BK675)</f>
        <v>6455</v>
      </c>
      <c r="BL676" s="112"/>
      <c r="BM676" s="112"/>
      <c r="BN676" s="112"/>
      <c r="BO676" s="112">
        <f t="shared" ref="BO676:BQ676" si="3220">SUM(BO674:BO675)</f>
        <v>1491</v>
      </c>
      <c r="BP676" s="112">
        <f t="shared" si="3220"/>
        <v>6590</v>
      </c>
      <c r="BQ676" s="112">
        <f t="shared" si="3220"/>
        <v>1264</v>
      </c>
      <c r="BR676" s="112">
        <f t="shared" si="3217"/>
        <v>1832</v>
      </c>
      <c r="BS676" s="112">
        <f t="shared" ref="BS676:BY676" si="3221">SUM(BS674:BS675)</f>
        <v>1676</v>
      </c>
      <c r="BT676" s="112">
        <f t="shared" si="3221"/>
        <v>2024</v>
      </c>
      <c r="BU676" s="112">
        <f t="shared" si="3221"/>
        <v>6448</v>
      </c>
      <c r="BV676" s="112">
        <f t="shared" si="3221"/>
        <v>1871</v>
      </c>
      <c r="BW676" s="112">
        <f t="shared" si="3221"/>
        <v>2114</v>
      </c>
      <c r="BX676" s="112">
        <f t="shared" si="3221"/>
        <v>2186</v>
      </c>
      <c r="BY676" s="112">
        <f t="shared" si="3221"/>
        <v>2522</v>
      </c>
      <c r="BZ676" s="80">
        <f t="shared" si="3216"/>
        <v>8693</v>
      </c>
      <c r="CA676" s="112"/>
      <c r="CB676" s="112"/>
      <c r="CC676" s="112"/>
      <c r="CD676" s="112"/>
      <c r="CE676" s="80"/>
      <c r="CF676" s="112"/>
      <c r="CG676" s="112"/>
      <c r="CH676" s="112"/>
      <c r="CI676" s="112"/>
      <c r="CJ676" s="80"/>
      <c r="CK676" s="112"/>
      <c r="CL676" s="112"/>
      <c r="CM676" s="112"/>
      <c r="CN676" s="146"/>
      <c r="CO676" s="80"/>
      <c r="CP676" s="146"/>
      <c r="CQ676" s="112"/>
      <c r="CR676" s="112"/>
      <c r="CS676" s="112"/>
      <c r="CT676" s="80"/>
      <c r="CU676" s="112"/>
      <c r="CV676" s="112"/>
      <c r="CW676" s="112"/>
      <c r="CX676" s="112"/>
      <c r="CY676" s="80"/>
      <c r="CZ676" s="112"/>
      <c r="DA676" s="112"/>
      <c r="DB676" s="112"/>
      <c r="DC676" s="112"/>
      <c r="DD676" s="80"/>
      <c r="DE676" s="112"/>
      <c r="DF676" s="112"/>
      <c r="DG676" s="146"/>
      <c r="DH676" s="112"/>
      <c r="DI676" s="80"/>
      <c r="DJ676" s="146"/>
      <c r="DK676" s="146"/>
      <c r="DL676" s="146"/>
      <c r="DM676" s="112"/>
      <c r="DN676" s="80"/>
      <c r="DO676" s="112"/>
      <c r="DP676" s="112"/>
      <c r="DQ676" s="112"/>
      <c r="DR676" s="112"/>
      <c r="DS676" s="80"/>
      <c r="DT676" s="112"/>
      <c r="DU676" s="112"/>
      <c r="DV676" s="112"/>
      <c r="DW676" s="112"/>
      <c r="DX676" s="80"/>
      <c r="DY676" s="112"/>
      <c r="DZ676" s="112"/>
      <c r="EA676" s="112"/>
      <c r="EB676" s="112"/>
      <c r="EC676" s="80"/>
      <c r="ED676" s="112"/>
      <c r="EE676" s="112"/>
      <c r="EF676" s="112"/>
      <c r="EG676" s="112"/>
      <c r="EH676" s="80"/>
      <c r="EI676" s="110"/>
      <c r="EJ676" s="112"/>
      <c r="EK676" s="112"/>
      <c r="EL676" s="112"/>
      <c r="EM676" s="80"/>
      <c r="EN676" s="112"/>
      <c r="EO676" s="112"/>
      <c r="EP676" s="112"/>
      <c r="EQ676" s="112"/>
      <c r="ER676" s="80"/>
      <c r="ES676" s="112"/>
      <c r="ET676" s="112"/>
      <c r="EU676" s="112"/>
      <c r="EV676" s="112"/>
      <c r="EW676" s="80"/>
      <c r="EX676" s="112"/>
      <c r="EY676" s="112"/>
      <c r="EZ676" s="112"/>
      <c r="FA676" s="112"/>
      <c r="FB676" s="80"/>
      <c r="FC676" s="112"/>
      <c r="FD676" s="112"/>
      <c r="FE676" s="112"/>
      <c r="FF676" s="112"/>
      <c r="FG676" s="80"/>
      <c r="FH676" s="146"/>
      <c r="FI676" s="112"/>
      <c r="FJ676" s="112"/>
      <c r="FK676" s="112"/>
      <c r="FL676" s="112"/>
    </row>
    <row r="677" ht="12.75" hidden="1" customHeight="1" outlineLevel="2">
      <c r="A677" s="45"/>
      <c r="B677" s="215" t="s">
        <v>281</v>
      </c>
      <c r="C677" s="45"/>
      <c r="D677" s="112"/>
      <c r="E677" s="112"/>
      <c r="F677" s="112"/>
      <c r="G677" s="112"/>
      <c r="H677" s="73"/>
      <c r="I677" s="112"/>
      <c r="J677" s="112"/>
      <c r="K677" s="112"/>
      <c r="L677" s="112"/>
      <c r="M677" s="73"/>
      <c r="N677" s="112"/>
      <c r="O677" s="112"/>
      <c r="P677" s="112"/>
      <c r="Q677" s="112"/>
      <c r="R677" s="73"/>
      <c r="S677" s="112"/>
      <c r="T677" s="112"/>
      <c r="U677" s="112"/>
      <c r="V677" s="112"/>
      <c r="W677" s="73"/>
      <c r="X677" s="112"/>
      <c r="Y677" s="112"/>
      <c r="Z677" s="112"/>
      <c r="AA677" s="112"/>
      <c r="AB677" s="73"/>
      <c r="AC677" s="112"/>
      <c r="AD677" s="112"/>
      <c r="AE677" s="112"/>
      <c r="AF677" s="112"/>
      <c r="AG677" s="73"/>
      <c r="AH677" s="112"/>
      <c r="AI677" s="112"/>
      <c r="AJ677" s="112"/>
      <c r="AK677" s="112"/>
      <c r="AL677" s="73"/>
      <c r="AM677" s="112"/>
      <c r="AN677" s="112"/>
      <c r="AO677" s="112"/>
      <c r="AP677" s="112"/>
      <c r="AQ677" s="73"/>
      <c r="AR677" s="112"/>
      <c r="AS677" s="112"/>
      <c r="AT677" s="112"/>
      <c r="AU677" s="112"/>
      <c r="AV677" s="73"/>
      <c r="AW677" s="112"/>
      <c r="AX677" s="112"/>
      <c r="AY677" s="112"/>
      <c r="AZ677" s="112"/>
      <c r="BA677" s="73"/>
      <c r="BB677" s="112"/>
      <c r="BC677" s="112"/>
      <c r="BD677" s="112"/>
      <c r="BE677" s="112"/>
      <c r="BF677" s="73"/>
      <c r="BG677" s="112"/>
      <c r="BH677" s="112"/>
      <c r="BI677" s="112"/>
      <c r="BJ677" s="112"/>
      <c r="BK677" s="73">
        <v>1908.0</v>
      </c>
      <c r="BL677" s="112"/>
      <c r="BM677" s="112"/>
      <c r="BN677" s="112"/>
      <c r="BO677" s="112">
        <v>371.0</v>
      </c>
      <c r="BP677" s="73">
        <v>1763.0</v>
      </c>
      <c r="BQ677" s="112">
        <v>326.0</v>
      </c>
      <c r="BR677" s="112">
        <f t="shared" si="3217"/>
        <v>400</v>
      </c>
      <c r="BS677" s="112">
        <v>338.0</v>
      </c>
      <c r="BT677" s="112">
        <v>412.0</v>
      </c>
      <c r="BU677" s="73">
        <v>1402.0</v>
      </c>
      <c r="BV677" s="112">
        <v>375.0</v>
      </c>
      <c r="BW677" s="112">
        <v>417.0</v>
      </c>
      <c r="BX677" s="112">
        <v>495.0</v>
      </c>
      <c r="BY677" s="112">
        <v>497.0</v>
      </c>
      <c r="BZ677" s="18">
        <f t="shared" si="3216"/>
        <v>1784</v>
      </c>
      <c r="CA677" s="112"/>
      <c r="CB677" s="112"/>
      <c r="CC677" s="112"/>
      <c r="CD677" s="112"/>
      <c r="CE677" s="18"/>
      <c r="CF677" s="112"/>
      <c r="CG677" s="112"/>
      <c r="CH677" s="112"/>
      <c r="CI677" s="112"/>
      <c r="CJ677" s="18"/>
      <c r="CK677" s="112"/>
      <c r="CL677" s="112"/>
      <c r="CM677" s="112"/>
      <c r="CN677" s="146"/>
      <c r="CO677" s="18"/>
      <c r="CP677" s="146"/>
      <c r="CQ677" s="112"/>
      <c r="CR677" s="112"/>
      <c r="CS677" s="112"/>
      <c r="CT677" s="18"/>
      <c r="CU677" s="112"/>
      <c r="CV677" s="112"/>
      <c r="CW677" s="112"/>
      <c r="CX677" s="112"/>
      <c r="CY677" s="18"/>
      <c r="CZ677" s="112"/>
      <c r="DA677" s="112"/>
      <c r="DB677" s="112"/>
      <c r="DC677" s="112"/>
      <c r="DD677" s="18"/>
      <c r="DE677" s="112"/>
      <c r="DF677" s="112"/>
      <c r="DG677" s="146"/>
      <c r="DH677" s="112"/>
      <c r="DI677" s="18"/>
      <c r="DJ677" s="146"/>
      <c r="DK677" s="146"/>
      <c r="DL677" s="146"/>
      <c r="DM677" s="112"/>
      <c r="DN677" s="18"/>
      <c r="DO677" s="112"/>
      <c r="DP677" s="112"/>
      <c r="DQ677" s="112"/>
      <c r="DR677" s="112"/>
      <c r="DS677" s="18"/>
      <c r="DT677" s="112"/>
      <c r="DU677" s="112"/>
      <c r="DV677" s="112"/>
      <c r="DW677" s="112"/>
      <c r="DX677" s="18"/>
      <c r="DY677" s="112"/>
      <c r="DZ677" s="112"/>
      <c r="EA677" s="112"/>
      <c r="EB677" s="112"/>
      <c r="EC677" s="18"/>
      <c r="ED677" s="112"/>
      <c r="EE677" s="112"/>
      <c r="EF677" s="112"/>
      <c r="EG677" s="112"/>
      <c r="EH677" s="18"/>
      <c r="EI677" s="110"/>
      <c r="EJ677" s="112"/>
      <c r="EK677" s="112"/>
      <c r="EL677" s="112"/>
      <c r="EM677" s="18"/>
      <c r="EN677" s="112"/>
      <c r="EO677" s="112"/>
      <c r="EP677" s="112"/>
      <c r="EQ677" s="112"/>
      <c r="ER677" s="18"/>
      <c r="ES677" s="112"/>
      <c r="ET677" s="112"/>
      <c r="EU677" s="112"/>
      <c r="EV677" s="112"/>
      <c r="EW677" s="18"/>
      <c r="EX677" s="112"/>
      <c r="EY677" s="112"/>
      <c r="EZ677" s="112"/>
      <c r="FA677" s="112"/>
      <c r="FB677" s="18"/>
      <c r="FC677" s="112"/>
      <c r="FD677" s="112"/>
      <c r="FE677" s="112"/>
      <c r="FF677" s="112"/>
      <c r="FG677" s="18"/>
      <c r="FH677" s="74"/>
      <c r="FI677" s="112"/>
      <c r="FJ677" s="112"/>
      <c r="FK677" s="73"/>
      <c r="FL677" s="112"/>
    </row>
    <row r="678" ht="12.75" hidden="1" customHeight="1" outlineLevel="2">
      <c r="A678" s="45"/>
      <c r="B678" s="215" t="s">
        <v>282</v>
      </c>
      <c r="C678" s="45"/>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12"/>
      <c r="BE678" s="112"/>
      <c r="BF678" s="112"/>
      <c r="BG678" s="112"/>
      <c r="BH678" s="112"/>
      <c r="BI678" s="112"/>
      <c r="BJ678" s="112"/>
      <c r="BK678" s="112">
        <f>BK673+BK676+BK677</f>
        <v>34538</v>
      </c>
      <c r="BL678" s="112"/>
      <c r="BM678" s="112"/>
      <c r="BN678" s="112"/>
      <c r="BO678" s="112">
        <f t="shared" ref="BO678:BQ678" si="3222">BO673+BO676+BO677</f>
        <v>8011</v>
      </c>
      <c r="BP678" s="112">
        <f t="shared" si="3222"/>
        <v>36320</v>
      </c>
      <c r="BQ678" s="112">
        <f t="shared" si="3222"/>
        <v>6951</v>
      </c>
      <c r="BR678" s="112">
        <f t="shared" si="3217"/>
        <v>8935</v>
      </c>
      <c r="BS678" s="112">
        <f t="shared" ref="BS678:BZ678" si="3223">BS673+BS676+BS677</f>
        <v>9070</v>
      </c>
      <c r="BT678" s="112">
        <f t="shared" si="3223"/>
        <v>10194</v>
      </c>
      <c r="BU678" s="112">
        <f t="shared" si="3223"/>
        <v>34026</v>
      </c>
      <c r="BV678" s="112">
        <f t="shared" si="3223"/>
        <v>9920</v>
      </c>
      <c r="BW678" s="112">
        <f t="shared" si="3223"/>
        <v>10370</v>
      </c>
      <c r="BX678" s="112">
        <f t="shared" si="3223"/>
        <v>10736</v>
      </c>
      <c r="BY678" s="112">
        <f t="shared" si="3223"/>
        <v>11049</v>
      </c>
      <c r="BZ678" s="80">
        <f t="shared" si="3223"/>
        <v>42075</v>
      </c>
      <c r="CA678" s="112"/>
      <c r="CB678" s="112"/>
      <c r="CC678" s="112"/>
      <c r="CD678" s="112"/>
      <c r="CE678" s="80"/>
      <c r="CF678" s="112"/>
      <c r="CG678" s="112"/>
      <c r="CH678" s="112"/>
      <c r="CI678" s="112"/>
      <c r="CJ678" s="80"/>
      <c r="CK678" s="112"/>
      <c r="CL678" s="112"/>
      <c r="CM678" s="112"/>
      <c r="CN678" s="146"/>
      <c r="CO678" s="80"/>
      <c r="CP678" s="146"/>
      <c r="CQ678" s="112"/>
      <c r="CR678" s="112"/>
      <c r="CS678" s="112"/>
      <c r="CT678" s="80"/>
      <c r="CU678" s="112"/>
      <c r="CV678" s="112"/>
      <c r="CW678" s="112"/>
      <c r="CX678" s="112"/>
      <c r="CY678" s="80"/>
      <c r="CZ678" s="112"/>
      <c r="DA678" s="112"/>
      <c r="DB678" s="112"/>
      <c r="DC678" s="112"/>
      <c r="DD678" s="80"/>
      <c r="DE678" s="112"/>
      <c r="DF678" s="112"/>
      <c r="DG678" s="146"/>
      <c r="DH678" s="112"/>
      <c r="DI678" s="80"/>
      <c r="DJ678" s="146"/>
      <c r="DK678" s="146"/>
      <c r="DL678" s="146"/>
      <c r="DM678" s="112"/>
      <c r="DN678" s="80"/>
      <c r="DO678" s="112"/>
      <c r="DP678" s="112"/>
      <c r="DQ678" s="112"/>
      <c r="DR678" s="112"/>
      <c r="DS678" s="80"/>
      <c r="DT678" s="112"/>
      <c r="DU678" s="112"/>
      <c r="DV678" s="112"/>
      <c r="DW678" s="112"/>
      <c r="DX678" s="80"/>
      <c r="DY678" s="112"/>
      <c r="DZ678" s="112"/>
      <c r="EA678" s="112"/>
      <c r="EB678" s="112"/>
      <c r="EC678" s="80"/>
      <c r="ED678" s="112"/>
      <c r="EE678" s="112"/>
      <c r="EF678" s="112"/>
      <c r="EG678" s="112"/>
      <c r="EH678" s="80"/>
      <c r="EI678" s="110"/>
      <c r="EJ678" s="112"/>
      <c r="EK678" s="112"/>
      <c r="EL678" s="112"/>
      <c r="EM678" s="80"/>
      <c r="EN678" s="112"/>
      <c r="EO678" s="112"/>
      <c r="EP678" s="112"/>
      <c r="EQ678" s="112"/>
      <c r="ER678" s="80"/>
      <c r="ES678" s="112"/>
      <c r="ET678" s="112"/>
      <c r="EU678" s="112"/>
      <c r="EV678" s="112"/>
      <c r="EW678" s="80"/>
      <c r="EX678" s="112"/>
      <c r="EY678" s="112"/>
      <c r="EZ678" s="112"/>
      <c r="FA678" s="112"/>
      <c r="FB678" s="80"/>
      <c r="FC678" s="112"/>
      <c r="FD678" s="112"/>
      <c r="FE678" s="112"/>
      <c r="FF678" s="112"/>
      <c r="FG678" s="80"/>
      <c r="FH678" s="146"/>
      <c r="FI678" s="112"/>
      <c r="FJ678" s="112"/>
      <c r="FK678" s="112"/>
      <c r="FL678" s="112"/>
    </row>
    <row r="679" ht="12.75" hidden="1" customHeight="1" outlineLevel="2">
      <c r="A679" s="4"/>
      <c r="B679" s="72" t="s">
        <v>284</v>
      </c>
      <c r="C679" s="45"/>
      <c r="D679" s="17"/>
      <c r="E679" s="17"/>
      <c r="F679" s="17"/>
      <c r="G679" s="17"/>
      <c r="H679" s="73"/>
      <c r="I679" s="17"/>
      <c r="J679" s="17"/>
      <c r="K679" s="17"/>
      <c r="L679" s="17"/>
      <c r="M679" s="73"/>
      <c r="N679" s="17"/>
      <c r="O679" s="17"/>
      <c r="P679" s="17"/>
      <c r="Q679" s="17"/>
      <c r="R679" s="73"/>
      <c r="S679" s="17"/>
      <c r="T679" s="17"/>
      <c r="U679" s="17"/>
      <c r="V679" s="17"/>
      <c r="W679" s="73"/>
      <c r="X679" s="17"/>
      <c r="Y679" s="17"/>
      <c r="Z679" s="17"/>
      <c r="AA679" s="17"/>
      <c r="AB679" s="73"/>
      <c r="AC679" s="17"/>
      <c r="AD679" s="17"/>
      <c r="AE679" s="17"/>
      <c r="AF679" s="17"/>
      <c r="AG679" s="73"/>
      <c r="AH679" s="17"/>
      <c r="AI679" s="17"/>
      <c r="AJ679" s="17"/>
      <c r="AK679" s="17"/>
      <c r="AL679" s="73"/>
      <c r="AM679" s="17"/>
      <c r="AN679" s="17"/>
      <c r="AO679" s="17"/>
      <c r="AP679" s="17"/>
      <c r="AQ679" s="73"/>
      <c r="AR679" s="17"/>
      <c r="AS679" s="17"/>
      <c r="AT679" s="17"/>
      <c r="AU679" s="17"/>
      <c r="AV679" s="73"/>
      <c r="AW679" s="17"/>
      <c r="AX679" s="17"/>
      <c r="AY679" s="17"/>
      <c r="AZ679" s="17"/>
      <c r="BA679" s="73"/>
      <c r="BB679" s="17">
        <v>70.21</v>
      </c>
      <c r="BC679" s="17">
        <v>64.976</v>
      </c>
      <c r="BD679" s="17">
        <v>73.71</v>
      </c>
      <c r="BE679" s="17">
        <v>70.545</v>
      </c>
      <c r="BF679" s="73">
        <f>SUM(BB679:BE679)</f>
        <v>279.441</v>
      </c>
      <c r="BG679" s="17">
        <v>76.06700000000001</v>
      </c>
      <c r="BH679" s="17">
        <v>78.049</v>
      </c>
      <c r="BI679" s="17">
        <v>84.629</v>
      </c>
      <c r="BJ679" s="17">
        <v>81.643</v>
      </c>
      <c r="BK679" s="73">
        <f>SUM(BG679:BJ679)</f>
        <v>320.388</v>
      </c>
      <c r="BL679" s="17">
        <v>84.31</v>
      </c>
      <c r="BM679" s="17">
        <v>87.865</v>
      </c>
      <c r="BN679" s="17">
        <v>91.915</v>
      </c>
      <c r="BO679" s="17">
        <v>91.57600000000001</v>
      </c>
      <c r="BP679" s="73">
        <f t="shared" ref="BP679:BP680" si="3224">SUM(BL679:BO679)</f>
        <v>355.666</v>
      </c>
      <c r="BQ679" s="17">
        <v>88.308</v>
      </c>
      <c r="BR679" s="17"/>
      <c r="BS679" s="17"/>
      <c r="BT679" s="17"/>
      <c r="BU679" s="73"/>
      <c r="BV679" s="17"/>
      <c r="BW679" s="17"/>
      <c r="BX679" s="17"/>
      <c r="BY679" s="17"/>
      <c r="BZ679" s="18"/>
      <c r="CA679" s="17"/>
      <c r="CB679" s="17"/>
      <c r="CC679" s="17"/>
      <c r="CD679" s="17"/>
      <c r="CE679" s="18"/>
      <c r="CF679" s="17"/>
      <c r="CG679" s="17"/>
      <c r="CH679" s="17"/>
      <c r="CI679" s="17"/>
      <c r="CJ679" s="18"/>
      <c r="CK679" s="17"/>
      <c r="CL679" s="17"/>
      <c r="CM679" s="17"/>
      <c r="CN679" s="19"/>
      <c r="CO679" s="18"/>
      <c r="CP679" s="19"/>
      <c r="CQ679" s="17"/>
      <c r="CR679" s="17"/>
      <c r="CS679" s="17"/>
      <c r="CT679" s="18"/>
      <c r="CU679" s="17"/>
      <c r="CV679" s="17"/>
      <c r="CW679" s="17"/>
      <c r="CX679" s="17"/>
      <c r="CY679" s="18"/>
      <c r="CZ679" s="17"/>
      <c r="DA679" s="17"/>
      <c r="DB679" s="17"/>
      <c r="DC679" s="17"/>
      <c r="DD679" s="18"/>
      <c r="DE679" s="17"/>
      <c r="DF679" s="17"/>
      <c r="DG679" s="19"/>
      <c r="DH679" s="17"/>
      <c r="DI679" s="18"/>
      <c r="DJ679" s="19"/>
      <c r="DK679" s="19"/>
      <c r="DL679" s="19"/>
      <c r="DM679" s="17"/>
      <c r="DN679" s="18"/>
      <c r="DO679" s="17"/>
      <c r="DP679" s="17"/>
      <c r="DQ679" s="17"/>
      <c r="DR679" s="17"/>
      <c r="DS679" s="18"/>
      <c r="DT679" s="17"/>
      <c r="DU679" s="17"/>
      <c r="DV679" s="17"/>
      <c r="DW679" s="17"/>
      <c r="DX679" s="18"/>
      <c r="DY679" s="17"/>
      <c r="DZ679" s="17"/>
      <c r="EA679" s="17"/>
      <c r="EB679" s="17"/>
      <c r="EC679" s="18"/>
      <c r="ED679" s="17"/>
      <c r="EE679" s="17"/>
      <c r="EF679" s="17"/>
      <c r="EG679" s="17"/>
      <c r="EH679" s="18"/>
      <c r="EI679" s="25"/>
      <c r="EJ679" s="17"/>
      <c r="EK679" s="17"/>
      <c r="EL679" s="17"/>
      <c r="EM679" s="18"/>
      <c r="EN679" s="17"/>
      <c r="EO679" s="17"/>
      <c r="EP679" s="17"/>
      <c r="EQ679" s="17"/>
      <c r="ER679" s="18"/>
      <c r="ES679" s="17"/>
      <c r="ET679" s="17"/>
      <c r="EU679" s="17"/>
      <c r="EV679" s="17"/>
      <c r="EW679" s="18"/>
      <c r="EX679" s="17"/>
      <c r="EY679" s="17"/>
      <c r="EZ679" s="17"/>
      <c r="FA679" s="17"/>
      <c r="FB679" s="18"/>
      <c r="FC679" s="17"/>
      <c r="FD679" s="17"/>
      <c r="FE679" s="17"/>
      <c r="FF679" s="17"/>
      <c r="FG679" s="18"/>
      <c r="FH679" s="74"/>
      <c r="FI679" s="17"/>
      <c r="FJ679" s="17"/>
      <c r="FK679" s="73"/>
      <c r="FL679" s="17"/>
    </row>
    <row r="680" ht="12.75" hidden="1" customHeight="1" outlineLevel="2">
      <c r="A680" s="4"/>
      <c r="B680" s="72" t="s">
        <v>286</v>
      </c>
      <c r="C680" s="45"/>
      <c r="D680" s="17"/>
      <c r="E680" s="17"/>
      <c r="F680" s="17"/>
      <c r="G680" s="17"/>
      <c r="H680" s="73"/>
      <c r="I680" s="17"/>
      <c r="J680" s="17"/>
      <c r="K680" s="17"/>
      <c r="L680" s="17"/>
      <c r="M680" s="73"/>
      <c r="N680" s="17"/>
      <c r="O680" s="17"/>
      <c r="P680" s="17"/>
      <c r="Q680" s="17"/>
      <c r="R680" s="73"/>
      <c r="S680" s="17"/>
      <c r="T680" s="17"/>
      <c r="U680" s="17"/>
      <c r="V680" s="17"/>
      <c r="W680" s="73"/>
      <c r="X680" s="17"/>
      <c r="Y680" s="17"/>
      <c r="Z680" s="17"/>
      <c r="AA680" s="17"/>
      <c r="AB680" s="73"/>
      <c r="AC680" s="17"/>
      <c r="AD680" s="17"/>
      <c r="AE680" s="17"/>
      <c r="AF680" s="17"/>
      <c r="AG680" s="73"/>
      <c r="AH680" s="17"/>
      <c r="AI680" s="17"/>
      <c r="AJ680" s="17"/>
      <c r="AK680" s="17"/>
      <c r="AL680" s="73"/>
      <c r="AM680" s="17"/>
      <c r="AN680" s="17"/>
      <c r="AO680" s="17"/>
      <c r="AP680" s="17"/>
      <c r="AQ680" s="73"/>
      <c r="AR680" s="17"/>
      <c r="AS680" s="17"/>
      <c r="AT680" s="17"/>
      <c r="AU680" s="17"/>
      <c r="AV680" s="73"/>
      <c r="AW680" s="17"/>
      <c r="AX680" s="17"/>
      <c r="AY680" s="17"/>
      <c r="AZ680" s="17"/>
      <c r="BA680" s="73"/>
      <c r="BB680" s="17"/>
      <c r="BC680" s="17"/>
      <c r="BD680" s="17"/>
      <c r="BE680" s="17"/>
      <c r="BF680" s="73"/>
      <c r="BG680" s="17"/>
      <c r="BH680" s="17"/>
      <c r="BI680" s="17"/>
      <c r="BJ680" s="17"/>
      <c r="BK680" s="73"/>
      <c r="BL680" s="17">
        <v>180.0</v>
      </c>
      <c r="BM680" s="17">
        <v>175.0</v>
      </c>
      <c r="BN680" s="17">
        <v>155.0</v>
      </c>
      <c r="BO680" s="17">
        <v>150.0</v>
      </c>
      <c r="BP680" s="73">
        <f t="shared" si="3224"/>
        <v>660</v>
      </c>
      <c r="BQ680" s="17">
        <v>155.0</v>
      </c>
      <c r="BR680" s="17">
        <v>193.0</v>
      </c>
      <c r="BS680" s="17">
        <v>219.0</v>
      </c>
      <c r="BT680" s="17">
        <v>270.0</v>
      </c>
      <c r="BU680" s="73">
        <f>SUM(BQ680:BT680)</f>
        <v>837</v>
      </c>
      <c r="BV680" s="17">
        <v>280.0</v>
      </c>
      <c r="BW680" s="17">
        <v>302.0</v>
      </c>
      <c r="BX680" s="17">
        <v>256.0</v>
      </c>
      <c r="BY680" s="17">
        <v>288.0</v>
      </c>
      <c r="BZ680" s="18">
        <f t="shared" ref="BZ680:BZ682" si="3225">SUM(BV680:BY680)</f>
        <v>1126</v>
      </c>
      <c r="CA680" s="17"/>
      <c r="CB680" s="17"/>
      <c r="CC680" s="17"/>
      <c r="CD680" s="17"/>
      <c r="CE680" s="18"/>
      <c r="CF680" s="17"/>
      <c r="CG680" s="17"/>
      <c r="CH680" s="17"/>
      <c r="CI680" s="17"/>
      <c r="CJ680" s="18"/>
      <c r="CK680" s="17"/>
      <c r="CL680" s="17"/>
      <c r="CM680" s="17"/>
      <c r="CN680" s="19"/>
      <c r="CO680" s="18"/>
      <c r="CP680" s="19"/>
      <c r="CQ680" s="17"/>
      <c r="CR680" s="17"/>
      <c r="CS680" s="17"/>
      <c r="CT680" s="18"/>
      <c r="CU680" s="17"/>
      <c r="CV680" s="17"/>
      <c r="CW680" s="17"/>
      <c r="CX680" s="17"/>
      <c r="CY680" s="18"/>
      <c r="CZ680" s="17"/>
      <c r="DA680" s="17"/>
      <c r="DB680" s="17"/>
      <c r="DC680" s="17"/>
      <c r="DD680" s="18"/>
      <c r="DE680" s="17"/>
      <c r="DF680" s="17"/>
      <c r="DG680" s="19"/>
      <c r="DH680" s="17"/>
      <c r="DI680" s="18"/>
      <c r="DJ680" s="19"/>
      <c r="DK680" s="19"/>
      <c r="DL680" s="19"/>
      <c r="DM680" s="17"/>
      <c r="DN680" s="18"/>
      <c r="DO680" s="17"/>
      <c r="DP680" s="17"/>
      <c r="DQ680" s="17"/>
      <c r="DR680" s="17"/>
      <c r="DS680" s="18"/>
      <c r="DT680" s="17"/>
      <c r="DU680" s="17"/>
      <c r="DV680" s="17"/>
      <c r="DW680" s="17"/>
      <c r="DX680" s="18"/>
      <c r="DY680" s="17"/>
      <c r="DZ680" s="17"/>
      <c r="EA680" s="17"/>
      <c r="EB680" s="17"/>
      <c r="EC680" s="18"/>
      <c r="ED680" s="17"/>
      <c r="EE680" s="17"/>
      <c r="EF680" s="17"/>
      <c r="EG680" s="17"/>
      <c r="EH680" s="18"/>
      <c r="EI680" s="25"/>
      <c r="EJ680" s="17"/>
      <c r="EK680" s="17"/>
      <c r="EL680" s="17"/>
      <c r="EM680" s="18"/>
      <c r="EN680" s="17"/>
      <c r="EO680" s="17"/>
      <c r="EP680" s="17"/>
      <c r="EQ680" s="17"/>
      <c r="ER680" s="18"/>
      <c r="ES680" s="17"/>
      <c r="ET680" s="17"/>
      <c r="EU680" s="17"/>
      <c r="EV680" s="17"/>
      <c r="EW680" s="18"/>
      <c r="EX680" s="17"/>
      <c r="EY680" s="17"/>
      <c r="EZ680" s="17"/>
      <c r="FA680" s="17"/>
      <c r="FB680" s="18"/>
      <c r="FC680" s="17"/>
      <c r="FD680" s="17"/>
      <c r="FE680" s="17"/>
      <c r="FF680" s="17"/>
      <c r="FG680" s="18"/>
      <c r="FH680" s="74"/>
      <c r="FI680" s="17"/>
      <c r="FJ680" s="17"/>
      <c r="FK680" s="73"/>
      <c r="FL680" s="17"/>
    </row>
    <row r="681" ht="12.75" hidden="1" customHeight="1" outlineLevel="2">
      <c r="A681" s="45"/>
      <c r="B681" s="215" t="s">
        <v>305</v>
      </c>
      <c r="C681" s="45"/>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12"/>
      <c r="BE681" s="112"/>
      <c r="BF681" s="112"/>
      <c r="BG681" s="112"/>
      <c r="BH681" s="112"/>
      <c r="BI681" s="112"/>
      <c r="BJ681" s="112"/>
      <c r="BK681" s="112"/>
      <c r="BL681" s="112"/>
      <c r="BM681" s="112"/>
      <c r="BN681" s="112"/>
      <c r="BO681" s="112">
        <v>138.0</v>
      </c>
      <c r="BP681" s="112">
        <v>578.0</v>
      </c>
      <c r="BQ681" s="112">
        <v>149.0</v>
      </c>
      <c r="BR681" s="112">
        <f t="shared" ref="BR681:BR682" si="3226">BU681-BQ681-BS681-BS681</f>
        <v>256</v>
      </c>
      <c r="BS681" s="112">
        <v>282.0</v>
      </c>
      <c r="BT681" s="112">
        <v>366.0</v>
      </c>
      <c r="BU681" s="112">
        <v>969.0</v>
      </c>
      <c r="BV681" s="112">
        <v>369.0</v>
      </c>
      <c r="BW681" s="112">
        <v>386.0</v>
      </c>
      <c r="BX681" s="112">
        <v>354.0</v>
      </c>
      <c r="BY681" s="112">
        <v>392.0</v>
      </c>
      <c r="BZ681" s="80">
        <f t="shared" si="3225"/>
        <v>1501</v>
      </c>
      <c r="CA681" s="112"/>
      <c r="CB681" s="112"/>
      <c r="CC681" s="112"/>
      <c r="CD681" s="112"/>
      <c r="CE681" s="80"/>
      <c r="CF681" s="112"/>
      <c r="CG681" s="112"/>
      <c r="CH681" s="112"/>
      <c r="CI681" s="112"/>
      <c r="CJ681" s="80"/>
      <c r="CK681" s="112"/>
      <c r="CL681" s="112"/>
      <c r="CM681" s="112"/>
      <c r="CN681" s="146"/>
      <c r="CO681" s="80"/>
      <c r="CP681" s="146"/>
      <c r="CQ681" s="112"/>
      <c r="CR681" s="112"/>
      <c r="CS681" s="112"/>
      <c r="CT681" s="80"/>
      <c r="CU681" s="112"/>
      <c r="CV681" s="112"/>
      <c r="CW681" s="112"/>
      <c r="CX681" s="112"/>
      <c r="CY681" s="80"/>
      <c r="CZ681" s="112"/>
      <c r="DA681" s="112"/>
      <c r="DB681" s="112"/>
      <c r="DC681" s="112"/>
      <c r="DD681" s="80"/>
      <c r="DE681" s="112"/>
      <c r="DF681" s="112"/>
      <c r="DG681" s="146"/>
      <c r="DH681" s="112"/>
      <c r="DI681" s="80"/>
      <c r="DJ681" s="146"/>
      <c r="DK681" s="146"/>
      <c r="DL681" s="146"/>
      <c r="DM681" s="112"/>
      <c r="DN681" s="80"/>
      <c r="DO681" s="112"/>
      <c r="DP681" s="112"/>
      <c r="DQ681" s="112"/>
      <c r="DR681" s="112"/>
      <c r="DS681" s="80"/>
      <c r="DT681" s="112"/>
      <c r="DU681" s="112"/>
      <c r="DV681" s="112"/>
      <c r="DW681" s="112"/>
      <c r="DX681" s="80"/>
      <c r="DY681" s="112"/>
      <c r="DZ681" s="112"/>
      <c r="EA681" s="112"/>
      <c r="EB681" s="112"/>
      <c r="EC681" s="80"/>
      <c r="ED681" s="112"/>
      <c r="EE681" s="112"/>
      <c r="EF681" s="112"/>
      <c r="EG681" s="112"/>
      <c r="EH681" s="80"/>
      <c r="EI681" s="110"/>
      <c r="EJ681" s="112"/>
      <c r="EK681" s="112"/>
      <c r="EL681" s="112"/>
      <c r="EM681" s="80"/>
      <c r="EN681" s="112"/>
      <c r="EO681" s="112"/>
      <c r="EP681" s="112"/>
      <c r="EQ681" s="112"/>
      <c r="ER681" s="80"/>
      <c r="ES681" s="112"/>
      <c r="ET681" s="112"/>
      <c r="EU681" s="112"/>
      <c r="EV681" s="112"/>
      <c r="EW681" s="80"/>
      <c r="EX681" s="112"/>
      <c r="EY681" s="112"/>
      <c r="EZ681" s="112"/>
      <c r="FA681" s="112"/>
      <c r="FB681" s="80"/>
      <c r="FC681" s="112"/>
      <c r="FD681" s="112"/>
      <c r="FE681" s="112"/>
      <c r="FF681" s="112"/>
      <c r="FG681" s="80"/>
      <c r="FH681" s="146"/>
      <c r="FI681" s="112"/>
      <c r="FJ681" s="112"/>
      <c r="FK681" s="112"/>
      <c r="FL681" s="112"/>
    </row>
    <row r="682" ht="12.75" hidden="1" customHeight="1" outlineLevel="2">
      <c r="A682" s="45"/>
      <c r="B682" s="215" t="s">
        <v>306</v>
      </c>
      <c r="C682" s="45"/>
      <c r="D682" s="112"/>
      <c r="E682" s="112"/>
      <c r="F682" s="112"/>
      <c r="G682" s="112"/>
      <c r="H682" s="73"/>
      <c r="I682" s="112"/>
      <c r="J682" s="112"/>
      <c r="K682" s="112"/>
      <c r="L682" s="112"/>
      <c r="M682" s="73"/>
      <c r="N682" s="112"/>
      <c r="O682" s="112"/>
      <c r="P682" s="112"/>
      <c r="Q682" s="112"/>
      <c r="R682" s="73"/>
      <c r="S682" s="112"/>
      <c r="T682" s="112"/>
      <c r="U682" s="112"/>
      <c r="V682" s="112"/>
      <c r="W682" s="73"/>
      <c r="X682" s="112"/>
      <c r="Y682" s="112"/>
      <c r="Z682" s="112"/>
      <c r="AA682" s="112"/>
      <c r="AB682" s="73"/>
      <c r="AC682" s="112"/>
      <c r="AD682" s="112"/>
      <c r="AE682" s="112"/>
      <c r="AF682" s="112"/>
      <c r="AG682" s="73"/>
      <c r="AH682" s="112"/>
      <c r="AI682" s="112"/>
      <c r="AJ682" s="112"/>
      <c r="AK682" s="112"/>
      <c r="AL682" s="73"/>
      <c r="AM682" s="112"/>
      <c r="AN682" s="112"/>
      <c r="AO682" s="112"/>
      <c r="AP682" s="112"/>
      <c r="AQ682" s="73"/>
      <c r="AR682" s="112"/>
      <c r="AS682" s="112"/>
      <c r="AT682" s="112"/>
      <c r="AU682" s="112"/>
      <c r="AV682" s="73"/>
      <c r="AW682" s="112"/>
      <c r="AX682" s="112"/>
      <c r="AY682" s="112"/>
      <c r="AZ682" s="112"/>
      <c r="BA682" s="73"/>
      <c r="BB682" s="112"/>
      <c r="BC682" s="112"/>
      <c r="BD682" s="112"/>
      <c r="BE682" s="112"/>
      <c r="BF682" s="73"/>
      <c r="BG682" s="112"/>
      <c r="BH682" s="112"/>
      <c r="BI682" s="112"/>
      <c r="BJ682" s="112"/>
      <c r="BK682" s="73"/>
      <c r="BL682" s="112"/>
      <c r="BM682" s="112"/>
      <c r="BN682" s="112"/>
      <c r="BO682" s="112">
        <v>77.0</v>
      </c>
      <c r="BP682" s="73">
        <v>688.0</v>
      </c>
      <c r="BQ682" s="112">
        <v>45.0</v>
      </c>
      <c r="BR682" s="112">
        <f t="shared" si="3226"/>
        <v>13</v>
      </c>
      <c r="BS682" s="112">
        <v>37.0</v>
      </c>
      <c r="BT682" s="112">
        <v>9.0</v>
      </c>
      <c r="BU682" s="73">
        <v>132.0</v>
      </c>
      <c r="BV682" s="112">
        <v>10.0</v>
      </c>
      <c r="BW682" s="112">
        <v>9.0</v>
      </c>
      <c r="BX682" s="112">
        <v>12.0</v>
      </c>
      <c r="BY682" s="112">
        <v>16.0</v>
      </c>
      <c r="BZ682" s="18">
        <f t="shared" si="3225"/>
        <v>47</v>
      </c>
      <c r="CA682" s="112"/>
      <c r="CB682" s="112"/>
      <c r="CC682" s="112"/>
      <c r="CD682" s="112"/>
      <c r="CE682" s="18"/>
      <c r="CF682" s="112"/>
      <c r="CG682" s="112"/>
      <c r="CH682" s="112"/>
      <c r="CI682" s="112"/>
      <c r="CJ682" s="18"/>
      <c r="CK682" s="112"/>
      <c r="CL682" s="112"/>
      <c r="CM682" s="112"/>
      <c r="CN682" s="146"/>
      <c r="CO682" s="18"/>
      <c r="CP682" s="146"/>
      <c r="CQ682" s="112"/>
      <c r="CR682" s="112"/>
      <c r="CS682" s="112"/>
      <c r="CT682" s="18"/>
      <c r="CU682" s="112"/>
      <c r="CV682" s="112"/>
      <c r="CW682" s="112"/>
      <c r="CX682" s="112"/>
      <c r="CY682" s="18"/>
      <c r="CZ682" s="112"/>
      <c r="DA682" s="112"/>
      <c r="DB682" s="112"/>
      <c r="DC682" s="112"/>
      <c r="DD682" s="18"/>
      <c r="DE682" s="112"/>
      <c r="DF682" s="112"/>
      <c r="DG682" s="146"/>
      <c r="DH682" s="112"/>
      <c r="DI682" s="18"/>
      <c r="DJ682" s="146"/>
      <c r="DK682" s="146"/>
      <c r="DL682" s="146"/>
      <c r="DM682" s="112"/>
      <c r="DN682" s="18"/>
      <c r="DO682" s="112"/>
      <c r="DP682" s="112"/>
      <c r="DQ682" s="112"/>
      <c r="DR682" s="112"/>
      <c r="DS682" s="18"/>
      <c r="DT682" s="112"/>
      <c r="DU682" s="112"/>
      <c r="DV682" s="112"/>
      <c r="DW682" s="112"/>
      <c r="DX682" s="18"/>
      <c r="DY682" s="112"/>
      <c r="DZ682" s="112"/>
      <c r="EA682" s="112"/>
      <c r="EB682" s="112"/>
      <c r="EC682" s="18"/>
      <c r="ED682" s="112"/>
      <c r="EE682" s="112"/>
      <c r="EF682" s="112"/>
      <c r="EG682" s="112"/>
      <c r="EH682" s="18"/>
      <c r="EI682" s="110"/>
      <c r="EJ682" s="112"/>
      <c r="EK682" s="112"/>
      <c r="EL682" s="112"/>
      <c r="EM682" s="18"/>
      <c r="EN682" s="112"/>
      <c r="EO682" s="112"/>
      <c r="EP682" s="112"/>
      <c r="EQ682" s="112"/>
      <c r="ER682" s="18"/>
      <c r="ES682" s="112"/>
      <c r="ET682" s="112"/>
      <c r="EU682" s="112"/>
      <c r="EV682" s="112"/>
      <c r="EW682" s="18"/>
      <c r="EX682" s="112"/>
      <c r="EY682" s="112"/>
      <c r="EZ682" s="112"/>
      <c r="FA682" s="112"/>
      <c r="FB682" s="18"/>
      <c r="FC682" s="112"/>
      <c r="FD682" s="112"/>
      <c r="FE682" s="112"/>
      <c r="FF682" s="112"/>
      <c r="FG682" s="18"/>
      <c r="FH682" s="74"/>
      <c r="FI682" s="112"/>
      <c r="FJ682" s="112"/>
      <c r="FK682" s="73"/>
      <c r="FL682" s="112"/>
    </row>
    <row r="683" ht="13.5" hidden="1" customHeight="1" outlineLevel="2">
      <c r="A683" s="4"/>
      <c r="B683" s="529" t="s">
        <v>15</v>
      </c>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c r="AB683" s="164"/>
      <c r="AC683" s="164"/>
      <c r="AD683" s="164"/>
      <c r="AE683" s="164"/>
      <c r="AF683" s="164"/>
      <c r="AG683" s="164"/>
      <c r="AH683" s="164"/>
      <c r="AI683" s="164"/>
      <c r="AJ683" s="164"/>
      <c r="AK683" s="164"/>
      <c r="AL683" s="164"/>
      <c r="AM683" s="164"/>
      <c r="AN683" s="164"/>
      <c r="AO683" s="164"/>
      <c r="AP683" s="164"/>
      <c r="AQ683" s="164"/>
      <c r="AR683" s="164"/>
      <c r="AS683" s="164"/>
      <c r="AT683" s="164"/>
      <c r="AU683" s="164"/>
      <c r="AV683" s="164"/>
      <c r="AW683" s="164"/>
      <c r="AX683" s="164"/>
      <c r="AY683" s="164"/>
      <c r="AZ683" s="164"/>
      <c r="BA683" s="164"/>
      <c r="BB683" s="164"/>
      <c r="BC683" s="164"/>
      <c r="BD683" s="164"/>
      <c r="BE683" s="164"/>
      <c r="BF683" s="164"/>
      <c r="BG683" s="164"/>
      <c r="BH683" s="164"/>
      <c r="BI683" s="164"/>
      <c r="BJ683" s="164"/>
      <c r="BK683" s="164">
        <f>Sales</f>
        <v>38334</v>
      </c>
      <c r="BL683" s="164"/>
      <c r="BM683" s="164"/>
      <c r="BN683" s="164"/>
      <c r="BO683" s="164">
        <f t="shared" ref="BO683:BZ683" si="3227">BO678+BO681+BO682</f>
        <v>8226</v>
      </c>
      <c r="BP683" s="164">
        <f t="shared" si="3227"/>
        <v>37586</v>
      </c>
      <c r="BQ683" s="164">
        <f t="shared" si="3227"/>
        <v>7145</v>
      </c>
      <c r="BR683" s="164">
        <f t="shared" si="3227"/>
        <v>9204</v>
      </c>
      <c r="BS683" s="164">
        <f t="shared" si="3227"/>
        <v>9389</v>
      </c>
      <c r="BT683" s="164">
        <f t="shared" si="3227"/>
        <v>10569</v>
      </c>
      <c r="BU683" s="164">
        <f t="shared" si="3227"/>
        <v>35127</v>
      </c>
      <c r="BV683" s="164">
        <f t="shared" si="3227"/>
        <v>10299</v>
      </c>
      <c r="BW683" s="164">
        <f t="shared" si="3227"/>
        <v>10765</v>
      </c>
      <c r="BX683" s="164">
        <f t="shared" si="3227"/>
        <v>11102</v>
      </c>
      <c r="BY683" s="164">
        <f t="shared" si="3227"/>
        <v>11457</v>
      </c>
      <c r="BZ683" s="165">
        <f t="shared" si="3227"/>
        <v>43623</v>
      </c>
      <c r="CA683" s="164"/>
      <c r="CB683" s="164"/>
      <c r="CC683" s="164"/>
      <c r="CD683" s="164"/>
      <c r="CE683" s="165"/>
      <c r="CF683" s="164"/>
      <c r="CG683" s="164"/>
      <c r="CH683" s="164"/>
      <c r="CI683" s="164"/>
      <c r="CJ683" s="165"/>
      <c r="CK683" s="164"/>
      <c r="CL683" s="164"/>
      <c r="CM683" s="164"/>
      <c r="CN683" s="583"/>
      <c r="CO683" s="165"/>
      <c r="CP683" s="583"/>
      <c r="CQ683" s="164"/>
      <c r="CR683" s="164"/>
      <c r="CS683" s="164"/>
      <c r="CT683" s="165"/>
      <c r="CU683" s="164"/>
      <c r="CV683" s="164"/>
      <c r="CW683" s="164"/>
      <c r="CX683" s="164"/>
      <c r="CY683" s="165"/>
      <c r="CZ683" s="164"/>
      <c r="DA683" s="164"/>
      <c r="DB683" s="164"/>
      <c r="DC683" s="164"/>
      <c r="DD683" s="165"/>
      <c r="DE683" s="164"/>
      <c r="DF683" s="164"/>
      <c r="DG683" s="146"/>
      <c r="DH683" s="164"/>
      <c r="DI683" s="165"/>
      <c r="DJ683" s="583"/>
      <c r="DK683" s="583"/>
      <c r="DL683" s="583"/>
      <c r="DM683" s="164"/>
      <c r="DN683" s="165"/>
      <c r="DO683" s="164"/>
      <c r="DP683" s="164"/>
      <c r="DQ683" s="164"/>
      <c r="DR683" s="164"/>
      <c r="DS683" s="165"/>
      <c r="DT683" s="164"/>
      <c r="DU683" s="164"/>
      <c r="DV683" s="164"/>
      <c r="DW683" s="164"/>
      <c r="DX683" s="165"/>
      <c r="DY683" s="164"/>
      <c r="DZ683" s="164"/>
      <c r="EA683" s="164"/>
      <c r="EB683" s="164"/>
      <c r="EC683" s="165"/>
      <c r="ED683" s="164"/>
      <c r="EE683" s="164"/>
      <c r="EF683" s="164"/>
      <c r="EG683" s="164"/>
      <c r="EH683" s="165"/>
      <c r="EI683" s="584"/>
      <c r="EJ683" s="164"/>
      <c r="EK683" s="164"/>
      <c r="EL683" s="164"/>
      <c r="EM683" s="165"/>
      <c r="EN683" s="164"/>
      <c r="EO683" s="164"/>
      <c r="EP683" s="164"/>
      <c r="EQ683" s="164"/>
      <c r="ER683" s="165"/>
      <c r="ES683" s="164"/>
      <c r="ET683" s="164"/>
      <c r="EU683" s="164"/>
      <c r="EV683" s="164"/>
      <c r="EW683" s="165"/>
      <c r="EX683" s="164"/>
      <c r="EY683" s="164"/>
      <c r="EZ683" s="164"/>
      <c r="FA683" s="164"/>
      <c r="FB683" s="165"/>
      <c r="FC683" s="164"/>
      <c r="FD683" s="164"/>
      <c r="FE683" s="164"/>
      <c r="FF683" s="164"/>
      <c r="FG683" s="165"/>
      <c r="FH683" s="583"/>
      <c r="FI683" s="164"/>
      <c r="FJ683" s="164"/>
      <c r="FK683" s="164"/>
      <c r="FL683" s="164"/>
    </row>
    <row r="684" ht="13.5" hidden="1" customHeight="1" outlineLevel="2">
      <c r="A684" s="4"/>
      <c r="B684" s="45"/>
      <c r="C684" s="45"/>
      <c r="D684" s="4"/>
      <c r="E684" s="4"/>
      <c r="F684" s="4"/>
      <c r="G684" s="4"/>
      <c r="H684" s="45"/>
      <c r="I684" s="4"/>
      <c r="J684" s="4"/>
      <c r="K684" s="4"/>
      <c r="L684" s="4"/>
      <c r="M684" s="45"/>
      <c r="N684" s="4"/>
      <c r="O684" s="4"/>
      <c r="P684" s="4"/>
      <c r="Q684" s="4"/>
      <c r="R684" s="45"/>
      <c r="S684" s="4"/>
      <c r="T684" s="4"/>
      <c r="U684" s="4"/>
      <c r="V684" s="4"/>
      <c r="W684" s="45"/>
      <c r="X684" s="4"/>
      <c r="Y684" s="4"/>
      <c r="Z684" s="4"/>
      <c r="AA684" s="4"/>
      <c r="AB684" s="45"/>
      <c r="AC684" s="4"/>
      <c r="AD684" s="4"/>
      <c r="AE684" s="4"/>
      <c r="AF684" s="4"/>
      <c r="AG684" s="45"/>
      <c r="AH684" s="4"/>
      <c r="AI684" s="4"/>
      <c r="AJ684" s="4"/>
      <c r="AK684" s="4"/>
      <c r="AL684" s="45"/>
      <c r="AM684" s="4"/>
      <c r="AN684" s="4"/>
      <c r="AO684" s="4"/>
      <c r="AP684" s="4"/>
      <c r="AQ684" s="45"/>
      <c r="AR684" s="4"/>
      <c r="AS684" s="4"/>
      <c r="AT684" s="4"/>
      <c r="AU684" s="4"/>
      <c r="AV684" s="45"/>
      <c r="AW684" s="4"/>
      <c r="AX684" s="4"/>
      <c r="AY684" s="4"/>
      <c r="AZ684" s="4"/>
      <c r="BA684" s="45"/>
      <c r="BB684" s="4"/>
      <c r="BC684" s="4"/>
      <c r="BD684" s="4"/>
      <c r="BE684" s="4"/>
      <c r="BF684" s="45"/>
      <c r="BG684" s="4"/>
      <c r="BH684" s="4"/>
      <c r="BI684" s="4"/>
      <c r="BJ684" s="4"/>
      <c r="BK684" s="45"/>
      <c r="BL684" s="4"/>
      <c r="BM684" s="4"/>
      <c r="BN684" s="4"/>
      <c r="BO684" s="4"/>
      <c r="BP684" s="45"/>
      <c r="BQ684" s="4"/>
      <c r="BR684" s="4"/>
      <c r="BS684" s="4"/>
      <c r="BT684" s="4"/>
      <c r="BU684" s="45"/>
      <c r="BV684" s="4"/>
      <c r="BW684" s="4"/>
      <c r="BX684" s="4"/>
      <c r="BY684" s="4"/>
      <c r="BZ684" s="350"/>
      <c r="CA684" s="4"/>
      <c r="CB684" s="4"/>
      <c r="CC684" s="4"/>
      <c r="CD684" s="4"/>
      <c r="CE684" s="350"/>
      <c r="CF684" s="4"/>
      <c r="CG684" s="4"/>
      <c r="CH684" s="4"/>
      <c r="CI684" s="4"/>
      <c r="CJ684" s="350"/>
      <c r="CK684" s="4"/>
      <c r="CL684" s="4"/>
      <c r="CM684" s="4"/>
      <c r="CN684" s="16"/>
      <c r="CO684" s="350"/>
      <c r="CP684" s="16"/>
      <c r="CQ684" s="4"/>
      <c r="CR684" s="4"/>
      <c r="CS684" s="4"/>
      <c r="CT684" s="350"/>
      <c r="CU684" s="4"/>
      <c r="CV684" s="4"/>
      <c r="CW684" s="4"/>
      <c r="CX684" s="4"/>
      <c r="CY684" s="350"/>
      <c r="CZ684" s="4"/>
      <c r="DA684" s="4"/>
      <c r="DB684" s="4"/>
      <c r="DC684" s="4"/>
      <c r="DD684" s="350"/>
      <c r="DE684" s="4"/>
      <c r="DF684" s="4"/>
      <c r="DG684" s="16"/>
      <c r="DH684" s="4"/>
      <c r="DI684" s="350"/>
      <c r="DJ684" s="16"/>
      <c r="DK684" s="16"/>
      <c r="DL684" s="16"/>
      <c r="DM684" s="4"/>
      <c r="DN684" s="350"/>
      <c r="DO684" s="4"/>
      <c r="DP684" s="4"/>
      <c r="DQ684" s="4"/>
      <c r="DR684" s="4"/>
      <c r="DS684" s="350"/>
      <c r="DT684" s="4"/>
      <c r="DU684" s="4"/>
      <c r="DV684" s="4"/>
      <c r="DW684" s="4"/>
      <c r="DX684" s="350"/>
      <c r="DY684" s="4"/>
      <c r="DZ684" s="4"/>
      <c r="EA684" s="4"/>
      <c r="EB684" s="4"/>
      <c r="EC684" s="350"/>
      <c r="ED684" s="4"/>
      <c r="EE684" s="4"/>
      <c r="EF684" s="4"/>
      <c r="EG684" s="4"/>
      <c r="EH684" s="350"/>
      <c r="EI684" s="214"/>
      <c r="EJ684" s="4"/>
      <c r="EK684" s="4"/>
      <c r="EL684" s="4"/>
      <c r="EM684" s="350"/>
      <c r="EN684" s="4"/>
      <c r="EO684" s="4"/>
      <c r="EP684" s="4"/>
      <c r="EQ684" s="4"/>
      <c r="ER684" s="350"/>
      <c r="ES684" s="4"/>
      <c r="ET684" s="4"/>
      <c r="EU684" s="4"/>
      <c r="EV684" s="4"/>
      <c r="EW684" s="350"/>
      <c r="EX684" s="4"/>
      <c r="EY684" s="4"/>
      <c r="EZ684" s="4"/>
      <c r="FA684" s="4"/>
      <c r="FB684" s="350"/>
      <c r="FC684" s="4"/>
      <c r="FD684" s="4"/>
      <c r="FE684" s="4"/>
      <c r="FF684" s="4"/>
      <c r="FG684" s="350"/>
      <c r="FH684" s="145"/>
      <c r="FI684" s="4"/>
      <c r="FJ684" s="4"/>
      <c r="FK684" s="45"/>
      <c r="FL684" s="4"/>
    </row>
    <row r="685" ht="12.75" hidden="1" customHeight="1" outlineLevel="2">
      <c r="A685" s="4"/>
      <c r="B685" s="578" t="s">
        <v>288</v>
      </c>
      <c r="C685" s="299"/>
      <c r="D685" s="585"/>
      <c r="E685" s="586"/>
      <c r="F685" s="586"/>
      <c r="G685" s="586"/>
      <c r="H685" s="585"/>
      <c r="I685" s="585"/>
      <c r="J685" s="586"/>
      <c r="K685" s="586"/>
      <c r="L685" s="586"/>
      <c r="M685" s="585"/>
      <c r="N685" s="585"/>
      <c r="O685" s="586"/>
      <c r="P685" s="586"/>
      <c r="Q685" s="586"/>
      <c r="R685" s="585"/>
      <c r="S685" s="585"/>
      <c r="T685" s="586"/>
      <c r="U685" s="586"/>
      <c r="V685" s="586"/>
      <c r="W685" s="585"/>
      <c r="X685" s="585"/>
      <c r="Y685" s="586"/>
      <c r="Z685" s="586"/>
      <c r="AA685" s="586"/>
      <c r="AB685" s="585"/>
      <c r="AC685" s="585"/>
      <c r="AD685" s="586"/>
      <c r="AE685" s="586"/>
      <c r="AF685" s="586"/>
      <c r="AG685" s="585"/>
      <c r="AH685" s="585"/>
      <c r="AI685" s="586"/>
      <c r="AJ685" s="586"/>
      <c r="AK685" s="586"/>
      <c r="AL685" s="585"/>
      <c r="AM685" s="585"/>
      <c r="AN685" s="586"/>
      <c r="AO685" s="586"/>
      <c r="AP685" s="586"/>
      <c r="AQ685" s="585"/>
      <c r="AR685" s="585"/>
      <c r="AS685" s="586"/>
      <c r="AT685" s="586"/>
      <c r="AU685" s="586"/>
      <c r="AV685" s="585"/>
      <c r="AW685" s="585"/>
      <c r="AX685" s="586"/>
      <c r="AY685" s="586"/>
      <c r="AZ685" s="586"/>
      <c r="BA685" s="585"/>
      <c r="BB685" s="585"/>
      <c r="BC685" s="586"/>
      <c r="BD685" s="586"/>
      <c r="BE685" s="586"/>
      <c r="BF685" s="585"/>
      <c r="BG685" s="585"/>
      <c r="BH685" s="586"/>
      <c r="BI685" s="586"/>
      <c r="BJ685" s="586"/>
      <c r="BK685" s="585"/>
      <c r="BL685" s="585"/>
      <c r="BM685" s="586"/>
      <c r="BN685" s="586"/>
      <c r="BO685" s="586"/>
      <c r="BP685" s="585"/>
      <c r="BQ685" s="585"/>
      <c r="BR685" s="586"/>
      <c r="BS685" s="586"/>
      <c r="BT685" s="586"/>
      <c r="BU685" s="585"/>
      <c r="BV685" s="585"/>
      <c r="BW685" s="586"/>
      <c r="BX685" s="586"/>
      <c r="BY685" s="586"/>
      <c r="BZ685" s="587"/>
      <c r="CA685" s="585"/>
      <c r="CB685" s="586"/>
      <c r="CC685" s="586"/>
      <c r="CD685" s="586"/>
      <c r="CE685" s="587"/>
      <c r="CF685" s="585"/>
      <c r="CG685" s="586"/>
      <c r="CH685" s="586"/>
      <c r="CI685" s="586"/>
      <c r="CJ685" s="587"/>
      <c r="CK685" s="585"/>
      <c r="CL685" s="586"/>
      <c r="CM685" s="586"/>
      <c r="CN685" s="588"/>
      <c r="CO685" s="587"/>
      <c r="CP685" s="588"/>
      <c r="CQ685" s="586"/>
      <c r="CR685" s="586"/>
      <c r="CS685" s="586"/>
      <c r="CT685" s="587"/>
      <c r="CU685" s="585"/>
      <c r="CV685" s="586"/>
      <c r="CW685" s="586"/>
      <c r="CX685" s="586"/>
      <c r="CY685" s="587"/>
      <c r="CZ685" s="585"/>
      <c r="DA685" s="586"/>
      <c r="DB685" s="586"/>
      <c r="DC685" s="586"/>
      <c r="DD685" s="587"/>
      <c r="DE685" s="585"/>
      <c r="DF685" s="586"/>
      <c r="DG685" s="474"/>
      <c r="DH685" s="586"/>
      <c r="DI685" s="587"/>
      <c r="DJ685" s="589"/>
      <c r="DK685" s="588"/>
      <c r="DL685" s="588"/>
      <c r="DM685" s="586"/>
      <c r="DN685" s="587"/>
      <c r="DO685" s="585"/>
      <c r="DP685" s="586"/>
      <c r="DQ685" s="586"/>
      <c r="DR685" s="586"/>
      <c r="DS685" s="587"/>
      <c r="DT685" s="585"/>
      <c r="DU685" s="585"/>
      <c r="DV685" s="585"/>
      <c r="DW685" s="585"/>
      <c r="DX685" s="587"/>
      <c r="DY685" s="585"/>
      <c r="DZ685" s="585"/>
      <c r="EA685" s="585"/>
      <c r="EB685" s="585"/>
      <c r="EC685" s="587"/>
      <c r="ED685" s="585"/>
      <c r="EE685" s="585"/>
      <c r="EF685" s="585"/>
      <c r="EG685" s="585"/>
      <c r="EH685" s="587"/>
      <c r="EI685" s="590"/>
      <c r="EJ685" s="586"/>
      <c r="EK685" s="586"/>
      <c r="EL685" s="586"/>
      <c r="EM685" s="587"/>
      <c r="EN685" s="585"/>
      <c r="EO685" s="586"/>
      <c r="EP685" s="586"/>
      <c r="EQ685" s="586"/>
      <c r="ER685" s="587"/>
      <c r="ES685" s="585"/>
      <c r="ET685" s="586"/>
      <c r="EU685" s="586"/>
      <c r="EV685" s="586"/>
      <c r="EW685" s="587"/>
      <c r="EX685" s="585"/>
      <c r="EY685" s="586"/>
      <c r="EZ685" s="586"/>
      <c r="FA685" s="586"/>
      <c r="FB685" s="587"/>
      <c r="FC685" s="585"/>
      <c r="FD685" s="586"/>
      <c r="FE685" s="586"/>
      <c r="FF685" s="586"/>
      <c r="FG685" s="587"/>
      <c r="FH685" s="589"/>
      <c r="FI685" s="586"/>
      <c r="FJ685" s="586"/>
      <c r="FK685" s="585"/>
      <c r="FL685" s="585"/>
    </row>
    <row r="686" ht="12.75" hidden="1" customHeight="1" outlineLevel="2">
      <c r="A686" s="4"/>
      <c r="B686" s="609" t="str">
        <f t="shared" ref="B686:B694" si="3228">B670</f>
        <v>Atom</v>
      </c>
      <c r="C686" s="621"/>
      <c r="D686" s="622"/>
      <c r="E686" s="622"/>
      <c r="F686" s="622"/>
      <c r="G686" s="622"/>
      <c r="H686" s="623"/>
      <c r="I686" s="622"/>
      <c r="J686" s="622"/>
      <c r="K686" s="622"/>
      <c r="L686" s="622"/>
      <c r="M686" s="623"/>
      <c r="N686" s="622"/>
      <c r="O686" s="622"/>
      <c r="P686" s="622"/>
      <c r="Q686" s="622"/>
      <c r="R686" s="623"/>
      <c r="S686" s="622"/>
      <c r="T686" s="622"/>
      <c r="U686" s="622"/>
      <c r="V686" s="622"/>
      <c r="W686" s="623"/>
      <c r="X686" s="622"/>
      <c r="Y686" s="622"/>
      <c r="Z686" s="622"/>
      <c r="AA686" s="622"/>
      <c r="AB686" s="623"/>
      <c r="AC686" s="622"/>
      <c r="AD686" s="622"/>
      <c r="AE686" s="622"/>
      <c r="AF686" s="622"/>
      <c r="AG686" s="623"/>
      <c r="AH686" s="622"/>
      <c r="AI686" s="622"/>
      <c r="AJ686" s="622"/>
      <c r="AK686" s="622"/>
      <c r="AL686" s="623"/>
      <c r="AM686" s="622"/>
      <c r="AN686" s="622"/>
      <c r="AO686" s="622"/>
      <c r="AP686" s="622"/>
      <c r="AQ686" s="623"/>
      <c r="AR686" s="622"/>
      <c r="AS686" s="622"/>
      <c r="AT686" s="622"/>
      <c r="AU686" s="622"/>
      <c r="AV686" s="623"/>
      <c r="AW686" s="622"/>
      <c r="AX686" s="622"/>
      <c r="AY686" s="622"/>
      <c r="AZ686" s="622"/>
      <c r="BA686" s="623"/>
      <c r="BB686" s="622"/>
      <c r="BC686" s="622"/>
      <c r="BD686" s="622"/>
      <c r="BE686" s="622"/>
      <c r="BF686" s="623"/>
      <c r="BG686" s="622"/>
      <c r="BH686" s="622"/>
      <c r="BI686" s="622"/>
      <c r="BJ686" s="622"/>
      <c r="BK686" s="623"/>
      <c r="BL686" s="622"/>
      <c r="BM686" s="622"/>
      <c r="BN686" s="622"/>
      <c r="BO686" s="622">
        <f>IF(AtomSales/Sales=0," ",AtomSales/Sales)</f>
        <v>0.03915373835</v>
      </c>
      <c r="BP686" s="623">
        <f>IF(AtomSales/Sales=0," ",AtomSales/Sales)</f>
        <v>0.01428932719</v>
      </c>
      <c r="BQ686" s="622">
        <f>IF(AtomSales/Sales=0," ",AtomSales/Sales)</f>
        <v>0.03065080476</v>
      </c>
      <c r="BR686" s="622">
        <f>IF(AtomSales/Sales=0," ",AtomSales/Sales)</f>
        <v>0.04511465603</v>
      </c>
      <c r="BS686" s="622">
        <f>IF(AtomSales/Sales=0," ",AtomSales/Sales)</f>
        <v>0.04420066035</v>
      </c>
      <c r="BT686" s="622">
        <f>IF(AtomSales/Sales=0," ",AtomSales/Sales)</f>
        <v>0.04144195288</v>
      </c>
      <c r="BU686" s="623">
        <f>IF(AtomSales/Sales=0," ",AtomSales/Sales)</f>
        <v>0.04082329832</v>
      </c>
      <c r="BV686" s="622">
        <f>IF(AtomSales/Sales=0," ",AtomSales/Sales)</f>
        <v>0.03446936596</v>
      </c>
      <c r="BW686" s="622">
        <f>IF(AtomSales/Sales=0," ",AtomSales/Sales)</f>
        <v>0.03836507199</v>
      </c>
      <c r="BX686" s="622">
        <f>IF(AtomSales/Sales=0," ",AtomSales/Sales)</f>
        <v>0.03566924878</v>
      </c>
      <c r="BY686" s="622">
        <f>IF(AtomSales/Sales=0," ",AtomSales/Sales)</f>
        <v>0.03412760758</v>
      </c>
      <c r="BZ686" s="392">
        <f>IF(AtomSales/Sales=0," ",AtomSales/Sales)</f>
        <v>0.03564633336</v>
      </c>
      <c r="CA686" s="622"/>
      <c r="CB686" s="622"/>
      <c r="CC686" s="622"/>
      <c r="CD686" s="622"/>
      <c r="CE686" s="392"/>
      <c r="CF686" s="622"/>
      <c r="CG686" s="622"/>
      <c r="CH686" s="622"/>
      <c r="CI686" s="622"/>
      <c r="CJ686" s="392"/>
      <c r="CK686" s="622"/>
      <c r="CL686" s="622"/>
      <c r="CM686" s="622"/>
      <c r="CN686" s="624"/>
      <c r="CO686" s="392"/>
      <c r="CP686" s="624"/>
      <c r="CQ686" s="622"/>
      <c r="CR686" s="622"/>
      <c r="CS686" s="622"/>
      <c r="CT686" s="392"/>
      <c r="CU686" s="622"/>
      <c r="CV686" s="622"/>
      <c r="CW686" s="622"/>
      <c r="CX686" s="622"/>
      <c r="CY686" s="392"/>
      <c r="CZ686" s="622"/>
      <c r="DA686" s="622"/>
      <c r="DB686" s="622"/>
      <c r="DC686" s="622"/>
      <c r="DD686" s="392"/>
      <c r="DE686" s="622"/>
      <c r="DF686" s="622"/>
      <c r="DG686" s="40"/>
      <c r="DH686" s="622"/>
      <c r="DI686" s="392"/>
      <c r="DJ686" s="624"/>
      <c r="DK686" s="624"/>
      <c r="DL686" s="624"/>
      <c r="DM686" s="622"/>
      <c r="DN686" s="392"/>
      <c r="DO686" s="622"/>
      <c r="DP686" s="622"/>
      <c r="DQ686" s="622"/>
      <c r="DR686" s="622"/>
      <c r="DS686" s="392"/>
      <c r="DT686" s="622"/>
      <c r="DU686" s="622"/>
      <c r="DV686" s="622"/>
      <c r="DW686" s="622"/>
      <c r="DX686" s="392"/>
      <c r="DY686" s="622"/>
      <c r="DZ686" s="622"/>
      <c r="EA686" s="622"/>
      <c r="EB686" s="622"/>
      <c r="EC686" s="392"/>
      <c r="ED686" s="622"/>
      <c r="EE686" s="622"/>
      <c r="EF686" s="622"/>
      <c r="EG686" s="622"/>
      <c r="EH686" s="392"/>
      <c r="EI686" s="625"/>
      <c r="EJ686" s="622"/>
      <c r="EK686" s="622"/>
      <c r="EL686" s="622"/>
      <c r="EM686" s="392"/>
      <c r="EN686" s="622"/>
      <c r="EO686" s="622"/>
      <c r="EP686" s="622"/>
      <c r="EQ686" s="622"/>
      <c r="ER686" s="392"/>
      <c r="ES686" s="622"/>
      <c r="ET686" s="622"/>
      <c r="EU686" s="622"/>
      <c r="EV686" s="622"/>
      <c r="EW686" s="392"/>
      <c r="EX686" s="622"/>
      <c r="EY686" s="622"/>
      <c r="EZ686" s="622"/>
      <c r="FA686" s="622"/>
      <c r="FB686" s="392"/>
      <c r="FC686" s="622"/>
      <c r="FD686" s="622"/>
      <c r="FE686" s="622"/>
      <c r="FF686" s="622"/>
      <c r="FG686" s="392"/>
      <c r="FH686" s="626"/>
      <c r="FI686" s="622"/>
      <c r="FJ686" s="622"/>
      <c r="FK686" s="623"/>
      <c r="FL686" s="622"/>
    </row>
    <row r="687" ht="12.75" hidden="1" customHeight="1" outlineLevel="2">
      <c r="A687" s="263"/>
      <c r="B687" s="72" t="str">
        <f t="shared" si="3228"/>
        <v>Processors</v>
      </c>
      <c r="C687" s="4"/>
      <c r="D687" s="15"/>
      <c r="E687" s="15"/>
      <c r="F687" s="15"/>
      <c r="G687" s="15"/>
      <c r="H687" s="410"/>
      <c r="I687" s="15"/>
      <c r="J687" s="15"/>
      <c r="K687" s="15"/>
      <c r="L687" s="15"/>
      <c r="M687" s="410"/>
      <c r="N687" s="15"/>
      <c r="O687" s="15"/>
      <c r="P687" s="15"/>
      <c r="Q687" s="15"/>
      <c r="R687" s="410"/>
      <c r="S687" s="15"/>
      <c r="T687" s="15"/>
      <c r="U687" s="15"/>
      <c r="V687" s="15"/>
      <c r="W687" s="410"/>
      <c r="X687" s="15"/>
      <c r="Y687" s="15"/>
      <c r="Z687" s="15"/>
      <c r="AA687" s="15"/>
      <c r="AB687" s="410"/>
      <c r="AC687" s="15"/>
      <c r="AD687" s="15"/>
      <c r="AE687" s="15"/>
      <c r="AF687" s="15"/>
      <c r="AG687" s="410"/>
      <c r="AH687" s="15"/>
      <c r="AI687" s="15"/>
      <c r="AJ687" s="15"/>
      <c r="AK687" s="15"/>
      <c r="AL687" s="410"/>
      <c r="AM687" s="15"/>
      <c r="AN687" s="15"/>
      <c r="AO687" s="15"/>
      <c r="AP687" s="15"/>
      <c r="AQ687" s="410"/>
      <c r="AR687" s="15"/>
      <c r="AS687" s="15"/>
      <c r="AT687" s="15"/>
      <c r="AU687" s="15"/>
      <c r="AV687" s="410"/>
      <c r="AW687" s="15"/>
      <c r="AX687" s="15"/>
      <c r="AY687" s="15"/>
      <c r="AZ687" s="15"/>
      <c r="BA687" s="410"/>
      <c r="BB687" s="15"/>
      <c r="BC687" s="15"/>
      <c r="BD687" s="15"/>
      <c r="BE687" s="15"/>
      <c r="BF687" s="410"/>
      <c r="BG687" s="15"/>
      <c r="BH687" s="15"/>
      <c r="BI687" s="15"/>
      <c r="BJ687" s="15"/>
      <c r="BK687" s="410"/>
      <c r="BL687" s="15"/>
      <c r="BM687" s="15"/>
      <c r="BN687" s="15"/>
      <c r="BO687" s="15">
        <f>PCClientMPUSales/Sales</f>
        <v>0</v>
      </c>
      <c r="BP687" s="410">
        <f>PCClientMPUSales/Sales</f>
        <v>0</v>
      </c>
      <c r="BQ687" s="15">
        <f>PCClientMPUSales/Sales</f>
        <v>0</v>
      </c>
      <c r="BR687" s="15">
        <f>PCClientMPUSales/Sales</f>
        <v>0</v>
      </c>
      <c r="BS687" s="15">
        <f>PCClientMPUSales/Sales</f>
        <v>0</v>
      </c>
      <c r="BT687" s="15">
        <f>PCClientMPUSales/Sales</f>
        <v>0</v>
      </c>
      <c r="BU687" s="410">
        <f>PCClientMPUSales/Sales</f>
        <v>0</v>
      </c>
      <c r="BV687" s="15">
        <f>PCClientMPUSales/Sales</f>
        <v>0</v>
      </c>
      <c r="BW687" s="15">
        <f>PCClientMPUSales/Sales</f>
        <v>0</v>
      </c>
      <c r="BX687" s="15">
        <f>PCClientMPUSales/Sales</f>
        <v>0</v>
      </c>
      <c r="BY687" s="15">
        <f>PCClientMPUSales/Sales</f>
        <v>0</v>
      </c>
      <c r="BZ687" s="24">
        <f>PCClientMPUSales/Sales</f>
        <v>0</v>
      </c>
      <c r="CA687" s="15"/>
      <c r="CB687" s="15"/>
      <c r="CC687" s="15"/>
      <c r="CD687" s="15"/>
      <c r="CE687" s="24"/>
      <c r="CF687" s="15"/>
      <c r="CG687" s="15"/>
      <c r="CH687" s="15"/>
      <c r="CI687" s="15"/>
      <c r="CJ687" s="24"/>
      <c r="CK687" s="15"/>
      <c r="CL687" s="15"/>
      <c r="CM687" s="15"/>
      <c r="CN687" s="40"/>
      <c r="CO687" s="24"/>
      <c r="CP687" s="40"/>
      <c r="CQ687" s="15"/>
      <c r="CR687" s="15"/>
      <c r="CS687" s="15"/>
      <c r="CT687" s="24"/>
      <c r="CU687" s="15"/>
      <c r="CV687" s="15"/>
      <c r="CW687" s="15"/>
      <c r="CX687" s="15"/>
      <c r="CY687" s="24"/>
      <c r="CZ687" s="15"/>
      <c r="DA687" s="15"/>
      <c r="DB687" s="15"/>
      <c r="DC687" s="15"/>
      <c r="DD687" s="24"/>
      <c r="DE687" s="15"/>
      <c r="DF687" s="15"/>
      <c r="DG687" s="40"/>
      <c r="DH687" s="15"/>
      <c r="DI687" s="24"/>
      <c r="DJ687" s="40"/>
      <c r="DK687" s="40"/>
      <c r="DL687" s="40"/>
      <c r="DM687" s="15"/>
      <c r="DN687" s="24"/>
      <c r="DO687" s="15"/>
      <c r="DP687" s="15"/>
      <c r="DQ687" s="15"/>
      <c r="DR687" s="15"/>
      <c r="DS687" s="24"/>
      <c r="DT687" s="15"/>
      <c r="DU687" s="15"/>
      <c r="DV687" s="15"/>
      <c r="DW687" s="15"/>
      <c r="DX687" s="24"/>
      <c r="DY687" s="15"/>
      <c r="DZ687" s="15"/>
      <c r="EA687" s="15"/>
      <c r="EB687" s="15"/>
      <c r="EC687" s="24"/>
      <c r="ED687" s="15"/>
      <c r="EE687" s="15"/>
      <c r="EF687" s="15"/>
      <c r="EG687" s="15"/>
      <c r="EH687" s="24"/>
      <c r="EI687" s="82"/>
      <c r="EJ687" s="15"/>
      <c r="EK687" s="15"/>
      <c r="EL687" s="15"/>
      <c r="EM687" s="24"/>
      <c r="EN687" s="15"/>
      <c r="EO687" s="15"/>
      <c r="EP687" s="15"/>
      <c r="EQ687" s="15"/>
      <c r="ER687" s="24"/>
      <c r="ES687" s="15"/>
      <c r="ET687" s="15"/>
      <c r="EU687" s="15"/>
      <c r="EV687" s="15"/>
      <c r="EW687" s="24"/>
      <c r="EX687" s="15"/>
      <c r="EY687" s="15"/>
      <c r="EZ687" s="15"/>
      <c r="FA687" s="15"/>
      <c r="FB687" s="24"/>
      <c r="FC687" s="15"/>
      <c r="FD687" s="15"/>
      <c r="FE687" s="15"/>
      <c r="FF687" s="15"/>
      <c r="FG687" s="24"/>
      <c r="FH687" s="104"/>
      <c r="FI687" s="15"/>
      <c r="FJ687" s="15"/>
      <c r="FK687" s="410"/>
      <c r="FL687" s="15"/>
    </row>
    <row r="688" ht="12.75" hidden="1" customHeight="1" outlineLevel="2">
      <c r="A688" s="4"/>
      <c r="B688" s="72" t="str">
        <f t="shared" si="3228"/>
        <v>Chipsets, MBs and other</v>
      </c>
      <c r="C688" s="4"/>
      <c r="D688" s="15"/>
      <c r="E688" s="15"/>
      <c r="F688" s="15"/>
      <c r="G688" s="15"/>
      <c r="H688" s="410"/>
      <c r="I688" s="15"/>
      <c r="J688" s="15"/>
      <c r="K688" s="15"/>
      <c r="L688" s="15"/>
      <c r="M688" s="410"/>
      <c r="N688" s="15"/>
      <c r="O688" s="15"/>
      <c r="P688" s="15"/>
      <c r="Q688" s="15"/>
      <c r="R688" s="410"/>
      <c r="S688" s="15"/>
      <c r="T688" s="15"/>
      <c r="U688" s="15"/>
      <c r="V688" s="15"/>
      <c r="W688" s="410"/>
      <c r="X688" s="15"/>
      <c r="Y688" s="15"/>
      <c r="Z688" s="15"/>
      <c r="AA688" s="15"/>
      <c r="AB688" s="410"/>
      <c r="AC688" s="15"/>
      <c r="AD688" s="15"/>
      <c r="AE688" s="15"/>
      <c r="AF688" s="15"/>
      <c r="AG688" s="410"/>
      <c r="AH688" s="15"/>
      <c r="AI688" s="15"/>
      <c r="AJ688" s="15"/>
      <c r="AK688" s="15"/>
      <c r="AL688" s="410"/>
      <c r="AM688" s="15"/>
      <c r="AN688" s="15"/>
      <c r="AO688" s="15"/>
      <c r="AP688" s="15"/>
      <c r="AQ688" s="410"/>
      <c r="AR688" s="15"/>
      <c r="AS688" s="15"/>
      <c r="AT688" s="15"/>
      <c r="AU688" s="15"/>
      <c r="AV688" s="410"/>
      <c r="AW688" s="15"/>
      <c r="AX688" s="15"/>
      <c r="AY688" s="15"/>
      <c r="AZ688" s="15"/>
      <c r="BA688" s="410"/>
      <c r="BB688" s="15"/>
      <c r="BC688" s="15"/>
      <c r="BD688" s="15"/>
      <c r="BE688" s="15"/>
      <c r="BF688" s="410"/>
      <c r="BG688" s="15"/>
      <c r="BH688" s="15"/>
      <c r="BI688" s="15"/>
      <c r="BJ688" s="15"/>
      <c r="BK688" s="410"/>
      <c r="BL688" s="15"/>
      <c r="BM688" s="15"/>
      <c r="BN688" s="15"/>
      <c r="BO688" s="15">
        <f>PCClientOtherSales/Sales</f>
        <v>0</v>
      </c>
      <c r="BP688" s="410">
        <f>PCClientOtherSales/Sales</f>
        <v>0</v>
      </c>
      <c r="BQ688" s="15">
        <f>PCClientOtherSales/Sales</f>
        <v>0</v>
      </c>
      <c r="BR688" s="15">
        <f>PCClientOtherSales/Sales</f>
        <v>0</v>
      </c>
      <c r="BS688" s="15">
        <f>PCClientOtherSales/Sales</f>
        <v>0</v>
      </c>
      <c r="BT688" s="15">
        <f>PCClientOtherSales/Sales</f>
        <v>0</v>
      </c>
      <c r="BU688" s="410">
        <f>PCClientOtherSales/Sales</f>
        <v>0</v>
      </c>
      <c r="BV688" s="15">
        <f>PCClientOtherSales/Sales</f>
        <v>0</v>
      </c>
      <c r="BW688" s="15">
        <f>PCClientOtherSales/Sales</f>
        <v>0</v>
      </c>
      <c r="BX688" s="15">
        <f>PCClientOtherSales/Sales</f>
        <v>0</v>
      </c>
      <c r="BY688" s="15">
        <f>PCClientOtherSales/Sales</f>
        <v>0</v>
      </c>
      <c r="BZ688" s="24">
        <f>PCClientOtherSales/Sales</f>
        <v>0</v>
      </c>
      <c r="CA688" s="15"/>
      <c r="CB688" s="15"/>
      <c r="CC688" s="15"/>
      <c r="CD688" s="15"/>
      <c r="CE688" s="24"/>
      <c r="CF688" s="15"/>
      <c r="CG688" s="15"/>
      <c r="CH688" s="15"/>
      <c r="CI688" s="15"/>
      <c r="CJ688" s="24"/>
      <c r="CK688" s="15"/>
      <c r="CL688" s="15"/>
      <c r="CM688" s="15"/>
      <c r="CN688" s="40"/>
      <c r="CO688" s="24"/>
      <c r="CP688" s="40"/>
      <c r="CQ688" s="15"/>
      <c r="CR688" s="15"/>
      <c r="CS688" s="15"/>
      <c r="CT688" s="24"/>
      <c r="CU688" s="15"/>
      <c r="CV688" s="15"/>
      <c r="CW688" s="15"/>
      <c r="CX688" s="15"/>
      <c r="CY688" s="24"/>
      <c r="CZ688" s="15"/>
      <c r="DA688" s="15"/>
      <c r="DB688" s="15"/>
      <c r="DC688" s="15"/>
      <c r="DD688" s="24"/>
      <c r="DE688" s="15"/>
      <c r="DF688" s="15"/>
      <c r="DG688" s="40"/>
      <c r="DH688" s="15"/>
      <c r="DI688" s="24"/>
      <c r="DJ688" s="40"/>
      <c r="DK688" s="40"/>
      <c r="DL688" s="40"/>
      <c r="DM688" s="15"/>
      <c r="DN688" s="24"/>
      <c r="DO688" s="15"/>
      <c r="DP688" s="15"/>
      <c r="DQ688" s="15"/>
      <c r="DR688" s="15"/>
      <c r="DS688" s="24"/>
      <c r="DT688" s="15"/>
      <c r="DU688" s="15"/>
      <c r="DV688" s="15"/>
      <c r="DW688" s="15"/>
      <c r="DX688" s="24"/>
      <c r="DY688" s="15"/>
      <c r="DZ688" s="15"/>
      <c r="EA688" s="15"/>
      <c r="EB688" s="15"/>
      <c r="EC688" s="24"/>
      <c r="ED688" s="15"/>
      <c r="EE688" s="15"/>
      <c r="EF688" s="15"/>
      <c r="EG688" s="15"/>
      <c r="EH688" s="24"/>
      <c r="EI688" s="82"/>
      <c r="EJ688" s="15"/>
      <c r="EK688" s="15"/>
      <c r="EL688" s="15"/>
      <c r="EM688" s="24"/>
      <c r="EN688" s="15"/>
      <c r="EO688" s="15"/>
      <c r="EP688" s="15"/>
      <c r="EQ688" s="15"/>
      <c r="ER688" s="24"/>
      <c r="ES688" s="15"/>
      <c r="ET688" s="15"/>
      <c r="EU688" s="15"/>
      <c r="EV688" s="15"/>
      <c r="EW688" s="24"/>
      <c r="EX688" s="15"/>
      <c r="EY688" s="15"/>
      <c r="EZ688" s="15"/>
      <c r="FA688" s="15"/>
      <c r="FB688" s="24"/>
      <c r="FC688" s="15"/>
      <c r="FD688" s="15"/>
      <c r="FE688" s="15"/>
      <c r="FF688" s="15"/>
      <c r="FG688" s="24"/>
      <c r="FH688" s="104"/>
      <c r="FI688" s="15"/>
      <c r="FJ688" s="15"/>
      <c r="FK688" s="410"/>
      <c r="FL688" s="15"/>
    </row>
    <row r="689" ht="12.75" hidden="1" customHeight="1" outlineLevel="2">
      <c r="A689" s="45"/>
      <c r="B689" s="215" t="str">
        <f t="shared" si="3228"/>
        <v>PC Client Group</v>
      </c>
      <c r="C689" s="45"/>
      <c r="D689" s="410"/>
      <c r="E689" s="410"/>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410"/>
      <c r="AK689" s="410"/>
      <c r="AL689" s="410"/>
      <c r="AM689" s="410"/>
      <c r="AN689" s="410"/>
      <c r="AO689" s="410"/>
      <c r="AP689" s="410"/>
      <c r="AQ689" s="410"/>
      <c r="AR689" s="410"/>
      <c r="AS689" s="410"/>
      <c r="AT689" s="410"/>
      <c r="AU689" s="410"/>
      <c r="AV689" s="410"/>
      <c r="AW689" s="410"/>
      <c r="AX689" s="410"/>
      <c r="AY689" s="410"/>
      <c r="AZ689" s="410"/>
      <c r="BA689" s="410"/>
      <c r="BB689" s="410"/>
      <c r="BC689" s="410"/>
      <c r="BD689" s="410"/>
      <c r="BE689" s="410"/>
      <c r="BF689" s="410"/>
      <c r="BG689" s="410"/>
      <c r="BH689" s="410"/>
      <c r="BI689" s="410"/>
      <c r="BJ689" s="410"/>
      <c r="BK689" s="410"/>
      <c r="BL689" s="410"/>
      <c r="BM689" s="410"/>
      <c r="BN689" s="410"/>
      <c r="BO689" s="410" t="str">
        <f>PCClientSales/Sales</f>
        <v>#NAME?</v>
      </c>
      <c r="BP689" s="410" t="str">
        <f>PCClientSales/Sales</f>
        <v>#NAME?</v>
      </c>
      <c r="BQ689" s="410" t="str">
        <f>PCClientSales/Sales</f>
        <v>#NAME?</v>
      </c>
      <c r="BR689" s="410" t="str">
        <f>PCClientSales/Sales</f>
        <v>#NAME?</v>
      </c>
      <c r="BS689" s="410" t="str">
        <f>PCClientSales/Sales</f>
        <v>#NAME?</v>
      </c>
      <c r="BT689" s="410" t="str">
        <f>PCClientSales/Sales</f>
        <v>#NAME?</v>
      </c>
      <c r="BU689" s="410" t="str">
        <f>PCClientSales/Sales</f>
        <v>#NAME?</v>
      </c>
      <c r="BV689" s="410" t="str">
        <f>PCClientSales/Sales</f>
        <v>#NAME?</v>
      </c>
      <c r="BW689" s="410" t="str">
        <f>PCClientSales/Sales</f>
        <v>#NAME?</v>
      </c>
      <c r="BX689" s="410" t="str">
        <f>PCClientSales/Sales</f>
        <v>#NAME?</v>
      </c>
      <c r="BY689" s="410" t="str">
        <f>PCClientSales/Sales</f>
        <v>#NAME?</v>
      </c>
      <c r="BZ689" s="24" t="str">
        <f>PCClientSales/Sales</f>
        <v>#NAME?</v>
      </c>
      <c r="CA689" s="410"/>
      <c r="CB689" s="410"/>
      <c r="CC689" s="410"/>
      <c r="CD689" s="410"/>
      <c r="CE689" s="24"/>
      <c r="CF689" s="410"/>
      <c r="CG689" s="410"/>
      <c r="CH689" s="410"/>
      <c r="CI689" s="410"/>
      <c r="CJ689" s="24"/>
      <c r="CK689" s="410"/>
      <c r="CL689" s="410"/>
      <c r="CM689" s="410"/>
      <c r="CN689" s="104"/>
      <c r="CO689" s="24"/>
      <c r="CP689" s="104"/>
      <c r="CQ689" s="410"/>
      <c r="CR689" s="410"/>
      <c r="CS689" s="410"/>
      <c r="CT689" s="24"/>
      <c r="CU689" s="410"/>
      <c r="CV689" s="410"/>
      <c r="CW689" s="410"/>
      <c r="CX689" s="410"/>
      <c r="CY689" s="24"/>
      <c r="CZ689" s="410"/>
      <c r="DA689" s="410"/>
      <c r="DB689" s="410"/>
      <c r="DC689" s="410"/>
      <c r="DD689" s="24"/>
      <c r="DE689" s="410"/>
      <c r="DF689" s="410"/>
      <c r="DG689" s="104"/>
      <c r="DH689" s="410"/>
      <c r="DI689" s="24"/>
      <c r="DJ689" s="104"/>
      <c r="DK689" s="104"/>
      <c r="DL689" s="104"/>
      <c r="DM689" s="410"/>
      <c r="DN689" s="24"/>
      <c r="DO689" s="410"/>
      <c r="DP689" s="410"/>
      <c r="DQ689" s="410"/>
      <c r="DR689" s="410"/>
      <c r="DS689" s="24"/>
      <c r="DT689" s="410"/>
      <c r="DU689" s="410"/>
      <c r="DV689" s="410"/>
      <c r="DW689" s="410"/>
      <c r="DX689" s="24"/>
      <c r="DY689" s="410"/>
      <c r="DZ689" s="410"/>
      <c r="EA689" s="410"/>
      <c r="EB689" s="410"/>
      <c r="EC689" s="24"/>
      <c r="ED689" s="410"/>
      <c r="EE689" s="410"/>
      <c r="EF689" s="410"/>
      <c r="EG689" s="410"/>
      <c r="EH689" s="24"/>
      <c r="EI689" s="317"/>
      <c r="EJ689" s="410"/>
      <c r="EK689" s="410"/>
      <c r="EL689" s="410"/>
      <c r="EM689" s="24"/>
      <c r="EN689" s="410"/>
      <c r="EO689" s="410"/>
      <c r="EP689" s="410"/>
      <c r="EQ689" s="410"/>
      <c r="ER689" s="24"/>
      <c r="ES689" s="410"/>
      <c r="ET689" s="410"/>
      <c r="EU689" s="410"/>
      <c r="EV689" s="410"/>
      <c r="EW689" s="24"/>
      <c r="EX689" s="410"/>
      <c r="EY689" s="410"/>
      <c r="EZ689" s="410"/>
      <c r="FA689" s="410"/>
      <c r="FB689" s="24"/>
      <c r="FC689" s="410"/>
      <c r="FD689" s="410"/>
      <c r="FE689" s="410"/>
      <c r="FF689" s="410"/>
      <c r="FG689" s="24"/>
      <c r="FH689" s="104"/>
      <c r="FI689" s="410"/>
      <c r="FJ689" s="410"/>
      <c r="FK689" s="410"/>
      <c r="FL689" s="410"/>
    </row>
    <row r="690" ht="12.75" hidden="1" customHeight="1" outlineLevel="2">
      <c r="A690" s="263"/>
      <c r="B690" s="72" t="str">
        <f t="shared" si="3228"/>
        <v>Processors</v>
      </c>
      <c r="C690" s="4"/>
      <c r="D690" s="15"/>
      <c r="E690" s="15"/>
      <c r="F690" s="15"/>
      <c r="G690" s="15"/>
      <c r="H690" s="410"/>
      <c r="I690" s="15"/>
      <c r="J690" s="15"/>
      <c r="K690" s="15"/>
      <c r="L690" s="15"/>
      <c r="M690" s="410"/>
      <c r="N690" s="15"/>
      <c r="O690" s="15"/>
      <c r="P690" s="15"/>
      <c r="Q690" s="15"/>
      <c r="R690" s="410"/>
      <c r="S690" s="15"/>
      <c r="T690" s="15"/>
      <c r="U690" s="15"/>
      <c r="V690" s="15"/>
      <c r="W690" s="410"/>
      <c r="X690" s="15"/>
      <c r="Y690" s="15"/>
      <c r="Z690" s="15"/>
      <c r="AA690" s="15"/>
      <c r="AB690" s="410"/>
      <c r="AC690" s="15"/>
      <c r="AD690" s="15"/>
      <c r="AE690" s="15"/>
      <c r="AF690" s="15"/>
      <c r="AG690" s="410"/>
      <c r="AH690" s="15"/>
      <c r="AI690" s="15"/>
      <c r="AJ690" s="15"/>
      <c r="AK690" s="15"/>
      <c r="AL690" s="410"/>
      <c r="AM690" s="15"/>
      <c r="AN690" s="15"/>
      <c r="AO690" s="15"/>
      <c r="AP690" s="15"/>
      <c r="AQ690" s="410"/>
      <c r="AR690" s="15"/>
      <c r="AS690" s="15"/>
      <c r="AT690" s="15"/>
      <c r="AU690" s="15"/>
      <c r="AV690" s="410"/>
      <c r="AW690" s="15"/>
      <c r="AX690" s="15"/>
      <c r="AY690" s="15"/>
      <c r="AZ690" s="15"/>
      <c r="BA690" s="410"/>
      <c r="BB690" s="15"/>
      <c r="BC690" s="15"/>
      <c r="BD690" s="15"/>
      <c r="BE690" s="15"/>
      <c r="BF690" s="410"/>
      <c r="BG690" s="15"/>
      <c r="BH690" s="15"/>
      <c r="BI690" s="15"/>
      <c r="BJ690" s="15"/>
      <c r="BK690" s="410"/>
      <c r="BL690" s="15"/>
      <c r="BM690" s="15"/>
      <c r="BN690" s="15"/>
      <c r="BO690" s="15">
        <f>DataCenterMPUSales/Sales</f>
        <v>0</v>
      </c>
      <c r="BP690" s="410">
        <f>DataCenterMPUSales/Sales</f>
        <v>0</v>
      </c>
      <c r="BQ690" s="15">
        <f>DataCenterMPUSales/Sales</f>
        <v>0</v>
      </c>
      <c r="BR690" s="15">
        <f>DataCenterMPUSales/Sales</f>
        <v>0</v>
      </c>
      <c r="BS690" s="15">
        <f>DataCenterMPUSales/Sales</f>
        <v>0</v>
      </c>
      <c r="BT690" s="15">
        <f>DataCenterMPUSales/Sales</f>
        <v>0</v>
      </c>
      <c r="BU690" s="410">
        <f>DataCenterMPUSales/Sales</f>
        <v>0</v>
      </c>
      <c r="BV690" s="15">
        <f>DataCenterMPUSales/Sales</f>
        <v>0</v>
      </c>
      <c r="BW690" s="15">
        <f>DataCenterMPUSales/Sales</f>
        <v>0</v>
      </c>
      <c r="BX690" s="15">
        <f>DataCenterMPUSales/Sales</f>
        <v>0</v>
      </c>
      <c r="BY690" s="15">
        <f>DataCenterMPUSales/Sales</f>
        <v>0</v>
      </c>
      <c r="BZ690" s="24">
        <f>DataCenterMPUSales/Sales</f>
        <v>0</v>
      </c>
      <c r="CA690" s="15"/>
      <c r="CB690" s="15"/>
      <c r="CC690" s="15"/>
      <c r="CD690" s="15"/>
      <c r="CE690" s="24"/>
      <c r="CF690" s="15"/>
      <c r="CG690" s="15"/>
      <c r="CH690" s="15"/>
      <c r="CI690" s="15"/>
      <c r="CJ690" s="24"/>
      <c r="CK690" s="15"/>
      <c r="CL690" s="15"/>
      <c r="CM690" s="15"/>
      <c r="CN690" s="40"/>
      <c r="CO690" s="24"/>
      <c r="CP690" s="40"/>
      <c r="CQ690" s="15"/>
      <c r="CR690" s="15"/>
      <c r="CS690" s="15"/>
      <c r="CT690" s="24"/>
      <c r="CU690" s="15"/>
      <c r="CV690" s="15"/>
      <c r="CW690" s="15"/>
      <c r="CX690" s="15"/>
      <c r="CY690" s="24"/>
      <c r="CZ690" s="15"/>
      <c r="DA690" s="15"/>
      <c r="DB690" s="15"/>
      <c r="DC690" s="15"/>
      <c r="DD690" s="24"/>
      <c r="DE690" s="15"/>
      <c r="DF690" s="15"/>
      <c r="DG690" s="40"/>
      <c r="DH690" s="15"/>
      <c r="DI690" s="24"/>
      <c r="DJ690" s="40"/>
      <c r="DK690" s="40"/>
      <c r="DL690" s="40"/>
      <c r="DM690" s="15"/>
      <c r="DN690" s="24"/>
      <c r="DO690" s="15"/>
      <c r="DP690" s="15"/>
      <c r="DQ690" s="15"/>
      <c r="DR690" s="15"/>
      <c r="DS690" s="24"/>
      <c r="DT690" s="15"/>
      <c r="DU690" s="15"/>
      <c r="DV690" s="15"/>
      <c r="DW690" s="15"/>
      <c r="DX690" s="24"/>
      <c r="DY690" s="15"/>
      <c r="DZ690" s="15"/>
      <c r="EA690" s="15"/>
      <c r="EB690" s="15"/>
      <c r="EC690" s="24"/>
      <c r="ED690" s="15"/>
      <c r="EE690" s="15"/>
      <c r="EF690" s="15"/>
      <c r="EG690" s="15"/>
      <c r="EH690" s="24"/>
      <c r="EI690" s="82"/>
      <c r="EJ690" s="15"/>
      <c r="EK690" s="15"/>
      <c r="EL690" s="15"/>
      <c r="EM690" s="24"/>
      <c r="EN690" s="15"/>
      <c r="EO690" s="15"/>
      <c r="EP690" s="15"/>
      <c r="EQ690" s="15"/>
      <c r="ER690" s="24"/>
      <c r="ES690" s="15"/>
      <c r="ET690" s="15"/>
      <c r="EU690" s="15"/>
      <c r="EV690" s="15"/>
      <c r="EW690" s="24"/>
      <c r="EX690" s="15"/>
      <c r="EY690" s="15"/>
      <c r="EZ690" s="15"/>
      <c r="FA690" s="15"/>
      <c r="FB690" s="24"/>
      <c r="FC690" s="15"/>
      <c r="FD690" s="15"/>
      <c r="FE690" s="15"/>
      <c r="FF690" s="15"/>
      <c r="FG690" s="24"/>
      <c r="FH690" s="104"/>
      <c r="FI690" s="15"/>
      <c r="FJ690" s="15"/>
      <c r="FK690" s="410"/>
      <c r="FL690" s="15"/>
    </row>
    <row r="691" ht="12.75" hidden="1" customHeight="1" outlineLevel="2">
      <c r="A691" s="4"/>
      <c r="B691" s="72" t="str">
        <f t="shared" si="3228"/>
        <v>Chipsets, MBs and other</v>
      </c>
      <c r="C691" s="4"/>
      <c r="D691" s="15"/>
      <c r="E691" s="15"/>
      <c r="F691" s="15"/>
      <c r="G691" s="15"/>
      <c r="H691" s="410"/>
      <c r="I691" s="15"/>
      <c r="J691" s="15"/>
      <c r="K691" s="15"/>
      <c r="L691" s="15"/>
      <c r="M691" s="410"/>
      <c r="N691" s="15"/>
      <c r="O691" s="15"/>
      <c r="P691" s="15"/>
      <c r="Q691" s="15"/>
      <c r="R691" s="410"/>
      <c r="S691" s="15"/>
      <c r="T691" s="15"/>
      <c r="U691" s="15"/>
      <c r="V691" s="15"/>
      <c r="W691" s="410"/>
      <c r="X691" s="15"/>
      <c r="Y691" s="15"/>
      <c r="Z691" s="15"/>
      <c r="AA691" s="15"/>
      <c r="AB691" s="410"/>
      <c r="AC691" s="15"/>
      <c r="AD691" s="15"/>
      <c r="AE691" s="15"/>
      <c r="AF691" s="15"/>
      <c r="AG691" s="410"/>
      <c r="AH691" s="15"/>
      <c r="AI691" s="15"/>
      <c r="AJ691" s="15"/>
      <c r="AK691" s="15"/>
      <c r="AL691" s="410"/>
      <c r="AM691" s="15"/>
      <c r="AN691" s="15"/>
      <c r="AO691" s="15"/>
      <c r="AP691" s="15"/>
      <c r="AQ691" s="410"/>
      <c r="AR691" s="15"/>
      <c r="AS691" s="15"/>
      <c r="AT691" s="15"/>
      <c r="AU691" s="15"/>
      <c r="AV691" s="410"/>
      <c r="AW691" s="15"/>
      <c r="AX691" s="15"/>
      <c r="AY691" s="15"/>
      <c r="AZ691" s="15"/>
      <c r="BA691" s="410"/>
      <c r="BB691" s="15"/>
      <c r="BC691" s="15"/>
      <c r="BD691" s="15"/>
      <c r="BE691" s="15"/>
      <c r="BF691" s="410"/>
      <c r="BG691" s="15"/>
      <c r="BH691" s="15"/>
      <c r="BI691" s="15"/>
      <c r="BJ691" s="15"/>
      <c r="BK691" s="410"/>
      <c r="BL691" s="15"/>
      <c r="BM691" s="15"/>
      <c r="BN691" s="15"/>
      <c r="BO691" s="15">
        <f>DataCenterOtherSales/Sales</f>
        <v>0</v>
      </c>
      <c r="BP691" s="410">
        <f>DataCenterOtherSales/Sales</f>
        <v>0</v>
      </c>
      <c r="BQ691" s="15">
        <f>DataCenterOtherSales/Sales</f>
        <v>0</v>
      </c>
      <c r="BR691" s="15">
        <f>DataCenterOtherSales/Sales</f>
        <v>0</v>
      </c>
      <c r="BS691" s="15">
        <f>DataCenterOtherSales/Sales</f>
        <v>0</v>
      </c>
      <c r="BT691" s="15">
        <f>DataCenterOtherSales/Sales</f>
        <v>0</v>
      </c>
      <c r="BU691" s="410">
        <f>DataCenterOtherSales/Sales</f>
        <v>0</v>
      </c>
      <c r="BV691" s="15">
        <f>DataCenterOtherSales/Sales</f>
        <v>0</v>
      </c>
      <c r="BW691" s="15">
        <f>DataCenterOtherSales/Sales</f>
        <v>0</v>
      </c>
      <c r="BX691" s="15">
        <f>DataCenterOtherSales/Sales</f>
        <v>0</v>
      </c>
      <c r="BY691" s="15">
        <f>DataCenterOtherSales/Sales</f>
        <v>0</v>
      </c>
      <c r="BZ691" s="24">
        <f>DataCenterOtherSales/Sales</f>
        <v>0</v>
      </c>
      <c r="CA691" s="15"/>
      <c r="CB691" s="15"/>
      <c r="CC691" s="15"/>
      <c r="CD691" s="15"/>
      <c r="CE691" s="24"/>
      <c r="CF691" s="15"/>
      <c r="CG691" s="15"/>
      <c r="CH691" s="15"/>
      <c r="CI691" s="15"/>
      <c r="CJ691" s="24"/>
      <c r="CK691" s="15"/>
      <c r="CL691" s="15"/>
      <c r="CM691" s="15"/>
      <c r="CN691" s="40"/>
      <c r="CO691" s="24"/>
      <c r="CP691" s="40"/>
      <c r="CQ691" s="15"/>
      <c r="CR691" s="15"/>
      <c r="CS691" s="15"/>
      <c r="CT691" s="24"/>
      <c r="CU691" s="15"/>
      <c r="CV691" s="15"/>
      <c r="CW691" s="15"/>
      <c r="CX691" s="15"/>
      <c r="CY691" s="24"/>
      <c r="CZ691" s="15"/>
      <c r="DA691" s="15"/>
      <c r="DB691" s="15"/>
      <c r="DC691" s="15"/>
      <c r="DD691" s="24"/>
      <c r="DE691" s="15"/>
      <c r="DF691" s="15"/>
      <c r="DG691" s="40"/>
      <c r="DH691" s="15"/>
      <c r="DI691" s="24"/>
      <c r="DJ691" s="40"/>
      <c r="DK691" s="40"/>
      <c r="DL691" s="40"/>
      <c r="DM691" s="15"/>
      <c r="DN691" s="24"/>
      <c r="DO691" s="15"/>
      <c r="DP691" s="15"/>
      <c r="DQ691" s="15"/>
      <c r="DR691" s="15"/>
      <c r="DS691" s="24"/>
      <c r="DT691" s="15"/>
      <c r="DU691" s="15"/>
      <c r="DV691" s="15"/>
      <c r="DW691" s="15"/>
      <c r="DX691" s="24"/>
      <c r="DY691" s="15"/>
      <c r="DZ691" s="15"/>
      <c r="EA691" s="15"/>
      <c r="EB691" s="15"/>
      <c r="EC691" s="24"/>
      <c r="ED691" s="15"/>
      <c r="EE691" s="15"/>
      <c r="EF691" s="15"/>
      <c r="EG691" s="15"/>
      <c r="EH691" s="24"/>
      <c r="EI691" s="82"/>
      <c r="EJ691" s="15"/>
      <c r="EK691" s="15"/>
      <c r="EL691" s="15"/>
      <c r="EM691" s="24"/>
      <c r="EN691" s="15"/>
      <c r="EO691" s="15"/>
      <c r="EP691" s="15"/>
      <c r="EQ691" s="15"/>
      <c r="ER691" s="24"/>
      <c r="ES691" s="15"/>
      <c r="ET691" s="15"/>
      <c r="EU691" s="15"/>
      <c r="EV691" s="15"/>
      <c r="EW691" s="24"/>
      <c r="EX691" s="15"/>
      <c r="EY691" s="15"/>
      <c r="EZ691" s="15"/>
      <c r="FA691" s="15"/>
      <c r="FB691" s="24"/>
      <c r="FC691" s="15"/>
      <c r="FD691" s="15"/>
      <c r="FE691" s="15"/>
      <c r="FF691" s="15"/>
      <c r="FG691" s="24"/>
      <c r="FH691" s="104"/>
      <c r="FI691" s="15"/>
      <c r="FJ691" s="15"/>
      <c r="FK691" s="410"/>
      <c r="FL691" s="15"/>
    </row>
    <row r="692" ht="12.75" hidden="1" customHeight="1" outlineLevel="2">
      <c r="A692" s="45"/>
      <c r="B692" s="215" t="str">
        <f t="shared" si="3228"/>
        <v>Data Center Group</v>
      </c>
      <c r="C692" s="45"/>
      <c r="D692" s="410"/>
      <c r="E692" s="410"/>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410"/>
      <c r="AK692" s="410"/>
      <c r="AL692" s="410"/>
      <c r="AM692" s="410"/>
      <c r="AN692" s="410"/>
      <c r="AO692" s="410"/>
      <c r="AP692" s="410"/>
      <c r="AQ692" s="410"/>
      <c r="AR692" s="410"/>
      <c r="AS692" s="410"/>
      <c r="AT692" s="410"/>
      <c r="AU692" s="410"/>
      <c r="AV692" s="410"/>
      <c r="AW692" s="410"/>
      <c r="AX692" s="410"/>
      <c r="AY692" s="410"/>
      <c r="AZ692" s="410"/>
      <c r="BA692" s="410"/>
      <c r="BB692" s="410"/>
      <c r="BC692" s="410"/>
      <c r="BD692" s="410"/>
      <c r="BE692" s="410"/>
      <c r="BF692" s="410"/>
      <c r="BG692" s="410"/>
      <c r="BH692" s="410"/>
      <c r="BI692" s="410"/>
      <c r="BJ692" s="410"/>
      <c r="BK692" s="410"/>
      <c r="BL692" s="410"/>
      <c r="BM692" s="410"/>
      <c r="BN692" s="410"/>
      <c r="BO692" s="410">
        <f>DataCenterSales/Sales</f>
        <v>0</v>
      </c>
      <c r="BP692" s="410">
        <f>DataCenterSales/Sales</f>
        <v>0</v>
      </c>
      <c r="BQ692" s="410">
        <f>DataCenterSales/Sales</f>
        <v>0</v>
      </c>
      <c r="BR692" s="410">
        <f>DataCenterSales/Sales</f>
        <v>0</v>
      </c>
      <c r="BS692" s="410">
        <f>DataCenterSales/Sales</f>
        <v>0</v>
      </c>
      <c r="BT692" s="410">
        <f>DataCenterSales/Sales</f>
        <v>0</v>
      </c>
      <c r="BU692" s="410">
        <f>DataCenterSales/Sales</f>
        <v>0</v>
      </c>
      <c r="BV692" s="410">
        <f>DataCenterSales/Sales</f>
        <v>0</v>
      </c>
      <c r="BW692" s="410">
        <f>DataCenterSales/Sales</f>
        <v>0</v>
      </c>
      <c r="BX692" s="410">
        <f>DataCenterSales/Sales</f>
        <v>0</v>
      </c>
      <c r="BY692" s="410">
        <f>DataCenterSales/Sales</f>
        <v>0</v>
      </c>
      <c r="BZ692" s="24">
        <f>DataCenterSales/Sales</f>
        <v>0</v>
      </c>
      <c r="CA692" s="410"/>
      <c r="CB692" s="410"/>
      <c r="CC692" s="410"/>
      <c r="CD692" s="410"/>
      <c r="CE692" s="24"/>
      <c r="CF692" s="410"/>
      <c r="CG692" s="410"/>
      <c r="CH692" s="410"/>
      <c r="CI692" s="410"/>
      <c r="CJ692" s="24"/>
      <c r="CK692" s="410"/>
      <c r="CL692" s="410"/>
      <c r="CM692" s="410"/>
      <c r="CN692" s="104"/>
      <c r="CO692" s="24"/>
      <c r="CP692" s="104"/>
      <c r="CQ692" s="410"/>
      <c r="CR692" s="410"/>
      <c r="CS692" s="410"/>
      <c r="CT692" s="24"/>
      <c r="CU692" s="410"/>
      <c r="CV692" s="410"/>
      <c r="CW692" s="410"/>
      <c r="CX692" s="410"/>
      <c r="CY692" s="24"/>
      <c r="CZ692" s="410"/>
      <c r="DA692" s="410"/>
      <c r="DB692" s="410"/>
      <c r="DC692" s="410"/>
      <c r="DD692" s="24"/>
      <c r="DE692" s="410"/>
      <c r="DF692" s="410"/>
      <c r="DG692" s="104"/>
      <c r="DH692" s="410"/>
      <c r="DI692" s="24"/>
      <c r="DJ692" s="104"/>
      <c r="DK692" s="104"/>
      <c r="DL692" s="104"/>
      <c r="DM692" s="410"/>
      <c r="DN692" s="24"/>
      <c r="DO692" s="410"/>
      <c r="DP692" s="410"/>
      <c r="DQ692" s="410"/>
      <c r="DR692" s="410"/>
      <c r="DS692" s="24"/>
      <c r="DT692" s="410"/>
      <c r="DU692" s="410"/>
      <c r="DV692" s="410"/>
      <c r="DW692" s="410"/>
      <c r="DX692" s="24"/>
      <c r="DY692" s="410"/>
      <c r="DZ692" s="410"/>
      <c r="EA692" s="410"/>
      <c r="EB692" s="410"/>
      <c r="EC692" s="24"/>
      <c r="ED692" s="410"/>
      <c r="EE692" s="410"/>
      <c r="EF692" s="410"/>
      <c r="EG692" s="410"/>
      <c r="EH692" s="24"/>
      <c r="EI692" s="317"/>
      <c r="EJ692" s="410"/>
      <c r="EK692" s="410"/>
      <c r="EL692" s="410"/>
      <c r="EM692" s="24"/>
      <c r="EN692" s="410"/>
      <c r="EO692" s="410"/>
      <c r="EP692" s="410"/>
      <c r="EQ692" s="410"/>
      <c r="ER692" s="24"/>
      <c r="ES692" s="410"/>
      <c r="ET692" s="410"/>
      <c r="EU692" s="410"/>
      <c r="EV692" s="410"/>
      <c r="EW692" s="24"/>
      <c r="EX692" s="410"/>
      <c r="EY692" s="410"/>
      <c r="EZ692" s="410"/>
      <c r="FA692" s="410"/>
      <c r="FB692" s="24"/>
      <c r="FC692" s="410"/>
      <c r="FD692" s="410"/>
      <c r="FE692" s="410"/>
      <c r="FF692" s="410"/>
      <c r="FG692" s="24"/>
      <c r="FH692" s="104"/>
      <c r="FI692" s="410"/>
      <c r="FJ692" s="410"/>
      <c r="FK692" s="410"/>
      <c r="FL692" s="410"/>
    </row>
    <row r="693" ht="12.75" hidden="1" customHeight="1" outlineLevel="2">
      <c r="A693" s="45"/>
      <c r="B693" s="215" t="str">
        <f t="shared" si="3228"/>
        <v>Other IAG</v>
      </c>
      <c r="C693" s="45"/>
      <c r="D693" s="15"/>
      <c r="E693" s="15"/>
      <c r="F693" s="15"/>
      <c r="G693" s="15"/>
      <c r="H693" s="410"/>
      <c r="I693" s="15"/>
      <c r="J693" s="15"/>
      <c r="K693" s="15"/>
      <c r="L693" s="15"/>
      <c r="M693" s="410"/>
      <c r="N693" s="15"/>
      <c r="O693" s="15"/>
      <c r="P693" s="15"/>
      <c r="Q693" s="15"/>
      <c r="R693" s="410"/>
      <c r="S693" s="15"/>
      <c r="T693" s="15"/>
      <c r="U693" s="15"/>
      <c r="V693" s="15"/>
      <c r="W693" s="410"/>
      <c r="X693" s="15"/>
      <c r="Y693" s="15"/>
      <c r="Z693" s="15"/>
      <c r="AA693" s="15"/>
      <c r="AB693" s="410"/>
      <c r="AC693" s="15"/>
      <c r="AD693" s="15"/>
      <c r="AE693" s="15"/>
      <c r="AF693" s="15"/>
      <c r="AG693" s="410"/>
      <c r="AH693" s="15"/>
      <c r="AI693" s="15"/>
      <c r="AJ693" s="15"/>
      <c r="AK693" s="15"/>
      <c r="AL693" s="410"/>
      <c r="AM693" s="15"/>
      <c r="AN693" s="15"/>
      <c r="AO693" s="15"/>
      <c r="AP693" s="15"/>
      <c r="AQ693" s="410"/>
      <c r="AR693" s="15"/>
      <c r="AS693" s="15"/>
      <c r="AT693" s="15"/>
      <c r="AU693" s="15"/>
      <c r="AV693" s="410"/>
      <c r="AW693" s="15"/>
      <c r="AX693" s="15"/>
      <c r="AY693" s="15"/>
      <c r="AZ693" s="15"/>
      <c r="BA693" s="410"/>
      <c r="BB693" s="15"/>
      <c r="BC693" s="15"/>
      <c r="BD693" s="15"/>
      <c r="BE693" s="15"/>
      <c r="BF693" s="410"/>
      <c r="BG693" s="15"/>
      <c r="BH693" s="15"/>
      <c r="BI693" s="15"/>
      <c r="BJ693" s="15"/>
      <c r="BK693" s="410"/>
      <c r="BL693" s="15"/>
      <c r="BM693" s="15"/>
      <c r="BN693" s="15"/>
      <c r="BO693" s="15">
        <f>IAGOtherSales/Sales</f>
        <v>0</v>
      </c>
      <c r="BP693" s="410">
        <f>IAGOtherSales/Sales</f>
        <v>0</v>
      </c>
      <c r="BQ693" s="15">
        <f>IAGOtherSales/Sales</f>
        <v>0</v>
      </c>
      <c r="BR693" s="15">
        <f>IAGOtherSales/Sales</f>
        <v>0</v>
      </c>
      <c r="BS693" s="15">
        <f>IAGOtherSales/Sales</f>
        <v>0</v>
      </c>
      <c r="BT693" s="15">
        <f>IAGOtherSales/Sales</f>
        <v>0</v>
      </c>
      <c r="BU693" s="410">
        <f>IAGOtherSales/Sales</f>
        <v>0</v>
      </c>
      <c r="BV693" s="15">
        <f>IAGOtherSales/Sales</f>
        <v>0</v>
      </c>
      <c r="BW693" s="15">
        <f>IAGOtherSales/Sales</f>
        <v>0</v>
      </c>
      <c r="BX693" s="15">
        <f>IAGOtherSales/Sales</f>
        <v>0</v>
      </c>
      <c r="BY693" s="15">
        <f>IAGOtherSales/Sales</f>
        <v>0</v>
      </c>
      <c r="BZ693" s="24">
        <f>IAGOtherSales/Sales</f>
        <v>0</v>
      </c>
      <c r="CA693" s="15"/>
      <c r="CB693" s="15"/>
      <c r="CC693" s="15"/>
      <c r="CD693" s="15"/>
      <c r="CE693" s="24"/>
      <c r="CF693" s="15"/>
      <c r="CG693" s="15"/>
      <c r="CH693" s="15"/>
      <c r="CI693" s="15"/>
      <c r="CJ693" s="24"/>
      <c r="CK693" s="15"/>
      <c r="CL693" s="15"/>
      <c r="CM693" s="15"/>
      <c r="CN693" s="40"/>
      <c r="CO693" s="24"/>
      <c r="CP693" s="40"/>
      <c r="CQ693" s="15"/>
      <c r="CR693" s="15"/>
      <c r="CS693" s="15"/>
      <c r="CT693" s="24"/>
      <c r="CU693" s="15"/>
      <c r="CV693" s="15"/>
      <c r="CW693" s="15"/>
      <c r="CX693" s="15"/>
      <c r="CY693" s="24"/>
      <c r="CZ693" s="15"/>
      <c r="DA693" s="15"/>
      <c r="DB693" s="15"/>
      <c r="DC693" s="15"/>
      <c r="DD693" s="24"/>
      <c r="DE693" s="15"/>
      <c r="DF693" s="15"/>
      <c r="DG693" s="40"/>
      <c r="DH693" s="15"/>
      <c r="DI693" s="24"/>
      <c r="DJ693" s="40"/>
      <c r="DK693" s="40"/>
      <c r="DL693" s="40"/>
      <c r="DM693" s="15"/>
      <c r="DN693" s="24"/>
      <c r="DO693" s="15"/>
      <c r="DP693" s="15"/>
      <c r="DQ693" s="15"/>
      <c r="DR693" s="15"/>
      <c r="DS693" s="24"/>
      <c r="DT693" s="15"/>
      <c r="DU693" s="15"/>
      <c r="DV693" s="15"/>
      <c r="DW693" s="15"/>
      <c r="DX693" s="24"/>
      <c r="DY693" s="15"/>
      <c r="DZ693" s="15"/>
      <c r="EA693" s="15"/>
      <c r="EB693" s="15"/>
      <c r="EC693" s="24"/>
      <c r="ED693" s="15"/>
      <c r="EE693" s="15"/>
      <c r="EF693" s="15"/>
      <c r="EG693" s="15"/>
      <c r="EH693" s="24"/>
      <c r="EI693" s="82"/>
      <c r="EJ693" s="15"/>
      <c r="EK693" s="15"/>
      <c r="EL693" s="15"/>
      <c r="EM693" s="24"/>
      <c r="EN693" s="15"/>
      <c r="EO693" s="15"/>
      <c r="EP693" s="15"/>
      <c r="EQ693" s="15"/>
      <c r="ER693" s="24"/>
      <c r="ES693" s="15"/>
      <c r="ET693" s="15"/>
      <c r="EU693" s="15"/>
      <c r="EV693" s="15"/>
      <c r="EW693" s="24"/>
      <c r="EX693" s="15"/>
      <c r="EY693" s="15"/>
      <c r="EZ693" s="15"/>
      <c r="FA693" s="15"/>
      <c r="FB693" s="24"/>
      <c r="FC693" s="15"/>
      <c r="FD693" s="15"/>
      <c r="FE693" s="15"/>
      <c r="FF693" s="15"/>
      <c r="FG693" s="24"/>
      <c r="FH693" s="104"/>
      <c r="FI693" s="15"/>
      <c r="FJ693" s="15"/>
      <c r="FK693" s="410"/>
      <c r="FL693" s="15"/>
    </row>
    <row r="694" ht="12.75" hidden="1" customHeight="1" outlineLevel="2">
      <c r="A694" s="45"/>
      <c r="B694" s="215" t="str">
        <f t="shared" si="3228"/>
        <v>IAG Subtotal</v>
      </c>
      <c r="C694" s="45"/>
      <c r="D694" s="410"/>
      <c r="E694" s="410"/>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410"/>
      <c r="AK694" s="410"/>
      <c r="AL694" s="410"/>
      <c r="AM694" s="410"/>
      <c r="AN694" s="410"/>
      <c r="AO694" s="410"/>
      <c r="AP694" s="410"/>
      <c r="AQ694" s="410"/>
      <c r="AR694" s="410"/>
      <c r="AS694" s="410"/>
      <c r="AT694" s="410"/>
      <c r="AU694" s="410"/>
      <c r="AV694" s="410"/>
      <c r="AW694" s="410"/>
      <c r="AX694" s="410"/>
      <c r="AY694" s="410"/>
      <c r="AZ694" s="410"/>
      <c r="BA694" s="410"/>
      <c r="BB694" s="410"/>
      <c r="BC694" s="410"/>
      <c r="BD694" s="410"/>
      <c r="BE694" s="410"/>
      <c r="BF694" s="410"/>
      <c r="BG694" s="410"/>
      <c r="BH694" s="410"/>
      <c r="BI694" s="410"/>
      <c r="BJ694" s="410"/>
      <c r="BK694" s="410"/>
      <c r="BL694" s="410"/>
      <c r="BM694" s="410"/>
      <c r="BN694" s="410"/>
      <c r="BO694" s="410">
        <f>IAGSales/Sales</f>
        <v>0</v>
      </c>
      <c r="BP694" s="410">
        <f>IAGSales/Sales</f>
        <v>0</v>
      </c>
      <c r="BQ694" s="410">
        <f>IAGSales/Sales</f>
        <v>0</v>
      </c>
      <c r="BR694" s="410">
        <f>IAGSales/Sales</f>
        <v>0</v>
      </c>
      <c r="BS694" s="410">
        <f>IAGSales/Sales</f>
        <v>0</v>
      </c>
      <c r="BT694" s="410">
        <f>IAGSales/Sales</f>
        <v>0</v>
      </c>
      <c r="BU694" s="410">
        <f>IAGSales/Sales</f>
        <v>0</v>
      </c>
      <c r="BV694" s="410">
        <f>IAGSales/Sales</f>
        <v>0</v>
      </c>
      <c r="BW694" s="410">
        <f>IAGSales/Sales</f>
        <v>0</v>
      </c>
      <c r="BX694" s="410">
        <f>IAGSales/Sales</f>
        <v>0</v>
      </c>
      <c r="BY694" s="410">
        <f>IAGSales/Sales</f>
        <v>0</v>
      </c>
      <c r="BZ694" s="24">
        <f>IAGSales/Sales</f>
        <v>0</v>
      </c>
      <c r="CA694" s="410"/>
      <c r="CB694" s="410"/>
      <c r="CC694" s="410"/>
      <c r="CD694" s="410"/>
      <c r="CE694" s="24"/>
      <c r="CF694" s="410"/>
      <c r="CG694" s="410"/>
      <c r="CH694" s="410"/>
      <c r="CI694" s="410"/>
      <c r="CJ694" s="24"/>
      <c r="CK694" s="410"/>
      <c r="CL694" s="410"/>
      <c r="CM694" s="410"/>
      <c r="CN694" s="104"/>
      <c r="CO694" s="24"/>
      <c r="CP694" s="104"/>
      <c r="CQ694" s="410"/>
      <c r="CR694" s="410"/>
      <c r="CS694" s="410"/>
      <c r="CT694" s="24"/>
      <c r="CU694" s="410"/>
      <c r="CV694" s="410"/>
      <c r="CW694" s="410"/>
      <c r="CX694" s="410"/>
      <c r="CY694" s="24"/>
      <c r="CZ694" s="410"/>
      <c r="DA694" s="410"/>
      <c r="DB694" s="410"/>
      <c r="DC694" s="410"/>
      <c r="DD694" s="24"/>
      <c r="DE694" s="410"/>
      <c r="DF694" s="410"/>
      <c r="DG694" s="104"/>
      <c r="DH694" s="410"/>
      <c r="DI694" s="24"/>
      <c r="DJ694" s="104"/>
      <c r="DK694" s="104"/>
      <c r="DL694" s="104"/>
      <c r="DM694" s="410"/>
      <c r="DN694" s="24"/>
      <c r="DO694" s="410"/>
      <c r="DP694" s="410"/>
      <c r="DQ694" s="410"/>
      <c r="DR694" s="410"/>
      <c r="DS694" s="24"/>
      <c r="DT694" s="410"/>
      <c r="DU694" s="410"/>
      <c r="DV694" s="410"/>
      <c r="DW694" s="410"/>
      <c r="DX694" s="24"/>
      <c r="DY694" s="410"/>
      <c r="DZ694" s="410"/>
      <c r="EA694" s="410"/>
      <c r="EB694" s="410"/>
      <c r="EC694" s="24"/>
      <c r="ED694" s="410"/>
      <c r="EE694" s="410"/>
      <c r="EF694" s="410"/>
      <c r="EG694" s="410"/>
      <c r="EH694" s="24"/>
      <c r="EI694" s="317"/>
      <c r="EJ694" s="410"/>
      <c r="EK694" s="410"/>
      <c r="EL694" s="410"/>
      <c r="EM694" s="24"/>
      <c r="EN694" s="410"/>
      <c r="EO694" s="410"/>
      <c r="EP694" s="410"/>
      <c r="EQ694" s="410"/>
      <c r="ER694" s="24"/>
      <c r="ES694" s="410"/>
      <c r="ET694" s="410"/>
      <c r="EU694" s="410"/>
      <c r="EV694" s="410"/>
      <c r="EW694" s="24"/>
      <c r="EX694" s="410"/>
      <c r="EY694" s="410"/>
      <c r="EZ694" s="410"/>
      <c r="FA694" s="410"/>
      <c r="FB694" s="24"/>
      <c r="FC694" s="410"/>
      <c r="FD694" s="410"/>
      <c r="FE694" s="410"/>
      <c r="FF694" s="410"/>
      <c r="FG694" s="24"/>
      <c r="FH694" s="104"/>
      <c r="FI694" s="410"/>
      <c r="FJ694" s="410"/>
      <c r="FK694" s="410"/>
      <c r="FL694" s="410"/>
    </row>
    <row r="695" ht="12.75" hidden="1" customHeight="1" outlineLevel="2">
      <c r="A695" s="45"/>
      <c r="B695" s="215" t="str">
        <f t="shared" ref="B695:B696" si="3229">B681</f>
        <v>Other Operating Groups</v>
      </c>
      <c r="C695" s="45"/>
      <c r="D695" s="410"/>
      <c r="E695" s="410"/>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410"/>
      <c r="AK695" s="410"/>
      <c r="AL695" s="410"/>
      <c r="AM695" s="410"/>
      <c r="AN695" s="410"/>
      <c r="AO695" s="410"/>
      <c r="AP695" s="410"/>
      <c r="AQ695" s="410"/>
      <c r="AR695" s="410"/>
      <c r="AS695" s="410"/>
      <c r="AT695" s="410"/>
      <c r="AU695" s="410"/>
      <c r="AV695" s="410"/>
      <c r="AW695" s="410"/>
      <c r="AX695" s="410"/>
      <c r="AY695" s="410"/>
      <c r="AZ695" s="410"/>
      <c r="BA695" s="410"/>
      <c r="BB695" s="410"/>
      <c r="BC695" s="410"/>
      <c r="BD695" s="410"/>
      <c r="BE695" s="410"/>
      <c r="BF695" s="410"/>
      <c r="BG695" s="410"/>
      <c r="BH695" s="410"/>
      <c r="BI695" s="410"/>
      <c r="BJ695" s="410"/>
      <c r="BK695" s="410"/>
      <c r="BL695" s="410"/>
      <c r="BM695" s="410"/>
      <c r="BN695" s="410"/>
      <c r="BO695" s="410">
        <f>OtherSales/Sales</f>
        <v>0</v>
      </c>
      <c r="BP695" s="410">
        <f>OtherSales/Sales</f>
        <v>0</v>
      </c>
      <c r="BQ695" s="410">
        <f>OtherSales/Sales</f>
        <v>0</v>
      </c>
      <c r="BR695" s="410">
        <f>OtherSales/Sales</f>
        <v>0</v>
      </c>
      <c r="BS695" s="410">
        <f>OtherSales/Sales</f>
        <v>0</v>
      </c>
      <c r="BT695" s="410">
        <f>OtherSales/Sales</f>
        <v>0</v>
      </c>
      <c r="BU695" s="410">
        <f>OtherSales/Sales</f>
        <v>0</v>
      </c>
      <c r="BV695" s="410">
        <f>OtherSales/Sales</f>
        <v>0</v>
      </c>
      <c r="BW695" s="410">
        <f>OtherSales/Sales</f>
        <v>0</v>
      </c>
      <c r="BX695" s="410">
        <f>OtherSales/Sales</f>
        <v>0</v>
      </c>
      <c r="BY695" s="410">
        <f>OtherSales/Sales</f>
        <v>0</v>
      </c>
      <c r="BZ695" s="24">
        <f>OtherSales/Sales</f>
        <v>0</v>
      </c>
      <c r="CA695" s="410"/>
      <c r="CB695" s="410"/>
      <c r="CC695" s="410"/>
      <c r="CD695" s="410"/>
      <c r="CE695" s="24"/>
      <c r="CF695" s="410"/>
      <c r="CG695" s="410"/>
      <c r="CH695" s="410"/>
      <c r="CI695" s="410"/>
      <c r="CJ695" s="24"/>
      <c r="CK695" s="410"/>
      <c r="CL695" s="410"/>
      <c r="CM695" s="410"/>
      <c r="CN695" s="104"/>
      <c r="CO695" s="24"/>
      <c r="CP695" s="104"/>
      <c r="CQ695" s="410"/>
      <c r="CR695" s="410"/>
      <c r="CS695" s="410"/>
      <c r="CT695" s="24"/>
      <c r="CU695" s="410"/>
      <c r="CV695" s="410"/>
      <c r="CW695" s="410"/>
      <c r="CX695" s="410"/>
      <c r="CY695" s="24"/>
      <c r="CZ695" s="410"/>
      <c r="DA695" s="410"/>
      <c r="DB695" s="410"/>
      <c r="DC695" s="410"/>
      <c r="DD695" s="24"/>
      <c r="DE695" s="410"/>
      <c r="DF695" s="410"/>
      <c r="DG695" s="104"/>
      <c r="DH695" s="410"/>
      <c r="DI695" s="24"/>
      <c r="DJ695" s="104"/>
      <c r="DK695" s="104"/>
      <c r="DL695" s="104"/>
      <c r="DM695" s="410"/>
      <c r="DN695" s="24"/>
      <c r="DO695" s="410"/>
      <c r="DP695" s="410"/>
      <c r="DQ695" s="410"/>
      <c r="DR695" s="410"/>
      <c r="DS695" s="24"/>
      <c r="DT695" s="410"/>
      <c r="DU695" s="410"/>
      <c r="DV695" s="410"/>
      <c r="DW695" s="410"/>
      <c r="DX695" s="24"/>
      <c r="DY695" s="410"/>
      <c r="DZ695" s="410"/>
      <c r="EA695" s="410"/>
      <c r="EB695" s="410"/>
      <c r="EC695" s="24"/>
      <c r="ED695" s="410"/>
      <c r="EE695" s="410"/>
      <c r="EF695" s="410"/>
      <c r="EG695" s="410"/>
      <c r="EH695" s="24"/>
      <c r="EI695" s="317"/>
      <c r="EJ695" s="410"/>
      <c r="EK695" s="410"/>
      <c r="EL695" s="410"/>
      <c r="EM695" s="24"/>
      <c r="EN695" s="410"/>
      <c r="EO695" s="410"/>
      <c r="EP695" s="410"/>
      <c r="EQ695" s="410"/>
      <c r="ER695" s="24"/>
      <c r="ES695" s="410"/>
      <c r="ET695" s="410"/>
      <c r="EU695" s="410"/>
      <c r="EV695" s="410"/>
      <c r="EW695" s="24"/>
      <c r="EX695" s="410"/>
      <c r="EY695" s="410"/>
      <c r="EZ695" s="410"/>
      <c r="FA695" s="410"/>
      <c r="FB695" s="24"/>
      <c r="FC695" s="410"/>
      <c r="FD695" s="410"/>
      <c r="FE695" s="410"/>
      <c r="FF695" s="410"/>
      <c r="FG695" s="24"/>
      <c r="FH695" s="104"/>
      <c r="FI695" s="410"/>
      <c r="FJ695" s="410"/>
      <c r="FK695" s="410"/>
      <c r="FL695" s="410"/>
    </row>
    <row r="696" ht="12.75" hidden="1" customHeight="1" outlineLevel="2">
      <c r="A696" s="45"/>
      <c r="B696" s="215" t="str">
        <f t="shared" si="3229"/>
        <v>Corporate</v>
      </c>
      <c r="C696" s="45"/>
      <c r="D696" s="410"/>
      <c r="E696" s="410"/>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410"/>
      <c r="AK696" s="410"/>
      <c r="AL696" s="410"/>
      <c r="AM696" s="410"/>
      <c r="AN696" s="410"/>
      <c r="AO696" s="410"/>
      <c r="AP696" s="410"/>
      <c r="AQ696" s="410"/>
      <c r="AR696" s="410"/>
      <c r="AS696" s="410"/>
      <c r="AT696" s="410"/>
      <c r="AU696" s="410"/>
      <c r="AV696" s="410"/>
      <c r="AW696" s="410"/>
      <c r="AX696" s="410"/>
      <c r="AY696" s="410"/>
      <c r="AZ696" s="410"/>
      <c r="BA696" s="410"/>
      <c r="BB696" s="410"/>
      <c r="BC696" s="410"/>
      <c r="BD696" s="410"/>
      <c r="BE696" s="410"/>
      <c r="BF696" s="410"/>
      <c r="BG696" s="410"/>
      <c r="BH696" s="410"/>
      <c r="BI696" s="410"/>
      <c r="BJ696" s="410"/>
      <c r="BK696" s="410"/>
      <c r="BL696" s="410"/>
      <c r="BM696" s="410"/>
      <c r="BN696" s="410"/>
      <c r="BO696" s="410">
        <f>CorporateSales/Sales</f>
        <v>0</v>
      </c>
      <c r="BP696" s="410">
        <f>CorporateSales/Sales</f>
        <v>0</v>
      </c>
      <c r="BQ696" s="410">
        <f>CorporateSales/Sales</f>
        <v>0</v>
      </c>
      <c r="BR696" s="410">
        <f>CorporateSales/Sales</f>
        <v>0</v>
      </c>
      <c r="BS696" s="410">
        <f>CorporateSales/Sales</f>
        <v>0</v>
      </c>
      <c r="BT696" s="410">
        <f>CorporateSales/Sales</f>
        <v>0</v>
      </c>
      <c r="BU696" s="410">
        <f>CorporateSales/Sales</f>
        <v>0</v>
      </c>
      <c r="BV696" s="410">
        <f>CorporateSales/Sales</f>
        <v>0</v>
      </c>
      <c r="BW696" s="410">
        <f>CorporateSales/Sales</f>
        <v>0</v>
      </c>
      <c r="BX696" s="410">
        <f>CorporateSales/Sales</f>
        <v>0</v>
      </c>
      <c r="BY696" s="410">
        <f>CorporateSales/Sales</f>
        <v>0</v>
      </c>
      <c r="BZ696" s="24">
        <f>CorporateSales/Sales</f>
        <v>0</v>
      </c>
      <c r="CA696" s="410"/>
      <c r="CB696" s="410"/>
      <c r="CC696" s="410"/>
      <c r="CD696" s="410"/>
      <c r="CE696" s="24"/>
      <c r="CF696" s="410"/>
      <c r="CG696" s="410"/>
      <c r="CH696" s="410"/>
      <c r="CI696" s="410"/>
      <c r="CJ696" s="24"/>
      <c r="CK696" s="410"/>
      <c r="CL696" s="410"/>
      <c r="CM696" s="410"/>
      <c r="CN696" s="104"/>
      <c r="CO696" s="24"/>
      <c r="CP696" s="104"/>
      <c r="CQ696" s="410"/>
      <c r="CR696" s="410"/>
      <c r="CS696" s="410"/>
      <c r="CT696" s="24"/>
      <c r="CU696" s="410"/>
      <c r="CV696" s="410"/>
      <c r="CW696" s="410"/>
      <c r="CX696" s="410"/>
      <c r="CY696" s="24"/>
      <c r="CZ696" s="410"/>
      <c r="DA696" s="410"/>
      <c r="DB696" s="410"/>
      <c r="DC696" s="410"/>
      <c r="DD696" s="24"/>
      <c r="DE696" s="410"/>
      <c r="DF696" s="410"/>
      <c r="DG696" s="104"/>
      <c r="DH696" s="410"/>
      <c r="DI696" s="24"/>
      <c r="DJ696" s="104"/>
      <c r="DK696" s="104"/>
      <c r="DL696" s="104"/>
      <c r="DM696" s="410"/>
      <c r="DN696" s="24"/>
      <c r="DO696" s="410"/>
      <c r="DP696" s="410"/>
      <c r="DQ696" s="410"/>
      <c r="DR696" s="410"/>
      <c r="DS696" s="24"/>
      <c r="DT696" s="410"/>
      <c r="DU696" s="410"/>
      <c r="DV696" s="410"/>
      <c r="DW696" s="410"/>
      <c r="DX696" s="24"/>
      <c r="DY696" s="410"/>
      <c r="DZ696" s="410"/>
      <c r="EA696" s="410"/>
      <c r="EB696" s="410"/>
      <c r="EC696" s="24"/>
      <c r="ED696" s="410"/>
      <c r="EE696" s="410"/>
      <c r="EF696" s="410"/>
      <c r="EG696" s="410"/>
      <c r="EH696" s="24"/>
      <c r="EI696" s="317"/>
      <c r="EJ696" s="410"/>
      <c r="EK696" s="410"/>
      <c r="EL696" s="410"/>
      <c r="EM696" s="24"/>
      <c r="EN696" s="410"/>
      <c r="EO696" s="410"/>
      <c r="EP696" s="410"/>
      <c r="EQ696" s="410"/>
      <c r="ER696" s="24"/>
      <c r="ES696" s="410"/>
      <c r="ET696" s="410"/>
      <c r="EU696" s="410"/>
      <c r="EV696" s="410"/>
      <c r="EW696" s="24"/>
      <c r="EX696" s="410"/>
      <c r="EY696" s="410"/>
      <c r="EZ696" s="410"/>
      <c r="FA696" s="410"/>
      <c r="FB696" s="24"/>
      <c r="FC696" s="410"/>
      <c r="FD696" s="410"/>
      <c r="FE696" s="410"/>
      <c r="FF696" s="410"/>
      <c r="FG696" s="24"/>
      <c r="FH696" s="104"/>
      <c r="FI696" s="410"/>
      <c r="FJ696" s="410"/>
      <c r="FK696" s="410"/>
      <c r="FL696" s="410"/>
    </row>
    <row r="697" ht="12.75" hidden="1" customHeight="1" outlineLevel="2">
      <c r="A697" s="4"/>
      <c r="B697" s="45"/>
      <c r="C697" s="45"/>
      <c r="D697" s="4"/>
      <c r="E697" s="4"/>
      <c r="F697" s="4"/>
      <c r="G697" s="4"/>
      <c r="H697" s="45"/>
      <c r="I697" s="4"/>
      <c r="J697" s="4"/>
      <c r="K697" s="4"/>
      <c r="L697" s="4"/>
      <c r="M697" s="45"/>
      <c r="N697" s="4"/>
      <c r="O697" s="4"/>
      <c r="P697" s="4"/>
      <c r="Q697" s="4"/>
      <c r="R697" s="45"/>
      <c r="S697" s="4"/>
      <c r="T697" s="4"/>
      <c r="U697" s="4"/>
      <c r="V697" s="4"/>
      <c r="W697" s="45"/>
      <c r="X697" s="4"/>
      <c r="Y697" s="4"/>
      <c r="Z697" s="4"/>
      <c r="AA697" s="4"/>
      <c r="AB697" s="45"/>
      <c r="AC697" s="4"/>
      <c r="AD697" s="4"/>
      <c r="AE697" s="4"/>
      <c r="AF697" s="4"/>
      <c r="AG697" s="45"/>
      <c r="AH697" s="4"/>
      <c r="AI697" s="4"/>
      <c r="AJ697" s="4"/>
      <c r="AK697" s="4"/>
      <c r="AL697" s="45"/>
      <c r="AM697" s="4"/>
      <c r="AN697" s="4"/>
      <c r="AO697" s="4"/>
      <c r="AP697" s="4"/>
      <c r="AQ697" s="45"/>
      <c r="AR697" s="4"/>
      <c r="AS697" s="4"/>
      <c r="AT697" s="4"/>
      <c r="AU697" s="4"/>
      <c r="AV697" s="45"/>
      <c r="AW697" s="4"/>
      <c r="AX697" s="4"/>
      <c r="AY697" s="4"/>
      <c r="AZ697" s="4"/>
      <c r="BA697" s="45"/>
      <c r="BB697" s="4"/>
      <c r="BC697" s="4"/>
      <c r="BD697" s="4"/>
      <c r="BE697" s="4"/>
      <c r="BF697" s="45"/>
      <c r="BG697" s="4"/>
      <c r="BH697" s="4"/>
      <c r="BI697" s="4"/>
      <c r="BJ697" s="4"/>
      <c r="BK697" s="45"/>
      <c r="BL697" s="4"/>
      <c r="BM697" s="4"/>
      <c r="BN697" s="4"/>
      <c r="BO697" s="4"/>
      <c r="BP697" s="45"/>
      <c r="BQ697" s="4"/>
      <c r="BR697" s="4"/>
      <c r="BS697" s="4"/>
      <c r="BT697" s="4"/>
      <c r="BU697" s="45"/>
      <c r="BV697" s="4"/>
      <c r="BW697" s="4"/>
      <c r="BX697" s="4"/>
      <c r="BY697" s="4"/>
      <c r="BZ697" s="350"/>
      <c r="CA697" s="4"/>
      <c r="CB697" s="4"/>
      <c r="CC697" s="4"/>
      <c r="CD697" s="4"/>
      <c r="CE697" s="350"/>
      <c r="CF697" s="4"/>
      <c r="CG697" s="4"/>
      <c r="CH697" s="4"/>
      <c r="CI697" s="4"/>
      <c r="CJ697" s="350"/>
      <c r="CK697" s="4"/>
      <c r="CL697" s="4"/>
      <c r="CM697" s="4"/>
      <c r="CN697" s="16"/>
      <c r="CO697" s="350"/>
      <c r="CP697" s="16"/>
      <c r="CQ697" s="4"/>
      <c r="CR697" s="4"/>
      <c r="CS697" s="4"/>
      <c r="CT697" s="350"/>
      <c r="CU697" s="4"/>
      <c r="CV697" s="4"/>
      <c r="CW697" s="4"/>
      <c r="CX697" s="4"/>
      <c r="CY697" s="350"/>
      <c r="CZ697" s="4"/>
      <c r="DA697" s="4"/>
      <c r="DB697" s="4"/>
      <c r="DC697" s="4"/>
      <c r="DD697" s="350"/>
      <c r="DE697" s="4"/>
      <c r="DF697" s="4"/>
      <c r="DG697" s="16"/>
      <c r="DH697" s="4"/>
      <c r="DI697" s="350"/>
      <c r="DJ697" s="16"/>
      <c r="DK697" s="16"/>
      <c r="DL697" s="16"/>
      <c r="DM697" s="4"/>
      <c r="DN697" s="350"/>
      <c r="DO697" s="4"/>
      <c r="DP697" s="4"/>
      <c r="DQ697" s="4"/>
      <c r="DR697" s="4"/>
      <c r="DS697" s="350"/>
      <c r="DT697" s="4"/>
      <c r="DU697" s="4"/>
      <c r="DV697" s="4"/>
      <c r="DW697" s="4"/>
      <c r="DX697" s="350"/>
      <c r="DY697" s="4"/>
      <c r="DZ697" s="4"/>
      <c r="EA697" s="4"/>
      <c r="EB697" s="4"/>
      <c r="EC697" s="350"/>
      <c r="ED697" s="4"/>
      <c r="EE697" s="4"/>
      <c r="EF697" s="4"/>
      <c r="EG697" s="4"/>
      <c r="EH697" s="350"/>
      <c r="EI697" s="214"/>
      <c r="EJ697" s="4"/>
      <c r="EK697" s="4"/>
      <c r="EL697" s="4"/>
      <c r="EM697" s="350"/>
      <c r="EN697" s="4"/>
      <c r="EO697" s="4"/>
      <c r="EP697" s="4"/>
      <c r="EQ697" s="4"/>
      <c r="ER697" s="350"/>
      <c r="ES697" s="4"/>
      <c r="ET697" s="4"/>
      <c r="EU697" s="4"/>
      <c r="EV697" s="4"/>
      <c r="EW697" s="350"/>
      <c r="EX697" s="4"/>
      <c r="EY697" s="4"/>
      <c r="EZ697" s="4"/>
      <c r="FA697" s="4"/>
      <c r="FB697" s="350"/>
      <c r="FC697" s="4"/>
      <c r="FD697" s="4"/>
      <c r="FE697" s="4"/>
      <c r="FF697" s="4"/>
      <c r="FG697" s="350"/>
      <c r="FH697" s="145"/>
      <c r="FI697" s="4"/>
      <c r="FJ697" s="4"/>
      <c r="FK697" s="45"/>
      <c r="FL697" s="4"/>
    </row>
    <row r="698" ht="12.75" hidden="1" customHeight="1" outlineLevel="2">
      <c r="A698" s="4"/>
      <c r="B698" s="578" t="s">
        <v>290</v>
      </c>
      <c r="C698" s="299"/>
      <c r="D698" s="585"/>
      <c r="E698" s="586"/>
      <c r="F698" s="586"/>
      <c r="G698" s="586"/>
      <c r="H698" s="585"/>
      <c r="I698" s="585"/>
      <c r="J698" s="586"/>
      <c r="K698" s="586"/>
      <c r="L698" s="586"/>
      <c r="M698" s="585"/>
      <c r="N698" s="585"/>
      <c r="O698" s="586"/>
      <c r="P698" s="586"/>
      <c r="Q698" s="586"/>
      <c r="R698" s="585"/>
      <c r="S698" s="585"/>
      <c r="T698" s="586"/>
      <c r="U698" s="586"/>
      <c r="V698" s="586"/>
      <c r="W698" s="585"/>
      <c r="X698" s="585"/>
      <c r="Y698" s="586"/>
      <c r="Z698" s="586"/>
      <c r="AA698" s="586"/>
      <c r="AB698" s="585"/>
      <c r="AC698" s="585"/>
      <c r="AD698" s="586"/>
      <c r="AE698" s="586"/>
      <c r="AF698" s="586"/>
      <c r="AG698" s="585"/>
      <c r="AH698" s="585"/>
      <c r="AI698" s="586"/>
      <c r="AJ698" s="586"/>
      <c r="AK698" s="586"/>
      <c r="AL698" s="585"/>
      <c r="AM698" s="585"/>
      <c r="AN698" s="586"/>
      <c r="AO698" s="586"/>
      <c r="AP698" s="586"/>
      <c r="AQ698" s="585"/>
      <c r="AR698" s="585"/>
      <c r="AS698" s="586"/>
      <c r="AT698" s="586"/>
      <c r="AU698" s="586"/>
      <c r="AV698" s="585"/>
      <c r="AW698" s="585"/>
      <c r="AX698" s="586"/>
      <c r="AY698" s="586"/>
      <c r="AZ698" s="586"/>
      <c r="BA698" s="585"/>
      <c r="BB698" s="585"/>
      <c r="BC698" s="586"/>
      <c r="BD698" s="586"/>
      <c r="BE698" s="586"/>
      <c r="BF698" s="585"/>
      <c r="BG698" s="585"/>
      <c r="BH698" s="586"/>
      <c r="BI698" s="586"/>
      <c r="BJ698" s="586"/>
      <c r="BK698" s="585"/>
      <c r="BL698" s="585"/>
      <c r="BM698" s="586"/>
      <c r="BN698" s="586"/>
      <c r="BO698" s="586"/>
      <c r="BP698" s="585"/>
      <c r="BQ698" s="585"/>
      <c r="BR698" s="586"/>
      <c r="BS698" s="586"/>
      <c r="BT698" s="586"/>
      <c r="BU698" s="585"/>
      <c r="BV698" s="585"/>
      <c r="BW698" s="586"/>
      <c r="BX698" s="586"/>
      <c r="BY698" s="586"/>
      <c r="BZ698" s="587"/>
      <c r="CA698" s="585"/>
      <c r="CB698" s="586"/>
      <c r="CC698" s="586"/>
      <c r="CD698" s="586"/>
      <c r="CE698" s="587"/>
      <c r="CF698" s="585"/>
      <c r="CG698" s="586"/>
      <c r="CH698" s="586"/>
      <c r="CI698" s="586"/>
      <c r="CJ698" s="587"/>
      <c r="CK698" s="585"/>
      <c r="CL698" s="586"/>
      <c r="CM698" s="586"/>
      <c r="CN698" s="588"/>
      <c r="CO698" s="587"/>
      <c r="CP698" s="588"/>
      <c r="CQ698" s="586"/>
      <c r="CR698" s="586"/>
      <c r="CS698" s="586"/>
      <c r="CT698" s="587"/>
      <c r="CU698" s="585"/>
      <c r="CV698" s="586"/>
      <c r="CW698" s="586"/>
      <c r="CX698" s="586"/>
      <c r="CY698" s="587"/>
      <c r="CZ698" s="585"/>
      <c r="DA698" s="586"/>
      <c r="DB698" s="586"/>
      <c r="DC698" s="586"/>
      <c r="DD698" s="587"/>
      <c r="DE698" s="585"/>
      <c r="DF698" s="586"/>
      <c r="DG698" s="474"/>
      <c r="DH698" s="586"/>
      <c r="DI698" s="587"/>
      <c r="DJ698" s="589"/>
      <c r="DK698" s="588"/>
      <c r="DL698" s="588"/>
      <c r="DM698" s="586"/>
      <c r="DN698" s="587"/>
      <c r="DO698" s="585"/>
      <c r="DP698" s="586"/>
      <c r="DQ698" s="586"/>
      <c r="DR698" s="586"/>
      <c r="DS698" s="587"/>
      <c r="DT698" s="585"/>
      <c r="DU698" s="585"/>
      <c r="DV698" s="585"/>
      <c r="DW698" s="585"/>
      <c r="DX698" s="587"/>
      <c r="DY698" s="585"/>
      <c r="DZ698" s="585"/>
      <c r="EA698" s="585"/>
      <c r="EB698" s="585"/>
      <c r="EC698" s="587"/>
      <c r="ED698" s="585"/>
      <c r="EE698" s="585"/>
      <c r="EF698" s="585"/>
      <c r="EG698" s="585"/>
      <c r="EH698" s="587"/>
      <c r="EI698" s="590"/>
      <c r="EJ698" s="586"/>
      <c r="EK698" s="586"/>
      <c r="EL698" s="586"/>
      <c r="EM698" s="587"/>
      <c r="EN698" s="585"/>
      <c r="EO698" s="586"/>
      <c r="EP698" s="586"/>
      <c r="EQ698" s="586"/>
      <c r="ER698" s="587"/>
      <c r="ES698" s="585"/>
      <c r="ET698" s="586"/>
      <c r="EU698" s="586"/>
      <c r="EV698" s="586"/>
      <c r="EW698" s="587"/>
      <c r="EX698" s="585"/>
      <c r="EY698" s="586"/>
      <c r="EZ698" s="586"/>
      <c r="FA698" s="586"/>
      <c r="FB698" s="587"/>
      <c r="FC698" s="585"/>
      <c r="FD698" s="586"/>
      <c r="FE698" s="586"/>
      <c r="FF698" s="586"/>
      <c r="FG698" s="587"/>
      <c r="FH698" s="589"/>
      <c r="FI698" s="586"/>
      <c r="FJ698" s="586"/>
      <c r="FK698" s="585"/>
      <c r="FL698" s="585"/>
    </row>
    <row r="699" ht="12.75" hidden="1" customHeight="1" outlineLevel="2">
      <c r="A699" s="4"/>
      <c r="B699" s="72" t="str">
        <f t="shared" ref="B699:B707" si="3230">B670</f>
        <v>Atom</v>
      </c>
      <c r="C699" s="4"/>
      <c r="D699" s="319"/>
      <c r="E699" s="319"/>
      <c r="F699" s="319"/>
      <c r="G699" s="319"/>
      <c r="H699" s="335"/>
      <c r="I699" s="319"/>
      <c r="J699" s="319"/>
      <c r="K699" s="319"/>
      <c r="L699" s="319"/>
      <c r="M699" s="335"/>
      <c r="N699" s="319"/>
      <c r="O699" s="319"/>
      <c r="P699" s="319"/>
      <c r="Q699" s="319"/>
      <c r="R699" s="335"/>
      <c r="S699" s="319"/>
      <c r="T699" s="319"/>
      <c r="U699" s="319"/>
      <c r="V699" s="319"/>
      <c r="W699" s="335"/>
      <c r="X699" s="319"/>
      <c r="Y699" s="319"/>
      <c r="Z699" s="319"/>
      <c r="AA699" s="319"/>
      <c r="AB699" s="335"/>
      <c r="AC699" s="319"/>
      <c r="AD699" s="319"/>
      <c r="AE699" s="319"/>
      <c r="AF699" s="319"/>
      <c r="AG699" s="335"/>
      <c r="AH699" s="319"/>
      <c r="AI699" s="319"/>
      <c r="AJ699" s="319"/>
      <c r="AK699" s="319"/>
      <c r="AL699" s="335"/>
      <c r="AM699" s="319"/>
      <c r="AN699" s="319"/>
      <c r="AO699" s="319"/>
      <c r="AP699" s="319"/>
      <c r="AQ699" s="335"/>
      <c r="AR699" s="319"/>
      <c r="AS699" s="319"/>
      <c r="AT699" s="319"/>
      <c r="AU699" s="319"/>
      <c r="AV699" s="335"/>
      <c r="AW699" s="319"/>
      <c r="AX699" s="319"/>
      <c r="AY699" s="319"/>
      <c r="AZ699" s="319"/>
      <c r="BA699" s="335"/>
      <c r="BB699" s="319"/>
      <c r="BC699" s="319"/>
      <c r="BD699" s="319"/>
      <c r="BE699" s="319"/>
      <c r="BF699" s="335"/>
      <c r="BG699" s="319"/>
      <c r="BH699" s="319"/>
      <c r="BI699" s="319"/>
      <c r="BJ699" s="319"/>
      <c r="BK699" s="335"/>
      <c r="BL699" s="319"/>
      <c r="BM699" s="319"/>
      <c r="BN699" s="319"/>
      <c r="BO699" s="319">
        <f>IF(AtomSales&gt;0,(BO670/BN670-1)," ")</f>
        <v>0.4980402404</v>
      </c>
      <c r="BP699" s="335"/>
      <c r="BQ699" s="319">
        <f>IF(AtomSales&gt;0,(BQ670/BO670-1)," ")</f>
        <v>-0.3200418629</v>
      </c>
      <c r="BR699" s="319">
        <f>IF(AtomSales&gt;0,(BR670/BQ670-1)," ")</f>
        <v>0.6529680365</v>
      </c>
      <c r="BS699" s="319">
        <f>IF(AtomSales&gt;0,(BS670/BR670-1)," ")</f>
        <v>0.1464088398</v>
      </c>
      <c r="BT699" s="319">
        <f>IF(AtomSales&gt;0,(BT670/BS670-1)," ")</f>
        <v>0.05542168675</v>
      </c>
      <c r="BU699" s="335"/>
      <c r="BV699" s="319">
        <f>IF(AtomSales&gt;0,(BV670/BT670-1)," ")</f>
        <v>-0.1894977169</v>
      </c>
      <c r="BW699" s="319">
        <f>IF(AtomSales&gt;0,(BW670/BV670-1)," ")</f>
        <v>0.1633802817</v>
      </c>
      <c r="BX699" s="319">
        <f>IF(AtomSales&gt;0,(BX670/BW670-1)," ")</f>
        <v>-0.0411622276</v>
      </c>
      <c r="BY699" s="319">
        <f>IF(AtomSales&gt;0,(BY670/BX670-1)," ")</f>
        <v>-0.01262626263</v>
      </c>
      <c r="BZ699" s="342"/>
      <c r="CA699" s="319"/>
      <c r="CB699" s="319"/>
      <c r="CC699" s="319"/>
      <c r="CD699" s="319"/>
      <c r="CE699" s="342"/>
      <c r="CF699" s="319"/>
      <c r="CG699" s="319"/>
      <c r="CH699" s="319"/>
      <c r="CI699" s="319"/>
      <c r="CJ699" s="342"/>
      <c r="CK699" s="319"/>
      <c r="CL699" s="319"/>
      <c r="CM699" s="319"/>
      <c r="CN699" s="321"/>
      <c r="CO699" s="342"/>
      <c r="CP699" s="321"/>
      <c r="CQ699" s="319"/>
      <c r="CR699" s="319"/>
      <c r="CS699" s="319"/>
      <c r="CT699" s="342"/>
      <c r="CU699" s="319"/>
      <c r="CV699" s="319"/>
      <c r="CW699" s="319"/>
      <c r="CX699" s="319"/>
      <c r="CY699" s="342"/>
      <c r="CZ699" s="319"/>
      <c r="DA699" s="319"/>
      <c r="DB699" s="319"/>
      <c r="DC699" s="319"/>
      <c r="DD699" s="342"/>
      <c r="DE699" s="319"/>
      <c r="DF699" s="319"/>
      <c r="DG699" s="321"/>
      <c r="DH699" s="319"/>
      <c r="DI699" s="342"/>
      <c r="DJ699" s="321"/>
      <c r="DK699" s="321"/>
      <c r="DL699" s="321"/>
      <c r="DM699" s="319"/>
      <c r="DN699" s="342"/>
      <c r="DO699" s="319"/>
      <c r="DP699" s="319"/>
      <c r="DQ699" s="319"/>
      <c r="DR699" s="319"/>
      <c r="DS699" s="342"/>
      <c r="DT699" s="319"/>
      <c r="DU699" s="319"/>
      <c r="DV699" s="319"/>
      <c r="DW699" s="319"/>
      <c r="DX699" s="342"/>
      <c r="DY699" s="319"/>
      <c r="DZ699" s="319"/>
      <c r="EA699" s="319"/>
      <c r="EB699" s="319"/>
      <c r="EC699" s="342"/>
      <c r="ED699" s="319"/>
      <c r="EE699" s="319"/>
      <c r="EF699" s="319"/>
      <c r="EG699" s="319"/>
      <c r="EH699" s="342"/>
      <c r="EI699" s="322"/>
      <c r="EJ699" s="319"/>
      <c r="EK699" s="319"/>
      <c r="EL699" s="319"/>
      <c r="EM699" s="342"/>
      <c r="EN699" s="319"/>
      <c r="EO699" s="319"/>
      <c r="EP699" s="319"/>
      <c r="EQ699" s="319"/>
      <c r="ER699" s="342"/>
      <c r="ES699" s="319"/>
      <c r="ET699" s="319"/>
      <c r="EU699" s="319"/>
      <c r="EV699" s="319"/>
      <c r="EW699" s="342"/>
      <c r="EX699" s="319"/>
      <c r="EY699" s="319"/>
      <c r="EZ699" s="319"/>
      <c r="FA699" s="319"/>
      <c r="FB699" s="342"/>
      <c r="FC699" s="319"/>
      <c r="FD699" s="319"/>
      <c r="FE699" s="319"/>
      <c r="FF699" s="319"/>
      <c r="FG699" s="342"/>
      <c r="FH699" s="343"/>
      <c r="FI699" s="319"/>
      <c r="FJ699" s="319"/>
      <c r="FK699" s="335"/>
      <c r="FL699" s="319"/>
    </row>
    <row r="700" ht="12.75" hidden="1" customHeight="1" outlineLevel="2">
      <c r="A700" s="4"/>
      <c r="B700" s="72" t="str">
        <f t="shared" si="3230"/>
        <v>Processors</v>
      </c>
      <c r="C700" s="4"/>
      <c r="D700" s="319"/>
      <c r="E700" s="319"/>
      <c r="F700" s="319"/>
      <c r="G700" s="319"/>
      <c r="H700" s="335"/>
      <c r="I700" s="319"/>
      <c r="J700" s="319"/>
      <c r="K700" s="319"/>
      <c r="L700" s="319"/>
      <c r="M700" s="335"/>
      <c r="N700" s="319"/>
      <c r="O700" s="319"/>
      <c r="P700" s="319"/>
      <c r="Q700" s="319"/>
      <c r="R700" s="335"/>
      <c r="S700" s="319"/>
      <c r="T700" s="319"/>
      <c r="U700" s="319"/>
      <c r="V700" s="319"/>
      <c r="W700" s="335"/>
      <c r="X700" s="319"/>
      <c r="Y700" s="319"/>
      <c r="Z700" s="319"/>
      <c r="AA700" s="319"/>
      <c r="AB700" s="335"/>
      <c r="AC700" s="319"/>
      <c r="AD700" s="319"/>
      <c r="AE700" s="319"/>
      <c r="AF700" s="319"/>
      <c r="AG700" s="335"/>
      <c r="AH700" s="319"/>
      <c r="AI700" s="319"/>
      <c r="AJ700" s="319"/>
      <c r="AK700" s="319"/>
      <c r="AL700" s="335"/>
      <c r="AM700" s="319"/>
      <c r="AN700" s="319"/>
      <c r="AO700" s="319"/>
      <c r="AP700" s="319"/>
      <c r="AQ700" s="335"/>
      <c r="AR700" s="319"/>
      <c r="AS700" s="319"/>
      <c r="AT700" s="319"/>
      <c r="AU700" s="319"/>
      <c r="AV700" s="335"/>
      <c r="AW700" s="319"/>
      <c r="AX700" s="319"/>
      <c r="AY700" s="319"/>
      <c r="AZ700" s="319"/>
      <c r="BA700" s="335"/>
      <c r="BB700" s="319"/>
      <c r="BC700" s="319"/>
      <c r="BD700" s="319"/>
      <c r="BE700" s="319"/>
      <c r="BF700" s="335"/>
      <c r="BG700" s="319"/>
      <c r="BH700" s="319"/>
      <c r="BI700" s="319"/>
      <c r="BJ700" s="319"/>
      <c r="BK700" s="335"/>
      <c r="BL700" s="319"/>
      <c r="BM700" s="319"/>
      <c r="BN700" s="319"/>
      <c r="BO700" s="319"/>
      <c r="BP700" s="335"/>
      <c r="BQ700" s="319">
        <f t="shared" ref="BQ700:BQ707" si="3233">BQ671/BO671-1</f>
        <v>-0.1228323699</v>
      </c>
      <c r="BR700" s="319">
        <f t="shared" ref="BR700:BT700" si="3231">BR671/BQ671-1</f>
        <v>0.2311132031</v>
      </c>
      <c r="BS700" s="319">
        <f t="shared" si="3231"/>
        <v>-0.002676352514</v>
      </c>
      <c r="BT700" s="319">
        <f t="shared" si="3231"/>
        <v>0.1272762124</v>
      </c>
      <c r="BU700" s="335"/>
      <c r="BV700" s="319">
        <f t="shared" ref="BV700:BV707" si="3235">BV671/BT671-1</f>
        <v>0.005441251488</v>
      </c>
      <c r="BW700" s="319">
        <f t="shared" ref="BW700:BY700" si="3232">BW671/BV671-1</f>
        <v>0.04092677152</v>
      </c>
      <c r="BX700" s="319">
        <f t="shared" si="3232"/>
        <v>0.02437043054</v>
      </c>
      <c r="BY700" s="319">
        <f t="shared" si="3232"/>
        <v>0.00681998414</v>
      </c>
      <c r="BZ700" s="342"/>
      <c r="CA700" s="319"/>
      <c r="CB700" s="319"/>
      <c r="CC700" s="319"/>
      <c r="CD700" s="319"/>
      <c r="CE700" s="342"/>
      <c r="CF700" s="319"/>
      <c r="CG700" s="319"/>
      <c r="CH700" s="319"/>
      <c r="CI700" s="319"/>
      <c r="CJ700" s="342"/>
      <c r="CK700" s="319"/>
      <c r="CL700" s="319"/>
      <c r="CM700" s="319"/>
      <c r="CN700" s="321"/>
      <c r="CO700" s="342"/>
      <c r="CP700" s="321"/>
      <c r="CQ700" s="319"/>
      <c r="CR700" s="319"/>
      <c r="CS700" s="319"/>
      <c r="CT700" s="342"/>
      <c r="CU700" s="319"/>
      <c r="CV700" s="319"/>
      <c r="CW700" s="319"/>
      <c r="CX700" s="319"/>
      <c r="CY700" s="342"/>
      <c r="CZ700" s="319"/>
      <c r="DA700" s="319"/>
      <c r="DB700" s="319"/>
      <c r="DC700" s="319"/>
      <c r="DD700" s="342"/>
      <c r="DE700" s="319"/>
      <c r="DF700" s="319"/>
      <c r="DG700" s="321"/>
      <c r="DH700" s="319"/>
      <c r="DI700" s="342"/>
      <c r="DJ700" s="321"/>
      <c r="DK700" s="321"/>
      <c r="DL700" s="321"/>
      <c r="DM700" s="319"/>
      <c r="DN700" s="342"/>
      <c r="DO700" s="319"/>
      <c r="DP700" s="319"/>
      <c r="DQ700" s="319"/>
      <c r="DR700" s="319"/>
      <c r="DS700" s="342"/>
      <c r="DT700" s="319"/>
      <c r="DU700" s="319"/>
      <c r="DV700" s="319"/>
      <c r="DW700" s="319"/>
      <c r="DX700" s="342"/>
      <c r="DY700" s="319"/>
      <c r="DZ700" s="319"/>
      <c r="EA700" s="319"/>
      <c r="EB700" s="319"/>
      <c r="EC700" s="342"/>
      <c r="ED700" s="319"/>
      <c r="EE700" s="319"/>
      <c r="EF700" s="319"/>
      <c r="EG700" s="319"/>
      <c r="EH700" s="342"/>
      <c r="EI700" s="322"/>
      <c r="EJ700" s="319"/>
      <c r="EK700" s="319"/>
      <c r="EL700" s="319"/>
      <c r="EM700" s="342"/>
      <c r="EN700" s="319"/>
      <c r="EO700" s="319"/>
      <c r="EP700" s="319"/>
      <c r="EQ700" s="319"/>
      <c r="ER700" s="342"/>
      <c r="ES700" s="319"/>
      <c r="ET700" s="319"/>
      <c r="EU700" s="319"/>
      <c r="EV700" s="319"/>
      <c r="EW700" s="342"/>
      <c r="EX700" s="319"/>
      <c r="EY700" s="319"/>
      <c r="EZ700" s="319"/>
      <c r="FA700" s="319"/>
      <c r="FB700" s="342"/>
      <c r="FC700" s="319"/>
      <c r="FD700" s="319"/>
      <c r="FE700" s="319"/>
      <c r="FF700" s="319"/>
      <c r="FG700" s="342"/>
      <c r="FH700" s="343"/>
      <c r="FI700" s="319"/>
      <c r="FJ700" s="319"/>
      <c r="FK700" s="335"/>
      <c r="FL700" s="319"/>
    </row>
    <row r="701" ht="12.75" hidden="1" customHeight="1" outlineLevel="2">
      <c r="A701" s="4"/>
      <c r="B701" s="72" t="str">
        <f t="shared" si="3230"/>
        <v>Chipsets, MBs and other</v>
      </c>
      <c r="C701" s="4"/>
      <c r="D701" s="319"/>
      <c r="E701" s="319"/>
      <c r="F701" s="319"/>
      <c r="G701" s="319"/>
      <c r="H701" s="335"/>
      <c r="I701" s="319"/>
      <c r="J701" s="319"/>
      <c r="K701" s="319"/>
      <c r="L701" s="319"/>
      <c r="M701" s="335"/>
      <c r="N701" s="319"/>
      <c r="O701" s="319"/>
      <c r="P701" s="319"/>
      <c r="Q701" s="319"/>
      <c r="R701" s="335"/>
      <c r="S701" s="319"/>
      <c r="T701" s="319"/>
      <c r="U701" s="319"/>
      <c r="V701" s="319"/>
      <c r="W701" s="335"/>
      <c r="X701" s="319"/>
      <c r="Y701" s="319"/>
      <c r="Z701" s="319"/>
      <c r="AA701" s="319"/>
      <c r="AB701" s="335"/>
      <c r="AC701" s="319"/>
      <c r="AD701" s="319"/>
      <c r="AE701" s="319"/>
      <c r="AF701" s="319"/>
      <c r="AG701" s="335"/>
      <c r="AH701" s="319"/>
      <c r="AI701" s="319"/>
      <c r="AJ701" s="319"/>
      <c r="AK701" s="319"/>
      <c r="AL701" s="335"/>
      <c r="AM701" s="319"/>
      <c r="AN701" s="319"/>
      <c r="AO701" s="319"/>
      <c r="AP701" s="319"/>
      <c r="AQ701" s="335"/>
      <c r="AR701" s="319"/>
      <c r="AS701" s="319"/>
      <c r="AT701" s="319"/>
      <c r="AU701" s="319"/>
      <c r="AV701" s="335"/>
      <c r="AW701" s="319"/>
      <c r="AX701" s="319"/>
      <c r="AY701" s="319"/>
      <c r="AZ701" s="319"/>
      <c r="BA701" s="335"/>
      <c r="BB701" s="319"/>
      <c r="BC701" s="319"/>
      <c r="BD701" s="319"/>
      <c r="BE701" s="319"/>
      <c r="BF701" s="335"/>
      <c r="BG701" s="319"/>
      <c r="BH701" s="319"/>
      <c r="BI701" s="319"/>
      <c r="BJ701" s="319"/>
      <c r="BK701" s="335"/>
      <c r="BL701" s="319"/>
      <c r="BM701" s="319"/>
      <c r="BN701" s="319"/>
      <c r="BO701" s="319"/>
      <c r="BP701" s="335"/>
      <c r="BQ701" s="319">
        <f t="shared" si="3233"/>
        <v>-0.1478927203</v>
      </c>
      <c r="BR701" s="319">
        <f t="shared" ref="BR701:BT701" si="3234">BR672/BQ672-1</f>
        <v>0.3237410072</v>
      </c>
      <c r="BS701" s="319">
        <f t="shared" si="3234"/>
        <v>0.2493206522</v>
      </c>
      <c r="BT701" s="319">
        <f t="shared" si="3234"/>
        <v>0.02066340402</v>
      </c>
      <c r="BU701" s="335"/>
      <c r="BV701" s="319">
        <f t="shared" si="3235"/>
        <v>-0.06180074587</v>
      </c>
      <c r="BW701" s="319">
        <f t="shared" ref="BW701:BY701" si="3236">BW672/BV672-1</f>
        <v>-0.04372515616</v>
      </c>
      <c r="BX701" s="319">
        <f t="shared" si="3236"/>
        <v>0.03919239905</v>
      </c>
      <c r="BY701" s="319">
        <f t="shared" si="3236"/>
        <v>-0.03885714286</v>
      </c>
      <c r="BZ701" s="342"/>
      <c r="CA701" s="319"/>
      <c r="CB701" s="319"/>
      <c r="CC701" s="319"/>
      <c r="CD701" s="319"/>
      <c r="CE701" s="342"/>
      <c r="CF701" s="319"/>
      <c r="CG701" s="319"/>
      <c r="CH701" s="319"/>
      <c r="CI701" s="319"/>
      <c r="CJ701" s="342"/>
      <c r="CK701" s="319"/>
      <c r="CL701" s="319"/>
      <c r="CM701" s="319"/>
      <c r="CN701" s="321"/>
      <c r="CO701" s="342"/>
      <c r="CP701" s="321"/>
      <c r="CQ701" s="319"/>
      <c r="CR701" s="319"/>
      <c r="CS701" s="319"/>
      <c r="CT701" s="342"/>
      <c r="CU701" s="319"/>
      <c r="CV701" s="319"/>
      <c r="CW701" s="319"/>
      <c r="CX701" s="319"/>
      <c r="CY701" s="342"/>
      <c r="CZ701" s="319"/>
      <c r="DA701" s="319"/>
      <c r="DB701" s="319"/>
      <c r="DC701" s="319"/>
      <c r="DD701" s="342"/>
      <c r="DE701" s="319"/>
      <c r="DF701" s="319"/>
      <c r="DG701" s="321"/>
      <c r="DH701" s="319"/>
      <c r="DI701" s="342"/>
      <c r="DJ701" s="321"/>
      <c r="DK701" s="321"/>
      <c r="DL701" s="321"/>
      <c r="DM701" s="319"/>
      <c r="DN701" s="342"/>
      <c r="DO701" s="319"/>
      <c r="DP701" s="319"/>
      <c r="DQ701" s="319"/>
      <c r="DR701" s="319"/>
      <c r="DS701" s="342"/>
      <c r="DT701" s="319"/>
      <c r="DU701" s="319"/>
      <c r="DV701" s="319"/>
      <c r="DW701" s="319"/>
      <c r="DX701" s="342"/>
      <c r="DY701" s="319"/>
      <c r="DZ701" s="319"/>
      <c r="EA701" s="319"/>
      <c r="EB701" s="319"/>
      <c r="EC701" s="342"/>
      <c r="ED701" s="319"/>
      <c r="EE701" s="319"/>
      <c r="EF701" s="319"/>
      <c r="EG701" s="319"/>
      <c r="EH701" s="342"/>
      <c r="EI701" s="322"/>
      <c r="EJ701" s="319"/>
      <c r="EK701" s="319"/>
      <c r="EL701" s="319"/>
      <c r="EM701" s="342"/>
      <c r="EN701" s="319"/>
      <c r="EO701" s="319"/>
      <c r="EP701" s="319"/>
      <c r="EQ701" s="319"/>
      <c r="ER701" s="342"/>
      <c r="ES701" s="319"/>
      <c r="ET701" s="319"/>
      <c r="EU701" s="319"/>
      <c r="EV701" s="319"/>
      <c r="EW701" s="342"/>
      <c r="EX701" s="319"/>
      <c r="EY701" s="319"/>
      <c r="EZ701" s="319"/>
      <c r="FA701" s="319"/>
      <c r="FB701" s="342"/>
      <c r="FC701" s="319"/>
      <c r="FD701" s="319"/>
      <c r="FE701" s="319"/>
      <c r="FF701" s="319"/>
      <c r="FG701" s="342"/>
      <c r="FH701" s="343"/>
      <c r="FI701" s="319"/>
      <c r="FJ701" s="319"/>
      <c r="FK701" s="335"/>
      <c r="FL701" s="319"/>
    </row>
    <row r="702" ht="12.75" hidden="1" customHeight="1" outlineLevel="2">
      <c r="A702" s="45"/>
      <c r="B702" s="215" t="str">
        <f t="shared" si="3230"/>
        <v>PC Client Group</v>
      </c>
      <c r="C702" s="45"/>
      <c r="D702" s="335"/>
      <c r="E702" s="335"/>
      <c r="F702" s="335"/>
      <c r="G702" s="335"/>
      <c r="H702" s="335"/>
      <c r="I702" s="335"/>
      <c r="J702" s="335"/>
      <c r="K702" s="335"/>
      <c r="L702" s="335"/>
      <c r="M702" s="335"/>
      <c r="N702" s="335"/>
      <c r="O702" s="335"/>
      <c r="P702" s="335"/>
      <c r="Q702" s="335"/>
      <c r="R702" s="335"/>
      <c r="S702" s="335"/>
      <c r="T702" s="335"/>
      <c r="U702" s="335"/>
      <c r="V702" s="335"/>
      <c r="W702" s="335"/>
      <c r="X702" s="335"/>
      <c r="Y702" s="335"/>
      <c r="Z702" s="335"/>
      <c r="AA702" s="335"/>
      <c r="AB702" s="335"/>
      <c r="AC702" s="335"/>
      <c r="AD702" s="335"/>
      <c r="AE702" s="335"/>
      <c r="AF702" s="335"/>
      <c r="AG702" s="335"/>
      <c r="AH702" s="335"/>
      <c r="AI702" s="335"/>
      <c r="AJ702" s="335"/>
      <c r="AK702" s="335"/>
      <c r="AL702" s="335"/>
      <c r="AM702" s="335"/>
      <c r="AN702" s="335"/>
      <c r="AO702" s="335"/>
      <c r="AP702" s="335"/>
      <c r="AQ702" s="335"/>
      <c r="AR702" s="335"/>
      <c r="AS702" s="335"/>
      <c r="AT702" s="335"/>
      <c r="AU702" s="335"/>
      <c r="AV702" s="335"/>
      <c r="AW702" s="335"/>
      <c r="AX702" s="335"/>
      <c r="AY702" s="335"/>
      <c r="AZ702" s="335"/>
      <c r="BA702" s="335"/>
      <c r="BB702" s="335"/>
      <c r="BC702" s="335"/>
      <c r="BD702" s="335"/>
      <c r="BE702" s="335"/>
      <c r="BF702" s="335"/>
      <c r="BG702" s="335"/>
      <c r="BH702" s="335"/>
      <c r="BI702" s="335"/>
      <c r="BJ702" s="335"/>
      <c r="BK702" s="335"/>
      <c r="BL702" s="335"/>
      <c r="BM702" s="335"/>
      <c r="BN702" s="335"/>
      <c r="BO702" s="335"/>
      <c r="BP702" s="335"/>
      <c r="BQ702" s="335">
        <f t="shared" si="3233"/>
        <v>-0.1281509188</v>
      </c>
      <c r="BR702" s="335">
        <f t="shared" ref="BR702:BT702" si="3237">BR673/BQ673-1</f>
        <v>0.2503264316</v>
      </c>
      <c r="BS702" s="335">
        <f t="shared" si="3237"/>
        <v>0.05266298672</v>
      </c>
      <c r="BT702" s="335">
        <f t="shared" si="3237"/>
        <v>0.09948979592</v>
      </c>
      <c r="BU702" s="335"/>
      <c r="BV702" s="335">
        <f t="shared" si="3235"/>
        <v>-0.01082753287</v>
      </c>
      <c r="BW702" s="335">
        <f t="shared" ref="BW702:BY702" si="3238">BW673/BV673-1</f>
        <v>0.02150117279</v>
      </c>
      <c r="BX702" s="335">
        <f t="shared" si="3238"/>
        <v>0.02755453502</v>
      </c>
      <c r="BY702" s="335">
        <f t="shared" si="3238"/>
        <v>-0.003103662322</v>
      </c>
      <c r="BZ702" s="342"/>
      <c r="CA702" s="335"/>
      <c r="CB702" s="335"/>
      <c r="CC702" s="335"/>
      <c r="CD702" s="335"/>
      <c r="CE702" s="342"/>
      <c r="CF702" s="335"/>
      <c r="CG702" s="335"/>
      <c r="CH702" s="335"/>
      <c r="CI702" s="335"/>
      <c r="CJ702" s="342"/>
      <c r="CK702" s="335"/>
      <c r="CL702" s="335"/>
      <c r="CM702" s="335"/>
      <c r="CN702" s="343"/>
      <c r="CO702" s="342"/>
      <c r="CP702" s="343"/>
      <c r="CQ702" s="335"/>
      <c r="CR702" s="335"/>
      <c r="CS702" s="335"/>
      <c r="CT702" s="342"/>
      <c r="CU702" s="335"/>
      <c r="CV702" s="335"/>
      <c r="CW702" s="335"/>
      <c r="CX702" s="335"/>
      <c r="CY702" s="342"/>
      <c r="CZ702" s="335"/>
      <c r="DA702" s="335"/>
      <c r="DB702" s="335"/>
      <c r="DC702" s="335"/>
      <c r="DD702" s="342"/>
      <c r="DE702" s="335"/>
      <c r="DF702" s="335"/>
      <c r="DG702" s="343"/>
      <c r="DH702" s="335"/>
      <c r="DI702" s="342"/>
      <c r="DJ702" s="343"/>
      <c r="DK702" s="343"/>
      <c r="DL702" s="343"/>
      <c r="DM702" s="335"/>
      <c r="DN702" s="342"/>
      <c r="DO702" s="335"/>
      <c r="DP702" s="335"/>
      <c r="DQ702" s="335"/>
      <c r="DR702" s="335"/>
      <c r="DS702" s="342"/>
      <c r="DT702" s="335"/>
      <c r="DU702" s="335"/>
      <c r="DV702" s="335"/>
      <c r="DW702" s="335"/>
      <c r="DX702" s="342"/>
      <c r="DY702" s="335"/>
      <c r="DZ702" s="335"/>
      <c r="EA702" s="335"/>
      <c r="EB702" s="335"/>
      <c r="EC702" s="342"/>
      <c r="ED702" s="335"/>
      <c r="EE702" s="335"/>
      <c r="EF702" s="335"/>
      <c r="EG702" s="335"/>
      <c r="EH702" s="342"/>
      <c r="EI702" s="600"/>
      <c r="EJ702" s="335"/>
      <c r="EK702" s="335"/>
      <c r="EL702" s="335"/>
      <c r="EM702" s="342"/>
      <c r="EN702" s="335"/>
      <c r="EO702" s="335"/>
      <c r="EP702" s="335"/>
      <c r="EQ702" s="335"/>
      <c r="ER702" s="342"/>
      <c r="ES702" s="335"/>
      <c r="ET702" s="335"/>
      <c r="EU702" s="335"/>
      <c r="EV702" s="335"/>
      <c r="EW702" s="342"/>
      <c r="EX702" s="335"/>
      <c r="EY702" s="335"/>
      <c r="EZ702" s="335"/>
      <c r="FA702" s="335"/>
      <c r="FB702" s="342"/>
      <c r="FC702" s="335"/>
      <c r="FD702" s="335"/>
      <c r="FE702" s="335"/>
      <c r="FF702" s="335"/>
      <c r="FG702" s="342"/>
      <c r="FH702" s="343"/>
      <c r="FI702" s="335"/>
      <c r="FJ702" s="335"/>
      <c r="FK702" s="335"/>
      <c r="FL702" s="335"/>
    </row>
    <row r="703" ht="12.75" hidden="1" customHeight="1" outlineLevel="2">
      <c r="A703" s="4"/>
      <c r="B703" s="72" t="str">
        <f t="shared" si="3230"/>
        <v>Processors</v>
      </c>
      <c r="C703" s="4"/>
      <c r="D703" s="319"/>
      <c r="E703" s="319"/>
      <c r="F703" s="319"/>
      <c r="G703" s="319"/>
      <c r="H703" s="335"/>
      <c r="I703" s="319"/>
      <c r="J703" s="319"/>
      <c r="K703" s="319"/>
      <c r="L703" s="319"/>
      <c r="M703" s="335"/>
      <c r="N703" s="319"/>
      <c r="O703" s="319"/>
      <c r="P703" s="319"/>
      <c r="Q703" s="319"/>
      <c r="R703" s="335"/>
      <c r="S703" s="319"/>
      <c r="T703" s="319"/>
      <c r="U703" s="319"/>
      <c r="V703" s="319"/>
      <c r="W703" s="335"/>
      <c r="X703" s="319"/>
      <c r="Y703" s="319"/>
      <c r="Z703" s="319"/>
      <c r="AA703" s="319"/>
      <c r="AB703" s="335"/>
      <c r="AC703" s="319"/>
      <c r="AD703" s="319"/>
      <c r="AE703" s="319"/>
      <c r="AF703" s="319"/>
      <c r="AG703" s="335"/>
      <c r="AH703" s="319"/>
      <c r="AI703" s="319"/>
      <c r="AJ703" s="319"/>
      <c r="AK703" s="319"/>
      <c r="AL703" s="335"/>
      <c r="AM703" s="319"/>
      <c r="AN703" s="319"/>
      <c r="AO703" s="319"/>
      <c r="AP703" s="319"/>
      <c r="AQ703" s="335"/>
      <c r="AR703" s="319"/>
      <c r="AS703" s="319"/>
      <c r="AT703" s="319"/>
      <c r="AU703" s="319"/>
      <c r="AV703" s="335"/>
      <c r="AW703" s="319"/>
      <c r="AX703" s="319"/>
      <c r="AY703" s="319"/>
      <c r="AZ703" s="319"/>
      <c r="BA703" s="335"/>
      <c r="BB703" s="319"/>
      <c r="BC703" s="319"/>
      <c r="BD703" s="319"/>
      <c r="BE703" s="319"/>
      <c r="BF703" s="335"/>
      <c r="BG703" s="319"/>
      <c r="BH703" s="319"/>
      <c r="BI703" s="319"/>
      <c r="BJ703" s="319"/>
      <c r="BK703" s="335"/>
      <c r="BL703" s="319"/>
      <c r="BM703" s="319"/>
      <c r="BN703" s="319"/>
      <c r="BO703" s="319"/>
      <c r="BP703" s="335"/>
      <c r="BQ703" s="319">
        <f t="shared" si="3233"/>
        <v>-0.1545530493</v>
      </c>
      <c r="BR703" s="319">
        <f t="shared" ref="BR703:BT703" si="3239">BR674/BQ674-1</f>
        <v>0.5148221344</v>
      </c>
      <c r="BS703" s="319">
        <f t="shared" si="3239"/>
        <v>-0.1011089367</v>
      </c>
      <c r="BT703" s="319">
        <f t="shared" si="3239"/>
        <v>0.2358490566</v>
      </c>
      <c r="BU703" s="335"/>
      <c r="BV703" s="319">
        <f t="shared" si="3235"/>
        <v>-0.08866705813</v>
      </c>
      <c r="BW703" s="319">
        <f t="shared" ref="BW703:BY703" si="3240">BW674/BV674-1</f>
        <v>0.1578608247</v>
      </c>
      <c r="BX703" s="319">
        <f t="shared" si="3240"/>
        <v>0.02782415136</v>
      </c>
      <c r="BY703" s="319">
        <f t="shared" si="3240"/>
        <v>0.1721710883</v>
      </c>
      <c r="BZ703" s="342"/>
      <c r="CA703" s="319"/>
      <c r="CB703" s="319"/>
      <c r="CC703" s="319"/>
      <c r="CD703" s="319"/>
      <c r="CE703" s="342"/>
      <c r="CF703" s="319"/>
      <c r="CG703" s="319"/>
      <c r="CH703" s="319"/>
      <c r="CI703" s="319"/>
      <c r="CJ703" s="342"/>
      <c r="CK703" s="319"/>
      <c r="CL703" s="319"/>
      <c r="CM703" s="319"/>
      <c r="CN703" s="321"/>
      <c r="CO703" s="342"/>
      <c r="CP703" s="321"/>
      <c r="CQ703" s="319"/>
      <c r="CR703" s="319"/>
      <c r="CS703" s="319"/>
      <c r="CT703" s="342"/>
      <c r="CU703" s="319"/>
      <c r="CV703" s="319"/>
      <c r="CW703" s="319"/>
      <c r="CX703" s="319"/>
      <c r="CY703" s="342"/>
      <c r="CZ703" s="319"/>
      <c r="DA703" s="319"/>
      <c r="DB703" s="319"/>
      <c r="DC703" s="319"/>
      <c r="DD703" s="342"/>
      <c r="DE703" s="319"/>
      <c r="DF703" s="319"/>
      <c r="DG703" s="321"/>
      <c r="DH703" s="319"/>
      <c r="DI703" s="342"/>
      <c r="DJ703" s="321"/>
      <c r="DK703" s="321"/>
      <c r="DL703" s="321"/>
      <c r="DM703" s="319"/>
      <c r="DN703" s="342"/>
      <c r="DO703" s="319"/>
      <c r="DP703" s="319"/>
      <c r="DQ703" s="319"/>
      <c r="DR703" s="319"/>
      <c r="DS703" s="342"/>
      <c r="DT703" s="319"/>
      <c r="DU703" s="319"/>
      <c r="DV703" s="319"/>
      <c r="DW703" s="319"/>
      <c r="DX703" s="342"/>
      <c r="DY703" s="319"/>
      <c r="DZ703" s="319"/>
      <c r="EA703" s="319"/>
      <c r="EB703" s="319"/>
      <c r="EC703" s="342"/>
      <c r="ED703" s="319"/>
      <c r="EE703" s="319"/>
      <c r="EF703" s="319"/>
      <c r="EG703" s="319"/>
      <c r="EH703" s="342"/>
      <c r="EI703" s="322"/>
      <c r="EJ703" s="319"/>
      <c r="EK703" s="319"/>
      <c r="EL703" s="319"/>
      <c r="EM703" s="342"/>
      <c r="EN703" s="319"/>
      <c r="EO703" s="319"/>
      <c r="EP703" s="319"/>
      <c r="EQ703" s="319"/>
      <c r="ER703" s="342"/>
      <c r="ES703" s="319"/>
      <c r="ET703" s="319"/>
      <c r="EU703" s="319"/>
      <c r="EV703" s="319"/>
      <c r="EW703" s="342"/>
      <c r="EX703" s="319"/>
      <c r="EY703" s="319"/>
      <c r="EZ703" s="319"/>
      <c r="FA703" s="319"/>
      <c r="FB703" s="342"/>
      <c r="FC703" s="319"/>
      <c r="FD703" s="319"/>
      <c r="FE703" s="319"/>
      <c r="FF703" s="319"/>
      <c r="FG703" s="342"/>
      <c r="FH703" s="343"/>
      <c r="FI703" s="319"/>
      <c r="FJ703" s="319"/>
      <c r="FK703" s="335"/>
      <c r="FL703" s="319"/>
    </row>
    <row r="704" ht="12.75" hidden="1" customHeight="1" outlineLevel="2">
      <c r="A704" s="4"/>
      <c r="B704" s="72" t="str">
        <f t="shared" si="3230"/>
        <v>Chipsets, MBs and other</v>
      </c>
      <c r="C704" s="4"/>
      <c r="D704" s="319"/>
      <c r="E704" s="319"/>
      <c r="F704" s="319"/>
      <c r="G704" s="319"/>
      <c r="H704" s="335"/>
      <c r="I704" s="319"/>
      <c r="J704" s="319"/>
      <c r="K704" s="319"/>
      <c r="L704" s="319"/>
      <c r="M704" s="335"/>
      <c r="N704" s="319"/>
      <c r="O704" s="319"/>
      <c r="P704" s="319"/>
      <c r="Q704" s="319"/>
      <c r="R704" s="335"/>
      <c r="S704" s="319"/>
      <c r="T704" s="319"/>
      <c r="U704" s="319"/>
      <c r="V704" s="319"/>
      <c r="W704" s="335"/>
      <c r="X704" s="319"/>
      <c r="Y704" s="319"/>
      <c r="Z704" s="319"/>
      <c r="AA704" s="319"/>
      <c r="AB704" s="335"/>
      <c r="AC704" s="319"/>
      <c r="AD704" s="319"/>
      <c r="AE704" s="319"/>
      <c r="AF704" s="319"/>
      <c r="AG704" s="335"/>
      <c r="AH704" s="319"/>
      <c r="AI704" s="319"/>
      <c r="AJ704" s="319"/>
      <c r="AK704" s="319"/>
      <c r="AL704" s="335"/>
      <c r="AM704" s="319"/>
      <c r="AN704" s="319"/>
      <c r="AO704" s="319"/>
      <c r="AP704" s="319"/>
      <c r="AQ704" s="335"/>
      <c r="AR704" s="319"/>
      <c r="AS704" s="319"/>
      <c r="AT704" s="319"/>
      <c r="AU704" s="319"/>
      <c r="AV704" s="335"/>
      <c r="AW704" s="319"/>
      <c r="AX704" s="319"/>
      <c r="AY704" s="319"/>
      <c r="AZ704" s="319"/>
      <c r="BA704" s="335"/>
      <c r="BB704" s="319"/>
      <c r="BC704" s="319"/>
      <c r="BD704" s="319"/>
      <c r="BE704" s="319"/>
      <c r="BF704" s="335"/>
      <c r="BG704" s="319"/>
      <c r="BH704" s="319"/>
      <c r="BI704" s="319"/>
      <c r="BJ704" s="319"/>
      <c r="BK704" s="335"/>
      <c r="BL704" s="319"/>
      <c r="BM704" s="319"/>
      <c r="BN704" s="319"/>
      <c r="BO704" s="319"/>
      <c r="BP704" s="335"/>
      <c r="BQ704" s="319">
        <f t="shared" si="3233"/>
        <v>-0.1428571429</v>
      </c>
      <c r="BR704" s="319">
        <f t="shared" ref="BR704:BT704" si="3241">BR675/BQ675-1</f>
        <v>0.1865079365</v>
      </c>
      <c r="BS704" s="319">
        <f t="shared" si="3241"/>
        <v>-0.003344481605</v>
      </c>
      <c r="BT704" s="319">
        <f t="shared" si="3241"/>
        <v>0.07718120805</v>
      </c>
      <c r="BU704" s="335"/>
      <c r="BV704" s="319">
        <f t="shared" si="3235"/>
        <v>-0.006230529595</v>
      </c>
      <c r="BW704" s="319">
        <f t="shared" ref="BW704:BY704" si="3242">BW675/BV675-1</f>
        <v>-0.006269592476</v>
      </c>
      <c r="BX704" s="319">
        <f t="shared" si="3242"/>
        <v>0.06940063091</v>
      </c>
      <c r="BY704" s="319">
        <f t="shared" si="3242"/>
        <v>0.05309734513</v>
      </c>
      <c r="BZ704" s="342"/>
      <c r="CA704" s="319"/>
      <c r="CB704" s="319"/>
      <c r="CC704" s="319"/>
      <c r="CD704" s="319"/>
      <c r="CE704" s="342"/>
      <c r="CF704" s="319"/>
      <c r="CG704" s="319"/>
      <c r="CH704" s="319"/>
      <c r="CI704" s="319"/>
      <c r="CJ704" s="342"/>
      <c r="CK704" s="319"/>
      <c r="CL704" s="319"/>
      <c r="CM704" s="319"/>
      <c r="CN704" s="321"/>
      <c r="CO704" s="342"/>
      <c r="CP704" s="321"/>
      <c r="CQ704" s="319"/>
      <c r="CR704" s="319"/>
      <c r="CS704" s="319"/>
      <c r="CT704" s="342"/>
      <c r="CU704" s="319"/>
      <c r="CV704" s="319"/>
      <c r="CW704" s="319"/>
      <c r="CX704" s="319"/>
      <c r="CY704" s="342"/>
      <c r="CZ704" s="319"/>
      <c r="DA704" s="319"/>
      <c r="DB704" s="319"/>
      <c r="DC704" s="319"/>
      <c r="DD704" s="342"/>
      <c r="DE704" s="319"/>
      <c r="DF704" s="319"/>
      <c r="DG704" s="321"/>
      <c r="DH704" s="319"/>
      <c r="DI704" s="342"/>
      <c r="DJ704" s="321"/>
      <c r="DK704" s="321"/>
      <c r="DL704" s="321"/>
      <c r="DM704" s="319"/>
      <c r="DN704" s="342"/>
      <c r="DO704" s="319"/>
      <c r="DP704" s="319"/>
      <c r="DQ704" s="319"/>
      <c r="DR704" s="319"/>
      <c r="DS704" s="342"/>
      <c r="DT704" s="319"/>
      <c r="DU704" s="319"/>
      <c r="DV704" s="319"/>
      <c r="DW704" s="319"/>
      <c r="DX704" s="342"/>
      <c r="DY704" s="319"/>
      <c r="DZ704" s="319"/>
      <c r="EA704" s="319"/>
      <c r="EB704" s="319"/>
      <c r="EC704" s="342"/>
      <c r="ED704" s="319"/>
      <c r="EE704" s="319"/>
      <c r="EF704" s="319"/>
      <c r="EG704" s="319"/>
      <c r="EH704" s="342"/>
      <c r="EI704" s="322"/>
      <c r="EJ704" s="319"/>
      <c r="EK704" s="319"/>
      <c r="EL704" s="319"/>
      <c r="EM704" s="342"/>
      <c r="EN704" s="319"/>
      <c r="EO704" s="319"/>
      <c r="EP704" s="319"/>
      <c r="EQ704" s="319"/>
      <c r="ER704" s="342"/>
      <c r="ES704" s="319"/>
      <c r="ET704" s="319"/>
      <c r="EU704" s="319"/>
      <c r="EV704" s="319"/>
      <c r="EW704" s="342"/>
      <c r="EX704" s="319"/>
      <c r="EY704" s="319"/>
      <c r="EZ704" s="319"/>
      <c r="FA704" s="319"/>
      <c r="FB704" s="342"/>
      <c r="FC704" s="319"/>
      <c r="FD704" s="319"/>
      <c r="FE704" s="319"/>
      <c r="FF704" s="319"/>
      <c r="FG704" s="342"/>
      <c r="FH704" s="343"/>
      <c r="FI704" s="319"/>
      <c r="FJ704" s="319"/>
      <c r="FK704" s="335"/>
      <c r="FL704" s="319"/>
    </row>
    <row r="705" ht="12.75" hidden="1" customHeight="1" outlineLevel="2">
      <c r="A705" s="4"/>
      <c r="B705" s="215" t="str">
        <f t="shared" si="3230"/>
        <v>Data Center Group</v>
      </c>
      <c r="C705" s="4"/>
      <c r="D705" s="335"/>
      <c r="E705" s="335"/>
      <c r="F705" s="335"/>
      <c r="G705" s="335"/>
      <c r="H705" s="335"/>
      <c r="I705" s="335"/>
      <c r="J705" s="335"/>
      <c r="K705" s="335"/>
      <c r="L705" s="335"/>
      <c r="M705" s="335"/>
      <c r="N705" s="335"/>
      <c r="O705" s="335"/>
      <c r="P705" s="335"/>
      <c r="Q705" s="335"/>
      <c r="R705" s="335"/>
      <c r="S705" s="335"/>
      <c r="T705" s="335"/>
      <c r="U705" s="335"/>
      <c r="V705" s="335"/>
      <c r="W705" s="335"/>
      <c r="X705" s="335"/>
      <c r="Y705" s="335"/>
      <c r="Z705" s="335"/>
      <c r="AA705" s="335"/>
      <c r="AB705" s="335"/>
      <c r="AC705" s="335"/>
      <c r="AD705" s="335"/>
      <c r="AE705" s="335"/>
      <c r="AF705" s="335"/>
      <c r="AG705" s="335"/>
      <c r="AH705" s="335"/>
      <c r="AI705" s="335"/>
      <c r="AJ705" s="335"/>
      <c r="AK705" s="335"/>
      <c r="AL705" s="335"/>
      <c r="AM705" s="335"/>
      <c r="AN705" s="335"/>
      <c r="AO705" s="335"/>
      <c r="AP705" s="335"/>
      <c r="AQ705" s="335"/>
      <c r="AR705" s="335"/>
      <c r="AS705" s="335"/>
      <c r="AT705" s="335"/>
      <c r="AU705" s="335"/>
      <c r="AV705" s="335"/>
      <c r="AW705" s="335"/>
      <c r="AX705" s="335"/>
      <c r="AY705" s="335"/>
      <c r="AZ705" s="335"/>
      <c r="BA705" s="335"/>
      <c r="BB705" s="335"/>
      <c r="BC705" s="335"/>
      <c r="BD705" s="335"/>
      <c r="BE705" s="335"/>
      <c r="BF705" s="335"/>
      <c r="BG705" s="335"/>
      <c r="BH705" s="335"/>
      <c r="BI705" s="335"/>
      <c r="BJ705" s="335"/>
      <c r="BK705" s="335"/>
      <c r="BL705" s="335"/>
      <c r="BM705" s="335"/>
      <c r="BN705" s="335"/>
      <c r="BO705" s="335"/>
      <c r="BP705" s="335"/>
      <c r="BQ705" s="335">
        <f t="shared" si="3233"/>
        <v>-0.1522468142</v>
      </c>
      <c r="BR705" s="335">
        <f t="shared" ref="BR705:BT705" si="3243">BR676/BQ676-1</f>
        <v>0.4493670886</v>
      </c>
      <c r="BS705" s="335">
        <f t="shared" si="3243"/>
        <v>-0.08515283843</v>
      </c>
      <c r="BT705" s="335">
        <f t="shared" si="3243"/>
        <v>0.2076372315</v>
      </c>
      <c r="BU705" s="335"/>
      <c r="BV705" s="335">
        <f t="shared" si="3235"/>
        <v>-0.07559288538</v>
      </c>
      <c r="BW705" s="335">
        <f t="shared" ref="BW705:BY705" si="3244">BW676/BV676-1</f>
        <v>0.1298770711</v>
      </c>
      <c r="BX705" s="335">
        <f t="shared" si="3244"/>
        <v>0.03405865658</v>
      </c>
      <c r="BY705" s="335">
        <f t="shared" si="3244"/>
        <v>0.153705398</v>
      </c>
      <c r="BZ705" s="342"/>
      <c r="CA705" s="335"/>
      <c r="CB705" s="335"/>
      <c r="CC705" s="335"/>
      <c r="CD705" s="335"/>
      <c r="CE705" s="342"/>
      <c r="CF705" s="335"/>
      <c r="CG705" s="335"/>
      <c r="CH705" s="335"/>
      <c r="CI705" s="335"/>
      <c r="CJ705" s="342"/>
      <c r="CK705" s="335"/>
      <c r="CL705" s="335"/>
      <c r="CM705" s="335"/>
      <c r="CN705" s="343"/>
      <c r="CO705" s="342"/>
      <c r="CP705" s="343"/>
      <c r="CQ705" s="335"/>
      <c r="CR705" s="335"/>
      <c r="CS705" s="335"/>
      <c r="CT705" s="342"/>
      <c r="CU705" s="335"/>
      <c r="CV705" s="335"/>
      <c r="CW705" s="335"/>
      <c r="CX705" s="335"/>
      <c r="CY705" s="342"/>
      <c r="CZ705" s="335"/>
      <c r="DA705" s="335"/>
      <c r="DB705" s="335"/>
      <c r="DC705" s="335"/>
      <c r="DD705" s="342"/>
      <c r="DE705" s="335"/>
      <c r="DF705" s="335"/>
      <c r="DG705" s="343"/>
      <c r="DH705" s="335"/>
      <c r="DI705" s="342"/>
      <c r="DJ705" s="343"/>
      <c r="DK705" s="343"/>
      <c r="DL705" s="343"/>
      <c r="DM705" s="335"/>
      <c r="DN705" s="342"/>
      <c r="DO705" s="335"/>
      <c r="DP705" s="335"/>
      <c r="DQ705" s="335"/>
      <c r="DR705" s="335"/>
      <c r="DS705" s="342"/>
      <c r="DT705" s="335"/>
      <c r="DU705" s="335"/>
      <c r="DV705" s="335"/>
      <c r="DW705" s="335"/>
      <c r="DX705" s="342"/>
      <c r="DY705" s="335"/>
      <c r="DZ705" s="335"/>
      <c r="EA705" s="335"/>
      <c r="EB705" s="335"/>
      <c r="EC705" s="342"/>
      <c r="ED705" s="335"/>
      <c r="EE705" s="335"/>
      <c r="EF705" s="335"/>
      <c r="EG705" s="335"/>
      <c r="EH705" s="342"/>
      <c r="EI705" s="600"/>
      <c r="EJ705" s="335"/>
      <c r="EK705" s="335"/>
      <c r="EL705" s="335"/>
      <c r="EM705" s="342"/>
      <c r="EN705" s="335"/>
      <c r="EO705" s="335"/>
      <c r="EP705" s="335"/>
      <c r="EQ705" s="335"/>
      <c r="ER705" s="342"/>
      <c r="ES705" s="335"/>
      <c r="ET705" s="335"/>
      <c r="EU705" s="335"/>
      <c r="EV705" s="335"/>
      <c r="EW705" s="342"/>
      <c r="EX705" s="335"/>
      <c r="EY705" s="335"/>
      <c r="EZ705" s="335"/>
      <c r="FA705" s="335"/>
      <c r="FB705" s="342"/>
      <c r="FC705" s="335"/>
      <c r="FD705" s="335"/>
      <c r="FE705" s="335"/>
      <c r="FF705" s="335"/>
      <c r="FG705" s="342"/>
      <c r="FH705" s="343"/>
      <c r="FI705" s="335"/>
      <c r="FJ705" s="335"/>
      <c r="FK705" s="335"/>
      <c r="FL705" s="335"/>
    </row>
    <row r="706" ht="12.75" hidden="1" customHeight="1" outlineLevel="2">
      <c r="A706" s="45"/>
      <c r="B706" s="215" t="str">
        <f t="shared" si="3230"/>
        <v>Other IAG</v>
      </c>
      <c r="C706" s="45"/>
      <c r="D706" s="335"/>
      <c r="E706" s="335"/>
      <c r="F706" s="335"/>
      <c r="G706" s="335"/>
      <c r="H706" s="335"/>
      <c r="I706" s="335"/>
      <c r="J706" s="335"/>
      <c r="K706" s="335"/>
      <c r="L706" s="335"/>
      <c r="M706" s="335"/>
      <c r="N706" s="335"/>
      <c r="O706" s="335"/>
      <c r="P706" s="335"/>
      <c r="Q706" s="335"/>
      <c r="R706" s="335"/>
      <c r="S706" s="335"/>
      <c r="T706" s="335"/>
      <c r="U706" s="335"/>
      <c r="V706" s="335"/>
      <c r="W706" s="335"/>
      <c r="X706" s="335"/>
      <c r="Y706" s="335"/>
      <c r="Z706" s="335"/>
      <c r="AA706" s="335"/>
      <c r="AB706" s="335"/>
      <c r="AC706" s="335"/>
      <c r="AD706" s="335"/>
      <c r="AE706" s="335"/>
      <c r="AF706" s="335"/>
      <c r="AG706" s="335"/>
      <c r="AH706" s="335"/>
      <c r="AI706" s="335"/>
      <c r="AJ706" s="335"/>
      <c r="AK706" s="335"/>
      <c r="AL706" s="335"/>
      <c r="AM706" s="335"/>
      <c r="AN706" s="335"/>
      <c r="AO706" s="335"/>
      <c r="AP706" s="335"/>
      <c r="AQ706" s="335"/>
      <c r="AR706" s="335"/>
      <c r="AS706" s="335"/>
      <c r="AT706" s="335"/>
      <c r="AU706" s="335"/>
      <c r="AV706" s="335"/>
      <c r="AW706" s="335"/>
      <c r="AX706" s="335"/>
      <c r="AY706" s="335"/>
      <c r="AZ706" s="335"/>
      <c r="BA706" s="335"/>
      <c r="BB706" s="335"/>
      <c r="BC706" s="335"/>
      <c r="BD706" s="335"/>
      <c r="BE706" s="335"/>
      <c r="BF706" s="335"/>
      <c r="BG706" s="335"/>
      <c r="BH706" s="335"/>
      <c r="BI706" s="335"/>
      <c r="BJ706" s="335"/>
      <c r="BK706" s="335"/>
      <c r="BL706" s="335"/>
      <c r="BM706" s="335"/>
      <c r="BN706" s="335"/>
      <c r="BO706" s="335"/>
      <c r="BP706" s="335"/>
      <c r="BQ706" s="335">
        <f t="shared" si="3233"/>
        <v>-0.1212938005</v>
      </c>
      <c r="BR706" s="335">
        <f t="shared" ref="BR706:BT706" si="3245">BR677/BQ677-1</f>
        <v>0.226993865</v>
      </c>
      <c r="BS706" s="335">
        <f t="shared" si="3245"/>
        <v>-0.155</v>
      </c>
      <c r="BT706" s="335">
        <f t="shared" si="3245"/>
        <v>0.2189349112</v>
      </c>
      <c r="BU706" s="335"/>
      <c r="BV706" s="335">
        <f t="shared" si="3235"/>
        <v>-0.08980582524</v>
      </c>
      <c r="BW706" s="335">
        <f t="shared" ref="BW706:BY706" si="3246">BW677/BV677-1</f>
        <v>0.112</v>
      </c>
      <c r="BX706" s="335">
        <f t="shared" si="3246"/>
        <v>0.1870503597</v>
      </c>
      <c r="BY706" s="335">
        <f t="shared" si="3246"/>
        <v>0.00404040404</v>
      </c>
      <c r="BZ706" s="342"/>
      <c r="CA706" s="335"/>
      <c r="CB706" s="335"/>
      <c r="CC706" s="335"/>
      <c r="CD706" s="335"/>
      <c r="CE706" s="342"/>
      <c r="CF706" s="335"/>
      <c r="CG706" s="335"/>
      <c r="CH706" s="335"/>
      <c r="CI706" s="335"/>
      <c r="CJ706" s="342"/>
      <c r="CK706" s="335"/>
      <c r="CL706" s="335"/>
      <c r="CM706" s="335"/>
      <c r="CN706" s="343"/>
      <c r="CO706" s="342"/>
      <c r="CP706" s="343"/>
      <c r="CQ706" s="335"/>
      <c r="CR706" s="335"/>
      <c r="CS706" s="335"/>
      <c r="CT706" s="342"/>
      <c r="CU706" s="335"/>
      <c r="CV706" s="335"/>
      <c r="CW706" s="335"/>
      <c r="CX706" s="335"/>
      <c r="CY706" s="342"/>
      <c r="CZ706" s="335"/>
      <c r="DA706" s="335"/>
      <c r="DB706" s="335"/>
      <c r="DC706" s="335"/>
      <c r="DD706" s="342"/>
      <c r="DE706" s="335"/>
      <c r="DF706" s="335"/>
      <c r="DG706" s="343"/>
      <c r="DH706" s="335"/>
      <c r="DI706" s="342"/>
      <c r="DJ706" s="343"/>
      <c r="DK706" s="343"/>
      <c r="DL706" s="343"/>
      <c r="DM706" s="335"/>
      <c r="DN706" s="342"/>
      <c r="DO706" s="335"/>
      <c r="DP706" s="335"/>
      <c r="DQ706" s="335"/>
      <c r="DR706" s="335"/>
      <c r="DS706" s="342"/>
      <c r="DT706" s="335"/>
      <c r="DU706" s="335"/>
      <c r="DV706" s="335"/>
      <c r="DW706" s="335"/>
      <c r="DX706" s="342"/>
      <c r="DY706" s="335"/>
      <c r="DZ706" s="335"/>
      <c r="EA706" s="335"/>
      <c r="EB706" s="335"/>
      <c r="EC706" s="342"/>
      <c r="ED706" s="335"/>
      <c r="EE706" s="335"/>
      <c r="EF706" s="335"/>
      <c r="EG706" s="335"/>
      <c r="EH706" s="342"/>
      <c r="EI706" s="600"/>
      <c r="EJ706" s="335"/>
      <c r="EK706" s="335"/>
      <c r="EL706" s="335"/>
      <c r="EM706" s="342"/>
      <c r="EN706" s="335"/>
      <c r="EO706" s="335"/>
      <c r="EP706" s="335"/>
      <c r="EQ706" s="335"/>
      <c r="ER706" s="342"/>
      <c r="ES706" s="335"/>
      <c r="ET706" s="335"/>
      <c r="EU706" s="335"/>
      <c r="EV706" s="335"/>
      <c r="EW706" s="342"/>
      <c r="EX706" s="335"/>
      <c r="EY706" s="335"/>
      <c r="EZ706" s="335"/>
      <c r="FA706" s="335"/>
      <c r="FB706" s="342"/>
      <c r="FC706" s="335"/>
      <c r="FD706" s="335"/>
      <c r="FE706" s="335"/>
      <c r="FF706" s="335"/>
      <c r="FG706" s="342"/>
      <c r="FH706" s="343"/>
      <c r="FI706" s="335"/>
      <c r="FJ706" s="335"/>
      <c r="FK706" s="335"/>
      <c r="FL706" s="335"/>
    </row>
    <row r="707" ht="12.75" hidden="1" customHeight="1" outlineLevel="2">
      <c r="A707" s="4"/>
      <c r="B707" s="215" t="str">
        <f t="shared" si="3230"/>
        <v>IAG Subtotal</v>
      </c>
      <c r="C707" s="45"/>
      <c r="D707" s="335"/>
      <c r="E707" s="335"/>
      <c r="F707" s="335"/>
      <c r="G707" s="335"/>
      <c r="H707" s="335"/>
      <c r="I707" s="335"/>
      <c r="J707" s="335"/>
      <c r="K707" s="335"/>
      <c r="L707" s="335"/>
      <c r="M707" s="335"/>
      <c r="N707" s="335"/>
      <c r="O707" s="335"/>
      <c r="P707" s="335"/>
      <c r="Q707" s="335"/>
      <c r="R707" s="335"/>
      <c r="S707" s="335"/>
      <c r="T707" s="335"/>
      <c r="U707" s="335"/>
      <c r="V707" s="335"/>
      <c r="W707" s="335"/>
      <c r="X707" s="335"/>
      <c r="Y707" s="335"/>
      <c r="Z707" s="335"/>
      <c r="AA707" s="335"/>
      <c r="AB707" s="335"/>
      <c r="AC707" s="335"/>
      <c r="AD707" s="335"/>
      <c r="AE707" s="335"/>
      <c r="AF707" s="335"/>
      <c r="AG707" s="335"/>
      <c r="AH707" s="335"/>
      <c r="AI707" s="335"/>
      <c r="AJ707" s="335"/>
      <c r="AK707" s="335"/>
      <c r="AL707" s="335"/>
      <c r="AM707" s="335"/>
      <c r="AN707" s="335"/>
      <c r="AO707" s="335"/>
      <c r="AP707" s="335"/>
      <c r="AQ707" s="335"/>
      <c r="AR707" s="335"/>
      <c r="AS707" s="335"/>
      <c r="AT707" s="335"/>
      <c r="AU707" s="335"/>
      <c r="AV707" s="335"/>
      <c r="AW707" s="335"/>
      <c r="AX707" s="335"/>
      <c r="AY707" s="335"/>
      <c r="AZ707" s="335"/>
      <c r="BA707" s="335"/>
      <c r="BB707" s="335"/>
      <c r="BC707" s="335"/>
      <c r="BD707" s="335"/>
      <c r="BE707" s="335"/>
      <c r="BF707" s="335"/>
      <c r="BG707" s="335"/>
      <c r="BH707" s="335"/>
      <c r="BI707" s="335"/>
      <c r="BJ707" s="335"/>
      <c r="BK707" s="335"/>
      <c r="BL707" s="335"/>
      <c r="BM707" s="335"/>
      <c r="BN707" s="335"/>
      <c r="BO707" s="335"/>
      <c r="BP707" s="335"/>
      <c r="BQ707" s="335">
        <f t="shared" si="3233"/>
        <v>-0.1323180627</v>
      </c>
      <c r="BR707" s="335">
        <f t="shared" ref="BR707:BT707" si="3247">BR678/BQ678-1</f>
        <v>0.2854265573</v>
      </c>
      <c r="BS707" s="335">
        <f t="shared" si="3247"/>
        <v>0.01510912143</v>
      </c>
      <c r="BT707" s="335">
        <f t="shared" si="3247"/>
        <v>0.1239250276</v>
      </c>
      <c r="BU707" s="335"/>
      <c r="BV707" s="335">
        <f t="shared" si="3235"/>
        <v>-0.02687855601</v>
      </c>
      <c r="BW707" s="335">
        <f t="shared" ref="BW707:BY707" si="3248">BW678/BV678-1</f>
        <v>0.04536290323</v>
      </c>
      <c r="BX707" s="335">
        <f t="shared" si="3248"/>
        <v>0.03529411765</v>
      </c>
      <c r="BY707" s="335">
        <f t="shared" si="3248"/>
        <v>0.02915424739</v>
      </c>
      <c r="BZ707" s="342"/>
      <c r="CA707" s="335"/>
      <c r="CB707" s="335"/>
      <c r="CC707" s="335"/>
      <c r="CD707" s="335"/>
      <c r="CE707" s="342"/>
      <c r="CF707" s="335"/>
      <c r="CG707" s="335"/>
      <c r="CH707" s="335"/>
      <c r="CI707" s="335"/>
      <c r="CJ707" s="342"/>
      <c r="CK707" s="335"/>
      <c r="CL707" s="335"/>
      <c r="CM707" s="335"/>
      <c r="CN707" s="343"/>
      <c r="CO707" s="342"/>
      <c r="CP707" s="343"/>
      <c r="CQ707" s="335"/>
      <c r="CR707" s="335"/>
      <c r="CS707" s="335"/>
      <c r="CT707" s="342"/>
      <c r="CU707" s="335"/>
      <c r="CV707" s="335"/>
      <c r="CW707" s="335"/>
      <c r="CX707" s="335"/>
      <c r="CY707" s="342"/>
      <c r="CZ707" s="335"/>
      <c r="DA707" s="335"/>
      <c r="DB707" s="335"/>
      <c r="DC707" s="335"/>
      <c r="DD707" s="342"/>
      <c r="DE707" s="335"/>
      <c r="DF707" s="335"/>
      <c r="DG707" s="343"/>
      <c r="DH707" s="335"/>
      <c r="DI707" s="342"/>
      <c r="DJ707" s="343"/>
      <c r="DK707" s="343"/>
      <c r="DL707" s="343"/>
      <c r="DM707" s="335"/>
      <c r="DN707" s="342"/>
      <c r="DO707" s="335"/>
      <c r="DP707" s="335"/>
      <c r="DQ707" s="335"/>
      <c r="DR707" s="335"/>
      <c r="DS707" s="342"/>
      <c r="DT707" s="335"/>
      <c r="DU707" s="335"/>
      <c r="DV707" s="335"/>
      <c r="DW707" s="335"/>
      <c r="DX707" s="342"/>
      <c r="DY707" s="335"/>
      <c r="DZ707" s="335"/>
      <c r="EA707" s="335"/>
      <c r="EB707" s="335"/>
      <c r="EC707" s="342"/>
      <c r="ED707" s="335"/>
      <c r="EE707" s="335"/>
      <c r="EF707" s="335"/>
      <c r="EG707" s="335"/>
      <c r="EH707" s="342"/>
      <c r="EI707" s="600"/>
      <c r="EJ707" s="335"/>
      <c r="EK707" s="335"/>
      <c r="EL707" s="335"/>
      <c r="EM707" s="342"/>
      <c r="EN707" s="335"/>
      <c r="EO707" s="335"/>
      <c r="EP707" s="335"/>
      <c r="EQ707" s="335"/>
      <c r="ER707" s="342"/>
      <c r="ES707" s="335"/>
      <c r="ET707" s="335"/>
      <c r="EU707" s="335"/>
      <c r="EV707" s="335"/>
      <c r="EW707" s="342"/>
      <c r="EX707" s="335"/>
      <c r="EY707" s="335"/>
      <c r="EZ707" s="335"/>
      <c r="FA707" s="335"/>
      <c r="FB707" s="342"/>
      <c r="FC707" s="335"/>
      <c r="FD707" s="335"/>
      <c r="FE707" s="335"/>
      <c r="FF707" s="335"/>
      <c r="FG707" s="342"/>
      <c r="FH707" s="343"/>
      <c r="FI707" s="335"/>
      <c r="FJ707" s="335"/>
      <c r="FK707" s="335"/>
      <c r="FL707" s="335"/>
    </row>
    <row r="708" ht="12.75" hidden="1" customHeight="1" outlineLevel="2">
      <c r="A708" s="4"/>
      <c r="B708" s="215" t="str">
        <f t="shared" ref="B708:B709" si="3251">B681</f>
        <v>Other Operating Groups</v>
      </c>
      <c r="C708" s="45"/>
      <c r="D708" s="335"/>
      <c r="E708" s="335"/>
      <c r="F708" s="335"/>
      <c r="G708" s="335"/>
      <c r="H708" s="335"/>
      <c r="I708" s="335"/>
      <c r="J708" s="335"/>
      <c r="K708" s="335"/>
      <c r="L708" s="335"/>
      <c r="M708" s="335"/>
      <c r="N708" s="335"/>
      <c r="O708" s="335"/>
      <c r="P708" s="335"/>
      <c r="Q708" s="335"/>
      <c r="R708" s="335"/>
      <c r="S708" s="335"/>
      <c r="T708" s="335"/>
      <c r="U708" s="335"/>
      <c r="V708" s="335"/>
      <c r="W708" s="335"/>
      <c r="X708" s="335"/>
      <c r="Y708" s="335"/>
      <c r="Z708" s="335"/>
      <c r="AA708" s="335"/>
      <c r="AB708" s="335"/>
      <c r="AC708" s="335"/>
      <c r="AD708" s="335"/>
      <c r="AE708" s="335"/>
      <c r="AF708" s="335"/>
      <c r="AG708" s="335"/>
      <c r="AH708" s="335"/>
      <c r="AI708" s="335"/>
      <c r="AJ708" s="335"/>
      <c r="AK708" s="335"/>
      <c r="AL708" s="335"/>
      <c r="AM708" s="335"/>
      <c r="AN708" s="335"/>
      <c r="AO708" s="335"/>
      <c r="AP708" s="335"/>
      <c r="AQ708" s="335"/>
      <c r="AR708" s="335"/>
      <c r="AS708" s="335"/>
      <c r="AT708" s="335"/>
      <c r="AU708" s="335"/>
      <c r="AV708" s="335"/>
      <c r="AW708" s="335"/>
      <c r="AX708" s="335"/>
      <c r="AY708" s="335"/>
      <c r="AZ708" s="335"/>
      <c r="BA708" s="335"/>
      <c r="BB708" s="335"/>
      <c r="BC708" s="335"/>
      <c r="BD708" s="335"/>
      <c r="BE708" s="335"/>
      <c r="BF708" s="335"/>
      <c r="BG708" s="335"/>
      <c r="BH708" s="335"/>
      <c r="BI708" s="335"/>
      <c r="BJ708" s="335"/>
      <c r="BK708" s="335"/>
      <c r="BL708" s="335"/>
      <c r="BM708" s="335"/>
      <c r="BN708" s="335"/>
      <c r="BO708" s="335"/>
      <c r="BP708" s="335"/>
      <c r="BQ708" s="335">
        <f>BQ681/BO681-1</f>
        <v>0.07971014493</v>
      </c>
      <c r="BR708" s="335">
        <f t="shared" ref="BR708:BT708" si="3249">BR681/BQ681-1</f>
        <v>0.7181208054</v>
      </c>
      <c r="BS708" s="335">
        <f t="shared" si="3249"/>
        <v>0.1015625</v>
      </c>
      <c r="BT708" s="335">
        <f t="shared" si="3249"/>
        <v>0.2978723404</v>
      </c>
      <c r="BU708" s="335"/>
      <c r="BV708" s="335">
        <f>BV681/BT681-1</f>
        <v>0.008196721311</v>
      </c>
      <c r="BW708" s="335">
        <f t="shared" ref="BW708:BY708" si="3250">BW681/BV681-1</f>
        <v>0.0460704607</v>
      </c>
      <c r="BX708" s="335">
        <f t="shared" si="3250"/>
        <v>-0.0829015544</v>
      </c>
      <c r="BY708" s="335">
        <f t="shared" si="3250"/>
        <v>0.1073446328</v>
      </c>
      <c r="BZ708" s="342"/>
      <c r="CA708" s="335"/>
      <c r="CB708" s="335"/>
      <c r="CC708" s="335"/>
      <c r="CD708" s="335"/>
      <c r="CE708" s="342"/>
      <c r="CF708" s="335"/>
      <c r="CG708" s="335"/>
      <c r="CH708" s="335"/>
      <c r="CI708" s="335"/>
      <c r="CJ708" s="342"/>
      <c r="CK708" s="335"/>
      <c r="CL708" s="335"/>
      <c r="CM708" s="335"/>
      <c r="CN708" s="343"/>
      <c r="CO708" s="342"/>
      <c r="CP708" s="343"/>
      <c r="CQ708" s="335"/>
      <c r="CR708" s="335"/>
      <c r="CS708" s="335"/>
      <c r="CT708" s="342"/>
      <c r="CU708" s="335"/>
      <c r="CV708" s="335"/>
      <c r="CW708" s="335"/>
      <c r="CX708" s="335"/>
      <c r="CY708" s="342"/>
      <c r="CZ708" s="335"/>
      <c r="DA708" s="335"/>
      <c r="DB708" s="335"/>
      <c r="DC708" s="335"/>
      <c r="DD708" s="342"/>
      <c r="DE708" s="335"/>
      <c r="DF708" s="335"/>
      <c r="DG708" s="343"/>
      <c r="DH708" s="335"/>
      <c r="DI708" s="342"/>
      <c r="DJ708" s="343"/>
      <c r="DK708" s="343"/>
      <c r="DL708" s="343"/>
      <c r="DM708" s="335"/>
      <c r="DN708" s="342"/>
      <c r="DO708" s="335"/>
      <c r="DP708" s="335"/>
      <c r="DQ708" s="335"/>
      <c r="DR708" s="335"/>
      <c r="DS708" s="342"/>
      <c r="DT708" s="335"/>
      <c r="DU708" s="335"/>
      <c r="DV708" s="335"/>
      <c r="DW708" s="335"/>
      <c r="DX708" s="342"/>
      <c r="DY708" s="335"/>
      <c r="DZ708" s="335"/>
      <c r="EA708" s="335"/>
      <c r="EB708" s="335"/>
      <c r="EC708" s="342"/>
      <c r="ED708" s="335"/>
      <c r="EE708" s="335"/>
      <c r="EF708" s="335"/>
      <c r="EG708" s="335"/>
      <c r="EH708" s="342"/>
      <c r="EI708" s="600"/>
      <c r="EJ708" s="335"/>
      <c r="EK708" s="335"/>
      <c r="EL708" s="335"/>
      <c r="EM708" s="342"/>
      <c r="EN708" s="335"/>
      <c r="EO708" s="335"/>
      <c r="EP708" s="335"/>
      <c r="EQ708" s="335"/>
      <c r="ER708" s="342"/>
      <c r="ES708" s="335"/>
      <c r="ET708" s="335"/>
      <c r="EU708" s="335"/>
      <c r="EV708" s="335"/>
      <c r="EW708" s="342"/>
      <c r="EX708" s="335"/>
      <c r="EY708" s="335"/>
      <c r="EZ708" s="335"/>
      <c r="FA708" s="335"/>
      <c r="FB708" s="342"/>
      <c r="FC708" s="335"/>
      <c r="FD708" s="335"/>
      <c r="FE708" s="335"/>
      <c r="FF708" s="335"/>
      <c r="FG708" s="342"/>
      <c r="FH708" s="343"/>
      <c r="FI708" s="335"/>
      <c r="FJ708" s="335"/>
      <c r="FK708" s="335"/>
      <c r="FL708" s="335"/>
    </row>
    <row r="709" ht="12.75" hidden="1" customHeight="1" outlineLevel="2">
      <c r="A709" s="45"/>
      <c r="B709" s="215" t="str">
        <f t="shared" si="3251"/>
        <v>Corporate</v>
      </c>
      <c r="C709" s="45"/>
      <c r="D709" s="335"/>
      <c r="E709" s="335"/>
      <c r="F709" s="335"/>
      <c r="G709" s="335"/>
      <c r="H709" s="335"/>
      <c r="I709" s="335"/>
      <c r="J709" s="335"/>
      <c r="K709" s="335"/>
      <c r="L709" s="335"/>
      <c r="M709" s="335"/>
      <c r="N709" s="335"/>
      <c r="O709" s="335"/>
      <c r="P709" s="335"/>
      <c r="Q709" s="335"/>
      <c r="R709" s="335"/>
      <c r="S709" s="335"/>
      <c r="T709" s="335"/>
      <c r="U709" s="335"/>
      <c r="V709" s="335"/>
      <c r="W709" s="335"/>
      <c r="X709" s="335"/>
      <c r="Y709" s="335"/>
      <c r="Z709" s="335"/>
      <c r="AA709" s="335"/>
      <c r="AB709" s="335"/>
      <c r="AC709" s="335"/>
      <c r="AD709" s="335"/>
      <c r="AE709" s="335"/>
      <c r="AF709" s="335"/>
      <c r="AG709" s="335"/>
      <c r="AH709" s="335"/>
      <c r="AI709" s="335"/>
      <c r="AJ709" s="335"/>
      <c r="AK709" s="335"/>
      <c r="AL709" s="335"/>
      <c r="AM709" s="335"/>
      <c r="AN709" s="335"/>
      <c r="AO709" s="335"/>
      <c r="AP709" s="335"/>
      <c r="AQ709" s="335"/>
      <c r="AR709" s="335"/>
      <c r="AS709" s="335"/>
      <c r="AT709" s="335"/>
      <c r="AU709" s="335"/>
      <c r="AV709" s="335"/>
      <c r="AW709" s="335"/>
      <c r="AX709" s="335"/>
      <c r="AY709" s="335"/>
      <c r="AZ709" s="335"/>
      <c r="BA709" s="335"/>
      <c r="BB709" s="335"/>
      <c r="BC709" s="335"/>
      <c r="BD709" s="335"/>
      <c r="BE709" s="335"/>
      <c r="BF709" s="335"/>
      <c r="BG709" s="335"/>
      <c r="BH709" s="335"/>
      <c r="BI709" s="335"/>
      <c r="BJ709" s="335"/>
      <c r="BK709" s="335"/>
      <c r="BL709" s="335"/>
      <c r="BM709" s="335"/>
      <c r="BN709" s="335"/>
      <c r="BO709" s="335"/>
      <c r="BP709" s="335"/>
      <c r="BQ709" s="335"/>
      <c r="BR709" s="335"/>
      <c r="BS709" s="335"/>
      <c r="BT709" s="335"/>
      <c r="BU709" s="335"/>
      <c r="BV709" s="335"/>
      <c r="BW709" s="335"/>
      <c r="BX709" s="335"/>
      <c r="BY709" s="335"/>
      <c r="BZ709" s="342"/>
      <c r="CA709" s="335"/>
      <c r="CB709" s="335"/>
      <c r="CC709" s="335"/>
      <c r="CD709" s="335"/>
      <c r="CE709" s="342"/>
      <c r="CF709" s="335"/>
      <c r="CG709" s="335"/>
      <c r="CH709" s="335"/>
      <c r="CI709" s="335"/>
      <c r="CJ709" s="342"/>
      <c r="CK709" s="335"/>
      <c r="CL709" s="335"/>
      <c r="CM709" s="335"/>
      <c r="CN709" s="343"/>
      <c r="CO709" s="342"/>
      <c r="CP709" s="343"/>
      <c r="CQ709" s="335"/>
      <c r="CR709" s="335"/>
      <c r="CS709" s="335"/>
      <c r="CT709" s="342"/>
      <c r="CU709" s="335"/>
      <c r="CV709" s="335"/>
      <c r="CW709" s="335"/>
      <c r="CX709" s="335"/>
      <c r="CY709" s="342"/>
      <c r="CZ709" s="335"/>
      <c r="DA709" s="335"/>
      <c r="DB709" s="335"/>
      <c r="DC709" s="335"/>
      <c r="DD709" s="342"/>
      <c r="DE709" s="335"/>
      <c r="DF709" s="335"/>
      <c r="DG709" s="343"/>
      <c r="DH709" s="335"/>
      <c r="DI709" s="342"/>
      <c r="DJ709" s="343"/>
      <c r="DK709" s="343"/>
      <c r="DL709" s="343"/>
      <c r="DM709" s="335"/>
      <c r="DN709" s="342"/>
      <c r="DO709" s="335"/>
      <c r="DP709" s="335"/>
      <c r="DQ709" s="335"/>
      <c r="DR709" s="335"/>
      <c r="DS709" s="342"/>
      <c r="DT709" s="335"/>
      <c r="DU709" s="335"/>
      <c r="DV709" s="335"/>
      <c r="DW709" s="335"/>
      <c r="DX709" s="342"/>
      <c r="DY709" s="335"/>
      <c r="DZ709" s="335"/>
      <c r="EA709" s="335"/>
      <c r="EB709" s="335"/>
      <c r="EC709" s="342"/>
      <c r="ED709" s="335"/>
      <c r="EE709" s="335"/>
      <c r="EF709" s="335"/>
      <c r="EG709" s="335"/>
      <c r="EH709" s="342"/>
      <c r="EI709" s="600"/>
      <c r="EJ709" s="335"/>
      <c r="EK709" s="335"/>
      <c r="EL709" s="335"/>
      <c r="EM709" s="342"/>
      <c r="EN709" s="335"/>
      <c r="EO709" s="335"/>
      <c r="EP709" s="335"/>
      <c r="EQ709" s="335"/>
      <c r="ER709" s="342"/>
      <c r="ES709" s="335"/>
      <c r="ET709" s="335"/>
      <c r="EU709" s="335"/>
      <c r="EV709" s="335"/>
      <c r="EW709" s="342"/>
      <c r="EX709" s="335"/>
      <c r="EY709" s="335"/>
      <c r="EZ709" s="335"/>
      <c r="FA709" s="335"/>
      <c r="FB709" s="342"/>
      <c r="FC709" s="335"/>
      <c r="FD709" s="335"/>
      <c r="FE709" s="335"/>
      <c r="FF709" s="335"/>
      <c r="FG709" s="342"/>
      <c r="FH709" s="343"/>
      <c r="FI709" s="335"/>
      <c r="FJ709" s="335"/>
      <c r="FK709" s="335"/>
      <c r="FL709" s="335"/>
    </row>
    <row r="710" ht="13.5" hidden="1" customHeight="1" outlineLevel="2">
      <c r="A710" s="4"/>
      <c r="B710" s="591" t="s">
        <v>291</v>
      </c>
      <c r="C710" s="529"/>
      <c r="D710" s="592"/>
      <c r="E710" s="592"/>
      <c r="F710" s="592"/>
      <c r="G710" s="592"/>
      <c r="H710" s="592"/>
      <c r="I710" s="592"/>
      <c r="J710" s="592"/>
      <c r="K710" s="592"/>
      <c r="L710" s="592"/>
      <c r="M710" s="592"/>
      <c r="N710" s="592"/>
      <c r="O710" s="592"/>
      <c r="P710" s="592"/>
      <c r="Q710" s="592"/>
      <c r="R710" s="592"/>
      <c r="S710" s="592"/>
      <c r="T710" s="592"/>
      <c r="U710" s="592"/>
      <c r="V710" s="592"/>
      <c r="W710" s="592"/>
      <c r="X710" s="592"/>
      <c r="Y710" s="592"/>
      <c r="Z710" s="592"/>
      <c r="AA710" s="592"/>
      <c r="AB710" s="592"/>
      <c r="AC710" s="592"/>
      <c r="AD710" s="592"/>
      <c r="AE710" s="592"/>
      <c r="AF710" s="592"/>
      <c r="AG710" s="592"/>
      <c r="AH710" s="592"/>
      <c r="AI710" s="592"/>
      <c r="AJ710" s="592"/>
      <c r="AK710" s="592"/>
      <c r="AL710" s="592"/>
      <c r="AM710" s="592"/>
      <c r="AN710" s="592"/>
      <c r="AO710" s="592"/>
      <c r="AP710" s="592"/>
      <c r="AQ710" s="592"/>
      <c r="AR710" s="592"/>
      <c r="AS710" s="592"/>
      <c r="AT710" s="592"/>
      <c r="AU710" s="592"/>
      <c r="AV710" s="592"/>
      <c r="AW710" s="592"/>
      <c r="AX710" s="592"/>
      <c r="AY710" s="592"/>
      <c r="AZ710" s="592"/>
      <c r="BA710" s="592"/>
      <c r="BB710" s="592"/>
      <c r="BC710" s="592"/>
      <c r="BD710" s="592"/>
      <c r="BE710" s="592"/>
      <c r="BF710" s="592"/>
      <c r="BG710" s="592"/>
      <c r="BH710" s="592"/>
      <c r="BI710" s="592"/>
      <c r="BJ710" s="592"/>
      <c r="BK710" s="592"/>
      <c r="BL710" s="592"/>
      <c r="BM710" s="592"/>
      <c r="BN710" s="592"/>
      <c r="BO710" s="592">
        <f>QoQ</f>
        <v>-0.1948712929</v>
      </c>
      <c r="BP710" s="592"/>
      <c r="BQ710" s="592"/>
      <c r="BR710" s="592"/>
      <c r="BS710" s="592"/>
      <c r="BT710" s="592">
        <f>BT683/BS683-1</f>
        <v>0.125678986</v>
      </c>
      <c r="BU710" s="592"/>
      <c r="BV710" s="592">
        <f>BV683/BT683-1</f>
        <v>-0.02554640931</v>
      </c>
      <c r="BW710" s="592">
        <f t="shared" ref="BW710:BY710" si="3252">BW683/BV683-1</f>
        <v>0.04524711137</v>
      </c>
      <c r="BX710" s="592">
        <f t="shared" si="3252"/>
        <v>0.0313051556</v>
      </c>
      <c r="BY710" s="592">
        <f t="shared" si="3252"/>
        <v>0.0319762205</v>
      </c>
      <c r="BZ710" s="593"/>
      <c r="CA710" s="592"/>
      <c r="CB710" s="592"/>
      <c r="CC710" s="592"/>
      <c r="CD710" s="592"/>
      <c r="CE710" s="593"/>
      <c r="CF710" s="592"/>
      <c r="CG710" s="592"/>
      <c r="CH710" s="592"/>
      <c r="CI710" s="592"/>
      <c r="CJ710" s="593"/>
      <c r="CK710" s="592"/>
      <c r="CL710" s="592"/>
      <c r="CM710" s="592"/>
      <c r="CN710" s="594"/>
      <c r="CO710" s="593"/>
      <c r="CP710" s="594"/>
      <c r="CQ710" s="592"/>
      <c r="CR710" s="592"/>
      <c r="CS710" s="592"/>
      <c r="CT710" s="593"/>
      <c r="CU710" s="592"/>
      <c r="CV710" s="592"/>
      <c r="CW710" s="592"/>
      <c r="CX710" s="592"/>
      <c r="CY710" s="593"/>
      <c r="CZ710" s="592"/>
      <c r="DA710" s="592"/>
      <c r="DB710" s="592"/>
      <c r="DC710" s="592"/>
      <c r="DD710" s="593"/>
      <c r="DE710" s="592"/>
      <c r="DF710" s="592"/>
      <c r="DG710" s="343"/>
      <c r="DH710" s="592"/>
      <c r="DI710" s="593"/>
      <c r="DJ710" s="594"/>
      <c r="DK710" s="594"/>
      <c r="DL710" s="594"/>
      <c r="DM710" s="592"/>
      <c r="DN710" s="593"/>
      <c r="DO710" s="592"/>
      <c r="DP710" s="592"/>
      <c r="DQ710" s="592"/>
      <c r="DR710" s="592"/>
      <c r="DS710" s="593"/>
      <c r="DT710" s="592"/>
      <c r="DU710" s="592"/>
      <c r="DV710" s="592"/>
      <c r="DW710" s="592"/>
      <c r="DX710" s="593"/>
      <c r="DY710" s="592"/>
      <c r="DZ710" s="592"/>
      <c r="EA710" s="592"/>
      <c r="EB710" s="592"/>
      <c r="EC710" s="593"/>
      <c r="ED710" s="592"/>
      <c r="EE710" s="592"/>
      <c r="EF710" s="592"/>
      <c r="EG710" s="592"/>
      <c r="EH710" s="593"/>
      <c r="EI710" s="620"/>
      <c r="EJ710" s="592"/>
      <c r="EK710" s="592"/>
      <c r="EL710" s="592"/>
      <c r="EM710" s="593"/>
      <c r="EN710" s="592"/>
      <c r="EO710" s="592"/>
      <c r="EP710" s="592"/>
      <c r="EQ710" s="592"/>
      <c r="ER710" s="593"/>
      <c r="ES710" s="592"/>
      <c r="ET710" s="592"/>
      <c r="EU710" s="592"/>
      <c r="EV710" s="592"/>
      <c r="EW710" s="593"/>
      <c r="EX710" s="592"/>
      <c r="EY710" s="592"/>
      <c r="EZ710" s="592"/>
      <c r="FA710" s="592"/>
      <c r="FB710" s="593"/>
      <c r="FC710" s="592"/>
      <c r="FD710" s="592"/>
      <c r="FE710" s="592"/>
      <c r="FF710" s="592"/>
      <c r="FG710" s="593"/>
      <c r="FH710" s="594"/>
      <c r="FI710" s="592"/>
      <c r="FJ710" s="592"/>
      <c r="FK710" s="592"/>
      <c r="FL710" s="592"/>
    </row>
    <row r="711" ht="13.5" hidden="1" customHeight="1" outlineLevel="2">
      <c r="A711" s="4"/>
      <c r="B711" s="45"/>
      <c r="C711" s="45"/>
      <c r="D711" s="4"/>
      <c r="E711" s="4"/>
      <c r="F711" s="4"/>
      <c r="G711" s="4"/>
      <c r="H711" s="45"/>
      <c r="I711" s="4"/>
      <c r="J711" s="4"/>
      <c r="K711" s="4"/>
      <c r="L711" s="4"/>
      <c r="M711" s="45"/>
      <c r="N711" s="4"/>
      <c r="O711" s="4"/>
      <c r="P711" s="4"/>
      <c r="Q711" s="4"/>
      <c r="R711" s="45"/>
      <c r="S711" s="4"/>
      <c r="T711" s="4"/>
      <c r="U711" s="4"/>
      <c r="V711" s="4"/>
      <c r="W711" s="45"/>
      <c r="X711" s="4"/>
      <c r="Y711" s="4"/>
      <c r="Z711" s="4"/>
      <c r="AA711" s="4"/>
      <c r="AB711" s="45"/>
      <c r="AC711" s="4"/>
      <c r="AD711" s="4"/>
      <c r="AE711" s="4"/>
      <c r="AF711" s="4"/>
      <c r="AG711" s="45"/>
      <c r="AH711" s="4"/>
      <c r="AI711" s="4"/>
      <c r="AJ711" s="4"/>
      <c r="AK711" s="4"/>
      <c r="AL711" s="45"/>
      <c r="AM711" s="4"/>
      <c r="AN711" s="4"/>
      <c r="AO711" s="4"/>
      <c r="AP711" s="4"/>
      <c r="AQ711" s="45"/>
      <c r="AR711" s="4"/>
      <c r="AS711" s="4"/>
      <c r="AT711" s="4"/>
      <c r="AU711" s="4"/>
      <c r="AV711" s="45"/>
      <c r="AW711" s="4"/>
      <c r="AX711" s="4"/>
      <c r="AY711" s="4"/>
      <c r="AZ711" s="4"/>
      <c r="BA711" s="45"/>
      <c r="BB711" s="4"/>
      <c r="BC711" s="4"/>
      <c r="BD711" s="4"/>
      <c r="BE711" s="4"/>
      <c r="BF711" s="45"/>
      <c r="BG711" s="4"/>
      <c r="BH711" s="4"/>
      <c r="BI711" s="4"/>
      <c r="BJ711" s="4"/>
      <c r="BK711" s="45"/>
      <c r="BL711" s="4"/>
      <c r="BM711" s="4"/>
      <c r="BN711" s="4"/>
      <c r="BO711" s="4"/>
      <c r="BP711" s="45"/>
      <c r="BQ711" s="4"/>
      <c r="BR711" s="4"/>
      <c r="BS711" s="4"/>
      <c r="BT711" s="4"/>
      <c r="BU711" s="45"/>
      <c r="BV711" s="4"/>
      <c r="BW711" s="4"/>
      <c r="BX711" s="4"/>
      <c r="BY711" s="4"/>
      <c r="BZ711" s="350"/>
      <c r="CA711" s="4"/>
      <c r="CB711" s="4"/>
      <c r="CC711" s="4"/>
      <c r="CD711" s="4"/>
      <c r="CE711" s="350"/>
      <c r="CF711" s="4"/>
      <c r="CG711" s="4"/>
      <c r="CH711" s="4"/>
      <c r="CI711" s="4"/>
      <c r="CJ711" s="350"/>
      <c r="CK711" s="4"/>
      <c r="CL711" s="4"/>
      <c r="CM711" s="4"/>
      <c r="CN711" s="16"/>
      <c r="CO711" s="350"/>
      <c r="CP711" s="16"/>
      <c r="CQ711" s="4"/>
      <c r="CR711" s="4"/>
      <c r="CS711" s="4"/>
      <c r="CT711" s="350"/>
      <c r="CU711" s="4"/>
      <c r="CV711" s="4"/>
      <c r="CW711" s="4"/>
      <c r="CX711" s="4"/>
      <c r="CY711" s="350"/>
      <c r="CZ711" s="4"/>
      <c r="DA711" s="4"/>
      <c r="DB711" s="4"/>
      <c r="DC711" s="4"/>
      <c r="DD711" s="350"/>
      <c r="DE711" s="4"/>
      <c r="DF711" s="4"/>
      <c r="DG711" s="16"/>
      <c r="DH711" s="4"/>
      <c r="DI711" s="350"/>
      <c r="DJ711" s="16"/>
      <c r="DK711" s="16"/>
      <c r="DL711" s="16"/>
      <c r="DM711" s="4"/>
      <c r="DN711" s="350"/>
      <c r="DO711" s="4"/>
      <c r="DP711" s="4"/>
      <c r="DQ711" s="4"/>
      <c r="DR711" s="4"/>
      <c r="DS711" s="350"/>
      <c r="DT711" s="4"/>
      <c r="DU711" s="4"/>
      <c r="DV711" s="4"/>
      <c r="DW711" s="4"/>
      <c r="DX711" s="350"/>
      <c r="DY711" s="4"/>
      <c r="DZ711" s="4"/>
      <c r="EA711" s="4"/>
      <c r="EB711" s="4"/>
      <c r="EC711" s="350"/>
      <c r="ED711" s="4"/>
      <c r="EE711" s="4"/>
      <c r="EF711" s="4"/>
      <c r="EG711" s="4"/>
      <c r="EH711" s="350"/>
      <c r="EI711" s="214"/>
      <c r="EJ711" s="4"/>
      <c r="EK711" s="4"/>
      <c r="EL711" s="4"/>
      <c r="EM711" s="350"/>
      <c r="EN711" s="4"/>
      <c r="EO711" s="4"/>
      <c r="EP711" s="4"/>
      <c r="EQ711" s="4"/>
      <c r="ER711" s="350"/>
      <c r="ES711" s="4"/>
      <c r="ET711" s="4"/>
      <c r="EU711" s="4"/>
      <c r="EV711" s="4"/>
      <c r="EW711" s="350"/>
      <c r="EX711" s="4"/>
      <c r="EY711" s="4"/>
      <c r="EZ711" s="4"/>
      <c r="FA711" s="4"/>
      <c r="FB711" s="350"/>
      <c r="FC711" s="4"/>
      <c r="FD711" s="4"/>
      <c r="FE711" s="4"/>
      <c r="FF711" s="4"/>
      <c r="FG711" s="350"/>
      <c r="FH711" s="145"/>
      <c r="FI711" s="4"/>
      <c r="FJ711" s="4"/>
      <c r="FK711" s="45"/>
      <c r="FL711" s="4"/>
    </row>
    <row r="712" ht="12.75" hidden="1" customHeight="1" outlineLevel="2">
      <c r="A712" s="4"/>
      <c r="B712" s="578" t="s">
        <v>292</v>
      </c>
      <c r="C712" s="299"/>
      <c r="D712" s="585"/>
      <c r="E712" s="586"/>
      <c r="F712" s="586"/>
      <c r="G712" s="586"/>
      <c r="H712" s="585"/>
      <c r="I712" s="585"/>
      <c r="J712" s="586"/>
      <c r="K712" s="586"/>
      <c r="L712" s="586"/>
      <c r="M712" s="585"/>
      <c r="N712" s="585"/>
      <c r="O712" s="586"/>
      <c r="P712" s="586"/>
      <c r="Q712" s="586"/>
      <c r="R712" s="585"/>
      <c r="S712" s="585"/>
      <c r="T712" s="586"/>
      <c r="U712" s="586"/>
      <c r="V712" s="586"/>
      <c r="W712" s="585"/>
      <c r="X712" s="585"/>
      <c r="Y712" s="586"/>
      <c r="Z712" s="586"/>
      <c r="AA712" s="586"/>
      <c r="AB712" s="585"/>
      <c r="AC712" s="585"/>
      <c r="AD712" s="586"/>
      <c r="AE712" s="586"/>
      <c r="AF712" s="586"/>
      <c r="AG712" s="585"/>
      <c r="AH712" s="585"/>
      <c r="AI712" s="586"/>
      <c r="AJ712" s="586"/>
      <c r="AK712" s="586"/>
      <c r="AL712" s="585"/>
      <c r="AM712" s="585"/>
      <c r="AN712" s="586"/>
      <c r="AO712" s="586"/>
      <c r="AP712" s="586"/>
      <c r="AQ712" s="585"/>
      <c r="AR712" s="585"/>
      <c r="AS712" s="586"/>
      <c r="AT712" s="586"/>
      <c r="AU712" s="586"/>
      <c r="AV712" s="585"/>
      <c r="AW712" s="585"/>
      <c r="AX712" s="586"/>
      <c r="AY712" s="586"/>
      <c r="AZ712" s="586"/>
      <c r="BA712" s="585"/>
      <c r="BB712" s="585"/>
      <c r="BC712" s="586"/>
      <c r="BD712" s="586"/>
      <c r="BE712" s="586"/>
      <c r="BF712" s="585"/>
      <c r="BG712" s="585"/>
      <c r="BH712" s="586"/>
      <c r="BI712" s="586"/>
      <c r="BJ712" s="586"/>
      <c r="BK712" s="585"/>
      <c r="BL712" s="585"/>
      <c r="BM712" s="586"/>
      <c r="BN712" s="586"/>
      <c r="BO712" s="586"/>
      <c r="BP712" s="585"/>
      <c r="BQ712" s="585"/>
      <c r="BR712" s="586"/>
      <c r="BS712" s="586"/>
      <c r="BT712" s="586"/>
      <c r="BU712" s="585"/>
      <c r="BV712" s="585"/>
      <c r="BW712" s="586"/>
      <c r="BX712" s="586"/>
      <c r="BY712" s="586"/>
      <c r="BZ712" s="587"/>
      <c r="CA712" s="585"/>
      <c r="CB712" s="586"/>
      <c r="CC712" s="586"/>
      <c r="CD712" s="586"/>
      <c r="CE712" s="587"/>
      <c r="CF712" s="585"/>
      <c r="CG712" s="586"/>
      <c r="CH712" s="586"/>
      <c r="CI712" s="586"/>
      <c r="CJ712" s="587"/>
      <c r="CK712" s="585"/>
      <c r="CL712" s="586"/>
      <c r="CM712" s="586"/>
      <c r="CN712" s="588"/>
      <c r="CO712" s="587"/>
      <c r="CP712" s="588"/>
      <c r="CQ712" s="586"/>
      <c r="CR712" s="586"/>
      <c r="CS712" s="586"/>
      <c r="CT712" s="587"/>
      <c r="CU712" s="585"/>
      <c r="CV712" s="586"/>
      <c r="CW712" s="586"/>
      <c r="CX712" s="586"/>
      <c r="CY712" s="587"/>
      <c r="CZ712" s="585"/>
      <c r="DA712" s="586"/>
      <c r="DB712" s="586"/>
      <c r="DC712" s="586"/>
      <c r="DD712" s="587"/>
      <c r="DE712" s="585"/>
      <c r="DF712" s="586"/>
      <c r="DG712" s="474"/>
      <c r="DH712" s="586"/>
      <c r="DI712" s="587"/>
      <c r="DJ712" s="589"/>
      <c r="DK712" s="588"/>
      <c r="DL712" s="588"/>
      <c r="DM712" s="586"/>
      <c r="DN712" s="587"/>
      <c r="DO712" s="585"/>
      <c r="DP712" s="586"/>
      <c r="DQ712" s="586"/>
      <c r="DR712" s="586"/>
      <c r="DS712" s="587"/>
      <c r="DT712" s="585"/>
      <c r="DU712" s="585"/>
      <c r="DV712" s="585"/>
      <c r="DW712" s="585"/>
      <c r="DX712" s="587"/>
      <c r="DY712" s="585"/>
      <c r="DZ712" s="585"/>
      <c r="EA712" s="585"/>
      <c r="EB712" s="585"/>
      <c r="EC712" s="587"/>
      <c r="ED712" s="585"/>
      <c r="EE712" s="585"/>
      <c r="EF712" s="585"/>
      <c r="EG712" s="585"/>
      <c r="EH712" s="587"/>
      <c r="EI712" s="590"/>
      <c r="EJ712" s="586"/>
      <c r="EK712" s="586"/>
      <c r="EL712" s="586"/>
      <c r="EM712" s="587"/>
      <c r="EN712" s="585"/>
      <c r="EO712" s="586"/>
      <c r="EP712" s="586"/>
      <c r="EQ712" s="586"/>
      <c r="ER712" s="587"/>
      <c r="ES712" s="585"/>
      <c r="ET712" s="586"/>
      <c r="EU712" s="586"/>
      <c r="EV712" s="586"/>
      <c r="EW712" s="587"/>
      <c r="EX712" s="585"/>
      <c r="EY712" s="586"/>
      <c r="EZ712" s="586"/>
      <c r="FA712" s="586"/>
      <c r="FB712" s="587"/>
      <c r="FC712" s="585"/>
      <c r="FD712" s="586"/>
      <c r="FE712" s="586"/>
      <c r="FF712" s="586"/>
      <c r="FG712" s="587"/>
      <c r="FH712" s="589"/>
      <c r="FI712" s="586"/>
      <c r="FJ712" s="586"/>
      <c r="FK712" s="585"/>
      <c r="FL712" s="585"/>
    </row>
    <row r="713" ht="12.75" hidden="1" customHeight="1" outlineLevel="2">
      <c r="A713" s="4"/>
      <c r="B713" s="72" t="str">
        <f t="shared" ref="B713:B721" si="3253">B670</f>
        <v>Atom</v>
      </c>
      <c r="C713" s="4"/>
      <c r="D713" s="319"/>
      <c r="E713" s="319"/>
      <c r="F713" s="319"/>
      <c r="G713" s="319"/>
      <c r="H713" s="335"/>
      <c r="I713" s="319"/>
      <c r="J713" s="319"/>
      <c r="K713" s="319"/>
      <c r="L713" s="319"/>
      <c r="M713" s="335"/>
      <c r="N713" s="319"/>
      <c r="O713" s="319"/>
      <c r="P713" s="319"/>
      <c r="Q713" s="319"/>
      <c r="R713" s="335"/>
      <c r="S713" s="319"/>
      <c r="T713" s="319"/>
      <c r="U713" s="319"/>
      <c r="V713" s="319"/>
      <c r="W713" s="335"/>
      <c r="X713" s="319"/>
      <c r="Y713" s="319"/>
      <c r="Z713" s="319"/>
      <c r="AA713" s="319"/>
      <c r="AB713" s="335"/>
      <c r="AC713" s="319"/>
      <c r="AD713" s="319"/>
      <c r="AE713" s="319"/>
      <c r="AF713" s="319"/>
      <c r="AG713" s="335"/>
      <c r="AH713" s="319"/>
      <c r="AI713" s="319"/>
      <c r="AJ713" s="319"/>
      <c r="AK713" s="319"/>
      <c r="AL713" s="335"/>
      <c r="AM713" s="319"/>
      <c r="AN713" s="319"/>
      <c r="AO713" s="319"/>
      <c r="AP713" s="319"/>
      <c r="AQ713" s="335"/>
      <c r="AR713" s="319"/>
      <c r="AS713" s="319"/>
      <c r="AT713" s="319"/>
      <c r="AU713" s="319"/>
      <c r="AV713" s="335"/>
      <c r="AW713" s="319"/>
      <c r="AX713" s="319"/>
      <c r="AY713" s="319"/>
      <c r="AZ713" s="319"/>
      <c r="BA713" s="335"/>
      <c r="BB713" s="319"/>
      <c r="BC713" s="319"/>
      <c r="BD713" s="319"/>
      <c r="BE713" s="319"/>
      <c r="BF713" s="335"/>
      <c r="BG713" s="319"/>
      <c r="BH713" s="319"/>
      <c r="BI713" s="319"/>
      <c r="BJ713" s="319"/>
      <c r="BK713" s="335"/>
      <c r="BL713" s="319"/>
      <c r="BM713" s="319"/>
      <c r="BN713" s="319"/>
      <c r="BO713" s="319"/>
      <c r="BP713" s="335"/>
      <c r="BQ713" s="319"/>
      <c r="BR713" s="319"/>
      <c r="BS713" s="319">
        <f>IF(AtomSales&gt;0,(BS670/BN670-1)," ")</f>
        <v>0.9302325581</v>
      </c>
      <c r="BT713" s="319">
        <f>IF(AtomSales&gt;0,(BT670/BO670-1)," ")</f>
        <v>0.3599162742</v>
      </c>
      <c r="BU713" s="335">
        <f>IF(AtomSales&gt;0,(BU670/BP670-1)," ")</f>
        <v>1.67</v>
      </c>
      <c r="BV713" s="319">
        <f>IF(AtomSales&gt;0,(BV670/BQ670-1)," ")</f>
        <v>0.6210045662</v>
      </c>
      <c r="BW713" s="319">
        <f>IF(AtomSales&gt;0,(BW670/BR670-1)," ")</f>
        <v>0.1408839779</v>
      </c>
      <c r="BX713" s="319">
        <f>IF(AtomSales&gt;0,(BX670/BS670-1)," ")</f>
        <v>-0.04578313253</v>
      </c>
      <c r="BY713" s="319">
        <f>IF(AtomSales&gt;0,(BY670/BT670-1)," ")</f>
        <v>-0.1073059361</v>
      </c>
      <c r="BZ713" s="342">
        <f>IF(AtomSales&gt;0,(BZ670/BU670-1)," ")</f>
        <v>0.08437935844</v>
      </c>
      <c r="CA713" s="319"/>
      <c r="CB713" s="319"/>
      <c r="CC713" s="319"/>
      <c r="CD713" s="319"/>
      <c r="CE713" s="342"/>
      <c r="CF713" s="319"/>
      <c r="CG713" s="319"/>
      <c r="CH713" s="319"/>
      <c r="CI713" s="319"/>
      <c r="CJ713" s="342"/>
      <c r="CK713" s="319"/>
      <c r="CL713" s="319"/>
      <c r="CM713" s="319"/>
      <c r="CN713" s="321"/>
      <c r="CO713" s="342"/>
      <c r="CP713" s="321"/>
      <c r="CQ713" s="319"/>
      <c r="CR713" s="319"/>
      <c r="CS713" s="319"/>
      <c r="CT713" s="342"/>
      <c r="CU713" s="319"/>
      <c r="CV713" s="319"/>
      <c r="CW713" s="319"/>
      <c r="CX713" s="319"/>
      <c r="CY713" s="342"/>
      <c r="CZ713" s="319"/>
      <c r="DA713" s="319"/>
      <c r="DB713" s="319"/>
      <c r="DC713" s="319"/>
      <c r="DD713" s="342"/>
      <c r="DE713" s="319"/>
      <c r="DF713" s="319"/>
      <c r="DG713" s="321"/>
      <c r="DH713" s="319"/>
      <c r="DI713" s="342"/>
      <c r="DJ713" s="321"/>
      <c r="DK713" s="321"/>
      <c r="DL713" s="321"/>
      <c r="DM713" s="319"/>
      <c r="DN713" s="342"/>
      <c r="DO713" s="319"/>
      <c r="DP713" s="319"/>
      <c r="DQ713" s="319"/>
      <c r="DR713" s="319"/>
      <c r="DS713" s="342"/>
      <c r="DT713" s="319"/>
      <c r="DU713" s="319"/>
      <c r="DV713" s="319"/>
      <c r="DW713" s="319"/>
      <c r="DX713" s="342"/>
      <c r="DY713" s="319"/>
      <c r="DZ713" s="319"/>
      <c r="EA713" s="319"/>
      <c r="EB713" s="319"/>
      <c r="EC713" s="342"/>
      <c r="ED713" s="319"/>
      <c r="EE713" s="319"/>
      <c r="EF713" s="319"/>
      <c r="EG713" s="319"/>
      <c r="EH713" s="342"/>
      <c r="EI713" s="322"/>
      <c r="EJ713" s="319"/>
      <c r="EK713" s="319"/>
      <c r="EL713" s="319"/>
      <c r="EM713" s="342"/>
      <c r="EN713" s="319"/>
      <c r="EO713" s="319"/>
      <c r="EP713" s="319"/>
      <c r="EQ713" s="319"/>
      <c r="ER713" s="342"/>
      <c r="ES713" s="319"/>
      <c r="ET713" s="319"/>
      <c r="EU713" s="319"/>
      <c r="EV713" s="319"/>
      <c r="EW713" s="342"/>
      <c r="EX713" s="319"/>
      <c r="EY713" s="319"/>
      <c r="EZ713" s="319"/>
      <c r="FA713" s="319"/>
      <c r="FB713" s="342"/>
      <c r="FC713" s="319"/>
      <c r="FD713" s="319"/>
      <c r="FE713" s="319"/>
      <c r="FF713" s="319"/>
      <c r="FG713" s="342"/>
      <c r="FH713" s="343"/>
      <c r="FI713" s="319"/>
      <c r="FJ713" s="319"/>
      <c r="FK713" s="335"/>
      <c r="FL713" s="319"/>
    </row>
    <row r="714" ht="12.75" hidden="1" customHeight="1" outlineLevel="2">
      <c r="A714" s="4"/>
      <c r="B714" s="72" t="str">
        <f t="shared" si="3253"/>
        <v>Processors</v>
      </c>
      <c r="C714" s="4"/>
      <c r="D714" s="319"/>
      <c r="E714" s="319"/>
      <c r="F714" s="319"/>
      <c r="G714" s="319"/>
      <c r="H714" s="335"/>
      <c r="I714" s="319"/>
      <c r="J714" s="319"/>
      <c r="K714" s="319"/>
      <c r="L714" s="319"/>
      <c r="M714" s="335"/>
      <c r="N714" s="319"/>
      <c r="O714" s="319"/>
      <c r="P714" s="319"/>
      <c r="Q714" s="319"/>
      <c r="R714" s="335"/>
      <c r="S714" s="319"/>
      <c r="T714" s="319"/>
      <c r="U714" s="319"/>
      <c r="V714" s="319"/>
      <c r="W714" s="335"/>
      <c r="X714" s="319"/>
      <c r="Y714" s="319"/>
      <c r="Z714" s="319"/>
      <c r="AA714" s="319"/>
      <c r="AB714" s="335"/>
      <c r="AC714" s="319"/>
      <c r="AD714" s="319"/>
      <c r="AE714" s="319"/>
      <c r="AF714" s="319"/>
      <c r="AG714" s="335"/>
      <c r="AH714" s="319"/>
      <c r="AI714" s="319"/>
      <c r="AJ714" s="319"/>
      <c r="AK714" s="319"/>
      <c r="AL714" s="335"/>
      <c r="AM714" s="319"/>
      <c r="AN714" s="319"/>
      <c r="AO714" s="319"/>
      <c r="AP714" s="319"/>
      <c r="AQ714" s="335"/>
      <c r="AR714" s="319"/>
      <c r="AS714" s="319"/>
      <c r="AT714" s="319"/>
      <c r="AU714" s="319"/>
      <c r="AV714" s="335"/>
      <c r="AW714" s="319"/>
      <c r="AX714" s="319"/>
      <c r="AY714" s="319"/>
      <c r="AZ714" s="319"/>
      <c r="BA714" s="335"/>
      <c r="BB714" s="319"/>
      <c r="BC714" s="319"/>
      <c r="BD714" s="319"/>
      <c r="BE714" s="319"/>
      <c r="BF714" s="335"/>
      <c r="BG714" s="319"/>
      <c r="BH714" s="319"/>
      <c r="BI714" s="319"/>
      <c r="BJ714" s="319"/>
      <c r="BK714" s="335"/>
      <c r="BL714" s="319"/>
      <c r="BM714" s="319"/>
      <c r="BN714" s="319"/>
      <c r="BO714" s="319"/>
      <c r="BP714" s="335"/>
      <c r="BQ714" s="319"/>
      <c r="BR714" s="319"/>
      <c r="BS714" s="319"/>
      <c r="BT714" s="319">
        <f t="shared" ref="BT714:BZ714" si="3254">BT671/BO671-1</f>
        <v>0.2140792733</v>
      </c>
      <c r="BU714" s="335">
        <f t="shared" si="3254"/>
        <v>-0.07445621863</v>
      </c>
      <c r="BV714" s="319">
        <f t="shared" si="3254"/>
        <v>0.391621558</v>
      </c>
      <c r="BW714" s="319">
        <f t="shared" si="3254"/>
        <v>0.1766392659</v>
      </c>
      <c r="BX714" s="319">
        <f t="shared" si="3254"/>
        <v>0.2085489745</v>
      </c>
      <c r="BY714" s="319">
        <f t="shared" si="3254"/>
        <v>0.0794082639</v>
      </c>
      <c r="BZ714" s="342">
        <f t="shared" si="3254"/>
        <v>0.2413879683</v>
      </c>
      <c r="CA714" s="319"/>
      <c r="CB714" s="319"/>
      <c r="CC714" s="319"/>
      <c r="CD714" s="319"/>
      <c r="CE714" s="342"/>
      <c r="CF714" s="319"/>
      <c r="CG714" s="319"/>
      <c r="CH714" s="319"/>
      <c r="CI714" s="319"/>
      <c r="CJ714" s="342"/>
      <c r="CK714" s="319"/>
      <c r="CL714" s="319"/>
      <c r="CM714" s="319"/>
      <c r="CN714" s="321"/>
      <c r="CO714" s="342"/>
      <c r="CP714" s="321"/>
      <c r="CQ714" s="319"/>
      <c r="CR714" s="319"/>
      <c r="CS714" s="319"/>
      <c r="CT714" s="342"/>
      <c r="CU714" s="319"/>
      <c r="CV714" s="319"/>
      <c r="CW714" s="319"/>
      <c r="CX714" s="319"/>
      <c r="CY714" s="342"/>
      <c r="CZ714" s="319"/>
      <c r="DA714" s="319"/>
      <c r="DB714" s="319"/>
      <c r="DC714" s="319"/>
      <c r="DD714" s="342"/>
      <c r="DE714" s="319"/>
      <c r="DF714" s="319"/>
      <c r="DG714" s="321"/>
      <c r="DH714" s="319"/>
      <c r="DI714" s="342"/>
      <c r="DJ714" s="321"/>
      <c r="DK714" s="321"/>
      <c r="DL714" s="321"/>
      <c r="DM714" s="319"/>
      <c r="DN714" s="342"/>
      <c r="DO714" s="319"/>
      <c r="DP714" s="319"/>
      <c r="DQ714" s="319"/>
      <c r="DR714" s="319"/>
      <c r="DS714" s="342"/>
      <c r="DT714" s="319"/>
      <c r="DU714" s="319"/>
      <c r="DV714" s="319"/>
      <c r="DW714" s="319"/>
      <c r="DX714" s="342"/>
      <c r="DY714" s="319"/>
      <c r="DZ714" s="319"/>
      <c r="EA714" s="319"/>
      <c r="EB714" s="319"/>
      <c r="EC714" s="342"/>
      <c r="ED714" s="319"/>
      <c r="EE714" s="319"/>
      <c r="EF714" s="319"/>
      <c r="EG714" s="319"/>
      <c r="EH714" s="342"/>
      <c r="EI714" s="322"/>
      <c r="EJ714" s="319"/>
      <c r="EK714" s="319"/>
      <c r="EL714" s="319"/>
      <c r="EM714" s="342"/>
      <c r="EN714" s="319"/>
      <c r="EO714" s="319"/>
      <c r="EP714" s="319"/>
      <c r="EQ714" s="319"/>
      <c r="ER714" s="342"/>
      <c r="ES714" s="319"/>
      <c r="ET714" s="319"/>
      <c r="EU714" s="319"/>
      <c r="EV714" s="319"/>
      <c r="EW714" s="342"/>
      <c r="EX714" s="319"/>
      <c r="EY714" s="319"/>
      <c r="EZ714" s="319"/>
      <c r="FA714" s="319"/>
      <c r="FB714" s="342"/>
      <c r="FC714" s="319"/>
      <c r="FD714" s="319"/>
      <c r="FE714" s="319"/>
      <c r="FF714" s="319"/>
      <c r="FG714" s="342"/>
      <c r="FH714" s="343"/>
      <c r="FI714" s="319"/>
      <c r="FJ714" s="319"/>
      <c r="FK714" s="335"/>
      <c r="FL714" s="319"/>
    </row>
    <row r="715" ht="12.75" hidden="1" customHeight="1" outlineLevel="2">
      <c r="A715" s="4"/>
      <c r="B715" s="72" t="str">
        <f t="shared" si="3253"/>
        <v>Chipsets, MBs and other</v>
      </c>
      <c r="C715" s="4"/>
      <c r="D715" s="319"/>
      <c r="E715" s="319"/>
      <c r="F715" s="319"/>
      <c r="G715" s="319"/>
      <c r="H715" s="335"/>
      <c r="I715" s="319"/>
      <c r="J715" s="319"/>
      <c r="K715" s="319"/>
      <c r="L715" s="319"/>
      <c r="M715" s="335"/>
      <c r="N715" s="319"/>
      <c r="O715" s="319"/>
      <c r="P715" s="319"/>
      <c r="Q715" s="319"/>
      <c r="R715" s="335"/>
      <c r="S715" s="319"/>
      <c r="T715" s="319"/>
      <c r="U715" s="319"/>
      <c r="V715" s="319"/>
      <c r="W715" s="335"/>
      <c r="X715" s="319"/>
      <c r="Y715" s="319"/>
      <c r="Z715" s="319"/>
      <c r="AA715" s="319"/>
      <c r="AB715" s="335"/>
      <c r="AC715" s="319"/>
      <c r="AD715" s="319"/>
      <c r="AE715" s="319"/>
      <c r="AF715" s="319"/>
      <c r="AG715" s="335"/>
      <c r="AH715" s="319"/>
      <c r="AI715" s="319"/>
      <c r="AJ715" s="319"/>
      <c r="AK715" s="319"/>
      <c r="AL715" s="335"/>
      <c r="AM715" s="319"/>
      <c r="AN715" s="319"/>
      <c r="AO715" s="319"/>
      <c r="AP715" s="319"/>
      <c r="AQ715" s="335"/>
      <c r="AR715" s="319"/>
      <c r="AS715" s="319"/>
      <c r="AT715" s="319"/>
      <c r="AU715" s="319"/>
      <c r="AV715" s="335"/>
      <c r="AW715" s="319"/>
      <c r="AX715" s="319"/>
      <c r="AY715" s="319"/>
      <c r="AZ715" s="319"/>
      <c r="BA715" s="335"/>
      <c r="BB715" s="319"/>
      <c r="BC715" s="319"/>
      <c r="BD715" s="319"/>
      <c r="BE715" s="319"/>
      <c r="BF715" s="335"/>
      <c r="BG715" s="319"/>
      <c r="BH715" s="319"/>
      <c r="BI715" s="319"/>
      <c r="BJ715" s="319"/>
      <c r="BK715" s="335"/>
      <c r="BL715" s="319"/>
      <c r="BM715" s="319"/>
      <c r="BN715" s="319"/>
      <c r="BO715" s="319"/>
      <c r="BP715" s="335"/>
      <c r="BQ715" s="319"/>
      <c r="BR715" s="319"/>
      <c r="BS715" s="319"/>
      <c r="BT715" s="319">
        <f t="shared" ref="BT715:BZ715" si="3255">BT672/BO672-1</f>
        <v>0.4383141762</v>
      </c>
      <c r="BU715" s="335">
        <f t="shared" si="3255"/>
        <v>-0.02929778329</v>
      </c>
      <c r="BV715" s="319">
        <f t="shared" si="3255"/>
        <v>0.5836330935</v>
      </c>
      <c r="BW715" s="319">
        <f t="shared" si="3255"/>
        <v>0.1440217391</v>
      </c>
      <c r="BX715" s="319">
        <f t="shared" si="3255"/>
        <v>-0.04839586732</v>
      </c>
      <c r="BY715" s="319">
        <f t="shared" si="3255"/>
        <v>-0.1038891849</v>
      </c>
      <c r="BZ715" s="342">
        <f t="shared" si="3255"/>
        <v>0.09821143405</v>
      </c>
      <c r="CA715" s="319"/>
      <c r="CB715" s="319"/>
      <c r="CC715" s="319"/>
      <c r="CD715" s="319"/>
      <c r="CE715" s="342"/>
      <c r="CF715" s="319"/>
      <c r="CG715" s="319"/>
      <c r="CH715" s="319"/>
      <c r="CI715" s="319"/>
      <c r="CJ715" s="342"/>
      <c r="CK715" s="319"/>
      <c r="CL715" s="319"/>
      <c r="CM715" s="319"/>
      <c r="CN715" s="321"/>
      <c r="CO715" s="342"/>
      <c r="CP715" s="321"/>
      <c r="CQ715" s="319"/>
      <c r="CR715" s="319"/>
      <c r="CS715" s="319"/>
      <c r="CT715" s="342"/>
      <c r="CU715" s="319"/>
      <c r="CV715" s="319"/>
      <c r="CW715" s="319"/>
      <c r="CX715" s="319"/>
      <c r="CY715" s="342"/>
      <c r="CZ715" s="319"/>
      <c r="DA715" s="319"/>
      <c r="DB715" s="319"/>
      <c r="DC715" s="319"/>
      <c r="DD715" s="342"/>
      <c r="DE715" s="319"/>
      <c r="DF715" s="319"/>
      <c r="DG715" s="321"/>
      <c r="DH715" s="319"/>
      <c r="DI715" s="342"/>
      <c r="DJ715" s="321"/>
      <c r="DK715" s="321"/>
      <c r="DL715" s="321"/>
      <c r="DM715" s="319"/>
      <c r="DN715" s="342"/>
      <c r="DO715" s="319"/>
      <c r="DP715" s="319"/>
      <c r="DQ715" s="319"/>
      <c r="DR715" s="319"/>
      <c r="DS715" s="342"/>
      <c r="DT715" s="319"/>
      <c r="DU715" s="319"/>
      <c r="DV715" s="319"/>
      <c r="DW715" s="319"/>
      <c r="DX715" s="342"/>
      <c r="DY715" s="319"/>
      <c r="DZ715" s="319"/>
      <c r="EA715" s="319"/>
      <c r="EB715" s="319"/>
      <c r="EC715" s="342"/>
      <c r="ED715" s="319"/>
      <c r="EE715" s="319"/>
      <c r="EF715" s="319"/>
      <c r="EG715" s="319"/>
      <c r="EH715" s="342"/>
      <c r="EI715" s="322"/>
      <c r="EJ715" s="319"/>
      <c r="EK715" s="319"/>
      <c r="EL715" s="319"/>
      <c r="EM715" s="342"/>
      <c r="EN715" s="319"/>
      <c r="EO715" s="319"/>
      <c r="EP715" s="319"/>
      <c r="EQ715" s="319"/>
      <c r="ER715" s="342"/>
      <c r="ES715" s="319"/>
      <c r="ET715" s="319"/>
      <c r="EU715" s="319"/>
      <c r="EV715" s="319"/>
      <c r="EW715" s="342"/>
      <c r="EX715" s="319"/>
      <c r="EY715" s="319"/>
      <c r="EZ715" s="319"/>
      <c r="FA715" s="319"/>
      <c r="FB715" s="342"/>
      <c r="FC715" s="319"/>
      <c r="FD715" s="319"/>
      <c r="FE715" s="319"/>
      <c r="FF715" s="319"/>
      <c r="FG715" s="342"/>
      <c r="FH715" s="343"/>
      <c r="FI715" s="319"/>
      <c r="FJ715" s="319"/>
      <c r="FK715" s="335"/>
      <c r="FL715" s="319"/>
    </row>
    <row r="716" ht="12.75" hidden="1" customHeight="1" outlineLevel="2">
      <c r="A716" s="45"/>
      <c r="B716" s="215" t="str">
        <f t="shared" si="3253"/>
        <v>PC Client Group</v>
      </c>
      <c r="C716" s="45"/>
      <c r="D716" s="335"/>
      <c r="E716" s="335"/>
      <c r="F716" s="335"/>
      <c r="G716" s="335"/>
      <c r="H716" s="335"/>
      <c r="I716" s="335"/>
      <c r="J716" s="335"/>
      <c r="K716" s="335"/>
      <c r="L716" s="335"/>
      <c r="M716" s="335"/>
      <c r="N716" s="335"/>
      <c r="O716" s="335"/>
      <c r="P716" s="335"/>
      <c r="Q716" s="335"/>
      <c r="R716" s="335"/>
      <c r="S716" s="335"/>
      <c r="T716" s="335"/>
      <c r="U716" s="335"/>
      <c r="V716" s="335"/>
      <c r="W716" s="335"/>
      <c r="X716" s="335"/>
      <c r="Y716" s="335"/>
      <c r="Z716" s="335"/>
      <c r="AA716" s="335"/>
      <c r="AB716" s="335"/>
      <c r="AC716" s="335"/>
      <c r="AD716" s="335"/>
      <c r="AE716" s="335"/>
      <c r="AF716" s="335"/>
      <c r="AG716" s="335"/>
      <c r="AH716" s="335"/>
      <c r="AI716" s="335"/>
      <c r="AJ716" s="335"/>
      <c r="AK716" s="335"/>
      <c r="AL716" s="335"/>
      <c r="AM716" s="335"/>
      <c r="AN716" s="335"/>
      <c r="AO716" s="335"/>
      <c r="AP716" s="335"/>
      <c r="AQ716" s="335"/>
      <c r="AR716" s="335"/>
      <c r="AS716" s="335"/>
      <c r="AT716" s="335"/>
      <c r="AU716" s="335"/>
      <c r="AV716" s="335"/>
      <c r="AW716" s="335"/>
      <c r="AX716" s="335"/>
      <c r="AY716" s="335"/>
      <c r="AZ716" s="335"/>
      <c r="BA716" s="335"/>
      <c r="BB716" s="335"/>
      <c r="BC716" s="335"/>
      <c r="BD716" s="335"/>
      <c r="BE716" s="335"/>
      <c r="BF716" s="335"/>
      <c r="BG716" s="335"/>
      <c r="BH716" s="335"/>
      <c r="BI716" s="335"/>
      <c r="BJ716" s="335"/>
      <c r="BK716" s="335"/>
      <c r="BL716" s="335"/>
      <c r="BM716" s="335"/>
      <c r="BN716" s="335"/>
      <c r="BO716" s="335"/>
      <c r="BP716" s="335"/>
      <c r="BQ716" s="335"/>
      <c r="BR716" s="335"/>
      <c r="BS716" s="335"/>
      <c r="BT716" s="335">
        <f t="shared" ref="BT716:BZ716" si="3256">BT673/BO673-1</f>
        <v>0.261668564</v>
      </c>
      <c r="BU716" s="335">
        <f t="shared" si="3256"/>
        <v>-0.06403976115</v>
      </c>
      <c r="BV716" s="335">
        <f t="shared" si="3256"/>
        <v>0.4314493565</v>
      </c>
      <c r="BW716" s="335">
        <f t="shared" si="3256"/>
        <v>0.1694763539</v>
      </c>
      <c r="BX716" s="335">
        <f t="shared" si="3256"/>
        <v>0.1415816327</v>
      </c>
      <c r="BY716" s="335">
        <f t="shared" si="3256"/>
        <v>0.03506058262</v>
      </c>
      <c r="BZ716" s="342">
        <f t="shared" si="3256"/>
        <v>0.2071363081</v>
      </c>
      <c r="CA716" s="335"/>
      <c r="CB716" s="335"/>
      <c r="CC716" s="335"/>
      <c r="CD716" s="335"/>
      <c r="CE716" s="342"/>
      <c r="CF716" s="335"/>
      <c r="CG716" s="335"/>
      <c r="CH716" s="335"/>
      <c r="CI716" s="335"/>
      <c r="CJ716" s="342"/>
      <c r="CK716" s="335"/>
      <c r="CL716" s="335"/>
      <c r="CM716" s="335"/>
      <c r="CN716" s="343"/>
      <c r="CO716" s="342"/>
      <c r="CP716" s="343"/>
      <c r="CQ716" s="335"/>
      <c r="CR716" s="335"/>
      <c r="CS716" s="335"/>
      <c r="CT716" s="342"/>
      <c r="CU716" s="335"/>
      <c r="CV716" s="335"/>
      <c r="CW716" s="335"/>
      <c r="CX716" s="335"/>
      <c r="CY716" s="342"/>
      <c r="CZ716" s="335"/>
      <c r="DA716" s="335"/>
      <c r="DB716" s="335"/>
      <c r="DC716" s="335"/>
      <c r="DD716" s="342"/>
      <c r="DE716" s="335"/>
      <c r="DF716" s="335"/>
      <c r="DG716" s="343"/>
      <c r="DH716" s="335"/>
      <c r="DI716" s="342"/>
      <c r="DJ716" s="343"/>
      <c r="DK716" s="343"/>
      <c r="DL716" s="343"/>
      <c r="DM716" s="335"/>
      <c r="DN716" s="342"/>
      <c r="DO716" s="335"/>
      <c r="DP716" s="335"/>
      <c r="DQ716" s="335"/>
      <c r="DR716" s="335"/>
      <c r="DS716" s="342"/>
      <c r="DT716" s="335"/>
      <c r="DU716" s="335"/>
      <c r="DV716" s="335"/>
      <c r="DW716" s="335"/>
      <c r="DX716" s="342"/>
      <c r="DY716" s="335"/>
      <c r="DZ716" s="335"/>
      <c r="EA716" s="335"/>
      <c r="EB716" s="335"/>
      <c r="EC716" s="342"/>
      <c r="ED716" s="335"/>
      <c r="EE716" s="335"/>
      <c r="EF716" s="335"/>
      <c r="EG716" s="335"/>
      <c r="EH716" s="342"/>
      <c r="EI716" s="600"/>
      <c r="EJ716" s="335"/>
      <c r="EK716" s="335"/>
      <c r="EL716" s="335"/>
      <c r="EM716" s="342"/>
      <c r="EN716" s="335"/>
      <c r="EO716" s="335"/>
      <c r="EP716" s="335"/>
      <c r="EQ716" s="335"/>
      <c r="ER716" s="342"/>
      <c r="ES716" s="335"/>
      <c r="ET716" s="335"/>
      <c r="EU716" s="335"/>
      <c r="EV716" s="335"/>
      <c r="EW716" s="342"/>
      <c r="EX716" s="335"/>
      <c r="EY716" s="335"/>
      <c r="EZ716" s="335"/>
      <c r="FA716" s="335"/>
      <c r="FB716" s="342"/>
      <c r="FC716" s="335"/>
      <c r="FD716" s="335"/>
      <c r="FE716" s="335"/>
      <c r="FF716" s="335"/>
      <c r="FG716" s="342"/>
      <c r="FH716" s="343"/>
      <c r="FI716" s="335"/>
      <c r="FJ716" s="335"/>
      <c r="FK716" s="335"/>
      <c r="FL716" s="335"/>
    </row>
    <row r="717" ht="12.75" hidden="1" customHeight="1" outlineLevel="2">
      <c r="A717" s="4"/>
      <c r="B717" s="72" t="str">
        <f t="shared" si="3253"/>
        <v>Processors</v>
      </c>
      <c r="C717" s="4"/>
      <c r="D717" s="319"/>
      <c r="E717" s="319"/>
      <c r="F717" s="319"/>
      <c r="G717" s="319"/>
      <c r="H717" s="335"/>
      <c r="I717" s="319"/>
      <c r="J717" s="319"/>
      <c r="K717" s="319"/>
      <c r="L717" s="319"/>
      <c r="M717" s="335"/>
      <c r="N717" s="319"/>
      <c r="O717" s="319"/>
      <c r="P717" s="319"/>
      <c r="Q717" s="319"/>
      <c r="R717" s="335"/>
      <c r="S717" s="319"/>
      <c r="T717" s="319"/>
      <c r="U717" s="319"/>
      <c r="V717" s="319"/>
      <c r="W717" s="335"/>
      <c r="X717" s="319"/>
      <c r="Y717" s="319"/>
      <c r="Z717" s="319"/>
      <c r="AA717" s="319"/>
      <c r="AB717" s="335"/>
      <c r="AC717" s="319"/>
      <c r="AD717" s="319"/>
      <c r="AE717" s="319"/>
      <c r="AF717" s="319"/>
      <c r="AG717" s="335"/>
      <c r="AH717" s="319"/>
      <c r="AI717" s="319"/>
      <c r="AJ717" s="319"/>
      <c r="AK717" s="319"/>
      <c r="AL717" s="335"/>
      <c r="AM717" s="319"/>
      <c r="AN717" s="319"/>
      <c r="AO717" s="319"/>
      <c r="AP717" s="319"/>
      <c r="AQ717" s="335"/>
      <c r="AR717" s="319"/>
      <c r="AS717" s="319"/>
      <c r="AT717" s="319"/>
      <c r="AU717" s="319"/>
      <c r="AV717" s="335"/>
      <c r="AW717" s="319"/>
      <c r="AX717" s="319"/>
      <c r="AY717" s="319"/>
      <c r="AZ717" s="319"/>
      <c r="BA717" s="335"/>
      <c r="BB717" s="319"/>
      <c r="BC717" s="319"/>
      <c r="BD717" s="319"/>
      <c r="BE717" s="319"/>
      <c r="BF717" s="335"/>
      <c r="BG717" s="319"/>
      <c r="BH717" s="319"/>
      <c r="BI717" s="319"/>
      <c r="BJ717" s="319"/>
      <c r="BK717" s="335"/>
      <c r="BL717" s="319"/>
      <c r="BM717" s="319"/>
      <c r="BN717" s="319"/>
      <c r="BO717" s="319"/>
      <c r="BP717" s="335"/>
      <c r="BQ717" s="319"/>
      <c r="BR717" s="319"/>
      <c r="BS717" s="319"/>
      <c r="BT717" s="319">
        <f t="shared" ref="BT717:BZ717" si="3257">BT674/BO674-1</f>
        <v>0.4227234754</v>
      </c>
      <c r="BU717" s="335">
        <f t="shared" si="3257"/>
        <v>0.03413968006</v>
      </c>
      <c r="BV717" s="319">
        <f t="shared" si="3257"/>
        <v>0.5335968379</v>
      </c>
      <c r="BW717" s="319">
        <f t="shared" si="3257"/>
        <v>0.1722113503</v>
      </c>
      <c r="BX717" s="319">
        <f t="shared" si="3257"/>
        <v>0.3403483309</v>
      </c>
      <c r="BY717" s="319">
        <f t="shared" si="3257"/>
        <v>0.2712859659</v>
      </c>
      <c r="BZ717" s="342">
        <f t="shared" si="3257"/>
        <v>0.3886059234</v>
      </c>
      <c r="CA717" s="319"/>
      <c r="CB717" s="319"/>
      <c r="CC717" s="319"/>
      <c r="CD717" s="319"/>
      <c r="CE717" s="342"/>
      <c r="CF717" s="319"/>
      <c r="CG717" s="319"/>
      <c r="CH717" s="319"/>
      <c r="CI717" s="319"/>
      <c r="CJ717" s="342"/>
      <c r="CK717" s="319"/>
      <c r="CL717" s="319"/>
      <c r="CM717" s="319"/>
      <c r="CN717" s="321"/>
      <c r="CO717" s="342"/>
      <c r="CP717" s="321"/>
      <c r="CQ717" s="319"/>
      <c r="CR717" s="319"/>
      <c r="CS717" s="319"/>
      <c r="CT717" s="342"/>
      <c r="CU717" s="319"/>
      <c r="CV717" s="319"/>
      <c r="CW717" s="319"/>
      <c r="CX717" s="319"/>
      <c r="CY717" s="342"/>
      <c r="CZ717" s="319"/>
      <c r="DA717" s="319"/>
      <c r="DB717" s="319"/>
      <c r="DC717" s="319"/>
      <c r="DD717" s="342"/>
      <c r="DE717" s="319"/>
      <c r="DF717" s="319"/>
      <c r="DG717" s="321"/>
      <c r="DH717" s="319"/>
      <c r="DI717" s="342"/>
      <c r="DJ717" s="321"/>
      <c r="DK717" s="321"/>
      <c r="DL717" s="321"/>
      <c r="DM717" s="319"/>
      <c r="DN717" s="342"/>
      <c r="DO717" s="319"/>
      <c r="DP717" s="319"/>
      <c r="DQ717" s="319"/>
      <c r="DR717" s="319"/>
      <c r="DS717" s="342"/>
      <c r="DT717" s="319"/>
      <c r="DU717" s="319"/>
      <c r="DV717" s="319"/>
      <c r="DW717" s="319"/>
      <c r="DX717" s="342"/>
      <c r="DY717" s="319"/>
      <c r="DZ717" s="319"/>
      <c r="EA717" s="319"/>
      <c r="EB717" s="319"/>
      <c r="EC717" s="342"/>
      <c r="ED717" s="319"/>
      <c r="EE717" s="319"/>
      <c r="EF717" s="319"/>
      <c r="EG717" s="319"/>
      <c r="EH717" s="342"/>
      <c r="EI717" s="322"/>
      <c r="EJ717" s="319"/>
      <c r="EK717" s="319"/>
      <c r="EL717" s="319"/>
      <c r="EM717" s="342"/>
      <c r="EN717" s="319"/>
      <c r="EO717" s="319"/>
      <c r="EP717" s="319"/>
      <c r="EQ717" s="319"/>
      <c r="ER717" s="342"/>
      <c r="ES717" s="319"/>
      <c r="ET717" s="319"/>
      <c r="EU717" s="319"/>
      <c r="EV717" s="319"/>
      <c r="EW717" s="342"/>
      <c r="EX717" s="319"/>
      <c r="EY717" s="319"/>
      <c r="EZ717" s="319"/>
      <c r="FA717" s="319"/>
      <c r="FB717" s="342"/>
      <c r="FC717" s="319"/>
      <c r="FD717" s="319"/>
      <c r="FE717" s="319"/>
      <c r="FF717" s="319"/>
      <c r="FG717" s="342"/>
      <c r="FH717" s="343"/>
      <c r="FI717" s="319"/>
      <c r="FJ717" s="319"/>
      <c r="FK717" s="335"/>
      <c r="FL717" s="319"/>
    </row>
    <row r="718" ht="12.75" hidden="1" customHeight="1" outlineLevel="2">
      <c r="A718" s="4"/>
      <c r="B718" s="72" t="str">
        <f t="shared" si="3253"/>
        <v>Chipsets, MBs and other</v>
      </c>
      <c r="C718" s="4"/>
      <c r="D718" s="319"/>
      <c r="E718" s="319"/>
      <c r="F718" s="319"/>
      <c r="G718" s="319"/>
      <c r="H718" s="335"/>
      <c r="I718" s="319"/>
      <c r="J718" s="319"/>
      <c r="K718" s="319"/>
      <c r="L718" s="319"/>
      <c r="M718" s="335"/>
      <c r="N718" s="319"/>
      <c r="O718" s="319"/>
      <c r="P718" s="319"/>
      <c r="Q718" s="319"/>
      <c r="R718" s="335"/>
      <c r="S718" s="319"/>
      <c r="T718" s="319"/>
      <c r="U718" s="319"/>
      <c r="V718" s="319"/>
      <c r="W718" s="335"/>
      <c r="X718" s="319"/>
      <c r="Y718" s="319"/>
      <c r="Z718" s="319"/>
      <c r="AA718" s="319"/>
      <c r="AB718" s="335"/>
      <c r="AC718" s="319"/>
      <c r="AD718" s="319"/>
      <c r="AE718" s="319"/>
      <c r="AF718" s="319"/>
      <c r="AG718" s="335"/>
      <c r="AH718" s="319"/>
      <c r="AI718" s="319"/>
      <c r="AJ718" s="319"/>
      <c r="AK718" s="319"/>
      <c r="AL718" s="335"/>
      <c r="AM718" s="319"/>
      <c r="AN718" s="319"/>
      <c r="AO718" s="319"/>
      <c r="AP718" s="319"/>
      <c r="AQ718" s="335"/>
      <c r="AR718" s="319"/>
      <c r="AS718" s="319"/>
      <c r="AT718" s="319"/>
      <c r="AU718" s="319"/>
      <c r="AV718" s="335"/>
      <c r="AW718" s="319"/>
      <c r="AX718" s="319"/>
      <c r="AY718" s="319"/>
      <c r="AZ718" s="319"/>
      <c r="BA718" s="335"/>
      <c r="BB718" s="319"/>
      <c r="BC718" s="319"/>
      <c r="BD718" s="319"/>
      <c r="BE718" s="319"/>
      <c r="BF718" s="335"/>
      <c r="BG718" s="319"/>
      <c r="BH718" s="319"/>
      <c r="BI718" s="319"/>
      <c r="BJ718" s="319"/>
      <c r="BK718" s="335"/>
      <c r="BL718" s="319"/>
      <c r="BM718" s="319"/>
      <c r="BN718" s="319"/>
      <c r="BO718" s="319"/>
      <c r="BP718" s="335"/>
      <c r="BQ718" s="319"/>
      <c r="BR718" s="319"/>
      <c r="BS718" s="319"/>
      <c r="BT718" s="319">
        <f t="shared" ref="BT718:BZ718" si="3258">BT675/BO675-1</f>
        <v>0.09183673469</v>
      </c>
      <c r="BU718" s="335">
        <f t="shared" si="3258"/>
        <v>-0.2165300546</v>
      </c>
      <c r="BV718" s="319">
        <f t="shared" si="3258"/>
        <v>0.2658730159</v>
      </c>
      <c r="BW718" s="319">
        <f t="shared" si="3258"/>
        <v>0.0602006689</v>
      </c>
      <c r="BX718" s="319">
        <f t="shared" si="3258"/>
        <v>0.1375838926</v>
      </c>
      <c r="BY718" s="319">
        <f t="shared" si="3258"/>
        <v>0.1121495327</v>
      </c>
      <c r="BZ718" s="342">
        <f t="shared" si="3258"/>
        <v>0.1612903226</v>
      </c>
      <c r="CA718" s="319"/>
      <c r="CB718" s="319"/>
      <c r="CC718" s="319"/>
      <c r="CD718" s="319"/>
      <c r="CE718" s="342"/>
      <c r="CF718" s="319"/>
      <c r="CG718" s="319"/>
      <c r="CH718" s="319"/>
      <c r="CI718" s="319"/>
      <c r="CJ718" s="342"/>
      <c r="CK718" s="319"/>
      <c r="CL718" s="319"/>
      <c r="CM718" s="319"/>
      <c r="CN718" s="321"/>
      <c r="CO718" s="342"/>
      <c r="CP718" s="321"/>
      <c r="CQ718" s="319"/>
      <c r="CR718" s="319"/>
      <c r="CS718" s="319"/>
      <c r="CT718" s="342"/>
      <c r="CU718" s="319"/>
      <c r="CV718" s="319"/>
      <c r="CW718" s="319"/>
      <c r="CX718" s="319"/>
      <c r="CY718" s="342"/>
      <c r="CZ718" s="319"/>
      <c r="DA718" s="319"/>
      <c r="DB718" s="319"/>
      <c r="DC718" s="319"/>
      <c r="DD718" s="342"/>
      <c r="DE718" s="319"/>
      <c r="DF718" s="319"/>
      <c r="DG718" s="321"/>
      <c r="DH718" s="319"/>
      <c r="DI718" s="342"/>
      <c r="DJ718" s="321"/>
      <c r="DK718" s="321"/>
      <c r="DL718" s="321"/>
      <c r="DM718" s="319"/>
      <c r="DN718" s="342"/>
      <c r="DO718" s="319"/>
      <c r="DP718" s="319"/>
      <c r="DQ718" s="319"/>
      <c r="DR718" s="319"/>
      <c r="DS718" s="342"/>
      <c r="DT718" s="319"/>
      <c r="DU718" s="319"/>
      <c r="DV718" s="319"/>
      <c r="DW718" s="319"/>
      <c r="DX718" s="342"/>
      <c r="DY718" s="319"/>
      <c r="DZ718" s="319"/>
      <c r="EA718" s="319"/>
      <c r="EB718" s="319"/>
      <c r="EC718" s="342"/>
      <c r="ED718" s="319"/>
      <c r="EE718" s="319"/>
      <c r="EF718" s="319"/>
      <c r="EG718" s="319"/>
      <c r="EH718" s="342"/>
      <c r="EI718" s="322"/>
      <c r="EJ718" s="319"/>
      <c r="EK718" s="319"/>
      <c r="EL718" s="319"/>
      <c r="EM718" s="342"/>
      <c r="EN718" s="319"/>
      <c r="EO718" s="319"/>
      <c r="EP718" s="319"/>
      <c r="EQ718" s="319"/>
      <c r="ER718" s="342"/>
      <c r="ES718" s="319"/>
      <c r="ET718" s="319"/>
      <c r="EU718" s="319"/>
      <c r="EV718" s="319"/>
      <c r="EW718" s="342"/>
      <c r="EX718" s="319"/>
      <c r="EY718" s="319"/>
      <c r="EZ718" s="319"/>
      <c r="FA718" s="319"/>
      <c r="FB718" s="342"/>
      <c r="FC718" s="319"/>
      <c r="FD718" s="319"/>
      <c r="FE718" s="319"/>
      <c r="FF718" s="319"/>
      <c r="FG718" s="342"/>
      <c r="FH718" s="343"/>
      <c r="FI718" s="319"/>
      <c r="FJ718" s="319"/>
      <c r="FK718" s="335"/>
      <c r="FL718" s="319"/>
    </row>
    <row r="719" ht="12.75" hidden="1" customHeight="1" outlineLevel="2">
      <c r="A719" s="45"/>
      <c r="B719" s="215" t="str">
        <f t="shared" si="3253"/>
        <v>Data Center Group</v>
      </c>
      <c r="C719" s="45"/>
      <c r="D719" s="335"/>
      <c r="E719" s="335"/>
      <c r="F719" s="335"/>
      <c r="G719" s="335"/>
      <c r="H719" s="335"/>
      <c r="I719" s="335"/>
      <c r="J719" s="335"/>
      <c r="K719" s="335"/>
      <c r="L719" s="335"/>
      <c r="M719" s="335"/>
      <c r="N719" s="335"/>
      <c r="O719" s="335"/>
      <c r="P719" s="335"/>
      <c r="Q719" s="335"/>
      <c r="R719" s="335"/>
      <c r="S719" s="335"/>
      <c r="T719" s="335"/>
      <c r="U719" s="335"/>
      <c r="V719" s="335"/>
      <c r="W719" s="335"/>
      <c r="X719" s="335"/>
      <c r="Y719" s="335"/>
      <c r="Z719" s="335"/>
      <c r="AA719" s="335"/>
      <c r="AB719" s="335"/>
      <c r="AC719" s="335"/>
      <c r="AD719" s="335"/>
      <c r="AE719" s="335"/>
      <c r="AF719" s="335"/>
      <c r="AG719" s="335"/>
      <c r="AH719" s="335"/>
      <c r="AI719" s="335"/>
      <c r="AJ719" s="335"/>
      <c r="AK719" s="335"/>
      <c r="AL719" s="335"/>
      <c r="AM719" s="335"/>
      <c r="AN719" s="335"/>
      <c r="AO719" s="335"/>
      <c r="AP719" s="335"/>
      <c r="AQ719" s="335"/>
      <c r="AR719" s="335"/>
      <c r="AS719" s="335"/>
      <c r="AT719" s="335"/>
      <c r="AU719" s="335"/>
      <c r="AV719" s="335"/>
      <c r="AW719" s="335"/>
      <c r="AX719" s="335"/>
      <c r="AY719" s="335"/>
      <c r="AZ719" s="335"/>
      <c r="BA719" s="335"/>
      <c r="BB719" s="335"/>
      <c r="BC719" s="335"/>
      <c r="BD719" s="335"/>
      <c r="BE719" s="335"/>
      <c r="BF719" s="335"/>
      <c r="BG719" s="335"/>
      <c r="BH719" s="335"/>
      <c r="BI719" s="335"/>
      <c r="BJ719" s="335"/>
      <c r="BK719" s="335"/>
      <c r="BL719" s="335"/>
      <c r="BM719" s="335"/>
      <c r="BN719" s="335"/>
      <c r="BO719" s="335"/>
      <c r="BP719" s="335"/>
      <c r="BQ719" s="335"/>
      <c r="BR719" s="335"/>
      <c r="BS719" s="335"/>
      <c r="BT719" s="335">
        <f t="shared" ref="BT719:BZ719" si="3259">BT676/BO676-1</f>
        <v>0.3574782025</v>
      </c>
      <c r="BU719" s="335">
        <f t="shared" si="3259"/>
        <v>-0.0215477997</v>
      </c>
      <c r="BV719" s="335">
        <f t="shared" si="3259"/>
        <v>0.480221519</v>
      </c>
      <c r="BW719" s="335">
        <f t="shared" si="3259"/>
        <v>0.153930131</v>
      </c>
      <c r="BX719" s="335">
        <f t="shared" si="3259"/>
        <v>0.3042959427</v>
      </c>
      <c r="BY719" s="335">
        <f t="shared" si="3259"/>
        <v>0.2460474308</v>
      </c>
      <c r="BZ719" s="342">
        <f t="shared" si="3259"/>
        <v>0.3481699752</v>
      </c>
      <c r="CA719" s="335"/>
      <c r="CB719" s="335"/>
      <c r="CC719" s="335"/>
      <c r="CD719" s="335"/>
      <c r="CE719" s="342"/>
      <c r="CF719" s="335"/>
      <c r="CG719" s="335"/>
      <c r="CH719" s="335"/>
      <c r="CI719" s="335"/>
      <c r="CJ719" s="342"/>
      <c r="CK719" s="335"/>
      <c r="CL719" s="335"/>
      <c r="CM719" s="335"/>
      <c r="CN719" s="343"/>
      <c r="CO719" s="342"/>
      <c r="CP719" s="343"/>
      <c r="CQ719" s="335"/>
      <c r="CR719" s="335"/>
      <c r="CS719" s="335"/>
      <c r="CT719" s="342"/>
      <c r="CU719" s="335"/>
      <c r="CV719" s="335"/>
      <c r="CW719" s="335"/>
      <c r="CX719" s="335"/>
      <c r="CY719" s="342"/>
      <c r="CZ719" s="335"/>
      <c r="DA719" s="335"/>
      <c r="DB719" s="335"/>
      <c r="DC719" s="335"/>
      <c r="DD719" s="342"/>
      <c r="DE719" s="335"/>
      <c r="DF719" s="335"/>
      <c r="DG719" s="343"/>
      <c r="DH719" s="335"/>
      <c r="DI719" s="342"/>
      <c r="DJ719" s="343"/>
      <c r="DK719" s="343"/>
      <c r="DL719" s="343"/>
      <c r="DM719" s="335"/>
      <c r="DN719" s="342"/>
      <c r="DO719" s="335"/>
      <c r="DP719" s="335"/>
      <c r="DQ719" s="335"/>
      <c r="DR719" s="335"/>
      <c r="DS719" s="342"/>
      <c r="DT719" s="335"/>
      <c r="DU719" s="335"/>
      <c r="DV719" s="335"/>
      <c r="DW719" s="335"/>
      <c r="DX719" s="342"/>
      <c r="DY719" s="335"/>
      <c r="DZ719" s="335"/>
      <c r="EA719" s="335"/>
      <c r="EB719" s="335"/>
      <c r="EC719" s="342"/>
      <c r="ED719" s="335"/>
      <c r="EE719" s="335"/>
      <c r="EF719" s="335"/>
      <c r="EG719" s="335"/>
      <c r="EH719" s="342"/>
      <c r="EI719" s="600"/>
      <c r="EJ719" s="335"/>
      <c r="EK719" s="335"/>
      <c r="EL719" s="335"/>
      <c r="EM719" s="342"/>
      <c r="EN719" s="335"/>
      <c r="EO719" s="335"/>
      <c r="EP719" s="335"/>
      <c r="EQ719" s="335"/>
      <c r="ER719" s="342"/>
      <c r="ES719" s="335"/>
      <c r="ET719" s="335"/>
      <c r="EU719" s="335"/>
      <c r="EV719" s="335"/>
      <c r="EW719" s="342"/>
      <c r="EX719" s="335"/>
      <c r="EY719" s="335"/>
      <c r="EZ719" s="335"/>
      <c r="FA719" s="335"/>
      <c r="FB719" s="342"/>
      <c r="FC719" s="335"/>
      <c r="FD719" s="335"/>
      <c r="FE719" s="335"/>
      <c r="FF719" s="335"/>
      <c r="FG719" s="342"/>
      <c r="FH719" s="343"/>
      <c r="FI719" s="335"/>
      <c r="FJ719" s="335"/>
      <c r="FK719" s="335"/>
      <c r="FL719" s="335"/>
    </row>
    <row r="720" ht="12.75" hidden="1" customHeight="1" outlineLevel="2">
      <c r="A720" s="45"/>
      <c r="B720" s="215" t="str">
        <f t="shared" si="3253"/>
        <v>Other IAG</v>
      </c>
      <c r="C720" s="45"/>
      <c r="D720" s="335"/>
      <c r="E720" s="335"/>
      <c r="F720" s="335"/>
      <c r="G720" s="335"/>
      <c r="H720" s="335"/>
      <c r="I720" s="335"/>
      <c r="J720" s="335"/>
      <c r="K720" s="335"/>
      <c r="L720" s="335"/>
      <c r="M720" s="335"/>
      <c r="N720" s="335"/>
      <c r="O720" s="335"/>
      <c r="P720" s="335"/>
      <c r="Q720" s="335"/>
      <c r="R720" s="335"/>
      <c r="S720" s="335"/>
      <c r="T720" s="335"/>
      <c r="U720" s="335"/>
      <c r="V720" s="335"/>
      <c r="W720" s="335"/>
      <c r="X720" s="335"/>
      <c r="Y720" s="335"/>
      <c r="Z720" s="335"/>
      <c r="AA720" s="335"/>
      <c r="AB720" s="335"/>
      <c r="AC720" s="335"/>
      <c r="AD720" s="335"/>
      <c r="AE720" s="335"/>
      <c r="AF720" s="335"/>
      <c r="AG720" s="335"/>
      <c r="AH720" s="335"/>
      <c r="AI720" s="335"/>
      <c r="AJ720" s="335"/>
      <c r="AK720" s="335"/>
      <c r="AL720" s="335"/>
      <c r="AM720" s="335"/>
      <c r="AN720" s="335"/>
      <c r="AO720" s="335"/>
      <c r="AP720" s="335"/>
      <c r="AQ720" s="335"/>
      <c r="AR720" s="335"/>
      <c r="AS720" s="335"/>
      <c r="AT720" s="335"/>
      <c r="AU720" s="335"/>
      <c r="AV720" s="335"/>
      <c r="AW720" s="335"/>
      <c r="AX720" s="335"/>
      <c r="AY720" s="335"/>
      <c r="AZ720" s="335"/>
      <c r="BA720" s="335"/>
      <c r="BB720" s="335"/>
      <c r="BC720" s="335"/>
      <c r="BD720" s="335"/>
      <c r="BE720" s="335"/>
      <c r="BF720" s="335"/>
      <c r="BG720" s="335"/>
      <c r="BH720" s="335"/>
      <c r="BI720" s="335"/>
      <c r="BJ720" s="335"/>
      <c r="BK720" s="335"/>
      <c r="BL720" s="335"/>
      <c r="BM720" s="335"/>
      <c r="BN720" s="335"/>
      <c r="BO720" s="335"/>
      <c r="BP720" s="335"/>
      <c r="BQ720" s="335"/>
      <c r="BR720" s="335"/>
      <c r="BS720" s="335"/>
      <c r="BT720" s="335">
        <f t="shared" ref="BT720:BZ720" si="3260">BT677/BO677-1</f>
        <v>0.1105121294</v>
      </c>
      <c r="BU720" s="335">
        <f t="shared" si="3260"/>
        <v>-0.2047646058</v>
      </c>
      <c r="BV720" s="335">
        <f t="shared" si="3260"/>
        <v>0.1503067485</v>
      </c>
      <c r="BW720" s="335">
        <f t="shared" si="3260"/>
        <v>0.0425</v>
      </c>
      <c r="BX720" s="335">
        <f t="shared" si="3260"/>
        <v>0.4644970414</v>
      </c>
      <c r="BY720" s="335">
        <f t="shared" si="3260"/>
        <v>0.2063106796</v>
      </c>
      <c r="BZ720" s="342">
        <f t="shared" si="3260"/>
        <v>0.272467903</v>
      </c>
      <c r="CA720" s="335"/>
      <c r="CB720" s="335"/>
      <c r="CC720" s="335"/>
      <c r="CD720" s="335"/>
      <c r="CE720" s="342"/>
      <c r="CF720" s="335"/>
      <c r="CG720" s="335"/>
      <c r="CH720" s="335"/>
      <c r="CI720" s="335"/>
      <c r="CJ720" s="342"/>
      <c r="CK720" s="335"/>
      <c r="CL720" s="335"/>
      <c r="CM720" s="335"/>
      <c r="CN720" s="343"/>
      <c r="CO720" s="342"/>
      <c r="CP720" s="343"/>
      <c r="CQ720" s="335"/>
      <c r="CR720" s="335"/>
      <c r="CS720" s="335"/>
      <c r="CT720" s="342"/>
      <c r="CU720" s="335"/>
      <c r="CV720" s="335"/>
      <c r="CW720" s="335"/>
      <c r="CX720" s="335"/>
      <c r="CY720" s="342"/>
      <c r="CZ720" s="335"/>
      <c r="DA720" s="335"/>
      <c r="DB720" s="335"/>
      <c r="DC720" s="335"/>
      <c r="DD720" s="342"/>
      <c r="DE720" s="335"/>
      <c r="DF720" s="335"/>
      <c r="DG720" s="343"/>
      <c r="DH720" s="335"/>
      <c r="DI720" s="342"/>
      <c r="DJ720" s="343"/>
      <c r="DK720" s="343"/>
      <c r="DL720" s="343"/>
      <c r="DM720" s="335"/>
      <c r="DN720" s="342"/>
      <c r="DO720" s="335"/>
      <c r="DP720" s="335"/>
      <c r="DQ720" s="335"/>
      <c r="DR720" s="335"/>
      <c r="DS720" s="342"/>
      <c r="DT720" s="335"/>
      <c r="DU720" s="335"/>
      <c r="DV720" s="335"/>
      <c r="DW720" s="335"/>
      <c r="DX720" s="342"/>
      <c r="DY720" s="335"/>
      <c r="DZ720" s="335"/>
      <c r="EA720" s="335"/>
      <c r="EB720" s="335"/>
      <c r="EC720" s="342"/>
      <c r="ED720" s="335"/>
      <c r="EE720" s="335"/>
      <c r="EF720" s="335"/>
      <c r="EG720" s="335"/>
      <c r="EH720" s="342"/>
      <c r="EI720" s="600"/>
      <c r="EJ720" s="335"/>
      <c r="EK720" s="335"/>
      <c r="EL720" s="335"/>
      <c r="EM720" s="342"/>
      <c r="EN720" s="335"/>
      <c r="EO720" s="335"/>
      <c r="EP720" s="335"/>
      <c r="EQ720" s="335"/>
      <c r="ER720" s="342"/>
      <c r="ES720" s="335"/>
      <c r="ET720" s="335"/>
      <c r="EU720" s="335"/>
      <c r="EV720" s="335"/>
      <c r="EW720" s="342"/>
      <c r="EX720" s="335"/>
      <c r="EY720" s="335"/>
      <c r="EZ720" s="335"/>
      <c r="FA720" s="335"/>
      <c r="FB720" s="342"/>
      <c r="FC720" s="335"/>
      <c r="FD720" s="335"/>
      <c r="FE720" s="335"/>
      <c r="FF720" s="335"/>
      <c r="FG720" s="342"/>
      <c r="FH720" s="343"/>
      <c r="FI720" s="335"/>
      <c r="FJ720" s="335"/>
      <c r="FK720" s="335"/>
      <c r="FL720" s="335"/>
    </row>
    <row r="721" ht="12.75" hidden="1" customHeight="1" outlineLevel="2">
      <c r="A721" s="45"/>
      <c r="B721" s="215" t="str">
        <f t="shared" si="3253"/>
        <v>IAG Subtotal</v>
      </c>
      <c r="C721" s="45"/>
      <c r="D721" s="335"/>
      <c r="E721" s="335"/>
      <c r="F721" s="335"/>
      <c r="G721" s="335"/>
      <c r="H721" s="335"/>
      <c r="I721" s="335"/>
      <c r="J721" s="335"/>
      <c r="K721" s="335"/>
      <c r="L721" s="335"/>
      <c r="M721" s="335"/>
      <c r="N721" s="335"/>
      <c r="O721" s="335"/>
      <c r="P721" s="335"/>
      <c r="Q721" s="335"/>
      <c r="R721" s="335"/>
      <c r="S721" s="335"/>
      <c r="T721" s="335"/>
      <c r="U721" s="335"/>
      <c r="V721" s="335"/>
      <c r="W721" s="335"/>
      <c r="X721" s="335"/>
      <c r="Y721" s="335"/>
      <c r="Z721" s="335"/>
      <c r="AA721" s="335"/>
      <c r="AB721" s="335"/>
      <c r="AC721" s="335"/>
      <c r="AD721" s="335"/>
      <c r="AE721" s="335"/>
      <c r="AF721" s="335"/>
      <c r="AG721" s="335"/>
      <c r="AH721" s="335"/>
      <c r="AI721" s="335"/>
      <c r="AJ721" s="335"/>
      <c r="AK721" s="335"/>
      <c r="AL721" s="335"/>
      <c r="AM721" s="335"/>
      <c r="AN721" s="335"/>
      <c r="AO721" s="335"/>
      <c r="AP721" s="335"/>
      <c r="AQ721" s="335"/>
      <c r="AR721" s="335"/>
      <c r="AS721" s="335"/>
      <c r="AT721" s="335"/>
      <c r="AU721" s="335"/>
      <c r="AV721" s="335"/>
      <c r="AW721" s="335"/>
      <c r="AX721" s="335"/>
      <c r="AY721" s="335"/>
      <c r="AZ721" s="335"/>
      <c r="BA721" s="335"/>
      <c r="BB721" s="335"/>
      <c r="BC721" s="335"/>
      <c r="BD721" s="335"/>
      <c r="BE721" s="335"/>
      <c r="BF721" s="335"/>
      <c r="BG721" s="335"/>
      <c r="BH721" s="335"/>
      <c r="BI721" s="335"/>
      <c r="BJ721" s="335"/>
      <c r="BK721" s="335"/>
      <c r="BL721" s="335"/>
      <c r="BM721" s="335"/>
      <c r="BN721" s="335"/>
      <c r="BO721" s="335"/>
      <c r="BP721" s="335"/>
      <c r="BQ721" s="335"/>
      <c r="BR721" s="335"/>
      <c r="BS721" s="335"/>
      <c r="BT721" s="335">
        <f t="shared" ref="BT721:BZ721" si="3261">BT678/BO678-1</f>
        <v>0.2725003121</v>
      </c>
      <c r="BU721" s="335">
        <f t="shared" si="3261"/>
        <v>-0.06316079295</v>
      </c>
      <c r="BV721" s="335">
        <f t="shared" si="3261"/>
        <v>0.4271327866</v>
      </c>
      <c r="BW721" s="335">
        <f t="shared" si="3261"/>
        <v>0.1606043649</v>
      </c>
      <c r="BX721" s="335">
        <f t="shared" si="3261"/>
        <v>0.1836824697</v>
      </c>
      <c r="BY721" s="335">
        <f t="shared" si="3261"/>
        <v>0.08387286639</v>
      </c>
      <c r="BZ721" s="342">
        <f t="shared" si="3261"/>
        <v>0.2365543996</v>
      </c>
      <c r="CA721" s="335"/>
      <c r="CB721" s="335"/>
      <c r="CC721" s="335"/>
      <c r="CD721" s="335"/>
      <c r="CE721" s="342"/>
      <c r="CF721" s="335"/>
      <c r="CG721" s="335"/>
      <c r="CH721" s="335"/>
      <c r="CI721" s="335"/>
      <c r="CJ721" s="342"/>
      <c r="CK721" s="335"/>
      <c r="CL721" s="335"/>
      <c r="CM721" s="335"/>
      <c r="CN721" s="343"/>
      <c r="CO721" s="342"/>
      <c r="CP721" s="343"/>
      <c r="CQ721" s="335"/>
      <c r="CR721" s="335"/>
      <c r="CS721" s="335"/>
      <c r="CT721" s="342"/>
      <c r="CU721" s="335"/>
      <c r="CV721" s="335"/>
      <c r="CW721" s="335"/>
      <c r="CX721" s="335"/>
      <c r="CY721" s="342"/>
      <c r="CZ721" s="335"/>
      <c r="DA721" s="335"/>
      <c r="DB721" s="335"/>
      <c r="DC721" s="335"/>
      <c r="DD721" s="342"/>
      <c r="DE721" s="335"/>
      <c r="DF721" s="335"/>
      <c r="DG721" s="343"/>
      <c r="DH721" s="335"/>
      <c r="DI721" s="342"/>
      <c r="DJ721" s="343"/>
      <c r="DK721" s="343"/>
      <c r="DL721" s="343"/>
      <c r="DM721" s="335"/>
      <c r="DN721" s="342"/>
      <c r="DO721" s="335"/>
      <c r="DP721" s="335"/>
      <c r="DQ721" s="335"/>
      <c r="DR721" s="335"/>
      <c r="DS721" s="342"/>
      <c r="DT721" s="335"/>
      <c r="DU721" s="335"/>
      <c r="DV721" s="335"/>
      <c r="DW721" s="335"/>
      <c r="DX721" s="342"/>
      <c r="DY721" s="335"/>
      <c r="DZ721" s="335"/>
      <c r="EA721" s="335"/>
      <c r="EB721" s="335"/>
      <c r="EC721" s="342"/>
      <c r="ED721" s="335"/>
      <c r="EE721" s="335"/>
      <c r="EF721" s="335"/>
      <c r="EG721" s="335"/>
      <c r="EH721" s="342"/>
      <c r="EI721" s="600"/>
      <c r="EJ721" s="335"/>
      <c r="EK721" s="335"/>
      <c r="EL721" s="335"/>
      <c r="EM721" s="342"/>
      <c r="EN721" s="335"/>
      <c r="EO721" s="335"/>
      <c r="EP721" s="335"/>
      <c r="EQ721" s="335"/>
      <c r="ER721" s="342"/>
      <c r="ES721" s="335"/>
      <c r="ET721" s="335"/>
      <c r="EU721" s="335"/>
      <c r="EV721" s="335"/>
      <c r="EW721" s="342"/>
      <c r="EX721" s="335"/>
      <c r="EY721" s="335"/>
      <c r="EZ721" s="335"/>
      <c r="FA721" s="335"/>
      <c r="FB721" s="342"/>
      <c r="FC721" s="335"/>
      <c r="FD721" s="335"/>
      <c r="FE721" s="335"/>
      <c r="FF721" s="335"/>
      <c r="FG721" s="342"/>
      <c r="FH721" s="343"/>
      <c r="FI721" s="335"/>
      <c r="FJ721" s="335"/>
      <c r="FK721" s="335"/>
      <c r="FL721" s="335"/>
    </row>
    <row r="722" ht="12.75" hidden="1" customHeight="1" outlineLevel="2">
      <c r="A722" s="45"/>
      <c r="B722" s="215" t="str">
        <f t="shared" ref="B722:B723" si="3263">B681</f>
        <v>Other Operating Groups</v>
      </c>
      <c r="C722" s="45"/>
      <c r="D722" s="335"/>
      <c r="E722" s="335"/>
      <c r="F722" s="335"/>
      <c r="G722" s="335"/>
      <c r="H722" s="335"/>
      <c r="I722" s="335"/>
      <c r="J722" s="335"/>
      <c r="K722" s="335"/>
      <c r="L722" s="335"/>
      <c r="M722" s="335"/>
      <c r="N722" s="335"/>
      <c r="O722" s="335"/>
      <c r="P722" s="335"/>
      <c r="Q722" s="335"/>
      <c r="R722" s="335"/>
      <c r="S722" s="335"/>
      <c r="T722" s="335"/>
      <c r="U722" s="335"/>
      <c r="V722" s="335"/>
      <c r="W722" s="335"/>
      <c r="X722" s="335"/>
      <c r="Y722" s="335"/>
      <c r="Z722" s="335"/>
      <c r="AA722" s="335"/>
      <c r="AB722" s="335"/>
      <c r="AC722" s="335"/>
      <c r="AD722" s="335"/>
      <c r="AE722" s="335"/>
      <c r="AF722" s="335"/>
      <c r="AG722" s="335"/>
      <c r="AH722" s="335"/>
      <c r="AI722" s="335"/>
      <c r="AJ722" s="335"/>
      <c r="AK722" s="335"/>
      <c r="AL722" s="335"/>
      <c r="AM722" s="335"/>
      <c r="AN722" s="335"/>
      <c r="AO722" s="335"/>
      <c r="AP722" s="335"/>
      <c r="AQ722" s="335"/>
      <c r="AR722" s="335"/>
      <c r="AS722" s="335"/>
      <c r="AT722" s="335"/>
      <c r="AU722" s="335"/>
      <c r="AV722" s="335"/>
      <c r="AW722" s="335"/>
      <c r="AX722" s="335"/>
      <c r="AY722" s="335"/>
      <c r="AZ722" s="335"/>
      <c r="BA722" s="335"/>
      <c r="BB722" s="335"/>
      <c r="BC722" s="335"/>
      <c r="BD722" s="335"/>
      <c r="BE722" s="335"/>
      <c r="BF722" s="335"/>
      <c r="BG722" s="335"/>
      <c r="BH722" s="335"/>
      <c r="BI722" s="335"/>
      <c r="BJ722" s="335"/>
      <c r="BK722" s="335"/>
      <c r="BL722" s="335"/>
      <c r="BM722" s="335"/>
      <c r="BN722" s="335"/>
      <c r="BO722" s="335"/>
      <c r="BP722" s="335"/>
      <c r="BQ722" s="335"/>
      <c r="BR722" s="335"/>
      <c r="BS722" s="335"/>
      <c r="BT722" s="335">
        <f t="shared" ref="BT722:BZ722" si="3262">BT681/BO681-1</f>
        <v>1.652173913</v>
      </c>
      <c r="BU722" s="335">
        <f t="shared" si="3262"/>
        <v>0.6764705882</v>
      </c>
      <c r="BV722" s="335">
        <f t="shared" si="3262"/>
        <v>1.476510067</v>
      </c>
      <c r="BW722" s="335">
        <f t="shared" si="3262"/>
        <v>0.5078125</v>
      </c>
      <c r="BX722" s="335">
        <f t="shared" si="3262"/>
        <v>0.2553191489</v>
      </c>
      <c r="BY722" s="335">
        <f t="shared" si="3262"/>
        <v>0.07103825137</v>
      </c>
      <c r="BZ722" s="342">
        <f t="shared" si="3262"/>
        <v>0.5490196078</v>
      </c>
      <c r="CA722" s="335"/>
      <c r="CB722" s="335"/>
      <c r="CC722" s="335"/>
      <c r="CD722" s="335"/>
      <c r="CE722" s="342"/>
      <c r="CF722" s="335"/>
      <c r="CG722" s="335"/>
      <c r="CH722" s="335"/>
      <c r="CI722" s="335"/>
      <c r="CJ722" s="342"/>
      <c r="CK722" s="335"/>
      <c r="CL722" s="335"/>
      <c r="CM722" s="335"/>
      <c r="CN722" s="343"/>
      <c r="CO722" s="342"/>
      <c r="CP722" s="343"/>
      <c r="CQ722" s="335"/>
      <c r="CR722" s="335"/>
      <c r="CS722" s="335"/>
      <c r="CT722" s="342"/>
      <c r="CU722" s="335"/>
      <c r="CV722" s="335"/>
      <c r="CW722" s="335"/>
      <c r="CX722" s="335"/>
      <c r="CY722" s="342"/>
      <c r="CZ722" s="335"/>
      <c r="DA722" s="335"/>
      <c r="DB722" s="335"/>
      <c r="DC722" s="335"/>
      <c r="DD722" s="342"/>
      <c r="DE722" s="335"/>
      <c r="DF722" s="335"/>
      <c r="DG722" s="343"/>
      <c r="DH722" s="335"/>
      <c r="DI722" s="342"/>
      <c r="DJ722" s="343"/>
      <c r="DK722" s="343"/>
      <c r="DL722" s="343"/>
      <c r="DM722" s="335"/>
      <c r="DN722" s="342"/>
      <c r="DO722" s="335"/>
      <c r="DP722" s="335"/>
      <c r="DQ722" s="335"/>
      <c r="DR722" s="335"/>
      <c r="DS722" s="342"/>
      <c r="DT722" s="335"/>
      <c r="DU722" s="335"/>
      <c r="DV722" s="335"/>
      <c r="DW722" s="335"/>
      <c r="DX722" s="342"/>
      <c r="DY722" s="335"/>
      <c r="DZ722" s="335"/>
      <c r="EA722" s="335"/>
      <c r="EB722" s="335"/>
      <c r="EC722" s="342"/>
      <c r="ED722" s="335"/>
      <c r="EE722" s="335"/>
      <c r="EF722" s="335"/>
      <c r="EG722" s="335"/>
      <c r="EH722" s="342"/>
      <c r="EI722" s="600"/>
      <c r="EJ722" s="335"/>
      <c r="EK722" s="335"/>
      <c r="EL722" s="335"/>
      <c r="EM722" s="342"/>
      <c r="EN722" s="335"/>
      <c r="EO722" s="335"/>
      <c r="EP722" s="335"/>
      <c r="EQ722" s="335"/>
      <c r="ER722" s="342"/>
      <c r="ES722" s="335"/>
      <c r="ET722" s="335"/>
      <c r="EU722" s="335"/>
      <c r="EV722" s="335"/>
      <c r="EW722" s="342"/>
      <c r="EX722" s="335"/>
      <c r="EY722" s="335"/>
      <c r="EZ722" s="335"/>
      <c r="FA722" s="335"/>
      <c r="FB722" s="342"/>
      <c r="FC722" s="335"/>
      <c r="FD722" s="335"/>
      <c r="FE722" s="335"/>
      <c r="FF722" s="335"/>
      <c r="FG722" s="342"/>
      <c r="FH722" s="343"/>
      <c r="FI722" s="335"/>
      <c r="FJ722" s="335"/>
      <c r="FK722" s="335"/>
      <c r="FL722" s="335"/>
    </row>
    <row r="723" ht="12.75" hidden="1" customHeight="1" outlineLevel="2">
      <c r="A723" s="45"/>
      <c r="B723" s="215" t="str">
        <f t="shared" si="3263"/>
        <v>Corporate</v>
      </c>
      <c r="C723" s="45"/>
      <c r="D723" s="335"/>
      <c r="E723" s="335"/>
      <c r="F723" s="335"/>
      <c r="G723" s="335"/>
      <c r="H723" s="335"/>
      <c r="I723" s="335"/>
      <c r="J723" s="335"/>
      <c r="K723" s="335"/>
      <c r="L723" s="335"/>
      <c r="M723" s="335"/>
      <c r="N723" s="335"/>
      <c r="O723" s="335"/>
      <c r="P723" s="335"/>
      <c r="Q723" s="335"/>
      <c r="R723" s="335"/>
      <c r="S723" s="335"/>
      <c r="T723" s="335"/>
      <c r="U723" s="335"/>
      <c r="V723" s="335"/>
      <c r="W723" s="335"/>
      <c r="X723" s="335"/>
      <c r="Y723" s="335"/>
      <c r="Z723" s="335"/>
      <c r="AA723" s="335"/>
      <c r="AB723" s="335"/>
      <c r="AC723" s="335"/>
      <c r="AD723" s="335"/>
      <c r="AE723" s="335"/>
      <c r="AF723" s="335"/>
      <c r="AG723" s="335"/>
      <c r="AH723" s="335"/>
      <c r="AI723" s="335"/>
      <c r="AJ723" s="335"/>
      <c r="AK723" s="335"/>
      <c r="AL723" s="335"/>
      <c r="AM723" s="335"/>
      <c r="AN723" s="335"/>
      <c r="AO723" s="335"/>
      <c r="AP723" s="335"/>
      <c r="AQ723" s="335"/>
      <c r="AR723" s="335"/>
      <c r="AS723" s="335"/>
      <c r="AT723" s="335"/>
      <c r="AU723" s="335"/>
      <c r="AV723" s="335"/>
      <c r="AW723" s="335"/>
      <c r="AX723" s="335"/>
      <c r="AY723" s="335"/>
      <c r="AZ723" s="335"/>
      <c r="BA723" s="335"/>
      <c r="BB723" s="335"/>
      <c r="BC723" s="335"/>
      <c r="BD723" s="335"/>
      <c r="BE723" s="335"/>
      <c r="BF723" s="335"/>
      <c r="BG723" s="335"/>
      <c r="BH723" s="335"/>
      <c r="BI723" s="335"/>
      <c r="BJ723" s="335"/>
      <c r="BK723" s="335"/>
      <c r="BL723" s="335"/>
      <c r="BM723" s="335"/>
      <c r="BN723" s="335"/>
      <c r="BO723" s="335"/>
      <c r="BP723" s="335"/>
      <c r="BQ723" s="335"/>
      <c r="BR723" s="335"/>
      <c r="BS723" s="335"/>
      <c r="BT723" s="335"/>
      <c r="BU723" s="335"/>
      <c r="BV723" s="335"/>
      <c r="BW723" s="335"/>
      <c r="BX723" s="335"/>
      <c r="BY723" s="335"/>
      <c r="BZ723" s="342"/>
      <c r="CA723" s="335"/>
      <c r="CB723" s="335"/>
      <c r="CC723" s="335"/>
      <c r="CD723" s="335"/>
      <c r="CE723" s="342"/>
      <c r="CF723" s="335"/>
      <c r="CG723" s="335"/>
      <c r="CH723" s="335"/>
      <c r="CI723" s="335"/>
      <c r="CJ723" s="342"/>
      <c r="CK723" s="335"/>
      <c r="CL723" s="335"/>
      <c r="CM723" s="335"/>
      <c r="CN723" s="343"/>
      <c r="CO723" s="342"/>
      <c r="CP723" s="343"/>
      <c r="CQ723" s="335"/>
      <c r="CR723" s="335"/>
      <c r="CS723" s="335"/>
      <c r="CT723" s="342"/>
      <c r="CU723" s="335"/>
      <c r="CV723" s="335"/>
      <c r="CW723" s="335"/>
      <c r="CX723" s="335"/>
      <c r="CY723" s="342"/>
      <c r="CZ723" s="335"/>
      <c r="DA723" s="335"/>
      <c r="DB723" s="335"/>
      <c r="DC723" s="335"/>
      <c r="DD723" s="342"/>
      <c r="DE723" s="335"/>
      <c r="DF723" s="335"/>
      <c r="DG723" s="343"/>
      <c r="DH723" s="335"/>
      <c r="DI723" s="342"/>
      <c r="DJ723" s="343"/>
      <c r="DK723" s="343"/>
      <c r="DL723" s="343"/>
      <c r="DM723" s="335"/>
      <c r="DN723" s="342"/>
      <c r="DO723" s="335"/>
      <c r="DP723" s="335"/>
      <c r="DQ723" s="335"/>
      <c r="DR723" s="335"/>
      <c r="DS723" s="342"/>
      <c r="DT723" s="335"/>
      <c r="DU723" s="335"/>
      <c r="DV723" s="335"/>
      <c r="DW723" s="335"/>
      <c r="DX723" s="342"/>
      <c r="DY723" s="335"/>
      <c r="DZ723" s="335"/>
      <c r="EA723" s="335"/>
      <c r="EB723" s="335"/>
      <c r="EC723" s="342"/>
      <c r="ED723" s="335"/>
      <c r="EE723" s="335"/>
      <c r="EF723" s="335"/>
      <c r="EG723" s="335"/>
      <c r="EH723" s="342"/>
      <c r="EI723" s="600"/>
      <c r="EJ723" s="335"/>
      <c r="EK723" s="335"/>
      <c r="EL723" s="335"/>
      <c r="EM723" s="342"/>
      <c r="EN723" s="335"/>
      <c r="EO723" s="335"/>
      <c r="EP723" s="335"/>
      <c r="EQ723" s="335"/>
      <c r="ER723" s="342"/>
      <c r="ES723" s="335"/>
      <c r="ET723" s="335"/>
      <c r="EU723" s="335"/>
      <c r="EV723" s="335"/>
      <c r="EW723" s="342"/>
      <c r="EX723" s="335"/>
      <c r="EY723" s="335"/>
      <c r="EZ723" s="335"/>
      <c r="FA723" s="335"/>
      <c r="FB723" s="342"/>
      <c r="FC723" s="335"/>
      <c r="FD723" s="335"/>
      <c r="FE723" s="335"/>
      <c r="FF723" s="335"/>
      <c r="FG723" s="342"/>
      <c r="FH723" s="343"/>
      <c r="FI723" s="335"/>
      <c r="FJ723" s="335"/>
      <c r="FK723" s="335"/>
      <c r="FL723" s="335"/>
    </row>
    <row r="724" ht="13.5" hidden="1" customHeight="1" outlineLevel="2">
      <c r="A724" s="4"/>
      <c r="B724" s="591" t="s">
        <v>293</v>
      </c>
      <c r="C724" s="529"/>
      <c r="D724" s="592"/>
      <c r="E724" s="592"/>
      <c r="F724" s="592"/>
      <c r="G724" s="592"/>
      <c r="H724" s="592"/>
      <c r="I724" s="592"/>
      <c r="J724" s="592"/>
      <c r="K724" s="592"/>
      <c r="L724" s="592"/>
      <c r="M724" s="592"/>
      <c r="N724" s="592"/>
      <c r="O724" s="592"/>
      <c r="P724" s="592"/>
      <c r="Q724" s="592"/>
      <c r="R724" s="592"/>
      <c r="S724" s="592"/>
      <c r="T724" s="592"/>
      <c r="U724" s="592"/>
      <c r="V724" s="592"/>
      <c r="W724" s="592"/>
      <c r="X724" s="592"/>
      <c r="Y724" s="592"/>
      <c r="Z724" s="592"/>
      <c r="AA724" s="592"/>
      <c r="AB724" s="592"/>
      <c r="AC724" s="592"/>
      <c r="AD724" s="592"/>
      <c r="AE724" s="592"/>
      <c r="AF724" s="592"/>
      <c r="AG724" s="592"/>
      <c r="AH724" s="592"/>
      <c r="AI724" s="592"/>
      <c r="AJ724" s="592"/>
      <c r="AK724" s="592"/>
      <c r="AL724" s="592"/>
      <c r="AM724" s="592"/>
      <c r="AN724" s="592"/>
      <c r="AO724" s="592"/>
      <c r="AP724" s="592"/>
      <c r="AQ724" s="592"/>
      <c r="AR724" s="592"/>
      <c r="AS724" s="592"/>
      <c r="AT724" s="592"/>
      <c r="AU724" s="592"/>
      <c r="AV724" s="592"/>
      <c r="AW724" s="592"/>
      <c r="AX724" s="592"/>
      <c r="AY724" s="592"/>
      <c r="AZ724" s="592"/>
      <c r="BA724" s="592"/>
      <c r="BB724" s="592"/>
      <c r="BC724" s="592"/>
      <c r="BD724" s="592"/>
      <c r="BE724" s="592"/>
      <c r="BF724" s="592"/>
      <c r="BG724" s="592"/>
      <c r="BH724" s="592"/>
      <c r="BI724" s="592"/>
      <c r="BJ724" s="592"/>
      <c r="BK724" s="592"/>
      <c r="BL724" s="592"/>
      <c r="BM724" s="592"/>
      <c r="BN724" s="592"/>
      <c r="BO724" s="592"/>
      <c r="BP724" s="592"/>
      <c r="BQ724" s="592"/>
      <c r="BR724" s="592"/>
      <c r="BS724" s="592">
        <f>revGrowth</f>
        <v>-0.08104140159</v>
      </c>
      <c r="BT724" s="592">
        <f>revGrowth</f>
        <v>0.2848285923</v>
      </c>
      <c r="BU724" s="592">
        <f>revGrowth</f>
        <v>-0.06542329591</v>
      </c>
      <c r="BV724" s="592">
        <f>revGrowth</f>
        <v>0.4414275717</v>
      </c>
      <c r="BW724" s="592">
        <f>revGrowth</f>
        <v>0.3416001994</v>
      </c>
      <c r="BX724" s="592">
        <f>revGrowth</f>
        <v>0.182447545</v>
      </c>
      <c r="BY724" s="592">
        <f>revGrowth</f>
        <v>0.08401930173</v>
      </c>
      <c r="BZ724" s="593">
        <f>revGrowth</f>
        <v>0.2418652319</v>
      </c>
      <c r="CA724" s="592"/>
      <c r="CB724" s="592"/>
      <c r="CC724" s="592"/>
      <c r="CD724" s="592"/>
      <c r="CE724" s="593"/>
      <c r="CF724" s="592"/>
      <c r="CG724" s="592"/>
      <c r="CH724" s="592"/>
      <c r="CI724" s="592"/>
      <c r="CJ724" s="593"/>
      <c r="CK724" s="592"/>
      <c r="CL724" s="592"/>
      <c r="CM724" s="592"/>
      <c r="CN724" s="594"/>
      <c r="CO724" s="593"/>
      <c r="CP724" s="594"/>
      <c r="CQ724" s="592"/>
      <c r="CR724" s="592"/>
      <c r="CS724" s="592"/>
      <c r="CT724" s="593"/>
      <c r="CU724" s="592"/>
      <c r="CV724" s="592"/>
      <c r="CW724" s="592"/>
      <c r="CX724" s="592"/>
      <c r="CY724" s="593"/>
      <c r="CZ724" s="592"/>
      <c r="DA724" s="592"/>
      <c r="DB724" s="592"/>
      <c r="DC724" s="592"/>
      <c r="DD724" s="593"/>
      <c r="DE724" s="592"/>
      <c r="DF724" s="592"/>
      <c r="DG724" s="343"/>
      <c r="DH724" s="592"/>
      <c r="DI724" s="593"/>
      <c r="DJ724" s="594"/>
      <c r="DK724" s="594"/>
      <c r="DL724" s="594"/>
      <c r="DM724" s="592"/>
      <c r="DN724" s="593"/>
      <c r="DO724" s="592"/>
      <c r="DP724" s="592"/>
      <c r="DQ724" s="592"/>
      <c r="DR724" s="592"/>
      <c r="DS724" s="593"/>
      <c r="DT724" s="592"/>
      <c r="DU724" s="592"/>
      <c r="DV724" s="592"/>
      <c r="DW724" s="592"/>
      <c r="DX724" s="593"/>
      <c r="DY724" s="592"/>
      <c r="DZ724" s="592"/>
      <c r="EA724" s="592"/>
      <c r="EB724" s="592"/>
      <c r="EC724" s="593"/>
      <c r="ED724" s="592"/>
      <c r="EE724" s="592"/>
      <c r="EF724" s="592"/>
      <c r="EG724" s="592"/>
      <c r="EH724" s="593"/>
      <c r="EI724" s="620"/>
      <c r="EJ724" s="592"/>
      <c r="EK724" s="592"/>
      <c r="EL724" s="592"/>
      <c r="EM724" s="593"/>
      <c r="EN724" s="592"/>
      <c r="EO724" s="592"/>
      <c r="EP724" s="592"/>
      <c r="EQ724" s="592"/>
      <c r="ER724" s="593"/>
      <c r="ES724" s="592"/>
      <c r="ET724" s="592"/>
      <c r="EU724" s="592"/>
      <c r="EV724" s="592"/>
      <c r="EW724" s="593"/>
      <c r="EX724" s="592"/>
      <c r="EY724" s="592"/>
      <c r="EZ724" s="592"/>
      <c r="FA724" s="592"/>
      <c r="FB724" s="593"/>
      <c r="FC724" s="592"/>
      <c r="FD724" s="592"/>
      <c r="FE724" s="592"/>
      <c r="FF724" s="592"/>
      <c r="FG724" s="593"/>
      <c r="FH724" s="594"/>
      <c r="FI724" s="592"/>
      <c r="FJ724" s="592"/>
      <c r="FK724" s="592"/>
      <c r="FL724" s="592"/>
    </row>
    <row r="725" ht="13.5" hidden="1" customHeight="1" outlineLevel="2">
      <c r="A725" s="4"/>
      <c r="B725" s="599"/>
      <c r="C725" s="45"/>
      <c r="D725" s="335"/>
      <c r="E725" s="335"/>
      <c r="F725" s="335"/>
      <c r="G725" s="335"/>
      <c r="H725" s="335"/>
      <c r="I725" s="335"/>
      <c r="J725" s="335"/>
      <c r="K725" s="335"/>
      <c r="L725" s="335"/>
      <c r="M725" s="335"/>
      <c r="N725" s="335"/>
      <c r="O725" s="335"/>
      <c r="P725" s="335"/>
      <c r="Q725" s="335"/>
      <c r="R725" s="335"/>
      <c r="S725" s="335"/>
      <c r="T725" s="335"/>
      <c r="U725" s="335"/>
      <c r="V725" s="335"/>
      <c r="W725" s="335"/>
      <c r="X725" s="335"/>
      <c r="Y725" s="335"/>
      <c r="Z725" s="335"/>
      <c r="AA725" s="335"/>
      <c r="AB725" s="335"/>
      <c r="AC725" s="335"/>
      <c r="AD725" s="335"/>
      <c r="AE725" s="335"/>
      <c r="AF725" s="335"/>
      <c r="AG725" s="335"/>
      <c r="AH725" s="335"/>
      <c r="AI725" s="335"/>
      <c r="AJ725" s="335"/>
      <c r="AK725" s="335"/>
      <c r="AL725" s="335"/>
      <c r="AM725" s="335"/>
      <c r="AN725" s="335"/>
      <c r="AO725" s="335"/>
      <c r="AP725" s="335"/>
      <c r="AQ725" s="335"/>
      <c r="AR725" s="335"/>
      <c r="AS725" s="335"/>
      <c r="AT725" s="335"/>
      <c r="AU725" s="335"/>
      <c r="AV725" s="335"/>
      <c r="AW725" s="335"/>
      <c r="AX725" s="335"/>
      <c r="AY725" s="335"/>
      <c r="AZ725" s="335"/>
      <c r="BA725" s="335"/>
      <c r="BB725" s="335"/>
      <c r="BC725" s="335"/>
      <c r="BD725" s="335"/>
      <c r="BE725" s="335"/>
      <c r="BF725" s="335"/>
      <c r="BG725" s="335"/>
      <c r="BH725" s="335"/>
      <c r="BI725" s="335"/>
      <c r="BJ725" s="335"/>
      <c r="BK725" s="335"/>
      <c r="BL725" s="335"/>
      <c r="BM725" s="335"/>
      <c r="BN725" s="335"/>
      <c r="BO725" s="335"/>
      <c r="BP725" s="335"/>
      <c r="BQ725" s="335"/>
      <c r="BR725" s="335"/>
      <c r="BS725" s="335"/>
      <c r="BT725" s="335"/>
      <c r="BU725" s="335"/>
      <c r="BV725" s="335"/>
      <c r="BW725" s="335"/>
      <c r="BX725" s="335"/>
      <c r="BY725" s="335"/>
      <c r="BZ725" s="342"/>
      <c r="CA725" s="335"/>
      <c r="CB725" s="335"/>
      <c r="CC725" s="335"/>
      <c r="CD725" s="335"/>
      <c r="CE725" s="342"/>
      <c r="CF725" s="335"/>
      <c r="CG725" s="335"/>
      <c r="CH725" s="335"/>
      <c r="CI725" s="335"/>
      <c r="CJ725" s="342"/>
      <c r="CK725" s="335"/>
      <c r="CL725" s="335"/>
      <c r="CM725" s="335"/>
      <c r="CN725" s="343"/>
      <c r="CO725" s="342"/>
      <c r="CP725" s="343"/>
      <c r="CQ725" s="335"/>
      <c r="CR725" s="335"/>
      <c r="CS725" s="335"/>
      <c r="CT725" s="342"/>
      <c r="CU725" s="335"/>
      <c r="CV725" s="335"/>
      <c r="CW725" s="335"/>
      <c r="CX725" s="335"/>
      <c r="CY725" s="342"/>
      <c r="CZ725" s="335"/>
      <c r="DA725" s="335"/>
      <c r="DB725" s="335"/>
      <c r="DC725" s="335"/>
      <c r="DD725" s="342"/>
      <c r="DE725" s="335"/>
      <c r="DF725" s="335"/>
      <c r="DG725" s="343"/>
      <c r="DH725" s="335"/>
      <c r="DI725" s="342"/>
      <c r="DJ725" s="343"/>
      <c r="DK725" s="343"/>
      <c r="DL725" s="343"/>
      <c r="DM725" s="335"/>
      <c r="DN725" s="342"/>
      <c r="DO725" s="335"/>
      <c r="DP725" s="335"/>
      <c r="DQ725" s="335"/>
      <c r="DR725" s="335"/>
      <c r="DS725" s="342"/>
      <c r="DT725" s="335"/>
      <c r="DU725" s="335"/>
      <c r="DV725" s="335"/>
      <c r="DW725" s="335"/>
      <c r="DX725" s="342"/>
      <c r="DY725" s="335"/>
      <c r="DZ725" s="335"/>
      <c r="EA725" s="335"/>
      <c r="EB725" s="335"/>
      <c r="EC725" s="342"/>
      <c r="ED725" s="335"/>
      <c r="EE725" s="335"/>
      <c r="EF725" s="335"/>
      <c r="EG725" s="335"/>
      <c r="EH725" s="342"/>
      <c r="EI725" s="600"/>
      <c r="EJ725" s="335"/>
      <c r="EK725" s="335"/>
      <c r="EL725" s="335"/>
      <c r="EM725" s="342"/>
      <c r="EN725" s="335"/>
      <c r="EO725" s="335"/>
      <c r="EP725" s="335"/>
      <c r="EQ725" s="335"/>
      <c r="ER725" s="342"/>
      <c r="ES725" s="335"/>
      <c r="ET725" s="335"/>
      <c r="EU725" s="335"/>
      <c r="EV725" s="335"/>
      <c r="EW725" s="342"/>
      <c r="EX725" s="335"/>
      <c r="EY725" s="335"/>
      <c r="EZ725" s="335"/>
      <c r="FA725" s="335"/>
      <c r="FB725" s="342"/>
      <c r="FC725" s="335"/>
      <c r="FD725" s="335"/>
      <c r="FE725" s="335"/>
      <c r="FF725" s="335"/>
      <c r="FG725" s="342"/>
      <c r="FH725" s="343"/>
      <c r="FI725" s="335"/>
      <c r="FJ725" s="335"/>
      <c r="FK725" s="335"/>
      <c r="FL725" s="335"/>
    </row>
    <row r="726" ht="12.75" hidden="1" customHeight="1" outlineLevel="2">
      <c r="A726" s="4"/>
      <c r="B726" s="601" t="s">
        <v>294</v>
      </c>
      <c r="C726" s="45"/>
      <c r="D726" s="4"/>
      <c r="E726" s="4"/>
      <c r="F726" s="4"/>
      <c r="G726" s="4"/>
      <c r="H726" s="45"/>
      <c r="I726" s="4"/>
      <c r="J726" s="4"/>
      <c r="K726" s="4"/>
      <c r="L726" s="4"/>
      <c r="M726" s="45"/>
      <c r="N726" s="4"/>
      <c r="O726" s="4"/>
      <c r="P726" s="4"/>
      <c r="Q726" s="4"/>
      <c r="R726" s="45"/>
      <c r="S726" s="4"/>
      <c r="T726" s="4"/>
      <c r="U726" s="4"/>
      <c r="V726" s="4"/>
      <c r="W726" s="45"/>
      <c r="X726" s="4"/>
      <c r="Y726" s="4"/>
      <c r="Z726" s="4"/>
      <c r="AA726" s="4"/>
      <c r="AB726" s="45"/>
      <c r="AC726" s="4"/>
      <c r="AD726" s="4"/>
      <c r="AE726" s="4"/>
      <c r="AF726" s="4"/>
      <c r="AG726" s="45"/>
      <c r="AH726" s="4"/>
      <c r="AI726" s="4"/>
      <c r="AJ726" s="4"/>
      <c r="AK726" s="4"/>
      <c r="AL726" s="45"/>
      <c r="AM726" s="4"/>
      <c r="AN726" s="4"/>
      <c r="AO726" s="4"/>
      <c r="AP726" s="4"/>
      <c r="AQ726" s="45"/>
      <c r="AR726" s="4"/>
      <c r="AS726" s="4"/>
      <c r="AT726" s="4"/>
      <c r="AU726" s="4"/>
      <c r="AV726" s="45"/>
      <c r="AW726" s="4"/>
      <c r="AX726" s="4"/>
      <c r="AY726" s="4"/>
      <c r="AZ726" s="4"/>
      <c r="BA726" s="45"/>
      <c r="BB726" s="4"/>
      <c r="BC726" s="4"/>
      <c r="BD726" s="4"/>
      <c r="BE726" s="4"/>
      <c r="BF726" s="45"/>
      <c r="BG726" s="4"/>
      <c r="BH726" s="4"/>
      <c r="BI726" s="4"/>
      <c r="BJ726" s="4"/>
      <c r="BK726" s="45"/>
      <c r="BL726" s="4"/>
      <c r="BM726" s="4"/>
      <c r="BN726" s="4"/>
      <c r="BO726" s="4"/>
      <c r="BP726" s="45"/>
      <c r="BQ726" s="4"/>
      <c r="BR726" s="4"/>
      <c r="BS726" s="4"/>
      <c r="BT726" s="4"/>
      <c r="BU726" s="45"/>
      <c r="BV726" s="4"/>
      <c r="BW726" s="4"/>
      <c r="BX726" s="4"/>
      <c r="BY726" s="4"/>
      <c r="BZ726" s="350"/>
      <c r="CA726" s="4"/>
      <c r="CB726" s="4"/>
      <c r="CC726" s="4"/>
      <c r="CD726" s="4"/>
      <c r="CE726" s="350"/>
      <c r="CF726" s="4"/>
      <c r="CG726" s="4"/>
      <c r="CH726" s="4"/>
      <c r="CI726" s="4"/>
      <c r="CJ726" s="350"/>
      <c r="CK726" s="4"/>
      <c r="CL726" s="4"/>
      <c r="CM726" s="4"/>
      <c r="CN726" s="16"/>
      <c r="CO726" s="350"/>
      <c r="CP726" s="16"/>
      <c r="CQ726" s="4"/>
      <c r="CR726" s="4"/>
      <c r="CS726" s="4"/>
      <c r="CT726" s="350"/>
      <c r="CU726" s="4"/>
      <c r="CV726" s="4"/>
      <c r="CW726" s="4"/>
      <c r="CX726" s="4"/>
      <c r="CY726" s="350"/>
      <c r="CZ726" s="4"/>
      <c r="DA726" s="4"/>
      <c r="DB726" s="4"/>
      <c r="DC726" s="4"/>
      <c r="DD726" s="350"/>
      <c r="DE726" s="4"/>
      <c r="DF726" s="4"/>
      <c r="DG726" s="16"/>
      <c r="DH726" s="4"/>
      <c r="DI726" s="350"/>
      <c r="DJ726" s="16"/>
      <c r="DK726" s="16"/>
      <c r="DL726" s="16"/>
      <c r="DM726" s="4"/>
      <c r="DN726" s="350"/>
      <c r="DO726" s="4"/>
      <c r="DP726" s="4"/>
      <c r="DQ726" s="4"/>
      <c r="DR726" s="4"/>
      <c r="DS726" s="350"/>
      <c r="DT726" s="4"/>
      <c r="DU726" s="4"/>
      <c r="DV726" s="4"/>
      <c r="DW726" s="4"/>
      <c r="DX726" s="350"/>
      <c r="DY726" s="4"/>
      <c r="DZ726" s="4"/>
      <c r="EA726" s="4"/>
      <c r="EB726" s="4"/>
      <c r="EC726" s="350"/>
      <c r="ED726" s="4"/>
      <c r="EE726" s="4"/>
      <c r="EF726" s="4"/>
      <c r="EG726" s="4"/>
      <c r="EH726" s="350"/>
      <c r="EI726" s="214"/>
      <c r="EJ726" s="4"/>
      <c r="EK726" s="4"/>
      <c r="EL726" s="4"/>
      <c r="EM726" s="350"/>
      <c r="EN726" s="4"/>
      <c r="EO726" s="4"/>
      <c r="EP726" s="4"/>
      <c r="EQ726" s="4"/>
      <c r="ER726" s="350"/>
      <c r="ES726" s="4"/>
      <c r="ET726" s="4"/>
      <c r="EU726" s="4"/>
      <c r="EV726" s="4"/>
      <c r="EW726" s="350"/>
      <c r="EX726" s="4"/>
      <c r="EY726" s="4"/>
      <c r="EZ726" s="4"/>
      <c r="FA726" s="4"/>
      <c r="FB726" s="350"/>
      <c r="FC726" s="4"/>
      <c r="FD726" s="4"/>
      <c r="FE726" s="4"/>
      <c r="FF726" s="4"/>
      <c r="FG726" s="350"/>
      <c r="FH726" s="145"/>
      <c r="FI726" s="4"/>
      <c r="FJ726" s="4"/>
      <c r="FK726" s="45"/>
      <c r="FL726" s="4"/>
    </row>
    <row r="727" ht="12.75" hidden="1" customHeight="1" outlineLevel="2">
      <c r="A727" s="45"/>
      <c r="B727" s="215" t="str">
        <f>B500</f>
        <v>Client Computing Group</v>
      </c>
      <c r="C727" s="45"/>
      <c r="D727" s="17"/>
      <c r="E727" s="17"/>
      <c r="F727" s="17"/>
      <c r="G727" s="17"/>
      <c r="H727" s="112"/>
      <c r="I727" s="17"/>
      <c r="J727" s="17"/>
      <c r="K727" s="17"/>
      <c r="L727" s="17"/>
      <c r="M727" s="112"/>
      <c r="N727" s="17"/>
      <c r="O727" s="17"/>
      <c r="P727" s="17"/>
      <c r="Q727" s="17"/>
      <c r="R727" s="112"/>
      <c r="S727" s="17"/>
      <c r="T727" s="17"/>
      <c r="U727" s="17"/>
      <c r="V727" s="17"/>
      <c r="W727" s="112"/>
      <c r="X727" s="17"/>
      <c r="Y727" s="17"/>
      <c r="Z727" s="17"/>
      <c r="AA727" s="17"/>
      <c r="AB727" s="112"/>
      <c r="AC727" s="17"/>
      <c r="AD727" s="17"/>
      <c r="AE727" s="17"/>
      <c r="AF727" s="17"/>
      <c r="AG727" s="112"/>
      <c r="AH727" s="17"/>
      <c r="AI727" s="17"/>
      <c r="AJ727" s="17"/>
      <c r="AK727" s="17"/>
      <c r="AL727" s="112"/>
      <c r="AM727" s="17"/>
      <c r="AN727" s="17"/>
      <c r="AO727" s="17"/>
      <c r="AP727" s="17"/>
      <c r="AQ727" s="112"/>
      <c r="AR727" s="17"/>
      <c r="AS727" s="17"/>
      <c r="AT727" s="17"/>
      <c r="AU727" s="17"/>
      <c r="AV727" s="112"/>
      <c r="AW727" s="17"/>
      <c r="AX727" s="17"/>
      <c r="AY727" s="17"/>
      <c r="AZ727" s="17"/>
      <c r="BA727" s="112"/>
      <c r="BB727" s="17"/>
      <c r="BC727" s="17"/>
      <c r="BD727" s="17"/>
      <c r="BE727" s="17"/>
      <c r="BF727" s="112"/>
      <c r="BG727" s="17"/>
      <c r="BH727" s="17"/>
      <c r="BI727" s="17"/>
      <c r="BJ727" s="17"/>
      <c r="BK727" s="112">
        <v>7585.0</v>
      </c>
      <c r="BL727" s="17"/>
      <c r="BM727" s="17"/>
      <c r="BN727" s="17"/>
      <c r="BO727" s="17">
        <v>1733.0</v>
      </c>
      <c r="BP727" s="112">
        <v>9419.0</v>
      </c>
      <c r="BQ727" s="17">
        <v>701.0</v>
      </c>
      <c r="BR727" s="17">
        <f t="shared" ref="BR727:BR732" si="3264">BU727-BQ727-BS727-BS727</f>
        <v>2394</v>
      </c>
      <c r="BS727" s="17">
        <v>2246.0</v>
      </c>
      <c r="BT727" s="17">
        <v>3340.0</v>
      </c>
      <c r="BU727" s="112">
        <v>7587.0</v>
      </c>
      <c r="BV727" s="17">
        <v>3143.0</v>
      </c>
      <c r="BW727" s="17">
        <v>3428.0</v>
      </c>
      <c r="BX727" s="17">
        <v>3437.0</v>
      </c>
      <c r="BY727" s="17">
        <f>BZ727-SUM(BV727:BX727)</f>
        <v>3296</v>
      </c>
      <c r="BZ727" s="80">
        <v>13304.0</v>
      </c>
      <c r="CA727" s="17"/>
      <c r="CB727" s="17"/>
      <c r="CC727" s="17"/>
      <c r="CD727" s="17"/>
      <c r="CE727" s="80"/>
      <c r="CF727" s="17"/>
      <c r="CG727" s="17"/>
      <c r="CH727" s="17"/>
      <c r="CI727" s="17"/>
      <c r="CJ727" s="80"/>
      <c r="CK727" s="17"/>
      <c r="CL727" s="17"/>
      <c r="CM727" s="17"/>
      <c r="CN727" s="19"/>
      <c r="CO727" s="80"/>
      <c r="CP727" s="19"/>
      <c r="CQ727" s="17"/>
      <c r="CR727" s="17"/>
      <c r="CS727" s="17"/>
      <c r="CT727" s="80"/>
      <c r="CU727" s="17"/>
      <c r="CV727" s="17"/>
      <c r="CW727" s="17"/>
      <c r="CX727" s="17"/>
      <c r="CY727" s="80"/>
      <c r="CZ727" s="17"/>
      <c r="DA727" s="17"/>
      <c r="DB727" s="17"/>
      <c r="DC727" s="17"/>
      <c r="DD727" s="80"/>
      <c r="DE727" s="17"/>
      <c r="DF727" s="17"/>
      <c r="DG727" s="19"/>
      <c r="DH727" s="17"/>
      <c r="DI727" s="80"/>
      <c r="DJ727" s="19"/>
      <c r="DK727" s="19"/>
      <c r="DL727" s="19"/>
      <c r="DM727" s="17"/>
      <c r="DN727" s="80"/>
      <c r="DO727" s="17"/>
      <c r="DP727" s="17"/>
      <c r="DQ727" s="17"/>
      <c r="DR727" s="17"/>
      <c r="DS727" s="80"/>
      <c r="DT727" s="17"/>
      <c r="DU727" s="17"/>
      <c r="DV727" s="17"/>
      <c r="DW727" s="17"/>
      <c r="DX727" s="80"/>
      <c r="DY727" s="17"/>
      <c r="DZ727" s="17"/>
      <c r="EA727" s="17"/>
      <c r="EB727" s="17"/>
      <c r="EC727" s="80"/>
      <c r="ED727" s="17"/>
      <c r="EE727" s="17"/>
      <c r="EF727" s="17"/>
      <c r="EG727" s="17"/>
      <c r="EH727" s="80"/>
      <c r="EI727" s="25"/>
      <c r="EJ727" s="17"/>
      <c r="EK727" s="17"/>
      <c r="EL727" s="17"/>
      <c r="EM727" s="80"/>
      <c r="EN727" s="17"/>
      <c r="EO727" s="17"/>
      <c r="EP727" s="17"/>
      <c r="EQ727" s="17"/>
      <c r="ER727" s="80"/>
      <c r="ES727" s="17"/>
      <c r="ET727" s="17"/>
      <c r="EU727" s="17"/>
      <c r="EV727" s="17"/>
      <c r="EW727" s="80"/>
      <c r="EX727" s="17"/>
      <c r="EY727" s="17"/>
      <c r="EZ727" s="17"/>
      <c r="FA727" s="17"/>
      <c r="FB727" s="80"/>
      <c r="FC727" s="17"/>
      <c r="FD727" s="17"/>
      <c r="FE727" s="17"/>
      <c r="FF727" s="17"/>
      <c r="FG727" s="80"/>
      <c r="FH727" s="146"/>
      <c r="FI727" s="17"/>
      <c r="FJ727" s="17"/>
      <c r="FK727" s="112"/>
      <c r="FL727" s="17"/>
    </row>
    <row r="728" ht="12.75" hidden="1" customHeight="1" outlineLevel="2">
      <c r="A728" s="45"/>
      <c r="B728" s="215" t="str">
        <f>B508</f>
        <v>Data Center Group</v>
      </c>
      <c r="C728" s="45"/>
      <c r="D728" s="17"/>
      <c r="E728" s="17"/>
      <c r="F728" s="17"/>
      <c r="G728" s="17"/>
      <c r="H728" s="112"/>
      <c r="I728" s="17"/>
      <c r="J728" s="17"/>
      <c r="K728" s="17"/>
      <c r="L728" s="17"/>
      <c r="M728" s="112"/>
      <c r="N728" s="17"/>
      <c r="O728" s="17"/>
      <c r="P728" s="17"/>
      <c r="Q728" s="17"/>
      <c r="R728" s="112"/>
      <c r="S728" s="17"/>
      <c r="T728" s="17"/>
      <c r="U728" s="17"/>
      <c r="V728" s="17"/>
      <c r="W728" s="112"/>
      <c r="X728" s="17"/>
      <c r="Y728" s="17"/>
      <c r="Z728" s="17"/>
      <c r="AA728" s="17"/>
      <c r="AB728" s="112"/>
      <c r="AC728" s="17"/>
      <c r="AD728" s="17"/>
      <c r="AE728" s="17"/>
      <c r="AF728" s="17"/>
      <c r="AG728" s="112"/>
      <c r="AH728" s="17"/>
      <c r="AI728" s="17"/>
      <c r="AJ728" s="17"/>
      <c r="AK728" s="17"/>
      <c r="AL728" s="112"/>
      <c r="AM728" s="17"/>
      <c r="AN728" s="17"/>
      <c r="AO728" s="17"/>
      <c r="AP728" s="17"/>
      <c r="AQ728" s="112"/>
      <c r="AR728" s="17"/>
      <c r="AS728" s="17"/>
      <c r="AT728" s="17"/>
      <c r="AU728" s="17"/>
      <c r="AV728" s="112"/>
      <c r="AW728" s="17"/>
      <c r="AX728" s="17"/>
      <c r="AY728" s="17"/>
      <c r="AZ728" s="17"/>
      <c r="BA728" s="112"/>
      <c r="BB728" s="17"/>
      <c r="BC728" s="17"/>
      <c r="BD728" s="17"/>
      <c r="BE728" s="17"/>
      <c r="BF728" s="112"/>
      <c r="BG728" s="17"/>
      <c r="BH728" s="17"/>
      <c r="BI728" s="17"/>
      <c r="BJ728" s="17"/>
      <c r="BK728" s="112">
        <v>2105.0</v>
      </c>
      <c r="BL728" s="17"/>
      <c r="BM728" s="17"/>
      <c r="BN728" s="17"/>
      <c r="BO728" s="17">
        <v>443.0</v>
      </c>
      <c r="BP728" s="112">
        <v>2135.0</v>
      </c>
      <c r="BQ728" s="17">
        <v>266.0</v>
      </c>
      <c r="BR728" s="17">
        <f t="shared" si="3264"/>
        <v>779</v>
      </c>
      <c r="BS728" s="17">
        <v>627.0</v>
      </c>
      <c r="BT728" s="17">
        <v>972.0</v>
      </c>
      <c r="BU728" s="112">
        <v>2299.0</v>
      </c>
      <c r="BV728" s="17">
        <v>835.0</v>
      </c>
      <c r="BW728" s="17">
        <v>1064.0</v>
      </c>
      <c r="BX728" s="17">
        <v>1070.0</v>
      </c>
      <c r="BY728" s="17">
        <v>1426.0</v>
      </c>
      <c r="BZ728" s="80">
        <f t="shared" ref="BZ728:BZ732" si="3265">SUM(BV728:BY728)</f>
        <v>4395</v>
      </c>
      <c r="CA728" s="17"/>
      <c r="CB728" s="17"/>
      <c r="CC728" s="17"/>
      <c r="CD728" s="17"/>
      <c r="CE728" s="80"/>
      <c r="CF728" s="17"/>
      <c r="CG728" s="17"/>
      <c r="CH728" s="17"/>
      <c r="CI728" s="17"/>
      <c r="CJ728" s="80"/>
      <c r="CK728" s="17"/>
      <c r="CL728" s="17"/>
      <c r="CM728" s="17"/>
      <c r="CN728" s="19"/>
      <c r="CO728" s="80"/>
      <c r="CP728" s="19"/>
      <c r="CQ728" s="17"/>
      <c r="CR728" s="17"/>
      <c r="CS728" s="17"/>
      <c r="CT728" s="80"/>
      <c r="CU728" s="17"/>
      <c r="CV728" s="17"/>
      <c r="CW728" s="17"/>
      <c r="CX728" s="17"/>
      <c r="CY728" s="80"/>
      <c r="CZ728" s="17"/>
      <c r="DA728" s="17"/>
      <c r="DB728" s="17"/>
      <c r="DC728" s="17"/>
      <c r="DD728" s="80"/>
      <c r="DE728" s="17"/>
      <c r="DF728" s="17"/>
      <c r="DG728" s="19"/>
      <c r="DH728" s="17"/>
      <c r="DI728" s="80"/>
      <c r="DJ728" s="19"/>
      <c r="DK728" s="19"/>
      <c r="DL728" s="19"/>
      <c r="DM728" s="17"/>
      <c r="DN728" s="80"/>
      <c r="DO728" s="17"/>
      <c r="DP728" s="17"/>
      <c r="DQ728" s="17"/>
      <c r="DR728" s="17"/>
      <c r="DS728" s="80"/>
      <c r="DT728" s="17"/>
      <c r="DU728" s="17"/>
      <c r="DV728" s="17"/>
      <c r="DW728" s="17"/>
      <c r="DX728" s="80"/>
      <c r="DY728" s="17"/>
      <c r="DZ728" s="17"/>
      <c r="EA728" s="17"/>
      <c r="EB728" s="17"/>
      <c r="EC728" s="80"/>
      <c r="ED728" s="17"/>
      <c r="EE728" s="17"/>
      <c r="EF728" s="17"/>
      <c r="EG728" s="17"/>
      <c r="EH728" s="80"/>
      <c r="EI728" s="25"/>
      <c r="EJ728" s="17"/>
      <c r="EK728" s="17"/>
      <c r="EL728" s="17"/>
      <c r="EM728" s="80"/>
      <c r="EN728" s="17"/>
      <c r="EO728" s="17"/>
      <c r="EP728" s="17"/>
      <c r="EQ728" s="17"/>
      <c r="ER728" s="80"/>
      <c r="ES728" s="17"/>
      <c r="ET728" s="17"/>
      <c r="EU728" s="17"/>
      <c r="EV728" s="17"/>
      <c r="EW728" s="80"/>
      <c r="EX728" s="17"/>
      <c r="EY728" s="17"/>
      <c r="EZ728" s="17"/>
      <c r="FA728" s="17"/>
      <c r="FB728" s="80"/>
      <c r="FC728" s="17"/>
      <c r="FD728" s="17"/>
      <c r="FE728" s="17"/>
      <c r="FF728" s="17"/>
      <c r="FG728" s="80"/>
      <c r="FH728" s="146"/>
      <c r="FI728" s="17"/>
      <c r="FJ728" s="17"/>
      <c r="FK728" s="112"/>
      <c r="FL728" s="17"/>
    </row>
    <row r="729" ht="12.75" hidden="1" customHeight="1" outlineLevel="2">
      <c r="A729" s="45"/>
      <c r="B729" s="215" t="str">
        <f>B511</f>
        <v>Other IAG</v>
      </c>
      <c r="C729" s="45"/>
      <c r="D729" s="17"/>
      <c r="E729" s="17"/>
      <c r="F729" s="17"/>
      <c r="G729" s="17"/>
      <c r="H729" s="112"/>
      <c r="I729" s="17"/>
      <c r="J729" s="17"/>
      <c r="K729" s="17"/>
      <c r="L729" s="17"/>
      <c r="M729" s="112"/>
      <c r="N729" s="17"/>
      <c r="O729" s="17"/>
      <c r="P729" s="17"/>
      <c r="Q729" s="17"/>
      <c r="R729" s="112"/>
      <c r="S729" s="17"/>
      <c r="T729" s="17"/>
      <c r="U729" s="17"/>
      <c r="V729" s="17"/>
      <c r="W729" s="112"/>
      <c r="X729" s="17"/>
      <c r="Y729" s="17"/>
      <c r="Z729" s="17"/>
      <c r="AA729" s="17"/>
      <c r="AB729" s="112"/>
      <c r="AC729" s="17"/>
      <c r="AD729" s="17"/>
      <c r="AE729" s="17"/>
      <c r="AF729" s="17"/>
      <c r="AG729" s="112"/>
      <c r="AH729" s="17"/>
      <c r="AI729" s="17"/>
      <c r="AJ729" s="17"/>
      <c r="AK729" s="17"/>
      <c r="AL729" s="112"/>
      <c r="AM729" s="17"/>
      <c r="AN729" s="17"/>
      <c r="AO729" s="17"/>
      <c r="AP729" s="17"/>
      <c r="AQ729" s="112"/>
      <c r="AR729" s="17"/>
      <c r="AS729" s="17"/>
      <c r="AT729" s="17"/>
      <c r="AU729" s="17"/>
      <c r="AV729" s="112"/>
      <c r="AW729" s="17"/>
      <c r="AX729" s="17"/>
      <c r="AY729" s="17"/>
      <c r="AZ729" s="17"/>
      <c r="BA729" s="112"/>
      <c r="BB729" s="17"/>
      <c r="BC729" s="17"/>
      <c r="BD729" s="17"/>
      <c r="BE729" s="17"/>
      <c r="BF729" s="112"/>
      <c r="BG729" s="17"/>
      <c r="BH729" s="17"/>
      <c r="BI729" s="17"/>
      <c r="BJ729" s="17"/>
      <c r="BK729" s="112">
        <v>47.0</v>
      </c>
      <c r="BL729" s="17"/>
      <c r="BM729" s="17"/>
      <c r="BN729" s="17"/>
      <c r="BO729" s="17">
        <v>-69.0</v>
      </c>
      <c r="BP729" s="112">
        <v>-63.0</v>
      </c>
      <c r="BQ729" s="17">
        <v>-76.0</v>
      </c>
      <c r="BR729" s="17">
        <f t="shared" si="3264"/>
        <v>3</v>
      </c>
      <c r="BS729" s="17">
        <v>-54.0</v>
      </c>
      <c r="BT729" s="17">
        <v>11.0</v>
      </c>
      <c r="BU729" s="112">
        <v>-181.0</v>
      </c>
      <c r="BV729" s="17">
        <v>-29.0</v>
      </c>
      <c r="BW729" s="17">
        <v>-18.0</v>
      </c>
      <c r="BX729" s="17">
        <v>0.0</v>
      </c>
      <c r="BY729" s="17">
        <v>-13.0</v>
      </c>
      <c r="BZ729" s="80">
        <f t="shared" si="3265"/>
        <v>-60</v>
      </c>
      <c r="CA729" s="17"/>
      <c r="CB729" s="17"/>
      <c r="CC729" s="17"/>
      <c r="CD729" s="17"/>
      <c r="CE729" s="80"/>
      <c r="CF729" s="17"/>
      <c r="CG729" s="17"/>
      <c r="CH729" s="17"/>
      <c r="CI729" s="17"/>
      <c r="CJ729" s="80"/>
      <c r="CK729" s="17"/>
      <c r="CL729" s="17"/>
      <c r="CM729" s="17"/>
      <c r="CN729" s="19"/>
      <c r="CO729" s="80"/>
      <c r="CP729" s="19"/>
      <c r="CQ729" s="17"/>
      <c r="CR729" s="17"/>
      <c r="CS729" s="17"/>
      <c r="CT729" s="80"/>
      <c r="CU729" s="17"/>
      <c r="CV729" s="17"/>
      <c r="CW729" s="17"/>
      <c r="CX729" s="17"/>
      <c r="CY729" s="80"/>
      <c r="CZ729" s="17"/>
      <c r="DA729" s="17"/>
      <c r="DB729" s="17"/>
      <c r="DC729" s="17"/>
      <c r="DD729" s="80"/>
      <c r="DE729" s="17"/>
      <c r="DF729" s="17"/>
      <c r="DG729" s="19"/>
      <c r="DH729" s="17"/>
      <c r="DI729" s="80"/>
      <c r="DJ729" s="19"/>
      <c r="DK729" s="19"/>
      <c r="DL729" s="19"/>
      <c r="DM729" s="17"/>
      <c r="DN729" s="80"/>
      <c r="DO729" s="17"/>
      <c r="DP729" s="17"/>
      <c r="DQ729" s="17"/>
      <c r="DR729" s="17"/>
      <c r="DS729" s="80"/>
      <c r="DT729" s="17"/>
      <c r="DU729" s="17"/>
      <c r="DV729" s="17"/>
      <c r="DW729" s="17"/>
      <c r="DX729" s="80"/>
      <c r="DY729" s="17"/>
      <c r="DZ729" s="17"/>
      <c r="EA729" s="17"/>
      <c r="EB729" s="17"/>
      <c r="EC729" s="80"/>
      <c r="ED729" s="17"/>
      <c r="EE729" s="17"/>
      <c r="EF729" s="17"/>
      <c r="EG729" s="17"/>
      <c r="EH729" s="80"/>
      <c r="EI729" s="25"/>
      <c r="EJ729" s="17"/>
      <c r="EK729" s="17"/>
      <c r="EL729" s="17"/>
      <c r="EM729" s="80"/>
      <c r="EN729" s="17"/>
      <c r="EO729" s="17"/>
      <c r="EP729" s="17"/>
      <c r="EQ729" s="17"/>
      <c r="ER729" s="80"/>
      <c r="ES729" s="17"/>
      <c r="ET729" s="17"/>
      <c r="EU729" s="17"/>
      <c r="EV729" s="17"/>
      <c r="EW729" s="80"/>
      <c r="EX729" s="17"/>
      <c r="EY729" s="17"/>
      <c r="EZ729" s="17"/>
      <c r="FA729" s="17"/>
      <c r="FB729" s="80"/>
      <c r="FC729" s="17"/>
      <c r="FD729" s="17"/>
      <c r="FE729" s="17"/>
      <c r="FF729" s="17"/>
      <c r="FG729" s="80"/>
      <c r="FH729" s="146"/>
      <c r="FI729" s="17"/>
      <c r="FJ729" s="17"/>
      <c r="FK729" s="112"/>
      <c r="FL729" s="17"/>
    </row>
    <row r="730" ht="12.75" hidden="1" customHeight="1" outlineLevel="2">
      <c r="A730" s="45"/>
      <c r="B730" s="215" t="str">
        <f>B678</f>
        <v>IAG Subtotal</v>
      </c>
      <c r="C730" s="45"/>
      <c r="D730" s="17"/>
      <c r="E730" s="17"/>
      <c r="F730" s="17"/>
      <c r="G730" s="17"/>
      <c r="H730" s="112"/>
      <c r="I730" s="17"/>
      <c r="J730" s="17"/>
      <c r="K730" s="17"/>
      <c r="L730" s="17"/>
      <c r="M730" s="112"/>
      <c r="N730" s="17"/>
      <c r="O730" s="17"/>
      <c r="P730" s="17"/>
      <c r="Q730" s="17"/>
      <c r="R730" s="112"/>
      <c r="S730" s="17"/>
      <c r="T730" s="17"/>
      <c r="U730" s="17"/>
      <c r="V730" s="17"/>
      <c r="W730" s="112"/>
      <c r="X730" s="17"/>
      <c r="Y730" s="17"/>
      <c r="Z730" s="17"/>
      <c r="AA730" s="17"/>
      <c r="AB730" s="112"/>
      <c r="AC730" s="17"/>
      <c r="AD730" s="17"/>
      <c r="AE730" s="17"/>
      <c r="AF730" s="17"/>
      <c r="AG730" s="112"/>
      <c r="AH730" s="17"/>
      <c r="AI730" s="17"/>
      <c r="AJ730" s="17"/>
      <c r="AK730" s="17"/>
      <c r="AL730" s="112"/>
      <c r="AM730" s="17"/>
      <c r="AN730" s="17"/>
      <c r="AO730" s="17"/>
      <c r="AP730" s="17"/>
      <c r="AQ730" s="112"/>
      <c r="AR730" s="17"/>
      <c r="AS730" s="17"/>
      <c r="AT730" s="17"/>
      <c r="AU730" s="17"/>
      <c r="AV730" s="112"/>
      <c r="AW730" s="17"/>
      <c r="AX730" s="17"/>
      <c r="AY730" s="17"/>
      <c r="AZ730" s="17"/>
      <c r="BA730" s="112"/>
      <c r="BB730" s="17"/>
      <c r="BC730" s="17"/>
      <c r="BD730" s="17"/>
      <c r="BE730" s="17"/>
      <c r="BF730" s="112"/>
      <c r="BG730" s="17"/>
      <c r="BH730" s="17"/>
      <c r="BI730" s="17"/>
      <c r="BJ730" s="17"/>
      <c r="BK730" s="112"/>
      <c r="BL730" s="17"/>
      <c r="BM730" s="17"/>
      <c r="BN730" s="17"/>
      <c r="BO730" s="17">
        <f t="shared" ref="BO730:BQ730" si="3266">SUM(BO727:BO729)</f>
        <v>2107</v>
      </c>
      <c r="BP730" s="112">
        <f t="shared" si="3266"/>
        <v>11491</v>
      </c>
      <c r="BQ730" s="17">
        <f t="shared" si="3266"/>
        <v>891</v>
      </c>
      <c r="BR730" s="17">
        <f t="shared" si="3264"/>
        <v>3176</v>
      </c>
      <c r="BS730" s="17">
        <f t="shared" ref="BS730:BY730" si="3267">SUM(BS727:BS729)</f>
        <v>2819</v>
      </c>
      <c r="BT730" s="17">
        <f t="shared" si="3267"/>
        <v>4323</v>
      </c>
      <c r="BU730" s="112">
        <f t="shared" si="3267"/>
        <v>9705</v>
      </c>
      <c r="BV730" s="17">
        <f t="shared" si="3267"/>
        <v>3949</v>
      </c>
      <c r="BW730" s="17">
        <f t="shared" si="3267"/>
        <v>4474</v>
      </c>
      <c r="BX730" s="17">
        <f t="shared" si="3267"/>
        <v>4507</v>
      </c>
      <c r="BY730" s="17">
        <f t="shared" si="3267"/>
        <v>4709</v>
      </c>
      <c r="BZ730" s="80">
        <f t="shared" si="3265"/>
        <v>17639</v>
      </c>
      <c r="CA730" s="17"/>
      <c r="CB730" s="17"/>
      <c r="CC730" s="17"/>
      <c r="CD730" s="17"/>
      <c r="CE730" s="80"/>
      <c r="CF730" s="17"/>
      <c r="CG730" s="17"/>
      <c r="CH730" s="17"/>
      <c r="CI730" s="17"/>
      <c r="CJ730" s="80"/>
      <c r="CK730" s="17"/>
      <c r="CL730" s="17"/>
      <c r="CM730" s="17"/>
      <c r="CN730" s="19"/>
      <c r="CO730" s="80"/>
      <c r="CP730" s="19"/>
      <c r="CQ730" s="17"/>
      <c r="CR730" s="17"/>
      <c r="CS730" s="17"/>
      <c r="CT730" s="80"/>
      <c r="CU730" s="17"/>
      <c r="CV730" s="17"/>
      <c r="CW730" s="17"/>
      <c r="CX730" s="17"/>
      <c r="CY730" s="80"/>
      <c r="CZ730" s="17"/>
      <c r="DA730" s="17"/>
      <c r="DB730" s="17"/>
      <c r="DC730" s="17"/>
      <c r="DD730" s="80"/>
      <c r="DE730" s="17"/>
      <c r="DF730" s="17"/>
      <c r="DG730" s="19"/>
      <c r="DH730" s="17"/>
      <c r="DI730" s="80"/>
      <c r="DJ730" s="19"/>
      <c r="DK730" s="19"/>
      <c r="DL730" s="19"/>
      <c r="DM730" s="17"/>
      <c r="DN730" s="80"/>
      <c r="DO730" s="17"/>
      <c r="DP730" s="17"/>
      <c r="DQ730" s="17"/>
      <c r="DR730" s="17"/>
      <c r="DS730" s="80"/>
      <c r="DT730" s="17"/>
      <c r="DU730" s="17"/>
      <c r="DV730" s="17"/>
      <c r="DW730" s="17"/>
      <c r="DX730" s="80"/>
      <c r="DY730" s="17"/>
      <c r="DZ730" s="17"/>
      <c r="EA730" s="17"/>
      <c r="EB730" s="17"/>
      <c r="EC730" s="80"/>
      <c r="ED730" s="17"/>
      <c r="EE730" s="17"/>
      <c r="EF730" s="17"/>
      <c r="EG730" s="17"/>
      <c r="EH730" s="80"/>
      <c r="EI730" s="25"/>
      <c r="EJ730" s="17"/>
      <c r="EK730" s="17"/>
      <c r="EL730" s="17"/>
      <c r="EM730" s="80"/>
      <c r="EN730" s="17"/>
      <c r="EO730" s="17"/>
      <c r="EP730" s="17"/>
      <c r="EQ730" s="17"/>
      <c r="ER730" s="80"/>
      <c r="ES730" s="17"/>
      <c r="ET730" s="17"/>
      <c r="EU730" s="17"/>
      <c r="EV730" s="17"/>
      <c r="EW730" s="80"/>
      <c r="EX730" s="17"/>
      <c r="EY730" s="17"/>
      <c r="EZ730" s="17"/>
      <c r="FA730" s="17"/>
      <c r="FB730" s="80"/>
      <c r="FC730" s="17"/>
      <c r="FD730" s="17"/>
      <c r="FE730" s="17"/>
      <c r="FF730" s="17"/>
      <c r="FG730" s="80"/>
      <c r="FH730" s="146"/>
      <c r="FI730" s="17"/>
      <c r="FJ730" s="17"/>
      <c r="FK730" s="112"/>
      <c r="FL730" s="17"/>
    </row>
    <row r="731" ht="12.75" hidden="1" customHeight="1" outlineLevel="2">
      <c r="A731" s="45"/>
      <c r="B731" s="215" t="str">
        <f t="shared" ref="B731:B732" si="3268">B681</f>
        <v>Other Operating Groups</v>
      </c>
      <c r="C731" s="45"/>
      <c r="D731" s="17"/>
      <c r="E731" s="17"/>
      <c r="F731" s="17"/>
      <c r="G731" s="17"/>
      <c r="H731" s="112"/>
      <c r="I731" s="17"/>
      <c r="J731" s="17"/>
      <c r="K731" s="17"/>
      <c r="L731" s="17"/>
      <c r="M731" s="112"/>
      <c r="N731" s="17"/>
      <c r="O731" s="17"/>
      <c r="P731" s="17"/>
      <c r="Q731" s="17"/>
      <c r="R731" s="112"/>
      <c r="S731" s="17"/>
      <c r="T731" s="17"/>
      <c r="U731" s="17"/>
      <c r="V731" s="17"/>
      <c r="W731" s="112"/>
      <c r="X731" s="17"/>
      <c r="Y731" s="17"/>
      <c r="Z731" s="17"/>
      <c r="AA731" s="17"/>
      <c r="AB731" s="112"/>
      <c r="AC731" s="17"/>
      <c r="AD731" s="17"/>
      <c r="AE731" s="17"/>
      <c r="AF731" s="17"/>
      <c r="AG731" s="112"/>
      <c r="AH731" s="17"/>
      <c r="AI731" s="17"/>
      <c r="AJ731" s="17"/>
      <c r="AK731" s="17"/>
      <c r="AL731" s="112"/>
      <c r="AM731" s="17"/>
      <c r="AN731" s="17"/>
      <c r="AO731" s="17"/>
      <c r="AP731" s="17"/>
      <c r="AQ731" s="112"/>
      <c r="AR731" s="17"/>
      <c r="AS731" s="17"/>
      <c r="AT731" s="17"/>
      <c r="AU731" s="17"/>
      <c r="AV731" s="112"/>
      <c r="AW731" s="17"/>
      <c r="AX731" s="17"/>
      <c r="AY731" s="17"/>
      <c r="AZ731" s="17"/>
      <c r="BA731" s="112"/>
      <c r="BB731" s="17"/>
      <c r="BC731" s="17"/>
      <c r="BD731" s="17"/>
      <c r="BE731" s="17"/>
      <c r="BF731" s="112"/>
      <c r="BG731" s="17"/>
      <c r="BH731" s="17"/>
      <c r="BI731" s="17"/>
      <c r="BJ731" s="17"/>
      <c r="BK731" s="112"/>
      <c r="BL731" s="17"/>
      <c r="BM731" s="17"/>
      <c r="BN731" s="17"/>
      <c r="BO731" s="17">
        <v>-296.0</v>
      </c>
      <c r="BP731" s="112">
        <v>-1041.0</v>
      </c>
      <c r="BQ731" s="17">
        <v>-153.0</v>
      </c>
      <c r="BR731" s="17">
        <f t="shared" si="3264"/>
        <v>17</v>
      </c>
      <c r="BS731" s="17">
        <v>-74.0</v>
      </c>
      <c r="BT731" s="17">
        <v>-22.0</v>
      </c>
      <c r="BU731" s="112">
        <v>-284.0</v>
      </c>
      <c r="BV731" s="17">
        <v>-21.0</v>
      </c>
      <c r="BW731" s="17">
        <v>-21.0</v>
      </c>
      <c r="BX731" s="17">
        <v>-42.0</v>
      </c>
      <c r="BY731" s="17">
        <v>-75.0</v>
      </c>
      <c r="BZ731" s="80">
        <f t="shared" si="3265"/>
        <v>-159</v>
      </c>
      <c r="CA731" s="17"/>
      <c r="CB731" s="17"/>
      <c r="CC731" s="17"/>
      <c r="CD731" s="17"/>
      <c r="CE731" s="80"/>
      <c r="CF731" s="17"/>
      <c r="CG731" s="17"/>
      <c r="CH731" s="17"/>
      <c r="CI731" s="17"/>
      <c r="CJ731" s="80"/>
      <c r="CK731" s="17"/>
      <c r="CL731" s="17"/>
      <c r="CM731" s="17"/>
      <c r="CN731" s="19"/>
      <c r="CO731" s="80"/>
      <c r="CP731" s="19"/>
      <c r="CQ731" s="17"/>
      <c r="CR731" s="17"/>
      <c r="CS731" s="17"/>
      <c r="CT731" s="80"/>
      <c r="CU731" s="17"/>
      <c r="CV731" s="17"/>
      <c r="CW731" s="17"/>
      <c r="CX731" s="17"/>
      <c r="CY731" s="80"/>
      <c r="CZ731" s="17"/>
      <c r="DA731" s="17"/>
      <c r="DB731" s="17"/>
      <c r="DC731" s="17"/>
      <c r="DD731" s="80"/>
      <c r="DE731" s="17"/>
      <c r="DF731" s="17"/>
      <c r="DG731" s="19"/>
      <c r="DH731" s="17"/>
      <c r="DI731" s="80"/>
      <c r="DJ731" s="19"/>
      <c r="DK731" s="19"/>
      <c r="DL731" s="19"/>
      <c r="DM731" s="17"/>
      <c r="DN731" s="80"/>
      <c r="DO731" s="17"/>
      <c r="DP731" s="17"/>
      <c r="DQ731" s="17"/>
      <c r="DR731" s="17"/>
      <c r="DS731" s="80"/>
      <c r="DT731" s="17"/>
      <c r="DU731" s="17"/>
      <c r="DV731" s="17"/>
      <c r="DW731" s="17"/>
      <c r="DX731" s="80"/>
      <c r="DY731" s="17"/>
      <c r="DZ731" s="17"/>
      <c r="EA731" s="17"/>
      <c r="EB731" s="17"/>
      <c r="EC731" s="80"/>
      <c r="ED731" s="17"/>
      <c r="EE731" s="17"/>
      <c r="EF731" s="17"/>
      <c r="EG731" s="17"/>
      <c r="EH731" s="80"/>
      <c r="EI731" s="25"/>
      <c r="EJ731" s="17"/>
      <c r="EK731" s="17"/>
      <c r="EL731" s="17"/>
      <c r="EM731" s="80"/>
      <c r="EN731" s="17"/>
      <c r="EO731" s="17"/>
      <c r="EP731" s="17"/>
      <c r="EQ731" s="17"/>
      <c r="ER731" s="80"/>
      <c r="ES731" s="17"/>
      <c r="ET731" s="17"/>
      <c r="EU731" s="17"/>
      <c r="EV731" s="17"/>
      <c r="EW731" s="80"/>
      <c r="EX731" s="17"/>
      <c r="EY731" s="17"/>
      <c r="EZ731" s="17"/>
      <c r="FA731" s="17"/>
      <c r="FB731" s="80"/>
      <c r="FC731" s="17"/>
      <c r="FD731" s="17"/>
      <c r="FE731" s="17"/>
      <c r="FF731" s="17"/>
      <c r="FG731" s="80"/>
      <c r="FH731" s="146"/>
      <c r="FI731" s="17"/>
      <c r="FJ731" s="17"/>
      <c r="FK731" s="112"/>
      <c r="FL731" s="17"/>
    </row>
    <row r="732" ht="12.75" hidden="1" customHeight="1" outlineLevel="2">
      <c r="A732" s="45"/>
      <c r="B732" s="215" t="str">
        <f t="shared" si="3268"/>
        <v>Corporate</v>
      </c>
      <c r="C732" s="45"/>
      <c r="D732" s="17"/>
      <c r="E732" s="17"/>
      <c r="F732" s="17"/>
      <c r="G732" s="17"/>
      <c r="H732" s="112"/>
      <c r="I732" s="17"/>
      <c r="J732" s="17"/>
      <c r="K732" s="17"/>
      <c r="L732" s="17"/>
      <c r="M732" s="112"/>
      <c r="N732" s="17"/>
      <c r="O732" s="17"/>
      <c r="P732" s="17"/>
      <c r="Q732" s="17"/>
      <c r="R732" s="112"/>
      <c r="S732" s="17"/>
      <c r="T732" s="17"/>
      <c r="U732" s="17"/>
      <c r="V732" s="17"/>
      <c r="W732" s="112"/>
      <c r="X732" s="17"/>
      <c r="Y732" s="17"/>
      <c r="Z732" s="17"/>
      <c r="AA732" s="17"/>
      <c r="AB732" s="112"/>
      <c r="AC732" s="17"/>
      <c r="AD732" s="17"/>
      <c r="AE732" s="17"/>
      <c r="AF732" s="17"/>
      <c r="AG732" s="112"/>
      <c r="AH732" s="17"/>
      <c r="AI732" s="17"/>
      <c r="AJ732" s="17"/>
      <c r="AK732" s="17"/>
      <c r="AL732" s="112"/>
      <c r="AM732" s="17"/>
      <c r="AN732" s="17"/>
      <c r="AO732" s="17"/>
      <c r="AP732" s="17"/>
      <c r="AQ732" s="112"/>
      <c r="AR732" s="17"/>
      <c r="AS732" s="17"/>
      <c r="AT732" s="17"/>
      <c r="AU732" s="17"/>
      <c r="AV732" s="112"/>
      <c r="AW732" s="17"/>
      <c r="AX732" s="17"/>
      <c r="AY732" s="17"/>
      <c r="AZ732" s="17"/>
      <c r="BA732" s="112"/>
      <c r="BB732" s="17"/>
      <c r="BC732" s="17"/>
      <c r="BD732" s="17"/>
      <c r="BE732" s="17"/>
      <c r="BF732" s="112"/>
      <c r="BG732" s="17"/>
      <c r="BH732" s="17"/>
      <c r="BI732" s="17"/>
      <c r="BJ732" s="17"/>
      <c r="BK732" s="112"/>
      <c r="BL732" s="17"/>
      <c r="BM732" s="17"/>
      <c r="BN732" s="17"/>
      <c r="BO732" s="17">
        <v>-272.0</v>
      </c>
      <c r="BP732" s="112">
        <v>-1496.0</v>
      </c>
      <c r="BQ732" s="17">
        <v>-91.0</v>
      </c>
      <c r="BR732" s="17">
        <f t="shared" si="3264"/>
        <v>-3287</v>
      </c>
      <c r="BS732" s="17">
        <v>-166.0</v>
      </c>
      <c r="BT732" s="17">
        <v>-1804.0</v>
      </c>
      <c r="BU732" s="112">
        <v>-3710.0</v>
      </c>
      <c r="BV732" s="17">
        <v>-480.0</v>
      </c>
      <c r="BW732" s="17">
        <v>-472.0</v>
      </c>
      <c r="BX732" s="17">
        <v>-329.0</v>
      </c>
      <c r="BY732" s="17">
        <v>-611.0</v>
      </c>
      <c r="BZ732" s="80">
        <f t="shared" si="3265"/>
        <v>-1892</v>
      </c>
      <c r="CA732" s="17"/>
      <c r="CB732" s="17"/>
      <c r="CC732" s="17"/>
      <c r="CD732" s="17"/>
      <c r="CE732" s="80"/>
      <c r="CF732" s="17"/>
      <c r="CG732" s="17"/>
      <c r="CH732" s="17"/>
      <c r="CI732" s="17"/>
      <c r="CJ732" s="80"/>
      <c r="CK732" s="17"/>
      <c r="CL732" s="17"/>
      <c r="CM732" s="17"/>
      <c r="CN732" s="19"/>
      <c r="CO732" s="80"/>
      <c r="CP732" s="19"/>
      <c r="CQ732" s="17"/>
      <c r="CR732" s="17"/>
      <c r="CS732" s="17"/>
      <c r="CT732" s="80"/>
      <c r="CU732" s="17"/>
      <c r="CV732" s="17"/>
      <c r="CW732" s="17"/>
      <c r="CX732" s="17"/>
      <c r="CY732" s="80"/>
      <c r="CZ732" s="17"/>
      <c r="DA732" s="17"/>
      <c r="DB732" s="17"/>
      <c r="DC732" s="17"/>
      <c r="DD732" s="80"/>
      <c r="DE732" s="17"/>
      <c r="DF732" s="17"/>
      <c r="DG732" s="19"/>
      <c r="DH732" s="17"/>
      <c r="DI732" s="80"/>
      <c r="DJ732" s="19"/>
      <c r="DK732" s="19"/>
      <c r="DL732" s="19"/>
      <c r="DM732" s="17"/>
      <c r="DN732" s="80"/>
      <c r="DO732" s="17"/>
      <c r="DP732" s="17"/>
      <c r="DQ732" s="17"/>
      <c r="DR732" s="17"/>
      <c r="DS732" s="80"/>
      <c r="DT732" s="17"/>
      <c r="DU732" s="17"/>
      <c r="DV732" s="17"/>
      <c r="DW732" s="17"/>
      <c r="DX732" s="80"/>
      <c r="DY732" s="17"/>
      <c r="DZ732" s="17"/>
      <c r="EA732" s="17"/>
      <c r="EB732" s="17"/>
      <c r="EC732" s="80"/>
      <c r="ED732" s="17"/>
      <c r="EE732" s="17"/>
      <c r="EF732" s="17"/>
      <c r="EG732" s="17"/>
      <c r="EH732" s="80"/>
      <c r="EI732" s="25"/>
      <c r="EJ732" s="17"/>
      <c r="EK732" s="17"/>
      <c r="EL732" s="17"/>
      <c r="EM732" s="80"/>
      <c r="EN732" s="17"/>
      <c r="EO732" s="17"/>
      <c r="EP732" s="17"/>
      <c r="EQ732" s="17"/>
      <c r="ER732" s="80"/>
      <c r="ES732" s="17"/>
      <c r="ET732" s="17"/>
      <c r="EU732" s="17"/>
      <c r="EV732" s="17"/>
      <c r="EW732" s="80"/>
      <c r="EX732" s="17"/>
      <c r="EY732" s="17"/>
      <c r="EZ732" s="17"/>
      <c r="FA732" s="17"/>
      <c r="FB732" s="80"/>
      <c r="FC732" s="17"/>
      <c r="FD732" s="17"/>
      <c r="FE732" s="17"/>
      <c r="FF732" s="17"/>
      <c r="FG732" s="80"/>
      <c r="FH732" s="146"/>
      <c r="FI732" s="17"/>
      <c r="FJ732" s="17"/>
      <c r="FK732" s="112"/>
      <c r="FL732" s="17"/>
    </row>
    <row r="733" ht="13.5" hidden="1" customHeight="1" outlineLevel="2">
      <c r="A733" s="4"/>
      <c r="B733" s="529" t="s">
        <v>299</v>
      </c>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c r="AB733" s="164"/>
      <c r="AC733" s="164"/>
      <c r="AD733" s="164"/>
      <c r="AE733" s="164"/>
      <c r="AF733" s="164"/>
      <c r="AG733" s="164"/>
      <c r="AH733" s="164"/>
      <c r="AI733" s="164"/>
      <c r="AJ733" s="164"/>
      <c r="AK733" s="164"/>
      <c r="AL733" s="164"/>
      <c r="AM733" s="164"/>
      <c r="AN733" s="164"/>
      <c r="AO733" s="164"/>
      <c r="AP733" s="164"/>
      <c r="AQ733" s="164"/>
      <c r="AR733" s="164"/>
      <c r="AS733" s="164"/>
      <c r="AT733" s="164"/>
      <c r="AU733" s="164"/>
      <c r="AV733" s="164"/>
      <c r="AW733" s="164"/>
      <c r="AX733" s="164"/>
      <c r="AY733" s="164"/>
      <c r="AZ733" s="164"/>
      <c r="BA733" s="164"/>
      <c r="BB733" s="164"/>
      <c r="BC733" s="164"/>
      <c r="BD733" s="164"/>
      <c r="BE733" s="164"/>
      <c r="BF733" s="164"/>
      <c r="BG733" s="164"/>
      <c r="BH733" s="164"/>
      <c r="BI733" s="164"/>
      <c r="BJ733" s="164"/>
      <c r="BK733" s="164"/>
      <c r="BL733" s="164"/>
      <c r="BM733" s="164"/>
      <c r="BN733" s="164"/>
      <c r="BO733" s="164">
        <f t="shared" ref="BO733:BZ733" si="3269">SUM(BO730:BO732)</f>
        <v>1539</v>
      </c>
      <c r="BP733" s="164">
        <f t="shared" si="3269"/>
        <v>8954</v>
      </c>
      <c r="BQ733" s="164">
        <f t="shared" si="3269"/>
        <v>647</v>
      </c>
      <c r="BR733" s="164">
        <f t="shared" si="3269"/>
        <v>-94</v>
      </c>
      <c r="BS733" s="164">
        <f t="shared" si="3269"/>
        <v>2579</v>
      </c>
      <c r="BT733" s="164">
        <f t="shared" si="3269"/>
        <v>2497</v>
      </c>
      <c r="BU733" s="164">
        <f t="shared" si="3269"/>
        <v>5711</v>
      </c>
      <c r="BV733" s="164">
        <f t="shared" si="3269"/>
        <v>3448</v>
      </c>
      <c r="BW733" s="164">
        <f t="shared" si="3269"/>
        <v>3981</v>
      </c>
      <c r="BX733" s="164">
        <f t="shared" si="3269"/>
        <v>4136</v>
      </c>
      <c r="BY733" s="164">
        <f t="shared" si="3269"/>
        <v>4023</v>
      </c>
      <c r="BZ733" s="165">
        <f t="shared" si="3269"/>
        <v>15588</v>
      </c>
      <c r="CA733" s="164"/>
      <c r="CB733" s="164"/>
      <c r="CC733" s="164"/>
      <c r="CD733" s="164"/>
      <c r="CE733" s="165"/>
      <c r="CF733" s="164"/>
      <c r="CG733" s="164"/>
      <c r="CH733" s="164"/>
      <c r="CI733" s="164"/>
      <c r="CJ733" s="165"/>
      <c r="CK733" s="164"/>
      <c r="CL733" s="164"/>
      <c r="CM733" s="164"/>
      <c r="CN733" s="583"/>
      <c r="CO733" s="165"/>
      <c r="CP733" s="583"/>
      <c r="CQ733" s="164"/>
      <c r="CR733" s="164"/>
      <c r="CS733" s="164"/>
      <c r="CT733" s="165"/>
      <c r="CU733" s="164"/>
      <c r="CV733" s="164"/>
      <c r="CW733" s="164"/>
      <c r="CX733" s="164"/>
      <c r="CY733" s="165"/>
      <c r="CZ733" s="164"/>
      <c r="DA733" s="164"/>
      <c r="DB733" s="164"/>
      <c r="DC733" s="164"/>
      <c r="DD733" s="165"/>
      <c r="DE733" s="164"/>
      <c r="DF733" s="164"/>
      <c r="DG733" s="146"/>
      <c r="DH733" s="164"/>
      <c r="DI733" s="165"/>
      <c r="DJ733" s="583"/>
      <c r="DK733" s="583"/>
      <c r="DL733" s="583"/>
      <c r="DM733" s="164"/>
      <c r="DN733" s="165"/>
      <c r="DO733" s="164"/>
      <c r="DP733" s="164"/>
      <c r="DQ733" s="164"/>
      <c r="DR733" s="164"/>
      <c r="DS733" s="165"/>
      <c r="DT733" s="164"/>
      <c r="DU733" s="164"/>
      <c r="DV733" s="164"/>
      <c r="DW733" s="164"/>
      <c r="DX733" s="165"/>
      <c r="DY733" s="164"/>
      <c r="DZ733" s="164"/>
      <c r="EA733" s="164"/>
      <c r="EB733" s="164"/>
      <c r="EC733" s="165"/>
      <c r="ED733" s="164"/>
      <c r="EE733" s="164"/>
      <c r="EF733" s="164"/>
      <c r="EG733" s="164"/>
      <c r="EH733" s="165"/>
      <c r="EI733" s="584"/>
      <c r="EJ733" s="164"/>
      <c r="EK733" s="164"/>
      <c r="EL733" s="164"/>
      <c r="EM733" s="165"/>
      <c r="EN733" s="164"/>
      <c r="EO733" s="164"/>
      <c r="EP733" s="164"/>
      <c r="EQ733" s="164"/>
      <c r="ER733" s="165"/>
      <c r="ES733" s="164"/>
      <c r="ET733" s="164"/>
      <c r="EU733" s="164"/>
      <c r="EV733" s="164"/>
      <c r="EW733" s="165"/>
      <c r="EX733" s="164"/>
      <c r="EY733" s="164"/>
      <c r="EZ733" s="164"/>
      <c r="FA733" s="164"/>
      <c r="FB733" s="165"/>
      <c r="FC733" s="164"/>
      <c r="FD733" s="164"/>
      <c r="FE733" s="164"/>
      <c r="FF733" s="164"/>
      <c r="FG733" s="165"/>
      <c r="FH733" s="583"/>
      <c r="FI733" s="164"/>
      <c r="FJ733" s="164"/>
      <c r="FK733" s="164"/>
      <c r="FL733" s="164"/>
    </row>
    <row r="734" ht="13.5" hidden="1" customHeight="1" outlineLevel="2">
      <c r="A734" s="4"/>
      <c r="B734" s="45"/>
      <c r="C734" s="45"/>
      <c r="D734" s="4"/>
      <c r="E734" s="4"/>
      <c r="F734" s="4"/>
      <c r="G734" s="4"/>
      <c r="H734" s="45"/>
      <c r="I734" s="4"/>
      <c r="J734" s="4"/>
      <c r="K734" s="4"/>
      <c r="L734" s="4"/>
      <c r="M734" s="45"/>
      <c r="N734" s="4"/>
      <c r="O734" s="4"/>
      <c r="P734" s="4"/>
      <c r="Q734" s="4"/>
      <c r="R734" s="45"/>
      <c r="S734" s="4"/>
      <c r="T734" s="4"/>
      <c r="U734" s="4"/>
      <c r="V734" s="4"/>
      <c r="W734" s="45"/>
      <c r="X734" s="4"/>
      <c r="Y734" s="4"/>
      <c r="Z734" s="4"/>
      <c r="AA734" s="4"/>
      <c r="AB734" s="45"/>
      <c r="AC734" s="4"/>
      <c r="AD734" s="4"/>
      <c r="AE734" s="4"/>
      <c r="AF734" s="4"/>
      <c r="AG734" s="45"/>
      <c r="AH734" s="4"/>
      <c r="AI734" s="4"/>
      <c r="AJ734" s="4"/>
      <c r="AK734" s="4"/>
      <c r="AL734" s="45"/>
      <c r="AM734" s="4"/>
      <c r="AN734" s="4"/>
      <c r="AO734" s="4"/>
      <c r="AP734" s="4"/>
      <c r="AQ734" s="45"/>
      <c r="AR734" s="4"/>
      <c r="AS734" s="4"/>
      <c r="AT734" s="4"/>
      <c r="AU734" s="4"/>
      <c r="AV734" s="45"/>
      <c r="AW734" s="4"/>
      <c r="AX734" s="4"/>
      <c r="AY734" s="4"/>
      <c r="AZ734" s="4"/>
      <c r="BA734" s="45"/>
      <c r="BB734" s="4"/>
      <c r="BC734" s="4"/>
      <c r="BD734" s="4"/>
      <c r="BE734" s="4"/>
      <c r="BF734" s="45"/>
      <c r="BG734" s="4"/>
      <c r="BH734" s="4"/>
      <c r="BI734" s="4"/>
      <c r="BJ734" s="4"/>
      <c r="BK734" s="45"/>
      <c r="BL734" s="4"/>
      <c r="BM734" s="4"/>
      <c r="BN734" s="4"/>
      <c r="BO734" s="4"/>
      <c r="BP734" s="45"/>
      <c r="BQ734" s="4"/>
      <c r="BR734" s="4"/>
      <c r="BS734" s="4"/>
      <c r="BT734" s="4"/>
      <c r="BU734" s="45"/>
      <c r="BV734" s="4"/>
      <c r="BW734" s="4"/>
      <c r="BX734" s="4"/>
      <c r="BY734" s="4"/>
      <c r="BZ734" s="350"/>
      <c r="CA734" s="4"/>
      <c r="CB734" s="4"/>
      <c r="CC734" s="4"/>
      <c r="CD734" s="4"/>
      <c r="CE734" s="350"/>
      <c r="CF734" s="4"/>
      <c r="CG734" s="4"/>
      <c r="CH734" s="4"/>
      <c r="CI734" s="4"/>
      <c r="CJ734" s="350"/>
      <c r="CK734" s="4"/>
      <c r="CL734" s="4"/>
      <c r="CM734" s="4"/>
      <c r="CN734" s="16"/>
      <c r="CO734" s="350"/>
      <c r="CP734" s="16"/>
      <c r="CQ734" s="4"/>
      <c r="CR734" s="4"/>
      <c r="CS734" s="4"/>
      <c r="CT734" s="350"/>
      <c r="CU734" s="4"/>
      <c r="CV734" s="4"/>
      <c r="CW734" s="4"/>
      <c r="CX734" s="4"/>
      <c r="CY734" s="350"/>
      <c r="CZ734" s="4"/>
      <c r="DA734" s="4"/>
      <c r="DB734" s="4"/>
      <c r="DC734" s="4"/>
      <c r="DD734" s="350"/>
      <c r="DE734" s="4"/>
      <c r="DF734" s="4"/>
      <c r="DG734" s="16"/>
      <c r="DH734" s="4"/>
      <c r="DI734" s="350"/>
      <c r="DJ734" s="16"/>
      <c r="DK734" s="16"/>
      <c r="DL734" s="16"/>
      <c r="DM734" s="4"/>
      <c r="DN734" s="350"/>
      <c r="DO734" s="4"/>
      <c r="DP734" s="4"/>
      <c r="DQ734" s="4"/>
      <c r="DR734" s="4"/>
      <c r="DS734" s="350"/>
      <c r="DT734" s="4"/>
      <c r="DU734" s="4"/>
      <c r="DV734" s="4"/>
      <c r="DW734" s="4"/>
      <c r="DX734" s="350"/>
      <c r="DY734" s="4"/>
      <c r="DZ734" s="4"/>
      <c r="EA734" s="4"/>
      <c r="EB734" s="4"/>
      <c r="EC734" s="350"/>
      <c r="ED734" s="4"/>
      <c r="EE734" s="4"/>
      <c r="EF734" s="4"/>
      <c r="EG734" s="4"/>
      <c r="EH734" s="350"/>
      <c r="EI734" s="214"/>
      <c r="EJ734" s="4"/>
      <c r="EK734" s="4"/>
      <c r="EL734" s="4"/>
      <c r="EM734" s="350"/>
      <c r="EN734" s="4"/>
      <c r="EO734" s="4"/>
      <c r="EP734" s="4"/>
      <c r="EQ734" s="4"/>
      <c r="ER734" s="350"/>
      <c r="ES734" s="4"/>
      <c r="ET734" s="4"/>
      <c r="EU734" s="4"/>
      <c r="EV734" s="4"/>
      <c r="EW734" s="350"/>
      <c r="EX734" s="4"/>
      <c r="EY734" s="4"/>
      <c r="EZ734" s="4"/>
      <c r="FA734" s="4"/>
      <c r="FB734" s="350"/>
      <c r="FC734" s="4"/>
      <c r="FD734" s="4"/>
      <c r="FE734" s="4"/>
      <c r="FF734" s="4"/>
      <c r="FG734" s="350"/>
      <c r="FH734" s="145"/>
      <c r="FI734" s="4"/>
      <c r="FJ734" s="4"/>
      <c r="FK734" s="45"/>
      <c r="FL734" s="4"/>
    </row>
    <row r="735" ht="12.75" hidden="1" customHeight="1" outlineLevel="2">
      <c r="A735" s="4"/>
      <c r="B735" s="578" t="s">
        <v>164</v>
      </c>
      <c r="C735" s="299"/>
      <c r="D735" s="585"/>
      <c r="E735" s="586"/>
      <c r="F735" s="586"/>
      <c r="G735" s="586"/>
      <c r="H735" s="585"/>
      <c r="I735" s="585"/>
      <c r="J735" s="586"/>
      <c r="K735" s="586"/>
      <c r="L735" s="586"/>
      <c r="M735" s="585"/>
      <c r="N735" s="585"/>
      <c r="O735" s="586"/>
      <c r="P735" s="586"/>
      <c r="Q735" s="586"/>
      <c r="R735" s="585"/>
      <c r="S735" s="585"/>
      <c r="T735" s="586"/>
      <c r="U735" s="586"/>
      <c r="V735" s="586"/>
      <c r="W735" s="585"/>
      <c r="X735" s="585"/>
      <c r="Y735" s="586"/>
      <c r="Z735" s="586"/>
      <c r="AA735" s="586"/>
      <c r="AB735" s="585"/>
      <c r="AC735" s="585"/>
      <c r="AD735" s="586"/>
      <c r="AE735" s="586"/>
      <c r="AF735" s="586"/>
      <c r="AG735" s="585"/>
      <c r="AH735" s="585"/>
      <c r="AI735" s="586"/>
      <c r="AJ735" s="586"/>
      <c r="AK735" s="586"/>
      <c r="AL735" s="585"/>
      <c r="AM735" s="585"/>
      <c r="AN735" s="586"/>
      <c r="AO735" s="586"/>
      <c r="AP735" s="586"/>
      <c r="AQ735" s="585"/>
      <c r="AR735" s="585"/>
      <c r="AS735" s="586"/>
      <c r="AT735" s="586"/>
      <c r="AU735" s="586"/>
      <c r="AV735" s="585"/>
      <c r="AW735" s="585"/>
      <c r="AX735" s="586"/>
      <c r="AY735" s="586"/>
      <c r="AZ735" s="586"/>
      <c r="BA735" s="585"/>
      <c r="BB735" s="585"/>
      <c r="BC735" s="586"/>
      <c r="BD735" s="586"/>
      <c r="BE735" s="586"/>
      <c r="BF735" s="585"/>
      <c r="BG735" s="585"/>
      <c r="BH735" s="586"/>
      <c r="BI735" s="586"/>
      <c r="BJ735" s="586"/>
      <c r="BK735" s="585"/>
      <c r="BL735" s="585"/>
      <c r="BM735" s="586"/>
      <c r="BN735" s="586"/>
      <c r="BO735" s="586"/>
      <c r="BP735" s="585"/>
      <c r="BQ735" s="585"/>
      <c r="BR735" s="586"/>
      <c r="BS735" s="586"/>
      <c r="BT735" s="586"/>
      <c r="BU735" s="585"/>
      <c r="BV735" s="585"/>
      <c r="BW735" s="586"/>
      <c r="BX735" s="586"/>
      <c r="BY735" s="586"/>
      <c r="BZ735" s="587"/>
      <c r="CA735" s="585"/>
      <c r="CB735" s="586"/>
      <c r="CC735" s="586"/>
      <c r="CD735" s="586"/>
      <c r="CE735" s="587"/>
      <c r="CF735" s="585"/>
      <c r="CG735" s="586"/>
      <c r="CH735" s="586"/>
      <c r="CI735" s="586"/>
      <c r="CJ735" s="587"/>
      <c r="CK735" s="585"/>
      <c r="CL735" s="586"/>
      <c r="CM735" s="586"/>
      <c r="CN735" s="588"/>
      <c r="CO735" s="587"/>
      <c r="CP735" s="588"/>
      <c r="CQ735" s="586"/>
      <c r="CR735" s="586"/>
      <c r="CS735" s="586"/>
      <c r="CT735" s="587"/>
      <c r="CU735" s="585"/>
      <c r="CV735" s="586"/>
      <c r="CW735" s="586"/>
      <c r="CX735" s="586"/>
      <c r="CY735" s="587"/>
      <c r="CZ735" s="585"/>
      <c r="DA735" s="586"/>
      <c r="DB735" s="586"/>
      <c r="DC735" s="586"/>
      <c r="DD735" s="587"/>
      <c r="DE735" s="585"/>
      <c r="DF735" s="586"/>
      <c r="DG735" s="474"/>
      <c r="DH735" s="586"/>
      <c r="DI735" s="587"/>
      <c r="DJ735" s="589"/>
      <c r="DK735" s="588"/>
      <c r="DL735" s="588"/>
      <c r="DM735" s="586"/>
      <c r="DN735" s="587"/>
      <c r="DO735" s="585"/>
      <c r="DP735" s="586"/>
      <c r="DQ735" s="586"/>
      <c r="DR735" s="586"/>
      <c r="DS735" s="587"/>
      <c r="DT735" s="585"/>
      <c r="DU735" s="585"/>
      <c r="DV735" s="585"/>
      <c r="DW735" s="585"/>
      <c r="DX735" s="587"/>
      <c r="DY735" s="585"/>
      <c r="DZ735" s="585"/>
      <c r="EA735" s="585"/>
      <c r="EB735" s="585"/>
      <c r="EC735" s="587"/>
      <c r="ED735" s="585"/>
      <c r="EE735" s="585"/>
      <c r="EF735" s="585"/>
      <c r="EG735" s="585"/>
      <c r="EH735" s="587"/>
      <c r="EI735" s="590"/>
      <c r="EJ735" s="586"/>
      <c r="EK735" s="586"/>
      <c r="EL735" s="586"/>
      <c r="EM735" s="587"/>
      <c r="EN735" s="585"/>
      <c r="EO735" s="586"/>
      <c r="EP735" s="586"/>
      <c r="EQ735" s="586"/>
      <c r="ER735" s="587"/>
      <c r="ES735" s="585"/>
      <c r="ET735" s="586"/>
      <c r="EU735" s="586"/>
      <c r="EV735" s="586"/>
      <c r="EW735" s="587"/>
      <c r="EX735" s="585"/>
      <c r="EY735" s="586"/>
      <c r="EZ735" s="586"/>
      <c r="FA735" s="586"/>
      <c r="FB735" s="587"/>
      <c r="FC735" s="585"/>
      <c r="FD735" s="586"/>
      <c r="FE735" s="586"/>
      <c r="FF735" s="586"/>
      <c r="FG735" s="587"/>
      <c r="FH735" s="589"/>
      <c r="FI735" s="586"/>
      <c r="FJ735" s="586"/>
      <c r="FK735" s="585"/>
      <c r="FL735" s="585"/>
    </row>
    <row r="736" ht="12.75" hidden="1" customHeight="1" outlineLevel="2">
      <c r="A736" s="45"/>
      <c r="B736" s="215" t="str">
        <f t="shared" ref="B736:B741" si="3270">B727</f>
        <v>Client Computing Group</v>
      </c>
      <c r="C736" s="45"/>
      <c r="D736" s="15"/>
      <c r="E736" s="15"/>
      <c r="F736" s="15"/>
      <c r="G736" s="15"/>
      <c r="H736" s="410"/>
      <c r="I736" s="15"/>
      <c r="J736" s="15"/>
      <c r="K736" s="15"/>
      <c r="L736" s="15"/>
      <c r="M736" s="410"/>
      <c r="N736" s="15"/>
      <c r="O736" s="15"/>
      <c r="P736" s="15"/>
      <c r="Q736" s="15"/>
      <c r="R736" s="410"/>
      <c r="S736" s="15"/>
      <c r="T736" s="15"/>
      <c r="U736" s="15"/>
      <c r="V736" s="15"/>
      <c r="W736" s="410"/>
      <c r="X736" s="15"/>
      <c r="Y736" s="15"/>
      <c r="Z736" s="15"/>
      <c r="AA736" s="15"/>
      <c r="AB736" s="410"/>
      <c r="AC736" s="15"/>
      <c r="AD736" s="15"/>
      <c r="AE736" s="15"/>
      <c r="AF736" s="15"/>
      <c r="AG736" s="410"/>
      <c r="AH736" s="15"/>
      <c r="AI736" s="15"/>
      <c r="AJ736" s="15"/>
      <c r="AK736" s="15"/>
      <c r="AL736" s="410"/>
      <c r="AM736" s="15"/>
      <c r="AN736" s="15"/>
      <c r="AO736" s="15"/>
      <c r="AP736" s="15"/>
      <c r="AQ736" s="410"/>
      <c r="AR736" s="15"/>
      <c r="AS736" s="15"/>
      <c r="AT736" s="15"/>
      <c r="AU736" s="15"/>
      <c r="AV736" s="410"/>
      <c r="AW736" s="15"/>
      <c r="AX736" s="15"/>
      <c r="AY736" s="15"/>
      <c r="AZ736" s="15"/>
      <c r="BA736" s="410"/>
      <c r="BB736" s="15"/>
      <c r="BC736" s="15"/>
      <c r="BD736" s="15"/>
      <c r="BE736" s="15"/>
      <c r="BF736" s="410"/>
      <c r="BG736" s="15"/>
      <c r="BH736" s="15"/>
      <c r="BI736" s="15"/>
      <c r="BJ736" s="15"/>
      <c r="BK736" s="410"/>
      <c r="BL736" s="15"/>
      <c r="BM736" s="15"/>
      <c r="BN736" s="15"/>
      <c r="BO736" s="15">
        <f>PCClientOP/PCGSales</f>
        <v>0.2818344446</v>
      </c>
      <c r="BP736" s="410">
        <f>PCClientOP/PCGSales</f>
        <v>0.336789788</v>
      </c>
      <c r="BQ736" s="15">
        <f>PCClientOP/PCGSales</f>
        <v>0.1307591867</v>
      </c>
      <c r="BR736" s="15">
        <f>PCClientOP/PCGSales</f>
        <v>0.3571535134</v>
      </c>
      <c r="BS736" s="15">
        <f>PCClientOP/PCGSales</f>
        <v>0.3183106576</v>
      </c>
      <c r="BT736" s="15">
        <f>PCClientOP/PCGSales</f>
        <v>0.4305233308</v>
      </c>
      <c r="BU736" s="410">
        <f>PCClientOP/PCGSales</f>
        <v>0.2898456601</v>
      </c>
      <c r="BV736" s="15">
        <f>PCClientOP/PCGSales</f>
        <v>0.4095647641</v>
      </c>
      <c r="BW736" s="15">
        <f>PCClientOP/PCGSales</f>
        <v>0.4373006761</v>
      </c>
      <c r="BX736" s="15">
        <f>PCClientOP/PCGSales</f>
        <v>0.426691496</v>
      </c>
      <c r="BY736" s="15">
        <f>PCClientOP/PCGSales</f>
        <v>0.4104607721</v>
      </c>
      <c r="BZ736" s="24">
        <f>PCClientOP/PCGSales</f>
        <v>0.4210393063</v>
      </c>
      <c r="CA736" s="15"/>
      <c r="CB736" s="15"/>
      <c r="CC736" s="15"/>
      <c r="CD736" s="15"/>
      <c r="CE736" s="24"/>
      <c r="CF736" s="15"/>
      <c r="CG736" s="15"/>
      <c r="CH736" s="15"/>
      <c r="CI736" s="15"/>
      <c r="CJ736" s="24"/>
      <c r="CK736" s="15"/>
      <c r="CL736" s="15"/>
      <c r="CM736" s="15"/>
      <c r="CN736" s="40"/>
      <c r="CO736" s="24"/>
      <c r="CP736" s="40"/>
      <c r="CQ736" s="15"/>
      <c r="CR736" s="15"/>
      <c r="CS736" s="15"/>
      <c r="CT736" s="24"/>
      <c r="CU736" s="15"/>
      <c r="CV736" s="15"/>
      <c r="CW736" s="15"/>
      <c r="CX736" s="15"/>
      <c r="CY736" s="24"/>
      <c r="CZ736" s="15"/>
      <c r="DA736" s="15"/>
      <c r="DB736" s="15"/>
      <c r="DC736" s="15"/>
      <c r="DD736" s="24"/>
      <c r="DE736" s="15"/>
      <c r="DF736" s="15"/>
      <c r="DG736" s="40"/>
      <c r="DH736" s="15"/>
      <c r="DI736" s="24"/>
      <c r="DJ736" s="40"/>
      <c r="DK736" s="40"/>
      <c r="DL736" s="40"/>
      <c r="DM736" s="15"/>
      <c r="DN736" s="24"/>
      <c r="DO736" s="15"/>
      <c r="DP736" s="15"/>
      <c r="DQ736" s="15"/>
      <c r="DR736" s="15"/>
      <c r="DS736" s="24"/>
      <c r="DT736" s="15"/>
      <c r="DU736" s="15"/>
      <c r="DV736" s="15"/>
      <c r="DW736" s="15"/>
      <c r="DX736" s="24"/>
      <c r="DY736" s="15"/>
      <c r="DZ736" s="15"/>
      <c r="EA736" s="15"/>
      <c r="EB736" s="15"/>
      <c r="EC736" s="24"/>
      <c r="ED736" s="15"/>
      <c r="EE736" s="15"/>
      <c r="EF736" s="15"/>
      <c r="EG736" s="15"/>
      <c r="EH736" s="24"/>
      <c r="EI736" s="82"/>
      <c r="EJ736" s="15"/>
      <c r="EK736" s="15"/>
      <c r="EL736" s="15"/>
      <c r="EM736" s="24"/>
      <c r="EN736" s="15"/>
      <c r="EO736" s="15"/>
      <c r="EP736" s="15"/>
      <c r="EQ736" s="15"/>
      <c r="ER736" s="24"/>
      <c r="ES736" s="15"/>
      <c r="ET736" s="15"/>
      <c r="EU736" s="15"/>
      <c r="EV736" s="15"/>
      <c r="EW736" s="24"/>
      <c r="EX736" s="15"/>
      <c r="EY736" s="15"/>
      <c r="EZ736" s="15"/>
      <c r="FA736" s="15"/>
      <c r="FB736" s="24"/>
      <c r="FC736" s="15"/>
      <c r="FD736" s="15"/>
      <c r="FE736" s="15"/>
      <c r="FF736" s="15"/>
      <c r="FG736" s="24"/>
      <c r="FH736" s="104"/>
      <c r="FI736" s="15"/>
      <c r="FJ736" s="15"/>
      <c r="FK736" s="410"/>
      <c r="FL736" s="15"/>
    </row>
    <row r="737" ht="12.75" hidden="1" customHeight="1" outlineLevel="2">
      <c r="A737" s="45"/>
      <c r="B737" s="215" t="str">
        <f t="shared" si="3270"/>
        <v>Data Center Group</v>
      </c>
      <c r="C737" s="45"/>
      <c r="D737" s="15"/>
      <c r="E737" s="15"/>
      <c r="F737" s="15"/>
      <c r="G737" s="15"/>
      <c r="H737" s="410"/>
      <c r="I737" s="15"/>
      <c r="J737" s="15"/>
      <c r="K737" s="15"/>
      <c r="L737" s="15"/>
      <c r="M737" s="410"/>
      <c r="N737" s="15"/>
      <c r="O737" s="15"/>
      <c r="P737" s="15"/>
      <c r="Q737" s="15"/>
      <c r="R737" s="410"/>
      <c r="S737" s="15"/>
      <c r="T737" s="15"/>
      <c r="U737" s="15"/>
      <c r="V737" s="15"/>
      <c r="W737" s="410"/>
      <c r="X737" s="15"/>
      <c r="Y737" s="15"/>
      <c r="Z737" s="15"/>
      <c r="AA737" s="15"/>
      <c r="AB737" s="410"/>
      <c r="AC737" s="15"/>
      <c r="AD737" s="15"/>
      <c r="AE737" s="15"/>
      <c r="AF737" s="15"/>
      <c r="AG737" s="410"/>
      <c r="AH737" s="15"/>
      <c r="AI737" s="15"/>
      <c r="AJ737" s="15"/>
      <c r="AK737" s="15"/>
      <c r="AL737" s="410"/>
      <c r="AM737" s="15"/>
      <c r="AN737" s="15"/>
      <c r="AO737" s="15"/>
      <c r="AP737" s="15"/>
      <c r="AQ737" s="410"/>
      <c r="AR737" s="15"/>
      <c r="AS737" s="15"/>
      <c r="AT737" s="15"/>
      <c r="AU737" s="15"/>
      <c r="AV737" s="410"/>
      <c r="AW737" s="15"/>
      <c r="AX737" s="15"/>
      <c r="AY737" s="15"/>
      <c r="AZ737" s="15"/>
      <c r="BA737" s="410"/>
      <c r="BB737" s="15"/>
      <c r="BC737" s="15"/>
      <c r="BD737" s="15"/>
      <c r="BE737" s="15"/>
      <c r="BF737" s="410"/>
      <c r="BG737" s="15"/>
      <c r="BH737" s="15"/>
      <c r="BI737" s="15"/>
      <c r="BJ737" s="15"/>
      <c r="BK737" s="410"/>
      <c r="BL737" s="15"/>
      <c r="BM737" s="15"/>
      <c r="BN737" s="15"/>
      <c r="BO737" s="15">
        <f>DataCenterOP/DCGSales</f>
        <v>0.2971160295</v>
      </c>
      <c r="BP737" s="410">
        <f>DataCenterOP/DCGSales</f>
        <v>0.3239757208</v>
      </c>
      <c r="BQ737" s="15">
        <f>DataCenterOP/DCGSales</f>
        <v>0.210443038</v>
      </c>
      <c r="BR737" s="15">
        <f>DataCenterOP/DCGSales</f>
        <v>0.4252183406</v>
      </c>
      <c r="BS737" s="15">
        <f>DataCenterOP/DCGSales</f>
        <v>0.3741050119</v>
      </c>
      <c r="BT737" s="15">
        <f>DataCenterOP/DCGSales</f>
        <v>0.4802371542</v>
      </c>
      <c r="BU737" s="410">
        <f>DataCenterOP/DCGSales</f>
        <v>0.356544665</v>
      </c>
      <c r="BV737" s="15">
        <f>DataCenterOP/DCGSales</f>
        <v>0.4462854089</v>
      </c>
      <c r="BW737" s="15">
        <f>DataCenterOP/DCGSales</f>
        <v>0.5033112583</v>
      </c>
      <c r="BX737" s="15">
        <f>DataCenterOP/DCGSales</f>
        <v>0.4894784995</v>
      </c>
      <c r="BY737" s="15">
        <f>DataCenterOP/DCGSales</f>
        <v>0.5654242665</v>
      </c>
      <c r="BZ737" s="24">
        <f>DataCenterOP/DCGSales</f>
        <v>0.5055792017</v>
      </c>
      <c r="CA737" s="15"/>
      <c r="CB737" s="15"/>
      <c r="CC737" s="15"/>
      <c r="CD737" s="15"/>
      <c r="CE737" s="24"/>
      <c r="CF737" s="15"/>
      <c r="CG737" s="15"/>
      <c r="CH737" s="15"/>
      <c r="CI737" s="15"/>
      <c r="CJ737" s="24"/>
      <c r="CK737" s="15"/>
      <c r="CL737" s="15"/>
      <c r="CM737" s="15"/>
      <c r="CN737" s="40"/>
      <c r="CO737" s="24"/>
      <c r="CP737" s="40"/>
      <c r="CQ737" s="15"/>
      <c r="CR737" s="15"/>
      <c r="CS737" s="15"/>
      <c r="CT737" s="24"/>
      <c r="CU737" s="15"/>
      <c r="CV737" s="15"/>
      <c r="CW737" s="15"/>
      <c r="CX737" s="15"/>
      <c r="CY737" s="24"/>
      <c r="CZ737" s="15"/>
      <c r="DA737" s="15"/>
      <c r="DB737" s="15"/>
      <c r="DC737" s="15"/>
      <c r="DD737" s="24"/>
      <c r="DE737" s="15"/>
      <c r="DF737" s="15"/>
      <c r="DG737" s="40"/>
      <c r="DH737" s="15"/>
      <c r="DI737" s="24"/>
      <c r="DJ737" s="40"/>
      <c r="DK737" s="40"/>
      <c r="DL737" s="40"/>
      <c r="DM737" s="15"/>
      <c r="DN737" s="24"/>
      <c r="DO737" s="15"/>
      <c r="DP737" s="15"/>
      <c r="DQ737" s="15"/>
      <c r="DR737" s="15"/>
      <c r="DS737" s="24"/>
      <c r="DT737" s="15"/>
      <c r="DU737" s="15"/>
      <c r="DV737" s="15"/>
      <c r="DW737" s="15"/>
      <c r="DX737" s="24"/>
      <c r="DY737" s="15"/>
      <c r="DZ737" s="15"/>
      <c r="EA737" s="15"/>
      <c r="EB737" s="15"/>
      <c r="EC737" s="24"/>
      <c r="ED737" s="15"/>
      <c r="EE737" s="15"/>
      <c r="EF737" s="15"/>
      <c r="EG737" s="15"/>
      <c r="EH737" s="24"/>
      <c r="EI737" s="82"/>
      <c r="EJ737" s="15"/>
      <c r="EK737" s="15"/>
      <c r="EL737" s="15"/>
      <c r="EM737" s="24"/>
      <c r="EN737" s="15"/>
      <c r="EO737" s="15"/>
      <c r="EP737" s="15"/>
      <c r="EQ737" s="15"/>
      <c r="ER737" s="24"/>
      <c r="ES737" s="15"/>
      <c r="ET737" s="15"/>
      <c r="EU737" s="15"/>
      <c r="EV737" s="15"/>
      <c r="EW737" s="24"/>
      <c r="EX737" s="15"/>
      <c r="EY737" s="15"/>
      <c r="EZ737" s="15"/>
      <c r="FA737" s="15"/>
      <c r="FB737" s="24"/>
      <c r="FC737" s="15"/>
      <c r="FD737" s="15"/>
      <c r="FE737" s="15"/>
      <c r="FF737" s="15"/>
      <c r="FG737" s="24"/>
      <c r="FH737" s="104"/>
      <c r="FI737" s="15"/>
      <c r="FJ737" s="15"/>
      <c r="FK737" s="410"/>
      <c r="FL737" s="15"/>
    </row>
    <row r="738" ht="12.75" hidden="1" customHeight="1" outlineLevel="2">
      <c r="A738" s="45"/>
      <c r="B738" s="215" t="str">
        <f t="shared" si="3270"/>
        <v>Other IAG</v>
      </c>
      <c r="C738" s="45"/>
      <c r="D738" s="15"/>
      <c r="E738" s="15"/>
      <c r="F738" s="15"/>
      <c r="G738" s="15"/>
      <c r="H738" s="410"/>
      <c r="I738" s="15"/>
      <c r="J738" s="15"/>
      <c r="K738" s="15"/>
      <c r="L738" s="15"/>
      <c r="M738" s="410"/>
      <c r="N738" s="15"/>
      <c r="O738" s="15"/>
      <c r="P738" s="15"/>
      <c r="Q738" s="15"/>
      <c r="R738" s="410"/>
      <c r="S738" s="15"/>
      <c r="T738" s="15"/>
      <c r="U738" s="15"/>
      <c r="V738" s="15"/>
      <c r="W738" s="410"/>
      <c r="X738" s="15"/>
      <c r="Y738" s="15"/>
      <c r="Z738" s="15"/>
      <c r="AA738" s="15"/>
      <c r="AB738" s="410"/>
      <c r="AC738" s="15"/>
      <c r="AD738" s="15"/>
      <c r="AE738" s="15"/>
      <c r="AF738" s="15"/>
      <c r="AG738" s="410"/>
      <c r="AH738" s="15"/>
      <c r="AI738" s="15"/>
      <c r="AJ738" s="15"/>
      <c r="AK738" s="15"/>
      <c r="AL738" s="410"/>
      <c r="AM738" s="15"/>
      <c r="AN738" s="15"/>
      <c r="AO738" s="15"/>
      <c r="AP738" s="15"/>
      <c r="AQ738" s="410"/>
      <c r="AR738" s="15"/>
      <c r="AS738" s="15"/>
      <c r="AT738" s="15"/>
      <c r="AU738" s="15"/>
      <c r="AV738" s="410"/>
      <c r="AW738" s="15"/>
      <c r="AX738" s="15"/>
      <c r="AY738" s="15"/>
      <c r="AZ738" s="15"/>
      <c r="BA738" s="410"/>
      <c r="BB738" s="15"/>
      <c r="BC738" s="15"/>
      <c r="BD738" s="15"/>
      <c r="BE738" s="15"/>
      <c r="BF738" s="410"/>
      <c r="BG738" s="15"/>
      <c r="BH738" s="15"/>
      <c r="BI738" s="15"/>
      <c r="BJ738" s="15"/>
      <c r="BK738" s="410"/>
      <c r="BL738" s="15"/>
      <c r="BM738" s="15"/>
      <c r="BN738" s="15"/>
      <c r="BO738" s="15">
        <f>IAGOtherOP/OIAGSales</f>
        <v>-0.1859838275</v>
      </c>
      <c r="BP738" s="410">
        <f>IAGOtherOP/OIAGSales</f>
        <v>-0.03573454339</v>
      </c>
      <c r="BQ738" s="15">
        <f>IAGOtherOP/OIAGSales</f>
        <v>-0.2331288344</v>
      </c>
      <c r="BR738" s="15">
        <f>IAGOtherOP/OIAGSales</f>
        <v>0.0075</v>
      </c>
      <c r="BS738" s="15">
        <f>IAGOtherOP/OIAGSales</f>
        <v>-0.1597633136</v>
      </c>
      <c r="BT738" s="15">
        <f>IAGOtherOP/OIAGSales</f>
        <v>0.02669902913</v>
      </c>
      <c r="BU738" s="410">
        <f>IAGOtherOP/OIAGSales</f>
        <v>-0.1291012839</v>
      </c>
      <c r="BV738" s="15">
        <f>IAGOtherOP/OIAGSales</f>
        <v>-0.07733333333</v>
      </c>
      <c r="BW738" s="15">
        <f>IAGOtherOP/OIAGSales</f>
        <v>-0.04316546763</v>
      </c>
      <c r="BX738" s="15">
        <f>IAGOtherOP/OIAGSales</f>
        <v>0</v>
      </c>
      <c r="BY738" s="15">
        <f>IAGOtherOP/OIAGSales</f>
        <v>-0.02615694165</v>
      </c>
      <c r="BZ738" s="24">
        <f>IAGOtherOP/OIAGSales</f>
        <v>-0.033632287</v>
      </c>
      <c r="CA738" s="15"/>
      <c r="CB738" s="15"/>
      <c r="CC738" s="15"/>
      <c r="CD738" s="15"/>
      <c r="CE738" s="24"/>
      <c r="CF738" s="15"/>
      <c r="CG738" s="15"/>
      <c r="CH738" s="15"/>
      <c r="CI738" s="15"/>
      <c r="CJ738" s="24"/>
      <c r="CK738" s="15"/>
      <c r="CL738" s="15"/>
      <c r="CM738" s="15"/>
      <c r="CN738" s="40"/>
      <c r="CO738" s="24"/>
      <c r="CP738" s="40"/>
      <c r="CQ738" s="15"/>
      <c r="CR738" s="15"/>
      <c r="CS738" s="15"/>
      <c r="CT738" s="24"/>
      <c r="CU738" s="15"/>
      <c r="CV738" s="15"/>
      <c r="CW738" s="15"/>
      <c r="CX738" s="15"/>
      <c r="CY738" s="24"/>
      <c r="CZ738" s="15"/>
      <c r="DA738" s="15"/>
      <c r="DB738" s="15"/>
      <c r="DC738" s="15"/>
      <c r="DD738" s="24"/>
      <c r="DE738" s="15"/>
      <c r="DF738" s="15"/>
      <c r="DG738" s="40"/>
      <c r="DH738" s="15"/>
      <c r="DI738" s="24"/>
      <c r="DJ738" s="40"/>
      <c r="DK738" s="40"/>
      <c r="DL738" s="40"/>
      <c r="DM738" s="15"/>
      <c r="DN738" s="24"/>
      <c r="DO738" s="15"/>
      <c r="DP738" s="15"/>
      <c r="DQ738" s="15"/>
      <c r="DR738" s="15"/>
      <c r="DS738" s="24"/>
      <c r="DT738" s="15"/>
      <c r="DU738" s="15"/>
      <c r="DV738" s="15"/>
      <c r="DW738" s="15"/>
      <c r="DX738" s="24"/>
      <c r="DY738" s="15"/>
      <c r="DZ738" s="15"/>
      <c r="EA738" s="15"/>
      <c r="EB738" s="15"/>
      <c r="EC738" s="24"/>
      <c r="ED738" s="15"/>
      <c r="EE738" s="15"/>
      <c r="EF738" s="15"/>
      <c r="EG738" s="15"/>
      <c r="EH738" s="24"/>
      <c r="EI738" s="82"/>
      <c r="EJ738" s="15"/>
      <c r="EK738" s="15"/>
      <c r="EL738" s="15"/>
      <c r="EM738" s="24"/>
      <c r="EN738" s="15"/>
      <c r="EO738" s="15"/>
      <c r="EP738" s="15"/>
      <c r="EQ738" s="15"/>
      <c r="ER738" s="24"/>
      <c r="ES738" s="15"/>
      <c r="ET738" s="15"/>
      <c r="EU738" s="15"/>
      <c r="EV738" s="15"/>
      <c r="EW738" s="24"/>
      <c r="EX738" s="15"/>
      <c r="EY738" s="15"/>
      <c r="EZ738" s="15"/>
      <c r="FA738" s="15"/>
      <c r="FB738" s="24"/>
      <c r="FC738" s="15"/>
      <c r="FD738" s="15"/>
      <c r="FE738" s="15"/>
      <c r="FF738" s="15"/>
      <c r="FG738" s="24"/>
      <c r="FH738" s="104"/>
      <c r="FI738" s="15"/>
      <c r="FJ738" s="15"/>
      <c r="FK738" s="410"/>
      <c r="FL738" s="15"/>
    </row>
    <row r="739" ht="12.75" hidden="1" customHeight="1" outlineLevel="2">
      <c r="A739" s="45"/>
      <c r="B739" s="215" t="str">
        <f t="shared" si="3270"/>
        <v>IAG Subtotal</v>
      </c>
      <c r="C739" s="45"/>
      <c r="D739" s="15"/>
      <c r="E739" s="15"/>
      <c r="F739" s="15"/>
      <c r="G739" s="15"/>
      <c r="H739" s="410"/>
      <c r="I739" s="15"/>
      <c r="J739" s="15"/>
      <c r="K739" s="15"/>
      <c r="L739" s="15"/>
      <c r="M739" s="410"/>
      <c r="N739" s="15"/>
      <c r="O739" s="15"/>
      <c r="P739" s="15"/>
      <c r="Q739" s="15"/>
      <c r="R739" s="410"/>
      <c r="S739" s="15"/>
      <c r="T739" s="15"/>
      <c r="U739" s="15"/>
      <c r="V739" s="15"/>
      <c r="W739" s="410"/>
      <c r="X739" s="15"/>
      <c r="Y739" s="15"/>
      <c r="Z739" s="15"/>
      <c r="AA739" s="15"/>
      <c r="AB739" s="410"/>
      <c r="AC739" s="15"/>
      <c r="AD739" s="15"/>
      <c r="AE739" s="15"/>
      <c r="AF739" s="15"/>
      <c r="AG739" s="410"/>
      <c r="AH739" s="15"/>
      <c r="AI739" s="15"/>
      <c r="AJ739" s="15"/>
      <c r="AK739" s="15"/>
      <c r="AL739" s="410"/>
      <c r="AM739" s="15"/>
      <c r="AN739" s="15"/>
      <c r="AO739" s="15"/>
      <c r="AP739" s="15"/>
      <c r="AQ739" s="410"/>
      <c r="AR739" s="15"/>
      <c r="AS739" s="15"/>
      <c r="AT739" s="15"/>
      <c r="AU739" s="15"/>
      <c r="AV739" s="410"/>
      <c r="AW739" s="15"/>
      <c r="AX739" s="15"/>
      <c r="AY739" s="15"/>
      <c r="AZ739" s="15"/>
      <c r="BA739" s="410"/>
      <c r="BB739" s="15"/>
      <c r="BC739" s="15"/>
      <c r="BD739" s="15"/>
      <c r="BE739" s="15"/>
      <c r="BF739" s="410"/>
      <c r="BG739" s="15"/>
      <c r="BH739" s="15"/>
      <c r="BI739" s="15"/>
      <c r="BJ739" s="15"/>
      <c r="BK739" s="410"/>
      <c r="BL739" s="15"/>
      <c r="BM739" s="15"/>
      <c r="BN739" s="15"/>
      <c r="BO739" s="15">
        <f>IAGSubOP/IAGSubSales</f>
        <v>0.2630133566</v>
      </c>
      <c r="BP739" s="410">
        <f>IAGSubOP/IAGSubSales</f>
        <v>0.3163821586</v>
      </c>
      <c r="BQ739" s="15">
        <f>IAGSubOP/IAGSubSales</f>
        <v>0.1281829953</v>
      </c>
      <c r="BR739" s="15">
        <f>IAGSubOP/IAGSubSales</f>
        <v>0.3554560716</v>
      </c>
      <c r="BS739" s="15">
        <f>IAGSubOP/IAGSubSales</f>
        <v>0.3108048512</v>
      </c>
      <c r="BT739" s="15">
        <f>IAGSubOP/IAGSubSales</f>
        <v>0.4240729841</v>
      </c>
      <c r="BU739" s="410">
        <f>IAGSubOP/IAGSubSales</f>
        <v>0.2852230647</v>
      </c>
      <c r="BV739" s="15">
        <f>IAGSubOP/IAGSubSales</f>
        <v>0.3980846774</v>
      </c>
      <c r="BW739" s="15">
        <f>IAGSubOP/IAGSubSales</f>
        <v>0.431436837</v>
      </c>
      <c r="BX739" s="15">
        <f>IAGSubOP/IAGSubSales</f>
        <v>0.4198025335</v>
      </c>
      <c r="BY739" s="15">
        <f>IAGSubOP/IAGSubSales</f>
        <v>0.4261924156</v>
      </c>
      <c r="BZ739" s="24">
        <f>IAGSubOP/IAGSubSales</f>
        <v>0.4192275698</v>
      </c>
      <c r="CA739" s="15"/>
      <c r="CB739" s="15"/>
      <c r="CC739" s="15"/>
      <c r="CD739" s="15"/>
      <c r="CE739" s="24"/>
      <c r="CF739" s="15"/>
      <c r="CG739" s="15"/>
      <c r="CH739" s="15"/>
      <c r="CI739" s="15"/>
      <c r="CJ739" s="24"/>
      <c r="CK739" s="15"/>
      <c r="CL739" s="15"/>
      <c r="CM739" s="15"/>
      <c r="CN739" s="40"/>
      <c r="CO739" s="24"/>
      <c r="CP739" s="40"/>
      <c r="CQ739" s="15"/>
      <c r="CR739" s="15"/>
      <c r="CS739" s="15"/>
      <c r="CT739" s="24"/>
      <c r="CU739" s="15"/>
      <c r="CV739" s="15"/>
      <c r="CW739" s="15"/>
      <c r="CX739" s="15"/>
      <c r="CY739" s="24"/>
      <c r="CZ739" s="15"/>
      <c r="DA739" s="15"/>
      <c r="DB739" s="15"/>
      <c r="DC739" s="15"/>
      <c r="DD739" s="24"/>
      <c r="DE739" s="15"/>
      <c r="DF739" s="15"/>
      <c r="DG739" s="40"/>
      <c r="DH739" s="15"/>
      <c r="DI739" s="24"/>
      <c r="DJ739" s="40"/>
      <c r="DK739" s="40"/>
      <c r="DL739" s="40"/>
      <c r="DM739" s="15"/>
      <c r="DN739" s="24"/>
      <c r="DO739" s="15"/>
      <c r="DP739" s="15"/>
      <c r="DQ739" s="15"/>
      <c r="DR739" s="15"/>
      <c r="DS739" s="24"/>
      <c r="DT739" s="15"/>
      <c r="DU739" s="15"/>
      <c r="DV739" s="15"/>
      <c r="DW739" s="15"/>
      <c r="DX739" s="24"/>
      <c r="DY739" s="15"/>
      <c r="DZ739" s="15"/>
      <c r="EA739" s="15"/>
      <c r="EB739" s="15"/>
      <c r="EC739" s="24"/>
      <c r="ED739" s="15"/>
      <c r="EE739" s="15"/>
      <c r="EF739" s="15"/>
      <c r="EG739" s="15"/>
      <c r="EH739" s="24"/>
      <c r="EI739" s="82"/>
      <c r="EJ739" s="15"/>
      <c r="EK739" s="15"/>
      <c r="EL739" s="15"/>
      <c r="EM739" s="24"/>
      <c r="EN739" s="15"/>
      <c r="EO739" s="15"/>
      <c r="EP739" s="15"/>
      <c r="EQ739" s="15"/>
      <c r="ER739" s="24"/>
      <c r="ES739" s="15"/>
      <c r="ET739" s="15"/>
      <c r="EU739" s="15"/>
      <c r="EV739" s="15"/>
      <c r="EW739" s="24"/>
      <c r="EX739" s="15"/>
      <c r="EY739" s="15"/>
      <c r="EZ739" s="15"/>
      <c r="FA739" s="15"/>
      <c r="FB739" s="24"/>
      <c r="FC739" s="15"/>
      <c r="FD739" s="15"/>
      <c r="FE739" s="15"/>
      <c r="FF739" s="15"/>
      <c r="FG739" s="24"/>
      <c r="FH739" s="104"/>
      <c r="FI739" s="15"/>
      <c r="FJ739" s="15"/>
      <c r="FK739" s="410"/>
      <c r="FL739" s="15"/>
    </row>
    <row r="740" ht="12.75" hidden="1" customHeight="1" outlineLevel="2">
      <c r="A740" s="45"/>
      <c r="B740" s="215" t="str">
        <f t="shared" si="3270"/>
        <v>Other Operating Groups</v>
      </c>
      <c r="C740" s="45"/>
      <c r="D740" s="326"/>
      <c r="E740" s="326"/>
      <c r="F740" s="326"/>
      <c r="G740" s="326"/>
      <c r="H740" s="323"/>
      <c r="I740" s="326"/>
      <c r="J740" s="326"/>
      <c r="K740" s="326"/>
      <c r="L740" s="326"/>
      <c r="M740" s="323"/>
      <c r="N740" s="326"/>
      <c r="O740" s="326"/>
      <c r="P740" s="326"/>
      <c r="Q740" s="326"/>
      <c r="R740" s="323"/>
      <c r="S740" s="326"/>
      <c r="T740" s="326"/>
      <c r="U740" s="326"/>
      <c r="V740" s="326"/>
      <c r="W740" s="323"/>
      <c r="X740" s="326"/>
      <c r="Y740" s="326"/>
      <c r="Z740" s="326"/>
      <c r="AA740" s="326"/>
      <c r="AB740" s="323"/>
      <c r="AC740" s="326"/>
      <c r="AD740" s="326"/>
      <c r="AE740" s="326"/>
      <c r="AF740" s="326"/>
      <c r="AG740" s="323"/>
      <c r="AH740" s="326"/>
      <c r="AI740" s="326"/>
      <c r="AJ740" s="326"/>
      <c r="AK740" s="326"/>
      <c r="AL740" s="323"/>
      <c r="AM740" s="326"/>
      <c r="AN740" s="326"/>
      <c r="AO740" s="326"/>
      <c r="AP740" s="326"/>
      <c r="AQ740" s="323"/>
      <c r="AR740" s="326"/>
      <c r="AS740" s="326"/>
      <c r="AT740" s="326"/>
      <c r="AU740" s="326"/>
      <c r="AV740" s="323"/>
      <c r="AW740" s="326"/>
      <c r="AX740" s="326"/>
      <c r="AY740" s="326"/>
      <c r="AZ740" s="326"/>
      <c r="BA740" s="323"/>
      <c r="BB740" s="326"/>
      <c r="BC740" s="326"/>
      <c r="BD740" s="326"/>
      <c r="BE740" s="326"/>
      <c r="BF740" s="323"/>
      <c r="BG740" s="326"/>
      <c r="BH740" s="326"/>
      <c r="BI740" s="326"/>
      <c r="BJ740" s="326"/>
      <c r="BK740" s="323"/>
      <c r="BL740" s="326"/>
      <c r="BM740" s="326"/>
      <c r="BN740" s="326"/>
      <c r="BO740" s="326">
        <f>SoftOP/OtherOpSales</f>
        <v>-2.144927536</v>
      </c>
      <c r="BP740" s="323">
        <f>SoftOP/OtherOpSales</f>
        <v>-1.801038062</v>
      </c>
      <c r="BQ740" s="326">
        <f>SoftOP/OtherOpSales</f>
        <v>-1.026845638</v>
      </c>
      <c r="BR740" s="326">
        <f>SoftOP/OtherOpSales</f>
        <v>0.06640625</v>
      </c>
      <c r="BS740" s="326">
        <f>SoftOP/OtherOpSales</f>
        <v>-0.2624113475</v>
      </c>
      <c r="BT740" s="326">
        <f>SoftOP/OtherOpSales</f>
        <v>-0.06010928962</v>
      </c>
      <c r="BU740" s="323">
        <f>SoftOP/OtherOpSales</f>
        <v>-0.2930856553</v>
      </c>
      <c r="BV740" s="326">
        <f>SoftOP/OtherOpSales</f>
        <v>-0.05691056911</v>
      </c>
      <c r="BW740" s="326">
        <f>SoftOP/OtherOpSales</f>
        <v>-0.05440414508</v>
      </c>
      <c r="BX740" s="326">
        <f>SoftOP/OtherOpSales</f>
        <v>-0.1186440678</v>
      </c>
      <c r="BY740" s="326">
        <f>SoftOP/OtherOpSales</f>
        <v>-0.1913265306</v>
      </c>
      <c r="BZ740" s="324">
        <f>SoftOP/OtherOpSales</f>
        <v>-0.1059293804</v>
      </c>
      <c r="CA740" s="326"/>
      <c r="CB740" s="326"/>
      <c r="CC740" s="326"/>
      <c r="CD740" s="326"/>
      <c r="CE740" s="324"/>
      <c r="CF740" s="326"/>
      <c r="CG740" s="326"/>
      <c r="CH740" s="326"/>
      <c r="CI740" s="326"/>
      <c r="CJ740" s="324"/>
      <c r="CK740" s="326"/>
      <c r="CL740" s="326"/>
      <c r="CM740" s="326"/>
      <c r="CN740" s="327"/>
      <c r="CO740" s="324"/>
      <c r="CP740" s="327"/>
      <c r="CQ740" s="326"/>
      <c r="CR740" s="326"/>
      <c r="CS740" s="326"/>
      <c r="CT740" s="324"/>
      <c r="CU740" s="326"/>
      <c r="CV740" s="326"/>
      <c r="CW740" s="326"/>
      <c r="CX740" s="326"/>
      <c r="CY740" s="324"/>
      <c r="CZ740" s="326"/>
      <c r="DA740" s="326"/>
      <c r="DB740" s="326"/>
      <c r="DC740" s="326"/>
      <c r="DD740" s="324"/>
      <c r="DE740" s="326"/>
      <c r="DF740" s="326"/>
      <c r="DG740" s="327"/>
      <c r="DH740" s="326"/>
      <c r="DI740" s="324"/>
      <c r="DJ740" s="327"/>
      <c r="DK740" s="327"/>
      <c r="DL740" s="327"/>
      <c r="DM740" s="326"/>
      <c r="DN740" s="324"/>
      <c r="DO740" s="326"/>
      <c r="DP740" s="326"/>
      <c r="DQ740" s="326"/>
      <c r="DR740" s="326"/>
      <c r="DS740" s="324"/>
      <c r="DT740" s="326"/>
      <c r="DU740" s="326"/>
      <c r="DV740" s="326"/>
      <c r="DW740" s="326"/>
      <c r="DX740" s="324"/>
      <c r="DY740" s="326"/>
      <c r="DZ740" s="326"/>
      <c r="EA740" s="326"/>
      <c r="EB740" s="326"/>
      <c r="EC740" s="324"/>
      <c r="ED740" s="326"/>
      <c r="EE740" s="326"/>
      <c r="EF740" s="326"/>
      <c r="EG740" s="326"/>
      <c r="EH740" s="324"/>
      <c r="EI740" s="361"/>
      <c r="EJ740" s="326"/>
      <c r="EK740" s="326"/>
      <c r="EL740" s="326"/>
      <c r="EM740" s="324"/>
      <c r="EN740" s="326"/>
      <c r="EO740" s="326"/>
      <c r="EP740" s="326"/>
      <c r="EQ740" s="326"/>
      <c r="ER740" s="324"/>
      <c r="ES740" s="326"/>
      <c r="ET740" s="326"/>
      <c r="EU740" s="326"/>
      <c r="EV740" s="326"/>
      <c r="EW740" s="324"/>
      <c r="EX740" s="326"/>
      <c r="EY740" s="326"/>
      <c r="EZ740" s="326"/>
      <c r="FA740" s="326"/>
      <c r="FB740" s="324"/>
      <c r="FC740" s="326"/>
      <c r="FD740" s="326"/>
      <c r="FE740" s="326"/>
      <c r="FF740" s="326"/>
      <c r="FG740" s="324"/>
      <c r="FH740" s="325"/>
      <c r="FI740" s="326"/>
      <c r="FJ740" s="326"/>
      <c r="FK740" s="323"/>
      <c r="FL740" s="326"/>
    </row>
    <row r="741" ht="12.75" hidden="1" customHeight="1" outlineLevel="2">
      <c r="A741" s="45"/>
      <c r="B741" s="215" t="str">
        <f t="shared" si="3270"/>
        <v>Corporate</v>
      </c>
      <c r="C741" s="45"/>
      <c r="D741" s="326"/>
      <c r="E741" s="326"/>
      <c r="F741" s="326"/>
      <c r="G741" s="326"/>
      <c r="H741" s="323"/>
      <c r="I741" s="326"/>
      <c r="J741" s="326"/>
      <c r="K741" s="326"/>
      <c r="L741" s="326"/>
      <c r="M741" s="323"/>
      <c r="N741" s="326"/>
      <c r="O741" s="326"/>
      <c r="P741" s="326"/>
      <c r="Q741" s="326"/>
      <c r="R741" s="323"/>
      <c r="S741" s="326"/>
      <c r="T741" s="326"/>
      <c r="U741" s="326"/>
      <c r="V741" s="326"/>
      <c r="W741" s="323"/>
      <c r="X741" s="326"/>
      <c r="Y741" s="326"/>
      <c r="Z741" s="326"/>
      <c r="AA741" s="326"/>
      <c r="AB741" s="323"/>
      <c r="AC741" s="326"/>
      <c r="AD741" s="326"/>
      <c r="AE741" s="326"/>
      <c r="AF741" s="326"/>
      <c r="AG741" s="323"/>
      <c r="AH741" s="326"/>
      <c r="AI741" s="326"/>
      <c r="AJ741" s="326"/>
      <c r="AK741" s="326"/>
      <c r="AL741" s="323"/>
      <c r="AM741" s="326"/>
      <c r="AN741" s="326"/>
      <c r="AO741" s="326"/>
      <c r="AP741" s="326"/>
      <c r="AQ741" s="323"/>
      <c r="AR741" s="326"/>
      <c r="AS741" s="326"/>
      <c r="AT741" s="326"/>
      <c r="AU741" s="326"/>
      <c r="AV741" s="323"/>
      <c r="AW741" s="326"/>
      <c r="AX741" s="326"/>
      <c r="AY741" s="326"/>
      <c r="AZ741" s="326"/>
      <c r="BA741" s="323"/>
      <c r="BB741" s="326"/>
      <c r="BC741" s="326"/>
      <c r="BD741" s="326"/>
      <c r="BE741" s="326"/>
      <c r="BF741" s="323"/>
      <c r="BG741" s="326"/>
      <c r="BH741" s="326"/>
      <c r="BI741" s="326"/>
      <c r="BJ741" s="326"/>
      <c r="BK741" s="323"/>
      <c r="BL741" s="326"/>
      <c r="BM741" s="326"/>
      <c r="BN741" s="326"/>
      <c r="BO741" s="326">
        <f>AllOtherOP/CorpSales</f>
        <v>-3.532467532</v>
      </c>
      <c r="BP741" s="323">
        <f>AllOtherOP/CorpSales</f>
        <v>-2.174418605</v>
      </c>
      <c r="BQ741" s="326">
        <f>AllOtherOP/CorpSales</f>
        <v>-2.022222222</v>
      </c>
      <c r="BR741" s="326">
        <f>AllOtherOP/CorpSales</f>
        <v>-252.8461538</v>
      </c>
      <c r="BS741" s="326">
        <f>AllOtherOP/CorpSales</f>
        <v>-4.486486486</v>
      </c>
      <c r="BT741" s="326">
        <f>AllOtherOP/CorpSales</f>
        <v>-200.4444444</v>
      </c>
      <c r="BU741" s="323">
        <f>AllOtherOP/CorpSales</f>
        <v>-28.10606061</v>
      </c>
      <c r="BV741" s="326">
        <f>AllOtherOP/CorpSales</f>
        <v>-48</v>
      </c>
      <c r="BW741" s="326">
        <f>AllOtherOP/CorpSales</f>
        <v>-52.44444444</v>
      </c>
      <c r="BX741" s="326">
        <f>AllOtherOP/CorpSales</f>
        <v>-27.41666667</v>
      </c>
      <c r="BY741" s="326">
        <f>AllOtherOP/CorpSales</f>
        <v>-38.1875</v>
      </c>
      <c r="BZ741" s="324">
        <f>AllOtherOP/CorpSales</f>
        <v>-40.25531915</v>
      </c>
      <c r="CA741" s="326"/>
      <c r="CB741" s="326"/>
      <c r="CC741" s="326"/>
      <c r="CD741" s="326"/>
      <c r="CE741" s="324"/>
      <c r="CF741" s="326"/>
      <c r="CG741" s="326"/>
      <c r="CH741" s="326"/>
      <c r="CI741" s="326"/>
      <c r="CJ741" s="324"/>
      <c r="CK741" s="326"/>
      <c r="CL741" s="326"/>
      <c r="CM741" s="326"/>
      <c r="CN741" s="327"/>
      <c r="CO741" s="324"/>
      <c r="CP741" s="327"/>
      <c r="CQ741" s="326"/>
      <c r="CR741" s="326"/>
      <c r="CS741" s="326"/>
      <c r="CT741" s="324"/>
      <c r="CU741" s="326"/>
      <c r="CV741" s="326"/>
      <c r="CW741" s="326"/>
      <c r="CX741" s="326"/>
      <c r="CY741" s="324"/>
      <c r="CZ741" s="326"/>
      <c r="DA741" s="326"/>
      <c r="DB741" s="326"/>
      <c r="DC741" s="326"/>
      <c r="DD741" s="324"/>
      <c r="DE741" s="326"/>
      <c r="DF741" s="326"/>
      <c r="DG741" s="327"/>
      <c r="DH741" s="326"/>
      <c r="DI741" s="324"/>
      <c r="DJ741" s="327"/>
      <c r="DK741" s="327"/>
      <c r="DL741" s="327"/>
      <c r="DM741" s="326"/>
      <c r="DN741" s="324"/>
      <c r="DO741" s="326"/>
      <c r="DP741" s="326"/>
      <c r="DQ741" s="326"/>
      <c r="DR741" s="326"/>
      <c r="DS741" s="324"/>
      <c r="DT741" s="326"/>
      <c r="DU741" s="326"/>
      <c r="DV741" s="326"/>
      <c r="DW741" s="326"/>
      <c r="DX741" s="324"/>
      <c r="DY741" s="326"/>
      <c r="DZ741" s="326"/>
      <c r="EA741" s="326"/>
      <c r="EB741" s="326"/>
      <c r="EC741" s="324"/>
      <c r="ED741" s="326"/>
      <c r="EE741" s="326"/>
      <c r="EF741" s="326"/>
      <c r="EG741" s="326"/>
      <c r="EH741" s="324"/>
      <c r="EI741" s="361"/>
      <c r="EJ741" s="326"/>
      <c r="EK741" s="326"/>
      <c r="EL741" s="326"/>
      <c r="EM741" s="324"/>
      <c r="EN741" s="326"/>
      <c r="EO741" s="326"/>
      <c r="EP741" s="326"/>
      <c r="EQ741" s="326"/>
      <c r="ER741" s="324"/>
      <c r="ES741" s="326"/>
      <c r="ET741" s="326"/>
      <c r="EU741" s="326"/>
      <c r="EV741" s="326"/>
      <c r="EW741" s="324"/>
      <c r="EX741" s="326"/>
      <c r="EY741" s="326"/>
      <c r="EZ741" s="326"/>
      <c r="FA741" s="326"/>
      <c r="FB741" s="324"/>
      <c r="FC741" s="326"/>
      <c r="FD741" s="326"/>
      <c r="FE741" s="326"/>
      <c r="FF741" s="326"/>
      <c r="FG741" s="324"/>
      <c r="FH741" s="325"/>
      <c r="FI741" s="326"/>
      <c r="FJ741" s="326"/>
      <c r="FK741" s="323"/>
      <c r="FL741" s="326"/>
    </row>
    <row r="742" ht="13.5" hidden="1" customHeight="1" outlineLevel="2">
      <c r="A742" s="4"/>
      <c r="B742" s="529" t="s">
        <v>300</v>
      </c>
      <c r="C742" s="164"/>
      <c r="D742" s="606"/>
      <c r="E742" s="606"/>
      <c r="F742" s="606"/>
      <c r="G742" s="606"/>
      <c r="H742" s="596"/>
      <c r="I742" s="606"/>
      <c r="J742" s="606"/>
      <c r="K742" s="606"/>
      <c r="L742" s="606"/>
      <c r="M742" s="596"/>
      <c r="N742" s="606"/>
      <c r="O742" s="606"/>
      <c r="P742" s="606"/>
      <c r="Q742" s="606"/>
      <c r="R742" s="596"/>
      <c r="S742" s="606"/>
      <c r="T742" s="606"/>
      <c r="U742" s="606"/>
      <c r="V742" s="606"/>
      <c r="W742" s="596"/>
      <c r="X742" s="606"/>
      <c r="Y742" s="606"/>
      <c r="Z742" s="606"/>
      <c r="AA742" s="606"/>
      <c r="AB742" s="596"/>
      <c r="AC742" s="606"/>
      <c r="AD742" s="606"/>
      <c r="AE742" s="606"/>
      <c r="AF742" s="606"/>
      <c r="AG742" s="596"/>
      <c r="AH742" s="606"/>
      <c r="AI742" s="606"/>
      <c r="AJ742" s="606"/>
      <c r="AK742" s="606"/>
      <c r="AL742" s="596"/>
      <c r="AM742" s="606"/>
      <c r="AN742" s="606"/>
      <c r="AO742" s="606"/>
      <c r="AP742" s="606"/>
      <c r="AQ742" s="596"/>
      <c r="AR742" s="606"/>
      <c r="AS742" s="606"/>
      <c r="AT742" s="606"/>
      <c r="AU742" s="606"/>
      <c r="AV742" s="596"/>
      <c r="AW742" s="606"/>
      <c r="AX742" s="606"/>
      <c r="AY742" s="606"/>
      <c r="AZ742" s="606"/>
      <c r="BA742" s="596"/>
      <c r="BB742" s="606"/>
      <c r="BC742" s="606"/>
      <c r="BD742" s="606"/>
      <c r="BE742" s="606"/>
      <c r="BF742" s="596"/>
      <c r="BG742" s="606"/>
      <c r="BH742" s="606"/>
      <c r="BI742" s="606"/>
      <c r="BJ742" s="606"/>
      <c r="BK742" s="596"/>
      <c r="BL742" s="606"/>
      <c r="BM742" s="606"/>
      <c r="BN742" s="606"/>
      <c r="BO742" s="606">
        <f>opMargins</f>
        <v>0.1870897155</v>
      </c>
      <c r="BP742" s="596">
        <f>opMargins</f>
        <v>0.2382269994</v>
      </c>
      <c r="BQ742" s="606">
        <f>opMargins</f>
        <v>0.09055283415</v>
      </c>
      <c r="BR742" s="606">
        <f>opMargins</f>
        <v>0.1788384845</v>
      </c>
      <c r="BS742" s="606">
        <f>opMargins</f>
        <v>0.2746831398</v>
      </c>
      <c r="BT742" s="606">
        <f>opMargins</f>
        <v>0.3545273914</v>
      </c>
      <c r="BU742" s="596">
        <f>opMargins</f>
        <v>0.2393601503</v>
      </c>
      <c r="BV742" s="606">
        <f>opMargins</f>
        <v>0.3347897854</v>
      </c>
      <c r="BW742" s="606">
        <f>opMargins</f>
        <v>0.369809568</v>
      </c>
      <c r="BX742" s="606">
        <f>opMargins</f>
        <v>0.3725454873</v>
      </c>
      <c r="BY742" s="606">
        <f>opMargins</f>
        <v>0.3511390416</v>
      </c>
      <c r="BZ742" s="597">
        <f>opMargins</f>
        <v>0.3573344337</v>
      </c>
      <c r="CA742" s="606"/>
      <c r="CB742" s="606"/>
      <c r="CC742" s="606"/>
      <c r="CD742" s="606"/>
      <c r="CE742" s="597"/>
      <c r="CF742" s="606"/>
      <c r="CG742" s="606"/>
      <c r="CH742" s="606"/>
      <c r="CI742" s="606"/>
      <c r="CJ742" s="597"/>
      <c r="CK742" s="606"/>
      <c r="CL742" s="606"/>
      <c r="CM742" s="606"/>
      <c r="CN742" s="607"/>
      <c r="CO742" s="597"/>
      <c r="CP742" s="607"/>
      <c r="CQ742" s="606"/>
      <c r="CR742" s="606"/>
      <c r="CS742" s="606"/>
      <c r="CT742" s="597"/>
      <c r="CU742" s="606"/>
      <c r="CV742" s="606"/>
      <c r="CW742" s="606"/>
      <c r="CX742" s="606"/>
      <c r="CY742" s="597"/>
      <c r="CZ742" s="606"/>
      <c r="DA742" s="606"/>
      <c r="DB742" s="606"/>
      <c r="DC742" s="606"/>
      <c r="DD742" s="597"/>
      <c r="DE742" s="606"/>
      <c r="DF742" s="606"/>
      <c r="DG742" s="40"/>
      <c r="DH742" s="606"/>
      <c r="DI742" s="597"/>
      <c r="DJ742" s="607"/>
      <c r="DK742" s="607"/>
      <c r="DL742" s="607"/>
      <c r="DM742" s="606"/>
      <c r="DN742" s="597"/>
      <c r="DO742" s="606"/>
      <c r="DP742" s="606"/>
      <c r="DQ742" s="606"/>
      <c r="DR742" s="606"/>
      <c r="DS742" s="597"/>
      <c r="DT742" s="606"/>
      <c r="DU742" s="606"/>
      <c r="DV742" s="606"/>
      <c r="DW742" s="606"/>
      <c r="DX742" s="597"/>
      <c r="DY742" s="606"/>
      <c r="DZ742" s="606"/>
      <c r="EA742" s="606"/>
      <c r="EB742" s="606"/>
      <c r="EC742" s="597"/>
      <c r="ED742" s="606"/>
      <c r="EE742" s="606"/>
      <c r="EF742" s="606"/>
      <c r="EG742" s="606"/>
      <c r="EH742" s="597"/>
      <c r="EI742" s="608"/>
      <c r="EJ742" s="606"/>
      <c r="EK742" s="606"/>
      <c r="EL742" s="606"/>
      <c r="EM742" s="597"/>
      <c r="EN742" s="606"/>
      <c r="EO742" s="606"/>
      <c r="EP742" s="606"/>
      <c r="EQ742" s="606"/>
      <c r="ER742" s="597"/>
      <c r="ES742" s="606"/>
      <c r="ET742" s="606"/>
      <c r="EU742" s="606"/>
      <c r="EV742" s="606"/>
      <c r="EW742" s="597"/>
      <c r="EX742" s="606"/>
      <c r="EY742" s="606"/>
      <c r="EZ742" s="606"/>
      <c r="FA742" s="606"/>
      <c r="FB742" s="597"/>
      <c r="FC742" s="606"/>
      <c r="FD742" s="606"/>
      <c r="FE742" s="606"/>
      <c r="FF742" s="606"/>
      <c r="FG742" s="597"/>
      <c r="FH742" s="595"/>
      <c r="FI742" s="606"/>
      <c r="FJ742" s="606"/>
      <c r="FK742" s="596"/>
      <c r="FL742" s="606"/>
    </row>
    <row r="743" ht="12.75" hidden="1" customHeight="1" outlineLevel="1">
      <c r="A743" s="4"/>
      <c r="B743" s="45"/>
      <c r="C743" s="45"/>
      <c r="D743" s="4"/>
      <c r="E743" s="4"/>
      <c r="F743" s="4"/>
      <c r="G743" s="4"/>
      <c r="H743" s="45"/>
      <c r="I743" s="4"/>
      <c r="J743" s="4"/>
      <c r="K743" s="4"/>
      <c r="L743" s="4"/>
      <c r="M743" s="45"/>
      <c r="N743" s="4"/>
      <c r="O743" s="4"/>
      <c r="P743" s="4"/>
      <c r="Q743" s="4"/>
      <c r="R743" s="45"/>
      <c r="S743" s="4"/>
      <c r="T743" s="4"/>
      <c r="U743" s="4"/>
      <c r="V743" s="4"/>
      <c r="W743" s="45"/>
      <c r="X743" s="4"/>
      <c r="Y743" s="4"/>
      <c r="Z743" s="4"/>
      <c r="AA743" s="4"/>
      <c r="AB743" s="45"/>
      <c r="AC743" s="4"/>
      <c r="AD743" s="4"/>
      <c r="AE743" s="4"/>
      <c r="AF743" s="4"/>
      <c r="AG743" s="45"/>
      <c r="AH743" s="4"/>
      <c r="AI743" s="4"/>
      <c r="AJ743" s="4"/>
      <c r="AK743" s="4"/>
      <c r="AL743" s="45"/>
      <c r="AM743" s="4"/>
      <c r="AN743" s="4"/>
      <c r="AO743" s="4"/>
      <c r="AP743" s="4"/>
      <c r="AQ743" s="45"/>
      <c r="AR743" s="4"/>
      <c r="AS743" s="4"/>
      <c r="AT743" s="4"/>
      <c r="AU743" s="4"/>
      <c r="AV743" s="45"/>
      <c r="AW743" s="4"/>
      <c r="AX743" s="4"/>
      <c r="AY743" s="4"/>
      <c r="AZ743" s="4"/>
      <c r="BA743" s="45"/>
      <c r="BB743" s="4"/>
      <c r="BC743" s="4"/>
      <c r="BD743" s="4"/>
      <c r="BE743" s="4"/>
      <c r="BF743" s="45"/>
      <c r="BG743" s="4"/>
      <c r="BH743" s="4"/>
      <c r="BI743" s="4"/>
      <c r="BJ743" s="4"/>
      <c r="BK743" s="45"/>
      <c r="BL743" s="4"/>
      <c r="BM743" s="4"/>
      <c r="BN743" s="4"/>
      <c r="BO743" s="4"/>
      <c r="BP743" s="45"/>
      <c r="BQ743" s="4"/>
      <c r="BR743" s="4"/>
      <c r="BS743" s="4"/>
      <c r="BT743" s="4"/>
      <c r="BU743" s="45"/>
      <c r="BV743" s="4"/>
      <c r="BW743" s="4"/>
      <c r="BX743" s="4"/>
      <c r="BY743" s="4"/>
      <c r="BZ743" s="350"/>
      <c r="CA743" s="4"/>
      <c r="CB743" s="4"/>
      <c r="CC743" s="4"/>
      <c r="CD743" s="4"/>
      <c r="CE743" s="350"/>
      <c r="CF743" s="4"/>
      <c r="CG743" s="4"/>
      <c r="CH743" s="4"/>
      <c r="CI743" s="4"/>
      <c r="CJ743" s="350"/>
      <c r="CK743" s="4"/>
      <c r="CL743" s="4"/>
      <c r="CM743" s="4"/>
      <c r="CN743" s="16"/>
      <c r="CO743" s="350"/>
      <c r="CP743" s="16"/>
      <c r="CQ743" s="4"/>
      <c r="CR743" s="4"/>
      <c r="CS743" s="4"/>
      <c r="CT743" s="350"/>
      <c r="CU743" s="4"/>
      <c r="CV743" s="4"/>
      <c r="CW743" s="4"/>
      <c r="CX743" s="4"/>
      <c r="CY743" s="350"/>
      <c r="CZ743" s="4"/>
      <c r="DA743" s="4"/>
      <c r="DB743" s="4"/>
      <c r="DC743" s="4"/>
      <c r="DD743" s="350"/>
      <c r="DE743" s="4"/>
      <c r="DF743" s="4"/>
      <c r="DG743" s="16"/>
      <c r="DH743" s="4"/>
      <c r="DI743" s="350"/>
      <c r="DJ743" s="16"/>
      <c r="DK743" s="16"/>
      <c r="DL743" s="16"/>
      <c r="DM743" s="4"/>
      <c r="DN743" s="350"/>
      <c r="DO743" s="4"/>
      <c r="DP743" s="4"/>
      <c r="DQ743" s="4"/>
      <c r="DR743" s="4"/>
      <c r="DS743" s="350"/>
      <c r="DT743" s="4"/>
      <c r="DU743" s="4"/>
      <c r="DV743" s="4"/>
      <c r="DW743" s="4"/>
      <c r="DX743" s="350"/>
      <c r="DY743" s="4"/>
      <c r="DZ743" s="4"/>
      <c r="EA743" s="4"/>
      <c r="EB743" s="4"/>
      <c r="EC743" s="350"/>
      <c r="ED743" s="4"/>
      <c r="EE743" s="4"/>
      <c r="EF743" s="4"/>
      <c r="EG743" s="4"/>
      <c r="EH743" s="350"/>
      <c r="EI743" s="214"/>
      <c r="EJ743" s="4"/>
      <c r="EK743" s="4"/>
      <c r="EL743" s="4"/>
      <c r="EM743" s="350"/>
      <c r="EN743" s="4"/>
      <c r="EO743" s="4"/>
      <c r="EP743" s="4"/>
      <c r="EQ743" s="4"/>
      <c r="ER743" s="350"/>
      <c r="ES743" s="4"/>
      <c r="ET743" s="4"/>
      <c r="EU743" s="4"/>
      <c r="EV743" s="4"/>
      <c r="EW743" s="350"/>
      <c r="EX743" s="4"/>
      <c r="EY743" s="4"/>
      <c r="EZ743" s="4"/>
      <c r="FA743" s="4"/>
      <c r="FB743" s="350"/>
      <c r="FC743" s="4"/>
      <c r="FD743" s="4"/>
      <c r="FE743" s="4"/>
      <c r="FF743" s="4"/>
      <c r="FG743" s="350"/>
      <c r="FH743" s="145"/>
      <c r="FI743" s="4"/>
      <c r="FJ743" s="4"/>
      <c r="FK743" s="45"/>
      <c r="FL743" s="4"/>
    </row>
    <row r="744" ht="12.75" hidden="1" customHeight="1" outlineLevel="2">
      <c r="A744" s="4"/>
      <c r="B744" s="601" t="s">
        <v>307</v>
      </c>
      <c r="C744" s="45"/>
      <c r="D744" s="4"/>
      <c r="E744" s="4"/>
      <c r="F744" s="4"/>
      <c r="G744" s="4"/>
      <c r="H744" s="45"/>
      <c r="I744" s="4"/>
      <c r="J744" s="4"/>
      <c r="K744" s="4"/>
      <c r="L744" s="4"/>
      <c r="M744" s="45"/>
      <c r="N744" s="4"/>
      <c r="O744" s="4"/>
      <c r="P744" s="4"/>
      <c r="Q744" s="4"/>
      <c r="R744" s="45"/>
      <c r="S744" s="4"/>
      <c r="T744" s="4"/>
      <c r="U744" s="4"/>
      <c r="V744" s="4"/>
      <c r="W744" s="45"/>
      <c r="X744" s="4"/>
      <c r="Y744" s="4"/>
      <c r="Z744" s="4"/>
      <c r="AA744" s="4"/>
      <c r="AB744" s="45"/>
      <c r="AC744" s="4"/>
      <c r="AD744" s="4"/>
      <c r="AE744" s="4"/>
      <c r="AF744" s="4"/>
      <c r="AG744" s="45"/>
      <c r="AH744" s="4"/>
      <c r="AI744" s="4"/>
      <c r="AJ744" s="4"/>
      <c r="AK744" s="4"/>
      <c r="AL744" s="45"/>
      <c r="AM744" s="4"/>
      <c r="AN744" s="4"/>
      <c r="AO744" s="4"/>
      <c r="AP744" s="4"/>
      <c r="AQ744" s="45"/>
      <c r="AR744" s="4"/>
      <c r="AS744" s="4"/>
      <c r="AT744" s="4"/>
      <c r="AU744" s="4"/>
      <c r="AV744" s="45"/>
      <c r="AW744" s="4"/>
      <c r="AX744" s="4"/>
      <c r="AY744" s="4"/>
      <c r="AZ744" s="4"/>
      <c r="BA744" s="45"/>
      <c r="BB744" s="4"/>
      <c r="BC744" s="4"/>
      <c r="BD744" s="4"/>
      <c r="BE744" s="4"/>
      <c r="BF744" s="45"/>
      <c r="BG744" s="4"/>
      <c r="BH744" s="4"/>
      <c r="BI744" s="4"/>
      <c r="BJ744" s="4"/>
      <c r="BK744" s="45"/>
      <c r="BL744" s="4"/>
      <c r="BM744" s="4"/>
      <c r="BN744" s="4"/>
      <c r="BO744" s="4"/>
      <c r="BP744" s="45"/>
      <c r="BQ744" s="4"/>
      <c r="BR744" s="4"/>
      <c r="BS744" s="4"/>
      <c r="BT744" s="4"/>
      <c r="BU744" s="45"/>
      <c r="BV744" s="4"/>
      <c r="BW744" s="4"/>
      <c r="BX744" s="4"/>
      <c r="BY744" s="4"/>
      <c r="BZ744" s="350"/>
      <c r="CA744" s="4"/>
      <c r="CB744" s="4"/>
      <c r="CC744" s="4"/>
      <c r="CD744" s="4"/>
      <c r="CE744" s="350"/>
      <c r="CF744" s="4"/>
      <c r="CG744" s="4"/>
      <c r="CH744" s="4"/>
      <c r="CI744" s="4"/>
      <c r="CJ744" s="350"/>
      <c r="CK744" s="4"/>
      <c r="CL744" s="4"/>
      <c r="CM744" s="4"/>
      <c r="CN744" s="16"/>
      <c r="CO744" s="350"/>
      <c r="CP744" s="16"/>
      <c r="CQ744" s="4"/>
      <c r="CR744" s="4"/>
      <c r="CS744" s="4"/>
      <c r="CT744" s="350"/>
      <c r="CU744" s="4"/>
      <c r="CV744" s="4"/>
      <c r="CW744" s="4"/>
      <c r="CX744" s="4"/>
      <c r="CY744" s="350"/>
      <c r="CZ744" s="4"/>
      <c r="DA744" s="4"/>
      <c r="DB744" s="4"/>
      <c r="DC744" s="4"/>
      <c r="DD744" s="350"/>
      <c r="DE744" s="4"/>
      <c r="DF744" s="4"/>
      <c r="DG744" s="16"/>
      <c r="DH744" s="4"/>
      <c r="DI744" s="350"/>
      <c r="DJ744" s="16"/>
      <c r="DK744" s="16"/>
      <c r="DL744" s="16"/>
      <c r="DM744" s="4"/>
      <c r="DN744" s="350"/>
      <c r="DO744" s="4"/>
      <c r="DP744" s="4"/>
      <c r="DQ744" s="4"/>
      <c r="DR744" s="4"/>
      <c r="DS744" s="350"/>
      <c r="DT744" s="4"/>
      <c r="DU744" s="4"/>
      <c r="DV744" s="4"/>
      <c r="DW744" s="4"/>
      <c r="DX744" s="350"/>
      <c r="DY744" s="4"/>
      <c r="DZ744" s="4"/>
      <c r="EA744" s="4"/>
      <c r="EB744" s="4"/>
      <c r="EC744" s="350"/>
      <c r="ED744" s="4"/>
      <c r="EE744" s="4"/>
      <c r="EF744" s="4"/>
      <c r="EG744" s="4"/>
      <c r="EH744" s="350"/>
      <c r="EI744" s="214"/>
      <c r="EJ744" s="4"/>
      <c r="EK744" s="4"/>
      <c r="EL744" s="4"/>
      <c r="EM744" s="350"/>
      <c r="EN744" s="4"/>
      <c r="EO744" s="4"/>
      <c r="EP744" s="4"/>
      <c r="EQ744" s="4"/>
      <c r="ER744" s="350"/>
      <c r="ES744" s="4"/>
      <c r="ET744" s="4"/>
      <c r="EU744" s="4"/>
      <c r="EV744" s="4"/>
      <c r="EW744" s="350"/>
      <c r="EX744" s="4"/>
      <c r="EY744" s="4"/>
      <c r="EZ744" s="4"/>
      <c r="FA744" s="4"/>
      <c r="FB744" s="350"/>
      <c r="FC744" s="4"/>
      <c r="FD744" s="4"/>
      <c r="FE744" s="4"/>
      <c r="FF744" s="4"/>
      <c r="FG744" s="350"/>
      <c r="FH744" s="145"/>
      <c r="FI744" s="4"/>
      <c r="FJ744" s="4"/>
      <c r="FK744" s="45"/>
      <c r="FL744" s="4"/>
    </row>
    <row r="745" ht="12.75" hidden="1" customHeight="1" outlineLevel="2">
      <c r="A745" s="4"/>
      <c r="B745" s="578" t="s">
        <v>308</v>
      </c>
      <c r="C745" s="299"/>
      <c r="D745" s="585"/>
      <c r="E745" s="586"/>
      <c r="F745" s="586"/>
      <c r="G745" s="586"/>
      <c r="H745" s="585"/>
      <c r="I745" s="585"/>
      <c r="J745" s="586"/>
      <c r="K745" s="586"/>
      <c r="L745" s="586"/>
      <c r="M745" s="585"/>
      <c r="N745" s="585"/>
      <c r="O745" s="586"/>
      <c r="P745" s="586"/>
      <c r="Q745" s="586"/>
      <c r="R745" s="585"/>
      <c r="S745" s="585"/>
      <c r="T745" s="586"/>
      <c r="U745" s="586"/>
      <c r="V745" s="586"/>
      <c r="W745" s="585"/>
      <c r="X745" s="585"/>
      <c r="Y745" s="586"/>
      <c r="Z745" s="586"/>
      <c r="AA745" s="586"/>
      <c r="AB745" s="585"/>
      <c r="AC745" s="585"/>
      <c r="AD745" s="586"/>
      <c r="AE745" s="586"/>
      <c r="AF745" s="586"/>
      <c r="AG745" s="585"/>
      <c r="AH745" s="585"/>
      <c r="AI745" s="586"/>
      <c r="AJ745" s="586"/>
      <c r="AK745" s="586"/>
      <c r="AL745" s="585"/>
      <c r="AM745" s="585"/>
      <c r="AN745" s="586"/>
      <c r="AO745" s="586"/>
      <c r="AP745" s="586"/>
      <c r="AQ745" s="585"/>
      <c r="AR745" s="585"/>
      <c r="AS745" s="586"/>
      <c r="AT745" s="586"/>
      <c r="AU745" s="586"/>
      <c r="AV745" s="585"/>
      <c r="AW745" s="585"/>
      <c r="AX745" s="586"/>
      <c r="AY745" s="586"/>
      <c r="AZ745" s="586"/>
      <c r="BA745" s="585"/>
      <c r="BB745" s="585"/>
      <c r="BC745" s="586"/>
      <c r="BD745" s="586"/>
      <c r="BE745" s="586"/>
      <c r="BF745" s="585"/>
      <c r="BG745" s="585"/>
      <c r="BH745" s="586"/>
      <c r="BI745" s="586"/>
      <c r="BJ745" s="586"/>
      <c r="BK745" s="585"/>
      <c r="BL745" s="585"/>
      <c r="BM745" s="586"/>
      <c r="BN745" s="586"/>
      <c r="BO745" s="586"/>
      <c r="BP745" s="585"/>
      <c r="BQ745" s="585"/>
      <c r="BR745" s="586"/>
      <c r="BS745" s="586"/>
      <c r="BT745" s="586"/>
      <c r="BU745" s="585"/>
      <c r="BV745" s="585"/>
      <c r="BW745" s="586"/>
      <c r="BX745" s="586"/>
      <c r="BY745" s="586"/>
      <c r="BZ745" s="587"/>
      <c r="CA745" s="585"/>
      <c r="CB745" s="586"/>
      <c r="CC745" s="586"/>
      <c r="CD745" s="586"/>
      <c r="CE745" s="587"/>
      <c r="CF745" s="585"/>
      <c r="CG745" s="586"/>
      <c r="CH745" s="586"/>
      <c r="CI745" s="586"/>
      <c r="CJ745" s="587"/>
      <c r="CK745" s="585"/>
      <c r="CL745" s="586"/>
      <c r="CM745" s="586"/>
      <c r="CN745" s="588"/>
      <c r="CO745" s="587"/>
      <c r="CP745" s="588"/>
      <c r="CQ745" s="586"/>
      <c r="CR745" s="586"/>
      <c r="CS745" s="586"/>
      <c r="CT745" s="587"/>
      <c r="CU745" s="585"/>
      <c r="CV745" s="586"/>
      <c r="CW745" s="586"/>
      <c r="CX745" s="586"/>
      <c r="CY745" s="587"/>
      <c r="CZ745" s="585"/>
      <c r="DA745" s="586"/>
      <c r="DB745" s="586"/>
      <c r="DC745" s="586"/>
      <c r="DD745" s="587"/>
      <c r="DE745" s="585"/>
      <c r="DF745" s="586"/>
      <c r="DG745" s="474"/>
      <c r="DH745" s="586"/>
      <c r="DI745" s="587"/>
      <c r="DJ745" s="589"/>
      <c r="DK745" s="588"/>
      <c r="DL745" s="588"/>
      <c r="DM745" s="586"/>
      <c r="DN745" s="587"/>
      <c r="DO745" s="585"/>
      <c r="DP745" s="586"/>
      <c r="DQ745" s="586"/>
      <c r="DR745" s="586"/>
      <c r="DS745" s="587"/>
      <c r="DT745" s="585"/>
      <c r="DU745" s="585"/>
      <c r="DV745" s="585"/>
      <c r="DW745" s="585"/>
      <c r="DX745" s="587"/>
      <c r="DY745" s="585"/>
      <c r="DZ745" s="585"/>
      <c r="EA745" s="585"/>
      <c r="EB745" s="585"/>
      <c r="EC745" s="587"/>
      <c r="ED745" s="585"/>
      <c r="EE745" s="585"/>
      <c r="EF745" s="585"/>
      <c r="EG745" s="585"/>
      <c r="EH745" s="587"/>
      <c r="EI745" s="590"/>
      <c r="EJ745" s="586"/>
      <c r="EK745" s="586"/>
      <c r="EL745" s="586"/>
      <c r="EM745" s="587"/>
      <c r="EN745" s="585"/>
      <c r="EO745" s="586"/>
      <c r="EP745" s="586"/>
      <c r="EQ745" s="586"/>
      <c r="ER745" s="587"/>
      <c r="ES745" s="585"/>
      <c r="ET745" s="586"/>
      <c r="EU745" s="586"/>
      <c r="EV745" s="586"/>
      <c r="EW745" s="587"/>
      <c r="EX745" s="585"/>
      <c r="EY745" s="586"/>
      <c r="EZ745" s="586"/>
      <c r="FA745" s="586"/>
      <c r="FB745" s="587"/>
      <c r="FC745" s="585"/>
      <c r="FD745" s="586"/>
      <c r="FE745" s="586"/>
      <c r="FF745" s="586"/>
      <c r="FG745" s="587"/>
      <c r="FH745" s="589"/>
      <c r="FI745" s="586"/>
      <c r="FJ745" s="586"/>
      <c r="FK745" s="585"/>
      <c r="FL745" s="585"/>
    </row>
    <row r="746" ht="12.75" hidden="1" customHeight="1" outlineLevel="3">
      <c r="A746" s="4"/>
      <c r="B746" s="72" t="s">
        <v>309</v>
      </c>
      <c r="C746" s="4"/>
      <c r="D746" s="17"/>
      <c r="E746" s="17"/>
      <c r="F746" s="17"/>
      <c r="G746" s="17"/>
      <c r="H746" s="73"/>
      <c r="I746" s="17"/>
      <c r="J746" s="17"/>
      <c r="K746" s="17"/>
      <c r="L746" s="17"/>
      <c r="M746" s="73"/>
      <c r="N746" s="17"/>
      <c r="O746" s="17"/>
      <c r="P746" s="17"/>
      <c r="Q746" s="17"/>
      <c r="R746" s="73"/>
      <c r="S746" s="17"/>
      <c r="T746" s="17"/>
      <c r="U746" s="17"/>
      <c r="V746" s="17"/>
      <c r="W746" s="73"/>
      <c r="X746" s="17"/>
      <c r="Y746" s="17"/>
      <c r="Z746" s="17"/>
      <c r="AA746" s="17"/>
      <c r="AB746" s="73"/>
      <c r="AC746" s="17"/>
      <c r="AD746" s="17"/>
      <c r="AE746" s="17"/>
      <c r="AF746" s="17"/>
      <c r="AG746" s="73"/>
      <c r="AH746" s="17"/>
      <c r="AI746" s="17"/>
      <c r="AJ746" s="17"/>
      <c r="AK746" s="17"/>
      <c r="AL746" s="73"/>
      <c r="AM746" s="17"/>
      <c r="AN746" s="17"/>
      <c r="AO746" s="17"/>
      <c r="AP746" s="17"/>
      <c r="AQ746" s="73"/>
      <c r="AR746" s="17" t="str">
        <f>AR748-AR747</f>
        <v>#ERROR!</v>
      </c>
      <c r="AS746" s="17">
        <f t="shared" ref="AS746:AU746" si="3271">(AS855*0.2)</f>
        <v>136.8</v>
      </c>
      <c r="AT746" s="17">
        <f t="shared" si="3271"/>
        <v>137.8</v>
      </c>
      <c r="AU746" s="17">
        <f t="shared" si="3271"/>
        <v>144.2</v>
      </c>
      <c r="AV746" s="73" t="str">
        <f t="shared" ref="AV746:AV752" si="3277">SUM(AR746:AU746)</f>
        <v>#ERROR!</v>
      </c>
      <c r="AW746" s="17" t="str">
        <f t="shared" ref="AW746:AZ746" si="3272">AW748-AW747</f>
        <v>#ERROR!</v>
      </c>
      <c r="AX746" s="17" t="str">
        <f t="shared" si="3272"/>
        <v>#ERROR!</v>
      </c>
      <c r="AY746" s="17" t="str">
        <f t="shared" si="3272"/>
        <v>#ERROR!</v>
      </c>
      <c r="AZ746" s="17" t="str">
        <f t="shared" si="3272"/>
        <v>#ERROR!</v>
      </c>
      <c r="BA746" s="73" t="str">
        <f t="shared" ref="BA746:BA752" si="3278">SUM(AW746:AZ746)</f>
        <v>#ERROR!</v>
      </c>
      <c r="BB746" s="17" t="str">
        <f t="shared" ref="BB746:BE746" si="3273">BB748-BB747</f>
        <v>#ERROR!</v>
      </c>
      <c r="BC746" s="17" t="str">
        <f t="shared" si="3273"/>
        <v>#ERROR!</v>
      </c>
      <c r="BD746" s="17" t="str">
        <f t="shared" si="3273"/>
        <v>#ERROR!</v>
      </c>
      <c r="BE746" s="17" t="str">
        <f t="shared" si="3273"/>
        <v>#ERROR!</v>
      </c>
      <c r="BF746" s="73" t="str">
        <f t="shared" ref="BF746:BF752" si="3279">SUM(BB746:BE746)</f>
        <v>#ERROR!</v>
      </c>
      <c r="BG746" s="17" t="str">
        <f t="shared" ref="BG746:BJ746" si="3274">BG748-BG747</f>
        <v>#ERROR!</v>
      </c>
      <c r="BH746" s="17" t="str">
        <f t="shared" si="3274"/>
        <v>#ERROR!</v>
      </c>
      <c r="BI746" s="17" t="str">
        <f t="shared" si="3274"/>
        <v>#ERROR!</v>
      </c>
      <c r="BJ746" s="17" t="str">
        <f t="shared" si="3274"/>
        <v>#ERROR!</v>
      </c>
      <c r="BK746" s="73" t="str">
        <f t="shared" ref="BK746:BK752" si="3280">SUM(BG746:BJ746)</f>
        <v>#ERROR!</v>
      </c>
      <c r="BL746" s="17" t="str">
        <f t="shared" ref="BL746:BO746" si="3275">BL748-BL747</f>
        <v>#ERROR!</v>
      </c>
      <c r="BM746" s="17" t="str">
        <f t="shared" si="3275"/>
        <v>#ERROR!</v>
      </c>
      <c r="BN746" s="17" t="str">
        <f t="shared" si="3275"/>
        <v>#ERROR!</v>
      </c>
      <c r="BO746" s="17" t="str">
        <f t="shared" si="3275"/>
        <v>#ERROR!</v>
      </c>
      <c r="BP746" s="73" t="str">
        <f t="shared" ref="BP746:BP752" si="3281">SUM(BL746:BO746)</f>
        <v>#ERROR!</v>
      </c>
      <c r="BQ746" s="17" t="str">
        <f t="shared" ref="BQ746:BR746" si="3276">BQ748-BQ747</f>
        <v>#ERROR!</v>
      </c>
      <c r="BR746" s="17" t="str">
        <f t="shared" si="3276"/>
        <v>#ERROR!</v>
      </c>
      <c r="BS746" s="17">
        <v>10.0</v>
      </c>
      <c r="BT746" s="17">
        <v>10.0</v>
      </c>
      <c r="BU746" s="73" t="str">
        <f t="shared" ref="BU746:BU752" si="3282">SUM(BQ746:BT746)</f>
        <v>#ERROR!</v>
      </c>
      <c r="BV746" s="17">
        <v>10.0</v>
      </c>
      <c r="BW746" s="17">
        <v>10.0</v>
      </c>
      <c r="BX746" s="17">
        <v>10.0</v>
      </c>
      <c r="BY746" s="17">
        <v>10.0</v>
      </c>
      <c r="BZ746" s="18">
        <f t="shared" ref="BZ746:BZ752" si="3283">SUM(BV746:BY746)</f>
        <v>40</v>
      </c>
      <c r="CA746" s="17">
        <v>10.0</v>
      </c>
      <c r="CB746" s="17">
        <v>10.0</v>
      </c>
      <c r="CC746" s="17">
        <v>10.0</v>
      </c>
      <c r="CD746" s="17">
        <v>10.0</v>
      </c>
      <c r="CE746" s="18">
        <f t="shared" ref="CE746:CE752" si="3284">SUM(CA746:CD746)</f>
        <v>40</v>
      </c>
      <c r="CF746" s="17">
        <v>10.0</v>
      </c>
      <c r="CG746" s="17">
        <v>10.0</v>
      </c>
      <c r="CH746" s="17">
        <v>10.0</v>
      </c>
      <c r="CI746" s="17">
        <v>10.0</v>
      </c>
      <c r="CJ746" s="18">
        <f t="shared" ref="CJ746:CJ752" si="3285">SUM(CF746:CI746)</f>
        <v>40</v>
      </c>
      <c r="CK746" s="17">
        <v>10.0</v>
      </c>
      <c r="CL746" s="17">
        <v>10.0</v>
      </c>
      <c r="CM746" s="17">
        <v>10.0</v>
      </c>
      <c r="CN746" s="19">
        <v>10.0</v>
      </c>
      <c r="CO746" s="18">
        <f t="shared" ref="CO746:CO752" si="3286">SUM(CK746:CN746)</f>
        <v>40</v>
      </c>
      <c r="CP746" s="19">
        <v>10.0</v>
      </c>
      <c r="CQ746" s="17">
        <v>10.0</v>
      </c>
      <c r="CR746" s="17">
        <v>10.0</v>
      </c>
      <c r="CS746" s="17">
        <v>10.0</v>
      </c>
      <c r="CT746" s="18">
        <f t="shared" ref="CT746:CT752" si="3287">SUM(CP746:CS746)</f>
        <v>40</v>
      </c>
      <c r="CU746" s="17">
        <v>10.0</v>
      </c>
      <c r="CV746" s="17">
        <v>10.0</v>
      </c>
      <c r="CW746" s="17">
        <v>10.0</v>
      </c>
      <c r="CX746" s="17">
        <v>10.0</v>
      </c>
      <c r="CY746" s="18">
        <f t="shared" ref="CY746:CY752" si="3288">SUM(CU746:CX746)</f>
        <v>40</v>
      </c>
      <c r="CZ746" s="17">
        <v>10.0</v>
      </c>
      <c r="DA746" s="17">
        <v>10.0</v>
      </c>
      <c r="DB746" s="17">
        <v>10.0</v>
      </c>
      <c r="DC746" s="17">
        <v>10.0</v>
      </c>
      <c r="DD746" s="18">
        <f t="shared" ref="DD746:DD752" si="3289">SUM(CZ746:DC746)</f>
        <v>40</v>
      </c>
      <c r="DE746" s="17">
        <v>10.0</v>
      </c>
      <c r="DF746" s="17">
        <v>10.0</v>
      </c>
      <c r="DG746" s="19">
        <v>10.0</v>
      </c>
      <c r="DH746" s="17">
        <v>10.0</v>
      </c>
      <c r="DI746" s="18">
        <f t="shared" ref="DI746:DI752" si="3290">SUM(DE746:DH746)</f>
        <v>40</v>
      </c>
      <c r="DJ746" s="19">
        <v>10.0</v>
      </c>
      <c r="DK746" s="19">
        <v>10.0</v>
      </c>
      <c r="DL746" s="19">
        <v>10.0</v>
      </c>
      <c r="DM746" s="17">
        <v>10.0</v>
      </c>
      <c r="DN746" s="18">
        <f t="shared" ref="DN746:DN752" si="3291">SUM(DJ746:DM746)</f>
        <v>40</v>
      </c>
      <c r="DO746" s="17">
        <v>10.0</v>
      </c>
      <c r="DP746" s="17">
        <v>10.0</v>
      </c>
      <c r="DQ746" s="17">
        <v>10.0</v>
      </c>
      <c r="DR746" s="17">
        <v>10.0</v>
      </c>
      <c r="DS746" s="18">
        <f t="shared" ref="DS746:DS752" si="3292">SUM(DO746:DR746)</f>
        <v>40</v>
      </c>
      <c r="DT746" s="17">
        <v>10.0</v>
      </c>
      <c r="DU746" s="17">
        <v>10.0</v>
      </c>
      <c r="DV746" s="17">
        <v>10.0</v>
      </c>
      <c r="DW746" s="17">
        <v>10.0</v>
      </c>
      <c r="DX746" s="18">
        <f t="shared" ref="DX746:DX752" si="3293">SUM(DT746:DW746)</f>
        <v>40</v>
      </c>
      <c r="DY746" s="17">
        <v>10.0</v>
      </c>
      <c r="DZ746" s="17">
        <v>10.0</v>
      </c>
      <c r="EA746" s="17">
        <v>10.0</v>
      </c>
      <c r="EB746" s="17">
        <v>10.0</v>
      </c>
      <c r="EC746" s="18">
        <f t="shared" ref="EC746:EC752" si="3294">SUM(DY746:EB746)</f>
        <v>40</v>
      </c>
      <c r="ED746" s="17">
        <v>10.0</v>
      </c>
      <c r="EE746" s="17">
        <v>10.0</v>
      </c>
      <c r="EF746" s="17">
        <v>10.0</v>
      </c>
      <c r="EG746" s="17">
        <v>10.0</v>
      </c>
      <c r="EH746" s="18">
        <f t="shared" ref="EH746:EH752" si="3295">SUM(ED746:EG746)</f>
        <v>40</v>
      </c>
      <c r="EI746" s="25">
        <v>10.0</v>
      </c>
      <c r="EJ746" s="17">
        <v>10.0</v>
      </c>
      <c r="EK746" s="17">
        <v>10.0</v>
      </c>
      <c r="EL746" s="17">
        <v>10.0</v>
      </c>
      <c r="EM746" s="18">
        <f t="shared" ref="EM746:EM752" si="3296">SUM(EI746:EL746)</f>
        <v>40</v>
      </c>
      <c r="EN746" s="17">
        <v>10.0</v>
      </c>
      <c r="EO746" s="17">
        <v>10.0</v>
      </c>
      <c r="EP746" s="17">
        <v>10.0</v>
      </c>
      <c r="EQ746" s="17">
        <v>10.0</v>
      </c>
      <c r="ER746" s="18">
        <f t="shared" ref="ER746:ER752" si="3297">SUM(EN746:EQ746)</f>
        <v>40</v>
      </c>
      <c r="ES746" s="17">
        <v>10.0</v>
      </c>
      <c r="ET746" s="17">
        <v>10.0</v>
      </c>
      <c r="EU746" s="17">
        <v>10.0</v>
      </c>
      <c r="EV746" s="17">
        <v>10.0</v>
      </c>
      <c r="EW746" s="18">
        <f t="shared" ref="EW746:EW752" si="3298">SUM(ES746:EV746)</f>
        <v>40</v>
      </c>
      <c r="EX746" s="17">
        <v>10.0</v>
      </c>
      <c r="EY746" s="17">
        <v>10.0</v>
      </c>
      <c r="EZ746" s="17">
        <v>10.0</v>
      </c>
      <c r="FA746" s="17">
        <v>10.0</v>
      </c>
      <c r="FB746" s="18">
        <f t="shared" ref="FB746:FB752" si="3299">SUM(EX746:FA746)</f>
        <v>40</v>
      </c>
      <c r="FC746" s="17">
        <v>10.0</v>
      </c>
      <c r="FD746" s="17">
        <v>10.0</v>
      </c>
      <c r="FE746" s="17">
        <v>10.0</v>
      </c>
      <c r="FF746" s="17">
        <v>10.0</v>
      </c>
      <c r="FG746" s="18">
        <f t="shared" ref="FG746:FG752" si="3300">SUM(FC746:FF746)</f>
        <v>40</v>
      </c>
      <c r="FH746" s="74"/>
      <c r="FI746" s="17"/>
      <c r="FJ746" s="17"/>
      <c r="FK746" s="73"/>
      <c r="FL746" s="17"/>
    </row>
    <row r="747" ht="12.75" hidden="1" customHeight="1" outlineLevel="3">
      <c r="A747" s="263"/>
      <c r="B747" s="91" t="s">
        <v>310</v>
      </c>
      <c r="C747" s="299"/>
      <c r="D747" s="92"/>
      <c r="E747" s="92"/>
      <c r="F747" s="92"/>
      <c r="G747" s="92"/>
      <c r="H747" s="93"/>
      <c r="I747" s="92"/>
      <c r="J747" s="92"/>
      <c r="K747" s="92"/>
      <c r="L747" s="92"/>
      <c r="M747" s="93"/>
      <c r="N747" s="92"/>
      <c r="O747" s="92"/>
      <c r="P747" s="92"/>
      <c r="Q747" s="92"/>
      <c r="R747" s="93"/>
      <c r="S747" s="92"/>
      <c r="T747" s="92"/>
      <c r="U747" s="92"/>
      <c r="V747" s="92"/>
      <c r="W747" s="93"/>
      <c r="X747" s="92"/>
      <c r="Y747" s="92"/>
      <c r="Z747" s="92"/>
      <c r="AA747" s="92"/>
      <c r="AB747" s="93"/>
      <c r="AC747" s="92"/>
      <c r="AD747" s="92"/>
      <c r="AE747" s="92"/>
      <c r="AF747" s="92"/>
      <c r="AG747" s="93"/>
      <c r="AH747" s="92"/>
      <c r="AI747" s="92"/>
      <c r="AJ747" s="92"/>
      <c r="AK747" s="92"/>
      <c r="AL747" s="93"/>
      <c r="AM747" s="92"/>
      <c r="AN747" s="92"/>
      <c r="AO747" s="92"/>
      <c r="AP747" s="92"/>
      <c r="AQ747" s="93"/>
      <c r="AR747" s="92" t="str">
        <f>+[2]MPU!AR167+[2]MPU!AR156</f>
        <v>#ERROR!</v>
      </c>
      <c r="AS747" s="92" t="str">
        <f>+[2]MPU!AS167+[2]MPU!AS156</f>
        <v>#ERROR!</v>
      </c>
      <c r="AT747" s="92">
        <f>AT849-AT751</f>
        <v>4357</v>
      </c>
      <c r="AU747" s="92" t="str">
        <f>+[2]MPU!AU167+[2]MPU!AU156</f>
        <v>#ERROR!</v>
      </c>
      <c r="AV747" s="93" t="str">
        <f t="shared" si="3277"/>
        <v>#ERROR!</v>
      </c>
      <c r="AW747" s="92" t="str">
        <f>+[2]MPU!AW167+[2]MPU!AW156</f>
        <v>#ERROR!</v>
      </c>
      <c r="AX747" s="92" t="str">
        <f>+[2]MPU!AX167+[2]MPU!AX156</f>
        <v>#ERROR!</v>
      </c>
      <c r="AY747" s="92" t="str">
        <f>+[2]MPU!AY167+[2]MPU!AY156</f>
        <v>#ERROR!</v>
      </c>
      <c r="AZ747" s="92" t="str">
        <f>+[2]MPU!AZ167+[2]MPU!AZ156</f>
        <v>#ERROR!</v>
      </c>
      <c r="BA747" s="93" t="str">
        <f t="shared" si="3278"/>
        <v>#ERROR!</v>
      </c>
      <c r="BB747" s="92" t="str">
        <f>+[2]MPU!BB167+[2]MPU!BB156-BB758</f>
        <v>#ERROR!</v>
      </c>
      <c r="BC747" s="92" t="str">
        <f>+[2]MPU!BC167+[2]MPU!BC156-BC758</f>
        <v>#ERROR!</v>
      </c>
      <c r="BD747" s="92" t="str">
        <f>+[2]MPU!BD167+[2]MPU!BD156-BD758</f>
        <v>#ERROR!</v>
      </c>
      <c r="BE747" s="92" t="str">
        <f>+[2]MPU!BE167+[2]MPU!BE156-BE758</f>
        <v>#ERROR!</v>
      </c>
      <c r="BF747" s="93" t="str">
        <f t="shared" si="3279"/>
        <v>#ERROR!</v>
      </c>
      <c r="BG747" s="92" t="str">
        <f>+[2]MPU!BG167+[2]MPU!BG156-BG758*0.8</f>
        <v>#ERROR!</v>
      </c>
      <c r="BH747" s="92" t="str">
        <f>+[2]MPU!BH167+[2]MPU!BH156-BH758*0.8</f>
        <v>#ERROR!</v>
      </c>
      <c r="BI747" s="92" t="str">
        <f>+[2]MPU!BI167+[2]MPU!BI156-BI758*0.8</f>
        <v>#ERROR!</v>
      </c>
      <c r="BJ747" s="92" t="str">
        <f>+[2]MPU!BJ167+[2]MPU!BJ156-BJ758*0.8</f>
        <v>#ERROR!</v>
      </c>
      <c r="BK747" s="93" t="str">
        <f t="shared" si="3280"/>
        <v>#ERROR!</v>
      </c>
      <c r="BL747" s="92" t="str">
        <f>+[2]MPU!BL167+[2]MPU!BL156</f>
        <v>#ERROR!</v>
      </c>
      <c r="BM747" s="92" t="str">
        <f>+[2]MPU!BM167+[2]MPU!BM156</f>
        <v>#ERROR!</v>
      </c>
      <c r="BN747" s="92" t="str">
        <f>+[2]MPU!BN167+[2]MPU!BN156</f>
        <v>#ERROR!</v>
      </c>
      <c r="BO747" s="92" t="str">
        <f>+[2]MPU!BO167+[2]MPU!BO156</f>
        <v>#ERROR!</v>
      </c>
      <c r="BP747" s="93" t="str">
        <f t="shared" si="3281"/>
        <v>#ERROR!</v>
      </c>
      <c r="BQ747" s="92" t="str">
        <f>+[2]MPU!BQ167+[2]MPU!BQ156</f>
        <v>#ERROR!</v>
      </c>
      <c r="BR747" s="92" t="str">
        <f>+[2]MPU!BR167+[2]MPU!BR156</f>
        <v>#ERROR!</v>
      </c>
      <c r="BS747" s="92" t="str">
        <f>+[2]MPU!BS167+[2]MPU!BS156</f>
        <v>#ERROR!</v>
      </c>
      <c r="BT747" s="92" t="str">
        <f>+[2]MPU!BT167+[2]MPU!BT156</f>
        <v>#ERROR!</v>
      </c>
      <c r="BU747" s="93" t="str">
        <f t="shared" si="3282"/>
        <v>#ERROR!</v>
      </c>
      <c r="BV747" s="92" t="str">
        <f>+[2]MPU!BV167+[2]MPU!BV156</f>
        <v>#ERROR!</v>
      </c>
      <c r="BW747" s="92" t="str">
        <f>+[2]MPU!BW167+[2]MPU!BW156</f>
        <v>#ERROR!</v>
      </c>
      <c r="BX747" s="92" t="str">
        <f>+[2]MPU!BX167+[2]MPU!BX156</f>
        <v>#ERROR!</v>
      </c>
      <c r="BY747" s="92" t="str">
        <f>+[2]MPU!BY167+[2]MPU!BY156</f>
        <v>#ERROR!</v>
      </c>
      <c r="BZ747" s="94" t="str">
        <f t="shared" si="3283"/>
        <v>#ERROR!</v>
      </c>
      <c r="CA747" s="92" t="str">
        <f>+[2]MPU!CA167+[2]MPU!CA156</f>
        <v>#ERROR!</v>
      </c>
      <c r="CB747" s="92" t="str">
        <f>+[2]MPU!CB167+[2]MPU!CB156</f>
        <v>#ERROR!</v>
      </c>
      <c r="CC747" s="92" t="str">
        <f>+[2]MPU!CC167+[2]MPU!CC156</f>
        <v>#ERROR!</v>
      </c>
      <c r="CD747" s="92" t="str">
        <f>+[2]MPU!CD167+[2]MPU!CD156</f>
        <v>#ERROR!</v>
      </c>
      <c r="CE747" s="94" t="str">
        <f t="shared" si="3284"/>
        <v>#ERROR!</v>
      </c>
      <c r="CF747" s="92" t="str">
        <f>+[2]MPU!CF167+[2]MPU!CF156</f>
        <v>#ERROR!</v>
      </c>
      <c r="CG747" s="92" t="str">
        <f>+[2]MPU!CG167+[2]MPU!CG156</f>
        <v>#ERROR!</v>
      </c>
      <c r="CH747" s="92" t="str">
        <f>+[2]MPU!CH167+[2]MPU!CH156</f>
        <v>#ERROR!</v>
      </c>
      <c r="CI747" s="92" t="str">
        <f>+[2]MPU!CI167+[2]MPU!CI156</f>
        <v>#ERROR!</v>
      </c>
      <c r="CJ747" s="94" t="str">
        <f t="shared" si="3285"/>
        <v>#ERROR!</v>
      </c>
      <c r="CK747" s="92" t="str">
        <f>+[2]MPU!CK167+[2]MPU!CK156</f>
        <v>#ERROR!</v>
      </c>
      <c r="CL747" s="92" t="str">
        <f>+[2]MPU!CL167+[2]MPU!CL156</f>
        <v>#ERROR!</v>
      </c>
      <c r="CM747" s="92" t="str">
        <f>+[2]MPU!CM167+[2]MPU!CM156</f>
        <v>#ERROR!</v>
      </c>
      <c r="CN747" s="96" t="str">
        <f>+[2]MPU!CN167+[2]MPU!CN156</f>
        <v>#ERROR!</v>
      </c>
      <c r="CO747" s="94" t="str">
        <f t="shared" si="3286"/>
        <v>#ERROR!</v>
      </c>
      <c r="CP747" s="96" t="str">
        <f>+[2]MPU!CP167+[2]MPU!CP156</f>
        <v>#ERROR!</v>
      </c>
      <c r="CQ747" s="92" t="str">
        <f>+[2]MPU!CQ167+[2]MPU!CQ156</f>
        <v>#ERROR!</v>
      </c>
      <c r="CR747" s="92" t="str">
        <f>+[2]MPU!CR167+[2]MPU!CR156</f>
        <v>#ERROR!</v>
      </c>
      <c r="CS747" s="92" t="str">
        <f>+[2]MPU!CS167+[2]MPU!CS156</f>
        <v>#ERROR!</v>
      </c>
      <c r="CT747" s="94" t="str">
        <f t="shared" si="3287"/>
        <v>#ERROR!</v>
      </c>
      <c r="CU747" s="92" t="str">
        <f>+[2]MPU!CU167+[2]MPU!CU156</f>
        <v>#ERROR!</v>
      </c>
      <c r="CV747" s="92" t="str">
        <f>+[2]MPU!CV167+[2]MPU!CV156</f>
        <v>#ERROR!</v>
      </c>
      <c r="CW747" s="92" t="str">
        <f>+[2]MPU!CW167+[2]MPU!CW156</f>
        <v>#ERROR!</v>
      </c>
      <c r="CX747" s="92" t="str">
        <f>+[2]MPU!CX167+[2]MPU!CX156</f>
        <v>#ERROR!</v>
      </c>
      <c r="CY747" s="94" t="str">
        <f t="shared" si="3288"/>
        <v>#ERROR!</v>
      </c>
      <c r="CZ747" s="92" t="str">
        <f>+[2]MPU!CZ167+[2]MPU!CZ156</f>
        <v>#ERROR!</v>
      </c>
      <c r="DA747" s="92" t="str">
        <f>+[2]MPU!DA167+[2]MPU!DA156</f>
        <v>#ERROR!</v>
      </c>
      <c r="DB747" s="92" t="str">
        <f>+[2]MPU!DB167+[2]MPU!DB156</f>
        <v>#ERROR!</v>
      </c>
      <c r="DC747" s="92" t="str">
        <f>+[2]MPU!DC167+[2]MPU!DC156</f>
        <v>#ERROR!</v>
      </c>
      <c r="DD747" s="94" t="str">
        <f t="shared" si="3289"/>
        <v>#ERROR!</v>
      </c>
      <c r="DE747" s="92" t="str">
        <f>+[2]MPU!DE167+[2]MPU!DE156</f>
        <v>#ERROR!</v>
      </c>
      <c r="DF747" s="92" t="str">
        <f>+[2]MPU!DF167+[2]MPU!DF156</f>
        <v>#ERROR!</v>
      </c>
      <c r="DG747" s="19" t="str">
        <f>+[2]MPU!DG167+[2]MPU!DG156</f>
        <v>#ERROR!</v>
      </c>
      <c r="DH747" s="92" t="str">
        <f>+[2]MPU!DH167+[2]MPU!DH156</f>
        <v>#ERROR!</v>
      </c>
      <c r="DI747" s="94" t="str">
        <f t="shared" si="3290"/>
        <v>#ERROR!</v>
      </c>
      <c r="DJ747" s="96" t="str">
        <f>+[2]MPU!DJ167+[2]MPU!DJ156</f>
        <v>#ERROR!</v>
      </c>
      <c r="DK747" s="96" t="str">
        <f>+[2]MPU!DU167+[2]MPU!DK156</f>
        <v>#ERROR!</v>
      </c>
      <c r="DL747" s="96" t="str">
        <f>+[2]MPU!DV167+[2]MPU!DL156</f>
        <v>#ERROR!</v>
      </c>
      <c r="DM747" s="92" t="str">
        <f>+[2]MPU!DW167+[2]MPU!DM156</f>
        <v>#ERROR!</v>
      </c>
      <c r="DN747" s="94" t="str">
        <f t="shared" si="3291"/>
        <v>#ERROR!</v>
      </c>
      <c r="DO747" s="92" t="str">
        <f>+[2]MPU!DT167+[2]MPU!DT156</f>
        <v>#ERROR!</v>
      </c>
      <c r="DP747" s="92" t="str">
        <f>+[2]MPU!#REF!+[2]MPU!DU156</f>
        <v>#ERROR!</v>
      </c>
      <c r="DQ747" s="92" t="str">
        <f>+[2]MPU!#REF!+[2]MPU!DV156</f>
        <v>#ERROR!</v>
      </c>
      <c r="DR747" s="92" t="str">
        <f>+[2]MPU!#REF!+[2]MPU!DW156</f>
        <v>#ERROR!</v>
      </c>
      <c r="DS747" s="94" t="str">
        <f t="shared" si="3292"/>
        <v>#ERROR!</v>
      </c>
      <c r="DT747" s="92" t="str">
        <f>+[2]MPU!DY167+[2]MPU!DY156</f>
        <v>#ERROR!</v>
      </c>
      <c r="DU747" s="92" t="str">
        <f>+[2]MPU!#REF!+[2]MPU!DZ156</f>
        <v>#ERROR!</v>
      </c>
      <c r="DV747" s="92" t="str">
        <f>+[2]MPU!#REF!+[2]MPU!EA156</f>
        <v>#ERROR!</v>
      </c>
      <c r="DW747" s="92" t="str">
        <f>+[2]MPU!#REF!+[2]MPU!EB156</f>
        <v>#ERROR!</v>
      </c>
      <c r="DX747" s="94" t="str">
        <f t="shared" si="3293"/>
        <v>#ERROR!</v>
      </c>
      <c r="DY747" s="92" t="str">
        <f>+[2]MPU!ED167+[2]MPU!ED156</f>
        <v>#ERROR!</v>
      </c>
      <c r="DZ747" s="92" t="str">
        <f>+[2]MPU!#REF!+[2]MPU!EE156</f>
        <v>#ERROR!</v>
      </c>
      <c r="EA747" s="92" t="str">
        <f>+[2]MPU!#REF!+[2]MPU!EF156</f>
        <v>#ERROR!</v>
      </c>
      <c r="EB747" s="92" t="str">
        <f>+[2]MPU!#REF!+[2]MPU!EG156</f>
        <v>#ERROR!</v>
      </c>
      <c r="EC747" s="94" t="str">
        <f t="shared" si="3294"/>
        <v>#ERROR!</v>
      </c>
      <c r="ED747" s="92" t="str">
        <f>+[2]MPU!EI167+[2]MPU!EI156</f>
        <v>#ERROR!</v>
      </c>
      <c r="EE747" s="92" t="str">
        <f>+[2]MPU!#REF!+[2]MPU!EJ156</f>
        <v>#ERROR!</v>
      </c>
      <c r="EF747" s="92" t="str">
        <f>+[2]MPU!#REF!+[2]MPU!#REF!</f>
        <v>#ERROR!</v>
      </c>
      <c r="EG747" s="92" t="str">
        <f>+[2]MPU!#REF!+[2]MPU!#REF!</f>
        <v>#ERROR!</v>
      </c>
      <c r="EH747" s="94" t="str">
        <f t="shared" si="3295"/>
        <v>#ERROR!</v>
      </c>
      <c r="EI747" s="97" t="str">
        <f>+[2]MPU!#REF!+[2]MPU!#REF!</f>
        <v>#ERROR!</v>
      </c>
      <c r="EJ747" s="92" t="str">
        <f>+[2]MPU!#REF!+[2]MPU!#REF!</f>
        <v>#ERROR!</v>
      </c>
      <c r="EK747" s="92" t="str">
        <f>+[2]MPU!#REF!+[2]MPU!#REF!</f>
        <v>#ERROR!</v>
      </c>
      <c r="EL747" s="92" t="str">
        <f>+[2]MPU!#REF!+[2]MPU!#REF!</f>
        <v>#ERROR!</v>
      </c>
      <c r="EM747" s="94" t="str">
        <f t="shared" si="3296"/>
        <v>#ERROR!</v>
      </c>
      <c r="EN747" s="92" t="str">
        <f>+[2]MPU!#REF!+[2]MPU!#REF!</f>
        <v>#ERROR!</v>
      </c>
      <c r="EO747" s="92" t="str">
        <f>+[2]MPU!#REF!+[2]MPU!#REF!</f>
        <v>#ERROR!</v>
      </c>
      <c r="EP747" s="92" t="str">
        <f>+[2]MPU!#REF!+[2]MPU!#REF!</f>
        <v>#ERROR!</v>
      </c>
      <c r="EQ747" s="92" t="str">
        <f>+[2]MPU!#REF!+[2]MPU!#REF!</f>
        <v>#ERROR!</v>
      </c>
      <c r="ER747" s="94" t="str">
        <f t="shared" si="3297"/>
        <v>#ERROR!</v>
      </c>
      <c r="ES747" s="92" t="str">
        <f>+[2]MPU!#REF!+[2]MPU!#REF!</f>
        <v>#ERROR!</v>
      </c>
      <c r="ET747" s="92" t="str">
        <f>+[2]MPU!#REF!+[2]MPU!#REF!</f>
        <v>#ERROR!</v>
      </c>
      <c r="EU747" s="92" t="str">
        <f>+[2]MPU!#REF!+[2]MPU!#REF!</f>
        <v>#ERROR!</v>
      </c>
      <c r="EV747" s="92" t="str">
        <f>+[2]MPU!#REF!+[2]MPU!#REF!</f>
        <v>#ERROR!</v>
      </c>
      <c r="EW747" s="94" t="str">
        <f t="shared" si="3298"/>
        <v>#ERROR!</v>
      </c>
      <c r="EX747" s="92" t="str">
        <f>+[2]MPU!#REF!+[2]MPU!#REF!</f>
        <v>#ERROR!</v>
      </c>
      <c r="EY747" s="92" t="str">
        <f>+[2]MPU!#REF!+[2]MPU!#REF!</f>
        <v>#ERROR!</v>
      </c>
      <c r="EZ747" s="92" t="str">
        <f>+[2]MPU!#REF!+[2]MPU!#REF!</f>
        <v>#ERROR!</v>
      </c>
      <c r="FA747" s="92" t="str">
        <f>+[2]MPU!#REF!+[2]MPU!#REF!</f>
        <v>#ERROR!</v>
      </c>
      <c r="FB747" s="94" t="str">
        <f t="shared" si="3299"/>
        <v>#ERROR!</v>
      </c>
      <c r="FC747" s="92" t="str">
        <f>+[2]MPU!#REF!+[2]MPU!#REF!</f>
        <v>#ERROR!</v>
      </c>
      <c r="FD747" s="92" t="str">
        <f>+[2]MPU!#REF!+[2]MPU!#REF!</f>
        <v>#ERROR!</v>
      </c>
      <c r="FE747" s="92" t="str">
        <f>+[2]MPU!#REF!+[2]MPU!#REF!</f>
        <v>#ERROR!</v>
      </c>
      <c r="FF747" s="92" t="str">
        <f>+[2]MPU!#REF!+[2]MPU!#REF!</f>
        <v>#ERROR!</v>
      </c>
      <c r="FG747" s="94" t="str">
        <f t="shared" si="3300"/>
        <v>#ERROR!</v>
      </c>
      <c r="FH747" s="98"/>
      <c r="FI747" s="92"/>
      <c r="FJ747" s="92"/>
      <c r="FK747" s="93"/>
      <c r="FL747" s="92"/>
    </row>
    <row r="748" ht="12.75" hidden="1" customHeight="1" outlineLevel="2">
      <c r="A748" s="4"/>
      <c r="B748" s="215" t="s">
        <v>277</v>
      </c>
      <c r="C748" s="45"/>
      <c r="D748" s="17"/>
      <c r="E748" s="17"/>
      <c r="F748" s="17"/>
      <c r="G748" s="17"/>
      <c r="H748" s="73"/>
      <c r="I748" s="17"/>
      <c r="J748" s="17"/>
      <c r="K748" s="17"/>
      <c r="L748" s="17"/>
      <c r="M748" s="73"/>
      <c r="N748" s="17"/>
      <c r="O748" s="17"/>
      <c r="P748" s="17"/>
      <c r="Q748" s="17"/>
      <c r="R748" s="73"/>
      <c r="S748" s="17"/>
      <c r="T748" s="17"/>
      <c r="U748" s="17"/>
      <c r="V748" s="17"/>
      <c r="W748" s="73"/>
      <c r="X748" s="17"/>
      <c r="Y748" s="17"/>
      <c r="Z748" s="17"/>
      <c r="AA748" s="17"/>
      <c r="AB748" s="73"/>
      <c r="AC748" s="17"/>
      <c r="AD748" s="17"/>
      <c r="AE748" s="17"/>
      <c r="AF748" s="17"/>
      <c r="AG748" s="73"/>
      <c r="AH748" s="17"/>
      <c r="AI748" s="17"/>
      <c r="AJ748" s="17"/>
      <c r="AK748" s="17"/>
      <c r="AL748" s="73"/>
      <c r="AM748" s="17"/>
      <c r="AN748" s="17"/>
      <c r="AO748" s="17"/>
      <c r="AP748" s="17"/>
      <c r="AQ748" s="73">
        <v>17991.0</v>
      </c>
      <c r="AR748" s="17">
        <v>4971.0</v>
      </c>
      <c r="AS748" s="17">
        <v>4679.0</v>
      </c>
      <c r="AT748" s="17">
        <v>4520.0</v>
      </c>
      <c r="AU748" s="17">
        <v>5256.0</v>
      </c>
      <c r="AV748" s="73">
        <f t="shared" si="3277"/>
        <v>19426</v>
      </c>
      <c r="AW748" s="17">
        <v>4944.0</v>
      </c>
      <c r="AX748" s="17">
        <v>4603.0</v>
      </c>
      <c r="AY748" s="17">
        <v>4936.0</v>
      </c>
      <c r="AZ748" s="17">
        <v>4929.0</v>
      </c>
      <c r="BA748" s="73">
        <f t="shared" si="3278"/>
        <v>19412</v>
      </c>
      <c r="BB748" s="17">
        <v>3892.0</v>
      </c>
      <c r="BC748" s="17">
        <v>3338.0</v>
      </c>
      <c r="BD748" s="17">
        <v>3521.0</v>
      </c>
      <c r="BE748" s="17">
        <v>3855.0</v>
      </c>
      <c r="BF748" s="73">
        <f t="shared" si="3279"/>
        <v>14606</v>
      </c>
      <c r="BG748" s="17">
        <v>3561.0</v>
      </c>
      <c r="BH748" s="17">
        <v>3465.0</v>
      </c>
      <c r="BI748" s="17">
        <v>3880.0</v>
      </c>
      <c r="BJ748" s="17">
        <v>4328.0</v>
      </c>
      <c r="BK748" s="73">
        <f t="shared" si="3280"/>
        <v>15234</v>
      </c>
      <c r="BL748" s="17">
        <v>4236.0</v>
      </c>
      <c r="BM748" s="17">
        <v>4108.0</v>
      </c>
      <c r="BN748" s="17">
        <v>4069.0</v>
      </c>
      <c r="BO748" s="17">
        <v>3665.0</v>
      </c>
      <c r="BP748" s="73">
        <f t="shared" si="3281"/>
        <v>16078</v>
      </c>
      <c r="BQ748" s="17">
        <v>3258.0</v>
      </c>
      <c r="BR748" s="17">
        <v>3418.0</v>
      </c>
      <c r="BS748" s="17">
        <v>3873.0</v>
      </c>
      <c r="BT748" s="17" t="str">
        <f>BT746+BT747</f>
        <v>#ERROR!</v>
      </c>
      <c r="BU748" s="73" t="str">
        <f t="shared" si="3282"/>
        <v>#ERROR!</v>
      </c>
      <c r="BV748" s="17" t="str">
        <f t="shared" ref="BV748:BY748" si="3301">BV746+BV747</f>
        <v>#ERROR!</v>
      </c>
      <c r="BW748" s="17" t="str">
        <f t="shared" si="3301"/>
        <v>#ERROR!</v>
      </c>
      <c r="BX748" s="17" t="str">
        <f t="shared" si="3301"/>
        <v>#ERROR!</v>
      </c>
      <c r="BY748" s="17" t="str">
        <f t="shared" si="3301"/>
        <v>#ERROR!</v>
      </c>
      <c r="BZ748" s="18" t="str">
        <f t="shared" si="3283"/>
        <v>#ERROR!</v>
      </c>
      <c r="CA748" s="17" t="str">
        <f t="shared" ref="CA748:CD748" si="3302">CA746+CA747</f>
        <v>#ERROR!</v>
      </c>
      <c r="CB748" s="17" t="str">
        <f t="shared" si="3302"/>
        <v>#ERROR!</v>
      </c>
      <c r="CC748" s="17" t="str">
        <f t="shared" si="3302"/>
        <v>#ERROR!</v>
      </c>
      <c r="CD748" s="17" t="str">
        <f t="shared" si="3302"/>
        <v>#ERROR!</v>
      </c>
      <c r="CE748" s="18" t="str">
        <f t="shared" si="3284"/>
        <v>#ERROR!</v>
      </c>
      <c r="CF748" s="17" t="str">
        <f t="shared" ref="CF748:CI748" si="3303">CF746+CF747</f>
        <v>#ERROR!</v>
      </c>
      <c r="CG748" s="17" t="str">
        <f t="shared" si="3303"/>
        <v>#ERROR!</v>
      </c>
      <c r="CH748" s="17" t="str">
        <f t="shared" si="3303"/>
        <v>#ERROR!</v>
      </c>
      <c r="CI748" s="17" t="str">
        <f t="shared" si="3303"/>
        <v>#ERROR!</v>
      </c>
      <c r="CJ748" s="18" t="str">
        <f t="shared" si="3285"/>
        <v>#ERROR!</v>
      </c>
      <c r="CK748" s="17" t="str">
        <f t="shared" ref="CK748:CN748" si="3304">CK746+CK747</f>
        <v>#ERROR!</v>
      </c>
      <c r="CL748" s="17" t="str">
        <f t="shared" si="3304"/>
        <v>#ERROR!</v>
      </c>
      <c r="CM748" s="17" t="str">
        <f t="shared" si="3304"/>
        <v>#ERROR!</v>
      </c>
      <c r="CN748" s="19" t="str">
        <f t="shared" si="3304"/>
        <v>#ERROR!</v>
      </c>
      <c r="CO748" s="18" t="str">
        <f t="shared" si="3286"/>
        <v>#ERROR!</v>
      </c>
      <c r="CP748" s="19" t="str">
        <f t="shared" ref="CP748:CS748" si="3305">CP746+CP747</f>
        <v>#ERROR!</v>
      </c>
      <c r="CQ748" s="17" t="str">
        <f t="shared" si="3305"/>
        <v>#ERROR!</v>
      </c>
      <c r="CR748" s="17" t="str">
        <f t="shared" si="3305"/>
        <v>#ERROR!</v>
      </c>
      <c r="CS748" s="17" t="str">
        <f t="shared" si="3305"/>
        <v>#ERROR!</v>
      </c>
      <c r="CT748" s="18" t="str">
        <f t="shared" si="3287"/>
        <v>#ERROR!</v>
      </c>
      <c r="CU748" s="17" t="str">
        <f t="shared" ref="CU748:CX748" si="3306">CU746+CU747</f>
        <v>#ERROR!</v>
      </c>
      <c r="CV748" s="17" t="str">
        <f t="shared" si="3306"/>
        <v>#ERROR!</v>
      </c>
      <c r="CW748" s="17" t="str">
        <f t="shared" si="3306"/>
        <v>#ERROR!</v>
      </c>
      <c r="CX748" s="17" t="str">
        <f t="shared" si="3306"/>
        <v>#ERROR!</v>
      </c>
      <c r="CY748" s="18" t="str">
        <f t="shared" si="3288"/>
        <v>#ERROR!</v>
      </c>
      <c r="CZ748" s="17" t="str">
        <f t="shared" ref="CZ748:DC748" si="3307">CZ746+CZ747</f>
        <v>#ERROR!</v>
      </c>
      <c r="DA748" s="17" t="str">
        <f t="shared" si="3307"/>
        <v>#ERROR!</v>
      </c>
      <c r="DB748" s="17" t="str">
        <f t="shared" si="3307"/>
        <v>#ERROR!</v>
      </c>
      <c r="DC748" s="17" t="str">
        <f t="shared" si="3307"/>
        <v>#ERROR!</v>
      </c>
      <c r="DD748" s="18" t="str">
        <f t="shared" si="3289"/>
        <v>#ERROR!</v>
      </c>
      <c r="DE748" s="17" t="str">
        <f t="shared" ref="DE748:DH748" si="3308">DE746+DE747</f>
        <v>#ERROR!</v>
      </c>
      <c r="DF748" s="17" t="str">
        <f t="shared" si="3308"/>
        <v>#ERROR!</v>
      </c>
      <c r="DG748" s="19" t="str">
        <f t="shared" si="3308"/>
        <v>#ERROR!</v>
      </c>
      <c r="DH748" s="17" t="str">
        <f t="shared" si="3308"/>
        <v>#ERROR!</v>
      </c>
      <c r="DI748" s="18" t="str">
        <f t="shared" si="3290"/>
        <v>#ERROR!</v>
      </c>
      <c r="DJ748" s="19" t="str">
        <f t="shared" ref="DJ748:DM748" si="3309">DJ746+DJ747</f>
        <v>#ERROR!</v>
      </c>
      <c r="DK748" s="19" t="str">
        <f t="shared" si="3309"/>
        <v>#ERROR!</v>
      </c>
      <c r="DL748" s="19" t="str">
        <f t="shared" si="3309"/>
        <v>#ERROR!</v>
      </c>
      <c r="DM748" s="17" t="str">
        <f t="shared" si="3309"/>
        <v>#ERROR!</v>
      </c>
      <c r="DN748" s="18" t="str">
        <f t="shared" si="3291"/>
        <v>#ERROR!</v>
      </c>
      <c r="DO748" s="17" t="str">
        <f t="shared" ref="DO748:DR748" si="3310">DO746+DO747</f>
        <v>#ERROR!</v>
      </c>
      <c r="DP748" s="17" t="str">
        <f t="shared" si="3310"/>
        <v>#ERROR!</v>
      </c>
      <c r="DQ748" s="17" t="str">
        <f t="shared" si="3310"/>
        <v>#ERROR!</v>
      </c>
      <c r="DR748" s="17" t="str">
        <f t="shared" si="3310"/>
        <v>#ERROR!</v>
      </c>
      <c r="DS748" s="18" t="str">
        <f t="shared" si="3292"/>
        <v>#ERROR!</v>
      </c>
      <c r="DT748" s="17" t="str">
        <f t="shared" ref="DT748:DW748" si="3311">DT746+DT747</f>
        <v>#ERROR!</v>
      </c>
      <c r="DU748" s="17" t="str">
        <f t="shared" si="3311"/>
        <v>#ERROR!</v>
      </c>
      <c r="DV748" s="17" t="str">
        <f t="shared" si="3311"/>
        <v>#ERROR!</v>
      </c>
      <c r="DW748" s="17" t="str">
        <f t="shared" si="3311"/>
        <v>#ERROR!</v>
      </c>
      <c r="DX748" s="18" t="str">
        <f t="shared" si="3293"/>
        <v>#ERROR!</v>
      </c>
      <c r="DY748" s="17" t="str">
        <f t="shared" ref="DY748:EB748" si="3312">DY746+DY747</f>
        <v>#ERROR!</v>
      </c>
      <c r="DZ748" s="17" t="str">
        <f t="shared" si="3312"/>
        <v>#ERROR!</v>
      </c>
      <c r="EA748" s="17" t="str">
        <f t="shared" si="3312"/>
        <v>#ERROR!</v>
      </c>
      <c r="EB748" s="17" t="str">
        <f t="shared" si="3312"/>
        <v>#ERROR!</v>
      </c>
      <c r="EC748" s="18" t="str">
        <f t="shared" si="3294"/>
        <v>#ERROR!</v>
      </c>
      <c r="ED748" s="17" t="str">
        <f t="shared" ref="ED748:EG748" si="3313">ED746+ED747</f>
        <v>#ERROR!</v>
      </c>
      <c r="EE748" s="17" t="str">
        <f t="shared" si="3313"/>
        <v>#ERROR!</v>
      </c>
      <c r="EF748" s="17" t="str">
        <f t="shared" si="3313"/>
        <v>#ERROR!</v>
      </c>
      <c r="EG748" s="17" t="str">
        <f t="shared" si="3313"/>
        <v>#ERROR!</v>
      </c>
      <c r="EH748" s="18" t="str">
        <f t="shared" si="3295"/>
        <v>#ERROR!</v>
      </c>
      <c r="EI748" s="25" t="str">
        <f t="shared" ref="EI748:EL748" si="3314">EI746+EI747</f>
        <v>#ERROR!</v>
      </c>
      <c r="EJ748" s="17" t="str">
        <f t="shared" si="3314"/>
        <v>#ERROR!</v>
      </c>
      <c r="EK748" s="17" t="str">
        <f t="shared" si="3314"/>
        <v>#ERROR!</v>
      </c>
      <c r="EL748" s="17" t="str">
        <f t="shared" si="3314"/>
        <v>#ERROR!</v>
      </c>
      <c r="EM748" s="18" t="str">
        <f t="shared" si="3296"/>
        <v>#ERROR!</v>
      </c>
      <c r="EN748" s="17" t="str">
        <f t="shared" ref="EN748:EQ748" si="3315">EN746+EN747</f>
        <v>#ERROR!</v>
      </c>
      <c r="EO748" s="17" t="str">
        <f t="shared" si="3315"/>
        <v>#ERROR!</v>
      </c>
      <c r="EP748" s="17" t="str">
        <f t="shared" si="3315"/>
        <v>#ERROR!</v>
      </c>
      <c r="EQ748" s="17" t="str">
        <f t="shared" si="3315"/>
        <v>#ERROR!</v>
      </c>
      <c r="ER748" s="18" t="str">
        <f t="shared" si="3297"/>
        <v>#ERROR!</v>
      </c>
      <c r="ES748" s="17" t="str">
        <f t="shared" ref="ES748:EV748" si="3316">ES746+ES747</f>
        <v>#ERROR!</v>
      </c>
      <c r="ET748" s="17" t="str">
        <f t="shared" si="3316"/>
        <v>#ERROR!</v>
      </c>
      <c r="EU748" s="17" t="str">
        <f t="shared" si="3316"/>
        <v>#ERROR!</v>
      </c>
      <c r="EV748" s="17" t="str">
        <f t="shared" si="3316"/>
        <v>#ERROR!</v>
      </c>
      <c r="EW748" s="18" t="str">
        <f t="shared" si="3298"/>
        <v>#ERROR!</v>
      </c>
      <c r="EX748" s="17" t="str">
        <f t="shared" ref="EX748:FA748" si="3317">EX746+EX747</f>
        <v>#ERROR!</v>
      </c>
      <c r="EY748" s="17" t="str">
        <f t="shared" si="3317"/>
        <v>#ERROR!</v>
      </c>
      <c r="EZ748" s="17" t="str">
        <f t="shared" si="3317"/>
        <v>#ERROR!</v>
      </c>
      <c r="FA748" s="17" t="str">
        <f t="shared" si="3317"/>
        <v>#ERROR!</v>
      </c>
      <c r="FB748" s="18" t="str">
        <f t="shared" si="3299"/>
        <v>#ERROR!</v>
      </c>
      <c r="FC748" s="17" t="str">
        <f t="shared" ref="FC748:FF748" si="3318">FC746+FC747</f>
        <v>#ERROR!</v>
      </c>
      <c r="FD748" s="17" t="str">
        <f t="shared" si="3318"/>
        <v>#ERROR!</v>
      </c>
      <c r="FE748" s="17" t="str">
        <f t="shared" si="3318"/>
        <v>#ERROR!</v>
      </c>
      <c r="FF748" s="17" t="str">
        <f t="shared" si="3318"/>
        <v>#ERROR!</v>
      </c>
      <c r="FG748" s="18" t="str">
        <f t="shared" si="3300"/>
        <v>#ERROR!</v>
      </c>
      <c r="FH748" s="74"/>
      <c r="FI748" s="17"/>
      <c r="FJ748" s="17"/>
      <c r="FK748" s="73"/>
      <c r="FL748" s="17"/>
    </row>
    <row r="749" ht="12.75" hidden="1" customHeight="1" outlineLevel="2">
      <c r="A749" s="263"/>
      <c r="B749" s="72" t="s">
        <v>276</v>
      </c>
      <c r="C749" s="45"/>
      <c r="D749" s="17"/>
      <c r="E749" s="17"/>
      <c r="F749" s="17"/>
      <c r="G749" s="17"/>
      <c r="H749" s="73"/>
      <c r="I749" s="17"/>
      <c r="J749" s="17"/>
      <c r="K749" s="17"/>
      <c r="L749" s="17"/>
      <c r="M749" s="73"/>
      <c r="N749" s="17"/>
      <c r="O749" s="17"/>
      <c r="P749" s="17"/>
      <c r="Q749" s="17"/>
      <c r="R749" s="73"/>
      <c r="S749" s="17"/>
      <c r="T749" s="17"/>
      <c r="U749" s="17"/>
      <c r="V749" s="17"/>
      <c r="W749" s="73"/>
      <c r="X749" s="17"/>
      <c r="Y749" s="17"/>
      <c r="Z749" s="17"/>
      <c r="AA749" s="17"/>
      <c r="AB749" s="73"/>
      <c r="AC749" s="17"/>
      <c r="AD749" s="17"/>
      <c r="AE749" s="17"/>
      <c r="AF749" s="17"/>
      <c r="AG749" s="73"/>
      <c r="AH749" s="17"/>
      <c r="AI749" s="17"/>
      <c r="AJ749" s="17"/>
      <c r="AK749" s="17"/>
      <c r="AL749" s="73"/>
      <c r="AM749" s="17"/>
      <c r="AN749" s="17"/>
      <c r="AO749" s="17"/>
      <c r="AP749" s="17"/>
      <c r="AQ749" s="73"/>
      <c r="AR749" s="17">
        <v>1260.0</v>
      </c>
      <c r="AS749" s="17">
        <v>1229.0</v>
      </c>
      <c r="AT749" s="17">
        <v>1346.0</v>
      </c>
      <c r="AU749" s="17">
        <v>1517.0</v>
      </c>
      <c r="AV749" s="73">
        <f t="shared" si="3277"/>
        <v>5352</v>
      </c>
      <c r="AW749" s="17">
        <v>1417.0</v>
      </c>
      <c r="AX749" s="17">
        <v>1398.0</v>
      </c>
      <c r="AY749" s="17">
        <v>1434.0</v>
      </c>
      <c r="AZ749" s="17">
        <v>1476.0</v>
      </c>
      <c r="BA749" s="73">
        <f t="shared" si="3278"/>
        <v>5725</v>
      </c>
      <c r="BB749" s="17">
        <v>1255.0</v>
      </c>
      <c r="BC749" s="17">
        <v>1283.0</v>
      </c>
      <c r="BD749" s="17">
        <v>1425.0</v>
      </c>
      <c r="BE749" s="17">
        <v>1307.0</v>
      </c>
      <c r="BF749" s="73">
        <f t="shared" si="3279"/>
        <v>5270</v>
      </c>
      <c r="BG749" s="17">
        <v>1193.0</v>
      </c>
      <c r="BH749" s="17">
        <v>1178.0</v>
      </c>
      <c r="BI749" s="17">
        <v>1324.0</v>
      </c>
      <c r="BJ749" s="17">
        <v>1411.0</v>
      </c>
      <c r="BK749" s="73">
        <f t="shared" si="3280"/>
        <v>5106</v>
      </c>
      <c r="BL749" s="17">
        <v>1205.0</v>
      </c>
      <c r="BM749" s="17">
        <v>1265.0</v>
      </c>
      <c r="BN749" s="17">
        <v>1249.0</v>
      </c>
      <c r="BO749" s="17">
        <v>835.0</v>
      </c>
      <c r="BP749" s="73">
        <f t="shared" si="3281"/>
        <v>4554</v>
      </c>
      <c r="BQ749" s="17">
        <v>751.0</v>
      </c>
      <c r="BR749" s="17">
        <v>886.0</v>
      </c>
      <c r="BS749" s="17">
        <v>1040.0</v>
      </c>
      <c r="BT749" s="17">
        <v>216.91290178583557</v>
      </c>
      <c r="BU749" s="73">
        <f t="shared" si="3282"/>
        <v>2893.912902</v>
      </c>
      <c r="BV749" s="17">
        <v>197.07671420735463</v>
      </c>
      <c r="BW749" s="17">
        <v>227.5719139921461</v>
      </c>
      <c r="BX749" s="17">
        <v>235.68949978398223</v>
      </c>
      <c r="BY749" s="17">
        <v>273.88300061194445</v>
      </c>
      <c r="BZ749" s="18">
        <f t="shared" si="3283"/>
        <v>934.2211286</v>
      </c>
      <c r="CA749" s="17">
        <v>219.423157953032</v>
      </c>
      <c r="CB749" s="17">
        <v>223.57621864819106</v>
      </c>
      <c r="CC749" s="17">
        <v>229.11741163965442</v>
      </c>
      <c r="CD749" s="17">
        <v>245.90878111141546</v>
      </c>
      <c r="CE749" s="18">
        <f t="shared" si="3284"/>
        <v>918.0255694</v>
      </c>
      <c r="CF749" s="17">
        <v>220.85796121119907</v>
      </c>
      <c r="CG749" s="17">
        <v>252.23399327573728</v>
      </c>
      <c r="CH749" s="17">
        <v>247.5972142955046</v>
      </c>
      <c r="CI749" s="17">
        <v>259.6041093457052</v>
      </c>
      <c r="CJ749" s="18">
        <f t="shared" si="3285"/>
        <v>980.2932781</v>
      </c>
      <c r="CK749" s="17">
        <v>247.397863939964</v>
      </c>
      <c r="CL749" s="17">
        <v>255.86566955877802</v>
      </c>
      <c r="CM749" s="17">
        <v>275.4949707016197</v>
      </c>
      <c r="CN749" s="19">
        <v>284.33972545565007</v>
      </c>
      <c r="CO749" s="18">
        <f t="shared" si="3286"/>
        <v>1063.09823</v>
      </c>
      <c r="CP749" s="19">
        <v>267.6229890640987</v>
      </c>
      <c r="CQ749" s="17">
        <v>313.3985762755749</v>
      </c>
      <c r="CR749" s="17">
        <v>345.52162519541696</v>
      </c>
      <c r="CS749" s="17">
        <v>381.5889486091918</v>
      </c>
      <c r="CT749" s="18">
        <f t="shared" si="3287"/>
        <v>1308.132139</v>
      </c>
      <c r="CU749" s="17">
        <v>349.874480728333</v>
      </c>
      <c r="CV749" s="17">
        <v>366.63854583416037</v>
      </c>
      <c r="CW749" s="17">
        <v>428.4191897916136</v>
      </c>
      <c r="CX749" s="17">
        <v>409.4555511955836</v>
      </c>
      <c r="CY749" s="18">
        <f t="shared" si="3288"/>
        <v>1554.387768</v>
      </c>
      <c r="CZ749" s="17">
        <v>373.82084811125213</v>
      </c>
      <c r="DA749" s="17">
        <v>395.4056224139915</v>
      </c>
      <c r="DB749" s="17">
        <v>429.1056689682348</v>
      </c>
      <c r="DC749" s="17">
        <v>448.83932927349707</v>
      </c>
      <c r="DD749" s="18">
        <f t="shared" si="3289"/>
        <v>1647.171469</v>
      </c>
      <c r="DE749" s="17">
        <v>413.4836363401203</v>
      </c>
      <c r="DF749" s="17">
        <v>424.7457453568161</v>
      </c>
      <c r="DG749" s="19">
        <v>465.81345172488733</v>
      </c>
      <c r="DH749" s="17">
        <v>464.747256705968</v>
      </c>
      <c r="DI749" s="18">
        <f t="shared" si="3290"/>
        <v>1768.79009</v>
      </c>
      <c r="DJ749" s="19">
        <v>448.37554812752853</v>
      </c>
      <c r="DK749" s="19">
        <v>488.28234209868197</v>
      </c>
      <c r="DL749" s="19">
        <v>541.644201762595</v>
      </c>
      <c r="DM749" s="17">
        <v>539.6327592681037</v>
      </c>
      <c r="DN749" s="18">
        <f t="shared" si="3291"/>
        <v>2017.934851</v>
      </c>
      <c r="DO749" s="17">
        <v>509.74665859427273</v>
      </c>
      <c r="DP749" s="17">
        <v>546.0735107269415</v>
      </c>
      <c r="DQ749" s="17">
        <v>591.6743923732665</v>
      </c>
      <c r="DR749" s="17">
        <v>615.4916520753941</v>
      </c>
      <c r="DS749" s="18">
        <f t="shared" si="3292"/>
        <v>2262.986214</v>
      </c>
      <c r="DT749" s="17">
        <v>581.3190094387611</v>
      </c>
      <c r="DU749" s="17">
        <v>622.983813295646</v>
      </c>
      <c r="DV749" s="17">
        <v>675.2372293104144</v>
      </c>
      <c r="DW749" s="17">
        <v>702.4614679304727</v>
      </c>
      <c r="DX749" s="18">
        <f t="shared" si="3293"/>
        <v>2582.00152</v>
      </c>
      <c r="DY749" s="17">
        <v>663.5231181085738</v>
      </c>
      <c r="DZ749" s="17">
        <v>711.3109018221364</v>
      </c>
      <c r="EA749" s="17">
        <v>771.2064729986449</v>
      </c>
      <c r="EB749" s="17">
        <v>802.3473230540021</v>
      </c>
      <c r="EC749" s="18">
        <f t="shared" si="3294"/>
        <v>2948.387816</v>
      </c>
      <c r="ED749" s="17">
        <v>0.0</v>
      </c>
      <c r="EE749" s="17">
        <v>0.0</v>
      </c>
      <c r="EF749" s="17">
        <v>0.0</v>
      </c>
      <c r="EG749" s="17">
        <v>0.0</v>
      </c>
      <c r="EH749" s="18">
        <f t="shared" si="3295"/>
        <v>0</v>
      </c>
      <c r="EI749" s="25">
        <v>0.0</v>
      </c>
      <c r="EJ749" s="17">
        <v>0.0</v>
      </c>
      <c r="EK749" s="17">
        <v>0.0</v>
      </c>
      <c r="EL749" s="17">
        <v>0.0</v>
      </c>
      <c r="EM749" s="18">
        <f t="shared" si="3296"/>
        <v>0</v>
      </c>
      <c r="EN749" s="17">
        <v>0.0</v>
      </c>
      <c r="EO749" s="17">
        <v>0.0</v>
      </c>
      <c r="EP749" s="17">
        <v>0.0</v>
      </c>
      <c r="EQ749" s="17">
        <v>0.0</v>
      </c>
      <c r="ER749" s="18">
        <f t="shared" si="3297"/>
        <v>0</v>
      </c>
      <c r="ES749" s="17">
        <v>0.0</v>
      </c>
      <c r="ET749" s="17">
        <v>0.0</v>
      </c>
      <c r="EU749" s="17">
        <v>0.0</v>
      </c>
      <c r="EV749" s="17">
        <v>0.0</v>
      </c>
      <c r="EW749" s="18">
        <f t="shared" si="3298"/>
        <v>0</v>
      </c>
      <c r="EX749" s="17">
        <v>0.0</v>
      </c>
      <c r="EY749" s="17">
        <v>0.0</v>
      </c>
      <c r="EZ749" s="17">
        <v>0.0</v>
      </c>
      <c r="FA749" s="17">
        <v>0.0</v>
      </c>
      <c r="FB749" s="18">
        <f t="shared" si="3299"/>
        <v>0</v>
      </c>
      <c r="FC749" s="17">
        <v>0.0</v>
      </c>
      <c r="FD749" s="17">
        <v>0.0</v>
      </c>
      <c r="FE749" s="17">
        <v>0.0</v>
      </c>
      <c r="FF749" s="17">
        <v>0.0</v>
      </c>
      <c r="FG749" s="18">
        <f t="shared" si="3300"/>
        <v>0</v>
      </c>
      <c r="FH749" s="74"/>
      <c r="FI749" s="17"/>
      <c r="FJ749" s="17"/>
      <c r="FK749" s="73"/>
      <c r="FL749" s="17"/>
    </row>
    <row r="750" ht="12.75" hidden="1" customHeight="1" outlineLevel="2">
      <c r="A750" s="45"/>
      <c r="B750" s="215" t="s">
        <v>311</v>
      </c>
      <c r="C750" s="45"/>
      <c r="D750" s="112"/>
      <c r="E750" s="112"/>
      <c r="F750" s="112"/>
      <c r="G750" s="112"/>
      <c r="H750" s="73"/>
      <c r="I750" s="112"/>
      <c r="J750" s="112"/>
      <c r="K750" s="112"/>
      <c r="L750" s="112"/>
      <c r="M750" s="73"/>
      <c r="N750" s="112"/>
      <c r="O750" s="112"/>
      <c r="P750" s="112"/>
      <c r="Q750" s="112"/>
      <c r="R750" s="73"/>
      <c r="S750" s="112"/>
      <c r="T750" s="112"/>
      <c r="U750" s="112"/>
      <c r="V750" s="112"/>
      <c r="W750" s="73"/>
      <c r="X750" s="112"/>
      <c r="Y750" s="112"/>
      <c r="Z750" s="112"/>
      <c r="AA750" s="112"/>
      <c r="AB750" s="73"/>
      <c r="AC750" s="112"/>
      <c r="AD750" s="112"/>
      <c r="AE750" s="112"/>
      <c r="AF750" s="112"/>
      <c r="AG750" s="73"/>
      <c r="AH750" s="112"/>
      <c r="AI750" s="112"/>
      <c r="AJ750" s="112"/>
      <c r="AK750" s="112"/>
      <c r="AL750" s="73"/>
      <c r="AM750" s="112"/>
      <c r="AN750" s="112"/>
      <c r="AO750" s="112"/>
      <c r="AP750" s="112"/>
      <c r="AQ750" s="73">
        <v>5068.0</v>
      </c>
      <c r="AR750" s="112">
        <f t="shared" ref="AR750:AU750" si="3319">SUM(AR748:AR749)</f>
        <v>6231</v>
      </c>
      <c r="AS750" s="112">
        <f t="shared" si="3319"/>
        <v>5908</v>
      </c>
      <c r="AT750" s="112">
        <f t="shared" si="3319"/>
        <v>5866</v>
      </c>
      <c r="AU750" s="112">
        <f t="shared" si="3319"/>
        <v>6773</v>
      </c>
      <c r="AV750" s="73">
        <f t="shared" si="3277"/>
        <v>24778</v>
      </c>
      <c r="AW750" s="112">
        <f t="shared" ref="AW750:AZ750" si="3320">SUM(AW748:AW749)</f>
        <v>6361</v>
      </c>
      <c r="AX750" s="112">
        <f t="shared" si="3320"/>
        <v>6001</v>
      </c>
      <c r="AY750" s="112">
        <f t="shared" si="3320"/>
        <v>6370</v>
      </c>
      <c r="AZ750" s="112">
        <f t="shared" si="3320"/>
        <v>6405</v>
      </c>
      <c r="BA750" s="73">
        <f t="shared" si="3278"/>
        <v>25137</v>
      </c>
      <c r="BB750" s="112">
        <f t="shared" ref="BB750:BE750" si="3321">SUM(BB748:BB749)</f>
        <v>5147</v>
      </c>
      <c r="BC750" s="112">
        <f t="shared" si="3321"/>
        <v>4621</v>
      </c>
      <c r="BD750" s="112">
        <f t="shared" si="3321"/>
        <v>4946</v>
      </c>
      <c r="BE750" s="112">
        <f t="shared" si="3321"/>
        <v>5162</v>
      </c>
      <c r="BF750" s="73">
        <f t="shared" si="3279"/>
        <v>19876</v>
      </c>
      <c r="BG750" s="112">
        <f t="shared" ref="BG750:BJ750" si="3322">SUM(BG748:BG749)</f>
        <v>4754</v>
      </c>
      <c r="BH750" s="112">
        <f t="shared" si="3322"/>
        <v>4643</v>
      </c>
      <c r="BI750" s="112">
        <f t="shared" si="3322"/>
        <v>5204</v>
      </c>
      <c r="BJ750" s="112">
        <f t="shared" si="3322"/>
        <v>5739</v>
      </c>
      <c r="BK750" s="73">
        <f t="shared" si="3280"/>
        <v>20340</v>
      </c>
      <c r="BL750" s="112">
        <f t="shared" ref="BL750:BO750" si="3323">SUM(BL748:BL749)</f>
        <v>5441</v>
      </c>
      <c r="BM750" s="112">
        <f t="shared" si="3323"/>
        <v>5373</v>
      </c>
      <c r="BN750" s="112">
        <f t="shared" si="3323"/>
        <v>5318</v>
      </c>
      <c r="BO750" s="112">
        <f t="shared" si="3323"/>
        <v>4500</v>
      </c>
      <c r="BP750" s="73">
        <f t="shared" si="3281"/>
        <v>20632</v>
      </c>
      <c r="BQ750" s="112">
        <f t="shared" ref="BQ750:BT750" si="3324">SUM(BQ748:BQ749)</f>
        <v>4009</v>
      </c>
      <c r="BR750" s="112">
        <f t="shared" si="3324"/>
        <v>4304</v>
      </c>
      <c r="BS750" s="112">
        <f t="shared" si="3324"/>
        <v>4913</v>
      </c>
      <c r="BT750" s="112" t="str">
        <f t="shared" si="3324"/>
        <v>#ERROR!</v>
      </c>
      <c r="BU750" s="73" t="str">
        <f t="shared" si="3282"/>
        <v>#ERROR!</v>
      </c>
      <c r="BV750" s="112" t="str">
        <f t="shared" ref="BV750:BY750" si="3325">SUM(BV748:BV749)</f>
        <v>#ERROR!</v>
      </c>
      <c r="BW750" s="112" t="str">
        <f t="shared" si="3325"/>
        <v>#ERROR!</v>
      </c>
      <c r="BX750" s="112" t="str">
        <f t="shared" si="3325"/>
        <v>#ERROR!</v>
      </c>
      <c r="BY750" s="112" t="str">
        <f t="shared" si="3325"/>
        <v>#ERROR!</v>
      </c>
      <c r="BZ750" s="18" t="str">
        <f t="shared" si="3283"/>
        <v>#ERROR!</v>
      </c>
      <c r="CA750" s="112" t="str">
        <f t="shared" ref="CA750:CD750" si="3326">SUM(CA748:CA749)</f>
        <v>#ERROR!</v>
      </c>
      <c r="CB750" s="112" t="str">
        <f t="shared" si="3326"/>
        <v>#ERROR!</v>
      </c>
      <c r="CC750" s="112" t="str">
        <f t="shared" si="3326"/>
        <v>#ERROR!</v>
      </c>
      <c r="CD750" s="112" t="str">
        <f t="shared" si="3326"/>
        <v>#ERROR!</v>
      </c>
      <c r="CE750" s="18" t="str">
        <f t="shared" si="3284"/>
        <v>#ERROR!</v>
      </c>
      <c r="CF750" s="112" t="str">
        <f t="shared" ref="CF750:CI750" si="3327">SUM(CF748:CF749)</f>
        <v>#ERROR!</v>
      </c>
      <c r="CG750" s="112" t="str">
        <f t="shared" si="3327"/>
        <v>#ERROR!</v>
      </c>
      <c r="CH750" s="112" t="str">
        <f t="shared" si="3327"/>
        <v>#ERROR!</v>
      </c>
      <c r="CI750" s="112" t="str">
        <f t="shared" si="3327"/>
        <v>#ERROR!</v>
      </c>
      <c r="CJ750" s="18" t="str">
        <f t="shared" si="3285"/>
        <v>#ERROR!</v>
      </c>
      <c r="CK750" s="112" t="str">
        <f t="shared" ref="CK750:CN750" si="3328">SUM(CK748:CK749)</f>
        <v>#ERROR!</v>
      </c>
      <c r="CL750" s="112" t="str">
        <f t="shared" si="3328"/>
        <v>#ERROR!</v>
      </c>
      <c r="CM750" s="112" t="str">
        <f t="shared" si="3328"/>
        <v>#ERROR!</v>
      </c>
      <c r="CN750" s="146" t="str">
        <f t="shared" si="3328"/>
        <v>#ERROR!</v>
      </c>
      <c r="CO750" s="18" t="str">
        <f t="shared" si="3286"/>
        <v>#ERROR!</v>
      </c>
      <c r="CP750" s="146" t="str">
        <f t="shared" ref="CP750:CS750" si="3329">SUM(CP748:CP749)</f>
        <v>#ERROR!</v>
      </c>
      <c r="CQ750" s="112" t="str">
        <f t="shared" si="3329"/>
        <v>#ERROR!</v>
      </c>
      <c r="CR750" s="112" t="str">
        <f t="shared" si="3329"/>
        <v>#ERROR!</v>
      </c>
      <c r="CS750" s="112" t="str">
        <f t="shared" si="3329"/>
        <v>#ERROR!</v>
      </c>
      <c r="CT750" s="18" t="str">
        <f t="shared" si="3287"/>
        <v>#ERROR!</v>
      </c>
      <c r="CU750" s="112" t="str">
        <f t="shared" ref="CU750:CX750" si="3330">SUM(CU748:CU749)</f>
        <v>#ERROR!</v>
      </c>
      <c r="CV750" s="112" t="str">
        <f t="shared" si="3330"/>
        <v>#ERROR!</v>
      </c>
      <c r="CW750" s="112" t="str">
        <f t="shared" si="3330"/>
        <v>#ERROR!</v>
      </c>
      <c r="CX750" s="112" t="str">
        <f t="shared" si="3330"/>
        <v>#ERROR!</v>
      </c>
      <c r="CY750" s="18" t="str">
        <f t="shared" si="3288"/>
        <v>#ERROR!</v>
      </c>
      <c r="CZ750" s="112" t="str">
        <f t="shared" ref="CZ750:DC750" si="3331">SUM(CZ748:CZ749)</f>
        <v>#ERROR!</v>
      </c>
      <c r="DA750" s="112" t="str">
        <f t="shared" si="3331"/>
        <v>#ERROR!</v>
      </c>
      <c r="DB750" s="112" t="str">
        <f t="shared" si="3331"/>
        <v>#ERROR!</v>
      </c>
      <c r="DC750" s="112" t="str">
        <f t="shared" si="3331"/>
        <v>#ERROR!</v>
      </c>
      <c r="DD750" s="18" t="str">
        <f t="shared" si="3289"/>
        <v>#ERROR!</v>
      </c>
      <c r="DE750" s="112" t="str">
        <f t="shared" ref="DE750:DH750" si="3332">SUM(DE748:DE749)</f>
        <v>#ERROR!</v>
      </c>
      <c r="DF750" s="112" t="str">
        <f t="shared" si="3332"/>
        <v>#ERROR!</v>
      </c>
      <c r="DG750" s="146" t="str">
        <f t="shared" si="3332"/>
        <v>#ERROR!</v>
      </c>
      <c r="DH750" s="112" t="str">
        <f t="shared" si="3332"/>
        <v>#ERROR!</v>
      </c>
      <c r="DI750" s="18" t="str">
        <f t="shared" si="3290"/>
        <v>#ERROR!</v>
      </c>
      <c r="DJ750" s="146" t="str">
        <f t="shared" ref="DJ750:DM750" si="3333">SUM(DJ748:DJ749)</f>
        <v>#ERROR!</v>
      </c>
      <c r="DK750" s="146" t="str">
        <f t="shared" si="3333"/>
        <v>#ERROR!</v>
      </c>
      <c r="DL750" s="146" t="str">
        <f t="shared" si="3333"/>
        <v>#ERROR!</v>
      </c>
      <c r="DM750" s="112" t="str">
        <f t="shared" si="3333"/>
        <v>#ERROR!</v>
      </c>
      <c r="DN750" s="18" t="str">
        <f t="shared" si="3291"/>
        <v>#ERROR!</v>
      </c>
      <c r="DO750" s="112" t="str">
        <f t="shared" ref="DO750:DR750" si="3334">SUM(DO748:DO749)</f>
        <v>#ERROR!</v>
      </c>
      <c r="DP750" s="112" t="str">
        <f t="shared" si="3334"/>
        <v>#ERROR!</v>
      </c>
      <c r="DQ750" s="112" t="str">
        <f t="shared" si="3334"/>
        <v>#ERROR!</v>
      </c>
      <c r="DR750" s="112" t="str">
        <f t="shared" si="3334"/>
        <v>#ERROR!</v>
      </c>
      <c r="DS750" s="18" t="str">
        <f t="shared" si="3292"/>
        <v>#ERROR!</v>
      </c>
      <c r="DT750" s="112" t="str">
        <f t="shared" ref="DT750:DW750" si="3335">SUM(DT748:DT749)</f>
        <v>#ERROR!</v>
      </c>
      <c r="DU750" s="112" t="str">
        <f t="shared" si="3335"/>
        <v>#ERROR!</v>
      </c>
      <c r="DV750" s="112" t="str">
        <f t="shared" si="3335"/>
        <v>#ERROR!</v>
      </c>
      <c r="DW750" s="112" t="str">
        <f t="shared" si="3335"/>
        <v>#ERROR!</v>
      </c>
      <c r="DX750" s="18" t="str">
        <f t="shared" si="3293"/>
        <v>#ERROR!</v>
      </c>
      <c r="DY750" s="112" t="str">
        <f t="shared" ref="DY750:EB750" si="3336">SUM(DY748:DY749)</f>
        <v>#ERROR!</v>
      </c>
      <c r="DZ750" s="112" t="str">
        <f t="shared" si="3336"/>
        <v>#ERROR!</v>
      </c>
      <c r="EA750" s="112" t="str">
        <f t="shared" si="3336"/>
        <v>#ERROR!</v>
      </c>
      <c r="EB750" s="112" t="str">
        <f t="shared" si="3336"/>
        <v>#ERROR!</v>
      </c>
      <c r="EC750" s="18" t="str">
        <f t="shared" si="3294"/>
        <v>#ERROR!</v>
      </c>
      <c r="ED750" s="112" t="str">
        <f t="shared" ref="ED750:EG750" si="3337">SUM(ED748:ED749)</f>
        <v>#ERROR!</v>
      </c>
      <c r="EE750" s="112" t="str">
        <f t="shared" si="3337"/>
        <v>#ERROR!</v>
      </c>
      <c r="EF750" s="112" t="str">
        <f t="shared" si="3337"/>
        <v>#ERROR!</v>
      </c>
      <c r="EG750" s="112" t="str">
        <f t="shared" si="3337"/>
        <v>#ERROR!</v>
      </c>
      <c r="EH750" s="18" t="str">
        <f t="shared" si="3295"/>
        <v>#ERROR!</v>
      </c>
      <c r="EI750" s="110" t="str">
        <f t="shared" ref="EI750:EL750" si="3338">SUM(EI748:EI749)</f>
        <v>#ERROR!</v>
      </c>
      <c r="EJ750" s="112" t="str">
        <f t="shared" si="3338"/>
        <v>#ERROR!</v>
      </c>
      <c r="EK750" s="112" t="str">
        <f t="shared" si="3338"/>
        <v>#ERROR!</v>
      </c>
      <c r="EL750" s="112" t="str">
        <f t="shared" si="3338"/>
        <v>#ERROR!</v>
      </c>
      <c r="EM750" s="18" t="str">
        <f t="shared" si="3296"/>
        <v>#ERROR!</v>
      </c>
      <c r="EN750" s="112" t="str">
        <f t="shared" ref="EN750:EQ750" si="3339">SUM(EN748:EN749)</f>
        <v>#ERROR!</v>
      </c>
      <c r="EO750" s="112" t="str">
        <f t="shared" si="3339"/>
        <v>#ERROR!</v>
      </c>
      <c r="EP750" s="112" t="str">
        <f t="shared" si="3339"/>
        <v>#ERROR!</v>
      </c>
      <c r="EQ750" s="112" t="str">
        <f t="shared" si="3339"/>
        <v>#ERROR!</v>
      </c>
      <c r="ER750" s="18" t="str">
        <f t="shared" si="3297"/>
        <v>#ERROR!</v>
      </c>
      <c r="ES750" s="112" t="str">
        <f t="shared" ref="ES750:EV750" si="3340">SUM(ES748:ES749)</f>
        <v>#ERROR!</v>
      </c>
      <c r="ET750" s="112" t="str">
        <f t="shared" si="3340"/>
        <v>#ERROR!</v>
      </c>
      <c r="EU750" s="112" t="str">
        <f t="shared" si="3340"/>
        <v>#ERROR!</v>
      </c>
      <c r="EV750" s="112" t="str">
        <f t="shared" si="3340"/>
        <v>#ERROR!</v>
      </c>
      <c r="EW750" s="18" t="str">
        <f t="shared" si="3298"/>
        <v>#ERROR!</v>
      </c>
      <c r="EX750" s="112" t="str">
        <f t="shared" ref="EX750:FA750" si="3341">SUM(EX748:EX749)</f>
        <v>#ERROR!</v>
      </c>
      <c r="EY750" s="112" t="str">
        <f t="shared" si="3341"/>
        <v>#ERROR!</v>
      </c>
      <c r="EZ750" s="112" t="str">
        <f t="shared" si="3341"/>
        <v>#ERROR!</v>
      </c>
      <c r="FA750" s="112" t="str">
        <f t="shared" si="3341"/>
        <v>#ERROR!</v>
      </c>
      <c r="FB750" s="18" t="str">
        <f t="shared" si="3299"/>
        <v>#ERROR!</v>
      </c>
      <c r="FC750" s="112" t="str">
        <f t="shared" ref="FC750:FF750" si="3342">SUM(FC748:FC749)</f>
        <v>#ERROR!</v>
      </c>
      <c r="FD750" s="112" t="str">
        <f t="shared" si="3342"/>
        <v>#ERROR!</v>
      </c>
      <c r="FE750" s="112" t="str">
        <f t="shared" si="3342"/>
        <v>#ERROR!</v>
      </c>
      <c r="FF750" s="112" t="str">
        <f t="shared" si="3342"/>
        <v>#ERROR!</v>
      </c>
      <c r="FG750" s="18" t="str">
        <f t="shared" si="3300"/>
        <v>#ERROR!</v>
      </c>
      <c r="FH750" s="74"/>
      <c r="FI750" s="112"/>
      <c r="FJ750" s="112"/>
      <c r="FK750" s="73"/>
      <c r="FL750" s="112"/>
    </row>
    <row r="751" ht="12.75" hidden="1" customHeight="1" outlineLevel="2">
      <c r="A751" s="263"/>
      <c r="B751" s="72" t="s">
        <v>312</v>
      </c>
      <c r="C751" s="45"/>
      <c r="D751" s="17"/>
      <c r="E751" s="17"/>
      <c r="F751" s="17"/>
      <c r="G751" s="17"/>
      <c r="H751" s="73"/>
      <c r="I751" s="17"/>
      <c r="J751" s="17"/>
      <c r="K751" s="17"/>
      <c r="L751" s="17"/>
      <c r="M751" s="73"/>
      <c r="N751" s="17"/>
      <c r="O751" s="17"/>
      <c r="P751" s="17"/>
      <c r="Q751" s="17"/>
      <c r="R751" s="73"/>
      <c r="S751" s="17"/>
      <c r="T751" s="17"/>
      <c r="U751" s="17"/>
      <c r="V751" s="17"/>
      <c r="W751" s="73"/>
      <c r="X751" s="17"/>
      <c r="Y751" s="17"/>
      <c r="Z751" s="17"/>
      <c r="AA751" s="17"/>
      <c r="AB751" s="73"/>
      <c r="AC751" s="17"/>
      <c r="AD751" s="17"/>
      <c r="AE751" s="17"/>
      <c r="AF751" s="17"/>
      <c r="AG751" s="73"/>
      <c r="AH751" s="17"/>
      <c r="AI751" s="17"/>
      <c r="AJ751" s="17"/>
      <c r="AK751" s="17"/>
      <c r="AL751" s="73"/>
      <c r="AM751" s="17"/>
      <c r="AN751" s="17"/>
      <c r="AO751" s="17"/>
      <c r="AP751" s="17"/>
      <c r="AQ751" s="73"/>
      <c r="AR751" s="17">
        <v>1162.0</v>
      </c>
      <c r="AS751" s="17">
        <v>1224.0</v>
      </c>
      <c r="AT751" s="17">
        <v>1571.0</v>
      </c>
      <c r="AU751" s="17">
        <v>1710.0</v>
      </c>
      <c r="AV751" s="73">
        <f t="shared" si="3277"/>
        <v>5667</v>
      </c>
      <c r="AW751" s="17">
        <v>1917.0</v>
      </c>
      <c r="AX751" s="17">
        <v>2056.0</v>
      </c>
      <c r="AY751" s="17">
        <v>2331.0</v>
      </c>
      <c r="AZ751" s="17">
        <v>2400.0</v>
      </c>
      <c r="BA751" s="73">
        <f t="shared" si="3278"/>
        <v>8704</v>
      </c>
      <c r="BB751" s="17">
        <v>2347.0</v>
      </c>
      <c r="BC751" s="17">
        <v>1958.0</v>
      </c>
      <c r="BD751" s="17">
        <v>2239.0</v>
      </c>
      <c r="BE751" s="17">
        <v>2668.0</v>
      </c>
      <c r="BF751" s="73">
        <f t="shared" si="3279"/>
        <v>9212</v>
      </c>
      <c r="BG751" s="17">
        <v>2441.0</v>
      </c>
      <c r="BH751" s="17">
        <v>2398.0</v>
      </c>
      <c r="BI751" s="17">
        <v>2832.0</v>
      </c>
      <c r="BJ751" s="17">
        <v>2989.0</v>
      </c>
      <c r="BK751" s="73">
        <f t="shared" si="3280"/>
        <v>10660</v>
      </c>
      <c r="BL751" s="17">
        <v>2726.0</v>
      </c>
      <c r="BM751" s="17">
        <v>2742.0</v>
      </c>
      <c r="BN751" s="17">
        <v>3387.0</v>
      </c>
      <c r="BO751" s="17">
        <v>2584.0</v>
      </c>
      <c r="BP751" s="73">
        <f t="shared" si="3281"/>
        <v>11439</v>
      </c>
      <c r="BQ751" s="17">
        <v>2188.0</v>
      </c>
      <c r="BR751" s="17">
        <v>2554.0</v>
      </c>
      <c r="BS751" s="17">
        <v>2924.0</v>
      </c>
      <c r="BT751" s="17" t="str">
        <f>[2]MPU!BT178</f>
        <v>#ERROR!</v>
      </c>
      <c r="BU751" s="73" t="str">
        <f t="shared" si="3282"/>
        <v>#ERROR!</v>
      </c>
      <c r="BV751" s="17" t="str">
        <f>[2]MPU!BV178</f>
        <v>#ERROR!</v>
      </c>
      <c r="BW751" s="17" t="str">
        <f>[2]MPU!BW178</f>
        <v>#ERROR!</v>
      </c>
      <c r="BX751" s="17" t="str">
        <f>[2]MPU!BX178</f>
        <v>#ERROR!</v>
      </c>
      <c r="BY751" s="17" t="str">
        <f>[2]MPU!BY178</f>
        <v>#ERROR!</v>
      </c>
      <c r="BZ751" s="18" t="str">
        <f t="shared" si="3283"/>
        <v>#ERROR!</v>
      </c>
      <c r="CA751" s="17" t="str">
        <f>[2]MPU!CA178</f>
        <v>#ERROR!</v>
      </c>
      <c r="CB751" s="17" t="str">
        <f>[2]MPU!CB178</f>
        <v>#ERROR!</v>
      </c>
      <c r="CC751" s="17" t="str">
        <f>[2]MPU!CC178</f>
        <v>#ERROR!</v>
      </c>
      <c r="CD751" s="17" t="str">
        <f>[2]MPU!CD178</f>
        <v>#ERROR!</v>
      </c>
      <c r="CE751" s="18" t="str">
        <f t="shared" si="3284"/>
        <v>#ERROR!</v>
      </c>
      <c r="CF751" s="17" t="str">
        <f>[2]MPU!CF178</f>
        <v>#ERROR!</v>
      </c>
      <c r="CG751" s="17" t="str">
        <f>[2]MPU!CG178</f>
        <v>#ERROR!</v>
      </c>
      <c r="CH751" s="17" t="str">
        <f>[2]MPU!CH178</f>
        <v>#ERROR!</v>
      </c>
      <c r="CI751" s="17" t="str">
        <f>[2]MPU!CI178</f>
        <v>#ERROR!</v>
      </c>
      <c r="CJ751" s="18" t="str">
        <f t="shared" si="3285"/>
        <v>#ERROR!</v>
      </c>
      <c r="CK751" s="17" t="str">
        <f>[2]MPU!CK178</f>
        <v>#ERROR!</v>
      </c>
      <c r="CL751" s="17" t="str">
        <f>[2]MPU!CL178</f>
        <v>#ERROR!</v>
      </c>
      <c r="CM751" s="17" t="str">
        <f>[2]MPU!CM178</f>
        <v>#ERROR!</v>
      </c>
      <c r="CN751" s="19" t="str">
        <f>[2]MPU!CN178</f>
        <v>#ERROR!</v>
      </c>
      <c r="CO751" s="18" t="str">
        <f t="shared" si="3286"/>
        <v>#ERROR!</v>
      </c>
      <c r="CP751" s="19" t="str">
        <f>[2]MPU!CP178</f>
        <v>#ERROR!</v>
      </c>
      <c r="CQ751" s="17" t="str">
        <f>[2]MPU!CQ178</f>
        <v>#ERROR!</v>
      </c>
      <c r="CR751" s="17" t="str">
        <f>[2]MPU!CR178</f>
        <v>#ERROR!</v>
      </c>
      <c r="CS751" s="17" t="str">
        <f>[2]MPU!CS178</f>
        <v>#ERROR!</v>
      </c>
      <c r="CT751" s="18" t="str">
        <f t="shared" si="3287"/>
        <v>#ERROR!</v>
      </c>
      <c r="CU751" s="17" t="str">
        <f>[2]MPU!CU178</f>
        <v>#ERROR!</v>
      </c>
      <c r="CV751" s="17" t="str">
        <f>[2]MPU!CV178</f>
        <v>#ERROR!</v>
      </c>
      <c r="CW751" s="17" t="str">
        <f>[2]MPU!CW178</f>
        <v>#ERROR!</v>
      </c>
      <c r="CX751" s="17" t="str">
        <f>[2]MPU!CX178</f>
        <v>#ERROR!</v>
      </c>
      <c r="CY751" s="18" t="str">
        <f t="shared" si="3288"/>
        <v>#ERROR!</v>
      </c>
      <c r="CZ751" s="17" t="str">
        <f>[2]MPU!CZ178</f>
        <v>#ERROR!</v>
      </c>
      <c r="DA751" s="17" t="str">
        <f>[2]MPU!DA178</f>
        <v>#ERROR!</v>
      </c>
      <c r="DB751" s="17" t="str">
        <f>[2]MPU!DB178</f>
        <v>#ERROR!</v>
      </c>
      <c r="DC751" s="17" t="str">
        <f>[2]MPU!DC178</f>
        <v>#ERROR!</v>
      </c>
      <c r="DD751" s="18" t="str">
        <f t="shared" si="3289"/>
        <v>#ERROR!</v>
      </c>
      <c r="DE751" s="17" t="str">
        <f>[2]MPU!DE178</f>
        <v>#ERROR!</v>
      </c>
      <c r="DF751" s="17" t="str">
        <f>[2]MPU!DF178</f>
        <v>#ERROR!</v>
      </c>
      <c r="DG751" s="19" t="str">
        <f>[2]MPU!DG178</f>
        <v>#ERROR!</v>
      </c>
      <c r="DH751" s="17" t="str">
        <f>[2]MPU!DH178</f>
        <v>#ERROR!</v>
      </c>
      <c r="DI751" s="18" t="str">
        <f t="shared" si="3290"/>
        <v>#ERROR!</v>
      </c>
      <c r="DJ751" s="19" t="str">
        <f>[2]MPU!DJ178</f>
        <v>#ERROR!</v>
      </c>
      <c r="DK751" s="19" t="str">
        <f>[2]MPU!DK178</f>
        <v>#ERROR!</v>
      </c>
      <c r="DL751" s="19" t="str">
        <f>[2]MPU!DL178</f>
        <v>#ERROR!</v>
      </c>
      <c r="DM751" s="17" t="str">
        <f>[2]MPU!DM178</f>
        <v>#ERROR!</v>
      </c>
      <c r="DN751" s="18" t="str">
        <f t="shared" si="3291"/>
        <v>#ERROR!</v>
      </c>
      <c r="DO751" s="17" t="str">
        <f>[2]MPU!DT178</f>
        <v>#ERROR!</v>
      </c>
      <c r="DP751" s="17" t="str">
        <f>[2]MPU!DU178</f>
        <v>#ERROR!</v>
      </c>
      <c r="DQ751" s="17" t="str">
        <f>[2]MPU!DV178</f>
        <v>#ERROR!</v>
      </c>
      <c r="DR751" s="17" t="str">
        <f>[2]MPU!DW178</f>
        <v>#ERROR!</v>
      </c>
      <c r="DS751" s="18" t="str">
        <f t="shared" si="3292"/>
        <v>#ERROR!</v>
      </c>
      <c r="DT751" s="17" t="str">
        <f>[2]MPU!DY178</f>
        <v>#ERROR!</v>
      </c>
      <c r="DU751" s="17" t="str">
        <f>[2]MPU!DZ178</f>
        <v>#ERROR!</v>
      </c>
      <c r="DV751" s="17" t="str">
        <f>[2]MPU!EA178</f>
        <v>#ERROR!</v>
      </c>
      <c r="DW751" s="17" t="str">
        <f>[2]MPU!EB178</f>
        <v>#ERROR!</v>
      </c>
      <c r="DX751" s="18" t="str">
        <f t="shared" si="3293"/>
        <v>#ERROR!</v>
      </c>
      <c r="DY751" s="17" t="str">
        <f>[2]MPU!ED178</f>
        <v>#ERROR!</v>
      </c>
      <c r="DZ751" s="17" t="str">
        <f>[2]MPU!EE178</f>
        <v>#ERROR!</v>
      </c>
      <c r="EA751" s="17" t="str">
        <f>[2]MPU!EF178</f>
        <v>#ERROR!</v>
      </c>
      <c r="EB751" s="17" t="str">
        <f>[2]MPU!EG178</f>
        <v>#ERROR!</v>
      </c>
      <c r="EC751" s="18" t="str">
        <f t="shared" si="3294"/>
        <v>#ERROR!</v>
      </c>
      <c r="ED751" s="17" t="str">
        <f>[2]MPU!EI178</f>
        <v>#ERROR!</v>
      </c>
      <c r="EE751" s="17" t="str">
        <f>[2]MPU!EJ178</f>
        <v>#ERROR!</v>
      </c>
      <c r="EF751" s="17" t="str">
        <f>[2]MPU!#REF!</f>
        <v>#ERROR!</v>
      </c>
      <c r="EG751" s="17" t="str">
        <f>[2]MPU!#REF!</f>
        <v>#ERROR!</v>
      </c>
      <c r="EH751" s="18" t="str">
        <f t="shared" si="3295"/>
        <v>#ERROR!</v>
      </c>
      <c r="EI751" s="25" t="str">
        <f>[2]MPU!#REF!</f>
        <v>#ERROR!</v>
      </c>
      <c r="EJ751" s="17" t="str">
        <f>[2]MPU!#REF!</f>
        <v>#ERROR!</v>
      </c>
      <c r="EK751" s="17" t="str">
        <f>[2]MPU!#REF!</f>
        <v>#ERROR!</v>
      </c>
      <c r="EL751" s="17" t="str">
        <f>[2]MPU!#REF!</f>
        <v>#ERROR!</v>
      </c>
      <c r="EM751" s="18" t="str">
        <f t="shared" si="3296"/>
        <v>#ERROR!</v>
      </c>
      <c r="EN751" s="17" t="str">
        <f>[2]MPU!#REF!</f>
        <v>#ERROR!</v>
      </c>
      <c r="EO751" s="17" t="str">
        <f>[2]MPU!#REF!</f>
        <v>#ERROR!</v>
      </c>
      <c r="EP751" s="17" t="str">
        <f>[2]MPU!#REF!</f>
        <v>#ERROR!</v>
      </c>
      <c r="EQ751" s="17" t="str">
        <f>[2]MPU!#REF!</f>
        <v>#ERROR!</v>
      </c>
      <c r="ER751" s="18" t="str">
        <f t="shared" si="3297"/>
        <v>#ERROR!</v>
      </c>
      <c r="ES751" s="17" t="str">
        <f>[2]MPU!#REF!</f>
        <v>#ERROR!</v>
      </c>
      <c r="ET751" s="17" t="str">
        <f>[2]MPU!#REF!</f>
        <v>#ERROR!</v>
      </c>
      <c r="EU751" s="17" t="str">
        <f>[2]MPU!#REF!</f>
        <v>#ERROR!</v>
      </c>
      <c r="EV751" s="17" t="str">
        <f>[2]MPU!#REF!</f>
        <v>#ERROR!</v>
      </c>
      <c r="EW751" s="18" t="str">
        <f t="shared" si="3298"/>
        <v>#ERROR!</v>
      </c>
      <c r="EX751" s="17" t="str">
        <f>[2]MPU!#REF!</f>
        <v>#ERROR!</v>
      </c>
      <c r="EY751" s="17" t="str">
        <f>[2]MPU!#REF!</f>
        <v>#ERROR!</v>
      </c>
      <c r="EZ751" s="17" t="str">
        <f>[2]MPU!#REF!</f>
        <v>#ERROR!</v>
      </c>
      <c r="FA751" s="17" t="str">
        <f>[2]MPU!#REF!</f>
        <v>#ERROR!</v>
      </c>
      <c r="FB751" s="18" t="str">
        <f t="shared" si="3299"/>
        <v>#ERROR!</v>
      </c>
      <c r="FC751" s="17" t="str">
        <f>[2]MPU!#REF!</f>
        <v>#ERROR!</v>
      </c>
      <c r="FD751" s="17" t="str">
        <f>[2]MPU!#REF!</f>
        <v>#ERROR!</v>
      </c>
      <c r="FE751" s="17" t="str">
        <f>[2]MPU!#REF!</f>
        <v>#ERROR!</v>
      </c>
      <c r="FF751" s="17" t="str">
        <f>[2]MPU!#REF!</f>
        <v>#ERROR!</v>
      </c>
      <c r="FG751" s="18" t="str">
        <f t="shared" si="3300"/>
        <v>#ERROR!</v>
      </c>
      <c r="FH751" s="74"/>
      <c r="FI751" s="17"/>
      <c r="FJ751" s="17"/>
      <c r="FK751" s="73"/>
      <c r="FL751" s="17"/>
    </row>
    <row r="752" ht="12.75" hidden="1" customHeight="1" outlineLevel="2">
      <c r="A752" s="4"/>
      <c r="B752" s="72" t="s">
        <v>313</v>
      </c>
      <c r="C752" s="45"/>
      <c r="D752" s="17"/>
      <c r="E752" s="17"/>
      <c r="F752" s="17"/>
      <c r="G752" s="17"/>
      <c r="H752" s="73"/>
      <c r="I752" s="17"/>
      <c r="J752" s="17"/>
      <c r="K752" s="17"/>
      <c r="L752" s="17"/>
      <c r="M752" s="73"/>
      <c r="N752" s="17"/>
      <c r="O752" s="17"/>
      <c r="P752" s="17"/>
      <c r="Q752" s="17"/>
      <c r="R752" s="73"/>
      <c r="S752" s="17"/>
      <c r="T752" s="17"/>
      <c r="U752" s="17"/>
      <c r="V752" s="17"/>
      <c r="W752" s="73"/>
      <c r="X752" s="17"/>
      <c r="Y752" s="17"/>
      <c r="Z752" s="17"/>
      <c r="AA752" s="17"/>
      <c r="AB752" s="73"/>
      <c r="AC752" s="17"/>
      <c r="AD752" s="17"/>
      <c r="AE752" s="17"/>
      <c r="AF752" s="17"/>
      <c r="AG752" s="73"/>
      <c r="AH752" s="17"/>
      <c r="AI752" s="17"/>
      <c r="AJ752" s="17"/>
      <c r="AK752" s="17"/>
      <c r="AL752" s="73"/>
      <c r="AM752" s="17"/>
      <c r="AN752" s="17"/>
      <c r="AO752" s="17"/>
      <c r="AP752" s="17"/>
      <c r="AQ752" s="73"/>
      <c r="AR752" s="17">
        <v>246.0</v>
      </c>
      <c r="AS752" s="17">
        <v>292.0</v>
      </c>
      <c r="AT752" s="17">
        <v>352.0</v>
      </c>
      <c r="AU752" s="17">
        <v>425.0</v>
      </c>
      <c r="AV752" s="73">
        <f t="shared" si="3277"/>
        <v>1315</v>
      </c>
      <c r="AW752" s="17">
        <v>516.0</v>
      </c>
      <c r="AX752" s="17">
        <v>566.0</v>
      </c>
      <c r="AY752" s="17">
        <v>640.0</v>
      </c>
      <c r="AZ752" s="17">
        <v>705.0</v>
      </c>
      <c r="BA752" s="73">
        <f t="shared" si="3278"/>
        <v>2427</v>
      </c>
      <c r="BB752" s="17">
        <v>632.0</v>
      </c>
      <c r="BC752" s="17">
        <v>731.0</v>
      </c>
      <c r="BD752" s="17">
        <v>809.0</v>
      </c>
      <c r="BE752" s="17">
        <v>925.0</v>
      </c>
      <c r="BF752" s="73">
        <f t="shared" si="3279"/>
        <v>3097</v>
      </c>
      <c r="BG752" s="17">
        <v>866.0</v>
      </c>
      <c r="BH752" s="17">
        <v>898.0</v>
      </c>
      <c r="BI752" s="17">
        <v>1139.0</v>
      </c>
      <c r="BJ752" s="17">
        <v>1118.0</v>
      </c>
      <c r="BK752" s="73">
        <f t="shared" si="3280"/>
        <v>4021</v>
      </c>
      <c r="BL752" s="17">
        <v>943.0</v>
      </c>
      <c r="BM752" s="17">
        <v>1055.0</v>
      </c>
      <c r="BN752" s="17">
        <v>1294.0</v>
      </c>
      <c r="BO752" s="17">
        <v>917.0</v>
      </c>
      <c r="BP752" s="73">
        <f t="shared" si="3281"/>
        <v>4209</v>
      </c>
      <c r="BQ752" s="17">
        <v>726.0</v>
      </c>
      <c r="BR752" s="17">
        <v>927.0</v>
      </c>
      <c r="BS752" s="17">
        <v>1207.0</v>
      </c>
      <c r="BT752" s="17" t="str">
        <f>0.36*BT751</f>
        <v>#ERROR!</v>
      </c>
      <c r="BU752" s="73" t="str">
        <f t="shared" si="3282"/>
        <v>#ERROR!</v>
      </c>
      <c r="BV752" s="17" t="str">
        <f t="shared" ref="BV752:BY752" si="3343">0.38*BV751</f>
        <v>#ERROR!</v>
      </c>
      <c r="BW752" s="17" t="str">
        <f t="shared" si="3343"/>
        <v>#ERROR!</v>
      </c>
      <c r="BX752" s="17" t="str">
        <f t="shared" si="3343"/>
        <v>#ERROR!</v>
      </c>
      <c r="BY752" s="17" t="str">
        <f t="shared" si="3343"/>
        <v>#ERROR!</v>
      </c>
      <c r="BZ752" s="18" t="str">
        <f t="shared" si="3283"/>
        <v>#ERROR!</v>
      </c>
      <c r="CA752" s="17" t="str">
        <f t="shared" ref="CA752:CD752" si="3344">0.38*CA751</f>
        <v>#ERROR!</v>
      </c>
      <c r="CB752" s="17" t="str">
        <f t="shared" si="3344"/>
        <v>#ERROR!</v>
      </c>
      <c r="CC752" s="17" t="str">
        <f t="shared" si="3344"/>
        <v>#ERROR!</v>
      </c>
      <c r="CD752" s="17" t="str">
        <f t="shared" si="3344"/>
        <v>#ERROR!</v>
      </c>
      <c r="CE752" s="18" t="str">
        <f t="shared" si="3284"/>
        <v>#ERROR!</v>
      </c>
      <c r="CF752" s="17" t="str">
        <f t="shared" ref="CF752:CI752" si="3345">0.38*CF751</f>
        <v>#ERROR!</v>
      </c>
      <c r="CG752" s="17" t="str">
        <f t="shared" si="3345"/>
        <v>#ERROR!</v>
      </c>
      <c r="CH752" s="17" t="str">
        <f t="shared" si="3345"/>
        <v>#ERROR!</v>
      </c>
      <c r="CI752" s="17" t="str">
        <f t="shared" si="3345"/>
        <v>#ERROR!</v>
      </c>
      <c r="CJ752" s="18" t="str">
        <f t="shared" si="3285"/>
        <v>#ERROR!</v>
      </c>
      <c r="CK752" s="17" t="str">
        <f t="shared" ref="CK752:CN752" si="3346">0.38*CK751</f>
        <v>#ERROR!</v>
      </c>
      <c r="CL752" s="17" t="str">
        <f t="shared" si="3346"/>
        <v>#ERROR!</v>
      </c>
      <c r="CM752" s="17" t="str">
        <f t="shared" si="3346"/>
        <v>#ERROR!</v>
      </c>
      <c r="CN752" s="19" t="str">
        <f t="shared" si="3346"/>
        <v>#ERROR!</v>
      </c>
      <c r="CO752" s="18" t="str">
        <f t="shared" si="3286"/>
        <v>#ERROR!</v>
      </c>
      <c r="CP752" s="19" t="str">
        <f t="shared" ref="CP752:CS752" si="3347">0.38*CP751</f>
        <v>#ERROR!</v>
      </c>
      <c r="CQ752" s="17" t="str">
        <f t="shared" si="3347"/>
        <v>#ERROR!</v>
      </c>
      <c r="CR752" s="17" t="str">
        <f t="shared" si="3347"/>
        <v>#ERROR!</v>
      </c>
      <c r="CS752" s="17" t="str">
        <f t="shared" si="3347"/>
        <v>#ERROR!</v>
      </c>
      <c r="CT752" s="18" t="str">
        <f t="shared" si="3287"/>
        <v>#ERROR!</v>
      </c>
      <c r="CU752" s="17" t="str">
        <f t="shared" ref="CU752:CX752" si="3348">0.38*CU751</f>
        <v>#ERROR!</v>
      </c>
      <c r="CV752" s="17" t="str">
        <f t="shared" si="3348"/>
        <v>#ERROR!</v>
      </c>
      <c r="CW752" s="17" t="str">
        <f t="shared" si="3348"/>
        <v>#ERROR!</v>
      </c>
      <c r="CX752" s="17" t="str">
        <f t="shared" si="3348"/>
        <v>#ERROR!</v>
      </c>
      <c r="CY752" s="18" t="str">
        <f t="shared" si="3288"/>
        <v>#ERROR!</v>
      </c>
      <c r="CZ752" s="17" t="str">
        <f t="shared" ref="CZ752:DC752" si="3349">0.38*CZ751</f>
        <v>#ERROR!</v>
      </c>
      <c r="DA752" s="17" t="str">
        <f t="shared" si="3349"/>
        <v>#ERROR!</v>
      </c>
      <c r="DB752" s="17" t="str">
        <f t="shared" si="3349"/>
        <v>#ERROR!</v>
      </c>
      <c r="DC752" s="17" t="str">
        <f t="shared" si="3349"/>
        <v>#ERROR!</v>
      </c>
      <c r="DD752" s="18" t="str">
        <f t="shared" si="3289"/>
        <v>#ERROR!</v>
      </c>
      <c r="DE752" s="17" t="str">
        <f t="shared" ref="DE752:DH752" si="3350">0.38*DE751</f>
        <v>#ERROR!</v>
      </c>
      <c r="DF752" s="17" t="str">
        <f t="shared" si="3350"/>
        <v>#ERROR!</v>
      </c>
      <c r="DG752" s="19" t="str">
        <f t="shared" si="3350"/>
        <v>#ERROR!</v>
      </c>
      <c r="DH752" s="17" t="str">
        <f t="shared" si="3350"/>
        <v>#ERROR!</v>
      </c>
      <c r="DI752" s="18" t="str">
        <f t="shared" si="3290"/>
        <v>#ERROR!</v>
      </c>
      <c r="DJ752" s="19" t="str">
        <f t="shared" ref="DJ752:DM752" si="3351">0.38*DJ751</f>
        <v>#ERROR!</v>
      </c>
      <c r="DK752" s="19" t="str">
        <f t="shared" si="3351"/>
        <v>#ERROR!</v>
      </c>
      <c r="DL752" s="19" t="str">
        <f t="shared" si="3351"/>
        <v>#ERROR!</v>
      </c>
      <c r="DM752" s="17" t="str">
        <f t="shared" si="3351"/>
        <v>#ERROR!</v>
      </c>
      <c r="DN752" s="18" t="str">
        <f t="shared" si="3291"/>
        <v>#ERROR!</v>
      </c>
      <c r="DO752" s="17" t="str">
        <f t="shared" ref="DO752:DR752" si="3352">0.38*DO751</f>
        <v>#ERROR!</v>
      </c>
      <c r="DP752" s="17" t="str">
        <f t="shared" si="3352"/>
        <v>#ERROR!</v>
      </c>
      <c r="DQ752" s="17" t="str">
        <f t="shared" si="3352"/>
        <v>#ERROR!</v>
      </c>
      <c r="DR752" s="17" t="str">
        <f t="shared" si="3352"/>
        <v>#ERROR!</v>
      </c>
      <c r="DS752" s="18" t="str">
        <f t="shared" si="3292"/>
        <v>#ERROR!</v>
      </c>
      <c r="DT752" s="17" t="str">
        <f t="shared" ref="DT752:DW752" si="3353">0.38*DT751</f>
        <v>#ERROR!</v>
      </c>
      <c r="DU752" s="17" t="str">
        <f t="shared" si="3353"/>
        <v>#ERROR!</v>
      </c>
      <c r="DV752" s="17" t="str">
        <f t="shared" si="3353"/>
        <v>#ERROR!</v>
      </c>
      <c r="DW752" s="17" t="str">
        <f t="shared" si="3353"/>
        <v>#ERROR!</v>
      </c>
      <c r="DX752" s="18" t="str">
        <f t="shared" si="3293"/>
        <v>#ERROR!</v>
      </c>
      <c r="DY752" s="17" t="str">
        <f t="shared" ref="DY752:EB752" si="3354">0.38*DY751</f>
        <v>#ERROR!</v>
      </c>
      <c r="DZ752" s="17" t="str">
        <f t="shared" si="3354"/>
        <v>#ERROR!</v>
      </c>
      <c r="EA752" s="17" t="str">
        <f t="shared" si="3354"/>
        <v>#ERROR!</v>
      </c>
      <c r="EB752" s="17" t="str">
        <f t="shared" si="3354"/>
        <v>#ERROR!</v>
      </c>
      <c r="EC752" s="18" t="str">
        <f t="shared" si="3294"/>
        <v>#ERROR!</v>
      </c>
      <c r="ED752" s="17" t="str">
        <f t="shared" ref="ED752:EG752" si="3355">0.38*ED751</f>
        <v>#ERROR!</v>
      </c>
      <c r="EE752" s="17" t="str">
        <f t="shared" si="3355"/>
        <v>#ERROR!</v>
      </c>
      <c r="EF752" s="17" t="str">
        <f t="shared" si="3355"/>
        <v>#ERROR!</v>
      </c>
      <c r="EG752" s="17" t="str">
        <f t="shared" si="3355"/>
        <v>#ERROR!</v>
      </c>
      <c r="EH752" s="18" t="str">
        <f t="shared" si="3295"/>
        <v>#ERROR!</v>
      </c>
      <c r="EI752" s="25" t="str">
        <f t="shared" ref="EI752:EL752" si="3356">0.38*EI751</f>
        <v>#ERROR!</v>
      </c>
      <c r="EJ752" s="17" t="str">
        <f t="shared" si="3356"/>
        <v>#ERROR!</v>
      </c>
      <c r="EK752" s="17" t="str">
        <f t="shared" si="3356"/>
        <v>#ERROR!</v>
      </c>
      <c r="EL752" s="17" t="str">
        <f t="shared" si="3356"/>
        <v>#ERROR!</v>
      </c>
      <c r="EM752" s="18" t="str">
        <f t="shared" si="3296"/>
        <v>#ERROR!</v>
      </c>
      <c r="EN752" s="17" t="str">
        <f t="shared" ref="EN752:EQ752" si="3357">0.38*EN751</f>
        <v>#ERROR!</v>
      </c>
      <c r="EO752" s="17" t="str">
        <f t="shared" si="3357"/>
        <v>#ERROR!</v>
      </c>
      <c r="EP752" s="17" t="str">
        <f t="shared" si="3357"/>
        <v>#ERROR!</v>
      </c>
      <c r="EQ752" s="17" t="str">
        <f t="shared" si="3357"/>
        <v>#ERROR!</v>
      </c>
      <c r="ER752" s="18" t="str">
        <f t="shared" si="3297"/>
        <v>#ERROR!</v>
      </c>
      <c r="ES752" s="17" t="str">
        <f t="shared" ref="ES752:EV752" si="3358">0.38*ES751</f>
        <v>#ERROR!</v>
      </c>
      <c r="ET752" s="17" t="str">
        <f t="shared" si="3358"/>
        <v>#ERROR!</v>
      </c>
      <c r="EU752" s="17" t="str">
        <f t="shared" si="3358"/>
        <v>#ERROR!</v>
      </c>
      <c r="EV752" s="17" t="str">
        <f t="shared" si="3358"/>
        <v>#ERROR!</v>
      </c>
      <c r="EW752" s="18" t="str">
        <f t="shared" si="3298"/>
        <v>#ERROR!</v>
      </c>
      <c r="EX752" s="17" t="str">
        <f t="shared" ref="EX752:FA752" si="3359">0.38*EX751</f>
        <v>#ERROR!</v>
      </c>
      <c r="EY752" s="17" t="str">
        <f t="shared" si="3359"/>
        <v>#ERROR!</v>
      </c>
      <c r="EZ752" s="17" t="str">
        <f t="shared" si="3359"/>
        <v>#ERROR!</v>
      </c>
      <c r="FA752" s="17" t="str">
        <f t="shared" si="3359"/>
        <v>#ERROR!</v>
      </c>
      <c r="FB752" s="18" t="str">
        <f t="shared" si="3299"/>
        <v>#ERROR!</v>
      </c>
      <c r="FC752" s="17" t="str">
        <f t="shared" ref="FC752:FF752" si="3360">0.38*FC751</f>
        <v>#ERROR!</v>
      </c>
      <c r="FD752" s="17" t="str">
        <f t="shared" si="3360"/>
        <v>#ERROR!</v>
      </c>
      <c r="FE752" s="17" t="str">
        <f t="shared" si="3360"/>
        <v>#ERROR!</v>
      </c>
      <c r="FF752" s="17" t="str">
        <f t="shared" si="3360"/>
        <v>#ERROR!</v>
      </c>
      <c r="FG752" s="18" t="str">
        <f t="shared" si="3300"/>
        <v>#ERROR!</v>
      </c>
      <c r="FH752" s="74"/>
      <c r="FI752" s="17"/>
      <c r="FJ752" s="17"/>
      <c r="FK752" s="73"/>
      <c r="FL752" s="17"/>
    </row>
    <row r="753" ht="12.75" hidden="1" customHeight="1" outlineLevel="2">
      <c r="A753" s="4"/>
      <c r="B753" s="72" t="s">
        <v>314</v>
      </c>
      <c r="C753" s="45"/>
      <c r="D753" s="4"/>
      <c r="E753" s="4"/>
      <c r="F753" s="4"/>
      <c r="G753" s="4"/>
      <c r="H753" s="8"/>
      <c r="I753" s="4"/>
      <c r="J753" s="4"/>
      <c r="K753" s="4"/>
      <c r="L753" s="4"/>
      <c r="M753" s="8"/>
      <c r="N753" s="4"/>
      <c r="O753" s="4"/>
      <c r="P753" s="4"/>
      <c r="Q753" s="4"/>
      <c r="R753" s="8"/>
      <c r="S753" s="4"/>
      <c r="T753" s="4"/>
      <c r="U753" s="4"/>
      <c r="V753" s="4"/>
      <c r="W753" s="8"/>
      <c r="X753" s="4"/>
      <c r="Y753" s="4"/>
      <c r="Z753" s="4"/>
      <c r="AA753" s="4"/>
      <c r="AB753" s="8"/>
      <c r="AC753" s="4"/>
      <c r="AD753" s="4"/>
      <c r="AE753" s="4"/>
      <c r="AF753" s="4"/>
      <c r="AG753" s="8"/>
      <c r="AH753" s="4"/>
      <c r="AI753" s="4"/>
      <c r="AJ753" s="4"/>
      <c r="AK753" s="4"/>
      <c r="AL753" s="8"/>
      <c r="AM753" s="4"/>
      <c r="AN753" s="4"/>
      <c r="AO753" s="4"/>
      <c r="AP753" s="4"/>
      <c r="AQ753" s="8"/>
      <c r="AR753" s="4">
        <v>417.0</v>
      </c>
      <c r="AS753" s="4">
        <v>587.0</v>
      </c>
      <c r="AT753" s="4">
        <v>638.0</v>
      </c>
      <c r="AU753" s="4">
        <v>643.0</v>
      </c>
      <c r="AV753" s="8">
        <v>2285.0</v>
      </c>
      <c r="AW753" s="4">
        <v>578.0</v>
      </c>
      <c r="AX753" s="4">
        <v>528.0</v>
      </c>
      <c r="AY753" s="4">
        <v>572.0</v>
      </c>
      <c r="AZ753" s="4"/>
      <c r="BA753" s="8"/>
      <c r="BB753" s="4"/>
      <c r="BC753" s="4"/>
      <c r="BD753" s="4"/>
      <c r="BE753" s="4"/>
      <c r="BF753" s="8"/>
      <c r="BG753" s="4"/>
      <c r="BH753" s="4"/>
      <c r="BI753" s="4"/>
      <c r="BJ753" s="4"/>
      <c r="BK753" s="8"/>
      <c r="BL753" s="4"/>
      <c r="BM753" s="4"/>
      <c r="BN753" s="4"/>
      <c r="BO753" s="4"/>
      <c r="BP753" s="8"/>
      <c r="BQ753" s="4"/>
      <c r="BR753" s="4"/>
      <c r="BS753" s="4"/>
      <c r="BT753" s="4"/>
      <c r="BU753" s="8"/>
      <c r="BV753" s="4"/>
      <c r="BW753" s="4"/>
      <c r="BX753" s="4"/>
      <c r="BY753" s="4"/>
      <c r="BZ753" s="10"/>
      <c r="CA753" s="4"/>
      <c r="CB753" s="4"/>
      <c r="CC753" s="4"/>
      <c r="CD753" s="4"/>
      <c r="CE753" s="10"/>
      <c r="CF753" s="4"/>
      <c r="CG753" s="4"/>
      <c r="CH753" s="4"/>
      <c r="CI753" s="4"/>
      <c r="CJ753" s="10"/>
      <c r="CK753" s="4"/>
      <c r="CL753" s="4"/>
      <c r="CM753" s="4"/>
      <c r="CN753" s="16"/>
      <c r="CO753" s="10"/>
      <c r="CP753" s="16"/>
      <c r="CQ753" s="4"/>
      <c r="CR753" s="4"/>
      <c r="CS753" s="4"/>
      <c r="CT753" s="10"/>
      <c r="CU753" s="4"/>
      <c r="CV753" s="4"/>
      <c r="CW753" s="4"/>
      <c r="CX753" s="4"/>
      <c r="CY753" s="10"/>
      <c r="CZ753" s="4"/>
      <c r="DA753" s="4"/>
      <c r="DB753" s="4"/>
      <c r="DC753" s="4"/>
      <c r="DD753" s="10"/>
      <c r="DE753" s="4"/>
      <c r="DF753" s="4"/>
      <c r="DG753" s="16"/>
      <c r="DH753" s="4"/>
      <c r="DI753" s="10"/>
      <c r="DJ753" s="16"/>
      <c r="DK753" s="16"/>
      <c r="DL753" s="16"/>
      <c r="DM753" s="4"/>
      <c r="DN753" s="10"/>
      <c r="DO753" s="4"/>
      <c r="DP753" s="4"/>
      <c r="DQ753" s="4"/>
      <c r="DR753" s="4"/>
      <c r="DS753" s="10"/>
      <c r="DT753" s="4"/>
      <c r="DU753" s="4"/>
      <c r="DV753" s="4"/>
      <c r="DW753" s="4"/>
      <c r="DX753" s="10"/>
      <c r="DY753" s="4"/>
      <c r="DZ753" s="4"/>
      <c r="EA753" s="4"/>
      <c r="EB753" s="4"/>
      <c r="EC753" s="10"/>
      <c r="ED753" s="4"/>
      <c r="EE753" s="4"/>
      <c r="EF753" s="4"/>
      <c r="EG753" s="4"/>
      <c r="EH753" s="10"/>
      <c r="EI753" s="214"/>
      <c r="EJ753" s="4"/>
      <c r="EK753" s="4"/>
      <c r="EL753" s="4"/>
      <c r="EM753" s="10"/>
      <c r="EN753" s="4"/>
      <c r="EO753" s="4"/>
      <c r="EP753" s="4"/>
      <c r="EQ753" s="4"/>
      <c r="ER753" s="10"/>
      <c r="ES753" s="4"/>
      <c r="ET753" s="4"/>
      <c r="EU753" s="4"/>
      <c r="EV753" s="4"/>
      <c r="EW753" s="10"/>
      <c r="EX753" s="4"/>
      <c r="EY753" s="4"/>
      <c r="EZ753" s="4"/>
      <c r="FA753" s="4"/>
      <c r="FB753" s="10"/>
      <c r="FC753" s="4"/>
      <c r="FD753" s="4"/>
      <c r="FE753" s="4"/>
      <c r="FF753" s="4"/>
      <c r="FG753" s="10"/>
      <c r="FH753" s="21"/>
      <c r="FI753" s="4"/>
      <c r="FJ753" s="4"/>
      <c r="FK753" s="8"/>
      <c r="FL753" s="4"/>
    </row>
    <row r="754" ht="12.75" hidden="1" customHeight="1" outlineLevel="2">
      <c r="A754" s="45"/>
      <c r="B754" s="215" t="s">
        <v>315</v>
      </c>
      <c r="C754" s="45"/>
      <c r="D754" s="112"/>
      <c r="E754" s="112"/>
      <c r="F754" s="112"/>
      <c r="G754" s="112"/>
      <c r="H754" s="73"/>
      <c r="I754" s="112"/>
      <c r="J754" s="112"/>
      <c r="K754" s="112"/>
      <c r="L754" s="112"/>
      <c r="M754" s="73"/>
      <c r="N754" s="112"/>
      <c r="O754" s="112"/>
      <c r="P754" s="112"/>
      <c r="Q754" s="112"/>
      <c r="R754" s="73"/>
      <c r="S754" s="112"/>
      <c r="T754" s="112"/>
      <c r="U754" s="112"/>
      <c r="V754" s="112"/>
      <c r="W754" s="73"/>
      <c r="X754" s="112"/>
      <c r="Y754" s="112"/>
      <c r="Z754" s="112"/>
      <c r="AA754" s="112"/>
      <c r="AB754" s="73"/>
      <c r="AC754" s="112"/>
      <c r="AD754" s="112"/>
      <c r="AE754" s="112"/>
      <c r="AF754" s="112"/>
      <c r="AG754" s="73"/>
      <c r="AH754" s="112"/>
      <c r="AI754" s="112"/>
      <c r="AJ754" s="112"/>
      <c r="AK754" s="112"/>
      <c r="AL754" s="73"/>
      <c r="AM754" s="112"/>
      <c r="AN754" s="112"/>
      <c r="AO754" s="112"/>
      <c r="AP754" s="112"/>
      <c r="AQ754" s="73">
        <v>6694.0</v>
      </c>
      <c r="AR754" s="112">
        <f t="shared" ref="AR754:AU754" si="3361">SUM(AR751:AR753)</f>
        <v>1825</v>
      </c>
      <c r="AS754" s="112">
        <f t="shared" si="3361"/>
        <v>2103</v>
      </c>
      <c r="AT754" s="112">
        <f t="shared" si="3361"/>
        <v>2561</v>
      </c>
      <c r="AU754" s="112">
        <f t="shared" si="3361"/>
        <v>2778</v>
      </c>
      <c r="AV754" s="73">
        <v>9267.0</v>
      </c>
      <c r="AW754" s="112">
        <f t="shared" ref="AW754:AZ754" si="3362">SUM(AW751:AW753)</f>
        <v>3011</v>
      </c>
      <c r="AX754" s="112">
        <f t="shared" si="3362"/>
        <v>3150</v>
      </c>
      <c r="AY754" s="112">
        <f t="shared" si="3362"/>
        <v>3543</v>
      </c>
      <c r="AZ754" s="112">
        <f t="shared" si="3362"/>
        <v>3105</v>
      </c>
      <c r="BA754" s="73">
        <f>SUM(AW754:AZ754)</f>
        <v>12809</v>
      </c>
      <c r="BB754" s="112">
        <f t="shared" ref="BB754:BE754" si="3363">SUM(BB751:BB753)</f>
        <v>2979</v>
      </c>
      <c r="BC754" s="112">
        <f t="shared" si="3363"/>
        <v>2689</v>
      </c>
      <c r="BD754" s="112">
        <f t="shared" si="3363"/>
        <v>3048</v>
      </c>
      <c r="BE754" s="112">
        <f t="shared" si="3363"/>
        <v>3593</v>
      </c>
      <c r="BF754" s="73">
        <f t="shared" ref="BF754:BF756" si="3386">SUM(BB754:BE754)</f>
        <v>12309</v>
      </c>
      <c r="BG754" s="112">
        <f t="shared" ref="BG754:BJ754" si="3364">SUM(BG751:BG753)</f>
        <v>3307</v>
      </c>
      <c r="BH754" s="112">
        <f t="shared" si="3364"/>
        <v>3296</v>
      </c>
      <c r="BI754" s="112">
        <f t="shared" si="3364"/>
        <v>3971</v>
      </c>
      <c r="BJ754" s="112">
        <f t="shared" si="3364"/>
        <v>4107</v>
      </c>
      <c r="BK754" s="73">
        <f t="shared" ref="BK754:BK756" si="3388">SUM(BG754:BJ754)</f>
        <v>14681</v>
      </c>
      <c r="BL754" s="112">
        <f t="shared" ref="BL754:BO754" si="3365">SUM(BL751:BL753)</f>
        <v>3669</v>
      </c>
      <c r="BM754" s="112">
        <f t="shared" si="3365"/>
        <v>3797</v>
      </c>
      <c r="BN754" s="112">
        <f t="shared" si="3365"/>
        <v>4681</v>
      </c>
      <c r="BO754" s="112">
        <f t="shared" si="3365"/>
        <v>3501</v>
      </c>
      <c r="BP754" s="73">
        <f t="shared" ref="BP754:BP756" si="3389">SUM(BL754:BO754)</f>
        <v>15648</v>
      </c>
      <c r="BQ754" s="112">
        <f t="shared" ref="BQ754:BT754" si="3366">SUM(BQ751:BQ753)</f>
        <v>2914</v>
      </c>
      <c r="BR754" s="112">
        <f t="shared" si="3366"/>
        <v>3481</v>
      </c>
      <c r="BS754" s="112">
        <f t="shared" si="3366"/>
        <v>4131</v>
      </c>
      <c r="BT754" s="112" t="str">
        <f t="shared" si="3366"/>
        <v>#ERROR!</v>
      </c>
      <c r="BU754" s="73" t="str">
        <f>SUM(BQ754:BT754)</f>
        <v>#ERROR!</v>
      </c>
      <c r="BV754" s="112" t="str">
        <f t="shared" ref="BV754:BY754" si="3367">SUM(BV751:BV753)</f>
        <v>#ERROR!</v>
      </c>
      <c r="BW754" s="112" t="str">
        <f t="shared" si="3367"/>
        <v>#ERROR!</v>
      </c>
      <c r="BX754" s="112" t="str">
        <f t="shared" si="3367"/>
        <v>#ERROR!</v>
      </c>
      <c r="BY754" s="112" t="str">
        <f t="shared" si="3367"/>
        <v>#ERROR!</v>
      </c>
      <c r="BZ754" s="18" t="str">
        <f>SUM(BV754:BY754)</f>
        <v>#ERROR!</v>
      </c>
      <c r="CA754" s="112" t="str">
        <f t="shared" ref="CA754:CD754" si="3368">SUM(CA751:CA753)</f>
        <v>#ERROR!</v>
      </c>
      <c r="CB754" s="112" t="str">
        <f t="shared" si="3368"/>
        <v>#ERROR!</v>
      </c>
      <c r="CC754" s="112" t="str">
        <f t="shared" si="3368"/>
        <v>#ERROR!</v>
      </c>
      <c r="CD754" s="112" t="str">
        <f t="shared" si="3368"/>
        <v>#ERROR!</v>
      </c>
      <c r="CE754" s="18" t="str">
        <f>SUM(CA754:CD754)</f>
        <v>#ERROR!</v>
      </c>
      <c r="CF754" s="112" t="str">
        <f t="shared" ref="CF754:CI754" si="3369">SUM(CF751:CF753)</f>
        <v>#ERROR!</v>
      </c>
      <c r="CG754" s="112" t="str">
        <f t="shared" si="3369"/>
        <v>#ERROR!</v>
      </c>
      <c r="CH754" s="112" t="str">
        <f t="shared" si="3369"/>
        <v>#ERROR!</v>
      </c>
      <c r="CI754" s="112" t="str">
        <f t="shared" si="3369"/>
        <v>#ERROR!</v>
      </c>
      <c r="CJ754" s="18" t="str">
        <f>SUM(CF754:CI754)</f>
        <v>#ERROR!</v>
      </c>
      <c r="CK754" s="112" t="str">
        <f t="shared" ref="CK754:CN754" si="3370">SUM(CK751:CK753)</f>
        <v>#ERROR!</v>
      </c>
      <c r="CL754" s="112" t="str">
        <f t="shared" si="3370"/>
        <v>#ERROR!</v>
      </c>
      <c r="CM754" s="112" t="str">
        <f t="shared" si="3370"/>
        <v>#ERROR!</v>
      </c>
      <c r="CN754" s="146" t="str">
        <f t="shared" si="3370"/>
        <v>#ERROR!</v>
      </c>
      <c r="CO754" s="18" t="str">
        <f>SUM(CK754:CN754)</f>
        <v>#ERROR!</v>
      </c>
      <c r="CP754" s="146" t="str">
        <f t="shared" ref="CP754:CS754" si="3371">SUM(CP751:CP753)</f>
        <v>#ERROR!</v>
      </c>
      <c r="CQ754" s="112" t="str">
        <f t="shared" si="3371"/>
        <v>#ERROR!</v>
      </c>
      <c r="CR754" s="112" t="str">
        <f t="shared" si="3371"/>
        <v>#ERROR!</v>
      </c>
      <c r="CS754" s="112" t="str">
        <f t="shared" si="3371"/>
        <v>#ERROR!</v>
      </c>
      <c r="CT754" s="18" t="str">
        <f>SUM(CP754:CS754)</f>
        <v>#ERROR!</v>
      </c>
      <c r="CU754" s="112" t="str">
        <f t="shared" ref="CU754:CX754" si="3372">SUM(CU751:CU753)</f>
        <v>#ERROR!</v>
      </c>
      <c r="CV754" s="112" t="str">
        <f t="shared" si="3372"/>
        <v>#ERROR!</v>
      </c>
      <c r="CW754" s="112" t="str">
        <f t="shared" si="3372"/>
        <v>#ERROR!</v>
      </c>
      <c r="CX754" s="112" t="str">
        <f t="shared" si="3372"/>
        <v>#ERROR!</v>
      </c>
      <c r="CY754" s="18" t="str">
        <f>SUM(CU754:CX754)</f>
        <v>#ERROR!</v>
      </c>
      <c r="CZ754" s="112" t="str">
        <f t="shared" ref="CZ754:DC754" si="3373">SUM(CZ751:CZ753)</f>
        <v>#ERROR!</v>
      </c>
      <c r="DA754" s="112" t="str">
        <f t="shared" si="3373"/>
        <v>#ERROR!</v>
      </c>
      <c r="DB754" s="112" t="str">
        <f t="shared" si="3373"/>
        <v>#ERROR!</v>
      </c>
      <c r="DC754" s="112" t="str">
        <f t="shared" si="3373"/>
        <v>#ERROR!</v>
      </c>
      <c r="DD754" s="18" t="str">
        <f>SUM(CZ754:DC754)</f>
        <v>#ERROR!</v>
      </c>
      <c r="DE754" s="112" t="str">
        <f t="shared" ref="DE754:DH754" si="3374">SUM(DE751:DE753)</f>
        <v>#ERROR!</v>
      </c>
      <c r="DF754" s="112" t="str">
        <f t="shared" si="3374"/>
        <v>#ERROR!</v>
      </c>
      <c r="DG754" s="146" t="str">
        <f t="shared" si="3374"/>
        <v>#ERROR!</v>
      </c>
      <c r="DH754" s="112" t="str">
        <f t="shared" si="3374"/>
        <v>#ERROR!</v>
      </c>
      <c r="DI754" s="18" t="str">
        <f>SUM(DE754:DH754)</f>
        <v>#ERROR!</v>
      </c>
      <c r="DJ754" s="146" t="str">
        <f t="shared" ref="DJ754:DM754" si="3375">SUM(DJ751:DJ753)</f>
        <v>#ERROR!</v>
      </c>
      <c r="DK754" s="146" t="str">
        <f t="shared" si="3375"/>
        <v>#ERROR!</v>
      </c>
      <c r="DL754" s="146" t="str">
        <f t="shared" si="3375"/>
        <v>#ERROR!</v>
      </c>
      <c r="DM754" s="112" t="str">
        <f t="shared" si="3375"/>
        <v>#ERROR!</v>
      </c>
      <c r="DN754" s="18" t="str">
        <f>SUM(DJ754:DM754)</f>
        <v>#ERROR!</v>
      </c>
      <c r="DO754" s="112" t="str">
        <f t="shared" ref="DO754:DR754" si="3376">SUM(DO751:DO753)</f>
        <v>#ERROR!</v>
      </c>
      <c r="DP754" s="112" t="str">
        <f t="shared" si="3376"/>
        <v>#ERROR!</v>
      </c>
      <c r="DQ754" s="112" t="str">
        <f t="shared" si="3376"/>
        <v>#ERROR!</v>
      </c>
      <c r="DR754" s="112" t="str">
        <f t="shared" si="3376"/>
        <v>#ERROR!</v>
      </c>
      <c r="DS754" s="18" t="str">
        <f>SUM(DO754:DR754)</f>
        <v>#ERROR!</v>
      </c>
      <c r="DT754" s="112" t="str">
        <f t="shared" ref="DT754:DW754" si="3377">SUM(DT751:DT753)</f>
        <v>#ERROR!</v>
      </c>
      <c r="DU754" s="112" t="str">
        <f t="shared" si="3377"/>
        <v>#ERROR!</v>
      </c>
      <c r="DV754" s="112" t="str">
        <f t="shared" si="3377"/>
        <v>#ERROR!</v>
      </c>
      <c r="DW754" s="112" t="str">
        <f t="shared" si="3377"/>
        <v>#ERROR!</v>
      </c>
      <c r="DX754" s="18" t="str">
        <f>SUM(DT754:DW754)</f>
        <v>#ERROR!</v>
      </c>
      <c r="DY754" s="112" t="str">
        <f t="shared" ref="DY754:EB754" si="3378">SUM(DY751:DY753)</f>
        <v>#ERROR!</v>
      </c>
      <c r="DZ754" s="112" t="str">
        <f t="shared" si="3378"/>
        <v>#ERROR!</v>
      </c>
      <c r="EA754" s="112" t="str">
        <f t="shared" si="3378"/>
        <v>#ERROR!</v>
      </c>
      <c r="EB754" s="112" t="str">
        <f t="shared" si="3378"/>
        <v>#ERROR!</v>
      </c>
      <c r="EC754" s="18" t="str">
        <f>SUM(DY754:EB754)</f>
        <v>#ERROR!</v>
      </c>
      <c r="ED754" s="112" t="str">
        <f t="shared" ref="ED754:EG754" si="3379">SUM(ED751:ED753)</f>
        <v>#ERROR!</v>
      </c>
      <c r="EE754" s="112" t="str">
        <f t="shared" si="3379"/>
        <v>#ERROR!</v>
      </c>
      <c r="EF754" s="112" t="str">
        <f t="shared" si="3379"/>
        <v>#ERROR!</v>
      </c>
      <c r="EG754" s="112" t="str">
        <f t="shared" si="3379"/>
        <v>#ERROR!</v>
      </c>
      <c r="EH754" s="18" t="str">
        <f>SUM(ED754:EG754)</f>
        <v>#ERROR!</v>
      </c>
      <c r="EI754" s="110" t="str">
        <f t="shared" ref="EI754:EL754" si="3380">SUM(EI751:EI753)</f>
        <v>#ERROR!</v>
      </c>
      <c r="EJ754" s="112" t="str">
        <f t="shared" si="3380"/>
        <v>#ERROR!</v>
      </c>
      <c r="EK754" s="112" t="str">
        <f t="shared" si="3380"/>
        <v>#ERROR!</v>
      </c>
      <c r="EL754" s="112" t="str">
        <f t="shared" si="3380"/>
        <v>#ERROR!</v>
      </c>
      <c r="EM754" s="18" t="str">
        <f>SUM(EI754:EL754)</f>
        <v>#ERROR!</v>
      </c>
      <c r="EN754" s="112" t="str">
        <f t="shared" ref="EN754:EQ754" si="3381">SUM(EN751:EN753)</f>
        <v>#ERROR!</v>
      </c>
      <c r="EO754" s="112" t="str">
        <f t="shared" si="3381"/>
        <v>#ERROR!</v>
      </c>
      <c r="EP754" s="112" t="str">
        <f t="shared" si="3381"/>
        <v>#ERROR!</v>
      </c>
      <c r="EQ754" s="112" t="str">
        <f t="shared" si="3381"/>
        <v>#ERROR!</v>
      </c>
      <c r="ER754" s="18" t="str">
        <f>SUM(EN754:EQ754)</f>
        <v>#ERROR!</v>
      </c>
      <c r="ES754" s="112" t="str">
        <f t="shared" ref="ES754:EV754" si="3382">SUM(ES751:ES753)</f>
        <v>#ERROR!</v>
      </c>
      <c r="ET754" s="112" t="str">
        <f t="shared" si="3382"/>
        <v>#ERROR!</v>
      </c>
      <c r="EU754" s="112" t="str">
        <f t="shared" si="3382"/>
        <v>#ERROR!</v>
      </c>
      <c r="EV754" s="112" t="str">
        <f t="shared" si="3382"/>
        <v>#ERROR!</v>
      </c>
      <c r="EW754" s="18" t="str">
        <f>SUM(ES754:EV754)</f>
        <v>#ERROR!</v>
      </c>
      <c r="EX754" s="112" t="str">
        <f t="shared" ref="EX754:FA754" si="3383">SUM(EX751:EX753)</f>
        <v>#ERROR!</v>
      </c>
      <c r="EY754" s="112" t="str">
        <f t="shared" si="3383"/>
        <v>#ERROR!</v>
      </c>
      <c r="EZ754" s="112" t="str">
        <f t="shared" si="3383"/>
        <v>#ERROR!</v>
      </c>
      <c r="FA754" s="112" t="str">
        <f t="shared" si="3383"/>
        <v>#ERROR!</v>
      </c>
      <c r="FB754" s="18" t="str">
        <f>SUM(EX754:FA754)</f>
        <v>#ERROR!</v>
      </c>
      <c r="FC754" s="112" t="str">
        <f t="shared" ref="FC754:FF754" si="3384">SUM(FC751:FC753)</f>
        <v>#ERROR!</v>
      </c>
      <c r="FD754" s="112" t="str">
        <f t="shared" si="3384"/>
        <v>#ERROR!</v>
      </c>
      <c r="FE754" s="112" t="str">
        <f t="shared" si="3384"/>
        <v>#ERROR!</v>
      </c>
      <c r="FF754" s="112" t="str">
        <f t="shared" si="3384"/>
        <v>#ERROR!</v>
      </c>
      <c r="FG754" s="18" t="str">
        <f>SUM(FC754:FF754)</f>
        <v>#ERROR!</v>
      </c>
      <c r="FH754" s="74"/>
      <c r="FI754" s="112"/>
      <c r="FJ754" s="112"/>
      <c r="FK754" s="73"/>
      <c r="FL754" s="112"/>
    </row>
    <row r="755" ht="12.75" hidden="1" customHeight="1" outlineLevel="2">
      <c r="A755" s="4"/>
      <c r="B755" s="72" t="s">
        <v>316</v>
      </c>
      <c r="C755" s="45"/>
      <c r="D755" s="17"/>
      <c r="E755" s="17"/>
      <c r="F755" s="17"/>
      <c r="G755" s="17"/>
      <c r="H755" s="73"/>
      <c r="I755" s="17"/>
      <c r="J755" s="17"/>
      <c r="K755" s="17"/>
      <c r="L755" s="17"/>
      <c r="M755" s="73"/>
      <c r="N755" s="17"/>
      <c r="O755" s="17"/>
      <c r="P755" s="17"/>
      <c r="Q755" s="17"/>
      <c r="R755" s="73"/>
      <c r="S755" s="17"/>
      <c r="T755" s="17"/>
      <c r="U755" s="17"/>
      <c r="V755" s="17"/>
      <c r="W755" s="73"/>
      <c r="X755" s="17"/>
      <c r="Y755" s="17"/>
      <c r="Z755" s="17"/>
      <c r="AA755" s="17"/>
      <c r="AB755" s="73"/>
      <c r="AC755" s="17"/>
      <c r="AD755" s="17"/>
      <c r="AE755" s="17"/>
      <c r="AF755" s="17"/>
      <c r="AG755" s="73"/>
      <c r="AH755" s="17"/>
      <c r="AI755" s="17"/>
      <c r="AJ755" s="17"/>
      <c r="AK755" s="17"/>
      <c r="AL755" s="73"/>
      <c r="AM755" s="17"/>
      <c r="AN755" s="17"/>
      <c r="AO755" s="17"/>
      <c r="AP755" s="17"/>
      <c r="AQ755" s="73"/>
      <c r="AR755" s="17"/>
      <c r="AS755" s="17"/>
      <c r="AT755" s="17"/>
      <c r="AU755" s="17"/>
      <c r="AV755" s="73"/>
      <c r="AW755" s="17"/>
      <c r="AX755" s="17"/>
      <c r="AY755" s="17">
        <v>573.0</v>
      </c>
      <c r="AZ755" s="17">
        <v>600.0</v>
      </c>
      <c r="BA755" s="73">
        <v>2278.0</v>
      </c>
      <c r="BB755" s="17">
        <f t="shared" ref="BB755:BC755" si="3385">BB757-BB756</f>
        <v>523</v>
      </c>
      <c r="BC755" s="17">
        <f t="shared" si="3385"/>
        <v>508</v>
      </c>
      <c r="BD755" s="17">
        <v>466.0</v>
      </c>
      <c r="BE755" s="17">
        <v>510.0</v>
      </c>
      <c r="BF755" s="73">
        <f t="shared" si="3386"/>
        <v>2007</v>
      </c>
      <c r="BG755" s="17">
        <f t="shared" ref="BG755:BJ755" si="3387">BG757-BG756</f>
        <v>427</v>
      </c>
      <c r="BH755" s="17">
        <f t="shared" si="3387"/>
        <v>404.7</v>
      </c>
      <c r="BI755" s="17">
        <f t="shared" si="3387"/>
        <v>421</v>
      </c>
      <c r="BJ755" s="17">
        <f t="shared" si="3387"/>
        <v>439</v>
      </c>
      <c r="BK755" s="73">
        <f t="shared" si="3388"/>
        <v>1691.7</v>
      </c>
      <c r="BL755" s="17">
        <f>BL757-BL756</f>
        <v>319</v>
      </c>
      <c r="BM755" s="17">
        <v>75.0</v>
      </c>
      <c r="BN755" s="17">
        <v>30.0</v>
      </c>
      <c r="BO755" s="17">
        <v>20.0</v>
      </c>
      <c r="BP755" s="73">
        <f t="shared" si="3389"/>
        <v>444</v>
      </c>
      <c r="BQ755" s="17"/>
      <c r="BR755" s="17"/>
      <c r="BS755" s="17"/>
      <c r="BT755" s="17"/>
      <c r="BU755" s="73"/>
      <c r="BV755" s="17"/>
      <c r="BW755" s="17"/>
      <c r="BX755" s="17"/>
      <c r="BY755" s="17"/>
      <c r="BZ755" s="18"/>
      <c r="CA755" s="17"/>
      <c r="CB755" s="17"/>
      <c r="CC755" s="17"/>
      <c r="CD755" s="17"/>
      <c r="CE755" s="18"/>
      <c r="CF755" s="17"/>
      <c r="CG755" s="17"/>
      <c r="CH755" s="17"/>
      <c r="CI755" s="17"/>
      <c r="CJ755" s="18"/>
      <c r="CK755" s="17"/>
      <c r="CL755" s="17"/>
      <c r="CM755" s="17"/>
      <c r="CN755" s="19"/>
      <c r="CO755" s="18"/>
      <c r="CP755" s="19"/>
      <c r="CQ755" s="17"/>
      <c r="CR755" s="17"/>
      <c r="CS755" s="17"/>
      <c r="CT755" s="18"/>
      <c r="CU755" s="17"/>
      <c r="CV755" s="17"/>
      <c r="CW755" s="17"/>
      <c r="CX755" s="17"/>
      <c r="CY755" s="18"/>
      <c r="CZ755" s="17"/>
      <c r="DA755" s="17"/>
      <c r="DB755" s="17"/>
      <c r="DC755" s="17"/>
      <c r="DD755" s="18"/>
      <c r="DE755" s="17"/>
      <c r="DF755" s="17"/>
      <c r="DG755" s="19"/>
      <c r="DH755" s="17"/>
      <c r="DI755" s="18"/>
      <c r="DJ755" s="19"/>
      <c r="DK755" s="19"/>
      <c r="DL755" s="19"/>
      <c r="DM755" s="17"/>
      <c r="DN755" s="18"/>
      <c r="DO755" s="17"/>
      <c r="DP755" s="17"/>
      <c r="DQ755" s="17"/>
      <c r="DR755" s="17"/>
      <c r="DS755" s="18"/>
      <c r="DT755" s="17"/>
      <c r="DU755" s="17"/>
      <c r="DV755" s="17"/>
      <c r="DW755" s="17"/>
      <c r="DX755" s="18"/>
      <c r="DY755" s="17"/>
      <c r="DZ755" s="17"/>
      <c r="EA755" s="17"/>
      <c r="EB755" s="17"/>
      <c r="EC755" s="18"/>
      <c r="ED755" s="17"/>
      <c r="EE755" s="17"/>
      <c r="EF755" s="17"/>
      <c r="EG755" s="17"/>
      <c r="EH755" s="18"/>
      <c r="EI755" s="25"/>
      <c r="EJ755" s="17"/>
      <c r="EK755" s="17"/>
      <c r="EL755" s="17"/>
      <c r="EM755" s="18"/>
      <c r="EN755" s="17"/>
      <c r="EO755" s="17"/>
      <c r="EP755" s="17"/>
      <c r="EQ755" s="17"/>
      <c r="ER755" s="18"/>
      <c r="ES755" s="17"/>
      <c r="ET755" s="17"/>
      <c r="EU755" s="17"/>
      <c r="EV755" s="17"/>
      <c r="EW755" s="18"/>
      <c r="EX755" s="17"/>
      <c r="EY755" s="17"/>
      <c r="EZ755" s="17"/>
      <c r="FA755" s="17"/>
      <c r="FB755" s="18"/>
      <c r="FC755" s="17"/>
      <c r="FD755" s="17"/>
      <c r="FE755" s="17"/>
      <c r="FF755" s="17"/>
      <c r="FG755" s="18"/>
      <c r="FH755" s="74"/>
      <c r="FI755" s="17"/>
      <c r="FJ755" s="17"/>
      <c r="FK755" s="73"/>
      <c r="FL755" s="17"/>
    </row>
    <row r="756" ht="12.75" hidden="1" customHeight="1" outlineLevel="2">
      <c r="A756" s="4"/>
      <c r="B756" s="72" t="s">
        <v>286</v>
      </c>
      <c r="C756" s="45"/>
      <c r="D756" s="17"/>
      <c r="E756" s="17"/>
      <c r="F756" s="17"/>
      <c r="G756" s="17"/>
      <c r="H756" s="73"/>
      <c r="I756" s="17"/>
      <c r="J756" s="17"/>
      <c r="K756" s="17"/>
      <c r="L756" s="17"/>
      <c r="M756" s="73"/>
      <c r="N756" s="17"/>
      <c r="O756" s="17"/>
      <c r="P756" s="17"/>
      <c r="Q756" s="17"/>
      <c r="R756" s="73"/>
      <c r="S756" s="17"/>
      <c r="T756" s="17"/>
      <c r="U756" s="17"/>
      <c r="V756" s="17"/>
      <c r="W756" s="73"/>
      <c r="X756" s="17"/>
      <c r="Y756" s="17"/>
      <c r="Z756" s="17"/>
      <c r="AA756" s="17"/>
      <c r="AB756" s="73"/>
      <c r="AC756" s="17"/>
      <c r="AD756" s="17"/>
      <c r="AE756" s="17"/>
      <c r="AF756" s="17"/>
      <c r="AG756" s="73"/>
      <c r="AH756" s="17"/>
      <c r="AI756" s="17"/>
      <c r="AJ756" s="17"/>
      <c r="AK756" s="17"/>
      <c r="AL756" s="73"/>
      <c r="AM756" s="17"/>
      <c r="AN756" s="17"/>
      <c r="AO756" s="17"/>
      <c r="AP756" s="17"/>
      <c r="AQ756" s="73"/>
      <c r="AR756" s="17"/>
      <c r="AS756" s="17"/>
      <c r="AT756" s="17"/>
      <c r="AU756" s="17"/>
      <c r="AV756" s="73"/>
      <c r="AW756" s="17"/>
      <c r="AX756" s="17"/>
      <c r="AY756" s="17"/>
      <c r="AZ756" s="17"/>
      <c r="BA756" s="73"/>
      <c r="BB756" s="17">
        <v>21.0</v>
      </c>
      <c r="BC756" s="17">
        <v>28.0</v>
      </c>
      <c r="BD756" s="17">
        <v>35.0</v>
      </c>
      <c r="BE756" s="17">
        <v>42.0</v>
      </c>
      <c r="BF756" s="73">
        <f t="shared" si="3386"/>
        <v>126</v>
      </c>
      <c r="BG756" s="17">
        <v>42.0</v>
      </c>
      <c r="BH756" s="17">
        <v>89.3</v>
      </c>
      <c r="BI756" s="17">
        <v>132.0</v>
      </c>
      <c r="BJ756" s="17">
        <v>147.0</v>
      </c>
      <c r="BK756" s="73">
        <f t="shared" si="3388"/>
        <v>410.3</v>
      </c>
      <c r="BL756" s="17">
        <v>180.0</v>
      </c>
      <c r="BM756" s="17">
        <v>175.0</v>
      </c>
      <c r="BN756" s="17">
        <v>155.0</v>
      </c>
      <c r="BO756" s="17">
        <v>150.0</v>
      </c>
      <c r="BP756" s="73">
        <f t="shared" si="3389"/>
        <v>660</v>
      </c>
      <c r="BQ756" s="17">
        <v>155.0</v>
      </c>
      <c r="BR756" s="17">
        <v>193.0</v>
      </c>
      <c r="BS756" s="17">
        <v>219.0</v>
      </c>
      <c r="BT756" s="17">
        <v>270.0</v>
      </c>
      <c r="BU756" s="73">
        <f>SUM(BQ756:BT756)</f>
        <v>837</v>
      </c>
      <c r="BV756" s="17">
        <v>314.234375</v>
      </c>
      <c r="BW756" s="17">
        <v>304.80734375</v>
      </c>
      <c r="BX756" s="17">
        <f>BW756*1.2</f>
        <v>365.7688125</v>
      </c>
      <c r="BY756" s="17">
        <f>BX756*1.1</f>
        <v>402.3456938</v>
      </c>
      <c r="BZ756" s="18">
        <f>SUM(BV756:BY756)</f>
        <v>1387.156225</v>
      </c>
      <c r="CA756" s="17">
        <f>BY756*0.85</f>
        <v>341.9938397</v>
      </c>
      <c r="CB756" s="17">
        <f>CA756*0.97</f>
        <v>331.7340245</v>
      </c>
      <c r="CC756" s="17">
        <f>CB756*1.2</f>
        <v>398.0808294</v>
      </c>
      <c r="CD756" s="17">
        <f>CC756*1.1</f>
        <v>437.8889123</v>
      </c>
      <c r="CE756" s="18">
        <f>SUM(CA756:CD756)</f>
        <v>1509.697606</v>
      </c>
      <c r="CF756" s="17">
        <f>CD756*0.85</f>
        <v>372.2055755</v>
      </c>
      <c r="CG756" s="17">
        <f>CF756*0.97</f>
        <v>361.0394082</v>
      </c>
      <c r="CH756" s="17">
        <f>CG756*1.2</f>
        <v>433.2472899</v>
      </c>
      <c r="CI756" s="17">
        <f>CH756*1.1</f>
        <v>476.5720189</v>
      </c>
      <c r="CJ756" s="18">
        <f>SUM(CF756:CI756)</f>
        <v>1643.064292</v>
      </c>
      <c r="CK756" s="17">
        <f>CI756*0.85</f>
        <v>405.086216</v>
      </c>
      <c r="CL756" s="17">
        <f>CK756*0.97</f>
        <v>392.9336295</v>
      </c>
      <c r="CM756" s="17">
        <f>CL756*1.2</f>
        <v>471.5203555</v>
      </c>
      <c r="CN756" s="19">
        <f>CM756*1.1</f>
        <v>518.672391</v>
      </c>
      <c r="CO756" s="18">
        <f>SUM(CK756:CN756)</f>
        <v>1788.212592</v>
      </c>
      <c r="CP756" s="19">
        <f>CN756*0.85</f>
        <v>440.8715323</v>
      </c>
      <c r="CQ756" s="17">
        <f>CP756*0.97</f>
        <v>427.6453864</v>
      </c>
      <c r="CR756" s="17">
        <f>CQ756*1.2</f>
        <v>513.1744637</v>
      </c>
      <c r="CS756" s="17">
        <f>CR756*1.1</f>
        <v>564.49191</v>
      </c>
      <c r="CT756" s="18">
        <f>SUM(CP756:CS756)</f>
        <v>1946.183292</v>
      </c>
      <c r="CU756" s="17">
        <f>CS756*0.85</f>
        <v>479.8181235</v>
      </c>
      <c r="CV756" s="17">
        <f>CU756*0.97</f>
        <v>465.4235798</v>
      </c>
      <c r="CW756" s="17">
        <f>CV756*1.2</f>
        <v>558.5082958</v>
      </c>
      <c r="CX756" s="17">
        <f>CW756*1.1</f>
        <v>614.3591253</v>
      </c>
      <c r="CY756" s="18">
        <f>SUM(CU756:CX756)</f>
        <v>2118.109124</v>
      </c>
      <c r="CZ756" s="17">
        <f>CX756*0.85</f>
        <v>522.2052565</v>
      </c>
      <c r="DA756" s="17">
        <f>CZ756*0.97</f>
        <v>506.5390988</v>
      </c>
      <c r="DB756" s="17">
        <f>DA756*1.2</f>
        <v>607.8469186</v>
      </c>
      <c r="DC756" s="17">
        <f>DB756*1.1</f>
        <v>668.6316105</v>
      </c>
      <c r="DD756" s="18">
        <f>SUM(CZ756:DC756)</f>
        <v>2305.222884</v>
      </c>
      <c r="DE756" s="17">
        <f>DC756*0.85</f>
        <v>568.3368689</v>
      </c>
      <c r="DF756" s="17">
        <f>DE756*0.97</f>
        <v>551.2867628</v>
      </c>
      <c r="DG756" s="19">
        <f>DF756*1.2</f>
        <v>661.5441154</v>
      </c>
      <c r="DH756" s="17">
        <f>DG756*1.1</f>
        <v>727.698527</v>
      </c>
      <c r="DI756" s="18">
        <f>SUM(DE756:DH756)</f>
        <v>2508.866274</v>
      </c>
      <c r="DJ756" s="19">
        <f>DH756*0.85</f>
        <v>618.5437479</v>
      </c>
      <c r="DK756" s="19">
        <f>DJ756*0.97</f>
        <v>599.9874355</v>
      </c>
      <c r="DL756" s="19">
        <f>DK756*1.2</f>
        <v>719.9849226</v>
      </c>
      <c r="DM756" s="17">
        <f>DL756*1.1</f>
        <v>791.9834148</v>
      </c>
      <c r="DN756" s="18">
        <f>SUM(DJ756:DM756)</f>
        <v>2730.499521</v>
      </c>
      <c r="DO756" s="17">
        <f>DM756*0.85</f>
        <v>673.1859026</v>
      </c>
      <c r="DP756" s="17">
        <f>DO756*0.97</f>
        <v>652.9903255</v>
      </c>
      <c r="DQ756" s="17">
        <f>DP756*1.2</f>
        <v>783.5883906</v>
      </c>
      <c r="DR756" s="17">
        <f>DQ756*1.1</f>
        <v>861.9472297</v>
      </c>
      <c r="DS756" s="18">
        <f>SUM(DO756:DR756)</f>
        <v>2971.711848</v>
      </c>
      <c r="DT756" s="17">
        <f>DR756*0.85</f>
        <v>732.6551452</v>
      </c>
      <c r="DU756" s="17">
        <f>DT756*0.97</f>
        <v>710.6754909</v>
      </c>
      <c r="DV756" s="17">
        <f>DU756*1.2</f>
        <v>852.8105891</v>
      </c>
      <c r="DW756" s="17">
        <f>DV756*1.1</f>
        <v>938.091648</v>
      </c>
      <c r="DX756" s="18">
        <f>SUM(DT756:DW756)</f>
        <v>3234.232873</v>
      </c>
      <c r="DY756" s="17">
        <f>DW756*0.85</f>
        <v>797.3779008</v>
      </c>
      <c r="DZ756" s="17">
        <f>DY756*0.97</f>
        <v>773.4565637</v>
      </c>
      <c r="EA756" s="17">
        <f>DZ756*1.2</f>
        <v>928.1478765</v>
      </c>
      <c r="EB756" s="17">
        <f>EA756*1.1</f>
        <v>1020.962664</v>
      </c>
      <c r="EC756" s="18">
        <f>SUM(DY756:EB756)</f>
        <v>3519.945005</v>
      </c>
      <c r="ED756" s="17">
        <f>EB756*0.85</f>
        <v>867.8182645</v>
      </c>
      <c r="EE756" s="17">
        <f>ED756*0.97</f>
        <v>841.7837166</v>
      </c>
      <c r="EF756" s="17">
        <f>EE756*1.2</f>
        <v>1010.14046</v>
      </c>
      <c r="EG756" s="17">
        <f>EF756*1.1</f>
        <v>1111.154506</v>
      </c>
      <c r="EH756" s="18">
        <f>SUM(ED756:EG756)</f>
        <v>3830.896947</v>
      </c>
      <c r="EI756" s="25">
        <f>EG756*0.85</f>
        <v>944.48133</v>
      </c>
      <c r="EJ756" s="17">
        <f>EI756*0.97</f>
        <v>916.1468901</v>
      </c>
      <c r="EK756" s="17">
        <f>EJ756*1.2</f>
        <v>1099.376268</v>
      </c>
      <c r="EL756" s="17">
        <f>EK756*1.1</f>
        <v>1209.313895</v>
      </c>
      <c r="EM756" s="18">
        <f>SUM(EI756:EL756)</f>
        <v>4169.318383</v>
      </c>
      <c r="EN756" s="17">
        <f>EL756*0.85</f>
        <v>1027.916811</v>
      </c>
      <c r="EO756" s="17">
        <f>EN756*0.97</f>
        <v>997.0793064</v>
      </c>
      <c r="EP756" s="17">
        <f>EO756*1.2</f>
        <v>1196.495168</v>
      </c>
      <c r="EQ756" s="17">
        <f>EP756*1.1</f>
        <v>1316.144684</v>
      </c>
      <c r="ER756" s="18">
        <f>SUM(EN756:EQ756)</f>
        <v>4537.635969</v>
      </c>
      <c r="ES756" s="17">
        <f>EQ756*0.85</f>
        <v>1118.722982</v>
      </c>
      <c r="ET756" s="17">
        <f>ES756*0.97</f>
        <v>1085.161292</v>
      </c>
      <c r="EU756" s="17">
        <f>ET756*1.2</f>
        <v>1302.193551</v>
      </c>
      <c r="EV756" s="17">
        <f>EU756*1.1</f>
        <v>1432.412906</v>
      </c>
      <c r="EW756" s="18">
        <f>SUM(ES756:EV756)</f>
        <v>4938.490731</v>
      </c>
      <c r="EX756" s="17">
        <f>EV756*0.85</f>
        <v>1217.55097</v>
      </c>
      <c r="EY756" s="17">
        <f>EX756*0.97</f>
        <v>1181.024441</v>
      </c>
      <c r="EZ756" s="17">
        <f>EY756*1.2</f>
        <v>1417.229329</v>
      </c>
      <c r="FA756" s="17">
        <f>EZ756*1.1</f>
        <v>1558.952262</v>
      </c>
      <c r="FB756" s="18">
        <f>SUM(EX756:FA756)</f>
        <v>5374.757002</v>
      </c>
      <c r="FC756" s="17">
        <f>FA756*0.85</f>
        <v>1325.109423</v>
      </c>
      <c r="FD756" s="17">
        <f>FC756*0.97</f>
        <v>1285.35614</v>
      </c>
      <c r="FE756" s="17">
        <f>FD756*1.2</f>
        <v>1542.427368</v>
      </c>
      <c r="FF756" s="17">
        <f>FE756*1.1</f>
        <v>1696.670105</v>
      </c>
      <c r="FG756" s="18">
        <f>SUM(FC756:FF756)</f>
        <v>5849.563035</v>
      </c>
      <c r="FH756" s="74"/>
      <c r="FI756" s="17"/>
      <c r="FJ756" s="17"/>
      <c r="FK756" s="73"/>
      <c r="FL756" s="17"/>
    </row>
    <row r="757" ht="12.75" hidden="1" customHeight="1" outlineLevel="2">
      <c r="A757" s="45"/>
      <c r="B757" s="215" t="s">
        <v>317</v>
      </c>
      <c r="C757" s="45"/>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f t="shared" ref="AY757:AZ757" si="3390">AY755+AY756</f>
        <v>573</v>
      </c>
      <c r="AZ757" s="112">
        <f t="shared" si="3390"/>
        <v>600</v>
      </c>
      <c r="BA757" s="112">
        <v>2278.0</v>
      </c>
      <c r="BB757" s="112">
        <v>544.0</v>
      </c>
      <c r="BC757" s="112">
        <v>536.0</v>
      </c>
      <c r="BD757" s="112">
        <v>507.0</v>
      </c>
      <c r="BE757" s="112">
        <v>576.0</v>
      </c>
      <c r="BF757" s="112">
        <f>BF755+BF756</f>
        <v>2133</v>
      </c>
      <c r="BG757" s="112">
        <v>469.0</v>
      </c>
      <c r="BH757" s="112">
        <v>494.0</v>
      </c>
      <c r="BI757" s="112">
        <v>553.0</v>
      </c>
      <c r="BJ757" s="112">
        <v>586.0</v>
      </c>
      <c r="BK757" s="112">
        <f>BK755+BK756</f>
        <v>2102</v>
      </c>
      <c r="BL757" s="112">
        <v>499.0</v>
      </c>
      <c r="BM757" s="112"/>
      <c r="BN757" s="112"/>
      <c r="BO757" s="112"/>
      <c r="BP757" s="112"/>
      <c r="BQ757" s="112"/>
      <c r="BR757" s="112"/>
      <c r="BS757" s="112"/>
      <c r="BT757" s="112"/>
      <c r="BU757" s="112"/>
      <c r="BV757" s="112"/>
      <c r="BW757" s="112"/>
      <c r="BX757" s="112"/>
      <c r="BY757" s="112"/>
      <c r="BZ757" s="80"/>
      <c r="CA757" s="112"/>
      <c r="CB757" s="112"/>
      <c r="CC757" s="112"/>
      <c r="CD757" s="112"/>
      <c r="CE757" s="80"/>
      <c r="CF757" s="112"/>
      <c r="CG757" s="112"/>
      <c r="CH757" s="112"/>
      <c r="CI757" s="112"/>
      <c r="CJ757" s="80"/>
      <c r="CK757" s="112"/>
      <c r="CL757" s="112"/>
      <c r="CM757" s="112"/>
      <c r="CN757" s="146"/>
      <c r="CO757" s="80"/>
      <c r="CP757" s="146"/>
      <c r="CQ757" s="112"/>
      <c r="CR757" s="112"/>
      <c r="CS757" s="112"/>
      <c r="CT757" s="80"/>
      <c r="CU757" s="112"/>
      <c r="CV757" s="112"/>
      <c r="CW757" s="112"/>
      <c r="CX757" s="112"/>
      <c r="CY757" s="80"/>
      <c r="CZ757" s="112"/>
      <c r="DA757" s="112"/>
      <c r="DB757" s="112"/>
      <c r="DC757" s="112"/>
      <c r="DD757" s="80"/>
      <c r="DE757" s="112"/>
      <c r="DF757" s="112"/>
      <c r="DG757" s="146"/>
      <c r="DH757" s="112"/>
      <c r="DI757" s="80"/>
      <c r="DJ757" s="146"/>
      <c r="DK757" s="146"/>
      <c r="DL757" s="146"/>
      <c r="DM757" s="112"/>
      <c r="DN757" s="80"/>
      <c r="DO757" s="112"/>
      <c r="DP757" s="112"/>
      <c r="DQ757" s="112"/>
      <c r="DR757" s="112"/>
      <c r="DS757" s="80"/>
      <c r="DT757" s="112"/>
      <c r="DU757" s="112"/>
      <c r="DV757" s="112"/>
      <c r="DW757" s="112"/>
      <c r="DX757" s="80"/>
      <c r="DY757" s="112"/>
      <c r="DZ757" s="112"/>
      <c r="EA757" s="112"/>
      <c r="EB757" s="112"/>
      <c r="EC757" s="80"/>
      <c r="ED757" s="112"/>
      <c r="EE757" s="112"/>
      <c r="EF757" s="112"/>
      <c r="EG757" s="112"/>
      <c r="EH757" s="80"/>
      <c r="EI757" s="110"/>
      <c r="EJ757" s="112"/>
      <c r="EK757" s="112"/>
      <c r="EL757" s="112"/>
      <c r="EM757" s="80"/>
      <c r="EN757" s="112"/>
      <c r="EO757" s="112"/>
      <c r="EP757" s="112"/>
      <c r="EQ757" s="112"/>
      <c r="ER757" s="80"/>
      <c r="ES757" s="112"/>
      <c r="ET757" s="112"/>
      <c r="EU757" s="112"/>
      <c r="EV757" s="112"/>
      <c r="EW757" s="80"/>
      <c r="EX757" s="112"/>
      <c r="EY757" s="112"/>
      <c r="EZ757" s="112"/>
      <c r="FA757" s="112"/>
      <c r="FB757" s="80"/>
      <c r="FC757" s="112"/>
      <c r="FD757" s="112"/>
      <c r="FE757" s="112"/>
      <c r="FF757" s="112"/>
      <c r="FG757" s="80"/>
      <c r="FH757" s="146"/>
      <c r="FI757" s="112"/>
      <c r="FJ757" s="112"/>
      <c r="FK757" s="112"/>
      <c r="FL757" s="112"/>
    </row>
    <row r="758" ht="12.75" hidden="1" customHeight="1" outlineLevel="2">
      <c r="A758" s="4"/>
      <c r="B758" s="72" t="s">
        <v>318</v>
      </c>
      <c r="C758" s="4"/>
      <c r="D758" s="17"/>
      <c r="E758" s="17"/>
      <c r="F758" s="17"/>
      <c r="G758" s="17"/>
      <c r="H758" s="73"/>
      <c r="I758" s="17"/>
      <c r="J758" s="17"/>
      <c r="K758" s="17"/>
      <c r="L758" s="17"/>
      <c r="M758" s="73"/>
      <c r="N758" s="17"/>
      <c r="O758" s="17"/>
      <c r="P758" s="17"/>
      <c r="Q758" s="17"/>
      <c r="R758" s="73"/>
      <c r="S758" s="17"/>
      <c r="T758" s="17"/>
      <c r="U758" s="17"/>
      <c r="V758" s="17"/>
      <c r="W758" s="73"/>
      <c r="X758" s="17"/>
      <c r="Y758" s="17"/>
      <c r="Z758" s="17"/>
      <c r="AA758" s="17"/>
      <c r="AB758" s="73"/>
      <c r="AC758" s="17"/>
      <c r="AD758" s="17"/>
      <c r="AE758" s="17"/>
      <c r="AF758" s="17"/>
      <c r="AG758" s="73"/>
      <c r="AH758" s="17"/>
      <c r="AI758" s="17"/>
      <c r="AJ758" s="17"/>
      <c r="AK758" s="17"/>
      <c r="AL758" s="73"/>
      <c r="AM758" s="17"/>
      <c r="AN758" s="17"/>
      <c r="AO758" s="17"/>
      <c r="AP758" s="17"/>
      <c r="AQ758" s="73"/>
      <c r="AR758" s="17"/>
      <c r="AS758" s="17"/>
      <c r="AT758" s="17"/>
      <c r="AU758" s="17"/>
      <c r="AV758" s="73"/>
      <c r="AW758" s="17"/>
      <c r="AX758" s="17"/>
      <c r="AY758" s="17"/>
      <c r="AZ758" s="17"/>
      <c r="BA758" s="73"/>
      <c r="BB758" s="17">
        <f t="shared" ref="BB758:BE758" si="3391">BB762-BB759</f>
        <v>195</v>
      </c>
      <c r="BC758" s="17">
        <f t="shared" si="3391"/>
        <v>113</v>
      </c>
      <c r="BD758" s="17">
        <f t="shared" si="3391"/>
        <v>163</v>
      </c>
      <c r="BE758" s="17">
        <f t="shared" si="3391"/>
        <v>283</v>
      </c>
      <c r="BF758" s="73">
        <f t="shared" ref="BF758:BF761" si="3393">SUM(BB758:BE758)</f>
        <v>754</v>
      </c>
      <c r="BG758" s="17">
        <f t="shared" ref="BG758:BI758" si="3392">BG762-BG759</f>
        <v>242</v>
      </c>
      <c r="BH758" s="17">
        <f t="shared" si="3392"/>
        <v>167</v>
      </c>
      <c r="BI758" s="17">
        <f t="shared" si="3392"/>
        <v>282</v>
      </c>
      <c r="BJ758" s="17">
        <v>240.0</v>
      </c>
      <c r="BK758" s="73">
        <f t="shared" ref="BK758:BK761" si="3394">SUM(BG758:BJ758)</f>
        <v>931</v>
      </c>
      <c r="BL758" s="17"/>
      <c r="BM758" s="17"/>
      <c r="BN758" s="17"/>
      <c r="BO758" s="17"/>
      <c r="BP758" s="73"/>
      <c r="BQ758" s="17">
        <v>25.0</v>
      </c>
      <c r="BR758" s="17">
        <f>BQ758*0.98</f>
        <v>24.5</v>
      </c>
      <c r="BS758" s="17">
        <v>50.0</v>
      </c>
      <c r="BT758" s="17">
        <v>50.0</v>
      </c>
      <c r="BU758" s="73">
        <f t="shared" ref="BU758:BU762" si="3397">SUM(BQ758:BT758)</f>
        <v>149.5</v>
      </c>
      <c r="BV758" s="17">
        <v>50.0</v>
      </c>
      <c r="BW758" s="17">
        <f>BV758*0.98</f>
        <v>49</v>
      </c>
      <c r="BX758" s="17">
        <f>BW758*1.25</f>
        <v>61.25</v>
      </c>
      <c r="BY758" s="17">
        <f>BX758*1.15</f>
        <v>70.4375</v>
      </c>
      <c r="BZ758" s="18">
        <f t="shared" ref="BZ758:BZ762" si="3399">SUM(BV758:BY758)</f>
        <v>230.6875</v>
      </c>
      <c r="CA758" s="17">
        <v>50.0</v>
      </c>
      <c r="CB758" s="17">
        <f>CA758*0.98</f>
        <v>49</v>
      </c>
      <c r="CC758" s="17">
        <f>CB758*1.25</f>
        <v>61.25</v>
      </c>
      <c r="CD758" s="17">
        <f>CC758*1.15</f>
        <v>70.4375</v>
      </c>
      <c r="CE758" s="18">
        <f t="shared" ref="CE758:CE762" si="3401">SUM(CA758:CD758)</f>
        <v>230.6875</v>
      </c>
      <c r="CF758" s="17">
        <v>50.0</v>
      </c>
      <c r="CG758" s="17">
        <f>CF758*0.98</f>
        <v>49</v>
      </c>
      <c r="CH758" s="17">
        <f>CG758*1.25</f>
        <v>61.25</v>
      </c>
      <c r="CI758" s="17">
        <f>CH758*1.15</f>
        <v>70.4375</v>
      </c>
      <c r="CJ758" s="18">
        <f t="shared" ref="CJ758:CJ762" si="3403">SUM(CF758:CI758)</f>
        <v>230.6875</v>
      </c>
      <c r="CK758" s="17">
        <v>50.0</v>
      </c>
      <c r="CL758" s="17">
        <f>CK758*0.98</f>
        <v>49</v>
      </c>
      <c r="CM758" s="17">
        <f>CL758*1.25</f>
        <v>61.25</v>
      </c>
      <c r="CN758" s="19">
        <f>CM758*1.15</f>
        <v>70.4375</v>
      </c>
      <c r="CO758" s="18">
        <f t="shared" ref="CO758:CO762" si="3405">SUM(CK758:CN758)</f>
        <v>230.6875</v>
      </c>
      <c r="CP758" s="19">
        <v>50.0</v>
      </c>
      <c r="CQ758" s="17">
        <f>CP758*0.98</f>
        <v>49</v>
      </c>
      <c r="CR758" s="17">
        <f>CQ758*1.25</f>
        <v>61.25</v>
      </c>
      <c r="CS758" s="17">
        <f>CR758*1.15</f>
        <v>70.4375</v>
      </c>
      <c r="CT758" s="18">
        <f t="shared" ref="CT758:CT762" si="3407">SUM(CP758:CS758)</f>
        <v>230.6875</v>
      </c>
      <c r="CU758" s="17">
        <v>50.0</v>
      </c>
      <c r="CV758" s="17">
        <f>CU758*0.98</f>
        <v>49</v>
      </c>
      <c r="CW758" s="17">
        <f>CV758*1.25</f>
        <v>61.25</v>
      </c>
      <c r="CX758" s="17">
        <f>CW758*1.15</f>
        <v>70.4375</v>
      </c>
      <c r="CY758" s="18">
        <f t="shared" ref="CY758:CY762" si="3409">SUM(CU758:CX758)</f>
        <v>230.6875</v>
      </c>
      <c r="CZ758" s="17">
        <v>50.0</v>
      </c>
      <c r="DA758" s="17">
        <f>CZ758*0.98</f>
        <v>49</v>
      </c>
      <c r="DB758" s="17">
        <f>DA758*1.25</f>
        <v>61.25</v>
      </c>
      <c r="DC758" s="17">
        <f>DB758*1.15</f>
        <v>70.4375</v>
      </c>
      <c r="DD758" s="18">
        <f t="shared" ref="DD758:DD762" si="3411">SUM(CZ758:DC758)</f>
        <v>230.6875</v>
      </c>
      <c r="DE758" s="17">
        <v>50.0</v>
      </c>
      <c r="DF758" s="17">
        <f>DE758*0.98</f>
        <v>49</v>
      </c>
      <c r="DG758" s="19">
        <f>DF758*1.25</f>
        <v>61.25</v>
      </c>
      <c r="DH758" s="17">
        <f>DG758*1.15</f>
        <v>70.4375</v>
      </c>
      <c r="DI758" s="18">
        <f t="shared" ref="DI758:DI762" si="3413">SUM(DE758:DH758)</f>
        <v>230.6875</v>
      </c>
      <c r="DJ758" s="19">
        <v>50.0</v>
      </c>
      <c r="DK758" s="19">
        <f>DJ758*0.98</f>
        <v>49</v>
      </c>
      <c r="DL758" s="19">
        <f>DK758*1.25</f>
        <v>61.25</v>
      </c>
      <c r="DM758" s="17">
        <f>DL758*1.15</f>
        <v>70.4375</v>
      </c>
      <c r="DN758" s="18">
        <f t="shared" ref="DN758:DN762" si="3415">SUM(DJ758:DM758)</f>
        <v>230.6875</v>
      </c>
      <c r="DO758" s="17">
        <v>50.0</v>
      </c>
      <c r="DP758" s="17">
        <f>DO758*0.98</f>
        <v>49</v>
      </c>
      <c r="DQ758" s="17">
        <f>DP758*1.25</f>
        <v>61.25</v>
      </c>
      <c r="DR758" s="17">
        <f>DQ758*1.15</f>
        <v>70.4375</v>
      </c>
      <c r="DS758" s="18">
        <f t="shared" ref="DS758:DS762" si="3417">SUM(DO758:DR758)</f>
        <v>230.6875</v>
      </c>
      <c r="DT758" s="17">
        <v>50.0</v>
      </c>
      <c r="DU758" s="17">
        <f>DT758*0.98</f>
        <v>49</v>
      </c>
      <c r="DV758" s="17">
        <f>DU758*1.25</f>
        <v>61.25</v>
      </c>
      <c r="DW758" s="17">
        <f>DV758*1.15</f>
        <v>70.4375</v>
      </c>
      <c r="DX758" s="18">
        <f t="shared" ref="DX758:DX762" si="3419">SUM(DT758:DW758)</f>
        <v>230.6875</v>
      </c>
      <c r="DY758" s="17">
        <v>50.0</v>
      </c>
      <c r="DZ758" s="17">
        <f>DY758*0.98</f>
        <v>49</v>
      </c>
      <c r="EA758" s="17">
        <f>DZ758*1.25</f>
        <v>61.25</v>
      </c>
      <c r="EB758" s="17">
        <f>EA758*1.15</f>
        <v>70.4375</v>
      </c>
      <c r="EC758" s="18">
        <f t="shared" ref="EC758:EC762" si="3421">SUM(DY758:EB758)</f>
        <v>230.6875</v>
      </c>
      <c r="ED758" s="17">
        <v>50.0</v>
      </c>
      <c r="EE758" s="17">
        <f>ED758*0.98</f>
        <v>49</v>
      </c>
      <c r="EF758" s="17">
        <f>EE758*1.25</f>
        <v>61.25</v>
      </c>
      <c r="EG758" s="17">
        <f>EF758*1.15</f>
        <v>70.4375</v>
      </c>
      <c r="EH758" s="18">
        <f t="shared" ref="EH758:EH762" si="3423">SUM(ED758:EG758)</f>
        <v>230.6875</v>
      </c>
      <c r="EI758" s="25">
        <v>50.0</v>
      </c>
      <c r="EJ758" s="17">
        <f>EI758*0.98</f>
        <v>49</v>
      </c>
      <c r="EK758" s="17">
        <f>EJ758*1.25</f>
        <v>61.25</v>
      </c>
      <c r="EL758" s="17">
        <f>EK758*1.15</f>
        <v>70.4375</v>
      </c>
      <c r="EM758" s="18">
        <f t="shared" ref="EM758:EM762" si="3425">SUM(EI758:EL758)</f>
        <v>230.6875</v>
      </c>
      <c r="EN758" s="17">
        <v>50.0</v>
      </c>
      <c r="EO758" s="17">
        <f>EN758*0.98</f>
        <v>49</v>
      </c>
      <c r="EP758" s="17">
        <f>EO758*1.25</f>
        <v>61.25</v>
      </c>
      <c r="EQ758" s="17">
        <f>EP758*1.15</f>
        <v>70.4375</v>
      </c>
      <c r="ER758" s="18">
        <f t="shared" ref="ER758:ER762" si="3427">SUM(EN758:EQ758)</f>
        <v>230.6875</v>
      </c>
      <c r="ES758" s="17">
        <v>50.0</v>
      </c>
      <c r="ET758" s="17">
        <f>ES758*0.98</f>
        <v>49</v>
      </c>
      <c r="EU758" s="17">
        <f>ET758*1.25</f>
        <v>61.25</v>
      </c>
      <c r="EV758" s="17">
        <f>EU758*1.15</f>
        <v>70.4375</v>
      </c>
      <c r="EW758" s="18">
        <f t="shared" ref="EW758:EW762" si="3429">SUM(ES758:EV758)</f>
        <v>230.6875</v>
      </c>
      <c r="EX758" s="17">
        <v>50.0</v>
      </c>
      <c r="EY758" s="17">
        <f>EX758*0.98</f>
        <v>49</v>
      </c>
      <c r="EZ758" s="17">
        <f>EY758*1.25</f>
        <v>61.25</v>
      </c>
      <c r="FA758" s="17">
        <f>EZ758*1.15</f>
        <v>70.4375</v>
      </c>
      <c r="FB758" s="18">
        <f t="shared" ref="FB758:FB762" si="3431">SUM(EX758:FA758)</f>
        <v>230.6875</v>
      </c>
      <c r="FC758" s="17">
        <v>50.0</v>
      </c>
      <c r="FD758" s="17">
        <f>FC758*0.98</f>
        <v>49</v>
      </c>
      <c r="FE758" s="17">
        <f>FD758*1.25</f>
        <v>61.25</v>
      </c>
      <c r="FF758" s="17">
        <f>FE758*1.15</f>
        <v>70.4375</v>
      </c>
      <c r="FG758" s="18">
        <f t="shared" ref="FG758:FG762" si="3433">SUM(FC758:FF758)</f>
        <v>230.6875</v>
      </c>
      <c r="FH758" s="74"/>
      <c r="FI758" s="17"/>
      <c r="FJ758" s="17"/>
      <c r="FK758" s="73"/>
      <c r="FL758" s="17"/>
    </row>
    <row r="759" ht="12.75" hidden="1" customHeight="1" outlineLevel="2">
      <c r="A759" s="4"/>
      <c r="B759" s="72" t="s">
        <v>223</v>
      </c>
      <c r="C759" s="4"/>
      <c r="D759" s="17"/>
      <c r="E759" s="17"/>
      <c r="F759" s="17"/>
      <c r="G759" s="17"/>
      <c r="H759" s="73"/>
      <c r="I759" s="17"/>
      <c r="J759" s="17"/>
      <c r="K759" s="17"/>
      <c r="L759" s="17"/>
      <c r="M759" s="73"/>
      <c r="N759" s="17"/>
      <c r="O759" s="17"/>
      <c r="P759" s="17"/>
      <c r="Q759" s="17"/>
      <c r="R759" s="73"/>
      <c r="S759" s="17"/>
      <c r="T759" s="17"/>
      <c r="U759" s="17"/>
      <c r="V759" s="17"/>
      <c r="W759" s="73"/>
      <c r="X759" s="17"/>
      <c r="Y759" s="17"/>
      <c r="Z759" s="17"/>
      <c r="AA759" s="17"/>
      <c r="AB759" s="73"/>
      <c r="AC759" s="17"/>
      <c r="AD759" s="17"/>
      <c r="AE759" s="17"/>
      <c r="AF759" s="17"/>
      <c r="AG759" s="73"/>
      <c r="AH759" s="17"/>
      <c r="AI759" s="17"/>
      <c r="AJ759" s="17"/>
      <c r="AK759" s="17"/>
      <c r="AL759" s="73"/>
      <c r="AM759" s="17"/>
      <c r="AN759" s="17"/>
      <c r="AO759" s="17"/>
      <c r="AP759" s="17"/>
      <c r="AQ759" s="73">
        <v>388.0</v>
      </c>
      <c r="AR759" s="17">
        <v>35.0</v>
      </c>
      <c r="AS759" s="17">
        <f>Sales-AS750-AS754</f>
        <v>38</v>
      </c>
      <c r="AT759" s="17">
        <f>Sales-AT750-AT754</f>
        <v>44</v>
      </c>
      <c r="AU759" s="17">
        <f>Sales-AU750-AU754</f>
        <v>47</v>
      </c>
      <c r="AV759" s="73">
        <v>164.0</v>
      </c>
      <c r="AW759" s="17">
        <v>62.0</v>
      </c>
      <c r="AX759" s="17">
        <v>80.0</v>
      </c>
      <c r="AY759" s="17">
        <v>47.0</v>
      </c>
      <c r="AZ759" s="17">
        <v>91.0</v>
      </c>
      <c r="BA759" s="73">
        <f t="shared" ref="BA759:BA761" si="3434">SUM(AW759:AZ759)</f>
        <v>280</v>
      </c>
      <c r="BB759" s="17">
        <v>75.0</v>
      </c>
      <c r="BC759" s="17">
        <v>50.0</v>
      </c>
      <c r="BD759" s="17">
        <v>75.0</v>
      </c>
      <c r="BE759" s="17">
        <v>80.0</v>
      </c>
      <c r="BF759" s="73">
        <f t="shared" si="3393"/>
        <v>280</v>
      </c>
      <c r="BG759" s="17">
        <v>80.0</v>
      </c>
      <c r="BH759" s="17">
        <v>80.0</v>
      </c>
      <c r="BI759" s="17">
        <f>BH759</f>
        <v>80</v>
      </c>
      <c r="BJ759" s="17">
        <f>BJ762-BJ758</f>
        <v>40</v>
      </c>
      <c r="BK759" s="73">
        <f t="shared" si="3394"/>
        <v>280</v>
      </c>
      <c r="BL759" s="17">
        <f t="shared" ref="BL759:BO759" si="3395">BL762-BL755-BL756</f>
        <v>64</v>
      </c>
      <c r="BM759" s="17">
        <f t="shared" si="3395"/>
        <v>50</v>
      </c>
      <c r="BN759" s="17">
        <f t="shared" si="3395"/>
        <v>33</v>
      </c>
      <c r="BO759" s="17">
        <f t="shared" si="3395"/>
        <v>55</v>
      </c>
      <c r="BP759" s="73">
        <f t="shared" ref="BP759:BP761" si="3435">SUM(BL759:BO759)</f>
        <v>202</v>
      </c>
      <c r="BQ759" s="17">
        <f t="shared" ref="BQ759:BR759" si="3396">BQ762-SUM(BQ755:BQ758)</f>
        <v>42</v>
      </c>
      <c r="BR759" s="17">
        <f t="shared" si="3396"/>
        <v>21.5</v>
      </c>
      <c r="BS759" s="17">
        <f>BS762-BS756-BS758</f>
        <v>76</v>
      </c>
      <c r="BT759" s="17">
        <v>70.0</v>
      </c>
      <c r="BU759" s="73">
        <f t="shared" si="3397"/>
        <v>209.5</v>
      </c>
      <c r="BV759" s="17">
        <v>40.0</v>
      </c>
      <c r="BW759" s="17">
        <f t="shared" ref="BW759:BY759" si="3398">BV759</f>
        <v>40</v>
      </c>
      <c r="BX759" s="17">
        <f t="shared" si="3398"/>
        <v>40</v>
      </c>
      <c r="BY759" s="17">
        <f t="shared" si="3398"/>
        <v>40</v>
      </c>
      <c r="BZ759" s="18">
        <f t="shared" si="3399"/>
        <v>160</v>
      </c>
      <c r="CA759" s="17">
        <v>75.0</v>
      </c>
      <c r="CB759" s="17">
        <f t="shared" ref="CB759:CD759" si="3400">CA759</f>
        <v>75</v>
      </c>
      <c r="CC759" s="17">
        <f t="shared" si="3400"/>
        <v>75</v>
      </c>
      <c r="CD759" s="17">
        <f t="shared" si="3400"/>
        <v>75</v>
      </c>
      <c r="CE759" s="18">
        <f t="shared" si="3401"/>
        <v>300</v>
      </c>
      <c r="CF759" s="17">
        <v>75.0</v>
      </c>
      <c r="CG759" s="17">
        <f t="shared" ref="CG759:CI759" si="3402">CF759</f>
        <v>75</v>
      </c>
      <c r="CH759" s="17">
        <f t="shared" si="3402"/>
        <v>75</v>
      </c>
      <c r="CI759" s="17">
        <f t="shared" si="3402"/>
        <v>75</v>
      </c>
      <c r="CJ759" s="18">
        <f t="shared" si="3403"/>
        <v>300</v>
      </c>
      <c r="CK759" s="17">
        <v>75.0</v>
      </c>
      <c r="CL759" s="17">
        <f t="shared" ref="CL759:CN759" si="3404">CK759</f>
        <v>75</v>
      </c>
      <c r="CM759" s="17">
        <f t="shared" si="3404"/>
        <v>75</v>
      </c>
      <c r="CN759" s="19">
        <f t="shared" si="3404"/>
        <v>75</v>
      </c>
      <c r="CO759" s="18">
        <f t="shared" si="3405"/>
        <v>300</v>
      </c>
      <c r="CP759" s="19">
        <v>75.0</v>
      </c>
      <c r="CQ759" s="17">
        <f t="shared" ref="CQ759:CS759" si="3406">CP759</f>
        <v>75</v>
      </c>
      <c r="CR759" s="17">
        <f t="shared" si="3406"/>
        <v>75</v>
      </c>
      <c r="CS759" s="17">
        <f t="shared" si="3406"/>
        <v>75</v>
      </c>
      <c r="CT759" s="18">
        <f t="shared" si="3407"/>
        <v>300</v>
      </c>
      <c r="CU759" s="17">
        <v>75.0</v>
      </c>
      <c r="CV759" s="17">
        <f t="shared" ref="CV759:CX759" si="3408">CU759</f>
        <v>75</v>
      </c>
      <c r="CW759" s="17">
        <f t="shared" si="3408"/>
        <v>75</v>
      </c>
      <c r="CX759" s="17">
        <f t="shared" si="3408"/>
        <v>75</v>
      </c>
      <c r="CY759" s="18">
        <f t="shared" si="3409"/>
        <v>300</v>
      </c>
      <c r="CZ759" s="17">
        <v>75.0</v>
      </c>
      <c r="DA759" s="17">
        <f t="shared" ref="DA759:DC759" si="3410">CZ759</f>
        <v>75</v>
      </c>
      <c r="DB759" s="17">
        <f t="shared" si="3410"/>
        <v>75</v>
      </c>
      <c r="DC759" s="17">
        <f t="shared" si="3410"/>
        <v>75</v>
      </c>
      <c r="DD759" s="18">
        <f t="shared" si="3411"/>
        <v>300</v>
      </c>
      <c r="DE759" s="17">
        <v>75.0</v>
      </c>
      <c r="DF759" s="17">
        <f t="shared" ref="DF759:DH759" si="3412">DE759</f>
        <v>75</v>
      </c>
      <c r="DG759" s="19">
        <f t="shared" si="3412"/>
        <v>75</v>
      </c>
      <c r="DH759" s="17">
        <f t="shared" si="3412"/>
        <v>75</v>
      </c>
      <c r="DI759" s="18">
        <f t="shared" si="3413"/>
        <v>300</v>
      </c>
      <c r="DJ759" s="19">
        <v>75.0</v>
      </c>
      <c r="DK759" s="19">
        <f t="shared" ref="DK759:DM759" si="3414">DJ759</f>
        <v>75</v>
      </c>
      <c r="DL759" s="19">
        <f t="shared" si="3414"/>
        <v>75</v>
      </c>
      <c r="DM759" s="17">
        <f t="shared" si="3414"/>
        <v>75</v>
      </c>
      <c r="DN759" s="18">
        <f t="shared" si="3415"/>
        <v>300</v>
      </c>
      <c r="DO759" s="17">
        <v>75.0</v>
      </c>
      <c r="DP759" s="17">
        <f t="shared" ref="DP759:DR759" si="3416">DO759</f>
        <v>75</v>
      </c>
      <c r="DQ759" s="17">
        <f t="shared" si="3416"/>
        <v>75</v>
      </c>
      <c r="DR759" s="17">
        <f t="shared" si="3416"/>
        <v>75</v>
      </c>
      <c r="DS759" s="18">
        <f t="shared" si="3417"/>
        <v>300</v>
      </c>
      <c r="DT759" s="17">
        <v>75.0</v>
      </c>
      <c r="DU759" s="17">
        <f t="shared" ref="DU759:DW759" si="3418">DT759</f>
        <v>75</v>
      </c>
      <c r="DV759" s="17">
        <f t="shared" si="3418"/>
        <v>75</v>
      </c>
      <c r="DW759" s="17">
        <f t="shared" si="3418"/>
        <v>75</v>
      </c>
      <c r="DX759" s="18">
        <f t="shared" si="3419"/>
        <v>300</v>
      </c>
      <c r="DY759" s="17">
        <v>75.0</v>
      </c>
      <c r="DZ759" s="17">
        <f t="shared" ref="DZ759:EB759" si="3420">DY759</f>
        <v>75</v>
      </c>
      <c r="EA759" s="17">
        <f t="shared" si="3420"/>
        <v>75</v>
      </c>
      <c r="EB759" s="17">
        <f t="shared" si="3420"/>
        <v>75</v>
      </c>
      <c r="EC759" s="18">
        <f t="shared" si="3421"/>
        <v>300</v>
      </c>
      <c r="ED759" s="17">
        <v>75.0</v>
      </c>
      <c r="EE759" s="17">
        <f t="shared" ref="EE759:EG759" si="3422">ED759</f>
        <v>75</v>
      </c>
      <c r="EF759" s="17">
        <f t="shared" si="3422"/>
        <v>75</v>
      </c>
      <c r="EG759" s="17">
        <f t="shared" si="3422"/>
        <v>75</v>
      </c>
      <c r="EH759" s="18">
        <f t="shared" si="3423"/>
        <v>300</v>
      </c>
      <c r="EI759" s="25">
        <v>75.0</v>
      </c>
      <c r="EJ759" s="17">
        <f t="shared" ref="EJ759:EL759" si="3424">EI759</f>
        <v>75</v>
      </c>
      <c r="EK759" s="17">
        <f t="shared" si="3424"/>
        <v>75</v>
      </c>
      <c r="EL759" s="17">
        <f t="shared" si="3424"/>
        <v>75</v>
      </c>
      <c r="EM759" s="18">
        <f t="shared" si="3425"/>
        <v>300</v>
      </c>
      <c r="EN759" s="17">
        <v>75.0</v>
      </c>
      <c r="EO759" s="17">
        <f t="shared" ref="EO759:EQ759" si="3426">EN759</f>
        <v>75</v>
      </c>
      <c r="EP759" s="17">
        <f t="shared" si="3426"/>
        <v>75</v>
      </c>
      <c r="EQ759" s="17">
        <f t="shared" si="3426"/>
        <v>75</v>
      </c>
      <c r="ER759" s="18">
        <f t="shared" si="3427"/>
        <v>300</v>
      </c>
      <c r="ES759" s="17">
        <v>75.0</v>
      </c>
      <c r="ET759" s="17">
        <f t="shared" ref="ET759:EV759" si="3428">ES759</f>
        <v>75</v>
      </c>
      <c r="EU759" s="17">
        <f t="shared" si="3428"/>
        <v>75</v>
      </c>
      <c r="EV759" s="17">
        <f t="shared" si="3428"/>
        <v>75</v>
      </c>
      <c r="EW759" s="18">
        <f t="shared" si="3429"/>
        <v>300</v>
      </c>
      <c r="EX759" s="17">
        <v>75.0</v>
      </c>
      <c r="EY759" s="17">
        <f t="shared" ref="EY759:FA759" si="3430">EX759</f>
        <v>75</v>
      </c>
      <c r="EZ759" s="17">
        <f t="shared" si="3430"/>
        <v>75</v>
      </c>
      <c r="FA759" s="17">
        <f t="shared" si="3430"/>
        <v>75</v>
      </c>
      <c r="FB759" s="18">
        <f t="shared" si="3431"/>
        <v>300</v>
      </c>
      <c r="FC759" s="17">
        <v>75.0</v>
      </c>
      <c r="FD759" s="17">
        <f t="shared" ref="FD759:FF759" si="3432">FC759</f>
        <v>75</v>
      </c>
      <c r="FE759" s="17">
        <f t="shared" si="3432"/>
        <v>75</v>
      </c>
      <c r="FF759" s="17">
        <f t="shared" si="3432"/>
        <v>75</v>
      </c>
      <c r="FG759" s="18">
        <f t="shared" si="3433"/>
        <v>300</v>
      </c>
      <c r="FH759" s="74"/>
      <c r="FI759" s="17"/>
      <c r="FJ759" s="17"/>
      <c r="FK759" s="73"/>
      <c r="FL759" s="17"/>
    </row>
    <row r="760" ht="12.75" hidden="1" customHeight="1" outlineLevel="3">
      <c r="A760" s="45"/>
      <c r="B760" s="215" t="s">
        <v>319</v>
      </c>
      <c r="C760" s="45"/>
      <c r="D760" s="112"/>
      <c r="E760" s="112"/>
      <c r="F760" s="112"/>
      <c r="G760" s="112"/>
      <c r="H760" s="73"/>
      <c r="I760" s="112"/>
      <c r="J760" s="112"/>
      <c r="K760" s="112"/>
      <c r="L760" s="112"/>
      <c r="M760" s="73"/>
      <c r="N760" s="112"/>
      <c r="O760" s="112"/>
      <c r="P760" s="112"/>
      <c r="Q760" s="112"/>
      <c r="R760" s="73"/>
      <c r="S760" s="112"/>
      <c r="T760" s="112"/>
      <c r="U760" s="112"/>
      <c r="V760" s="112"/>
      <c r="W760" s="73"/>
      <c r="X760" s="112"/>
      <c r="Y760" s="112"/>
      <c r="Z760" s="112"/>
      <c r="AA760" s="112"/>
      <c r="AB760" s="73"/>
      <c r="AC760" s="112"/>
      <c r="AD760" s="112"/>
      <c r="AE760" s="112"/>
      <c r="AF760" s="112"/>
      <c r="AG760" s="73"/>
      <c r="AH760" s="112"/>
      <c r="AI760" s="112"/>
      <c r="AJ760" s="112"/>
      <c r="AK760" s="112"/>
      <c r="AL760" s="73"/>
      <c r="AM760" s="112"/>
      <c r="AN760" s="112"/>
      <c r="AO760" s="112"/>
      <c r="AP760" s="112"/>
      <c r="AQ760" s="73"/>
      <c r="AR760" s="112">
        <v>0.0</v>
      </c>
      <c r="AS760" s="112">
        <v>0.0</v>
      </c>
      <c r="AT760" s="112">
        <v>0.0</v>
      </c>
      <c r="AU760" s="112">
        <v>0.0</v>
      </c>
      <c r="AV760" s="73">
        <f t="shared" ref="AV760:AV761" si="3436">SUM(AR760:AU760)</f>
        <v>0</v>
      </c>
      <c r="AW760" s="112">
        <v>0.0</v>
      </c>
      <c r="AX760" s="112">
        <v>0.0</v>
      </c>
      <c r="AY760" s="112">
        <v>0.0</v>
      </c>
      <c r="AZ760" s="112">
        <v>0.0</v>
      </c>
      <c r="BA760" s="73">
        <f t="shared" si="3434"/>
        <v>0</v>
      </c>
      <c r="BB760" s="112">
        <v>0.0</v>
      </c>
      <c r="BC760" s="112">
        <v>0.0</v>
      </c>
      <c r="BD760" s="112">
        <v>0.0</v>
      </c>
      <c r="BE760" s="112">
        <v>0.0</v>
      </c>
      <c r="BF760" s="73">
        <f t="shared" si="3393"/>
        <v>0</v>
      </c>
      <c r="BG760" s="112">
        <v>0.0</v>
      </c>
      <c r="BH760" s="112">
        <v>0.0</v>
      </c>
      <c r="BI760" s="112">
        <v>0.0</v>
      </c>
      <c r="BJ760" s="112">
        <v>0.0</v>
      </c>
      <c r="BK760" s="73">
        <f t="shared" si="3394"/>
        <v>0</v>
      </c>
      <c r="BL760" s="112">
        <v>0.0</v>
      </c>
      <c r="BM760" s="112">
        <v>0.0</v>
      </c>
      <c r="BN760" s="112">
        <v>0.0</v>
      </c>
      <c r="BO760" s="112">
        <v>0.0</v>
      </c>
      <c r="BP760" s="73">
        <f t="shared" si="3435"/>
        <v>0</v>
      </c>
      <c r="BQ760" s="112">
        <v>0.0</v>
      </c>
      <c r="BR760" s="112">
        <v>0.0</v>
      </c>
      <c r="BS760" s="112">
        <v>0.0</v>
      </c>
      <c r="BT760" s="112">
        <v>0.0</v>
      </c>
      <c r="BU760" s="73">
        <f t="shared" si="3397"/>
        <v>0</v>
      </c>
      <c r="BV760" s="112">
        <v>0.0</v>
      </c>
      <c r="BW760" s="112">
        <v>0.0</v>
      </c>
      <c r="BX760" s="112">
        <v>0.0</v>
      </c>
      <c r="BY760" s="112">
        <v>0.0</v>
      </c>
      <c r="BZ760" s="18">
        <f t="shared" si="3399"/>
        <v>0</v>
      </c>
      <c r="CA760" s="112">
        <v>0.0</v>
      </c>
      <c r="CB760" s="112">
        <v>0.0</v>
      </c>
      <c r="CC760" s="112">
        <v>0.0</v>
      </c>
      <c r="CD760" s="112">
        <v>0.0</v>
      </c>
      <c r="CE760" s="18">
        <f t="shared" si="3401"/>
        <v>0</v>
      </c>
      <c r="CF760" s="112">
        <v>0.0</v>
      </c>
      <c r="CG760" s="112">
        <v>0.0</v>
      </c>
      <c r="CH760" s="112">
        <v>0.0</v>
      </c>
      <c r="CI760" s="112">
        <v>0.0</v>
      </c>
      <c r="CJ760" s="18">
        <f t="shared" si="3403"/>
        <v>0</v>
      </c>
      <c r="CK760" s="112">
        <v>0.0</v>
      </c>
      <c r="CL760" s="112">
        <v>0.0</v>
      </c>
      <c r="CM760" s="112">
        <v>0.0</v>
      </c>
      <c r="CN760" s="146">
        <v>0.0</v>
      </c>
      <c r="CO760" s="18">
        <f t="shared" si="3405"/>
        <v>0</v>
      </c>
      <c r="CP760" s="146">
        <v>0.0</v>
      </c>
      <c r="CQ760" s="112">
        <v>0.0</v>
      </c>
      <c r="CR760" s="112">
        <v>0.0</v>
      </c>
      <c r="CS760" s="112">
        <v>0.0</v>
      </c>
      <c r="CT760" s="18">
        <f t="shared" si="3407"/>
        <v>0</v>
      </c>
      <c r="CU760" s="112">
        <v>0.0</v>
      </c>
      <c r="CV760" s="112">
        <v>0.0</v>
      </c>
      <c r="CW760" s="112">
        <v>0.0</v>
      </c>
      <c r="CX760" s="112">
        <v>0.0</v>
      </c>
      <c r="CY760" s="18">
        <f t="shared" si="3409"/>
        <v>0</v>
      </c>
      <c r="CZ760" s="112">
        <v>0.0</v>
      </c>
      <c r="DA760" s="112">
        <v>0.0</v>
      </c>
      <c r="DB760" s="112">
        <v>0.0</v>
      </c>
      <c r="DC760" s="112">
        <v>0.0</v>
      </c>
      <c r="DD760" s="18">
        <f t="shared" si="3411"/>
        <v>0</v>
      </c>
      <c r="DE760" s="112">
        <v>0.0</v>
      </c>
      <c r="DF760" s="112">
        <v>0.0</v>
      </c>
      <c r="DG760" s="146">
        <v>0.0</v>
      </c>
      <c r="DH760" s="112">
        <v>0.0</v>
      </c>
      <c r="DI760" s="18">
        <f t="shared" si="3413"/>
        <v>0</v>
      </c>
      <c r="DJ760" s="146">
        <v>0.0</v>
      </c>
      <c r="DK760" s="146">
        <v>0.0</v>
      </c>
      <c r="DL760" s="146">
        <v>0.0</v>
      </c>
      <c r="DM760" s="112">
        <v>0.0</v>
      </c>
      <c r="DN760" s="18">
        <f t="shared" si="3415"/>
        <v>0</v>
      </c>
      <c r="DO760" s="112">
        <v>0.0</v>
      </c>
      <c r="DP760" s="112">
        <v>0.0</v>
      </c>
      <c r="DQ760" s="112">
        <v>0.0</v>
      </c>
      <c r="DR760" s="112">
        <v>0.0</v>
      </c>
      <c r="DS760" s="18">
        <f t="shared" si="3417"/>
        <v>0</v>
      </c>
      <c r="DT760" s="112">
        <v>0.0</v>
      </c>
      <c r="DU760" s="112">
        <v>0.0</v>
      </c>
      <c r="DV760" s="112">
        <v>0.0</v>
      </c>
      <c r="DW760" s="112">
        <v>0.0</v>
      </c>
      <c r="DX760" s="18">
        <f t="shared" si="3419"/>
        <v>0</v>
      </c>
      <c r="DY760" s="112">
        <v>0.0</v>
      </c>
      <c r="DZ760" s="112">
        <v>0.0</v>
      </c>
      <c r="EA760" s="112">
        <v>0.0</v>
      </c>
      <c r="EB760" s="112">
        <v>0.0</v>
      </c>
      <c r="EC760" s="18">
        <f t="shared" si="3421"/>
        <v>0</v>
      </c>
      <c r="ED760" s="112">
        <v>0.0</v>
      </c>
      <c r="EE760" s="112">
        <v>0.0</v>
      </c>
      <c r="EF760" s="112">
        <v>0.0</v>
      </c>
      <c r="EG760" s="112">
        <v>0.0</v>
      </c>
      <c r="EH760" s="18">
        <f t="shared" si="3423"/>
        <v>0</v>
      </c>
      <c r="EI760" s="110">
        <v>0.0</v>
      </c>
      <c r="EJ760" s="112">
        <v>0.0</v>
      </c>
      <c r="EK760" s="112">
        <v>0.0</v>
      </c>
      <c r="EL760" s="112">
        <v>0.0</v>
      </c>
      <c r="EM760" s="18">
        <f t="shared" si="3425"/>
        <v>0</v>
      </c>
      <c r="EN760" s="112">
        <v>0.0</v>
      </c>
      <c r="EO760" s="112">
        <v>0.0</v>
      </c>
      <c r="EP760" s="112">
        <v>0.0</v>
      </c>
      <c r="EQ760" s="112">
        <v>0.0</v>
      </c>
      <c r="ER760" s="18">
        <f t="shared" si="3427"/>
        <v>0</v>
      </c>
      <c r="ES760" s="112">
        <v>0.0</v>
      </c>
      <c r="ET760" s="112">
        <v>0.0</v>
      </c>
      <c r="EU760" s="112">
        <v>0.0</v>
      </c>
      <c r="EV760" s="112">
        <v>0.0</v>
      </c>
      <c r="EW760" s="18">
        <f t="shared" si="3429"/>
        <v>0</v>
      </c>
      <c r="EX760" s="112">
        <v>0.0</v>
      </c>
      <c r="EY760" s="112">
        <v>0.0</v>
      </c>
      <c r="EZ760" s="112">
        <v>0.0</v>
      </c>
      <c r="FA760" s="112">
        <v>0.0</v>
      </c>
      <c r="FB760" s="18">
        <f t="shared" si="3431"/>
        <v>0</v>
      </c>
      <c r="FC760" s="112">
        <v>0.0</v>
      </c>
      <c r="FD760" s="112">
        <v>0.0</v>
      </c>
      <c r="FE760" s="112">
        <v>0.0</v>
      </c>
      <c r="FF760" s="112">
        <v>0.0</v>
      </c>
      <c r="FG760" s="18">
        <f t="shared" si="3433"/>
        <v>0</v>
      </c>
      <c r="FH760" s="74"/>
      <c r="FI760" s="112"/>
      <c r="FJ760" s="112"/>
      <c r="FK760" s="73"/>
      <c r="FL760" s="112"/>
    </row>
    <row r="761" ht="12.75" hidden="1" customHeight="1" outlineLevel="3">
      <c r="A761" s="45"/>
      <c r="B761" s="215" t="s">
        <v>320</v>
      </c>
      <c r="C761" s="45"/>
      <c r="D761" s="112"/>
      <c r="E761" s="112"/>
      <c r="F761" s="112"/>
      <c r="G761" s="112"/>
      <c r="H761" s="73"/>
      <c r="I761" s="112"/>
      <c r="J761" s="112"/>
      <c r="K761" s="112"/>
      <c r="L761" s="112"/>
      <c r="M761" s="73"/>
      <c r="N761" s="112"/>
      <c r="O761" s="112"/>
      <c r="P761" s="112"/>
      <c r="Q761" s="112"/>
      <c r="R761" s="73"/>
      <c r="S761" s="112"/>
      <c r="T761" s="112"/>
      <c r="U761" s="112"/>
      <c r="V761" s="112"/>
      <c r="W761" s="73"/>
      <c r="X761" s="112"/>
      <c r="Y761" s="112"/>
      <c r="Z761" s="112"/>
      <c r="AA761" s="112"/>
      <c r="AB761" s="73"/>
      <c r="AC761" s="112"/>
      <c r="AD761" s="112"/>
      <c r="AE761" s="112"/>
      <c r="AF761" s="112"/>
      <c r="AG761" s="73"/>
      <c r="AH761" s="112"/>
      <c r="AI761" s="112"/>
      <c r="AJ761" s="112"/>
      <c r="AK761" s="112"/>
      <c r="AL761" s="73"/>
      <c r="AM761" s="112"/>
      <c r="AN761" s="112"/>
      <c r="AO761" s="112"/>
      <c r="AP761" s="112"/>
      <c r="AQ761" s="73"/>
      <c r="AR761" s="112">
        <v>0.0</v>
      </c>
      <c r="AS761" s="112">
        <v>0.0</v>
      </c>
      <c r="AT761" s="112">
        <v>0.0</v>
      </c>
      <c r="AU761" s="112">
        <v>0.0</v>
      </c>
      <c r="AV761" s="73">
        <f t="shared" si="3436"/>
        <v>0</v>
      </c>
      <c r="AW761" s="112">
        <v>0.0</v>
      </c>
      <c r="AX761" s="112">
        <v>0.0</v>
      </c>
      <c r="AY761" s="112">
        <v>0.0</v>
      </c>
      <c r="AZ761" s="112">
        <v>0.0</v>
      </c>
      <c r="BA761" s="73">
        <f t="shared" si="3434"/>
        <v>0</v>
      </c>
      <c r="BB761" s="112">
        <v>0.0</v>
      </c>
      <c r="BC761" s="112">
        <v>0.0</v>
      </c>
      <c r="BD761" s="112">
        <v>0.0</v>
      </c>
      <c r="BE761" s="112">
        <v>0.0</v>
      </c>
      <c r="BF761" s="73">
        <f t="shared" si="3393"/>
        <v>0</v>
      </c>
      <c r="BG761" s="112">
        <v>0.0</v>
      </c>
      <c r="BH761" s="112">
        <v>0.0</v>
      </c>
      <c r="BI761" s="112">
        <v>0.0</v>
      </c>
      <c r="BJ761" s="112">
        <v>0.0</v>
      </c>
      <c r="BK761" s="73">
        <f t="shared" si="3394"/>
        <v>0</v>
      </c>
      <c r="BL761" s="112">
        <v>0.0</v>
      </c>
      <c r="BM761" s="112">
        <v>0.0</v>
      </c>
      <c r="BN761" s="112">
        <v>0.0</v>
      </c>
      <c r="BO761" s="112">
        <v>0.0</v>
      </c>
      <c r="BP761" s="73">
        <f t="shared" si="3435"/>
        <v>0</v>
      </c>
      <c r="BQ761" s="112">
        <v>0.0</v>
      </c>
      <c r="BR761" s="112">
        <v>0.0</v>
      </c>
      <c r="BS761" s="112">
        <v>0.0</v>
      </c>
      <c r="BT761" s="112">
        <v>0.0</v>
      </c>
      <c r="BU761" s="73">
        <f t="shared" si="3397"/>
        <v>0</v>
      </c>
      <c r="BV761" s="112">
        <v>0.0</v>
      </c>
      <c r="BW761" s="112">
        <v>0.0</v>
      </c>
      <c r="BX761" s="112">
        <v>0.0</v>
      </c>
      <c r="BY761" s="112">
        <v>0.0</v>
      </c>
      <c r="BZ761" s="18">
        <f t="shared" si="3399"/>
        <v>0</v>
      </c>
      <c r="CA761" s="112">
        <v>0.0</v>
      </c>
      <c r="CB761" s="112">
        <v>0.0</v>
      </c>
      <c r="CC761" s="112">
        <v>0.0</v>
      </c>
      <c r="CD761" s="112">
        <v>0.0</v>
      </c>
      <c r="CE761" s="18">
        <f t="shared" si="3401"/>
        <v>0</v>
      </c>
      <c r="CF761" s="112">
        <v>0.0</v>
      </c>
      <c r="CG761" s="112">
        <v>0.0</v>
      </c>
      <c r="CH761" s="112">
        <v>0.0</v>
      </c>
      <c r="CI761" s="112">
        <v>0.0</v>
      </c>
      <c r="CJ761" s="18">
        <f t="shared" si="3403"/>
        <v>0</v>
      </c>
      <c r="CK761" s="112">
        <v>0.0</v>
      </c>
      <c r="CL761" s="112">
        <v>0.0</v>
      </c>
      <c r="CM761" s="112">
        <v>0.0</v>
      </c>
      <c r="CN761" s="146">
        <v>0.0</v>
      </c>
      <c r="CO761" s="18">
        <f t="shared" si="3405"/>
        <v>0</v>
      </c>
      <c r="CP761" s="146">
        <v>0.0</v>
      </c>
      <c r="CQ761" s="112">
        <v>0.0</v>
      </c>
      <c r="CR761" s="112">
        <v>0.0</v>
      </c>
      <c r="CS761" s="112">
        <v>0.0</v>
      </c>
      <c r="CT761" s="18">
        <f t="shared" si="3407"/>
        <v>0</v>
      </c>
      <c r="CU761" s="112">
        <v>0.0</v>
      </c>
      <c r="CV761" s="112">
        <v>0.0</v>
      </c>
      <c r="CW761" s="112">
        <v>0.0</v>
      </c>
      <c r="CX761" s="112">
        <v>0.0</v>
      </c>
      <c r="CY761" s="18">
        <f t="shared" si="3409"/>
        <v>0</v>
      </c>
      <c r="CZ761" s="112">
        <v>0.0</v>
      </c>
      <c r="DA761" s="112">
        <v>0.0</v>
      </c>
      <c r="DB761" s="112">
        <v>0.0</v>
      </c>
      <c r="DC761" s="112">
        <v>0.0</v>
      </c>
      <c r="DD761" s="18">
        <f t="shared" si="3411"/>
        <v>0</v>
      </c>
      <c r="DE761" s="112">
        <v>0.0</v>
      </c>
      <c r="DF761" s="112">
        <v>0.0</v>
      </c>
      <c r="DG761" s="146">
        <v>0.0</v>
      </c>
      <c r="DH761" s="112">
        <v>0.0</v>
      </c>
      <c r="DI761" s="18">
        <f t="shared" si="3413"/>
        <v>0</v>
      </c>
      <c r="DJ761" s="146">
        <v>0.0</v>
      </c>
      <c r="DK761" s="146">
        <v>0.0</v>
      </c>
      <c r="DL761" s="146">
        <v>0.0</v>
      </c>
      <c r="DM761" s="112">
        <v>0.0</v>
      </c>
      <c r="DN761" s="18">
        <f t="shared" si="3415"/>
        <v>0</v>
      </c>
      <c r="DO761" s="112">
        <v>0.0</v>
      </c>
      <c r="DP761" s="112">
        <v>0.0</v>
      </c>
      <c r="DQ761" s="112">
        <v>0.0</v>
      </c>
      <c r="DR761" s="112">
        <v>0.0</v>
      </c>
      <c r="DS761" s="18">
        <f t="shared" si="3417"/>
        <v>0</v>
      </c>
      <c r="DT761" s="112">
        <v>0.0</v>
      </c>
      <c r="DU761" s="112">
        <v>0.0</v>
      </c>
      <c r="DV761" s="112">
        <v>0.0</v>
      </c>
      <c r="DW761" s="112">
        <v>0.0</v>
      </c>
      <c r="DX761" s="18">
        <f t="shared" si="3419"/>
        <v>0</v>
      </c>
      <c r="DY761" s="112">
        <v>0.0</v>
      </c>
      <c r="DZ761" s="112">
        <v>0.0</v>
      </c>
      <c r="EA761" s="112">
        <v>0.0</v>
      </c>
      <c r="EB761" s="112">
        <v>0.0</v>
      </c>
      <c r="EC761" s="18">
        <f t="shared" si="3421"/>
        <v>0</v>
      </c>
      <c r="ED761" s="112">
        <v>0.0</v>
      </c>
      <c r="EE761" s="112">
        <v>0.0</v>
      </c>
      <c r="EF761" s="112">
        <v>0.0</v>
      </c>
      <c r="EG761" s="112">
        <v>0.0</v>
      </c>
      <c r="EH761" s="18">
        <f t="shared" si="3423"/>
        <v>0</v>
      </c>
      <c r="EI761" s="110">
        <v>0.0</v>
      </c>
      <c r="EJ761" s="112">
        <v>0.0</v>
      </c>
      <c r="EK761" s="112">
        <v>0.0</v>
      </c>
      <c r="EL761" s="112">
        <v>0.0</v>
      </c>
      <c r="EM761" s="18">
        <f t="shared" si="3425"/>
        <v>0</v>
      </c>
      <c r="EN761" s="112">
        <v>0.0</v>
      </c>
      <c r="EO761" s="112">
        <v>0.0</v>
      </c>
      <c r="EP761" s="112">
        <v>0.0</v>
      </c>
      <c r="EQ761" s="112">
        <v>0.0</v>
      </c>
      <c r="ER761" s="18">
        <f t="shared" si="3427"/>
        <v>0</v>
      </c>
      <c r="ES761" s="112">
        <v>0.0</v>
      </c>
      <c r="ET761" s="112">
        <v>0.0</v>
      </c>
      <c r="EU761" s="112">
        <v>0.0</v>
      </c>
      <c r="EV761" s="112">
        <v>0.0</v>
      </c>
      <c r="EW761" s="18">
        <f t="shared" si="3429"/>
        <v>0</v>
      </c>
      <c r="EX761" s="112">
        <v>0.0</v>
      </c>
      <c r="EY761" s="112">
        <v>0.0</v>
      </c>
      <c r="EZ761" s="112">
        <v>0.0</v>
      </c>
      <c r="FA761" s="112">
        <v>0.0</v>
      </c>
      <c r="FB761" s="18">
        <f t="shared" si="3431"/>
        <v>0</v>
      </c>
      <c r="FC761" s="112">
        <v>0.0</v>
      </c>
      <c r="FD761" s="112">
        <v>0.0</v>
      </c>
      <c r="FE761" s="112">
        <v>0.0</v>
      </c>
      <c r="FF761" s="112">
        <v>0.0</v>
      </c>
      <c r="FG761" s="18">
        <f t="shared" si="3433"/>
        <v>0</v>
      </c>
      <c r="FH761" s="74"/>
      <c r="FI761" s="112"/>
      <c r="FJ761" s="112"/>
      <c r="FK761" s="73"/>
      <c r="FL761" s="112"/>
    </row>
    <row r="762" ht="12.75" hidden="1" customHeight="1" outlineLevel="2">
      <c r="A762" s="45"/>
      <c r="B762" s="215" t="s">
        <v>176</v>
      </c>
      <c r="C762" s="45"/>
      <c r="D762" s="112"/>
      <c r="E762" s="73"/>
      <c r="F762" s="73"/>
      <c r="G762" s="73"/>
      <c r="H762" s="73"/>
      <c r="I762" s="112"/>
      <c r="J762" s="73"/>
      <c r="K762" s="73"/>
      <c r="L762" s="73"/>
      <c r="M762" s="73"/>
      <c r="N762" s="112"/>
      <c r="O762" s="73"/>
      <c r="P762" s="73"/>
      <c r="Q762" s="73"/>
      <c r="R762" s="73"/>
      <c r="S762" s="112"/>
      <c r="T762" s="73"/>
      <c r="U762" s="73"/>
      <c r="V762" s="73"/>
      <c r="W762" s="73"/>
      <c r="X762" s="112"/>
      <c r="Y762" s="73"/>
      <c r="Z762" s="73"/>
      <c r="AA762" s="73"/>
      <c r="AB762" s="73"/>
      <c r="AC762" s="112"/>
      <c r="AD762" s="73"/>
      <c r="AE762" s="73"/>
      <c r="AF762" s="73"/>
      <c r="AG762" s="73"/>
      <c r="AH762" s="112"/>
      <c r="AI762" s="73"/>
      <c r="AJ762" s="73"/>
      <c r="AK762" s="73"/>
      <c r="AL762" s="73"/>
      <c r="AM762" s="112"/>
      <c r="AN762" s="73"/>
      <c r="AO762" s="73"/>
      <c r="AP762" s="73"/>
      <c r="AQ762" s="73">
        <f t="shared" ref="AQ762:BA762" si="3437">SUM(AQ758:AQ761)</f>
        <v>388</v>
      </c>
      <c r="AR762" s="112">
        <f t="shared" si="3437"/>
        <v>35</v>
      </c>
      <c r="AS762" s="73">
        <f t="shared" si="3437"/>
        <v>38</v>
      </c>
      <c r="AT762" s="73">
        <f t="shared" si="3437"/>
        <v>44</v>
      </c>
      <c r="AU762" s="73">
        <f t="shared" si="3437"/>
        <v>47</v>
      </c>
      <c r="AV762" s="73">
        <f t="shared" si="3437"/>
        <v>164</v>
      </c>
      <c r="AW762" s="112">
        <f t="shared" si="3437"/>
        <v>62</v>
      </c>
      <c r="AX762" s="73">
        <f t="shared" si="3437"/>
        <v>80</v>
      </c>
      <c r="AY762" s="73">
        <f t="shared" si="3437"/>
        <v>47</v>
      </c>
      <c r="AZ762" s="73">
        <f t="shared" si="3437"/>
        <v>91</v>
      </c>
      <c r="BA762" s="73">
        <f t="shared" si="3437"/>
        <v>280</v>
      </c>
      <c r="BB762" s="112">
        <v>270.0</v>
      </c>
      <c r="BC762" s="73">
        <v>163.0</v>
      </c>
      <c r="BD762" s="73">
        <v>238.0</v>
      </c>
      <c r="BE762" s="73">
        <v>363.0</v>
      </c>
      <c r="BF762" s="73">
        <f>SUM(BF758:BF761)</f>
        <v>1034</v>
      </c>
      <c r="BG762" s="112">
        <v>322.0</v>
      </c>
      <c r="BH762" s="73">
        <v>247.0</v>
      </c>
      <c r="BI762" s="73">
        <v>362.0</v>
      </c>
      <c r="BJ762" s="73">
        <f>866-BJ757</f>
        <v>280</v>
      </c>
      <c r="BK762" s="73">
        <f>SUM(BK758:BK761)</f>
        <v>1211</v>
      </c>
      <c r="BL762" s="112">
        <v>563.0</v>
      </c>
      <c r="BM762" s="73">
        <v>300.0</v>
      </c>
      <c r="BN762" s="73">
        <v>218.0</v>
      </c>
      <c r="BO762" s="73">
        <v>225.0</v>
      </c>
      <c r="BP762" s="73">
        <f>BP755+BP756+BP758+BP759</f>
        <v>1306</v>
      </c>
      <c r="BQ762" s="112">
        <v>222.0</v>
      </c>
      <c r="BR762" s="73">
        <v>239.0</v>
      </c>
      <c r="BS762" s="73">
        <v>345.0</v>
      </c>
      <c r="BT762" s="73">
        <f>BT755+BT756+BT758+BT759</f>
        <v>390</v>
      </c>
      <c r="BU762" s="73">
        <f t="shared" si="3397"/>
        <v>1196</v>
      </c>
      <c r="BV762" s="112">
        <f t="shared" ref="BV762:BY762" si="3438">BV755+BV756+BV758+BV759</f>
        <v>404.234375</v>
      </c>
      <c r="BW762" s="73">
        <f t="shared" si="3438"/>
        <v>393.8073438</v>
      </c>
      <c r="BX762" s="73">
        <f t="shared" si="3438"/>
        <v>467.0188125</v>
      </c>
      <c r="BY762" s="73">
        <f t="shared" si="3438"/>
        <v>512.7831938</v>
      </c>
      <c r="BZ762" s="18">
        <f t="shared" si="3399"/>
        <v>1777.843725</v>
      </c>
      <c r="CA762" s="112">
        <f t="shared" ref="CA762:CD762" si="3439">CA755+CA756+CA758+CA759</f>
        <v>466.9938397</v>
      </c>
      <c r="CB762" s="73">
        <f t="shared" si="3439"/>
        <v>455.7340245</v>
      </c>
      <c r="CC762" s="73">
        <f t="shared" si="3439"/>
        <v>534.3308294</v>
      </c>
      <c r="CD762" s="73">
        <f t="shared" si="3439"/>
        <v>583.3264123</v>
      </c>
      <c r="CE762" s="18">
        <f t="shared" si="3401"/>
        <v>2040.385106</v>
      </c>
      <c r="CF762" s="112">
        <f t="shared" ref="CF762:CI762" si="3440">CF755+CF756+CF758+CF759</f>
        <v>497.2055755</v>
      </c>
      <c r="CG762" s="73">
        <f t="shared" si="3440"/>
        <v>485.0394082</v>
      </c>
      <c r="CH762" s="73">
        <f t="shared" si="3440"/>
        <v>569.4972899</v>
      </c>
      <c r="CI762" s="73">
        <f t="shared" si="3440"/>
        <v>622.0095189</v>
      </c>
      <c r="CJ762" s="18">
        <f t="shared" si="3403"/>
        <v>2173.751792</v>
      </c>
      <c r="CK762" s="112">
        <f t="shared" ref="CK762:CN762" si="3441">CK755+CK756+CK758+CK759</f>
        <v>530.086216</v>
      </c>
      <c r="CL762" s="73">
        <f t="shared" si="3441"/>
        <v>516.9336295</v>
      </c>
      <c r="CM762" s="73">
        <f t="shared" si="3441"/>
        <v>607.7703555</v>
      </c>
      <c r="CN762" s="74">
        <f t="shared" si="3441"/>
        <v>664.109891</v>
      </c>
      <c r="CO762" s="18">
        <f t="shared" si="3405"/>
        <v>2318.900092</v>
      </c>
      <c r="CP762" s="74">
        <f t="shared" ref="CP762:CS762" si="3442">CP755+CP756+CP758+CP759</f>
        <v>565.8715323</v>
      </c>
      <c r="CQ762" s="73">
        <f t="shared" si="3442"/>
        <v>551.6453864</v>
      </c>
      <c r="CR762" s="73">
        <f t="shared" si="3442"/>
        <v>649.4244637</v>
      </c>
      <c r="CS762" s="73">
        <f t="shared" si="3442"/>
        <v>709.92941</v>
      </c>
      <c r="CT762" s="18">
        <f t="shared" si="3407"/>
        <v>2476.870792</v>
      </c>
      <c r="CU762" s="112">
        <f t="shared" ref="CU762:CX762" si="3443">CU755+CU756+CU758+CU759</f>
        <v>604.8181235</v>
      </c>
      <c r="CV762" s="73">
        <f t="shared" si="3443"/>
        <v>589.4235798</v>
      </c>
      <c r="CW762" s="73">
        <f t="shared" si="3443"/>
        <v>694.7582958</v>
      </c>
      <c r="CX762" s="73">
        <f t="shared" si="3443"/>
        <v>759.7966253</v>
      </c>
      <c r="CY762" s="18">
        <f t="shared" si="3409"/>
        <v>2648.796624</v>
      </c>
      <c r="CZ762" s="112">
        <f t="shared" ref="CZ762:DC762" si="3444">CZ755+CZ756+CZ758+CZ759</f>
        <v>647.2052565</v>
      </c>
      <c r="DA762" s="73">
        <f t="shared" si="3444"/>
        <v>630.5390988</v>
      </c>
      <c r="DB762" s="73">
        <f t="shared" si="3444"/>
        <v>744.0969186</v>
      </c>
      <c r="DC762" s="73">
        <f t="shared" si="3444"/>
        <v>814.0691105</v>
      </c>
      <c r="DD762" s="18">
        <f t="shared" si="3411"/>
        <v>2835.910384</v>
      </c>
      <c r="DE762" s="112">
        <f t="shared" ref="DE762:DH762" si="3445">DE755+DE756+DE758+DE759</f>
        <v>693.3368689</v>
      </c>
      <c r="DF762" s="73">
        <f t="shared" si="3445"/>
        <v>675.2867628</v>
      </c>
      <c r="DG762" s="74">
        <f t="shared" si="3445"/>
        <v>797.7941154</v>
      </c>
      <c r="DH762" s="73">
        <f t="shared" si="3445"/>
        <v>873.136027</v>
      </c>
      <c r="DI762" s="18">
        <f t="shared" si="3413"/>
        <v>3039.553774</v>
      </c>
      <c r="DJ762" s="146">
        <f t="shared" ref="DJ762:DM762" si="3446">DJ755+DJ756+DJ758+DJ759</f>
        <v>743.5437479</v>
      </c>
      <c r="DK762" s="74">
        <f t="shared" si="3446"/>
        <v>723.9874355</v>
      </c>
      <c r="DL762" s="74">
        <f t="shared" si="3446"/>
        <v>856.2349226</v>
      </c>
      <c r="DM762" s="73">
        <f t="shared" si="3446"/>
        <v>937.4209148</v>
      </c>
      <c r="DN762" s="18">
        <f t="shared" si="3415"/>
        <v>3261.187021</v>
      </c>
      <c r="DO762" s="112">
        <f t="shared" ref="DO762:DR762" si="3447">DO755+DO756+DO758+DO759</f>
        <v>798.1859026</v>
      </c>
      <c r="DP762" s="73">
        <f t="shared" si="3447"/>
        <v>776.9903255</v>
      </c>
      <c r="DQ762" s="73">
        <f t="shared" si="3447"/>
        <v>919.8383906</v>
      </c>
      <c r="DR762" s="73">
        <f t="shared" si="3447"/>
        <v>1007.38473</v>
      </c>
      <c r="DS762" s="18">
        <f t="shared" si="3417"/>
        <v>3502.399348</v>
      </c>
      <c r="DT762" s="112">
        <f t="shared" ref="DT762:DW762" si="3448">DT755+DT756+DT758+DT759</f>
        <v>857.6551452</v>
      </c>
      <c r="DU762" s="112">
        <f t="shared" si="3448"/>
        <v>834.6754909</v>
      </c>
      <c r="DV762" s="112">
        <f t="shared" si="3448"/>
        <v>989.0605891</v>
      </c>
      <c r="DW762" s="112">
        <f t="shared" si="3448"/>
        <v>1083.529148</v>
      </c>
      <c r="DX762" s="18">
        <f t="shared" si="3419"/>
        <v>3764.920373</v>
      </c>
      <c r="DY762" s="112">
        <f t="shared" ref="DY762:EB762" si="3449">DY755+DY756+DY758+DY759</f>
        <v>922.3779008</v>
      </c>
      <c r="DZ762" s="112">
        <f t="shared" si="3449"/>
        <v>897.4565637</v>
      </c>
      <c r="EA762" s="112">
        <f t="shared" si="3449"/>
        <v>1064.397876</v>
      </c>
      <c r="EB762" s="112">
        <f t="shared" si="3449"/>
        <v>1166.400164</v>
      </c>
      <c r="EC762" s="18">
        <f t="shared" si="3421"/>
        <v>4050.632505</v>
      </c>
      <c r="ED762" s="112">
        <f t="shared" ref="ED762:EG762" si="3450">ED755+ED756+ED758+ED759</f>
        <v>992.8182645</v>
      </c>
      <c r="EE762" s="112">
        <f t="shared" si="3450"/>
        <v>965.7837166</v>
      </c>
      <c r="EF762" s="112">
        <f t="shared" si="3450"/>
        <v>1146.39046</v>
      </c>
      <c r="EG762" s="112">
        <f t="shared" si="3450"/>
        <v>1256.592006</v>
      </c>
      <c r="EH762" s="18">
        <f t="shared" si="3423"/>
        <v>4361.584447</v>
      </c>
      <c r="EI762" s="275">
        <f t="shared" ref="EI762:EL762" si="3451">EI755+EI756+EI758+EI759</f>
        <v>1069.48133</v>
      </c>
      <c r="EJ762" s="73">
        <f t="shared" si="3451"/>
        <v>1040.14689</v>
      </c>
      <c r="EK762" s="73">
        <f t="shared" si="3451"/>
        <v>1235.626268</v>
      </c>
      <c r="EL762" s="73">
        <f t="shared" si="3451"/>
        <v>1354.751395</v>
      </c>
      <c r="EM762" s="18">
        <f t="shared" si="3425"/>
        <v>4700.005883</v>
      </c>
      <c r="EN762" s="112">
        <f t="shared" ref="EN762:EQ762" si="3452">EN755+EN756+EN758+EN759</f>
        <v>1152.916811</v>
      </c>
      <c r="EO762" s="73">
        <f t="shared" si="3452"/>
        <v>1121.079306</v>
      </c>
      <c r="EP762" s="73">
        <f t="shared" si="3452"/>
        <v>1332.745168</v>
      </c>
      <c r="EQ762" s="73">
        <f t="shared" si="3452"/>
        <v>1461.582184</v>
      </c>
      <c r="ER762" s="18">
        <f t="shared" si="3427"/>
        <v>5068.323469</v>
      </c>
      <c r="ES762" s="112">
        <f t="shared" ref="ES762:EV762" si="3453">ES755+ES756+ES758+ES759</f>
        <v>1243.722982</v>
      </c>
      <c r="ET762" s="73">
        <f t="shared" si="3453"/>
        <v>1209.161292</v>
      </c>
      <c r="EU762" s="73">
        <f t="shared" si="3453"/>
        <v>1438.443551</v>
      </c>
      <c r="EV762" s="73">
        <f t="shared" si="3453"/>
        <v>1577.850406</v>
      </c>
      <c r="EW762" s="18">
        <f t="shared" si="3429"/>
        <v>5469.178231</v>
      </c>
      <c r="EX762" s="112">
        <f t="shared" ref="EX762:FA762" si="3454">EX755+EX756+EX758+EX759</f>
        <v>1342.55097</v>
      </c>
      <c r="EY762" s="73">
        <f t="shared" si="3454"/>
        <v>1305.024441</v>
      </c>
      <c r="EZ762" s="73">
        <f t="shared" si="3454"/>
        <v>1553.479329</v>
      </c>
      <c r="FA762" s="73">
        <f t="shared" si="3454"/>
        <v>1704.389762</v>
      </c>
      <c r="FB762" s="18">
        <f t="shared" si="3431"/>
        <v>5905.444502</v>
      </c>
      <c r="FC762" s="112">
        <f t="shared" ref="FC762:FF762" si="3455">FC755+FC756+FC758+FC759</f>
        <v>1450.109423</v>
      </c>
      <c r="FD762" s="73">
        <f t="shared" si="3455"/>
        <v>1409.35614</v>
      </c>
      <c r="FE762" s="73">
        <f t="shared" si="3455"/>
        <v>1678.677368</v>
      </c>
      <c r="FF762" s="73">
        <f t="shared" si="3455"/>
        <v>1842.107605</v>
      </c>
      <c r="FG762" s="18">
        <f t="shared" si="3433"/>
        <v>6380.250535</v>
      </c>
      <c r="FH762" s="74"/>
      <c r="FI762" s="73"/>
      <c r="FJ762" s="73"/>
      <c r="FK762" s="73"/>
      <c r="FL762" s="112"/>
    </row>
    <row r="763" ht="13.5" hidden="1" customHeight="1" outlineLevel="2">
      <c r="A763" s="4"/>
      <c r="B763" s="529" t="s">
        <v>321</v>
      </c>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c r="AB763" s="164"/>
      <c r="AC763" s="164"/>
      <c r="AD763" s="164"/>
      <c r="AE763" s="164"/>
      <c r="AF763" s="164"/>
      <c r="AG763" s="164"/>
      <c r="AH763" s="164"/>
      <c r="AI763" s="164"/>
      <c r="AJ763" s="164"/>
      <c r="AK763" s="164"/>
      <c r="AL763" s="164"/>
      <c r="AM763" s="164"/>
      <c r="AN763" s="164"/>
      <c r="AO763" s="164"/>
      <c r="AP763" s="164"/>
      <c r="AQ763" s="164">
        <f>Sales</f>
        <v>30141</v>
      </c>
      <c r="AR763" s="164">
        <f>Sales</f>
        <v>8091</v>
      </c>
      <c r="AS763" s="164">
        <f>Sales</f>
        <v>8049</v>
      </c>
      <c r="AT763" s="164">
        <f>Sales</f>
        <v>8471</v>
      </c>
      <c r="AU763" s="164">
        <f>Sales</f>
        <v>9598</v>
      </c>
      <c r="AV763" s="164">
        <f>Sales</f>
        <v>34209</v>
      </c>
      <c r="AW763" s="164">
        <f>Sales</f>
        <v>9434</v>
      </c>
      <c r="AX763" s="164">
        <f>Sales</f>
        <v>9231</v>
      </c>
      <c r="AY763" s="164">
        <f>Sales</f>
        <v>9960</v>
      </c>
      <c r="AZ763" s="164">
        <f>Sales</f>
        <v>10201</v>
      </c>
      <c r="BA763" s="164">
        <f>Sales</f>
        <v>38826</v>
      </c>
      <c r="BB763" s="164">
        <f t="shared" ref="BB763:BK763" si="3456">BB750+BB754+BB757+BB762</f>
        <v>8940</v>
      </c>
      <c r="BC763" s="164">
        <f t="shared" si="3456"/>
        <v>8009</v>
      </c>
      <c r="BD763" s="164">
        <f t="shared" si="3456"/>
        <v>8739</v>
      </c>
      <c r="BE763" s="164">
        <f t="shared" si="3456"/>
        <v>9694</v>
      </c>
      <c r="BF763" s="164">
        <f t="shared" si="3456"/>
        <v>35352</v>
      </c>
      <c r="BG763" s="164">
        <f t="shared" si="3456"/>
        <v>8852</v>
      </c>
      <c r="BH763" s="164">
        <f t="shared" si="3456"/>
        <v>8680</v>
      </c>
      <c r="BI763" s="164">
        <f t="shared" si="3456"/>
        <v>10090</v>
      </c>
      <c r="BJ763" s="164">
        <f t="shared" si="3456"/>
        <v>10712</v>
      </c>
      <c r="BK763" s="164">
        <f t="shared" si="3456"/>
        <v>38334</v>
      </c>
      <c r="BL763" s="164">
        <f t="shared" ref="BL763:FG763" si="3457">BL750+BL754+BL762</f>
        <v>9673</v>
      </c>
      <c r="BM763" s="164">
        <f t="shared" si="3457"/>
        <v>9470</v>
      </c>
      <c r="BN763" s="164">
        <f t="shared" si="3457"/>
        <v>10217</v>
      </c>
      <c r="BO763" s="164">
        <f t="shared" si="3457"/>
        <v>8226</v>
      </c>
      <c r="BP763" s="164">
        <f t="shared" si="3457"/>
        <v>37586</v>
      </c>
      <c r="BQ763" s="164">
        <f t="shared" si="3457"/>
        <v>7145</v>
      </c>
      <c r="BR763" s="164">
        <f t="shared" si="3457"/>
        <v>8024</v>
      </c>
      <c r="BS763" s="164">
        <f t="shared" si="3457"/>
        <v>9389</v>
      </c>
      <c r="BT763" s="164" t="str">
        <f t="shared" si="3457"/>
        <v>#ERROR!</v>
      </c>
      <c r="BU763" s="164" t="str">
        <f t="shared" si="3457"/>
        <v>#ERROR!</v>
      </c>
      <c r="BV763" s="164" t="str">
        <f t="shared" si="3457"/>
        <v>#ERROR!</v>
      </c>
      <c r="BW763" s="164" t="str">
        <f t="shared" si="3457"/>
        <v>#ERROR!</v>
      </c>
      <c r="BX763" s="164" t="str">
        <f t="shared" si="3457"/>
        <v>#ERROR!</v>
      </c>
      <c r="BY763" s="164" t="str">
        <f t="shared" si="3457"/>
        <v>#ERROR!</v>
      </c>
      <c r="BZ763" s="165" t="str">
        <f t="shared" si="3457"/>
        <v>#ERROR!</v>
      </c>
      <c r="CA763" s="164" t="str">
        <f t="shared" si="3457"/>
        <v>#ERROR!</v>
      </c>
      <c r="CB763" s="164" t="str">
        <f t="shared" si="3457"/>
        <v>#ERROR!</v>
      </c>
      <c r="CC763" s="164" t="str">
        <f t="shared" si="3457"/>
        <v>#ERROR!</v>
      </c>
      <c r="CD763" s="164" t="str">
        <f t="shared" si="3457"/>
        <v>#ERROR!</v>
      </c>
      <c r="CE763" s="165" t="str">
        <f t="shared" si="3457"/>
        <v>#ERROR!</v>
      </c>
      <c r="CF763" s="164" t="str">
        <f t="shared" si="3457"/>
        <v>#ERROR!</v>
      </c>
      <c r="CG763" s="164" t="str">
        <f t="shared" si="3457"/>
        <v>#ERROR!</v>
      </c>
      <c r="CH763" s="164" t="str">
        <f t="shared" si="3457"/>
        <v>#ERROR!</v>
      </c>
      <c r="CI763" s="164" t="str">
        <f t="shared" si="3457"/>
        <v>#ERROR!</v>
      </c>
      <c r="CJ763" s="165" t="str">
        <f t="shared" si="3457"/>
        <v>#ERROR!</v>
      </c>
      <c r="CK763" s="164" t="str">
        <f t="shared" si="3457"/>
        <v>#ERROR!</v>
      </c>
      <c r="CL763" s="164" t="str">
        <f t="shared" si="3457"/>
        <v>#ERROR!</v>
      </c>
      <c r="CM763" s="164" t="str">
        <f t="shared" si="3457"/>
        <v>#ERROR!</v>
      </c>
      <c r="CN763" s="583" t="str">
        <f t="shared" si="3457"/>
        <v>#ERROR!</v>
      </c>
      <c r="CO763" s="165" t="str">
        <f t="shared" si="3457"/>
        <v>#ERROR!</v>
      </c>
      <c r="CP763" s="583" t="str">
        <f t="shared" si="3457"/>
        <v>#ERROR!</v>
      </c>
      <c r="CQ763" s="164" t="str">
        <f t="shared" si="3457"/>
        <v>#ERROR!</v>
      </c>
      <c r="CR763" s="164" t="str">
        <f t="shared" si="3457"/>
        <v>#ERROR!</v>
      </c>
      <c r="CS763" s="164" t="str">
        <f t="shared" si="3457"/>
        <v>#ERROR!</v>
      </c>
      <c r="CT763" s="165" t="str">
        <f t="shared" si="3457"/>
        <v>#ERROR!</v>
      </c>
      <c r="CU763" s="164" t="str">
        <f t="shared" si="3457"/>
        <v>#ERROR!</v>
      </c>
      <c r="CV763" s="164" t="str">
        <f t="shared" si="3457"/>
        <v>#ERROR!</v>
      </c>
      <c r="CW763" s="164" t="str">
        <f t="shared" si="3457"/>
        <v>#ERROR!</v>
      </c>
      <c r="CX763" s="164" t="str">
        <f t="shared" si="3457"/>
        <v>#ERROR!</v>
      </c>
      <c r="CY763" s="165" t="str">
        <f t="shared" si="3457"/>
        <v>#ERROR!</v>
      </c>
      <c r="CZ763" s="164" t="str">
        <f t="shared" si="3457"/>
        <v>#ERROR!</v>
      </c>
      <c r="DA763" s="164" t="str">
        <f t="shared" si="3457"/>
        <v>#ERROR!</v>
      </c>
      <c r="DB763" s="164" t="str">
        <f t="shared" si="3457"/>
        <v>#ERROR!</v>
      </c>
      <c r="DC763" s="164" t="str">
        <f t="shared" si="3457"/>
        <v>#ERROR!</v>
      </c>
      <c r="DD763" s="165" t="str">
        <f t="shared" si="3457"/>
        <v>#ERROR!</v>
      </c>
      <c r="DE763" s="164" t="str">
        <f t="shared" si="3457"/>
        <v>#ERROR!</v>
      </c>
      <c r="DF763" s="164" t="str">
        <f t="shared" si="3457"/>
        <v>#ERROR!</v>
      </c>
      <c r="DG763" s="146" t="str">
        <f t="shared" si="3457"/>
        <v>#ERROR!</v>
      </c>
      <c r="DH763" s="164" t="str">
        <f t="shared" si="3457"/>
        <v>#ERROR!</v>
      </c>
      <c r="DI763" s="165" t="str">
        <f t="shared" si="3457"/>
        <v>#ERROR!</v>
      </c>
      <c r="DJ763" s="583" t="str">
        <f t="shared" si="3457"/>
        <v>#ERROR!</v>
      </c>
      <c r="DK763" s="583" t="str">
        <f t="shared" si="3457"/>
        <v>#ERROR!</v>
      </c>
      <c r="DL763" s="583" t="str">
        <f t="shared" si="3457"/>
        <v>#ERROR!</v>
      </c>
      <c r="DM763" s="164" t="str">
        <f t="shared" si="3457"/>
        <v>#ERROR!</v>
      </c>
      <c r="DN763" s="165" t="str">
        <f t="shared" si="3457"/>
        <v>#ERROR!</v>
      </c>
      <c r="DO763" s="164" t="str">
        <f t="shared" si="3457"/>
        <v>#ERROR!</v>
      </c>
      <c r="DP763" s="164" t="str">
        <f t="shared" si="3457"/>
        <v>#ERROR!</v>
      </c>
      <c r="DQ763" s="164" t="str">
        <f t="shared" si="3457"/>
        <v>#ERROR!</v>
      </c>
      <c r="DR763" s="164" t="str">
        <f t="shared" si="3457"/>
        <v>#ERROR!</v>
      </c>
      <c r="DS763" s="165" t="str">
        <f t="shared" si="3457"/>
        <v>#ERROR!</v>
      </c>
      <c r="DT763" s="164" t="str">
        <f t="shared" si="3457"/>
        <v>#ERROR!</v>
      </c>
      <c r="DU763" s="164" t="str">
        <f t="shared" si="3457"/>
        <v>#ERROR!</v>
      </c>
      <c r="DV763" s="164" t="str">
        <f t="shared" si="3457"/>
        <v>#ERROR!</v>
      </c>
      <c r="DW763" s="164" t="str">
        <f t="shared" si="3457"/>
        <v>#ERROR!</v>
      </c>
      <c r="DX763" s="165" t="str">
        <f t="shared" si="3457"/>
        <v>#ERROR!</v>
      </c>
      <c r="DY763" s="164" t="str">
        <f t="shared" si="3457"/>
        <v>#ERROR!</v>
      </c>
      <c r="DZ763" s="164" t="str">
        <f t="shared" si="3457"/>
        <v>#ERROR!</v>
      </c>
      <c r="EA763" s="164" t="str">
        <f t="shared" si="3457"/>
        <v>#ERROR!</v>
      </c>
      <c r="EB763" s="164" t="str">
        <f t="shared" si="3457"/>
        <v>#ERROR!</v>
      </c>
      <c r="EC763" s="165" t="str">
        <f t="shared" si="3457"/>
        <v>#ERROR!</v>
      </c>
      <c r="ED763" s="164" t="str">
        <f t="shared" si="3457"/>
        <v>#ERROR!</v>
      </c>
      <c r="EE763" s="164" t="str">
        <f t="shared" si="3457"/>
        <v>#ERROR!</v>
      </c>
      <c r="EF763" s="164" t="str">
        <f t="shared" si="3457"/>
        <v>#ERROR!</v>
      </c>
      <c r="EG763" s="164" t="str">
        <f t="shared" si="3457"/>
        <v>#ERROR!</v>
      </c>
      <c r="EH763" s="165" t="str">
        <f t="shared" si="3457"/>
        <v>#ERROR!</v>
      </c>
      <c r="EI763" s="584" t="str">
        <f t="shared" si="3457"/>
        <v>#ERROR!</v>
      </c>
      <c r="EJ763" s="164" t="str">
        <f t="shared" si="3457"/>
        <v>#ERROR!</v>
      </c>
      <c r="EK763" s="164" t="str">
        <f t="shared" si="3457"/>
        <v>#ERROR!</v>
      </c>
      <c r="EL763" s="164" t="str">
        <f t="shared" si="3457"/>
        <v>#ERROR!</v>
      </c>
      <c r="EM763" s="165" t="str">
        <f t="shared" si="3457"/>
        <v>#ERROR!</v>
      </c>
      <c r="EN763" s="164" t="str">
        <f t="shared" si="3457"/>
        <v>#ERROR!</v>
      </c>
      <c r="EO763" s="164" t="str">
        <f t="shared" si="3457"/>
        <v>#ERROR!</v>
      </c>
      <c r="EP763" s="164" t="str">
        <f t="shared" si="3457"/>
        <v>#ERROR!</v>
      </c>
      <c r="EQ763" s="164" t="str">
        <f t="shared" si="3457"/>
        <v>#ERROR!</v>
      </c>
      <c r="ER763" s="165" t="str">
        <f t="shared" si="3457"/>
        <v>#ERROR!</v>
      </c>
      <c r="ES763" s="164" t="str">
        <f t="shared" si="3457"/>
        <v>#ERROR!</v>
      </c>
      <c r="ET763" s="164" t="str">
        <f t="shared" si="3457"/>
        <v>#ERROR!</v>
      </c>
      <c r="EU763" s="164" t="str">
        <f t="shared" si="3457"/>
        <v>#ERROR!</v>
      </c>
      <c r="EV763" s="164" t="str">
        <f t="shared" si="3457"/>
        <v>#ERROR!</v>
      </c>
      <c r="EW763" s="165" t="str">
        <f t="shared" si="3457"/>
        <v>#ERROR!</v>
      </c>
      <c r="EX763" s="164" t="str">
        <f t="shared" si="3457"/>
        <v>#ERROR!</v>
      </c>
      <c r="EY763" s="164" t="str">
        <f t="shared" si="3457"/>
        <v>#ERROR!</v>
      </c>
      <c r="EZ763" s="164" t="str">
        <f t="shared" si="3457"/>
        <v>#ERROR!</v>
      </c>
      <c r="FA763" s="164" t="str">
        <f t="shared" si="3457"/>
        <v>#ERROR!</v>
      </c>
      <c r="FB763" s="165" t="str">
        <f t="shared" si="3457"/>
        <v>#ERROR!</v>
      </c>
      <c r="FC763" s="164" t="str">
        <f t="shared" si="3457"/>
        <v>#ERROR!</v>
      </c>
      <c r="FD763" s="164" t="str">
        <f t="shared" si="3457"/>
        <v>#ERROR!</v>
      </c>
      <c r="FE763" s="164" t="str">
        <f t="shared" si="3457"/>
        <v>#ERROR!</v>
      </c>
      <c r="FF763" s="164" t="str">
        <f t="shared" si="3457"/>
        <v>#ERROR!</v>
      </c>
      <c r="FG763" s="165" t="str">
        <f t="shared" si="3457"/>
        <v>#ERROR!</v>
      </c>
      <c r="FH763" s="583"/>
      <c r="FI763" s="164"/>
      <c r="FJ763" s="164"/>
      <c r="FK763" s="164"/>
      <c r="FL763" s="164"/>
    </row>
    <row r="764" ht="12.75" hidden="1" customHeight="1" outlineLevel="2">
      <c r="A764" s="4"/>
      <c r="B764" s="45"/>
      <c r="C764" s="45"/>
      <c r="D764" s="4"/>
      <c r="E764" s="4"/>
      <c r="F764" s="4"/>
      <c r="G764" s="4"/>
      <c r="H764" s="45"/>
      <c r="I764" s="4"/>
      <c r="J764" s="4"/>
      <c r="K764" s="4"/>
      <c r="L764" s="4"/>
      <c r="M764" s="45"/>
      <c r="N764" s="4"/>
      <c r="O764" s="4"/>
      <c r="P764" s="4"/>
      <c r="Q764" s="4"/>
      <c r="R764" s="45"/>
      <c r="S764" s="4"/>
      <c r="T764" s="4"/>
      <c r="U764" s="4"/>
      <c r="V764" s="4"/>
      <c r="W764" s="45"/>
      <c r="X764" s="4"/>
      <c r="Y764" s="4"/>
      <c r="Z764" s="4"/>
      <c r="AA764" s="4"/>
      <c r="AB764" s="45"/>
      <c r="AC764" s="4"/>
      <c r="AD764" s="4"/>
      <c r="AE764" s="4"/>
      <c r="AF764" s="4"/>
      <c r="AG764" s="45"/>
      <c r="AH764" s="4"/>
      <c r="AI764" s="4"/>
      <c r="AJ764" s="4"/>
      <c r="AK764" s="4"/>
      <c r="AL764" s="45"/>
      <c r="AM764" s="4"/>
      <c r="AN764" s="4"/>
      <c r="AO764" s="4"/>
      <c r="AP764" s="4"/>
      <c r="AQ764" s="45"/>
      <c r="AR764" s="4"/>
      <c r="AS764" s="4"/>
      <c r="AT764" s="4"/>
      <c r="AU764" s="4"/>
      <c r="AV764" s="45"/>
      <c r="AW764" s="4"/>
      <c r="AX764" s="4"/>
      <c r="AY764" s="4"/>
      <c r="AZ764" s="4"/>
      <c r="BA764" s="45"/>
      <c r="BB764" s="4"/>
      <c r="BC764" s="4"/>
      <c r="BD764" s="4"/>
      <c r="BE764" s="4"/>
      <c r="BF764" s="45"/>
      <c r="BG764" s="4"/>
      <c r="BH764" s="4"/>
      <c r="BI764" s="4"/>
      <c r="BJ764" s="4"/>
      <c r="BK764" s="45"/>
      <c r="BL764" s="4"/>
      <c r="BM764" s="4"/>
      <c r="BN764" s="4"/>
      <c r="BO764" s="4"/>
      <c r="BP764" s="45"/>
      <c r="BQ764" s="4"/>
      <c r="BR764" s="4"/>
      <c r="BS764" s="4"/>
      <c r="BT764" s="4"/>
      <c r="BU764" s="45"/>
      <c r="BV764" s="4"/>
      <c r="BW764" s="4"/>
      <c r="BX764" s="4"/>
      <c r="BY764" s="4"/>
      <c r="BZ764" s="350"/>
      <c r="CA764" s="4"/>
      <c r="CB764" s="4"/>
      <c r="CC764" s="4"/>
      <c r="CD764" s="4"/>
      <c r="CE764" s="350"/>
      <c r="CF764" s="4"/>
      <c r="CG764" s="4"/>
      <c r="CH764" s="4"/>
      <c r="CI764" s="4"/>
      <c r="CJ764" s="350"/>
      <c r="CK764" s="4"/>
      <c r="CL764" s="4"/>
      <c r="CM764" s="4"/>
      <c r="CN764" s="16"/>
      <c r="CO764" s="350"/>
      <c r="CP764" s="16"/>
      <c r="CQ764" s="4"/>
      <c r="CR764" s="4"/>
      <c r="CS764" s="4"/>
      <c r="CT764" s="350"/>
      <c r="CU764" s="4"/>
      <c r="CV764" s="4"/>
      <c r="CW764" s="4"/>
      <c r="CX764" s="4"/>
      <c r="CY764" s="350"/>
      <c r="CZ764" s="4"/>
      <c r="DA764" s="4"/>
      <c r="DB764" s="4"/>
      <c r="DC764" s="4"/>
      <c r="DD764" s="350"/>
      <c r="DE764" s="4"/>
      <c r="DF764" s="4"/>
      <c r="DG764" s="16"/>
      <c r="DH764" s="4"/>
      <c r="DI764" s="350"/>
      <c r="DJ764" s="16"/>
      <c r="DK764" s="16"/>
      <c r="DL764" s="16"/>
      <c r="DM764" s="4"/>
      <c r="DN764" s="350"/>
      <c r="DO764" s="4"/>
      <c r="DP764" s="4"/>
      <c r="DQ764" s="4"/>
      <c r="DR764" s="4"/>
      <c r="DS764" s="350"/>
      <c r="DT764" s="4"/>
      <c r="DU764" s="4"/>
      <c r="DV764" s="4"/>
      <c r="DW764" s="4"/>
      <c r="DX764" s="350"/>
      <c r="DY764" s="4"/>
      <c r="DZ764" s="4"/>
      <c r="EA764" s="4"/>
      <c r="EB764" s="4"/>
      <c r="EC764" s="350"/>
      <c r="ED764" s="4"/>
      <c r="EE764" s="4"/>
      <c r="EF764" s="4"/>
      <c r="EG764" s="4"/>
      <c r="EH764" s="350"/>
      <c r="EI764" s="214"/>
      <c r="EJ764" s="4"/>
      <c r="EK764" s="4"/>
      <c r="EL764" s="4"/>
      <c r="EM764" s="350"/>
      <c r="EN764" s="4"/>
      <c r="EO764" s="4"/>
      <c r="EP764" s="4"/>
      <c r="EQ764" s="4"/>
      <c r="ER764" s="350"/>
      <c r="ES764" s="4"/>
      <c r="ET764" s="4"/>
      <c r="EU764" s="4"/>
      <c r="EV764" s="4"/>
      <c r="EW764" s="350"/>
      <c r="EX764" s="4"/>
      <c r="EY764" s="4"/>
      <c r="EZ764" s="4"/>
      <c r="FA764" s="4"/>
      <c r="FB764" s="350"/>
      <c r="FC764" s="4"/>
      <c r="FD764" s="4"/>
      <c r="FE764" s="4"/>
      <c r="FF764" s="4"/>
      <c r="FG764" s="350"/>
      <c r="FH764" s="145"/>
      <c r="FI764" s="4"/>
      <c r="FJ764" s="4"/>
      <c r="FK764" s="45"/>
      <c r="FL764" s="4"/>
    </row>
    <row r="765" ht="12.75" hidden="1" customHeight="1" outlineLevel="2">
      <c r="A765" s="4"/>
      <c r="B765" s="578" t="s">
        <v>288</v>
      </c>
      <c r="C765" s="299"/>
      <c r="D765" s="585"/>
      <c r="E765" s="586"/>
      <c r="F765" s="586"/>
      <c r="G765" s="586"/>
      <c r="H765" s="585"/>
      <c r="I765" s="585"/>
      <c r="J765" s="586"/>
      <c r="K765" s="586"/>
      <c r="L765" s="586"/>
      <c r="M765" s="585"/>
      <c r="N765" s="585"/>
      <c r="O765" s="586"/>
      <c r="P765" s="586"/>
      <c r="Q765" s="586"/>
      <c r="R765" s="585"/>
      <c r="S765" s="585"/>
      <c r="T765" s="586"/>
      <c r="U765" s="586"/>
      <c r="V765" s="586"/>
      <c r="W765" s="585"/>
      <c r="X765" s="585"/>
      <c r="Y765" s="586"/>
      <c r="Z765" s="586"/>
      <c r="AA765" s="586"/>
      <c r="AB765" s="585"/>
      <c r="AC765" s="585"/>
      <c r="AD765" s="586"/>
      <c r="AE765" s="586"/>
      <c r="AF765" s="586"/>
      <c r="AG765" s="585"/>
      <c r="AH765" s="585"/>
      <c r="AI765" s="586"/>
      <c r="AJ765" s="586"/>
      <c r="AK765" s="586"/>
      <c r="AL765" s="585"/>
      <c r="AM765" s="585"/>
      <c r="AN765" s="586"/>
      <c r="AO765" s="586"/>
      <c r="AP765" s="586"/>
      <c r="AQ765" s="585"/>
      <c r="AR765" s="585"/>
      <c r="AS765" s="586"/>
      <c r="AT765" s="586"/>
      <c r="AU765" s="586"/>
      <c r="AV765" s="585"/>
      <c r="AW765" s="585"/>
      <c r="AX765" s="586"/>
      <c r="AY765" s="586"/>
      <c r="AZ765" s="586"/>
      <c r="BA765" s="585"/>
      <c r="BB765" s="585"/>
      <c r="BC765" s="586"/>
      <c r="BD765" s="586"/>
      <c r="BE765" s="586"/>
      <c r="BF765" s="585"/>
      <c r="BG765" s="585"/>
      <c r="BH765" s="586"/>
      <c r="BI765" s="586"/>
      <c r="BJ765" s="586"/>
      <c r="BK765" s="585"/>
      <c r="BL765" s="585"/>
      <c r="BM765" s="586"/>
      <c r="BN765" s="586"/>
      <c r="BO765" s="586"/>
      <c r="BP765" s="585"/>
      <c r="BQ765" s="585"/>
      <c r="BR765" s="586"/>
      <c r="BS765" s="586"/>
      <c r="BT765" s="586"/>
      <c r="BU765" s="585"/>
      <c r="BV765" s="585"/>
      <c r="BW765" s="586"/>
      <c r="BX765" s="586"/>
      <c r="BY765" s="586"/>
      <c r="BZ765" s="587"/>
      <c r="CA765" s="585"/>
      <c r="CB765" s="586"/>
      <c r="CC765" s="586"/>
      <c r="CD765" s="586"/>
      <c r="CE765" s="587"/>
      <c r="CF765" s="585"/>
      <c r="CG765" s="586"/>
      <c r="CH765" s="586"/>
      <c r="CI765" s="586"/>
      <c r="CJ765" s="587"/>
      <c r="CK765" s="585"/>
      <c r="CL765" s="586"/>
      <c r="CM765" s="586"/>
      <c r="CN765" s="588"/>
      <c r="CO765" s="587"/>
      <c r="CP765" s="588"/>
      <c r="CQ765" s="586"/>
      <c r="CR765" s="586"/>
      <c r="CS765" s="586"/>
      <c r="CT765" s="587"/>
      <c r="CU765" s="585"/>
      <c r="CV765" s="586"/>
      <c r="CW765" s="586"/>
      <c r="CX765" s="586"/>
      <c r="CY765" s="587"/>
      <c r="CZ765" s="585"/>
      <c r="DA765" s="586"/>
      <c r="DB765" s="586"/>
      <c r="DC765" s="586"/>
      <c r="DD765" s="587"/>
      <c r="DE765" s="585"/>
      <c r="DF765" s="586"/>
      <c r="DG765" s="474"/>
      <c r="DH765" s="586"/>
      <c r="DI765" s="587"/>
      <c r="DJ765" s="589"/>
      <c r="DK765" s="588"/>
      <c r="DL765" s="588"/>
      <c r="DM765" s="586"/>
      <c r="DN765" s="587"/>
      <c r="DO765" s="585"/>
      <c r="DP765" s="586"/>
      <c r="DQ765" s="586"/>
      <c r="DR765" s="586"/>
      <c r="DS765" s="587"/>
      <c r="DT765" s="585"/>
      <c r="DU765" s="585"/>
      <c r="DV765" s="585"/>
      <c r="DW765" s="585"/>
      <c r="DX765" s="587"/>
      <c r="DY765" s="585"/>
      <c r="DZ765" s="585"/>
      <c r="EA765" s="585"/>
      <c r="EB765" s="585"/>
      <c r="EC765" s="587"/>
      <c r="ED765" s="585"/>
      <c r="EE765" s="585"/>
      <c r="EF765" s="585"/>
      <c r="EG765" s="585"/>
      <c r="EH765" s="587"/>
      <c r="EI765" s="590"/>
      <c r="EJ765" s="586"/>
      <c r="EK765" s="586"/>
      <c r="EL765" s="586"/>
      <c r="EM765" s="587"/>
      <c r="EN765" s="585"/>
      <c r="EO765" s="586"/>
      <c r="EP765" s="586"/>
      <c r="EQ765" s="586"/>
      <c r="ER765" s="587"/>
      <c r="ES765" s="585"/>
      <c r="ET765" s="586"/>
      <c r="EU765" s="586"/>
      <c r="EV765" s="586"/>
      <c r="EW765" s="587"/>
      <c r="EX765" s="585"/>
      <c r="EY765" s="586"/>
      <c r="EZ765" s="586"/>
      <c r="FA765" s="586"/>
      <c r="FB765" s="587"/>
      <c r="FC765" s="585"/>
      <c r="FD765" s="586"/>
      <c r="FE765" s="586"/>
      <c r="FF765" s="586"/>
      <c r="FG765" s="587"/>
      <c r="FH765" s="589"/>
      <c r="FI765" s="586"/>
      <c r="FJ765" s="586"/>
      <c r="FK765" s="585"/>
      <c r="FL765" s="585"/>
    </row>
    <row r="766" ht="12.75" hidden="1" customHeight="1" outlineLevel="2">
      <c r="A766" s="4"/>
      <c r="B766" s="72" t="str">
        <f t="shared" ref="B766:B772" si="3459">B748</f>
        <v>Processors</v>
      </c>
      <c r="C766" s="4"/>
      <c r="D766" s="15"/>
      <c r="E766" s="15"/>
      <c r="F766" s="15"/>
      <c r="G766" s="15"/>
      <c r="H766" s="410"/>
      <c r="I766" s="15"/>
      <c r="J766" s="15"/>
      <c r="K766" s="15"/>
      <c r="L766" s="15"/>
      <c r="M766" s="410"/>
      <c r="N766" s="15"/>
      <c r="O766" s="15"/>
      <c r="P766" s="15"/>
      <c r="Q766" s="15"/>
      <c r="R766" s="410"/>
      <c r="S766" s="15"/>
      <c r="T766" s="15"/>
      <c r="U766" s="15"/>
      <c r="V766" s="15"/>
      <c r="W766" s="410"/>
      <c r="X766" s="15"/>
      <c r="Y766" s="15"/>
      <c r="Z766" s="15"/>
      <c r="AA766" s="15"/>
      <c r="AB766" s="410"/>
      <c r="AC766" s="15"/>
      <c r="AD766" s="15"/>
      <c r="AE766" s="15"/>
      <c r="AF766" s="15"/>
      <c r="AG766" s="410"/>
      <c r="AH766" s="15"/>
      <c r="AI766" s="15"/>
      <c r="AJ766" s="15"/>
      <c r="AK766" s="15"/>
      <c r="AL766" s="410"/>
      <c r="AM766" s="15"/>
      <c r="AN766" s="15"/>
      <c r="AO766" s="15"/>
      <c r="AP766" s="15"/>
      <c r="AQ766" s="410">
        <f t="shared" ref="AQ766:FG766" si="3458">AQ748/AQ$763</f>
        <v>0.5968945954</v>
      </c>
      <c r="AR766" s="15">
        <f t="shared" si="3458"/>
        <v>0.6143863552</v>
      </c>
      <c r="AS766" s="15">
        <f t="shared" si="3458"/>
        <v>0.581314449</v>
      </c>
      <c r="AT766" s="15">
        <f t="shared" si="3458"/>
        <v>0.5335851729</v>
      </c>
      <c r="AU766" s="15">
        <f t="shared" si="3458"/>
        <v>0.5476140863</v>
      </c>
      <c r="AV766" s="410">
        <f t="shared" si="3458"/>
        <v>0.5678622585</v>
      </c>
      <c r="AW766" s="15">
        <f t="shared" si="3458"/>
        <v>0.5240619038</v>
      </c>
      <c r="AX766" s="15">
        <f t="shared" si="3458"/>
        <v>0.4986458672</v>
      </c>
      <c r="AY766" s="15">
        <f t="shared" si="3458"/>
        <v>0.4955823293</v>
      </c>
      <c r="AZ766" s="15">
        <f t="shared" si="3458"/>
        <v>0.4831879228</v>
      </c>
      <c r="BA766" s="410">
        <f t="shared" si="3458"/>
        <v>0.4999742441</v>
      </c>
      <c r="BB766" s="15">
        <f t="shared" si="3458"/>
        <v>0.4353467562</v>
      </c>
      <c r="BC766" s="15">
        <f t="shared" si="3458"/>
        <v>0.4167811212</v>
      </c>
      <c r="BD766" s="15">
        <f t="shared" si="3458"/>
        <v>0.402906511</v>
      </c>
      <c r="BE766" s="15">
        <f t="shared" si="3458"/>
        <v>0.397668661</v>
      </c>
      <c r="BF766" s="410">
        <f t="shared" si="3458"/>
        <v>0.4131590858</v>
      </c>
      <c r="BG766" s="15">
        <f t="shared" si="3458"/>
        <v>0.4022819702</v>
      </c>
      <c r="BH766" s="15">
        <f t="shared" si="3458"/>
        <v>0.3991935484</v>
      </c>
      <c r="BI766" s="15">
        <f t="shared" si="3458"/>
        <v>0.3845391477</v>
      </c>
      <c r="BJ766" s="15">
        <f t="shared" si="3458"/>
        <v>0.4040328603</v>
      </c>
      <c r="BK766" s="410">
        <f t="shared" si="3458"/>
        <v>0.3974017843</v>
      </c>
      <c r="BL766" s="15">
        <f t="shared" si="3458"/>
        <v>0.4379199835</v>
      </c>
      <c r="BM766" s="15">
        <f t="shared" si="3458"/>
        <v>0.4337909187</v>
      </c>
      <c r="BN766" s="15">
        <f t="shared" si="3458"/>
        <v>0.3982578056</v>
      </c>
      <c r="BO766" s="15">
        <f t="shared" si="3458"/>
        <v>0.4455385363</v>
      </c>
      <c r="BP766" s="410">
        <f t="shared" si="3458"/>
        <v>0.4277656574</v>
      </c>
      <c r="BQ766" s="15">
        <f t="shared" si="3458"/>
        <v>0.455983205</v>
      </c>
      <c r="BR766" s="15">
        <f t="shared" si="3458"/>
        <v>0.4259720837</v>
      </c>
      <c r="BS766" s="15">
        <f t="shared" si="3458"/>
        <v>0.412503994</v>
      </c>
      <c r="BT766" s="15" t="str">
        <f t="shared" si="3458"/>
        <v>#ERROR!</v>
      </c>
      <c r="BU766" s="410" t="str">
        <f t="shared" si="3458"/>
        <v>#ERROR!</v>
      </c>
      <c r="BV766" s="15" t="str">
        <f t="shared" si="3458"/>
        <v>#ERROR!</v>
      </c>
      <c r="BW766" s="15" t="str">
        <f t="shared" si="3458"/>
        <v>#ERROR!</v>
      </c>
      <c r="BX766" s="15" t="str">
        <f t="shared" si="3458"/>
        <v>#ERROR!</v>
      </c>
      <c r="BY766" s="15" t="str">
        <f t="shared" si="3458"/>
        <v>#ERROR!</v>
      </c>
      <c r="BZ766" s="24" t="str">
        <f t="shared" si="3458"/>
        <v>#ERROR!</v>
      </c>
      <c r="CA766" s="15" t="str">
        <f t="shared" si="3458"/>
        <v>#ERROR!</v>
      </c>
      <c r="CB766" s="15" t="str">
        <f t="shared" si="3458"/>
        <v>#ERROR!</v>
      </c>
      <c r="CC766" s="15" t="str">
        <f t="shared" si="3458"/>
        <v>#ERROR!</v>
      </c>
      <c r="CD766" s="15" t="str">
        <f t="shared" si="3458"/>
        <v>#ERROR!</v>
      </c>
      <c r="CE766" s="24" t="str">
        <f t="shared" si="3458"/>
        <v>#ERROR!</v>
      </c>
      <c r="CF766" s="15" t="str">
        <f t="shared" si="3458"/>
        <v>#ERROR!</v>
      </c>
      <c r="CG766" s="15" t="str">
        <f t="shared" si="3458"/>
        <v>#ERROR!</v>
      </c>
      <c r="CH766" s="15" t="str">
        <f t="shared" si="3458"/>
        <v>#ERROR!</v>
      </c>
      <c r="CI766" s="15" t="str">
        <f t="shared" si="3458"/>
        <v>#ERROR!</v>
      </c>
      <c r="CJ766" s="24" t="str">
        <f t="shared" si="3458"/>
        <v>#ERROR!</v>
      </c>
      <c r="CK766" s="15" t="str">
        <f t="shared" si="3458"/>
        <v>#ERROR!</v>
      </c>
      <c r="CL766" s="15" t="str">
        <f t="shared" si="3458"/>
        <v>#ERROR!</v>
      </c>
      <c r="CM766" s="15" t="str">
        <f t="shared" si="3458"/>
        <v>#ERROR!</v>
      </c>
      <c r="CN766" s="40" t="str">
        <f t="shared" si="3458"/>
        <v>#ERROR!</v>
      </c>
      <c r="CO766" s="24" t="str">
        <f t="shared" si="3458"/>
        <v>#ERROR!</v>
      </c>
      <c r="CP766" s="40" t="str">
        <f t="shared" si="3458"/>
        <v>#ERROR!</v>
      </c>
      <c r="CQ766" s="15" t="str">
        <f t="shared" si="3458"/>
        <v>#ERROR!</v>
      </c>
      <c r="CR766" s="15" t="str">
        <f t="shared" si="3458"/>
        <v>#ERROR!</v>
      </c>
      <c r="CS766" s="15" t="str">
        <f t="shared" si="3458"/>
        <v>#ERROR!</v>
      </c>
      <c r="CT766" s="24" t="str">
        <f t="shared" si="3458"/>
        <v>#ERROR!</v>
      </c>
      <c r="CU766" s="15" t="str">
        <f t="shared" si="3458"/>
        <v>#ERROR!</v>
      </c>
      <c r="CV766" s="15" t="str">
        <f t="shared" si="3458"/>
        <v>#ERROR!</v>
      </c>
      <c r="CW766" s="15" t="str">
        <f t="shared" si="3458"/>
        <v>#ERROR!</v>
      </c>
      <c r="CX766" s="15" t="str">
        <f t="shared" si="3458"/>
        <v>#ERROR!</v>
      </c>
      <c r="CY766" s="24" t="str">
        <f t="shared" si="3458"/>
        <v>#ERROR!</v>
      </c>
      <c r="CZ766" s="15" t="str">
        <f t="shared" si="3458"/>
        <v>#ERROR!</v>
      </c>
      <c r="DA766" s="15" t="str">
        <f t="shared" si="3458"/>
        <v>#ERROR!</v>
      </c>
      <c r="DB766" s="15" t="str">
        <f t="shared" si="3458"/>
        <v>#ERROR!</v>
      </c>
      <c r="DC766" s="15" t="str">
        <f t="shared" si="3458"/>
        <v>#ERROR!</v>
      </c>
      <c r="DD766" s="24" t="str">
        <f t="shared" si="3458"/>
        <v>#ERROR!</v>
      </c>
      <c r="DE766" s="15" t="str">
        <f t="shared" si="3458"/>
        <v>#ERROR!</v>
      </c>
      <c r="DF766" s="15" t="str">
        <f t="shared" si="3458"/>
        <v>#ERROR!</v>
      </c>
      <c r="DG766" s="40" t="str">
        <f t="shared" si="3458"/>
        <v>#ERROR!</v>
      </c>
      <c r="DH766" s="15" t="str">
        <f t="shared" si="3458"/>
        <v>#ERROR!</v>
      </c>
      <c r="DI766" s="24" t="str">
        <f t="shared" si="3458"/>
        <v>#ERROR!</v>
      </c>
      <c r="DJ766" s="40" t="str">
        <f t="shared" si="3458"/>
        <v>#ERROR!</v>
      </c>
      <c r="DK766" s="40" t="str">
        <f t="shared" si="3458"/>
        <v>#ERROR!</v>
      </c>
      <c r="DL766" s="40" t="str">
        <f t="shared" si="3458"/>
        <v>#ERROR!</v>
      </c>
      <c r="DM766" s="15" t="str">
        <f t="shared" si="3458"/>
        <v>#ERROR!</v>
      </c>
      <c r="DN766" s="24" t="str">
        <f t="shared" si="3458"/>
        <v>#ERROR!</v>
      </c>
      <c r="DO766" s="15" t="str">
        <f t="shared" si="3458"/>
        <v>#ERROR!</v>
      </c>
      <c r="DP766" s="15" t="str">
        <f t="shared" si="3458"/>
        <v>#ERROR!</v>
      </c>
      <c r="DQ766" s="15" t="str">
        <f t="shared" si="3458"/>
        <v>#ERROR!</v>
      </c>
      <c r="DR766" s="15" t="str">
        <f t="shared" si="3458"/>
        <v>#ERROR!</v>
      </c>
      <c r="DS766" s="24" t="str">
        <f t="shared" si="3458"/>
        <v>#ERROR!</v>
      </c>
      <c r="DT766" s="15" t="str">
        <f t="shared" si="3458"/>
        <v>#ERROR!</v>
      </c>
      <c r="DU766" s="15" t="str">
        <f t="shared" si="3458"/>
        <v>#ERROR!</v>
      </c>
      <c r="DV766" s="15" t="str">
        <f t="shared" si="3458"/>
        <v>#ERROR!</v>
      </c>
      <c r="DW766" s="15" t="str">
        <f t="shared" si="3458"/>
        <v>#ERROR!</v>
      </c>
      <c r="DX766" s="24" t="str">
        <f t="shared" si="3458"/>
        <v>#ERROR!</v>
      </c>
      <c r="DY766" s="15" t="str">
        <f t="shared" si="3458"/>
        <v>#ERROR!</v>
      </c>
      <c r="DZ766" s="15" t="str">
        <f t="shared" si="3458"/>
        <v>#ERROR!</v>
      </c>
      <c r="EA766" s="15" t="str">
        <f t="shared" si="3458"/>
        <v>#ERROR!</v>
      </c>
      <c r="EB766" s="15" t="str">
        <f t="shared" si="3458"/>
        <v>#ERROR!</v>
      </c>
      <c r="EC766" s="24" t="str">
        <f t="shared" si="3458"/>
        <v>#ERROR!</v>
      </c>
      <c r="ED766" s="15" t="str">
        <f t="shared" si="3458"/>
        <v>#ERROR!</v>
      </c>
      <c r="EE766" s="15" t="str">
        <f t="shared" si="3458"/>
        <v>#ERROR!</v>
      </c>
      <c r="EF766" s="15" t="str">
        <f t="shared" si="3458"/>
        <v>#ERROR!</v>
      </c>
      <c r="EG766" s="15" t="str">
        <f t="shared" si="3458"/>
        <v>#ERROR!</v>
      </c>
      <c r="EH766" s="24" t="str">
        <f t="shared" si="3458"/>
        <v>#ERROR!</v>
      </c>
      <c r="EI766" s="82" t="str">
        <f t="shared" si="3458"/>
        <v>#ERROR!</v>
      </c>
      <c r="EJ766" s="15" t="str">
        <f t="shared" si="3458"/>
        <v>#ERROR!</v>
      </c>
      <c r="EK766" s="15" t="str">
        <f t="shared" si="3458"/>
        <v>#ERROR!</v>
      </c>
      <c r="EL766" s="15" t="str">
        <f t="shared" si="3458"/>
        <v>#ERROR!</v>
      </c>
      <c r="EM766" s="24" t="str">
        <f t="shared" si="3458"/>
        <v>#ERROR!</v>
      </c>
      <c r="EN766" s="15" t="str">
        <f t="shared" si="3458"/>
        <v>#ERROR!</v>
      </c>
      <c r="EO766" s="15" t="str">
        <f t="shared" si="3458"/>
        <v>#ERROR!</v>
      </c>
      <c r="EP766" s="15" t="str">
        <f t="shared" si="3458"/>
        <v>#ERROR!</v>
      </c>
      <c r="EQ766" s="15" t="str">
        <f t="shared" si="3458"/>
        <v>#ERROR!</v>
      </c>
      <c r="ER766" s="24" t="str">
        <f t="shared" si="3458"/>
        <v>#ERROR!</v>
      </c>
      <c r="ES766" s="15" t="str">
        <f t="shared" si="3458"/>
        <v>#ERROR!</v>
      </c>
      <c r="ET766" s="15" t="str">
        <f t="shared" si="3458"/>
        <v>#ERROR!</v>
      </c>
      <c r="EU766" s="15" t="str">
        <f t="shared" si="3458"/>
        <v>#ERROR!</v>
      </c>
      <c r="EV766" s="15" t="str">
        <f t="shared" si="3458"/>
        <v>#ERROR!</v>
      </c>
      <c r="EW766" s="24" t="str">
        <f t="shared" si="3458"/>
        <v>#ERROR!</v>
      </c>
      <c r="EX766" s="15" t="str">
        <f t="shared" si="3458"/>
        <v>#ERROR!</v>
      </c>
      <c r="EY766" s="15" t="str">
        <f t="shared" si="3458"/>
        <v>#ERROR!</v>
      </c>
      <c r="EZ766" s="15" t="str">
        <f t="shared" si="3458"/>
        <v>#ERROR!</v>
      </c>
      <c r="FA766" s="15" t="str">
        <f t="shared" si="3458"/>
        <v>#ERROR!</v>
      </c>
      <c r="FB766" s="24" t="str">
        <f t="shared" si="3458"/>
        <v>#ERROR!</v>
      </c>
      <c r="FC766" s="15" t="str">
        <f t="shared" si="3458"/>
        <v>#ERROR!</v>
      </c>
      <c r="FD766" s="15" t="str">
        <f t="shared" si="3458"/>
        <v>#ERROR!</v>
      </c>
      <c r="FE766" s="15" t="str">
        <f t="shared" si="3458"/>
        <v>#ERROR!</v>
      </c>
      <c r="FF766" s="15" t="str">
        <f t="shared" si="3458"/>
        <v>#ERROR!</v>
      </c>
      <c r="FG766" s="24" t="str">
        <f t="shared" si="3458"/>
        <v>#ERROR!</v>
      </c>
      <c r="FH766" s="104"/>
      <c r="FI766" s="15"/>
      <c r="FJ766" s="15"/>
      <c r="FK766" s="410"/>
      <c r="FL766" s="15"/>
    </row>
    <row r="767" ht="12.75" hidden="1" customHeight="1" outlineLevel="2">
      <c r="A767" s="4"/>
      <c r="B767" s="72" t="str">
        <f t="shared" si="3459"/>
        <v>Chipsets, MBs and other</v>
      </c>
      <c r="C767" s="4"/>
      <c r="D767" s="15"/>
      <c r="E767" s="15"/>
      <c r="F767" s="15"/>
      <c r="G767" s="15"/>
      <c r="H767" s="410"/>
      <c r="I767" s="15"/>
      <c r="J767" s="15"/>
      <c r="K767" s="15"/>
      <c r="L767" s="15"/>
      <c r="M767" s="410"/>
      <c r="N767" s="15"/>
      <c r="O767" s="15"/>
      <c r="P767" s="15"/>
      <c r="Q767" s="15"/>
      <c r="R767" s="410"/>
      <c r="S767" s="15"/>
      <c r="T767" s="15"/>
      <c r="U767" s="15"/>
      <c r="V767" s="15"/>
      <c r="W767" s="410"/>
      <c r="X767" s="15"/>
      <c r="Y767" s="15"/>
      <c r="Z767" s="15"/>
      <c r="AA767" s="15"/>
      <c r="AB767" s="410"/>
      <c r="AC767" s="15"/>
      <c r="AD767" s="15"/>
      <c r="AE767" s="15"/>
      <c r="AF767" s="15"/>
      <c r="AG767" s="410"/>
      <c r="AH767" s="15"/>
      <c r="AI767" s="15"/>
      <c r="AJ767" s="15"/>
      <c r="AK767" s="15"/>
      <c r="AL767" s="410"/>
      <c r="AM767" s="15"/>
      <c r="AN767" s="15"/>
      <c r="AO767" s="15"/>
      <c r="AP767" s="15"/>
      <c r="AQ767" s="410"/>
      <c r="AR767" s="15">
        <f t="shared" ref="AR767:FG767" si="3460">AR749/AR$763</f>
        <v>0.1557285873</v>
      </c>
      <c r="AS767" s="15">
        <f t="shared" si="3460"/>
        <v>0.1526897751</v>
      </c>
      <c r="AT767" s="15">
        <f t="shared" si="3460"/>
        <v>0.1588950537</v>
      </c>
      <c r="AU767" s="15">
        <f t="shared" si="3460"/>
        <v>0.1580537612</v>
      </c>
      <c r="AV767" s="410">
        <f t="shared" si="3460"/>
        <v>0.156450057</v>
      </c>
      <c r="AW767" s="15">
        <f t="shared" si="3460"/>
        <v>0.1502013992</v>
      </c>
      <c r="AX767" s="15">
        <f t="shared" si="3460"/>
        <v>0.1514462138</v>
      </c>
      <c r="AY767" s="15">
        <f t="shared" si="3460"/>
        <v>0.1439759036</v>
      </c>
      <c r="AZ767" s="15">
        <f t="shared" si="3460"/>
        <v>0.1446916969</v>
      </c>
      <c r="BA767" s="410">
        <f t="shared" si="3460"/>
        <v>0.1474527379</v>
      </c>
      <c r="BB767" s="15">
        <f t="shared" si="3460"/>
        <v>0.1403803132</v>
      </c>
      <c r="BC767" s="15">
        <f t="shared" si="3460"/>
        <v>0.1601947809</v>
      </c>
      <c r="BD767" s="15">
        <f t="shared" si="3460"/>
        <v>0.1630621353</v>
      </c>
      <c r="BE767" s="15">
        <f t="shared" si="3460"/>
        <v>0.1348256654</v>
      </c>
      <c r="BF767" s="410">
        <f t="shared" si="3460"/>
        <v>0.1490721883</v>
      </c>
      <c r="BG767" s="15">
        <f t="shared" si="3460"/>
        <v>0.134771803</v>
      </c>
      <c r="BH767" s="15">
        <f t="shared" si="3460"/>
        <v>0.1357142857</v>
      </c>
      <c r="BI767" s="15">
        <f t="shared" si="3460"/>
        <v>0.1312190287</v>
      </c>
      <c r="BJ767" s="15">
        <f t="shared" si="3460"/>
        <v>0.1317214339</v>
      </c>
      <c r="BK767" s="410">
        <f t="shared" si="3460"/>
        <v>0.1331976835</v>
      </c>
      <c r="BL767" s="15">
        <f t="shared" si="3460"/>
        <v>0.1245735553</v>
      </c>
      <c r="BM767" s="15">
        <f t="shared" si="3460"/>
        <v>0.1335797254</v>
      </c>
      <c r="BN767" s="15">
        <f t="shared" si="3460"/>
        <v>0.122247235</v>
      </c>
      <c r="BO767" s="15">
        <f t="shared" si="3460"/>
        <v>0.1015074155</v>
      </c>
      <c r="BP767" s="410">
        <f t="shared" si="3460"/>
        <v>0.1211621348</v>
      </c>
      <c r="BQ767" s="15">
        <f t="shared" si="3460"/>
        <v>0.1051084675</v>
      </c>
      <c r="BR767" s="15">
        <f t="shared" si="3460"/>
        <v>0.1104187438</v>
      </c>
      <c r="BS767" s="15">
        <f t="shared" si="3460"/>
        <v>0.1107679199</v>
      </c>
      <c r="BT767" s="15" t="str">
        <f t="shared" si="3460"/>
        <v>#ERROR!</v>
      </c>
      <c r="BU767" s="410" t="str">
        <f t="shared" si="3460"/>
        <v>#ERROR!</v>
      </c>
      <c r="BV767" s="15" t="str">
        <f t="shared" si="3460"/>
        <v>#ERROR!</v>
      </c>
      <c r="BW767" s="15" t="str">
        <f t="shared" si="3460"/>
        <v>#ERROR!</v>
      </c>
      <c r="BX767" s="15" t="str">
        <f t="shared" si="3460"/>
        <v>#ERROR!</v>
      </c>
      <c r="BY767" s="15" t="str">
        <f t="shared" si="3460"/>
        <v>#ERROR!</v>
      </c>
      <c r="BZ767" s="24" t="str">
        <f t="shared" si="3460"/>
        <v>#ERROR!</v>
      </c>
      <c r="CA767" s="15" t="str">
        <f t="shared" si="3460"/>
        <v>#ERROR!</v>
      </c>
      <c r="CB767" s="15" t="str">
        <f t="shared" si="3460"/>
        <v>#ERROR!</v>
      </c>
      <c r="CC767" s="15" t="str">
        <f t="shared" si="3460"/>
        <v>#ERROR!</v>
      </c>
      <c r="CD767" s="15" t="str">
        <f t="shared" si="3460"/>
        <v>#ERROR!</v>
      </c>
      <c r="CE767" s="24" t="str">
        <f t="shared" si="3460"/>
        <v>#ERROR!</v>
      </c>
      <c r="CF767" s="15" t="str">
        <f t="shared" si="3460"/>
        <v>#ERROR!</v>
      </c>
      <c r="CG767" s="15" t="str">
        <f t="shared" si="3460"/>
        <v>#ERROR!</v>
      </c>
      <c r="CH767" s="15" t="str">
        <f t="shared" si="3460"/>
        <v>#ERROR!</v>
      </c>
      <c r="CI767" s="15" t="str">
        <f t="shared" si="3460"/>
        <v>#ERROR!</v>
      </c>
      <c r="CJ767" s="24" t="str">
        <f t="shared" si="3460"/>
        <v>#ERROR!</v>
      </c>
      <c r="CK767" s="15" t="str">
        <f t="shared" si="3460"/>
        <v>#ERROR!</v>
      </c>
      <c r="CL767" s="15" t="str">
        <f t="shared" si="3460"/>
        <v>#ERROR!</v>
      </c>
      <c r="CM767" s="15" t="str">
        <f t="shared" si="3460"/>
        <v>#ERROR!</v>
      </c>
      <c r="CN767" s="40" t="str">
        <f t="shared" si="3460"/>
        <v>#ERROR!</v>
      </c>
      <c r="CO767" s="24" t="str">
        <f t="shared" si="3460"/>
        <v>#ERROR!</v>
      </c>
      <c r="CP767" s="40" t="str">
        <f t="shared" si="3460"/>
        <v>#ERROR!</v>
      </c>
      <c r="CQ767" s="15" t="str">
        <f t="shared" si="3460"/>
        <v>#ERROR!</v>
      </c>
      <c r="CR767" s="15" t="str">
        <f t="shared" si="3460"/>
        <v>#ERROR!</v>
      </c>
      <c r="CS767" s="15" t="str">
        <f t="shared" si="3460"/>
        <v>#ERROR!</v>
      </c>
      <c r="CT767" s="24" t="str">
        <f t="shared" si="3460"/>
        <v>#ERROR!</v>
      </c>
      <c r="CU767" s="15" t="str">
        <f t="shared" si="3460"/>
        <v>#ERROR!</v>
      </c>
      <c r="CV767" s="15" t="str">
        <f t="shared" si="3460"/>
        <v>#ERROR!</v>
      </c>
      <c r="CW767" s="15" t="str">
        <f t="shared" si="3460"/>
        <v>#ERROR!</v>
      </c>
      <c r="CX767" s="15" t="str">
        <f t="shared" si="3460"/>
        <v>#ERROR!</v>
      </c>
      <c r="CY767" s="24" t="str">
        <f t="shared" si="3460"/>
        <v>#ERROR!</v>
      </c>
      <c r="CZ767" s="15" t="str">
        <f t="shared" si="3460"/>
        <v>#ERROR!</v>
      </c>
      <c r="DA767" s="15" t="str">
        <f t="shared" si="3460"/>
        <v>#ERROR!</v>
      </c>
      <c r="DB767" s="15" t="str">
        <f t="shared" si="3460"/>
        <v>#ERROR!</v>
      </c>
      <c r="DC767" s="15" t="str">
        <f t="shared" si="3460"/>
        <v>#ERROR!</v>
      </c>
      <c r="DD767" s="24" t="str">
        <f t="shared" si="3460"/>
        <v>#ERROR!</v>
      </c>
      <c r="DE767" s="15" t="str">
        <f t="shared" si="3460"/>
        <v>#ERROR!</v>
      </c>
      <c r="DF767" s="15" t="str">
        <f t="shared" si="3460"/>
        <v>#ERROR!</v>
      </c>
      <c r="DG767" s="40" t="str">
        <f t="shared" si="3460"/>
        <v>#ERROR!</v>
      </c>
      <c r="DH767" s="15" t="str">
        <f t="shared" si="3460"/>
        <v>#ERROR!</v>
      </c>
      <c r="DI767" s="24" t="str">
        <f t="shared" si="3460"/>
        <v>#ERROR!</v>
      </c>
      <c r="DJ767" s="40" t="str">
        <f t="shared" si="3460"/>
        <v>#ERROR!</v>
      </c>
      <c r="DK767" s="40" t="str">
        <f t="shared" si="3460"/>
        <v>#ERROR!</v>
      </c>
      <c r="DL767" s="40" t="str">
        <f t="shared" si="3460"/>
        <v>#ERROR!</v>
      </c>
      <c r="DM767" s="15" t="str">
        <f t="shared" si="3460"/>
        <v>#ERROR!</v>
      </c>
      <c r="DN767" s="24" t="str">
        <f t="shared" si="3460"/>
        <v>#ERROR!</v>
      </c>
      <c r="DO767" s="15" t="str">
        <f t="shared" si="3460"/>
        <v>#ERROR!</v>
      </c>
      <c r="DP767" s="15" t="str">
        <f t="shared" si="3460"/>
        <v>#ERROR!</v>
      </c>
      <c r="DQ767" s="15" t="str">
        <f t="shared" si="3460"/>
        <v>#ERROR!</v>
      </c>
      <c r="DR767" s="15" t="str">
        <f t="shared" si="3460"/>
        <v>#ERROR!</v>
      </c>
      <c r="DS767" s="24" t="str">
        <f t="shared" si="3460"/>
        <v>#ERROR!</v>
      </c>
      <c r="DT767" s="15" t="str">
        <f t="shared" si="3460"/>
        <v>#ERROR!</v>
      </c>
      <c r="DU767" s="15" t="str">
        <f t="shared" si="3460"/>
        <v>#ERROR!</v>
      </c>
      <c r="DV767" s="15" t="str">
        <f t="shared" si="3460"/>
        <v>#ERROR!</v>
      </c>
      <c r="DW767" s="15" t="str">
        <f t="shared" si="3460"/>
        <v>#ERROR!</v>
      </c>
      <c r="DX767" s="24" t="str">
        <f t="shared" si="3460"/>
        <v>#ERROR!</v>
      </c>
      <c r="DY767" s="15" t="str">
        <f t="shared" si="3460"/>
        <v>#ERROR!</v>
      </c>
      <c r="DZ767" s="15" t="str">
        <f t="shared" si="3460"/>
        <v>#ERROR!</v>
      </c>
      <c r="EA767" s="15" t="str">
        <f t="shared" si="3460"/>
        <v>#ERROR!</v>
      </c>
      <c r="EB767" s="15" t="str">
        <f t="shared" si="3460"/>
        <v>#ERROR!</v>
      </c>
      <c r="EC767" s="24" t="str">
        <f t="shared" si="3460"/>
        <v>#ERROR!</v>
      </c>
      <c r="ED767" s="15" t="str">
        <f t="shared" si="3460"/>
        <v>#ERROR!</v>
      </c>
      <c r="EE767" s="15" t="str">
        <f t="shared" si="3460"/>
        <v>#ERROR!</v>
      </c>
      <c r="EF767" s="15" t="str">
        <f t="shared" si="3460"/>
        <v>#ERROR!</v>
      </c>
      <c r="EG767" s="15" t="str">
        <f t="shared" si="3460"/>
        <v>#ERROR!</v>
      </c>
      <c r="EH767" s="24" t="str">
        <f t="shared" si="3460"/>
        <v>#ERROR!</v>
      </c>
      <c r="EI767" s="82" t="str">
        <f t="shared" si="3460"/>
        <v>#ERROR!</v>
      </c>
      <c r="EJ767" s="15" t="str">
        <f t="shared" si="3460"/>
        <v>#ERROR!</v>
      </c>
      <c r="EK767" s="15" t="str">
        <f t="shared" si="3460"/>
        <v>#ERROR!</v>
      </c>
      <c r="EL767" s="15" t="str">
        <f t="shared" si="3460"/>
        <v>#ERROR!</v>
      </c>
      <c r="EM767" s="24" t="str">
        <f t="shared" si="3460"/>
        <v>#ERROR!</v>
      </c>
      <c r="EN767" s="15" t="str">
        <f t="shared" si="3460"/>
        <v>#ERROR!</v>
      </c>
      <c r="EO767" s="15" t="str">
        <f t="shared" si="3460"/>
        <v>#ERROR!</v>
      </c>
      <c r="EP767" s="15" t="str">
        <f t="shared" si="3460"/>
        <v>#ERROR!</v>
      </c>
      <c r="EQ767" s="15" t="str">
        <f t="shared" si="3460"/>
        <v>#ERROR!</v>
      </c>
      <c r="ER767" s="24" t="str">
        <f t="shared" si="3460"/>
        <v>#ERROR!</v>
      </c>
      <c r="ES767" s="15" t="str">
        <f t="shared" si="3460"/>
        <v>#ERROR!</v>
      </c>
      <c r="ET767" s="15" t="str">
        <f t="shared" si="3460"/>
        <v>#ERROR!</v>
      </c>
      <c r="EU767" s="15" t="str">
        <f t="shared" si="3460"/>
        <v>#ERROR!</v>
      </c>
      <c r="EV767" s="15" t="str">
        <f t="shared" si="3460"/>
        <v>#ERROR!</v>
      </c>
      <c r="EW767" s="24" t="str">
        <f t="shared" si="3460"/>
        <v>#ERROR!</v>
      </c>
      <c r="EX767" s="15" t="str">
        <f t="shared" si="3460"/>
        <v>#ERROR!</v>
      </c>
      <c r="EY767" s="15" t="str">
        <f t="shared" si="3460"/>
        <v>#ERROR!</v>
      </c>
      <c r="EZ767" s="15" t="str">
        <f t="shared" si="3460"/>
        <v>#ERROR!</v>
      </c>
      <c r="FA767" s="15" t="str">
        <f t="shared" si="3460"/>
        <v>#ERROR!</v>
      </c>
      <c r="FB767" s="24" t="str">
        <f t="shared" si="3460"/>
        <v>#ERROR!</v>
      </c>
      <c r="FC767" s="15" t="str">
        <f t="shared" si="3460"/>
        <v>#ERROR!</v>
      </c>
      <c r="FD767" s="15" t="str">
        <f t="shared" si="3460"/>
        <v>#ERROR!</v>
      </c>
      <c r="FE767" s="15" t="str">
        <f t="shared" si="3460"/>
        <v>#ERROR!</v>
      </c>
      <c r="FF767" s="15" t="str">
        <f t="shared" si="3460"/>
        <v>#ERROR!</v>
      </c>
      <c r="FG767" s="24" t="str">
        <f t="shared" si="3460"/>
        <v>#ERROR!</v>
      </c>
      <c r="FH767" s="104"/>
      <c r="FI767" s="15"/>
      <c r="FJ767" s="15"/>
      <c r="FK767" s="410"/>
      <c r="FL767" s="15"/>
    </row>
    <row r="768" ht="12.75" hidden="1" customHeight="1" outlineLevel="2">
      <c r="A768" s="45"/>
      <c r="B768" s="215" t="str">
        <f t="shared" si="3459"/>
        <v>Digital Enterprise Group</v>
      </c>
      <c r="C768" s="45"/>
      <c r="D768" s="410"/>
      <c r="E768" s="410"/>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410"/>
      <c r="AK768" s="410"/>
      <c r="AL768" s="410"/>
      <c r="AM768" s="410"/>
      <c r="AN768" s="410"/>
      <c r="AO768" s="410"/>
      <c r="AP768" s="410"/>
      <c r="AQ768" s="410">
        <f t="shared" ref="AQ768:FG768" si="3461">AQ750/AQ$763</f>
        <v>0.1681430609</v>
      </c>
      <c r="AR768" s="410">
        <f t="shared" si="3461"/>
        <v>0.7701149425</v>
      </c>
      <c r="AS768" s="410">
        <f t="shared" si="3461"/>
        <v>0.7340042241</v>
      </c>
      <c r="AT768" s="410">
        <f t="shared" si="3461"/>
        <v>0.6924802267</v>
      </c>
      <c r="AU768" s="410">
        <f t="shared" si="3461"/>
        <v>0.7056678475</v>
      </c>
      <c r="AV768" s="410">
        <f t="shared" si="3461"/>
        <v>0.7243123155</v>
      </c>
      <c r="AW768" s="410">
        <f t="shared" si="3461"/>
        <v>0.6742633029</v>
      </c>
      <c r="AX768" s="410">
        <f t="shared" si="3461"/>
        <v>0.650092081</v>
      </c>
      <c r="AY768" s="410">
        <f t="shared" si="3461"/>
        <v>0.6395582329</v>
      </c>
      <c r="AZ768" s="410">
        <f t="shared" si="3461"/>
        <v>0.6278796196</v>
      </c>
      <c r="BA768" s="410">
        <f t="shared" si="3461"/>
        <v>0.6474269819</v>
      </c>
      <c r="BB768" s="410">
        <f t="shared" si="3461"/>
        <v>0.5757270694</v>
      </c>
      <c r="BC768" s="410">
        <f t="shared" si="3461"/>
        <v>0.5769759021</v>
      </c>
      <c r="BD768" s="410">
        <f t="shared" si="3461"/>
        <v>0.5659686463</v>
      </c>
      <c r="BE768" s="410">
        <f t="shared" si="3461"/>
        <v>0.5324943264</v>
      </c>
      <c r="BF768" s="410">
        <f t="shared" si="3461"/>
        <v>0.562231274</v>
      </c>
      <c r="BG768" s="410">
        <f t="shared" si="3461"/>
        <v>0.5370537732</v>
      </c>
      <c r="BH768" s="410">
        <f t="shared" si="3461"/>
        <v>0.5349078341</v>
      </c>
      <c r="BI768" s="410">
        <f t="shared" si="3461"/>
        <v>0.5157581764</v>
      </c>
      <c r="BJ768" s="410">
        <f t="shared" si="3461"/>
        <v>0.5357542942</v>
      </c>
      <c r="BK768" s="410">
        <f t="shared" si="3461"/>
        <v>0.5305994678</v>
      </c>
      <c r="BL768" s="410">
        <f t="shared" si="3461"/>
        <v>0.5624935387</v>
      </c>
      <c r="BM768" s="410">
        <f t="shared" si="3461"/>
        <v>0.5673706441</v>
      </c>
      <c r="BN768" s="410">
        <f t="shared" si="3461"/>
        <v>0.5205050406</v>
      </c>
      <c r="BO768" s="410">
        <f t="shared" si="3461"/>
        <v>0.5470459519</v>
      </c>
      <c r="BP768" s="410">
        <f t="shared" si="3461"/>
        <v>0.5489277923</v>
      </c>
      <c r="BQ768" s="410">
        <f t="shared" si="3461"/>
        <v>0.5610916725</v>
      </c>
      <c r="BR768" s="410">
        <f t="shared" si="3461"/>
        <v>0.5363908275</v>
      </c>
      <c r="BS768" s="410">
        <f t="shared" si="3461"/>
        <v>0.5232719139</v>
      </c>
      <c r="BT768" s="410" t="str">
        <f t="shared" si="3461"/>
        <v>#ERROR!</v>
      </c>
      <c r="BU768" s="410" t="str">
        <f t="shared" si="3461"/>
        <v>#ERROR!</v>
      </c>
      <c r="BV768" s="410" t="str">
        <f t="shared" si="3461"/>
        <v>#ERROR!</v>
      </c>
      <c r="BW768" s="410" t="str">
        <f t="shared" si="3461"/>
        <v>#ERROR!</v>
      </c>
      <c r="BX768" s="410" t="str">
        <f t="shared" si="3461"/>
        <v>#ERROR!</v>
      </c>
      <c r="BY768" s="410" t="str">
        <f t="shared" si="3461"/>
        <v>#ERROR!</v>
      </c>
      <c r="BZ768" s="24" t="str">
        <f t="shared" si="3461"/>
        <v>#ERROR!</v>
      </c>
      <c r="CA768" s="410" t="str">
        <f t="shared" si="3461"/>
        <v>#ERROR!</v>
      </c>
      <c r="CB768" s="410" t="str">
        <f t="shared" si="3461"/>
        <v>#ERROR!</v>
      </c>
      <c r="CC768" s="410" t="str">
        <f t="shared" si="3461"/>
        <v>#ERROR!</v>
      </c>
      <c r="CD768" s="410" t="str">
        <f t="shared" si="3461"/>
        <v>#ERROR!</v>
      </c>
      <c r="CE768" s="24" t="str">
        <f t="shared" si="3461"/>
        <v>#ERROR!</v>
      </c>
      <c r="CF768" s="410" t="str">
        <f t="shared" si="3461"/>
        <v>#ERROR!</v>
      </c>
      <c r="CG768" s="410" t="str">
        <f t="shared" si="3461"/>
        <v>#ERROR!</v>
      </c>
      <c r="CH768" s="410" t="str">
        <f t="shared" si="3461"/>
        <v>#ERROR!</v>
      </c>
      <c r="CI768" s="410" t="str">
        <f t="shared" si="3461"/>
        <v>#ERROR!</v>
      </c>
      <c r="CJ768" s="24" t="str">
        <f t="shared" si="3461"/>
        <v>#ERROR!</v>
      </c>
      <c r="CK768" s="410" t="str">
        <f t="shared" si="3461"/>
        <v>#ERROR!</v>
      </c>
      <c r="CL768" s="410" t="str">
        <f t="shared" si="3461"/>
        <v>#ERROR!</v>
      </c>
      <c r="CM768" s="410" t="str">
        <f t="shared" si="3461"/>
        <v>#ERROR!</v>
      </c>
      <c r="CN768" s="104" t="str">
        <f t="shared" si="3461"/>
        <v>#ERROR!</v>
      </c>
      <c r="CO768" s="24" t="str">
        <f t="shared" si="3461"/>
        <v>#ERROR!</v>
      </c>
      <c r="CP768" s="104" t="str">
        <f t="shared" si="3461"/>
        <v>#ERROR!</v>
      </c>
      <c r="CQ768" s="410" t="str">
        <f t="shared" si="3461"/>
        <v>#ERROR!</v>
      </c>
      <c r="CR768" s="410" t="str">
        <f t="shared" si="3461"/>
        <v>#ERROR!</v>
      </c>
      <c r="CS768" s="410" t="str">
        <f t="shared" si="3461"/>
        <v>#ERROR!</v>
      </c>
      <c r="CT768" s="24" t="str">
        <f t="shared" si="3461"/>
        <v>#ERROR!</v>
      </c>
      <c r="CU768" s="410" t="str">
        <f t="shared" si="3461"/>
        <v>#ERROR!</v>
      </c>
      <c r="CV768" s="410" t="str">
        <f t="shared" si="3461"/>
        <v>#ERROR!</v>
      </c>
      <c r="CW768" s="410" t="str">
        <f t="shared" si="3461"/>
        <v>#ERROR!</v>
      </c>
      <c r="CX768" s="410" t="str">
        <f t="shared" si="3461"/>
        <v>#ERROR!</v>
      </c>
      <c r="CY768" s="24" t="str">
        <f t="shared" si="3461"/>
        <v>#ERROR!</v>
      </c>
      <c r="CZ768" s="410" t="str">
        <f t="shared" si="3461"/>
        <v>#ERROR!</v>
      </c>
      <c r="DA768" s="410" t="str">
        <f t="shared" si="3461"/>
        <v>#ERROR!</v>
      </c>
      <c r="DB768" s="410" t="str">
        <f t="shared" si="3461"/>
        <v>#ERROR!</v>
      </c>
      <c r="DC768" s="410" t="str">
        <f t="shared" si="3461"/>
        <v>#ERROR!</v>
      </c>
      <c r="DD768" s="24" t="str">
        <f t="shared" si="3461"/>
        <v>#ERROR!</v>
      </c>
      <c r="DE768" s="410" t="str">
        <f t="shared" si="3461"/>
        <v>#ERROR!</v>
      </c>
      <c r="DF768" s="410" t="str">
        <f t="shared" si="3461"/>
        <v>#ERROR!</v>
      </c>
      <c r="DG768" s="104" t="str">
        <f t="shared" si="3461"/>
        <v>#ERROR!</v>
      </c>
      <c r="DH768" s="410" t="str">
        <f t="shared" si="3461"/>
        <v>#ERROR!</v>
      </c>
      <c r="DI768" s="24" t="str">
        <f t="shared" si="3461"/>
        <v>#ERROR!</v>
      </c>
      <c r="DJ768" s="104" t="str">
        <f t="shared" si="3461"/>
        <v>#ERROR!</v>
      </c>
      <c r="DK768" s="104" t="str">
        <f t="shared" si="3461"/>
        <v>#ERROR!</v>
      </c>
      <c r="DL768" s="104" t="str">
        <f t="shared" si="3461"/>
        <v>#ERROR!</v>
      </c>
      <c r="DM768" s="410" t="str">
        <f t="shared" si="3461"/>
        <v>#ERROR!</v>
      </c>
      <c r="DN768" s="24" t="str">
        <f t="shared" si="3461"/>
        <v>#ERROR!</v>
      </c>
      <c r="DO768" s="410" t="str">
        <f t="shared" si="3461"/>
        <v>#ERROR!</v>
      </c>
      <c r="DP768" s="410" t="str">
        <f t="shared" si="3461"/>
        <v>#ERROR!</v>
      </c>
      <c r="DQ768" s="410" t="str">
        <f t="shared" si="3461"/>
        <v>#ERROR!</v>
      </c>
      <c r="DR768" s="410" t="str">
        <f t="shared" si="3461"/>
        <v>#ERROR!</v>
      </c>
      <c r="DS768" s="24" t="str">
        <f t="shared" si="3461"/>
        <v>#ERROR!</v>
      </c>
      <c r="DT768" s="410" t="str">
        <f t="shared" si="3461"/>
        <v>#ERROR!</v>
      </c>
      <c r="DU768" s="410" t="str">
        <f t="shared" si="3461"/>
        <v>#ERROR!</v>
      </c>
      <c r="DV768" s="410" t="str">
        <f t="shared" si="3461"/>
        <v>#ERROR!</v>
      </c>
      <c r="DW768" s="410" t="str">
        <f t="shared" si="3461"/>
        <v>#ERROR!</v>
      </c>
      <c r="DX768" s="24" t="str">
        <f t="shared" si="3461"/>
        <v>#ERROR!</v>
      </c>
      <c r="DY768" s="410" t="str">
        <f t="shared" si="3461"/>
        <v>#ERROR!</v>
      </c>
      <c r="DZ768" s="410" t="str">
        <f t="shared" si="3461"/>
        <v>#ERROR!</v>
      </c>
      <c r="EA768" s="410" t="str">
        <f t="shared" si="3461"/>
        <v>#ERROR!</v>
      </c>
      <c r="EB768" s="410" t="str">
        <f t="shared" si="3461"/>
        <v>#ERROR!</v>
      </c>
      <c r="EC768" s="24" t="str">
        <f t="shared" si="3461"/>
        <v>#ERROR!</v>
      </c>
      <c r="ED768" s="410" t="str">
        <f t="shared" si="3461"/>
        <v>#ERROR!</v>
      </c>
      <c r="EE768" s="410" t="str">
        <f t="shared" si="3461"/>
        <v>#ERROR!</v>
      </c>
      <c r="EF768" s="410" t="str">
        <f t="shared" si="3461"/>
        <v>#ERROR!</v>
      </c>
      <c r="EG768" s="410" t="str">
        <f t="shared" si="3461"/>
        <v>#ERROR!</v>
      </c>
      <c r="EH768" s="24" t="str">
        <f t="shared" si="3461"/>
        <v>#ERROR!</v>
      </c>
      <c r="EI768" s="317" t="str">
        <f t="shared" si="3461"/>
        <v>#ERROR!</v>
      </c>
      <c r="EJ768" s="410" t="str">
        <f t="shared" si="3461"/>
        <v>#ERROR!</v>
      </c>
      <c r="EK768" s="410" t="str">
        <f t="shared" si="3461"/>
        <v>#ERROR!</v>
      </c>
      <c r="EL768" s="410" t="str">
        <f t="shared" si="3461"/>
        <v>#ERROR!</v>
      </c>
      <c r="EM768" s="24" t="str">
        <f t="shared" si="3461"/>
        <v>#ERROR!</v>
      </c>
      <c r="EN768" s="410" t="str">
        <f t="shared" si="3461"/>
        <v>#ERROR!</v>
      </c>
      <c r="EO768" s="410" t="str">
        <f t="shared" si="3461"/>
        <v>#ERROR!</v>
      </c>
      <c r="EP768" s="410" t="str">
        <f t="shared" si="3461"/>
        <v>#ERROR!</v>
      </c>
      <c r="EQ768" s="410" t="str">
        <f t="shared" si="3461"/>
        <v>#ERROR!</v>
      </c>
      <c r="ER768" s="24" t="str">
        <f t="shared" si="3461"/>
        <v>#ERROR!</v>
      </c>
      <c r="ES768" s="410" t="str">
        <f t="shared" si="3461"/>
        <v>#ERROR!</v>
      </c>
      <c r="ET768" s="410" t="str">
        <f t="shared" si="3461"/>
        <v>#ERROR!</v>
      </c>
      <c r="EU768" s="410" t="str">
        <f t="shared" si="3461"/>
        <v>#ERROR!</v>
      </c>
      <c r="EV768" s="410" t="str">
        <f t="shared" si="3461"/>
        <v>#ERROR!</v>
      </c>
      <c r="EW768" s="24" t="str">
        <f t="shared" si="3461"/>
        <v>#ERROR!</v>
      </c>
      <c r="EX768" s="410" t="str">
        <f t="shared" si="3461"/>
        <v>#ERROR!</v>
      </c>
      <c r="EY768" s="410" t="str">
        <f t="shared" si="3461"/>
        <v>#ERROR!</v>
      </c>
      <c r="EZ768" s="410" t="str">
        <f t="shared" si="3461"/>
        <v>#ERROR!</v>
      </c>
      <c r="FA768" s="410" t="str">
        <f t="shared" si="3461"/>
        <v>#ERROR!</v>
      </c>
      <c r="FB768" s="24" t="str">
        <f t="shared" si="3461"/>
        <v>#ERROR!</v>
      </c>
      <c r="FC768" s="410" t="str">
        <f t="shared" si="3461"/>
        <v>#ERROR!</v>
      </c>
      <c r="FD768" s="410" t="str">
        <f t="shared" si="3461"/>
        <v>#ERROR!</v>
      </c>
      <c r="FE768" s="410" t="str">
        <f t="shared" si="3461"/>
        <v>#ERROR!</v>
      </c>
      <c r="FF768" s="410" t="str">
        <f t="shared" si="3461"/>
        <v>#ERROR!</v>
      </c>
      <c r="FG768" s="24" t="str">
        <f t="shared" si="3461"/>
        <v>#ERROR!</v>
      </c>
      <c r="FH768" s="104"/>
      <c r="FI768" s="410"/>
      <c r="FJ768" s="410"/>
      <c r="FK768" s="410"/>
      <c r="FL768" s="410"/>
    </row>
    <row r="769" ht="12.75" hidden="1" customHeight="1" outlineLevel="2">
      <c r="A769" s="4"/>
      <c r="B769" s="72" t="str">
        <f t="shared" si="3459"/>
        <v>Mobile Processors</v>
      </c>
      <c r="C769" s="4"/>
      <c r="D769" s="15"/>
      <c r="E769" s="15"/>
      <c r="F769" s="15"/>
      <c r="G769" s="15"/>
      <c r="H769" s="410"/>
      <c r="I769" s="15"/>
      <c r="J769" s="15"/>
      <c r="K769" s="15"/>
      <c r="L769" s="15"/>
      <c r="M769" s="410"/>
      <c r="N769" s="15"/>
      <c r="O769" s="15"/>
      <c r="P769" s="15"/>
      <c r="Q769" s="15"/>
      <c r="R769" s="410"/>
      <c r="S769" s="15"/>
      <c r="T769" s="15"/>
      <c r="U769" s="15"/>
      <c r="V769" s="15"/>
      <c r="W769" s="410"/>
      <c r="X769" s="15"/>
      <c r="Y769" s="15"/>
      <c r="Z769" s="15"/>
      <c r="AA769" s="15"/>
      <c r="AB769" s="410"/>
      <c r="AC769" s="15"/>
      <c r="AD769" s="15"/>
      <c r="AE769" s="15"/>
      <c r="AF769" s="15"/>
      <c r="AG769" s="410"/>
      <c r="AH769" s="15"/>
      <c r="AI769" s="15"/>
      <c r="AJ769" s="15"/>
      <c r="AK769" s="15"/>
      <c r="AL769" s="410"/>
      <c r="AM769" s="15"/>
      <c r="AN769" s="15"/>
      <c r="AO769" s="15"/>
      <c r="AP769" s="15"/>
      <c r="AQ769" s="410"/>
      <c r="AR769" s="15">
        <f t="shared" ref="AR769:FG769" si="3462">AR751/AR$763</f>
        <v>0.1436163639</v>
      </c>
      <c r="AS769" s="15">
        <f t="shared" si="3462"/>
        <v>0.1520685799</v>
      </c>
      <c r="AT769" s="15">
        <f t="shared" si="3462"/>
        <v>0.1854562625</v>
      </c>
      <c r="AU769" s="15">
        <f t="shared" si="3462"/>
        <v>0.1781621171</v>
      </c>
      <c r="AV769" s="410">
        <f t="shared" si="3462"/>
        <v>0.1656581601</v>
      </c>
      <c r="AW769" s="15">
        <f t="shared" si="3462"/>
        <v>0.2032011872</v>
      </c>
      <c r="AX769" s="15">
        <f t="shared" si="3462"/>
        <v>0.2227277651</v>
      </c>
      <c r="AY769" s="15">
        <f t="shared" si="3462"/>
        <v>0.2340361446</v>
      </c>
      <c r="AZ769" s="15">
        <f t="shared" si="3462"/>
        <v>0.2352710519</v>
      </c>
      <c r="BA769" s="410">
        <f t="shared" si="3462"/>
        <v>0.2241796734</v>
      </c>
      <c r="BB769" s="15">
        <f t="shared" si="3462"/>
        <v>0.2625279642</v>
      </c>
      <c r="BC769" s="15">
        <f t="shared" si="3462"/>
        <v>0.2444749657</v>
      </c>
      <c r="BD769" s="15">
        <f t="shared" si="3462"/>
        <v>0.2562078041</v>
      </c>
      <c r="BE769" s="15">
        <f t="shared" si="3462"/>
        <v>0.2752217867</v>
      </c>
      <c r="BF769" s="410">
        <f t="shared" si="3462"/>
        <v>0.2605793166</v>
      </c>
      <c r="BG769" s="15">
        <f t="shared" si="3462"/>
        <v>0.2757568911</v>
      </c>
      <c r="BH769" s="15">
        <f t="shared" si="3462"/>
        <v>0.2762672811</v>
      </c>
      <c r="BI769" s="15">
        <f t="shared" si="3462"/>
        <v>0.2806739346</v>
      </c>
      <c r="BJ769" s="15">
        <f t="shared" si="3462"/>
        <v>0.2790328603</v>
      </c>
      <c r="BK769" s="410">
        <f t="shared" si="3462"/>
        <v>0.2780821203</v>
      </c>
      <c r="BL769" s="15">
        <f t="shared" si="3462"/>
        <v>0.2818153623</v>
      </c>
      <c r="BM769" s="15">
        <f t="shared" si="3462"/>
        <v>0.2895459345</v>
      </c>
      <c r="BN769" s="15">
        <f t="shared" si="3462"/>
        <v>0.331506313</v>
      </c>
      <c r="BO769" s="15">
        <f t="shared" si="3462"/>
        <v>0.3141259421</v>
      </c>
      <c r="BP769" s="410">
        <f t="shared" si="3462"/>
        <v>0.3043420422</v>
      </c>
      <c r="BQ769" s="15">
        <f t="shared" si="3462"/>
        <v>0.3062281316</v>
      </c>
      <c r="BR769" s="15">
        <f t="shared" si="3462"/>
        <v>0.3182951147</v>
      </c>
      <c r="BS769" s="15">
        <f t="shared" si="3462"/>
        <v>0.3114282671</v>
      </c>
      <c r="BT769" s="15" t="str">
        <f t="shared" si="3462"/>
        <v>#ERROR!</v>
      </c>
      <c r="BU769" s="410" t="str">
        <f t="shared" si="3462"/>
        <v>#ERROR!</v>
      </c>
      <c r="BV769" s="15" t="str">
        <f t="shared" si="3462"/>
        <v>#ERROR!</v>
      </c>
      <c r="BW769" s="15" t="str">
        <f t="shared" si="3462"/>
        <v>#ERROR!</v>
      </c>
      <c r="BX769" s="15" t="str">
        <f t="shared" si="3462"/>
        <v>#ERROR!</v>
      </c>
      <c r="BY769" s="15" t="str">
        <f t="shared" si="3462"/>
        <v>#ERROR!</v>
      </c>
      <c r="BZ769" s="24" t="str">
        <f t="shared" si="3462"/>
        <v>#ERROR!</v>
      </c>
      <c r="CA769" s="15" t="str">
        <f t="shared" si="3462"/>
        <v>#ERROR!</v>
      </c>
      <c r="CB769" s="15" t="str">
        <f t="shared" si="3462"/>
        <v>#ERROR!</v>
      </c>
      <c r="CC769" s="15" t="str">
        <f t="shared" si="3462"/>
        <v>#ERROR!</v>
      </c>
      <c r="CD769" s="15" t="str">
        <f t="shared" si="3462"/>
        <v>#ERROR!</v>
      </c>
      <c r="CE769" s="24" t="str">
        <f t="shared" si="3462"/>
        <v>#ERROR!</v>
      </c>
      <c r="CF769" s="15" t="str">
        <f t="shared" si="3462"/>
        <v>#ERROR!</v>
      </c>
      <c r="CG769" s="15" t="str">
        <f t="shared" si="3462"/>
        <v>#ERROR!</v>
      </c>
      <c r="CH769" s="15" t="str">
        <f t="shared" si="3462"/>
        <v>#ERROR!</v>
      </c>
      <c r="CI769" s="15" t="str">
        <f t="shared" si="3462"/>
        <v>#ERROR!</v>
      </c>
      <c r="CJ769" s="24" t="str">
        <f t="shared" si="3462"/>
        <v>#ERROR!</v>
      </c>
      <c r="CK769" s="15" t="str">
        <f t="shared" si="3462"/>
        <v>#ERROR!</v>
      </c>
      <c r="CL769" s="15" t="str">
        <f t="shared" si="3462"/>
        <v>#ERROR!</v>
      </c>
      <c r="CM769" s="15" t="str">
        <f t="shared" si="3462"/>
        <v>#ERROR!</v>
      </c>
      <c r="CN769" s="40" t="str">
        <f t="shared" si="3462"/>
        <v>#ERROR!</v>
      </c>
      <c r="CO769" s="24" t="str">
        <f t="shared" si="3462"/>
        <v>#ERROR!</v>
      </c>
      <c r="CP769" s="40" t="str">
        <f t="shared" si="3462"/>
        <v>#ERROR!</v>
      </c>
      <c r="CQ769" s="15" t="str">
        <f t="shared" si="3462"/>
        <v>#ERROR!</v>
      </c>
      <c r="CR769" s="15" t="str">
        <f t="shared" si="3462"/>
        <v>#ERROR!</v>
      </c>
      <c r="CS769" s="15" t="str">
        <f t="shared" si="3462"/>
        <v>#ERROR!</v>
      </c>
      <c r="CT769" s="24" t="str">
        <f t="shared" si="3462"/>
        <v>#ERROR!</v>
      </c>
      <c r="CU769" s="15" t="str">
        <f t="shared" si="3462"/>
        <v>#ERROR!</v>
      </c>
      <c r="CV769" s="15" t="str">
        <f t="shared" si="3462"/>
        <v>#ERROR!</v>
      </c>
      <c r="CW769" s="15" t="str">
        <f t="shared" si="3462"/>
        <v>#ERROR!</v>
      </c>
      <c r="CX769" s="15" t="str">
        <f t="shared" si="3462"/>
        <v>#ERROR!</v>
      </c>
      <c r="CY769" s="24" t="str">
        <f t="shared" si="3462"/>
        <v>#ERROR!</v>
      </c>
      <c r="CZ769" s="15" t="str">
        <f t="shared" si="3462"/>
        <v>#ERROR!</v>
      </c>
      <c r="DA769" s="15" t="str">
        <f t="shared" si="3462"/>
        <v>#ERROR!</v>
      </c>
      <c r="DB769" s="15" t="str">
        <f t="shared" si="3462"/>
        <v>#ERROR!</v>
      </c>
      <c r="DC769" s="15" t="str">
        <f t="shared" si="3462"/>
        <v>#ERROR!</v>
      </c>
      <c r="DD769" s="24" t="str">
        <f t="shared" si="3462"/>
        <v>#ERROR!</v>
      </c>
      <c r="DE769" s="15" t="str">
        <f t="shared" si="3462"/>
        <v>#ERROR!</v>
      </c>
      <c r="DF769" s="15" t="str">
        <f t="shared" si="3462"/>
        <v>#ERROR!</v>
      </c>
      <c r="DG769" s="40" t="str">
        <f t="shared" si="3462"/>
        <v>#ERROR!</v>
      </c>
      <c r="DH769" s="15" t="str">
        <f t="shared" si="3462"/>
        <v>#ERROR!</v>
      </c>
      <c r="DI769" s="24" t="str">
        <f t="shared" si="3462"/>
        <v>#ERROR!</v>
      </c>
      <c r="DJ769" s="40" t="str">
        <f t="shared" si="3462"/>
        <v>#ERROR!</v>
      </c>
      <c r="DK769" s="40" t="str">
        <f t="shared" si="3462"/>
        <v>#ERROR!</v>
      </c>
      <c r="DL769" s="40" t="str">
        <f t="shared" si="3462"/>
        <v>#ERROR!</v>
      </c>
      <c r="DM769" s="15" t="str">
        <f t="shared" si="3462"/>
        <v>#ERROR!</v>
      </c>
      <c r="DN769" s="24" t="str">
        <f t="shared" si="3462"/>
        <v>#ERROR!</v>
      </c>
      <c r="DO769" s="15" t="str">
        <f t="shared" si="3462"/>
        <v>#ERROR!</v>
      </c>
      <c r="DP769" s="15" t="str">
        <f t="shared" si="3462"/>
        <v>#ERROR!</v>
      </c>
      <c r="DQ769" s="15" t="str">
        <f t="shared" si="3462"/>
        <v>#ERROR!</v>
      </c>
      <c r="DR769" s="15" t="str">
        <f t="shared" si="3462"/>
        <v>#ERROR!</v>
      </c>
      <c r="DS769" s="24" t="str">
        <f t="shared" si="3462"/>
        <v>#ERROR!</v>
      </c>
      <c r="DT769" s="15" t="str">
        <f t="shared" si="3462"/>
        <v>#ERROR!</v>
      </c>
      <c r="DU769" s="15" t="str">
        <f t="shared" si="3462"/>
        <v>#ERROR!</v>
      </c>
      <c r="DV769" s="15" t="str">
        <f t="shared" si="3462"/>
        <v>#ERROR!</v>
      </c>
      <c r="DW769" s="15" t="str">
        <f t="shared" si="3462"/>
        <v>#ERROR!</v>
      </c>
      <c r="DX769" s="24" t="str">
        <f t="shared" si="3462"/>
        <v>#ERROR!</v>
      </c>
      <c r="DY769" s="15" t="str">
        <f t="shared" si="3462"/>
        <v>#ERROR!</v>
      </c>
      <c r="DZ769" s="15" t="str">
        <f t="shared" si="3462"/>
        <v>#ERROR!</v>
      </c>
      <c r="EA769" s="15" t="str">
        <f t="shared" si="3462"/>
        <v>#ERROR!</v>
      </c>
      <c r="EB769" s="15" t="str">
        <f t="shared" si="3462"/>
        <v>#ERROR!</v>
      </c>
      <c r="EC769" s="24" t="str">
        <f t="shared" si="3462"/>
        <v>#ERROR!</v>
      </c>
      <c r="ED769" s="15" t="str">
        <f t="shared" si="3462"/>
        <v>#ERROR!</v>
      </c>
      <c r="EE769" s="15" t="str">
        <f t="shared" si="3462"/>
        <v>#ERROR!</v>
      </c>
      <c r="EF769" s="15" t="str">
        <f t="shared" si="3462"/>
        <v>#ERROR!</v>
      </c>
      <c r="EG769" s="15" t="str">
        <f t="shared" si="3462"/>
        <v>#ERROR!</v>
      </c>
      <c r="EH769" s="24" t="str">
        <f t="shared" si="3462"/>
        <v>#ERROR!</v>
      </c>
      <c r="EI769" s="82" t="str">
        <f t="shared" si="3462"/>
        <v>#ERROR!</v>
      </c>
      <c r="EJ769" s="15" t="str">
        <f t="shared" si="3462"/>
        <v>#ERROR!</v>
      </c>
      <c r="EK769" s="15" t="str">
        <f t="shared" si="3462"/>
        <v>#ERROR!</v>
      </c>
      <c r="EL769" s="15" t="str">
        <f t="shared" si="3462"/>
        <v>#ERROR!</v>
      </c>
      <c r="EM769" s="24" t="str">
        <f t="shared" si="3462"/>
        <v>#ERROR!</v>
      </c>
      <c r="EN769" s="15" t="str">
        <f t="shared" si="3462"/>
        <v>#ERROR!</v>
      </c>
      <c r="EO769" s="15" t="str">
        <f t="shared" si="3462"/>
        <v>#ERROR!</v>
      </c>
      <c r="EP769" s="15" t="str">
        <f t="shared" si="3462"/>
        <v>#ERROR!</v>
      </c>
      <c r="EQ769" s="15" t="str">
        <f t="shared" si="3462"/>
        <v>#ERROR!</v>
      </c>
      <c r="ER769" s="24" t="str">
        <f t="shared" si="3462"/>
        <v>#ERROR!</v>
      </c>
      <c r="ES769" s="15" t="str">
        <f t="shared" si="3462"/>
        <v>#ERROR!</v>
      </c>
      <c r="ET769" s="15" t="str">
        <f t="shared" si="3462"/>
        <v>#ERROR!</v>
      </c>
      <c r="EU769" s="15" t="str">
        <f t="shared" si="3462"/>
        <v>#ERROR!</v>
      </c>
      <c r="EV769" s="15" t="str">
        <f t="shared" si="3462"/>
        <v>#ERROR!</v>
      </c>
      <c r="EW769" s="24" t="str">
        <f t="shared" si="3462"/>
        <v>#ERROR!</v>
      </c>
      <c r="EX769" s="15" t="str">
        <f t="shared" si="3462"/>
        <v>#ERROR!</v>
      </c>
      <c r="EY769" s="15" t="str">
        <f t="shared" si="3462"/>
        <v>#ERROR!</v>
      </c>
      <c r="EZ769" s="15" t="str">
        <f t="shared" si="3462"/>
        <v>#ERROR!</v>
      </c>
      <c r="FA769" s="15" t="str">
        <f t="shared" si="3462"/>
        <v>#ERROR!</v>
      </c>
      <c r="FB769" s="24" t="str">
        <f t="shared" si="3462"/>
        <v>#ERROR!</v>
      </c>
      <c r="FC769" s="15" t="str">
        <f t="shared" si="3462"/>
        <v>#ERROR!</v>
      </c>
      <c r="FD769" s="15" t="str">
        <f t="shared" si="3462"/>
        <v>#ERROR!</v>
      </c>
      <c r="FE769" s="15" t="str">
        <f t="shared" si="3462"/>
        <v>#ERROR!</v>
      </c>
      <c r="FF769" s="15" t="str">
        <f t="shared" si="3462"/>
        <v>#ERROR!</v>
      </c>
      <c r="FG769" s="24" t="str">
        <f t="shared" si="3462"/>
        <v>#ERROR!</v>
      </c>
      <c r="FH769" s="104"/>
      <c r="FI769" s="15"/>
      <c r="FJ769" s="15"/>
      <c r="FK769" s="410"/>
      <c r="FL769" s="15"/>
    </row>
    <row r="770" ht="12.75" hidden="1" customHeight="1" outlineLevel="2">
      <c r="A770" s="4"/>
      <c r="B770" s="72" t="str">
        <f t="shared" si="3459"/>
        <v>Mobile Chipsets and other</v>
      </c>
      <c r="C770" s="4"/>
      <c r="D770" s="15"/>
      <c r="E770" s="15"/>
      <c r="F770" s="15"/>
      <c r="G770" s="15"/>
      <c r="H770" s="410"/>
      <c r="I770" s="15"/>
      <c r="J770" s="15"/>
      <c r="K770" s="15"/>
      <c r="L770" s="15"/>
      <c r="M770" s="410"/>
      <c r="N770" s="15"/>
      <c r="O770" s="15"/>
      <c r="P770" s="15"/>
      <c r="Q770" s="15"/>
      <c r="R770" s="410"/>
      <c r="S770" s="15"/>
      <c r="T770" s="15"/>
      <c r="U770" s="15"/>
      <c r="V770" s="15"/>
      <c r="W770" s="410"/>
      <c r="X770" s="15"/>
      <c r="Y770" s="15"/>
      <c r="Z770" s="15"/>
      <c r="AA770" s="15"/>
      <c r="AB770" s="410"/>
      <c r="AC770" s="15"/>
      <c r="AD770" s="15"/>
      <c r="AE770" s="15"/>
      <c r="AF770" s="15"/>
      <c r="AG770" s="410"/>
      <c r="AH770" s="15"/>
      <c r="AI770" s="15"/>
      <c r="AJ770" s="15"/>
      <c r="AK770" s="15"/>
      <c r="AL770" s="410"/>
      <c r="AM770" s="15"/>
      <c r="AN770" s="15"/>
      <c r="AO770" s="15"/>
      <c r="AP770" s="15"/>
      <c r="AQ770" s="410"/>
      <c r="AR770" s="15">
        <f t="shared" ref="AR770:FG770" si="3463">AR752/AR$763</f>
        <v>0.03040415276</v>
      </c>
      <c r="AS770" s="15">
        <f t="shared" si="3463"/>
        <v>0.03627779848</v>
      </c>
      <c r="AT770" s="15">
        <f t="shared" si="3463"/>
        <v>0.04155353559</v>
      </c>
      <c r="AU770" s="15">
        <f t="shared" si="3463"/>
        <v>0.04428005835</v>
      </c>
      <c r="AV770" s="410">
        <f t="shared" si="3463"/>
        <v>0.03844017656</v>
      </c>
      <c r="AW770" s="15">
        <f t="shared" si="3463"/>
        <v>0.05469578122</v>
      </c>
      <c r="AX770" s="15">
        <f t="shared" si="3463"/>
        <v>0.06131513379</v>
      </c>
      <c r="AY770" s="15">
        <f t="shared" si="3463"/>
        <v>0.06425702811</v>
      </c>
      <c r="AZ770" s="15">
        <f t="shared" si="3463"/>
        <v>0.06911087148</v>
      </c>
      <c r="BA770" s="410">
        <f t="shared" si="3463"/>
        <v>0.06250965848</v>
      </c>
      <c r="BB770" s="15">
        <f t="shared" si="3463"/>
        <v>0.0706935123</v>
      </c>
      <c r="BC770" s="15">
        <f t="shared" si="3463"/>
        <v>0.09127231864</v>
      </c>
      <c r="BD770" s="15">
        <f t="shared" si="3463"/>
        <v>0.092573521</v>
      </c>
      <c r="BE770" s="15">
        <f t="shared" si="3463"/>
        <v>0.09541984733</v>
      </c>
      <c r="BF770" s="410">
        <f t="shared" si="3463"/>
        <v>0.08760466169</v>
      </c>
      <c r="BG770" s="15">
        <f t="shared" si="3463"/>
        <v>0.09783099864</v>
      </c>
      <c r="BH770" s="15">
        <f t="shared" si="3463"/>
        <v>0.1034562212</v>
      </c>
      <c r="BI770" s="15">
        <f t="shared" si="3463"/>
        <v>0.1128840436</v>
      </c>
      <c r="BJ770" s="15">
        <f t="shared" si="3463"/>
        <v>0.104368932</v>
      </c>
      <c r="BK770" s="410">
        <f t="shared" si="3463"/>
        <v>0.1048938279</v>
      </c>
      <c r="BL770" s="15">
        <f t="shared" si="3463"/>
        <v>0.09748785279</v>
      </c>
      <c r="BM770" s="15">
        <f t="shared" si="3463"/>
        <v>0.1114044351</v>
      </c>
      <c r="BN770" s="15">
        <f t="shared" si="3463"/>
        <v>0.126651659</v>
      </c>
      <c r="BO770" s="15">
        <f t="shared" si="3463"/>
        <v>0.1114758084</v>
      </c>
      <c r="BP770" s="410">
        <f t="shared" si="3463"/>
        <v>0.1119831852</v>
      </c>
      <c r="BQ770" s="15">
        <f t="shared" si="3463"/>
        <v>0.1016095171</v>
      </c>
      <c r="BR770" s="15">
        <f t="shared" si="3463"/>
        <v>0.1155284148</v>
      </c>
      <c r="BS770" s="15">
        <f t="shared" si="3463"/>
        <v>0.1285546917</v>
      </c>
      <c r="BT770" s="15" t="str">
        <f t="shared" si="3463"/>
        <v>#ERROR!</v>
      </c>
      <c r="BU770" s="410" t="str">
        <f t="shared" si="3463"/>
        <v>#ERROR!</v>
      </c>
      <c r="BV770" s="15" t="str">
        <f t="shared" si="3463"/>
        <v>#ERROR!</v>
      </c>
      <c r="BW770" s="15" t="str">
        <f t="shared" si="3463"/>
        <v>#ERROR!</v>
      </c>
      <c r="BX770" s="15" t="str">
        <f t="shared" si="3463"/>
        <v>#ERROR!</v>
      </c>
      <c r="BY770" s="15" t="str">
        <f t="shared" si="3463"/>
        <v>#ERROR!</v>
      </c>
      <c r="BZ770" s="24" t="str">
        <f t="shared" si="3463"/>
        <v>#ERROR!</v>
      </c>
      <c r="CA770" s="15" t="str">
        <f t="shared" si="3463"/>
        <v>#ERROR!</v>
      </c>
      <c r="CB770" s="15" t="str">
        <f t="shared" si="3463"/>
        <v>#ERROR!</v>
      </c>
      <c r="CC770" s="15" t="str">
        <f t="shared" si="3463"/>
        <v>#ERROR!</v>
      </c>
      <c r="CD770" s="15" t="str">
        <f t="shared" si="3463"/>
        <v>#ERROR!</v>
      </c>
      <c r="CE770" s="24" t="str">
        <f t="shared" si="3463"/>
        <v>#ERROR!</v>
      </c>
      <c r="CF770" s="15" t="str">
        <f t="shared" si="3463"/>
        <v>#ERROR!</v>
      </c>
      <c r="CG770" s="15" t="str">
        <f t="shared" si="3463"/>
        <v>#ERROR!</v>
      </c>
      <c r="CH770" s="15" t="str">
        <f t="shared" si="3463"/>
        <v>#ERROR!</v>
      </c>
      <c r="CI770" s="15" t="str">
        <f t="shared" si="3463"/>
        <v>#ERROR!</v>
      </c>
      <c r="CJ770" s="24" t="str">
        <f t="shared" si="3463"/>
        <v>#ERROR!</v>
      </c>
      <c r="CK770" s="15" t="str">
        <f t="shared" si="3463"/>
        <v>#ERROR!</v>
      </c>
      <c r="CL770" s="15" t="str">
        <f t="shared" si="3463"/>
        <v>#ERROR!</v>
      </c>
      <c r="CM770" s="15" t="str">
        <f t="shared" si="3463"/>
        <v>#ERROR!</v>
      </c>
      <c r="CN770" s="40" t="str">
        <f t="shared" si="3463"/>
        <v>#ERROR!</v>
      </c>
      <c r="CO770" s="24" t="str">
        <f t="shared" si="3463"/>
        <v>#ERROR!</v>
      </c>
      <c r="CP770" s="40" t="str">
        <f t="shared" si="3463"/>
        <v>#ERROR!</v>
      </c>
      <c r="CQ770" s="15" t="str">
        <f t="shared" si="3463"/>
        <v>#ERROR!</v>
      </c>
      <c r="CR770" s="15" t="str">
        <f t="shared" si="3463"/>
        <v>#ERROR!</v>
      </c>
      <c r="CS770" s="15" t="str">
        <f t="shared" si="3463"/>
        <v>#ERROR!</v>
      </c>
      <c r="CT770" s="24" t="str">
        <f t="shared" si="3463"/>
        <v>#ERROR!</v>
      </c>
      <c r="CU770" s="15" t="str">
        <f t="shared" si="3463"/>
        <v>#ERROR!</v>
      </c>
      <c r="CV770" s="15" t="str">
        <f t="shared" si="3463"/>
        <v>#ERROR!</v>
      </c>
      <c r="CW770" s="15" t="str">
        <f t="shared" si="3463"/>
        <v>#ERROR!</v>
      </c>
      <c r="CX770" s="15" t="str">
        <f t="shared" si="3463"/>
        <v>#ERROR!</v>
      </c>
      <c r="CY770" s="24" t="str">
        <f t="shared" si="3463"/>
        <v>#ERROR!</v>
      </c>
      <c r="CZ770" s="15" t="str">
        <f t="shared" si="3463"/>
        <v>#ERROR!</v>
      </c>
      <c r="DA770" s="15" t="str">
        <f t="shared" si="3463"/>
        <v>#ERROR!</v>
      </c>
      <c r="DB770" s="15" t="str">
        <f t="shared" si="3463"/>
        <v>#ERROR!</v>
      </c>
      <c r="DC770" s="15" t="str">
        <f t="shared" si="3463"/>
        <v>#ERROR!</v>
      </c>
      <c r="DD770" s="24" t="str">
        <f t="shared" si="3463"/>
        <v>#ERROR!</v>
      </c>
      <c r="DE770" s="15" t="str">
        <f t="shared" si="3463"/>
        <v>#ERROR!</v>
      </c>
      <c r="DF770" s="15" t="str">
        <f t="shared" si="3463"/>
        <v>#ERROR!</v>
      </c>
      <c r="DG770" s="40" t="str">
        <f t="shared" si="3463"/>
        <v>#ERROR!</v>
      </c>
      <c r="DH770" s="15" t="str">
        <f t="shared" si="3463"/>
        <v>#ERROR!</v>
      </c>
      <c r="DI770" s="24" t="str">
        <f t="shared" si="3463"/>
        <v>#ERROR!</v>
      </c>
      <c r="DJ770" s="40" t="str">
        <f t="shared" si="3463"/>
        <v>#ERROR!</v>
      </c>
      <c r="DK770" s="40" t="str">
        <f t="shared" si="3463"/>
        <v>#ERROR!</v>
      </c>
      <c r="DL770" s="40" t="str">
        <f t="shared" si="3463"/>
        <v>#ERROR!</v>
      </c>
      <c r="DM770" s="15" t="str">
        <f t="shared" si="3463"/>
        <v>#ERROR!</v>
      </c>
      <c r="DN770" s="24" t="str">
        <f t="shared" si="3463"/>
        <v>#ERROR!</v>
      </c>
      <c r="DO770" s="15" t="str">
        <f t="shared" si="3463"/>
        <v>#ERROR!</v>
      </c>
      <c r="DP770" s="15" t="str">
        <f t="shared" si="3463"/>
        <v>#ERROR!</v>
      </c>
      <c r="DQ770" s="15" t="str">
        <f t="shared" si="3463"/>
        <v>#ERROR!</v>
      </c>
      <c r="DR770" s="15" t="str">
        <f t="shared" si="3463"/>
        <v>#ERROR!</v>
      </c>
      <c r="DS770" s="24" t="str">
        <f t="shared" si="3463"/>
        <v>#ERROR!</v>
      </c>
      <c r="DT770" s="15" t="str">
        <f t="shared" si="3463"/>
        <v>#ERROR!</v>
      </c>
      <c r="DU770" s="15" t="str">
        <f t="shared" si="3463"/>
        <v>#ERROR!</v>
      </c>
      <c r="DV770" s="15" t="str">
        <f t="shared" si="3463"/>
        <v>#ERROR!</v>
      </c>
      <c r="DW770" s="15" t="str">
        <f t="shared" si="3463"/>
        <v>#ERROR!</v>
      </c>
      <c r="DX770" s="24" t="str">
        <f t="shared" si="3463"/>
        <v>#ERROR!</v>
      </c>
      <c r="DY770" s="15" t="str">
        <f t="shared" si="3463"/>
        <v>#ERROR!</v>
      </c>
      <c r="DZ770" s="15" t="str">
        <f t="shared" si="3463"/>
        <v>#ERROR!</v>
      </c>
      <c r="EA770" s="15" t="str">
        <f t="shared" si="3463"/>
        <v>#ERROR!</v>
      </c>
      <c r="EB770" s="15" t="str">
        <f t="shared" si="3463"/>
        <v>#ERROR!</v>
      </c>
      <c r="EC770" s="24" t="str">
        <f t="shared" si="3463"/>
        <v>#ERROR!</v>
      </c>
      <c r="ED770" s="15" t="str">
        <f t="shared" si="3463"/>
        <v>#ERROR!</v>
      </c>
      <c r="EE770" s="15" t="str">
        <f t="shared" si="3463"/>
        <v>#ERROR!</v>
      </c>
      <c r="EF770" s="15" t="str">
        <f t="shared" si="3463"/>
        <v>#ERROR!</v>
      </c>
      <c r="EG770" s="15" t="str">
        <f t="shared" si="3463"/>
        <v>#ERROR!</v>
      </c>
      <c r="EH770" s="24" t="str">
        <f t="shared" si="3463"/>
        <v>#ERROR!</v>
      </c>
      <c r="EI770" s="82" t="str">
        <f t="shared" si="3463"/>
        <v>#ERROR!</v>
      </c>
      <c r="EJ770" s="15" t="str">
        <f t="shared" si="3463"/>
        <v>#ERROR!</v>
      </c>
      <c r="EK770" s="15" t="str">
        <f t="shared" si="3463"/>
        <v>#ERROR!</v>
      </c>
      <c r="EL770" s="15" t="str">
        <f t="shared" si="3463"/>
        <v>#ERROR!</v>
      </c>
      <c r="EM770" s="24" t="str">
        <f t="shared" si="3463"/>
        <v>#ERROR!</v>
      </c>
      <c r="EN770" s="15" t="str">
        <f t="shared" si="3463"/>
        <v>#ERROR!</v>
      </c>
      <c r="EO770" s="15" t="str">
        <f t="shared" si="3463"/>
        <v>#ERROR!</v>
      </c>
      <c r="EP770" s="15" t="str">
        <f t="shared" si="3463"/>
        <v>#ERROR!</v>
      </c>
      <c r="EQ770" s="15" t="str">
        <f t="shared" si="3463"/>
        <v>#ERROR!</v>
      </c>
      <c r="ER770" s="24" t="str">
        <f t="shared" si="3463"/>
        <v>#ERROR!</v>
      </c>
      <c r="ES770" s="15" t="str">
        <f t="shared" si="3463"/>
        <v>#ERROR!</v>
      </c>
      <c r="ET770" s="15" t="str">
        <f t="shared" si="3463"/>
        <v>#ERROR!</v>
      </c>
      <c r="EU770" s="15" t="str">
        <f t="shared" si="3463"/>
        <v>#ERROR!</v>
      </c>
      <c r="EV770" s="15" t="str">
        <f t="shared" si="3463"/>
        <v>#ERROR!</v>
      </c>
      <c r="EW770" s="24" t="str">
        <f t="shared" si="3463"/>
        <v>#ERROR!</v>
      </c>
      <c r="EX770" s="15" t="str">
        <f t="shared" si="3463"/>
        <v>#ERROR!</v>
      </c>
      <c r="EY770" s="15" t="str">
        <f t="shared" si="3463"/>
        <v>#ERROR!</v>
      </c>
      <c r="EZ770" s="15" t="str">
        <f t="shared" si="3463"/>
        <v>#ERROR!</v>
      </c>
      <c r="FA770" s="15" t="str">
        <f t="shared" si="3463"/>
        <v>#ERROR!</v>
      </c>
      <c r="FB770" s="24" t="str">
        <f t="shared" si="3463"/>
        <v>#ERROR!</v>
      </c>
      <c r="FC770" s="15" t="str">
        <f t="shared" si="3463"/>
        <v>#ERROR!</v>
      </c>
      <c r="FD770" s="15" t="str">
        <f t="shared" si="3463"/>
        <v>#ERROR!</v>
      </c>
      <c r="FE770" s="15" t="str">
        <f t="shared" si="3463"/>
        <v>#ERROR!</v>
      </c>
      <c r="FF770" s="15" t="str">
        <f t="shared" si="3463"/>
        <v>#ERROR!</v>
      </c>
      <c r="FG770" s="24" t="str">
        <f t="shared" si="3463"/>
        <v>#ERROR!</v>
      </c>
      <c r="FH770" s="104"/>
      <c r="FI770" s="15"/>
      <c r="FJ770" s="15"/>
      <c r="FK770" s="410"/>
      <c r="FL770" s="15"/>
    </row>
    <row r="771" ht="12.75" hidden="1" customHeight="1" outlineLevel="2">
      <c r="A771" s="4"/>
      <c r="B771" s="72" t="str">
        <f t="shared" si="3459"/>
        <v>NOR Flash (through 3Q05)</v>
      </c>
      <c r="C771" s="4"/>
      <c r="D771" s="15"/>
      <c r="E771" s="15"/>
      <c r="F771" s="15"/>
      <c r="G771" s="15"/>
      <c r="H771" s="410"/>
      <c r="I771" s="15"/>
      <c r="J771" s="15"/>
      <c r="K771" s="15"/>
      <c r="L771" s="15"/>
      <c r="M771" s="410"/>
      <c r="N771" s="15"/>
      <c r="O771" s="15"/>
      <c r="P771" s="15"/>
      <c r="Q771" s="15"/>
      <c r="R771" s="410"/>
      <c r="S771" s="15"/>
      <c r="T771" s="15"/>
      <c r="U771" s="15"/>
      <c r="V771" s="15"/>
      <c r="W771" s="410"/>
      <c r="X771" s="15"/>
      <c r="Y771" s="15"/>
      <c r="Z771" s="15"/>
      <c r="AA771" s="15"/>
      <c r="AB771" s="410"/>
      <c r="AC771" s="15"/>
      <c r="AD771" s="15"/>
      <c r="AE771" s="15"/>
      <c r="AF771" s="15"/>
      <c r="AG771" s="410"/>
      <c r="AH771" s="15"/>
      <c r="AI771" s="15"/>
      <c r="AJ771" s="15"/>
      <c r="AK771" s="15"/>
      <c r="AL771" s="410"/>
      <c r="AM771" s="15"/>
      <c r="AN771" s="15"/>
      <c r="AO771" s="15"/>
      <c r="AP771" s="15"/>
      <c r="AQ771" s="410"/>
      <c r="AR771" s="15">
        <f t="shared" ref="AR771:AY771" si="3464">AR753/AR$763</f>
        <v>0.05153874676</v>
      </c>
      <c r="AS771" s="15">
        <f t="shared" si="3464"/>
        <v>0.07292831408</v>
      </c>
      <c r="AT771" s="15">
        <f t="shared" si="3464"/>
        <v>0.07531578326</v>
      </c>
      <c r="AU771" s="15">
        <f t="shared" si="3464"/>
        <v>0.06699312357</v>
      </c>
      <c r="AV771" s="410">
        <f t="shared" si="3464"/>
        <v>0.06679528779</v>
      </c>
      <c r="AW771" s="15">
        <f t="shared" si="3464"/>
        <v>0.06126775493</v>
      </c>
      <c r="AX771" s="15">
        <f t="shared" si="3464"/>
        <v>0.05719857004</v>
      </c>
      <c r="AY771" s="15">
        <f t="shared" si="3464"/>
        <v>0.05742971888</v>
      </c>
      <c r="AZ771" s="15"/>
      <c r="BA771" s="410">
        <f>BA753/BA$763</f>
        <v>0</v>
      </c>
      <c r="BB771" s="15"/>
      <c r="BC771" s="15"/>
      <c r="BD771" s="15"/>
      <c r="BE771" s="15"/>
      <c r="BF771" s="410"/>
      <c r="BG771" s="15"/>
      <c r="BH771" s="15"/>
      <c r="BI771" s="15"/>
      <c r="BJ771" s="15"/>
      <c r="BK771" s="410"/>
      <c r="BL771" s="15"/>
      <c r="BM771" s="15"/>
      <c r="BN771" s="15"/>
      <c r="BO771" s="15"/>
      <c r="BP771" s="410"/>
      <c r="BQ771" s="15"/>
      <c r="BR771" s="15"/>
      <c r="BS771" s="15"/>
      <c r="BT771" s="15"/>
      <c r="BU771" s="410"/>
      <c r="BV771" s="15"/>
      <c r="BW771" s="15"/>
      <c r="BX771" s="15"/>
      <c r="BY771" s="15"/>
      <c r="BZ771" s="24"/>
      <c r="CA771" s="15"/>
      <c r="CB771" s="15"/>
      <c r="CC771" s="15"/>
      <c r="CD771" s="15"/>
      <c r="CE771" s="24"/>
      <c r="CF771" s="15"/>
      <c r="CG771" s="15"/>
      <c r="CH771" s="15"/>
      <c r="CI771" s="15"/>
      <c r="CJ771" s="24"/>
      <c r="CK771" s="15"/>
      <c r="CL771" s="15"/>
      <c r="CM771" s="15"/>
      <c r="CN771" s="40"/>
      <c r="CO771" s="24"/>
      <c r="CP771" s="40"/>
      <c r="CQ771" s="15"/>
      <c r="CR771" s="15"/>
      <c r="CS771" s="15"/>
      <c r="CT771" s="24"/>
      <c r="CU771" s="15"/>
      <c r="CV771" s="15"/>
      <c r="CW771" s="15"/>
      <c r="CX771" s="15"/>
      <c r="CY771" s="24"/>
      <c r="CZ771" s="15"/>
      <c r="DA771" s="15"/>
      <c r="DB771" s="15"/>
      <c r="DC771" s="15"/>
      <c r="DD771" s="24"/>
      <c r="DE771" s="15"/>
      <c r="DF771" s="15"/>
      <c r="DG771" s="40"/>
      <c r="DH771" s="15"/>
      <c r="DI771" s="24"/>
      <c r="DJ771" s="40"/>
      <c r="DK771" s="40"/>
      <c r="DL771" s="40"/>
      <c r="DM771" s="15"/>
      <c r="DN771" s="24"/>
      <c r="DO771" s="15"/>
      <c r="DP771" s="15"/>
      <c r="DQ771" s="15"/>
      <c r="DR771" s="15"/>
      <c r="DS771" s="24"/>
      <c r="DT771" s="15"/>
      <c r="DU771" s="15"/>
      <c r="DV771" s="15"/>
      <c r="DW771" s="15"/>
      <c r="DX771" s="24"/>
      <c r="DY771" s="15"/>
      <c r="DZ771" s="15"/>
      <c r="EA771" s="15"/>
      <c r="EB771" s="15"/>
      <c r="EC771" s="24"/>
      <c r="ED771" s="15"/>
      <c r="EE771" s="15"/>
      <c r="EF771" s="15"/>
      <c r="EG771" s="15"/>
      <c r="EH771" s="24"/>
      <c r="EI771" s="82"/>
      <c r="EJ771" s="15"/>
      <c r="EK771" s="15"/>
      <c r="EL771" s="15"/>
      <c r="EM771" s="24"/>
      <c r="EN771" s="15"/>
      <c r="EO771" s="15"/>
      <c r="EP771" s="15"/>
      <c r="EQ771" s="15"/>
      <c r="ER771" s="24"/>
      <c r="ES771" s="15"/>
      <c r="ET771" s="15"/>
      <c r="EU771" s="15"/>
      <c r="EV771" s="15"/>
      <c r="EW771" s="24"/>
      <c r="EX771" s="15"/>
      <c r="EY771" s="15"/>
      <c r="EZ771" s="15"/>
      <c r="FA771" s="15"/>
      <c r="FB771" s="24"/>
      <c r="FC771" s="15"/>
      <c r="FD771" s="15"/>
      <c r="FE771" s="15"/>
      <c r="FF771" s="15"/>
      <c r="FG771" s="24"/>
      <c r="FH771" s="104"/>
      <c r="FI771" s="15"/>
      <c r="FJ771" s="15"/>
      <c r="FK771" s="410"/>
      <c r="FL771" s="15"/>
    </row>
    <row r="772" ht="12.75" hidden="1" customHeight="1" outlineLevel="2">
      <c r="A772" s="45"/>
      <c r="B772" s="215" t="str">
        <f t="shared" si="3459"/>
        <v>Mobility Group</v>
      </c>
      <c r="C772" s="45"/>
      <c r="D772" s="410"/>
      <c r="E772" s="410"/>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410"/>
      <c r="AK772" s="410"/>
      <c r="AL772" s="410"/>
      <c r="AM772" s="410"/>
      <c r="AN772" s="410"/>
      <c r="AO772" s="410"/>
      <c r="AP772" s="410"/>
      <c r="AQ772" s="410">
        <f t="shared" ref="AQ772:FG772" si="3465">AQ754/AQ$763</f>
        <v>0.2220895126</v>
      </c>
      <c r="AR772" s="410">
        <f t="shared" si="3465"/>
        <v>0.2255592634</v>
      </c>
      <c r="AS772" s="410">
        <f t="shared" si="3465"/>
        <v>0.2612746925</v>
      </c>
      <c r="AT772" s="410">
        <f t="shared" si="3465"/>
        <v>0.3023255814</v>
      </c>
      <c r="AU772" s="410">
        <f t="shared" si="3465"/>
        <v>0.289435299</v>
      </c>
      <c r="AV772" s="410">
        <f t="shared" si="3465"/>
        <v>0.2708936245</v>
      </c>
      <c r="AW772" s="410">
        <f t="shared" si="3465"/>
        <v>0.3191647233</v>
      </c>
      <c r="AX772" s="410">
        <f t="shared" si="3465"/>
        <v>0.341241469</v>
      </c>
      <c r="AY772" s="410">
        <f t="shared" si="3465"/>
        <v>0.3557228916</v>
      </c>
      <c r="AZ772" s="410">
        <f t="shared" si="3465"/>
        <v>0.3043819233</v>
      </c>
      <c r="BA772" s="410">
        <f t="shared" si="3465"/>
        <v>0.3299077937</v>
      </c>
      <c r="BB772" s="410">
        <f t="shared" si="3465"/>
        <v>0.3332214765</v>
      </c>
      <c r="BC772" s="410">
        <f t="shared" si="3465"/>
        <v>0.3357472843</v>
      </c>
      <c r="BD772" s="410">
        <f t="shared" si="3465"/>
        <v>0.3487813251</v>
      </c>
      <c r="BE772" s="410">
        <f t="shared" si="3465"/>
        <v>0.370641634</v>
      </c>
      <c r="BF772" s="410">
        <f t="shared" si="3465"/>
        <v>0.3481839783</v>
      </c>
      <c r="BG772" s="410">
        <f t="shared" si="3465"/>
        <v>0.3735878897</v>
      </c>
      <c r="BH772" s="410">
        <f t="shared" si="3465"/>
        <v>0.3797235023</v>
      </c>
      <c r="BI772" s="410">
        <f t="shared" si="3465"/>
        <v>0.3935579782</v>
      </c>
      <c r="BJ772" s="410">
        <f t="shared" si="3465"/>
        <v>0.3834017924</v>
      </c>
      <c r="BK772" s="410">
        <f t="shared" si="3465"/>
        <v>0.3829759482</v>
      </c>
      <c r="BL772" s="410">
        <f t="shared" si="3465"/>
        <v>0.3793032151</v>
      </c>
      <c r="BM772" s="410">
        <f t="shared" si="3465"/>
        <v>0.4009503696</v>
      </c>
      <c r="BN772" s="410">
        <f t="shared" si="3465"/>
        <v>0.458157972</v>
      </c>
      <c r="BO772" s="410">
        <f t="shared" si="3465"/>
        <v>0.4256017505</v>
      </c>
      <c r="BP772" s="410">
        <f t="shared" si="3465"/>
        <v>0.4163252275</v>
      </c>
      <c r="BQ772" s="410">
        <f t="shared" si="3465"/>
        <v>0.4078376487</v>
      </c>
      <c r="BR772" s="410">
        <f t="shared" si="3465"/>
        <v>0.4338235294</v>
      </c>
      <c r="BS772" s="410">
        <f t="shared" si="3465"/>
        <v>0.4399829588</v>
      </c>
      <c r="BT772" s="410" t="str">
        <f t="shared" si="3465"/>
        <v>#ERROR!</v>
      </c>
      <c r="BU772" s="410" t="str">
        <f t="shared" si="3465"/>
        <v>#ERROR!</v>
      </c>
      <c r="BV772" s="410" t="str">
        <f t="shared" si="3465"/>
        <v>#ERROR!</v>
      </c>
      <c r="BW772" s="410" t="str">
        <f t="shared" si="3465"/>
        <v>#ERROR!</v>
      </c>
      <c r="BX772" s="410" t="str">
        <f t="shared" si="3465"/>
        <v>#ERROR!</v>
      </c>
      <c r="BY772" s="410" t="str">
        <f t="shared" si="3465"/>
        <v>#ERROR!</v>
      </c>
      <c r="BZ772" s="24" t="str">
        <f t="shared" si="3465"/>
        <v>#ERROR!</v>
      </c>
      <c r="CA772" s="410" t="str">
        <f t="shared" si="3465"/>
        <v>#ERROR!</v>
      </c>
      <c r="CB772" s="410" t="str">
        <f t="shared" si="3465"/>
        <v>#ERROR!</v>
      </c>
      <c r="CC772" s="410" t="str">
        <f t="shared" si="3465"/>
        <v>#ERROR!</v>
      </c>
      <c r="CD772" s="410" t="str">
        <f t="shared" si="3465"/>
        <v>#ERROR!</v>
      </c>
      <c r="CE772" s="24" t="str">
        <f t="shared" si="3465"/>
        <v>#ERROR!</v>
      </c>
      <c r="CF772" s="410" t="str">
        <f t="shared" si="3465"/>
        <v>#ERROR!</v>
      </c>
      <c r="CG772" s="410" t="str">
        <f t="shared" si="3465"/>
        <v>#ERROR!</v>
      </c>
      <c r="CH772" s="410" t="str">
        <f t="shared" si="3465"/>
        <v>#ERROR!</v>
      </c>
      <c r="CI772" s="410" t="str">
        <f t="shared" si="3465"/>
        <v>#ERROR!</v>
      </c>
      <c r="CJ772" s="24" t="str">
        <f t="shared" si="3465"/>
        <v>#ERROR!</v>
      </c>
      <c r="CK772" s="410" t="str">
        <f t="shared" si="3465"/>
        <v>#ERROR!</v>
      </c>
      <c r="CL772" s="410" t="str">
        <f t="shared" si="3465"/>
        <v>#ERROR!</v>
      </c>
      <c r="CM772" s="410" t="str">
        <f t="shared" si="3465"/>
        <v>#ERROR!</v>
      </c>
      <c r="CN772" s="104" t="str">
        <f t="shared" si="3465"/>
        <v>#ERROR!</v>
      </c>
      <c r="CO772" s="24" t="str">
        <f t="shared" si="3465"/>
        <v>#ERROR!</v>
      </c>
      <c r="CP772" s="104" t="str">
        <f t="shared" si="3465"/>
        <v>#ERROR!</v>
      </c>
      <c r="CQ772" s="410" t="str">
        <f t="shared" si="3465"/>
        <v>#ERROR!</v>
      </c>
      <c r="CR772" s="410" t="str">
        <f t="shared" si="3465"/>
        <v>#ERROR!</v>
      </c>
      <c r="CS772" s="410" t="str">
        <f t="shared" si="3465"/>
        <v>#ERROR!</v>
      </c>
      <c r="CT772" s="24" t="str">
        <f t="shared" si="3465"/>
        <v>#ERROR!</v>
      </c>
      <c r="CU772" s="410" t="str">
        <f t="shared" si="3465"/>
        <v>#ERROR!</v>
      </c>
      <c r="CV772" s="410" t="str">
        <f t="shared" si="3465"/>
        <v>#ERROR!</v>
      </c>
      <c r="CW772" s="410" t="str">
        <f t="shared" si="3465"/>
        <v>#ERROR!</v>
      </c>
      <c r="CX772" s="410" t="str">
        <f t="shared" si="3465"/>
        <v>#ERROR!</v>
      </c>
      <c r="CY772" s="24" t="str">
        <f t="shared" si="3465"/>
        <v>#ERROR!</v>
      </c>
      <c r="CZ772" s="410" t="str">
        <f t="shared" si="3465"/>
        <v>#ERROR!</v>
      </c>
      <c r="DA772" s="410" t="str">
        <f t="shared" si="3465"/>
        <v>#ERROR!</v>
      </c>
      <c r="DB772" s="410" t="str">
        <f t="shared" si="3465"/>
        <v>#ERROR!</v>
      </c>
      <c r="DC772" s="410" t="str">
        <f t="shared" si="3465"/>
        <v>#ERROR!</v>
      </c>
      <c r="DD772" s="24" t="str">
        <f t="shared" si="3465"/>
        <v>#ERROR!</v>
      </c>
      <c r="DE772" s="410" t="str">
        <f t="shared" si="3465"/>
        <v>#ERROR!</v>
      </c>
      <c r="DF772" s="410" t="str">
        <f t="shared" si="3465"/>
        <v>#ERROR!</v>
      </c>
      <c r="DG772" s="104" t="str">
        <f t="shared" si="3465"/>
        <v>#ERROR!</v>
      </c>
      <c r="DH772" s="410" t="str">
        <f t="shared" si="3465"/>
        <v>#ERROR!</v>
      </c>
      <c r="DI772" s="24" t="str">
        <f t="shared" si="3465"/>
        <v>#ERROR!</v>
      </c>
      <c r="DJ772" s="104" t="str">
        <f t="shared" si="3465"/>
        <v>#ERROR!</v>
      </c>
      <c r="DK772" s="104" t="str">
        <f t="shared" si="3465"/>
        <v>#ERROR!</v>
      </c>
      <c r="DL772" s="104" t="str">
        <f t="shared" si="3465"/>
        <v>#ERROR!</v>
      </c>
      <c r="DM772" s="410" t="str">
        <f t="shared" si="3465"/>
        <v>#ERROR!</v>
      </c>
      <c r="DN772" s="24" t="str">
        <f t="shared" si="3465"/>
        <v>#ERROR!</v>
      </c>
      <c r="DO772" s="410" t="str">
        <f t="shared" si="3465"/>
        <v>#ERROR!</v>
      </c>
      <c r="DP772" s="410" t="str">
        <f t="shared" si="3465"/>
        <v>#ERROR!</v>
      </c>
      <c r="DQ772" s="410" t="str">
        <f t="shared" si="3465"/>
        <v>#ERROR!</v>
      </c>
      <c r="DR772" s="410" t="str">
        <f t="shared" si="3465"/>
        <v>#ERROR!</v>
      </c>
      <c r="DS772" s="24" t="str">
        <f t="shared" si="3465"/>
        <v>#ERROR!</v>
      </c>
      <c r="DT772" s="410" t="str">
        <f t="shared" si="3465"/>
        <v>#ERROR!</v>
      </c>
      <c r="DU772" s="410" t="str">
        <f t="shared" si="3465"/>
        <v>#ERROR!</v>
      </c>
      <c r="DV772" s="410" t="str">
        <f t="shared" si="3465"/>
        <v>#ERROR!</v>
      </c>
      <c r="DW772" s="410" t="str">
        <f t="shared" si="3465"/>
        <v>#ERROR!</v>
      </c>
      <c r="DX772" s="24" t="str">
        <f t="shared" si="3465"/>
        <v>#ERROR!</v>
      </c>
      <c r="DY772" s="410" t="str">
        <f t="shared" si="3465"/>
        <v>#ERROR!</v>
      </c>
      <c r="DZ772" s="410" t="str">
        <f t="shared" si="3465"/>
        <v>#ERROR!</v>
      </c>
      <c r="EA772" s="410" t="str">
        <f t="shared" si="3465"/>
        <v>#ERROR!</v>
      </c>
      <c r="EB772" s="410" t="str">
        <f t="shared" si="3465"/>
        <v>#ERROR!</v>
      </c>
      <c r="EC772" s="24" t="str">
        <f t="shared" si="3465"/>
        <v>#ERROR!</v>
      </c>
      <c r="ED772" s="410" t="str">
        <f t="shared" si="3465"/>
        <v>#ERROR!</v>
      </c>
      <c r="EE772" s="410" t="str">
        <f t="shared" si="3465"/>
        <v>#ERROR!</v>
      </c>
      <c r="EF772" s="410" t="str">
        <f t="shared" si="3465"/>
        <v>#ERROR!</v>
      </c>
      <c r="EG772" s="410" t="str">
        <f t="shared" si="3465"/>
        <v>#ERROR!</v>
      </c>
      <c r="EH772" s="24" t="str">
        <f t="shared" si="3465"/>
        <v>#ERROR!</v>
      </c>
      <c r="EI772" s="317" t="str">
        <f t="shared" si="3465"/>
        <v>#ERROR!</v>
      </c>
      <c r="EJ772" s="410" t="str">
        <f t="shared" si="3465"/>
        <v>#ERROR!</v>
      </c>
      <c r="EK772" s="410" t="str">
        <f t="shared" si="3465"/>
        <v>#ERROR!</v>
      </c>
      <c r="EL772" s="410" t="str">
        <f t="shared" si="3465"/>
        <v>#ERROR!</v>
      </c>
      <c r="EM772" s="24" t="str">
        <f t="shared" si="3465"/>
        <v>#ERROR!</v>
      </c>
      <c r="EN772" s="410" t="str">
        <f t="shared" si="3465"/>
        <v>#ERROR!</v>
      </c>
      <c r="EO772" s="410" t="str">
        <f t="shared" si="3465"/>
        <v>#ERROR!</v>
      </c>
      <c r="EP772" s="410" t="str">
        <f t="shared" si="3465"/>
        <v>#ERROR!</v>
      </c>
      <c r="EQ772" s="410" t="str">
        <f t="shared" si="3465"/>
        <v>#ERROR!</v>
      </c>
      <c r="ER772" s="24" t="str">
        <f t="shared" si="3465"/>
        <v>#ERROR!</v>
      </c>
      <c r="ES772" s="410" t="str">
        <f t="shared" si="3465"/>
        <v>#ERROR!</v>
      </c>
      <c r="ET772" s="410" t="str">
        <f t="shared" si="3465"/>
        <v>#ERROR!</v>
      </c>
      <c r="EU772" s="410" t="str">
        <f t="shared" si="3465"/>
        <v>#ERROR!</v>
      </c>
      <c r="EV772" s="410" t="str">
        <f t="shared" si="3465"/>
        <v>#ERROR!</v>
      </c>
      <c r="EW772" s="24" t="str">
        <f t="shared" si="3465"/>
        <v>#ERROR!</v>
      </c>
      <c r="EX772" s="410" t="str">
        <f t="shared" si="3465"/>
        <v>#ERROR!</v>
      </c>
      <c r="EY772" s="410" t="str">
        <f t="shared" si="3465"/>
        <v>#ERROR!</v>
      </c>
      <c r="EZ772" s="410" t="str">
        <f t="shared" si="3465"/>
        <v>#ERROR!</v>
      </c>
      <c r="FA772" s="410" t="str">
        <f t="shared" si="3465"/>
        <v>#ERROR!</v>
      </c>
      <c r="FB772" s="24" t="str">
        <f t="shared" si="3465"/>
        <v>#ERROR!</v>
      </c>
      <c r="FC772" s="410" t="str">
        <f t="shared" si="3465"/>
        <v>#ERROR!</v>
      </c>
      <c r="FD772" s="410" t="str">
        <f t="shared" si="3465"/>
        <v>#ERROR!</v>
      </c>
      <c r="FE772" s="410" t="str">
        <f t="shared" si="3465"/>
        <v>#ERROR!</v>
      </c>
      <c r="FF772" s="410" t="str">
        <f t="shared" si="3465"/>
        <v>#ERROR!</v>
      </c>
      <c r="FG772" s="24" t="str">
        <f t="shared" si="3465"/>
        <v>#ERROR!</v>
      </c>
      <c r="FH772" s="104"/>
      <c r="FI772" s="410"/>
      <c r="FJ772" s="410"/>
      <c r="FK772" s="410"/>
      <c r="FL772" s="410"/>
    </row>
    <row r="773" ht="12.75" hidden="1" customHeight="1" outlineLevel="2">
      <c r="A773" s="4"/>
      <c r="B773" s="72" t="s">
        <v>322</v>
      </c>
      <c r="C773" s="45"/>
      <c r="D773" s="15"/>
      <c r="E773" s="15"/>
      <c r="F773" s="15"/>
      <c r="G773" s="15"/>
      <c r="H773" s="410"/>
      <c r="I773" s="15"/>
      <c r="J773" s="15"/>
      <c r="K773" s="15"/>
      <c r="L773" s="15"/>
      <c r="M773" s="410"/>
      <c r="N773" s="15"/>
      <c r="O773" s="15"/>
      <c r="P773" s="15"/>
      <c r="Q773" s="15"/>
      <c r="R773" s="410"/>
      <c r="S773" s="15"/>
      <c r="T773" s="15"/>
      <c r="U773" s="15"/>
      <c r="V773" s="15"/>
      <c r="W773" s="410"/>
      <c r="X773" s="15"/>
      <c r="Y773" s="15"/>
      <c r="Z773" s="15"/>
      <c r="AA773" s="15"/>
      <c r="AB773" s="410"/>
      <c r="AC773" s="15"/>
      <c r="AD773" s="15"/>
      <c r="AE773" s="15"/>
      <c r="AF773" s="15"/>
      <c r="AG773" s="410"/>
      <c r="AH773" s="15"/>
      <c r="AI773" s="15"/>
      <c r="AJ773" s="15"/>
      <c r="AK773" s="15"/>
      <c r="AL773" s="410"/>
      <c r="AM773" s="15"/>
      <c r="AN773" s="15"/>
      <c r="AO773" s="15"/>
      <c r="AP773" s="15"/>
      <c r="AQ773" s="410"/>
      <c r="AR773" s="15"/>
      <c r="AS773" s="15"/>
      <c r="AT773" s="15"/>
      <c r="AU773" s="15"/>
      <c r="AV773" s="410"/>
      <c r="AW773" s="15"/>
      <c r="AX773" s="15"/>
      <c r="AY773" s="15"/>
      <c r="AZ773" s="15">
        <f t="shared" ref="AZ773:FG773" si="3466">AZ755/AZ$763</f>
        <v>0.05881776296</v>
      </c>
      <c r="BA773" s="410">
        <f t="shared" si="3466"/>
        <v>0.0586720239</v>
      </c>
      <c r="BB773" s="15">
        <f t="shared" si="3466"/>
        <v>0.05850111857</v>
      </c>
      <c r="BC773" s="15">
        <f t="shared" si="3466"/>
        <v>0.06342864278</v>
      </c>
      <c r="BD773" s="15">
        <f t="shared" si="3466"/>
        <v>0.05332417897</v>
      </c>
      <c r="BE773" s="15">
        <f t="shared" si="3466"/>
        <v>0.05260986177</v>
      </c>
      <c r="BF773" s="410">
        <f t="shared" si="3466"/>
        <v>0.05677189409</v>
      </c>
      <c r="BG773" s="15">
        <f t="shared" si="3466"/>
        <v>0.0482376864</v>
      </c>
      <c r="BH773" s="15">
        <f t="shared" si="3466"/>
        <v>0.04662442396</v>
      </c>
      <c r="BI773" s="15">
        <f t="shared" si="3466"/>
        <v>0.04172447968</v>
      </c>
      <c r="BJ773" s="15">
        <f t="shared" si="3466"/>
        <v>0.04098207618</v>
      </c>
      <c r="BK773" s="410">
        <f t="shared" si="3466"/>
        <v>0.04413053686</v>
      </c>
      <c r="BL773" s="15">
        <f t="shared" si="3466"/>
        <v>0.03297839347</v>
      </c>
      <c r="BM773" s="15">
        <f t="shared" si="3466"/>
        <v>0.007919746568</v>
      </c>
      <c r="BN773" s="15">
        <f t="shared" si="3466"/>
        <v>0.002936282666</v>
      </c>
      <c r="BO773" s="15">
        <f t="shared" si="3466"/>
        <v>0.002431315342</v>
      </c>
      <c r="BP773" s="410">
        <f t="shared" si="3466"/>
        <v>0.01181290906</v>
      </c>
      <c r="BQ773" s="15">
        <f t="shared" si="3466"/>
        <v>0</v>
      </c>
      <c r="BR773" s="15">
        <f t="shared" si="3466"/>
        <v>0</v>
      </c>
      <c r="BS773" s="15">
        <f t="shared" si="3466"/>
        <v>0</v>
      </c>
      <c r="BT773" s="15" t="str">
        <f t="shared" si="3466"/>
        <v>#ERROR!</v>
      </c>
      <c r="BU773" s="410" t="str">
        <f t="shared" si="3466"/>
        <v>#ERROR!</v>
      </c>
      <c r="BV773" s="15" t="str">
        <f t="shared" si="3466"/>
        <v>#ERROR!</v>
      </c>
      <c r="BW773" s="15" t="str">
        <f t="shared" si="3466"/>
        <v>#ERROR!</v>
      </c>
      <c r="BX773" s="15" t="str">
        <f t="shared" si="3466"/>
        <v>#ERROR!</v>
      </c>
      <c r="BY773" s="15" t="str">
        <f t="shared" si="3466"/>
        <v>#ERROR!</v>
      </c>
      <c r="BZ773" s="24" t="str">
        <f t="shared" si="3466"/>
        <v>#ERROR!</v>
      </c>
      <c r="CA773" s="15" t="str">
        <f t="shared" si="3466"/>
        <v>#ERROR!</v>
      </c>
      <c r="CB773" s="15" t="str">
        <f t="shared" si="3466"/>
        <v>#ERROR!</v>
      </c>
      <c r="CC773" s="15" t="str">
        <f t="shared" si="3466"/>
        <v>#ERROR!</v>
      </c>
      <c r="CD773" s="15" t="str">
        <f t="shared" si="3466"/>
        <v>#ERROR!</v>
      </c>
      <c r="CE773" s="24" t="str">
        <f t="shared" si="3466"/>
        <v>#ERROR!</v>
      </c>
      <c r="CF773" s="15" t="str">
        <f t="shared" si="3466"/>
        <v>#ERROR!</v>
      </c>
      <c r="CG773" s="15" t="str">
        <f t="shared" si="3466"/>
        <v>#ERROR!</v>
      </c>
      <c r="CH773" s="15" t="str">
        <f t="shared" si="3466"/>
        <v>#ERROR!</v>
      </c>
      <c r="CI773" s="15" t="str">
        <f t="shared" si="3466"/>
        <v>#ERROR!</v>
      </c>
      <c r="CJ773" s="24" t="str">
        <f t="shared" si="3466"/>
        <v>#ERROR!</v>
      </c>
      <c r="CK773" s="15" t="str">
        <f t="shared" si="3466"/>
        <v>#ERROR!</v>
      </c>
      <c r="CL773" s="15" t="str">
        <f t="shared" si="3466"/>
        <v>#ERROR!</v>
      </c>
      <c r="CM773" s="15" t="str">
        <f t="shared" si="3466"/>
        <v>#ERROR!</v>
      </c>
      <c r="CN773" s="40" t="str">
        <f t="shared" si="3466"/>
        <v>#ERROR!</v>
      </c>
      <c r="CO773" s="24" t="str">
        <f t="shared" si="3466"/>
        <v>#ERROR!</v>
      </c>
      <c r="CP773" s="40" t="str">
        <f t="shared" si="3466"/>
        <v>#ERROR!</v>
      </c>
      <c r="CQ773" s="15" t="str">
        <f t="shared" si="3466"/>
        <v>#ERROR!</v>
      </c>
      <c r="CR773" s="15" t="str">
        <f t="shared" si="3466"/>
        <v>#ERROR!</v>
      </c>
      <c r="CS773" s="15" t="str">
        <f t="shared" si="3466"/>
        <v>#ERROR!</v>
      </c>
      <c r="CT773" s="24" t="str">
        <f t="shared" si="3466"/>
        <v>#ERROR!</v>
      </c>
      <c r="CU773" s="15" t="str">
        <f t="shared" si="3466"/>
        <v>#ERROR!</v>
      </c>
      <c r="CV773" s="15" t="str">
        <f t="shared" si="3466"/>
        <v>#ERROR!</v>
      </c>
      <c r="CW773" s="15" t="str">
        <f t="shared" si="3466"/>
        <v>#ERROR!</v>
      </c>
      <c r="CX773" s="15" t="str">
        <f t="shared" si="3466"/>
        <v>#ERROR!</v>
      </c>
      <c r="CY773" s="24" t="str">
        <f t="shared" si="3466"/>
        <v>#ERROR!</v>
      </c>
      <c r="CZ773" s="15" t="str">
        <f t="shared" si="3466"/>
        <v>#ERROR!</v>
      </c>
      <c r="DA773" s="15" t="str">
        <f t="shared" si="3466"/>
        <v>#ERROR!</v>
      </c>
      <c r="DB773" s="15" t="str">
        <f t="shared" si="3466"/>
        <v>#ERROR!</v>
      </c>
      <c r="DC773" s="15" t="str">
        <f t="shared" si="3466"/>
        <v>#ERROR!</v>
      </c>
      <c r="DD773" s="24" t="str">
        <f t="shared" si="3466"/>
        <v>#ERROR!</v>
      </c>
      <c r="DE773" s="15" t="str">
        <f t="shared" si="3466"/>
        <v>#ERROR!</v>
      </c>
      <c r="DF773" s="15" t="str">
        <f t="shared" si="3466"/>
        <v>#ERROR!</v>
      </c>
      <c r="DG773" s="40" t="str">
        <f t="shared" si="3466"/>
        <v>#ERROR!</v>
      </c>
      <c r="DH773" s="15" t="str">
        <f t="shared" si="3466"/>
        <v>#ERROR!</v>
      </c>
      <c r="DI773" s="24" t="str">
        <f t="shared" si="3466"/>
        <v>#ERROR!</v>
      </c>
      <c r="DJ773" s="40" t="str">
        <f t="shared" si="3466"/>
        <v>#ERROR!</v>
      </c>
      <c r="DK773" s="40" t="str">
        <f t="shared" si="3466"/>
        <v>#ERROR!</v>
      </c>
      <c r="DL773" s="40" t="str">
        <f t="shared" si="3466"/>
        <v>#ERROR!</v>
      </c>
      <c r="DM773" s="15" t="str">
        <f t="shared" si="3466"/>
        <v>#ERROR!</v>
      </c>
      <c r="DN773" s="24" t="str">
        <f t="shared" si="3466"/>
        <v>#ERROR!</v>
      </c>
      <c r="DO773" s="15" t="str">
        <f t="shared" si="3466"/>
        <v>#ERROR!</v>
      </c>
      <c r="DP773" s="15" t="str">
        <f t="shared" si="3466"/>
        <v>#ERROR!</v>
      </c>
      <c r="DQ773" s="15" t="str">
        <f t="shared" si="3466"/>
        <v>#ERROR!</v>
      </c>
      <c r="DR773" s="15" t="str">
        <f t="shared" si="3466"/>
        <v>#ERROR!</v>
      </c>
      <c r="DS773" s="24" t="str">
        <f t="shared" si="3466"/>
        <v>#ERROR!</v>
      </c>
      <c r="DT773" s="15" t="str">
        <f t="shared" si="3466"/>
        <v>#ERROR!</v>
      </c>
      <c r="DU773" s="15" t="str">
        <f t="shared" si="3466"/>
        <v>#ERROR!</v>
      </c>
      <c r="DV773" s="15" t="str">
        <f t="shared" si="3466"/>
        <v>#ERROR!</v>
      </c>
      <c r="DW773" s="15" t="str">
        <f t="shared" si="3466"/>
        <v>#ERROR!</v>
      </c>
      <c r="DX773" s="24" t="str">
        <f t="shared" si="3466"/>
        <v>#ERROR!</v>
      </c>
      <c r="DY773" s="15" t="str">
        <f t="shared" si="3466"/>
        <v>#ERROR!</v>
      </c>
      <c r="DZ773" s="15" t="str">
        <f t="shared" si="3466"/>
        <v>#ERROR!</v>
      </c>
      <c r="EA773" s="15" t="str">
        <f t="shared" si="3466"/>
        <v>#ERROR!</v>
      </c>
      <c r="EB773" s="15" t="str">
        <f t="shared" si="3466"/>
        <v>#ERROR!</v>
      </c>
      <c r="EC773" s="24" t="str">
        <f t="shared" si="3466"/>
        <v>#ERROR!</v>
      </c>
      <c r="ED773" s="15" t="str">
        <f t="shared" si="3466"/>
        <v>#ERROR!</v>
      </c>
      <c r="EE773" s="15" t="str">
        <f t="shared" si="3466"/>
        <v>#ERROR!</v>
      </c>
      <c r="EF773" s="15" t="str">
        <f t="shared" si="3466"/>
        <v>#ERROR!</v>
      </c>
      <c r="EG773" s="15" t="str">
        <f t="shared" si="3466"/>
        <v>#ERROR!</v>
      </c>
      <c r="EH773" s="24" t="str">
        <f t="shared" si="3466"/>
        <v>#ERROR!</v>
      </c>
      <c r="EI773" s="82" t="str">
        <f t="shared" si="3466"/>
        <v>#ERROR!</v>
      </c>
      <c r="EJ773" s="15" t="str">
        <f t="shared" si="3466"/>
        <v>#ERROR!</v>
      </c>
      <c r="EK773" s="15" t="str">
        <f t="shared" si="3466"/>
        <v>#ERROR!</v>
      </c>
      <c r="EL773" s="15" t="str">
        <f t="shared" si="3466"/>
        <v>#ERROR!</v>
      </c>
      <c r="EM773" s="24" t="str">
        <f t="shared" si="3466"/>
        <v>#ERROR!</v>
      </c>
      <c r="EN773" s="15" t="str">
        <f t="shared" si="3466"/>
        <v>#ERROR!</v>
      </c>
      <c r="EO773" s="15" t="str">
        <f t="shared" si="3466"/>
        <v>#ERROR!</v>
      </c>
      <c r="EP773" s="15" t="str">
        <f t="shared" si="3466"/>
        <v>#ERROR!</v>
      </c>
      <c r="EQ773" s="15" t="str">
        <f t="shared" si="3466"/>
        <v>#ERROR!</v>
      </c>
      <c r="ER773" s="24" t="str">
        <f t="shared" si="3466"/>
        <v>#ERROR!</v>
      </c>
      <c r="ES773" s="15" t="str">
        <f t="shared" si="3466"/>
        <v>#ERROR!</v>
      </c>
      <c r="ET773" s="15" t="str">
        <f t="shared" si="3466"/>
        <v>#ERROR!</v>
      </c>
      <c r="EU773" s="15" t="str">
        <f t="shared" si="3466"/>
        <v>#ERROR!</v>
      </c>
      <c r="EV773" s="15" t="str">
        <f t="shared" si="3466"/>
        <v>#ERROR!</v>
      </c>
      <c r="EW773" s="24" t="str">
        <f t="shared" si="3466"/>
        <v>#ERROR!</v>
      </c>
      <c r="EX773" s="15" t="str">
        <f t="shared" si="3466"/>
        <v>#ERROR!</v>
      </c>
      <c r="EY773" s="15" t="str">
        <f t="shared" si="3466"/>
        <v>#ERROR!</v>
      </c>
      <c r="EZ773" s="15" t="str">
        <f t="shared" si="3466"/>
        <v>#ERROR!</v>
      </c>
      <c r="FA773" s="15" t="str">
        <f t="shared" si="3466"/>
        <v>#ERROR!</v>
      </c>
      <c r="FB773" s="24" t="str">
        <f t="shared" si="3466"/>
        <v>#ERROR!</v>
      </c>
      <c r="FC773" s="15" t="str">
        <f t="shared" si="3466"/>
        <v>#ERROR!</v>
      </c>
      <c r="FD773" s="15" t="str">
        <f t="shared" si="3466"/>
        <v>#ERROR!</v>
      </c>
      <c r="FE773" s="15" t="str">
        <f t="shared" si="3466"/>
        <v>#ERROR!</v>
      </c>
      <c r="FF773" s="15" t="str">
        <f t="shared" si="3466"/>
        <v>#ERROR!</v>
      </c>
      <c r="FG773" s="24" t="str">
        <f t="shared" si="3466"/>
        <v>#ERROR!</v>
      </c>
      <c r="FH773" s="104"/>
      <c r="FI773" s="15"/>
      <c r="FJ773" s="15"/>
      <c r="FK773" s="410"/>
      <c r="FL773" s="15"/>
    </row>
    <row r="774" ht="12.75" hidden="1" customHeight="1" outlineLevel="2">
      <c r="A774" s="4"/>
      <c r="B774" s="72" t="s">
        <v>286</v>
      </c>
      <c r="C774" s="45"/>
      <c r="D774" s="410"/>
      <c r="E774" s="410"/>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410"/>
      <c r="AK774" s="410"/>
      <c r="AL774" s="410"/>
      <c r="AM774" s="410"/>
      <c r="AN774" s="410"/>
      <c r="AO774" s="410"/>
      <c r="AP774" s="410"/>
      <c r="AQ774" s="410"/>
      <c r="AR774" s="410"/>
      <c r="AS774" s="410"/>
      <c r="AT774" s="410"/>
      <c r="AU774" s="410"/>
      <c r="AV774" s="410"/>
      <c r="AW774" s="410"/>
      <c r="AX774" s="410"/>
      <c r="AY774" s="410"/>
      <c r="AZ774" s="410">
        <f t="shared" ref="AZ774:FG774" si="3467">AZ756/AZ$763</f>
        <v>0</v>
      </c>
      <c r="BA774" s="410">
        <f t="shared" si="3467"/>
        <v>0</v>
      </c>
      <c r="BB774" s="410">
        <f t="shared" si="3467"/>
        <v>0.002348993289</v>
      </c>
      <c r="BC774" s="410">
        <f t="shared" si="3467"/>
        <v>0.003496066925</v>
      </c>
      <c r="BD774" s="410">
        <f t="shared" si="3467"/>
        <v>0.004005034901</v>
      </c>
      <c r="BE774" s="410">
        <f t="shared" si="3467"/>
        <v>0.004332576852</v>
      </c>
      <c r="BF774" s="410">
        <f t="shared" si="3467"/>
        <v>0.003564154786</v>
      </c>
      <c r="BG774" s="410">
        <f t="shared" si="3467"/>
        <v>0.004744690465</v>
      </c>
      <c r="BH774" s="410">
        <f t="shared" si="3467"/>
        <v>0.01028801843</v>
      </c>
      <c r="BI774" s="410">
        <f t="shared" si="3467"/>
        <v>0.01308225966</v>
      </c>
      <c r="BJ774" s="410">
        <f t="shared" si="3467"/>
        <v>0.01372292756</v>
      </c>
      <c r="BK774" s="410">
        <f t="shared" si="3467"/>
        <v>0.01070329212</v>
      </c>
      <c r="BL774" s="410">
        <f t="shared" si="3467"/>
        <v>0.01860849788</v>
      </c>
      <c r="BM774" s="410">
        <f t="shared" si="3467"/>
        <v>0.01847940866</v>
      </c>
      <c r="BN774" s="410">
        <f t="shared" si="3467"/>
        <v>0.01517079378</v>
      </c>
      <c r="BO774" s="410">
        <f t="shared" si="3467"/>
        <v>0.01823486506</v>
      </c>
      <c r="BP774" s="410">
        <f t="shared" si="3467"/>
        <v>0.01755972969</v>
      </c>
      <c r="BQ774" s="410">
        <f t="shared" si="3467"/>
        <v>0.02169349195</v>
      </c>
      <c r="BR774" s="410">
        <f t="shared" si="3467"/>
        <v>0.02405284148</v>
      </c>
      <c r="BS774" s="410">
        <f t="shared" si="3467"/>
        <v>0.02332516775</v>
      </c>
      <c r="BT774" s="410" t="str">
        <f t="shared" si="3467"/>
        <v>#ERROR!</v>
      </c>
      <c r="BU774" s="410" t="str">
        <f t="shared" si="3467"/>
        <v>#ERROR!</v>
      </c>
      <c r="BV774" s="410" t="str">
        <f t="shared" si="3467"/>
        <v>#ERROR!</v>
      </c>
      <c r="BW774" s="410" t="str">
        <f t="shared" si="3467"/>
        <v>#ERROR!</v>
      </c>
      <c r="BX774" s="410" t="str">
        <f t="shared" si="3467"/>
        <v>#ERROR!</v>
      </c>
      <c r="BY774" s="410" t="str">
        <f t="shared" si="3467"/>
        <v>#ERROR!</v>
      </c>
      <c r="BZ774" s="24" t="str">
        <f t="shared" si="3467"/>
        <v>#ERROR!</v>
      </c>
      <c r="CA774" s="410" t="str">
        <f t="shared" si="3467"/>
        <v>#ERROR!</v>
      </c>
      <c r="CB774" s="410" t="str">
        <f t="shared" si="3467"/>
        <v>#ERROR!</v>
      </c>
      <c r="CC774" s="410" t="str">
        <f t="shared" si="3467"/>
        <v>#ERROR!</v>
      </c>
      <c r="CD774" s="410" t="str">
        <f t="shared" si="3467"/>
        <v>#ERROR!</v>
      </c>
      <c r="CE774" s="24" t="str">
        <f t="shared" si="3467"/>
        <v>#ERROR!</v>
      </c>
      <c r="CF774" s="410" t="str">
        <f t="shared" si="3467"/>
        <v>#ERROR!</v>
      </c>
      <c r="CG774" s="410" t="str">
        <f t="shared" si="3467"/>
        <v>#ERROR!</v>
      </c>
      <c r="CH774" s="410" t="str">
        <f t="shared" si="3467"/>
        <v>#ERROR!</v>
      </c>
      <c r="CI774" s="410" t="str">
        <f t="shared" si="3467"/>
        <v>#ERROR!</v>
      </c>
      <c r="CJ774" s="24" t="str">
        <f t="shared" si="3467"/>
        <v>#ERROR!</v>
      </c>
      <c r="CK774" s="410" t="str">
        <f t="shared" si="3467"/>
        <v>#ERROR!</v>
      </c>
      <c r="CL774" s="410" t="str">
        <f t="shared" si="3467"/>
        <v>#ERROR!</v>
      </c>
      <c r="CM774" s="410" t="str">
        <f t="shared" si="3467"/>
        <v>#ERROR!</v>
      </c>
      <c r="CN774" s="104" t="str">
        <f t="shared" si="3467"/>
        <v>#ERROR!</v>
      </c>
      <c r="CO774" s="24" t="str">
        <f t="shared" si="3467"/>
        <v>#ERROR!</v>
      </c>
      <c r="CP774" s="104" t="str">
        <f t="shared" si="3467"/>
        <v>#ERROR!</v>
      </c>
      <c r="CQ774" s="410" t="str">
        <f t="shared" si="3467"/>
        <v>#ERROR!</v>
      </c>
      <c r="CR774" s="410" t="str">
        <f t="shared" si="3467"/>
        <v>#ERROR!</v>
      </c>
      <c r="CS774" s="410" t="str">
        <f t="shared" si="3467"/>
        <v>#ERROR!</v>
      </c>
      <c r="CT774" s="24" t="str">
        <f t="shared" si="3467"/>
        <v>#ERROR!</v>
      </c>
      <c r="CU774" s="410" t="str">
        <f t="shared" si="3467"/>
        <v>#ERROR!</v>
      </c>
      <c r="CV774" s="410" t="str">
        <f t="shared" si="3467"/>
        <v>#ERROR!</v>
      </c>
      <c r="CW774" s="410" t="str">
        <f t="shared" si="3467"/>
        <v>#ERROR!</v>
      </c>
      <c r="CX774" s="410" t="str">
        <f t="shared" si="3467"/>
        <v>#ERROR!</v>
      </c>
      <c r="CY774" s="24" t="str">
        <f t="shared" si="3467"/>
        <v>#ERROR!</v>
      </c>
      <c r="CZ774" s="410" t="str">
        <f t="shared" si="3467"/>
        <v>#ERROR!</v>
      </c>
      <c r="DA774" s="410" t="str">
        <f t="shared" si="3467"/>
        <v>#ERROR!</v>
      </c>
      <c r="DB774" s="410" t="str">
        <f t="shared" si="3467"/>
        <v>#ERROR!</v>
      </c>
      <c r="DC774" s="410" t="str">
        <f t="shared" si="3467"/>
        <v>#ERROR!</v>
      </c>
      <c r="DD774" s="24" t="str">
        <f t="shared" si="3467"/>
        <v>#ERROR!</v>
      </c>
      <c r="DE774" s="410" t="str">
        <f t="shared" si="3467"/>
        <v>#ERROR!</v>
      </c>
      <c r="DF774" s="410" t="str">
        <f t="shared" si="3467"/>
        <v>#ERROR!</v>
      </c>
      <c r="DG774" s="104" t="str">
        <f t="shared" si="3467"/>
        <v>#ERROR!</v>
      </c>
      <c r="DH774" s="410" t="str">
        <f t="shared" si="3467"/>
        <v>#ERROR!</v>
      </c>
      <c r="DI774" s="24" t="str">
        <f t="shared" si="3467"/>
        <v>#ERROR!</v>
      </c>
      <c r="DJ774" s="104" t="str">
        <f t="shared" si="3467"/>
        <v>#ERROR!</v>
      </c>
      <c r="DK774" s="104" t="str">
        <f t="shared" si="3467"/>
        <v>#ERROR!</v>
      </c>
      <c r="DL774" s="104" t="str">
        <f t="shared" si="3467"/>
        <v>#ERROR!</v>
      </c>
      <c r="DM774" s="410" t="str">
        <f t="shared" si="3467"/>
        <v>#ERROR!</v>
      </c>
      <c r="DN774" s="24" t="str">
        <f t="shared" si="3467"/>
        <v>#ERROR!</v>
      </c>
      <c r="DO774" s="410" t="str">
        <f t="shared" si="3467"/>
        <v>#ERROR!</v>
      </c>
      <c r="DP774" s="410" t="str">
        <f t="shared" si="3467"/>
        <v>#ERROR!</v>
      </c>
      <c r="DQ774" s="410" t="str">
        <f t="shared" si="3467"/>
        <v>#ERROR!</v>
      </c>
      <c r="DR774" s="410" t="str">
        <f t="shared" si="3467"/>
        <v>#ERROR!</v>
      </c>
      <c r="DS774" s="24" t="str">
        <f t="shared" si="3467"/>
        <v>#ERROR!</v>
      </c>
      <c r="DT774" s="410" t="str">
        <f t="shared" si="3467"/>
        <v>#ERROR!</v>
      </c>
      <c r="DU774" s="410" t="str">
        <f t="shared" si="3467"/>
        <v>#ERROR!</v>
      </c>
      <c r="DV774" s="410" t="str">
        <f t="shared" si="3467"/>
        <v>#ERROR!</v>
      </c>
      <c r="DW774" s="410" t="str">
        <f t="shared" si="3467"/>
        <v>#ERROR!</v>
      </c>
      <c r="DX774" s="24" t="str">
        <f t="shared" si="3467"/>
        <v>#ERROR!</v>
      </c>
      <c r="DY774" s="410" t="str">
        <f t="shared" si="3467"/>
        <v>#ERROR!</v>
      </c>
      <c r="DZ774" s="410" t="str">
        <f t="shared" si="3467"/>
        <v>#ERROR!</v>
      </c>
      <c r="EA774" s="410" t="str">
        <f t="shared" si="3467"/>
        <v>#ERROR!</v>
      </c>
      <c r="EB774" s="410" t="str">
        <f t="shared" si="3467"/>
        <v>#ERROR!</v>
      </c>
      <c r="EC774" s="24" t="str">
        <f t="shared" si="3467"/>
        <v>#ERROR!</v>
      </c>
      <c r="ED774" s="410" t="str">
        <f t="shared" si="3467"/>
        <v>#ERROR!</v>
      </c>
      <c r="EE774" s="410" t="str">
        <f t="shared" si="3467"/>
        <v>#ERROR!</v>
      </c>
      <c r="EF774" s="410" t="str">
        <f t="shared" si="3467"/>
        <v>#ERROR!</v>
      </c>
      <c r="EG774" s="410" t="str">
        <f t="shared" si="3467"/>
        <v>#ERROR!</v>
      </c>
      <c r="EH774" s="24" t="str">
        <f t="shared" si="3467"/>
        <v>#ERROR!</v>
      </c>
      <c r="EI774" s="317" t="str">
        <f t="shared" si="3467"/>
        <v>#ERROR!</v>
      </c>
      <c r="EJ774" s="410" t="str">
        <f t="shared" si="3467"/>
        <v>#ERROR!</v>
      </c>
      <c r="EK774" s="410" t="str">
        <f t="shared" si="3467"/>
        <v>#ERROR!</v>
      </c>
      <c r="EL774" s="410" t="str">
        <f t="shared" si="3467"/>
        <v>#ERROR!</v>
      </c>
      <c r="EM774" s="24" t="str">
        <f t="shared" si="3467"/>
        <v>#ERROR!</v>
      </c>
      <c r="EN774" s="410" t="str">
        <f t="shared" si="3467"/>
        <v>#ERROR!</v>
      </c>
      <c r="EO774" s="410" t="str">
        <f t="shared" si="3467"/>
        <v>#ERROR!</v>
      </c>
      <c r="EP774" s="410" t="str">
        <f t="shared" si="3467"/>
        <v>#ERROR!</v>
      </c>
      <c r="EQ774" s="410" t="str">
        <f t="shared" si="3467"/>
        <v>#ERROR!</v>
      </c>
      <c r="ER774" s="24" t="str">
        <f t="shared" si="3467"/>
        <v>#ERROR!</v>
      </c>
      <c r="ES774" s="410" t="str">
        <f t="shared" si="3467"/>
        <v>#ERROR!</v>
      </c>
      <c r="ET774" s="410" t="str">
        <f t="shared" si="3467"/>
        <v>#ERROR!</v>
      </c>
      <c r="EU774" s="410" t="str">
        <f t="shared" si="3467"/>
        <v>#ERROR!</v>
      </c>
      <c r="EV774" s="410" t="str">
        <f t="shared" si="3467"/>
        <v>#ERROR!</v>
      </c>
      <c r="EW774" s="24" t="str">
        <f t="shared" si="3467"/>
        <v>#ERROR!</v>
      </c>
      <c r="EX774" s="410" t="str">
        <f t="shared" si="3467"/>
        <v>#ERROR!</v>
      </c>
      <c r="EY774" s="410" t="str">
        <f t="shared" si="3467"/>
        <v>#ERROR!</v>
      </c>
      <c r="EZ774" s="410" t="str">
        <f t="shared" si="3467"/>
        <v>#ERROR!</v>
      </c>
      <c r="FA774" s="410" t="str">
        <f t="shared" si="3467"/>
        <v>#ERROR!</v>
      </c>
      <c r="FB774" s="24" t="str">
        <f t="shared" si="3467"/>
        <v>#ERROR!</v>
      </c>
      <c r="FC774" s="410" t="str">
        <f t="shared" si="3467"/>
        <v>#ERROR!</v>
      </c>
      <c r="FD774" s="410" t="str">
        <f t="shared" si="3467"/>
        <v>#ERROR!</v>
      </c>
      <c r="FE774" s="410" t="str">
        <f t="shared" si="3467"/>
        <v>#ERROR!</v>
      </c>
      <c r="FF774" s="410" t="str">
        <f t="shared" si="3467"/>
        <v>#ERROR!</v>
      </c>
      <c r="FG774" s="24" t="str">
        <f t="shared" si="3467"/>
        <v>#ERROR!</v>
      </c>
      <c r="FH774" s="104"/>
      <c r="FI774" s="410"/>
      <c r="FJ774" s="410"/>
      <c r="FK774" s="410"/>
      <c r="FL774" s="410"/>
    </row>
    <row r="775" ht="12.75" hidden="1" customHeight="1" outlineLevel="2">
      <c r="A775" s="45"/>
      <c r="B775" s="215" t="s">
        <v>317</v>
      </c>
      <c r="C775" s="45"/>
      <c r="D775" s="410"/>
      <c r="E775" s="410"/>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410"/>
      <c r="AK775" s="410"/>
      <c r="AL775" s="410"/>
      <c r="AM775" s="410"/>
      <c r="AN775" s="410"/>
      <c r="AO775" s="410"/>
      <c r="AP775" s="410"/>
      <c r="AQ775" s="410"/>
      <c r="AR775" s="410"/>
      <c r="AS775" s="410"/>
      <c r="AT775" s="410"/>
      <c r="AU775" s="410"/>
      <c r="AV775" s="410"/>
      <c r="AW775" s="410"/>
      <c r="AX775" s="410"/>
      <c r="AY775" s="410"/>
      <c r="AZ775" s="410">
        <f t="shared" ref="AZ775:BL775" si="3468">AZ757/AZ$763</f>
        <v>0.05881776296</v>
      </c>
      <c r="BA775" s="410">
        <f t="shared" si="3468"/>
        <v>0.0586720239</v>
      </c>
      <c r="BB775" s="410">
        <f t="shared" si="3468"/>
        <v>0.06085011186</v>
      </c>
      <c r="BC775" s="410">
        <f t="shared" si="3468"/>
        <v>0.0669247097</v>
      </c>
      <c r="BD775" s="410">
        <f t="shared" si="3468"/>
        <v>0.05801579128</v>
      </c>
      <c r="BE775" s="410">
        <f t="shared" si="3468"/>
        <v>0.05941819682</v>
      </c>
      <c r="BF775" s="410">
        <f t="shared" si="3468"/>
        <v>0.06033604888</v>
      </c>
      <c r="BG775" s="410">
        <f t="shared" si="3468"/>
        <v>0.05298237686</v>
      </c>
      <c r="BH775" s="410">
        <f t="shared" si="3468"/>
        <v>0.0569124424</v>
      </c>
      <c r="BI775" s="410">
        <f t="shared" si="3468"/>
        <v>0.05480673935</v>
      </c>
      <c r="BJ775" s="410">
        <f t="shared" si="3468"/>
        <v>0.05470500373</v>
      </c>
      <c r="BK775" s="410">
        <f t="shared" si="3468"/>
        <v>0.05483382898</v>
      </c>
      <c r="BL775" s="410">
        <f t="shared" si="3468"/>
        <v>0.05158689135</v>
      </c>
      <c r="BM775" s="410"/>
      <c r="BN775" s="410"/>
      <c r="BO775" s="410"/>
      <c r="BP775" s="410"/>
      <c r="BQ775" s="410"/>
      <c r="BR775" s="410"/>
      <c r="BS775" s="410"/>
      <c r="BT775" s="410"/>
      <c r="BU775" s="410"/>
      <c r="BV775" s="410"/>
      <c r="BW775" s="410"/>
      <c r="BX775" s="410"/>
      <c r="BY775" s="410"/>
      <c r="BZ775" s="24"/>
      <c r="CA775" s="410"/>
      <c r="CB775" s="410"/>
      <c r="CC775" s="410"/>
      <c r="CD775" s="410"/>
      <c r="CE775" s="24"/>
      <c r="CF775" s="410"/>
      <c r="CG775" s="410"/>
      <c r="CH775" s="410"/>
      <c r="CI775" s="410"/>
      <c r="CJ775" s="24"/>
      <c r="CK775" s="410"/>
      <c r="CL775" s="410"/>
      <c r="CM775" s="410"/>
      <c r="CN775" s="104"/>
      <c r="CO775" s="24"/>
      <c r="CP775" s="104"/>
      <c r="CQ775" s="410"/>
      <c r="CR775" s="410"/>
      <c r="CS775" s="410"/>
      <c r="CT775" s="24"/>
      <c r="CU775" s="410"/>
      <c r="CV775" s="410"/>
      <c r="CW775" s="410"/>
      <c r="CX775" s="410"/>
      <c r="CY775" s="24"/>
      <c r="CZ775" s="410"/>
      <c r="DA775" s="410"/>
      <c r="DB775" s="410"/>
      <c r="DC775" s="410"/>
      <c r="DD775" s="24"/>
      <c r="DE775" s="410"/>
      <c r="DF775" s="410"/>
      <c r="DG775" s="104"/>
      <c r="DH775" s="410"/>
      <c r="DI775" s="24"/>
      <c r="DJ775" s="104"/>
      <c r="DK775" s="104"/>
      <c r="DL775" s="104"/>
      <c r="DM775" s="410"/>
      <c r="DN775" s="24"/>
      <c r="DO775" s="410"/>
      <c r="DP775" s="410"/>
      <c r="DQ775" s="410"/>
      <c r="DR775" s="410"/>
      <c r="DS775" s="24"/>
      <c r="DT775" s="410"/>
      <c r="DU775" s="410"/>
      <c r="DV775" s="410"/>
      <c r="DW775" s="410"/>
      <c r="DX775" s="24"/>
      <c r="DY775" s="410"/>
      <c r="DZ775" s="410"/>
      <c r="EA775" s="410"/>
      <c r="EB775" s="410"/>
      <c r="EC775" s="24"/>
      <c r="ED775" s="410"/>
      <c r="EE775" s="410"/>
      <c r="EF775" s="410"/>
      <c r="EG775" s="410"/>
      <c r="EH775" s="24"/>
      <c r="EI775" s="317"/>
      <c r="EJ775" s="410"/>
      <c r="EK775" s="410"/>
      <c r="EL775" s="410"/>
      <c r="EM775" s="24"/>
      <c r="EN775" s="410"/>
      <c r="EO775" s="410"/>
      <c r="EP775" s="410"/>
      <c r="EQ775" s="410"/>
      <c r="ER775" s="24"/>
      <c r="ES775" s="410"/>
      <c r="ET775" s="410"/>
      <c r="EU775" s="410"/>
      <c r="EV775" s="410"/>
      <c r="EW775" s="24"/>
      <c r="EX775" s="410"/>
      <c r="EY775" s="410"/>
      <c r="EZ775" s="410"/>
      <c r="FA775" s="410"/>
      <c r="FB775" s="24"/>
      <c r="FC775" s="410"/>
      <c r="FD775" s="410"/>
      <c r="FE775" s="410"/>
      <c r="FF775" s="410"/>
      <c r="FG775" s="24"/>
      <c r="FH775" s="104"/>
      <c r="FI775" s="410"/>
      <c r="FJ775" s="410"/>
      <c r="FK775" s="410"/>
      <c r="FL775" s="410"/>
    </row>
    <row r="776" ht="12.75" hidden="1" customHeight="1" outlineLevel="2">
      <c r="A776" s="45"/>
      <c r="B776" s="72" t="str">
        <f t="shared" ref="B776:B780" si="3470">B758</f>
        <v>Digital Home (estimated)</v>
      </c>
      <c r="C776" s="45"/>
      <c r="D776" s="15"/>
      <c r="E776" s="15"/>
      <c r="F776" s="15"/>
      <c r="G776" s="15"/>
      <c r="H776" s="410"/>
      <c r="I776" s="15"/>
      <c r="J776" s="15"/>
      <c r="K776" s="15"/>
      <c r="L776" s="15"/>
      <c r="M776" s="410"/>
      <c r="N776" s="15"/>
      <c r="O776" s="15"/>
      <c r="P776" s="15"/>
      <c r="Q776" s="15"/>
      <c r="R776" s="410"/>
      <c r="S776" s="15"/>
      <c r="T776" s="15"/>
      <c r="U776" s="15"/>
      <c r="V776" s="15"/>
      <c r="W776" s="410"/>
      <c r="X776" s="15"/>
      <c r="Y776" s="15"/>
      <c r="Z776" s="15"/>
      <c r="AA776" s="15"/>
      <c r="AB776" s="410"/>
      <c r="AC776" s="15"/>
      <c r="AD776" s="15"/>
      <c r="AE776" s="15"/>
      <c r="AF776" s="15"/>
      <c r="AG776" s="410"/>
      <c r="AH776" s="15"/>
      <c r="AI776" s="15"/>
      <c r="AJ776" s="15"/>
      <c r="AK776" s="15"/>
      <c r="AL776" s="410"/>
      <c r="AM776" s="15"/>
      <c r="AN776" s="15"/>
      <c r="AO776" s="15"/>
      <c r="AP776" s="15"/>
      <c r="AQ776" s="410"/>
      <c r="AR776" s="15"/>
      <c r="AS776" s="15"/>
      <c r="AT776" s="15"/>
      <c r="AU776" s="15"/>
      <c r="AV776" s="410"/>
      <c r="AW776" s="15"/>
      <c r="AX776" s="15"/>
      <c r="AY776" s="15"/>
      <c r="AZ776" s="15"/>
      <c r="BA776" s="410">
        <f t="shared" ref="BA776:FG776" si="3469">BA758/BA$763</f>
        <v>0</v>
      </c>
      <c r="BB776" s="15">
        <f t="shared" si="3469"/>
        <v>0.02181208054</v>
      </c>
      <c r="BC776" s="15">
        <f t="shared" si="3469"/>
        <v>0.01410912723</v>
      </c>
      <c r="BD776" s="15">
        <f t="shared" si="3469"/>
        <v>0.01865201968</v>
      </c>
      <c r="BE776" s="15">
        <f t="shared" si="3469"/>
        <v>0.02919331545</v>
      </c>
      <c r="BF776" s="410">
        <f t="shared" si="3469"/>
        <v>0.02132835483</v>
      </c>
      <c r="BG776" s="15">
        <f t="shared" si="3469"/>
        <v>0.02733845459</v>
      </c>
      <c r="BH776" s="15">
        <f t="shared" si="3469"/>
        <v>0.01923963134</v>
      </c>
      <c r="BI776" s="15">
        <f t="shared" si="3469"/>
        <v>0.02794846383</v>
      </c>
      <c r="BJ776" s="15">
        <f t="shared" si="3469"/>
        <v>0.02240477969</v>
      </c>
      <c r="BK776" s="410">
        <f t="shared" si="3469"/>
        <v>0.02428653415</v>
      </c>
      <c r="BL776" s="15">
        <f t="shared" si="3469"/>
        <v>0</v>
      </c>
      <c r="BM776" s="15">
        <f t="shared" si="3469"/>
        <v>0</v>
      </c>
      <c r="BN776" s="15">
        <f t="shared" si="3469"/>
        <v>0</v>
      </c>
      <c r="BO776" s="15">
        <f t="shared" si="3469"/>
        <v>0</v>
      </c>
      <c r="BP776" s="410">
        <f t="shared" si="3469"/>
        <v>0</v>
      </c>
      <c r="BQ776" s="15">
        <f t="shared" si="3469"/>
        <v>0.003498950315</v>
      </c>
      <c r="BR776" s="15">
        <f t="shared" si="3469"/>
        <v>0.00305333998</v>
      </c>
      <c r="BS776" s="15">
        <f t="shared" si="3469"/>
        <v>0.005325380765</v>
      </c>
      <c r="BT776" s="15" t="str">
        <f t="shared" si="3469"/>
        <v>#ERROR!</v>
      </c>
      <c r="BU776" s="410" t="str">
        <f t="shared" si="3469"/>
        <v>#ERROR!</v>
      </c>
      <c r="BV776" s="15" t="str">
        <f t="shared" si="3469"/>
        <v>#ERROR!</v>
      </c>
      <c r="BW776" s="15" t="str">
        <f t="shared" si="3469"/>
        <v>#ERROR!</v>
      </c>
      <c r="BX776" s="15" t="str">
        <f t="shared" si="3469"/>
        <v>#ERROR!</v>
      </c>
      <c r="BY776" s="15" t="str">
        <f t="shared" si="3469"/>
        <v>#ERROR!</v>
      </c>
      <c r="BZ776" s="24" t="str">
        <f t="shared" si="3469"/>
        <v>#ERROR!</v>
      </c>
      <c r="CA776" s="15" t="str">
        <f t="shared" si="3469"/>
        <v>#ERROR!</v>
      </c>
      <c r="CB776" s="15" t="str">
        <f t="shared" si="3469"/>
        <v>#ERROR!</v>
      </c>
      <c r="CC776" s="15" t="str">
        <f t="shared" si="3469"/>
        <v>#ERROR!</v>
      </c>
      <c r="CD776" s="15" t="str">
        <f t="shared" si="3469"/>
        <v>#ERROR!</v>
      </c>
      <c r="CE776" s="24" t="str">
        <f t="shared" si="3469"/>
        <v>#ERROR!</v>
      </c>
      <c r="CF776" s="15" t="str">
        <f t="shared" si="3469"/>
        <v>#ERROR!</v>
      </c>
      <c r="CG776" s="15" t="str">
        <f t="shared" si="3469"/>
        <v>#ERROR!</v>
      </c>
      <c r="CH776" s="15" t="str">
        <f t="shared" si="3469"/>
        <v>#ERROR!</v>
      </c>
      <c r="CI776" s="15" t="str">
        <f t="shared" si="3469"/>
        <v>#ERROR!</v>
      </c>
      <c r="CJ776" s="24" t="str">
        <f t="shared" si="3469"/>
        <v>#ERROR!</v>
      </c>
      <c r="CK776" s="15" t="str">
        <f t="shared" si="3469"/>
        <v>#ERROR!</v>
      </c>
      <c r="CL776" s="15" t="str">
        <f t="shared" si="3469"/>
        <v>#ERROR!</v>
      </c>
      <c r="CM776" s="15" t="str">
        <f t="shared" si="3469"/>
        <v>#ERROR!</v>
      </c>
      <c r="CN776" s="40" t="str">
        <f t="shared" si="3469"/>
        <v>#ERROR!</v>
      </c>
      <c r="CO776" s="24" t="str">
        <f t="shared" si="3469"/>
        <v>#ERROR!</v>
      </c>
      <c r="CP776" s="40" t="str">
        <f t="shared" si="3469"/>
        <v>#ERROR!</v>
      </c>
      <c r="CQ776" s="15" t="str">
        <f t="shared" si="3469"/>
        <v>#ERROR!</v>
      </c>
      <c r="CR776" s="15" t="str">
        <f t="shared" si="3469"/>
        <v>#ERROR!</v>
      </c>
      <c r="CS776" s="15" t="str">
        <f t="shared" si="3469"/>
        <v>#ERROR!</v>
      </c>
      <c r="CT776" s="24" t="str">
        <f t="shared" si="3469"/>
        <v>#ERROR!</v>
      </c>
      <c r="CU776" s="15" t="str">
        <f t="shared" si="3469"/>
        <v>#ERROR!</v>
      </c>
      <c r="CV776" s="15" t="str">
        <f t="shared" si="3469"/>
        <v>#ERROR!</v>
      </c>
      <c r="CW776" s="15" t="str">
        <f t="shared" si="3469"/>
        <v>#ERROR!</v>
      </c>
      <c r="CX776" s="15" t="str">
        <f t="shared" si="3469"/>
        <v>#ERROR!</v>
      </c>
      <c r="CY776" s="24" t="str">
        <f t="shared" si="3469"/>
        <v>#ERROR!</v>
      </c>
      <c r="CZ776" s="15" t="str">
        <f t="shared" si="3469"/>
        <v>#ERROR!</v>
      </c>
      <c r="DA776" s="15" t="str">
        <f t="shared" si="3469"/>
        <v>#ERROR!</v>
      </c>
      <c r="DB776" s="15" t="str">
        <f t="shared" si="3469"/>
        <v>#ERROR!</v>
      </c>
      <c r="DC776" s="15" t="str">
        <f t="shared" si="3469"/>
        <v>#ERROR!</v>
      </c>
      <c r="DD776" s="24" t="str">
        <f t="shared" si="3469"/>
        <v>#ERROR!</v>
      </c>
      <c r="DE776" s="15" t="str">
        <f t="shared" si="3469"/>
        <v>#ERROR!</v>
      </c>
      <c r="DF776" s="15" t="str">
        <f t="shared" si="3469"/>
        <v>#ERROR!</v>
      </c>
      <c r="DG776" s="40" t="str">
        <f t="shared" si="3469"/>
        <v>#ERROR!</v>
      </c>
      <c r="DH776" s="15" t="str">
        <f t="shared" si="3469"/>
        <v>#ERROR!</v>
      </c>
      <c r="DI776" s="24" t="str">
        <f t="shared" si="3469"/>
        <v>#ERROR!</v>
      </c>
      <c r="DJ776" s="40" t="str">
        <f t="shared" si="3469"/>
        <v>#ERROR!</v>
      </c>
      <c r="DK776" s="40" t="str">
        <f t="shared" si="3469"/>
        <v>#ERROR!</v>
      </c>
      <c r="DL776" s="40" t="str">
        <f t="shared" si="3469"/>
        <v>#ERROR!</v>
      </c>
      <c r="DM776" s="15" t="str">
        <f t="shared" si="3469"/>
        <v>#ERROR!</v>
      </c>
      <c r="DN776" s="24" t="str">
        <f t="shared" si="3469"/>
        <v>#ERROR!</v>
      </c>
      <c r="DO776" s="15" t="str">
        <f t="shared" si="3469"/>
        <v>#ERROR!</v>
      </c>
      <c r="DP776" s="15" t="str">
        <f t="shared" si="3469"/>
        <v>#ERROR!</v>
      </c>
      <c r="DQ776" s="15" t="str">
        <f t="shared" si="3469"/>
        <v>#ERROR!</v>
      </c>
      <c r="DR776" s="15" t="str">
        <f t="shared" si="3469"/>
        <v>#ERROR!</v>
      </c>
      <c r="DS776" s="24" t="str">
        <f t="shared" si="3469"/>
        <v>#ERROR!</v>
      </c>
      <c r="DT776" s="15" t="str">
        <f t="shared" si="3469"/>
        <v>#ERROR!</v>
      </c>
      <c r="DU776" s="15" t="str">
        <f t="shared" si="3469"/>
        <v>#ERROR!</v>
      </c>
      <c r="DV776" s="15" t="str">
        <f t="shared" si="3469"/>
        <v>#ERROR!</v>
      </c>
      <c r="DW776" s="15" t="str">
        <f t="shared" si="3469"/>
        <v>#ERROR!</v>
      </c>
      <c r="DX776" s="24" t="str">
        <f t="shared" si="3469"/>
        <v>#ERROR!</v>
      </c>
      <c r="DY776" s="15" t="str">
        <f t="shared" si="3469"/>
        <v>#ERROR!</v>
      </c>
      <c r="DZ776" s="15" t="str">
        <f t="shared" si="3469"/>
        <v>#ERROR!</v>
      </c>
      <c r="EA776" s="15" t="str">
        <f t="shared" si="3469"/>
        <v>#ERROR!</v>
      </c>
      <c r="EB776" s="15" t="str">
        <f t="shared" si="3469"/>
        <v>#ERROR!</v>
      </c>
      <c r="EC776" s="24" t="str">
        <f t="shared" si="3469"/>
        <v>#ERROR!</v>
      </c>
      <c r="ED776" s="15" t="str">
        <f t="shared" si="3469"/>
        <v>#ERROR!</v>
      </c>
      <c r="EE776" s="15" t="str">
        <f t="shared" si="3469"/>
        <v>#ERROR!</v>
      </c>
      <c r="EF776" s="15" t="str">
        <f t="shared" si="3469"/>
        <v>#ERROR!</v>
      </c>
      <c r="EG776" s="15" t="str">
        <f t="shared" si="3469"/>
        <v>#ERROR!</v>
      </c>
      <c r="EH776" s="24" t="str">
        <f t="shared" si="3469"/>
        <v>#ERROR!</v>
      </c>
      <c r="EI776" s="82" t="str">
        <f t="shared" si="3469"/>
        <v>#ERROR!</v>
      </c>
      <c r="EJ776" s="15" t="str">
        <f t="shared" si="3469"/>
        <v>#ERROR!</v>
      </c>
      <c r="EK776" s="15" t="str">
        <f t="shared" si="3469"/>
        <v>#ERROR!</v>
      </c>
      <c r="EL776" s="15" t="str">
        <f t="shared" si="3469"/>
        <v>#ERROR!</v>
      </c>
      <c r="EM776" s="24" t="str">
        <f t="shared" si="3469"/>
        <v>#ERROR!</v>
      </c>
      <c r="EN776" s="15" t="str">
        <f t="shared" si="3469"/>
        <v>#ERROR!</v>
      </c>
      <c r="EO776" s="15" t="str">
        <f t="shared" si="3469"/>
        <v>#ERROR!</v>
      </c>
      <c r="EP776" s="15" t="str">
        <f t="shared" si="3469"/>
        <v>#ERROR!</v>
      </c>
      <c r="EQ776" s="15" t="str">
        <f t="shared" si="3469"/>
        <v>#ERROR!</v>
      </c>
      <c r="ER776" s="24" t="str">
        <f t="shared" si="3469"/>
        <v>#ERROR!</v>
      </c>
      <c r="ES776" s="15" t="str">
        <f t="shared" si="3469"/>
        <v>#ERROR!</v>
      </c>
      <c r="ET776" s="15" t="str">
        <f t="shared" si="3469"/>
        <v>#ERROR!</v>
      </c>
      <c r="EU776" s="15" t="str">
        <f t="shared" si="3469"/>
        <v>#ERROR!</v>
      </c>
      <c r="EV776" s="15" t="str">
        <f t="shared" si="3469"/>
        <v>#ERROR!</v>
      </c>
      <c r="EW776" s="24" t="str">
        <f t="shared" si="3469"/>
        <v>#ERROR!</v>
      </c>
      <c r="EX776" s="15" t="str">
        <f t="shared" si="3469"/>
        <v>#ERROR!</v>
      </c>
      <c r="EY776" s="15" t="str">
        <f t="shared" si="3469"/>
        <v>#ERROR!</v>
      </c>
      <c r="EZ776" s="15" t="str">
        <f t="shared" si="3469"/>
        <v>#ERROR!</v>
      </c>
      <c r="FA776" s="15" t="str">
        <f t="shared" si="3469"/>
        <v>#ERROR!</v>
      </c>
      <c r="FB776" s="24" t="str">
        <f t="shared" si="3469"/>
        <v>#ERROR!</v>
      </c>
      <c r="FC776" s="15" t="str">
        <f t="shared" si="3469"/>
        <v>#ERROR!</v>
      </c>
      <c r="FD776" s="15" t="str">
        <f t="shared" si="3469"/>
        <v>#ERROR!</v>
      </c>
      <c r="FE776" s="15" t="str">
        <f t="shared" si="3469"/>
        <v>#ERROR!</v>
      </c>
      <c r="FF776" s="15" t="str">
        <f t="shared" si="3469"/>
        <v>#ERROR!</v>
      </c>
      <c r="FG776" s="24" t="str">
        <f t="shared" si="3469"/>
        <v>#ERROR!</v>
      </c>
      <c r="FH776" s="104"/>
      <c r="FI776" s="15"/>
      <c r="FJ776" s="15"/>
      <c r="FK776" s="410"/>
      <c r="FL776" s="15"/>
    </row>
    <row r="777" ht="12.75" hidden="1" customHeight="1" outlineLevel="2">
      <c r="A777" s="45"/>
      <c r="B777" s="72" t="str">
        <f t="shared" si="3470"/>
        <v>Other</v>
      </c>
      <c r="C777" s="45"/>
      <c r="D777" s="15"/>
      <c r="E777" s="15"/>
      <c r="F777" s="15"/>
      <c r="G777" s="15"/>
      <c r="H777" s="410"/>
      <c r="I777" s="15"/>
      <c r="J777" s="15"/>
      <c r="K777" s="15"/>
      <c r="L777" s="15"/>
      <c r="M777" s="410"/>
      <c r="N777" s="15"/>
      <c r="O777" s="15"/>
      <c r="P777" s="15"/>
      <c r="Q777" s="15"/>
      <c r="R777" s="410"/>
      <c r="S777" s="15"/>
      <c r="T777" s="15"/>
      <c r="U777" s="15"/>
      <c r="V777" s="15"/>
      <c r="W777" s="410"/>
      <c r="X777" s="15"/>
      <c r="Y777" s="15"/>
      <c r="Z777" s="15"/>
      <c r="AA777" s="15"/>
      <c r="AB777" s="410"/>
      <c r="AC777" s="15"/>
      <c r="AD777" s="15"/>
      <c r="AE777" s="15"/>
      <c r="AF777" s="15"/>
      <c r="AG777" s="410"/>
      <c r="AH777" s="15"/>
      <c r="AI777" s="15"/>
      <c r="AJ777" s="15"/>
      <c r="AK777" s="15"/>
      <c r="AL777" s="410"/>
      <c r="AM777" s="15"/>
      <c r="AN777" s="15"/>
      <c r="AO777" s="15"/>
      <c r="AP777" s="15"/>
      <c r="AQ777" s="410">
        <f t="shared" ref="AQ777:FG777" si="3471">AQ759/AQ$763</f>
        <v>0.01287283103</v>
      </c>
      <c r="AR777" s="15">
        <f t="shared" si="3471"/>
        <v>0.004325794092</v>
      </c>
      <c r="AS777" s="15">
        <f t="shared" si="3471"/>
        <v>0.004721083364</v>
      </c>
      <c r="AT777" s="15">
        <f t="shared" si="3471"/>
        <v>0.005194191949</v>
      </c>
      <c r="AU777" s="15">
        <f t="shared" si="3471"/>
        <v>0.004896853511</v>
      </c>
      <c r="AV777" s="410">
        <f t="shared" si="3471"/>
        <v>0.004794060043</v>
      </c>
      <c r="AW777" s="15">
        <f t="shared" si="3471"/>
        <v>0.006571973712</v>
      </c>
      <c r="AX777" s="15">
        <f t="shared" si="3471"/>
        <v>0.008666450005</v>
      </c>
      <c r="AY777" s="15">
        <f t="shared" si="3471"/>
        <v>0.004718875502</v>
      </c>
      <c r="AZ777" s="15">
        <f t="shared" si="3471"/>
        <v>0.00892069405</v>
      </c>
      <c r="BA777" s="410">
        <f t="shared" si="3471"/>
        <v>0.007211662288</v>
      </c>
      <c r="BB777" s="15">
        <f t="shared" si="3471"/>
        <v>0.008389261745</v>
      </c>
      <c r="BC777" s="15">
        <f t="shared" si="3471"/>
        <v>0.006242976651</v>
      </c>
      <c r="BD777" s="15">
        <f t="shared" si="3471"/>
        <v>0.008582217645</v>
      </c>
      <c r="BE777" s="15">
        <f t="shared" si="3471"/>
        <v>0.008252527336</v>
      </c>
      <c r="BF777" s="410">
        <f t="shared" si="3471"/>
        <v>0.007920343969</v>
      </c>
      <c r="BG777" s="15">
        <f t="shared" si="3471"/>
        <v>0.009037505648</v>
      </c>
      <c r="BH777" s="15">
        <f t="shared" si="3471"/>
        <v>0.009216589862</v>
      </c>
      <c r="BI777" s="15">
        <f t="shared" si="3471"/>
        <v>0.00792864222</v>
      </c>
      <c r="BJ777" s="15">
        <f t="shared" si="3471"/>
        <v>0.003734129948</v>
      </c>
      <c r="BK777" s="410">
        <f t="shared" si="3471"/>
        <v>0.007304220796</v>
      </c>
      <c r="BL777" s="15">
        <f t="shared" si="3471"/>
        <v>0.006616354802</v>
      </c>
      <c r="BM777" s="15">
        <f t="shared" si="3471"/>
        <v>0.005279831045</v>
      </c>
      <c r="BN777" s="15">
        <f t="shared" si="3471"/>
        <v>0.003229910933</v>
      </c>
      <c r="BO777" s="15">
        <f t="shared" si="3471"/>
        <v>0.006686117189</v>
      </c>
      <c r="BP777" s="410">
        <f t="shared" si="3471"/>
        <v>0.00537434151</v>
      </c>
      <c r="BQ777" s="15">
        <f t="shared" si="3471"/>
        <v>0.005878236529</v>
      </c>
      <c r="BR777" s="15">
        <f t="shared" si="3471"/>
        <v>0.002679461615</v>
      </c>
      <c r="BS777" s="15">
        <f t="shared" si="3471"/>
        <v>0.008094578762</v>
      </c>
      <c r="BT777" s="15" t="str">
        <f t="shared" si="3471"/>
        <v>#ERROR!</v>
      </c>
      <c r="BU777" s="410" t="str">
        <f t="shared" si="3471"/>
        <v>#ERROR!</v>
      </c>
      <c r="BV777" s="15" t="str">
        <f t="shared" si="3471"/>
        <v>#ERROR!</v>
      </c>
      <c r="BW777" s="15" t="str">
        <f t="shared" si="3471"/>
        <v>#ERROR!</v>
      </c>
      <c r="BX777" s="15" t="str">
        <f t="shared" si="3471"/>
        <v>#ERROR!</v>
      </c>
      <c r="BY777" s="15" t="str">
        <f t="shared" si="3471"/>
        <v>#ERROR!</v>
      </c>
      <c r="BZ777" s="24" t="str">
        <f t="shared" si="3471"/>
        <v>#ERROR!</v>
      </c>
      <c r="CA777" s="15" t="str">
        <f t="shared" si="3471"/>
        <v>#ERROR!</v>
      </c>
      <c r="CB777" s="15" t="str">
        <f t="shared" si="3471"/>
        <v>#ERROR!</v>
      </c>
      <c r="CC777" s="15" t="str">
        <f t="shared" si="3471"/>
        <v>#ERROR!</v>
      </c>
      <c r="CD777" s="15" t="str">
        <f t="shared" si="3471"/>
        <v>#ERROR!</v>
      </c>
      <c r="CE777" s="24" t="str">
        <f t="shared" si="3471"/>
        <v>#ERROR!</v>
      </c>
      <c r="CF777" s="15" t="str">
        <f t="shared" si="3471"/>
        <v>#ERROR!</v>
      </c>
      <c r="CG777" s="15" t="str">
        <f t="shared" si="3471"/>
        <v>#ERROR!</v>
      </c>
      <c r="CH777" s="15" t="str">
        <f t="shared" si="3471"/>
        <v>#ERROR!</v>
      </c>
      <c r="CI777" s="15" t="str">
        <f t="shared" si="3471"/>
        <v>#ERROR!</v>
      </c>
      <c r="CJ777" s="24" t="str">
        <f t="shared" si="3471"/>
        <v>#ERROR!</v>
      </c>
      <c r="CK777" s="15" t="str">
        <f t="shared" si="3471"/>
        <v>#ERROR!</v>
      </c>
      <c r="CL777" s="15" t="str">
        <f t="shared" si="3471"/>
        <v>#ERROR!</v>
      </c>
      <c r="CM777" s="15" t="str">
        <f t="shared" si="3471"/>
        <v>#ERROR!</v>
      </c>
      <c r="CN777" s="40" t="str">
        <f t="shared" si="3471"/>
        <v>#ERROR!</v>
      </c>
      <c r="CO777" s="24" t="str">
        <f t="shared" si="3471"/>
        <v>#ERROR!</v>
      </c>
      <c r="CP777" s="40" t="str">
        <f t="shared" si="3471"/>
        <v>#ERROR!</v>
      </c>
      <c r="CQ777" s="15" t="str">
        <f t="shared" si="3471"/>
        <v>#ERROR!</v>
      </c>
      <c r="CR777" s="15" t="str">
        <f t="shared" si="3471"/>
        <v>#ERROR!</v>
      </c>
      <c r="CS777" s="15" t="str">
        <f t="shared" si="3471"/>
        <v>#ERROR!</v>
      </c>
      <c r="CT777" s="24" t="str">
        <f t="shared" si="3471"/>
        <v>#ERROR!</v>
      </c>
      <c r="CU777" s="15" t="str">
        <f t="shared" si="3471"/>
        <v>#ERROR!</v>
      </c>
      <c r="CV777" s="15" t="str">
        <f t="shared" si="3471"/>
        <v>#ERROR!</v>
      </c>
      <c r="CW777" s="15" t="str">
        <f t="shared" si="3471"/>
        <v>#ERROR!</v>
      </c>
      <c r="CX777" s="15" t="str">
        <f t="shared" si="3471"/>
        <v>#ERROR!</v>
      </c>
      <c r="CY777" s="24" t="str">
        <f t="shared" si="3471"/>
        <v>#ERROR!</v>
      </c>
      <c r="CZ777" s="15" t="str">
        <f t="shared" si="3471"/>
        <v>#ERROR!</v>
      </c>
      <c r="DA777" s="15" t="str">
        <f t="shared" si="3471"/>
        <v>#ERROR!</v>
      </c>
      <c r="DB777" s="15" t="str">
        <f t="shared" si="3471"/>
        <v>#ERROR!</v>
      </c>
      <c r="DC777" s="15" t="str">
        <f t="shared" si="3471"/>
        <v>#ERROR!</v>
      </c>
      <c r="DD777" s="24" t="str">
        <f t="shared" si="3471"/>
        <v>#ERROR!</v>
      </c>
      <c r="DE777" s="15" t="str">
        <f t="shared" si="3471"/>
        <v>#ERROR!</v>
      </c>
      <c r="DF777" s="15" t="str">
        <f t="shared" si="3471"/>
        <v>#ERROR!</v>
      </c>
      <c r="DG777" s="40" t="str">
        <f t="shared" si="3471"/>
        <v>#ERROR!</v>
      </c>
      <c r="DH777" s="15" t="str">
        <f t="shared" si="3471"/>
        <v>#ERROR!</v>
      </c>
      <c r="DI777" s="24" t="str">
        <f t="shared" si="3471"/>
        <v>#ERROR!</v>
      </c>
      <c r="DJ777" s="40" t="str">
        <f t="shared" si="3471"/>
        <v>#ERROR!</v>
      </c>
      <c r="DK777" s="40" t="str">
        <f t="shared" si="3471"/>
        <v>#ERROR!</v>
      </c>
      <c r="DL777" s="40" t="str">
        <f t="shared" si="3471"/>
        <v>#ERROR!</v>
      </c>
      <c r="DM777" s="15" t="str">
        <f t="shared" si="3471"/>
        <v>#ERROR!</v>
      </c>
      <c r="DN777" s="24" t="str">
        <f t="shared" si="3471"/>
        <v>#ERROR!</v>
      </c>
      <c r="DO777" s="15" t="str">
        <f t="shared" si="3471"/>
        <v>#ERROR!</v>
      </c>
      <c r="DP777" s="15" t="str">
        <f t="shared" si="3471"/>
        <v>#ERROR!</v>
      </c>
      <c r="DQ777" s="15" t="str">
        <f t="shared" si="3471"/>
        <v>#ERROR!</v>
      </c>
      <c r="DR777" s="15" t="str">
        <f t="shared" si="3471"/>
        <v>#ERROR!</v>
      </c>
      <c r="DS777" s="24" t="str">
        <f t="shared" si="3471"/>
        <v>#ERROR!</v>
      </c>
      <c r="DT777" s="15" t="str">
        <f t="shared" si="3471"/>
        <v>#ERROR!</v>
      </c>
      <c r="DU777" s="15" t="str">
        <f t="shared" si="3471"/>
        <v>#ERROR!</v>
      </c>
      <c r="DV777" s="15" t="str">
        <f t="shared" si="3471"/>
        <v>#ERROR!</v>
      </c>
      <c r="DW777" s="15" t="str">
        <f t="shared" si="3471"/>
        <v>#ERROR!</v>
      </c>
      <c r="DX777" s="24" t="str">
        <f t="shared" si="3471"/>
        <v>#ERROR!</v>
      </c>
      <c r="DY777" s="15" t="str">
        <f t="shared" si="3471"/>
        <v>#ERROR!</v>
      </c>
      <c r="DZ777" s="15" t="str">
        <f t="shared" si="3471"/>
        <v>#ERROR!</v>
      </c>
      <c r="EA777" s="15" t="str">
        <f t="shared" si="3471"/>
        <v>#ERROR!</v>
      </c>
      <c r="EB777" s="15" t="str">
        <f t="shared" si="3471"/>
        <v>#ERROR!</v>
      </c>
      <c r="EC777" s="24" t="str">
        <f t="shared" si="3471"/>
        <v>#ERROR!</v>
      </c>
      <c r="ED777" s="15" t="str">
        <f t="shared" si="3471"/>
        <v>#ERROR!</v>
      </c>
      <c r="EE777" s="15" t="str">
        <f t="shared" si="3471"/>
        <v>#ERROR!</v>
      </c>
      <c r="EF777" s="15" t="str">
        <f t="shared" si="3471"/>
        <v>#ERROR!</v>
      </c>
      <c r="EG777" s="15" t="str">
        <f t="shared" si="3471"/>
        <v>#ERROR!</v>
      </c>
      <c r="EH777" s="24" t="str">
        <f t="shared" si="3471"/>
        <v>#ERROR!</v>
      </c>
      <c r="EI777" s="82" t="str">
        <f t="shared" si="3471"/>
        <v>#ERROR!</v>
      </c>
      <c r="EJ777" s="15" t="str">
        <f t="shared" si="3471"/>
        <v>#ERROR!</v>
      </c>
      <c r="EK777" s="15" t="str">
        <f t="shared" si="3471"/>
        <v>#ERROR!</v>
      </c>
      <c r="EL777" s="15" t="str">
        <f t="shared" si="3471"/>
        <v>#ERROR!</v>
      </c>
      <c r="EM777" s="24" t="str">
        <f t="shared" si="3471"/>
        <v>#ERROR!</v>
      </c>
      <c r="EN777" s="15" t="str">
        <f t="shared" si="3471"/>
        <v>#ERROR!</v>
      </c>
      <c r="EO777" s="15" t="str">
        <f t="shared" si="3471"/>
        <v>#ERROR!</v>
      </c>
      <c r="EP777" s="15" t="str">
        <f t="shared" si="3471"/>
        <v>#ERROR!</v>
      </c>
      <c r="EQ777" s="15" t="str">
        <f t="shared" si="3471"/>
        <v>#ERROR!</v>
      </c>
      <c r="ER777" s="24" t="str">
        <f t="shared" si="3471"/>
        <v>#ERROR!</v>
      </c>
      <c r="ES777" s="15" t="str">
        <f t="shared" si="3471"/>
        <v>#ERROR!</v>
      </c>
      <c r="ET777" s="15" t="str">
        <f t="shared" si="3471"/>
        <v>#ERROR!</v>
      </c>
      <c r="EU777" s="15" t="str">
        <f t="shared" si="3471"/>
        <v>#ERROR!</v>
      </c>
      <c r="EV777" s="15" t="str">
        <f t="shared" si="3471"/>
        <v>#ERROR!</v>
      </c>
      <c r="EW777" s="24" t="str">
        <f t="shared" si="3471"/>
        <v>#ERROR!</v>
      </c>
      <c r="EX777" s="15" t="str">
        <f t="shared" si="3471"/>
        <v>#ERROR!</v>
      </c>
      <c r="EY777" s="15" t="str">
        <f t="shared" si="3471"/>
        <v>#ERROR!</v>
      </c>
      <c r="EZ777" s="15" t="str">
        <f t="shared" si="3471"/>
        <v>#ERROR!</v>
      </c>
      <c r="FA777" s="15" t="str">
        <f t="shared" si="3471"/>
        <v>#ERROR!</v>
      </c>
      <c r="FB777" s="24" t="str">
        <f t="shared" si="3471"/>
        <v>#ERROR!</v>
      </c>
      <c r="FC777" s="15" t="str">
        <f t="shared" si="3471"/>
        <v>#ERROR!</v>
      </c>
      <c r="FD777" s="15" t="str">
        <f t="shared" si="3471"/>
        <v>#ERROR!</v>
      </c>
      <c r="FE777" s="15" t="str">
        <f t="shared" si="3471"/>
        <v>#ERROR!</v>
      </c>
      <c r="FF777" s="15" t="str">
        <f t="shared" si="3471"/>
        <v>#ERROR!</v>
      </c>
      <c r="FG777" s="24" t="str">
        <f t="shared" si="3471"/>
        <v>#ERROR!</v>
      </c>
      <c r="FH777" s="104"/>
      <c r="FI777" s="15"/>
      <c r="FJ777" s="15"/>
      <c r="FK777" s="410"/>
      <c r="FL777" s="15"/>
    </row>
    <row r="778" ht="12.75" hidden="1" customHeight="1" outlineLevel="3">
      <c r="A778" s="45"/>
      <c r="B778" s="215" t="str">
        <f t="shared" si="3470"/>
        <v>Digital Health</v>
      </c>
      <c r="C778" s="45"/>
      <c r="D778" s="15"/>
      <c r="E778" s="15"/>
      <c r="F778" s="15"/>
      <c r="G778" s="15"/>
      <c r="H778" s="410"/>
      <c r="I778" s="15"/>
      <c r="J778" s="15"/>
      <c r="K778" s="15"/>
      <c r="L778" s="15"/>
      <c r="M778" s="410"/>
      <c r="N778" s="15"/>
      <c r="O778" s="15"/>
      <c r="P778" s="15"/>
      <c r="Q778" s="15"/>
      <c r="R778" s="410"/>
      <c r="S778" s="15"/>
      <c r="T778" s="15"/>
      <c r="U778" s="15"/>
      <c r="V778" s="15"/>
      <c r="W778" s="410"/>
      <c r="X778" s="15"/>
      <c r="Y778" s="15"/>
      <c r="Z778" s="15"/>
      <c r="AA778" s="15"/>
      <c r="AB778" s="410"/>
      <c r="AC778" s="15"/>
      <c r="AD778" s="15"/>
      <c r="AE778" s="15"/>
      <c r="AF778" s="15"/>
      <c r="AG778" s="410"/>
      <c r="AH778" s="15"/>
      <c r="AI778" s="15"/>
      <c r="AJ778" s="15"/>
      <c r="AK778" s="15"/>
      <c r="AL778" s="410"/>
      <c r="AM778" s="15"/>
      <c r="AN778" s="15"/>
      <c r="AO778" s="15"/>
      <c r="AP778" s="15"/>
      <c r="AQ778" s="410"/>
      <c r="AR778" s="15"/>
      <c r="AS778" s="15"/>
      <c r="AT778" s="15"/>
      <c r="AU778" s="15"/>
      <c r="AV778" s="410"/>
      <c r="AW778" s="15"/>
      <c r="AX778" s="15"/>
      <c r="AY778" s="15"/>
      <c r="AZ778" s="15"/>
      <c r="BA778" s="410">
        <f t="shared" ref="BA778:FG778" si="3472">BA760/BA$763</f>
        <v>0</v>
      </c>
      <c r="BB778" s="15">
        <f t="shared" si="3472"/>
        <v>0</v>
      </c>
      <c r="BC778" s="15">
        <f t="shared" si="3472"/>
        <v>0</v>
      </c>
      <c r="BD778" s="15">
        <f t="shared" si="3472"/>
        <v>0</v>
      </c>
      <c r="BE778" s="15">
        <f t="shared" si="3472"/>
        <v>0</v>
      </c>
      <c r="BF778" s="410">
        <f t="shared" si="3472"/>
        <v>0</v>
      </c>
      <c r="BG778" s="15">
        <f t="shared" si="3472"/>
        <v>0</v>
      </c>
      <c r="BH778" s="15">
        <f t="shared" si="3472"/>
        <v>0</v>
      </c>
      <c r="BI778" s="15">
        <f t="shared" si="3472"/>
        <v>0</v>
      </c>
      <c r="BJ778" s="15">
        <f t="shared" si="3472"/>
        <v>0</v>
      </c>
      <c r="BK778" s="410">
        <f t="shared" si="3472"/>
        <v>0</v>
      </c>
      <c r="BL778" s="15">
        <f t="shared" si="3472"/>
        <v>0</v>
      </c>
      <c r="BM778" s="15">
        <f t="shared" si="3472"/>
        <v>0</v>
      </c>
      <c r="BN778" s="15">
        <f t="shared" si="3472"/>
        <v>0</v>
      </c>
      <c r="BO778" s="15">
        <f t="shared" si="3472"/>
        <v>0</v>
      </c>
      <c r="BP778" s="410">
        <f t="shared" si="3472"/>
        <v>0</v>
      </c>
      <c r="BQ778" s="15">
        <f t="shared" si="3472"/>
        <v>0</v>
      </c>
      <c r="BR778" s="15">
        <f t="shared" si="3472"/>
        <v>0</v>
      </c>
      <c r="BS778" s="15">
        <f t="shared" si="3472"/>
        <v>0</v>
      </c>
      <c r="BT778" s="15" t="str">
        <f t="shared" si="3472"/>
        <v>#ERROR!</v>
      </c>
      <c r="BU778" s="410" t="str">
        <f t="shared" si="3472"/>
        <v>#ERROR!</v>
      </c>
      <c r="BV778" s="15" t="str">
        <f t="shared" si="3472"/>
        <v>#ERROR!</v>
      </c>
      <c r="BW778" s="15" t="str">
        <f t="shared" si="3472"/>
        <v>#ERROR!</v>
      </c>
      <c r="BX778" s="15" t="str">
        <f t="shared" si="3472"/>
        <v>#ERROR!</v>
      </c>
      <c r="BY778" s="15" t="str">
        <f t="shared" si="3472"/>
        <v>#ERROR!</v>
      </c>
      <c r="BZ778" s="24" t="str">
        <f t="shared" si="3472"/>
        <v>#ERROR!</v>
      </c>
      <c r="CA778" s="15" t="str">
        <f t="shared" si="3472"/>
        <v>#ERROR!</v>
      </c>
      <c r="CB778" s="15" t="str">
        <f t="shared" si="3472"/>
        <v>#ERROR!</v>
      </c>
      <c r="CC778" s="15" t="str">
        <f t="shared" si="3472"/>
        <v>#ERROR!</v>
      </c>
      <c r="CD778" s="15" t="str">
        <f t="shared" si="3472"/>
        <v>#ERROR!</v>
      </c>
      <c r="CE778" s="24" t="str">
        <f t="shared" si="3472"/>
        <v>#ERROR!</v>
      </c>
      <c r="CF778" s="15" t="str">
        <f t="shared" si="3472"/>
        <v>#ERROR!</v>
      </c>
      <c r="CG778" s="15" t="str">
        <f t="shared" si="3472"/>
        <v>#ERROR!</v>
      </c>
      <c r="CH778" s="15" t="str">
        <f t="shared" si="3472"/>
        <v>#ERROR!</v>
      </c>
      <c r="CI778" s="15" t="str">
        <f t="shared" si="3472"/>
        <v>#ERROR!</v>
      </c>
      <c r="CJ778" s="24" t="str">
        <f t="shared" si="3472"/>
        <v>#ERROR!</v>
      </c>
      <c r="CK778" s="15" t="str">
        <f t="shared" si="3472"/>
        <v>#ERROR!</v>
      </c>
      <c r="CL778" s="15" t="str">
        <f t="shared" si="3472"/>
        <v>#ERROR!</v>
      </c>
      <c r="CM778" s="15" t="str">
        <f t="shared" si="3472"/>
        <v>#ERROR!</v>
      </c>
      <c r="CN778" s="40" t="str">
        <f t="shared" si="3472"/>
        <v>#ERROR!</v>
      </c>
      <c r="CO778" s="24" t="str">
        <f t="shared" si="3472"/>
        <v>#ERROR!</v>
      </c>
      <c r="CP778" s="40" t="str">
        <f t="shared" si="3472"/>
        <v>#ERROR!</v>
      </c>
      <c r="CQ778" s="15" t="str">
        <f t="shared" si="3472"/>
        <v>#ERROR!</v>
      </c>
      <c r="CR778" s="15" t="str">
        <f t="shared" si="3472"/>
        <v>#ERROR!</v>
      </c>
      <c r="CS778" s="15" t="str">
        <f t="shared" si="3472"/>
        <v>#ERROR!</v>
      </c>
      <c r="CT778" s="24" t="str">
        <f t="shared" si="3472"/>
        <v>#ERROR!</v>
      </c>
      <c r="CU778" s="15" t="str">
        <f t="shared" si="3472"/>
        <v>#ERROR!</v>
      </c>
      <c r="CV778" s="15" t="str">
        <f t="shared" si="3472"/>
        <v>#ERROR!</v>
      </c>
      <c r="CW778" s="15" t="str">
        <f t="shared" si="3472"/>
        <v>#ERROR!</v>
      </c>
      <c r="CX778" s="15" t="str">
        <f t="shared" si="3472"/>
        <v>#ERROR!</v>
      </c>
      <c r="CY778" s="24" t="str">
        <f t="shared" si="3472"/>
        <v>#ERROR!</v>
      </c>
      <c r="CZ778" s="15" t="str">
        <f t="shared" si="3472"/>
        <v>#ERROR!</v>
      </c>
      <c r="DA778" s="15" t="str">
        <f t="shared" si="3472"/>
        <v>#ERROR!</v>
      </c>
      <c r="DB778" s="15" t="str">
        <f t="shared" si="3472"/>
        <v>#ERROR!</v>
      </c>
      <c r="DC778" s="15" t="str">
        <f t="shared" si="3472"/>
        <v>#ERROR!</v>
      </c>
      <c r="DD778" s="24" t="str">
        <f t="shared" si="3472"/>
        <v>#ERROR!</v>
      </c>
      <c r="DE778" s="15" t="str">
        <f t="shared" si="3472"/>
        <v>#ERROR!</v>
      </c>
      <c r="DF778" s="15" t="str">
        <f t="shared" si="3472"/>
        <v>#ERROR!</v>
      </c>
      <c r="DG778" s="40" t="str">
        <f t="shared" si="3472"/>
        <v>#ERROR!</v>
      </c>
      <c r="DH778" s="15" t="str">
        <f t="shared" si="3472"/>
        <v>#ERROR!</v>
      </c>
      <c r="DI778" s="24" t="str">
        <f t="shared" si="3472"/>
        <v>#ERROR!</v>
      </c>
      <c r="DJ778" s="40" t="str">
        <f t="shared" si="3472"/>
        <v>#ERROR!</v>
      </c>
      <c r="DK778" s="40" t="str">
        <f t="shared" si="3472"/>
        <v>#ERROR!</v>
      </c>
      <c r="DL778" s="40" t="str">
        <f t="shared" si="3472"/>
        <v>#ERROR!</v>
      </c>
      <c r="DM778" s="15" t="str">
        <f t="shared" si="3472"/>
        <v>#ERROR!</v>
      </c>
      <c r="DN778" s="24" t="str">
        <f t="shared" si="3472"/>
        <v>#ERROR!</v>
      </c>
      <c r="DO778" s="15" t="str">
        <f t="shared" si="3472"/>
        <v>#ERROR!</v>
      </c>
      <c r="DP778" s="15" t="str">
        <f t="shared" si="3472"/>
        <v>#ERROR!</v>
      </c>
      <c r="DQ778" s="15" t="str">
        <f t="shared" si="3472"/>
        <v>#ERROR!</v>
      </c>
      <c r="DR778" s="15" t="str">
        <f t="shared" si="3472"/>
        <v>#ERROR!</v>
      </c>
      <c r="DS778" s="24" t="str">
        <f t="shared" si="3472"/>
        <v>#ERROR!</v>
      </c>
      <c r="DT778" s="15" t="str">
        <f t="shared" si="3472"/>
        <v>#ERROR!</v>
      </c>
      <c r="DU778" s="15" t="str">
        <f t="shared" si="3472"/>
        <v>#ERROR!</v>
      </c>
      <c r="DV778" s="15" t="str">
        <f t="shared" si="3472"/>
        <v>#ERROR!</v>
      </c>
      <c r="DW778" s="15" t="str">
        <f t="shared" si="3472"/>
        <v>#ERROR!</v>
      </c>
      <c r="DX778" s="24" t="str">
        <f t="shared" si="3472"/>
        <v>#ERROR!</v>
      </c>
      <c r="DY778" s="15" t="str">
        <f t="shared" si="3472"/>
        <v>#ERROR!</v>
      </c>
      <c r="DZ778" s="15" t="str">
        <f t="shared" si="3472"/>
        <v>#ERROR!</v>
      </c>
      <c r="EA778" s="15" t="str">
        <f t="shared" si="3472"/>
        <v>#ERROR!</v>
      </c>
      <c r="EB778" s="15" t="str">
        <f t="shared" si="3472"/>
        <v>#ERROR!</v>
      </c>
      <c r="EC778" s="24" t="str">
        <f t="shared" si="3472"/>
        <v>#ERROR!</v>
      </c>
      <c r="ED778" s="15" t="str">
        <f t="shared" si="3472"/>
        <v>#ERROR!</v>
      </c>
      <c r="EE778" s="15" t="str">
        <f t="shared" si="3472"/>
        <v>#ERROR!</v>
      </c>
      <c r="EF778" s="15" t="str">
        <f t="shared" si="3472"/>
        <v>#ERROR!</v>
      </c>
      <c r="EG778" s="15" t="str">
        <f t="shared" si="3472"/>
        <v>#ERROR!</v>
      </c>
      <c r="EH778" s="24" t="str">
        <f t="shared" si="3472"/>
        <v>#ERROR!</v>
      </c>
      <c r="EI778" s="82" t="str">
        <f t="shared" si="3472"/>
        <v>#ERROR!</v>
      </c>
      <c r="EJ778" s="15" t="str">
        <f t="shared" si="3472"/>
        <v>#ERROR!</v>
      </c>
      <c r="EK778" s="15" t="str">
        <f t="shared" si="3472"/>
        <v>#ERROR!</v>
      </c>
      <c r="EL778" s="15" t="str">
        <f t="shared" si="3472"/>
        <v>#ERROR!</v>
      </c>
      <c r="EM778" s="24" t="str">
        <f t="shared" si="3472"/>
        <v>#ERROR!</v>
      </c>
      <c r="EN778" s="15" t="str">
        <f t="shared" si="3472"/>
        <v>#ERROR!</v>
      </c>
      <c r="EO778" s="15" t="str">
        <f t="shared" si="3472"/>
        <v>#ERROR!</v>
      </c>
      <c r="EP778" s="15" t="str">
        <f t="shared" si="3472"/>
        <v>#ERROR!</v>
      </c>
      <c r="EQ778" s="15" t="str">
        <f t="shared" si="3472"/>
        <v>#ERROR!</v>
      </c>
      <c r="ER778" s="24" t="str">
        <f t="shared" si="3472"/>
        <v>#ERROR!</v>
      </c>
      <c r="ES778" s="15" t="str">
        <f t="shared" si="3472"/>
        <v>#ERROR!</v>
      </c>
      <c r="ET778" s="15" t="str">
        <f t="shared" si="3472"/>
        <v>#ERROR!</v>
      </c>
      <c r="EU778" s="15" t="str">
        <f t="shared" si="3472"/>
        <v>#ERROR!</v>
      </c>
      <c r="EV778" s="15" t="str">
        <f t="shared" si="3472"/>
        <v>#ERROR!</v>
      </c>
      <c r="EW778" s="24" t="str">
        <f t="shared" si="3472"/>
        <v>#ERROR!</v>
      </c>
      <c r="EX778" s="15" t="str">
        <f t="shared" si="3472"/>
        <v>#ERROR!</v>
      </c>
      <c r="EY778" s="15" t="str">
        <f t="shared" si="3472"/>
        <v>#ERROR!</v>
      </c>
      <c r="EZ778" s="15" t="str">
        <f t="shared" si="3472"/>
        <v>#ERROR!</v>
      </c>
      <c r="FA778" s="15" t="str">
        <f t="shared" si="3472"/>
        <v>#ERROR!</v>
      </c>
      <c r="FB778" s="24" t="str">
        <f t="shared" si="3472"/>
        <v>#ERROR!</v>
      </c>
      <c r="FC778" s="15" t="str">
        <f t="shared" si="3472"/>
        <v>#ERROR!</v>
      </c>
      <c r="FD778" s="15" t="str">
        <f t="shared" si="3472"/>
        <v>#ERROR!</v>
      </c>
      <c r="FE778" s="15" t="str">
        <f t="shared" si="3472"/>
        <v>#ERROR!</v>
      </c>
      <c r="FF778" s="15" t="str">
        <f t="shared" si="3472"/>
        <v>#ERROR!</v>
      </c>
      <c r="FG778" s="24" t="str">
        <f t="shared" si="3472"/>
        <v>#ERROR!</v>
      </c>
      <c r="FH778" s="104"/>
      <c r="FI778" s="15"/>
      <c r="FJ778" s="15"/>
      <c r="FK778" s="410"/>
      <c r="FL778" s="15"/>
    </row>
    <row r="779" ht="12.75" hidden="1" customHeight="1" outlineLevel="3">
      <c r="A779" s="45"/>
      <c r="B779" s="215" t="str">
        <f t="shared" si="3470"/>
        <v>Channel Products</v>
      </c>
      <c r="C779" s="45"/>
      <c r="D779" s="15"/>
      <c r="E779" s="15"/>
      <c r="F779" s="15"/>
      <c r="G779" s="15"/>
      <c r="H779" s="410"/>
      <c r="I779" s="15"/>
      <c r="J779" s="15"/>
      <c r="K779" s="15"/>
      <c r="L779" s="15"/>
      <c r="M779" s="410"/>
      <c r="N779" s="15"/>
      <c r="O779" s="15"/>
      <c r="P779" s="15"/>
      <c r="Q779" s="15"/>
      <c r="R779" s="410"/>
      <c r="S779" s="15"/>
      <c r="T779" s="15"/>
      <c r="U779" s="15"/>
      <c r="V779" s="15"/>
      <c r="W779" s="410"/>
      <c r="X779" s="15"/>
      <c r="Y779" s="15"/>
      <c r="Z779" s="15"/>
      <c r="AA779" s="15"/>
      <c r="AB779" s="410"/>
      <c r="AC779" s="15"/>
      <c r="AD779" s="15"/>
      <c r="AE779" s="15"/>
      <c r="AF779" s="15"/>
      <c r="AG779" s="410"/>
      <c r="AH779" s="15"/>
      <c r="AI779" s="15"/>
      <c r="AJ779" s="15"/>
      <c r="AK779" s="15"/>
      <c r="AL779" s="410"/>
      <c r="AM779" s="15"/>
      <c r="AN779" s="15"/>
      <c r="AO779" s="15"/>
      <c r="AP779" s="15"/>
      <c r="AQ779" s="410"/>
      <c r="AR779" s="15"/>
      <c r="AS779" s="15"/>
      <c r="AT779" s="15"/>
      <c r="AU779" s="15"/>
      <c r="AV779" s="410"/>
      <c r="AW779" s="15"/>
      <c r="AX779" s="15"/>
      <c r="AY779" s="15"/>
      <c r="AZ779" s="15"/>
      <c r="BA779" s="410">
        <f t="shared" ref="BA779:FG779" si="3473">BA761/BA$763</f>
        <v>0</v>
      </c>
      <c r="BB779" s="15">
        <f t="shared" si="3473"/>
        <v>0</v>
      </c>
      <c r="BC779" s="15">
        <f t="shared" si="3473"/>
        <v>0</v>
      </c>
      <c r="BD779" s="15">
        <f t="shared" si="3473"/>
        <v>0</v>
      </c>
      <c r="BE779" s="15">
        <f t="shared" si="3473"/>
        <v>0</v>
      </c>
      <c r="BF779" s="410">
        <f t="shared" si="3473"/>
        <v>0</v>
      </c>
      <c r="BG779" s="15">
        <f t="shared" si="3473"/>
        <v>0</v>
      </c>
      <c r="BH779" s="15">
        <f t="shared" si="3473"/>
        <v>0</v>
      </c>
      <c r="BI779" s="15">
        <f t="shared" si="3473"/>
        <v>0</v>
      </c>
      <c r="BJ779" s="15">
        <f t="shared" si="3473"/>
        <v>0</v>
      </c>
      <c r="BK779" s="410">
        <f t="shared" si="3473"/>
        <v>0</v>
      </c>
      <c r="BL779" s="15">
        <f t="shared" si="3473"/>
        <v>0</v>
      </c>
      <c r="BM779" s="15">
        <f t="shared" si="3473"/>
        <v>0</v>
      </c>
      <c r="BN779" s="15">
        <f t="shared" si="3473"/>
        <v>0</v>
      </c>
      <c r="BO779" s="15">
        <f t="shared" si="3473"/>
        <v>0</v>
      </c>
      <c r="BP779" s="410">
        <f t="shared" si="3473"/>
        <v>0</v>
      </c>
      <c r="BQ779" s="15">
        <f t="shared" si="3473"/>
        <v>0</v>
      </c>
      <c r="BR779" s="15">
        <f t="shared" si="3473"/>
        <v>0</v>
      </c>
      <c r="BS779" s="15">
        <f t="shared" si="3473"/>
        <v>0</v>
      </c>
      <c r="BT779" s="15" t="str">
        <f t="shared" si="3473"/>
        <v>#ERROR!</v>
      </c>
      <c r="BU779" s="410" t="str">
        <f t="shared" si="3473"/>
        <v>#ERROR!</v>
      </c>
      <c r="BV779" s="15" t="str">
        <f t="shared" si="3473"/>
        <v>#ERROR!</v>
      </c>
      <c r="BW779" s="15" t="str">
        <f t="shared" si="3473"/>
        <v>#ERROR!</v>
      </c>
      <c r="BX779" s="15" t="str">
        <f t="shared" si="3473"/>
        <v>#ERROR!</v>
      </c>
      <c r="BY779" s="15" t="str">
        <f t="shared" si="3473"/>
        <v>#ERROR!</v>
      </c>
      <c r="BZ779" s="24" t="str">
        <f t="shared" si="3473"/>
        <v>#ERROR!</v>
      </c>
      <c r="CA779" s="15" t="str">
        <f t="shared" si="3473"/>
        <v>#ERROR!</v>
      </c>
      <c r="CB779" s="15" t="str">
        <f t="shared" si="3473"/>
        <v>#ERROR!</v>
      </c>
      <c r="CC779" s="15" t="str">
        <f t="shared" si="3473"/>
        <v>#ERROR!</v>
      </c>
      <c r="CD779" s="15" t="str">
        <f t="shared" si="3473"/>
        <v>#ERROR!</v>
      </c>
      <c r="CE779" s="24" t="str">
        <f t="shared" si="3473"/>
        <v>#ERROR!</v>
      </c>
      <c r="CF779" s="15" t="str">
        <f t="shared" si="3473"/>
        <v>#ERROR!</v>
      </c>
      <c r="CG779" s="15" t="str">
        <f t="shared" si="3473"/>
        <v>#ERROR!</v>
      </c>
      <c r="CH779" s="15" t="str">
        <f t="shared" si="3473"/>
        <v>#ERROR!</v>
      </c>
      <c r="CI779" s="15" t="str">
        <f t="shared" si="3473"/>
        <v>#ERROR!</v>
      </c>
      <c r="CJ779" s="24" t="str">
        <f t="shared" si="3473"/>
        <v>#ERROR!</v>
      </c>
      <c r="CK779" s="15" t="str">
        <f t="shared" si="3473"/>
        <v>#ERROR!</v>
      </c>
      <c r="CL779" s="15" t="str">
        <f t="shared" si="3473"/>
        <v>#ERROR!</v>
      </c>
      <c r="CM779" s="15" t="str">
        <f t="shared" si="3473"/>
        <v>#ERROR!</v>
      </c>
      <c r="CN779" s="40" t="str">
        <f t="shared" si="3473"/>
        <v>#ERROR!</v>
      </c>
      <c r="CO779" s="24" t="str">
        <f t="shared" si="3473"/>
        <v>#ERROR!</v>
      </c>
      <c r="CP779" s="40" t="str">
        <f t="shared" si="3473"/>
        <v>#ERROR!</v>
      </c>
      <c r="CQ779" s="15" t="str">
        <f t="shared" si="3473"/>
        <v>#ERROR!</v>
      </c>
      <c r="CR779" s="15" t="str">
        <f t="shared" si="3473"/>
        <v>#ERROR!</v>
      </c>
      <c r="CS779" s="15" t="str">
        <f t="shared" si="3473"/>
        <v>#ERROR!</v>
      </c>
      <c r="CT779" s="24" t="str">
        <f t="shared" si="3473"/>
        <v>#ERROR!</v>
      </c>
      <c r="CU779" s="15" t="str">
        <f t="shared" si="3473"/>
        <v>#ERROR!</v>
      </c>
      <c r="CV779" s="15" t="str">
        <f t="shared" si="3473"/>
        <v>#ERROR!</v>
      </c>
      <c r="CW779" s="15" t="str">
        <f t="shared" si="3473"/>
        <v>#ERROR!</v>
      </c>
      <c r="CX779" s="15" t="str">
        <f t="shared" si="3473"/>
        <v>#ERROR!</v>
      </c>
      <c r="CY779" s="24" t="str">
        <f t="shared" si="3473"/>
        <v>#ERROR!</v>
      </c>
      <c r="CZ779" s="15" t="str">
        <f t="shared" si="3473"/>
        <v>#ERROR!</v>
      </c>
      <c r="DA779" s="15" t="str">
        <f t="shared" si="3473"/>
        <v>#ERROR!</v>
      </c>
      <c r="DB779" s="15" t="str">
        <f t="shared" si="3473"/>
        <v>#ERROR!</v>
      </c>
      <c r="DC779" s="15" t="str">
        <f t="shared" si="3473"/>
        <v>#ERROR!</v>
      </c>
      <c r="DD779" s="24" t="str">
        <f t="shared" si="3473"/>
        <v>#ERROR!</v>
      </c>
      <c r="DE779" s="15" t="str">
        <f t="shared" si="3473"/>
        <v>#ERROR!</v>
      </c>
      <c r="DF779" s="15" t="str">
        <f t="shared" si="3473"/>
        <v>#ERROR!</v>
      </c>
      <c r="DG779" s="40" t="str">
        <f t="shared" si="3473"/>
        <v>#ERROR!</v>
      </c>
      <c r="DH779" s="15" t="str">
        <f t="shared" si="3473"/>
        <v>#ERROR!</v>
      </c>
      <c r="DI779" s="24" t="str">
        <f t="shared" si="3473"/>
        <v>#ERROR!</v>
      </c>
      <c r="DJ779" s="40" t="str">
        <f t="shared" si="3473"/>
        <v>#ERROR!</v>
      </c>
      <c r="DK779" s="40" t="str">
        <f t="shared" si="3473"/>
        <v>#ERROR!</v>
      </c>
      <c r="DL779" s="40" t="str">
        <f t="shared" si="3473"/>
        <v>#ERROR!</v>
      </c>
      <c r="DM779" s="15" t="str">
        <f t="shared" si="3473"/>
        <v>#ERROR!</v>
      </c>
      <c r="DN779" s="24" t="str">
        <f t="shared" si="3473"/>
        <v>#ERROR!</v>
      </c>
      <c r="DO779" s="15" t="str">
        <f t="shared" si="3473"/>
        <v>#ERROR!</v>
      </c>
      <c r="DP779" s="15" t="str">
        <f t="shared" si="3473"/>
        <v>#ERROR!</v>
      </c>
      <c r="DQ779" s="15" t="str">
        <f t="shared" si="3473"/>
        <v>#ERROR!</v>
      </c>
      <c r="DR779" s="15" t="str">
        <f t="shared" si="3473"/>
        <v>#ERROR!</v>
      </c>
      <c r="DS779" s="24" t="str">
        <f t="shared" si="3473"/>
        <v>#ERROR!</v>
      </c>
      <c r="DT779" s="15" t="str">
        <f t="shared" si="3473"/>
        <v>#ERROR!</v>
      </c>
      <c r="DU779" s="15" t="str">
        <f t="shared" si="3473"/>
        <v>#ERROR!</v>
      </c>
      <c r="DV779" s="15" t="str">
        <f t="shared" si="3473"/>
        <v>#ERROR!</v>
      </c>
      <c r="DW779" s="15" t="str">
        <f t="shared" si="3473"/>
        <v>#ERROR!</v>
      </c>
      <c r="DX779" s="24" t="str">
        <f t="shared" si="3473"/>
        <v>#ERROR!</v>
      </c>
      <c r="DY779" s="15" t="str">
        <f t="shared" si="3473"/>
        <v>#ERROR!</v>
      </c>
      <c r="DZ779" s="15" t="str">
        <f t="shared" si="3473"/>
        <v>#ERROR!</v>
      </c>
      <c r="EA779" s="15" t="str">
        <f t="shared" si="3473"/>
        <v>#ERROR!</v>
      </c>
      <c r="EB779" s="15" t="str">
        <f t="shared" si="3473"/>
        <v>#ERROR!</v>
      </c>
      <c r="EC779" s="24" t="str">
        <f t="shared" si="3473"/>
        <v>#ERROR!</v>
      </c>
      <c r="ED779" s="15" t="str">
        <f t="shared" si="3473"/>
        <v>#ERROR!</v>
      </c>
      <c r="EE779" s="15" t="str">
        <f t="shared" si="3473"/>
        <v>#ERROR!</v>
      </c>
      <c r="EF779" s="15" t="str">
        <f t="shared" si="3473"/>
        <v>#ERROR!</v>
      </c>
      <c r="EG779" s="15" t="str">
        <f t="shared" si="3473"/>
        <v>#ERROR!</v>
      </c>
      <c r="EH779" s="24" t="str">
        <f t="shared" si="3473"/>
        <v>#ERROR!</v>
      </c>
      <c r="EI779" s="82" t="str">
        <f t="shared" si="3473"/>
        <v>#ERROR!</v>
      </c>
      <c r="EJ779" s="15" t="str">
        <f t="shared" si="3473"/>
        <v>#ERROR!</v>
      </c>
      <c r="EK779" s="15" t="str">
        <f t="shared" si="3473"/>
        <v>#ERROR!</v>
      </c>
      <c r="EL779" s="15" t="str">
        <f t="shared" si="3473"/>
        <v>#ERROR!</v>
      </c>
      <c r="EM779" s="24" t="str">
        <f t="shared" si="3473"/>
        <v>#ERROR!</v>
      </c>
      <c r="EN779" s="15" t="str">
        <f t="shared" si="3473"/>
        <v>#ERROR!</v>
      </c>
      <c r="EO779" s="15" t="str">
        <f t="shared" si="3473"/>
        <v>#ERROR!</v>
      </c>
      <c r="EP779" s="15" t="str">
        <f t="shared" si="3473"/>
        <v>#ERROR!</v>
      </c>
      <c r="EQ779" s="15" t="str">
        <f t="shared" si="3473"/>
        <v>#ERROR!</v>
      </c>
      <c r="ER779" s="24" t="str">
        <f t="shared" si="3473"/>
        <v>#ERROR!</v>
      </c>
      <c r="ES779" s="15" t="str">
        <f t="shared" si="3473"/>
        <v>#ERROR!</v>
      </c>
      <c r="ET779" s="15" t="str">
        <f t="shared" si="3473"/>
        <v>#ERROR!</v>
      </c>
      <c r="EU779" s="15" t="str">
        <f t="shared" si="3473"/>
        <v>#ERROR!</v>
      </c>
      <c r="EV779" s="15" t="str">
        <f t="shared" si="3473"/>
        <v>#ERROR!</v>
      </c>
      <c r="EW779" s="24" t="str">
        <f t="shared" si="3473"/>
        <v>#ERROR!</v>
      </c>
      <c r="EX779" s="15" t="str">
        <f t="shared" si="3473"/>
        <v>#ERROR!</v>
      </c>
      <c r="EY779" s="15" t="str">
        <f t="shared" si="3473"/>
        <v>#ERROR!</v>
      </c>
      <c r="EZ779" s="15" t="str">
        <f t="shared" si="3473"/>
        <v>#ERROR!</v>
      </c>
      <c r="FA779" s="15" t="str">
        <f t="shared" si="3473"/>
        <v>#ERROR!</v>
      </c>
      <c r="FB779" s="24" t="str">
        <f t="shared" si="3473"/>
        <v>#ERROR!</v>
      </c>
      <c r="FC779" s="15" t="str">
        <f t="shared" si="3473"/>
        <v>#ERROR!</v>
      </c>
      <c r="FD779" s="15" t="str">
        <f t="shared" si="3473"/>
        <v>#ERROR!</v>
      </c>
      <c r="FE779" s="15" t="str">
        <f t="shared" si="3473"/>
        <v>#ERROR!</v>
      </c>
      <c r="FF779" s="15" t="str">
        <f t="shared" si="3473"/>
        <v>#ERROR!</v>
      </c>
      <c r="FG779" s="24" t="str">
        <f t="shared" si="3473"/>
        <v>#ERROR!</v>
      </c>
      <c r="FH779" s="104"/>
      <c r="FI779" s="15"/>
      <c r="FJ779" s="15"/>
      <c r="FK779" s="410"/>
      <c r="FL779" s="15"/>
    </row>
    <row r="780" ht="12.75" hidden="1" customHeight="1" outlineLevel="2">
      <c r="A780" s="45"/>
      <c r="B780" s="215" t="str">
        <f t="shared" si="3470"/>
        <v>All Other</v>
      </c>
      <c r="C780" s="45"/>
      <c r="D780" s="410"/>
      <c r="E780" s="410"/>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410"/>
      <c r="AK780" s="410"/>
      <c r="AL780" s="410"/>
      <c r="AM780" s="410"/>
      <c r="AN780" s="410"/>
      <c r="AO780" s="410"/>
      <c r="AP780" s="410"/>
      <c r="AQ780" s="410">
        <f t="shared" ref="AQ780:FG780" si="3474">AQ762/AQ$763</f>
        <v>0.01287283103</v>
      </c>
      <c r="AR780" s="410">
        <f t="shared" si="3474"/>
        <v>0.004325794092</v>
      </c>
      <c r="AS780" s="410">
        <f t="shared" si="3474"/>
        <v>0.004721083364</v>
      </c>
      <c r="AT780" s="410">
        <f t="shared" si="3474"/>
        <v>0.005194191949</v>
      </c>
      <c r="AU780" s="410">
        <f t="shared" si="3474"/>
        <v>0.004896853511</v>
      </c>
      <c r="AV780" s="410">
        <f t="shared" si="3474"/>
        <v>0.004794060043</v>
      </c>
      <c r="AW780" s="410">
        <f t="shared" si="3474"/>
        <v>0.006571973712</v>
      </c>
      <c r="AX780" s="410">
        <f t="shared" si="3474"/>
        <v>0.008666450005</v>
      </c>
      <c r="AY780" s="410">
        <f t="shared" si="3474"/>
        <v>0.004718875502</v>
      </c>
      <c r="AZ780" s="410">
        <f t="shared" si="3474"/>
        <v>0.00892069405</v>
      </c>
      <c r="BA780" s="410">
        <f t="shared" si="3474"/>
        <v>0.007211662288</v>
      </c>
      <c r="BB780" s="410">
        <f t="shared" si="3474"/>
        <v>0.03020134228</v>
      </c>
      <c r="BC780" s="410">
        <f t="shared" si="3474"/>
        <v>0.02035210388</v>
      </c>
      <c r="BD780" s="410">
        <f t="shared" si="3474"/>
        <v>0.02723423733</v>
      </c>
      <c r="BE780" s="410">
        <f t="shared" si="3474"/>
        <v>0.03744584279</v>
      </c>
      <c r="BF780" s="410">
        <f t="shared" si="3474"/>
        <v>0.0292486988</v>
      </c>
      <c r="BG780" s="410">
        <f t="shared" si="3474"/>
        <v>0.03637596023</v>
      </c>
      <c r="BH780" s="410">
        <f t="shared" si="3474"/>
        <v>0.0284562212</v>
      </c>
      <c r="BI780" s="410">
        <f t="shared" si="3474"/>
        <v>0.03587710605</v>
      </c>
      <c r="BJ780" s="410">
        <f t="shared" si="3474"/>
        <v>0.02613890963</v>
      </c>
      <c r="BK780" s="410">
        <f t="shared" si="3474"/>
        <v>0.03159075494</v>
      </c>
      <c r="BL780" s="410">
        <f t="shared" si="3474"/>
        <v>0.05820324615</v>
      </c>
      <c r="BM780" s="410">
        <f t="shared" si="3474"/>
        <v>0.03167898627</v>
      </c>
      <c r="BN780" s="410">
        <f t="shared" si="3474"/>
        <v>0.02133698737</v>
      </c>
      <c r="BO780" s="410">
        <f t="shared" si="3474"/>
        <v>0.02735229759</v>
      </c>
      <c r="BP780" s="410">
        <f t="shared" si="3474"/>
        <v>0.03474698026</v>
      </c>
      <c r="BQ780" s="410">
        <f t="shared" si="3474"/>
        <v>0.0310706788</v>
      </c>
      <c r="BR780" s="410">
        <f t="shared" si="3474"/>
        <v>0.02978564307</v>
      </c>
      <c r="BS780" s="410">
        <f t="shared" si="3474"/>
        <v>0.03674512728</v>
      </c>
      <c r="BT780" s="410" t="str">
        <f t="shared" si="3474"/>
        <v>#ERROR!</v>
      </c>
      <c r="BU780" s="410" t="str">
        <f t="shared" si="3474"/>
        <v>#ERROR!</v>
      </c>
      <c r="BV780" s="410" t="str">
        <f t="shared" si="3474"/>
        <v>#ERROR!</v>
      </c>
      <c r="BW780" s="410" t="str">
        <f t="shared" si="3474"/>
        <v>#ERROR!</v>
      </c>
      <c r="BX780" s="410" t="str">
        <f t="shared" si="3474"/>
        <v>#ERROR!</v>
      </c>
      <c r="BY780" s="410" t="str">
        <f t="shared" si="3474"/>
        <v>#ERROR!</v>
      </c>
      <c r="BZ780" s="24" t="str">
        <f t="shared" si="3474"/>
        <v>#ERROR!</v>
      </c>
      <c r="CA780" s="410" t="str">
        <f t="shared" si="3474"/>
        <v>#ERROR!</v>
      </c>
      <c r="CB780" s="410" t="str">
        <f t="shared" si="3474"/>
        <v>#ERROR!</v>
      </c>
      <c r="CC780" s="410" t="str">
        <f t="shared" si="3474"/>
        <v>#ERROR!</v>
      </c>
      <c r="CD780" s="410" t="str">
        <f t="shared" si="3474"/>
        <v>#ERROR!</v>
      </c>
      <c r="CE780" s="24" t="str">
        <f t="shared" si="3474"/>
        <v>#ERROR!</v>
      </c>
      <c r="CF780" s="410" t="str">
        <f t="shared" si="3474"/>
        <v>#ERROR!</v>
      </c>
      <c r="CG780" s="410" t="str">
        <f t="shared" si="3474"/>
        <v>#ERROR!</v>
      </c>
      <c r="CH780" s="410" t="str">
        <f t="shared" si="3474"/>
        <v>#ERROR!</v>
      </c>
      <c r="CI780" s="410" t="str">
        <f t="shared" si="3474"/>
        <v>#ERROR!</v>
      </c>
      <c r="CJ780" s="24" t="str">
        <f t="shared" si="3474"/>
        <v>#ERROR!</v>
      </c>
      <c r="CK780" s="410" t="str">
        <f t="shared" si="3474"/>
        <v>#ERROR!</v>
      </c>
      <c r="CL780" s="410" t="str">
        <f t="shared" si="3474"/>
        <v>#ERROR!</v>
      </c>
      <c r="CM780" s="410" t="str">
        <f t="shared" si="3474"/>
        <v>#ERROR!</v>
      </c>
      <c r="CN780" s="104" t="str">
        <f t="shared" si="3474"/>
        <v>#ERROR!</v>
      </c>
      <c r="CO780" s="24" t="str">
        <f t="shared" si="3474"/>
        <v>#ERROR!</v>
      </c>
      <c r="CP780" s="104" t="str">
        <f t="shared" si="3474"/>
        <v>#ERROR!</v>
      </c>
      <c r="CQ780" s="410" t="str">
        <f t="shared" si="3474"/>
        <v>#ERROR!</v>
      </c>
      <c r="CR780" s="410" t="str">
        <f t="shared" si="3474"/>
        <v>#ERROR!</v>
      </c>
      <c r="CS780" s="410" t="str">
        <f t="shared" si="3474"/>
        <v>#ERROR!</v>
      </c>
      <c r="CT780" s="24" t="str">
        <f t="shared" si="3474"/>
        <v>#ERROR!</v>
      </c>
      <c r="CU780" s="410" t="str">
        <f t="shared" si="3474"/>
        <v>#ERROR!</v>
      </c>
      <c r="CV780" s="410" t="str">
        <f t="shared" si="3474"/>
        <v>#ERROR!</v>
      </c>
      <c r="CW780" s="410" t="str">
        <f t="shared" si="3474"/>
        <v>#ERROR!</v>
      </c>
      <c r="CX780" s="410" t="str">
        <f t="shared" si="3474"/>
        <v>#ERROR!</v>
      </c>
      <c r="CY780" s="24" t="str">
        <f t="shared" si="3474"/>
        <v>#ERROR!</v>
      </c>
      <c r="CZ780" s="410" t="str">
        <f t="shared" si="3474"/>
        <v>#ERROR!</v>
      </c>
      <c r="DA780" s="410" t="str">
        <f t="shared" si="3474"/>
        <v>#ERROR!</v>
      </c>
      <c r="DB780" s="410" t="str">
        <f t="shared" si="3474"/>
        <v>#ERROR!</v>
      </c>
      <c r="DC780" s="410" t="str">
        <f t="shared" si="3474"/>
        <v>#ERROR!</v>
      </c>
      <c r="DD780" s="24" t="str">
        <f t="shared" si="3474"/>
        <v>#ERROR!</v>
      </c>
      <c r="DE780" s="410" t="str">
        <f t="shared" si="3474"/>
        <v>#ERROR!</v>
      </c>
      <c r="DF780" s="410" t="str">
        <f t="shared" si="3474"/>
        <v>#ERROR!</v>
      </c>
      <c r="DG780" s="104" t="str">
        <f t="shared" si="3474"/>
        <v>#ERROR!</v>
      </c>
      <c r="DH780" s="410" t="str">
        <f t="shared" si="3474"/>
        <v>#ERROR!</v>
      </c>
      <c r="DI780" s="24" t="str">
        <f t="shared" si="3474"/>
        <v>#ERROR!</v>
      </c>
      <c r="DJ780" s="104" t="str">
        <f t="shared" si="3474"/>
        <v>#ERROR!</v>
      </c>
      <c r="DK780" s="104" t="str">
        <f t="shared" si="3474"/>
        <v>#ERROR!</v>
      </c>
      <c r="DL780" s="104" t="str">
        <f t="shared" si="3474"/>
        <v>#ERROR!</v>
      </c>
      <c r="DM780" s="410" t="str">
        <f t="shared" si="3474"/>
        <v>#ERROR!</v>
      </c>
      <c r="DN780" s="24" t="str">
        <f t="shared" si="3474"/>
        <v>#ERROR!</v>
      </c>
      <c r="DO780" s="410" t="str">
        <f t="shared" si="3474"/>
        <v>#ERROR!</v>
      </c>
      <c r="DP780" s="410" t="str">
        <f t="shared" si="3474"/>
        <v>#ERROR!</v>
      </c>
      <c r="DQ780" s="410" t="str">
        <f t="shared" si="3474"/>
        <v>#ERROR!</v>
      </c>
      <c r="DR780" s="410" t="str">
        <f t="shared" si="3474"/>
        <v>#ERROR!</v>
      </c>
      <c r="DS780" s="24" t="str">
        <f t="shared" si="3474"/>
        <v>#ERROR!</v>
      </c>
      <c r="DT780" s="410" t="str">
        <f t="shared" si="3474"/>
        <v>#ERROR!</v>
      </c>
      <c r="DU780" s="410" t="str">
        <f t="shared" si="3474"/>
        <v>#ERROR!</v>
      </c>
      <c r="DV780" s="410" t="str">
        <f t="shared" si="3474"/>
        <v>#ERROR!</v>
      </c>
      <c r="DW780" s="410" t="str">
        <f t="shared" si="3474"/>
        <v>#ERROR!</v>
      </c>
      <c r="DX780" s="24" t="str">
        <f t="shared" si="3474"/>
        <v>#ERROR!</v>
      </c>
      <c r="DY780" s="410" t="str">
        <f t="shared" si="3474"/>
        <v>#ERROR!</v>
      </c>
      <c r="DZ780" s="410" t="str">
        <f t="shared" si="3474"/>
        <v>#ERROR!</v>
      </c>
      <c r="EA780" s="410" t="str">
        <f t="shared" si="3474"/>
        <v>#ERROR!</v>
      </c>
      <c r="EB780" s="410" t="str">
        <f t="shared" si="3474"/>
        <v>#ERROR!</v>
      </c>
      <c r="EC780" s="24" t="str">
        <f t="shared" si="3474"/>
        <v>#ERROR!</v>
      </c>
      <c r="ED780" s="410" t="str">
        <f t="shared" si="3474"/>
        <v>#ERROR!</v>
      </c>
      <c r="EE780" s="410" t="str">
        <f t="shared" si="3474"/>
        <v>#ERROR!</v>
      </c>
      <c r="EF780" s="410" t="str">
        <f t="shared" si="3474"/>
        <v>#ERROR!</v>
      </c>
      <c r="EG780" s="410" t="str">
        <f t="shared" si="3474"/>
        <v>#ERROR!</v>
      </c>
      <c r="EH780" s="24" t="str">
        <f t="shared" si="3474"/>
        <v>#ERROR!</v>
      </c>
      <c r="EI780" s="317" t="str">
        <f t="shared" si="3474"/>
        <v>#ERROR!</v>
      </c>
      <c r="EJ780" s="410" t="str">
        <f t="shared" si="3474"/>
        <v>#ERROR!</v>
      </c>
      <c r="EK780" s="410" t="str">
        <f t="shared" si="3474"/>
        <v>#ERROR!</v>
      </c>
      <c r="EL780" s="410" t="str">
        <f t="shared" si="3474"/>
        <v>#ERROR!</v>
      </c>
      <c r="EM780" s="24" t="str">
        <f t="shared" si="3474"/>
        <v>#ERROR!</v>
      </c>
      <c r="EN780" s="410" t="str">
        <f t="shared" si="3474"/>
        <v>#ERROR!</v>
      </c>
      <c r="EO780" s="410" t="str">
        <f t="shared" si="3474"/>
        <v>#ERROR!</v>
      </c>
      <c r="EP780" s="410" t="str">
        <f t="shared" si="3474"/>
        <v>#ERROR!</v>
      </c>
      <c r="EQ780" s="410" t="str">
        <f t="shared" si="3474"/>
        <v>#ERROR!</v>
      </c>
      <c r="ER780" s="24" t="str">
        <f t="shared" si="3474"/>
        <v>#ERROR!</v>
      </c>
      <c r="ES780" s="410" t="str">
        <f t="shared" si="3474"/>
        <v>#ERROR!</v>
      </c>
      <c r="ET780" s="410" t="str">
        <f t="shared" si="3474"/>
        <v>#ERROR!</v>
      </c>
      <c r="EU780" s="410" t="str">
        <f t="shared" si="3474"/>
        <v>#ERROR!</v>
      </c>
      <c r="EV780" s="410" t="str">
        <f t="shared" si="3474"/>
        <v>#ERROR!</v>
      </c>
      <c r="EW780" s="24" t="str">
        <f t="shared" si="3474"/>
        <v>#ERROR!</v>
      </c>
      <c r="EX780" s="410" t="str">
        <f t="shared" si="3474"/>
        <v>#ERROR!</v>
      </c>
      <c r="EY780" s="410" t="str">
        <f t="shared" si="3474"/>
        <v>#ERROR!</v>
      </c>
      <c r="EZ780" s="410" t="str">
        <f t="shared" si="3474"/>
        <v>#ERROR!</v>
      </c>
      <c r="FA780" s="410" t="str">
        <f t="shared" si="3474"/>
        <v>#ERROR!</v>
      </c>
      <c r="FB780" s="24" t="str">
        <f t="shared" si="3474"/>
        <v>#ERROR!</v>
      </c>
      <c r="FC780" s="410" t="str">
        <f t="shared" si="3474"/>
        <v>#ERROR!</v>
      </c>
      <c r="FD780" s="410" t="str">
        <f t="shared" si="3474"/>
        <v>#ERROR!</v>
      </c>
      <c r="FE780" s="410" t="str">
        <f t="shared" si="3474"/>
        <v>#ERROR!</v>
      </c>
      <c r="FF780" s="410" t="str">
        <f t="shared" si="3474"/>
        <v>#ERROR!</v>
      </c>
      <c r="FG780" s="24" t="str">
        <f t="shared" si="3474"/>
        <v>#ERROR!</v>
      </c>
      <c r="FH780" s="104"/>
      <c r="FI780" s="410"/>
      <c r="FJ780" s="410"/>
      <c r="FK780" s="410"/>
      <c r="FL780" s="410"/>
    </row>
    <row r="781" ht="13.5" hidden="1" customHeight="1" outlineLevel="2">
      <c r="A781" s="4"/>
      <c r="B781" s="591" t="s">
        <v>293</v>
      </c>
      <c r="C781" s="529"/>
      <c r="D781" s="591"/>
      <c r="E781" s="591"/>
      <c r="F781" s="591"/>
      <c r="G781" s="591"/>
      <c r="H781" s="591"/>
      <c r="I781" s="591"/>
      <c r="J781" s="591"/>
      <c r="K781" s="591"/>
      <c r="L781" s="591"/>
      <c r="M781" s="591"/>
      <c r="N781" s="591"/>
      <c r="O781" s="591"/>
      <c r="P781" s="591"/>
      <c r="Q781" s="591"/>
      <c r="R781" s="591"/>
      <c r="S781" s="591"/>
      <c r="T781" s="591"/>
      <c r="U781" s="591"/>
      <c r="V781" s="591"/>
      <c r="W781" s="591"/>
      <c r="X781" s="591"/>
      <c r="Y781" s="591"/>
      <c r="Z781" s="591"/>
      <c r="AA781" s="591"/>
      <c r="AB781" s="591"/>
      <c r="AC781" s="591"/>
      <c r="AD781" s="591"/>
      <c r="AE781" s="591"/>
      <c r="AF781" s="591"/>
      <c r="AG781" s="591"/>
      <c r="AH781" s="591"/>
      <c r="AI781" s="591"/>
      <c r="AJ781" s="591"/>
      <c r="AK781" s="591"/>
      <c r="AL781" s="591"/>
      <c r="AM781" s="591"/>
      <c r="AN781" s="591"/>
      <c r="AO781" s="591"/>
      <c r="AP781" s="591"/>
      <c r="AQ781" s="591">
        <f t="shared" ref="AQ781:FG781" si="3475">AQ763/AQ$763</f>
        <v>1</v>
      </c>
      <c r="AR781" s="591">
        <f t="shared" si="3475"/>
        <v>1</v>
      </c>
      <c r="AS781" s="591">
        <f t="shared" si="3475"/>
        <v>1</v>
      </c>
      <c r="AT781" s="591">
        <f t="shared" si="3475"/>
        <v>1</v>
      </c>
      <c r="AU781" s="591">
        <f t="shared" si="3475"/>
        <v>1</v>
      </c>
      <c r="AV781" s="591">
        <f t="shared" si="3475"/>
        <v>1</v>
      </c>
      <c r="AW781" s="591">
        <f t="shared" si="3475"/>
        <v>1</v>
      </c>
      <c r="AX781" s="591">
        <f t="shared" si="3475"/>
        <v>1</v>
      </c>
      <c r="AY781" s="591">
        <f t="shared" si="3475"/>
        <v>1</v>
      </c>
      <c r="AZ781" s="591">
        <f t="shared" si="3475"/>
        <v>1</v>
      </c>
      <c r="BA781" s="591">
        <f t="shared" si="3475"/>
        <v>1</v>
      </c>
      <c r="BB781" s="591">
        <f t="shared" si="3475"/>
        <v>1</v>
      </c>
      <c r="BC781" s="591">
        <f t="shared" si="3475"/>
        <v>1</v>
      </c>
      <c r="BD781" s="591">
        <f t="shared" si="3475"/>
        <v>1</v>
      </c>
      <c r="BE781" s="591">
        <f t="shared" si="3475"/>
        <v>1</v>
      </c>
      <c r="BF781" s="591">
        <f t="shared" si="3475"/>
        <v>1</v>
      </c>
      <c r="BG781" s="591">
        <f t="shared" si="3475"/>
        <v>1</v>
      </c>
      <c r="BH781" s="591">
        <f t="shared" si="3475"/>
        <v>1</v>
      </c>
      <c r="BI781" s="591">
        <f t="shared" si="3475"/>
        <v>1</v>
      </c>
      <c r="BJ781" s="591">
        <f t="shared" si="3475"/>
        <v>1</v>
      </c>
      <c r="BK781" s="591">
        <f t="shared" si="3475"/>
        <v>1</v>
      </c>
      <c r="BL781" s="591">
        <f t="shared" si="3475"/>
        <v>1</v>
      </c>
      <c r="BM781" s="591">
        <f t="shared" si="3475"/>
        <v>1</v>
      </c>
      <c r="BN781" s="591">
        <f t="shared" si="3475"/>
        <v>1</v>
      </c>
      <c r="BO781" s="591">
        <f t="shared" si="3475"/>
        <v>1</v>
      </c>
      <c r="BP781" s="591">
        <f t="shared" si="3475"/>
        <v>1</v>
      </c>
      <c r="BQ781" s="591">
        <f t="shared" si="3475"/>
        <v>1</v>
      </c>
      <c r="BR781" s="591">
        <f t="shared" si="3475"/>
        <v>1</v>
      </c>
      <c r="BS781" s="591">
        <f t="shared" si="3475"/>
        <v>1</v>
      </c>
      <c r="BT781" s="591" t="str">
        <f t="shared" si="3475"/>
        <v>#ERROR!</v>
      </c>
      <c r="BU781" s="591" t="str">
        <f t="shared" si="3475"/>
        <v>#ERROR!</v>
      </c>
      <c r="BV781" s="591" t="str">
        <f t="shared" si="3475"/>
        <v>#ERROR!</v>
      </c>
      <c r="BW781" s="591" t="str">
        <f t="shared" si="3475"/>
        <v>#ERROR!</v>
      </c>
      <c r="BX781" s="591" t="str">
        <f t="shared" si="3475"/>
        <v>#ERROR!</v>
      </c>
      <c r="BY781" s="591" t="str">
        <f t="shared" si="3475"/>
        <v>#ERROR!</v>
      </c>
      <c r="BZ781" s="627" t="str">
        <f t="shared" si="3475"/>
        <v>#ERROR!</v>
      </c>
      <c r="CA781" s="591" t="str">
        <f t="shared" si="3475"/>
        <v>#ERROR!</v>
      </c>
      <c r="CB781" s="591" t="str">
        <f t="shared" si="3475"/>
        <v>#ERROR!</v>
      </c>
      <c r="CC781" s="591" t="str">
        <f t="shared" si="3475"/>
        <v>#ERROR!</v>
      </c>
      <c r="CD781" s="591" t="str">
        <f t="shared" si="3475"/>
        <v>#ERROR!</v>
      </c>
      <c r="CE781" s="627" t="str">
        <f t="shared" si="3475"/>
        <v>#ERROR!</v>
      </c>
      <c r="CF781" s="591" t="str">
        <f t="shared" si="3475"/>
        <v>#ERROR!</v>
      </c>
      <c r="CG781" s="591" t="str">
        <f t="shared" si="3475"/>
        <v>#ERROR!</v>
      </c>
      <c r="CH781" s="591" t="str">
        <f t="shared" si="3475"/>
        <v>#ERROR!</v>
      </c>
      <c r="CI781" s="591" t="str">
        <f t="shared" si="3475"/>
        <v>#ERROR!</v>
      </c>
      <c r="CJ781" s="627" t="str">
        <f t="shared" si="3475"/>
        <v>#ERROR!</v>
      </c>
      <c r="CK781" s="591" t="str">
        <f t="shared" si="3475"/>
        <v>#ERROR!</v>
      </c>
      <c r="CL781" s="591" t="str">
        <f t="shared" si="3475"/>
        <v>#ERROR!</v>
      </c>
      <c r="CM781" s="591" t="str">
        <f t="shared" si="3475"/>
        <v>#ERROR!</v>
      </c>
      <c r="CN781" s="628" t="str">
        <f t="shared" si="3475"/>
        <v>#ERROR!</v>
      </c>
      <c r="CO781" s="627" t="str">
        <f t="shared" si="3475"/>
        <v>#ERROR!</v>
      </c>
      <c r="CP781" s="628" t="str">
        <f t="shared" si="3475"/>
        <v>#ERROR!</v>
      </c>
      <c r="CQ781" s="591" t="str">
        <f t="shared" si="3475"/>
        <v>#ERROR!</v>
      </c>
      <c r="CR781" s="591" t="str">
        <f t="shared" si="3475"/>
        <v>#ERROR!</v>
      </c>
      <c r="CS781" s="591" t="str">
        <f t="shared" si="3475"/>
        <v>#ERROR!</v>
      </c>
      <c r="CT781" s="627" t="str">
        <f t="shared" si="3475"/>
        <v>#ERROR!</v>
      </c>
      <c r="CU781" s="591" t="str">
        <f t="shared" si="3475"/>
        <v>#ERROR!</v>
      </c>
      <c r="CV781" s="591" t="str">
        <f t="shared" si="3475"/>
        <v>#ERROR!</v>
      </c>
      <c r="CW781" s="591" t="str">
        <f t="shared" si="3475"/>
        <v>#ERROR!</v>
      </c>
      <c r="CX781" s="591" t="str">
        <f t="shared" si="3475"/>
        <v>#ERROR!</v>
      </c>
      <c r="CY781" s="627" t="str">
        <f t="shared" si="3475"/>
        <v>#ERROR!</v>
      </c>
      <c r="CZ781" s="591" t="str">
        <f t="shared" si="3475"/>
        <v>#ERROR!</v>
      </c>
      <c r="DA781" s="591" t="str">
        <f t="shared" si="3475"/>
        <v>#ERROR!</v>
      </c>
      <c r="DB781" s="591" t="str">
        <f t="shared" si="3475"/>
        <v>#ERROR!</v>
      </c>
      <c r="DC781" s="591" t="str">
        <f t="shared" si="3475"/>
        <v>#ERROR!</v>
      </c>
      <c r="DD781" s="627" t="str">
        <f t="shared" si="3475"/>
        <v>#ERROR!</v>
      </c>
      <c r="DE781" s="591" t="str">
        <f t="shared" si="3475"/>
        <v>#ERROR!</v>
      </c>
      <c r="DF781" s="591" t="str">
        <f t="shared" si="3475"/>
        <v>#ERROR!</v>
      </c>
      <c r="DG781" s="325" t="str">
        <f t="shared" si="3475"/>
        <v>#ERROR!</v>
      </c>
      <c r="DH781" s="591" t="str">
        <f t="shared" si="3475"/>
        <v>#ERROR!</v>
      </c>
      <c r="DI781" s="627" t="str">
        <f t="shared" si="3475"/>
        <v>#ERROR!</v>
      </c>
      <c r="DJ781" s="628" t="str">
        <f t="shared" si="3475"/>
        <v>#ERROR!</v>
      </c>
      <c r="DK781" s="628" t="str">
        <f t="shared" si="3475"/>
        <v>#ERROR!</v>
      </c>
      <c r="DL781" s="628" t="str">
        <f t="shared" si="3475"/>
        <v>#ERROR!</v>
      </c>
      <c r="DM781" s="591" t="str">
        <f t="shared" si="3475"/>
        <v>#ERROR!</v>
      </c>
      <c r="DN781" s="627" t="str">
        <f t="shared" si="3475"/>
        <v>#ERROR!</v>
      </c>
      <c r="DO781" s="591" t="str">
        <f t="shared" si="3475"/>
        <v>#ERROR!</v>
      </c>
      <c r="DP781" s="591" t="str">
        <f t="shared" si="3475"/>
        <v>#ERROR!</v>
      </c>
      <c r="DQ781" s="591" t="str">
        <f t="shared" si="3475"/>
        <v>#ERROR!</v>
      </c>
      <c r="DR781" s="591" t="str">
        <f t="shared" si="3475"/>
        <v>#ERROR!</v>
      </c>
      <c r="DS781" s="627" t="str">
        <f t="shared" si="3475"/>
        <v>#ERROR!</v>
      </c>
      <c r="DT781" s="591" t="str">
        <f t="shared" si="3475"/>
        <v>#ERROR!</v>
      </c>
      <c r="DU781" s="591" t="str">
        <f t="shared" si="3475"/>
        <v>#ERROR!</v>
      </c>
      <c r="DV781" s="591" t="str">
        <f t="shared" si="3475"/>
        <v>#ERROR!</v>
      </c>
      <c r="DW781" s="591" t="str">
        <f t="shared" si="3475"/>
        <v>#ERROR!</v>
      </c>
      <c r="DX781" s="627" t="str">
        <f t="shared" si="3475"/>
        <v>#ERROR!</v>
      </c>
      <c r="DY781" s="591" t="str">
        <f t="shared" si="3475"/>
        <v>#ERROR!</v>
      </c>
      <c r="DZ781" s="591" t="str">
        <f t="shared" si="3475"/>
        <v>#ERROR!</v>
      </c>
      <c r="EA781" s="591" t="str">
        <f t="shared" si="3475"/>
        <v>#ERROR!</v>
      </c>
      <c r="EB781" s="591" t="str">
        <f t="shared" si="3475"/>
        <v>#ERROR!</v>
      </c>
      <c r="EC781" s="627" t="str">
        <f t="shared" si="3475"/>
        <v>#ERROR!</v>
      </c>
      <c r="ED781" s="591" t="str">
        <f t="shared" si="3475"/>
        <v>#ERROR!</v>
      </c>
      <c r="EE781" s="591" t="str">
        <f t="shared" si="3475"/>
        <v>#ERROR!</v>
      </c>
      <c r="EF781" s="591" t="str">
        <f t="shared" si="3475"/>
        <v>#ERROR!</v>
      </c>
      <c r="EG781" s="591" t="str">
        <f t="shared" si="3475"/>
        <v>#ERROR!</v>
      </c>
      <c r="EH781" s="627" t="str">
        <f t="shared" si="3475"/>
        <v>#ERROR!</v>
      </c>
      <c r="EI781" s="629" t="str">
        <f t="shared" si="3475"/>
        <v>#ERROR!</v>
      </c>
      <c r="EJ781" s="591" t="str">
        <f t="shared" si="3475"/>
        <v>#ERROR!</v>
      </c>
      <c r="EK781" s="591" t="str">
        <f t="shared" si="3475"/>
        <v>#ERROR!</v>
      </c>
      <c r="EL781" s="591" t="str">
        <f t="shared" si="3475"/>
        <v>#ERROR!</v>
      </c>
      <c r="EM781" s="627" t="str">
        <f t="shared" si="3475"/>
        <v>#ERROR!</v>
      </c>
      <c r="EN781" s="591" t="str">
        <f t="shared" si="3475"/>
        <v>#ERROR!</v>
      </c>
      <c r="EO781" s="591" t="str">
        <f t="shared" si="3475"/>
        <v>#ERROR!</v>
      </c>
      <c r="EP781" s="591" t="str">
        <f t="shared" si="3475"/>
        <v>#ERROR!</v>
      </c>
      <c r="EQ781" s="591" t="str">
        <f t="shared" si="3475"/>
        <v>#ERROR!</v>
      </c>
      <c r="ER781" s="627" t="str">
        <f t="shared" si="3475"/>
        <v>#ERROR!</v>
      </c>
      <c r="ES781" s="591" t="str">
        <f t="shared" si="3475"/>
        <v>#ERROR!</v>
      </c>
      <c r="ET781" s="591" t="str">
        <f t="shared" si="3475"/>
        <v>#ERROR!</v>
      </c>
      <c r="EU781" s="591" t="str">
        <f t="shared" si="3475"/>
        <v>#ERROR!</v>
      </c>
      <c r="EV781" s="591" t="str">
        <f t="shared" si="3475"/>
        <v>#ERROR!</v>
      </c>
      <c r="EW781" s="627" t="str">
        <f t="shared" si="3475"/>
        <v>#ERROR!</v>
      </c>
      <c r="EX781" s="591" t="str">
        <f t="shared" si="3475"/>
        <v>#ERROR!</v>
      </c>
      <c r="EY781" s="591" t="str">
        <f t="shared" si="3475"/>
        <v>#ERROR!</v>
      </c>
      <c r="EZ781" s="591" t="str">
        <f t="shared" si="3475"/>
        <v>#ERROR!</v>
      </c>
      <c r="FA781" s="591" t="str">
        <f t="shared" si="3475"/>
        <v>#ERROR!</v>
      </c>
      <c r="FB781" s="627" t="str">
        <f t="shared" si="3475"/>
        <v>#ERROR!</v>
      </c>
      <c r="FC781" s="591" t="str">
        <f t="shared" si="3475"/>
        <v>#ERROR!</v>
      </c>
      <c r="FD781" s="591" t="str">
        <f t="shared" si="3475"/>
        <v>#ERROR!</v>
      </c>
      <c r="FE781" s="591" t="str">
        <f t="shared" si="3475"/>
        <v>#ERROR!</v>
      </c>
      <c r="FF781" s="591" t="str">
        <f t="shared" si="3475"/>
        <v>#ERROR!</v>
      </c>
      <c r="FG781" s="627" t="str">
        <f t="shared" si="3475"/>
        <v>#ERROR!</v>
      </c>
      <c r="FH781" s="628"/>
      <c r="FI781" s="591"/>
      <c r="FJ781" s="591"/>
      <c r="FK781" s="591"/>
      <c r="FL781" s="591"/>
    </row>
    <row r="782" ht="12.75" hidden="1" customHeight="1" outlineLevel="2">
      <c r="A782" s="4"/>
      <c r="B782" s="45"/>
      <c r="C782" s="45"/>
      <c r="D782" s="4"/>
      <c r="E782" s="4"/>
      <c r="F782" s="4"/>
      <c r="G782" s="4"/>
      <c r="H782" s="45"/>
      <c r="I782" s="4"/>
      <c r="J782" s="4"/>
      <c r="K782" s="4"/>
      <c r="L782" s="4"/>
      <c r="M782" s="45"/>
      <c r="N782" s="4"/>
      <c r="O782" s="4"/>
      <c r="P782" s="4"/>
      <c r="Q782" s="4"/>
      <c r="R782" s="45"/>
      <c r="S782" s="4"/>
      <c r="T782" s="4"/>
      <c r="U782" s="4"/>
      <c r="V782" s="4"/>
      <c r="W782" s="45"/>
      <c r="X782" s="4"/>
      <c r="Y782" s="4"/>
      <c r="Z782" s="4"/>
      <c r="AA782" s="4"/>
      <c r="AB782" s="45"/>
      <c r="AC782" s="4"/>
      <c r="AD782" s="4"/>
      <c r="AE782" s="4"/>
      <c r="AF782" s="4"/>
      <c r="AG782" s="45"/>
      <c r="AH782" s="4"/>
      <c r="AI782" s="4"/>
      <c r="AJ782" s="4"/>
      <c r="AK782" s="4"/>
      <c r="AL782" s="45"/>
      <c r="AM782" s="4"/>
      <c r="AN782" s="4"/>
      <c r="AO782" s="4"/>
      <c r="AP782" s="4"/>
      <c r="AQ782" s="45"/>
      <c r="AR782" s="4"/>
      <c r="AS782" s="4"/>
      <c r="AT782" s="4"/>
      <c r="AU782" s="4"/>
      <c r="AV782" s="45"/>
      <c r="AW782" s="4"/>
      <c r="AX782" s="4"/>
      <c r="AY782" s="4"/>
      <c r="AZ782" s="4"/>
      <c r="BA782" s="45"/>
      <c r="BB782" s="4"/>
      <c r="BC782" s="4"/>
      <c r="BD782" s="4"/>
      <c r="BE782" s="4"/>
      <c r="BF782" s="45"/>
      <c r="BG782" s="4"/>
      <c r="BH782" s="4"/>
      <c r="BI782" s="4"/>
      <c r="BJ782" s="4"/>
      <c r="BK782" s="45"/>
      <c r="BL782" s="4"/>
      <c r="BM782" s="4"/>
      <c r="BN782" s="4"/>
      <c r="BO782" s="4"/>
      <c r="BP782" s="45"/>
      <c r="BQ782" s="4"/>
      <c r="BR782" s="4"/>
      <c r="BS782" s="4"/>
      <c r="BT782" s="4"/>
      <c r="BU782" s="45"/>
      <c r="BV782" s="4"/>
      <c r="BW782" s="4"/>
      <c r="BX782" s="4"/>
      <c r="BY782" s="4"/>
      <c r="BZ782" s="350"/>
      <c r="CA782" s="4"/>
      <c r="CB782" s="4"/>
      <c r="CC782" s="4"/>
      <c r="CD782" s="4"/>
      <c r="CE782" s="350"/>
      <c r="CF782" s="4"/>
      <c r="CG782" s="4"/>
      <c r="CH782" s="4"/>
      <c r="CI782" s="4"/>
      <c r="CJ782" s="350"/>
      <c r="CK782" s="4"/>
      <c r="CL782" s="4"/>
      <c r="CM782" s="4"/>
      <c r="CN782" s="16"/>
      <c r="CO782" s="350"/>
      <c r="CP782" s="16"/>
      <c r="CQ782" s="4"/>
      <c r="CR782" s="4"/>
      <c r="CS782" s="4"/>
      <c r="CT782" s="350"/>
      <c r="CU782" s="4"/>
      <c r="CV782" s="4"/>
      <c r="CW782" s="4"/>
      <c r="CX782" s="4"/>
      <c r="CY782" s="350"/>
      <c r="CZ782" s="4"/>
      <c r="DA782" s="4"/>
      <c r="DB782" s="4"/>
      <c r="DC782" s="4"/>
      <c r="DD782" s="350"/>
      <c r="DE782" s="4"/>
      <c r="DF782" s="4"/>
      <c r="DG782" s="16"/>
      <c r="DH782" s="4"/>
      <c r="DI782" s="350"/>
      <c r="DJ782" s="16"/>
      <c r="DK782" s="16"/>
      <c r="DL782" s="16"/>
      <c r="DM782" s="4"/>
      <c r="DN782" s="350"/>
      <c r="DO782" s="4"/>
      <c r="DP782" s="4"/>
      <c r="DQ782" s="4"/>
      <c r="DR782" s="4"/>
      <c r="DS782" s="350"/>
      <c r="DT782" s="4"/>
      <c r="DU782" s="4"/>
      <c r="DV782" s="4"/>
      <c r="DW782" s="4"/>
      <c r="DX782" s="350"/>
      <c r="DY782" s="4"/>
      <c r="DZ782" s="4"/>
      <c r="EA782" s="4"/>
      <c r="EB782" s="4"/>
      <c r="EC782" s="350"/>
      <c r="ED782" s="4"/>
      <c r="EE782" s="4"/>
      <c r="EF782" s="4"/>
      <c r="EG782" s="4"/>
      <c r="EH782" s="350"/>
      <c r="EI782" s="214"/>
      <c r="EJ782" s="4"/>
      <c r="EK782" s="4"/>
      <c r="EL782" s="4"/>
      <c r="EM782" s="350"/>
      <c r="EN782" s="4"/>
      <c r="EO782" s="4"/>
      <c r="EP782" s="4"/>
      <c r="EQ782" s="4"/>
      <c r="ER782" s="350"/>
      <c r="ES782" s="4"/>
      <c r="ET782" s="4"/>
      <c r="EU782" s="4"/>
      <c r="EV782" s="4"/>
      <c r="EW782" s="350"/>
      <c r="EX782" s="4"/>
      <c r="EY782" s="4"/>
      <c r="EZ782" s="4"/>
      <c r="FA782" s="4"/>
      <c r="FB782" s="350"/>
      <c r="FC782" s="4"/>
      <c r="FD782" s="4"/>
      <c r="FE782" s="4"/>
      <c r="FF782" s="4"/>
      <c r="FG782" s="350"/>
      <c r="FH782" s="145"/>
      <c r="FI782" s="4"/>
      <c r="FJ782" s="4"/>
      <c r="FK782" s="45"/>
      <c r="FL782" s="4"/>
    </row>
    <row r="783" ht="12.75" hidden="1" customHeight="1" outlineLevel="2">
      <c r="A783" s="4"/>
      <c r="B783" s="578" t="s">
        <v>290</v>
      </c>
      <c r="C783" s="299"/>
      <c r="D783" s="585"/>
      <c r="E783" s="586"/>
      <c r="F783" s="586"/>
      <c r="G783" s="586"/>
      <c r="H783" s="585"/>
      <c r="I783" s="585"/>
      <c r="J783" s="586"/>
      <c r="K783" s="586"/>
      <c r="L783" s="586"/>
      <c r="M783" s="585"/>
      <c r="N783" s="585"/>
      <c r="O783" s="586"/>
      <c r="P783" s="586"/>
      <c r="Q783" s="586"/>
      <c r="R783" s="585"/>
      <c r="S783" s="585"/>
      <c r="T783" s="586"/>
      <c r="U783" s="586"/>
      <c r="V783" s="586"/>
      <c r="W783" s="585"/>
      <c r="X783" s="585"/>
      <c r="Y783" s="586"/>
      <c r="Z783" s="586"/>
      <c r="AA783" s="586"/>
      <c r="AB783" s="585"/>
      <c r="AC783" s="585"/>
      <c r="AD783" s="586"/>
      <c r="AE783" s="586"/>
      <c r="AF783" s="586"/>
      <c r="AG783" s="585"/>
      <c r="AH783" s="585"/>
      <c r="AI783" s="586"/>
      <c r="AJ783" s="586"/>
      <c r="AK783" s="586"/>
      <c r="AL783" s="585"/>
      <c r="AM783" s="585"/>
      <c r="AN783" s="586"/>
      <c r="AO783" s="586"/>
      <c r="AP783" s="586"/>
      <c r="AQ783" s="585"/>
      <c r="AR783" s="585"/>
      <c r="AS783" s="586"/>
      <c r="AT783" s="586"/>
      <c r="AU783" s="586"/>
      <c r="AV783" s="585"/>
      <c r="AW783" s="585"/>
      <c r="AX783" s="586"/>
      <c r="AY783" s="586"/>
      <c r="AZ783" s="586"/>
      <c r="BA783" s="585"/>
      <c r="BB783" s="585"/>
      <c r="BC783" s="586"/>
      <c r="BD783" s="586"/>
      <c r="BE783" s="586"/>
      <c r="BF783" s="585"/>
      <c r="BG783" s="585"/>
      <c r="BH783" s="586"/>
      <c r="BI783" s="586"/>
      <c r="BJ783" s="586"/>
      <c r="BK783" s="585"/>
      <c r="BL783" s="585"/>
      <c r="BM783" s="586"/>
      <c r="BN783" s="586"/>
      <c r="BO783" s="586"/>
      <c r="BP783" s="585"/>
      <c r="BQ783" s="585"/>
      <c r="BR783" s="586"/>
      <c r="BS783" s="586"/>
      <c r="BT783" s="586"/>
      <c r="BU783" s="585"/>
      <c r="BV783" s="585"/>
      <c r="BW783" s="586"/>
      <c r="BX783" s="586"/>
      <c r="BY783" s="586"/>
      <c r="BZ783" s="587"/>
      <c r="CA783" s="585"/>
      <c r="CB783" s="586"/>
      <c r="CC783" s="586"/>
      <c r="CD783" s="586"/>
      <c r="CE783" s="587"/>
      <c r="CF783" s="585"/>
      <c r="CG783" s="586"/>
      <c r="CH783" s="586"/>
      <c r="CI783" s="586"/>
      <c r="CJ783" s="587"/>
      <c r="CK783" s="585"/>
      <c r="CL783" s="586"/>
      <c r="CM783" s="586"/>
      <c r="CN783" s="588"/>
      <c r="CO783" s="587"/>
      <c r="CP783" s="588"/>
      <c r="CQ783" s="586"/>
      <c r="CR783" s="586"/>
      <c r="CS783" s="586"/>
      <c r="CT783" s="587"/>
      <c r="CU783" s="585"/>
      <c r="CV783" s="586"/>
      <c r="CW783" s="586"/>
      <c r="CX783" s="586"/>
      <c r="CY783" s="587"/>
      <c r="CZ783" s="585"/>
      <c r="DA783" s="586"/>
      <c r="DB783" s="586"/>
      <c r="DC783" s="586"/>
      <c r="DD783" s="587"/>
      <c r="DE783" s="585"/>
      <c r="DF783" s="586"/>
      <c r="DG783" s="474"/>
      <c r="DH783" s="586"/>
      <c r="DI783" s="587"/>
      <c r="DJ783" s="589"/>
      <c r="DK783" s="588"/>
      <c r="DL783" s="588"/>
      <c r="DM783" s="586"/>
      <c r="DN783" s="587"/>
      <c r="DO783" s="585"/>
      <c r="DP783" s="586"/>
      <c r="DQ783" s="586"/>
      <c r="DR783" s="586"/>
      <c r="DS783" s="587"/>
      <c r="DT783" s="585"/>
      <c r="DU783" s="585"/>
      <c r="DV783" s="585"/>
      <c r="DW783" s="585"/>
      <c r="DX783" s="587"/>
      <c r="DY783" s="585"/>
      <c r="DZ783" s="585"/>
      <c r="EA783" s="585"/>
      <c r="EB783" s="585"/>
      <c r="EC783" s="587"/>
      <c r="ED783" s="585"/>
      <c r="EE783" s="585"/>
      <c r="EF783" s="585"/>
      <c r="EG783" s="585"/>
      <c r="EH783" s="587"/>
      <c r="EI783" s="590"/>
      <c r="EJ783" s="586"/>
      <c r="EK783" s="586"/>
      <c r="EL783" s="586"/>
      <c r="EM783" s="587"/>
      <c r="EN783" s="585"/>
      <c r="EO783" s="586"/>
      <c r="EP783" s="586"/>
      <c r="EQ783" s="586"/>
      <c r="ER783" s="587"/>
      <c r="ES783" s="585"/>
      <c r="ET783" s="586"/>
      <c r="EU783" s="586"/>
      <c r="EV783" s="586"/>
      <c r="EW783" s="587"/>
      <c r="EX783" s="585"/>
      <c r="EY783" s="586"/>
      <c r="EZ783" s="586"/>
      <c r="FA783" s="586"/>
      <c r="FB783" s="587"/>
      <c r="FC783" s="585"/>
      <c r="FD783" s="586"/>
      <c r="FE783" s="586"/>
      <c r="FF783" s="586"/>
      <c r="FG783" s="587"/>
      <c r="FH783" s="589"/>
      <c r="FI783" s="586"/>
      <c r="FJ783" s="586"/>
      <c r="FK783" s="585"/>
      <c r="FL783" s="585"/>
    </row>
    <row r="784" ht="12.75" hidden="1" customHeight="1" outlineLevel="2">
      <c r="A784" s="4"/>
      <c r="B784" s="72" t="str">
        <f t="shared" ref="B784:B790" si="3500">B748</f>
        <v>Processors</v>
      </c>
      <c r="C784" s="4"/>
      <c r="D784" s="15"/>
      <c r="E784" s="15"/>
      <c r="F784" s="15"/>
      <c r="G784" s="15"/>
      <c r="H784" s="410"/>
      <c r="I784" s="15"/>
      <c r="J784" s="15"/>
      <c r="K784" s="15"/>
      <c r="L784" s="15"/>
      <c r="M784" s="410"/>
      <c r="N784" s="15"/>
      <c r="O784" s="15"/>
      <c r="P784" s="15"/>
      <c r="Q784" s="15"/>
      <c r="R784" s="410"/>
      <c r="S784" s="15"/>
      <c r="T784" s="15"/>
      <c r="U784" s="15"/>
      <c r="V784" s="15"/>
      <c r="W784" s="410"/>
      <c r="X784" s="15"/>
      <c r="Y784" s="15"/>
      <c r="Z784" s="15"/>
      <c r="AA784" s="15"/>
      <c r="AB784" s="410"/>
      <c r="AC784" s="15"/>
      <c r="AD784" s="15"/>
      <c r="AE784" s="15"/>
      <c r="AF784" s="15"/>
      <c r="AG784" s="410"/>
      <c r="AH784" s="15"/>
      <c r="AI784" s="15"/>
      <c r="AJ784" s="15"/>
      <c r="AK784" s="15"/>
      <c r="AL784" s="410"/>
      <c r="AM784" s="15"/>
      <c r="AN784" s="15"/>
      <c r="AO784" s="15"/>
      <c r="AP784" s="15"/>
      <c r="AQ784" s="410"/>
      <c r="AR784" s="15"/>
      <c r="AS784" s="15">
        <f t="shared" ref="AS784:AU784" si="3476">AS748/AR748-1</f>
        <v>-0.05874069604</v>
      </c>
      <c r="AT784" s="15">
        <f t="shared" si="3476"/>
        <v>-0.03398162</v>
      </c>
      <c r="AU784" s="15">
        <f t="shared" si="3476"/>
        <v>0.1628318584</v>
      </c>
      <c r="AV784" s="410"/>
      <c r="AW784" s="15">
        <f t="shared" ref="AW784:AW790" si="3502">AW748/AU748-1</f>
        <v>-0.05936073059</v>
      </c>
      <c r="AX784" s="15">
        <f t="shared" ref="AX784:AZ784" si="3477">AX748/AW748-1</f>
        <v>-0.06897249191</v>
      </c>
      <c r="AY784" s="15">
        <f t="shared" si="3477"/>
        <v>0.0723441234</v>
      </c>
      <c r="AZ784" s="15">
        <f t="shared" si="3477"/>
        <v>-0.00141815235</v>
      </c>
      <c r="BA784" s="410"/>
      <c r="BB784" s="15">
        <f t="shared" ref="BB784:BB788" si="3504">BB748/AZ748-1</f>
        <v>-0.2103875025</v>
      </c>
      <c r="BC784" s="15">
        <f t="shared" ref="BC784:BE784" si="3478">BC748/BB748-1</f>
        <v>-0.1423432682</v>
      </c>
      <c r="BD784" s="15">
        <f t="shared" si="3478"/>
        <v>0.05482324745</v>
      </c>
      <c r="BE784" s="15">
        <f t="shared" si="3478"/>
        <v>0.09485941494</v>
      </c>
      <c r="BF784" s="410"/>
      <c r="BG784" s="15">
        <f t="shared" ref="BG784:BG788" si="3506">BG748/BE748-1</f>
        <v>-0.07626459144</v>
      </c>
      <c r="BH784" s="15">
        <f t="shared" ref="BH784:BJ784" si="3479">BH748/BG748-1</f>
        <v>-0.02695871946</v>
      </c>
      <c r="BI784" s="15">
        <f t="shared" si="3479"/>
        <v>0.1197691198</v>
      </c>
      <c r="BJ784" s="15">
        <f t="shared" si="3479"/>
        <v>0.1154639175</v>
      </c>
      <c r="BK784" s="410"/>
      <c r="BL784" s="15">
        <f t="shared" ref="BL784:BL788" si="3508">BL748/BJ748-1</f>
        <v>-0.02125693161</v>
      </c>
      <c r="BM784" s="15">
        <f t="shared" ref="BM784:BO784" si="3480">BM748/BL748-1</f>
        <v>-0.03021718602</v>
      </c>
      <c r="BN784" s="15">
        <f t="shared" si="3480"/>
        <v>-0.009493670886</v>
      </c>
      <c r="BO784" s="15">
        <f t="shared" si="3480"/>
        <v>-0.09928729418</v>
      </c>
      <c r="BP784" s="410"/>
      <c r="BQ784" s="15">
        <f t="shared" ref="BQ784:BQ788" si="3510">BQ748/BO748-1</f>
        <v>-0.1110504775</v>
      </c>
      <c r="BR784" s="15">
        <f t="shared" ref="BR784:BT784" si="3481">BR748/BQ748-1</f>
        <v>0.04910988336</v>
      </c>
      <c r="BS784" s="15">
        <f t="shared" si="3481"/>
        <v>0.1331187829</v>
      </c>
      <c r="BT784" s="15" t="str">
        <f t="shared" si="3481"/>
        <v>#ERROR!</v>
      </c>
      <c r="BU784" s="410"/>
      <c r="BV784" s="15" t="str">
        <f>BV748/BT748-1</f>
        <v>#ERROR!</v>
      </c>
      <c r="BW784" s="15" t="str">
        <f t="shared" ref="BW784:BY784" si="3482">BW748/BV748-1</f>
        <v>#ERROR!</v>
      </c>
      <c r="BX784" s="15" t="str">
        <f t="shared" si="3482"/>
        <v>#ERROR!</v>
      </c>
      <c r="BY784" s="15" t="str">
        <f t="shared" si="3482"/>
        <v>#ERROR!</v>
      </c>
      <c r="BZ784" s="24"/>
      <c r="CA784" s="15" t="str">
        <f>CA748/BY748-1</f>
        <v>#ERROR!</v>
      </c>
      <c r="CB784" s="15" t="str">
        <f t="shared" ref="CB784:CD784" si="3483">CB748/CA748-1</f>
        <v>#ERROR!</v>
      </c>
      <c r="CC784" s="15" t="str">
        <f t="shared" si="3483"/>
        <v>#ERROR!</v>
      </c>
      <c r="CD784" s="15" t="str">
        <f t="shared" si="3483"/>
        <v>#ERROR!</v>
      </c>
      <c r="CE784" s="24"/>
      <c r="CF784" s="15" t="str">
        <f>CF748/CD748-1</f>
        <v>#ERROR!</v>
      </c>
      <c r="CG784" s="15" t="str">
        <f t="shared" ref="CG784:CI784" si="3484">CG748/CF748-1</f>
        <v>#ERROR!</v>
      </c>
      <c r="CH784" s="15" t="str">
        <f t="shared" si="3484"/>
        <v>#ERROR!</v>
      </c>
      <c r="CI784" s="15" t="str">
        <f t="shared" si="3484"/>
        <v>#ERROR!</v>
      </c>
      <c r="CJ784" s="24"/>
      <c r="CK784" s="15" t="str">
        <f>CK748/CI748-1</f>
        <v>#ERROR!</v>
      </c>
      <c r="CL784" s="15" t="str">
        <f t="shared" ref="CL784:CN784" si="3485">CL748/CK748-1</f>
        <v>#ERROR!</v>
      </c>
      <c r="CM784" s="15" t="str">
        <f t="shared" si="3485"/>
        <v>#ERROR!</v>
      </c>
      <c r="CN784" s="40" t="str">
        <f t="shared" si="3485"/>
        <v>#ERROR!</v>
      </c>
      <c r="CO784" s="24"/>
      <c r="CP784" s="40" t="str">
        <f>CP748/CN748-1</f>
        <v>#ERROR!</v>
      </c>
      <c r="CQ784" s="15" t="str">
        <f t="shared" ref="CQ784:CS784" si="3486">CQ748/CP748-1</f>
        <v>#ERROR!</v>
      </c>
      <c r="CR784" s="15" t="str">
        <f t="shared" si="3486"/>
        <v>#ERROR!</v>
      </c>
      <c r="CS784" s="15" t="str">
        <f t="shared" si="3486"/>
        <v>#ERROR!</v>
      </c>
      <c r="CT784" s="24"/>
      <c r="CU784" s="15" t="str">
        <f>CU748/CS748-1</f>
        <v>#ERROR!</v>
      </c>
      <c r="CV784" s="15" t="str">
        <f t="shared" ref="CV784:CX784" si="3487">CV748/CU748-1</f>
        <v>#ERROR!</v>
      </c>
      <c r="CW784" s="15" t="str">
        <f t="shared" si="3487"/>
        <v>#ERROR!</v>
      </c>
      <c r="CX784" s="15" t="str">
        <f t="shared" si="3487"/>
        <v>#ERROR!</v>
      </c>
      <c r="CY784" s="24"/>
      <c r="CZ784" s="15" t="str">
        <f>CZ748/CX748-1</f>
        <v>#ERROR!</v>
      </c>
      <c r="DA784" s="15" t="str">
        <f t="shared" ref="DA784:DC784" si="3488">DA748/CZ748-1</f>
        <v>#ERROR!</v>
      </c>
      <c r="DB784" s="15" t="str">
        <f t="shared" si="3488"/>
        <v>#ERROR!</v>
      </c>
      <c r="DC784" s="15" t="str">
        <f t="shared" si="3488"/>
        <v>#ERROR!</v>
      </c>
      <c r="DD784" s="24"/>
      <c r="DE784" s="15" t="str">
        <f>DE748/DC748-1</f>
        <v>#ERROR!</v>
      </c>
      <c r="DF784" s="15" t="str">
        <f t="shared" ref="DF784:DH784" si="3489">DF748/DE748-1</f>
        <v>#ERROR!</v>
      </c>
      <c r="DG784" s="40" t="str">
        <f t="shared" si="3489"/>
        <v>#ERROR!</v>
      </c>
      <c r="DH784" s="15" t="str">
        <f t="shared" si="3489"/>
        <v>#ERROR!</v>
      </c>
      <c r="DI784" s="24"/>
      <c r="DJ784" s="40" t="str">
        <f>DJ748/DH748-1</f>
        <v>#ERROR!</v>
      </c>
      <c r="DK784" s="40" t="str">
        <f t="shared" ref="DK784:DM784" si="3490">DK748/DJ748-1</f>
        <v>#ERROR!</v>
      </c>
      <c r="DL784" s="40" t="str">
        <f t="shared" si="3490"/>
        <v>#ERROR!</v>
      </c>
      <c r="DM784" s="15" t="str">
        <f t="shared" si="3490"/>
        <v>#ERROR!</v>
      </c>
      <c r="DN784" s="24"/>
      <c r="DO784" s="15" t="str">
        <f>DO748/DM748-1</f>
        <v>#ERROR!</v>
      </c>
      <c r="DP784" s="15" t="str">
        <f t="shared" ref="DP784:DR784" si="3491">DP748/DO748-1</f>
        <v>#ERROR!</v>
      </c>
      <c r="DQ784" s="15" t="str">
        <f t="shared" si="3491"/>
        <v>#ERROR!</v>
      </c>
      <c r="DR784" s="15" t="str">
        <f t="shared" si="3491"/>
        <v>#ERROR!</v>
      </c>
      <c r="DS784" s="24"/>
      <c r="DT784" s="15" t="str">
        <f>DT748/DR748-1</f>
        <v>#ERROR!</v>
      </c>
      <c r="DU784" s="15" t="str">
        <f t="shared" ref="DU784:DW784" si="3492">DU748/DT748-1</f>
        <v>#ERROR!</v>
      </c>
      <c r="DV784" s="15" t="str">
        <f t="shared" si="3492"/>
        <v>#ERROR!</v>
      </c>
      <c r="DW784" s="15" t="str">
        <f t="shared" si="3492"/>
        <v>#ERROR!</v>
      </c>
      <c r="DX784" s="24"/>
      <c r="DY784" s="15" t="str">
        <f>DY748/DW748-1</f>
        <v>#ERROR!</v>
      </c>
      <c r="DZ784" s="15" t="str">
        <f t="shared" ref="DZ784:EB784" si="3493">DZ748/DY748-1</f>
        <v>#ERROR!</v>
      </c>
      <c r="EA784" s="15" t="str">
        <f t="shared" si="3493"/>
        <v>#ERROR!</v>
      </c>
      <c r="EB784" s="15" t="str">
        <f t="shared" si="3493"/>
        <v>#ERROR!</v>
      </c>
      <c r="EC784" s="24"/>
      <c r="ED784" s="15" t="str">
        <f>ED748/EB748-1</f>
        <v>#ERROR!</v>
      </c>
      <c r="EE784" s="15" t="str">
        <f t="shared" ref="EE784:EG784" si="3494">EE748/ED748-1</f>
        <v>#ERROR!</v>
      </c>
      <c r="EF784" s="15" t="str">
        <f t="shared" si="3494"/>
        <v>#ERROR!</v>
      </c>
      <c r="EG784" s="15" t="str">
        <f t="shared" si="3494"/>
        <v>#ERROR!</v>
      </c>
      <c r="EH784" s="24"/>
      <c r="EI784" s="82" t="str">
        <f>EI748/EG748-1</f>
        <v>#ERROR!</v>
      </c>
      <c r="EJ784" s="15" t="str">
        <f t="shared" ref="EJ784:EL784" si="3495">EJ748/EI748-1</f>
        <v>#ERROR!</v>
      </c>
      <c r="EK784" s="15" t="str">
        <f t="shared" si="3495"/>
        <v>#ERROR!</v>
      </c>
      <c r="EL784" s="15" t="str">
        <f t="shared" si="3495"/>
        <v>#ERROR!</v>
      </c>
      <c r="EM784" s="24"/>
      <c r="EN784" s="15" t="str">
        <f>EN748/EL748-1</f>
        <v>#ERROR!</v>
      </c>
      <c r="EO784" s="15" t="str">
        <f t="shared" ref="EO784:EQ784" si="3496">EO748/EN748-1</f>
        <v>#ERROR!</v>
      </c>
      <c r="EP784" s="15" t="str">
        <f t="shared" si="3496"/>
        <v>#ERROR!</v>
      </c>
      <c r="EQ784" s="15" t="str">
        <f t="shared" si="3496"/>
        <v>#ERROR!</v>
      </c>
      <c r="ER784" s="24"/>
      <c r="ES784" s="15" t="str">
        <f>ES748/EQ748-1</f>
        <v>#ERROR!</v>
      </c>
      <c r="ET784" s="15" t="str">
        <f t="shared" ref="ET784:EV784" si="3497">ET748/ES748-1</f>
        <v>#ERROR!</v>
      </c>
      <c r="EU784" s="15" t="str">
        <f t="shared" si="3497"/>
        <v>#ERROR!</v>
      </c>
      <c r="EV784" s="15" t="str">
        <f t="shared" si="3497"/>
        <v>#ERROR!</v>
      </c>
      <c r="EW784" s="24"/>
      <c r="EX784" s="15" t="str">
        <f>EX748/EV748-1</f>
        <v>#ERROR!</v>
      </c>
      <c r="EY784" s="15" t="str">
        <f t="shared" ref="EY784:FA784" si="3498">EY748/EX748-1</f>
        <v>#ERROR!</v>
      </c>
      <c r="EZ784" s="15" t="str">
        <f t="shared" si="3498"/>
        <v>#ERROR!</v>
      </c>
      <c r="FA784" s="15" t="str">
        <f t="shared" si="3498"/>
        <v>#ERROR!</v>
      </c>
      <c r="FB784" s="24"/>
      <c r="FC784" s="15" t="str">
        <f>FC748/FA748-1</f>
        <v>#ERROR!</v>
      </c>
      <c r="FD784" s="15" t="str">
        <f t="shared" ref="FD784:FF784" si="3499">FD748/FC748-1</f>
        <v>#ERROR!</v>
      </c>
      <c r="FE784" s="15" t="str">
        <f t="shared" si="3499"/>
        <v>#ERROR!</v>
      </c>
      <c r="FF784" s="15" t="str">
        <f t="shared" si="3499"/>
        <v>#ERROR!</v>
      </c>
      <c r="FG784" s="24"/>
      <c r="FH784" s="104"/>
      <c r="FI784" s="15"/>
      <c r="FJ784" s="15"/>
      <c r="FK784" s="410"/>
      <c r="FL784" s="15"/>
    </row>
    <row r="785" ht="12.75" hidden="1" customHeight="1" outlineLevel="2">
      <c r="A785" s="263"/>
      <c r="B785" s="72" t="str">
        <f t="shared" si="3500"/>
        <v>Chipsets, MBs and other</v>
      </c>
      <c r="C785" s="4"/>
      <c r="D785" s="15"/>
      <c r="E785" s="15"/>
      <c r="F785" s="15"/>
      <c r="G785" s="315"/>
      <c r="H785" s="410"/>
      <c r="I785" s="15"/>
      <c r="J785" s="15"/>
      <c r="K785" s="15"/>
      <c r="L785" s="315"/>
      <c r="M785" s="410"/>
      <c r="N785" s="15"/>
      <c r="O785" s="15"/>
      <c r="P785" s="15"/>
      <c r="Q785" s="315"/>
      <c r="R785" s="410"/>
      <c r="S785" s="15"/>
      <c r="T785" s="15"/>
      <c r="U785" s="15"/>
      <c r="V785" s="315"/>
      <c r="W785" s="410"/>
      <c r="X785" s="15"/>
      <c r="Y785" s="15"/>
      <c r="Z785" s="15"/>
      <c r="AA785" s="315"/>
      <c r="AB785" s="410"/>
      <c r="AC785" s="15"/>
      <c r="AD785" s="15"/>
      <c r="AE785" s="15"/>
      <c r="AF785" s="315"/>
      <c r="AG785" s="410"/>
      <c r="AH785" s="15"/>
      <c r="AI785" s="15"/>
      <c r="AJ785" s="15"/>
      <c r="AK785" s="315"/>
      <c r="AL785" s="410"/>
      <c r="AM785" s="15"/>
      <c r="AN785" s="15"/>
      <c r="AO785" s="15"/>
      <c r="AP785" s="315"/>
      <c r="AQ785" s="410"/>
      <c r="AR785" s="15"/>
      <c r="AS785" s="15">
        <f t="shared" ref="AS785:AU785" si="3501">AS749/AR749-1</f>
        <v>-0.0246031746</v>
      </c>
      <c r="AT785" s="15">
        <f t="shared" si="3501"/>
        <v>0.09519934906</v>
      </c>
      <c r="AU785" s="315">
        <f t="shared" si="3501"/>
        <v>0.1270430906</v>
      </c>
      <c r="AV785" s="410"/>
      <c r="AW785" s="15">
        <f t="shared" si="3502"/>
        <v>-0.06591957811</v>
      </c>
      <c r="AX785" s="15">
        <f t="shared" ref="AX785:AZ785" si="3503">AX749/AW749-1</f>
        <v>-0.01340860974</v>
      </c>
      <c r="AY785" s="15">
        <f t="shared" si="3503"/>
        <v>0.02575107296</v>
      </c>
      <c r="AZ785" s="315">
        <f t="shared" si="3503"/>
        <v>0.02928870293</v>
      </c>
      <c r="BA785" s="410"/>
      <c r="BB785" s="15">
        <f t="shared" si="3504"/>
        <v>-0.1497289973</v>
      </c>
      <c r="BC785" s="15">
        <f t="shared" ref="BC785:BE785" si="3505">BC749/BB749-1</f>
        <v>0.02231075697</v>
      </c>
      <c r="BD785" s="15">
        <f t="shared" si="3505"/>
        <v>0.1106780982</v>
      </c>
      <c r="BE785" s="315">
        <f t="shared" si="3505"/>
        <v>-0.08280701754</v>
      </c>
      <c r="BF785" s="410"/>
      <c r="BG785" s="15">
        <f t="shared" si="3506"/>
        <v>-0.08722264728</v>
      </c>
      <c r="BH785" s="15">
        <f t="shared" ref="BH785:BJ785" si="3507">BH749/BG749-1</f>
        <v>-0.01257334451</v>
      </c>
      <c r="BI785" s="15">
        <f t="shared" si="3507"/>
        <v>0.1239388795</v>
      </c>
      <c r="BJ785" s="315">
        <f t="shared" si="3507"/>
        <v>0.06570996979</v>
      </c>
      <c r="BK785" s="410"/>
      <c r="BL785" s="15">
        <f t="shared" si="3508"/>
        <v>-0.1459957477</v>
      </c>
      <c r="BM785" s="15">
        <f t="shared" ref="BM785:BO785" si="3509">BM749/BL749-1</f>
        <v>0.04979253112</v>
      </c>
      <c r="BN785" s="15">
        <f t="shared" si="3509"/>
        <v>-0.01264822134</v>
      </c>
      <c r="BO785" s="315">
        <f t="shared" si="3509"/>
        <v>-0.3314651721</v>
      </c>
      <c r="BP785" s="410"/>
      <c r="BQ785" s="15">
        <f t="shared" si="3510"/>
        <v>-0.1005988024</v>
      </c>
      <c r="BR785" s="15">
        <f t="shared" ref="BR785:BS785" si="3511">BR749/BQ749-1</f>
        <v>0.1797603196</v>
      </c>
      <c r="BS785" s="15">
        <f t="shared" si="3511"/>
        <v>0.1738148984</v>
      </c>
      <c r="BT785" s="315" t="str">
        <f>[2]MPU!BV61</f>
        <v>#ERROR!</v>
      </c>
      <c r="BU785" s="410"/>
      <c r="BV785" s="15" t="str">
        <f>[2]MPU!BW61</f>
        <v>#ERROR!</v>
      </c>
      <c r="BW785" s="15" t="str">
        <f>[2]MPU!BX61</f>
        <v>#ERROR!</v>
      </c>
      <c r="BX785" s="15" t="str">
        <f>[2]MPU!BY61</f>
        <v>#ERROR!</v>
      </c>
      <c r="BY785" s="315" t="str">
        <f>[2]MPU!CA61</f>
        <v>#ERROR!</v>
      </c>
      <c r="BZ785" s="24"/>
      <c r="CA785" s="15" t="str">
        <f>[2]MPU!CB61</f>
        <v>#ERROR!</v>
      </c>
      <c r="CB785" s="15" t="str">
        <f>[2]MPU!CC61</f>
        <v>#ERROR!</v>
      </c>
      <c r="CC785" s="15" t="str">
        <f>[2]MPU!CD61</f>
        <v>#ERROR!</v>
      </c>
      <c r="CD785" s="315" t="str">
        <f>[2]MPU!CF61</f>
        <v>#ERROR!</v>
      </c>
      <c r="CE785" s="24"/>
      <c r="CF785" s="15" t="str">
        <f>[2]MPU!CG61</f>
        <v>#ERROR!</v>
      </c>
      <c r="CG785" s="15" t="str">
        <f>[2]MPU!CH61</f>
        <v>#ERROR!</v>
      </c>
      <c r="CH785" s="15" t="str">
        <f>[2]MPU!CI61</f>
        <v>#ERROR!</v>
      </c>
      <c r="CI785" s="315" t="str">
        <f>[2]MPU!CK61</f>
        <v>#ERROR!</v>
      </c>
      <c r="CJ785" s="24"/>
      <c r="CK785" s="15" t="str">
        <f>[2]MPU!CL61</f>
        <v>#ERROR!</v>
      </c>
      <c r="CL785" s="15" t="str">
        <f>[2]MPU!CM61</f>
        <v>#ERROR!</v>
      </c>
      <c r="CM785" s="15" t="str">
        <f>[2]MPU!CN61</f>
        <v>#ERROR!</v>
      </c>
      <c r="CN785" s="365" t="str">
        <f>[2]MPU!CP61</f>
        <v>#ERROR!</v>
      </c>
      <c r="CO785" s="24"/>
      <c r="CP785" s="365" t="str">
        <f>[2]MPU!CQ61</f>
        <v>#ERROR!</v>
      </c>
      <c r="CQ785" s="15" t="str">
        <f>[2]MPU!CR61</f>
        <v>#ERROR!</v>
      </c>
      <c r="CR785" s="15" t="str">
        <f>[2]MPU!CS61</f>
        <v>#ERROR!</v>
      </c>
      <c r="CS785" s="315" t="str">
        <f>[2]MPU!CU61</f>
        <v>#ERROR!</v>
      </c>
      <c r="CT785" s="24"/>
      <c r="CU785" s="15" t="str">
        <f>[2]MPU!CV61</f>
        <v>#ERROR!</v>
      </c>
      <c r="CV785" s="15" t="str">
        <f>[2]MPU!CW61</f>
        <v>#ERROR!</v>
      </c>
      <c r="CW785" s="15" t="str">
        <f>[2]MPU!CX61</f>
        <v>#ERROR!</v>
      </c>
      <c r="CX785" s="315" t="str">
        <f>[2]MPU!CZ61</f>
        <v>#ERROR!</v>
      </c>
      <c r="CY785" s="24"/>
      <c r="CZ785" s="15" t="str">
        <f>[2]MPU!DA61</f>
        <v>#ERROR!</v>
      </c>
      <c r="DA785" s="15" t="str">
        <f>[2]MPU!DB61</f>
        <v>#ERROR!</v>
      </c>
      <c r="DB785" s="15" t="str">
        <f>[2]MPU!DC61</f>
        <v>#ERROR!</v>
      </c>
      <c r="DC785" s="315" t="str">
        <f>[2]MPU!DE61</f>
        <v>#ERROR!</v>
      </c>
      <c r="DD785" s="24"/>
      <c r="DE785" s="15" t="str">
        <f>[2]MPU!DF61</f>
        <v>#ERROR!</v>
      </c>
      <c r="DF785" s="15" t="str">
        <f>[2]MPU!DG61</f>
        <v>#ERROR!</v>
      </c>
      <c r="DG785" s="40" t="str">
        <f>[2]MPU!DH61</f>
        <v>#ERROR!</v>
      </c>
      <c r="DH785" s="315" t="str">
        <f>[2]MPU!DJ61</f>
        <v>#ERROR!</v>
      </c>
      <c r="DI785" s="24"/>
      <c r="DJ785" s="40" t="str">
        <f>[2]MPU!DK61</f>
        <v>#ERROR!</v>
      </c>
      <c r="DK785" s="40" t="str">
        <f>[2]MPU!DL61</f>
        <v>#ERROR!</v>
      </c>
      <c r="DL785" s="40" t="str">
        <f>[2]MPU!DM61</f>
        <v>#ERROR!</v>
      </c>
      <c r="DM785" s="315" t="str">
        <f>[2]MPU!DT61</f>
        <v>#ERROR!</v>
      </c>
      <c r="DN785" s="24"/>
      <c r="DO785" s="15" t="str">
        <f>[2]MPU!DU61</f>
        <v>#ERROR!</v>
      </c>
      <c r="DP785" s="15" t="str">
        <f>[2]MPU!DV61</f>
        <v>#ERROR!</v>
      </c>
      <c r="DQ785" s="15" t="str">
        <f>[2]MPU!DW61</f>
        <v>#ERROR!</v>
      </c>
      <c r="DR785" s="15" t="str">
        <f>[2]MPU!#REF!</f>
        <v>#ERROR!</v>
      </c>
      <c r="DS785" s="24"/>
      <c r="DT785" s="15" t="str">
        <f>[2]MPU!DZ61</f>
        <v>#ERROR!</v>
      </c>
      <c r="DU785" s="15" t="str">
        <f>[2]MPU!EA61</f>
        <v>#ERROR!</v>
      </c>
      <c r="DV785" s="15" t="str">
        <f>[2]MPU!EB61</f>
        <v>#ERROR!</v>
      </c>
      <c r="DW785" s="15" t="str">
        <f>[2]MPU!#REF!</f>
        <v>#ERROR!</v>
      </c>
      <c r="DX785" s="24"/>
      <c r="DY785" s="15" t="str">
        <f>[2]MPU!EE61</f>
        <v>#ERROR!</v>
      </c>
      <c r="DZ785" s="15" t="str">
        <f>[2]MPU!EF61</f>
        <v>#ERROR!</v>
      </c>
      <c r="EA785" s="15" t="str">
        <f>[2]MPU!EG61</f>
        <v>#ERROR!</v>
      </c>
      <c r="EB785" s="15" t="str">
        <f>[2]MPU!#REF!</f>
        <v>#ERROR!</v>
      </c>
      <c r="EC785" s="24"/>
      <c r="ED785" s="15" t="str">
        <f>[2]MPU!EJ61</f>
        <v>#ERROR!</v>
      </c>
      <c r="EE785" s="15" t="str">
        <f>[2]MPU!#REF!</f>
        <v>#ERROR!</v>
      </c>
      <c r="EF785" s="15" t="str">
        <f>[2]MPU!#REF!</f>
        <v>#ERROR!</v>
      </c>
      <c r="EG785" s="15" t="str">
        <f>[2]MPU!#REF!</f>
        <v>#ERROR!</v>
      </c>
      <c r="EH785" s="24"/>
      <c r="EI785" s="314" t="str">
        <f>[2]MPU!#REF!</f>
        <v>#ERROR!</v>
      </c>
      <c r="EJ785" s="15" t="str">
        <f>[2]MPU!#REF!</f>
        <v>#ERROR!</v>
      </c>
      <c r="EK785" s="15" t="str">
        <f>[2]MPU!#REF!</f>
        <v>#ERROR!</v>
      </c>
      <c r="EL785" s="315" t="str">
        <f>[2]MPU!#REF!</f>
        <v>#ERROR!</v>
      </c>
      <c r="EM785" s="24"/>
      <c r="EN785" s="15" t="str">
        <f>[2]MPU!#REF!</f>
        <v>#ERROR!</v>
      </c>
      <c r="EO785" s="15" t="str">
        <f>[2]MPU!#REF!</f>
        <v>#ERROR!</v>
      </c>
      <c r="EP785" s="15" t="str">
        <f>[2]MPU!#REF!</f>
        <v>#ERROR!</v>
      </c>
      <c r="EQ785" s="315" t="str">
        <f>[2]MPU!#REF!</f>
        <v>#ERROR!</v>
      </c>
      <c r="ER785" s="24"/>
      <c r="ES785" s="15" t="str">
        <f>[2]MPU!#REF!</f>
        <v>#ERROR!</v>
      </c>
      <c r="ET785" s="15" t="str">
        <f>[2]MPU!#REF!</f>
        <v>#ERROR!</v>
      </c>
      <c r="EU785" s="15" t="str">
        <f>[2]MPU!#REF!</f>
        <v>#ERROR!</v>
      </c>
      <c r="EV785" s="315" t="str">
        <f>[2]MPU!#REF!</f>
        <v>#ERROR!</v>
      </c>
      <c r="EW785" s="24"/>
      <c r="EX785" s="15" t="str">
        <f>[2]MPU!#REF!</f>
        <v>#ERROR!</v>
      </c>
      <c r="EY785" s="15" t="str">
        <f>[2]MPU!#REF!</f>
        <v>#ERROR!</v>
      </c>
      <c r="EZ785" s="15" t="str">
        <f>[2]MPU!#REF!</f>
        <v>#ERROR!</v>
      </c>
      <c r="FA785" s="315" t="str">
        <f>[2]MPU!#REF!</f>
        <v>#ERROR!</v>
      </c>
      <c r="FB785" s="24"/>
      <c r="FC785" s="15" t="str">
        <f>[2]MPU!#REF!</f>
        <v>#ERROR!</v>
      </c>
      <c r="FD785" s="15" t="str">
        <f>[2]MPU!#REF!</f>
        <v>#ERROR!</v>
      </c>
      <c r="FE785" s="15" t="str">
        <f>[2]MPU!#REF!</f>
        <v>#ERROR!</v>
      </c>
      <c r="FF785" s="315" t="str">
        <f>[2]MPU!#REF!</f>
        <v>#ERROR!</v>
      </c>
      <c r="FG785" s="24"/>
      <c r="FH785" s="104"/>
      <c r="FI785" s="15"/>
      <c r="FJ785" s="315"/>
      <c r="FK785" s="410"/>
      <c r="FL785" s="15"/>
    </row>
    <row r="786" ht="12.75" hidden="1" customHeight="1" outlineLevel="2">
      <c r="A786" s="45"/>
      <c r="B786" s="215" t="str">
        <f t="shared" si="3500"/>
        <v>Digital Enterprise Group</v>
      </c>
      <c r="C786" s="45"/>
      <c r="D786" s="410"/>
      <c r="E786" s="410"/>
      <c r="F786" s="410"/>
      <c r="G786" s="410"/>
      <c r="H786" s="15"/>
      <c r="I786" s="410"/>
      <c r="J786" s="410"/>
      <c r="K786" s="410"/>
      <c r="L786" s="410"/>
      <c r="M786" s="15"/>
      <c r="N786" s="410"/>
      <c r="O786" s="410"/>
      <c r="P786" s="410"/>
      <c r="Q786" s="410"/>
      <c r="R786" s="15"/>
      <c r="S786" s="410"/>
      <c r="T786" s="410"/>
      <c r="U786" s="410"/>
      <c r="V786" s="410"/>
      <c r="W786" s="15"/>
      <c r="X786" s="410"/>
      <c r="Y786" s="410"/>
      <c r="Z786" s="410"/>
      <c r="AA786" s="410"/>
      <c r="AB786" s="15"/>
      <c r="AC786" s="410"/>
      <c r="AD786" s="410"/>
      <c r="AE786" s="410"/>
      <c r="AF786" s="410"/>
      <c r="AG786" s="15"/>
      <c r="AH786" s="410"/>
      <c r="AI786" s="410"/>
      <c r="AJ786" s="410"/>
      <c r="AK786" s="410"/>
      <c r="AL786" s="15"/>
      <c r="AM786" s="410"/>
      <c r="AN786" s="410"/>
      <c r="AO786" s="410"/>
      <c r="AP786" s="410"/>
      <c r="AQ786" s="15"/>
      <c r="AR786" s="410"/>
      <c r="AS786" s="410">
        <f t="shared" ref="AS786:AU786" si="3512">AS750/AR750-1</f>
        <v>-0.05183758626</v>
      </c>
      <c r="AT786" s="410">
        <f t="shared" si="3512"/>
        <v>-0.007109004739</v>
      </c>
      <c r="AU786" s="410">
        <f t="shared" si="3512"/>
        <v>0.1546198432</v>
      </c>
      <c r="AV786" s="15"/>
      <c r="AW786" s="410">
        <f t="shared" si="3502"/>
        <v>-0.06082976524</v>
      </c>
      <c r="AX786" s="410">
        <f t="shared" ref="AX786:AZ786" si="3513">AX750/AW750-1</f>
        <v>-0.05659487502</v>
      </c>
      <c r="AY786" s="410">
        <f t="shared" si="3513"/>
        <v>0.06148975171</v>
      </c>
      <c r="AZ786" s="410">
        <f t="shared" si="3513"/>
        <v>0.005494505495</v>
      </c>
      <c r="BA786" s="15"/>
      <c r="BB786" s="410">
        <f t="shared" si="3504"/>
        <v>-0.1964090554</v>
      </c>
      <c r="BC786" s="410">
        <f t="shared" ref="BC786:BE786" si="3514">BC750/BB750-1</f>
        <v>-0.1021954537</v>
      </c>
      <c r="BD786" s="410">
        <f t="shared" si="3514"/>
        <v>0.07033109717</v>
      </c>
      <c r="BE786" s="410">
        <f t="shared" si="3514"/>
        <v>0.04367165386</v>
      </c>
      <c r="BF786" s="15"/>
      <c r="BG786" s="410">
        <f t="shared" si="3506"/>
        <v>-0.07903913212</v>
      </c>
      <c r="BH786" s="410">
        <f t="shared" ref="BH786:BJ786" si="3515">BH750/BG750-1</f>
        <v>-0.02334875894</v>
      </c>
      <c r="BI786" s="410">
        <f t="shared" si="3515"/>
        <v>0.1208270515</v>
      </c>
      <c r="BJ786" s="410">
        <f t="shared" si="3515"/>
        <v>0.1028055342</v>
      </c>
      <c r="BK786" s="15"/>
      <c r="BL786" s="410">
        <f t="shared" si="3508"/>
        <v>-0.05192542255</v>
      </c>
      <c r="BM786" s="410">
        <f t="shared" ref="BM786:BO786" si="3516">BM750/BL750-1</f>
        <v>-0.01249770263</v>
      </c>
      <c r="BN786" s="410">
        <f t="shared" si="3516"/>
        <v>-0.01023636702</v>
      </c>
      <c r="BO786" s="410">
        <f t="shared" si="3516"/>
        <v>-0.1538172245</v>
      </c>
      <c r="BP786" s="15"/>
      <c r="BQ786" s="410">
        <f t="shared" si="3510"/>
        <v>-0.1091111111</v>
      </c>
      <c r="BR786" s="410">
        <f t="shared" ref="BR786:BT786" si="3517">BR750/BQ750-1</f>
        <v>0.07358443502</v>
      </c>
      <c r="BS786" s="410">
        <f t="shared" si="3517"/>
        <v>0.1414962825</v>
      </c>
      <c r="BT786" s="410" t="str">
        <f t="shared" si="3517"/>
        <v>#ERROR!</v>
      </c>
      <c r="BU786" s="15"/>
      <c r="BV786" s="410" t="str">
        <f t="shared" ref="BV786:BV787" si="3542">BV750/BT750-1</f>
        <v>#ERROR!</v>
      </c>
      <c r="BW786" s="410" t="str">
        <f t="shared" ref="BW786:BY786" si="3518">BW750/BV750-1</f>
        <v>#ERROR!</v>
      </c>
      <c r="BX786" s="410" t="str">
        <f t="shared" si="3518"/>
        <v>#ERROR!</v>
      </c>
      <c r="BY786" s="410" t="str">
        <f t="shared" si="3518"/>
        <v>#ERROR!</v>
      </c>
      <c r="BZ786" s="313"/>
      <c r="CA786" s="410" t="str">
        <f t="shared" ref="CA786:CA787" si="3544">CA750/BY750-1</f>
        <v>#ERROR!</v>
      </c>
      <c r="CB786" s="410" t="str">
        <f t="shared" ref="CB786:CD786" si="3519">CB750/CA750-1</f>
        <v>#ERROR!</v>
      </c>
      <c r="CC786" s="410" t="str">
        <f t="shared" si="3519"/>
        <v>#ERROR!</v>
      </c>
      <c r="CD786" s="410" t="str">
        <f t="shared" si="3519"/>
        <v>#ERROR!</v>
      </c>
      <c r="CE786" s="313"/>
      <c r="CF786" s="410" t="str">
        <f t="shared" ref="CF786:CF787" si="3546">CF750/CD750-1</f>
        <v>#ERROR!</v>
      </c>
      <c r="CG786" s="410" t="str">
        <f t="shared" ref="CG786:CI786" si="3520">CG750/CF750-1</f>
        <v>#ERROR!</v>
      </c>
      <c r="CH786" s="410" t="str">
        <f t="shared" si="3520"/>
        <v>#ERROR!</v>
      </c>
      <c r="CI786" s="410" t="str">
        <f t="shared" si="3520"/>
        <v>#ERROR!</v>
      </c>
      <c r="CJ786" s="313"/>
      <c r="CK786" s="410" t="str">
        <f t="shared" ref="CK786:CK787" si="3548">CK750/CI750-1</f>
        <v>#ERROR!</v>
      </c>
      <c r="CL786" s="410" t="str">
        <f t="shared" ref="CL786:CN786" si="3521">CL750/CK750-1</f>
        <v>#ERROR!</v>
      </c>
      <c r="CM786" s="410" t="str">
        <f t="shared" si="3521"/>
        <v>#ERROR!</v>
      </c>
      <c r="CN786" s="104" t="str">
        <f t="shared" si="3521"/>
        <v>#ERROR!</v>
      </c>
      <c r="CO786" s="313"/>
      <c r="CP786" s="104" t="str">
        <f t="shared" ref="CP786:CP787" si="3550">CP750/CN750-1</f>
        <v>#ERROR!</v>
      </c>
      <c r="CQ786" s="410" t="str">
        <f t="shared" ref="CQ786:CS786" si="3522">CQ750/CP750-1</f>
        <v>#ERROR!</v>
      </c>
      <c r="CR786" s="410" t="str">
        <f t="shared" si="3522"/>
        <v>#ERROR!</v>
      </c>
      <c r="CS786" s="410" t="str">
        <f t="shared" si="3522"/>
        <v>#ERROR!</v>
      </c>
      <c r="CT786" s="313"/>
      <c r="CU786" s="410" t="str">
        <f t="shared" ref="CU786:CU787" si="3552">CU750/CS750-1</f>
        <v>#ERROR!</v>
      </c>
      <c r="CV786" s="410" t="str">
        <f t="shared" ref="CV786:CX786" si="3523">CV750/CU750-1</f>
        <v>#ERROR!</v>
      </c>
      <c r="CW786" s="410" t="str">
        <f t="shared" si="3523"/>
        <v>#ERROR!</v>
      </c>
      <c r="CX786" s="410" t="str">
        <f t="shared" si="3523"/>
        <v>#ERROR!</v>
      </c>
      <c r="CY786" s="313"/>
      <c r="CZ786" s="410" t="str">
        <f t="shared" ref="CZ786:CZ787" si="3554">CZ750/CX750-1</f>
        <v>#ERROR!</v>
      </c>
      <c r="DA786" s="410" t="str">
        <f t="shared" ref="DA786:DC786" si="3524">DA750/CZ750-1</f>
        <v>#ERROR!</v>
      </c>
      <c r="DB786" s="410" t="str">
        <f t="shared" si="3524"/>
        <v>#ERROR!</v>
      </c>
      <c r="DC786" s="410" t="str">
        <f t="shared" si="3524"/>
        <v>#ERROR!</v>
      </c>
      <c r="DD786" s="313"/>
      <c r="DE786" s="410" t="str">
        <f t="shared" ref="DE786:DE787" si="3556">DE750/DC750-1</f>
        <v>#ERROR!</v>
      </c>
      <c r="DF786" s="410" t="str">
        <f t="shared" ref="DF786:DH786" si="3525">DF750/DE750-1</f>
        <v>#ERROR!</v>
      </c>
      <c r="DG786" s="104" t="str">
        <f t="shared" si="3525"/>
        <v>#ERROR!</v>
      </c>
      <c r="DH786" s="410" t="str">
        <f t="shared" si="3525"/>
        <v>#ERROR!</v>
      </c>
      <c r="DI786" s="313"/>
      <c r="DJ786" s="104" t="str">
        <f t="shared" ref="DJ786:DJ787" si="3558">DJ750/DH750-1</f>
        <v>#ERROR!</v>
      </c>
      <c r="DK786" s="104" t="str">
        <f t="shared" ref="DK786:DM786" si="3526">DK750/DJ750-1</f>
        <v>#ERROR!</v>
      </c>
      <c r="DL786" s="104" t="str">
        <f t="shared" si="3526"/>
        <v>#ERROR!</v>
      </c>
      <c r="DM786" s="410" t="str">
        <f t="shared" si="3526"/>
        <v>#ERROR!</v>
      </c>
      <c r="DN786" s="313"/>
      <c r="DO786" s="410" t="str">
        <f t="shared" ref="DO786:DO787" si="3560">DO750/DM750-1</f>
        <v>#ERROR!</v>
      </c>
      <c r="DP786" s="410" t="str">
        <f t="shared" ref="DP786:DR786" si="3527">DP750/DO750-1</f>
        <v>#ERROR!</v>
      </c>
      <c r="DQ786" s="410" t="str">
        <f t="shared" si="3527"/>
        <v>#ERROR!</v>
      </c>
      <c r="DR786" s="410" t="str">
        <f t="shared" si="3527"/>
        <v>#ERROR!</v>
      </c>
      <c r="DS786" s="313"/>
      <c r="DT786" s="410" t="str">
        <f t="shared" ref="DT786:DT787" si="3562">DT750/DR750-1</f>
        <v>#ERROR!</v>
      </c>
      <c r="DU786" s="410" t="str">
        <f t="shared" ref="DU786:DW786" si="3528">DU750/DT750-1</f>
        <v>#ERROR!</v>
      </c>
      <c r="DV786" s="410" t="str">
        <f t="shared" si="3528"/>
        <v>#ERROR!</v>
      </c>
      <c r="DW786" s="410" t="str">
        <f t="shared" si="3528"/>
        <v>#ERROR!</v>
      </c>
      <c r="DX786" s="313"/>
      <c r="DY786" s="410" t="str">
        <f t="shared" ref="DY786:DY787" si="3564">DY750/DW750-1</f>
        <v>#ERROR!</v>
      </c>
      <c r="DZ786" s="410" t="str">
        <f t="shared" ref="DZ786:EB786" si="3529">DZ750/DY750-1</f>
        <v>#ERROR!</v>
      </c>
      <c r="EA786" s="410" t="str">
        <f t="shared" si="3529"/>
        <v>#ERROR!</v>
      </c>
      <c r="EB786" s="410" t="str">
        <f t="shared" si="3529"/>
        <v>#ERROR!</v>
      </c>
      <c r="EC786" s="313"/>
      <c r="ED786" s="410" t="str">
        <f t="shared" ref="ED786:ED787" si="3566">ED750/EB750-1</f>
        <v>#ERROR!</v>
      </c>
      <c r="EE786" s="410" t="str">
        <f t="shared" ref="EE786:EG786" si="3530">EE750/ED750-1</f>
        <v>#ERROR!</v>
      </c>
      <c r="EF786" s="410" t="str">
        <f t="shared" si="3530"/>
        <v>#ERROR!</v>
      </c>
      <c r="EG786" s="410" t="str">
        <f t="shared" si="3530"/>
        <v>#ERROR!</v>
      </c>
      <c r="EH786" s="313"/>
      <c r="EI786" s="317" t="str">
        <f t="shared" ref="EI786:EI787" si="3568">EI750/EG750-1</f>
        <v>#ERROR!</v>
      </c>
      <c r="EJ786" s="410" t="str">
        <f t="shared" ref="EJ786:EL786" si="3531">EJ750/EI750-1</f>
        <v>#ERROR!</v>
      </c>
      <c r="EK786" s="410" t="str">
        <f t="shared" si="3531"/>
        <v>#ERROR!</v>
      </c>
      <c r="EL786" s="410" t="str">
        <f t="shared" si="3531"/>
        <v>#ERROR!</v>
      </c>
      <c r="EM786" s="313"/>
      <c r="EN786" s="410" t="str">
        <f t="shared" ref="EN786:EN787" si="3570">EN750/EL750-1</f>
        <v>#ERROR!</v>
      </c>
      <c r="EO786" s="410" t="str">
        <f t="shared" ref="EO786:EQ786" si="3532">EO750/EN750-1</f>
        <v>#ERROR!</v>
      </c>
      <c r="EP786" s="410" t="str">
        <f t="shared" si="3532"/>
        <v>#ERROR!</v>
      </c>
      <c r="EQ786" s="410" t="str">
        <f t="shared" si="3532"/>
        <v>#ERROR!</v>
      </c>
      <c r="ER786" s="313"/>
      <c r="ES786" s="410" t="str">
        <f t="shared" ref="ES786:ES787" si="3572">ES750/EQ750-1</f>
        <v>#ERROR!</v>
      </c>
      <c r="ET786" s="410" t="str">
        <f t="shared" ref="ET786:EV786" si="3533">ET750/ES750-1</f>
        <v>#ERROR!</v>
      </c>
      <c r="EU786" s="410" t="str">
        <f t="shared" si="3533"/>
        <v>#ERROR!</v>
      </c>
      <c r="EV786" s="410" t="str">
        <f t="shared" si="3533"/>
        <v>#ERROR!</v>
      </c>
      <c r="EW786" s="313"/>
      <c r="EX786" s="410" t="str">
        <f t="shared" ref="EX786:EX787" si="3574">EX750/EV750-1</f>
        <v>#ERROR!</v>
      </c>
      <c r="EY786" s="410" t="str">
        <f t="shared" ref="EY786:FA786" si="3534">EY750/EX750-1</f>
        <v>#ERROR!</v>
      </c>
      <c r="EZ786" s="410" t="str">
        <f t="shared" si="3534"/>
        <v>#ERROR!</v>
      </c>
      <c r="FA786" s="410" t="str">
        <f t="shared" si="3534"/>
        <v>#ERROR!</v>
      </c>
      <c r="FB786" s="313"/>
      <c r="FC786" s="410" t="str">
        <f t="shared" ref="FC786:FC787" si="3576">FC750/FA750-1</f>
        <v>#ERROR!</v>
      </c>
      <c r="FD786" s="410" t="str">
        <f t="shared" ref="FD786:FF786" si="3535">FD750/FC750-1</f>
        <v>#ERROR!</v>
      </c>
      <c r="FE786" s="410" t="str">
        <f t="shared" si="3535"/>
        <v>#ERROR!</v>
      </c>
      <c r="FF786" s="410" t="str">
        <f t="shared" si="3535"/>
        <v>#ERROR!</v>
      </c>
      <c r="FG786" s="313"/>
      <c r="FH786" s="40"/>
      <c r="FI786" s="410"/>
      <c r="FJ786" s="410"/>
      <c r="FK786" s="15"/>
      <c r="FL786" s="410"/>
    </row>
    <row r="787" ht="12.75" hidden="1" customHeight="1" outlineLevel="2">
      <c r="A787" s="4"/>
      <c r="B787" s="72" t="str">
        <f t="shared" si="3500"/>
        <v>Mobile Processors</v>
      </c>
      <c r="C787" s="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f t="shared" ref="AS787:AU787" si="3536">AS751/AR751-1</f>
        <v>0.05335628227</v>
      </c>
      <c r="AT787" s="15">
        <f t="shared" si="3536"/>
        <v>0.283496732</v>
      </c>
      <c r="AU787" s="15">
        <f t="shared" si="3536"/>
        <v>0.088478676</v>
      </c>
      <c r="AV787" s="15"/>
      <c r="AW787" s="15">
        <f t="shared" si="3502"/>
        <v>0.1210526316</v>
      </c>
      <c r="AX787" s="15">
        <f t="shared" ref="AX787:AZ787" si="3537">AX751/AW751-1</f>
        <v>0.07250912885</v>
      </c>
      <c r="AY787" s="15">
        <f t="shared" si="3537"/>
        <v>0.1337548638</v>
      </c>
      <c r="AZ787" s="15">
        <f t="shared" si="3537"/>
        <v>0.0296010296</v>
      </c>
      <c r="BA787" s="15"/>
      <c r="BB787" s="15">
        <f t="shared" si="3504"/>
        <v>-0.02208333333</v>
      </c>
      <c r="BC787" s="15">
        <f t="shared" ref="BC787:BE787" si="3538">BC751/BB751-1</f>
        <v>-0.1657435023</v>
      </c>
      <c r="BD787" s="15">
        <f t="shared" si="3538"/>
        <v>0.1435137896</v>
      </c>
      <c r="BE787" s="15">
        <f t="shared" si="3538"/>
        <v>0.1916033944</v>
      </c>
      <c r="BF787" s="15"/>
      <c r="BG787" s="15">
        <f t="shared" si="3506"/>
        <v>-0.08508245877</v>
      </c>
      <c r="BH787" s="15">
        <f t="shared" ref="BH787:BJ787" si="3539">BH751/BG751-1</f>
        <v>-0.01761573126</v>
      </c>
      <c r="BI787" s="15">
        <f t="shared" si="3539"/>
        <v>0.1809841535</v>
      </c>
      <c r="BJ787" s="15">
        <f t="shared" si="3539"/>
        <v>0.05543785311</v>
      </c>
      <c r="BK787" s="15"/>
      <c r="BL787" s="15">
        <f t="shared" si="3508"/>
        <v>-0.08798929408</v>
      </c>
      <c r="BM787" s="15">
        <f t="shared" ref="BM787:BO787" si="3540">BM751/BL751-1</f>
        <v>0.005869405723</v>
      </c>
      <c r="BN787" s="15">
        <f t="shared" si="3540"/>
        <v>0.2352297593</v>
      </c>
      <c r="BO787" s="15">
        <f t="shared" si="3540"/>
        <v>-0.2370829643</v>
      </c>
      <c r="BP787" s="15"/>
      <c r="BQ787" s="15">
        <f t="shared" si="3510"/>
        <v>-0.153250774</v>
      </c>
      <c r="BR787" s="15">
        <f t="shared" ref="BR787:BT787" si="3541">BR751/BQ751-1</f>
        <v>0.1672760512</v>
      </c>
      <c r="BS787" s="15">
        <f t="shared" si="3541"/>
        <v>0.1448707909</v>
      </c>
      <c r="BT787" s="15" t="str">
        <f t="shared" si="3541"/>
        <v>#ERROR!</v>
      </c>
      <c r="BU787" s="15"/>
      <c r="BV787" s="15" t="str">
        <f t="shared" si="3542"/>
        <v>#ERROR!</v>
      </c>
      <c r="BW787" s="15" t="str">
        <f t="shared" ref="BW787:BY787" si="3543">BW751/BV751-1</f>
        <v>#ERROR!</v>
      </c>
      <c r="BX787" s="15" t="str">
        <f t="shared" si="3543"/>
        <v>#ERROR!</v>
      </c>
      <c r="BY787" s="15" t="str">
        <f t="shared" si="3543"/>
        <v>#ERROR!</v>
      </c>
      <c r="BZ787" s="313"/>
      <c r="CA787" s="15" t="str">
        <f t="shared" si="3544"/>
        <v>#ERROR!</v>
      </c>
      <c r="CB787" s="15" t="str">
        <f t="shared" ref="CB787:CD787" si="3545">CB751/CA751-1</f>
        <v>#ERROR!</v>
      </c>
      <c r="CC787" s="15" t="str">
        <f t="shared" si="3545"/>
        <v>#ERROR!</v>
      </c>
      <c r="CD787" s="15" t="str">
        <f t="shared" si="3545"/>
        <v>#ERROR!</v>
      </c>
      <c r="CE787" s="313"/>
      <c r="CF787" s="15" t="str">
        <f t="shared" si="3546"/>
        <v>#ERROR!</v>
      </c>
      <c r="CG787" s="15" t="str">
        <f t="shared" ref="CG787:CI787" si="3547">CG751/CF751-1</f>
        <v>#ERROR!</v>
      </c>
      <c r="CH787" s="15" t="str">
        <f t="shared" si="3547"/>
        <v>#ERROR!</v>
      </c>
      <c r="CI787" s="15" t="str">
        <f t="shared" si="3547"/>
        <v>#ERROR!</v>
      </c>
      <c r="CJ787" s="313"/>
      <c r="CK787" s="15" t="str">
        <f t="shared" si="3548"/>
        <v>#ERROR!</v>
      </c>
      <c r="CL787" s="15" t="str">
        <f t="shared" ref="CL787:CN787" si="3549">CL751/CK751-1</f>
        <v>#ERROR!</v>
      </c>
      <c r="CM787" s="15" t="str">
        <f t="shared" si="3549"/>
        <v>#ERROR!</v>
      </c>
      <c r="CN787" s="40" t="str">
        <f t="shared" si="3549"/>
        <v>#ERROR!</v>
      </c>
      <c r="CO787" s="313"/>
      <c r="CP787" s="40" t="str">
        <f t="shared" si="3550"/>
        <v>#ERROR!</v>
      </c>
      <c r="CQ787" s="15" t="str">
        <f t="shared" ref="CQ787:CS787" si="3551">CQ751/CP751-1</f>
        <v>#ERROR!</v>
      </c>
      <c r="CR787" s="15" t="str">
        <f t="shared" si="3551"/>
        <v>#ERROR!</v>
      </c>
      <c r="CS787" s="15" t="str">
        <f t="shared" si="3551"/>
        <v>#ERROR!</v>
      </c>
      <c r="CT787" s="313"/>
      <c r="CU787" s="15" t="str">
        <f t="shared" si="3552"/>
        <v>#ERROR!</v>
      </c>
      <c r="CV787" s="15" t="str">
        <f t="shared" ref="CV787:CX787" si="3553">CV751/CU751-1</f>
        <v>#ERROR!</v>
      </c>
      <c r="CW787" s="15" t="str">
        <f t="shared" si="3553"/>
        <v>#ERROR!</v>
      </c>
      <c r="CX787" s="15" t="str">
        <f t="shared" si="3553"/>
        <v>#ERROR!</v>
      </c>
      <c r="CY787" s="313"/>
      <c r="CZ787" s="15" t="str">
        <f t="shared" si="3554"/>
        <v>#ERROR!</v>
      </c>
      <c r="DA787" s="15" t="str">
        <f t="shared" ref="DA787:DC787" si="3555">DA751/CZ751-1</f>
        <v>#ERROR!</v>
      </c>
      <c r="DB787" s="15" t="str">
        <f t="shared" si="3555"/>
        <v>#ERROR!</v>
      </c>
      <c r="DC787" s="15" t="str">
        <f t="shared" si="3555"/>
        <v>#ERROR!</v>
      </c>
      <c r="DD787" s="313"/>
      <c r="DE787" s="15" t="str">
        <f t="shared" si="3556"/>
        <v>#ERROR!</v>
      </c>
      <c r="DF787" s="15" t="str">
        <f t="shared" ref="DF787:DH787" si="3557">DF751/DE751-1</f>
        <v>#ERROR!</v>
      </c>
      <c r="DG787" s="40" t="str">
        <f t="shared" si="3557"/>
        <v>#ERROR!</v>
      </c>
      <c r="DH787" s="15" t="str">
        <f t="shared" si="3557"/>
        <v>#ERROR!</v>
      </c>
      <c r="DI787" s="313"/>
      <c r="DJ787" s="40" t="str">
        <f t="shared" si="3558"/>
        <v>#ERROR!</v>
      </c>
      <c r="DK787" s="40" t="str">
        <f t="shared" ref="DK787:DM787" si="3559">DK751/DJ751-1</f>
        <v>#ERROR!</v>
      </c>
      <c r="DL787" s="40" t="str">
        <f t="shared" si="3559"/>
        <v>#ERROR!</v>
      </c>
      <c r="DM787" s="15" t="str">
        <f t="shared" si="3559"/>
        <v>#ERROR!</v>
      </c>
      <c r="DN787" s="313"/>
      <c r="DO787" s="15" t="str">
        <f t="shared" si="3560"/>
        <v>#ERROR!</v>
      </c>
      <c r="DP787" s="15" t="str">
        <f t="shared" ref="DP787:DR787" si="3561">DP751/DO751-1</f>
        <v>#ERROR!</v>
      </c>
      <c r="DQ787" s="15" t="str">
        <f t="shared" si="3561"/>
        <v>#ERROR!</v>
      </c>
      <c r="DR787" s="15" t="str">
        <f t="shared" si="3561"/>
        <v>#ERROR!</v>
      </c>
      <c r="DS787" s="313"/>
      <c r="DT787" s="15" t="str">
        <f t="shared" si="3562"/>
        <v>#ERROR!</v>
      </c>
      <c r="DU787" s="15" t="str">
        <f t="shared" ref="DU787:DW787" si="3563">DU751/DT751-1</f>
        <v>#ERROR!</v>
      </c>
      <c r="DV787" s="15" t="str">
        <f t="shared" si="3563"/>
        <v>#ERROR!</v>
      </c>
      <c r="DW787" s="15" t="str">
        <f t="shared" si="3563"/>
        <v>#ERROR!</v>
      </c>
      <c r="DX787" s="313"/>
      <c r="DY787" s="15" t="str">
        <f t="shared" si="3564"/>
        <v>#ERROR!</v>
      </c>
      <c r="DZ787" s="15" t="str">
        <f t="shared" ref="DZ787:EB787" si="3565">DZ751/DY751-1</f>
        <v>#ERROR!</v>
      </c>
      <c r="EA787" s="15" t="str">
        <f t="shared" si="3565"/>
        <v>#ERROR!</v>
      </c>
      <c r="EB787" s="15" t="str">
        <f t="shared" si="3565"/>
        <v>#ERROR!</v>
      </c>
      <c r="EC787" s="313"/>
      <c r="ED787" s="15" t="str">
        <f t="shared" si="3566"/>
        <v>#ERROR!</v>
      </c>
      <c r="EE787" s="15" t="str">
        <f t="shared" ref="EE787:EG787" si="3567">EE751/ED751-1</f>
        <v>#ERROR!</v>
      </c>
      <c r="EF787" s="15" t="str">
        <f t="shared" si="3567"/>
        <v>#ERROR!</v>
      </c>
      <c r="EG787" s="15" t="str">
        <f t="shared" si="3567"/>
        <v>#ERROR!</v>
      </c>
      <c r="EH787" s="313"/>
      <c r="EI787" s="82" t="str">
        <f t="shared" si="3568"/>
        <v>#ERROR!</v>
      </c>
      <c r="EJ787" s="15" t="str">
        <f t="shared" ref="EJ787:EL787" si="3569">EJ751/EI751-1</f>
        <v>#ERROR!</v>
      </c>
      <c r="EK787" s="15" t="str">
        <f t="shared" si="3569"/>
        <v>#ERROR!</v>
      </c>
      <c r="EL787" s="15" t="str">
        <f t="shared" si="3569"/>
        <v>#ERROR!</v>
      </c>
      <c r="EM787" s="313"/>
      <c r="EN787" s="15" t="str">
        <f t="shared" si="3570"/>
        <v>#ERROR!</v>
      </c>
      <c r="EO787" s="15" t="str">
        <f t="shared" ref="EO787:EQ787" si="3571">EO751/EN751-1</f>
        <v>#ERROR!</v>
      </c>
      <c r="EP787" s="15" t="str">
        <f t="shared" si="3571"/>
        <v>#ERROR!</v>
      </c>
      <c r="EQ787" s="15" t="str">
        <f t="shared" si="3571"/>
        <v>#ERROR!</v>
      </c>
      <c r="ER787" s="313"/>
      <c r="ES787" s="15" t="str">
        <f t="shared" si="3572"/>
        <v>#ERROR!</v>
      </c>
      <c r="ET787" s="15" t="str">
        <f t="shared" ref="ET787:EV787" si="3573">ET751/ES751-1</f>
        <v>#ERROR!</v>
      </c>
      <c r="EU787" s="15" t="str">
        <f t="shared" si="3573"/>
        <v>#ERROR!</v>
      </c>
      <c r="EV787" s="15" t="str">
        <f t="shared" si="3573"/>
        <v>#ERROR!</v>
      </c>
      <c r="EW787" s="313"/>
      <c r="EX787" s="15" t="str">
        <f t="shared" si="3574"/>
        <v>#ERROR!</v>
      </c>
      <c r="EY787" s="15" t="str">
        <f t="shared" ref="EY787:FA787" si="3575">EY751/EX751-1</f>
        <v>#ERROR!</v>
      </c>
      <c r="EZ787" s="15" t="str">
        <f t="shared" si="3575"/>
        <v>#ERROR!</v>
      </c>
      <c r="FA787" s="15" t="str">
        <f t="shared" si="3575"/>
        <v>#ERROR!</v>
      </c>
      <c r="FB787" s="313"/>
      <c r="FC787" s="15" t="str">
        <f t="shared" si="3576"/>
        <v>#ERROR!</v>
      </c>
      <c r="FD787" s="15" t="str">
        <f t="shared" ref="FD787:FF787" si="3577">FD751/FC751-1</f>
        <v>#ERROR!</v>
      </c>
      <c r="FE787" s="15" t="str">
        <f t="shared" si="3577"/>
        <v>#ERROR!</v>
      </c>
      <c r="FF787" s="15" t="str">
        <f t="shared" si="3577"/>
        <v>#ERROR!</v>
      </c>
      <c r="FG787" s="313"/>
      <c r="FH787" s="40"/>
      <c r="FI787" s="15"/>
      <c r="FJ787" s="15"/>
      <c r="FK787" s="15"/>
      <c r="FL787" s="15"/>
    </row>
    <row r="788" ht="12.75" hidden="1" customHeight="1" outlineLevel="2">
      <c r="A788" s="263"/>
      <c r="B788" s="72" t="str">
        <f t="shared" si="3500"/>
        <v>Mobile Chipsets and other</v>
      </c>
      <c r="C788" s="4"/>
      <c r="D788" s="15"/>
      <c r="E788" s="15"/>
      <c r="F788" s="15"/>
      <c r="G788" s="315"/>
      <c r="H788" s="15"/>
      <c r="I788" s="15"/>
      <c r="J788" s="15"/>
      <c r="K788" s="15"/>
      <c r="L788" s="315"/>
      <c r="M788" s="15"/>
      <c r="N788" s="15"/>
      <c r="O788" s="15"/>
      <c r="P788" s="15"/>
      <c r="Q788" s="315"/>
      <c r="R788" s="15"/>
      <c r="S788" s="15"/>
      <c r="T788" s="15"/>
      <c r="U788" s="15"/>
      <c r="V788" s="315"/>
      <c r="W788" s="15"/>
      <c r="X788" s="15"/>
      <c r="Y788" s="15"/>
      <c r="Z788" s="15"/>
      <c r="AA788" s="315"/>
      <c r="AB788" s="15"/>
      <c r="AC788" s="15"/>
      <c r="AD788" s="15"/>
      <c r="AE788" s="15"/>
      <c r="AF788" s="315"/>
      <c r="AG788" s="15"/>
      <c r="AH788" s="15"/>
      <c r="AI788" s="15"/>
      <c r="AJ788" s="15"/>
      <c r="AK788" s="315"/>
      <c r="AL788" s="15"/>
      <c r="AM788" s="15"/>
      <c r="AN788" s="15"/>
      <c r="AO788" s="15"/>
      <c r="AP788" s="315"/>
      <c r="AQ788" s="15"/>
      <c r="AR788" s="15"/>
      <c r="AS788" s="15">
        <f t="shared" ref="AS788:AU788" si="3578">AS752/AR752-1</f>
        <v>0.1869918699</v>
      </c>
      <c r="AT788" s="15">
        <f t="shared" si="3578"/>
        <v>0.2054794521</v>
      </c>
      <c r="AU788" s="315">
        <f t="shared" si="3578"/>
        <v>0.2073863636</v>
      </c>
      <c r="AV788" s="15"/>
      <c r="AW788" s="15">
        <f t="shared" si="3502"/>
        <v>0.2141176471</v>
      </c>
      <c r="AX788" s="15">
        <f t="shared" ref="AX788:AY788" si="3579">AX752/AW752-1</f>
        <v>0.09689922481</v>
      </c>
      <c r="AY788" s="15">
        <f t="shared" si="3579"/>
        <v>0.1307420495</v>
      </c>
      <c r="AZ788" s="315">
        <f>AZ787</f>
        <v>0.0296010296</v>
      </c>
      <c r="BA788" s="15"/>
      <c r="BB788" s="15">
        <f t="shared" si="3504"/>
        <v>-0.1035460993</v>
      </c>
      <c r="BC788" s="15">
        <f t="shared" ref="BC788:BE788" si="3580">BC752/BB752-1</f>
        <v>0.1566455696</v>
      </c>
      <c r="BD788" s="15">
        <f t="shared" si="3580"/>
        <v>0.1067031464</v>
      </c>
      <c r="BE788" s="315">
        <f t="shared" si="3580"/>
        <v>0.1433868974</v>
      </c>
      <c r="BF788" s="15"/>
      <c r="BG788" s="15">
        <f t="shared" si="3506"/>
        <v>-0.06378378378</v>
      </c>
      <c r="BH788" s="15">
        <f t="shared" ref="BH788:BJ788" si="3581">BH752/BG752-1</f>
        <v>0.03695150115</v>
      </c>
      <c r="BI788" s="15">
        <f t="shared" si="3581"/>
        <v>0.2683741648</v>
      </c>
      <c r="BJ788" s="315">
        <f t="shared" si="3581"/>
        <v>-0.01843722564</v>
      </c>
      <c r="BK788" s="15"/>
      <c r="BL788" s="15">
        <f t="shared" si="3508"/>
        <v>-0.156529517</v>
      </c>
      <c r="BM788" s="15">
        <f t="shared" ref="BM788:BO788" si="3582">BM752/BL752-1</f>
        <v>0.1187698834</v>
      </c>
      <c r="BN788" s="15">
        <f t="shared" si="3582"/>
        <v>0.2265402844</v>
      </c>
      <c r="BO788" s="315">
        <f t="shared" si="3582"/>
        <v>-0.2913446677</v>
      </c>
      <c r="BP788" s="15"/>
      <c r="BQ788" s="15">
        <f t="shared" si="3510"/>
        <v>-0.2082878953</v>
      </c>
      <c r="BR788" s="15">
        <f t="shared" ref="BR788:BS788" si="3583">BR752/BQ752-1</f>
        <v>0.2768595041</v>
      </c>
      <c r="BS788" s="15">
        <f t="shared" si="3583"/>
        <v>0.3020496224</v>
      </c>
      <c r="BT788" s="315" t="str">
        <f>[2]MPU!BT77</f>
        <v>#ERROR!</v>
      </c>
      <c r="BU788" s="15"/>
      <c r="BV788" s="15" t="str">
        <f>[2]MPU!BV77</f>
        <v>#ERROR!</v>
      </c>
      <c r="BW788" s="15" t="str">
        <f>[2]MPU!BW77</f>
        <v>#ERROR!</v>
      </c>
      <c r="BX788" s="15" t="str">
        <f>[2]MPU!BX77</f>
        <v>#ERROR!</v>
      </c>
      <c r="BY788" s="315" t="str">
        <f>[2]MPU!BY77</f>
        <v>#ERROR!</v>
      </c>
      <c r="BZ788" s="313"/>
      <c r="CA788" s="15" t="str">
        <f>[2]MPU!CA77</f>
        <v>#ERROR!</v>
      </c>
      <c r="CB788" s="15" t="str">
        <f>[2]MPU!CB77</f>
        <v>#ERROR!</v>
      </c>
      <c r="CC788" s="15" t="str">
        <f>[2]MPU!CC77</f>
        <v>#ERROR!</v>
      </c>
      <c r="CD788" s="315" t="str">
        <f>[2]MPU!CD77</f>
        <v>#ERROR!</v>
      </c>
      <c r="CE788" s="313"/>
      <c r="CF788" s="15" t="str">
        <f>[2]MPU!CF77</f>
        <v>#ERROR!</v>
      </c>
      <c r="CG788" s="15" t="str">
        <f>[2]MPU!CG77</f>
        <v>#ERROR!</v>
      </c>
      <c r="CH788" s="15" t="str">
        <f>[2]MPU!CH77</f>
        <v>#ERROR!</v>
      </c>
      <c r="CI788" s="315" t="str">
        <f>[2]MPU!CI77</f>
        <v>#ERROR!</v>
      </c>
      <c r="CJ788" s="313"/>
      <c r="CK788" s="15" t="str">
        <f>[2]MPU!CK77</f>
        <v>#ERROR!</v>
      </c>
      <c r="CL788" s="15" t="str">
        <f>[2]MPU!CL77</f>
        <v>#ERROR!</v>
      </c>
      <c r="CM788" s="15" t="str">
        <f>[2]MPU!CM77</f>
        <v>#ERROR!</v>
      </c>
      <c r="CN788" s="365" t="str">
        <f>[2]MPU!CN77</f>
        <v>#ERROR!</v>
      </c>
      <c r="CO788" s="313"/>
      <c r="CP788" s="365" t="str">
        <f>[2]MPU!CP77</f>
        <v>#ERROR!</v>
      </c>
      <c r="CQ788" s="15" t="str">
        <f>[2]MPU!CQ77</f>
        <v>#ERROR!</v>
      </c>
      <c r="CR788" s="15" t="str">
        <f>[2]MPU!CR77</f>
        <v>#ERROR!</v>
      </c>
      <c r="CS788" s="315" t="str">
        <f>[2]MPU!CS77</f>
        <v>#ERROR!</v>
      </c>
      <c r="CT788" s="313"/>
      <c r="CU788" s="15" t="str">
        <f>[2]MPU!CU77</f>
        <v>#ERROR!</v>
      </c>
      <c r="CV788" s="15" t="str">
        <f>[2]MPU!CV77</f>
        <v>#ERROR!</v>
      </c>
      <c r="CW788" s="15" t="str">
        <f>[2]MPU!CW77</f>
        <v>#ERROR!</v>
      </c>
      <c r="CX788" s="315" t="str">
        <f>[2]MPU!CX77</f>
        <v>#ERROR!</v>
      </c>
      <c r="CY788" s="313"/>
      <c r="CZ788" s="15" t="str">
        <f>[2]MPU!CZ77</f>
        <v>#ERROR!</v>
      </c>
      <c r="DA788" s="15" t="str">
        <f>[2]MPU!DA77</f>
        <v>#ERROR!</v>
      </c>
      <c r="DB788" s="15" t="str">
        <f>[2]MPU!DB77</f>
        <v>#ERROR!</v>
      </c>
      <c r="DC788" s="315" t="str">
        <f>[2]MPU!DC77</f>
        <v>#ERROR!</v>
      </c>
      <c r="DD788" s="313"/>
      <c r="DE788" s="15" t="str">
        <f>[2]MPU!DE77</f>
        <v>#ERROR!</v>
      </c>
      <c r="DF788" s="15" t="str">
        <f>[2]MPU!DF77</f>
        <v>#ERROR!</v>
      </c>
      <c r="DG788" s="40" t="str">
        <f>[2]MPU!DG77</f>
        <v>#ERROR!</v>
      </c>
      <c r="DH788" s="315" t="str">
        <f>[2]MPU!DH77</f>
        <v>#ERROR!</v>
      </c>
      <c r="DI788" s="313"/>
      <c r="DJ788" s="40" t="str">
        <f>[2]MPU!DJ77</f>
        <v>#ERROR!</v>
      </c>
      <c r="DK788" s="40" t="str">
        <f>[2]MPU!DK77</f>
        <v>#ERROR!</v>
      </c>
      <c r="DL788" s="40" t="str">
        <f>[2]MPU!DL77</f>
        <v>#ERROR!</v>
      </c>
      <c r="DM788" s="315" t="str">
        <f>[2]MPU!DM77</f>
        <v>#ERROR!</v>
      </c>
      <c r="DN788" s="313"/>
      <c r="DO788" s="15" t="str">
        <f>[2]MPU!DT77</f>
        <v>#ERROR!</v>
      </c>
      <c r="DP788" s="15" t="str">
        <f>[2]MPU!DU77</f>
        <v>#ERROR!</v>
      </c>
      <c r="DQ788" s="15" t="str">
        <f>[2]MPU!DV77</f>
        <v>#ERROR!</v>
      </c>
      <c r="DR788" s="15" t="str">
        <f>[2]MPU!DW77</f>
        <v>#ERROR!</v>
      </c>
      <c r="DS788" s="313"/>
      <c r="DT788" s="15" t="str">
        <f>[2]MPU!DY77</f>
        <v>#ERROR!</v>
      </c>
      <c r="DU788" s="15" t="str">
        <f>[2]MPU!DZ77</f>
        <v>#ERROR!</v>
      </c>
      <c r="DV788" s="15" t="str">
        <f>[2]MPU!EA77</f>
        <v>#ERROR!</v>
      </c>
      <c r="DW788" s="15" t="str">
        <f>[2]MPU!EB77</f>
        <v>#ERROR!</v>
      </c>
      <c r="DX788" s="313"/>
      <c r="DY788" s="15" t="str">
        <f>[2]MPU!ED77</f>
        <v>#ERROR!</v>
      </c>
      <c r="DZ788" s="15" t="str">
        <f>[2]MPU!EE77</f>
        <v>#ERROR!</v>
      </c>
      <c r="EA788" s="15" t="str">
        <f>[2]MPU!EF77</f>
        <v>#ERROR!</v>
      </c>
      <c r="EB788" s="15" t="str">
        <f>[2]MPU!EG77</f>
        <v>#ERROR!</v>
      </c>
      <c r="EC788" s="313"/>
      <c r="ED788" s="15" t="str">
        <f>[2]MPU!EI77</f>
        <v>#ERROR!</v>
      </c>
      <c r="EE788" s="15" t="str">
        <f>[2]MPU!EJ77</f>
        <v>#ERROR!</v>
      </c>
      <c r="EF788" s="15" t="str">
        <f>[2]MPU!#REF!</f>
        <v>#ERROR!</v>
      </c>
      <c r="EG788" s="15" t="str">
        <f>[2]MPU!#REF!</f>
        <v>#ERROR!</v>
      </c>
      <c r="EH788" s="313"/>
      <c r="EI788" s="314" t="str">
        <f>[2]MPU!#REF!</f>
        <v>#ERROR!</v>
      </c>
      <c r="EJ788" s="15" t="str">
        <f>[2]MPU!#REF!</f>
        <v>#ERROR!</v>
      </c>
      <c r="EK788" s="15" t="str">
        <f>[2]MPU!#REF!</f>
        <v>#ERROR!</v>
      </c>
      <c r="EL788" s="315" t="str">
        <f>[2]MPU!#REF!</f>
        <v>#ERROR!</v>
      </c>
      <c r="EM788" s="313"/>
      <c r="EN788" s="15" t="str">
        <f>[2]MPU!#REF!</f>
        <v>#ERROR!</v>
      </c>
      <c r="EO788" s="15" t="str">
        <f>[2]MPU!#REF!</f>
        <v>#ERROR!</v>
      </c>
      <c r="EP788" s="15" t="str">
        <f>[2]MPU!#REF!</f>
        <v>#ERROR!</v>
      </c>
      <c r="EQ788" s="315" t="str">
        <f>[2]MPU!#REF!</f>
        <v>#ERROR!</v>
      </c>
      <c r="ER788" s="313"/>
      <c r="ES788" s="15" t="str">
        <f>[2]MPU!#REF!</f>
        <v>#ERROR!</v>
      </c>
      <c r="ET788" s="15" t="str">
        <f>[2]MPU!#REF!</f>
        <v>#ERROR!</v>
      </c>
      <c r="EU788" s="15" t="str">
        <f>[2]MPU!#REF!</f>
        <v>#ERROR!</v>
      </c>
      <c r="EV788" s="315" t="str">
        <f>[2]MPU!#REF!</f>
        <v>#ERROR!</v>
      </c>
      <c r="EW788" s="313"/>
      <c r="EX788" s="15" t="str">
        <f>[2]MPU!#REF!</f>
        <v>#ERROR!</v>
      </c>
      <c r="EY788" s="15" t="str">
        <f>[2]MPU!#REF!</f>
        <v>#ERROR!</v>
      </c>
      <c r="EZ788" s="15" t="str">
        <f>[2]MPU!#REF!</f>
        <v>#ERROR!</v>
      </c>
      <c r="FA788" s="315" t="str">
        <f>[2]MPU!#REF!</f>
        <v>#ERROR!</v>
      </c>
      <c r="FB788" s="313"/>
      <c r="FC788" s="15" t="str">
        <f>[2]MPU!#REF!</f>
        <v>#ERROR!</v>
      </c>
      <c r="FD788" s="15" t="str">
        <f>[2]MPU!#REF!</f>
        <v>#ERROR!</v>
      </c>
      <c r="FE788" s="15" t="str">
        <f>[2]MPU!#REF!</f>
        <v>#ERROR!</v>
      </c>
      <c r="FF788" s="315" t="str">
        <f>[2]MPU!#REF!</f>
        <v>#ERROR!</v>
      </c>
      <c r="FG788" s="313"/>
      <c r="FH788" s="40"/>
      <c r="FI788" s="15"/>
      <c r="FJ788" s="315"/>
      <c r="FK788" s="15"/>
      <c r="FL788" s="15"/>
    </row>
    <row r="789" ht="12.75" hidden="1" customHeight="1" outlineLevel="2">
      <c r="A789" s="4"/>
      <c r="B789" s="72" t="str">
        <f t="shared" si="3500"/>
        <v>NOR Flash (through 3Q05)</v>
      </c>
      <c r="C789" s="4"/>
      <c r="D789" s="4"/>
      <c r="E789" s="4"/>
      <c r="F789" s="4"/>
      <c r="G789" s="4"/>
      <c r="H789" s="15"/>
      <c r="I789" s="4"/>
      <c r="J789" s="4"/>
      <c r="K789" s="4"/>
      <c r="L789" s="4"/>
      <c r="M789" s="15"/>
      <c r="N789" s="4"/>
      <c r="O789" s="4"/>
      <c r="P789" s="4"/>
      <c r="Q789" s="4"/>
      <c r="R789" s="15"/>
      <c r="S789" s="4"/>
      <c r="T789" s="4"/>
      <c r="U789" s="4"/>
      <c r="V789" s="4"/>
      <c r="W789" s="15"/>
      <c r="X789" s="4"/>
      <c r="Y789" s="4"/>
      <c r="Z789" s="4"/>
      <c r="AA789" s="4"/>
      <c r="AB789" s="15"/>
      <c r="AC789" s="4"/>
      <c r="AD789" s="4"/>
      <c r="AE789" s="4"/>
      <c r="AF789" s="4"/>
      <c r="AG789" s="15"/>
      <c r="AH789" s="4"/>
      <c r="AI789" s="4"/>
      <c r="AJ789" s="4"/>
      <c r="AK789" s="4"/>
      <c r="AL789" s="15"/>
      <c r="AM789" s="4"/>
      <c r="AN789" s="4"/>
      <c r="AO789" s="4"/>
      <c r="AP789" s="4"/>
      <c r="AQ789" s="15"/>
      <c r="AR789" s="4"/>
      <c r="AS789" s="4">
        <f t="shared" ref="AS789:AU789" si="3584">AS753/AR753-1</f>
        <v>0.4076738609</v>
      </c>
      <c r="AT789" s="4">
        <f t="shared" si="3584"/>
        <v>0.08688245315</v>
      </c>
      <c r="AU789" s="4">
        <f t="shared" si="3584"/>
        <v>0.007836990596</v>
      </c>
      <c r="AV789" s="15"/>
      <c r="AW789" s="4">
        <f t="shared" si="3502"/>
        <v>-0.101088647</v>
      </c>
      <c r="AX789" s="4">
        <f t="shared" ref="AX789:AY789" si="3585">AX753/AW753-1</f>
        <v>-0.08650519031</v>
      </c>
      <c r="AY789" s="4">
        <f t="shared" si="3585"/>
        <v>0.08333333333</v>
      </c>
      <c r="AZ789" s="4"/>
      <c r="BA789" s="15"/>
      <c r="BB789" s="4"/>
      <c r="BC789" s="4"/>
      <c r="BD789" s="4"/>
      <c r="BE789" s="4"/>
      <c r="BF789" s="15"/>
      <c r="BG789" s="4"/>
      <c r="BH789" s="4"/>
      <c r="BI789" s="4"/>
      <c r="BJ789" s="4"/>
      <c r="BK789" s="15"/>
      <c r="BL789" s="4"/>
      <c r="BM789" s="4"/>
      <c r="BN789" s="4"/>
      <c r="BO789" s="4"/>
      <c r="BP789" s="15"/>
      <c r="BQ789" s="4"/>
      <c r="BR789" s="4"/>
      <c r="BS789" s="4"/>
      <c r="BT789" s="4"/>
      <c r="BU789" s="15"/>
      <c r="BV789" s="4"/>
      <c r="BW789" s="4"/>
      <c r="BX789" s="4"/>
      <c r="BY789" s="4"/>
      <c r="BZ789" s="313"/>
      <c r="CA789" s="4"/>
      <c r="CB789" s="4"/>
      <c r="CC789" s="4"/>
      <c r="CD789" s="4"/>
      <c r="CE789" s="313"/>
      <c r="CF789" s="4"/>
      <c r="CG789" s="4"/>
      <c r="CH789" s="4"/>
      <c r="CI789" s="4"/>
      <c r="CJ789" s="313"/>
      <c r="CK789" s="4"/>
      <c r="CL789" s="4"/>
      <c r="CM789" s="4"/>
      <c r="CN789" s="16"/>
      <c r="CO789" s="313"/>
      <c r="CP789" s="16"/>
      <c r="CQ789" s="4"/>
      <c r="CR789" s="4"/>
      <c r="CS789" s="4"/>
      <c r="CT789" s="313"/>
      <c r="CU789" s="4"/>
      <c r="CV789" s="4"/>
      <c r="CW789" s="4"/>
      <c r="CX789" s="4"/>
      <c r="CY789" s="313"/>
      <c r="CZ789" s="4"/>
      <c r="DA789" s="4"/>
      <c r="DB789" s="4"/>
      <c r="DC789" s="4"/>
      <c r="DD789" s="313"/>
      <c r="DE789" s="4"/>
      <c r="DF789" s="4"/>
      <c r="DG789" s="16"/>
      <c r="DH789" s="4"/>
      <c r="DI789" s="313"/>
      <c r="DJ789" s="16"/>
      <c r="DK789" s="16"/>
      <c r="DL789" s="16"/>
      <c r="DM789" s="4"/>
      <c r="DN789" s="313"/>
      <c r="DO789" s="4"/>
      <c r="DP789" s="4"/>
      <c r="DQ789" s="4"/>
      <c r="DR789" s="4"/>
      <c r="DS789" s="313"/>
      <c r="DT789" s="4"/>
      <c r="DU789" s="4"/>
      <c r="DV789" s="4"/>
      <c r="DW789" s="4"/>
      <c r="DX789" s="313"/>
      <c r="DY789" s="4"/>
      <c r="DZ789" s="4"/>
      <c r="EA789" s="4"/>
      <c r="EB789" s="4"/>
      <c r="EC789" s="313"/>
      <c r="ED789" s="4"/>
      <c r="EE789" s="4"/>
      <c r="EF789" s="4"/>
      <c r="EG789" s="4"/>
      <c r="EH789" s="313"/>
      <c r="EI789" s="214"/>
      <c r="EJ789" s="4"/>
      <c r="EK789" s="4"/>
      <c r="EL789" s="4"/>
      <c r="EM789" s="313"/>
      <c r="EN789" s="4"/>
      <c r="EO789" s="4"/>
      <c r="EP789" s="4"/>
      <c r="EQ789" s="4"/>
      <c r="ER789" s="313"/>
      <c r="ES789" s="4"/>
      <c r="ET789" s="4"/>
      <c r="EU789" s="4"/>
      <c r="EV789" s="4"/>
      <c r="EW789" s="313"/>
      <c r="EX789" s="4"/>
      <c r="EY789" s="4"/>
      <c r="EZ789" s="4"/>
      <c r="FA789" s="4"/>
      <c r="FB789" s="313"/>
      <c r="FC789" s="4"/>
      <c r="FD789" s="4"/>
      <c r="FE789" s="4"/>
      <c r="FF789" s="4"/>
      <c r="FG789" s="313"/>
      <c r="FH789" s="40"/>
      <c r="FI789" s="4"/>
      <c r="FJ789" s="4"/>
      <c r="FK789" s="15"/>
      <c r="FL789" s="4"/>
    </row>
    <row r="790" ht="12.75" hidden="1" customHeight="1" outlineLevel="2">
      <c r="A790" s="45"/>
      <c r="B790" s="215" t="str">
        <f t="shared" si="3500"/>
        <v>Mobility Group</v>
      </c>
      <c r="C790" s="45"/>
      <c r="D790" s="410"/>
      <c r="E790" s="410"/>
      <c r="F790" s="410"/>
      <c r="G790" s="410"/>
      <c r="H790" s="15"/>
      <c r="I790" s="410"/>
      <c r="J790" s="410"/>
      <c r="K790" s="410"/>
      <c r="L790" s="410"/>
      <c r="M790" s="15"/>
      <c r="N790" s="410"/>
      <c r="O790" s="410"/>
      <c r="P790" s="410"/>
      <c r="Q790" s="410"/>
      <c r="R790" s="15"/>
      <c r="S790" s="410"/>
      <c r="T790" s="410"/>
      <c r="U790" s="410"/>
      <c r="V790" s="410"/>
      <c r="W790" s="15"/>
      <c r="X790" s="410"/>
      <c r="Y790" s="410"/>
      <c r="Z790" s="410"/>
      <c r="AA790" s="410"/>
      <c r="AB790" s="15"/>
      <c r="AC790" s="410"/>
      <c r="AD790" s="410"/>
      <c r="AE790" s="410"/>
      <c r="AF790" s="410"/>
      <c r="AG790" s="15"/>
      <c r="AH790" s="410"/>
      <c r="AI790" s="410"/>
      <c r="AJ790" s="410"/>
      <c r="AK790" s="410"/>
      <c r="AL790" s="15"/>
      <c r="AM790" s="410"/>
      <c r="AN790" s="410"/>
      <c r="AO790" s="410"/>
      <c r="AP790" s="410"/>
      <c r="AQ790" s="15"/>
      <c r="AR790" s="410"/>
      <c r="AS790" s="410">
        <f t="shared" ref="AS790:AU790" si="3586">AS754/AR754-1</f>
        <v>0.1523287671</v>
      </c>
      <c r="AT790" s="410">
        <f t="shared" si="3586"/>
        <v>0.2177841179</v>
      </c>
      <c r="AU790" s="410">
        <f t="shared" si="3586"/>
        <v>0.08473252636</v>
      </c>
      <c r="AV790" s="15"/>
      <c r="AW790" s="410">
        <f t="shared" si="3502"/>
        <v>0.08387329014</v>
      </c>
      <c r="AX790" s="410">
        <f t="shared" ref="AX790:AY790" si="3587">AX754/AW754-1</f>
        <v>0.04616406509</v>
      </c>
      <c r="AY790" s="410">
        <f t="shared" si="3587"/>
        <v>0.1247619048</v>
      </c>
      <c r="AZ790" s="410">
        <f>AZ754/(AY754-AY753)-1</f>
        <v>0.04510265904</v>
      </c>
      <c r="BA790" s="15"/>
      <c r="BB790" s="410">
        <f t="shared" ref="BB790:BB791" si="3610">BB754/AZ754-1</f>
        <v>-0.04057971014</v>
      </c>
      <c r="BC790" s="410">
        <f t="shared" ref="BC790:BE790" si="3588">BC754/BB754-1</f>
        <v>-0.09734810339</v>
      </c>
      <c r="BD790" s="410">
        <f t="shared" si="3588"/>
        <v>0.1335068799</v>
      </c>
      <c r="BE790" s="410">
        <f t="shared" si="3588"/>
        <v>0.1788057743</v>
      </c>
      <c r="BF790" s="15"/>
      <c r="BG790" s="410">
        <f t="shared" ref="BG790:BG795" si="3612">BG754/BE754-1</f>
        <v>-0.07959922071</v>
      </c>
      <c r="BH790" s="410">
        <f t="shared" ref="BH790:BJ790" si="3589">BH754/BG754-1</f>
        <v>-0.003326277593</v>
      </c>
      <c r="BI790" s="410">
        <f t="shared" si="3589"/>
        <v>0.2047936893</v>
      </c>
      <c r="BJ790" s="410">
        <f t="shared" si="3589"/>
        <v>0.03424830018</v>
      </c>
      <c r="BK790" s="15"/>
      <c r="BL790" s="410">
        <f t="shared" ref="BL790:BL795" si="3614">BL754/BJ754-1</f>
        <v>-0.1066471877</v>
      </c>
      <c r="BM790" s="410">
        <f t="shared" ref="BM790:BO790" si="3590">BM754/BL754-1</f>
        <v>0.03488689016</v>
      </c>
      <c r="BN790" s="410">
        <f t="shared" si="3590"/>
        <v>0.2328153806</v>
      </c>
      <c r="BO790" s="410">
        <f t="shared" si="3590"/>
        <v>-0.2520828883</v>
      </c>
      <c r="BP790" s="15"/>
      <c r="BQ790" s="410">
        <f t="shared" ref="BQ790:BQ792" si="3616">BQ754/BO754-1</f>
        <v>-0.167666381</v>
      </c>
      <c r="BR790" s="410">
        <f t="shared" ref="BR790:BT790" si="3591">BR754/BQ754-1</f>
        <v>0.1945778998</v>
      </c>
      <c r="BS790" s="410">
        <f t="shared" si="3591"/>
        <v>0.1867279517</v>
      </c>
      <c r="BT790" s="410" t="str">
        <f t="shared" si="3591"/>
        <v>#ERROR!</v>
      </c>
      <c r="BU790" s="15"/>
      <c r="BV790" s="410" t="str">
        <f>BV754/BT754-1</f>
        <v>#ERROR!</v>
      </c>
      <c r="BW790" s="410" t="str">
        <f t="shared" ref="BW790:BY790" si="3592">BW754/BV754-1</f>
        <v>#ERROR!</v>
      </c>
      <c r="BX790" s="410" t="str">
        <f t="shared" si="3592"/>
        <v>#ERROR!</v>
      </c>
      <c r="BY790" s="410" t="str">
        <f t="shared" si="3592"/>
        <v>#ERROR!</v>
      </c>
      <c r="BZ790" s="313"/>
      <c r="CA790" s="410" t="str">
        <f>CA754/BY754-1</f>
        <v>#ERROR!</v>
      </c>
      <c r="CB790" s="410" t="str">
        <f t="shared" ref="CB790:CD790" si="3593">CB754/CA754-1</f>
        <v>#ERROR!</v>
      </c>
      <c r="CC790" s="410" t="str">
        <f t="shared" si="3593"/>
        <v>#ERROR!</v>
      </c>
      <c r="CD790" s="410" t="str">
        <f t="shared" si="3593"/>
        <v>#ERROR!</v>
      </c>
      <c r="CE790" s="313"/>
      <c r="CF790" s="410" t="str">
        <f>CF754/CD754-1</f>
        <v>#ERROR!</v>
      </c>
      <c r="CG790" s="410" t="str">
        <f t="shared" ref="CG790:CI790" si="3594">CG754/CF754-1</f>
        <v>#ERROR!</v>
      </c>
      <c r="CH790" s="410" t="str">
        <f t="shared" si="3594"/>
        <v>#ERROR!</v>
      </c>
      <c r="CI790" s="410" t="str">
        <f t="shared" si="3594"/>
        <v>#ERROR!</v>
      </c>
      <c r="CJ790" s="313"/>
      <c r="CK790" s="410" t="str">
        <f>CK754/CI754-1</f>
        <v>#ERROR!</v>
      </c>
      <c r="CL790" s="410" t="str">
        <f t="shared" ref="CL790:CN790" si="3595">CL754/CK754-1</f>
        <v>#ERROR!</v>
      </c>
      <c r="CM790" s="410" t="str">
        <f t="shared" si="3595"/>
        <v>#ERROR!</v>
      </c>
      <c r="CN790" s="104" t="str">
        <f t="shared" si="3595"/>
        <v>#ERROR!</v>
      </c>
      <c r="CO790" s="313"/>
      <c r="CP790" s="104" t="str">
        <f>CP754/CN754-1</f>
        <v>#ERROR!</v>
      </c>
      <c r="CQ790" s="410" t="str">
        <f t="shared" ref="CQ790:CS790" si="3596">CQ754/CP754-1</f>
        <v>#ERROR!</v>
      </c>
      <c r="CR790" s="410" t="str">
        <f t="shared" si="3596"/>
        <v>#ERROR!</v>
      </c>
      <c r="CS790" s="410" t="str">
        <f t="shared" si="3596"/>
        <v>#ERROR!</v>
      </c>
      <c r="CT790" s="313"/>
      <c r="CU790" s="410" t="str">
        <f>CU754/CS754-1</f>
        <v>#ERROR!</v>
      </c>
      <c r="CV790" s="410" t="str">
        <f t="shared" ref="CV790:CX790" si="3597">CV754/CU754-1</f>
        <v>#ERROR!</v>
      </c>
      <c r="CW790" s="410" t="str">
        <f t="shared" si="3597"/>
        <v>#ERROR!</v>
      </c>
      <c r="CX790" s="410" t="str">
        <f t="shared" si="3597"/>
        <v>#ERROR!</v>
      </c>
      <c r="CY790" s="313"/>
      <c r="CZ790" s="410" t="str">
        <f>CZ754/CX754-1</f>
        <v>#ERROR!</v>
      </c>
      <c r="DA790" s="410" t="str">
        <f t="shared" ref="DA790:DC790" si="3598">DA754/CZ754-1</f>
        <v>#ERROR!</v>
      </c>
      <c r="DB790" s="410" t="str">
        <f t="shared" si="3598"/>
        <v>#ERROR!</v>
      </c>
      <c r="DC790" s="410" t="str">
        <f t="shared" si="3598"/>
        <v>#ERROR!</v>
      </c>
      <c r="DD790" s="313"/>
      <c r="DE790" s="410" t="str">
        <f>DE754/DC754-1</f>
        <v>#ERROR!</v>
      </c>
      <c r="DF790" s="410" t="str">
        <f t="shared" ref="DF790:DH790" si="3599">DF754/DE754-1</f>
        <v>#ERROR!</v>
      </c>
      <c r="DG790" s="104" t="str">
        <f t="shared" si="3599"/>
        <v>#ERROR!</v>
      </c>
      <c r="DH790" s="410" t="str">
        <f t="shared" si="3599"/>
        <v>#ERROR!</v>
      </c>
      <c r="DI790" s="313"/>
      <c r="DJ790" s="104" t="str">
        <f>DJ754/DH754-1</f>
        <v>#ERROR!</v>
      </c>
      <c r="DK790" s="104" t="str">
        <f t="shared" ref="DK790:DM790" si="3600">DK754/DJ754-1</f>
        <v>#ERROR!</v>
      </c>
      <c r="DL790" s="104" t="str">
        <f t="shared" si="3600"/>
        <v>#ERROR!</v>
      </c>
      <c r="DM790" s="410" t="str">
        <f t="shared" si="3600"/>
        <v>#ERROR!</v>
      </c>
      <c r="DN790" s="313"/>
      <c r="DO790" s="410" t="str">
        <f>DO754/DM754-1</f>
        <v>#ERROR!</v>
      </c>
      <c r="DP790" s="410" t="str">
        <f t="shared" ref="DP790:DR790" si="3601">DP754/DO754-1</f>
        <v>#ERROR!</v>
      </c>
      <c r="DQ790" s="410" t="str">
        <f t="shared" si="3601"/>
        <v>#ERROR!</v>
      </c>
      <c r="DR790" s="410" t="str">
        <f t="shared" si="3601"/>
        <v>#ERROR!</v>
      </c>
      <c r="DS790" s="313"/>
      <c r="DT790" s="410" t="str">
        <f>DT754/DR754-1</f>
        <v>#ERROR!</v>
      </c>
      <c r="DU790" s="410" t="str">
        <f t="shared" ref="DU790:DW790" si="3602">DU754/DT754-1</f>
        <v>#ERROR!</v>
      </c>
      <c r="DV790" s="410" t="str">
        <f t="shared" si="3602"/>
        <v>#ERROR!</v>
      </c>
      <c r="DW790" s="410" t="str">
        <f t="shared" si="3602"/>
        <v>#ERROR!</v>
      </c>
      <c r="DX790" s="313"/>
      <c r="DY790" s="410" t="str">
        <f>DY754/DW754-1</f>
        <v>#ERROR!</v>
      </c>
      <c r="DZ790" s="410" t="str">
        <f t="shared" ref="DZ790:EB790" si="3603">DZ754/DY754-1</f>
        <v>#ERROR!</v>
      </c>
      <c r="EA790" s="410" t="str">
        <f t="shared" si="3603"/>
        <v>#ERROR!</v>
      </c>
      <c r="EB790" s="410" t="str">
        <f t="shared" si="3603"/>
        <v>#ERROR!</v>
      </c>
      <c r="EC790" s="313"/>
      <c r="ED790" s="410" t="str">
        <f>ED754/EB754-1</f>
        <v>#ERROR!</v>
      </c>
      <c r="EE790" s="410" t="str">
        <f t="shared" ref="EE790:EG790" si="3604">EE754/ED754-1</f>
        <v>#ERROR!</v>
      </c>
      <c r="EF790" s="410" t="str">
        <f t="shared" si="3604"/>
        <v>#ERROR!</v>
      </c>
      <c r="EG790" s="410" t="str">
        <f t="shared" si="3604"/>
        <v>#ERROR!</v>
      </c>
      <c r="EH790" s="313"/>
      <c r="EI790" s="317" t="str">
        <f>EI754/EG754-1</f>
        <v>#ERROR!</v>
      </c>
      <c r="EJ790" s="410" t="str">
        <f t="shared" ref="EJ790:EL790" si="3605">EJ754/EI754-1</f>
        <v>#ERROR!</v>
      </c>
      <c r="EK790" s="410" t="str">
        <f t="shared" si="3605"/>
        <v>#ERROR!</v>
      </c>
      <c r="EL790" s="410" t="str">
        <f t="shared" si="3605"/>
        <v>#ERROR!</v>
      </c>
      <c r="EM790" s="313"/>
      <c r="EN790" s="410" t="str">
        <f>EN754/EL754-1</f>
        <v>#ERROR!</v>
      </c>
      <c r="EO790" s="410" t="str">
        <f t="shared" ref="EO790:EQ790" si="3606">EO754/EN754-1</f>
        <v>#ERROR!</v>
      </c>
      <c r="EP790" s="410" t="str">
        <f t="shared" si="3606"/>
        <v>#ERROR!</v>
      </c>
      <c r="EQ790" s="410" t="str">
        <f t="shared" si="3606"/>
        <v>#ERROR!</v>
      </c>
      <c r="ER790" s="313"/>
      <c r="ES790" s="410" t="str">
        <f>ES754/EQ754-1</f>
        <v>#ERROR!</v>
      </c>
      <c r="ET790" s="410" t="str">
        <f t="shared" ref="ET790:EV790" si="3607">ET754/ES754-1</f>
        <v>#ERROR!</v>
      </c>
      <c r="EU790" s="410" t="str">
        <f t="shared" si="3607"/>
        <v>#ERROR!</v>
      </c>
      <c r="EV790" s="410" t="str">
        <f t="shared" si="3607"/>
        <v>#ERROR!</v>
      </c>
      <c r="EW790" s="313"/>
      <c r="EX790" s="410" t="str">
        <f>EX754/EV754-1</f>
        <v>#ERROR!</v>
      </c>
      <c r="EY790" s="410" t="str">
        <f t="shared" ref="EY790:FA790" si="3608">EY754/EX754-1</f>
        <v>#ERROR!</v>
      </c>
      <c r="EZ790" s="410" t="str">
        <f t="shared" si="3608"/>
        <v>#ERROR!</v>
      </c>
      <c r="FA790" s="410" t="str">
        <f t="shared" si="3608"/>
        <v>#ERROR!</v>
      </c>
      <c r="FB790" s="313"/>
      <c r="FC790" s="410" t="str">
        <f>FC754/FA754-1</f>
        <v>#ERROR!</v>
      </c>
      <c r="FD790" s="410" t="str">
        <f t="shared" ref="FD790:FF790" si="3609">FD754/FC754-1</f>
        <v>#ERROR!</v>
      </c>
      <c r="FE790" s="410" t="str">
        <f t="shared" si="3609"/>
        <v>#ERROR!</v>
      </c>
      <c r="FF790" s="410" t="str">
        <f t="shared" si="3609"/>
        <v>#ERROR!</v>
      </c>
      <c r="FG790" s="313"/>
      <c r="FH790" s="40"/>
      <c r="FI790" s="410"/>
      <c r="FJ790" s="410"/>
      <c r="FK790" s="15"/>
      <c r="FL790" s="410"/>
    </row>
    <row r="791" ht="12.75" hidden="1" customHeight="1" outlineLevel="2">
      <c r="A791" s="4"/>
      <c r="B791" s="72" t="s">
        <v>322</v>
      </c>
      <c r="C791" s="45"/>
      <c r="D791" s="15"/>
      <c r="E791" s="15"/>
      <c r="F791" s="315"/>
      <c r="G791" s="315"/>
      <c r="H791" s="410"/>
      <c r="I791" s="15"/>
      <c r="J791" s="15"/>
      <c r="K791" s="315"/>
      <c r="L791" s="315"/>
      <c r="M791" s="410"/>
      <c r="N791" s="15"/>
      <c r="O791" s="15"/>
      <c r="P791" s="315"/>
      <c r="Q791" s="315"/>
      <c r="R791" s="410"/>
      <c r="S791" s="15"/>
      <c r="T791" s="15"/>
      <c r="U791" s="315"/>
      <c r="V791" s="315"/>
      <c r="W791" s="410"/>
      <c r="X791" s="15"/>
      <c r="Y791" s="15"/>
      <c r="Z791" s="315"/>
      <c r="AA791" s="315"/>
      <c r="AB791" s="410"/>
      <c r="AC791" s="15"/>
      <c r="AD791" s="15"/>
      <c r="AE791" s="315"/>
      <c r="AF791" s="315"/>
      <c r="AG791" s="410"/>
      <c r="AH791" s="15"/>
      <c r="AI791" s="15"/>
      <c r="AJ791" s="315"/>
      <c r="AK791" s="315"/>
      <c r="AL791" s="410"/>
      <c r="AM791" s="15"/>
      <c r="AN791" s="15"/>
      <c r="AO791" s="315"/>
      <c r="AP791" s="315"/>
      <c r="AQ791" s="410"/>
      <c r="AR791" s="15"/>
      <c r="AS791" s="15"/>
      <c r="AT791" s="315"/>
      <c r="AU791" s="315"/>
      <c r="AV791" s="410"/>
      <c r="AW791" s="15"/>
      <c r="AX791" s="15"/>
      <c r="AY791" s="315"/>
      <c r="AZ791" s="315">
        <f>AZ755/AY753-1</f>
        <v>0.04895104895</v>
      </c>
      <c r="BA791" s="410"/>
      <c r="BB791" s="15">
        <f t="shared" si="3610"/>
        <v>-0.1283333333</v>
      </c>
      <c r="BC791" s="15">
        <f t="shared" ref="BC791:BE791" si="3611">BC755/BB755-1</f>
        <v>-0.02868068834</v>
      </c>
      <c r="BD791" s="315">
        <f t="shared" si="3611"/>
        <v>-0.08267716535</v>
      </c>
      <c r="BE791" s="315">
        <f t="shared" si="3611"/>
        <v>0.09442060086</v>
      </c>
      <c r="BF791" s="410"/>
      <c r="BG791" s="15">
        <f t="shared" si="3612"/>
        <v>-0.162745098</v>
      </c>
      <c r="BH791" s="15">
        <f t="shared" ref="BH791:BJ791" si="3613">BH755/BG755-1</f>
        <v>-0.05222482436</v>
      </c>
      <c r="BI791" s="315">
        <f t="shared" si="3613"/>
        <v>0.04027674821</v>
      </c>
      <c r="BJ791" s="315">
        <f t="shared" si="3613"/>
        <v>0.04275534442</v>
      </c>
      <c r="BK791" s="410"/>
      <c r="BL791" s="15">
        <f t="shared" si="3614"/>
        <v>-0.2733485194</v>
      </c>
      <c r="BM791" s="15">
        <f t="shared" ref="BM791:BO791" si="3615">BM755/BL755-1</f>
        <v>-0.7648902821</v>
      </c>
      <c r="BN791" s="315">
        <f t="shared" si="3615"/>
        <v>-0.6</v>
      </c>
      <c r="BO791" s="315">
        <f t="shared" si="3615"/>
        <v>-0.3333333333</v>
      </c>
      <c r="BP791" s="410"/>
      <c r="BQ791" s="15">
        <f t="shared" si="3616"/>
        <v>-1</v>
      </c>
      <c r="BR791" s="15"/>
      <c r="BS791" s="315"/>
      <c r="BT791" s="315"/>
      <c r="BU791" s="410"/>
      <c r="BV791" s="15"/>
      <c r="BW791" s="15"/>
      <c r="BX791" s="315"/>
      <c r="BY791" s="315"/>
      <c r="BZ791" s="24"/>
      <c r="CA791" s="15"/>
      <c r="CB791" s="15"/>
      <c r="CC791" s="315"/>
      <c r="CD791" s="315"/>
      <c r="CE791" s="24"/>
      <c r="CF791" s="15"/>
      <c r="CG791" s="15"/>
      <c r="CH791" s="315"/>
      <c r="CI791" s="315"/>
      <c r="CJ791" s="24"/>
      <c r="CK791" s="15"/>
      <c r="CL791" s="15"/>
      <c r="CM791" s="15"/>
      <c r="CN791" s="365"/>
      <c r="CO791" s="24"/>
      <c r="CP791" s="365"/>
      <c r="CQ791" s="15"/>
      <c r="CR791" s="315"/>
      <c r="CS791" s="315"/>
      <c r="CT791" s="24"/>
      <c r="CU791" s="15"/>
      <c r="CV791" s="315"/>
      <c r="CW791" s="315"/>
      <c r="CX791" s="315"/>
      <c r="CY791" s="24"/>
      <c r="CZ791" s="15"/>
      <c r="DA791" s="15"/>
      <c r="DB791" s="315"/>
      <c r="DC791" s="315"/>
      <c r="DD791" s="24"/>
      <c r="DE791" s="15"/>
      <c r="DF791" s="15"/>
      <c r="DG791" s="365"/>
      <c r="DH791" s="315"/>
      <c r="DI791" s="24"/>
      <c r="DJ791" s="40"/>
      <c r="DK791" s="40"/>
      <c r="DL791" s="365"/>
      <c r="DM791" s="315"/>
      <c r="DN791" s="24"/>
      <c r="DO791" s="15"/>
      <c r="DP791" s="15"/>
      <c r="DQ791" s="15"/>
      <c r="DR791" s="15"/>
      <c r="DS791" s="24"/>
      <c r="DT791" s="15"/>
      <c r="DU791" s="15"/>
      <c r="DV791" s="15"/>
      <c r="DW791" s="15"/>
      <c r="DX791" s="24"/>
      <c r="DY791" s="15"/>
      <c r="DZ791" s="15"/>
      <c r="EA791" s="15"/>
      <c r="EB791" s="15"/>
      <c r="EC791" s="24"/>
      <c r="ED791" s="15"/>
      <c r="EE791" s="15"/>
      <c r="EF791" s="15"/>
      <c r="EG791" s="15"/>
      <c r="EH791" s="24"/>
      <c r="EI791" s="314"/>
      <c r="EJ791" s="15"/>
      <c r="EK791" s="315"/>
      <c r="EL791" s="315"/>
      <c r="EM791" s="24"/>
      <c r="EN791" s="15"/>
      <c r="EO791" s="15"/>
      <c r="EP791" s="315"/>
      <c r="EQ791" s="315"/>
      <c r="ER791" s="24"/>
      <c r="ES791" s="15"/>
      <c r="ET791" s="15"/>
      <c r="EU791" s="315"/>
      <c r="EV791" s="315"/>
      <c r="EW791" s="24"/>
      <c r="EX791" s="15"/>
      <c r="EY791" s="15"/>
      <c r="EZ791" s="315"/>
      <c r="FA791" s="315"/>
      <c r="FB791" s="24"/>
      <c r="FC791" s="15"/>
      <c r="FD791" s="15"/>
      <c r="FE791" s="315"/>
      <c r="FF791" s="315"/>
      <c r="FG791" s="24"/>
      <c r="FH791" s="104"/>
      <c r="FI791" s="315"/>
      <c r="FJ791" s="315"/>
      <c r="FK791" s="410"/>
      <c r="FL791" s="15"/>
    </row>
    <row r="792" ht="12.75" hidden="1" customHeight="1" outlineLevel="2">
      <c r="A792" s="4"/>
      <c r="B792" s="72" t="s">
        <v>286</v>
      </c>
      <c r="C792" s="45"/>
      <c r="D792" s="15"/>
      <c r="E792" s="15"/>
      <c r="F792" s="15"/>
      <c r="G792" s="15"/>
      <c r="H792" s="410"/>
      <c r="I792" s="15"/>
      <c r="J792" s="15"/>
      <c r="K792" s="15"/>
      <c r="L792" s="15"/>
      <c r="M792" s="410"/>
      <c r="N792" s="15"/>
      <c r="O792" s="15"/>
      <c r="P792" s="15"/>
      <c r="Q792" s="15"/>
      <c r="R792" s="410"/>
      <c r="S792" s="15"/>
      <c r="T792" s="15"/>
      <c r="U792" s="15"/>
      <c r="V792" s="15"/>
      <c r="W792" s="410"/>
      <c r="X792" s="15"/>
      <c r="Y792" s="15"/>
      <c r="Z792" s="15"/>
      <c r="AA792" s="15"/>
      <c r="AB792" s="410"/>
      <c r="AC792" s="15"/>
      <c r="AD792" s="15"/>
      <c r="AE792" s="15"/>
      <c r="AF792" s="15"/>
      <c r="AG792" s="410"/>
      <c r="AH792" s="15"/>
      <c r="AI792" s="15"/>
      <c r="AJ792" s="15"/>
      <c r="AK792" s="15"/>
      <c r="AL792" s="410"/>
      <c r="AM792" s="15"/>
      <c r="AN792" s="15"/>
      <c r="AO792" s="15"/>
      <c r="AP792" s="15"/>
      <c r="AQ792" s="410"/>
      <c r="AR792" s="15"/>
      <c r="AS792" s="15"/>
      <c r="AT792" s="15"/>
      <c r="AU792" s="15"/>
      <c r="AV792" s="410"/>
      <c r="AW792" s="15"/>
      <c r="AX792" s="15"/>
      <c r="AY792" s="15"/>
      <c r="AZ792" s="15"/>
      <c r="BA792" s="410"/>
      <c r="BB792" s="15"/>
      <c r="BC792" s="15">
        <f t="shared" ref="BC792:BE792" si="3617">BC756/BB756-1</f>
        <v>0.3333333333</v>
      </c>
      <c r="BD792" s="15">
        <f t="shared" si="3617"/>
        <v>0.25</v>
      </c>
      <c r="BE792" s="15">
        <f t="shared" si="3617"/>
        <v>0.2</v>
      </c>
      <c r="BF792" s="410"/>
      <c r="BG792" s="15">
        <f t="shared" si="3612"/>
        <v>0</v>
      </c>
      <c r="BH792" s="15">
        <f t="shared" ref="BH792:BJ792" si="3618">BH756/BG756-1</f>
        <v>1.126190476</v>
      </c>
      <c r="BI792" s="15">
        <f t="shared" si="3618"/>
        <v>0.4781634938</v>
      </c>
      <c r="BJ792" s="15">
        <f t="shared" si="3618"/>
        <v>0.1136363636</v>
      </c>
      <c r="BK792" s="410"/>
      <c r="BL792" s="15">
        <f t="shared" si="3614"/>
        <v>0.2244897959</v>
      </c>
      <c r="BM792" s="15">
        <f t="shared" ref="BM792:BO792" si="3619">BM756/BL756-1</f>
        <v>-0.02777777778</v>
      </c>
      <c r="BN792" s="15">
        <f t="shared" si="3619"/>
        <v>-0.1142857143</v>
      </c>
      <c r="BO792" s="15">
        <f t="shared" si="3619"/>
        <v>-0.03225806452</v>
      </c>
      <c r="BP792" s="410"/>
      <c r="BQ792" s="15">
        <f t="shared" si="3616"/>
        <v>0.03333333333</v>
      </c>
      <c r="BR792" s="15">
        <f t="shared" ref="BR792:BT792" si="3620">BR756/BQ756-1</f>
        <v>0.2451612903</v>
      </c>
      <c r="BS792" s="15">
        <f t="shared" si="3620"/>
        <v>0.1347150259</v>
      </c>
      <c r="BT792" s="15">
        <f t="shared" si="3620"/>
        <v>0.2328767123</v>
      </c>
      <c r="BU792" s="410"/>
      <c r="BV792" s="15">
        <f>BV756/BT756-1</f>
        <v>0.1638310185</v>
      </c>
      <c r="BW792" s="15">
        <f t="shared" ref="BW792:BY792" si="3621">BW756/BV756-1</f>
        <v>-0.03</v>
      </c>
      <c r="BX792" s="15">
        <f t="shared" si="3621"/>
        <v>0.2</v>
      </c>
      <c r="BY792" s="15">
        <f t="shared" si="3621"/>
        <v>0.1</v>
      </c>
      <c r="BZ792" s="24"/>
      <c r="CA792" s="15">
        <f>CA756/BY756-1</f>
        <v>-0.15</v>
      </c>
      <c r="CB792" s="15">
        <f t="shared" ref="CB792:CD792" si="3622">CB756/CA756-1</f>
        <v>-0.03</v>
      </c>
      <c r="CC792" s="15">
        <f t="shared" si="3622"/>
        <v>0.2</v>
      </c>
      <c r="CD792" s="15">
        <f t="shared" si="3622"/>
        <v>0.1</v>
      </c>
      <c r="CE792" s="24"/>
      <c r="CF792" s="15">
        <f>CF756/CD756-1</f>
        <v>-0.15</v>
      </c>
      <c r="CG792" s="15">
        <f t="shared" ref="CG792:CI792" si="3623">CG756/CF756-1</f>
        <v>-0.03</v>
      </c>
      <c r="CH792" s="15">
        <f t="shared" si="3623"/>
        <v>0.2</v>
      </c>
      <c r="CI792" s="15">
        <f t="shared" si="3623"/>
        <v>0.1</v>
      </c>
      <c r="CJ792" s="24"/>
      <c r="CK792" s="15">
        <f>CK756/CI756-1</f>
        <v>-0.15</v>
      </c>
      <c r="CL792" s="15">
        <f t="shared" ref="CL792:CN792" si="3624">CL756/CK756-1</f>
        <v>-0.03</v>
      </c>
      <c r="CM792" s="15">
        <f t="shared" si="3624"/>
        <v>0.2</v>
      </c>
      <c r="CN792" s="40">
        <f t="shared" si="3624"/>
        <v>0.1</v>
      </c>
      <c r="CO792" s="24"/>
      <c r="CP792" s="40">
        <f>CP756/CN756-1</f>
        <v>-0.15</v>
      </c>
      <c r="CQ792" s="15">
        <f t="shared" ref="CQ792:CS792" si="3625">CQ756/CP756-1</f>
        <v>-0.03</v>
      </c>
      <c r="CR792" s="15">
        <f t="shared" si="3625"/>
        <v>0.2</v>
      </c>
      <c r="CS792" s="15">
        <f t="shared" si="3625"/>
        <v>0.1</v>
      </c>
      <c r="CT792" s="24"/>
      <c r="CU792" s="15">
        <f>CU756/CS756-1</f>
        <v>-0.15</v>
      </c>
      <c r="CV792" s="15">
        <f t="shared" ref="CV792:CX792" si="3626">CV756/CU756-1</f>
        <v>-0.03</v>
      </c>
      <c r="CW792" s="15">
        <f t="shared" si="3626"/>
        <v>0.2</v>
      </c>
      <c r="CX792" s="15">
        <f t="shared" si="3626"/>
        <v>0.1</v>
      </c>
      <c r="CY792" s="24"/>
      <c r="CZ792" s="15">
        <f>CZ756/CX756-1</f>
        <v>-0.15</v>
      </c>
      <c r="DA792" s="15">
        <f t="shared" ref="DA792:DC792" si="3627">DA756/CZ756-1</f>
        <v>-0.03</v>
      </c>
      <c r="DB792" s="15">
        <f t="shared" si="3627"/>
        <v>0.2</v>
      </c>
      <c r="DC792" s="15">
        <f t="shared" si="3627"/>
        <v>0.1</v>
      </c>
      <c r="DD792" s="24"/>
      <c r="DE792" s="15">
        <f>DE756/DC756-1</f>
        <v>-0.15</v>
      </c>
      <c r="DF792" s="15">
        <f t="shared" ref="DF792:DH792" si="3628">DF756/DE756-1</f>
        <v>-0.03</v>
      </c>
      <c r="DG792" s="40">
        <f t="shared" si="3628"/>
        <v>0.2</v>
      </c>
      <c r="DH792" s="15">
        <f t="shared" si="3628"/>
        <v>0.1</v>
      </c>
      <c r="DI792" s="24"/>
      <c r="DJ792" s="40">
        <f>DJ756/DH756-1</f>
        <v>-0.15</v>
      </c>
      <c r="DK792" s="40">
        <f t="shared" ref="DK792:DM792" si="3629">DK756/DJ756-1</f>
        <v>-0.03</v>
      </c>
      <c r="DL792" s="40">
        <f t="shared" si="3629"/>
        <v>0.2</v>
      </c>
      <c r="DM792" s="15">
        <f t="shared" si="3629"/>
        <v>0.1</v>
      </c>
      <c r="DN792" s="24"/>
      <c r="DO792" s="15">
        <f>DO756/DM756-1</f>
        <v>-0.15</v>
      </c>
      <c r="DP792" s="15">
        <f t="shared" ref="DP792:DR792" si="3630">DP756/DO756-1</f>
        <v>-0.03</v>
      </c>
      <c r="DQ792" s="15">
        <f t="shared" si="3630"/>
        <v>0.2</v>
      </c>
      <c r="DR792" s="15">
        <f t="shared" si="3630"/>
        <v>0.1</v>
      </c>
      <c r="DS792" s="24"/>
      <c r="DT792" s="15">
        <f>DT756/DR756-1</f>
        <v>-0.15</v>
      </c>
      <c r="DU792" s="15">
        <f t="shared" ref="DU792:DW792" si="3631">DU756/DT756-1</f>
        <v>-0.03</v>
      </c>
      <c r="DV792" s="15">
        <f t="shared" si="3631"/>
        <v>0.2</v>
      </c>
      <c r="DW792" s="15">
        <f t="shared" si="3631"/>
        <v>0.1</v>
      </c>
      <c r="DX792" s="24"/>
      <c r="DY792" s="15">
        <f>DY756/DW756-1</f>
        <v>-0.15</v>
      </c>
      <c r="DZ792" s="15">
        <f t="shared" ref="DZ792:EB792" si="3632">DZ756/DY756-1</f>
        <v>-0.03</v>
      </c>
      <c r="EA792" s="15">
        <f t="shared" si="3632"/>
        <v>0.2</v>
      </c>
      <c r="EB792" s="15">
        <f t="shared" si="3632"/>
        <v>0.1</v>
      </c>
      <c r="EC792" s="24"/>
      <c r="ED792" s="15">
        <f>ED756/EB756-1</f>
        <v>-0.15</v>
      </c>
      <c r="EE792" s="15">
        <f t="shared" ref="EE792:EG792" si="3633">EE756/ED756-1</f>
        <v>-0.03</v>
      </c>
      <c r="EF792" s="15">
        <f t="shared" si="3633"/>
        <v>0.2</v>
      </c>
      <c r="EG792" s="15">
        <f t="shared" si="3633"/>
        <v>0.1</v>
      </c>
      <c r="EH792" s="24"/>
      <c r="EI792" s="82">
        <f>EI756/EG756-1</f>
        <v>-0.15</v>
      </c>
      <c r="EJ792" s="15">
        <f t="shared" ref="EJ792:EL792" si="3634">EJ756/EI756-1</f>
        <v>-0.03</v>
      </c>
      <c r="EK792" s="15">
        <f t="shared" si="3634"/>
        <v>0.2</v>
      </c>
      <c r="EL792" s="15">
        <f t="shared" si="3634"/>
        <v>0.1</v>
      </c>
      <c r="EM792" s="24"/>
      <c r="EN792" s="15">
        <f>EN756/EL756-1</f>
        <v>-0.15</v>
      </c>
      <c r="EO792" s="15">
        <f t="shared" ref="EO792:EQ792" si="3635">EO756/EN756-1</f>
        <v>-0.03</v>
      </c>
      <c r="EP792" s="15">
        <f t="shared" si="3635"/>
        <v>0.2</v>
      </c>
      <c r="EQ792" s="15">
        <f t="shared" si="3635"/>
        <v>0.1</v>
      </c>
      <c r="ER792" s="24"/>
      <c r="ES792" s="15">
        <f>ES756/EQ756-1</f>
        <v>-0.15</v>
      </c>
      <c r="ET792" s="15">
        <f t="shared" ref="ET792:EV792" si="3636">ET756/ES756-1</f>
        <v>-0.03</v>
      </c>
      <c r="EU792" s="15">
        <f t="shared" si="3636"/>
        <v>0.2</v>
      </c>
      <c r="EV792" s="15">
        <f t="shared" si="3636"/>
        <v>0.1</v>
      </c>
      <c r="EW792" s="24"/>
      <c r="EX792" s="15">
        <f>EX756/EV756-1</f>
        <v>-0.15</v>
      </c>
      <c r="EY792" s="15">
        <f t="shared" ref="EY792:FA792" si="3637">EY756/EX756-1</f>
        <v>-0.03</v>
      </c>
      <c r="EZ792" s="15">
        <f t="shared" si="3637"/>
        <v>0.2</v>
      </c>
      <c r="FA792" s="15">
        <f t="shared" si="3637"/>
        <v>0.1</v>
      </c>
      <c r="FB792" s="24"/>
      <c r="FC792" s="15">
        <f>FC756/FA756-1</f>
        <v>-0.15</v>
      </c>
      <c r="FD792" s="15">
        <f t="shared" ref="FD792:FF792" si="3638">FD756/FC756-1</f>
        <v>-0.03</v>
      </c>
      <c r="FE792" s="15">
        <f t="shared" si="3638"/>
        <v>0.2</v>
      </c>
      <c r="FF792" s="15">
        <f t="shared" si="3638"/>
        <v>0.1</v>
      </c>
      <c r="FG792" s="24"/>
      <c r="FH792" s="104"/>
      <c r="FI792" s="15"/>
      <c r="FJ792" s="15"/>
      <c r="FK792" s="410"/>
      <c r="FL792" s="15"/>
    </row>
    <row r="793" ht="12.75" hidden="1" customHeight="1" outlineLevel="2">
      <c r="A793" s="45"/>
      <c r="B793" s="215" t="s">
        <v>317</v>
      </c>
      <c r="C793" s="45"/>
      <c r="D793" s="410"/>
      <c r="E793" s="410"/>
      <c r="F793" s="410"/>
      <c r="G793" s="410"/>
      <c r="H793" s="15"/>
      <c r="I793" s="410"/>
      <c r="J793" s="410"/>
      <c r="K793" s="410"/>
      <c r="L793" s="410"/>
      <c r="M793" s="15"/>
      <c r="N793" s="410"/>
      <c r="O793" s="410"/>
      <c r="P793" s="410"/>
      <c r="Q793" s="410"/>
      <c r="R793" s="15"/>
      <c r="S793" s="410"/>
      <c r="T793" s="410"/>
      <c r="U793" s="410"/>
      <c r="V793" s="410"/>
      <c r="W793" s="15"/>
      <c r="X793" s="410"/>
      <c r="Y793" s="410"/>
      <c r="Z793" s="410"/>
      <c r="AA793" s="410"/>
      <c r="AB793" s="15"/>
      <c r="AC793" s="410"/>
      <c r="AD793" s="410"/>
      <c r="AE793" s="410"/>
      <c r="AF793" s="410"/>
      <c r="AG793" s="15"/>
      <c r="AH793" s="410"/>
      <c r="AI793" s="410"/>
      <c r="AJ793" s="410"/>
      <c r="AK793" s="410"/>
      <c r="AL793" s="15"/>
      <c r="AM793" s="410"/>
      <c r="AN793" s="410"/>
      <c r="AO793" s="410"/>
      <c r="AP793" s="410"/>
      <c r="AQ793" s="15"/>
      <c r="AR793" s="410"/>
      <c r="AS793" s="410"/>
      <c r="AT793" s="410"/>
      <c r="AU793" s="410"/>
      <c r="AV793" s="15"/>
      <c r="AW793" s="410"/>
      <c r="AX793" s="410"/>
      <c r="AY793" s="410"/>
      <c r="AZ793" s="410"/>
      <c r="BA793" s="15"/>
      <c r="BB793" s="410">
        <f>BB757/AZ757-1</f>
        <v>-0.09333333333</v>
      </c>
      <c r="BC793" s="410">
        <f t="shared" ref="BC793:BE793" si="3639">BC757/BB757-1</f>
        <v>-0.01470588235</v>
      </c>
      <c r="BD793" s="410">
        <f t="shared" si="3639"/>
        <v>-0.05410447761</v>
      </c>
      <c r="BE793" s="410">
        <f t="shared" si="3639"/>
        <v>0.1360946746</v>
      </c>
      <c r="BF793" s="15"/>
      <c r="BG793" s="410">
        <f t="shared" si="3612"/>
        <v>-0.1857638889</v>
      </c>
      <c r="BH793" s="410">
        <f t="shared" ref="BH793:BJ793" si="3640">BH757/BG757-1</f>
        <v>0.05330490405</v>
      </c>
      <c r="BI793" s="410">
        <f t="shared" si="3640"/>
        <v>0.1194331984</v>
      </c>
      <c r="BJ793" s="410">
        <f t="shared" si="3640"/>
        <v>0.05967450271</v>
      </c>
      <c r="BK793" s="15"/>
      <c r="BL793" s="410">
        <f t="shared" si="3614"/>
        <v>-0.1484641638</v>
      </c>
      <c r="BM793" s="410"/>
      <c r="BN793" s="410"/>
      <c r="BO793" s="410"/>
      <c r="BP793" s="15"/>
      <c r="BQ793" s="410"/>
      <c r="BR793" s="410"/>
      <c r="BS793" s="410"/>
      <c r="BT793" s="410"/>
      <c r="BU793" s="15"/>
      <c r="BV793" s="410"/>
      <c r="BW793" s="410"/>
      <c r="BX793" s="410"/>
      <c r="BY793" s="410"/>
      <c r="BZ793" s="313"/>
      <c r="CA793" s="410"/>
      <c r="CB793" s="410"/>
      <c r="CC793" s="410"/>
      <c r="CD793" s="410"/>
      <c r="CE793" s="313"/>
      <c r="CF793" s="410"/>
      <c r="CG793" s="410"/>
      <c r="CH793" s="410"/>
      <c r="CI793" s="410"/>
      <c r="CJ793" s="313"/>
      <c r="CK793" s="410"/>
      <c r="CL793" s="410"/>
      <c r="CM793" s="410"/>
      <c r="CN793" s="104"/>
      <c r="CO793" s="313"/>
      <c r="CP793" s="104"/>
      <c r="CQ793" s="410"/>
      <c r="CR793" s="410"/>
      <c r="CS793" s="410"/>
      <c r="CT793" s="313"/>
      <c r="CU793" s="410"/>
      <c r="CV793" s="410"/>
      <c r="CW793" s="410"/>
      <c r="CX793" s="410"/>
      <c r="CY793" s="313"/>
      <c r="CZ793" s="410"/>
      <c r="DA793" s="410"/>
      <c r="DB793" s="410"/>
      <c r="DC793" s="410"/>
      <c r="DD793" s="313"/>
      <c r="DE793" s="410"/>
      <c r="DF793" s="410"/>
      <c r="DG793" s="104"/>
      <c r="DH793" s="410"/>
      <c r="DI793" s="313"/>
      <c r="DJ793" s="104"/>
      <c r="DK793" s="104"/>
      <c r="DL793" s="104"/>
      <c r="DM793" s="410"/>
      <c r="DN793" s="313"/>
      <c r="DO793" s="410"/>
      <c r="DP793" s="410"/>
      <c r="DQ793" s="410"/>
      <c r="DR793" s="410"/>
      <c r="DS793" s="313"/>
      <c r="DT793" s="410"/>
      <c r="DU793" s="410"/>
      <c r="DV793" s="410"/>
      <c r="DW793" s="410"/>
      <c r="DX793" s="313"/>
      <c r="DY793" s="410"/>
      <c r="DZ793" s="410"/>
      <c r="EA793" s="410"/>
      <c r="EB793" s="410"/>
      <c r="EC793" s="313"/>
      <c r="ED793" s="410"/>
      <c r="EE793" s="410"/>
      <c r="EF793" s="410"/>
      <c r="EG793" s="410"/>
      <c r="EH793" s="313"/>
      <c r="EI793" s="317"/>
      <c r="EJ793" s="410"/>
      <c r="EK793" s="410"/>
      <c r="EL793" s="410"/>
      <c r="EM793" s="313"/>
      <c r="EN793" s="410"/>
      <c r="EO793" s="410"/>
      <c r="EP793" s="410"/>
      <c r="EQ793" s="410"/>
      <c r="ER793" s="313"/>
      <c r="ES793" s="410"/>
      <c r="ET793" s="410"/>
      <c r="EU793" s="410"/>
      <c r="EV793" s="410"/>
      <c r="EW793" s="313"/>
      <c r="EX793" s="410"/>
      <c r="EY793" s="410"/>
      <c r="EZ793" s="410"/>
      <c r="FA793" s="410"/>
      <c r="FB793" s="313"/>
      <c r="FC793" s="410"/>
      <c r="FD793" s="410"/>
      <c r="FE793" s="410"/>
      <c r="FF793" s="410"/>
      <c r="FG793" s="313"/>
      <c r="FH793" s="40"/>
      <c r="FI793" s="410"/>
      <c r="FJ793" s="410"/>
      <c r="FK793" s="15"/>
      <c r="FL793" s="410"/>
    </row>
    <row r="794" ht="12.75" hidden="1" customHeight="1" outlineLevel="2">
      <c r="A794" s="45"/>
      <c r="B794" s="72" t="str">
        <f t="shared" ref="B794:B797" si="3662">B758</f>
        <v>Digital Home (estimated)</v>
      </c>
      <c r="C794" s="4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f t="shared" ref="BC794:BE794" si="3641">BC758/BB758-1</f>
        <v>-0.4205128205</v>
      </c>
      <c r="BD794" s="15">
        <f t="shared" si="3641"/>
        <v>0.4424778761</v>
      </c>
      <c r="BE794" s="15">
        <f t="shared" si="3641"/>
        <v>0.736196319</v>
      </c>
      <c r="BF794" s="15"/>
      <c r="BG794" s="15">
        <f t="shared" si="3612"/>
        <v>-0.1448763251</v>
      </c>
      <c r="BH794" s="15">
        <f t="shared" ref="BH794:BJ794" si="3642">BH758/BG758-1</f>
        <v>-0.3099173554</v>
      </c>
      <c r="BI794" s="15">
        <f t="shared" si="3642"/>
        <v>0.6886227545</v>
      </c>
      <c r="BJ794" s="15">
        <f t="shared" si="3642"/>
        <v>-0.1489361702</v>
      </c>
      <c r="BK794" s="15"/>
      <c r="BL794" s="15">
        <f t="shared" si="3614"/>
        <v>-1</v>
      </c>
      <c r="BM794" s="15"/>
      <c r="BN794" s="15"/>
      <c r="BO794" s="15"/>
      <c r="BP794" s="15"/>
      <c r="BQ794" s="15"/>
      <c r="BR794" s="15">
        <f t="shared" ref="BR794:BT794" si="3643">BR758/BQ758-1</f>
        <v>-0.02</v>
      </c>
      <c r="BS794" s="15">
        <f t="shared" si="3643"/>
        <v>1.040816327</v>
      </c>
      <c r="BT794" s="15">
        <f t="shared" si="3643"/>
        <v>0</v>
      </c>
      <c r="BU794" s="15"/>
      <c r="BV794" s="15">
        <f t="shared" ref="BV794:BV795" si="3667">BV758/BT758-1</f>
        <v>0</v>
      </c>
      <c r="BW794" s="15">
        <f t="shared" ref="BW794:BY794" si="3644">BW758/BV758-1</f>
        <v>-0.02</v>
      </c>
      <c r="BX794" s="15">
        <f t="shared" si="3644"/>
        <v>0.25</v>
      </c>
      <c r="BY794" s="15">
        <f t="shared" si="3644"/>
        <v>0.15</v>
      </c>
      <c r="BZ794" s="313"/>
      <c r="CA794" s="15">
        <f t="shared" ref="CA794:CA795" si="3669">CA758/BY758-1</f>
        <v>-0.2901508429</v>
      </c>
      <c r="CB794" s="15">
        <f t="shared" ref="CB794:CD794" si="3645">CB758/CA758-1</f>
        <v>-0.02</v>
      </c>
      <c r="CC794" s="15">
        <f t="shared" si="3645"/>
        <v>0.25</v>
      </c>
      <c r="CD794" s="15">
        <f t="shared" si="3645"/>
        <v>0.15</v>
      </c>
      <c r="CE794" s="313"/>
      <c r="CF794" s="15">
        <f t="shared" ref="CF794:CF795" si="3671">CF758/CD758-1</f>
        <v>-0.2901508429</v>
      </c>
      <c r="CG794" s="15">
        <f t="shared" ref="CG794:CI794" si="3646">CG758/CF758-1</f>
        <v>-0.02</v>
      </c>
      <c r="CH794" s="15">
        <f t="shared" si="3646"/>
        <v>0.25</v>
      </c>
      <c r="CI794" s="15">
        <f t="shared" si="3646"/>
        <v>0.15</v>
      </c>
      <c r="CJ794" s="313"/>
      <c r="CK794" s="15">
        <f t="shared" ref="CK794:CK795" si="3673">CK758/CI758-1</f>
        <v>-0.2901508429</v>
      </c>
      <c r="CL794" s="15">
        <f t="shared" ref="CL794:CN794" si="3647">CL758/CK758-1</f>
        <v>-0.02</v>
      </c>
      <c r="CM794" s="15">
        <f t="shared" si="3647"/>
        <v>0.25</v>
      </c>
      <c r="CN794" s="40">
        <f t="shared" si="3647"/>
        <v>0.15</v>
      </c>
      <c r="CO794" s="313"/>
      <c r="CP794" s="40">
        <f t="shared" ref="CP794:CP795" si="3675">CP758/CN758-1</f>
        <v>-0.2901508429</v>
      </c>
      <c r="CQ794" s="15">
        <f t="shared" ref="CQ794:CS794" si="3648">CQ758/CP758-1</f>
        <v>-0.02</v>
      </c>
      <c r="CR794" s="15">
        <f t="shared" si="3648"/>
        <v>0.25</v>
      </c>
      <c r="CS794" s="15">
        <f t="shared" si="3648"/>
        <v>0.15</v>
      </c>
      <c r="CT794" s="313"/>
      <c r="CU794" s="15">
        <f t="shared" ref="CU794:CU795" si="3677">CU758/CS758-1</f>
        <v>-0.2901508429</v>
      </c>
      <c r="CV794" s="15">
        <f t="shared" ref="CV794:CX794" si="3649">CV758/CU758-1</f>
        <v>-0.02</v>
      </c>
      <c r="CW794" s="15">
        <f t="shared" si="3649"/>
        <v>0.25</v>
      </c>
      <c r="CX794" s="15">
        <f t="shared" si="3649"/>
        <v>0.15</v>
      </c>
      <c r="CY794" s="313"/>
      <c r="CZ794" s="15">
        <f t="shared" ref="CZ794:CZ795" si="3679">CZ758/CX758-1</f>
        <v>-0.2901508429</v>
      </c>
      <c r="DA794" s="15">
        <f t="shared" ref="DA794:DC794" si="3650">DA758/CZ758-1</f>
        <v>-0.02</v>
      </c>
      <c r="DB794" s="15">
        <f t="shared" si="3650"/>
        <v>0.25</v>
      </c>
      <c r="DC794" s="15">
        <f t="shared" si="3650"/>
        <v>0.15</v>
      </c>
      <c r="DD794" s="313"/>
      <c r="DE794" s="15">
        <f t="shared" ref="DE794:DE795" si="3681">DE758/DC758-1</f>
        <v>-0.2901508429</v>
      </c>
      <c r="DF794" s="15">
        <f t="shared" ref="DF794:DH794" si="3651">DF758/DE758-1</f>
        <v>-0.02</v>
      </c>
      <c r="DG794" s="40">
        <f t="shared" si="3651"/>
        <v>0.25</v>
      </c>
      <c r="DH794" s="15">
        <f t="shared" si="3651"/>
        <v>0.15</v>
      </c>
      <c r="DI794" s="313"/>
      <c r="DJ794" s="40">
        <f t="shared" ref="DJ794:DJ795" si="3683">DJ758/DH758-1</f>
        <v>-0.2901508429</v>
      </c>
      <c r="DK794" s="40">
        <f t="shared" ref="DK794:DM794" si="3652">DK758/DJ758-1</f>
        <v>-0.02</v>
      </c>
      <c r="DL794" s="40">
        <f t="shared" si="3652"/>
        <v>0.25</v>
      </c>
      <c r="DM794" s="15">
        <f t="shared" si="3652"/>
        <v>0.15</v>
      </c>
      <c r="DN794" s="313"/>
      <c r="DO794" s="15">
        <f t="shared" ref="DO794:DO795" si="3685">DO758/DM758-1</f>
        <v>-0.2901508429</v>
      </c>
      <c r="DP794" s="15">
        <f t="shared" ref="DP794:DR794" si="3653">DP758/DO758-1</f>
        <v>-0.02</v>
      </c>
      <c r="DQ794" s="15">
        <f t="shared" si="3653"/>
        <v>0.25</v>
      </c>
      <c r="DR794" s="15">
        <f t="shared" si="3653"/>
        <v>0.15</v>
      </c>
      <c r="DS794" s="313"/>
      <c r="DT794" s="15">
        <f t="shared" ref="DT794:DT795" si="3687">DT758/DR758-1</f>
        <v>-0.2901508429</v>
      </c>
      <c r="DU794" s="15">
        <f t="shared" ref="DU794:DW794" si="3654">DU758/DT758-1</f>
        <v>-0.02</v>
      </c>
      <c r="DV794" s="15">
        <f t="shared" si="3654"/>
        <v>0.25</v>
      </c>
      <c r="DW794" s="15">
        <f t="shared" si="3654"/>
        <v>0.15</v>
      </c>
      <c r="DX794" s="313"/>
      <c r="DY794" s="15">
        <f t="shared" ref="DY794:DY795" si="3689">DY758/DW758-1</f>
        <v>-0.2901508429</v>
      </c>
      <c r="DZ794" s="15">
        <f t="shared" ref="DZ794:EB794" si="3655">DZ758/DY758-1</f>
        <v>-0.02</v>
      </c>
      <c r="EA794" s="15">
        <f t="shared" si="3655"/>
        <v>0.25</v>
      </c>
      <c r="EB794" s="15">
        <f t="shared" si="3655"/>
        <v>0.15</v>
      </c>
      <c r="EC794" s="313"/>
      <c r="ED794" s="15">
        <f t="shared" ref="ED794:ED795" si="3691">ED758/EB758-1</f>
        <v>-0.2901508429</v>
      </c>
      <c r="EE794" s="15">
        <f t="shared" ref="EE794:EG794" si="3656">EE758/ED758-1</f>
        <v>-0.02</v>
      </c>
      <c r="EF794" s="15">
        <f t="shared" si="3656"/>
        <v>0.25</v>
      </c>
      <c r="EG794" s="15">
        <f t="shared" si="3656"/>
        <v>0.15</v>
      </c>
      <c r="EH794" s="313"/>
      <c r="EI794" s="82">
        <f t="shared" ref="EI794:EI795" si="3693">EI758/EG758-1</f>
        <v>-0.2901508429</v>
      </c>
      <c r="EJ794" s="15">
        <f t="shared" ref="EJ794:EL794" si="3657">EJ758/EI758-1</f>
        <v>-0.02</v>
      </c>
      <c r="EK794" s="15">
        <f t="shared" si="3657"/>
        <v>0.25</v>
      </c>
      <c r="EL794" s="15">
        <f t="shared" si="3657"/>
        <v>0.15</v>
      </c>
      <c r="EM794" s="313"/>
      <c r="EN794" s="15">
        <f t="shared" ref="EN794:EN795" si="3695">EN758/EL758-1</f>
        <v>-0.2901508429</v>
      </c>
      <c r="EO794" s="15">
        <f t="shared" ref="EO794:EQ794" si="3658">EO758/EN758-1</f>
        <v>-0.02</v>
      </c>
      <c r="EP794" s="15">
        <f t="shared" si="3658"/>
        <v>0.25</v>
      </c>
      <c r="EQ794" s="15">
        <f t="shared" si="3658"/>
        <v>0.15</v>
      </c>
      <c r="ER794" s="313"/>
      <c r="ES794" s="15">
        <f t="shared" ref="ES794:ES795" si="3697">ES758/EQ758-1</f>
        <v>-0.2901508429</v>
      </c>
      <c r="ET794" s="15">
        <f t="shared" ref="ET794:EV794" si="3659">ET758/ES758-1</f>
        <v>-0.02</v>
      </c>
      <c r="EU794" s="15">
        <f t="shared" si="3659"/>
        <v>0.25</v>
      </c>
      <c r="EV794" s="15">
        <f t="shared" si="3659"/>
        <v>0.15</v>
      </c>
      <c r="EW794" s="313"/>
      <c r="EX794" s="15">
        <f t="shared" ref="EX794:EX795" si="3699">EX758/EV758-1</f>
        <v>-0.2901508429</v>
      </c>
      <c r="EY794" s="15">
        <f t="shared" ref="EY794:FA794" si="3660">EY758/EX758-1</f>
        <v>-0.02</v>
      </c>
      <c r="EZ794" s="15">
        <f t="shared" si="3660"/>
        <v>0.25</v>
      </c>
      <c r="FA794" s="15">
        <f t="shared" si="3660"/>
        <v>0.15</v>
      </c>
      <c r="FB794" s="313"/>
      <c r="FC794" s="15">
        <f t="shared" ref="FC794:FC795" si="3701">FC758/FA758-1</f>
        <v>-0.2901508429</v>
      </c>
      <c r="FD794" s="15">
        <f t="shared" ref="FD794:FF794" si="3661">FD758/FC758-1</f>
        <v>-0.02</v>
      </c>
      <c r="FE794" s="15">
        <f t="shared" si="3661"/>
        <v>0.25</v>
      </c>
      <c r="FF794" s="15">
        <f t="shared" si="3661"/>
        <v>0.15</v>
      </c>
      <c r="FG794" s="313"/>
      <c r="FH794" s="40"/>
      <c r="FI794" s="15"/>
      <c r="FJ794" s="15"/>
      <c r="FK794" s="15"/>
      <c r="FL794" s="15"/>
    </row>
    <row r="795" ht="12.75" hidden="1" customHeight="1" outlineLevel="2">
      <c r="A795" s="4"/>
      <c r="B795" s="72" t="str">
        <f t="shared" si="3662"/>
        <v>Other</v>
      </c>
      <c r="C795" s="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f>BB759/AZ759-1</f>
        <v>-0.1758241758</v>
      </c>
      <c r="BC795" s="15">
        <f t="shared" ref="BC795:BE795" si="3663">BC759/BB759-1</f>
        <v>-0.3333333333</v>
      </c>
      <c r="BD795" s="15">
        <f t="shared" si="3663"/>
        <v>0.5</v>
      </c>
      <c r="BE795" s="15">
        <f t="shared" si="3663"/>
        <v>0.06666666667</v>
      </c>
      <c r="BF795" s="15"/>
      <c r="BG795" s="15">
        <f t="shared" si="3612"/>
        <v>0</v>
      </c>
      <c r="BH795" s="15">
        <f t="shared" ref="BH795:BJ795" si="3664">BH759/BG759-1</f>
        <v>0</v>
      </c>
      <c r="BI795" s="15">
        <f t="shared" si="3664"/>
        <v>0</v>
      </c>
      <c r="BJ795" s="15">
        <f t="shared" si="3664"/>
        <v>-0.5</v>
      </c>
      <c r="BK795" s="15"/>
      <c r="BL795" s="15">
        <f t="shared" si="3614"/>
        <v>0.6</v>
      </c>
      <c r="BM795" s="15">
        <f t="shared" ref="BM795:BO795" si="3665">BM759/BL759-1</f>
        <v>-0.21875</v>
      </c>
      <c r="BN795" s="15">
        <f t="shared" si="3665"/>
        <v>-0.34</v>
      </c>
      <c r="BO795" s="15">
        <f t="shared" si="3665"/>
        <v>0.6666666667</v>
      </c>
      <c r="BP795" s="15"/>
      <c r="BQ795" s="15">
        <f>BQ759/BO759-1</f>
        <v>-0.2363636364</v>
      </c>
      <c r="BR795" s="15">
        <f t="shared" ref="BR795:BT795" si="3666">BR759/BQ759-1</f>
        <v>-0.4880952381</v>
      </c>
      <c r="BS795" s="15">
        <f t="shared" si="3666"/>
        <v>2.534883721</v>
      </c>
      <c r="BT795" s="15">
        <f t="shared" si="3666"/>
        <v>-0.07894736842</v>
      </c>
      <c r="BU795" s="15"/>
      <c r="BV795" s="15">
        <f t="shared" si="3667"/>
        <v>-0.4285714286</v>
      </c>
      <c r="BW795" s="15">
        <f t="shared" ref="BW795:BY795" si="3668">BW759/BV759-1</f>
        <v>0</v>
      </c>
      <c r="BX795" s="15">
        <f t="shared" si="3668"/>
        <v>0</v>
      </c>
      <c r="BY795" s="15">
        <f t="shared" si="3668"/>
        <v>0</v>
      </c>
      <c r="BZ795" s="313"/>
      <c r="CA795" s="15">
        <f t="shared" si="3669"/>
        <v>0.875</v>
      </c>
      <c r="CB795" s="15">
        <f t="shared" ref="CB795:CD795" si="3670">CB759/CA759-1</f>
        <v>0</v>
      </c>
      <c r="CC795" s="15">
        <f t="shared" si="3670"/>
        <v>0</v>
      </c>
      <c r="CD795" s="15">
        <f t="shared" si="3670"/>
        <v>0</v>
      </c>
      <c r="CE795" s="313"/>
      <c r="CF795" s="15">
        <f t="shared" si="3671"/>
        <v>0</v>
      </c>
      <c r="CG795" s="15">
        <f t="shared" ref="CG795:CI795" si="3672">CG759/CF759-1</f>
        <v>0</v>
      </c>
      <c r="CH795" s="15">
        <f t="shared" si="3672"/>
        <v>0</v>
      </c>
      <c r="CI795" s="15">
        <f t="shared" si="3672"/>
        <v>0</v>
      </c>
      <c r="CJ795" s="313"/>
      <c r="CK795" s="15">
        <f t="shared" si="3673"/>
        <v>0</v>
      </c>
      <c r="CL795" s="15">
        <f t="shared" ref="CL795:CN795" si="3674">CL759/CK759-1</f>
        <v>0</v>
      </c>
      <c r="CM795" s="15">
        <f t="shared" si="3674"/>
        <v>0</v>
      </c>
      <c r="CN795" s="40">
        <f t="shared" si="3674"/>
        <v>0</v>
      </c>
      <c r="CO795" s="313"/>
      <c r="CP795" s="40">
        <f t="shared" si="3675"/>
        <v>0</v>
      </c>
      <c r="CQ795" s="15">
        <f t="shared" ref="CQ795:CS795" si="3676">CQ759/CP759-1</f>
        <v>0</v>
      </c>
      <c r="CR795" s="15">
        <f t="shared" si="3676"/>
        <v>0</v>
      </c>
      <c r="CS795" s="15">
        <f t="shared" si="3676"/>
        <v>0</v>
      </c>
      <c r="CT795" s="313"/>
      <c r="CU795" s="15">
        <f t="shared" si="3677"/>
        <v>0</v>
      </c>
      <c r="CV795" s="15">
        <f t="shared" ref="CV795:CX795" si="3678">CV759/CU759-1</f>
        <v>0</v>
      </c>
      <c r="CW795" s="15">
        <f t="shared" si="3678"/>
        <v>0</v>
      </c>
      <c r="CX795" s="15">
        <f t="shared" si="3678"/>
        <v>0</v>
      </c>
      <c r="CY795" s="313"/>
      <c r="CZ795" s="15">
        <f t="shared" si="3679"/>
        <v>0</v>
      </c>
      <c r="DA795" s="15">
        <f t="shared" ref="DA795:DC795" si="3680">DA759/CZ759-1</f>
        <v>0</v>
      </c>
      <c r="DB795" s="15">
        <f t="shared" si="3680"/>
        <v>0</v>
      </c>
      <c r="DC795" s="15">
        <f t="shared" si="3680"/>
        <v>0</v>
      </c>
      <c r="DD795" s="313"/>
      <c r="DE795" s="15">
        <f t="shared" si="3681"/>
        <v>0</v>
      </c>
      <c r="DF795" s="15">
        <f t="shared" ref="DF795:DH795" si="3682">DF759/DE759-1</f>
        <v>0</v>
      </c>
      <c r="DG795" s="40">
        <f t="shared" si="3682"/>
        <v>0</v>
      </c>
      <c r="DH795" s="15">
        <f t="shared" si="3682"/>
        <v>0</v>
      </c>
      <c r="DI795" s="313"/>
      <c r="DJ795" s="40">
        <f t="shared" si="3683"/>
        <v>0</v>
      </c>
      <c r="DK795" s="40">
        <f t="shared" ref="DK795:DM795" si="3684">DK759/DJ759-1</f>
        <v>0</v>
      </c>
      <c r="DL795" s="40">
        <f t="shared" si="3684"/>
        <v>0</v>
      </c>
      <c r="DM795" s="15">
        <f t="shared" si="3684"/>
        <v>0</v>
      </c>
      <c r="DN795" s="313"/>
      <c r="DO795" s="15">
        <f t="shared" si="3685"/>
        <v>0</v>
      </c>
      <c r="DP795" s="15">
        <f t="shared" ref="DP795:DR795" si="3686">DP759/DO759-1</f>
        <v>0</v>
      </c>
      <c r="DQ795" s="15">
        <f t="shared" si="3686"/>
        <v>0</v>
      </c>
      <c r="DR795" s="15">
        <f t="shared" si="3686"/>
        <v>0</v>
      </c>
      <c r="DS795" s="313"/>
      <c r="DT795" s="15">
        <f t="shared" si="3687"/>
        <v>0</v>
      </c>
      <c r="DU795" s="15">
        <f t="shared" ref="DU795:DW795" si="3688">DU759/DT759-1</f>
        <v>0</v>
      </c>
      <c r="DV795" s="15">
        <f t="shared" si="3688"/>
        <v>0</v>
      </c>
      <c r="DW795" s="15">
        <f t="shared" si="3688"/>
        <v>0</v>
      </c>
      <c r="DX795" s="313"/>
      <c r="DY795" s="15">
        <f t="shared" si="3689"/>
        <v>0</v>
      </c>
      <c r="DZ795" s="15">
        <f t="shared" ref="DZ795:EB795" si="3690">DZ759/DY759-1</f>
        <v>0</v>
      </c>
      <c r="EA795" s="15">
        <f t="shared" si="3690"/>
        <v>0</v>
      </c>
      <c r="EB795" s="15">
        <f t="shared" si="3690"/>
        <v>0</v>
      </c>
      <c r="EC795" s="313"/>
      <c r="ED795" s="15">
        <f t="shared" si="3691"/>
        <v>0</v>
      </c>
      <c r="EE795" s="15">
        <f t="shared" ref="EE795:EG795" si="3692">EE759/ED759-1</f>
        <v>0</v>
      </c>
      <c r="EF795" s="15">
        <f t="shared" si="3692"/>
        <v>0</v>
      </c>
      <c r="EG795" s="15">
        <f t="shared" si="3692"/>
        <v>0</v>
      </c>
      <c r="EH795" s="313"/>
      <c r="EI795" s="82">
        <f t="shared" si="3693"/>
        <v>0</v>
      </c>
      <c r="EJ795" s="15">
        <f t="shared" ref="EJ795:EL795" si="3694">EJ759/EI759-1</f>
        <v>0</v>
      </c>
      <c r="EK795" s="15">
        <f t="shared" si="3694"/>
        <v>0</v>
      </c>
      <c r="EL795" s="15">
        <f t="shared" si="3694"/>
        <v>0</v>
      </c>
      <c r="EM795" s="313"/>
      <c r="EN795" s="15">
        <f t="shared" si="3695"/>
        <v>0</v>
      </c>
      <c r="EO795" s="15">
        <f t="shared" ref="EO795:EQ795" si="3696">EO759/EN759-1</f>
        <v>0</v>
      </c>
      <c r="EP795" s="15">
        <f t="shared" si="3696"/>
        <v>0</v>
      </c>
      <c r="EQ795" s="15">
        <f t="shared" si="3696"/>
        <v>0</v>
      </c>
      <c r="ER795" s="313"/>
      <c r="ES795" s="15">
        <f t="shared" si="3697"/>
        <v>0</v>
      </c>
      <c r="ET795" s="15">
        <f t="shared" ref="ET795:EV795" si="3698">ET759/ES759-1</f>
        <v>0</v>
      </c>
      <c r="EU795" s="15">
        <f t="shared" si="3698"/>
        <v>0</v>
      </c>
      <c r="EV795" s="15">
        <f t="shared" si="3698"/>
        <v>0</v>
      </c>
      <c r="EW795" s="313"/>
      <c r="EX795" s="15">
        <f t="shared" si="3699"/>
        <v>0</v>
      </c>
      <c r="EY795" s="15">
        <f t="shared" ref="EY795:FA795" si="3700">EY759/EX759-1</f>
        <v>0</v>
      </c>
      <c r="EZ795" s="15">
        <f t="shared" si="3700"/>
        <v>0</v>
      </c>
      <c r="FA795" s="15">
        <f t="shared" si="3700"/>
        <v>0</v>
      </c>
      <c r="FB795" s="313"/>
      <c r="FC795" s="15">
        <f t="shared" si="3701"/>
        <v>0</v>
      </c>
      <c r="FD795" s="15">
        <f t="shared" ref="FD795:FF795" si="3702">FD759/FC759-1</f>
        <v>0</v>
      </c>
      <c r="FE795" s="15">
        <f t="shared" si="3702"/>
        <v>0</v>
      </c>
      <c r="FF795" s="15">
        <f t="shared" si="3702"/>
        <v>0</v>
      </c>
      <c r="FG795" s="313"/>
      <c r="FH795" s="40"/>
      <c r="FI795" s="15"/>
      <c r="FJ795" s="15"/>
      <c r="FK795" s="15"/>
      <c r="FL795" s="15"/>
    </row>
    <row r="796" ht="12.75" hidden="1" customHeight="1" outlineLevel="3">
      <c r="A796" s="45"/>
      <c r="B796" s="72" t="str">
        <f t="shared" si="3662"/>
        <v>Digital Health</v>
      </c>
      <c r="C796" s="4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313"/>
      <c r="CA796" s="15"/>
      <c r="CB796" s="15"/>
      <c r="CC796" s="15"/>
      <c r="CD796" s="15"/>
      <c r="CE796" s="313"/>
      <c r="CF796" s="15"/>
      <c r="CG796" s="15"/>
      <c r="CH796" s="15"/>
      <c r="CI796" s="15"/>
      <c r="CJ796" s="313"/>
      <c r="CK796" s="15"/>
      <c r="CL796" s="15"/>
      <c r="CM796" s="15"/>
      <c r="CN796" s="40"/>
      <c r="CO796" s="313"/>
      <c r="CP796" s="40"/>
      <c r="CQ796" s="15"/>
      <c r="CR796" s="15"/>
      <c r="CS796" s="15"/>
      <c r="CT796" s="313"/>
      <c r="CU796" s="15"/>
      <c r="CV796" s="15"/>
      <c r="CW796" s="15"/>
      <c r="CX796" s="15"/>
      <c r="CY796" s="313"/>
      <c r="CZ796" s="15"/>
      <c r="DA796" s="15"/>
      <c r="DB796" s="15"/>
      <c r="DC796" s="15"/>
      <c r="DD796" s="313"/>
      <c r="DE796" s="15"/>
      <c r="DF796" s="15"/>
      <c r="DG796" s="40"/>
      <c r="DH796" s="15"/>
      <c r="DI796" s="313"/>
      <c r="DJ796" s="40"/>
      <c r="DK796" s="40"/>
      <c r="DL796" s="40"/>
      <c r="DM796" s="15"/>
      <c r="DN796" s="313"/>
      <c r="DO796" s="15"/>
      <c r="DP796" s="15"/>
      <c r="DQ796" s="15"/>
      <c r="DR796" s="15"/>
      <c r="DS796" s="313"/>
      <c r="DT796" s="15"/>
      <c r="DU796" s="15"/>
      <c r="DV796" s="15"/>
      <c r="DW796" s="15"/>
      <c r="DX796" s="313"/>
      <c r="DY796" s="15"/>
      <c r="DZ796" s="15"/>
      <c r="EA796" s="15"/>
      <c r="EB796" s="15"/>
      <c r="EC796" s="313"/>
      <c r="ED796" s="15"/>
      <c r="EE796" s="15"/>
      <c r="EF796" s="15"/>
      <c r="EG796" s="15"/>
      <c r="EH796" s="313"/>
      <c r="EI796" s="82"/>
      <c r="EJ796" s="15"/>
      <c r="EK796" s="15"/>
      <c r="EL796" s="15"/>
      <c r="EM796" s="313"/>
      <c r="EN796" s="15"/>
      <c r="EO796" s="15"/>
      <c r="EP796" s="15"/>
      <c r="EQ796" s="15"/>
      <c r="ER796" s="313"/>
      <c r="ES796" s="15"/>
      <c r="ET796" s="15"/>
      <c r="EU796" s="15"/>
      <c r="EV796" s="15"/>
      <c r="EW796" s="313"/>
      <c r="EX796" s="15"/>
      <c r="EY796" s="15"/>
      <c r="EZ796" s="15"/>
      <c r="FA796" s="15"/>
      <c r="FB796" s="313"/>
      <c r="FC796" s="15"/>
      <c r="FD796" s="15"/>
      <c r="FE796" s="15"/>
      <c r="FF796" s="15"/>
      <c r="FG796" s="313"/>
      <c r="FH796" s="40"/>
      <c r="FI796" s="15"/>
      <c r="FJ796" s="15"/>
      <c r="FK796" s="15"/>
      <c r="FL796" s="15"/>
    </row>
    <row r="797" ht="12.75" hidden="1" customHeight="1" outlineLevel="3">
      <c r="A797" s="45"/>
      <c r="B797" s="72" t="str">
        <f t="shared" si="3662"/>
        <v>Channel Products</v>
      </c>
      <c r="C797" s="4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313"/>
      <c r="CA797" s="15"/>
      <c r="CB797" s="15"/>
      <c r="CC797" s="15"/>
      <c r="CD797" s="15"/>
      <c r="CE797" s="313"/>
      <c r="CF797" s="15"/>
      <c r="CG797" s="15"/>
      <c r="CH797" s="15"/>
      <c r="CI797" s="15"/>
      <c r="CJ797" s="313"/>
      <c r="CK797" s="15"/>
      <c r="CL797" s="15"/>
      <c r="CM797" s="15"/>
      <c r="CN797" s="40"/>
      <c r="CO797" s="313"/>
      <c r="CP797" s="40"/>
      <c r="CQ797" s="15"/>
      <c r="CR797" s="15"/>
      <c r="CS797" s="15"/>
      <c r="CT797" s="313"/>
      <c r="CU797" s="15"/>
      <c r="CV797" s="15"/>
      <c r="CW797" s="15"/>
      <c r="CX797" s="15"/>
      <c r="CY797" s="313"/>
      <c r="CZ797" s="15"/>
      <c r="DA797" s="15"/>
      <c r="DB797" s="15"/>
      <c r="DC797" s="15"/>
      <c r="DD797" s="313"/>
      <c r="DE797" s="15"/>
      <c r="DF797" s="15"/>
      <c r="DG797" s="40"/>
      <c r="DH797" s="15"/>
      <c r="DI797" s="313"/>
      <c r="DJ797" s="40"/>
      <c r="DK797" s="40"/>
      <c r="DL797" s="40"/>
      <c r="DM797" s="15"/>
      <c r="DN797" s="313"/>
      <c r="DO797" s="15"/>
      <c r="DP797" s="15"/>
      <c r="DQ797" s="15"/>
      <c r="DR797" s="15"/>
      <c r="DS797" s="313"/>
      <c r="DT797" s="15"/>
      <c r="DU797" s="15"/>
      <c r="DV797" s="15"/>
      <c r="DW797" s="15"/>
      <c r="DX797" s="313"/>
      <c r="DY797" s="15"/>
      <c r="DZ797" s="15"/>
      <c r="EA797" s="15"/>
      <c r="EB797" s="15"/>
      <c r="EC797" s="313"/>
      <c r="ED797" s="15"/>
      <c r="EE797" s="15"/>
      <c r="EF797" s="15"/>
      <c r="EG797" s="15"/>
      <c r="EH797" s="313"/>
      <c r="EI797" s="82"/>
      <c r="EJ797" s="15"/>
      <c r="EK797" s="15"/>
      <c r="EL797" s="15"/>
      <c r="EM797" s="313"/>
      <c r="EN797" s="15"/>
      <c r="EO797" s="15"/>
      <c r="EP797" s="15"/>
      <c r="EQ797" s="15"/>
      <c r="ER797" s="313"/>
      <c r="ES797" s="15"/>
      <c r="ET797" s="15"/>
      <c r="EU797" s="15"/>
      <c r="EV797" s="15"/>
      <c r="EW797" s="313"/>
      <c r="EX797" s="15"/>
      <c r="EY797" s="15"/>
      <c r="EZ797" s="15"/>
      <c r="FA797" s="15"/>
      <c r="FB797" s="313"/>
      <c r="FC797" s="15"/>
      <c r="FD797" s="15"/>
      <c r="FE797" s="15"/>
      <c r="FF797" s="15"/>
      <c r="FG797" s="313"/>
      <c r="FH797" s="40"/>
      <c r="FI797" s="15"/>
      <c r="FJ797" s="15"/>
      <c r="FK797" s="15"/>
      <c r="FL797" s="15"/>
    </row>
    <row r="798" ht="12.75" hidden="1" customHeight="1" outlineLevel="2">
      <c r="A798" s="45"/>
      <c r="B798" s="215" t="str">
        <f>B780</f>
        <v>All Other</v>
      </c>
      <c r="C798" s="4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f t="shared" ref="AT798:AU798" si="3703">AT762/AS762-1</f>
        <v>0.1578947368</v>
      </c>
      <c r="AU798" s="15">
        <f t="shared" si="3703"/>
        <v>0.06818181818</v>
      </c>
      <c r="AV798" s="15"/>
      <c r="AW798" s="15">
        <f t="shared" ref="AW798:AW799" si="3728">AW762/AU762-1</f>
        <v>0.3191489362</v>
      </c>
      <c r="AX798" s="15">
        <f t="shared" ref="AX798:AZ798" si="3704">AX762/AW762-1</f>
        <v>0.2903225806</v>
      </c>
      <c r="AY798" s="15">
        <f t="shared" si="3704"/>
        <v>-0.4125</v>
      </c>
      <c r="AZ798" s="15">
        <f t="shared" si="3704"/>
        <v>0.9361702128</v>
      </c>
      <c r="BA798" s="15"/>
      <c r="BB798" s="15">
        <f t="shared" ref="BB798:BB799" si="3730">BB762/AZ762-1</f>
        <v>1.967032967</v>
      </c>
      <c r="BC798" s="15">
        <f t="shared" ref="BC798:BE798" si="3705">BC762/BB762-1</f>
        <v>-0.3962962963</v>
      </c>
      <c r="BD798" s="15">
        <f t="shared" si="3705"/>
        <v>0.4601226994</v>
      </c>
      <c r="BE798" s="15">
        <f t="shared" si="3705"/>
        <v>0.525210084</v>
      </c>
      <c r="BF798" s="15"/>
      <c r="BG798" s="15">
        <f t="shared" ref="BG798:BG799" si="3732">BG762/BE762-1</f>
        <v>-0.1129476584</v>
      </c>
      <c r="BH798" s="15">
        <f t="shared" ref="BH798:BJ798" si="3706">BH762/BG762-1</f>
        <v>-0.2329192547</v>
      </c>
      <c r="BI798" s="15">
        <f t="shared" si="3706"/>
        <v>0.4655870445</v>
      </c>
      <c r="BJ798" s="15">
        <f t="shared" si="3706"/>
        <v>-0.226519337</v>
      </c>
      <c r="BK798" s="15"/>
      <c r="BL798" s="15">
        <f t="shared" ref="BL798:BL799" si="3734">BL762/BJ762-1</f>
        <v>1.010714286</v>
      </c>
      <c r="BM798" s="15">
        <f t="shared" ref="BM798:BO798" si="3707">BM762/BL762-1</f>
        <v>-0.4671403197</v>
      </c>
      <c r="BN798" s="15">
        <f t="shared" si="3707"/>
        <v>-0.2733333333</v>
      </c>
      <c r="BO798" s="15">
        <f t="shared" si="3707"/>
        <v>0.03211009174</v>
      </c>
      <c r="BP798" s="15"/>
      <c r="BQ798" s="15">
        <f t="shared" ref="BQ798:BQ799" si="3736">BQ762/BO762-1</f>
        <v>-0.01333333333</v>
      </c>
      <c r="BR798" s="15">
        <f t="shared" ref="BR798:BT798" si="3708">BR762/BQ762-1</f>
        <v>0.07657657658</v>
      </c>
      <c r="BS798" s="15">
        <f t="shared" si="3708"/>
        <v>0.4435146444</v>
      </c>
      <c r="BT798" s="15">
        <f t="shared" si="3708"/>
        <v>0.1304347826</v>
      </c>
      <c r="BU798" s="15"/>
      <c r="BV798" s="15">
        <f t="shared" ref="BV798:BV799" si="3738">BV762/BT762-1</f>
        <v>0.03649839744</v>
      </c>
      <c r="BW798" s="15">
        <f t="shared" ref="BW798:BY798" si="3709">BW762/BV762-1</f>
        <v>-0.02579451896</v>
      </c>
      <c r="BX798" s="15">
        <f t="shared" si="3709"/>
        <v>0.1859068144</v>
      </c>
      <c r="BY798" s="15">
        <f t="shared" si="3709"/>
        <v>0.09799258622</v>
      </c>
      <c r="BZ798" s="313"/>
      <c r="CA798" s="15">
        <f t="shared" ref="CA798:CA799" si="3740">CA762/BY762-1</f>
        <v>-0.08929573867</v>
      </c>
      <c r="CB798" s="15">
        <f t="shared" ref="CB798:CD798" si="3710">CB762/CA762-1</f>
        <v>-0.02411127136</v>
      </c>
      <c r="CC798" s="15">
        <f t="shared" si="3710"/>
        <v>0.1724620078</v>
      </c>
      <c r="CD798" s="15">
        <f t="shared" si="3710"/>
        <v>0.09169521997</v>
      </c>
      <c r="CE798" s="313"/>
      <c r="CF798" s="15">
        <f t="shared" ref="CF798:CF799" si="3742">CF762/CD762-1</f>
        <v>-0.147637472</v>
      </c>
      <c r="CG798" s="15">
        <f t="shared" ref="CG798:CI798" si="3711">CG762/CF762-1</f>
        <v>-0.02446908857</v>
      </c>
      <c r="CH798" s="15">
        <f t="shared" si="3711"/>
        <v>0.1741258137</v>
      </c>
      <c r="CI798" s="15">
        <f t="shared" si="3711"/>
        <v>0.09220804018</v>
      </c>
      <c r="CJ798" s="313"/>
      <c r="CK798" s="15">
        <f t="shared" ref="CK798:CK799" si="3744">CK762/CI762-1</f>
        <v>-0.1477843989</v>
      </c>
      <c r="CL798" s="15">
        <f t="shared" ref="CL798:CN798" si="3712">CL762/CK762-1</f>
        <v>-0.02481216467</v>
      </c>
      <c r="CM798" s="15">
        <f t="shared" si="3712"/>
        <v>0.1757222218</v>
      </c>
      <c r="CN798" s="40">
        <f t="shared" si="3712"/>
        <v>0.09269872254</v>
      </c>
      <c r="CO798" s="313"/>
      <c r="CP798" s="40">
        <f t="shared" ref="CP798:CP799" si="3746">CP762/CN762-1</f>
        <v>-0.147924854</v>
      </c>
      <c r="CQ798" s="15">
        <f t="shared" ref="CQ798:CS798" si="3713">CQ762/CP762-1</f>
        <v>-0.02514023971</v>
      </c>
      <c r="CR798" s="15">
        <f t="shared" si="3713"/>
        <v>0.1772498777</v>
      </c>
      <c r="CS798" s="15">
        <f t="shared" si="3713"/>
        <v>0.09316702673</v>
      </c>
      <c r="CT798" s="313"/>
      <c r="CU798" s="15">
        <f t="shared" ref="CU798:CU799" si="3748">CU762/CS762-1</f>
        <v>-0.1480587859</v>
      </c>
      <c r="CV798" s="15">
        <f t="shared" ref="CV798:CX798" si="3714">CV762/CU762-1</f>
        <v>-0.02545317858</v>
      </c>
      <c r="CW798" s="15">
        <f t="shared" si="3714"/>
        <v>0.1787080116</v>
      </c>
      <c r="CX798" s="15">
        <f t="shared" si="3714"/>
        <v>0.09361288663</v>
      </c>
      <c r="CY798" s="313"/>
      <c r="CZ798" s="15">
        <f t="shared" ref="CZ798:CZ799" si="3750">CZ762/CX762-1</f>
        <v>-0.1481861923</v>
      </c>
      <c r="DA798" s="15">
        <f t="shared" ref="DA798:DC798" si="3715">DA762/CZ762-1</f>
        <v>-0.02575096158</v>
      </c>
      <c r="DB798" s="15">
        <f t="shared" si="3715"/>
        <v>0.1800963968</v>
      </c>
      <c r="DC798" s="15">
        <f t="shared" si="3715"/>
        <v>0.09403639514</v>
      </c>
      <c r="DD798" s="313"/>
      <c r="DE798" s="15">
        <f t="shared" ref="DE798:DE799" si="3752">DE762/DC762-1</f>
        <v>-0.1483071155</v>
      </c>
      <c r="DF798" s="15">
        <f t="shared" ref="DF798:DH798" si="3716">DF762/DE762-1</f>
        <v>-0.02603367407</v>
      </c>
      <c r="DG798" s="40">
        <f t="shared" si="3716"/>
        <v>0.1814153028</v>
      </c>
      <c r="DH798" s="15">
        <f t="shared" si="3716"/>
        <v>0.094437788</v>
      </c>
      <c r="DI798" s="313"/>
      <c r="DJ798" s="40">
        <f t="shared" ref="DJ798:DJ799" si="3754">DJ762/DH762-1</f>
        <v>-0.1484216377</v>
      </c>
      <c r="DK798" s="40">
        <f t="shared" ref="DK798:DM798" si="3717">DK762/DJ762-1</f>
        <v>-0.02630149536</v>
      </c>
      <c r="DL798" s="40">
        <f t="shared" si="3717"/>
        <v>0.182665445</v>
      </c>
      <c r="DM798" s="15">
        <f t="shared" si="3717"/>
        <v>0.09481742699</v>
      </c>
      <c r="DN798" s="313"/>
      <c r="DO798" s="15">
        <f t="shared" ref="DO798:DO799" si="3756">DO762/DM762-1</f>
        <v>-0.148529876</v>
      </c>
      <c r="DP798" s="15">
        <f t="shared" ref="DP798:DR798" si="3718">DP762/DO762-1</f>
        <v>-0.02655468733</v>
      </c>
      <c r="DQ798" s="15">
        <f t="shared" si="3718"/>
        <v>0.1838479327</v>
      </c>
      <c r="DR798" s="15">
        <f t="shared" si="3718"/>
        <v>0.095175783</v>
      </c>
      <c r="DS798" s="313"/>
      <c r="DT798" s="15">
        <f t="shared" ref="DT798:DT799" si="3758">DT762/DR762-1</f>
        <v>-0.1486319775</v>
      </c>
      <c r="DU798" s="15">
        <f t="shared" ref="DU798:DW798" si="3719">DU762/DT762-1</f>
        <v>-0.02679358304</v>
      </c>
      <c r="DV798" s="15">
        <f t="shared" si="3719"/>
        <v>0.1849642165</v>
      </c>
      <c r="DW798" s="15">
        <f t="shared" si="3719"/>
        <v>0.09551341945</v>
      </c>
      <c r="DX798" s="313"/>
      <c r="DY798" s="15">
        <f t="shared" ref="DY798:DY799" si="3760">DY762/DW762-1</f>
        <v>-0.1487281145</v>
      </c>
      <c r="DZ798" s="15">
        <f t="shared" ref="DZ798:EB798" si="3720">DZ762/DY762-1</f>
        <v>-0.02701857558</v>
      </c>
      <c r="EA798" s="15">
        <f t="shared" si="3720"/>
        <v>0.1860160363</v>
      </c>
      <c r="EB798" s="15">
        <f t="shared" si="3720"/>
        <v>0.09583097627</v>
      </c>
      <c r="EC798" s="313"/>
      <c r="ED798" s="15">
        <f t="shared" ref="ED798:ED799" si="3762">ED762/EB762-1</f>
        <v>-0.1488184801</v>
      </c>
      <c r="EE798" s="15">
        <f t="shared" ref="EE798:EG798" si="3721">EE762/ED762-1</f>
        <v>-0.02723010736</v>
      </c>
      <c r="EF798" s="15">
        <f t="shared" si="3721"/>
        <v>0.1870053721</v>
      </c>
      <c r="EG798" s="15">
        <f t="shared" si="3721"/>
        <v>0.09612915481</v>
      </c>
      <c r="EH798" s="313"/>
      <c r="EI798" s="82">
        <f t="shared" ref="EI798:EI799" si="3764">EI762/EG762-1</f>
        <v>-0.1489032836</v>
      </c>
      <c r="EJ798" s="15">
        <f t="shared" ref="EJ798:EL798" si="3722">EJ762/EI762-1</f>
        <v>-0.02742866012</v>
      </c>
      <c r="EK798" s="15">
        <f t="shared" si="3722"/>
        <v>0.1879343965</v>
      </c>
      <c r="EL798" s="15">
        <f t="shared" si="3722"/>
        <v>0.09640870374</v>
      </c>
      <c r="EM798" s="313"/>
      <c r="EN798" s="15">
        <f t="shared" ref="EN798:EN799" si="3766">EN762/EL762-1</f>
        <v>-0.1489827469</v>
      </c>
      <c r="EO798" s="15">
        <f t="shared" ref="EO798:EQ798" si="3723">EO762/EN762-1</f>
        <v>-0.02761474551</v>
      </c>
      <c r="EP798" s="15">
        <f t="shared" si="3723"/>
        <v>0.1888054307</v>
      </c>
      <c r="EQ798" s="15">
        <f t="shared" si="3723"/>
        <v>0.09667040624</v>
      </c>
      <c r="ER798" s="313"/>
      <c r="ES798" s="15">
        <f t="shared" ref="ES798:ES799" si="3768">ES762/EQ762-1</f>
        <v>-0.1490571006</v>
      </c>
      <c r="ET798" s="15">
        <f t="shared" ref="ET798:EV798" si="3724">ET762/ES762-1</f>
        <v>-0.02778889669</v>
      </c>
      <c r="EU798" s="15">
        <f t="shared" si="3724"/>
        <v>0.1896209049</v>
      </c>
      <c r="EV798" s="15">
        <f t="shared" si="3724"/>
        <v>0.09691506838</v>
      </c>
      <c r="EW798" s="313"/>
      <c r="EX798" s="15">
        <f t="shared" ref="EX798:EX799" si="3770">EX762/EV762-1</f>
        <v>-0.1491265807</v>
      </c>
      <c r="EY798" s="15">
        <f t="shared" ref="EY798:FA798" si="3725">EY762/EX762-1</f>
        <v>-0.02795166064</v>
      </c>
      <c r="EZ798" s="15">
        <f t="shared" si="3725"/>
        <v>0.1903833219</v>
      </c>
      <c r="FA798" s="15">
        <f t="shared" si="3725"/>
        <v>0.09714350882</v>
      </c>
      <c r="FB798" s="313"/>
      <c r="FC798" s="15">
        <f t="shared" ref="FC798:FC799" si="3772">FC762/FA762-1</f>
        <v>-0.1491914261</v>
      </c>
      <c r="FD798" s="15">
        <f t="shared" ref="FD798:FF798" si="3726">FD762/FC762-1</f>
        <v>-0.02810359139</v>
      </c>
      <c r="FE798" s="15">
        <f t="shared" si="3726"/>
        <v>0.1910952245</v>
      </c>
      <c r="FF798" s="15">
        <f t="shared" si="3726"/>
        <v>0.09735654981</v>
      </c>
      <c r="FG798" s="313"/>
      <c r="FH798" s="40"/>
      <c r="FI798" s="15"/>
      <c r="FJ798" s="15"/>
      <c r="FK798" s="15"/>
      <c r="FL798" s="15"/>
    </row>
    <row r="799" ht="13.5" hidden="1" customHeight="1" outlineLevel="2">
      <c r="A799" s="4"/>
      <c r="B799" s="591" t="s">
        <v>293</v>
      </c>
      <c r="C799" s="529"/>
      <c r="D799" s="606"/>
      <c r="E799" s="606"/>
      <c r="F799" s="606"/>
      <c r="G799" s="606"/>
      <c r="H799" s="606"/>
      <c r="I799" s="606"/>
      <c r="J799" s="606"/>
      <c r="K799" s="606"/>
      <c r="L799" s="606"/>
      <c r="M799" s="606"/>
      <c r="N799" s="606"/>
      <c r="O799" s="606"/>
      <c r="P799" s="606"/>
      <c r="Q799" s="606"/>
      <c r="R799" s="606"/>
      <c r="S799" s="606"/>
      <c r="T799" s="606"/>
      <c r="U799" s="606"/>
      <c r="V799" s="606"/>
      <c r="W799" s="606"/>
      <c r="X799" s="606"/>
      <c r="Y799" s="606"/>
      <c r="Z799" s="606"/>
      <c r="AA799" s="606"/>
      <c r="AB799" s="606"/>
      <c r="AC799" s="606"/>
      <c r="AD799" s="606"/>
      <c r="AE799" s="606"/>
      <c r="AF799" s="606"/>
      <c r="AG799" s="606"/>
      <c r="AH799" s="606"/>
      <c r="AI799" s="606"/>
      <c r="AJ799" s="606"/>
      <c r="AK799" s="606"/>
      <c r="AL799" s="606"/>
      <c r="AM799" s="606"/>
      <c r="AN799" s="606"/>
      <c r="AO799" s="606"/>
      <c r="AP799" s="606"/>
      <c r="AQ799" s="606"/>
      <c r="AR799" s="606"/>
      <c r="AS799" s="606">
        <f t="shared" ref="AS799:AU799" si="3727">AS763/AR763-1</f>
        <v>-0.005190952911</v>
      </c>
      <c r="AT799" s="606">
        <f t="shared" si="3727"/>
        <v>0.05242887315</v>
      </c>
      <c r="AU799" s="606">
        <f t="shared" si="3727"/>
        <v>0.1330421438</v>
      </c>
      <c r="AV799" s="606"/>
      <c r="AW799" s="606">
        <f t="shared" si="3728"/>
        <v>-0.0170868931</v>
      </c>
      <c r="AX799" s="606">
        <f t="shared" ref="AX799:AZ799" si="3729">AX763/AW763-1</f>
        <v>-0.02151791393</v>
      </c>
      <c r="AY799" s="606">
        <f t="shared" si="3729"/>
        <v>0.07897302567</v>
      </c>
      <c r="AZ799" s="606">
        <f t="shared" si="3729"/>
        <v>0.02419678715</v>
      </c>
      <c r="BA799" s="606"/>
      <c r="BB799" s="606">
        <f t="shared" si="3730"/>
        <v>-0.1236153318</v>
      </c>
      <c r="BC799" s="606">
        <f t="shared" ref="BC799:BE799" si="3731">BC763/BB763-1</f>
        <v>-0.1041387025</v>
      </c>
      <c r="BD799" s="606">
        <f t="shared" si="3731"/>
        <v>0.09114745911</v>
      </c>
      <c r="BE799" s="606">
        <f t="shared" si="3731"/>
        <v>0.109280238</v>
      </c>
      <c r="BF799" s="606"/>
      <c r="BG799" s="606">
        <f t="shared" si="3732"/>
        <v>-0.08685785022</v>
      </c>
      <c r="BH799" s="606">
        <f t="shared" ref="BH799:BJ799" si="3733">BH763/BG763-1</f>
        <v>-0.01943063714</v>
      </c>
      <c r="BI799" s="606">
        <f t="shared" si="3733"/>
        <v>0.1624423963</v>
      </c>
      <c r="BJ799" s="606">
        <f t="shared" si="3733"/>
        <v>0.06164519326</v>
      </c>
      <c r="BK799" s="606"/>
      <c r="BL799" s="606">
        <f t="shared" si="3734"/>
        <v>-0.09699402539</v>
      </c>
      <c r="BM799" s="606">
        <f t="shared" ref="BM799:BO799" si="3735">BM763/BL763-1</f>
        <v>-0.02098625039</v>
      </c>
      <c r="BN799" s="606">
        <f t="shared" si="3735"/>
        <v>0.07888067582</v>
      </c>
      <c r="BO799" s="606">
        <f t="shared" si="3735"/>
        <v>-0.1948712929</v>
      </c>
      <c r="BP799" s="606"/>
      <c r="BQ799" s="606">
        <f t="shared" si="3736"/>
        <v>-0.1314125942</v>
      </c>
      <c r="BR799" s="606">
        <f t="shared" ref="BR799:BT799" si="3737">BR763/BQ763-1</f>
        <v>0.1230230931</v>
      </c>
      <c r="BS799" s="606">
        <f t="shared" si="3737"/>
        <v>0.170114656</v>
      </c>
      <c r="BT799" s="606" t="str">
        <f t="shared" si="3737"/>
        <v>#ERROR!</v>
      </c>
      <c r="BU799" s="606"/>
      <c r="BV799" s="606" t="str">
        <f t="shared" si="3738"/>
        <v>#ERROR!</v>
      </c>
      <c r="BW799" s="606" t="str">
        <f t="shared" ref="BW799:BY799" si="3739">BW763/BV763-1</f>
        <v>#ERROR!</v>
      </c>
      <c r="BX799" s="606" t="str">
        <f t="shared" si="3739"/>
        <v>#ERROR!</v>
      </c>
      <c r="BY799" s="606" t="str">
        <f t="shared" si="3739"/>
        <v>#ERROR!</v>
      </c>
      <c r="BZ799" s="630"/>
      <c r="CA799" s="606" t="str">
        <f t="shared" si="3740"/>
        <v>#ERROR!</v>
      </c>
      <c r="CB799" s="606" t="str">
        <f t="shared" ref="CB799:CD799" si="3741">CB763/CA763-1</f>
        <v>#ERROR!</v>
      </c>
      <c r="CC799" s="606" t="str">
        <f t="shared" si="3741"/>
        <v>#ERROR!</v>
      </c>
      <c r="CD799" s="606" t="str">
        <f t="shared" si="3741"/>
        <v>#ERROR!</v>
      </c>
      <c r="CE799" s="630"/>
      <c r="CF799" s="606" t="str">
        <f t="shared" si="3742"/>
        <v>#ERROR!</v>
      </c>
      <c r="CG799" s="606" t="str">
        <f t="shared" ref="CG799:CI799" si="3743">CG763/CF763-1</f>
        <v>#ERROR!</v>
      </c>
      <c r="CH799" s="606" t="str">
        <f t="shared" si="3743"/>
        <v>#ERROR!</v>
      </c>
      <c r="CI799" s="606" t="str">
        <f t="shared" si="3743"/>
        <v>#ERROR!</v>
      </c>
      <c r="CJ799" s="630"/>
      <c r="CK799" s="606" t="str">
        <f t="shared" si="3744"/>
        <v>#ERROR!</v>
      </c>
      <c r="CL799" s="606" t="str">
        <f t="shared" ref="CL799:CN799" si="3745">CL763/CK763-1</f>
        <v>#ERROR!</v>
      </c>
      <c r="CM799" s="606" t="str">
        <f t="shared" si="3745"/>
        <v>#ERROR!</v>
      </c>
      <c r="CN799" s="607" t="str">
        <f t="shared" si="3745"/>
        <v>#ERROR!</v>
      </c>
      <c r="CO799" s="630"/>
      <c r="CP799" s="607" t="str">
        <f t="shared" si="3746"/>
        <v>#ERROR!</v>
      </c>
      <c r="CQ799" s="606" t="str">
        <f t="shared" ref="CQ799:CS799" si="3747">CQ763/CP763-1</f>
        <v>#ERROR!</v>
      </c>
      <c r="CR799" s="606" t="str">
        <f t="shared" si="3747"/>
        <v>#ERROR!</v>
      </c>
      <c r="CS799" s="606" t="str">
        <f t="shared" si="3747"/>
        <v>#ERROR!</v>
      </c>
      <c r="CT799" s="630"/>
      <c r="CU799" s="606" t="str">
        <f t="shared" si="3748"/>
        <v>#ERROR!</v>
      </c>
      <c r="CV799" s="606" t="str">
        <f t="shared" ref="CV799:CX799" si="3749">CV763/CU763-1</f>
        <v>#ERROR!</v>
      </c>
      <c r="CW799" s="606" t="str">
        <f t="shared" si="3749"/>
        <v>#ERROR!</v>
      </c>
      <c r="CX799" s="606" t="str">
        <f t="shared" si="3749"/>
        <v>#ERROR!</v>
      </c>
      <c r="CY799" s="630"/>
      <c r="CZ799" s="606" t="str">
        <f t="shared" si="3750"/>
        <v>#ERROR!</v>
      </c>
      <c r="DA799" s="606" t="str">
        <f t="shared" ref="DA799:DC799" si="3751">DA763/CZ763-1</f>
        <v>#ERROR!</v>
      </c>
      <c r="DB799" s="606" t="str">
        <f t="shared" si="3751"/>
        <v>#ERROR!</v>
      </c>
      <c r="DC799" s="606" t="str">
        <f t="shared" si="3751"/>
        <v>#ERROR!</v>
      </c>
      <c r="DD799" s="630"/>
      <c r="DE799" s="606" t="str">
        <f t="shared" si="3752"/>
        <v>#ERROR!</v>
      </c>
      <c r="DF799" s="606" t="str">
        <f t="shared" ref="DF799:DH799" si="3753">DF763/DE763-1</f>
        <v>#ERROR!</v>
      </c>
      <c r="DG799" s="40" t="str">
        <f t="shared" si="3753"/>
        <v>#ERROR!</v>
      </c>
      <c r="DH799" s="606" t="str">
        <f t="shared" si="3753"/>
        <v>#ERROR!</v>
      </c>
      <c r="DI799" s="630"/>
      <c r="DJ799" s="607" t="str">
        <f t="shared" si="3754"/>
        <v>#ERROR!</v>
      </c>
      <c r="DK799" s="607" t="str">
        <f t="shared" ref="DK799:DM799" si="3755">DK763/DJ763-1</f>
        <v>#ERROR!</v>
      </c>
      <c r="DL799" s="607" t="str">
        <f t="shared" si="3755"/>
        <v>#ERROR!</v>
      </c>
      <c r="DM799" s="606" t="str">
        <f t="shared" si="3755"/>
        <v>#ERROR!</v>
      </c>
      <c r="DN799" s="630"/>
      <c r="DO799" s="606" t="str">
        <f t="shared" si="3756"/>
        <v>#ERROR!</v>
      </c>
      <c r="DP799" s="606" t="str">
        <f t="shared" ref="DP799:DR799" si="3757">DP763/DO763-1</f>
        <v>#ERROR!</v>
      </c>
      <c r="DQ799" s="606" t="str">
        <f t="shared" si="3757"/>
        <v>#ERROR!</v>
      </c>
      <c r="DR799" s="606" t="str">
        <f t="shared" si="3757"/>
        <v>#ERROR!</v>
      </c>
      <c r="DS799" s="630"/>
      <c r="DT799" s="606" t="str">
        <f t="shared" si="3758"/>
        <v>#ERROR!</v>
      </c>
      <c r="DU799" s="606" t="str">
        <f t="shared" ref="DU799:DW799" si="3759">DU763/DT763-1</f>
        <v>#ERROR!</v>
      </c>
      <c r="DV799" s="606" t="str">
        <f t="shared" si="3759"/>
        <v>#ERROR!</v>
      </c>
      <c r="DW799" s="606" t="str">
        <f t="shared" si="3759"/>
        <v>#ERROR!</v>
      </c>
      <c r="DX799" s="630"/>
      <c r="DY799" s="606" t="str">
        <f t="shared" si="3760"/>
        <v>#ERROR!</v>
      </c>
      <c r="DZ799" s="606" t="str">
        <f t="shared" ref="DZ799:EB799" si="3761">DZ763/DY763-1</f>
        <v>#ERROR!</v>
      </c>
      <c r="EA799" s="606" t="str">
        <f t="shared" si="3761"/>
        <v>#ERROR!</v>
      </c>
      <c r="EB799" s="606" t="str">
        <f t="shared" si="3761"/>
        <v>#ERROR!</v>
      </c>
      <c r="EC799" s="630"/>
      <c r="ED799" s="606" t="str">
        <f t="shared" si="3762"/>
        <v>#ERROR!</v>
      </c>
      <c r="EE799" s="606" t="str">
        <f t="shared" ref="EE799:EG799" si="3763">EE763/ED763-1</f>
        <v>#ERROR!</v>
      </c>
      <c r="EF799" s="606" t="str">
        <f t="shared" si="3763"/>
        <v>#ERROR!</v>
      </c>
      <c r="EG799" s="606" t="str">
        <f t="shared" si="3763"/>
        <v>#ERROR!</v>
      </c>
      <c r="EH799" s="630"/>
      <c r="EI799" s="608" t="str">
        <f t="shared" si="3764"/>
        <v>#ERROR!</v>
      </c>
      <c r="EJ799" s="606" t="str">
        <f t="shared" ref="EJ799:EL799" si="3765">EJ763/EI763-1</f>
        <v>#ERROR!</v>
      </c>
      <c r="EK799" s="606" t="str">
        <f t="shared" si="3765"/>
        <v>#ERROR!</v>
      </c>
      <c r="EL799" s="606" t="str">
        <f t="shared" si="3765"/>
        <v>#ERROR!</v>
      </c>
      <c r="EM799" s="630"/>
      <c r="EN799" s="606" t="str">
        <f t="shared" si="3766"/>
        <v>#ERROR!</v>
      </c>
      <c r="EO799" s="606" t="str">
        <f t="shared" ref="EO799:EQ799" si="3767">EO763/EN763-1</f>
        <v>#ERROR!</v>
      </c>
      <c r="EP799" s="606" t="str">
        <f t="shared" si="3767"/>
        <v>#ERROR!</v>
      </c>
      <c r="EQ799" s="606" t="str">
        <f t="shared" si="3767"/>
        <v>#ERROR!</v>
      </c>
      <c r="ER799" s="630"/>
      <c r="ES799" s="606" t="str">
        <f t="shared" si="3768"/>
        <v>#ERROR!</v>
      </c>
      <c r="ET799" s="606" t="str">
        <f t="shared" ref="ET799:EV799" si="3769">ET763/ES763-1</f>
        <v>#ERROR!</v>
      </c>
      <c r="EU799" s="606" t="str">
        <f t="shared" si="3769"/>
        <v>#ERROR!</v>
      </c>
      <c r="EV799" s="606" t="str">
        <f t="shared" si="3769"/>
        <v>#ERROR!</v>
      </c>
      <c r="EW799" s="630"/>
      <c r="EX799" s="606" t="str">
        <f t="shared" si="3770"/>
        <v>#ERROR!</v>
      </c>
      <c r="EY799" s="606" t="str">
        <f t="shared" ref="EY799:FA799" si="3771">EY763/EX763-1</f>
        <v>#ERROR!</v>
      </c>
      <c r="EZ799" s="606" t="str">
        <f t="shared" si="3771"/>
        <v>#ERROR!</v>
      </c>
      <c r="FA799" s="606" t="str">
        <f t="shared" si="3771"/>
        <v>#ERROR!</v>
      </c>
      <c r="FB799" s="630"/>
      <c r="FC799" s="606" t="str">
        <f t="shared" si="3772"/>
        <v>#ERROR!</v>
      </c>
      <c r="FD799" s="606" t="str">
        <f t="shared" ref="FD799:FF799" si="3773">FD763/FC763-1</f>
        <v>#ERROR!</v>
      </c>
      <c r="FE799" s="606" t="str">
        <f t="shared" si="3773"/>
        <v>#ERROR!</v>
      </c>
      <c r="FF799" s="606" t="str">
        <f t="shared" si="3773"/>
        <v>#ERROR!</v>
      </c>
      <c r="FG799" s="630"/>
      <c r="FH799" s="607"/>
      <c r="FI799" s="606"/>
      <c r="FJ799" s="606"/>
      <c r="FK799" s="606"/>
      <c r="FL799" s="606"/>
    </row>
    <row r="800" ht="12.75" hidden="1" customHeight="1" outlineLevel="2">
      <c r="A800" s="4"/>
      <c r="B800" s="45"/>
      <c r="C800" s="45"/>
      <c r="D800" s="4"/>
      <c r="E800" s="4"/>
      <c r="F800" s="4"/>
      <c r="G800" s="4"/>
      <c r="H800" s="45"/>
      <c r="I800" s="4"/>
      <c r="J800" s="4"/>
      <c r="K800" s="4"/>
      <c r="L800" s="4"/>
      <c r="M800" s="45"/>
      <c r="N800" s="4"/>
      <c r="O800" s="4"/>
      <c r="P800" s="4"/>
      <c r="Q800" s="4"/>
      <c r="R800" s="45"/>
      <c r="S800" s="4"/>
      <c r="T800" s="4"/>
      <c r="U800" s="4"/>
      <c r="V800" s="4"/>
      <c r="W800" s="45"/>
      <c r="X800" s="4"/>
      <c r="Y800" s="4"/>
      <c r="Z800" s="4"/>
      <c r="AA800" s="4"/>
      <c r="AB800" s="45"/>
      <c r="AC800" s="4"/>
      <c r="AD800" s="4"/>
      <c r="AE800" s="4"/>
      <c r="AF800" s="4"/>
      <c r="AG800" s="45"/>
      <c r="AH800" s="4"/>
      <c r="AI800" s="4"/>
      <c r="AJ800" s="4"/>
      <c r="AK800" s="4"/>
      <c r="AL800" s="45"/>
      <c r="AM800" s="4"/>
      <c r="AN800" s="4"/>
      <c r="AO800" s="4"/>
      <c r="AP800" s="4"/>
      <c r="AQ800" s="45"/>
      <c r="AR800" s="4"/>
      <c r="AS800" s="4"/>
      <c r="AT800" s="4"/>
      <c r="AU800" s="4"/>
      <c r="AV800" s="45"/>
      <c r="AW800" s="4"/>
      <c r="AX800" s="4"/>
      <c r="AY800" s="4"/>
      <c r="AZ800" s="4"/>
      <c r="BA800" s="45"/>
      <c r="BB800" s="4"/>
      <c r="BC800" s="4"/>
      <c r="BD800" s="4"/>
      <c r="BE800" s="4"/>
      <c r="BF800" s="45"/>
      <c r="BG800" s="4"/>
      <c r="BH800" s="4"/>
      <c r="BI800" s="4"/>
      <c r="BJ800" s="4"/>
      <c r="BK800" s="45"/>
      <c r="BL800" s="4"/>
      <c r="BM800" s="4"/>
      <c r="BN800" s="4"/>
      <c r="BO800" s="4"/>
      <c r="BP800" s="45"/>
      <c r="BQ800" s="4"/>
      <c r="BR800" s="4"/>
      <c r="BS800" s="4"/>
      <c r="BT800" s="4"/>
      <c r="BU800" s="45"/>
      <c r="BV800" s="4"/>
      <c r="BW800" s="4"/>
      <c r="BX800" s="4"/>
      <c r="BY800" s="4"/>
      <c r="BZ800" s="350"/>
      <c r="CA800" s="4"/>
      <c r="CB800" s="4"/>
      <c r="CC800" s="4"/>
      <c r="CD800" s="4"/>
      <c r="CE800" s="350"/>
      <c r="CF800" s="4"/>
      <c r="CG800" s="4"/>
      <c r="CH800" s="4"/>
      <c r="CI800" s="4"/>
      <c r="CJ800" s="350"/>
      <c r="CK800" s="4"/>
      <c r="CL800" s="4"/>
      <c r="CM800" s="4"/>
      <c r="CN800" s="16"/>
      <c r="CO800" s="350"/>
      <c r="CP800" s="16"/>
      <c r="CQ800" s="4"/>
      <c r="CR800" s="4"/>
      <c r="CS800" s="4"/>
      <c r="CT800" s="350"/>
      <c r="CU800" s="4"/>
      <c r="CV800" s="4"/>
      <c r="CW800" s="4"/>
      <c r="CX800" s="4"/>
      <c r="CY800" s="350"/>
      <c r="CZ800" s="4"/>
      <c r="DA800" s="4"/>
      <c r="DB800" s="4"/>
      <c r="DC800" s="4"/>
      <c r="DD800" s="350"/>
      <c r="DE800" s="4"/>
      <c r="DF800" s="4"/>
      <c r="DG800" s="16"/>
      <c r="DH800" s="4"/>
      <c r="DI800" s="350"/>
      <c r="DJ800" s="16"/>
      <c r="DK800" s="16"/>
      <c r="DL800" s="16"/>
      <c r="DM800" s="4"/>
      <c r="DN800" s="350"/>
      <c r="DO800" s="4"/>
      <c r="DP800" s="4"/>
      <c r="DQ800" s="4"/>
      <c r="DR800" s="4"/>
      <c r="DS800" s="350"/>
      <c r="DT800" s="4"/>
      <c r="DU800" s="4"/>
      <c r="DV800" s="4"/>
      <c r="DW800" s="4"/>
      <c r="DX800" s="350"/>
      <c r="DY800" s="4"/>
      <c r="DZ800" s="4"/>
      <c r="EA800" s="4"/>
      <c r="EB800" s="4"/>
      <c r="EC800" s="350"/>
      <c r="ED800" s="4"/>
      <c r="EE800" s="4"/>
      <c r="EF800" s="4"/>
      <c r="EG800" s="4"/>
      <c r="EH800" s="350"/>
      <c r="EI800" s="214"/>
      <c r="EJ800" s="4"/>
      <c r="EK800" s="4"/>
      <c r="EL800" s="4"/>
      <c r="EM800" s="350"/>
      <c r="EN800" s="4"/>
      <c r="EO800" s="4"/>
      <c r="EP800" s="4"/>
      <c r="EQ800" s="4"/>
      <c r="ER800" s="350"/>
      <c r="ES800" s="4"/>
      <c r="ET800" s="4"/>
      <c r="EU800" s="4"/>
      <c r="EV800" s="4"/>
      <c r="EW800" s="350"/>
      <c r="EX800" s="4"/>
      <c r="EY800" s="4"/>
      <c r="EZ800" s="4"/>
      <c r="FA800" s="4"/>
      <c r="FB800" s="350"/>
      <c r="FC800" s="4"/>
      <c r="FD800" s="4"/>
      <c r="FE800" s="4"/>
      <c r="FF800" s="4"/>
      <c r="FG800" s="350"/>
      <c r="FH800" s="145"/>
      <c r="FI800" s="4"/>
      <c r="FJ800" s="4"/>
      <c r="FK800" s="45"/>
      <c r="FL800" s="4"/>
    </row>
    <row r="801" ht="12.75" hidden="1" customHeight="1" outlineLevel="2">
      <c r="A801" s="4"/>
      <c r="B801" s="578" t="s">
        <v>292</v>
      </c>
      <c r="C801" s="299"/>
      <c r="D801" s="585"/>
      <c r="E801" s="586"/>
      <c r="F801" s="586"/>
      <c r="G801" s="586"/>
      <c r="H801" s="585"/>
      <c r="I801" s="585"/>
      <c r="J801" s="586"/>
      <c r="K801" s="586"/>
      <c r="L801" s="586"/>
      <c r="M801" s="585"/>
      <c r="N801" s="585"/>
      <c r="O801" s="586"/>
      <c r="P801" s="586"/>
      <c r="Q801" s="586"/>
      <c r="R801" s="585"/>
      <c r="S801" s="585"/>
      <c r="T801" s="586"/>
      <c r="U801" s="586"/>
      <c r="V801" s="586"/>
      <c r="W801" s="585"/>
      <c r="X801" s="585"/>
      <c r="Y801" s="586"/>
      <c r="Z801" s="586"/>
      <c r="AA801" s="586"/>
      <c r="AB801" s="585"/>
      <c r="AC801" s="585"/>
      <c r="AD801" s="586"/>
      <c r="AE801" s="586"/>
      <c r="AF801" s="586"/>
      <c r="AG801" s="585"/>
      <c r="AH801" s="585"/>
      <c r="AI801" s="586"/>
      <c r="AJ801" s="586"/>
      <c r="AK801" s="586"/>
      <c r="AL801" s="585"/>
      <c r="AM801" s="585"/>
      <c r="AN801" s="586"/>
      <c r="AO801" s="586"/>
      <c r="AP801" s="586"/>
      <c r="AQ801" s="585"/>
      <c r="AR801" s="585"/>
      <c r="AS801" s="586"/>
      <c r="AT801" s="586"/>
      <c r="AU801" s="586"/>
      <c r="AV801" s="585"/>
      <c r="AW801" s="585"/>
      <c r="AX801" s="586"/>
      <c r="AY801" s="586"/>
      <c r="AZ801" s="586"/>
      <c r="BA801" s="585"/>
      <c r="BB801" s="585"/>
      <c r="BC801" s="586"/>
      <c r="BD801" s="586"/>
      <c r="BE801" s="586"/>
      <c r="BF801" s="585"/>
      <c r="BG801" s="585"/>
      <c r="BH801" s="586"/>
      <c r="BI801" s="586"/>
      <c r="BJ801" s="586"/>
      <c r="BK801" s="585"/>
      <c r="BL801" s="585"/>
      <c r="BM801" s="586"/>
      <c r="BN801" s="586"/>
      <c r="BO801" s="586"/>
      <c r="BP801" s="585"/>
      <c r="BQ801" s="585"/>
      <c r="BR801" s="586"/>
      <c r="BS801" s="586"/>
      <c r="BT801" s="586"/>
      <c r="BU801" s="585"/>
      <c r="BV801" s="585"/>
      <c r="BW801" s="586"/>
      <c r="BX801" s="586"/>
      <c r="BY801" s="586"/>
      <c r="BZ801" s="587"/>
      <c r="CA801" s="585"/>
      <c r="CB801" s="586"/>
      <c r="CC801" s="586"/>
      <c r="CD801" s="586"/>
      <c r="CE801" s="587"/>
      <c r="CF801" s="585"/>
      <c r="CG801" s="586"/>
      <c r="CH801" s="586"/>
      <c r="CI801" s="586"/>
      <c r="CJ801" s="587"/>
      <c r="CK801" s="585"/>
      <c r="CL801" s="586"/>
      <c r="CM801" s="586"/>
      <c r="CN801" s="588"/>
      <c r="CO801" s="587"/>
      <c r="CP801" s="588"/>
      <c r="CQ801" s="586"/>
      <c r="CR801" s="586"/>
      <c r="CS801" s="586"/>
      <c r="CT801" s="587"/>
      <c r="CU801" s="585"/>
      <c r="CV801" s="586"/>
      <c r="CW801" s="586"/>
      <c r="CX801" s="586"/>
      <c r="CY801" s="587"/>
      <c r="CZ801" s="585"/>
      <c r="DA801" s="586"/>
      <c r="DB801" s="586"/>
      <c r="DC801" s="586"/>
      <c r="DD801" s="587"/>
      <c r="DE801" s="585"/>
      <c r="DF801" s="586"/>
      <c r="DG801" s="474"/>
      <c r="DH801" s="586"/>
      <c r="DI801" s="587"/>
      <c r="DJ801" s="589"/>
      <c r="DK801" s="588"/>
      <c r="DL801" s="588"/>
      <c r="DM801" s="586"/>
      <c r="DN801" s="587"/>
      <c r="DO801" s="585"/>
      <c r="DP801" s="586"/>
      <c r="DQ801" s="586"/>
      <c r="DR801" s="586"/>
      <c r="DS801" s="587"/>
      <c r="DT801" s="585"/>
      <c r="DU801" s="585"/>
      <c r="DV801" s="585"/>
      <c r="DW801" s="585"/>
      <c r="DX801" s="587"/>
      <c r="DY801" s="585"/>
      <c r="DZ801" s="585"/>
      <c r="EA801" s="585"/>
      <c r="EB801" s="585"/>
      <c r="EC801" s="587"/>
      <c r="ED801" s="585"/>
      <c r="EE801" s="585"/>
      <c r="EF801" s="585"/>
      <c r="EG801" s="585"/>
      <c r="EH801" s="587"/>
      <c r="EI801" s="590"/>
      <c r="EJ801" s="586"/>
      <c r="EK801" s="586"/>
      <c r="EL801" s="586"/>
      <c r="EM801" s="587"/>
      <c r="EN801" s="585"/>
      <c r="EO801" s="586"/>
      <c r="EP801" s="586"/>
      <c r="EQ801" s="586"/>
      <c r="ER801" s="587"/>
      <c r="ES801" s="585"/>
      <c r="ET801" s="586"/>
      <c r="EU801" s="586"/>
      <c r="EV801" s="586"/>
      <c r="EW801" s="587"/>
      <c r="EX801" s="585"/>
      <c r="EY801" s="586"/>
      <c r="EZ801" s="586"/>
      <c r="FA801" s="586"/>
      <c r="FB801" s="587"/>
      <c r="FC801" s="585"/>
      <c r="FD801" s="586"/>
      <c r="FE801" s="586"/>
      <c r="FF801" s="586"/>
      <c r="FG801" s="587"/>
      <c r="FH801" s="589"/>
      <c r="FI801" s="586"/>
      <c r="FJ801" s="586"/>
      <c r="FK801" s="585"/>
      <c r="FL801" s="585"/>
    </row>
    <row r="802" ht="12.75" hidden="1" customHeight="1" outlineLevel="2">
      <c r="A802" s="4"/>
      <c r="B802" s="72" t="str">
        <f t="shared" ref="B802:B807" si="3775">B748</f>
        <v>Processors</v>
      </c>
      <c r="C802" s="4"/>
      <c r="D802" s="15"/>
      <c r="E802" s="15"/>
      <c r="F802" s="15"/>
      <c r="G802" s="15"/>
      <c r="H802" s="410"/>
      <c r="I802" s="15"/>
      <c r="J802" s="15"/>
      <c r="K802" s="15"/>
      <c r="L802" s="15"/>
      <c r="M802" s="410"/>
      <c r="N802" s="15"/>
      <c r="O802" s="15"/>
      <c r="P802" s="15"/>
      <c r="Q802" s="15"/>
      <c r="R802" s="410"/>
      <c r="S802" s="15"/>
      <c r="T802" s="15"/>
      <c r="U802" s="15"/>
      <c r="V802" s="15"/>
      <c r="W802" s="410"/>
      <c r="X802" s="15"/>
      <c r="Y802" s="15"/>
      <c r="Z802" s="15"/>
      <c r="AA802" s="15"/>
      <c r="AB802" s="410"/>
      <c r="AC802" s="15"/>
      <c r="AD802" s="15"/>
      <c r="AE802" s="15"/>
      <c r="AF802" s="15"/>
      <c r="AG802" s="410"/>
      <c r="AH802" s="15"/>
      <c r="AI802" s="15"/>
      <c r="AJ802" s="15"/>
      <c r="AK802" s="15"/>
      <c r="AL802" s="410"/>
      <c r="AM802" s="15"/>
      <c r="AN802" s="15"/>
      <c r="AO802" s="15"/>
      <c r="AP802" s="15"/>
      <c r="AQ802" s="410"/>
      <c r="AR802" s="15"/>
      <c r="AS802" s="15"/>
      <c r="AT802" s="15"/>
      <c r="AU802" s="15"/>
      <c r="AV802" s="410">
        <f t="shared" ref="AV802:FG802" si="3774">AV748/AQ748-1</f>
        <v>0.07976210327</v>
      </c>
      <c r="AW802" s="15">
        <f t="shared" si="3774"/>
        <v>-0.005431502716</v>
      </c>
      <c r="AX802" s="15">
        <f t="shared" si="3774"/>
        <v>-0.01624278692</v>
      </c>
      <c r="AY802" s="15">
        <f t="shared" si="3774"/>
        <v>0.09203539823</v>
      </c>
      <c r="AZ802" s="15">
        <f t="shared" si="3774"/>
        <v>-0.06221461187</v>
      </c>
      <c r="BA802" s="410">
        <f t="shared" si="3774"/>
        <v>-0.0007206836199</v>
      </c>
      <c r="BB802" s="15">
        <f t="shared" si="3774"/>
        <v>-0.2127831715</v>
      </c>
      <c r="BC802" s="15">
        <f t="shared" si="3774"/>
        <v>-0.2748207691</v>
      </c>
      <c r="BD802" s="15">
        <f t="shared" si="3774"/>
        <v>-0.2866693679</v>
      </c>
      <c r="BE802" s="15">
        <f t="shared" si="3774"/>
        <v>-0.2178940962</v>
      </c>
      <c r="BF802" s="410">
        <f t="shared" si="3774"/>
        <v>-0.2475788172</v>
      </c>
      <c r="BG802" s="15">
        <f t="shared" si="3774"/>
        <v>-0.08504624872</v>
      </c>
      <c r="BH802" s="15">
        <f t="shared" si="3774"/>
        <v>0.03804673457</v>
      </c>
      <c r="BI802" s="15">
        <f t="shared" si="3774"/>
        <v>0.1019596705</v>
      </c>
      <c r="BJ802" s="15">
        <f t="shared" si="3774"/>
        <v>0.1226977951</v>
      </c>
      <c r="BK802" s="410">
        <f t="shared" si="3774"/>
        <v>0.04299602903</v>
      </c>
      <c r="BL802" s="15">
        <f t="shared" si="3774"/>
        <v>0.1895534962</v>
      </c>
      <c r="BM802" s="15">
        <f t="shared" si="3774"/>
        <v>0.1855699856</v>
      </c>
      <c r="BN802" s="15">
        <f t="shared" si="3774"/>
        <v>0.04871134021</v>
      </c>
      <c r="BO802" s="15">
        <f t="shared" si="3774"/>
        <v>-0.1531885397</v>
      </c>
      <c r="BP802" s="410">
        <f t="shared" si="3774"/>
        <v>0.05540238939</v>
      </c>
      <c r="BQ802" s="15">
        <f t="shared" si="3774"/>
        <v>-0.230878187</v>
      </c>
      <c r="BR802" s="15">
        <f t="shared" si="3774"/>
        <v>-0.1679649464</v>
      </c>
      <c r="BS802" s="15">
        <f t="shared" si="3774"/>
        <v>-0.04816908331</v>
      </c>
      <c r="BT802" s="15" t="str">
        <f t="shared" si="3774"/>
        <v>#ERROR!</v>
      </c>
      <c r="BU802" s="410" t="str">
        <f t="shared" si="3774"/>
        <v>#ERROR!</v>
      </c>
      <c r="BV802" s="15" t="str">
        <f t="shared" si="3774"/>
        <v>#ERROR!</v>
      </c>
      <c r="BW802" s="15" t="str">
        <f t="shared" si="3774"/>
        <v>#ERROR!</v>
      </c>
      <c r="BX802" s="15" t="str">
        <f t="shared" si="3774"/>
        <v>#ERROR!</v>
      </c>
      <c r="BY802" s="15" t="str">
        <f t="shared" si="3774"/>
        <v>#ERROR!</v>
      </c>
      <c r="BZ802" s="24" t="str">
        <f t="shared" si="3774"/>
        <v>#ERROR!</v>
      </c>
      <c r="CA802" s="15" t="str">
        <f t="shared" si="3774"/>
        <v>#ERROR!</v>
      </c>
      <c r="CB802" s="15" t="str">
        <f t="shared" si="3774"/>
        <v>#ERROR!</v>
      </c>
      <c r="CC802" s="15" t="str">
        <f t="shared" si="3774"/>
        <v>#ERROR!</v>
      </c>
      <c r="CD802" s="15" t="str">
        <f t="shared" si="3774"/>
        <v>#ERROR!</v>
      </c>
      <c r="CE802" s="24" t="str">
        <f t="shared" si="3774"/>
        <v>#ERROR!</v>
      </c>
      <c r="CF802" s="15" t="str">
        <f t="shared" si="3774"/>
        <v>#ERROR!</v>
      </c>
      <c r="CG802" s="15" t="str">
        <f t="shared" si="3774"/>
        <v>#ERROR!</v>
      </c>
      <c r="CH802" s="15" t="str">
        <f t="shared" si="3774"/>
        <v>#ERROR!</v>
      </c>
      <c r="CI802" s="15" t="str">
        <f t="shared" si="3774"/>
        <v>#ERROR!</v>
      </c>
      <c r="CJ802" s="24" t="str">
        <f t="shared" si="3774"/>
        <v>#ERROR!</v>
      </c>
      <c r="CK802" s="15" t="str">
        <f t="shared" si="3774"/>
        <v>#ERROR!</v>
      </c>
      <c r="CL802" s="15" t="str">
        <f t="shared" si="3774"/>
        <v>#ERROR!</v>
      </c>
      <c r="CM802" s="15" t="str">
        <f t="shared" si="3774"/>
        <v>#ERROR!</v>
      </c>
      <c r="CN802" s="40" t="str">
        <f t="shared" si="3774"/>
        <v>#ERROR!</v>
      </c>
      <c r="CO802" s="24" t="str">
        <f t="shared" si="3774"/>
        <v>#ERROR!</v>
      </c>
      <c r="CP802" s="40" t="str">
        <f t="shared" si="3774"/>
        <v>#ERROR!</v>
      </c>
      <c r="CQ802" s="15" t="str">
        <f t="shared" si="3774"/>
        <v>#ERROR!</v>
      </c>
      <c r="CR802" s="15" t="str">
        <f t="shared" si="3774"/>
        <v>#ERROR!</v>
      </c>
      <c r="CS802" s="15" t="str">
        <f t="shared" si="3774"/>
        <v>#ERROR!</v>
      </c>
      <c r="CT802" s="24" t="str">
        <f t="shared" si="3774"/>
        <v>#ERROR!</v>
      </c>
      <c r="CU802" s="15" t="str">
        <f t="shared" si="3774"/>
        <v>#ERROR!</v>
      </c>
      <c r="CV802" s="15" t="str">
        <f t="shared" si="3774"/>
        <v>#ERROR!</v>
      </c>
      <c r="CW802" s="15" t="str">
        <f t="shared" si="3774"/>
        <v>#ERROR!</v>
      </c>
      <c r="CX802" s="15" t="str">
        <f t="shared" si="3774"/>
        <v>#ERROR!</v>
      </c>
      <c r="CY802" s="24" t="str">
        <f t="shared" si="3774"/>
        <v>#ERROR!</v>
      </c>
      <c r="CZ802" s="15" t="str">
        <f t="shared" si="3774"/>
        <v>#ERROR!</v>
      </c>
      <c r="DA802" s="15" t="str">
        <f t="shared" si="3774"/>
        <v>#ERROR!</v>
      </c>
      <c r="DB802" s="15" t="str">
        <f t="shared" si="3774"/>
        <v>#ERROR!</v>
      </c>
      <c r="DC802" s="15" t="str">
        <f t="shared" si="3774"/>
        <v>#ERROR!</v>
      </c>
      <c r="DD802" s="24" t="str">
        <f t="shared" si="3774"/>
        <v>#ERROR!</v>
      </c>
      <c r="DE802" s="15" t="str">
        <f t="shared" si="3774"/>
        <v>#ERROR!</v>
      </c>
      <c r="DF802" s="15" t="str">
        <f t="shared" si="3774"/>
        <v>#ERROR!</v>
      </c>
      <c r="DG802" s="40" t="str">
        <f t="shared" si="3774"/>
        <v>#ERROR!</v>
      </c>
      <c r="DH802" s="15" t="str">
        <f t="shared" si="3774"/>
        <v>#ERROR!</v>
      </c>
      <c r="DI802" s="24" t="str">
        <f t="shared" si="3774"/>
        <v>#ERROR!</v>
      </c>
      <c r="DJ802" s="40" t="str">
        <f t="shared" si="3774"/>
        <v>#ERROR!</v>
      </c>
      <c r="DK802" s="40" t="str">
        <f t="shared" si="3774"/>
        <v>#ERROR!</v>
      </c>
      <c r="DL802" s="40" t="str">
        <f t="shared" si="3774"/>
        <v>#ERROR!</v>
      </c>
      <c r="DM802" s="15" t="str">
        <f t="shared" si="3774"/>
        <v>#ERROR!</v>
      </c>
      <c r="DN802" s="24" t="str">
        <f t="shared" si="3774"/>
        <v>#ERROR!</v>
      </c>
      <c r="DO802" s="15" t="str">
        <f t="shared" si="3774"/>
        <v>#ERROR!</v>
      </c>
      <c r="DP802" s="15" t="str">
        <f t="shared" si="3774"/>
        <v>#ERROR!</v>
      </c>
      <c r="DQ802" s="15" t="str">
        <f t="shared" si="3774"/>
        <v>#ERROR!</v>
      </c>
      <c r="DR802" s="15" t="str">
        <f t="shared" si="3774"/>
        <v>#ERROR!</v>
      </c>
      <c r="DS802" s="24" t="str">
        <f t="shared" si="3774"/>
        <v>#ERROR!</v>
      </c>
      <c r="DT802" s="15" t="str">
        <f t="shared" si="3774"/>
        <v>#ERROR!</v>
      </c>
      <c r="DU802" s="15" t="str">
        <f t="shared" si="3774"/>
        <v>#ERROR!</v>
      </c>
      <c r="DV802" s="15" t="str">
        <f t="shared" si="3774"/>
        <v>#ERROR!</v>
      </c>
      <c r="DW802" s="15" t="str">
        <f t="shared" si="3774"/>
        <v>#ERROR!</v>
      </c>
      <c r="DX802" s="24" t="str">
        <f t="shared" si="3774"/>
        <v>#ERROR!</v>
      </c>
      <c r="DY802" s="15" t="str">
        <f t="shared" si="3774"/>
        <v>#ERROR!</v>
      </c>
      <c r="DZ802" s="15" t="str">
        <f t="shared" si="3774"/>
        <v>#ERROR!</v>
      </c>
      <c r="EA802" s="15" t="str">
        <f t="shared" si="3774"/>
        <v>#ERROR!</v>
      </c>
      <c r="EB802" s="15" t="str">
        <f t="shared" si="3774"/>
        <v>#ERROR!</v>
      </c>
      <c r="EC802" s="24" t="str">
        <f t="shared" si="3774"/>
        <v>#ERROR!</v>
      </c>
      <c r="ED802" s="15" t="str">
        <f t="shared" si="3774"/>
        <v>#ERROR!</v>
      </c>
      <c r="EE802" s="15" t="str">
        <f t="shared" si="3774"/>
        <v>#ERROR!</v>
      </c>
      <c r="EF802" s="15" t="str">
        <f t="shared" si="3774"/>
        <v>#ERROR!</v>
      </c>
      <c r="EG802" s="15" t="str">
        <f t="shared" si="3774"/>
        <v>#ERROR!</v>
      </c>
      <c r="EH802" s="24" t="str">
        <f t="shared" si="3774"/>
        <v>#ERROR!</v>
      </c>
      <c r="EI802" s="82" t="str">
        <f t="shared" si="3774"/>
        <v>#ERROR!</v>
      </c>
      <c r="EJ802" s="15" t="str">
        <f t="shared" si="3774"/>
        <v>#ERROR!</v>
      </c>
      <c r="EK802" s="15" t="str">
        <f t="shared" si="3774"/>
        <v>#ERROR!</v>
      </c>
      <c r="EL802" s="15" t="str">
        <f t="shared" si="3774"/>
        <v>#ERROR!</v>
      </c>
      <c r="EM802" s="24" t="str">
        <f t="shared" si="3774"/>
        <v>#ERROR!</v>
      </c>
      <c r="EN802" s="15" t="str">
        <f t="shared" si="3774"/>
        <v>#ERROR!</v>
      </c>
      <c r="EO802" s="15" t="str">
        <f t="shared" si="3774"/>
        <v>#ERROR!</v>
      </c>
      <c r="EP802" s="15" t="str">
        <f t="shared" si="3774"/>
        <v>#ERROR!</v>
      </c>
      <c r="EQ802" s="15" t="str">
        <f t="shared" si="3774"/>
        <v>#ERROR!</v>
      </c>
      <c r="ER802" s="24" t="str">
        <f t="shared" si="3774"/>
        <v>#ERROR!</v>
      </c>
      <c r="ES802" s="15" t="str">
        <f t="shared" si="3774"/>
        <v>#ERROR!</v>
      </c>
      <c r="ET802" s="15" t="str">
        <f t="shared" si="3774"/>
        <v>#ERROR!</v>
      </c>
      <c r="EU802" s="15" t="str">
        <f t="shared" si="3774"/>
        <v>#ERROR!</v>
      </c>
      <c r="EV802" s="15" t="str">
        <f t="shared" si="3774"/>
        <v>#ERROR!</v>
      </c>
      <c r="EW802" s="24" t="str">
        <f t="shared" si="3774"/>
        <v>#ERROR!</v>
      </c>
      <c r="EX802" s="15" t="str">
        <f t="shared" si="3774"/>
        <v>#ERROR!</v>
      </c>
      <c r="EY802" s="15" t="str">
        <f t="shared" si="3774"/>
        <v>#ERROR!</v>
      </c>
      <c r="EZ802" s="15" t="str">
        <f t="shared" si="3774"/>
        <v>#ERROR!</v>
      </c>
      <c r="FA802" s="15" t="str">
        <f t="shared" si="3774"/>
        <v>#ERROR!</v>
      </c>
      <c r="FB802" s="24" t="str">
        <f t="shared" si="3774"/>
        <v>#ERROR!</v>
      </c>
      <c r="FC802" s="15" t="str">
        <f t="shared" si="3774"/>
        <v>#ERROR!</v>
      </c>
      <c r="FD802" s="15" t="str">
        <f t="shared" si="3774"/>
        <v>#ERROR!</v>
      </c>
      <c r="FE802" s="15" t="str">
        <f t="shared" si="3774"/>
        <v>#ERROR!</v>
      </c>
      <c r="FF802" s="15" t="str">
        <f t="shared" si="3774"/>
        <v>#ERROR!</v>
      </c>
      <c r="FG802" s="24" t="str">
        <f t="shared" si="3774"/>
        <v>#ERROR!</v>
      </c>
      <c r="FH802" s="104"/>
      <c r="FI802" s="15"/>
      <c r="FJ802" s="15"/>
      <c r="FK802" s="410"/>
      <c r="FL802" s="15"/>
    </row>
    <row r="803" ht="12.75" hidden="1" customHeight="1" outlineLevel="2">
      <c r="A803" s="4"/>
      <c r="B803" s="72" t="str">
        <f t="shared" si="3775"/>
        <v>Chipsets, MBs and other</v>
      </c>
      <c r="C803" s="4"/>
      <c r="D803" s="15"/>
      <c r="E803" s="15"/>
      <c r="F803" s="15"/>
      <c r="G803" s="15"/>
      <c r="H803" s="410"/>
      <c r="I803" s="15"/>
      <c r="J803" s="15"/>
      <c r="K803" s="15"/>
      <c r="L803" s="15"/>
      <c r="M803" s="410"/>
      <c r="N803" s="15"/>
      <c r="O803" s="15"/>
      <c r="P803" s="15"/>
      <c r="Q803" s="15"/>
      <c r="R803" s="410"/>
      <c r="S803" s="15"/>
      <c r="T803" s="15"/>
      <c r="U803" s="15"/>
      <c r="V803" s="15"/>
      <c r="W803" s="410"/>
      <c r="X803" s="15"/>
      <c r="Y803" s="15"/>
      <c r="Z803" s="15"/>
      <c r="AA803" s="15"/>
      <c r="AB803" s="410"/>
      <c r="AC803" s="15"/>
      <c r="AD803" s="15"/>
      <c r="AE803" s="15"/>
      <c r="AF803" s="15"/>
      <c r="AG803" s="410"/>
      <c r="AH803" s="15"/>
      <c r="AI803" s="15"/>
      <c r="AJ803" s="15"/>
      <c r="AK803" s="15"/>
      <c r="AL803" s="410"/>
      <c r="AM803" s="15"/>
      <c r="AN803" s="15"/>
      <c r="AO803" s="15"/>
      <c r="AP803" s="15"/>
      <c r="AQ803" s="410"/>
      <c r="AR803" s="15"/>
      <c r="AS803" s="15"/>
      <c r="AT803" s="15"/>
      <c r="AU803" s="15"/>
      <c r="AV803" s="410"/>
      <c r="AW803" s="15">
        <f t="shared" ref="AW803:FG803" si="3776">AW749/AR749-1</f>
        <v>0.1246031746</v>
      </c>
      <c r="AX803" s="15">
        <f t="shared" si="3776"/>
        <v>0.1375101709</v>
      </c>
      <c r="AY803" s="15">
        <f t="shared" si="3776"/>
        <v>0.06537890045</v>
      </c>
      <c r="AZ803" s="15">
        <f t="shared" si="3776"/>
        <v>-0.02702702703</v>
      </c>
      <c r="BA803" s="410">
        <f t="shared" si="3776"/>
        <v>0.0696935725</v>
      </c>
      <c r="BB803" s="15">
        <f t="shared" si="3776"/>
        <v>-0.1143260409</v>
      </c>
      <c r="BC803" s="15">
        <f t="shared" si="3776"/>
        <v>-0.08226037196</v>
      </c>
      <c r="BD803" s="15">
        <f t="shared" si="3776"/>
        <v>-0.006276150628</v>
      </c>
      <c r="BE803" s="15">
        <f t="shared" si="3776"/>
        <v>-0.114498645</v>
      </c>
      <c r="BF803" s="410">
        <f t="shared" si="3776"/>
        <v>-0.07947598253</v>
      </c>
      <c r="BG803" s="15">
        <f t="shared" si="3776"/>
        <v>-0.04940239044</v>
      </c>
      <c r="BH803" s="15">
        <f t="shared" si="3776"/>
        <v>-0.08183943882</v>
      </c>
      <c r="BI803" s="15">
        <f t="shared" si="3776"/>
        <v>-0.07087719298</v>
      </c>
      <c r="BJ803" s="15">
        <f t="shared" si="3776"/>
        <v>0.07957153787</v>
      </c>
      <c r="BK803" s="410">
        <f t="shared" si="3776"/>
        <v>-0.03111954459</v>
      </c>
      <c r="BL803" s="15">
        <f t="shared" si="3776"/>
        <v>0.01005867561</v>
      </c>
      <c r="BM803" s="15">
        <f t="shared" si="3776"/>
        <v>0.07385398981</v>
      </c>
      <c r="BN803" s="15">
        <f t="shared" si="3776"/>
        <v>-0.05664652568</v>
      </c>
      <c r="BO803" s="15">
        <f t="shared" si="3776"/>
        <v>-0.4082211198</v>
      </c>
      <c r="BP803" s="410">
        <f t="shared" si="3776"/>
        <v>-0.1081081081</v>
      </c>
      <c r="BQ803" s="15">
        <f t="shared" si="3776"/>
        <v>-0.3767634855</v>
      </c>
      <c r="BR803" s="15">
        <f t="shared" si="3776"/>
        <v>-0.2996047431</v>
      </c>
      <c r="BS803" s="15">
        <f t="shared" si="3776"/>
        <v>-0.1673338671</v>
      </c>
      <c r="BT803" s="15">
        <f t="shared" si="3776"/>
        <v>-0.7402240697</v>
      </c>
      <c r="BU803" s="410">
        <f t="shared" si="3776"/>
        <v>-0.364533838</v>
      </c>
      <c r="BV803" s="15">
        <f t="shared" si="3776"/>
        <v>-0.7375809398</v>
      </c>
      <c r="BW803" s="15">
        <f t="shared" si="3776"/>
        <v>-0.7431468239</v>
      </c>
      <c r="BX803" s="15">
        <f t="shared" si="3776"/>
        <v>-0.773375481</v>
      </c>
      <c r="BY803" s="15">
        <f t="shared" si="3776"/>
        <v>0.2626404347</v>
      </c>
      <c r="BZ803" s="24">
        <f t="shared" si="3776"/>
        <v>-0.6771771783</v>
      </c>
      <c r="CA803" s="15">
        <f t="shared" si="3776"/>
        <v>0.1133895693</v>
      </c>
      <c r="CB803" s="15">
        <f t="shared" si="3776"/>
        <v>-0.01755794585</v>
      </c>
      <c r="CC803" s="15">
        <f t="shared" si="3776"/>
        <v>-0.02788451819</v>
      </c>
      <c r="CD803" s="15">
        <f t="shared" si="3776"/>
        <v>-0.1021393056</v>
      </c>
      <c r="CE803" s="24">
        <f t="shared" si="3776"/>
        <v>-0.01733589484</v>
      </c>
      <c r="CF803" s="15">
        <f t="shared" si="3776"/>
        <v>0.006538978253</v>
      </c>
      <c r="CG803" s="15">
        <f t="shared" si="3776"/>
        <v>0.1281789933</v>
      </c>
      <c r="CH803" s="15">
        <f t="shared" si="3776"/>
        <v>0.08065647444</v>
      </c>
      <c r="CI803" s="15">
        <f t="shared" si="3776"/>
        <v>0.05569271733</v>
      </c>
      <c r="CJ803" s="24">
        <f t="shared" si="3776"/>
        <v>0.06782785889</v>
      </c>
      <c r="CK803" s="15">
        <f t="shared" si="3776"/>
        <v>0.1201672902</v>
      </c>
      <c r="CL803" s="15">
        <f t="shared" si="3776"/>
        <v>0.01439804459</v>
      </c>
      <c r="CM803" s="15">
        <f t="shared" si="3776"/>
        <v>0.1126739511</v>
      </c>
      <c r="CN803" s="40">
        <f t="shared" si="3776"/>
        <v>0.09528206688</v>
      </c>
      <c r="CO803" s="24">
        <f t="shared" si="3776"/>
        <v>0.08446956985</v>
      </c>
      <c r="CP803" s="40">
        <f t="shared" si="3776"/>
        <v>0.0817514137</v>
      </c>
      <c r="CQ803" s="15">
        <f t="shared" si="3776"/>
        <v>0.2248559051</v>
      </c>
      <c r="CR803" s="15">
        <f t="shared" si="3776"/>
        <v>0.2541848743</v>
      </c>
      <c r="CS803" s="15">
        <f t="shared" si="3776"/>
        <v>0.3420177149</v>
      </c>
      <c r="CT803" s="24">
        <f t="shared" si="3776"/>
        <v>0.2304903749</v>
      </c>
      <c r="CU803" s="15">
        <f t="shared" si="3776"/>
        <v>0.307340905</v>
      </c>
      <c r="CV803" s="15">
        <f t="shared" si="3776"/>
        <v>0.1698794238</v>
      </c>
      <c r="CW803" s="15">
        <f t="shared" si="3776"/>
        <v>0.2399200471</v>
      </c>
      <c r="CX803" s="15">
        <f t="shared" si="3776"/>
        <v>0.07302780305</v>
      </c>
      <c r="CY803" s="24">
        <f t="shared" si="3776"/>
        <v>0.1882498113</v>
      </c>
      <c r="CZ803" s="15">
        <f t="shared" si="3776"/>
        <v>0.0684427379</v>
      </c>
      <c r="DA803" s="15">
        <f t="shared" si="3776"/>
        <v>0.07846168088</v>
      </c>
      <c r="DB803" s="15">
        <f t="shared" si="3776"/>
        <v>0.00160235394</v>
      </c>
      <c r="DC803" s="15">
        <f t="shared" si="3776"/>
        <v>0.09618572263</v>
      </c>
      <c r="DD803" s="24">
        <f t="shared" si="3776"/>
        <v>0.05969147671</v>
      </c>
      <c r="DE803" s="15">
        <f t="shared" si="3776"/>
        <v>0.10610106</v>
      </c>
      <c r="DF803" s="15">
        <f t="shared" si="3776"/>
        <v>0.0742025942</v>
      </c>
      <c r="DG803" s="40">
        <f t="shared" si="3776"/>
        <v>0.08554485622</v>
      </c>
      <c r="DH803" s="15">
        <f t="shared" si="3776"/>
        <v>0.03544236522</v>
      </c>
      <c r="DI803" s="24">
        <f t="shared" si="3776"/>
        <v>0.07383482756</v>
      </c>
      <c r="DJ803" s="40">
        <f t="shared" si="3776"/>
        <v>0.08438523008</v>
      </c>
      <c r="DK803" s="40">
        <f t="shared" si="3776"/>
        <v>0.1495873648</v>
      </c>
      <c r="DL803" s="40">
        <f t="shared" si="3776"/>
        <v>0.1627921</v>
      </c>
      <c r="DM803" s="15">
        <f t="shared" si="3776"/>
        <v>0.1611316721</v>
      </c>
      <c r="DN803" s="24">
        <f t="shared" si="3776"/>
        <v>0.1408560363</v>
      </c>
      <c r="DO803" s="15">
        <f t="shared" si="3776"/>
        <v>0.1368743472</v>
      </c>
      <c r="DP803" s="15">
        <f t="shared" si="3776"/>
        <v>0.1183560486</v>
      </c>
      <c r="DQ803" s="15">
        <f t="shared" si="3776"/>
        <v>0.09236725963</v>
      </c>
      <c r="DR803" s="15">
        <f t="shared" si="3776"/>
        <v>0.1405750328</v>
      </c>
      <c r="DS803" s="24">
        <f t="shared" si="3776"/>
        <v>0.1214367066</v>
      </c>
      <c r="DT803" s="15">
        <f t="shared" si="3776"/>
        <v>0.1404076901</v>
      </c>
      <c r="DU803" s="15">
        <f t="shared" si="3776"/>
        <v>0.1408423977</v>
      </c>
      <c r="DV803" s="15">
        <f t="shared" si="3776"/>
        <v>0.1412311197</v>
      </c>
      <c r="DW803" s="15">
        <f t="shared" si="3776"/>
        <v>0.1413013736</v>
      </c>
      <c r="DX803" s="24">
        <f t="shared" si="3776"/>
        <v>0.1409709455</v>
      </c>
      <c r="DY803" s="15">
        <f t="shared" si="3776"/>
        <v>0.1414096345</v>
      </c>
      <c r="DZ803" s="15">
        <f t="shared" si="3776"/>
        <v>0.1417807119</v>
      </c>
      <c r="EA803" s="15">
        <f t="shared" si="3776"/>
        <v>0.1421267068</v>
      </c>
      <c r="EB803" s="15">
        <f t="shared" si="3776"/>
        <v>0.14219407</v>
      </c>
      <c r="EC803" s="24">
        <f t="shared" si="3776"/>
        <v>0.1419001086</v>
      </c>
      <c r="ED803" s="15">
        <f t="shared" si="3776"/>
        <v>-1</v>
      </c>
      <c r="EE803" s="15">
        <f t="shared" si="3776"/>
        <v>-1</v>
      </c>
      <c r="EF803" s="15">
        <f t="shared" si="3776"/>
        <v>-1</v>
      </c>
      <c r="EG803" s="15">
        <f t="shared" si="3776"/>
        <v>-1</v>
      </c>
      <c r="EH803" s="24">
        <f t="shared" si="3776"/>
        <v>-1</v>
      </c>
      <c r="EI803" s="82" t="str">
        <f t="shared" si="3776"/>
        <v>#DIV/0!</v>
      </c>
      <c r="EJ803" s="15" t="str">
        <f t="shared" si="3776"/>
        <v>#DIV/0!</v>
      </c>
      <c r="EK803" s="15" t="str">
        <f t="shared" si="3776"/>
        <v>#DIV/0!</v>
      </c>
      <c r="EL803" s="15" t="str">
        <f t="shared" si="3776"/>
        <v>#DIV/0!</v>
      </c>
      <c r="EM803" s="24" t="str">
        <f t="shared" si="3776"/>
        <v>#DIV/0!</v>
      </c>
      <c r="EN803" s="15" t="str">
        <f t="shared" si="3776"/>
        <v>#DIV/0!</v>
      </c>
      <c r="EO803" s="15" t="str">
        <f t="shared" si="3776"/>
        <v>#DIV/0!</v>
      </c>
      <c r="EP803" s="15" t="str">
        <f t="shared" si="3776"/>
        <v>#DIV/0!</v>
      </c>
      <c r="EQ803" s="15" t="str">
        <f t="shared" si="3776"/>
        <v>#DIV/0!</v>
      </c>
      <c r="ER803" s="24" t="str">
        <f t="shared" si="3776"/>
        <v>#DIV/0!</v>
      </c>
      <c r="ES803" s="15" t="str">
        <f t="shared" si="3776"/>
        <v>#DIV/0!</v>
      </c>
      <c r="ET803" s="15" t="str">
        <f t="shared" si="3776"/>
        <v>#DIV/0!</v>
      </c>
      <c r="EU803" s="15" t="str">
        <f t="shared" si="3776"/>
        <v>#DIV/0!</v>
      </c>
      <c r="EV803" s="15" t="str">
        <f t="shared" si="3776"/>
        <v>#DIV/0!</v>
      </c>
      <c r="EW803" s="24" t="str">
        <f t="shared" si="3776"/>
        <v>#DIV/0!</v>
      </c>
      <c r="EX803" s="15" t="str">
        <f t="shared" si="3776"/>
        <v>#DIV/0!</v>
      </c>
      <c r="EY803" s="15" t="str">
        <f t="shared" si="3776"/>
        <v>#DIV/0!</v>
      </c>
      <c r="EZ803" s="15" t="str">
        <f t="shared" si="3776"/>
        <v>#DIV/0!</v>
      </c>
      <c r="FA803" s="15" t="str">
        <f t="shared" si="3776"/>
        <v>#DIV/0!</v>
      </c>
      <c r="FB803" s="24" t="str">
        <f t="shared" si="3776"/>
        <v>#DIV/0!</v>
      </c>
      <c r="FC803" s="15" t="str">
        <f t="shared" si="3776"/>
        <v>#DIV/0!</v>
      </c>
      <c r="FD803" s="15" t="str">
        <f t="shared" si="3776"/>
        <v>#DIV/0!</v>
      </c>
      <c r="FE803" s="15" t="str">
        <f t="shared" si="3776"/>
        <v>#DIV/0!</v>
      </c>
      <c r="FF803" s="15" t="str">
        <f t="shared" si="3776"/>
        <v>#DIV/0!</v>
      </c>
      <c r="FG803" s="24" t="str">
        <f t="shared" si="3776"/>
        <v>#DIV/0!</v>
      </c>
      <c r="FH803" s="104"/>
      <c r="FI803" s="15"/>
      <c r="FJ803" s="15"/>
      <c r="FK803" s="410"/>
      <c r="FL803" s="15"/>
    </row>
    <row r="804" ht="12.75" hidden="1" customHeight="1" outlineLevel="2">
      <c r="A804" s="45"/>
      <c r="B804" s="215" t="str">
        <f t="shared" si="3775"/>
        <v>Digital Enterprise Group</v>
      </c>
      <c r="C804" s="45"/>
      <c r="D804" s="410"/>
      <c r="E804" s="410"/>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410"/>
      <c r="AK804" s="410"/>
      <c r="AL804" s="410"/>
      <c r="AM804" s="410"/>
      <c r="AN804" s="410"/>
      <c r="AO804" s="410"/>
      <c r="AP804" s="410"/>
      <c r="AQ804" s="410"/>
      <c r="AR804" s="410"/>
      <c r="AS804" s="410"/>
      <c r="AT804" s="410"/>
      <c r="AU804" s="410"/>
      <c r="AV804" s="410">
        <f t="shared" ref="AV804:FG804" si="3777">AV750/AQ750-1</f>
        <v>3.889108129</v>
      </c>
      <c r="AW804" s="410">
        <f t="shared" si="3777"/>
        <v>0.02086342481</v>
      </c>
      <c r="AX804" s="410">
        <f t="shared" si="3777"/>
        <v>0.01574136764</v>
      </c>
      <c r="AY804" s="410">
        <f t="shared" si="3777"/>
        <v>0.08591885442</v>
      </c>
      <c r="AZ804" s="410">
        <f t="shared" si="3777"/>
        <v>-0.05433338255</v>
      </c>
      <c r="BA804" s="410">
        <f t="shared" si="3777"/>
        <v>0.01448865929</v>
      </c>
      <c r="BB804" s="410">
        <f t="shared" si="3777"/>
        <v>-0.1908504952</v>
      </c>
      <c r="BC804" s="410">
        <f t="shared" si="3777"/>
        <v>-0.2299616731</v>
      </c>
      <c r="BD804" s="410">
        <f t="shared" si="3777"/>
        <v>-0.2235478807</v>
      </c>
      <c r="BE804" s="410">
        <f t="shared" si="3777"/>
        <v>-0.1940671351</v>
      </c>
      <c r="BF804" s="410">
        <f t="shared" si="3777"/>
        <v>-0.209293074</v>
      </c>
      <c r="BG804" s="410">
        <f t="shared" si="3777"/>
        <v>-0.07635515834</v>
      </c>
      <c r="BH804" s="410">
        <f t="shared" si="3777"/>
        <v>0.00476087427</v>
      </c>
      <c r="BI804" s="410">
        <f t="shared" si="3777"/>
        <v>0.05216336433</v>
      </c>
      <c r="BJ804" s="410">
        <f t="shared" si="3777"/>
        <v>0.1117783805</v>
      </c>
      <c r="BK804" s="410">
        <f t="shared" si="3777"/>
        <v>0.02334473737</v>
      </c>
      <c r="BL804" s="410">
        <f t="shared" si="3777"/>
        <v>0.1445098864</v>
      </c>
      <c r="BM804" s="410">
        <f t="shared" si="3777"/>
        <v>0.1572259315</v>
      </c>
      <c r="BN804" s="410">
        <f t="shared" si="3777"/>
        <v>0.02190622598</v>
      </c>
      <c r="BO804" s="410">
        <f t="shared" si="3777"/>
        <v>-0.2158912703</v>
      </c>
      <c r="BP804" s="410">
        <f t="shared" si="3777"/>
        <v>0.01435594887</v>
      </c>
      <c r="BQ804" s="410">
        <f t="shared" si="3777"/>
        <v>-0.2631869142</v>
      </c>
      <c r="BR804" s="410">
        <f t="shared" si="3777"/>
        <v>-0.1989577517</v>
      </c>
      <c r="BS804" s="410">
        <f t="shared" si="3777"/>
        <v>-0.07615644979</v>
      </c>
      <c r="BT804" s="410" t="str">
        <f t="shared" si="3777"/>
        <v>#ERROR!</v>
      </c>
      <c r="BU804" s="410" t="str">
        <f t="shared" si="3777"/>
        <v>#ERROR!</v>
      </c>
      <c r="BV804" s="410" t="str">
        <f t="shared" si="3777"/>
        <v>#ERROR!</v>
      </c>
      <c r="BW804" s="410" t="str">
        <f t="shared" si="3777"/>
        <v>#ERROR!</v>
      </c>
      <c r="BX804" s="410" t="str">
        <f t="shared" si="3777"/>
        <v>#ERROR!</v>
      </c>
      <c r="BY804" s="410" t="str">
        <f t="shared" si="3777"/>
        <v>#ERROR!</v>
      </c>
      <c r="BZ804" s="24" t="str">
        <f t="shared" si="3777"/>
        <v>#ERROR!</v>
      </c>
      <c r="CA804" s="410" t="str">
        <f t="shared" si="3777"/>
        <v>#ERROR!</v>
      </c>
      <c r="CB804" s="410" t="str">
        <f t="shared" si="3777"/>
        <v>#ERROR!</v>
      </c>
      <c r="CC804" s="410" t="str">
        <f t="shared" si="3777"/>
        <v>#ERROR!</v>
      </c>
      <c r="CD804" s="410" t="str">
        <f t="shared" si="3777"/>
        <v>#ERROR!</v>
      </c>
      <c r="CE804" s="24" t="str">
        <f t="shared" si="3777"/>
        <v>#ERROR!</v>
      </c>
      <c r="CF804" s="410" t="str">
        <f t="shared" si="3777"/>
        <v>#ERROR!</v>
      </c>
      <c r="CG804" s="410" t="str">
        <f t="shared" si="3777"/>
        <v>#ERROR!</v>
      </c>
      <c r="CH804" s="410" t="str">
        <f t="shared" si="3777"/>
        <v>#ERROR!</v>
      </c>
      <c r="CI804" s="410" t="str">
        <f t="shared" si="3777"/>
        <v>#ERROR!</v>
      </c>
      <c r="CJ804" s="24" t="str">
        <f t="shared" si="3777"/>
        <v>#ERROR!</v>
      </c>
      <c r="CK804" s="410" t="str">
        <f t="shared" si="3777"/>
        <v>#ERROR!</v>
      </c>
      <c r="CL804" s="410" t="str">
        <f t="shared" si="3777"/>
        <v>#ERROR!</v>
      </c>
      <c r="CM804" s="410" t="str">
        <f t="shared" si="3777"/>
        <v>#ERROR!</v>
      </c>
      <c r="CN804" s="104" t="str">
        <f t="shared" si="3777"/>
        <v>#ERROR!</v>
      </c>
      <c r="CO804" s="24" t="str">
        <f t="shared" si="3777"/>
        <v>#ERROR!</v>
      </c>
      <c r="CP804" s="104" t="str">
        <f t="shared" si="3777"/>
        <v>#ERROR!</v>
      </c>
      <c r="CQ804" s="410" t="str">
        <f t="shared" si="3777"/>
        <v>#ERROR!</v>
      </c>
      <c r="CR804" s="410" t="str">
        <f t="shared" si="3777"/>
        <v>#ERROR!</v>
      </c>
      <c r="CS804" s="410" t="str">
        <f t="shared" si="3777"/>
        <v>#ERROR!</v>
      </c>
      <c r="CT804" s="24" t="str">
        <f t="shared" si="3777"/>
        <v>#ERROR!</v>
      </c>
      <c r="CU804" s="410" t="str">
        <f t="shared" si="3777"/>
        <v>#ERROR!</v>
      </c>
      <c r="CV804" s="410" t="str">
        <f t="shared" si="3777"/>
        <v>#ERROR!</v>
      </c>
      <c r="CW804" s="410" t="str">
        <f t="shared" si="3777"/>
        <v>#ERROR!</v>
      </c>
      <c r="CX804" s="410" t="str">
        <f t="shared" si="3777"/>
        <v>#ERROR!</v>
      </c>
      <c r="CY804" s="24" t="str">
        <f t="shared" si="3777"/>
        <v>#ERROR!</v>
      </c>
      <c r="CZ804" s="410" t="str">
        <f t="shared" si="3777"/>
        <v>#ERROR!</v>
      </c>
      <c r="DA804" s="410" t="str">
        <f t="shared" si="3777"/>
        <v>#ERROR!</v>
      </c>
      <c r="DB804" s="410" t="str">
        <f t="shared" si="3777"/>
        <v>#ERROR!</v>
      </c>
      <c r="DC804" s="410" t="str">
        <f t="shared" si="3777"/>
        <v>#ERROR!</v>
      </c>
      <c r="DD804" s="24" t="str">
        <f t="shared" si="3777"/>
        <v>#ERROR!</v>
      </c>
      <c r="DE804" s="410" t="str">
        <f t="shared" si="3777"/>
        <v>#ERROR!</v>
      </c>
      <c r="DF804" s="410" t="str">
        <f t="shared" si="3777"/>
        <v>#ERROR!</v>
      </c>
      <c r="DG804" s="104" t="str">
        <f t="shared" si="3777"/>
        <v>#ERROR!</v>
      </c>
      <c r="DH804" s="410" t="str">
        <f t="shared" si="3777"/>
        <v>#ERROR!</v>
      </c>
      <c r="DI804" s="24" t="str">
        <f t="shared" si="3777"/>
        <v>#ERROR!</v>
      </c>
      <c r="DJ804" s="104" t="str">
        <f t="shared" si="3777"/>
        <v>#ERROR!</v>
      </c>
      <c r="DK804" s="104" t="str">
        <f t="shared" si="3777"/>
        <v>#ERROR!</v>
      </c>
      <c r="DL804" s="104" t="str">
        <f t="shared" si="3777"/>
        <v>#ERROR!</v>
      </c>
      <c r="DM804" s="410" t="str">
        <f t="shared" si="3777"/>
        <v>#ERROR!</v>
      </c>
      <c r="DN804" s="24" t="str">
        <f t="shared" si="3777"/>
        <v>#ERROR!</v>
      </c>
      <c r="DO804" s="410" t="str">
        <f t="shared" si="3777"/>
        <v>#ERROR!</v>
      </c>
      <c r="DP804" s="410" t="str">
        <f t="shared" si="3777"/>
        <v>#ERROR!</v>
      </c>
      <c r="DQ804" s="410" t="str">
        <f t="shared" si="3777"/>
        <v>#ERROR!</v>
      </c>
      <c r="DR804" s="410" t="str">
        <f t="shared" si="3777"/>
        <v>#ERROR!</v>
      </c>
      <c r="DS804" s="24" t="str">
        <f t="shared" si="3777"/>
        <v>#ERROR!</v>
      </c>
      <c r="DT804" s="410" t="str">
        <f t="shared" si="3777"/>
        <v>#ERROR!</v>
      </c>
      <c r="DU804" s="410" t="str">
        <f t="shared" si="3777"/>
        <v>#ERROR!</v>
      </c>
      <c r="DV804" s="410" t="str">
        <f t="shared" si="3777"/>
        <v>#ERROR!</v>
      </c>
      <c r="DW804" s="410" t="str">
        <f t="shared" si="3777"/>
        <v>#ERROR!</v>
      </c>
      <c r="DX804" s="24" t="str">
        <f t="shared" si="3777"/>
        <v>#ERROR!</v>
      </c>
      <c r="DY804" s="410" t="str">
        <f t="shared" si="3777"/>
        <v>#ERROR!</v>
      </c>
      <c r="DZ804" s="410" t="str">
        <f t="shared" si="3777"/>
        <v>#ERROR!</v>
      </c>
      <c r="EA804" s="410" t="str">
        <f t="shared" si="3777"/>
        <v>#ERROR!</v>
      </c>
      <c r="EB804" s="410" t="str">
        <f t="shared" si="3777"/>
        <v>#ERROR!</v>
      </c>
      <c r="EC804" s="24" t="str">
        <f t="shared" si="3777"/>
        <v>#ERROR!</v>
      </c>
      <c r="ED804" s="410" t="str">
        <f t="shared" si="3777"/>
        <v>#ERROR!</v>
      </c>
      <c r="EE804" s="410" t="str">
        <f t="shared" si="3777"/>
        <v>#ERROR!</v>
      </c>
      <c r="EF804" s="410" t="str">
        <f t="shared" si="3777"/>
        <v>#ERROR!</v>
      </c>
      <c r="EG804" s="410" t="str">
        <f t="shared" si="3777"/>
        <v>#ERROR!</v>
      </c>
      <c r="EH804" s="24" t="str">
        <f t="shared" si="3777"/>
        <v>#ERROR!</v>
      </c>
      <c r="EI804" s="317" t="str">
        <f t="shared" si="3777"/>
        <v>#ERROR!</v>
      </c>
      <c r="EJ804" s="410" t="str">
        <f t="shared" si="3777"/>
        <v>#ERROR!</v>
      </c>
      <c r="EK804" s="410" t="str">
        <f t="shared" si="3777"/>
        <v>#ERROR!</v>
      </c>
      <c r="EL804" s="410" t="str">
        <f t="shared" si="3777"/>
        <v>#ERROR!</v>
      </c>
      <c r="EM804" s="24" t="str">
        <f t="shared" si="3777"/>
        <v>#ERROR!</v>
      </c>
      <c r="EN804" s="410" t="str">
        <f t="shared" si="3777"/>
        <v>#ERROR!</v>
      </c>
      <c r="EO804" s="410" t="str">
        <f t="shared" si="3777"/>
        <v>#ERROR!</v>
      </c>
      <c r="EP804" s="410" t="str">
        <f t="shared" si="3777"/>
        <v>#ERROR!</v>
      </c>
      <c r="EQ804" s="410" t="str">
        <f t="shared" si="3777"/>
        <v>#ERROR!</v>
      </c>
      <c r="ER804" s="24" t="str">
        <f t="shared" si="3777"/>
        <v>#ERROR!</v>
      </c>
      <c r="ES804" s="410" t="str">
        <f t="shared" si="3777"/>
        <v>#ERROR!</v>
      </c>
      <c r="ET804" s="410" t="str">
        <f t="shared" si="3777"/>
        <v>#ERROR!</v>
      </c>
      <c r="EU804" s="410" t="str">
        <f t="shared" si="3777"/>
        <v>#ERROR!</v>
      </c>
      <c r="EV804" s="410" t="str">
        <f t="shared" si="3777"/>
        <v>#ERROR!</v>
      </c>
      <c r="EW804" s="24" t="str">
        <f t="shared" si="3777"/>
        <v>#ERROR!</v>
      </c>
      <c r="EX804" s="410" t="str">
        <f t="shared" si="3777"/>
        <v>#ERROR!</v>
      </c>
      <c r="EY804" s="410" t="str">
        <f t="shared" si="3777"/>
        <v>#ERROR!</v>
      </c>
      <c r="EZ804" s="410" t="str">
        <f t="shared" si="3777"/>
        <v>#ERROR!</v>
      </c>
      <c r="FA804" s="410" t="str">
        <f t="shared" si="3777"/>
        <v>#ERROR!</v>
      </c>
      <c r="FB804" s="24" t="str">
        <f t="shared" si="3777"/>
        <v>#ERROR!</v>
      </c>
      <c r="FC804" s="410" t="str">
        <f t="shared" si="3777"/>
        <v>#ERROR!</v>
      </c>
      <c r="FD804" s="410" t="str">
        <f t="shared" si="3777"/>
        <v>#ERROR!</v>
      </c>
      <c r="FE804" s="410" t="str">
        <f t="shared" si="3777"/>
        <v>#ERROR!</v>
      </c>
      <c r="FF804" s="410" t="str">
        <f t="shared" si="3777"/>
        <v>#ERROR!</v>
      </c>
      <c r="FG804" s="24" t="str">
        <f t="shared" si="3777"/>
        <v>#ERROR!</v>
      </c>
      <c r="FH804" s="104"/>
      <c r="FI804" s="410"/>
      <c r="FJ804" s="410"/>
      <c r="FK804" s="410"/>
      <c r="FL804" s="410"/>
    </row>
    <row r="805" ht="12.75" hidden="1" customHeight="1" outlineLevel="2">
      <c r="A805" s="4"/>
      <c r="B805" s="72" t="str">
        <f t="shared" si="3775"/>
        <v>Mobile Processors</v>
      </c>
      <c r="C805" s="4"/>
      <c r="D805" s="15"/>
      <c r="E805" s="15"/>
      <c r="F805" s="15"/>
      <c r="G805" s="15"/>
      <c r="H805" s="410"/>
      <c r="I805" s="15"/>
      <c r="J805" s="15"/>
      <c r="K805" s="15"/>
      <c r="L805" s="15"/>
      <c r="M805" s="410"/>
      <c r="N805" s="15"/>
      <c r="O805" s="15"/>
      <c r="P805" s="15"/>
      <c r="Q805" s="15"/>
      <c r="R805" s="410"/>
      <c r="S805" s="15"/>
      <c r="T805" s="15"/>
      <c r="U805" s="15"/>
      <c r="V805" s="15"/>
      <c r="W805" s="410"/>
      <c r="X805" s="15"/>
      <c r="Y805" s="15"/>
      <c r="Z805" s="15"/>
      <c r="AA805" s="15"/>
      <c r="AB805" s="410"/>
      <c r="AC805" s="15"/>
      <c r="AD805" s="15"/>
      <c r="AE805" s="15"/>
      <c r="AF805" s="15"/>
      <c r="AG805" s="410"/>
      <c r="AH805" s="15"/>
      <c r="AI805" s="15"/>
      <c r="AJ805" s="15"/>
      <c r="AK805" s="15"/>
      <c r="AL805" s="410"/>
      <c r="AM805" s="15"/>
      <c r="AN805" s="15"/>
      <c r="AO805" s="15"/>
      <c r="AP805" s="15"/>
      <c r="AQ805" s="410"/>
      <c r="AR805" s="15"/>
      <c r="AS805" s="15"/>
      <c r="AT805" s="15"/>
      <c r="AU805" s="15"/>
      <c r="AV805" s="410"/>
      <c r="AW805" s="15">
        <f t="shared" ref="AW805:FG805" si="3778">AW751/AR751-1</f>
        <v>0.6497418244</v>
      </c>
      <c r="AX805" s="15">
        <f t="shared" si="3778"/>
        <v>0.6797385621</v>
      </c>
      <c r="AY805" s="15">
        <f t="shared" si="3778"/>
        <v>0.4837683004</v>
      </c>
      <c r="AZ805" s="15">
        <f t="shared" si="3778"/>
        <v>0.4035087719</v>
      </c>
      <c r="BA805" s="410">
        <f t="shared" si="3778"/>
        <v>0.5359096524</v>
      </c>
      <c r="BB805" s="15">
        <f t="shared" si="3778"/>
        <v>0.2243088159</v>
      </c>
      <c r="BC805" s="15">
        <f t="shared" si="3778"/>
        <v>-0.04766536965</v>
      </c>
      <c r="BD805" s="15">
        <f t="shared" si="3778"/>
        <v>-0.03946803947</v>
      </c>
      <c r="BE805" s="15">
        <f t="shared" si="3778"/>
        <v>0.1116666667</v>
      </c>
      <c r="BF805" s="410">
        <f t="shared" si="3778"/>
        <v>0.05836397059</v>
      </c>
      <c r="BG805" s="15">
        <f t="shared" si="3778"/>
        <v>0.0400511291</v>
      </c>
      <c r="BH805" s="15">
        <f t="shared" si="3778"/>
        <v>0.2247191011</v>
      </c>
      <c r="BI805" s="15">
        <f t="shared" si="3778"/>
        <v>0.2648503796</v>
      </c>
      <c r="BJ805" s="15">
        <f t="shared" si="3778"/>
        <v>0.1203148426</v>
      </c>
      <c r="BK805" s="410">
        <f t="shared" si="3778"/>
        <v>0.1571862788</v>
      </c>
      <c r="BL805" s="15">
        <f t="shared" si="3778"/>
        <v>0.1167554281</v>
      </c>
      <c r="BM805" s="15">
        <f t="shared" si="3778"/>
        <v>0.1434528774</v>
      </c>
      <c r="BN805" s="15">
        <f t="shared" si="3778"/>
        <v>0.1959745763</v>
      </c>
      <c r="BO805" s="15">
        <f t="shared" si="3778"/>
        <v>-0.1354968217</v>
      </c>
      <c r="BP805" s="410">
        <f t="shared" si="3778"/>
        <v>0.07307692308</v>
      </c>
      <c r="BQ805" s="15">
        <f t="shared" si="3778"/>
        <v>-0.1973587674</v>
      </c>
      <c r="BR805" s="15">
        <f t="shared" si="3778"/>
        <v>-0.06856309263</v>
      </c>
      <c r="BS805" s="15">
        <f t="shared" si="3778"/>
        <v>-0.1366991438</v>
      </c>
      <c r="BT805" s="15" t="str">
        <f t="shared" si="3778"/>
        <v>#ERROR!</v>
      </c>
      <c r="BU805" s="410" t="str">
        <f t="shared" si="3778"/>
        <v>#ERROR!</v>
      </c>
      <c r="BV805" s="15" t="str">
        <f t="shared" si="3778"/>
        <v>#ERROR!</v>
      </c>
      <c r="BW805" s="15" t="str">
        <f t="shared" si="3778"/>
        <v>#ERROR!</v>
      </c>
      <c r="BX805" s="15" t="str">
        <f t="shared" si="3778"/>
        <v>#ERROR!</v>
      </c>
      <c r="BY805" s="15" t="str">
        <f t="shared" si="3778"/>
        <v>#ERROR!</v>
      </c>
      <c r="BZ805" s="24" t="str">
        <f t="shared" si="3778"/>
        <v>#ERROR!</v>
      </c>
      <c r="CA805" s="15" t="str">
        <f t="shared" si="3778"/>
        <v>#ERROR!</v>
      </c>
      <c r="CB805" s="15" t="str">
        <f t="shared" si="3778"/>
        <v>#ERROR!</v>
      </c>
      <c r="CC805" s="15" t="str">
        <f t="shared" si="3778"/>
        <v>#ERROR!</v>
      </c>
      <c r="CD805" s="15" t="str">
        <f t="shared" si="3778"/>
        <v>#ERROR!</v>
      </c>
      <c r="CE805" s="24" t="str">
        <f t="shared" si="3778"/>
        <v>#ERROR!</v>
      </c>
      <c r="CF805" s="15" t="str">
        <f t="shared" si="3778"/>
        <v>#ERROR!</v>
      </c>
      <c r="CG805" s="15" t="str">
        <f t="shared" si="3778"/>
        <v>#ERROR!</v>
      </c>
      <c r="CH805" s="15" t="str">
        <f t="shared" si="3778"/>
        <v>#ERROR!</v>
      </c>
      <c r="CI805" s="15" t="str">
        <f t="shared" si="3778"/>
        <v>#ERROR!</v>
      </c>
      <c r="CJ805" s="24" t="str">
        <f t="shared" si="3778"/>
        <v>#ERROR!</v>
      </c>
      <c r="CK805" s="15" t="str">
        <f t="shared" si="3778"/>
        <v>#ERROR!</v>
      </c>
      <c r="CL805" s="15" t="str">
        <f t="shared" si="3778"/>
        <v>#ERROR!</v>
      </c>
      <c r="CM805" s="15" t="str">
        <f t="shared" si="3778"/>
        <v>#ERROR!</v>
      </c>
      <c r="CN805" s="40" t="str">
        <f t="shared" si="3778"/>
        <v>#ERROR!</v>
      </c>
      <c r="CO805" s="24" t="str">
        <f t="shared" si="3778"/>
        <v>#ERROR!</v>
      </c>
      <c r="CP805" s="40" t="str">
        <f t="shared" si="3778"/>
        <v>#ERROR!</v>
      </c>
      <c r="CQ805" s="15" t="str">
        <f t="shared" si="3778"/>
        <v>#ERROR!</v>
      </c>
      <c r="CR805" s="15" t="str">
        <f t="shared" si="3778"/>
        <v>#ERROR!</v>
      </c>
      <c r="CS805" s="15" t="str">
        <f t="shared" si="3778"/>
        <v>#ERROR!</v>
      </c>
      <c r="CT805" s="24" t="str">
        <f t="shared" si="3778"/>
        <v>#ERROR!</v>
      </c>
      <c r="CU805" s="15" t="str">
        <f t="shared" si="3778"/>
        <v>#ERROR!</v>
      </c>
      <c r="CV805" s="15" t="str">
        <f t="shared" si="3778"/>
        <v>#ERROR!</v>
      </c>
      <c r="CW805" s="15" t="str">
        <f t="shared" si="3778"/>
        <v>#ERROR!</v>
      </c>
      <c r="CX805" s="15" t="str">
        <f t="shared" si="3778"/>
        <v>#ERROR!</v>
      </c>
      <c r="CY805" s="24" t="str">
        <f t="shared" si="3778"/>
        <v>#ERROR!</v>
      </c>
      <c r="CZ805" s="15" t="str">
        <f t="shared" si="3778"/>
        <v>#ERROR!</v>
      </c>
      <c r="DA805" s="15" t="str">
        <f t="shared" si="3778"/>
        <v>#ERROR!</v>
      </c>
      <c r="DB805" s="15" t="str">
        <f t="shared" si="3778"/>
        <v>#ERROR!</v>
      </c>
      <c r="DC805" s="15" t="str">
        <f t="shared" si="3778"/>
        <v>#ERROR!</v>
      </c>
      <c r="DD805" s="24" t="str">
        <f t="shared" si="3778"/>
        <v>#ERROR!</v>
      </c>
      <c r="DE805" s="15" t="str">
        <f t="shared" si="3778"/>
        <v>#ERROR!</v>
      </c>
      <c r="DF805" s="15" t="str">
        <f t="shared" si="3778"/>
        <v>#ERROR!</v>
      </c>
      <c r="DG805" s="40" t="str">
        <f t="shared" si="3778"/>
        <v>#ERROR!</v>
      </c>
      <c r="DH805" s="15" t="str">
        <f t="shared" si="3778"/>
        <v>#ERROR!</v>
      </c>
      <c r="DI805" s="24" t="str">
        <f t="shared" si="3778"/>
        <v>#ERROR!</v>
      </c>
      <c r="DJ805" s="40" t="str">
        <f t="shared" si="3778"/>
        <v>#ERROR!</v>
      </c>
      <c r="DK805" s="40" t="str">
        <f t="shared" si="3778"/>
        <v>#ERROR!</v>
      </c>
      <c r="DL805" s="40" t="str">
        <f t="shared" si="3778"/>
        <v>#ERROR!</v>
      </c>
      <c r="DM805" s="15" t="str">
        <f t="shared" si="3778"/>
        <v>#ERROR!</v>
      </c>
      <c r="DN805" s="24" t="str">
        <f t="shared" si="3778"/>
        <v>#ERROR!</v>
      </c>
      <c r="DO805" s="15" t="str">
        <f t="shared" si="3778"/>
        <v>#ERROR!</v>
      </c>
      <c r="DP805" s="15" t="str">
        <f t="shared" si="3778"/>
        <v>#ERROR!</v>
      </c>
      <c r="DQ805" s="15" t="str">
        <f t="shared" si="3778"/>
        <v>#ERROR!</v>
      </c>
      <c r="DR805" s="15" t="str">
        <f t="shared" si="3778"/>
        <v>#ERROR!</v>
      </c>
      <c r="DS805" s="24" t="str">
        <f t="shared" si="3778"/>
        <v>#ERROR!</v>
      </c>
      <c r="DT805" s="15" t="str">
        <f t="shared" si="3778"/>
        <v>#ERROR!</v>
      </c>
      <c r="DU805" s="15" t="str">
        <f t="shared" si="3778"/>
        <v>#ERROR!</v>
      </c>
      <c r="DV805" s="15" t="str">
        <f t="shared" si="3778"/>
        <v>#ERROR!</v>
      </c>
      <c r="DW805" s="15" t="str">
        <f t="shared" si="3778"/>
        <v>#ERROR!</v>
      </c>
      <c r="DX805" s="24" t="str">
        <f t="shared" si="3778"/>
        <v>#ERROR!</v>
      </c>
      <c r="DY805" s="15" t="str">
        <f t="shared" si="3778"/>
        <v>#ERROR!</v>
      </c>
      <c r="DZ805" s="15" t="str">
        <f t="shared" si="3778"/>
        <v>#ERROR!</v>
      </c>
      <c r="EA805" s="15" t="str">
        <f t="shared" si="3778"/>
        <v>#ERROR!</v>
      </c>
      <c r="EB805" s="15" t="str">
        <f t="shared" si="3778"/>
        <v>#ERROR!</v>
      </c>
      <c r="EC805" s="24" t="str">
        <f t="shared" si="3778"/>
        <v>#ERROR!</v>
      </c>
      <c r="ED805" s="15" t="str">
        <f t="shared" si="3778"/>
        <v>#ERROR!</v>
      </c>
      <c r="EE805" s="15" t="str">
        <f t="shared" si="3778"/>
        <v>#ERROR!</v>
      </c>
      <c r="EF805" s="15" t="str">
        <f t="shared" si="3778"/>
        <v>#ERROR!</v>
      </c>
      <c r="EG805" s="15" t="str">
        <f t="shared" si="3778"/>
        <v>#ERROR!</v>
      </c>
      <c r="EH805" s="24" t="str">
        <f t="shared" si="3778"/>
        <v>#ERROR!</v>
      </c>
      <c r="EI805" s="82" t="str">
        <f t="shared" si="3778"/>
        <v>#ERROR!</v>
      </c>
      <c r="EJ805" s="15" t="str">
        <f t="shared" si="3778"/>
        <v>#ERROR!</v>
      </c>
      <c r="EK805" s="15" t="str">
        <f t="shared" si="3778"/>
        <v>#ERROR!</v>
      </c>
      <c r="EL805" s="15" t="str">
        <f t="shared" si="3778"/>
        <v>#ERROR!</v>
      </c>
      <c r="EM805" s="24" t="str">
        <f t="shared" si="3778"/>
        <v>#ERROR!</v>
      </c>
      <c r="EN805" s="15" t="str">
        <f t="shared" si="3778"/>
        <v>#ERROR!</v>
      </c>
      <c r="EO805" s="15" t="str">
        <f t="shared" si="3778"/>
        <v>#ERROR!</v>
      </c>
      <c r="EP805" s="15" t="str">
        <f t="shared" si="3778"/>
        <v>#ERROR!</v>
      </c>
      <c r="EQ805" s="15" t="str">
        <f t="shared" si="3778"/>
        <v>#ERROR!</v>
      </c>
      <c r="ER805" s="24" t="str">
        <f t="shared" si="3778"/>
        <v>#ERROR!</v>
      </c>
      <c r="ES805" s="15" t="str">
        <f t="shared" si="3778"/>
        <v>#ERROR!</v>
      </c>
      <c r="ET805" s="15" t="str">
        <f t="shared" si="3778"/>
        <v>#ERROR!</v>
      </c>
      <c r="EU805" s="15" t="str">
        <f t="shared" si="3778"/>
        <v>#ERROR!</v>
      </c>
      <c r="EV805" s="15" t="str">
        <f t="shared" si="3778"/>
        <v>#ERROR!</v>
      </c>
      <c r="EW805" s="24" t="str">
        <f t="shared" si="3778"/>
        <v>#ERROR!</v>
      </c>
      <c r="EX805" s="15" t="str">
        <f t="shared" si="3778"/>
        <v>#ERROR!</v>
      </c>
      <c r="EY805" s="15" t="str">
        <f t="shared" si="3778"/>
        <v>#ERROR!</v>
      </c>
      <c r="EZ805" s="15" t="str">
        <f t="shared" si="3778"/>
        <v>#ERROR!</v>
      </c>
      <c r="FA805" s="15" t="str">
        <f t="shared" si="3778"/>
        <v>#ERROR!</v>
      </c>
      <c r="FB805" s="24" t="str">
        <f t="shared" si="3778"/>
        <v>#ERROR!</v>
      </c>
      <c r="FC805" s="15" t="str">
        <f t="shared" si="3778"/>
        <v>#ERROR!</v>
      </c>
      <c r="FD805" s="15" t="str">
        <f t="shared" si="3778"/>
        <v>#ERROR!</v>
      </c>
      <c r="FE805" s="15" t="str">
        <f t="shared" si="3778"/>
        <v>#ERROR!</v>
      </c>
      <c r="FF805" s="15" t="str">
        <f t="shared" si="3778"/>
        <v>#ERROR!</v>
      </c>
      <c r="FG805" s="24" t="str">
        <f t="shared" si="3778"/>
        <v>#ERROR!</v>
      </c>
      <c r="FH805" s="104"/>
      <c r="FI805" s="15"/>
      <c r="FJ805" s="15"/>
      <c r="FK805" s="410"/>
      <c r="FL805" s="15"/>
    </row>
    <row r="806" ht="12.75" hidden="1" customHeight="1" outlineLevel="2">
      <c r="A806" s="4"/>
      <c r="B806" s="72" t="str">
        <f t="shared" si="3775"/>
        <v>Mobile Chipsets and other</v>
      </c>
      <c r="C806" s="4"/>
      <c r="D806" s="15"/>
      <c r="E806" s="15"/>
      <c r="F806" s="15"/>
      <c r="G806" s="15"/>
      <c r="H806" s="410"/>
      <c r="I806" s="15"/>
      <c r="J806" s="15"/>
      <c r="K806" s="15"/>
      <c r="L806" s="15"/>
      <c r="M806" s="410"/>
      <c r="N806" s="15"/>
      <c r="O806" s="15"/>
      <c r="P806" s="15"/>
      <c r="Q806" s="15"/>
      <c r="R806" s="410"/>
      <c r="S806" s="15"/>
      <c r="T806" s="15"/>
      <c r="U806" s="15"/>
      <c r="V806" s="15"/>
      <c r="W806" s="410"/>
      <c r="X806" s="15"/>
      <c r="Y806" s="15"/>
      <c r="Z806" s="15"/>
      <c r="AA806" s="15"/>
      <c r="AB806" s="410"/>
      <c r="AC806" s="15"/>
      <c r="AD806" s="15"/>
      <c r="AE806" s="15"/>
      <c r="AF806" s="15"/>
      <c r="AG806" s="410"/>
      <c r="AH806" s="15"/>
      <c r="AI806" s="15"/>
      <c r="AJ806" s="15"/>
      <c r="AK806" s="15"/>
      <c r="AL806" s="410"/>
      <c r="AM806" s="15"/>
      <c r="AN806" s="15"/>
      <c r="AO806" s="15"/>
      <c r="AP806" s="15"/>
      <c r="AQ806" s="410"/>
      <c r="AR806" s="15"/>
      <c r="AS806" s="15"/>
      <c r="AT806" s="15"/>
      <c r="AU806" s="15"/>
      <c r="AV806" s="410"/>
      <c r="AW806" s="15">
        <f t="shared" ref="AW806:FG806" si="3779">AW752/AR752-1</f>
        <v>1.097560976</v>
      </c>
      <c r="AX806" s="15">
        <f t="shared" si="3779"/>
        <v>0.9383561644</v>
      </c>
      <c r="AY806" s="15">
        <f t="shared" si="3779"/>
        <v>0.8181818182</v>
      </c>
      <c r="AZ806" s="15">
        <f t="shared" si="3779"/>
        <v>0.6588235294</v>
      </c>
      <c r="BA806" s="410">
        <f t="shared" si="3779"/>
        <v>0.8456273764</v>
      </c>
      <c r="BB806" s="15">
        <f t="shared" si="3779"/>
        <v>0.2248062016</v>
      </c>
      <c r="BC806" s="15">
        <f t="shared" si="3779"/>
        <v>0.2915194346</v>
      </c>
      <c r="BD806" s="15">
        <f t="shared" si="3779"/>
        <v>0.2640625</v>
      </c>
      <c r="BE806" s="15">
        <f t="shared" si="3779"/>
        <v>0.3120567376</v>
      </c>
      <c r="BF806" s="410">
        <f t="shared" si="3779"/>
        <v>0.2760609806</v>
      </c>
      <c r="BG806" s="15">
        <f t="shared" si="3779"/>
        <v>0.3702531646</v>
      </c>
      <c r="BH806" s="15">
        <f t="shared" si="3779"/>
        <v>0.2284541724</v>
      </c>
      <c r="BI806" s="15">
        <f t="shared" si="3779"/>
        <v>0.4079110012</v>
      </c>
      <c r="BJ806" s="15">
        <f t="shared" si="3779"/>
        <v>0.2086486486</v>
      </c>
      <c r="BK806" s="410">
        <f t="shared" si="3779"/>
        <v>0.2983532451</v>
      </c>
      <c r="BL806" s="15">
        <f t="shared" si="3779"/>
        <v>0.08891454965</v>
      </c>
      <c r="BM806" s="15">
        <f t="shared" si="3779"/>
        <v>0.1748329621</v>
      </c>
      <c r="BN806" s="15">
        <f t="shared" si="3779"/>
        <v>0.1360842845</v>
      </c>
      <c r="BO806" s="15">
        <f t="shared" si="3779"/>
        <v>-0.1797853309</v>
      </c>
      <c r="BP806" s="410">
        <f t="shared" si="3779"/>
        <v>0.04675453867</v>
      </c>
      <c r="BQ806" s="15">
        <f t="shared" si="3779"/>
        <v>-0.230116649</v>
      </c>
      <c r="BR806" s="15">
        <f t="shared" si="3779"/>
        <v>-0.1213270142</v>
      </c>
      <c r="BS806" s="15">
        <f t="shared" si="3779"/>
        <v>-0.06723338485</v>
      </c>
      <c r="BT806" s="15" t="str">
        <f t="shared" si="3779"/>
        <v>#ERROR!</v>
      </c>
      <c r="BU806" s="410" t="str">
        <f t="shared" si="3779"/>
        <v>#ERROR!</v>
      </c>
      <c r="BV806" s="15" t="str">
        <f t="shared" si="3779"/>
        <v>#ERROR!</v>
      </c>
      <c r="BW806" s="15" t="str">
        <f t="shared" si="3779"/>
        <v>#ERROR!</v>
      </c>
      <c r="BX806" s="15" t="str">
        <f t="shared" si="3779"/>
        <v>#ERROR!</v>
      </c>
      <c r="BY806" s="15" t="str">
        <f t="shared" si="3779"/>
        <v>#ERROR!</v>
      </c>
      <c r="BZ806" s="24" t="str">
        <f t="shared" si="3779"/>
        <v>#ERROR!</v>
      </c>
      <c r="CA806" s="15" t="str">
        <f t="shared" si="3779"/>
        <v>#ERROR!</v>
      </c>
      <c r="CB806" s="15" t="str">
        <f t="shared" si="3779"/>
        <v>#ERROR!</v>
      </c>
      <c r="CC806" s="15" t="str">
        <f t="shared" si="3779"/>
        <v>#ERROR!</v>
      </c>
      <c r="CD806" s="15" t="str">
        <f t="shared" si="3779"/>
        <v>#ERROR!</v>
      </c>
      <c r="CE806" s="24" t="str">
        <f t="shared" si="3779"/>
        <v>#ERROR!</v>
      </c>
      <c r="CF806" s="15" t="str">
        <f t="shared" si="3779"/>
        <v>#ERROR!</v>
      </c>
      <c r="CG806" s="15" t="str">
        <f t="shared" si="3779"/>
        <v>#ERROR!</v>
      </c>
      <c r="CH806" s="15" t="str">
        <f t="shared" si="3779"/>
        <v>#ERROR!</v>
      </c>
      <c r="CI806" s="15" t="str">
        <f t="shared" si="3779"/>
        <v>#ERROR!</v>
      </c>
      <c r="CJ806" s="24" t="str">
        <f t="shared" si="3779"/>
        <v>#ERROR!</v>
      </c>
      <c r="CK806" s="15" t="str">
        <f t="shared" si="3779"/>
        <v>#ERROR!</v>
      </c>
      <c r="CL806" s="15" t="str">
        <f t="shared" si="3779"/>
        <v>#ERROR!</v>
      </c>
      <c r="CM806" s="15" t="str">
        <f t="shared" si="3779"/>
        <v>#ERROR!</v>
      </c>
      <c r="CN806" s="40" t="str">
        <f t="shared" si="3779"/>
        <v>#ERROR!</v>
      </c>
      <c r="CO806" s="24" t="str">
        <f t="shared" si="3779"/>
        <v>#ERROR!</v>
      </c>
      <c r="CP806" s="40" t="str">
        <f t="shared" si="3779"/>
        <v>#ERROR!</v>
      </c>
      <c r="CQ806" s="15" t="str">
        <f t="shared" si="3779"/>
        <v>#ERROR!</v>
      </c>
      <c r="CR806" s="15" t="str">
        <f t="shared" si="3779"/>
        <v>#ERROR!</v>
      </c>
      <c r="CS806" s="15" t="str">
        <f t="shared" si="3779"/>
        <v>#ERROR!</v>
      </c>
      <c r="CT806" s="24" t="str">
        <f t="shared" si="3779"/>
        <v>#ERROR!</v>
      </c>
      <c r="CU806" s="15" t="str">
        <f t="shared" si="3779"/>
        <v>#ERROR!</v>
      </c>
      <c r="CV806" s="15" t="str">
        <f t="shared" si="3779"/>
        <v>#ERROR!</v>
      </c>
      <c r="CW806" s="15" t="str">
        <f t="shared" si="3779"/>
        <v>#ERROR!</v>
      </c>
      <c r="CX806" s="15" t="str">
        <f t="shared" si="3779"/>
        <v>#ERROR!</v>
      </c>
      <c r="CY806" s="24" t="str">
        <f t="shared" si="3779"/>
        <v>#ERROR!</v>
      </c>
      <c r="CZ806" s="15" t="str">
        <f t="shared" si="3779"/>
        <v>#ERROR!</v>
      </c>
      <c r="DA806" s="15" t="str">
        <f t="shared" si="3779"/>
        <v>#ERROR!</v>
      </c>
      <c r="DB806" s="15" t="str">
        <f t="shared" si="3779"/>
        <v>#ERROR!</v>
      </c>
      <c r="DC806" s="15" t="str">
        <f t="shared" si="3779"/>
        <v>#ERROR!</v>
      </c>
      <c r="DD806" s="24" t="str">
        <f t="shared" si="3779"/>
        <v>#ERROR!</v>
      </c>
      <c r="DE806" s="15" t="str">
        <f t="shared" si="3779"/>
        <v>#ERROR!</v>
      </c>
      <c r="DF806" s="15" t="str">
        <f t="shared" si="3779"/>
        <v>#ERROR!</v>
      </c>
      <c r="DG806" s="40" t="str">
        <f t="shared" si="3779"/>
        <v>#ERROR!</v>
      </c>
      <c r="DH806" s="15" t="str">
        <f t="shared" si="3779"/>
        <v>#ERROR!</v>
      </c>
      <c r="DI806" s="24" t="str">
        <f t="shared" si="3779"/>
        <v>#ERROR!</v>
      </c>
      <c r="DJ806" s="40" t="str">
        <f t="shared" si="3779"/>
        <v>#ERROR!</v>
      </c>
      <c r="DK806" s="40" t="str">
        <f t="shared" si="3779"/>
        <v>#ERROR!</v>
      </c>
      <c r="DL806" s="40" t="str">
        <f t="shared" si="3779"/>
        <v>#ERROR!</v>
      </c>
      <c r="DM806" s="15" t="str">
        <f t="shared" si="3779"/>
        <v>#ERROR!</v>
      </c>
      <c r="DN806" s="24" t="str">
        <f t="shared" si="3779"/>
        <v>#ERROR!</v>
      </c>
      <c r="DO806" s="15" t="str">
        <f t="shared" si="3779"/>
        <v>#ERROR!</v>
      </c>
      <c r="DP806" s="15" t="str">
        <f t="shared" si="3779"/>
        <v>#ERROR!</v>
      </c>
      <c r="DQ806" s="15" t="str">
        <f t="shared" si="3779"/>
        <v>#ERROR!</v>
      </c>
      <c r="DR806" s="15" t="str">
        <f t="shared" si="3779"/>
        <v>#ERROR!</v>
      </c>
      <c r="DS806" s="24" t="str">
        <f t="shared" si="3779"/>
        <v>#ERROR!</v>
      </c>
      <c r="DT806" s="15" t="str">
        <f t="shared" si="3779"/>
        <v>#ERROR!</v>
      </c>
      <c r="DU806" s="15" t="str">
        <f t="shared" si="3779"/>
        <v>#ERROR!</v>
      </c>
      <c r="DV806" s="15" t="str">
        <f t="shared" si="3779"/>
        <v>#ERROR!</v>
      </c>
      <c r="DW806" s="15" t="str">
        <f t="shared" si="3779"/>
        <v>#ERROR!</v>
      </c>
      <c r="DX806" s="24" t="str">
        <f t="shared" si="3779"/>
        <v>#ERROR!</v>
      </c>
      <c r="DY806" s="15" t="str">
        <f t="shared" si="3779"/>
        <v>#ERROR!</v>
      </c>
      <c r="DZ806" s="15" t="str">
        <f t="shared" si="3779"/>
        <v>#ERROR!</v>
      </c>
      <c r="EA806" s="15" t="str">
        <f t="shared" si="3779"/>
        <v>#ERROR!</v>
      </c>
      <c r="EB806" s="15" t="str">
        <f t="shared" si="3779"/>
        <v>#ERROR!</v>
      </c>
      <c r="EC806" s="24" t="str">
        <f t="shared" si="3779"/>
        <v>#ERROR!</v>
      </c>
      <c r="ED806" s="15" t="str">
        <f t="shared" si="3779"/>
        <v>#ERROR!</v>
      </c>
      <c r="EE806" s="15" t="str">
        <f t="shared" si="3779"/>
        <v>#ERROR!</v>
      </c>
      <c r="EF806" s="15" t="str">
        <f t="shared" si="3779"/>
        <v>#ERROR!</v>
      </c>
      <c r="EG806" s="15" t="str">
        <f t="shared" si="3779"/>
        <v>#ERROR!</v>
      </c>
      <c r="EH806" s="24" t="str">
        <f t="shared" si="3779"/>
        <v>#ERROR!</v>
      </c>
      <c r="EI806" s="82" t="str">
        <f t="shared" si="3779"/>
        <v>#ERROR!</v>
      </c>
      <c r="EJ806" s="15" t="str">
        <f t="shared" si="3779"/>
        <v>#ERROR!</v>
      </c>
      <c r="EK806" s="15" t="str">
        <f t="shared" si="3779"/>
        <v>#ERROR!</v>
      </c>
      <c r="EL806" s="15" t="str">
        <f t="shared" si="3779"/>
        <v>#ERROR!</v>
      </c>
      <c r="EM806" s="24" t="str">
        <f t="shared" si="3779"/>
        <v>#ERROR!</v>
      </c>
      <c r="EN806" s="15" t="str">
        <f t="shared" si="3779"/>
        <v>#ERROR!</v>
      </c>
      <c r="EO806" s="15" t="str">
        <f t="shared" si="3779"/>
        <v>#ERROR!</v>
      </c>
      <c r="EP806" s="15" t="str">
        <f t="shared" si="3779"/>
        <v>#ERROR!</v>
      </c>
      <c r="EQ806" s="15" t="str">
        <f t="shared" si="3779"/>
        <v>#ERROR!</v>
      </c>
      <c r="ER806" s="24" t="str">
        <f t="shared" si="3779"/>
        <v>#ERROR!</v>
      </c>
      <c r="ES806" s="15" t="str">
        <f t="shared" si="3779"/>
        <v>#ERROR!</v>
      </c>
      <c r="ET806" s="15" t="str">
        <f t="shared" si="3779"/>
        <v>#ERROR!</v>
      </c>
      <c r="EU806" s="15" t="str">
        <f t="shared" si="3779"/>
        <v>#ERROR!</v>
      </c>
      <c r="EV806" s="15" t="str">
        <f t="shared" si="3779"/>
        <v>#ERROR!</v>
      </c>
      <c r="EW806" s="24" t="str">
        <f t="shared" si="3779"/>
        <v>#ERROR!</v>
      </c>
      <c r="EX806" s="15" t="str">
        <f t="shared" si="3779"/>
        <v>#ERROR!</v>
      </c>
      <c r="EY806" s="15" t="str">
        <f t="shared" si="3779"/>
        <v>#ERROR!</v>
      </c>
      <c r="EZ806" s="15" t="str">
        <f t="shared" si="3779"/>
        <v>#ERROR!</v>
      </c>
      <c r="FA806" s="15" t="str">
        <f t="shared" si="3779"/>
        <v>#ERROR!</v>
      </c>
      <c r="FB806" s="24" t="str">
        <f t="shared" si="3779"/>
        <v>#ERROR!</v>
      </c>
      <c r="FC806" s="15" t="str">
        <f t="shared" si="3779"/>
        <v>#ERROR!</v>
      </c>
      <c r="FD806" s="15" t="str">
        <f t="shared" si="3779"/>
        <v>#ERROR!</v>
      </c>
      <c r="FE806" s="15" t="str">
        <f t="shared" si="3779"/>
        <v>#ERROR!</v>
      </c>
      <c r="FF806" s="15" t="str">
        <f t="shared" si="3779"/>
        <v>#ERROR!</v>
      </c>
      <c r="FG806" s="24" t="str">
        <f t="shared" si="3779"/>
        <v>#ERROR!</v>
      </c>
      <c r="FH806" s="104"/>
      <c r="FI806" s="15"/>
      <c r="FJ806" s="15"/>
      <c r="FK806" s="410"/>
      <c r="FL806" s="15"/>
    </row>
    <row r="807" ht="12.75" hidden="1" customHeight="1" outlineLevel="2">
      <c r="A807" s="4"/>
      <c r="B807" s="72" t="str">
        <f t="shared" si="3775"/>
        <v>NOR Flash (through 3Q05)</v>
      </c>
      <c r="C807" s="4"/>
      <c r="D807" s="15"/>
      <c r="E807" s="15"/>
      <c r="F807" s="15"/>
      <c r="G807" s="15"/>
      <c r="H807" s="410"/>
      <c r="I807" s="15"/>
      <c r="J807" s="15"/>
      <c r="K807" s="15"/>
      <c r="L807" s="15"/>
      <c r="M807" s="410"/>
      <c r="N807" s="15"/>
      <c r="O807" s="15"/>
      <c r="P807" s="15"/>
      <c r="Q807" s="15"/>
      <c r="R807" s="410"/>
      <c r="S807" s="15"/>
      <c r="T807" s="15"/>
      <c r="U807" s="15"/>
      <c r="V807" s="15"/>
      <c r="W807" s="410"/>
      <c r="X807" s="15"/>
      <c r="Y807" s="15"/>
      <c r="Z807" s="15"/>
      <c r="AA807" s="15"/>
      <c r="AB807" s="410"/>
      <c r="AC807" s="15"/>
      <c r="AD807" s="15"/>
      <c r="AE807" s="15"/>
      <c r="AF807" s="15"/>
      <c r="AG807" s="410"/>
      <c r="AH807" s="15"/>
      <c r="AI807" s="15"/>
      <c r="AJ807" s="15"/>
      <c r="AK807" s="15"/>
      <c r="AL807" s="410"/>
      <c r="AM807" s="15"/>
      <c r="AN807" s="15"/>
      <c r="AO807" s="15"/>
      <c r="AP807" s="15"/>
      <c r="AQ807" s="410"/>
      <c r="AR807" s="15"/>
      <c r="AS807" s="15"/>
      <c r="AT807" s="15"/>
      <c r="AU807" s="15"/>
      <c r="AV807" s="410"/>
      <c r="AW807" s="15">
        <f t="shared" ref="AW807:AY807" si="3780">AW753/AR753-1</f>
        <v>0.3860911271</v>
      </c>
      <c r="AX807" s="15">
        <f t="shared" si="3780"/>
        <v>-0.1005110733</v>
      </c>
      <c r="AY807" s="15">
        <f t="shared" si="3780"/>
        <v>-0.1034482759</v>
      </c>
      <c r="AZ807" s="15">
        <f t="shared" ref="AZ807:BD807" si="3781">AZ755/AU753-1</f>
        <v>-0.06687402799</v>
      </c>
      <c r="BA807" s="410">
        <f t="shared" si="3781"/>
        <v>-0.00306345733</v>
      </c>
      <c r="BB807" s="15">
        <f t="shared" si="3781"/>
        <v>-0.09515570934</v>
      </c>
      <c r="BC807" s="15">
        <f t="shared" si="3781"/>
        <v>-0.03787878788</v>
      </c>
      <c r="BD807" s="15">
        <f t="shared" si="3781"/>
        <v>-0.1853146853</v>
      </c>
      <c r="BE807" s="15">
        <f t="shared" ref="BE807:BL807" si="3782">BE755/AZ755-1</f>
        <v>-0.15</v>
      </c>
      <c r="BF807" s="410">
        <f t="shared" si="3782"/>
        <v>-0.1189640035</v>
      </c>
      <c r="BG807" s="15">
        <f t="shared" si="3782"/>
        <v>-0.1835564054</v>
      </c>
      <c r="BH807" s="15">
        <f t="shared" si="3782"/>
        <v>-0.2033464567</v>
      </c>
      <c r="BI807" s="15">
        <f t="shared" si="3782"/>
        <v>-0.09656652361</v>
      </c>
      <c r="BJ807" s="15">
        <f t="shared" si="3782"/>
        <v>-0.1392156863</v>
      </c>
      <c r="BK807" s="410">
        <f t="shared" si="3782"/>
        <v>-0.1571001495</v>
      </c>
      <c r="BL807" s="15">
        <f t="shared" si="3782"/>
        <v>-0.2529274005</v>
      </c>
      <c r="BM807" s="15"/>
      <c r="BN807" s="15"/>
      <c r="BO807" s="15"/>
      <c r="BP807" s="410"/>
      <c r="BQ807" s="15"/>
      <c r="BR807" s="15"/>
      <c r="BS807" s="15"/>
      <c r="BT807" s="15"/>
      <c r="BU807" s="410"/>
      <c r="BV807" s="15"/>
      <c r="BW807" s="15"/>
      <c r="BX807" s="15"/>
      <c r="BY807" s="15"/>
      <c r="BZ807" s="24"/>
      <c r="CA807" s="15"/>
      <c r="CB807" s="15"/>
      <c r="CC807" s="15"/>
      <c r="CD807" s="15"/>
      <c r="CE807" s="24"/>
      <c r="CF807" s="15"/>
      <c r="CG807" s="15"/>
      <c r="CH807" s="15"/>
      <c r="CI807" s="15"/>
      <c r="CJ807" s="24"/>
      <c r="CK807" s="15"/>
      <c r="CL807" s="15"/>
      <c r="CM807" s="15"/>
      <c r="CN807" s="40"/>
      <c r="CO807" s="24"/>
      <c r="CP807" s="40"/>
      <c r="CQ807" s="15"/>
      <c r="CR807" s="15"/>
      <c r="CS807" s="15"/>
      <c r="CT807" s="24"/>
      <c r="CU807" s="15"/>
      <c r="CV807" s="15"/>
      <c r="CW807" s="15"/>
      <c r="CX807" s="15"/>
      <c r="CY807" s="24"/>
      <c r="CZ807" s="15"/>
      <c r="DA807" s="15"/>
      <c r="DB807" s="15"/>
      <c r="DC807" s="15"/>
      <c r="DD807" s="24"/>
      <c r="DE807" s="15"/>
      <c r="DF807" s="15"/>
      <c r="DG807" s="40"/>
      <c r="DH807" s="15"/>
      <c r="DI807" s="24"/>
      <c r="DJ807" s="40"/>
      <c r="DK807" s="40"/>
      <c r="DL807" s="40"/>
      <c r="DM807" s="15"/>
      <c r="DN807" s="24"/>
      <c r="DO807" s="15"/>
      <c r="DP807" s="15"/>
      <c r="DQ807" s="15"/>
      <c r="DR807" s="15"/>
      <c r="DS807" s="24"/>
      <c r="DT807" s="15"/>
      <c r="DU807" s="15"/>
      <c r="DV807" s="15"/>
      <c r="DW807" s="15"/>
      <c r="DX807" s="24"/>
      <c r="DY807" s="15"/>
      <c r="DZ807" s="15"/>
      <c r="EA807" s="15"/>
      <c r="EB807" s="15"/>
      <c r="EC807" s="24"/>
      <c r="ED807" s="15"/>
      <c r="EE807" s="15"/>
      <c r="EF807" s="15"/>
      <c r="EG807" s="15"/>
      <c r="EH807" s="24"/>
      <c r="EI807" s="82"/>
      <c r="EJ807" s="15"/>
      <c r="EK807" s="15"/>
      <c r="EL807" s="15"/>
      <c r="EM807" s="24"/>
      <c r="EN807" s="15"/>
      <c r="EO807" s="15"/>
      <c r="EP807" s="15"/>
      <c r="EQ807" s="15"/>
      <c r="ER807" s="24"/>
      <c r="ES807" s="15"/>
      <c r="ET807" s="15"/>
      <c r="EU807" s="15"/>
      <c r="EV807" s="15"/>
      <c r="EW807" s="24"/>
      <c r="EX807" s="15"/>
      <c r="EY807" s="15"/>
      <c r="EZ807" s="15"/>
      <c r="FA807" s="15"/>
      <c r="FB807" s="24"/>
      <c r="FC807" s="15"/>
      <c r="FD807" s="15"/>
      <c r="FE807" s="15"/>
      <c r="FF807" s="15"/>
      <c r="FG807" s="24"/>
      <c r="FH807" s="104"/>
      <c r="FI807" s="15"/>
      <c r="FJ807" s="15"/>
      <c r="FK807" s="410"/>
      <c r="FL807" s="15"/>
    </row>
    <row r="808" ht="12.75" hidden="1" customHeight="1" outlineLevel="2">
      <c r="A808" s="45"/>
      <c r="B808" s="215" t="str">
        <f>B772</f>
        <v>Mobility Group</v>
      </c>
      <c r="C808" s="45"/>
      <c r="D808" s="410"/>
      <c r="E808" s="410"/>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410"/>
      <c r="AK808" s="410"/>
      <c r="AL808" s="410"/>
      <c r="AM808" s="410"/>
      <c r="AN808" s="410"/>
      <c r="AO808" s="410"/>
      <c r="AP808" s="410"/>
      <c r="AQ808" s="410"/>
      <c r="AR808" s="410"/>
      <c r="AS808" s="410"/>
      <c r="AT808" s="410"/>
      <c r="AU808" s="410"/>
      <c r="AV808" s="410">
        <f t="shared" ref="AV808:BA808" si="3783">AV754/AQ754-1</f>
        <v>0.3843740663</v>
      </c>
      <c r="AW808" s="410">
        <f t="shared" si="3783"/>
        <v>0.6498630137</v>
      </c>
      <c r="AX808" s="410">
        <f t="shared" si="3783"/>
        <v>0.4978601997</v>
      </c>
      <c r="AY808" s="410">
        <f t="shared" si="3783"/>
        <v>0.3834439672</v>
      </c>
      <c r="AZ808" s="410">
        <f t="shared" si="3783"/>
        <v>0.1177105832</v>
      </c>
      <c r="BA808" s="410">
        <f t="shared" si="3783"/>
        <v>0.382216467</v>
      </c>
      <c r="BB808" s="410">
        <f t="shared" ref="BB808:BD808" si="3784">BB754/(AW754-AW753)-1</f>
        <v>0.2244143033</v>
      </c>
      <c r="BC808" s="410">
        <f t="shared" si="3784"/>
        <v>0.02555301297</v>
      </c>
      <c r="BD808" s="410">
        <f t="shared" si="3784"/>
        <v>0.0259171996</v>
      </c>
      <c r="BE808" s="410">
        <f t="shared" ref="BE808:BE809" si="3787">BE754/AZ754-1</f>
        <v>0.1571658615</v>
      </c>
      <c r="BF808" s="410">
        <f>BF754/(BA754-SUM(AW753:AY753))-1</f>
        <v>0.1058305633</v>
      </c>
      <c r="BG808" s="410">
        <f t="shared" ref="BG808:FG808" si="3785">BG754/BB754-1</f>
        <v>0.1101040618</v>
      </c>
      <c r="BH808" s="410">
        <f t="shared" si="3785"/>
        <v>0.2257344738</v>
      </c>
      <c r="BI808" s="410">
        <f t="shared" si="3785"/>
        <v>0.3028215223</v>
      </c>
      <c r="BJ808" s="410">
        <f t="shared" si="3785"/>
        <v>0.1430559421</v>
      </c>
      <c r="BK808" s="410">
        <f t="shared" si="3785"/>
        <v>0.1927045251</v>
      </c>
      <c r="BL808" s="410">
        <f t="shared" si="3785"/>
        <v>0.1094647717</v>
      </c>
      <c r="BM808" s="410">
        <f t="shared" si="3785"/>
        <v>0.1520024272</v>
      </c>
      <c r="BN808" s="410">
        <f t="shared" si="3785"/>
        <v>0.178796273</v>
      </c>
      <c r="BO808" s="410">
        <f t="shared" si="3785"/>
        <v>-0.1475529584</v>
      </c>
      <c r="BP808" s="410">
        <f t="shared" si="3785"/>
        <v>0.06586744772</v>
      </c>
      <c r="BQ808" s="410">
        <f t="shared" si="3785"/>
        <v>-0.2057781412</v>
      </c>
      <c r="BR808" s="410">
        <f t="shared" si="3785"/>
        <v>-0.08322359758</v>
      </c>
      <c r="BS808" s="410">
        <f t="shared" si="3785"/>
        <v>-0.1174962615</v>
      </c>
      <c r="BT808" s="410" t="str">
        <f t="shared" si="3785"/>
        <v>#ERROR!</v>
      </c>
      <c r="BU808" s="410" t="str">
        <f t="shared" si="3785"/>
        <v>#ERROR!</v>
      </c>
      <c r="BV808" s="410" t="str">
        <f t="shared" si="3785"/>
        <v>#ERROR!</v>
      </c>
      <c r="BW808" s="410" t="str">
        <f t="shared" si="3785"/>
        <v>#ERROR!</v>
      </c>
      <c r="BX808" s="410" t="str">
        <f t="shared" si="3785"/>
        <v>#ERROR!</v>
      </c>
      <c r="BY808" s="410" t="str">
        <f t="shared" si="3785"/>
        <v>#ERROR!</v>
      </c>
      <c r="BZ808" s="24" t="str">
        <f t="shared" si="3785"/>
        <v>#ERROR!</v>
      </c>
      <c r="CA808" s="410" t="str">
        <f t="shared" si="3785"/>
        <v>#ERROR!</v>
      </c>
      <c r="CB808" s="410" t="str">
        <f t="shared" si="3785"/>
        <v>#ERROR!</v>
      </c>
      <c r="CC808" s="410" t="str">
        <f t="shared" si="3785"/>
        <v>#ERROR!</v>
      </c>
      <c r="CD808" s="410" t="str">
        <f t="shared" si="3785"/>
        <v>#ERROR!</v>
      </c>
      <c r="CE808" s="24" t="str">
        <f t="shared" si="3785"/>
        <v>#ERROR!</v>
      </c>
      <c r="CF808" s="410" t="str">
        <f t="shared" si="3785"/>
        <v>#ERROR!</v>
      </c>
      <c r="CG808" s="410" t="str">
        <f t="shared" si="3785"/>
        <v>#ERROR!</v>
      </c>
      <c r="CH808" s="410" t="str">
        <f t="shared" si="3785"/>
        <v>#ERROR!</v>
      </c>
      <c r="CI808" s="410" t="str">
        <f t="shared" si="3785"/>
        <v>#ERROR!</v>
      </c>
      <c r="CJ808" s="24" t="str">
        <f t="shared" si="3785"/>
        <v>#ERROR!</v>
      </c>
      <c r="CK808" s="410" t="str">
        <f t="shared" si="3785"/>
        <v>#ERROR!</v>
      </c>
      <c r="CL808" s="410" t="str">
        <f t="shared" si="3785"/>
        <v>#ERROR!</v>
      </c>
      <c r="CM808" s="410" t="str">
        <f t="shared" si="3785"/>
        <v>#ERROR!</v>
      </c>
      <c r="CN808" s="104" t="str">
        <f t="shared" si="3785"/>
        <v>#ERROR!</v>
      </c>
      <c r="CO808" s="24" t="str">
        <f t="shared" si="3785"/>
        <v>#ERROR!</v>
      </c>
      <c r="CP808" s="104" t="str">
        <f t="shared" si="3785"/>
        <v>#ERROR!</v>
      </c>
      <c r="CQ808" s="410" t="str">
        <f t="shared" si="3785"/>
        <v>#ERROR!</v>
      </c>
      <c r="CR808" s="410" t="str">
        <f t="shared" si="3785"/>
        <v>#ERROR!</v>
      </c>
      <c r="CS808" s="410" t="str">
        <f t="shared" si="3785"/>
        <v>#ERROR!</v>
      </c>
      <c r="CT808" s="24" t="str">
        <f t="shared" si="3785"/>
        <v>#ERROR!</v>
      </c>
      <c r="CU808" s="410" t="str">
        <f t="shared" si="3785"/>
        <v>#ERROR!</v>
      </c>
      <c r="CV808" s="410" t="str">
        <f t="shared" si="3785"/>
        <v>#ERROR!</v>
      </c>
      <c r="CW808" s="410" t="str">
        <f t="shared" si="3785"/>
        <v>#ERROR!</v>
      </c>
      <c r="CX808" s="410" t="str">
        <f t="shared" si="3785"/>
        <v>#ERROR!</v>
      </c>
      <c r="CY808" s="24" t="str">
        <f t="shared" si="3785"/>
        <v>#ERROR!</v>
      </c>
      <c r="CZ808" s="410" t="str">
        <f t="shared" si="3785"/>
        <v>#ERROR!</v>
      </c>
      <c r="DA808" s="410" t="str">
        <f t="shared" si="3785"/>
        <v>#ERROR!</v>
      </c>
      <c r="DB808" s="410" t="str">
        <f t="shared" si="3785"/>
        <v>#ERROR!</v>
      </c>
      <c r="DC808" s="410" t="str">
        <f t="shared" si="3785"/>
        <v>#ERROR!</v>
      </c>
      <c r="DD808" s="24" t="str">
        <f t="shared" si="3785"/>
        <v>#ERROR!</v>
      </c>
      <c r="DE808" s="410" t="str">
        <f t="shared" si="3785"/>
        <v>#ERROR!</v>
      </c>
      <c r="DF808" s="410" t="str">
        <f t="shared" si="3785"/>
        <v>#ERROR!</v>
      </c>
      <c r="DG808" s="104" t="str">
        <f t="shared" si="3785"/>
        <v>#ERROR!</v>
      </c>
      <c r="DH808" s="410" t="str">
        <f t="shared" si="3785"/>
        <v>#ERROR!</v>
      </c>
      <c r="DI808" s="24" t="str">
        <f t="shared" si="3785"/>
        <v>#ERROR!</v>
      </c>
      <c r="DJ808" s="104" t="str">
        <f t="shared" si="3785"/>
        <v>#ERROR!</v>
      </c>
      <c r="DK808" s="104" t="str">
        <f t="shared" si="3785"/>
        <v>#ERROR!</v>
      </c>
      <c r="DL808" s="104" t="str">
        <f t="shared" si="3785"/>
        <v>#ERROR!</v>
      </c>
      <c r="DM808" s="410" t="str">
        <f t="shared" si="3785"/>
        <v>#ERROR!</v>
      </c>
      <c r="DN808" s="24" t="str">
        <f t="shared" si="3785"/>
        <v>#ERROR!</v>
      </c>
      <c r="DO808" s="410" t="str">
        <f t="shared" si="3785"/>
        <v>#ERROR!</v>
      </c>
      <c r="DP808" s="410" t="str">
        <f t="shared" si="3785"/>
        <v>#ERROR!</v>
      </c>
      <c r="DQ808" s="410" t="str">
        <f t="shared" si="3785"/>
        <v>#ERROR!</v>
      </c>
      <c r="DR808" s="410" t="str">
        <f t="shared" si="3785"/>
        <v>#ERROR!</v>
      </c>
      <c r="DS808" s="24" t="str">
        <f t="shared" si="3785"/>
        <v>#ERROR!</v>
      </c>
      <c r="DT808" s="410" t="str">
        <f t="shared" si="3785"/>
        <v>#ERROR!</v>
      </c>
      <c r="DU808" s="410" t="str">
        <f t="shared" si="3785"/>
        <v>#ERROR!</v>
      </c>
      <c r="DV808" s="410" t="str">
        <f t="shared" si="3785"/>
        <v>#ERROR!</v>
      </c>
      <c r="DW808" s="410" t="str">
        <f t="shared" si="3785"/>
        <v>#ERROR!</v>
      </c>
      <c r="DX808" s="24" t="str">
        <f t="shared" si="3785"/>
        <v>#ERROR!</v>
      </c>
      <c r="DY808" s="410" t="str">
        <f t="shared" si="3785"/>
        <v>#ERROR!</v>
      </c>
      <c r="DZ808" s="410" t="str">
        <f t="shared" si="3785"/>
        <v>#ERROR!</v>
      </c>
      <c r="EA808" s="410" t="str">
        <f t="shared" si="3785"/>
        <v>#ERROR!</v>
      </c>
      <c r="EB808" s="410" t="str">
        <f t="shared" si="3785"/>
        <v>#ERROR!</v>
      </c>
      <c r="EC808" s="24" t="str">
        <f t="shared" si="3785"/>
        <v>#ERROR!</v>
      </c>
      <c r="ED808" s="410" t="str">
        <f t="shared" si="3785"/>
        <v>#ERROR!</v>
      </c>
      <c r="EE808" s="410" t="str">
        <f t="shared" si="3785"/>
        <v>#ERROR!</v>
      </c>
      <c r="EF808" s="410" t="str">
        <f t="shared" si="3785"/>
        <v>#ERROR!</v>
      </c>
      <c r="EG808" s="410" t="str">
        <f t="shared" si="3785"/>
        <v>#ERROR!</v>
      </c>
      <c r="EH808" s="24" t="str">
        <f t="shared" si="3785"/>
        <v>#ERROR!</v>
      </c>
      <c r="EI808" s="317" t="str">
        <f t="shared" si="3785"/>
        <v>#ERROR!</v>
      </c>
      <c r="EJ808" s="410" t="str">
        <f t="shared" si="3785"/>
        <v>#ERROR!</v>
      </c>
      <c r="EK808" s="410" t="str">
        <f t="shared" si="3785"/>
        <v>#ERROR!</v>
      </c>
      <c r="EL808" s="410" t="str">
        <f t="shared" si="3785"/>
        <v>#ERROR!</v>
      </c>
      <c r="EM808" s="24" t="str">
        <f t="shared" si="3785"/>
        <v>#ERROR!</v>
      </c>
      <c r="EN808" s="410" t="str">
        <f t="shared" si="3785"/>
        <v>#ERROR!</v>
      </c>
      <c r="EO808" s="410" t="str">
        <f t="shared" si="3785"/>
        <v>#ERROR!</v>
      </c>
      <c r="EP808" s="410" t="str">
        <f t="shared" si="3785"/>
        <v>#ERROR!</v>
      </c>
      <c r="EQ808" s="410" t="str">
        <f t="shared" si="3785"/>
        <v>#ERROR!</v>
      </c>
      <c r="ER808" s="24" t="str">
        <f t="shared" si="3785"/>
        <v>#ERROR!</v>
      </c>
      <c r="ES808" s="410" t="str">
        <f t="shared" si="3785"/>
        <v>#ERROR!</v>
      </c>
      <c r="ET808" s="410" t="str">
        <f t="shared" si="3785"/>
        <v>#ERROR!</v>
      </c>
      <c r="EU808" s="410" t="str">
        <f t="shared" si="3785"/>
        <v>#ERROR!</v>
      </c>
      <c r="EV808" s="410" t="str">
        <f t="shared" si="3785"/>
        <v>#ERROR!</v>
      </c>
      <c r="EW808" s="24" t="str">
        <f t="shared" si="3785"/>
        <v>#ERROR!</v>
      </c>
      <c r="EX808" s="410" t="str">
        <f t="shared" si="3785"/>
        <v>#ERROR!</v>
      </c>
      <c r="EY808" s="410" t="str">
        <f t="shared" si="3785"/>
        <v>#ERROR!</v>
      </c>
      <c r="EZ808" s="410" t="str">
        <f t="shared" si="3785"/>
        <v>#ERROR!</v>
      </c>
      <c r="FA808" s="410" t="str">
        <f t="shared" si="3785"/>
        <v>#ERROR!</v>
      </c>
      <c r="FB808" s="24" t="str">
        <f t="shared" si="3785"/>
        <v>#ERROR!</v>
      </c>
      <c r="FC808" s="410" t="str">
        <f t="shared" si="3785"/>
        <v>#ERROR!</v>
      </c>
      <c r="FD808" s="410" t="str">
        <f t="shared" si="3785"/>
        <v>#ERROR!</v>
      </c>
      <c r="FE808" s="410" t="str">
        <f t="shared" si="3785"/>
        <v>#ERROR!</v>
      </c>
      <c r="FF808" s="410" t="str">
        <f t="shared" si="3785"/>
        <v>#ERROR!</v>
      </c>
      <c r="FG808" s="24" t="str">
        <f t="shared" si="3785"/>
        <v>#ERROR!</v>
      </c>
      <c r="FH808" s="104"/>
      <c r="FI808" s="410"/>
      <c r="FJ808" s="410"/>
      <c r="FK808" s="410"/>
      <c r="FL808" s="410"/>
    </row>
    <row r="809" ht="12.75" hidden="1" customHeight="1" outlineLevel="2">
      <c r="A809" s="4"/>
      <c r="B809" s="72" t="s">
        <v>322</v>
      </c>
      <c r="C809" s="45"/>
      <c r="D809" s="15"/>
      <c r="E809" s="15"/>
      <c r="F809" s="15"/>
      <c r="G809" s="15"/>
      <c r="H809" s="410"/>
      <c r="I809" s="15"/>
      <c r="J809" s="15"/>
      <c r="K809" s="15"/>
      <c r="L809" s="15"/>
      <c r="M809" s="410"/>
      <c r="N809" s="15"/>
      <c r="O809" s="15"/>
      <c r="P809" s="15"/>
      <c r="Q809" s="15"/>
      <c r="R809" s="410"/>
      <c r="S809" s="15"/>
      <c r="T809" s="15"/>
      <c r="U809" s="15"/>
      <c r="V809" s="15"/>
      <c r="W809" s="410"/>
      <c r="X809" s="15"/>
      <c r="Y809" s="15"/>
      <c r="Z809" s="15"/>
      <c r="AA809" s="15"/>
      <c r="AB809" s="410"/>
      <c r="AC809" s="15"/>
      <c r="AD809" s="15"/>
      <c r="AE809" s="15"/>
      <c r="AF809" s="15"/>
      <c r="AG809" s="410"/>
      <c r="AH809" s="15"/>
      <c r="AI809" s="15"/>
      <c r="AJ809" s="15"/>
      <c r="AK809" s="15"/>
      <c r="AL809" s="410"/>
      <c r="AM809" s="15"/>
      <c r="AN809" s="15"/>
      <c r="AO809" s="15"/>
      <c r="AP809" s="15"/>
      <c r="AQ809" s="410"/>
      <c r="AR809" s="15"/>
      <c r="AS809" s="15"/>
      <c r="AT809" s="15"/>
      <c r="AU809" s="15"/>
      <c r="AV809" s="410"/>
      <c r="AW809" s="15"/>
      <c r="AX809" s="15"/>
      <c r="AY809" s="15"/>
      <c r="AZ809" s="15"/>
      <c r="BA809" s="410"/>
      <c r="BB809" s="15">
        <f t="shared" ref="BB809:BD809" si="3786">BB755/AW753-1</f>
        <v>-0.09515570934</v>
      </c>
      <c r="BC809" s="15">
        <f t="shared" si="3786"/>
        <v>-0.03787878788</v>
      </c>
      <c r="BD809" s="15">
        <f t="shared" si="3786"/>
        <v>-0.1853146853</v>
      </c>
      <c r="BE809" s="15">
        <f t="shared" si="3787"/>
        <v>-0.15</v>
      </c>
      <c r="BF809" s="410">
        <f>BF757/BA757-1</f>
        <v>-0.0636523266</v>
      </c>
      <c r="BG809" s="15">
        <f t="shared" ref="BG809:BL809" si="3788">BG755/BB755-1</f>
        <v>-0.1835564054</v>
      </c>
      <c r="BH809" s="15">
        <f t="shared" si="3788"/>
        <v>-0.2033464567</v>
      </c>
      <c r="BI809" s="15">
        <f t="shared" si="3788"/>
        <v>-0.09656652361</v>
      </c>
      <c r="BJ809" s="15">
        <f t="shared" si="3788"/>
        <v>-0.1392156863</v>
      </c>
      <c r="BK809" s="410">
        <f t="shared" si="3788"/>
        <v>-0.1571001495</v>
      </c>
      <c r="BL809" s="15">
        <f t="shared" si="3788"/>
        <v>-0.2529274005</v>
      </c>
      <c r="BM809" s="15"/>
      <c r="BN809" s="15"/>
      <c r="BO809" s="15"/>
      <c r="BP809" s="410"/>
      <c r="BQ809" s="15"/>
      <c r="BR809" s="15"/>
      <c r="BS809" s="15"/>
      <c r="BT809" s="15"/>
      <c r="BU809" s="410"/>
      <c r="BV809" s="15"/>
      <c r="BW809" s="15"/>
      <c r="BX809" s="15"/>
      <c r="BY809" s="15"/>
      <c r="BZ809" s="24"/>
      <c r="CA809" s="15"/>
      <c r="CB809" s="15"/>
      <c r="CC809" s="15"/>
      <c r="CD809" s="15"/>
      <c r="CE809" s="24"/>
      <c r="CF809" s="15"/>
      <c r="CG809" s="15"/>
      <c r="CH809" s="15"/>
      <c r="CI809" s="15"/>
      <c r="CJ809" s="24"/>
      <c r="CK809" s="15"/>
      <c r="CL809" s="15"/>
      <c r="CM809" s="15"/>
      <c r="CN809" s="40"/>
      <c r="CO809" s="24"/>
      <c r="CP809" s="40"/>
      <c r="CQ809" s="15"/>
      <c r="CR809" s="15"/>
      <c r="CS809" s="15"/>
      <c r="CT809" s="24"/>
      <c r="CU809" s="15"/>
      <c r="CV809" s="15"/>
      <c r="CW809" s="15"/>
      <c r="CX809" s="15"/>
      <c r="CY809" s="24"/>
      <c r="CZ809" s="15"/>
      <c r="DA809" s="15"/>
      <c r="DB809" s="15"/>
      <c r="DC809" s="15"/>
      <c r="DD809" s="24"/>
      <c r="DE809" s="15"/>
      <c r="DF809" s="15"/>
      <c r="DG809" s="40"/>
      <c r="DH809" s="15"/>
      <c r="DI809" s="24"/>
      <c r="DJ809" s="40"/>
      <c r="DK809" s="40"/>
      <c r="DL809" s="40"/>
      <c r="DM809" s="15"/>
      <c r="DN809" s="24"/>
      <c r="DO809" s="15"/>
      <c r="DP809" s="15"/>
      <c r="DQ809" s="15"/>
      <c r="DR809" s="15"/>
      <c r="DS809" s="24"/>
      <c r="DT809" s="15"/>
      <c r="DU809" s="15"/>
      <c r="DV809" s="15"/>
      <c r="DW809" s="15"/>
      <c r="DX809" s="24"/>
      <c r="DY809" s="15"/>
      <c r="DZ809" s="15"/>
      <c r="EA809" s="15"/>
      <c r="EB809" s="15"/>
      <c r="EC809" s="24"/>
      <c r="ED809" s="15"/>
      <c r="EE809" s="15"/>
      <c r="EF809" s="15"/>
      <c r="EG809" s="15"/>
      <c r="EH809" s="24"/>
      <c r="EI809" s="82"/>
      <c r="EJ809" s="15"/>
      <c r="EK809" s="15"/>
      <c r="EL809" s="15"/>
      <c r="EM809" s="24"/>
      <c r="EN809" s="15"/>
      <c r="EO809" s="15"/>
      <c r="EP809" s="15"/>
      <c r="EQ809" s="15"/>
      <c r="ER809" s="24"/>
      <c r="ES809" s="15"/>
      <c r="ET809" s="15"/>
      <c r="EU809" s="15"/>
      <c r="EV809" s="15"/>
      <c r="EW809" s="24"/>
      <c r="EX809" s="15"/>
      <c r="EY809" s="15"/>
      <c r="EZ809" s="15"/>
      <c r="FA809" s="15"/>
      <c r="FB809" s="24"/>
      <c r="FC809" s="15"/>
      <c r="FD809" s="15"/>
      <c r="FE809" s="15"/>
      <c r="FF809" s="15"/>
      <c r="FG809" s="24"/>
      <c r="FH809" s="104"/>
      <c r="FI809" s="15"/>
      <c r="FJ809" s="15"/>
      <c r="FK809" s="410"/>
      <c r="FL809" s="15"/>
    </row>
    <row r="810" ht="12.75" hidden="1" customHeight="1" outlineLevel="2">
      <c r="A810" s="4"/>
      <c r="B810" s="72" t="s">
        <v>286</v>
      </c>
      <c r="C810" s="45"/>
      <c r="D810" s="15"/>
      <c r="E810" s="15"/>
      <c r="F810" s="15"/>
      <c r="G810" s="15"/>
      <c r="H810" s="410"/>
      <c r="I810" s="15"/>
      <c r="J810" s="15"/>
      <c r="K810" s="15"/>
      <c r="L810" s="15"/>
      <c r="M810" s="410"/>
      <c r="N810" s="15"/>
      <c r="O810" s="15"/>
      <c r="P810" s="15"/>
      <c r="Q810" s="15"/>
      <c r="R810" s="410"/>
      <c r="S810" s="15"/>
      <c r="T810" s="15"/>
      <c r="U810" s="15"/>
      <c r="V810" s="15"/>
      <c r="W810" s="410"/>
      <c r="X810" s="15"/>
      <c r="Y810" s="15"/>
      <c r="Z810" s="15"/>
      <c r="AA810" s="15"/>
      <c r="AB810" s="410"/>
      <c r="AC810" s="15"/>
      <c r="AD810" s="15"/>
      <c r="AE810" s="15"/>
      <c r="AF810" s="15"/>
      <c r="AG810" s="410"/>
      <c r="AH810" s="15"/>
      <c r="AI810" s="15"/>
      <c r="AJ810" s="15"/>
      <c r="AK810" s="15"/>
      <c r="AL810" s="410"/>
      <c r="AM810" s="15"/>
      <c r="AN810" s="15"/>
      <c r="AO810" s="15"/>
      <c r="AP810" s="15"/>
      <c r="AQ810" s="410"/>
      <c r="AR810" s="15"/>
      <c r="AS810" s="15"/>
      <c r="AT810" s="15"/>
      <c r="AU810" s="15"/>
      <c r="AV810" s="410"/>
      <c r="AW810" s="15"/>
      <c r="AX810" s="15"/>
      <c r="AY810" s="15"/>
      <c r="AZ810" s="15"/>
      <c r="BA810" s="410"/>
      <c r="BB810" s="15"/>
      <c r="BC810" s="15"/>
      <c r="BD810" s="15"/>
      <c r="BE810" s="15"/>
      <c r="BF810" s="410"/>
      <c r="BG810" s="15"/>
      <c r="BH810" s="15"/>
      <c r="BI810" s="15">
        <f t="shared" ref="BI810:FG810" si="3789">BI756/BD756-1</f>
        <v>2.771428571</v>
      </c>
      <c r="BJ810" s="15">
        <f t="shared" si="3789"/>
        <v>2.5</v>
      </c>
      <c r="BK810" s="410">
        <f t="shared" si="3789"/>
        <v>2.256349206</v>
      </c>
      <c r="BL810" s="15">
        <f t="shared" si="3789"/>
        <v>3.285714286</v>
      </c>
      <c r="BM810" s="15">
        <f t="shared" si="3789"/>
        <v>0.9596864502</v>
      </c>
      <c r="BN810" s="15">
        <f t="shared" si="3789"/>
        <v>0.1742424242</v>
      </c>
      <c r="BO810" s="15">
        <f t="shared" si="3789"/>
        <v>0.02040816327</v>
      </c>
      <c r="BP810" s="410">
        <f t="shared" si="3789"/>
        <v>0.6085790885</v>
      </c>
      <c r="BQ810" s="15">
        <f t="shared" si="3789"/>
        <v>-0.1388888889</v>
      </c>
      <c r="BR810" s="15">
        <f t="shared" si="3789"/>
        <v>0.1028571429</v>
      </c>
      <c r="BS810" s="15">
        <f t="shared" si="3789"/>
        <v>0.4129032258</v>
      </c>
      <c r="BT810" s="15">
        <f t="shared" si="3789"/>
        <v>0.8</v>
      </c>
      <c r="BU810" s="410">
        <f t="shared" si="3789"/>
        <v>0.2681818182</v>
      </c>
      <c r="BV810" s="15">
        <f t="shared" si="3789"/>
        <v>1.027318548</v>
      </c>
      <c r="BW810" s="15">
        <f t="shared" si="3789"/>
        <v>0.5793126619</v>
      </c>
      <c r="BX810" s="15">
        <f t="shared" si="3789"/>
        <v>0.670177226</v>
      </c>
      <c r="BY810" s="15">
        <f t="shared" si="3789"/>
        <v>0.4901692361</v>
      </c>
      <c r="BZ810" s="24">
        <f t="shared" si="3789"/>
        <v>0.6572953704</v>
      </c>
      <c r="CA810" s="15">
        <f t="shared" si="3789"/>
        <v>0.08834</v>
      </c>
      <c r="CB810" s="15">
        <f t="shared" si="3789"/>
        <v>0.08834</v>
      </c>
      <c r="CC810" s="15">
        <f t="shared" si="3789"/>
        <v>0.08834</v>
      </c>
      <c r="CD810" s="15">
        <f t="shared" si="3789"/>
        <v>0.08834</v>
      </c>
      <c r="CE810" s="24">
        <f t="shared" si="3789"/>
        <v>0.08834</v>
      </c>
      <c r="CF810" s="15">
        <f t="shared" si="3789"/>
        <v>0.08834</v>
      </c>
      <c r="CG810" s="15">
        <f t="shared" si="3789"/>
        <v>0.08834</v>
      </c>
      <c r="CH810" s="15">
        <f t="shared" si="3789"/>
        <v>0.08834</v>
      </c>
      <c r="CI810" s="15">
        <f t="shared" si="3789"/>
        <v>0.08834</v>
      </c>
      <c r="CJ810" s="24">
        <f t="shared" si="3789"/>
        <v>0.08834</v>
      </c>
      <c r="CK810" s="15">
        <f t="shared" si="3789"/>
        <v>0.08834</v>
      </c>
      <c r="CL810" s="15">
        <f t="shared" si="3789"/>
        <v>0.08834</v>
      </c>
      <c r="CM810" s="15">
        <f t="shared" si="3789"/>
        <v>0.08834</v>
      </c>
      <c r="CN810" s="40">
        <f t="shared" si="3789"/>
        <v>0.08834</v>
      </c>
      <c r="CO810" s="24">
        <f t="shared" si="3789"/>
        <v>0.08834</v>
      </c>
      <c r="CP810" s="40">
        <f t="shared" si="3789"/>
        <v>0.08834</v>
      </c>
      <c r="CQ810" s="15">
        <f t="shared" si="3789"/>
        <v>0.08834</v>
      </c>
      <c r="CR810" s="15">
        <f t="shared" si="3789"/>
        <v>0.08834</v>
      </c>
      <c r="CS810" s="15">
        <f t="shared" si="3789"/>
        <v>0.08834</v>
      </c>
      <c r="CT810" s="24">
        <f t="shared" si="3789"/>
        <v>0.08834</v>
      </c>
      <c r="CU810" s="15">
        <f t="shared" si="3789"/>
        <v>0.08834</v>
      </c>
      <c r="CV810" s="15">
        <f t="shared" si="3789"/>
        <v>0.08834</v>
      </c>
      <c r="CW810" s="15">
        <f t="shared" si="3789"/>
        <v>0.08834</v>
      </c>
      <c r="CX810" s="15">
        <f t="shared" si="3789"/>
        <v>0.08834</v>
      </c>
      <c r="CY810" s="24">
        <f t="shared" si="3789"/>
        <v>0.08834</v>
      </c>
      <c r="CZ810" s="15">
        <f t="shared" si="3789"/>
        <v>0.08834</v>
      </c>
      <c r="DA810" s="15">
        <f t="shared" si="3789"/>
        <v>0.08834</v>
      </c>
      <c r="DB810" s="15">
        <f t="shared" si="3789"/>
        <v>0.08834</v>
      </c>
      <c r="DC810" s="15">
        <f t="shared" si="3789"/>
        <v>0.08834</v>
      </c>
      <c r="DD810" s="24">
        <f t="shared" si="3789"/>
        <v>0.08834</v>
      </c>
      <c r="DE810" s="15">
        <f t="shared" si="3789"/>
        <v>0.08834</v>
      </c>
      <c r="DF810" s="15">
        <f t="shared" si="3789"/>
        <v>0.08834</v>
      </c>
      <c r="DG810" s="40">
        <f t="shared" si="3789"/>
        <v>0.08834</v>
      </c>
      <c r="DH810" s="15">
        <f t="shared" si="3789"/>
        <v>0.08834</v>
      </c>
      <c r="DI810" s="24">
        <f t="shared" si="3789"/>
        <v>0.08834</v>
      </c>
      <c r="DJ810" s="40">
        <f t="shared" si="3789"/>
        <v>0.08834</v>
      </c>
      <c r="DK810" s="40">
        <f t="shared" si="3789"/>
        <v>0.08834</v>
      </c>
      <c r="DL810" s="40">
        <f t="shared" si="3789"/>
        <v>0.08834</v>
      </c>
      <c r="DM810" s="15">
        <f t="shared" si="3789"/>
        <v>0.08834</v>
      </c>
      <c r="DN810" s="24">
        <f t="shared" si="3789"/>
        <v>0.08834</v>
      </c>
      <c r="DO810" s="15">
        <f t="shared" si="3789"/>
        <v>0.08834</v>
      </c>
      <c r="DP810" s="15">
        <f t="shared" si="3789"/>
        <v>0.08834</v>
      </c>
      <c r="DQ810" s="15">
        <f t="shared" si="3789"/>
        <v>0.08834</v>
      </c>
      <c r="DR810" s="15">
        <f t="shared" si="3789"/>
        <v>0.08834</v>
      </c>
      <c r="DS810" s="24">
        <f t="shared" si="3789"/>
        <v>0.08834</v>
      </c>
      <c r="DT810" s="15">
        <f t="shared" si="3789"/>
        <v>0.08834</v>
      </c>
      <c r="DU810" s="15">
        <f t="shared" si="3789"/>
        <v>0.08834</v>
      </c>
      <c r="DV810" s="15">
        <f t="shared" si="3789"/>
        <v>0.08834</v>
      </c>
      <c r="DW810" s="15">
        <f t="shared" si="3789"/>
        <v>0.08834</v>
      </c>
      <c r="DX810" s="24">
        <f t="shared" si="3789"/>
        <v>0.08834</v>
      </c>
      <c r="DY810" s="15">
        <f t="shared" si="3789"/>
        <v>0.08834</v>
      </c>
      <c r="DZ810" s="15">
        <f t="shared" si="3789"/>
        <v>0.08834</v>
      </c>
      <c r="EA810" s="15">
        <f t="shared" si="3789"/>
        <v>0.08834</v>
      </c>
      <c r="EB810" s="15">
        <f t="shared" si="3789"/>
        <v>0.08834</v>
      </c>
      <c r="EC810" s="24">
        <f t="shared" si="3789"/>
        <v>0.08834</v>
      </c>
      <c r="ED810" s="15">
        <f t="shared" si="3789"/>
        <v>0.08834</v>
      </c>
      <c r="EE810" s="15">
        <f t="shared" si="3789"/>
        <v>0.08834</v>
      </c>
      <c r="EF810" s="15">
        <f t="shared" si="3789"/>
        <v>0.08834</v>
      </c>
      <c r="EG810" s="15">
        <f t="shared" si="3789"/>
        <v>0.08834</v>
      </c>
      <c r="EH810" s="24">
        <f t="shared" si="3789"/>
        <v>0.08834</v>
      </c>
      <c r="EI810" s="82">
        <f t="shared" si="3789"/>
        <v>0.08834</v>
      </c>
      <c r="EJ810" s="15">
        <f t="shared" si="3789"/>
        <v>0.08834</v>
      </c>
      <c r="EK810" s="15">
        <f t="shared" si="3789"/>
        <v>0.08834</v>
      </c>
      <c r="EL810" s="15">
        <f t="shared" si="3789"/>
        <v>0.08834</v>
      </c>
      <c r="EM810" s="24">
        <f t="shared" si="3789"/>
        <v>0.08834</v>
      </c>
      <c r="EN810" s="15">
        <f t="shared" si="3789"/>
        <v>0.08834</v>
      </c>
      <c r="EO810" s="15">
        <f t="shared" si="3789"/>
        <v>0.08834</v>
      </c>
      <c r="EP810" s="15">
        <f t="shared" si="3789"/>
        <v>0.08834</v>
      </c>
      <c r="EQ810" s="15">
        <f t="shared" si="3789"/>
        <v>0.08834</v>
      </c>
      <c r="ER810" s="24">
        <f t="shared" si="3789"/>
        <v>0.08834</v>
      </c>
      <c r="ES810" s="15">
        <f t="shared" si="3789"/>
        <v>0.08834</v>
      </c>
      <c r="ET810" s="15">
        <f t="shared" si="3789"/>
        <v>0.08834</v>
      </c>
      <c r="EU810" s="15">
        <f t="shared" si="3789"/>
        <v>0.08834</v>
      </c>
      <c r="EV810" s="15">
        <f t="shared" si="3789"/>
        <v>0.08834</v>
      </c>
      <c r="EW810" s="24">
        <f t="shared" si="3789"/>
        <v>0.08834</v>
      </c>
      <c r="EX810" s="15">
        <f t="shared" si="3789"/>
        <v>0.08834</v>
      </c>
      <c r="EY810" s="15">
        <f t="shared" si="3789"/>
        <v>0.08834</v>
      </c>
      <c r="EZ810" s="15">
        <f t="shared" si="3789"/>
        <v>0.08834</v>
      </c>
      <c r="FA810" s="15">
        <f t="shared" si="3789"/>
        <v>0.08834</v>
      </c>
      <c r="FB810" s="24">
        <f t="shared" si="3789"/>
        <v>0.08834</v>
      </c>
      <c r="FC810" s="15">
        <f t="shared" si="3789"/>
        <v>0.08834</v>
      </c>
      <c r="FD810" s="15">
        <f t="shared" si="3789"/>
        <v>0.08834</v>
      </c>
      <c r="FE810" s="15">
        <f t="shared" si="3789"/>
        <v>0.08834</v>
      </c>
      <c r="FF810" s="15">
        <f t="shared" si="3789"/>
        <v>0.08834</v>
      </c>
      <c r="FG810" s="24">
        <f t="shared" si="3789"/>
        <v>0.08834</v>
      </c>
      <c r="FH810" s="104"/>
      <c r="FI810" s="15"/>
      <c r="FJ810" s="15"/>
      <c r="FK810" s="410"/>
      <c r="FL810" s="15"/>
    </row>
    <row r="811" ht="12.75" hidden="1" customHeight="1" outlineLevel="2">
      <c r="A811" s="45"/>
      <c r="B811" s="215" t="s">
        <v>317</v>
      </c>
      <c r="C811" s="45"/>
      <c r="D811" s="410"/>
      <c r="E811" s="410"/>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410"/>
      <c r="AK811" s="410"/>
      <c r="AL811" s="410"/>
      <c r="AM811" s="410"/>
      <c r="AN811" s="410"/>
      <c r="AO811" s="410"/>
      <c r="AP811" s="410"/>
      <c r="AQ811" s="410"/>
      <c r="AR811" s="410"/>
      <c r="AS811" s="410"/>
      <c r="AT811" s="410"/>
      <c r="AU811" s="410"/>
      <c r="AV811" s="410"/>
      <c r="AW811" s="410"/>
      <c r="AX811" s="410"/>
      <c r="AY811" s="410"/>
      <c r="AZ811" s="410"/>
      <c r="BA811" s="410"/>
      <c r="BB811" s="410">
        <f t="shared" ref="BB811:BD811" si="3790">BB757/AW753-1</f>
        <v>-0.05882352941</v>
      </c>
      <c r="BC811" s="410">
        <f t="shared" si="3790"/>
        <v>0.01515151515</v>
      </c>
      <c r="BD811" s="410">
        <f t="shared" si="3790"/>
        <v>-0.1136363636</v>
      </c>
      <c r="BE811" s="410">
        <f t="shared" ref="BE811:BL811" si="3791">BE757/AZ757-1</f>
        <v>-0.04</v>
      </c>
      <c r="BF811" s="410">
        <f t="shared" si="3791"/>
        <v>-0.0636523266</v>
      </c>
      <c r="BG811" s="410">
        <f t="shared" si="3791"/>
        <v>-0.1378676471</v>
      </c>
      <c r="BH811" s="410">
        <f t="shared" si="3791"/>
        <v>-0.07835820896</v>
      </c>
      <c r="BI811" s="410">
        <f t="shared" si="3791"/>
        <v>0.09072978304</v>
      </c>
      <c r="BJ811" s="410">
        <f t="shared" si="3791"/>
        <v>0.01736111111</v>
      </c>
      <c r="BK811" s="410">
        <f t="shared" si="3791"/>
        <v>-0.01453352086</v>
      </c>
      <c r="BL811" s="410">
        <f t="shared" si="3791"/>
        <v>0.06396588486</v>
      </c>
      <c r="BM811" s="410"/>
      <c r="BN811" s="410"/>
      <c r="BO811" s="410"/>
      <c r="BP811" s="410"/>
      <c r="BQ811" s="410"/>
      <c r="BR811" s="410"/>
      <c r="BS811" s="410"/>
      <c r="BT811" s="410"/>
      <c r="BU811" s="410"/>
      <c r="BV811" s="410"/>
      <c r="BW811" s="410"/>
      <c r="BX811" s="410"/>
      <c r="BY811" s="410"/>
      <c r="BZ811" s="24"/>
      <c r="CA811" s="410"/>
      <c r="CB811" s="410"/>
      <c r="CC811" s="410"/>
      <c r="CD811" s="410"/>
      <c r="CE811" s="24"/>
      <c r="CF811" s="410"/>
      <c r="CG811" s="410"/>
      <c r="CH811" s="410"/>
      <c r="CI811" s="410"/>
      <c r="CJ811" s="24"/>
      <c r="CK811" s="410"/>
      <c r="CL811" s="410"/>
      <c r="CM811" s="410"/>
      <c r="CN811" s="104"/>
      <c r="CO811" s="24"/>
      <c r="CP811" s="104"/>
      <c r="CQ811" s="410"/>
      <c r="CR811" s="410"/>
      <c r="CS811" s="410"/>
      <c r="CT811" s="24"/>
      <c r="CU811" s="410"/>
      <c r="CV811" s="410"/>
      <c r="CW811" s="410"/>
      <c r="CX811" s="410"/>
      <c r="CY811" s="24"/>
      <c r="CZ811" s="410"/>
      <c r="DA811" s="410"/>
      <c r="DB811" s="410"/>
      <c r="DC811" s="410"/>
      <c r="DD811" s="24"/>
      <c r="DE811" s="410"/>
      <c r="DF811" s="410"/>
      <c r="DG811" s="104"/>
      <c r="DH811" s="410"/>
      <c r="DI811" s="24"/>
      <c r="DJ811" s="104"/>
      <c r="DK811" s="104"/>
      <c r="DL811" s="104"/>
      <c r="DM811" s="410"/>
      <c r="DN811" s="24"/>
      <c r="DO811" s="410"/>
      <c r="DP811" s="410"/>
      <c r="DQ811" s="410"/>
      <c r="DR811" s="410"/>
      <c r="DS811" s="24"/>
      <c r="DT811" s="410"/>
      <c r="DU811" s="410"/>
      <c r="DV811" s="410"/>
      <c r="DW811" s="410"/>
      <c r="DX811" s="24"/>
      <c r="DY811" s="410"/>
      <c r="DZ811" s="410"/>
      <c r="EA811" s="410"/>
      <c r="EB811" s="410"/>
      <c r="EC811" s="24"/>
      <c r="ED811" s="410"/>
      <c r="EE811" s="410"/>
      <c r="EF811" s="410"/>
      <c r="EG811" s="410"/>
      <c r="EH811" s="24"/>
      <c r="EI811" s="317"/>
      <c r="EJ811" s="410"/>
      <c r="EK811" s="410"/>
      <c r="EL811" s="410"/>
      <c r="EM811" s="24"/>
      <c r="EN811" s="410"/>
      <c r="EO811" s="410"/>
      <c r="EP811" s="410"/>
      <c r="EQ811" s="410"/>
      <c r="ER811" s="24"/>
      <c r="ES811" s="410"/>
      <c r="ET811" s="410"/>
      <c r="EU811" s="410"/>
      <c r="EV811" s="410"/>
      <c r="EW811" s="24"/>
      <c r="EX811" s="410"/>
      <c r="EY811" s="410"/>
      <c r="EZ811" s="410"/>
      <c r="FA811" s="410"/>
      <c r="FB811" s="24"/>
      <c r="FC811" s="410"/>
      <c r="FD811" s="410"/>
      <c r="FE811" s="410"/>
      <c r="FF811" s="410"/>
      <c r="FG811" s="24"/>
      <c r="FH811" s="104"/>
      <c r="FI811" s="410"/>
      <c r="FJ811" s="410"/>
      <c r="FK811" s="410"/>
      <c r="FL811" s="410"/>
    </row>
    <row r="812" ht="12.75" hidden="1" customHeight="1" outlineLevel="2">
      <c r="A812" s="45"/>
      <c r="B812" s="72" t="str">
        <f t="shared" ref="B812:B815" si="3793">B776</f>
        <v>Digital Home (estimated)</v>
      </c>
      <c r="C812" s="45"/>
      <c r="D812" s="15"/>
      <c r="E812" s="15"/>
      <c r="F812" s="15"/>
      <c r="G812" s="15"/>
      <c r="H812" s="410"/>
      <c r="I812" s="15"/>
      <c r="J812" s="15"/>
      <c r="K812" s="15"/>
      <c r="L812" s="15"/>
      <c r="M812" s="410"/>
      <c r="N812" s="15"/>
      <c r="O812" s="15"/>
      <c r="P812" s="15"/>
      <c r="Q812" s="15"/>
      <c r="R812" s="410"/>
      <c r="S812" s="15"/>
      <c r="T812" s="15"/>
      <c r="U812" s="15"/>
      <c r="V812" s="15"/>
      <c r="W812" s="410"/>
      <c r="X812" s="15"/>
      <c r="Y812" s="15"/>
      <c r="Z812" s="15"/>
      <c r="AA812" s="15"/>
      <c r="AB812" s="410"/>
      <c r="AC812" s="15"/>
      <c r="AD812" s="15"/>
      <c r="AE812" s="15"/>
      <c r="AF812" s="15"/>
      <c r="AG812" s="410"/>
      <c r="AH812" s="15"/>
      <c r="AI812" s="15"/>
      <c r="AJ812" s="15"/>
      <c r="AK812" s="15"/>
      <c r="AL812" s="410"/>
      <c r="AM812" s="15"/>
      <c r="AN812" s="15"/>
      <c r="AO812" s="15"/>
      <c r="AP812" s="15"/>
      <c r="AQ812" s="410"/>
      <c r="AR812" s="15"/>
      <c r="AS812" s="15"/>
      <c r="AT812" s="15"/>
      <c r="AU812" s="15"/>
      <c r="AV812" s="410"/>
      <c r="AW812" s="15"/>
      <c r="AX812" s="15"/>
      <c r="AY812" s="15"/>
      <c r="AZ812" s="15"/>
      <c r="BA812" s="410"/>
      <c r="BB812" s="15"/>
      <c r="BC812" s="15"/>
      <c r="BD812" s="15"/>
      <c r="BE812" s="15"/>
      <c r="BF812" s="410"/>
      <c r="BG812" s="15">
        <f t="shared" ref="BG812:FG812" si="3792">BG758/BB758-1</f>
        <v>0.241025641</v>
      </c>
      <c r="BH812" s="15">
        <f t="shared" si="3792"/>
        <v>0.4778761062</v>
      </c>
      <c r="BI812" s="15">
        <f t="shared" si="3792"/>
        <v>0.7300613497</v>
      </c>
      <c r="BJ812" s="15">
        <f t="shared" si="3792"/>
        <v>-0.1519434629</v>
      </c>
      <c r="BK812" s="410">
        <f t="shared" si="3792"/>
        <v>0.2347480106</v>
      </c>
      <c r="BL812" s="15">
        <f t="shared" si="3792"/>
        <v>-1</v>
      </c>
      <c r="BM812" s="15">
        <f t="shared" si="3792"/>
        <v>-1</v>
      </c>
      <c r="BN812" s="15">
        <f t="shared" si="3792"/>
        <v>-1</v>
      </c>
      <c r="BO812" s="15">
        <f t="shared" si="3792"/>
        <v>-1</v>
      </c>
      <c r="BP812" s="410">
        <f t="shared" si="3792"/>
        <v>-1</v>
      </c>
      <c r="BQ812" s="15" t="str">
        <f t="shared" si="3792"/>
        <v>#DIV/0!</v>
      </c>
      <c r="BR812" s="15" t="str">
        <f t="shared" si="3792"/>
        <v>#DIV/0!</v>
      </c>
      <c r="BS812" s="15" t="str">
        <f t="shared" si="3792"/>
        <v>#DIV/0!</v>
      </c>
      <c r="BT812" s="15" t="str">
        <f t="shared" si="3792"/>
        <v>#DIV/0!</v>
      </c>
      <c r="BU812" s="410" t="str">
        <f t="shared" si="3792"/>
        <v>#DIV/0!</v>
      </c>
      <c r="BV812" s="15">
        <f t="shared" si="3792"/>
        <v>1</v>
      </c>
      <c r="BW812" s="15">
        <f t="shared" si="3792"/>
        <v>1</v>
      </c>
      <c r="BX812" s="15">
        <f t="shared" si="3792"/>
        <v>0.225</v>
      </c>
      <c r="BY812" s="15">
        <f t="shared" si="3792"/>
        <v>0.40875</v>
      </c>
      <c r="BZ812" s="24">
        <f t="shared" si="3792"/>
        <v>0.5430602007</v>
      </c>
      <c r="CA812" s="15">
        <f t="shared" si="3792"/>
        <v>0</v>
      </c>
      <c r="CB812" s="15">
        <f t="shared" si="3792"/>
        <v>0</v>
      </c>
      <c r="CC812" s="15">
        <f t="shared" si="3792"/>
        <v>0</v>
      </c>
      <c r="CD812" s="15">
        <f t="shared" si="3792"/>
        <v>0</v>
      </c>
      <c r="CE812" s="24">
        <f t="shared" si="3792"/>
        <v>0</v>
      </c>
      <c r="CF812" s="15">
        <f t="shared" si="3792"/>
        <v>0</v>
      </c>
      <c r="CG812" s="15">
        <f t="shared" si="3792"/>
        <v>0</v>
      </c>
      <c r="CH812" s="15">
        <f t="shared" si="3792"/>
        <v>0</v>
      </c>
      <c r="CI812" s="15">
        <f t="shared" si="3792"/>
        <v>0</v>
      </c>
      <c r="CJ812" s="24">
        <f t="shared" si="3792"/>
        <v>0</v>
      </c>
      <c r="CK812" s="15">
        <f t="shared" si="3792"/>
        <v>0</v>
      </c>
      <c r="CL812" s="15">
        <f t="shared" si="3792"/>
        <v>0</v>
      </c>
      <c r="CM812" s="15">
        <f t="shared" si="3792"/>
        <v>0</v>
      </c>
      <c r="CN812" s="40">
        <f t="shared" si="3792"/>
        <v>0</v>
      </c>
      <c r="CO812" s="24">
        <f t="shared" si="3792"/>
        <v>0</v>
      </c>
      <c r="CP812" s="40">
        <f t="shared" si="3792"/>
        <v>0</v>
      </c>
      <c r="CQ812" s="15">
        <f t="shared" si="3792"/>
        <v>0</v>
      </c>
      <c r="CR812" s="15">
        <f t="shared" si="3792"/>
        <v>0</v>
      </c>
      <c r="CS812" s="15">
        <f t="shared" si="3792"/>
        <v>0</v>
      </c>
      <c r="CT812" s="24">
        <f t="shared" si="3792"/>
        <v>0</v>
      </c>
      <c r="CU812" s="15">
        <f t="shared" si="3792"/>
        <v>0</v>
      </c>
      <c r="CV812" s="15">
        <f t="shared" si="3792"/>
        <v>0</v>
      </c>
      <c r="CW812" s="15">
        <f t="shared" si="3792"/>
        <v>0</v>
      </c>
      <c r="CX812" s="15">
        <f t="shared" si="3792"/>
        <v>0</v>
      </c>
      <c r="CY812" s="24">
        <f t="shared" si="3792"/>
        <v>0</v>
      </c>
      <c r="CZ812" s="15">
        <f t="shared" si="3792"/>
        <v>0</v>
      </c>
      <c r="DA812" s="15">
        <f t="shared" si="3792"/>
        <v>0</v>
      </c>
      <c r="DB812" s="15">
        <f t="shared" si="3792"/>
        <v>0</v>
      </c>
      <c r="DC812" s="15">
        <f t="shared" si="3792"/>
        <v>0</v>
      </c>
      <c r="DD812" s="24">
        <f t="shared" si="3792"/>
        <v>0</v>
      </c>
      <c r="DE812" s="15">
        <f t="shared" si="3792"/>
        <v>0</v>
      </c>
      <c r="DF812" s="15">
        <f t="shared" si="3792"/>
        <v>0</v>
      </c>
      <c r="DG812" s="40">
        <f t="shared" si="3792"/>
        <v>0</v>
      </c>
      <c r="DH812" s="15">
        <f t="shared" si="3792"/>
        <v>0</v>
      </c>
      <c r="DI812" s="24">
        <f t="shared" si="3792"/>
        <v>0</v>
      </c>
      <c r="DJ812" s="40">
        <f t="shared" si="3792"/>
        <v>0</v>
      </c>
      <c r="DK812" s="40">
        <f t="shared" si="3792"/>
        <v>0</v>
      </c>
      <c r="DL812" s="40">
        <f t="shared" si="3792"/>
        <v>0</v>
      </c>
      <c r="DM812" s="15">
        <f t="shared" si="3792"/>
        <v>0</v>
      </c>
      <c r="DN812" s="24">
        <f t="shared" si="3792"/>
        <v>0</v>
      </c>
      <c r="DO812" s="15">
        <f t="shared" si="3792"/>
        <v>0</v>
      </c>
      <c r="DP812" s="15">
        <f t="shared" si="3792"/>
        <v>0</v>
      </c>
      <c r="DQ812" s="15">
        <f t="shared" si="3792"/>
        <v>0</v>
      </c>
      <c r="DR812" s="15">
        <f t="shared" si="3792"/>
        <v>0</v>
      </c>
      <c r="DS812" s="24">
        <f t="shared" si="3792"/>
        <v>0</v>
      </c>
      <c r="DT812" s="15">
        <f t="shared" si="3792"/>
        <v>0</v>
      </c>
      <c r="DU812" s="15">
        <f t="shared" si="3792"/>
        <v>0</v>
      </c>
      <c r="DV812" s="15">
        <f t="shared" si="3792"/>
        <v>0</v>
      </c>
      <c r="DW812" s="15">
        <f t="shared" si="3792"/>
        <v>0</v>
      </c>
      <c r="DX812" s="24">
        <f t="shared" si="3792"/>
        <v>0</v>
      </c>
      <c r="DY812" s="15">
        <f t="shared" si="3792"/>
        <v>0</v>
      </c>
      <c r="DZ812" s="15">
        <f t="shared" si="3792"/>
        <v>0</v>
      </c>
      <c r="EA812" s="15">
        <f t="shared" si="3792"/>
        <v>0</v>
      </c>
      <c r="EB812" s="15">
        <f t="shared" si="3792"/>
        <v>0</v>
      </c>
      <c r="EC812" s="24">
        <f t="shared" si="3792"/>
        <v>0</v>
      </c>
      <c r="ED812" s="15">
        <f t="shared" si="3792"/>
        <v>0</v>
      </c>
      <c r="EE812" s="15">
        <f t="shared" si="3792"/>
        <v>0</v>
      </c>
      <c r="EF812" s="15">
        <f t="shared" si="3792"/>
        <v>0</v>
      </c>
      <c r="EG812" s="15">
        <f t="shared" si="3792"/>
        <v>0</v>
      </c>
      <c r="EH812" s="24">
        <f t="shared" si="3792"/>
        <v>0</v>
      </c>
      <c r="EI812" s="82">
        <f t="shared" si="3792"/>
        <v>0</v>
      </c>
      <c r="EJ812" s="15">
        <f t="shared" si="3792"/>
        <v>0</v>
      </c>
      <c r="EK812" s="15">
        <f t="shared" si="3792"/>
        <v>0</v>
      </c>
      <c r="EL812" s="15">
        <f t="shared" si="3792"/>
        <v>0</v>
      </c>
      <c r="EM812" s="24">
        <f t="shared" si="3792"/>
        <v>0</v>
      </c>
      <c r="EN812" s="15">
        <f t="shared" si="3792"/>
        <v>0</v>
      </c>
      <c r="EO812" s="15">
        <f t="shared" si="3792"/>
        <v>0</v>
      </c>
      <c r="EP812" s="15">
        <f t="shared" si="3792"/>
        <v>0</v>
      </c>
      <c r="EQ812" s="15">
        <f t="shared" si="3792"/>
        <v>0</v>
      </c>
      <c r="ER812" s="24">
        <f t="shared" si="3792"/>
        <v>0</v>
      </c>
      <c r="ES812" s="15">
        <f t="shared" si="3792"/>
        <v>0</v>
      </c>
      <c r="ET812" s="15">
        <f t="shared" si="3792"/>
        <v>0</v>
      </c>
      <c r="EU812" s="15">
        <f t="shared" si="3792"/>
        <v>0</v>
      </c>
      <c r="EV812" s="15">
        <f t="shared" si="3792"/>
        <v>0</v>
      </c>
      <c r="EW812" s="24">
        <f t="shared" si="3792"/>
        <v>0</v>
      </c>
      <c r="EX812" s="15">
        <f t="shared" si="3792"/>
        <v>0</v>
      </c>
      <c r="EY812" s="15">
        <f t="shared" si="3792"/>
        <v>0</v>
      </c>
      <c r="EZ812" s="15">
        <f t="shared" si="3792"/>
        <v>0</v>
      </c>
      <c r="FA812" s="15">
        <f t="shared" si="3792"/>
        <v>0</v>
      </c>
      <c r="FB812" s="24">
        <f t="shared" si="3792"/>
        <v>0</v>
      </c>
      <c r="FC812" s="15">
        <f t="shared" si="3792"/>
        <v>0</v>
      </c>
      <c r="FD812" s="15">
        <f t="shared" si="3792"/>
        <v>0</v>
      </c>
      <c r="FE812" s="15">
        <f t="shared" si="3792"/>
        <v>0</v>
      </c>
      <c r="FF812" s="15">
        <f t="shared" si="3792"/>
        <v>0</v>
      </c>
      <c r="FG812" s="24">
        <f t="shared" si="3792"/>
        <v>0</v>
      </c>
      <c r="FH812" s="104"/>
      <c r="FI812" s="15"/>
      <c r="FJ812" s="15"/>
      <c r="FK812" s="410"/>
      <c r="FL812" s="15"/>
    </row>
    <row r="813" ht="12.75" hidden="1" customHeight="1" outlineLevel="2">
      <c r="A813" s="4"/>
      <c r="B813" s="72" t="str">
        <f t="shared" si="3793"/>
        <v>Other</v>
      </c>
      <c r="C813" s="4"/>
      <c r="D813" s="15"/>
      <c r="E813" s="15"/>
      <c r="F813" s="15"/>
      <c r="G813" s="15"/>
      <c r="H813" s="410"/>
      <c r="I813" s="15"/>
      <c r="J813" s="15"/>
      <c r="K813" s="15"/>
      <c r="L813" s="15"/>
      <c r="M813" s="410"/>
      <c r="N813" s="15"/>
      <c r="O813" s="15"/>
      <c r="P813" s="15"/>
      <c r="Q813" s="15"/>
      <c r="R813" s="410"/>
      <c r="S813" s="15"/>
      <c r="T813" s="15"/>
      <c r="U813" s="15"/>
      <c r="V813" s="15"/>
      <c r="W813" s="410"/>
      <c r="X813" s="15"/>
      <c r="Y813" s="15"/>
      <c r="Z813" s="15"/>
      <c r="AA813" s="15"/>
      <c r="AB813" s="410"/>
      <c r="AC813" s="15"/>
      <c r="AD813" s="15"/>
      <c r="AE813" s="15"/>
      <c r="AF813" s="15"/>
      <c r="AG813" s="410"/>
      <c r="AH813" s="15"/>
      <c r="AI813" s="15"/>
      <c r="AJ813" s="15"/>
      <c r="AK813" s="15"/>
      <c r="AL813" s="410"/>
      <c r="AM813" s="15"/>
      <c r="AN813" s="15"/>
      <c r="AO813" s="15"/>
      <c r="AP813" s="15"/>
      <c r="AQ813" s="410"/>
      <c r="AR813" s="15"/>
      <c r="AS813" s="15"/>
      <c r="AT813" s="15"/>
      <c r="AU813" s="15"/>
      <c r="AV813" s="410"/>
      <c r="AW813" s="15">
        <f t="shared" ref="AW813:FG813" si="3794">AW759/AR759-1</f>
        <v>0.7714285714</v>
      </c>
      <c r="AX813" s="15">
        <f t="shared" si="3794"/>
        <v>1.105263158</v>
      </c>
      <c r="AY813" s="15">
        <f t="shared" si="3794"/>
        <v>0.06818181818</v>
      </c>
      <c r="AZ813" s="15">
        <f t="shared" si="3794"/>
        <v>0.9361702128</v>
      </c>
      <c r="BA813" s="410">
        <f t="shared" si="3794"/>
        <v>0.7073170732</v>
      </c>
      <c r="BB813" s="15">
        <f t="shared" si="3794"/>
        <v>0.2096774194</v>
      </c>
      <c r="BC813" s="15">
        <f t="shared" si="3794"/>
        <v>-0.375</v>
      </c>
      <c r="BD813" s="15">
        <f t="shared" si="3794"/>
        <v>0.5957446809</v>
      </c>
      <c r="BE813" s="15">
        <f t="shared" si="3794"/>
        <v>-0.1208791209</v>
      </c>
      <c r="BF813" s="410">
        <f t="shared" si="3794"/>
        <v>0</v>
      </c>
      <c r="BG813" s="15">
        <f t="shared" si="3794"/>
        <v>0.06666666667</v>
      </c>
      <c r="BH813" s="15">
        <f t="shared" si="3794"/>
        <v>0.6</v>
      </c>
      <c r="BI813" s="15">
        <f t="shared" si="3794"/>
        <v>0.06666666667</v>
      </c>
      <c r="BJ813" s="15">
        <f t="shared" si="3794"/>
        <v>-0.5</v>
      </c>
      <c r="BK813" s="410">
        <f t="shared" si="3794"/>
        <v>0</v>
      </c>
      <c r="BL813" s="15">
        <f t="shared" si="3794"/>
        <v>-0.2</v>
      </c>
      <c r="BM813" s="15">
        <f t="shared" si="3794"/>
        <v>-0.375</v>
      </c>
      <c r="BN813" s="15">
        <f t="shared" si="3794"/>
        <v>-0.5875</v>
      </c>
      <c r="BO813" s="15">
        <f t="shared" si="3794"/>
        <v>0.375</v>
      </c>
      <c r="BP813" s="410">
        <f t="shared" si="3794"/>
        <v>-0.2785714286</v>
      </c>
      <c r="BQ813" s="15">
        <f t="shared" si="3794"/>
        <v>-0.34375</v>
      </c>
      <c r="BR813" s="15">
        <f t="shared" si="3794"/>
        <v>-0.57</v>
      </c>
      <c r="BS813" s="15">
        <f t="shared" si="3794"/>
        <v>1.303030303</v>
      </c>
      <c r="BT813" s="15">
        <f t="shared" si="3794"/>
        <v>0.2727272727</v>
      </c>
      <c r="BU813" s="410">
        <f t="shared" si="3794"/>
        <v>0.03712871287</v>
      </c>
      <c r="BV813" s="15">
        <f t="shared" si="3794"/>
        <v>-0.04761904762</v>
      </c>
      <c r="BW813" s="15">
        <f t="shared" si="3794"/>
        <v>0.8604651163</v>
      </c>
      <c r="BX813" s="15">
        <f t="shared" si="3794"/>
        <v>-0.4736842105</v>
      </c>
      <c r="BY813" s="15">
        <f t="shared" si="3794"/>
        <v>-0.4285714286</v>
      </c>
      <c r="BZ813" s="24">
        <f t="shared" si="3794"/>
        <v>-0.2362768496</v>
      </c>
      <c r="CA813" s="15">
        <f t="shared" si="3794"/>
        <v>0.875</v>
      </c>
      <c r="CB813" s="15">
        <f t="shared" si="3794"/>
        <v>0.875</v>
      </c>
      <c r="CC813" s="15">
        <f t="shared" si="3794"/>
        <v>0.875</v>
      </c>
      <c r="CD813" s="15">
        <f t="shared" si="3794"/>
        <v>0.875</v>
      </c>
      <c r="CE813" s="24">
        <f t="shared" si="3794"/>
        <v>0.875</v>
      </c>
      <c r="CF813" s="15">
        <f t="shared" si="3794"/>
        <v>0</v>
      </c>
      <c r="CG813" s="15">
        <f t="shared" si="3794"/>
        <v>0</v>
      </c>
      <c r="CH813" s="15">
        <f t="shared" si="3794"/>
        <v>0</v>
      </c>
      <c r="CI813" s="15">
        <f t="shared" si="3794"/>
        <v>0</v>
      </c>
      <c r="CJ813" s="24">
        <f t="shared" si="3794"/>
        <v>0</v>
      </c>
      <c r="CK813" s="15">
        <f t="shared" si="3794"/>
        <v>0</v>
      </c>
      <c r="CL813" s="15">
        <f t="shared" si="3794"/>
        <v>0</v>
      </c>
      <c r="CM813" s="15">
        <f t="shared" si="3794"/>
        <v>0</v>
      </c>
      <c r="CN813" s="40">
        <f t="shared" si="3794"/>
        <v>0</v>
      </c>
      <c r="CO813" s="24">
        <f t="shared" si="3794"/>
        <v>0</v>
      </c>
      <c r="CP813" s="40">
        <f t="shared" si="3794"/>
        <v>0</v>
      </c>
      <c r="CQ813" s="15">
        <f t="shared" si="3794"/>
        <v>0</v>
      </c>
      <c r="CR813" s="15">
        <f t="shared" si="3794"/>
        <v>0</v>
      </c>
      <c r="CS813" s="15">
        <f t="shared" si="3794"/>
        <v>0</v>
      </c>
      <c r="CT813" s="24">
        <f t="shared" si="3794"/>
        <v>0</v>
      </c>
      <c r="CU813" s="15">
        <f t="shared" si="3794"/>
        <v>0</v>
      </c>
      <c r="CV813" s="15">
        <f t="shared" si="3794"/>
        <v>0</v>
      </c>
      <c r="CW813" s="15">
        <f t="shared" si="3794"/>
        <v>0</v>
      </c>
      <c r="CX813" s="15">
        <f t="shared" si="3794"/>
        <v>0</v>
      </c>
      <c r="CY813" s="24">
        <f t="shared" si="3794"/>
        <v>0</v>
      </c>
      <c r="CZ813" s="15">
        <f t="shared" si="3794"/>
        <v>0</v>
      </c>
      <c r="DA813" s="15">
        <f t="shared" si="3794"/>
        <v>0</v>
      </c>
      <c r="DB813" s="15">
        <f t="shared" si="3794"/>
        <v>0</v>
      </c>
      <c r="DC813" s="15">
        <f t="shared" si="3794"/>
        <v>0</v>
      </c>
      <c r="DD813" s="24">
        <f t="shared" si="3794"/>
        <v>0</v>
      </c>
      <c r="DE813" s="15">
        <f t="shared" si="3794"/>
        <v>0</v>
      </c>
      <c r="DF813" s="15">
        <f t="shared" si="3794"/>
        <v>0</v>
      </c>
      <c r="DG813" s="40">
        <f t="shared" si="3794"/>
        <v>0</v>
      </c>
      <c r="DH813" s="15">
        <f t="shared" si="3794"/>
        <v>0</v>
      </c>
      <c r="DI813" s="24">
        <f t="shared" si="3794"/>
        <v>0</v>
      </c>
      <c r="DJ813" s="40">
        <f t="shared" si="3794"/>
        <v>0</v>
      </c>
      <c r="DK813" s="40">
        <f t="shared" si="3794"/>
        <v>0</v>
      </c>
      <c r="DL813" s="40">
        <f t="shared" si="3794"/>
        <v>0</v>
      </c>
      <c r="DM813" s="15">
        <f t="shared" si="3794"/>
        <v>0</v>
      </c>
      <c r="DN813" s="24">
        <f t="shared" si="3794"/>
        <v>0</v>
      </c>
      <c r="DO813" s="15">
        <f t="shared" si="3794"/>
        <v>0</v>
      </c>
      <c r="DP813" s="15">
        <f t="shared" si="3794"/>
        <v>0</v>
      </c>
      <c r="DQ813" s="15">
        <f t="shared" si="3794"/>
        <v>0</v>
      </c>
      <c r="DR813" s="15">
        <f t="shared" si="3794"/>
        <v>0</v>
      </c>
      <c r="DS813" s="24">
        <f t="shared" si="3794"/>
        <v>0</v>
      </c>
      <c r="DT813" s="15">
        <f t="shared" si="3794"/>
        <v>0</v>
      </c>
      <c r="DU813" s="15">
        <f t="shared" si="3794"/>
        <v>0</v>
      </c>
      <c r="DV813" s="15">
        <f t="shared" si="3794"/>
        <v>0</v>
      </c>
      <c r="DW813" s="15">
        <f t="shared" si="3794"/>
        <v>0</v>
      </c>
      <c r="DX813" s="24">
        <f t="shared" si="3794"/>
        <v>0</v>
      </c>
      <c r="DY813" s="15">
        <f t="shared" si="3794"/>
        <v>0</v>
      </c>
      <c r="DZ813" s="15">
        <f t="shared" si="3794"/>
        <v>0</v>
      </c>
      <c r="EA813" s="15">
        <f t="shared" si="3794"/>
        <v>0</v>
      </c>
      <c r="EB813" s="15">
        <f t="shared" si="3794"/>
        <v>0</v>
      </c>
      <c r="EC813" s="24">
        <f t="shared" si="3794"/>
        <v>0</v>
      </c>
      <c r="ED813" s="15">
        <f t="shared" si="3794"/>
        <v>0</v>
      </c>
      <c r="EE813" s="15">
        <f t="shared" si="3794"/>
        <v>0</v>
      </c>
      <c r="EF813" s="15">
        <f t="shared" si="3794"/>
        <v>0</v>
      </c>
      <c r="EG813" s="15">
        <f t="shared" si="3794"/>
        <v>0</v>
      </c>
      <c r="EH813" s="24">
        <f t="shared" si="3794"/>
        <v>0</v>
      </c>
      <c r="EI813" s="82">
        <f t="shared" si="3794"/>
        <v>0</v>
      </c>
      <c r="EJ813" s="15">
        <f t="shared" si="3794"/>
        <v>0</v>
      </c>
      <c r="EK813" s="15">
        <f t="shared" si="3794"/>
        <v>0</v>
      </c>
      <c r="EL813" s="15">
        <f t="shared" si="3794"/>
        <v>0</v>
      </c>
      <c r="EM813" s="24">
        <f t="shared" si="3794"/>
        <v>0</v>
      </c>
      <c r="EN813" s="15">
        <f t="shared" si="3794"/>
        <v>0</v>
      </c>
      <c r="EO813" s="15">
        <f t="shared" si="3794"/>
        <v>0</v>
      </c>
      <c r="EP813" s="15">
        <f t="shared" si="3794"/>
        <v>0</v>
      </c>
      <c r="EQ813" s="15">
        <f t="shared" si="3794"/>
        <v>0</v>
      </c>
      <c r="ER813" s="24">
        <f t="shared" si="3794"/>
        <v>0</v>
      </c>
      <c r="ES813" s="15">
        <f t="shared" si="3794"/>
        <v>0</v>
      </c>
      <c r="ET813" s="15">
        <f t="shared" si="3794"/>
        <v>0</v>
      </c>
      <c r="EU813" s="15">
        <f t="shared" si="3794"/>
        <v>0</v>
      </c>
      <c r="EV813" s="15">
        <f t="shared" si="3794"/>
        <v>0</v>
      </c>
      <c r="EW813" s="24">
        <f t="shared" si="3794"/>
        <v>0</v>
      </c>
      <c r="EX813" s="15">
        <f t="shared" si="3794"/>
        <v>0</v>
      </c>
      <c r="EY813" s="15">
        <f t="shared" si="3794"/>
        <v>0</v>
      </c>
      <c r="EZ813" s="15">
        <f t="shared" si="3794"/>
        <v>0</v>
      </c>
      <c r="FA813" s="15">
        <f t="shared" si="3794"/>
        <v>0</v>
      </c>
      <c r="FB813" s="24">
        <f t="shared" si="3794"/>
        <v>0</v>
      </c>
      <c r="FC813" s="15">
        <f t="shared" si="3794"/>
        <v>0</v>
      </c>
      <c r="FD813" s="15">
        <f t="shared" si="3794"/>
        <v>0</v>
      </c>
      <c r="FE813" s="15">
        <f t="shared" si="3794"/>
        <v>0</v>
      </c>
      <c r="FF813" s="15">
        <f t="shared" si="3794"/>
        <v>0</v>
      </c>
      <c r="FG813" s="24">
        <f t="shared" si="3794"/>
        <v>0</v>
      </c>
      <c r="FH813" s="104"/>
      <c r="FI813" s="15"/>
      <c r="FJ813" s="15"/>
      <c r="FK813" s="410"/>
      <c r="FL813" s="15"/>
    </row>
    <row r="814" ht="12.75" hidden="1" customHeight="1" outlineLevel="3">
      <c r="A814" s="45"/>
      <c r="B814" s="72" t="str">
        <f t="shared" si="3793"/>
        <v>Digital Health</v>
      </c>
      <c r="C814" s="45"/>
      <c r="D814" s="410"/>
      <c r="E814" s="410"/>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410"/>
      <c r="AK814" s="410"/>
      <c r="AL814" s="410"/>
      <c r="AM814" s="410"/>
      <c r="AN814" s="410"/>
      <c r="AO814" s="410"/>
      <c r="AP814" s="410"/>
      <c r="AQ814" s="410"/>
      <c r="AR814" s="410"/>
      <c r="AS814" s="410"/>
      <c r="AT814" s="410"/>
      <c r="AU814" s="410"/>
      <c r="AV814" s="410"/>
      <c r="AW814" s="410"/>
      <c r="AX814" s="410"/>
      <c r="AY814" s="410"/>
      <c r="AZ814" s="410"/>
      <c r="BA814" s="410"/>
      <c r="BB814" s="410"/>
      <c r="BC814" s="410"/>
      <c r="BD814" s="410"/>
      <c r="BE814" s="410"/>
      <c r="BF814" s="410"/>
      <c r="BG814" s="410"/>
      <c r="BH814" s="410"/>
      <c r="BI814" s="410"/>
      <c r="BJ814" s="410"/>
      <c r="BK814" s="410"/>
      <c r="BL814" s="410"/>
      <c r="BM814" s="410"/>
      <c r="BN814" s="410"/>
      <c r="BO814" s="410"/>
      <c r="BP814" s="410"/>
      <c r="BQ814" s="410"/>
      <c r="BR814" s="410"/>
      <c r="BS814" s="410"/>
      <c r="BT814" s="410"/>
      <c r="BU814" s="410"/>
      <c r="BV814" s="410"/>
      <c r="BW814" s="410"/>
      <c r="BX814" s="410"/>
      <c r="BY814" s="410"/>
      <c r="BZ814" s="24"/>
      <c r="CA814" s="410"/>
      <c r="CB814" s="410"/>
      <c r="CC814" s="410"/>
      <c r="CD814" s="410"/>
      <c r="CE814" s="24"/>
      <c r="CF814" s="410"/>
      <c r="CG814" s="410"/>
      <c r="CH814" s="410"/>
      <c r="CI814" s="410"/>
      <c r="CJ814" s="24"/>
      <c r="CK814" s="410"/>
      <c r="CL814" s="410"/>
      <c r="CM814" s="410"/>
      <c r="CN814" s="104"/>
      <c r="CO814" s="24"/>
      <c r="CP814" s="104"/>
      <c r="CQ814" s="410"/>
      <c r="CR814" s="410"/>
      <c r="CS814" s="410"/>
      <c r="CT814" s="24"/>
      <c r="CU814" s="410"/>
      <c r="CV814" s="410"/>
      <c r="CW814" s="410"/>
      <c r="CX814" s="410"/>
      <c r="CY814" s="24"/>
      <c r="CZ814" s="410"/>
      <c r="DA814" s="410"/>
      <c r="DB814" s="410"/>
      <c r="DC814" s="410"/>
      <c r="DD814" s="24"/>
      <c r="DE814" s="410"/>
      <c r="DF814" s="410"/>
      <c r="DG814" s="104"/>
      <c r="DH814" s="410"/>
      <c r="DI814" s="24"/>
      <c r="DJ814" s="104"/>
      <c r="DK814" s="104"/>
      <c r="DL814" s="104"/>
      <c r="DM814" s="410"/>
      <c r="DN814" s="24"/>
      <c r="DO814" s="410"/>
      <c r="DP814" s="410"/>
      <c r="DQ814" s="410"/>
      <c r="DR814" s="410"/>
      <c r="DS814" s="24"/>
      <c r="DT814" s="410"/>
      <c r="DU814" s="410"/>
      <c r="DV814" s="410"/>
      <c r="DW814" s="410"/>
      <c r="DX814" s="24"/>
      <c r="DY814" s="410"/>
      <c r="DZ814" s="410"/>
      <c r="EA814" s="410"/>
      <c r="EB814" s="410"/>
      <c r="EC814" s="24"/>
      <c r="ED814" s="410"/>
      <c r="EE814" s="410"/>
      <c r="EF814" s="410"/>
      <c r="EG814" s="410"/>
      <c r="EH814" s="24"/>
      <c r="EI814" s="317"/>
      <c r="EJ814" s="410"/>
      <c r="EK814" s="410"/>
      <c r="EL814" s="410"/>
      <c r="EM814" s="24"/>
      <c r="EN814" s="410"/>
      <c r="EO814" s="410"/>
      <c r="EP814" s="410"/>
      <c r="EQ814" s="410"/>
      <c r="ER814" s="24"/>
      <c r="ES814" s="410"/>
      <c r="ET814" s="410"/>
      <c r="EU814" s="410"/>
      <c r="EV814" s="410"/>
      <c r="EW814" s="24"/>
      <c r="EX814" s="410"/>
      <c r="EY814" s="410"/>
      <c r="EZ814" s="410"/>
      <c r="FA814" s="410"/>
      <c r="FB814" s="24"/>
      <c r="FC814" s="410"/>
      <c r="FD814" s="410"/>
      <c r="FE814" s="410"/>
      <c r="FF814" s="410"/>
      <c r="FG814" s="24"/>
      <c r="FH814" s="104"/>
      <c r="FI814" s="410"/>
      <c r="FJ814" s="410"/>
      <c r="FK814" s="410"/>
      <c r="FL814" s="410"/>
    </row>
    <row r="815" ht="12.75" hidden="1" customHeight="1" outlineLevel="3">
      <c r="A815" s="45"/>
      <c r="B815" s="72" t="str">
        <f t="shared" si="3793"/>
        <v>Channel Products</v>
      </c>
      <c r="C815" s="45"/>
      <c r="D815" s="410"/>
      <c r="E815" s="410"/>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410"/>
      <c r="AK815" s="410"/>
      <c r="AL815" s="410"/>
      <c r="AM815" s="410"/>
      <c r="AN815" s="410"/>
      <c r="AO815" s="410"/>
      <c r="AP815" s="410"/>
      <c r="AQ815" s="410"/>
      <c r="AR815" s="410"/>
      <c r="AS815" s="410"/>
      <c r="AT815" s="410"/>
      <c r="AU815" s="410"/>
      <c r="AV815" s="410"/>
      <c r="AW815" s="410"/>
      <c r="AX815" s="410"/>
      <c r="AY815" s="410"/>
      <c r="AZ815" s="410"/>
      <c r="BA815" s="410"/>
      <c r="BB815" s="410"/>
      <c r="BC815" s="410"/>
      <c r="BD815" s="410"/>
      <c r="BE815" s="410"/>
      <c r="BF815" s="410"/>
      <c r="BG815" s="410"/>
      <c r="BH815" s="410"/>
      <c r="BI815" s="410"/>
      <c r="BJ815" s="410"/>
      <c r="BK815" s="410"/>
      <c r="BL815" s="410"/>
      <c r="BM815" s="410"/>
      <c r="BN815" s="410"/>
      <c r="BO815" s="410"/>
      <c r="BP815" s="410"/>
      <c r="BQ815" s="410"/>
      <c r="BR815" s="410"/>
      <c r="BS815" s="410"/>
      <c r="BT815" s="410"/>
      <c r="BU815" s="410"/>
      <c r="BV815" s="410"/>
      <c r="BW815" s="410"/>
      <c r="BX815" s="410"/>
      <c r="BY815" s="410"/>
      <c r="BZ815" s="24"/>
      <c r="CA815" s="410"/>
      <c r="CB815" s="410"/>
      <c r="CC815" s="410"/>
      <c r="CD815" s="410"/>
      <c r="CE815" s="24"/>
      <c r="CF815" s="410"/>
      <c r="CG815" s="410"/>
      <c r="CH815" s="410"/>
      <c r="CI815" s="410"/>
      <c r="CJ815" s="24"/>
      <c r="CK815" s="410"/>
      <c r="CL815" s="410"/>
      <c r="CM815" s="410"/>
      <c r="CN815" s="104"/>
      <c r="CO815" s="24"/>
      <c r="CP815" s="104"/>
      <c r="CQ815" s="410"/>
      <c r="CR815" s="410"/>
      <c r="CS815" s="410"/>
      <c r="CT815" s="24"/>
      <c r="CU815" s="410"/>
      <c r="CV815" s="410"/>
      <c r="CW815" s="410"/>
      <c r="CX815" s="410"/>
      <c r="CY815" s="24"/>
      <c r="CZ815" s="410"/>
      <c r="DA815" s="410"/>
      <c r="DB815" s="410"/>
      <c r="DC815" s="410"/>
      <c r="DD815" s="24"/>
      <c r="DE815" s="410"/>
      <c r="DF815" s="410"/>
      <c r="DG815" s="104"/>
      <c r="DH815" s="410"/>
      <c r="DI815" s="24"/>
      <c r="DJ815" s="104"/>
      <c r="DK815" s="104"/>
      <c r="DL815" s="104"/>
      <c r="DM815" s="410"/>
      <c r="DN815" s="24"/>
      <c r="DO815" s="410"/>
      <c r="DP815" s="410"/>
      <c r="DQ815" s="410"/>
      <c r="DR815" s="410"/>
      <c r="DS815" s="24"/>
      <c r="DT815" s="410"/>
      <c r="DU815" s="410"/>
      <c r="DV815" s="410"/>
      <c r="DW815" s="410"/>
      <c r="DX815" s="24"/>
      <c r="DY815" s="410"/>
      <c r="DZ815" s="410"/>
      <c r="EA815" s="410"/>
      <c r="EB815" s="410"/>
      <c r="EC815" s="24"/>
      <c r="ED815" s="410"/>
      <c r="EE815" s="410"/>
      <c r="EF815" s="410"/>
      <c r="EG815" s="410"/>
      <c r="EH815" s="24"/>
      <c r="EI815" s="317"/>
      <c r="EJ815" s="410"/>
      <c r="EK815" s="410"/>
      <c r="EL815" s="410"/>
      <c r="EM815" s="24"/>
      <c r="EN815" s="410"/>
      <c r="EO815" s="410"/>
      <c r="EP815" s="410"/>
      <c r="EQ815" s="410"/>
      <c r="ER815" s="24"/>
      <c r="ES815" s="410"/>
      <c r="ET815" s="410"/>
      <c r="EU815" s="410"/>
      <c r="EV815" s="410"/>
      <c r="EW815" s="24"/>
      <c r="EX815" s="410"/>
      <c r="EY815" s="410"/>
      <c r="EZ815" s="410"/>
      <c r="FA815" s="410"/>
      <c r="FB815" s="24"/>
      <c r="FC815" s="410"/>
      <c r="FD815" s="410"/>
      <c r="FE815" s="410"/>
      <c r="FF815" s="410"/>
      <c r="FG815" s="24"/>
      <c r="FH815" s="104"/>
      <c r="FI815" s="410"/>
      <c r="FJ815" s="410"/>
      <c r="FK815" s="410"/>
      <c r="FL815" s="410"/>
    </row>
    <row r="816" ht="12.75" hidden="1" customHeight="1" outlineLevel="2">
      <c r="A816" s="45"/>
      <c r="B816" s="215" t="str">
        <f>B798</f>
        <v>All Other</v>
      </c>
      <c r="C816" s="45"/>
      <c r="D816" s="410"/>
      <c r="E816" s="410"/>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410"/>
      <c r="AK816" s="410"/>
      <c r="AL816" s="410"/>
      <c r="AM816" s="410"/>
      <c r="AN816" s="410"/>
      <c r="AO816" s="410"/>
      <c r="AP816" s="410"/>
      <c r="AQ816" s="410"/>
      <c r="AR816" s="410"/>
      <c r="AS816" s="410"/>
      <c r="AT816" s="410"/>
      <c r="AU816" s="410"/>
      <c r="AV816" s="410">
        <f t="shared" ref="AV816:FG816" si="3795">AV762/AQ762-1</f>
        <v>-0.5773195876</v>
      </c>
      <c r="AW816" s="410">
        <f t="shared" si="3795"/>
        <v>0.7714285714</v>
      </c>
      <c r="AX816" s="410">
        <f t="shared" si="3795"/>
        <v>1.105263158</v>
      </c>
      <c r="AY816" s="410">
        <f t="shared" si="3795"/>
        <v>0.06818181818</v>
      </c>
      <c r="AZ816" s="410">
        <f t="shared" si="3795"/>
        <v>0.9361702128</v>
      </c>
      <c r="BA816" s="410">
        <f t="shared" si="3795"/>
        <v>0.7073170732</v>
      </c>
      <c r="BB816" s="410">
        <f t="shared" si="3795"/>
        <v>3.35483871</v>
      </c>
      <c r="BC816" s="410">
        <f t="shared" si="3795"/>
        <v>1.0375</v>
      </c>
      <c r="BD816" s="410">
        <f t="shared" si="3795"/>
        <v>4.063829787</v>
      </c>
      <c r="BE816" s="410">
        <f t="shared" si="3795"/>
        <v>2.989010989</v>
      </c>
      <c r="BF816" s="410">
        <f t="shared" si="3795"/>
        <v>2.692857143</v>
      </c>
      <c r="BG816" s="410">
        <f t="shared" si="3795"/>
        <v>0.1925925926</v>
      </c>
      <c r="BH816" s="410">
        <f t="shared" si="3795"/>
        <v>0.5153374233</v>
      </c>
      <c r="BI816" s="410">
        <f t="shared" si="3795"/>
        <v>0.5210084034</v>
      </c>
      <c r="BJ816" s="410">
        <f t="shared" si="3795"/>
        <v>-0.2286501377</v>
      </c>
      <c r="BK816" s="410">
        <f t="shared" si="3795"/>
        <v>0.1711798839</v>
      </c>
      <c r="BL816" s="410">
        <f t="shared" si="3795"/>
        <v>0.748447205</v>
      </c>
      <c r="BM816" s="410">
        <f t="shared" si="3795"/>
        <v>0.2145748988</v>
      </c>
      <c r="BN816" s="410">
        <f t="shared" si="3795"/>
        <v>-0.3977900552</v>
      </c>
      <c r="BO816" s="410">
        <f t="shared" si="3795"/>
        <v>-0.1964285714</v>
      </c>
      <c r="BP816" s="410">
        <f t="shared" si="3795"/>
        <v>0.078447564</v>
      </c>
      <c r="BQ816" s="410">
        <f t="shared" si="3795"/>
        <v>-0.6056838366</v>
      </c>
      <c r="BR816" s="410">
        <f t="shared" si="3795"/>
        <v>-0.2033333333</v>
      </c>
      <c r="BS816" s="410">
        <f t="shared" si="3795"/>
        <v>0.5825688073</v>
      </c>
      <c r="BT816" s="410">
        <f t="shared" si="3795"/>
        <v>0.7333333333</v>
      </c>
      <c r="BU816" s="410">
        <f t="shared" si="3795"/>
        <v>-0.08422664625</v>
      </c>
      <c r="BV816" s="410">
        <f t="shared" si="3795"/>
        <v>0.8208755631</v>
      </c>
      <c r="BW816" s="410">
        <f t="shared" si="3795"/>
        <v>0.6477294718</v>
      </c>
      <c r="BX816" s="410">
        <f t="shared" si="3795"/>
        <v>0.3536777174</v>
      </c>
      <c r="BY816" s="410">
        <f t="shared" si="3795"/>
        <v>0.3148287019</v>
      </c>
      <c r="BZ816" s="24">
        <f t="shared" si="3795"/>
        <v>0.4864914089</v>
      </c>
      <c r="CA816" s="410">
        <f t="shared" si="3795"/>
        <v>0.1552551405</v>
      </c>
      <c r="CB816" s="410">
        <f t="shared" si="3795"/>
        <v>0.1572512086</v>
      </c>
      <c r="CC816" s="410">
        <f t="shared" si="3795"/>
        <v>0.144131275</v>
      </c>
      <c r="CD816" s="410">
        <f t="shared" si="3795"/>
        <v>0.1375692875</v>
      </c>
      <c r="CE816" s="24">
        <f t="shared" si="3795"/>
        <v>0.1476740488</v>
      </c>
      <c r="CF816" s="410">
        <f t="shared" si="3795"/>
        <v>0.0646940778</v>
      </c>
      <c r="CG816" s="410">
        <f t="shared" si="3795"/>
        <v>0.06430369941</v>
      </c>
      <c r="CH816" s="410">
        <f t="shared" si="3795"/>
        <v>0.06581402108</v>
      </c>
      <c r="CI816" s="410">
        <f t="shared" si="3795"/>
        <v>0.06631468368</v>
      </c>
      <c r="CJ816" s="24">
        <f t="shared" si="3795"/>
        <v>0.06536348757</v>
      </c>
      <c r="CK816" s="410">
        <f t="shared" si="3795"/>
        <v>0.06613087656</v>
      </c>
      <c r="CL816" s="410">
        <f t="shared" si="3795"/>
        <v>0.06575593814</v>
      </c>
      <c r="CM816" s="410">
        <f t="shared" si="3795"/>
        <v>0.06720500039</v>
      </c>
      <c r="CN816" s="104">
        <f t="shared" si="3795"/>
        <v>0.06768444995</v>
      </c>
      <c r="CO816" s="24">
        <f t="shared" si="3795"/>
        <v>0.06677317074</v>
      </c>
      <c r="CP816" s="104">
        <f t="shared" si="3795"/>
        <v>0.06750848304</v>
      </c>
      <c r="CQ816" s="410">
        <f t="shared" si="3795"/>
        <v>0.06714934926</v>
      </c>
      <c r="CR816" s="410">
        <f t="shared" si="3795"/>
        <v>0.06853593274</v>
      </c>
      <c r="CS816" s="410">
        <f t="shared" si="3795"/>
        <v>0.06899388135</v>
      </c>
      <c r="CT816" s="24">
        <f t="shared" si="3795"/>
        <v>0.06812311618</v>
      </c>
      <c r="CU816" s="410">
        <f t="shared" si="3795"/>
        <v>0.06882585347</v>
      </c>
      <c r="CV816" s="410">
        <f t="shared" si="3795"/>
        <v>0.06848275063</v>
      </c>
      <c r="CW816" s="410">
        <f t="shared" si="3795"/>
        <v>0.06980616632</v>
      </c>
      <c r="CX816" s="410">
        <f t="shared" si="3795"/>
        <v>0.07024249824</v>
      </c>
      <c r="CY816" s="24">
        <f t="shared" si="3795"/>
        <v>0.06941251541</v>
      </c>
      <c r="CZ816" s="410">
        <f t="shared" si="3795"/>
        <v>0.07008244526</v>
      </c>
      <c r="DA816" s="410">
        <f t="shared" si="3795"/>
        <v>0.06975547034</v>
      </c>
      <c r="DB816" s="410">
        <f t="shared" si="3795"/>
        <v>0.07101552173</v>
      </c>
      <c r="DC816" s="410">
        <f t="shared" si="3795"/>
        <v>0.07143027927</v>
      </c>
      <c r="DD816" s="24">
        <f t="shared" si="3795"/>
        <v>0.07064104444</v>
      </c>
      <c r="DE816" s="410">
        <f t="shared" si="3795"/>
        <v>0.07127817937</v>
      </c>
      <c r="DF816" s="410">
        <f t="shared" si="3795"/>
        <v>0.07096731047</v>
      </c>
      <c r="DG816" s="104">
        <f t="shared" si="3795"/>
        <v>0.07216425098</v>
      </c>
      <c r="DH816" s="410">
        <f t="shared" si="3795"/>
        <v>0.07255761914</v>
      </c>
      <c r="DI816" s="24">
        <f t="shared" si="3795"/>
        <v>0.07180882398</v>
      </c>
      <c r="DJ816" s="104">
        <f t="shared" si="3795"/>
        <v>0.07241339852</v>
      </c>
      <c r="DK816" s="104">
        <f t="shared" si="3795"/>
        <v>0.07211850625</v>
      </c>
      <c r="DL816" s="104">
        <f t="shared" si="3795"/>
        <v>0.07325299351</v>
      </c>
      <c r="DM816" s="410">
        <f t="shared" si="3795"/>
        <v>0.0736252839</v>
      </c>
      <c r="DN816" s="24">
        <f t="shared" si="3795"/>
        <v>0.07291637626</v>
      </c>
      <c r="DO816" s="410">
        <f t="shared" si="3795"/>
        <v>0.07348882274</v>
      </c>
      <c r="DP816" s="410">
        <f t="shared" si="3795"/>
        <v>0.07320968217</v>
      </c>
      <c r="DQ816" s="410">
        <f t="shared" si="3795"/>
        <v>0.07428273057</v>
      </c>
      <c r="DR816" s="410">
        <f t="shared" si="3795"/>
        <v>0.07463436516</v>
      </c>
      <c r="DS816" s="24">
        <f t="shared" si="3795"/>
        <v>0.07396457981</v>
      </c>
      <c r="DT816" s="410">
        <f t="shared" si="3795"/>
        <v>0.0745055036</v>
      </c>
      <c r="DU816" s="410">
        <f t="shared" si="3795"/>
        <v>0.07424180644</v>
      </c>
      <c r="DV816" s="410">
        <f t="shared" si="3795"/>
        <v>0.07525473946</v>
      </c>
      <c r="DW816" s="410">
        <f t="shared" si="3795"/>
        <v>0.07558623436</v>
      </c>
      <c r="DX816" s="24">
        <f t="shared" si="3795"/>
        <v>0.07495462355</v>
      </c>
      <c r="DY816" s="410">
        <f t="shared" si="3795"/>
        <v>0.07546477846</v>
      </c>
      <c r="DZ816" s="410">
        <f t="shared" si="3795"/>
        <v>0.07521614514</v>
      </c>
      <c r="EA816" s="410">
        <f t="shared" si="3795"/>
        <v>0.07617054837</v>
      </c>
      <c r="EB816" s="410">
        <f t="shared" si="3795"/>
        <v>0.07648249827</v>
      </c>
      <c r="EC816" s="24">
        <f t="shared" si="3795"/>
        <v>0.07588796142</v>
      </c>
      <c r="ED816" s="410">
        <f t="shared" si="3795"/>
        <v>0.07636822575</v>
      </c>
      <c r="EE816" s="410">
        <f t="shared" si="3795"/>
        <v>0.07613421708</v>
      </c>
      <c r="EF816" s="410">
        <f t="shared" si="3795"/>
        <v>0.07703189307</v>
      </c>
      <c r="EG816" s="410">
        <f t="shared" si="3795"/>
        <v>0.07732495633</v>
      </c>
      <c r="EH816" s="24">
        <f t="shared" si="3795"/>
        <v>0.07676626832</v>
      </c>
      <c r="EI816" s="317">
        <f t="shared" si="3795"/>
        <v>0.07721762202</v>
      </c>
      <c r="EJ816" s="410">
        <f t="shared" si="3795"/>
        <v>0.07699775037</v>
      </c>
      <c r="EK816" s="410">
        <f t="shared" si="3795"/>
        <v>0.07784067589</v>
      </c>
      <c r="EL816" s="410">
        <f t="shared" si="3795"/>
        <v>0.07811556065</v>
      </c>
      <c r="EM816" s="24">
        <f t="shared" si="3795"/>
        <v>0.07759139836</v>
      </c>
      <c r="EN816" s="410">
        <f t="shared" si="3795"/>
        <v>0.07801490157</v>
      </c>
      <c r="EO816" s="410">
        <f t="shared" si="3795"/>
        <v>0.0778086413</v>
      </c>
      <c r="EP816" s="410">
        <f t="shared" si="3795"/>
        <v>0.07859892755</v>
      </c>
      <c r="EQ816" s="410">
        <f t="shared" si="3795"/>
        <v>0.07885637902</v>
      </c>
      <c r="ER816" s="24">
        <f t="shared" si="3795"/>
        <v>0.07836534573</v>
      </c>
      <c r="ES816" s="410">
        <f t="shared" si="3795"/>
        <v>0.07876211901</v>
      </c>
      <c r="ET816" s="410">
        <f t="shared" si="3795"/>
        <v>0.07856891607</v>
      </c>
      <c r="EU816" s="410">
        <f t="shared" si="3795"/>
        <v>0.07930877236</v>
      </c>
      <c r="EV816" s="410">
        <f t="shared" si="3795"/>
        <v>0.0795495612</v>
      </c>
      <c r="EW816" s="24">
        <f t="shared" si="3795"/>
        <v>0.07909020881</v>
      </c>
      <c r="EX816" s="410">
        <f t="shared" si="3795"/>
        <v>0.07946141517</v>
      </c>
      <c r="EY816" s="410">
        <f t="shared" si="3795"/>
        <v>0.07928069578</v>
      </c>
      <c r="EZ816" s="410">
        <f t="shared" si="3795"/>
        <v>0.0799723967</v>
      </c>
      <c r="FA816" s="410">
        <f t="shared" si="3795"/>
        <v>0.08019730871</v>
      </c>
      <c r="FB816" s="24">
        <f t="shared" si="3795"/>
        <v>0.07976815762</v>
      </c>
      <c r="FC816" s="410">
        <f t="shared" si="3795"/>
        <v>0.08011498639</v>
      </c>
      <c r="FD816" s="410">
        <f t="shared" si="3795"/>
        <v>0.07994616487</v>
      </c>
      <c r="FE816" s="410">
        <f t="shared" si="3795"/>
        <v>0.08059202114</v>
      </c>
      <c r="FF816" s="410">
        <f t="shared" si="3795"/>
        <v>0.0808018482</v>
      </c>
      <c r="FG816" s="24">
        <f t="shared" si="3795"/>
        <v>0.08040140474</v>
      </c>
      <c r="FH816" s="104"/>
      <c r="FI816" s="410"/>
      <c r="FJ816" s="410"/>
      <c r="FK816" s="410"/>
      <c r="FL816" s="410"/>
    </row>
    <row r="817" ht="13.5" hidden="1" customHeight="1" outlineLevel="2">
      <c r="A817" s="4"/>
      <c r="B817" s="591" t="s">
        <v>293</v>
      </c>
      <c r="C817" s="529"/>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6"/>
      <c r="AQ817" s="596"/>
      <c r="AR817" s="596"/>
      <c r="AS817" s="596"/>
      <c r="AT817" s="596"/>
      <c r="AU817" s="596"/>
      <c r="AV817" s="596">
        <f t="shared" ref="AV817:FG817" si="3796">AV763/AQ763-1</f>
        <v>0.1349656614</v>
      </c>
      <c r="AW817" s="596">
        <f t="shared" si="3796"/>
        <v>0.165986899</v>
      </c>
      <c r="AX817" s="596">
        <f t="shared" si="3796"/>
        <v>0.1468505404</v>
      </c>
      <c r="AY817" s="596">
        <f t="shared" si="3796"/>
        <v>0.1757761775</v>
      </c>
      <c r="AZ817" s="596">
        <f t="shared" si="3796"/>
        <v>0.06282558866</v>
      </c>
      <c r="BA817" s="596">
        <f t="shared" si="3796"/>
        <v>0.134964483</v>
      </c>
      <c r="BB817" s="596">
        <f t="shared" si="3796"/>
        <v>-0.05236379054</v>
      </c>
      <c r="BC817" s="596">
        <f t="shared" si="3796"/>
        <v>-0.1323800238</v>
      </c>
      <c r="BD817" s="596">
        <f t="shared" si="3796"/>
        <v>-0.1225903614</v>
      </c>
      <c r="BE817" s="596">
        <f t="shared" si="3796"/>
        <v>-0.0497010097</v>
      </c>
      <c r="BF817" s="596">
        <f t="shared" si="3796"/>
        <v>-0.08947612425</v>
      </c>
      <c r="BG817" s="596">
        <f t="shared" si="3796"/>
        <v>-0.009843400447</v>
      </c>
      <c r="BH817" s="596">
        <f t="shared" si="3796"/>
        <v>0.08378074666</v>
      </c>
      <c r="BI817" s="596">
        <f t="shared" si="3796"/>
        <v>0.1545943472</v>
      </c>
      <c r="BJ817" s="596">
        <f t="shared" si="3796"/>
        <v>0.1050134104</v>
      </c>
      <c r="BK817" s="596">
        <f t="shared" si="3796"/>
        <v>0.08435166327</v>
      </c>
      <c r="BL817" s="596">
        <f t="shared" si="3796"/>
        <v>0.09274740172</v>
      </c>
      <c r="BM817" s="596">
        <f t="shared" si="3796"/>
        <v>0.09101382488</v>
      </c>
      <c r="BN817" s="596">
        <f t="shared" si="3796"/>
        <v>0.01258671952</v>
      </c>
      <c r="BO817" s="596">
        <f t="shared" si="3796"/>
        <v>-0.2320761763</v>
      </c>
      <c r="BP817" s="596">
        <f t="shared" si="3796"/>
        <v>-0.01951270413</v>
      </c>
      <c r="BQ817" s="596">
        <f t="shared" si="3796"/>
        <v>-0.2613460147</v>
      </c>
      <c r="BR817" s="596">
        <f t="shared" si="3796"/>
        <v>-0.1526927138</v>
      </c>
      <c r="BS817" s="596">
        <f t="shared" si="3796"/>
        <v>-0.08104140159</v>
      </c>
      <c r="BT817" s="596" t="str">
        <f t="shared" si="3796"/>
        <v>#ERROR!</v>
      </c>
      <c r="BU817" s="596" t="str">
        <f t="shared" si="3796"/>
        <v>#ERROR!</v>
      </c>
      <c r="BV817" s="596" t="str">
        <f t="shared" si="3796"/>
        <v>#ERROR!</v>
      </c>
      <c r="BW817" s="596" t="str">
        <f t="shared" si="3796"/>
        <v>#ERROR!</v>
      </c>
      <c r="BX817" s="596" t="str">
        <f t="shared" si="3796"/>
        <v>#ERROR!</v>
      </c>
      <c r="BY817" s="596" t="str">
        <f t="shared" si="3796"/>
        <v>#ERROR!</v>
      </c>
      <c r="BZ817" s="597" t="str">
        <f t="shared" si="3796"/>
        <v>#ERROR!</v>
      </c>
      <c r="CA817" s="596" t="str">
        <f t="shared" si="3796"/>
        <v>#ERROR!</v>
      </c>
      <c r="CB817" s="596" t="str">
        <f t="shared" si="3796"/>
        <v>#ERROR!</v>
      </c>
      <c r="CC817" s="596" t="str">
        <f t="shared" si="3796"/>
        <v>#ERROR!</v>
      </c>
      <c r="CD817" s="596" t="str">
        <f t="shared" si="3796"/>
        <v>#ERROR!</v>
      </c>
      <c r="CE817" s="597" t="str">
        <f t="shared" si="3796"/>
        <v>#ERROR!</v>
      </c>
      <c r="CF817" s="596" t="str">
        <f t="shared" si="3796"/>
        <v>#ERROR!</v>
      </c>
      <c r="CG817" s="596" t="str">
        <f t="shared" si="3796"/>
        <v>#ERROR!</v>
      </c>
      <c r="CH817" s="596" t="str">
        <f t="shared" si="3796"/>
        <v>#ERROR!</v>
      </c>
      <c r="CI817" s="596" t="str">
        <f t="shared" si="3796"/>
        <v>#ERROR!</v>
      </c>
      <c r="CJ817" s="597" t="str">
        <f t="shared" si="3796"/>
        <v>#ERROR!</v>
      </c>
      <c r="CK817" s="596" t="str">
        <f t="shared" si="3796"/>
        <v>#ERROR!</v>
      </c>
      <c r="CL817" s="596" t="str">
        <f t="shared" si="3796"/>
        <v>#ERROR!</v>
      </c>
      <c r="CM817" s="596" t="str">
        <f t="shared" si="3796"/>
        <v>#ERROR!</v>
      </c>
      <c r="CN817" s="595" t="str">
        <f t="shared" si="3796"/>
        <v>#ERROR!</v>
      </c>
      <c r="CO817" s="597" t="str">
        <f t="shared" si="3796"/>
        <v>#ERROR!</v>
      </c>
      <c r="CP817" s="595" t="str">
        <f t="shared" si="3796"/>
        <v>#ERROR!</v>
      </c>
      <c r="CQ817" s="596" t="str">
        <f t="shared" si="3796"/>
        <v>#ERROR!</v>
      </c>
      <c r="CR817" s="596" t="str">
        <f t="shared" si="3796"/>
        <v>#ERROR!</v>
      </c>
      <c r="CS817" s="596" t="str">
        <f t="shared" si="3796"/>
        <v>#ERROR!</v>
      </c>
      <c r="CT817" s="597" t="str">
        <f t="shared" si="3796"/>
        <v>#ERROR!</v>
      </c>
      <c r="CU817" s="596" t="str">
        <f t="shared" si="3796"/>
        <v>#ERROR!</v>
      </c>
      <c r="CV817" s="596" t="str">
        <f t="shared" si="3796"/>
        <v>#ERROR!</v>
      </c>
      <c r="CW817" s="596" t="str">
        <f t="shared" si="3796"/>
        <v>#ERROR!</v>
      </c>
      <c r="CX817" s="596" t="str">
        <f t="shared" si="3796"/>
        <v>#ERROR!</v>
      </c>
      <c r="CY817" s="597" t="str">
        <f t="shared" si="3796"/>
        <v>#ERROR!</v>
      </c>
      <c r="CZ817" s="596" t="str">
        <f t="shared" si="3796"/>
        <v>#ERROR!</v>
      </c>
      <c r="DA817" s="596" t="str">
        <f t="shared" si="3796"/>
        <v>#ERROR!</v>
      </c>
      <c r="DB817" s="596" t="str">
        <f t="shared" si="3796"/>
        <v>#ERROR!</v>
      </c>
      <c r="DC817" s="596" t="str">
        <f t="shared" si="3796"/>
        <v>#ERROR!</v>
      </c>
      <c r="DD817" s="597" t="str">
        <f t="shared" si="3796"/>
        <v>#ERROR!</v>
      </c>
      <c r="DE817" s="596" t="str">
        <f t="shared" si="3796"/>
        <v>#ERROR!</v>
      </c>
      <c r="DF817" s="596" t="str">
        <f t="shared" si="3796"/>
        <v>#ERROR!</v>
      </c>
      <c r="DG817" s="104" t="str">
        <f t="shared" si="3796"/>
        <v>#ERROR!</v>
      </c>
      <c r="DH817" s="596" t="str">
        <f t="shared" si="3796"/>
        <v>#ERROR!</v>
      </c>
      <c r="DI817" s="597" t="str">
        <f t="shared" si="3796"/>
        <v>#ERROR!</v>
      </c>
      <c r="DJ817" s="595" t="str">
        <f t="shared" si="3796"/>
        <v>#ERROR!</v>
      </c>
      <c r="DK817" s="595" t="str">
        <f t="shared" si="3796"/>
        <v>#ERROR!</v>
      </c>
      <c r="DL817" s="595" t="str">
        <f t="shared" si="3796"/>
        <v>#ERROR!</v>
      </c>
      <c r="DM817" s="596" t="str">
        <f t="shared" si="3796"/>
        <v>#ERROR!</v>
      </c>
      <c r="DN817" s="597" t="str">
        <f t="shared" si="3796"/>
        <v>#ERROR!</v>
      </c>
      <c r="DO817" s="596" t="str">
        <f t="shared" si="3796"/>
        <v>#ERROR!</v>
      </c>
      <c r="DP817" s="596" t="str">
        <f t="shared" si="3796"/>
        <v>#ERROR!</v>
      </c>
      <c r="DQ817" s="596" t="str">
        <f t="shared" si="3796"/>
        <v>#ERROR!</v>
      </c>
      <c r="DR817" s="596" t="str">
        <f t="shared" si="3796"/>
        <v>#ERROR!</v>
      </c>
      <c r="DS817" s="597" t="str">
        <f t="shared" si="3796"/>
        <v>#ERROR!</v>
      </c>
      <c r="DT817" s="596" t="str">
        <f t="shared" si="3796"/>
        <v>#ERROR!</v>
      </c>
      <c r="DU817" s="596" t="str">
        <f t="shared" si="3796"/>
        <v>#ERROR!</v>
      </c>
      <c r="DV817" s="596" t="str">
        <f t="shared" si="3796"/>
        <v>#ERROR!</v>
      </c>
      <c r="DW817" s="596" t="str">
        <f t="shared" si="3796"/>
        <v>#ERROR!</v>
      </c>
      <c r="DX817" s="597" t="str">
        <f t="shared" si="3796"/>
        <v>#ERROR!</v>
      </c>
      <c r="DY817" s="596" t="str">
        <f t="shared" si="3796"/>
        <v>#ERROR!</v>
      </c>
      <c r="DZ817" s="596" t="str">
        <f t="shared" si="3796"/>
        <v>#ERROR!</v>
      </c>
      <c r="EA817" s="596" t="str">
        <f t="shared" si="3796"/>
        <v>#ERROR!</v>
      </c>
      <c r="EB817" s="596" t="str">
        <f t="shared" si="3796"/>
        <v>#ERROR!</v>
      </c>
      <c r="EC817" s="597" t="str">
        <f t="shared" si="3796"/>
        <v>#ERROR!</v>
      </c>
      <c r="ED817" s="596" t="str">
        <f t="shared" si="3796"/>
        <v>#ERROR!</v>
      </c>
      <c r="EE817" s="596" t="str">
        <f t="shared" si="3796"/>
        <v>#ERROR!</v>
      </c>
      <c r="EF817" s="596" t="str">
        <f t="shared" si="3796"/>
        <v>#ERROR!</v>
      </c>
      <c r="EG817" s="596" t="str">
        <f t="shared" si="3796"/>
        <v>#ERROR!</v>
      </c>
      <c r="EH817" s="597" t="str">
        <f t="shared" si="3796"/>
        <v>#ERROR!</v>
      </c>
      <c r="EI817" s="598" t="str">
        <f t="shared" si="3796"/>
        <v>#ERROR!</v>
      </c>
      <c r="EJ817" s="596" t="str">
        <f t="shared" si="3796"/>
        <v>#ERROR!</v>
      </c>
      <c r="EK817" s="596" t="str">
        <f t="shared" si="3796"/>
        <v>#ERROR!</v>
      </c>
      <c r="EL817" s="596" t="str">
        <f t="shared" si="3796"/>
        <v>#ERROR!</v>
      </c>
      <c r="EM817" s="597" t="str">
        <f t="shared" si="3796"/>
        <v>#ERROR!</v>
      </c>
      <c r="EN817" s="596" t="str">
        <f t="shared" si="3796"/>
        <v>#ERROR!</v>
      </c>
      <c r="EO817" s="596" t="str">
        <f t="shared" si="3796"/>
        <v>#ERROR!</v>
      </c>
      <c r="EP817" s="596" t="str">
        <f t="shared" si="3796"/>
        <v>#ERROR!</v>
      </c>
      <c r="EQ817" s="596" t="str">
        <f t="shared" si="3796"/>
        <v>#ERROR!</v>
      </c>
      <c r="ER817" s="597" t="str">
        <f t="shared" si="3796"/>
        <v>#ERROR!</v>
      </c>
      <c r="ES817" s="596" t="str">
        <f t="shared" si="3796"/>
        <v>#ERROR!</v>
      </c>
      <c r="ET817" s="596" t="str">
        <f t="shared" si="3796"/>
        <v>#ERROR!</v>
      </c>
      <c r="EU817" s="596" t="str">
        <f t="shared" si="3796"/>
        <v>#ERROR!</v>
      </c>
      <c r="EV817" s="596" t="str">
        <f t="shared" si="3796"/>
        <v>#ERROR!</v>
      </c>
      <c r="EW817" s="597" t="str">
        <f t="shared" si="3796"/>
        <v>#ERROR!</v>
      </c>
      <c r="EX817" s="596" t="str">
        <f t="shared" si="3796"/>
        <v>#ERROR!</v>
      </c>
      <c r="EY817" s="596" t="str">
        <f t="shared" si="3796"/>
        <v>#ERROR!</v>
      </c>
      <c r="EZ817" s="596" t="str">
        <f t="shared" si="3796"/>
        <v>#ERROR!</v>
      </c>
      <c r="FA817" s="596" t="str">
        <f t="shared" si="3796"/>
        <v>#ERROR!</v>
      </c>
      <c r="FB817" s="597" t="str">
        <f t="shared" si="3796"/>
        <v>#ERROR!</v>
      </c>
      <c r="FC817" s="596" t="str">
        <f t="shared" si="3796"/>
        <v>#ERROR!</v>
      </c>
      <c r="FD817" s="596" t="str">
        <f t="shared" si="3796"/>
        <v>#ERROR!</v>
      </c>
      <c r="FE817" s="596" t="str">
        <f t="shared" si="3796"/>
        <v>#ERROR!</v>
      </c>
      <c r="FF817" s="596" t="str">
        <f t="shared" si="3796"/>
        <v>#ERROR!</v>
      </c>
      <c r="FG817" s="597" t="str">
        <f t="shared" si="3796"/>
        <v>#ERROR!</v>
      </c>
      <c r="FH817" s="595"/>
      <c r="FI817" s="596"/>
      <c r="FJ817" s="596"/>
      <c r="FK817" s="596"/>
      <c r="FL817" s="596"/>
    </row>
    <row r="818" ht="12.75" hidden="1" customHeight="1" outlineLevel="2">
      <c r="A818" s="4"/>
      <c r="B818" s="45"/>
      <c r="C818" s="45"/>
      <c r="D818" s="4"/>
      <c r="E818" s="4"/>
      <c r="F818" s="4"/>
      <c r="G818" s="4"/>
      <c r="H818" s="45"/>
      <c r="I818" s="4"/>
      <c r="J818" s="4"/>
      <c r="K818" s="4"/>
      <c r="L818" s="4"/>
      <c r="M818" s="45"/>
      <c r="N818" s="4"/>
      <c r="O818" s="4"/>
      <c r="P818" s="4"/>
      <c r="Q818" s="4"/>
      <c r="R818" s="45"/>
      <c r="S818" s="4"/>
      <c r="T818" s="4"/>
      <c r="U818" s="4"/>
      <c r="V818" s="4"/>
      <c r="W818" s="45"/>
      <c r="X818" s="4"/>
      <c r="Y818" s="4"/>
      <c r="Z818" s="4"/>
      <c r="AA818" s="4"/>
      <c r="AB818" s="45"/>
      <c r="AC818" s="4"/>
      <c r="AD818" s="4"/>
      <c r="AE818" s="4"/>
      <c r="AF818" s="4"/>
      <c r="AG818" s="45"/>
      <c r="AH818" s="4"/>
      <c r="AI818" s="4"/>
      <c r="AJ818" s="4"/>
      <c r="AK818" s="4"/>
      <c r="AL818" s="45"/>
      <c r="AM818" s="4"/>
      <c r="AN818" s="4"/>
      <c r="AO818" s="4"/>
      <c r="AP818" s="4"/>
      <c r="AQ818" s="45"/>
      <c r="AR818" s="4"/>
      <c r="AS818" s="4"/>
      <c r="AT818" s="4"/>
      <c r="AU818" s="4"/>
      <c r="AV818" s="45"/>
      <c r="AW818" s="4"/>
      <c r="AX818" s="4"/>
      <c r="AY818" s="4"/>
      <c r="AZ818" s="4"/>
      <c r="BA818" s="45"/>
      <c r="BB818" s="4"/>
      <c r="BC818" s="4"/>
      <c r="BD818" s="4"/>
      <c r="BE818" s="4"/>
      <c r="BF818" s="45"/>
      <c r="BG818" s="4"/>
      <c r="BH818" s="4"/>
      <c r="BI818" s="4"/>
      <c r="BJ818" s="4"/>
      <c r="BK818" s="45"/>
      <c r="BL818" s="4"/>
      <c r="BM818" s="4"/>
      <c r="BN818" s="4"/>
      <c r="BO818" s="4"/>
      <c r="BP818" s="45"/>
      <c r="BQ818" s="4"/>
      <c r="BR818" s="4"/>
      <c r="BS818" s="4"/>
      <c r="BT818" s="4"/>
      <c r="BU818" s="45"/>
      <c r="BV818" s="4"/>
      <c r="BW818" s="4"/>
      <c r="BX818" s="4"/>
      <c r="BY818" s="4"/>
      <c r="BZ818" s="350"/>
      <c r="CA818" s="4"/>
      <c r="CB818" s="4"/>
      <c r="CC818" s="4"/>
      <c r="CD818" s="4"/>
      <c r="CE818" s="350"/>
      <c r="CF818" s="4"/>
      <c r="CG818" s="4"/>
      <c r="CH818" s="4"/>
      <c r="CI818" s="4"/>
      <c r="CJ818" s="350"/>
      <c r="CK818" s="4"/>
      <c r="CL818" s="4"/>
      <c r="CM818" s="4"/>
      <c r="CN818" s="16"/>
      <c r="CO818" s="350"/>
      <c r="CP818" s="16"/>
      <c r="CQ818" s="4"/>
      <c r="CR818" s="4"/>
      <c r="CS818" s="4"/>
      <c r="CT818" s="350"/>
      <c r="CU818" s="4"/>
      <c r="CV818" s="4"/>
      <c r="CW818" s="4"/>
      <c r="CX818" s="4"/>
      <c r="CY818" s="350"/>
      <c r="CZ818" s="4"/>
      <c r="DA818" s="4"/>
      <c r="DB818" s="4"/>
      <c r="DC818" s="4"/>
      <c r="DD818" s="350"/>
      <c r="DE818" s="4"/>
      <c r="DF818" s="4"/>
      <c r="DG818" s="16"/>
      <c r="DH818" s="4"/>
      <c r="DI818" s="350"/>
      <c r="DJ818" s="16"/>
      <c r="DK818" s="16"/>
      <c r="DL818" s="16"/>
      <c r="DM818" s="4"/>
      <c r="DN818" s="350"/>
      <c r="DO818" s="4"/>
      <c r="DP818" s="4"/>
      <c r="DQ818" s="4"/>
      <c r="DR818" s="4"/>
      <c r="DS818" s="350"/>
      <c r="DT818" s="4"/>
      <c r="DU818" s="4"/>
      <c r="DV818" s="4"/>
      <c r="DW818" s="4"/>
      <c r="DX818" s="350"/>
      <c r="DY818" s="4"/>
      <c r="DZ818" s="4"/>
      <c r="EA818" s="4"/>
      <c r="EB818" s="4"/>
      <c r="EC818" s="350"/>
      <c r="ED818" s="4"/>
      <c r="EE818" s="4"/>
      <c r="EF818" s="4"/>
      <c r="EG818" s="4"/>
      <c r="EH818" s="350"/>
      <c r="EI818" s="214"/>
      <c r="EJ818" s="4"/>
      <c r="EK818" s="4"/>
      <c r="EL818" s="4"/>
      <c r="EM818" s="350"/>
      <c r="EN818" s="4"/>
      <c r="EO818" s="4"/>
      <c r="EP818" s="4"/>
      <c r="EQ818" s="4"/>
      <c r="ER818" s="350"/>
      <c r="ES818" s="4"/>
      <c r="ET818" s="4"/>
      <c r="EU818" s="4"/>
      <c r="EV818" s="4"/>
      <c r="EW818" s="350"/>
      <c r="EX818" s="4"/>
      <c r="EY818" s="4"/>
      <c r="EZ818" s="4"/>
      <c r="FA818" s="4"/>
      <c r="FB818" s="350"/>
      <c r="FC818" s="4"/>
      <c r="FD818" s="4"/>
      <c r="FE818" s="4"/>
      <c r="FF818" s="4"/>
      <c r="FG818" s="350"/>
      <c r="FH818" s="145"/>
      <c r="FI818" s="4"/>
      <c r="FJ818" s="4"/>
      <c r="FK818" s="45"/>
      <c r="FL818" s="4"/>
    </row>
    <row r="819" ht="12.75" hidden="1" customHeight="1" outlineLevel="2">
      <c r="A819" s="4"/>
      <c r="B819" s="601" t="s">
        <v>294</v>
      </c>
      <c r="C819" s="45"/>
      <c r="D819" s="4"/>
      <c r="E819" s="4"/>
      <c r="F819" s="4"/>
      <c r="G819" s="4"/>
      <c r="H819" s="45"/>
      <c r="I819" s="4"/>
      <c r="J819" s="4"/>
      <c r="K819" s="4"/>
      <c r="L819" s="4"/>
      <c r="M819" s="45"/>
      <c r="N819" s="4"/>
      <c r="O819" s="4"/>
      <c r="P819" s="4"/>
      <c r="Q819" s="4"/>
      <c r="R819" s="45"/>
      <c r="S819" s="4"/>
      <c r="T819" s="4"/>
      <c r="U819" s="4"/>
      <c r="V819" s="4"/>
      <c r="W819" s="45"/>
      <c r="X819" s="4"/>
      <c r="Y819" s="4"/>
      <c r="Z819" s="4"/>
      <c r="AA819" s="4"/>
      <c r="AB819" s="45"/>
      <c r="AC819" s="4"/>
      <c r="AD819" s="4"/>
      <c r="AE819" s="4"/>
      <c r="AF819" s="4"/>
      <c r="AG819" s="45"/>
      <c r="AH819" s="4"/>
      <c r="AI819" s="4"/>
      <c r="AJ819" s="4"/>
      <c r="AK819" s="4"/>
      <c r="AL819" s="45"/>
      <c r="AM819" s="4"/>
      <c r="AN819" s="4"/>
      <c r="AO819" s="4"/>
      <c r="AP819" s="4"/>
      <c r="AQ819" s="45"/>
      <c r="AR819" s="4"/>
      <c r="AS819" s="4"/>
      <c r="AT819" s="4"/>
      <c r="AU819" s="4"/>
      <c r="AV819" s="45"/>
      <c r="AW819" s="4"/>
      <c r="AX819" s="4"/>
      <c r="AY819" s="4"/>
      <c r="AZ819" s="4"/>
      <c r="BA819" s="45"/>
      <c r="BB819" s="4"/>
      <c r="BC819" s="4"/>
      <c r="BD819" s="4"/>
      <c r="BE819" s="4"/>
      <c r="BF819" s="45"/>
      <c r="BG819" s="4"/>
      <c r="BH819" s="4"/>
      <c r="BI819" s="4"/>
      <c r="BJ819" s="4"/>
      <c r="BK819" s="45"/>
      <c r="BL819" s="4"/>
      <c r="BM819" s="4"/>
      <c r="BN819" s="4"/>
      <c r="BO819" s="4"/>
      <c r="BP819" s="45"/>
      <c r="BQ819" s="4"/>
      <c r="BR819" s="4"/>
      <c r="BS819" s="4"/>
      <c r="BT819" s="4"/>
      <c r="BU819" s="45"/>
      <c r="BV819" s="4"/>
      <c r="BW819" s="4"/>
      <c r="BX819" s="4"/>
      <c r="BY819" s="4"/>
      <c r="BZ819" s="350"/>
      <c r="CA819" s="4"/>
      <c r="CB819" s="4"/>
      <c r="CC819" s="4"/>
      <c r="CD819" s="4"/>
      <c r="CE819" s="350"/>
      <c r="CF819" s="4"/>
      <c r="CG819" s="4"/>
      <c r="CH819" s="4"/>
      <c r="CI819" s="4"/>
      <c r="CJ819" s="350"/>
      <c r="CK819" s="4"/>
      <c r="CL819" s="4"/>
      <c r="CM819" s="4"/>
      <c r="CN819" s="16"/>
      <c r="CO819" s="350"/>
      <c r="CP819" s="16"/>
      <c r="CQ819" s="4"/>
      <c r="CR819" s="4"/>
      <c r="CS819" s="4"/>
      <c r="CT819" s="350"/>
      <c r="CU819" s="4"/>
      <c r="CV819" s="4"/>
      <c r="CW819" s="4"/>
      <c r="CX819" s="4"/>
      <c r="CY819" s="350"/>
      <c r="CZ819" s="4"/>
      <c r="DA819" s="4"/>
      <c r="DB819" s="4"/>
      <c r="DC819" s="4"/>
      <c r="DD819" s="350"/>
      <c r="DE819" s="4"/>
      <c r="DF819" s="4"/>
      <c r="DG819" s="16"/>
      <c r="DH819" s="4"/>
      <c r="DI819" s="350"/>
      <c r="DJ819" s="16"/>
      <c r="DK819" s="16"/>
      <c r="DL819" s="16"/>
      <c r="DM819" s="4"/>
      <c r="DN819" s="350"/>
      <c r="DO819" s="4"/>
      <c r="DP819" s="4"/>
      <c r="DQ819" s="4"/>
      <c r="DR819" s="4"/>
      <c r="DS819" s="350"/>
      <c r="DT819" s="4"/>
      <c r="DU819" s="4"/>
      <c r="DV819" s="4"/>
      <c r="DW819" s="4"/>
      <c r="DX819" s="350"/>
      <c r="DY819" s="4"/>
      <c r="DZ819" s="4"/>
      <c r="EA819" s="4"/>
      <c r="EB819" s="4"/>
      <c r="EC819" s="350"/>
      <c r="ED819" s="4"/>
      <c r="EE819" s="4"/>
      <c r="EF819" s="4"/>
      <c r="EG819" s="4"/>
      <c r="EH819" s="350"/>
      <c r="EI819" s="214"/>
      <c r="EJ819" s="4"/>
      <c r="EK819" s="4"/>
      <c r="EL819" s="4"/>
      <c r="EM819" s="350"/>
      <c r="EN819" s="4"/>
      <c r="EO819" s="4"/>
      <c r="EP819" s="4"/>
      <c r="EQ819" s="4"/>
      <c r="ER819" s="350"/>
      <c r="ES819" s="4"/>
      <c r="ET819" s="4"/>
      <c r="EU819" s="4"/>
      <c r="EV819" s="4"/>
      <c r="EW819" s="350"/>
      <c r="EX819" s="4"/>
      <c r="EY819" s="4"/>
      <c r="EZ819" s="4"/>
      <c r="FA819" s="4"/>
      <c r="FB819" s="350"/>
      <c r="FC819" s="4"/>
      <c r="FD819" s="4"/>
      <c r="FE819" s="4"/>
      <c r="FF819" s="4"/>
      <c r="FG819" s="350"/>
      <c r="FH819" s="145"/>
      <c r="FI819" s="4"/>
      <c r="FJ819" s="4"/>
      <c r="FK819" s="45"/>
      <c r="FL819" s="4"/>
    </row>
    <row r="820" ht="12.75" hidden="1" customHeight="1" outlineLevel="2">
      <c r="A820" s="45"/>
      <c r="B820" s="215" t="str">
        <f>B750</f>
        <v>Digital Enterprise Group</v>
      </c>
      <c r="C820" s="45"/>
      <c r="D820" s="17"/>
      <c r="E820" s="17"/>
      <c r="F820" s="17"/>
      <c r="G820" s="17"/>
      <c r="H820" s="73"/>
      <c r="I820" s="17"/>
      <c r="J820" s="17"/>
      <c r="K820" s="17"/>
      <c r="L820" s="17"/>
      <c r="M820" s="73"/>
      <c r="N820" s="17"/>
      <c r="O820" s="17"/>
      <c r="P820" s="17"/>
      <c r="Q820" s="17"/>
      <c r="R820" s="73"/>
      <c r="S820" s="17"/>
      <c r="T820" s="17"/>
      <c r="U820" s="17"/>
      <c r="V820" s="17"/>
      <c r="W820" s="73"/>
      <c r="X820" s="17"/>
      <c r="Y820" s="17"/>
      <c r="Z820" s="17"/>
      <c r="AA820" s="17"/>
      <c r="AB820" s="73"/>
      <c r="AC820" s="17"/>
      <c r="AD820" s="17"/>
      <c r="AE820" s="17"/>
      <c r="AF820" s="17"/>
      <c r="AG820" s="73"/>
      <c r="AH820" s="17"/>
      <c r="AI820" s="17"/>
      <c r="AJ820" s="17"/>
      <c r="AK820" s="17"/>
      <c r="AL820" s="73"/>
      <c r="AM820" s="17"/>
      <c r="AN820" s="17"/>
      <c r="AO820" s="17"/>
      <c r="AP820" s="17"/>
      <c r="AQ820" s="73">
        <v>8017.0</v>
      </c>
      <c r="AR820" s="17">
        <v>2453.0</v>
      </c>
      <c r="AS820" s="17">
        <v>2140.0</v>
      </c>
      <c r="AT820" s="17">
        <v>1807.0</v>
      </c>
      <c r="AU820" s="17">
        <v>2451.0</v>
      </c>
      <c r="AV820" s="73">
        <f t="shared" ref="AV820:AV821" si="3797">SUM(AR820:AU820)</f>
        <v>8851</v>
      </c>
      <c r="AW820" s="17">
        <v>2366.0</v>
      </c>
      <c r="AX820" s="17">
        <v>1992.0</v>
      </c>
      <c r="AY820" s="17">
        <f>2162+100</f>
        <v>2262</v>
      </c>
      <c r="AZ820" s="17">
        <v>2486.0</v>
      </c>
      <c r="BA820" s="73">
        <f t="shared" ref="BA820:BA821" si="3798">SUM(AW820:AZ820)</f>
        <v>9106</v>
      </c>
      <c r="BB820" s="17">
        <v>1375.0</v>
      </c>
      <c r="BC820" s="17">
        <v>931.0</v>
      </c>
      <c r="BD820" s="17">
        <v>858.0</v>
      </c>
      <c r="BE820" s="17">
        <v>1105.0</v>
      </c>
      <c r="BF820" s="73">
        <f t="shared" ref="BF820:BF821" si="3799">SUM(BB820:BE820)</f>
        <v>4269</v>
      </c>
      <c r="BG820" s="17">
        <v>931.0</v>
      </c>
      <c r="BH820" s="17">
        <v>817.0</v>
      </c>
      <c r="BI820" s="17">
        <v>1286.0</v>
      </c>
      <c r="BJ820" s="17">
        <v>2135.0</v>
      </c>
      <c r="BK820" s="73">
        <f t="shared" ref="BK820:BK821" si="3800">SUM(BG820:BJ820)</f>
        <v>5169</v>
      </c>
      <c r="BL820" s="17">
        <v>1763.0</v>
      </c>
      <c r="BM820" s="17">
        <v>1710.0</v>
      </c>
      <c r="BN820" s="17">
        <v>1768.0</v>
      </c>
      <c r="BO820" s="17">
        <v>1221.0</v>
      </c>
      <c r="BP820" s="73">
        <f t="shared" ref="BP820:BP821" si="3801">SUM(BL820:BO820)</f>
        <v>6462</v>
      </c>
      <c r="BQ820" s="17">
        <v>703.0</v>
      </c>
      <c r="BR820" s="17">
        <v>917.0</v>
      </c>
      <c r="BS820" s="17">
        <v>1512.0</v>
      </c>
      <c r="BT820" s="17" t="str">
        <f>BT828*DEGRev</f>
        <v>#ERROR!</v>
      </c>
      <c r="BU820" s="73" t="str">
        <f t="shared" ref="BU820:BU821" si="3802">SUM(BQ820:BT820)</f>
        <v>#ERROR!</v>
      </c>
      <c r="BV820" s="17" t="str">
        <f>BV828*DEGRev</f>
        <v>#ERROR!</v>
      </c>
      <c r="BW820" s="17" t="str">
        <f>BW828*DEGRev</f>
        <v>#ERROR!</v>
      </c>
      <c r="BX820" s="17" t="str">
        <f>BX828*DEGRev</f>
        <v>#ERROR!</v>
      </c>
      <c r="BY820" s="17" t="str">
        <f>BY828*DEGRev</f>
        <v>#ERROR!</v>
      </c>
      <c r="BZ820" s="18" t="str">
        <f t="shared" ref="BZ820:BZ821" si="3804">SUM(BV820:BY820)</f>
        <v>#ERROR!</v>
      </c>
      <c r="CA820" s="17" t="str">
        <f>CA828*DEGRev</f>
        <v>#ERROR!</v>
      </c>
      <c r="CB820" s="17" t="str">
        <f>CB828*DEGRev</f>
        <v>#ERROR!</v>
      </c>
      <c r="CC820" s="17" t="str">
        <f>CC828*DEGRev</f>
        <v>#ERROR!</v>
      </c>
      <c r="CD820" s="17" t="str">
        <f>CD828*DEGRev</f>
        <v>#ERROR!</v>
      </c>
      <c r="CE820" s="18" t="str">
        <f t="shared" ref="CE820:CE821" si="3806">SUM(CA820:CD820)</f>
        <v>#ERROR!</v>
      </c>
      <c r="CF820" s="17" t="str">
        <f>CF828*DEGRev</f>
        <v>#ERROR!</v>
      </c>
      <c r="CG820" s="17" t="str">
        <f>CG828*DEGRev</f>
        <v>#ERROR!</v>
      </c>
      <c r="CH820" s="17" t="str">
        <f>CH828*DEGRev</f>
        <v>#ERROR!</v>
      </c>
      <c r="CI820" s="17" t="str">
        <f>CI828*DEGRev</f>
        <v>#ERROR!</v>
      </c>
      <c r="CJ820" s="18" t="str">
        <f t="shared" ref="CJ820:CJ821" si="3808">SUM(CF820:CI820)</f>
        <v>#ERROR!</v>
      </c>
      <c r="CK820" s="17" t="str">
        <f>CK828*DEGRev</f>
        <v>#ERROR!</v>
      </c>
      <c r="CL820" s="17" t="str">
        <f>CL828*DEGRev</f>
        <v>#ERROR!</v>
      </c>
      <c r="CM820" s="17" t="str">
        <f>CM828*DEGRev</f>
        <v>#ERROR!</v>
      </c>
      <c r="CN820" s="19" t="str">
        <f>CN828*DEGRev</f>
        <v>#ERROR!</v>
      </c>
      <c r="CO820" s="18" t="str">
        <f t="shared" ref="CO820:CO821" si="3810">SUM(CK820:CN820)</f>
        <v>#ERROR!</v>
      </c>
      <c r="CP820" s="19" t="str">
        <f>CP828*DEGRev</f>
        <v>#ERROR!</v>
      </c>
      <c r="CQ820" s="17" t="str">
        <f>CQ828*DEGRev</f>
        <v>#ERROR!</v>
      </c>
      <c r="CR820" s="17" t="str">
        <f>CR828*DEGRev</f>
        <v>#ERROR!</v>
      </c>
      <c r="CS820" s="17" t="str">
        <f>CS828*DEGRev</f>
        <v>#ERROR!</v>
      </c>
      <c r="CT820" s="18" t="str">
        <f t="shared" ref="CT820:CT821" si="3812">SUM(CP820:CS820)</f>
        <v>#ERROR!</v>
      </c>
      <c r="CU820" s="17" t="str">
        <f>CU828*DEGRev</f>
        <v>#ERROR!</v>
      </c>
      <c r="CV820" s="17" t="str">
        <f>CV828*DEGRev</f>
        <v>#ERROR!</v>
      </c>
      <c r="CW820" s="17" t="str">
        <f>CW828*DEGRev</f>
        <v>#ERROR!</v>
      </c>
      <c r="CX820" s="17" t="str">
        <f>CX828*DEGRev</f>
        <v>#ERROR!</v>
      </c>
      <c r="CY820" s="18" t="str">
        <f t="shared" ref="CY820:CY821" si="3814">SUM(CU820:CX820)</f>
        <v>#ERROR!</v>
      </c>
      <c r="CZ820" s="17" t="str">
        <f>CZ828*DEGRev</f>
        <v>#ERROR!</v>
      </c>
      <c r="DA820" s="17" t="str">
        <f>DA828*DEGRev</f>
        <v>#ERROR!</v>
      </c>
      <c r="DB820" s="17" t="str">
        <f>DB828*DEGRev</f>
        <v>#ERROR!</v>
      </c>
      <c r="DC820" s="17" t="str">
        <f>DC828*DEGRev</f>
        <v>#ERROR!</v>
      </c>
      <c r="DD820" s="18" t="str">
        <f t="shared" ref="DD820:DD821" si="3816">SUM(CZ820:DC820)</f>
        <v>#ERROR!</v>
      </c>
      <c r="DE820" s="17" t="str">
        <f>DE828*DEGRev</f>
        <v>#ERROR!</v>
      </c>
      <c r="DF820" s="17" t="str">
        <f>DF828*DEGRev</f>
        <v>#ERROR!</v>
      </c>
      <c r="DG820" s="19" t="str">
        <f>DG828*DEGRev</f>
        <v>#ERROR!</v>
      </c>
      <c r="DH820" s="17" t="str">
        <f>DH828*DEGRev</f>
        <v>#ERROR!</v>
      </c>
      <c r="DI820" s="18" t="str">
        <f t="shared" ref="DI820:DI821" si="3818">SUM(DE820:DH820)</f>
        <v>#ERROR!</v>
      </c>
      <c r="DJ820" s="19" t="str">
        <f>DJ828*DEGRev</f>
        <v>#ERROR!</v>
      </c>
      <c r="DK820" s="19" t="str">
        <f>DK828*DEGRev</f>
        <v>#ERROR!</v>
      </c>
      <c r="DL820" s="19" t="str">
        <f>DL828*DEGRev</f>
        <v>#ERROR!</v>
      </c>
      <c r="DM820" s="17" t="str">
        <f>DM828*DEGRev</f>
        <v>#ERROR!</v>
      </c>
      <c r="DN820" s="18" t="str">
        <f t="shared" ref="DN820:DN821" si="3820">SUM(DJ820:DM820)</f>
        <v>#ERROR!</v>
      </c>
      <c r="DO820" s="17" t="str">
        <f>DO828*DEGRev</f>
        <v>#ERROR!</v>
      </c>
      <c r="DP820" s="17" t="str">
        <f>DP828*DEGRev</f>
        <v>#ERROR!</v>
      </c>
      <c r="DQ820" s="17" t="str">
        <f>DQ828*DEGRev</f>
        <v>#ERROR!</v>
      </c>
      <c r="DR820" s="17" t="str">
        <f>DR828*DEGRev</f>
        <v>#ERROR!</v>
      </c>
      <c r="DS820" s="18" t="str">
        <f t="shared" ref="DS820:DS821" si="3822">SUM(DO820:DR820)</f>
        <v>#ERROR!</v>
      </c>
      <c r="DT820" s="17" t="str">
        <f>DT828*DEGRev</f>
        <v>#ERROR!</v>
      </c>
      <c r="DU820" s="17" t="str">
        <f>DU828*DEGRev</f>
        <v>#ERROR!</v>
      </c>
      <c r="DV820" s="17" t="str">
        <f>DV828*DEGRev</f>
        <v>#ERROR!</v>
      </c>
      <c r="DW820" s="17" t="str">
        <f>DW828*DEGRev</f>
        <v>#ERROR!</v>
      </c>
      <c r="DX820" s="18" t="str">
        <f t="shared" ref="DX820:DX821" si="3824">SUM(DT820:DW820)</f>
        <v>#ERROR!</v>
      </c>
      <c r="DY820" s="17" t="str">
        <f>DY828*DEGRev</f>
        <v>#ERROR!</v>
      </c>
      <c r="DZ820" s="17" t="str">
        <f>DZ828*DEGRev</f>
        <v>#ERROR!</v>
      </c>
      <c r="EA820" s="17" t="str">
        <f>EA828*DEGRev</f>
        <v>#ERROR!</v>
      </c>
      <c r="EB820" s="17" t="str">
        <f>EB828*DEGRev</f>
        <v>#ERROR!</v>
      </c>
      <c r="EC820" s="18" t="str">
        <f t="shared" ref="EC820:EC821" si="3826">SUM(DY820:EB820)</f>
        <v>#ERROR!</v>
      </c>
      <c r="ED820" s="17" t="str">
        <f>ED828*DEGRev</f>
        <v>#ERROR!</v>
      </c>
      <c r="EE820" s="17" t="str">
        <f>EE828*DEGRev</f>
        <v>#ERROR!</v>
      </c>
      <c r="EF820" s="17" t="str">
        <f>EF828*DEGRev</f>
        <v>#ERROR!</v>
      </c>
      <c r="EG820" s="17" t="str">
        <f>EG828*DEGRev</f>
        <v>#ERROR!</v>
      </c>
      <c r="EH820" s="18" t="str">
        <f t="shared" ref="EH820:EH821" si="3828">SUM(ED820:EG820)</f>
        <v>#ERROR!</v>
      </c>
      <c r="EI820" s="25" t="str">
        <f>EI828*DEGRev</f>
        <v>#ERROR!</v>
      </c>
      <c r="EJ820" s="17" t="str">
        <f>EJ828*DEGRev</f>
        <v>#ERROR!</v>
      </c>
      <c r="EK820" s="17" t="str">
        <f>EK828*DEGRev</f>
        <v>#ERROR!</v>
      </c>
      <c r="EL820" s="17" t="str">
        <f>EL828*DEGRev</f>
        <v>#ERROR!</v>
      </c>
      <c r="EM820" s="18" t="str">
        <f t="shared" ref="EM820:EM821" si="3830">SUM(EI820:EL820)</f>
        <v>#ERROR!</v>
      </c>
      <c r="EN820" s="17" t="str">
        <f>EN828*DEGRev</f>
        <v>#ERROR!</v>
      </c>
      <c r="EO820" s="17" t="str">
        <f>EO828*DEGRev</f>
        <v>#ERROR!</v>
      </c>
      <c r="EP820" s="17" t="str">
        <f>EP828*DEGRev</f>
        <v>#ERROR!</v>
      </c>
      <c r="EQ820" s="17" t="str">
        <f>EQ828*DEGRev</f>
        <v>#ERROR!</v>
      </c>
      <c r="ER820" s="18" t="str">
        <f t="shared" ref="ER820:ER821" si="3832">SUM(EN820:EQ820)</f>
        <v>#ERROR!</v>
      </c>
      <c r="ES820" s="17" t="str">
        <f>ES828*DEGRev</f>
        <v>#ERROR!</v>
      </c>
      <c r="ET820" s="17" t="str">
        <f>ET828*DEGRev</f>
        <v>#ERROR!</v>
      </c>
      <c r="EU820" s="17" t="str">
        <f>EU828*DEGRev</f>
        <v>#ERROR!</v>
      </c>
      <c r="EV820" s="17" t="str">
        <f>EV828*DEGRev</f>
        <v>#ERROR!</v>
      </c>
      <c r="EW820" s="18" t="str">
        <f t="shared" ref="EW820:EW821" si="3834">SUM(ES820:EV820)</f>
        <v>#ERROR!</v>
      </c>
      <c r="EX820" s="17" t="str">
        <f>EX828*DEGRev</f>
        <v>#ERROR!</v>
      </c>
      <c r="EY820" s="17" t="str">
        <f>EY828*DEGRev</f>
        <v>#ERROR!</v>
      </c>
      <c r="EZ820" s="17" t="str">
        <f>EZ828*DEGRev</f>
        <v>#ERROR!</v>
      </c>
      <c r="FA820" s="17" t="str">
        <f>FA828*DEGRev</f>
        <v>#ERROR!</v>
      </c>
      <c r="FB820" s="18" t="str">
        <f t="shared" ref="FB820:FB821" si="3836">SUM(EX820:FA820)</f>
        <v>#ERROR!</v>
      </c>
      <c r="FC820" s="17" t="str">
        <f>FC828*DEGRev</f>
        <v>#ERROR!</v>
      </c>
      <c r="FD820" s="17" t="str">
        <f>FD828*DEGRev</f>
        <v>#ERROR!</v>
      </c>
      <c r="FE820" s="17" t="str">
        <f>FE828*DEGRev</f>
        <v>#ERROR!</v>
      </c>
      <c r="FF820" s="17" t="str">
        <f>FF828*DEGRev</f>
        <v>#ERROR!</v>
      </c>
      <c r="FG820" s="18" t="str">
        <f t="shared" ref="FG820:FG821" si="3838">SUM(FC820:FF820)</f>
        <v>#ERROR!</v>
      </c>
      <c r="FH820" s="74"/>
      <c r="FI820" s="17"/>
      <c r="FJ820" s="17"/>
      <c r="FK820" s="73"/>
      <c r="FL820" s="17"/>
    </row>
    <row r="821" ht="12.75" hidden="1" customHeight="1" outlineLevel="2">
      <c r="A821" s="45"/>
      <c r="B821" s="215" t="str">
        <f>B754</f>
        <v>Mobility Group</v>
      </c>
      <c r="C821" s="45"/>
      <c r="D821" s="17"/>
      <c r="E821" s="17"/>
      <c r="F821" s="17"/>
      <c r="G821" s="17"/>
      <c r="H821" s="73"/>
      <c r="I821" s="17"/>
      <c r="J821" s="17"/>
      <c r="K821" s="17"/>
      <c r="L821" s="17"/>
      <c r="M821" s="73"/>
      <c r="N821" s="17"/>
      <c r="O821" s="17"/>
      <c r="P821" s="17"/>
      <c r="Q821" s="17"/>
      <c r="R821" s="73"/>
      <c r="S821" s="17"/>
      <c r="T821" s="17"/>
      <c r="U821" s="17"/>
      <c r="V821" s="17"/>
      <c r="W821" s="73"/>
      <c r="X821" s="17"/>
      <c r="Y821" s="17"/>
      <c r="Z821" s="17"/>
      <c r="AA821" s="17"/>
      <c r="AB821" s="73"/>
      <c r="AC821" s="17"/>
      <c r="AD821" s="17"/>
      <c r="AE821" s="17"/>
      <c r="AF821" s="17"/>
      <c r="AG821" s="73"/>
      <c r="AH821" s="17"/>
      <c r="AI821" s="17"/>
      <c r="AJ821" s="17"/>
      <c r="AK821" s="17"/>
      <c r="AL821" s="73"/>
      <c r="AM821" s="17"/>
      <c r="AN821" s="17"/>
      <c r="AO821" s="17"/>
      <c r="AP821" s="17"/>
      <c r="AQ821" s="73">
        <v>1589.0</v>
      </c>
      <c r="AR821" s="17">
        <v>400.0</v>
      </c>
      <c r="AS821" s="17">
        <v>593.0</v>
      </c>
      <c r="AT821" s="17">
        <v>796.0</v>
      </c>
      <c r="AU821" s="17">
        <v>894.0</v>
      </c>
      <c r="AV821" s="73">
        <f t="shared" si="3797"/>
        <v>2683</v>
      </c>
      <c r="AW821" s="17">
        <v>1099.0</v>
      </c>
      <c r="AX821" s="17">
        <v>1140.0</v>
      </c>
      <c r="AY821" s="17">
        <f>1402+40</f>
        <v>1442</v>
      </c>
      <c r="AZ821" s="17">
        <v>1689.0</v>
      </c>
      <c r="BA821" s="73">
        <f t="shared" si="3798"/>
        <v>5370</v>
      </c>
      <c r="BB821" s="17">
        <v>1155.0</v>
      </c>
      <c r="BC821" s="17">
        <v>946.0</v>
      </c>
      <c r="BD821" s="17">
        <v>1260.0</v>
      </c>
      <c r="BE821" s="17">
        <v>1630.0</v>
      </c>
      <c r="BF821" s="73">
        <f t="shared" si="3799"/>
        <v>4991</v>
      </c>
      <c r="BG821" s="17">
        <v>1381.0</v>
      </c>
      <c r="BH821" s="17">
        <v>1250.0</v>
      </c>
      <c r="BI821" s="17">
        <v>1292.0</v>
      </c>
      <c r="BJ821" s="17">
        <v>1683.0</v>
      </c>
      <c r="BK821" s="73">
        <f t="shared" si="3800"/>
        <v>5606</v>
      </c>
      <c r="BL821" s="17">
        <v>1166.0</v>
      </c>
      <c r="BM821" s="17">
        <v>1251.0</v>
      </c>
      <c r="BN821" s="17">
        <v>1849.0</v>
      </c>
      <c r="BO821" s="17">
        <v>933.0</v>
      </c>
      <c r="BP821" s="73">
        <f t="shared" si="3801"/>
        <v>5199</v>
      </c>
      <c r="BQ821" s="17">
        <v>244.0</v>
      </c>
      <c r="BR821" s="17">
        <v>803.0</v>
      </c>
      <c r="BS821" s="17">
        <v>1350.0</v>
      </c>
      <c r="BT821" s="17" t="str">
        <f>BT825-BT820-BT823-BT824</f>
        <v>#ERROR!</v>
      </c>
      <c r="BU821" s="73" t="str">
        <f t="shared" si="3802"/>
        <v>#ERROR!</v>
      </c>
      <c r="BV821" s="17" t="str">
        <f t="shared" ref="BV821:BY821" si="3803">BV825-BV820-BV823-BV824</f>
        <v>#ERROR!</v>
      </c>
      <c r="BW821" s="17" t="str">
        <f t="shared" si="3803"/>
        <v>#ERROR!</v>
      </c>
      <c r="BX821" s="17" t="str">
        <f t="shared" si="3803"/>
        <v>#ERROR!</v>
      </c>
      <c r="BY821" s="17" t="str">
        <f t="shared" si="3803"/>
        <v>#ERROR!</v>
      </c>
      <c r="BZ821" s="18" t="str">
        <f t="shared" si="3804"/>
        <v>#ERROR!</v>
      </c>
      <c r="CA821" s="17" t="str">
        <f t="shared" ref="CA821:CD821" si="3805">CA825-CA820-CA823-CA824</f>
        <v>#ERROR!</v>
      </c>
      <c r="CB821" s="17" t="str">
        <f t="shared" si="3805"/>
        <v>#ERROR!</v>
      </c>
      <c r="CC821" s="17" t="str">
        <f t="shared" si="3805"/>
        <v>#ERROR!</v>
      </c>
      <c r="CD821" s="17" t="str">
        <f t="shared" si="3805"/>
        <v>#ERROR!</v>
      </c>
      <c r="CE821" s="18" t="str">
        <f t="shared" si="3806"/>
        <v>#ERROR!</v>
      </c>
      <c r="CF821" s="17" t="str">
        <f t="shared" ref="CF821:CI821" si="3807">CF825-CF820-CF823-CF824</f>
        <v>#ERROR!</v>
      </c>
      <c r="CG821" s="17" t="str">
        <f t="shared" si="3807"/>
        <v>#ERROR!</v>
      </c>
      <c r="CH821" s="17" t="str">
        <f t="shared" si="3807"/>
        <v>#ERROR!</v>
      </c>
      <c r="CI821" s="17" t="str">
        <f t="shared" si="3807"/>
        <v>#ERROR!</v>
      </c>
      <c r="CJ821" s="18" t="str">
        <f t="shared" si="3808"/>
        <v>#ERROR!</v>
      </c>
      <c r="CK821" s="17" t="str">
        <f t="shared" ref="CK821:CN821" si="3809">CK825-CK820-CK823-CK824</f>
        <v>#ERROR!</v>
      </c>
      <c r="CL821" s="17" t="str">
        <f t="shared" si="3809"/>
        <v>#ERROR!</v>
      </c>
      <c r="CM821" s="17" t="str">
        <f t="shared" si="3809"/>
        <v>#ERROR!</v>
      </c>
      <c r="CN821" s="19" t="str">
        <f t="shared" si="3809"/>
        <v>#ERROR!</v>
      </c>
      <c r="CO821" s="18" t="str">
        <f t="shared" si="3810"/>
        <v>#ERROR!</v>
      </c>
      <c r="CP821" s="19" t="str">
        <f t="shared" ref="CP821:CS821" si="3811">CP825-CP820-CP823-CP824</f>
        <v>#ERROR!</v>
      </c>
      <c r="CQ821" s="17" t="str">
        <f t="shared" si="3811"/>
        <v>#ERROR!</v>
      </c>
      <c r="CR821" s="17" t="str">
        <f t="shared" si="3811"/>
        <v>#ERROR!</v>
      </c>
      <c r="CS821" s="17" t="str">
        <f t="shared" si="3811"/>
        <v>#ERROR!</v>
      </c>
      <c r="CT821" s="18" t="str">
        <f t="shared" si="3812"/>
        <v>#ERROR!</v>
      </c>
      <c r="CU821" s="17" t="str">
        <f t="shared" ref="CU821:CX821" si="3813">CU825-CU820-CU823-CU824</f>
        <v>#ERROR!</v>
      </c>
      <c r="CV821" s="17" t="str">
        <f t="shared" si="3813"/>
        <v>#ERROR!</v>
      </c>
      <c r="CW821" s="17" t="str">
        <f t="shared" si="3813"/>
        <v>#ERROR!</v>
      </c>
      <c r="CX821" s="17" t="str">
        <f t="shared" si="3813"/>
        <v>#ERROR!</v>
      </c>
      <c r="CY821" s="18" t="str">
        <f t="shared" si="3814"/>
        <v>#ERROR!</v>
      </c>
      <c r="CZ821" s="17" t="str">
        <f t="shared" ref="CZ821:DC821" si="3815">CZ825-CZ820-CZ823-CZ824</f>
        <v>#ERROR!</v>
      </c>
      <c r="DA821" s="17" t="str">
        <f t="shared" si="3815"/>
        <v>#ERROR!</v>
      </c>
      <c r="DB821" s="17" t="str">
        <f t="shared" si="3815"/>
        <v>#ERROR!</v>
      </c>
      <c r="DC821" s="17" t="str">
        <f t="shared" si="3815"/>
        <v>#ERROR!</v>
      </c>
      <c r="DD821" s="18" t="str">
        <f t="shared" si="3816"/>
        <v>#ERROR!</v>
      </c>
      <c r="DE821" s="17" t="str">
        <f t="shared" ref="DE821:DH821" si="3817">DE825-DE820-DE823-DE824</f>
        <v>#ERROR!</v>
      </c>
      <c r="DF821" s="17" t="str">
        <f t="shared" si="3817"/>
        <v>#ERROR!</v>
      </c>
      <c r="DG821" s="19" t="str">
        <f t="shared" si="3817"/>
        <v>#ERROR!</v>
      </c>
      <c r="DH821" s="17" t="str">
        <f t="shared" si="3817"/>
        <v>#ERROR!</v>
      </c>
      <c r="DI821" s="18" t="str">
        <f t="shared" si="3818"/>
        <v>#ERROR!</v>
      </c>
      <c r="DJ821" s="19" t="str">
        <f t="shared" ref="DJ821:DM821" si="3819">DJ825-DJ820-DJ823-DJ824</f>
        <v>#ERROR!</v>
      </c>
      <c r="DK821" s="19" t="str">
        <f t="shared" si="3819"/>
        <v>#ERROR!</v>
      </c>
      <c r="DL821" s="19" t="str">
        <f t="shared" si="3819"/>
        <v>#ERROR!</v>
      </c>
      <c r="DM821" s="17" t="str">
        <f t="shared" si="3819"/>
        <v>#ERROR!</v>
      </c>
      <c r="DN821" s="18" t="str">
        <f t="shared" si="3820"/>
        <v>#ERROR!</v>
      </c>
      <c r="DO821" s="17" t="str">
        <f t="shared" ref="DO821:DR821" si="3821">DO825-DO820-DO823-DO824</f>
        <v>#ERROR!</v>
      </c>
      <c r="DP821" s="17" t="str">
        <f t="shared" si="3821"/>
        <v>#ERROR!</v>
      </c>
      <c r="DQ821" s="17" t="str">
        <f t="shared" si="3821"/>
        <v>#ERROR!</v>
      </c>
      <c r="DR821" s="17" t="str">
        <f t="shared" si="3821"/>
        <v>#ERROR!</v>
      </c>
      <c r="DS821" s="18" t="str">
        <f t="shared" si="3822"/>
        <v>#ERROR!</v>
      </c>
      <c r="DT821" s="17" t="str">
        <f t="shared" ref="DT821:DW821" si="3823">DT825-DT820-DT823-DT824</f>
        <v>#ERROR!</v>
      </c>
      <c r="DU821" s="17" t="str">
        <f t="shared" si="3823"/>
        <v>#ERROR!</v>
      </c>
      <c r="DV821" s="17" t="str">
        <f t="shared" si="3823"/>
        <v>#ERROR!</v>
      </c>
      <c r="DW821" s="17" t="str">
        <f t="shared" si="3823"/>
        <v>#ERROR!</v>
      </c>
      <c r="DX821" s="18" t="str">
        <f t="shared" si="3824"/>
        <v>#ERROR!</v>
      </c>
      <c r="DY821" s="17" t="str">
        <f t="shared" ref="DY821:EB821" si="3825">DY825-DY820-DY823-DY824</f>
        <v>#ERROR!</v>
      </c>
      <c r="DZ821" s="17" t="str">
        <f t="shared" si="3825"/>
        <v>#ERROR!</v>
      </c>
      <c r="EA821" s="17" t="str">
        <f t="shared" si="3825"/>
        <v>#ERROR!</v>
      </c>
      <c r="EB821" s="17" t="str">
        <f t="shared" si="3825"/>
        <v>#ERROR!</v>
      </c>
      <c r="EC821" s="18" t="str">
        <f t="shared" si="3826"/>
        <v>#ERROR!</v>
      </c>
      <c r="ED821" s="17" t="str">
        <f t="shared" ref="ED821:EG821" si="3827">ED825-ED820-ED823-ED824</f>
        <v>#ERROR!</v>
      </c>
      <c r="EE821" s="17" t="str">
        <f t="shared" si="3827"/>
        <v>#ERROR!</v>
      </c>
      <c r="EF821" s="17" t="str">
        <f t="shared" si="3827"/>
        <v>#ERROR!</v>
      </c>
      <c r="EG821" s="17" t="str">
        <f t="shared" si="3827"/>
        <v>#ERROR!</v>
      </c>
      <c r="EH821" s="18" t="str">
        <f t="shared" si="3828"/>
        <v>#ERROR!</v>
      </c>
      <c r="EI821" s="25" t="str">
        <f t="shared" ref="EI821:EL821" si="3829">EI825-EI820-EI823-EI824</f>
        <v>#ERROR!</v>
      </c>
      <c r="EJ821" s="17" t="str">
        <f t="shared" si="3829"/>
        <v>#ERROR!</v>
      </c>
      <c r="EK821" s="17" t="str">
        <f t="shared" si="3829"/>
        <v>#ERROR!</v>
      </c>
      <c r="EL821" s="17" t="str">
        <f t="shared" si="3829"/>
        <v>#ERROR!</v>
      </c>
      <c r="EM821" s="18" t="str">
        <f t="shared" si="3830"/>
        <v>#ERROR!</v>
      </c>
      <c r="EN821" s="17" t="str">
        <f t="shared" ref="EN821:EQ821" si="3831">EN825-EN820-EN823-EN824</f>
        <v>#ERROR!</v>
      </c>
      <c r="EO821" s="17" t="str">
        <f t="shared" si="3831"/>
        <v>#ERROR!</v>
      </c>
      <c r="EP821" s="17" t="str">
        <f t="shared" si="3831"/>
        <v>#ERROR!</v>
      </c>
      <c r="EQ821" s="17" t="str">
        <f t="shared" si="3831"/>
        <v>#ERROR!</v>
      </c>
      <c r="ER821" s="18" t="str">
        <f t="shared" si="3832"/>
        <v>#ERROR!</v>
      </c>
      <c r="ES821" s="17" t="str">
        <f t="shared" ref="ES821:EV821" si="3833">ES825-ES820-ES823-ES824</f>
        <v>#ERROR!</v>
      </c>
      <c r="ET821" s="17" t="str">
        <f t="shared" si="3833"/>
        <v>#ERROR!</v>
      </c>
      <c r="EU821" s="17" t="str">
        <f t="shared" si="3833"/>
        <v>#ERROR!</v>
      </c>
      <c r="EV821" s="17" t="str">
        <f t="shared" si="3833"/>
        <v>#ERROR!</v>
      </c>
      <c r="EW821" s="18" t="str">
        <f t="shared" si="3834"/>
        <v>#ERROR!</v>
      </c>
      <c r="EX821" s="17" t="str">
        <f t="shared" ref="EX821:FA821" si="3835">EX825-EX820-EX823-EX824</f>
        <v>#ERROR!</v>
      </c>
      <c r="EY821" s="17" t="str">
        <f t="shared" si="3835"/>
        <v>#ERROR!</v>
      </c>
      <c r="EZ821" s="17" t="str">
        <f t="shared" si="3835"/>
        <v>#ERROR!</v>
      </c>
      <c r="FA821" s="17" t="str">
        <f t="shared" si="3835"/>
        <v>#ERROR!</v>
      </c>
      <c r="FB821" s="18" t="str">
        <f t="shared" si="3836"/>
        <v>#ERROR!</v>
      </c>
      <c r="FC821" s="17" t="str">
        <f t="shared" ref="FC821:FF821" si="3837">FC825-FC820-FC823-FC824</f>
        <v>#ERROR!</v>
      </c>
      <c r="FD821" s="17" t="str">
        <f t="shared" si="3837"/>
        <v>#ERROR!</v>
      </c>
      <c r="FE821" s="17" t="str">
        <f t="shared" si="3837"/>
        <v>#ERROR!</v>
      </c>
      <c r="FF821" s="17" t="str">
        <f t="shared" si="3837"/>
        <v>#ERROR!</v>
      </c>
      <c r="FG821" s="18" t="str">
        <f t="shared" si="3838"/>
        <v>#ERROR!</v>
      </c>
      <c r="FH821" s="74"/>
      <c r="FI821" s="17"/>
      <c r="FJ821" s="17"/>
      <c r="FK821" s="73"/>
      <c r="FL821" s="17"/>
    </row>
    <row r="822" ht="12.75" hidden="1" customHeight="1" outlineLevel="2">
      <c r="A822" s="45"/>
      <c r="B822" s="215" t="s">
        <v>323</v>
      </c>
      <c r="C822" s="45"/>
      <c r="D822" s="17"/>
      <c r="E822" s="17"/>
      <c r="F822" s="17"/>
      <c r="G822" s="17"/>
      <c r="H822" s="73"/>
      <c r="I822" s="17"/>
      <c r="J822" s="17"/>
      <c r="K822" s="17"/>
      <c r="L822" s="17"/>
      <c r="M822" s="73"/>
      <c r="N822" s="17"/>
      <c r="O822" s="17"/>
      <c r="P822" s="17"/>
      <c r="Q822" s="17"/>
      <c r="R822" s="73"/>
      <c r="S822" s="17"/>
      <c r="T822" s="17"/>
      <c r="U822" s="17"/>
      <c r="V822" s="17"/>
      <c r="W822" s="73"/>
      <c r="X822" s="17"/>
      <c r="Y822" s="17"/>
      <c r="Z822" s="17"/>
      <c r="AA822" s="17"/>
      <c r="AB822" s="73"/>
      <c r="AC822" s="17"/>
      <c r="AD822" s="17"/>
      <c r="AE822" s="17"/>
      <c r="AF822" s="17"/>
      <c r="AG822" s="73"/>
      <c r="AH822" s="17"/>
      <c r="AI822" s="17"/>
      <c r="AJ822" s="17"/>
      <c r="AK822" s="17"/>
      <c r="AL822" s="73"/>
      <c r="AM822" s="17"/>
      <c r="AN822" s="17"/>
      <c r="AO822" s="17"/>
      <c r="AP822" s="17"/>
      <c r="AQ822" s="73">
        <f>AQ821-AQ823</f>
        <v>1741</v>
      </c>
      <c r="AR822" s="17"/>
      <c r="AS822" s="17"/>
      <c r="AT822" s="17"/>
      <c r="AU822" s="17"/>
      <c r="AV822" s="73">
        <f>AV821-AV823</f>
        <v>2832</v>
      </c>
      <c r="AW822" s="17"/>
      <c r="AX822" s="17"/>
      <c r="AY822" s="17"/>
      <c r="AZ822" s="17"/>
      <c r="BA822" s="73">
        <f>BA821-BA823</f>
        <v>5524</v>
      </c>
      <c r="BB822" s="17"/>
      <c r="BC822" s="17"/>
      <c r="BD822" s="17"/>
      <c r="BE822" s="17"/>
      <c r="BF822" s="73"/>
      <c r="BG822" s="17"/>
      <c r="BH822" s="17"/>
      <c r="BI822" s="17"/>
      <c r="BJ822" s="17"/>
      <c r="BK822" s="73"/>
      <c r="BL822" s="17"/>
      <c r="BM822" s="17"/>
      <c r="BN822" s="17"/>
      <c r="BO822" s="17"/>
      <c r="BP822" s="73"/>
      <c r="BQ822" s="17"/>
      <c r="BR822" s="17"/>
      <c r="BS822" s="17"/>
      <c r="BT822" s="17"/>
      <c r="BU822" s="73"/>
      <c r="BV822" s="17"/>
      <c r="BW822" s="17"/>
      <c r="BX822" s="17"/>
      <c r="BY822" s="17"/>
      <c r="BZ822" s="18"/>
      <c r="CA822" s="17"/>
      <c r="CB822" s="17"/>
      <c r="CC822" s="17"/>
      <c r="CD822" s="17"/>
      <c r="CE822" s="18"/>
      <c r="CF822" s="17"/>
      <c r="CG822" s="17"/>
      <c r="CH822" s="17"/>
      <c r="CI822" s="17"/>
      <c r="CJ822" s="18"/>
      <c r="CK822" s="17"/>
      <c r="CL822" s="17"/>
      <c r="CM822" s="17"/>
      <c r="CN822" s="19"/>
      <c r="CO822" s="18"/>
      <c r="CP822" s="19"/>
      <c r="CQ822" s="17"/>
      <c r="CR822" s="17"/>
      <c r="CS822" s="17"/>
      <c r="CT822" s="18"/>
      <c r="CU822" s="17"/>
      <c r="CV822" s="17"/>
      <c r="CW822" s="17"/>
      <c r="CX822" s="17"/>
      <c r="CY822" s="18"/>
      <c r="CZ822" s="17"/>
      <c r="DA822" s="17"/>
      <c r="DB822" s="17"/>
      <c r="DC822" s="17"/>
      <c r="DD822" s="18"/>
      <c r="DE822" s="17"/>
      <c r="DF822" s="17"/>
      <c r="DG822" s="19"/>
      <c r="DH822" s="17"/>
      <c r="DI822" s="18"/>
      <c r="DJ822" s="19"/>
      <c r="DK822" s="19"/>
      <c r="DL822" s="19"/>
      <c r="DM822" s="17"/>
      <c r="DN822" s="18"/>
      <c r="DO822" s="17"/>
      <c r="DP822" s="17"/>
      <c r="DQ822" s="17"/>
      <c r="DR822" s="17"/>
      <c r="DS822" s="18"/>
      <c r="DT822" s="17"/>
      <c r="DU822" s="17"/>
      <c r="DV822" s="17"/>
      <c r="DW822" s="17"/>
      <c r="DX822" s="18"/>
      <c r="DY822" s="17"/>
      <c r="DZ822" s="17"/>
      <c r="EA822" s="17"/>
      <c r="EB822" s="17"/>
      <c r="EC822" s="18"/>
      <c r="ED822" s="17"/>
      <c r="EE822" s="17"/>
      <c r="EF822" s="17"/>
      <c r="EG822" s="17"/>
      <c r="EH822" s="18"/>
      <c r="EI822" s="25"/>
      <c r="EJ822" s="17"/>
      <c r="EK822" s="17"/>
      <c r="EL822" s="17"/>
      <c r="EM822" s="18"/>
      <c r="EN822" s="17"/>
      <c r="EO822" s="17"/>
      <c r="EP822" s="17"/>
      <c r="EQ822" s="17"/>
      <c r="ER822" s="18"/>
      <c r="ES822" s="17"/>
      <c r="ET822" s="17"/>
      <c r="EU822" s="17"/>
      <c r="EV822" s="17"/>
      <c r="EW822" s="18"/>
      <c r="EX822" s="17"/>
      <c r="EY822" s="17"/>
      <c r="EZ822" s="17"/>
      <c r="FA822" s="17"/>
      <c r="FB822" s="18"/>
      <c r="FC822" s="17"/>
      <c r="FD822" s="17"/>
      <c r="FE822" s="17"/>
      <c r="FF822" s="17"/>
      <c r="FG822" s="18"/>
      <c r="FH822" s="74"/>
      <c r="FI822" s="17"/>
      <c r="FJ822" s="17"/>
      <c r="FK822" s="73"/>
      <c r="FL822" s="17"/>
    </row>
    <row r="823" ht="12.75" hidden="1" customHeight="1" outlineLevel="2">
      <c r="A823" s="45"/>
      <c r="B823" s="215" t="str">
        <f>B757</f>
        <v>Flash Products Group</v>
      </c>
      <c r="C823" s="45"/>
      <c r="D823" s="17"/>
      <c r="E823" s="17"/>
      <c r="F823" s="17"/>
      <c r="G823" s="17"/>
      <c r="H823" s="73"/>
      <c r="I823" s="17"/>
      <c r="J823" s="17"/>
      <c r="K823" s="17"/>
      <c r="L823" s="17"/>
      <c r="M823" s="73"/>
      <c r="N823" s="17"/>
      <c r="O823" s="17"/>
      <c r="P823" s="17"/>
      <c r="Q823" s="17"/>
      <c r="R823" s="73"/>
      <c r="S823" s="17"/>
      <c r="T823" s="17"/>
      <c r="U823" s="17"/>
      <c r="V823" s="17"/>
      <c r="W823" s="73"/>
      <c r="X823" s="17"/>
      <c r="Y823" s="17"/>
      <c r="Z823" s="17"/>
      <c r="AA823" s="17"/>
      <c r="AB823" s="73"/>
      <c r="AC823" s="17"/>
      <c r="AD823" s="17"/>
      <c r="AE823" s="17"/>
      <c r="AF823" s="17"/>
      <c r="AG823" s="73"/>
      <c r="AH823" s="17"/>
      <c r="AI823" s="17"/>
      <c r="AJ823" s="17"/>
      <c r="AK823" s="17"/>
      <c r="AL823" s="73"/>
      <c r="AM823" s="17"/>
      <c r="AN823" s="17"/>
      <c r="AO823" s="17"/>
      <c r="AP823" s="17"/>
      <c r="AQ823" s="73">
        <v>-152.0</v>
      </c>
      <c r="AR823" s="17"/>
      <c r="AS823" s="17"/>
      <c r="AT823" s="17"/>
      <c r="AU823" s="17"/>
      <c r="AV823" s="73">
        <v>-149.0</v>
      </c>
      <c r="AW823" s="17"/>
      <c r="AX823" s="17"/>
      <c r="AY823" s="17"/>
      <c r="AZ823" s="17">
        <v>-12.0</v>
      </c>
      <c r="BA823" s="73">
        <v>-154.0</v>
      </c>
      <c r="BB823" s="17">
        <v>-104.0</v>
      </c>
      <c r="BC823" s="17">
        <v>-149.0</v>
      </c>
      <c r="BD823" s="17">
        <v>-116.0</v>
      </c>
      <c r="BE823" s="17">
        <v>-186.0</v>
      </c>
      <c r="BF823" s="73">
        <f t="shared" ref="BF823:BF824" si="3839">SUM(BB823:BE823)</f>
        <v>-555</v>
      </c>
      <c r="BG823" s="17">
        <v>-283.0</v>
      </c>
      <c r="BH823" s="17">
        <v>-291.0</v>
      </c>
      <c r="BI823" s="17">
        <v>-142.0</v>
      </c>
      <c r="BJ823" s="17"/>
      <c r="BK823" s="73">
        <f t="shared" ref="BK823:BK824" si="3840">SUM(BG823:BJ823)</f>
        <v>-716</v>
      </c>
      <c r="BL823" s="17"/>
      <c r="BM823" s="17"/>
      <c r="BN823" s="17"/>
      <c r="BO823" s="17"/>
      <c r="BP823" s="73"/>
      <c r="BQ823" s="17"/>
      <c r="BR823" s="17"/>
      <c r="BS823" s="17"/>
      <c r="BT823" s="17"/>
      <c r="BU823" s="73"/>
      <c r="BV823" s="17"/>
      <c r="BW823" s="17"/>
      <c r="BX823" s="17"/>
      <c r="BY823" s="17"/>
      <c r="BZ823" s="18"/>
      <c r="CA823" s="17"/>
      <c r="CB823" s="17"/>
      <c r="CC823" s="17"/>
      <c r="CD823" s="17"/>
      <c r="CE823" s="18"/>
      <c r="CF823" s="17"/>
      <c r="CG823" s="17"/>
      <c r="CH823" s="17"/>
      <c r="CI823" s="17"/>
      <c r="CJ823" s="18"/>
      <c r="CK823" s="17"/>
      <c r="CL823" s="17"/>
      <c r="CM823" s="17"/>
      <c r="CN823" s="19"/>
      <c r="CO823" s="18"/>
      <c r="CP823" s="19"/>
      <c r="CQ823" s="17"/>
      <c r="CR823" s="17"/>
      <c r="CS823" s="17"/>
      <c r="CT823" s="18"/>
      <c r="CU823" s="17"/>
      <c r="CV823" s="17"/>
      <c r="CW823" s="17"/>
      <c r="CX823" s="17"/>
      <c r="CY823" s="18"/>
      <c r="CZ823" s="17"/>
      <c r="DA823" s="17"/>
      <c r="DB823" s="17"/>
      <c r="DC823" s="17"/>
      <c r="DD823" s="18"/>
      <c r="DE823" s="17"/>
      <c r="DF823" s="17"/>
      <c r="DG823" s="19"/>
      <c r="DH823" s="17"/>
      <c r="DI823" s="18"/>
      <c r="DJ823" s="19"/>
      <c r="DK823" s="19"/>
      <c r="DL823" s="19"/>
      <c r="DM823" s="17"/>
      <c r="DN823" s="18"/>
      <c r="DO823" s="17"/>
      <c r="DP823" s="17"/>
      <c r="DQ823" s="17"/>
      <c r="DR823" s="17"/>
      <c r="DS823" s="18"/>
      <c r="DT823" s="17"/>
      <c r="DU823" s="17"/>
      <c r="DV823" s="17"/>
      <c r="DW823" s="17"/>
      <c r="DX823" s="18"/>
      <c r="DY823" s="17"/>
      <c r="DZ823" s="17"/>
      <c r="EA823" s="17"/>
      <c r="EB823" s="17"/>
      <c r="EC823" s="18"/>
      <c r="ED823" s="17"/>
      <c r="EE823" s="17"/>
      <c r="EF823" s="17"/>
      <c r="EG823" s="17"/>
      <c r="EH823" s="18"/>
      <c r="EI823" s="25"/>
      <c r="EJ823" s="17"/>
      <c r="EK823" s="17"/>
      <c r="EL823" s="17"/>
      <c r="EM823" s="18"/>
      <c r="EN823" s="17"/>
      <c r="EO823" s="17"/>
      <c r="EP823" s="17"/>
      <c r="EQ823" s="17"/>
      <c r="ER823" s="18"/>
      <c r="ES823" s="17"/>
      <c r="ET823" s="17"/>
      <c r="EU823" s="17"/>
      <c r="EV823" s="17"/>
      <c r="EW823" s="18"/>
      <c r="EX823" s="17"/>
      <c r="EY823" s="17"/>
      <c r="EZ823" s="17"/>
      <c r="FA823" s="17"/>
      <c r="FB823" s="18"/>
      <c r="FC823" s="17"/>
      <c r="FD823" s="17"/>
      <c r="FE823" s="17"/>
      <c r="FF823" s="17"/>
      <c r="FG823" s="18"/>
      <c r="FH823" s="74"/>
      <c r="FI823" s="17"/>
      <c r="FJ823" s="17"/>
      <c r="FK823" s="73"/>
      <c r="FL823" s="17"/>
    </row>
    <row r="824" ht="12.75" hidden="1" customHeight="1" outlineLevel="2">
      <c r="A824" s="45"/>
      <c r="B824" s="215" t="str">
        <f>B762</f>
        <v>All Other</v>
      </c>
      <c r="C824" s="45"/>
      <c r="D824" s="17"/>
      <c r="E824" s="17"/>
      <c r="F824" s="17"/>
      <c r="G824" s="132"/>
      <c r="H824" s="73"/>
      <c r="I824" s="17"/>
      <c r="J824" s="17"/>
      <c r="K824" s="17"/>
      <c r="L824" s="132"/>
      <c r="M824" s="73"/>
      <c r="N824" s="17"/>
      <c r="O824" s="17"/>
      <c r="P824" s="17"/>
      <c r="Q824" s="132"/>
      <c r="R824" s="73"/>
      <c r="S824" s="17"/>
      <c r="T824" s="17"/>
      <c r="U824" s="17"/>
      <c r="V824" s="132"/>
      <c r="W824" s="73"/>
      <c r="X824" s="17"/>
      <c r="Y824" s="17"/>
      <c r="Z824" s="17"/>
      <c r="AA824" s="132"/>
      <c r="AB824" s="73"/>
      <c r="AC824" s="17"/>
      <c r="AD824" s="17"/>
      <c r="AE824" s="17"/>
      <c r="AF824" s="132"/>
      <c r="AG824" s="73"/>
      <c r="AH824" s="17"/>
      <c r="AI824" s="17"/>
      <c r="AJ824" s="17"/>
      <c r="AK824" s="132"/>
      <c r="AL824" s="73"/>
      <c r="AM824" s="17"/>
      <c r="AN824" s="17"/>
      <c r="AO824" s="17"/>
      <c r="AP824" s="132"/>
      <c r="AQ824" s="73">
        <v>-2073.0</v>
      </c>
      <c r="AR824" s="17">
        <v>-377.0</v>
      </c>
      <c r="AS824" s="17">
        <v>-352.0</v>
      </c>
      <c r="AT824" s="17">
        <v>-230.0</v>
      </c>
      <c r="AU824" s="132">
        <v>-445.0</v>
      </c>
      <c r="AV824" s="73">
        <f>SUM(AR824:AU824)</f>
        <v>-1404</v>
      </c>
      <c r="AW824" s="17">
        <v>-433.0</v>
      </c>
      <c r="AX824" s="17">
        <v>-483.0</v>
      </c>
      <c r="AY824" s="17">
        <v>-464.0</v>
      </c>
      <c r="AZ824" s="132">
        <v>-712.0</v>
      </c>
      <c r="BA824" s="73">
        <f>SUM(AW824:AZ824)</f>
        <v>-2092</v>
      </c>
      <c r="BB824" s="17">
        <v>-708.0</v>
      </c>
      <c r="BC824" s="17">
        <v>-656.0</v>
      </c>
      <c r="BD824" s="17">
        <v>-628.0</v>
      </c>
      <c r="BE824" s="132">
        <v>-1061.0</v>
      </c>
      <c r="BF824" s="73">
        <f t="shared" si="3839"/>
        <v>-3053</v>
      </c>
      <c r="BG824" s="17">
        <v>-354.0</v>
      </c>
      <c r="BH824" s="17">
        <v>-426.0</v>
      </c>
      <c r="BI824" s="17">
        <v>-292.0</v>
      </c>
      <c r="BJ824" s="132">
        <v>-771.0</v>
      </c>
      <c r="BK824" s="73">
        <f t="shared" si="3840"/>
        <v>-1843</v>
      </c>
      <c r="BL824" s="17">
        <v>-867.0</v>
      </c>
      <c r="BM824" s="17">
        <v>-706.0</v>
      </c>
      <c r="BN824" s="17">
        <v>-519.0</v>
      </c>
      <c r="BO824" s="132">
        <f>BO825-BO820-BO821</f>
        <v>-615</v>
      </c>
      <c r="BP824" s="73">
        <f>SUM(BL824:BO824)</f>
        <v>-2707</v>
      </c>
      <c r="BQ824" s="17">
        <v>-300.0</v>
      </c>
      <c r="BR824" s="17">
        <v>-1732.0</v>
      </c>
      <c r="BS824" s="17">
        <v>-283.0</v>
      </c>
      <c r="BT824" s="132">
        <f>-0.17*BT825</f>
        <v>-636.99</v>
      </c>
      <c r="BU824" s="73">
        <f>SUM(BQ824:BT824)</f>
        <v>-2951.99</v>
      </c>
      <c r="BV824" s="17">
        <f t="shared" ref="BV824:BY824" si="3841">-0.17*BV825</f>
        <v>-586.16</v>
      </c>
      <c r="BW824" s="17">
        <f t="shared" si="3841"/>
        <v>-676.77</v>
      </c>
      <c r="BX824" s="17">
        <f t="shared" si="3841"/>
        <v>-703.12</v>
      </c>
      <c r="BY824" s="132">
        <f t="shared" si="3841"/>
        <v>-683.91</v>
      </c>
      <c r="BZ824" s="18">
        <f>SUM(BV824:BY824)</f>
        <v>-2649.96</v>
      </c>
      <c r="CA824" s="17">
        <f t="shared" ref="CA824:CD824" si="3842">-0.17*CA825</f>
        <v>-706.86</v>
      </c>
      <c r="CB824" s="17">
        <f t="shared" si="3842"/>
        <v>-668.95</v>
      </c>
      <c r="CC824" s="17">
        <f t="shared" si="3842"/>
        <v>-813.45</v>
      </c>
      <c r="CD824" s="132">
        <f t="shared" si="3842"/>
        <v>-781.83</v>
      </c>
      <c r="CE824" s="18">
        <f>SUM(CA824:CD824)</f>
        <v>-2971.09</v>
      </c>
      <c r="CF824" s="17">
        <f t="shared" ref="CF824:CI824" si="3843">-0.17*CF825</f>
        <v>-647.7</v>
      </c>
      <c r="CG824" s="17">
        <f t="shared" si="3843"/>
        <v>-651.44</v>
      </c>
      <c r="CH824" s="17">
        <f t="shared" si="3843"/>
        <v>-652.97</v>
      </c>
      <c r="CI824" s="132">
        <f t="shared" si="3843"/>
        <v>-536.35</v>
      </c>
      <c r="CJ824" s="18">
        <f>SUM(CF824:CI824)</f>
        <v>-2488.46</v>
      </c>
      <c r="CK824" s="17">
        <f t="shared" ref="CK824:CN824" si="3844">-0.17*CK825</f>
        <v>-428.23</v>
      </c>
      <c r="CL824" s="17">
        <f t="shared" si="3844"/>
        <v>-462.23</v>
      </c>
      <c r="CM824" s="17">
        <f t="shared" si="3844"/>
        <v>-595.68</v>
      </c>
      <c r="CN824" s="133">
        <f t="shared" si="3844"/>
        <v>-603.33</v>
      </c>
      <c r="CO824" s="18">
        <f>SUM(CK824:CN824)</f>
        <v>-2089.47</v>
      </c>
      <c r="CP824" s="133">
        <f t="shared" ref="CP824:CS824" si="3845">-0.17*CP825</f>
        <v>-430.61</v>
      </c>
      <c r="CQ824" s="17">
        <f t="shared" si="3845"/>
        <v>-653.48</v>
      </c>
      <c r="CR824" s="17">
        <f t="shared" si="3845"/>
        <v>-771.8</v>
      </c>
      <c r="CS824" s="132">
        <f t="shared" si="3845"/>
        <v>-757.01</v>
      </c>
      <c r="CT824" s="18">
        <f>SUM(CP824:CS824)</f>
        <v>-2612.9</v>
      </c>
      <c r="CU824" s="17">
        <f t="shared" ref="CU824:CX824" si="3846">-0.17*CU825</f>
        <v>-444.55</v>
      </c>
      <c r="CV824" s="17">
        <f t="shared" si="3846"/>
        <v>-492.32</v>
      </c>
      <c r="CW824" s="17">
        <f t="shared" si="3846"/>
        <v>-712.64</v>
      </c>
      <c r="CX824" s="132">
        <f t="shared" si="3846"/>
        <v>-730.83</v>
      </c>
      <c r="CY824" s="18">
        <f>SUM(CU824:CX824)</f>
        <v>-2380.34</v>
      </c>
      <c r="CZ824" s="17">
        <f t="shared" ref="CZ824:DC824" si="3847">-0.17*CZ825</f>
        <v>-436.56</v>
      </c>
      <c r="DA824" s="17">
        <f t="shared" si="3847"/>
        <v>-224.06</v>
      </c>
      <c r="DB824" s="17">
        <f t="shared" si="3847"/>
        <v>-758.54</v>
      </c>
      <c r="DC824" s="132">
        <f t="shared" si="3847"/>
        <v>-769.42</v>
      </c>
      <c r="DD824" s="18">
        <f>SUM(CZ824:DC824)</f>
        <v>-2188.58</v>
      </c>
      <c r="DE824" s="17">
        <f t="shared" ref="DE824:DH824" si="3848">-0.17*DE825</f>
        <v>-611.83</v>
      </c>
      <c r="DF824" s="17">
        <f t="shared" si="3848"/>
        <v>-650.59</v>
      </c>
      <c r="DG824" s="19">
        <f t="shared" si="3848"/>
        <v>-869.55</v>
      </c>
      <c r="DH824" s="132">
        <f t="shared" si="3848"/>
        <v>-917.15</v>
      </c>
      <c r="DI824" s="18">
        <f>SUM(DE824:DH824)</f>
        <v>-3049.12</v>
      </c>
      <c r="DJ824" s="19">
        <f t="shared" ref="DJ824:DM824" si="3849">-0.17*DJ825</f>
        <v>-759.9</v>
      </c>
      <c r="DK824" s="19">
        <f t="shared" si="3849"/>
        <v>-896.41</v>
      </c>
      <c r="DL824" s="19">
        <f t="shared" si="3849"/>
        <v>-1249.33</v>
      </c>
      <c r="DM824" s="132">
        <f t="shared" si="3849"/>
        <v>-1058.08</v>
      </c>
      <c r="DN824" s="18">
        <f>SUM(DJ824:DM824)</f>
        <v>-3963.72</v>
      </c>
      <c r="DO824" s="17">
        <f t="shared" ref="DO824:DR824" si="3850">-0.17*DO825</f>
        <v>-709.58</v>
      </c>
      <c r="DP824" s="17">
        <f t="shared" si="3850"/>
        <v>-784.89</v>
      </c>
      <c r="DQ824" s="17">
        <f t="shared" si="3850"/>
        <v>-1095.99</v>
      </c>
      <c r="DR824" s="17">
        <f t="shared" si="3850"/>
        <v>-1155.49</v>
      </c>
      <c r="DS824" s="18">
        <f>SUM(DO824:DR824)</f>
        <v>-3745.95</v>
      </c>
      <c r="DT824" s="17">
        <f t="shared" ref="DT824:DW824" si="3851">-0.17*DT825</f>
        <v>-1196.46</v>
      </c>
      <c r="DU824" s="17">
        <f t="shared" si="3851"/>
        <v>-968.49</v>
      </c>
      <c r="DV824" s="17">
        <f t="shared" si="3851"/>
        <v>-860.03</v>
      </c>
      <c r="DW824" s="17">
        <f t="shared" si="3851"/>
        <v>-1000.28</v>
      </c>
      <c r="DX824" s="18">
        <f>SUM(DT824:DW824)</f>
        <v>-4025.26</v>
      </c>
      <c r="DY824" s="17">
        <f t="shared" ref="DY824:EB824" si="3852">-0.17*DY825</f>
        <v>-627.98</v>
      </c>
      <c r="DZ824" s="17">
        <f t="shared" si="3852"/>
        <v>-942.82</v>
      </c>
      <c r="EA824" s="17">
        <f t="shared" si="3852"/>
        <v>-888.59</v>
      </c>
      <c r="EB824" s="17">
        <f t="shared" si="3852"/>
        <v>-848.13</v>
      </c>
      <c r="EC824" s="18">
        <f>SUM(DY824:EB824)</f>
        <v>-3307.52</v>
      </c>
      <c r="ED824" s="17">
        <f t="shared" ref="ED824:EG824" si="3853">-0.17*ED825</f>
        <v>-737.97</v>
      </c>
      <c r="EE824" s="17">
        <f t="shared" si="3853"/>
        <v>119</v>
      </c>
      <c r="EF824" s="17">
        <f t="shared" si="3853"/>
        <v>29.75</v>
      </c>
      <c r="EG824" s="17">
        <f t="shared" si="3853"/>
        <v>192.44</v>
      </c>
      <c r="EH824" s="18">
        <f>SUM(ED824:EG824)</f>
        <v>-396.78</v>
      </c>
      <c r="EI824" s="131" t="str">
        <f t="shared" ref="EI824:EL824" si="3854">-0.17*EI825</f>
        <v>#ERROR!</v>
      </c>
      <c r="EJ824" s="17" t="str">
        <f t="shared" si="3854"/>
        <v>#ERROR!</v>
      </c>
      <c r="EK824" s="17" t="str">
        <f t="shared" si="3854"/>
        <v>#ERROR!</v>
      </c>
      <c r="EL824" s="132" t="str">
        <f t="shared" si="3854"/>
        <v>#ERROR!</v>
      </c>
      <c r="EM824" s="18" t="str">
        <f>SUM(EI824:EL824)</f>
        <v>#ERROR!</v>
      </c>
      <c r="EN824" s="17" t="str">
        <f t="shared" ref="EN824:EQ824" si="3855">-0.17*EN825</f>
        <v>#ERROR!</v>
      </c>
      <c r="EO824" s="17" t="str">
        <f t="shared" si="3855"/>
        <v>#ERROR!</v>
      </c>
      <c r="EP824" s="17" t="str">
        <f t="shared" si="3855"/>
        <v>#ERROR!</v>
      </c>
      <c r="EQ824" s="132" t="str">
        <f t="shared" si="3855"/>
        <v>#ERROR!</v>
      </c>
      <c r="ER824" s="18" t="str">
        <f>SUM(EN824:EQ824)</f>
        <v>#ERROR!</v>
      </c>
      <c r="ES824" s="17" t="str">
        <f t="shared" ref="ES824:EV824" si="3856">-0.17*ES825</f>
        <v>#ERROR!</v>
      </c>
      <c r="ET824" s="17" t="str">
        <f t="shared" si="3856"/>
        <v>#ERROR!</v>
      </c>
      <c r="EU824" s="17" t="str">
        <f t="shared" si="3856"/>
        <v>#ERROR!</v>
      </c>
      <c r="EV824" s="132" t="str">
        <f t="shared" si="3856"/>
        <v>#ERROR!</v>
      </c>
      <c r="EW824" s="18" t="str">
        <f>SUM(ES824:EV824)</f>
        <v>#ERROR!</v>
      </c>
      <c r="EX824" s="17" t="str">
        <f t="shared" ref="EX824:FA824" si="3857">-0.17*EX825</f>
        <v>#ERROR!</v>
      </c>
      <c r="EY824" s="17" t="str">
        <f t="shared" si="3857"/>
        <v>#ERROR!</v>
      </c>
      <c r="EZ824" s="17" t="str">
        <f t="shared" si="3857"/>
        <v>#ERROR!</v>
      </c>
      <c r="FA824" s="132" t="str">
        <f t="shared" si="3857"/>
        <v>#ERROR!</v>
      </c>
      <c r="FB824" s="18" t="str">
        <f>SUM(EX824:FA824)</f>
        <v>#ERROR!</v>
      </c>
      <c r="FC824" s="17" t="str">
        <f t="shared" ref="FC824:FF824" si="3858">-0.17*FC825</f>
        <v>#ERROR!</v>
      </c>
      <c r="FD824" s="17" t="str">
        <f t="shared" si="3858"/>
        <v>#ERROR!</v>
      </c>
      <c r="FE824" s="17" t="str">
        <f t="shared" si="3858"/>
        <v>#ERROR!</v>
      </c>
      <c r="FF824" s="132" t="str">
        <f t="shared" si="3858"/>
        <v>#ERROR!</v>
      </c>
      <c r="FG824" s="18" t="str">
        <f>SUM(FC824:FF824)</f>
        <v>#ERROR!</v>
      </c>
      <c r="FH824" s="74"/>
      <c r="FI824" s="17"/>
      <c r="FJ824" s="132"/>
      <c r="FK824" s="73"/>
      <c r="FL824" s="17"/>
    </row>
    <row r="825" ht="13.5" hidden="1" customHeight="1" outlineLevel="2">
      <c r="A825" s="4"/>
      <c r="B825" s="529" t="s">
        <v>324</v>
      </c>
      <c r="C825" s="164"/>
      <c r="D825" s="631"/>
      <c r="E825" s="631"/>
      <c r="F825" s="631"/>
      <c r="G825" s="631"/>
      <c r="H825" s="164"/>
      <c r="I825" s="631"/>
      <c r="J825" s="631"/>
      <c r="K825" s="631"/>
      <c r="L825" s="631"/>
      <c r="M825" s="164"/>
      <c r="N825" s="631"/>
      <c r="O825" s="631"/>
      <c r="P825" s="631"/>
      <c r="Q825" s="631"/>
      <c r="R825" s="164"/>
      <c r="S825" s="631"/>
      <c r="T825" s="631"/>
      <c r="U825" s="631"/>
      <c r="V825" s="631"/>
      <c r="W825" s="164"/>
      <c r="X825" s="631"/>
      <c r="Y825" s="631"/>
      <c r="Z825" s="631"/>
      <c r="AA825" s="631"/>
      <c r="AB825" s="164"/>
      <c r="AC825" s="631"/>
      <c r="AD825" s="631"/>
      <c r="AE825" s="631"/>
      <c r="AF825" s="631"/>
      <c r="AG825" s="164"/>
      <c r="AH825" s="631"/>
      <c r="AI825" s="631"/>
      <c r="AJ825" s="631"/>
      <c r="AK825" s="631"/>
      <c r="AL825" s="164"/>
      <c r="AM825" s="631"/>
      <c r="AN825" s="631"/>
      <c r="AO825" s="631"/>
      <c r="AP825" s="631"/>
      <c r="AQ825" s="164">
        <v>7533.0</v>
      </c>
      <c r="AR825" s="631">
        <f>EBIT</f>
        <v>2476</v>
      </c>
      <c r="AS825" s="631">
        <f>EBIT</f>
        <v>2381</v>
      </c>
      <c r="AT825" s="631">
        <f>EBIT</f>
        <v>2373</v>
      </c>
      <c r="AU825" s="631">
        <f>EBIT</f>
        <v>2900</v>
      </c>
      <c r="AV825" s="164">
        <f>EBIT</f>
        <v>10130</v>
      </c>
      <c r="AW825" s="631">
        <f>EBIT</f>
        <v>3032</v>
      </c>
      <c r="AX825" s="631">
        <f>EBIT</f>
        <v>2649</v>
      </c>
      <c r="AY825" s="631">
        <f>EBIT</f>
        <v>3240</v>
      </c>
      <c r="AZ825" s="631">
        <f>EBIT</f>
        <v>3309</v>
      </c>
      <c r="BA825" s="164">
        <f>EBIT</f>
        <v>12230</v>
      </c>
      <c r="BB825" s="631">
        <f>EBIT</f>
        <v>1718</v>
      </c>
      <c r="BC825" s="631">
        <f>EBIT</f>
        <v>1072</v>
      </c>
      <c r="BD825" s="631">
        <f>EBIT</f>
        <v>1374</v>
      </c>
      <c r="BE825" s="631">
        <f>EBIT</f>
        <v>1488</v>
      </c>
      <c r="BF825" s="164">
        <f>EBIT</f>
        <v>5652</v>
      </c>
      <c r="BG825" s="631">
        <f>EBIT</f>
        <v>1675</v>
      </c>
      <c r="BH825" s="631">
        <f>EBIT</f>
        <v>1350</v>
      </c>
      <c r="BI825" s="631">
        <f>EBIT</f>
        <v>2257</v>
      </c>
      <c r="BJ825" s="631">
        <f>EBIT</f>
        <v>3047</v>
      </c>
      <c r="BK825" s="164">
        <f>EBIT</f>
        <v>8329</v>
      </c>
      <c r="BL825" s="631">
        <f>EBIT</f>
        <v>2062</v>
      </c>
      <c r="BM825" s="631">
        <f>EBIT</f>
        <v>2255</v>
      </c>
      <c r="BN825" s="631">
        <f>EBIT</f>
        <v>3098</v>
      </c>
      <c r="BO825" s="631">
        <f>EBIT</f>
        <v>1539</v>
      </c>
      <c r="BP825" s="164">
        <f>EBIT</f>
        <v>8954</v>
      </c>
      <c r="BQ825" s="631">
        <f>EBIT</f>
        <v>647</v>
      </c>
      <c r="BR825" s="631">
        <f>EBIT</f>
        <v>1435</v>
      </c>
      <c r="BS825" s="631">
        <f>EBIT</f>
        <v>2579</v>
      </c>
      <c r="BT825" s="631">
        <f>EBIT</f>
        <v>3747</v>
      </c>
      <c r="BU825" s="164">
        <f>EBIT</f>
        <v>8408.004</v>
      </c>
      <c r="BV825" s="631">
        <f>EBIT</f>
        <v>3448</v>
      </c>
      <c r="BW825" s="631">
        <f>EBIT</f>
        <v>3981</v>
      </c>
      <c r="BX825" s="631">
        <f>EBIT</f>
        <v>4136</v>
      </c>
      <c r="BY825" s="631">
        <f>EBIT</f>
        <v>4023</v>
      </c>
      <c r="BZ825" s="165">
        <f>EBIT</f>
        <v>15588</v>
      </c>
      <c r="CA825" s="631">
        <f>EBIT</f>
        <v>4158</v>
      </c>
      <c r="CB825" s="631">
        <f>EBIT</f>
        <v>3935</v>
      </c>
      <c r="CC825" s="631">
        <f>EBIT</f>
        <v>4785</v>
      </c>
      <c r="CD825" s="631">
        <f>EBIT</f>
        <v>4599</v>
      </c>
      <c r="CE825" s="165">
        <f>EBIT</f>
        <v>17477</v>
      </c>
      <c r="CF825" s="631">
        <f>EBIT</f>
        <v>3810</v>
      </c>
      <c r="CG825" s="631">
        <f>EBIT</f>
        <v>3832</v>
      </c>
      <c r="CH825" s="631">
        <f>EBIT</f>
        <v>3841</v>
      </c>
      <c r="CI825" s="631">
        <f>EBIT</f>
        <v>3155</v>
      </c>
      <c r="CJ825" s="165">
        <f>EBIT</f>
        <v>14638</v>
      </c>
      <c r="CK825" s="631">
        <f>EBIT</f>
        <v>2519</v>
      </c>
      <c r="CL825" s="631">
        <f>EBIT</f>
        <v>2719</v>
      </c>
      <c r="CM825" s="631">
        <f>EBIT</f>
        <v>3504</v>
      </c>
      <c r="CN825" s="632">
        <f>EBIT</f>
        <v>3549</v>
      </c>
      <c r="CO825" s="165">
        <f>EBIT</f>
        <v>12291</v>
      </c>
      <c r="CP825" s="632">
        <f>EBIT</f>
        <v>2533</v>
      </c>
      <c r="CQ825" s="631">
        <f>EBIT</f>
        <v>3844</v>
      </c>
      <c r="CR825" s="631">
        <f>EBIT</f>
        <v>4540</v>
      </c>
      <c r="CS825" s="631">
        <f>EBIT</f>
        <v>4453</v>
      </c>
      <c r="CT825" s="165">
        <f>EBIT</f>
        <v>15507</v>
      </c>
      <c r="CU825" s="631">
        <f>EBIT</f>
        <v>2615</v>
      </c>
      <c r="CV825" s="631">
        <f>EBIT</f>
        <v>2896</v>
      </c>
      <c r="CW825" s="631">
        <f>EBIT</f>
        <v>4192</v>
      </c>
      <c r="CX825" s="631">
        <f>EBIT</f>
        <v>4299</v>
      </c>
      <c r="CY825" s="165">
        <f>EBIT</f>
        <v>14107</v>
      </c>
      <c r="CZ825" s="631">
        <f>EBIT</f>
        <v>2568</v>
      </c>
      <c r="DA825" s="631">
        <f>EBIT</f>
        <v>1318</v>
      </c>
      <c r="DB825" s="631">
        <f>EBIT</f>
        <v>4462</v>
      </c>
      <c r="DC825" s="631">
        <f>EBIT</f>
        <v>4526</v>
      </c>
      <c r="DD825" s="165">
        <f>EBIT</f>
        <v>12874</v>
      </c>
      <c r="DE825" s="631">
        <f>EBIT</f>
        <v>3599</v>
      </c>
      <c r="DF825" s="631">
        <f>EBIT</f>
        <v>3827</v>
      </c>
      <c r="DG825" s="19">
        <f>EBIT</f>
        <v>5115</v>
      </c>
      <c r="DH825" s="631">
        <f>EBIT</f>
        <v>5395</v>
      </c>
      <c r="DI825" s="165">
        <f>EBIT</f>
        <v>17936</v>
      </c>
      <c r="DJ825" s="632">
        <f>EBIT</f>
        <v>4470</v>
      </c>
      <c r="DK825" s="632">
        <f>EBIT</f>
        <v>5273</v>
      </c>
      <c r="DL825" s="632">
        <f>EBIT</f>
        <v>7349</v>
      </c>
      <c r="DM825" s="631">
        <f>EBIT</f>
        <v>6224</v>
      </c>
      <c r="DN825" s="165">
        <f>EBIT</f>
        <v>23316</v>
      </c>
      <c r="DO825" s="631">
        <f>EBIT</f>
        <v>4174</v>
      </c>
      <c r="DP825" s="631">
        <f>EBIT</f>
        <v>4617</v>
      </c>
      <c r="DQ825" s="631">
        <f>EBIT</f>
        <v>6447</v>
      </c>
      <c r="DR825" s="631">
        <f>EBIT</f>
        <v>6797</v>
      </c>
      <c r="DS825" s="165">
        <f>EBIT</f>
        <v>22035</v>
      </c>
      <c r="DT825" s="631">
        <f>EBIT</f>
        <v>7038</v>
      </c>
      <c r="DU825" s="631">
        <f>EBIT</f>
        <v>5697</v>
      </c>
      <c r="DV825" s="631">
        <f>EBIT</f>
        <v>5059</v>
      </c>
      <c r="DW825" s="631">
        <f>EBIT</f>
        <v>5884</v>
      </c>
      <c r="DX825" s="165">
        <f>EBIT</f>
        <v>23678</v>
      </c>
      <c r="DY825" s="631">
        <f>EBIT</f>
        <v>3694</v>
      </c>
      <c r="DZ825" s="631">
        <f>EBIT</f>
        <v>5546</v>
      </c>
      <c r="EA825" s="631">
        <f>EBIT</f>
        <v>5227</v>
      </c>
      <c r="EB825" s="631">
        <f>EBIT</f>
        <v>4989</v>
      </c>
      <c r="EC825" s="165">
        <f>EBIT</f>
        <v>19456</v>
      </c>
      <c r="ED825" s="631">
        <f>EBIT</f>
        <v>4341</v>
      </c>
      <c r="EE825" s="631">
        <f>EBIT</f>
        <v>-700</v>
      </c>
      <c r="EF825" s="631">
        <f>EBIT</f>
        <v>-175</v>
      </c>
      <c r="EG825" s="631">
        <f>EBIT</f>
        <v>-1132</v>
      </c>
      <c r="EH825" s="165">
        <f>EBIT</f>
        <v>2334</v>
      </c>
      <c r="EI825" s="633" t="str">
        <f>EBIT</f>
        <v>#ERROR!</v>
      </c>
      <c r="EJ825" s="631" t="str">
        <f>EBIT</f>
        <v>#ERROR!</v>
      </c>
      <c r="EK825" s="631" t="str">
        <f>EBIT</f>
        <v>#ERROR!</v>
      </c>
      <c r="EL825" s="631" t="str">
        <f>EBIT</f>
        <v>#ERROR!</v>
      </c>
      <c r="EM825" s="165" t="str">
        <f>EBIT</f>
        <v>#ERROR!</v>
      </c>
      <c r="EN825" s="631" t="str">
        <f>EBIT</f>
        <v>#ERROR!</v>
      </c>
      <c r="EO825" s="631" t="str">
        <f>EBIT</f>
        <v>#ERROR!</v>
      </c>
      <c r="EP825" s="631" t="str">
        <f>EBIT</f>
        <v>#ERROR!</v>
      </c>
      <c r="EQ825" s="631" t="str">
        <f>EBIT</f>
        <v>#ERROR!</v>
      </c>
      <c r="ER825" s="165" t="str">
        <f>EBIT</f>
        <v>#ERROR!</v>
      </c>
      <c r="ES825" s="631" t="str">
        <f>EBIT</f>
        <v>#ERROR!</v>
      </c>
      <c r="ET825" s="631" t="str">
        <f>EBIT</f>
        <v>#ERROR!</v>
      </c>
      <c r="EU825" s="631" t="str">
        <f>EBIT</f>
        <v>#ERROR!</v>
      </c>
      <c r="EV825" s="631" t="str">
        <f>EBIT</f>
        <v>#ERROR!</v>
      </c>
      <c r="EW825" s="165" t="str">
        <f>EBIT</f>
        <v>#ERROR!</v>
      </c>
      <c r="EX825" s="631" t="str">
        <f>EBIT</f>
        <v>#ERROR!</v>
      </c>
      <c r="EY825" s="631" t="str">
        <f>EBIT</f>
        <v>#ERROR!</v>
      </c>
      <c r="EZ825" s="631" t="str">
        <f>EBIT</f>
        <v>#ERROR!</v>
      </c>
      <c r="FA825" s="631" t="str">
        <f>EBIT</f>
        <v>#ERROR!</v>
      </c>
      <c r="FB825" s="165" t="str">
        <f>EBIT</f>
        <v>#ERROR!</v>
      </c>
      <c r="FC825" s="631" t="str">
        <f>EBIT</f>
        <v>#ERROR!</v>
      </c>
      <c r="FD825" s="631" t="str">
        <f>EBIT</f>
        <v>#ERROR!</v>
      </c>
      <c r="FE825" s="631" t="str">
        <f>EBIT</f>
        <v>#ERROR!</v>
      </c>
      <c r="FF825" s="631" t="str">
        <f>EBIT</f>
        <v>#ERROR!</v>
      </c>
      <c r="FG825" s="165" t="str">
        <f>EBIT</f>
        <v>#ERROR!</v>
      </c>
      <c r="FH825" s="583"/>
      <c r="FI825" s="631"/>
      <c r="FJ825" s="631"/>
      <c r="FK825" s="164"/>
      <c r="FL825" s="631"/>
    </row>
    <row r="826" ht="12.75" hidden="1" customHeight="1" outlineLevel="2">
      <c r="A826" s="4"/>
      <c r="B826" s="45"/>
      <c r="C826" s="45"/>
      <c r="D826" s="4"/>
      <c r="E826" s="4"/>
      <c r="F826" s="4"/>
      <c r="G826" s="4"/>
      <c r="H826" s="45"/>
      <c r="I826" s="4"/>
      <c r="J826" s="4"/>
      <c r="K826" s="4"/>
      <c r="L826" s="4"/>
      <c r="M826" s="45"/>
      <c r="N826" s="4"/>
      <c r="O826" s="4"/>
      <c r="P826" s="4"/>
      <c r="Q826" s="4"/>
      <c r="R826" s="45"/>
      <c r="S826" s="4"/>
      <c r="T826" s="4"/>
      <c r="U826" s="4"/>
      <c r="V826" s="4"/>
      <c r="W826" s="45"/>
      <c r="X826" s="4"/>
      <c r="Y826" s="4"/>
      <c r="Z826" s="4"/>
      <c r="AA826" s="4"/>
      <c r="AB826" s="45"/>
      <c r="AC826" s="4"/>
      <c r="AD826" s="4"/>
      <c r="AE826" s="4"/>
      <c r="AF826" s="4"/>
      <c r="AG826" s="45"/>
      <c r="AH826" s="4"/>
      <c r="AI826" s="4"/>
      <c r="AJ826" s="4"/>
      <c r="AK826" s="4"/>
      <c r="AL826" s="45"/>
      <c r="AM826" s="4"/>
      <c r="AN826" s="4"/>
      <c r="AO826" s="4"/>
      <c r="AP826" s="4"/>
      <c r="AQ826" s="45"/>
      <c r="AR826" s="4"/>
      <c r="AS826" s="4"/>
      <c r="AT826" s="4"/>
      <c r="AU826" s="4"/>
      <c r="AV826" s="45"/>
      <c r="AW826" s="4"/>
      <c r="AX826" s="4"/>
      <c r="AY826" s="4"/>
      <c r="AZ826" s="4"/>
      <c r="BA826" s="45"/>
      <c r="BB826" s="4"/>
      <c r="BC826" s="4"/>
      <c r="BD826" s="4"/>
      <c r="BE826" s="4"/>
      <c r="BF826" s="45"/>
      <c r="BG826" s="4"/>
      <c r="BH826" s="4"/>
      <c r="BI826" s="4"/>
      <c r="BJ826" s="4"/>
      <c r="BK826" s="45"/>
      <c r="BL826" s="4"/>
      <c r="BM826" s="4"/>
      <c r="BN826" s="4"/>
      <c r="BO826" s="4"/>
      <c r="BP826" s="45"/>
      <c r="BQ826" s="4"/>
      <c r="BR826" s="4"/>
      <c r="BS826" s="4"/>
      <c r="BT826" s="4"/>
      <c r="BU826" s="45"/>
      <c r="BV826" s="4"/>
      <c r="BW826" s="4"/>
      <c r="BX826" s="4"/>
      <c r="BY826" s="4"/>
      <c r="BZ826" s="350"/>
      <c r="CA826" s="4"/>
      <c r="CB826" s="4"/>
      <c r="CC826" s="4"/>
      <c r="CD826" s="4"/>
      <c r="CE826" s="350"/>
      <c r="CF826" s="4"/>
      <c r="CG826" s="4"/>
      <c r="CH826" s="4"/>
      <c r="CI826" s="4"/>
      <c r="CJ826" s="350"/>
      <c r="CK826" s="4"/>
      <c r="CL826" s="4"/>
      <c r="CM826" s="4"/>
      <c r="CN826" s="16"/>
      <c r="CO826" s="350"/>
      <c r="CP826" s="16"/>
      <c r="CQ826" s="4"/>
      <c r="CR826" s="4"/>
      <c r="CS826" s="4"/>
      <c r="CT826" s="350"/>
      <c r="CU826" s="4"/>
      <c r="CV826" s="4"/>
      <c r="CW826" s="4"/>
      <c r="CX826" s="4"/>
      <c r="CY826" s="350"/>
      <c r="CZ826" s="4"/>
      <c r="DA826" s="4"/>
      <c r="DB826" s="4"/>
      <c r="DC826" s="4"/>
      <c r="DD826" s="350"/>
      <c r="DE826" s="4"/>
      <c r="DF826" s="4"/>
      <c r="DG826" s="16"/>
      <c r="DH826" s="4"/>
      <c r="DI826" s="350"/>
      <c r="DJ826" s="16"/>
      <c r="DK826" s="16"/>
      <c r="DL826" s="16"/>
      <c r="DM826" s="4"/>
      <c r="DN826" s="350"/>
      <c r="DO826" s="4"/>
      <c r="DP826" s="4"/>
      <c r="DQ826" s="4"/>
      <c r="DR826" s="4"/>
      <c r="DS826" s="350"/>
      <c r="DT826" s="4"/>
      <c r="DU826" s="4"/>
      <c r="DV826" s="4"/>
      <c r="DW826" s="4"/>
      <c r="DX826" s="350"/>
      <c r="DY826" s="4"/>
      <c r="DZ826" s="4"/>
      <c r="EA826" s="4"/>
      <c r="EB826" s="4"/>
      <c r="EC826" s="350"/>
      <c r="ED826" s="4"/>
      <c r="EE826" s="4"/>
      <c r="EF826" s="4"/>
      <c r="EG826" s="4"/>
      <c r="EH826" s="350"/>
      <c r="EI826" s="214"/>
      <c r="EJ826" s="4"/>
      <c r="EK826" s="4"/>
      <c r="EL826" s="4"/>
      <c r="EM826" s="350"/>
      <c r="EN826" s="4"/>
      <c r="EO826" s="4"/>
      <c r="EP826" s="4"/>
      <c r="EQ826" s="4"/>
      <c r="ER826" s="350"/>
      <c r="ES826" s="4"/>
      <c r="ET826" s="4"/>
      <c r="EU826" s="4"/>
      <c r="EV826" s="4"/>
      <c r="EW826" s="350"/>
      <c r="EX826" s="4"/>
      <c r="EY826" s="4"/>
      <c r="EZ826" s="4"/>
      <c r="FA826" s="4"/>
      <c r="FB826" s="350"/>
      <c r="FC826" s="4"/>
      <c r="FD826" s="4"/>
      <c r="FE826" s="4"/>
      <c r="FF826" s="4"/>
      <c r="FG826" s="350"/>
      <c r="FH826" s="145"/>
      <c r="FI826" s="4"/>
      <c r="FJ826" s="4"/>
      <c r="FK826" s="45"/>
      <c r="FL826" s="4"/>
    </row>
    <row r="827" ht="12.75" hidden="1" customHeight="1" outlineLevel="2">
      <c r="A827" s="4"/>
      <c r="B827" s="578" t="s">
        <v>164</v>
      </c>
      <c r="C827" s="299"/>
      <c r="D827" s="585"/>
      <c r="E827" s="586"/>
      <c r="F827" s="586"/>
      <c r="G827" s="586"/>
      <c r="H827" s="585"/>
      <c r="I827" s="585"/>
      <c r="J827" s="586"/>
      <c r="K827" s="586"/>
      <c r="L827" s="586"/>
      <c r="M827" s="585"/>
      <c r="N827" s="585"/>
      <c r="O827" s="586"/>
      <c r="P827" s="586"/>
      <c r="Q827" s="586"/>
      <c r="R827" s="585"/>
      <c r="S827" s="585"/>
      <c r="T827" s="586"/>
      <c r="U827" s="586"/>
      <c r="V827" s="586"/>
      <c r="W827" s="585"/>
      <c r="X827" s="585"/>
      <c r="Y827" s="586"/>
      <c r="Z827" s="586"/>
      <c r="AA827" s="586"/>
      <c r="AB827" s="585"/>
      <c r="AC827" s="585"/>
      <c r="AD827" s="586"/>
      <c r="AE827" s="586"/>
      <c r="AF827" s="586"/>
      <c r="AG827" s="585"/>
      <c r="AH827" s="585"/>
      <c r="AI827" s="586"/>
      <c r="AJ827" s="586"/>
      <c r="AK827" s="586"/>
      <c r="AL827" s="585"/>
      <c r="AM827" s="585"/>
      <c r="AN827" s="586"/>
      <c r="AO827" s="586"/>
      <c r="AP827" s="586"/>
      <c r="AQ827" s="585"/>
      <c r="AR827" s="585"/>
      <c r="AS827" s="586"/>
      <c r="AT827" s="586"/>
      <c r="AU827" s="586"/>
      <c r="AV827" s="585"/>
      <c r="AW827" s="585"/>
      <c r="AX827" s="586"/>
      <c r="AY827" s="586"/>
      <c r="AZ827" s="586"/>
      <c r="BA827" s="585"/>
      <c r="BB827" s="585"/>
      <c r="BC827" s="586"/>
      <c r="BD827" s="586"/>
      <c r="BE827" s="586"/>
      <c r="BF827" s="585"/>
      <c r="BG827" s="585"/>
      <c r="BH827" s="586"/>
      <c r="BI827" s="586"/>
      <c r="BJ827" s="586"/>
      <c r="BK827" s="585"/>
      <c r="BL827" s="585"/>
      <c r="BM827" s="586"/>
      <c r="BN827" s="586"/>
      <c r="BO827" s="586"/>
      <c r="BP827" s="585"/>
      <c r="BQ827" s="585"/>
      <c r="BR827" s="586"/>
      <c r="BS827" s="586"/>
      <c r="BT827" s="586"/>
      <c r="BU827" s="585"/>
      <c r="BV827" s="585"/>
      <c r="BW827" s="586"/>
      <c r="BX827" s="586"/>
      <c r="BY827" s="586"/>
      <c r="BZ827" s="587"/>
      <c r="CA827" s="585"/>
      <c r="CB827" s="586"/>
      <c r="CC827" s="586"/>
      <c r="CD827" s="586"/>
      <c r="CE827" s="587"/>
      <c r="CF827" s="585"/>
      <c r="CG827" s="586"/>
      <c r="CH827" s="586"/>
      <c r="CI827" s="586"/>
      <c r="CJ827" s="587"/>
      <c r="CK827" s="585"/>
      <c r="CL827" s="586"/>
      <c r="CM827" s="586"/>
      <c r="CN827" s="588"/>
      <c r="CO827" s="587"/>
      <c r="CP827" s="588"/>
      <c r="CQ827" s="586"/>
      <c r="CR827" s="586"/>
      <c r="CS827" s="586"/>
      <c r="CT827" s="587"/>
      <c r="CU827" s="585"/>
      <c r="CV827" s="586"/>
      <c r="CW827" s="586"/>
      <c r="CX827" s="586"/>
      <c r="CY827" s="587"/>
      <c r="CZ827" s="585"/>
      <c r="DA827" s="586"/>
      <c r="DB827" s="586"/>
      <c r="DC827" s="586"/>
      <c r="DD827" s="587"/>
      <c r="DE827" s="585"/>
      <c r="DF827" s="586"/>
      <c r="DG827" s="474"/>
      <c r="DH827" s="586"/>
      <c r="DI827" s="587"/>
      <c r="DJ827" s="589"/>
      <c r="DK827" s="588"/>
      <c r="DL827" s="588"/>
      <c r="DM827" s="586"/>
      <c r="DN827" s="587"/>
      <c r="DO827" s="585"/>
      <c r="DP827" s="586"/>
      <c r="DQ827" s="586"/>
      <c r="DR827" s="586"/>
      <c r="DS827" s="587"/>
      <c r="DT827" s="585"/>
      <c r="DU827" s="585"/>
      <c r="DV827" s="585"/>
      <c r="DW827" s="585"/>
      <c r="DX827" s="587"/>
      <c r="DY827" s="585"/>
      <c r="DZ827" s="585"/>
      <c r="EA827" s="585"/>
      <c r="EB827" s="585"/>
      <c r="EC827" s="587"/>
      <c r="ED827" s="585"/>
      <c r="EE827" s="585"/>
      <c r="EF827" s="585"/>
      <c r="EG827" s="585"/>
      <c r="EH827" s="587"/>
      <c r="EI827" s="590"/>
      <c r="EJ827" s="586"/>
      <c r="EK827" s="586"/>
      <c r="EL827" s="586"/>
      <c r="EM827" s="587"/>
      <c r="EN827" s="585"/>
      <c r="EO827" s="586"/>
      <c r="EP827" s="586"/>
      <c r="EQ827" s="586"/>
      <c r="ER827" s="587"/>
      <c r="ES827" s="585"/>
      <c r="ET827" s="586"/>
      <c r="EU827" s="586"/>
      <c r="EV827" s="586"/>
      <c r="EW827" s="587"/>
      <c r="EX827" s="585"/>
      <c r="EY827" s="586"/>
      <c r="EZ827" s="586"/>
      <c r="FA827" s="586"/>
      <c r="FB827" s="587"/>
      <c r="FC827" s="585"/>
      <c r="FD827" s="586"/>
      <c r="FE827" s="586"/>
      <c r="FF827" s="586"/>
      <c r="FG827" s="587"/>
      <c r="FH827" s="589"/>
      <c r="FI827" s="586"/>
      <c r="FJ827" s="586"/>
      <c r="FK827" s="585"/>
      <c r="FL827" s="585"/>
    </row>
    <row r="828" ht="12.75" hidden="1" customHeight="1" outlineLevel="2">
      <c r="A828" s="45"/>
      <c r="B828" s="215" t="str">
        <f t="shared" ref="B828:B832" si="3860">B820</f>
        <v>Digital Enterprise Group</v>
      </c>
      <c r="C828" s="45"/>
      <c r="D828" s="15"/>
      <c r="E828" s="15"/>
      <c r="F828" s="15"/>
      <c r="G828" s="315"/>
      <c r="H828" s="410"/>
      <c r="I828" s="15"/>
      <c r="J828" s="15"/>
      <c r="K828" s="15"/>
      <c r="L828" s="315"/>
      <c r="M828" s="410"/>
      <c r="N828" s="15"/>
      <c r="O828" s="15"/>
      <c r="P828" s="15"/>
      <c r="Q828" s="315"/>
      <c r="R828" s="410"/>
      <c r="S828" s="15"/>
      <c r="T828" s="15"/>
      <c r="U828" s="15"/>
      <c r="V828" s="315"/>
      <c r="W828" s="410"/>
      <c r="X828" s="15"/>
      <c r="Y828" s="15"/>
      <c r="Z828" s="15"/>
      <c r="AA828" s="315"/>
      <c r="AB828" s="410"/>
      <c r="AC828" s="15"/>
      <c r="AD828" s="15"/>
      <c r="AE828" s="15"/>
      <c r="AF828" s="315"/>
      <c r="AG828" s="410"/>
      <c r="AH828" s="15"/>
      <c r="AI828" s="15"/>
      <c r="AJ828" s="15"/>
      <c r="AK828" s="315"/>
      <c r="AL828" s="410"/>
      <c r="AM828" s="15"/>
      <c r="AN828" s="15"/>
      <c r="AO828" s="15"/>
      <c r="AP828" s="315"/>
      <c r="AQ828" s="410"/>
      <c r="AR828" s="15">
        <f t="shared" ref="AR828:BS828" si="3859">AR820/AR750</f>
        <v>0.3936767774</v>
      </c>
      <c r="AS828" s="15">
        <f t="shared" si="3859"/>
        <v>0.3622207177</v>
      </c>
      <c r="AT828" s="15">
        <f t="shared" si="3859"/>
        <v>0.3080463689</v>
      </c>
      <c r="AU828" s="315">
        <f t="shared" si="3859"/>
        <v>0.3618780452</v>
      </c>
      <c r="AV828" s="410">
        <f t="shared" si="3859"/>
        <v>0.3572120429</v>
      </c>
      <c r="AW828" s="15">
        <f t="shared" si="3859"/>
        <v>0.3719540953</v>
      </c>
      <c r="AX828" s="15">
        <f t="shared" si="3859"/>
        <v>0.3319446759</v>
      </c>
      <c r="AY828" s="15">
        <f t="shared" si="3859"/>
        <v>0.3551020408</v>
      </c>
      <c r="AZ828" s="315">
        <f t="shared" si="3859"/>
        <v>0.3881342701</v>
      </c>
      <c r="BA828" s="410">
        <f t="shared" si="3859"/>
        <v>0.3622548435</v>
      </c>
      <c r="BB828" s="15">
        <f t="shared" si="3859"/>
        <v>0.2671459102</v>
      </c>
      <c r="BC828" s="15">
        <f t="shared" si="3859"/>
        <v>0.201471543</v>
      </c>
      <c r="BD828" s="15">
        <f t="shared" si="3859"/>
        <v>0.173473514</v>
      </c>
      <c r="BE828" s="315">
        <f t="shared" si="3859"/>
        <v>0.2140643162</v>
      </c>
      <c r="BF828" s="410">
        <f t="shared" si="3859"/>
        <v>0.2147816462</v>
      </c>
      <c r="BG828" s="15">
        <f t="shared" si="3859"/>
        <v>0.1958350862</v>
      </c>
      <c r="BH828" s="15">
        <f t="shared" si="3859"/>
        <v>0.1759638165</v>
      </c>
      <c r="BI828" s="15">
        <f t="shared" si="3859"/>
        <v>0.2471176018</v>
      </c>
      <c r="BJ828" s="315">
        <f t="shared" si="3859"/>
        <v>0.3720160307</v>
      </c>
      <c r="BK828" s="410">
        <f t="shared" si="3859"/>
        <v>0.2541297935</v>
      </c>
      <c r="BL828" s="15">
        <f t="shared" si="3859"/>
        <v>0.3240213196</v>
      </c>
      <c r="BM828" s="15">
        <f t="shared" si="3859"/>
        <v>0.3182579564</v>
      </c>
      <c r="BN828" s="15">
        <f t="shared" si="3859"/>
        <v>0.3324558105</v>
      </c>
      <c r="BO828" s="315">
        <f t="shared" si="3859"/>
        <v>0.2713333333</v>
      </c>
      <c r="BP828" s="410">
        <f t="shared" si="3859"/>
        <v>0.3132027918</v>
      </c>
      <c r="BQ828" s="15">
        <f t="shared" si="3859"/>
        <v>0.1753554502</v>
      </c>
      <c r="BR828" s="15">
        <f t="shared" si="3859"/>
        <v>0.2130576208</v>
      </c>
      <c r="BS828" s="15">
        <f t="shared" si="3859"/>
        <v>0.3077549359</v>
      </c>
      <c r="BT828" s="315">
        <v>0.29</v>
      </c>
      <c r="BU828" s="410" t="str">
        <f>BU820/BU750</f>
        <v>#ERROR!</v>
      </c>
      <c r="BV828" s="15">
        <v>0.24</v>
      </c>
      <c r="BW828" s="15">
        <v>0.22</v>
      </c>
      <c r="BX828" s="15">
        <v>0.29</v>
      </c>
      <c r="BY828" s="315">
        <v>0.33</v>
      </c>
      <c r="BZ828" s="24" t="str">
        <f>BZ820/BZ750</f>
        <v>#ERROR!</v>
      </c>
      <c r="CA828" s="15">
        <v>0.35</v>
      </c>
      <c r="CB828" s="15">
        <v>0.33</v>
      </c>
      <c r="CC828" s="15">
        <v>0.38</v>
      </c>
      <c r="CD828" s="315">
        <v>0.42</v>
      </c>
      <c r="CE828" s="24" t="str">
        <f>CE820/CE750</f>
        <v>#ERROR!</v>
      </c>
      <c r="CF828" s="15">
        <v>0.35</v>
      </c>
      <c r="CG828" s="15">
        <v>0.33</v>
      </c>
      <c r="CH828" s="15">
        <v>0.38</v>
      </c>
      <c r="CI828" s="315">
        <v>0.42</v>
      </c>
      <c r="CJ828" s="24" t="str">
        <f>CJ820/CJ750</f>
        <v>#ERROR!</v>
      </c>
      <c r="CK828" s="15">
        <v>0.35</v>
      </c>
      <c r="CL828" s="15">
        <v>0.33</v>
      </c>
      <c r="CM828" s="15">
        <v>0.38</v>
      </c>
      <c r="CN828" s="365">
        <v>0.42</v>
      </c>
      <c r="CO828" s="24" t="str">
        <f>CO820/CO750</f>
        <v>#ERROR!</v>
      </c>
      <c r="CP828" s="365">
        <v>0.35</v>
      </c>
      <c r="CQ828" s="15">
        <v>0.33</v>
      </c>
      <c r="CR828" s="15">
        <v>0.38</v>
      </c>
      <c r="CS828" s="315">
        <v>0.42</v>
      </c>
      <c r="CT828" s="24" t="str">
        <f>CT820/CT750</f>
        <v>#ERROR!</v>
      </c>
      <c r="CU828" s="15">
        <v>0.35</v>
      </c>
      <c r="CV828" s="15">
        <v>0.33</v>
      </c>
      <c r="CW828" s="15">
        <v>0.38</v>
      </c>
      <c r="CX828" s="315">
        <v>0.42</v>
      </c>
      <c r="CY828" s="24" t="str">
        <f>CY820/CY750</f>
        <v>#ERROR!</v>
      </c>
      <c r="CZ828" s="15">
        <v>0.35</v>
      </c>
      <c r="DA828" s="15">
        <v>0.33</v>
      </c>
      <c r="DB828" s="15">
        <v>0.38</v>
      </c>
      <c r="DC828" s="315">
        <v>0.42</v>
      </c>
      <c r="DD828" s="24" t="str">
        <f>DD820/DD750</f>
        <v>#ERROR!</v>
      </c>
      <c r="DE828" s="15">
        <v>0.35</v>
      </c>
      <c r="DF828" s="15">
        <v>0.33</v>
      </c>
      <c r="DG828" s="40">
        <v>0.38</v>
      </c>
      <c r="DH828" s="315">
        <v>0.42</v>
      </c>
      <c r="DI828" s="24" t="str">
        <f>DI820/DI750</f>
        <v>#ERROR!</v>
      </c>
      <c r="DJ828" s="40">
        <v>0.35</v>
      </c>
      <c r="DK828" s="40">
        <v>0.33</v>
      </c>
      <c r="DL828" s="40">
        <v>0.38</v>
      </c>
      <c r="DM828" s="315">
        <v>0.42</v>
      </c>
      <c r="DN828" s="24" t="str">
        <f>DN820/DN750</f>
        <v>#ERROR!</v>
      </c>
      <c r="DO828" s="15">
        <v>0.35</v>
      </c>
      <c r="DP828" s="15">
        <v>0.33</v>
      </c>
      <c r="DQ828" s="15">
        <v>0.38</v>
      </c>
      <c r="DR828" s="15">
        <v>0.42</v>
      </c>
      <c r="DS828" s="24" t="str">
        <f>DS820/DS750</f>
        <v>#ERROR!</v>
      </c>
      <c r="DT828" s="15">
        <v>0.35</v>
      </c>
      <c r="DU828" s="15">
        <v>0.33</v>
      </c>
      <c r="DV828" s="15">
        <v>0.38</v>
      </c>
      <c r="DW828" s="15">
        <v>0.42</v>
      </c>
      <c r="DX828" s="24" t="str">
        <f>DX820/DX750</f>
        <v>#ERROR!</v>
      </c>
      <c r="DY828" s="15">
        <v>0.35</v>
      </c>
      <c r="DZ828" s="15">
        <v>0.33</v>
      </c>
      <c r="EA828" s="15">
        <v>0.38</v>
      </c>
      <c r="EB828" s="15">
        <v>0.42</v>
      </c>
      <c r="EC828" s="24" t="str">
        <f>EC820/EC750</f>
        <v>#ERROR!</v>
      </c>
      <c r="ED828" s="15">
        <v>0.35</v>
      </c>
      <c r="EE828" s="15">
        <v>0.33</v>
      </c>
      <c r="EF828" s="15">
        <v>0.38</v>
      </c>
      <c r="EG828" s="15">
        <v>0.42</v>
      </c>
      <c r="EH828" s="24" t="str">
        <f>EH820/EH750</f>
        <v>#ERROR!</v>
      </c>
      <c r="EI828" s="314">
        <v>0.35</v>
      </c>
      <c r="EJ828" s="15">
        <v>0.33</v>
      </c>
      <c r="EK828" s="15">
        <v>0.38</v>
      </c>
      <c r="EL828" s="315">
        <v>0.42</v>
      </c>
      <c r="EM828" s="24" t="str">
        <f>EM820/EM750</f>
        <v>#ERROR!</v>
      </c>
      <c r="EN828" s="15">
        <v>0.35</v>
      </c>
      <c r="EO828" s="15">
        <v>0.33</v>
      </c>
      <c r="EP828" s="15">
        <v>0.38</v>
      </c>
      <c r="EQ828" s="315">
        <v>0.42</v>
      </c>
      <c r="ER828" s="24" t="str">
        <f>ER820/ER750</f>
        <v>#ERROR!</v>
      </c>
      <c r="ES828" s="15">
        <v>0.35</v>
      </c>
      <c r="ET828" s="15">
        <v>0.33</v>
      </c>
      <c r="EU828" s="15">
        <v>0.38</v>
      </c>
      <c r="EV828" s="315">
        <v>0.42</v>
      </c>
      <c r="EW828" s="24" t="str">
        <f>EW820/EW750</f>
        <v>#ERROR!</v>
      </c>
      <c r="EX828" s="15">
        <v>0.35</v>
      </c>
      <c r="EY828" s="15">
        <v>0.33</v>
      </c>
      <c r="EZ828" s="15">
        <v>0.38</v>
      </c>
      <c r="FA828" s="315">
        <v>0.42</v>
      </c>
      <c r="FB828" s="24" t="str">
        <f>FB820/FB750</f>
        <v>#ERROR!</v>
      </c>
      <c r="FC828" s="15">
        <v>0.35</v>
      </c>
      <c r="FD828" s="15">
        <v>0.33</v>
      </c>
      <c r="FE828" s="15">
        <v>0.38</v>
      </c>
      <c r="FF828" s="315">
        <v>0.42</v>
      </c>
      <c r="FG828" s="24" t="str">
        <f>FG820/FG750</f>
        <v>#ERROR!</v>
      </c>
      <c r="FH828" s="104"/>
      <c r="FI828" s="15"/>
      <c r="FJ828" s="315"/>
      <c r="FK828" s="410"/>
      <c r="FL828" s="15"/>
    </row>
    <row r="829" ht="12.75" hidden="1" customHeight="1" outlineLevel="2">
      <c r="A829" s="45"/>
      <c r="B829" s="215" t="str">
        <f t="shared" si="3860"/>
        <v>Mobility Group</v>
      </c>
      <c r="C829" s="45"/>
      <c r="D829" s="15"/>
      <c r="E829" s="15"/>
      <c r="F829" s="15"/>
      <c r="G829" s="15"/>
      <c r="H829" s="410"/>
      <c r="I829" s="15"/>
      <c r="J829" s="15"/>
      <c r="K829" s="15"/>
      <c r="L829" s="15"/>
      <c r="M829" s="410"/>
      <c r="N829" s="15"/>
      <c r="O829" s="15"/>
      <c r="P829" s="15"/>
      <c r="Q829" s="15"/>
      <c r="R829" s="410"/>
      <c r="S829" s="15"/>
      <c r="T829" s="15"/>
      <c r="U829" s="15"/>
      <c r="V829" s="15"/>
      <c r="W829" s="410"/>
      <c r="X829" s="15"/>
      <c r="Y829" s="15"/>
      <c r="Z829" s="15"/>
      <c r="AA829" s="15"/>
      <c r="AB829" s="410"/>
      <c r="AC829" s="15"/>
      <c r="AD829" s="15"/>
      <c r="AE829" s="15"/>
      <c r="AF829" s="15"/>
      <c r="AG829" s="410"/>
      <c r="AH829" s="15"/>
      <c r="AI829" s="15"/>
      <c r="AJ829" s="15"/>
      <c r="AK829" s="15"/>
      <c r="AL829" s="410"/>
      <c r="AM829" s="15"/>
      <c r="AN829" s="15"/>
      <c r="AO829" s="15"/>
      <c r="AP829" s="15"/>
      <c r="AQ829" s="410"/>
      <c r="AR829" s="15">
        <f t="shared" ref="AR829:AU829" si="3861">AR821/AR751</f>
        <v>0.3442340792</v>
      </c>
      <c r="AS829" s="15">
        <f t="shared" si="3861"/>
        <v>0.4844771242</v>
      </c>
      <c r="AT829" s="15">
        <f t="shared" si="3861"/>
        <v>0.506683641</v>
      </c>
      <c r="AU829" s="15">
        <f t="shared" si="3861"/>
        <v>0.5228070175</v>
      </c>
      <c r="AV829" s="410">
        <f t="shared" ref="AV829:FG829" si="3862">AV821/AV754</f>
        <v>0.2895219596</v>
      </c>
      <c r="AW829" s="15">
        <f t="shared" si="3862"/>
        <v>0.3649950183</v>
      </c>
      <c r="AX829" s="15">
        <f t="shared" si="3862"/>
        <v>0.3619047619</v>
      </c>
      <c r="AY829" s="15">
        <f t="shared" si="3862"/>
        <v>0.4069997178</v>
      </c>
      <c r="AZ829" s="15">
        <f t="shared" si="3862"/>
        <v>0.5439613527</v>
      </c>
      <c r="BA829" s="410">
        <f t="shared" si="3862"/>
        <v>0.4192364744</v>
      </c>
      <c r="BB829" s="15">
        <f t="shared" si="3862"/>
        <v>0.387713998</v>
      </c>
      <c r="BC829" s="15">
        <f t="shared" si="3862"/>
        <v>0.3518036445</v>
      </c>
      <c r="BD829" s="15">
        <f t="shared" si="3862"/>
        <v>0.4133858268</v>
      </c>
      <c r="BE829" s="15">
        <f t="shared" si="3862"/>
        <v>0.4536598942</v>
      </c>
      <c r="BF829" s="410">
        <f t="shared" si="3862"/>
        <v>0.4054756682</v>
      </c>
      <c r="BG829" s="15">
        <f t="shared" si="3862"/>
        <v>0.4175990324</v>
      </c>
      <c r="BH829" s="15">
        <f t="shared" si="3862"/>
        <v>0.3792475728</v>
      </c>
      <c r="BI829" s="15">
        <f t="shared" si="3862"/>
        <v>0.3253588517</v>
      </c>
      <c r="BJ829" s="15">
        <f t="shared" si="3862"/>
        <v>0.4097881665</v>
      </c>
      <c r="BK829" s="410">
        <f t="shared" si="3862"/>
        <v>0.3818540971</v>
      </c>
      <c r="BL829" s="15">
        <f t="shared" si="3862"/>
        <v>0.3177977651</v>
      </c>
      <c r="BM829" s="15">
        <f t="shared" si="3862"/>
        <v>0.3294706347</v>
      </c>
      <c r="BN829" s="15">
        <f t="shared" si="3862"/>
        <v>0.3950010681</v>
      </c>
      <c r="BO829" s="15">
        <f t="shared" si="3862"/>
        <v>0.2664952871</v>
      </c>
      <c r="BP829" s="410">
        <f t="shared" si="3862"/>
        <v>0.3322469325</v>
      </c>
      <c r="BQ829" s="15">
        <f t="shared" si="3862"/>
        <v>0.08373369938</v>
      </c>
      <c r="BR829" s="15">
        <f t="shared" si="3862"/>
        <v>0.2306808388</v>
      </c>
      <c r="BS829" s="15">
        <f t="shared" si="3862"/>
        <v>0.3267973856</v>
      </c>
      <c r="BT829" s="15" t="str">
        <f t="shared" si="3862"/>
        <v>#ERROR!</v>
      </c>
      <c r="BU829" s="410" t="str">
        <f t="shared" si="3862"/>
        <v>#ERROR!</v>
      </c>
      <c r="BV829" s="15" t="str">
        <f t="shared" si="3862"/>
        <v>#ERROR!</v>
      </c>
      <c r="BW829" s="15" t="str">
        <f t="shared" si="3862"/>
        <v>#ERROR!</v>
      </c>
      <c r="BX829" s="15" t="str">
        <f t="shared" si="3862"/>
        <v>#ERROR!</v>
      </c>
      <c r="BY829" s="15" t="str">
        <f t="shared" si="3862"/>
        <v>#ERROR!</v>
      </c>
      <c r="BZ829" s="24" t="str">
        <f t="shared" si="3862"/>
        <v>#ERROR!</v>
      </c>
      <c r="CA829" s="15" t="str">
        <f t="shared" si="3862"/>
        <v>#ERROR!</v>
      </c>
      <c r="CB829" s="15" t="str">
        <f t="shared" si="3862"/>
        <v>#ERROR!</v>
      </c>
      <c r="CC829" s="15" t="str">
        <f t="shared" si="3862"/>
        <v>#ERROR!</v>
      </c>
      <c r="CD829" s="15" t="str">
        <f t="shared" si="3862"/>
        <v>#ERROR!</v>
      </c>
      <c r="CE829" s="24" t="str">
        <f t="shared" si="3862"/>
        <v>#ERROR!</v>
      </c>
      <c r="CF829" s="15" t="str">
        <f t="shared" si="3862"/>
        <v>#ERROR!</v>
      </c>
      <c r="CG829" s="15" t="str">
        <f t="shared" si="3862"/>
        <v>#ERROR!</v>
      </c>
      <c r="CH829" s="15" t="str">
        <f t="shared" si="3862"/>
        <v>#ERROR!</v>
      </c>
      <c r="CI829" s="15" t="str">
        <f t="shared" si="3862"/>
        <v>#ERROR!</v>
      </c>
      <c r="CJ829" s="24" t="str">
        <f t="shared" si="3862"/>
        <v>#ERROR!</v>
      </c>
      <c r="CK829" s="15" t="str">
        <f t="shared" si="3862"/>
        <v>#ERROR!</v>
      </c>
      <c r="CL829" s="15" t="str">
        <f t="shared" si="3862"/>
        <v>#ERROR!</v>
      </c>
      <c r="CM829" s="15" t="str">
        <f t="shared" si="3862"/>
        <v>#ERROR!</v>
      </c>
      <c r="CN829" s="40" t="str">
        <f t="shared" si="3862"/>
        <v>#ERROR!</v>
      </c>
      <c r="CO829" s="24" t="str">
        <f t="shared" si="3862"/>
        <v>#ERROR!</v>
      </c>
      <c r="CP829" s="40" t="str">
        <f t="shared" si="3862"/>
        <v>#ERROR!</v>
      </c>
      <c r="CQ829" s="15" t="str">
        <f t="shared" si="3862"/>
        <v>#ERROR!</v>
      </c>
      <c r="CR829" s="15" t="str">
        <f t="shared" si="3862"/>
        <v>#ERROR!</v>
      </c>
      <c r="CS829" s="15" t="str">
        <f t="shared" si="3862"/>
        <v>#ERROR!</v>
      </c>
      <c r="CT829" s="24" t="str">
        <f t="shared" si="3862"/>
        <v>#ERROR!</v>
      </c>
      <c r="CU829" s="15" t="str">
        <f t="shared" si="3862"/>
        <v>#ERROR!</v>
      </c>
      <c r="CV829" s="15" t="str">
        <f t="shared" si="3862"/>
        <v>#ERROR!</v>
      </c>
      <c r="CW829" s="15" t="str">
        <f t="shared" si="3862"/>
        <v>#ERROR!</v>
      </c>
      <c r="CX829" s="15" t="str">
        <f t="shared" si="3862"/>
        <v>#ERROR!</v>
      </c>
      <c r="CY829" s="24" t="str">
        <f t="shared" si="3862"/>
        <v>#ERROR!</v>
      </c>
      <c r="CZ829" s="15" t="str">
        <f t="shared" si="3862"/>
        <v>#ERROR!</v>
      </c>
      <c r="DA829" s="15" t="str">
        <f t="shared" si="3862"/>
        <v>#ERROR!</v>
      </c>
      <c r="DB829" s="15" t="str">
        <f t="shared" si="3862"/>
        <v>#ERROR!</v>
      </c>
      <c r="DC829" s="15" t="str">
        <f t="shared" si="3862"/>
        <v>#ERROR!</v>
      </c>
      <c r="DD829" s="24" t="str">
        <f t="shared" si="3862"/>
        <v>#ERROR!</v>
      </c>
      <c r="DE829" s="15" t="str">
        <f t="shared" si="3862"/>
        <v>#ERROR!</v>
      </c>
      <c r="DF829" s="15" t="str">
        <f t="shared" si="3862"/>
        <v>#ERROR!</v>
      </c>
      <c r="DG829" s="40" t="str">
        <f t="shared" si="3862"/>
        <v>#ERROR!</v>
      </c>
      <c r="DH829" s="15" t="str">
        <f t="shared" si="3862"/>
        <v>#ERROR!</v>
      </c>
      <c r="DI829" s="24" t="str">
        <f t="shared" si="3862"/>
        <v>#ERROR!</v>
      </c>
      <c r="DJ829" s="40" t="str">
        <f t="shared" si="3862"/>
        <v>#ERROR!</v>
      </c>
      <c r="DK829" s="40" t="str">
        <f t="shared" si="3862"/>
        <v>#ERROR!</v>
      </c>
      <c r="DL829" s="40" t="str">
        <f t="shared" si="3862"/>
        <v>#ERROR!</v>
      </c>
      <c r="DM829" s="15" t="str">
        <f t="shared" si="3862"/>
        <v>#ERROR!</v>
      </c>
      <c r="DN829" s="24" t="str">
        <f t="shared" si="3862"/>
        <v>#ERROR!</v>
      </c>
      <c r="DO829" s="15" t="str">
        <f t="shared" si="3862"/>
        <v>#ERROR!</v>
      </c>
      <c r="DP829" s="15" t="str">
        <f t="shared" si="3862"/>
        <v>#ERROR!</v>
      </c>
      <c r="DQ829" s="15" t="str">
        <f t="shared" si="3862"/>
        <v>#ERROR!</v>
      </c>
      <c r="DR829" s="15" t="str">
        <f t="shared" si="3862"/>
        <v>#ERROR!</v>
      </c>
      <c r="DS829" s="24" t="str">
        <f t="shared" si="3862"/>
        <v>#ERROR!</v>
      </c>
      <c r="DT829" s="15" t="str">
        <f t="shared" si="3862"/>
        <v>#ERROR!</v>
      </c>
      <c r="DU829" s="15" t="str">
        <f t="shared" si="3862"/>
        <v>#ERROR!</v>
      </c>
      <c r="DV829" s="15" t="str">
        <f t="shared" si="3862"/>
        <v>#ERROR!</v>
      </c>
      <c r="DW829" s="15" t="str">
        <f t="shared" si="3862"/>
        <v>#ERROR!</v>
      </c>
      <c r="DX829" s="24" t="str">
        <f t="shared" si="3862"/>
        <v>#ERROR!</v>
      </c>
      <c r="DY829" s="15" t="str">
        <f t="shared" si="3862"/>
        <v>#ERROR!</v>
      </c>
      <c r="DZ829" s="15" t="str">
        <f t="shared" si="3862"/>
        <v>#ERROR!</v>
      </c>
      <c r="EA829" s="15" t="str">
        <f t="shared" si="3862"/>
        <v>#ERROR!</v>
      </c>
      <c r="EB829" s="15" t="str">
        <f t="shared" si="3862"/>
        <v>#ERROR!</v>
      </c>
      <c r="EC829" s="24" t="str">
        <f t="shared" si="3862"/>
        <v>#ERROR!</v>
      </c>
      <c r="ED829" s="15" t="str">
        <f t="shared" si="3862"/>
        <v>#ERROR!</v>
      </c>
      <c r="EE829" s="15" t="str">
        <f t="shared" si="3862"/>
        <v>#ERROR!</v>
      </c>
      <c r="EF829" s="15" t="str">
        <f t="shared" si="3862"/>
        <v>#ERROR!</v>
      </c>
      <c r="EG829" s="15" t="str">
        <f t="shared" si="3862"/>
        <v>#ERROR!</v>
      </c>
      <c r="EH829" s="24" t="str">
        <f t="shared" si="3862"/>
        <v>#ERROR!</v>
      </c>
      <c r="EI829" s="82" t="str">
        <f t="shared" si="3862"/>
        <v>#ERROR!</v>
      </c>
      <c r="EJ829" s="15" t="str">
        <f t="shared" si="3862"/>
        <v>#ERROR!</v>
      </c>
      <c r="EK829" s="15" t="str">
        <f t="shared" si="3862"/>
        <v>#ERROR!</v>
      </c>
      <c r="EL829" s="15" t="str">
        <f t="shared" si="3862"/>
        <v>#ERROR!</v>
      </c>
      <c r="EM829" s="24" t="str">
        <f t="shared" si="3862"/>
        <v>#ERROR!</v>
      </c>
      <c r="EN829" s="15" t="str">
        <f t="shared" si="3862"/>
        <v>#ERROR!</v>
      </c>
      <c r="EO829" s="15" t="str">
        <f t="shared" si="3862"/>
        <v>#ERROR!</v>
      </c>
      <c r="EP829" s="15" t="str">
        <f t="shared" si="3862"/>
        <v>#ERROR!</v>
      </c>
      <c r="EQ829" s="15" t="str">
        <f t="shared" si="3862"/>
        <v>#ERROR!</v>
      </c>
      <c r="ER829" s="24" t="str">
        <f t="shared" si="3862"/>
        <v>#ERROR!</v>
      </c>
      <c r="ES829" s="15" t="str">
        <f t="shared" si="3862"/>
        <v>#ERROR!</v>
      </c>
      <c r="ET829" s="15" t="str">
        <f t="shared" si="3862"/>
        <v>#ERROR!</v>
      </c>
      <c r="EU829" s="15" t="str">
        <f t="shared" si="3862"/>
        <v>#ERROR!</v>
      </c>
      <c r="EV829" s="15" t="str">
        <f t="shared" si="3862"/>
        <v>#ERROR!</v>
      </c>
      <c r="EW829" s="24" t="str">
        <f t="shared" si="3862"/>
        <v>#ERROR!</v>
      </c>
      <c r="EX829" s="15" t="str">
        <f t="shared" si="3862"/>
        <v>#ERROR!</v>
      </c>
      <c r="EY829" s="15" t="str">
        <f t="shared" si="3862"/>
        <v>#ERROR!</v>
      </c>
      <c r="EZ829" s="15" t="str">
        <f t="shared" si="3862"/>
        <v>#ERROR!</v>
      </c>
      <c r="FA829" s="15" t="str">
        <f t="shared" si="3862"/>
        <v>#ERROR!</v>
      </c>
      <c r="FB829" s="24" t="str">
        <f t="shared" si="3862"/>
        <v>#ERROR!</v>
      </c>
      <c r="FC829" s="15" t="str">
        <f t="shared" si="3862"/>
        <v>#ERROR!</v>
      </c>
      <c r="FD829" s="15" t="str">
        <f t="shared" si="3862"/>
        <v>#ERROR!</v>
      </c>
      <c r="FE829" s="15" t="str">
        <f t="shared" si="3862"/>
        <v>#ERROR!</v>
      </c>
      <c r="FF829" s="15" t="str">
        <f t="shared" si="3862"/>
        <v>#ERROR!</v>
      </c>
      <c r="FG829" s="24" t="str">
        <f t="shared" si="3862"/>
        <v>#ERROR!</v>
      </c>
      <c r="FH829" s="104"/>
      <c r="FI829" s="15"/>
      <c r="FJ829" s="15"/>
      <c r="FK829" s="410"/>
      <c r="FL829" s="15"/>
    </row>
    <row r="830" ht="12.75" hidden="1" customHeight="1" outlineLevel="2">
      <c r="A830" s="45"/>
      <c r="B830" s="215" t="str">
        <f t="shared" si="3860"/>
        <v>Mobility Group less Flash</v>
      </c>
      <c r="C830" s="45"/>
      <c r="D830" s="15"/>
      <c r="E830" s="15"/>
      <c r="F830" s="15"/>
      <c r="G830" s="15"/>
      <c r="H830" s="410"/>
      <c r="I830" s="15"/>
      <c r="J830" s="15"/>
      <c r="K830" s="15"/>
      <c r="L830" s="15"/>
      <c r="M830" s="410"/>
      <c r="N830" s="15"/>
      <c r="O830" s="15"/>
      <c r="P830" s="15"/>
      <c r="Q830" s="15"/>
      <c r="R830" s="410"/>
      <c r="S830" s="15"/>
      <c r="T830" s="15"/>
      <c r="U830" s="15"/>
      <c r="V830" s="15"/>
      <c r="W830" s="410"/>
      <c r="X830" s="15"/>
      <c r="Y830" s="15"/>
      <c r="Z830" s="15"/>
      <c r="AA830" s="15"/>
      <c r="AB830" s="410"/>
      <c r="AC830" s="15"/>
      <c r="AD830" s="15"/>
      <c r="AE830" s="15"/>
      <c r="AF830" s="15"/>
      <c r="AG830" s="410"/>
      <c r="AH830" s="15"/>
      <c r="AI830" s="15"/>
      <c r="AJ830" s="15"/>
      <c r="AK830" s="15"/>
      <c r="AL830" s="410"/>
      <c r="AM830" s="15"/>
      <c r="AN830" s="15"/>
      <c r="AO830" s="15"/>
      <c r="AP830" s="15"/>
      <c r="AQ830" s="410"/>
      <c r="AR830" s="15"/>
      <c r="AS830" s="15"/>
      <c r="AT830" s="15"/>
      <c r="AU830" s="15"/>
      <c r="AV830" s="410">
        <f>AV822/(AV754-AV753)</f>
        <v>0.4056144371</v>
      </c>
      <c r="AW830" s="15"/>
      <c r="AX830" s="15"/>
      <c r="AY830" s="15"/>
      <c r="AZ830" s="15"/>
      <c r="BA830" s="410">
        <f>BA822/(BA754-BA753)</f>
        <v>0.4312592708</v>
      </c>
      <c r="BB830" s="15"/>
      <c r="BC830" s="15"/>
      <c r="BD830" s="15"/>
      <c r="BE830" s="15"/>
      <c r="BF830" s="410"/>
      <c r="BG830" s="15"/>
      <c r="BH830" s="15"/>
      <c r="BI830" s="15"/>
      <c r="BJ830" s="15"/>
      <c r="BK830" s="410"/>
      <c r="BL830" s="15"/>
      <c r="BM830" s="15"/>
      <c r="BN830" s="15"/>
      <c r="BO830" s="15"/>
      <c r="BP830" s="410"/>
      <c r="BQ830" s="15"/>
      <c r="BR830" s="15"/>
      <c r="BS830" s="15"/>
      <c r="BT830" s="15"/>
      <c r="BU830" s="410"/>
      <c r="BV830" s="15"/>
      <c r="BW830" s="15"/>
      <c r="BX830" s="15"/>
      <c r="BY830" s="15"/>
      <c r="BZ830" s="24"/>
      <c r="CA830" s="15"/>
      <c r="CB830" s="15"/>
      <c r="CC830" s="15"/>
      <c r="CD830" s="15"/>
      <c r="CE830" s="24"/>
      <c r="CF830" s="15"/>
      <c r="CG830" s="15"/>
      <c r="CH830" s="15"/>
      <c r="CI830" s="15"/>
      <c r="CJ830" s="24"/>
      <c r="CK830" s="15"/>
      <c r="CL830" s="15"/>
      <c r="CM830" s="15"/>
      <c r="CN830" s="40"/>
      <c r="CO830" s="24"/>
      <c r="CP830" s="40"/>
      <c r="CQ830" s="15"/>
      <c r="CR830" s="15"/>
      <c r="CS830" s="15"/>
      <c r="CT830" s="24"/>
      <c r="CU830" s="15"/>
      <c r="CV830" s="15"/>
      <c r="CW830" s="15"/>
      <c r="CX830" s="15"/>
      <c r="CY830" s="24"/>
      <c r="CZ830" s="15"/>
      <c r="DA830" s="15"/>
      <c r="DB830" s="15"/>
      <c r="DC830" s="15"/>
      <c r="DD830" s="24"/>
      <c r="DE830" s="15"/>
      <c r="DF830" s="15"/>
      <c r="DG830" s="40"/>
      <c r="DH830" s="15"/>
      <c r="DI830" s="24"/>
      <c r="DJ830" s="40"/>
      <c r="DK830" s="40"/>
      <c r="DL830" s="40"/>
      <c r="DM830" s="15"/>
      <c r="DN830" s="24"/>
      <c r="DO830" s="15"/>
      <c r="DP830" s="15"/>
      <c r="DQ830" s="15"/>
      <c r="DR830" s="15"/>
      <c r="DS830" s="24"/>
      <c r="DT830" s="15"/>
      <c r="DU830" s="15"/>
      <c r="DV830" s="15"/>
      <c r="DW830" s="15"/>
      <c r="DX830" s="24"/>
      <c r="DY830" s="15"/>
      <c r="DZ830" s="15"/>
      <c r="EA830" s="15"/>
      <c r="EB830" s="15"/>
      <c r="EC830" s="24"/>
      <c r="ED830" s="15"/>
      <c r="EE830" s="15"/>
      <c r="EF830" s="15"/>
      <c r="EG830" s="15"/>
      <c r="EH830" s="24"/>
      <c r="EI830" s="82"/>
      <c r="EJ830" s="15"/>
      <c r="EK830" s="15"/>
      <c r="EL830" s="15"/>
      <c r="EM830" s="24"/>
      <c r="EN830" s="15"/>
      <c r="EO830" s="15"/>
      <c r="EP830" s="15"/>
      <c r="EQ830" s="15"/>
      <c r="ER830" s="24"/>
      <c r="ES830" s="15"/>
      <c r="ET830" s="15"/>
      <c r="EU830" s="15"/>
      <c r="EV830" s="15"/>
      <c r="EW830" s="24"/>
      <c r="EX830" s="15"/>
      <c r="EY830" s="15"/>
      <c r="EZ830" s="15"/>
      <c r="FA830" s="15"/>
      <c r="FB830" s="24"/>
      <c r="FC830" s="15"/>
      <c r="FD830" s="15"/>
      <c r="FE830" s="15"/>
      <c r="FF830" s="15"/>
      <c r="FG830" s="24"/>
      <c r="FH830" s="104"/>
      <c r="FI830" s="15"/>
      <c r="FJ830" s="15"/>
      <c r="FK830" s="410"/>
      <c r="FL830" s="15"/>
    </row>
    <row r="831" ht="12.75" hidden="1" customHeight="1" outlineLevel="2">
      <c r="A831" s="45"/>
      <c r="B831" s="215" t="str">
        <f t="shared" si="3860"/>
        <v>Flash Products Group</v>
      </c>
      <c r="C831" s="45"/>
      <c r="D831" s="15"/>
      <c r="E831" s="315"/>
      <c r="F831" s="315"/>
      <c r="G831" s="315"/>
      <c r="H831" s="410"/>
      <c r="I831" s="15"/>
      <c r="J831" s="315"/>
      <c r="K831" s="315"/>
      <c r="L831" s="315"/>
      <c r="M831" s="410"/>
      <c r="N831" s="15"/>
      <c r="O831" s="315"/>
      <c r="P831" s="315"/>
      <c r="Q831" s="315"/>
      <c r="R831" s="410"/>
      <c r="S831" s="15"/>
      <c r="T831" s="315"/>
      <c r="U831" s="315"/>
      <c r="V831" s="315"/>
      <c r="W831" s="410"/>
      <c r="X831" s="15"/>
      <c r="Y831" s="315"/>
      <c r="Z831" s="315"/>
      <c r="AA831" s="315"/>
      <c r="AB831" s="410"/>
      <c r="AC831" s="15"/>
      <c r="AD831" s="315"/>
      <c r="AE831" s="315"/>
      <c r="AF831" s="315"/>
      <c r="AG831" s="410"/>
      <c r="AH831" s="15"/>
      <c r="AI831" s="315"/>
      <c r="AJ831" s="315"/>
      <c r="AK831" s="315"/>
      <c r="AL831" s="410"/>
      <c r="AM831" s="15"/>
      <c r="AN831" s="315"/>
      <c r="AO831" s="315"/>
      <c r="AP831" s="315"/>
      <c r="AQ831" s="410"/>
      <c r="AR831" s="15"/>
      <c r="AS831" s="315"/>
      <c r="AT831" s="315"/>
      <c r="AU831" s="315"/>
      <c r="AV831" s="410">
        <f>AV823/AV753</f>
        <v>-0.06520787746</v>
      </c>
      <c r="AW831" s="15"/>
      <c r="AX831" s="315"/>
      <c r="AY831" s="315"/>
      <c r="AZ831" s="315">
        <f t="shared" ref="AZ831:BI831" si="3863">AZ823/AZ757</f>
        <v>-0.02</v>
      </c>
      <c r="BA831" s="410">
        <f t="shared" si="3863"/>
        <v>-0.06760316067</v>
      </c>
      <c r="BB831" s="15">
        <f t="shared" si="3863"/>
        <v>-0.1911764706</v>
      </c>
      <c r="BC831" s="315">
        <f t="shared" si="3863"/>
        <v>-0.2779850746</v>
      </c>
      <c r="BD831" s="315">
        <f t="shared" si="3863"/>
        <v>-0.2287968442</v>
      </c>
      <c r="BE831" s="315">
        <f t="shared" si="3863"/>
        <v>-0.3229166667</v>
      </c>
      <c r="BF831" s="410">
        <f t="shared" si="3863"/>
        <v>-0.2601969058</v>
      </c>
      <c r="BG831" s="15">
        <f t="shared" si="3863"/>
        <v>-0.6034115139</v>
      </c>
      <c r="BH831" s="315">
        <f t="shared" si="3863"/>
        <v>-0.5890688259</v>
      </c>
      <c r="BI831" s="315">
        <f t="shared" si="3863"/>
        <v>-0.2567811935</v>
      </c>
      <c r="BJ831" s="315"/>
      <c r="BK831" s="410">
        <f>BK823/BK757</f>
        <v>-0.3406279734</v>
      </c>
      <c r="BL831" s="15"/>
      <c r="BM831" s="315"/>
      <c r="BN831" s="315"/>
      <c r="BO831" s="315"/>
      <c r="BP831" s="410"/>
      <c r="BQ831" s="15"/>
      <c r="BR831" s="315"/>
      <c r="BS831" s="315"/>
      <c r="BT831" s="315"/>
      <c r="BU831" s="410"/>
      <c r="BV831" s="15"/>
      <c r="BW831" s="315"/>
      <c r="BX831" s="315"/>
      <c r="BY831" s="315"/>
      <c r="BZ831" s="24"/>
      <c r="CA831" s="15"/>
      <c r="CB831" s="315"/>
      <c r="CC831" s="315"/>
      <c r="CD831" s="315"/>
      <c r="CE831" s="24"/>
      <c r="CF831" s="15"/>
      <c r="CG831" s="315"/>
      <c r="CH831" s="315"/>
      <c r="CI831" s="315"/>
      <c r="CJ831" s="24"/>
      <c r="CK831" s="15"/>
      <c r="CL831" s="315"/>
      <c r="CM831" s="315"/>
      <c r="CN831" s="365"/>
      <c r="CO831" s="24"/>
      <c r="CP831" s="365"/>
      <c r="CQ831" s="315"/>
      <c r="CR831" s="315"/>
      <c r="CS831" s="315"/>
      <c r="CT831" s="24"/>
      <c r="CU831" s="15"/>
      <c r="CV831" s="315"/>
      <c r="CW831" s="315"/>
      <c r="CX831" s="315"/>
      <c r="CY831" s="24"/>
      <c r="CZ831" s="15"/>
      <c r="DA831" s="315"/>
      <c r="DB831" s="315"/>
      <c r="DC831" s="315"/>
      <c r="DD831" s="24"/>
      <c r="DE831" s="15"/>
      <c r="DF831" s="315"/>
      <c r="DG831" s="365"/>
      <c r="DH831" s="315"/>
      <c r="DI831" s="24"/>
      <c r="DJ831" s="40"/>
      <c r="DK831" s="365"/>
      <c r="DL831" s="365"/>
      <c r="DM831" s="315"/>
      <c r="DN831" s="24"/>
      <c r="DO831" s="15"/>
      <c r="DP831" s="315"/>
      <c r="DQ831" s="315"/>
      <c r="DR831" s="315"/>
      <c r="DS831" s="24"/>
      <c r="DT831" s="15"/>
      <c r="DU831" s="15"/>
      <c r="DV831" s="15"/>
      <c r="DW831" s="15"/>
      <c r="DX831" s="24"/>
      <c r="DY831" s="15"/>
      <c r="DZ831" s="15"/>
      <c r="EA831" s="15"/>
      <c r="EB831" s="15"/>
      <c r="EC831" s="24"/>
      <c r="ED831" s="15"/>
      <c r="EE831" s="15"/>
      <c r="EF831" s="15"/>
      <c r="EG831" s="15"/>
      <c r="EH831" s="24"/>
      <c r="EI831" s="314"/>
      <c r="EJ831" s="315"/>
      <c r="EK831" s="315"/>
      <c r="EL831" s="315"/>
      <c r="EM831" s="24"/>
      <c r="EN831" s="15"/>
      <c r="EO831" s="315"/>
      <c r="EP831" s="315"/>
      <c r="EQ831" s="315"/>
      <c r="ER831" s="24"/>
      <c r="ES831" s="15"/>
      <c r="ET831" s="315"/>
      <c r="EU831" s="315"/>
      <c r="EV831" s="315"/>
      <c r="EW831" s="24"/>
      <c r="EX831" s="15"/>
      <c r="EY831" s="315"/>
      <c r="EZ831" s="315"/>
      <c r="FA831" s="315"/>
      <c r="FB831" s="24"/>
      <c r="FC831" s="15"/>
      <c r="FD831" s="315"/>
      <c r="FE831" s="315"/>
      <c r="FF831" s="315"/>
      <c r="FG831" s="24"/>
      <c r="FH831" s="104"/>
      <c r="FI831" s="315"/>
      <c r="FJ831" s="315"/>
      <c r="FK831" s="410"/>
      <c r="FL831" s="15"/>
    </row>
    <row r="832" ht="12.75" hidden="1" customHeight="1" outlineLevel="2">
      <c r="A832" s="45"/>
      <c r="B832" s="215" t="str">
        <f t="shared" si="3860"/>
        <v>All Other</v>
      </c>
      <c r="C832" s="45"/>
      <c r="D832" s="326"/>
      <c r="E832" s="326"/>
      <c r="F832" s="326"/>
      <c r="G832" s="326"/>
      <c r="H832" s="323"/>
      <c r="I832" s="326"/>
      <c r="J832" s="326"/>
      <c r="K832" s="326"/>
      <c r="L832" s="326"/>
      <c r="M832" s="323"/>
      <c r="N832" s="326"/>
      <c r="O832" s="326"/>
      <c r="P832" s="326"/>
      <c r="Q832" s="326"/>
      <c r="R832" s="323"/>
      <c r="S832" s="326"/>
      <c r="T832" s="326"/>
      <c r="U832" s="326"/>
      <c r="V832" s="326"/>
      <c r="W832" s="323"/>
      <c r="X832" s="326"/>
      <c r="Y832" s="326"/>
      <c r="Z832" s="326"/>
      <c r="AA832" s="326"/>
      <c r="AB832" s="323"/>
      <c r="AC832" s="326"/>
      <c r="AD832" s="326"/>
      <c r="AE832" s="326"/>
      <c r="AF832" s="326"/>
      <c r="AG832" s="323"/>
      <c r="AH832" s="326"/>
      <c r="AI832" s="326"/>
      <c r="AJ832" s="326"/>
      <c r="AK832" s="326"/>
      <c r="AL832" s="323"/>
      <c r="AM832" s="326"/>
      <c r="AN832" s="326"/>
      <c r="AO832" s="326"/>
      <c r="AP832" s="326"/>
      <c r="AQ832" s="323"/>
      <c r="AR832" s="326">
        <f>AR824/AllOtherRev</f>
        <v>-10.77142857</v>
      </c>
      <c r="AS832" s="326">
        <f>AS824/AllOtherRev</f>
        <v>-9.263157895</v>
      </c>
      <c r="AT832" s="326">
        <f>AT824/AllOtherRev</f>
        <v>-5.227272727</v>
      </c>
      <c r="AU832" s="326">
        <f>AU824/AllOtherRev</f>
        <v>-9.468085106</v>
      </c>
      <c r="AV832" s="323">
        <f>AV824/AllOtherRev</f>
        <v>-8.56097561</v>
      </c>
      <c r="AW832" s="326">
        <f>AW824/AllOtherRev</f>
        <v>-6.983870968</v>
      </c>
      <c r="AX832" s="326">
        <f>AX824/AllOtherRev</f>
        <v>-6.0375</v>
      </c>
      <c r="AY832" s="326">
        <f>AY824/AllOtherRev</f>
        <v>-9.872340426</v>
      </c>
      <c r="AZ832" s="326">
        <f>AZ824/AllOtherRev</f>
        <v>-7.824175824</v>
      </c>
      <c r="BA832" s="323">
        <f>BA824/AllOtherRev</f>
        <v>-7.471428571</v>
      </c>
      <c r="BB832" s="326">
        <f>BB824/AllOtherRev</f>
        <v>-2.622222222</v>
      </c>
      <c r="BC832" s="326">
        <f>BC824/AllOtherRev</f>
        <v>-4.024539877</v>
      </c>
      <c r="BD832" s="326">
        <f>BD824/AllOtherRev</f>
        <v>-2.638655462</v>
      </c>
      <c r="BE832" s="326">
        <f>BE824/AllOtherRev</f>
        <v>-2.922865014</v>
      </c>
      <c r="BF832" s="323">
        <f>BF824/AllOtherRev</f>
        <v>-2.952611219</v>
      </c>
      <c r="BG832" s="326">
        <f>BG824/AllOtherRev</f>
        <v>-1.099378882</v>
      </c>
      <c r="BH832" s="326">
        <f>BH824/AllOtherRev</f>
        <v>-1.724696356</v>
      </c>
      <c r="BI832" s="326">
        <f>BI824/AllOtherRev</f>
        <v>-0.8066298343</v>
      </c>
      <c r="BJ832" s="326">
        <f>BJ824/AllOtherRev</f>
        <v>-2.753571429</v>
      </c>
      <c r="BK832" s="323">
        <f>BK824/AllOtherRev</f>
        <v>-1.521882742</v>
      </c>
      <c r="BL832" s="326">
        <f>BL824/AllOtherRev</f>
        <v>-1.539964476</v>
      </c>
      <c r="BM832" s="326">
        <f>BM824/AllOtherRev</f>
        <v>-2.353333333</v>
      </c>
      <c r="BN832" s="326">
        <f>BN824/AllOtherRev</f>
        <v>-2.380733945</v>
      </c>
      <c r="BO832" s="326">
        <f>BO824/AllOtherRev</f>
        <v>-2.733333333</v>
      </c>
      <c r="BP832" s="323">
        <f>BP824/AllOtherRev</f>
        <v>-2.072741194</v>
      </c>
      <c r="BQ832" s="326">
        <f>BQ824/AllOtherRev</f>
        <v>-1.351351351</v>
      </c>
      <c r="BR832" s="326">
        <f>BR824/AllOtherRev</f>
        <v>-7.246861925</v>
      </c>
      <c r="BS832" s="326">
        <f>BS824/AllOtherRev</f>
        <v>-0.8202898551</v>
      </c>
      <c r="BT832" s="326">
        <f>BT824/AllOtherRev</f>
        <v>-1.633307692</v>
      </c>
      <c r="BU832" s="323">
        <f>BU824/AllOtherRev</f>
        <v>-2.468219064</v>
      </c>
      <c r="BV832" s="326">
        <f>BV824/AllOtherRev</f>
        <v>-1.450049863</v>
      </c>
      <c r="BW832" s="326">
        <f>BW824/AllOtherRev</f>
        <v>-1.718530674</v>
      </c>
      <c r="BX832" s="326">
        <f>BX824/AllOtherRev</f>
        <v>-1.505549629</v>
      </c>
      <c r="BY832" s="326">
        <f>BY824/AllOtherRev</f>
        <v>-1.333721558</v>
      </c>
      <c r="BZ832" s="324">
        <f>BZ824/AllOtherRev</f>
        <v>-1.490547208</v>
      </c>
      <c r="CA832" s="326">
        <f>CA824/AllOtherRev</f>
        <v>-1.51363881</v>
      </c>
      <c r="CB832" s="326">
        <f>CB824/AllOtherRev</f>
        <v>-1.467851782</v>
      </c>
      <c r="CC832" s="326">
        <f>CC824/AllOtherRev</f>
        <v>-1.522371451</v>
      </c>
      <c r="CD832" s="326">
        <f>CD824/AllOtherRev</f>
        <v>-1.340295902</v>
      </c>
      <c r="CE832" s="324">
        <f>CE824/AllOtherRev</f>
        <v>-1.45614178</v>
      </c>
      <c r="CF832" s="326">
        <f>CF824/AllOtherRev</f>
        <v>-1.302680485</v>
      </c>
      <c r="CG832" s="326">
        <f>CG824/AllOtherRev</f>
        <v>-1.343066128</v>
      </c>
      <c r="CH832" s="326">
        <f>CH824/AllOtherRev</f>
        <v>-1.14657262</v>
      </c>
      <c r="CI832" s="326">
        <f>CI824/AllOtherRev</f>
        <v>-0.8622858393</v>
      </c>
      <c r="CJ832" s="324">
        <f>CJ824/AllOtherRev</f>
        <v>-1.144776514</v>
      </c>
      <c r="CK832" s="326">
        <f>CK824/AllOtherRev</f>
        <v>-0.8078497178</v>
      </c>
      <c r="CL832" s="326">
        <f>CL824/AllOtherRev</f>
        <v>-0.8941766865</v>
      </c>
      <c r="CM832" s="326">
        <f>CM824/AllOtherRev</f>
        <v>-0.9801070333</v>
      </c>
      <c r="CN832" s="327">
        <f>CN824/AllOtherRev</f>
        <v>-0.9084791661</v>
      </c>
      <c r="CO832" s="324">
        <f>CO824/AllOtherRev</f>
        <v>-0.9010608121</v>
      </c>
      <c r="CP832" s="327">
        <f>CP824/AllOtherRev</f>
        <v>-0.7609677734</v>
      </c>
      <c r="CQ832" s="326">
        <f>CQ824/AllOtherRev</f>
        <v>-1.184601587</v>
      </c>
      <c r="CR832" s="326">
        <f>CR824/AllOtherRev</f>
        <v>-1.188436906</v>
      </c>
      <c r="CS832" s="326">
        <f>CS824/AllOtherRev</f>
        <v>-1.066317284</v>
      </c>
      <c r="CT832" s="324">
        <f>CT824/AllOtherRev</f>
        <v>-1.054919783</v>
      </c>
      <c r="CU832" s="326">
        <f>CU824/AllOtherRev</f>
        <v>-0.7350143501</v>
      </c>
      <c r="CV832" s="326">
        <f>CV824/AllOtherRev</f>
        <v>-0.8352567099</v>
      </c>
      <c r="CW832" s="326">
        <f>CW824/AllOtherRev</f>
        <v>-1.025738022</v>
      </c>
      <c r="CX832" s="326">
        <f>CX824/AllOtherRev</f>
        <v>-0.9618758173</v>
      </c>
      <c r="CY832" s="324">
        <f>CY824/AllOtherRev</f>
        <v>-0.8986495898</v>
      </c>
      <c r="CZ832" s="326">
        <f>CZ824/AllOtherRev</f>
        <v>-0.6745309862</v>
      </c>
      <c r="DA832" s="326">
        <f>DA824/AllOtherRev</f>
        <v>-0.355346719</v>
      </c>
      <c r="DB832" s="326">
        <f>DB824/AllOtherRev</f>
        <v>-1.019410215</v>
      </c>
      <c r="DC832" s="326">
        <f>DC824/AllOtherRev</f>
        <v>-0.9451531695</v>
      </c>
      <c r="DD832" s="324">
        <f>DD824/AllOtherRev</f>
        <v>-0.7717380676</v>
      </c>
      <c r="DE832" s="326">
        <f>DE824/AllOtherRev</f>
        <v>-0.8824426155</v>
      </c>
      <c r="DF832" s="326">
        <f>DF824/AllOtherRev</f>
        <v>-0.9634277403</v>
      </c>
      <c r="DG832" s="327">
        <f>DG824/AllOtherRev</f>
        <v>-1.08994286</v>
      </c>
      <c r="DH832" s="326">
        <f>DH824/AllOtherRev</f>
        <v>-1.050409068</v>
      </c>
      <c r="DI832" s="324">
        <f>DI824/AllOtherRev</f>
        <v>-1.003147247</v>
      </c>
      <c r="DJ832" s="327">
        <f>DJ824/AllOtherRev</f>
        <v>-1.0219977</v>
      </c>
      <c r="DK832" s="327">
        <f>DK824/AllOtherRev</f>
        <v>-1.238156846</v>
      </c>
      <c r="DL832" s="327">
        <f>DL824/AllOtherRev</f>
        <v>-1.459097226</v>
      </c>
      <c r="DM832" s="326">
        <f>DM824/AllOtherRev</f>
        <v>-1.128713882</v>
      </c>
      <c r="DN832" s="324">
        <f>DN824/AllOtherRev</f>
        <v>-1.215422475</v>
      </c>
      <c r="DO832" s="326">
        <f>DO824/AllOtherRev</f>
        <v>-0.8889908951</v>
      </c>
      <c r="DP832" s="326">
        <f>DP824/AllOtherRev</f>
        <v>-1.010167018</v>
      </c>
      <c r="DQ832" s="326">
        <f>DQ824/AllOtherRev</f>
        <v>-1.19150278</v>
      </c>
      <c r="DR832" s="326">
        <f>DR824/AllOtherRev</f>
        <v>-1.147019571</v>
      </c>
      <c r="DS832" s="324">
        <f>DS824/AllOtherRev</f>
        <v>-1.06953823</v>
      </c>
      <c r="DT832" s="326">
        <f>DT824/AllOtherRev</f>
        <v>-1.395036229</v>
      </c>
      <c r="DU832" s="326">
        <f>DU824/AllOtherRev</f>
        <v>-1.160319203</v>
      </c>
      <c r="DV832" s="326">
        <f>DV824/AllOtherRev</f>
        <v>-0.8695422803</v>
      </c>
      <c r="DW832" s="326">
        <f>DW824/AllOtherRev</f>
        <v>-0.9231685201</v>
      </c>
      <c r="DX832" s="324">
        <f>DX824/AllOtherRev</f>
        <v>-1.069148774</v>
      </c>
      <c r="DY832" s="326">
        <f>DY824/AllOtherRev</f>
        <v>-0.6808272396</v>
      </c>
      <c r="DZ832" s="326">
        <f>DZ824/AllOtherRev</f>
        <v>-1.050546665</v>
      </c>
      <c r="EA832" s="326">
        <f>EA824/AllOtherRev</f>
        <v>-0.8348287982</v>
      </c>
      <c r="EB832" s="326">
        <f>EB824/AllOtherRev</f>
        <v>-0.7271346713</v>
      </c>
      <c r="EC832" s="324">
        <f>EC824/AllOtherRev</f>
        <v>-0.8165440819</v>
      </c>
      <c r="ED832" s="326">
        <f>ED824/AllOtherRev</f>
        <v>-0.7433082432</v>
      </c>
      <c r="EE832" s="326">
        <f>EE824/AllOtherRev</f>
        <v>0.1232159933</v>
      </c>
      <c r="EF832" s="326">
        <f>EF824/AllOtherRev</f>
        <v>0.02595101847</v>
      </c>
      <c r="EG832" s="326">
        <f>EG824/AllOtherRev</f>
        <v>0.1531443771</v>
      </c>
      <c r="EH832" s="324">
        <f>EH824/AllOtherRev</f>
        <v>-0.09097152763</v>
      </c>
      <c r="EI832" s="361" t="str">
        <f>EI824/AllOtherRev</f>
        <v>#ERROR!</v>
      </c>
      <c r="EJ832" s="326" t="str">
        <f>EJ824/AllOtherRev</f>
        <v>#ERROR!</v>
      </c>
      <c r="EK832" s="326" t="str">
        <f>EK824/AllOtherRev</f>
        <v>#ERROR!</v>
      </c>
      <c r="EL832" s="326" t="str">
        <f>EL824/AllOtherRev</f>
        <v>#ERROR!</v>
      </c>
      <c r="EM832" s="324" t="str">
        <f>EM824/AllOtherRev</f>
        <v>#ERROR!</v>
      </c>
      <c r="EN832" s="326" t="str">
        <f>EN824/AllOtherRev</f>
        <v>#ERROR!</v>
      </c>
      <c r="EO832" s="326" t="str">
        <f>EO824/AllOtherRev</f>
        <v>#ERROR!</v>
      </c>
      <c r="EP832" s="326" t="str">
        <f>EP824/AllOtherRev</f>
        <v>#ERROR!</v>
      </c>
      <c r="EQ832" s="326" t="str">
        <f>EQ824/AllOtherRev</f>
        <v>#ERROR!</v>
      </c>
      <c r="ER832" s="324" t="str">
        <f>ER824/AllOtherRev</f>
        <v>#ERROR!</v>
      </c>
      <c r="ES832" s="326" t="str">
        <f>ES824/AllOtherRev</f>
        <v>#ERROR!</v>
      </c>
      <c r="ET832" s="326" t="str">
        <f>ET824/AllOtherRev</f>
        <v>#ERROR!</v>
      </c>
      <c r="EU832" s="326" t="str">
        <f>EU824/AllOtherRev</f>
        <v>#ERROR!</v>
      </c>
      <c r="EV832" s="326" t="str">
        <f>EV824/AllOtherRev</f>
        <v>#ERROR!</v>
      </c>
      <c r="EW832" s="324" t="str">
        <f>EW824/AllOtherRev</f>
        <v>#ERROR!</v>
      </c>
      <c r="EX832" s="326" t="str">
        <f>EX824/AllOtherRev</f>
        <v>#ERROR!</v>
      </c>
      <c r="EY832" s="326" t="str">
        <f>EY824/AllOtherRev</f>
        <v>#ERROR!</v>
      </c>
      <c r="EZ832" s="326" t="str">
        <f>EZ824/AllOtherRev</f>
        <v>#ERROR!</v>
      </c>
      <c r="FA832" s="326" t="str">
        <f>FA824/AllOtherRev</f>
        <v>#ERROR!</v>
      </c>
      <c r="FB832" s="324" t="str">
        <f>FB824/AllOtherRev</f>
        <v>#ERROR!</v>
      </c>
      <c r="FC832" s="326" t="str">
        <f>FC824/AllOtherRev</f>
        <v>#ERROR!</v>
      </c>
      <c r="FD832" s="326" t="str">
        <f>FD824/AllOtherRev</f>
        <v>#ERROR!</v>
      </c>
      <c r="FE832" s="326" t="str">
        <f>FE824/AllOtherRev</f>
        <v>#ERROR!</v>
      </c>
      <c r="FF832" s="326" t="str">
        <f>FF824/AllOtherRev</f>
        <v>#ERROR!</v>
      </c>
      <c r="FG832" s="324" t="str">
        <f>FG824/AllOtherRev</f>
        <v>#ERROR!</v>
      </c>
      <c r="FH832" s="325"/>
      <c r="FI832" s="326"/>
      <c r="FJ832" s="326"/>
      <c r="FK832" s="323"/>
      <c r="FL832" s="326"/>
    </row>
    <row r="833" ht="13.5" hidden="1" customHeight="1" outlineLevel="2">
      <c r="A833" s="4"/>
      <c r="B833" s="529" t="s">
        <v>324</v>
      </c>
      <c r="C833" s="164"/>
      <c r="D833" s="606"/>
      <c r="E833" s="606"/>
      <c r="F833" s="606"/>
      <c r="G833" s="606"/>
      <c r="H833" s="596"/>
      <c r="I833" s="606"/>
      <c r="J833" s="606"/>
      <c r="K833" s="606"/>
      <c r="L833" s="606"/>
      <c r="M833" s="596"/>
      <c r="N833" s="606"/>
      <c r="O833" s="606"/>
      <c r="P833" s="606"/>
      <c r="Q833" s="606"/>
      <c r="R833" s="596"/>
      <c r="S833" s="606"/>
      <c r="T833" s="606"/>
      <c r="U833" s="606"/>
      <c r="V833" s="606"/>
      <c r="W833" s="596"/>
      <c r="X833" s="606"/>
      <c r="Y833" s="606"/>
      <c r="Z833" s="606"/>
      <c r="AA833" s="606"/>
      <c r="AB833" s="596"/>
      <c r="AC833" s="606"/>
      <c r="AD833" s="606"/>
      <c r="AE833" s="606"/>
      <c r="AF833" s="606"/>
      <c r="AG833" s="596"/>
      <c r="AH833" s="606"/>
      <c r="AI833" s="606"/>
      <c r="AJ833" s="606"/>
      <c r="AK833" s="606"/>
      <c r="AL833" s="596"/>
      <c r="AM833" s="606"/>
      <c r="AN833" s="606"/>
      <c r="AO833" s="606"/>
      <c r="AP833" s="606"/>
      <c r="AQ833" s="596"/>
      <c r="AR833" s="606">
        <f>opMargins</f>
        <v>0.3060190335</v>
      </c>
      <c r="AS833" s="606">
        <f>opMargins</f>
        <v>0.2958131445</v>
      </c>
      <c r="AT833" s="606">
        <f>opMargins</f>
        <v>0.2801322158</v>
      </c>
      <c r="AU833" s="606">
        <f>opMargins</f>
        <v>0.3021462805</v>
      </c>
      <c r="AV833" s="596">
        <f>opMargins</f>
        <v>0.2961209039</v>
      </c>
      <c r="AW833" s="606">
        <f>opMargins</f>
        <v>0.3213907144</v>
      </c>
      <c r="AX833" s="606">
        <f>opMargins</f>
        <v>0.2869678258</v>
      </c>
      <c r="AY833" s="606">
        <f>opMargins</f>
        <v>0.3253012048</v>
      </c>
      <c r="AZ833" s="606">
        <f>opMargins</f>
        <v>0.3243799627</v>
      </c>
      <c r="BA833" s="596">
        <f>opMargins</f>
        <v>0.3149951064</v>
      </c>
      <c r="BB833" s="606">
        <f>opMargins</f>
        <v>0.1921700224</v>
      </c>
      <c r="BC833" s="606">
        <f>opMargins</f>
        <v>0.1338494194</v>
      </c>
      <c r="BD833" s="606">
        <f>opMargins</f>
        <v>0.1572262273</v>
      </c>
      <c r="BE833" s="606">
        <f>opMargins</f>
        <v>0.1534970085</v>
      </c>
      <c r="BF833" s="596">
        <f>opMargins</f>
        <v>0.1597422418</v>
      </c>
      <c r="BG833" s="606">
        <f>opMargins</f>
        <v>0.1892227745</v>
      </c>
      <c r="BH833" s="606">
        <f>opMargins</f>
        <v>0.1555299539</v>
      </c>
      <c r="BI833" s="606">
        <f>opMargins</f>
        <v>0.2236868186</v>
      </c>
      <c r="BJ833" s="606">
        <f>opMargins</f>
        <v>0.2844473488</v>
      </c>
      <c r="BK833" s="596">
        <f>opMargins</f>
        <v>0.2172744822</v>
      </c>
      <c r="BL833" s="606">
        <f>opMargins</f>
        <v>0.2131706813</v>
      </c>
      <c r="BM833" s="606">
        <f>opMargins</f>
        <v>0.2381203801</v>
      </c>
      <c r="BN833" s="606">
        <f>opMargins</f>
        <v>0.3032201233</v>
      </c>
      <c r="BO833" s="606">
        <f>opMargins</f>
        <v>0.1870897155</v>
      </c>
      <c r="BP833" s="596">
        <f>opMargins</f>
        <v>0.2382269994</v>
      </c>
      <c r="BQ833" s="606">
        <f>opMargins</f>
        <v>0.09055283415</v>
      </c>
      <c r="BR833" s="606">
        <f>opMargins</f>
        <v>0.1788384845</v>
      </c>
      <c r="BS833" s="606">
        <f>opMargins</f>
        <v>0.2746831398</v>
      </c>
      <c r="BT833" s="606">
        <f>opMargins</f>
        <v>0.3545273914</v>
      </c>
      <c r="BU833" s="596">
        <f>opMargins</f>
        <v>0.2393601503</v>
      </c>
      <c r="BV833" s="606">
        <f>opMargins</f>
        <v>0.3347897854</v>
      </c>
      <c r="BW833" s="606">
        <f>opMargins</f>
        <v>0.369809568</v>
      </c>
      <c r="BX833" s="606">
        <f>opMargins</f>
        <v>0.3725454873</v>
      </c>
      <c r="BY833" s="606">
        <f>opMargins</f>
        <v>0.3511390416</v>
      </c>
      <c r="BZ833" s="597">
        <f>opMargins</f>
        <v>0.3573344337</v>
      </c>
      <c r="CA833" s="606">
        <f>opMargins</f>
        <v>0.3236553281</v>
      </c>
      <c r="CB833" s="606">
        <f>opMargins</f>
        <v>0.3019490485</v>
      </c>
      <c r="CC833" s="606">
        <f>opMargins</f>
        <v>0.3361905431</v>
      </c>
      <c r="CD833" s="606">
        <f>opMargins</f>
        <v>0.3311730395</v>
      </c>
      <c r="CE833" s="597">
        <f>opMargins</f>
        <v>0.3236541417</v>
      </c>
      <c r="CF833" s="606">
        <f>opMargins</f>
        <v>0.2952115295</v>
      </c>
      <c r="CG833" s="606">
        <f>opMargins</f>
        <v>0.2838308273</v>
      </c>
      <c r="CH833" s="606">
        <f>opMargins</f>
        <v>0.2854276585</v>
      </c>
      <c r="CI833" s="606">
        <f>opMargins</f>
        <v>0.2341025451</v>
      </c>
      <c r="CJ833" s="597">
        <f>opMargins</f>
        <v>0.2744230517</v>
      </c>
      <c r="CK833" s="606">
        <f>opMargins</f>
        <v>0.2002384738</v>
      </c>
      <c r="CL833" s="606">
        <f>opMargins</f>
        <v>0.2122394817</v>
      </c>
      <c r="CM833" s="606">
        <f>opMargins</f>
        <v>0.2598828154</v>
      </c>
      <c r="CN833" s="607">
        <f>opMargins</f>
        <v>0.2565418534</v>
      </c>
      <c r="CO833" s="597">
        <f>opMargins</f>
        <v>0.2331904075</v>
      </c>
      <c r="CP833" s="607">
        <f>opMargins</f>
        <v>0.1984487621</v>
      </c>
      <c r="CQ833" s="606">
        <f>opMargins</f>
        <v>0.2779263972</v>
      </c>
      <c r="CR833" s="606">
        <f>opMargins</f>
        <v>0.3119417342</v>
      </c>
      <c r="CS833" s="606">
        <f>opMargins</f>
        <v>0.3024930372</v>
      </c>
      <c r="CT833" s="597">
        <f>opMargins</f>
        <v>0.2775550385</v>
      </c>
      <c r="CU833" s="606">
        <f>opMargins</f>
        <v>0.204600579</v>
      </c>
      <c r="CV833" s="606">
        <f>opMargins</f>
        <v>0.2194770746</v>
      </c>
      <c r="CW833" s="606">
        <f>opMargins</f>
        <v>0.2898029727</v>
      </c>
      <c r="CX833" s="606">
        <f>opMargins</f>
        <v>0.2882526485</v>
      </c>
      <c r="CY833" s="597">
        <f>opMargins</f>
        <v>0.254845994</v>
      </c>
      <c r="CZ833" s="606">
        <f>opMargins</f>
        <v>0.1860734729</v>
      </c>
      <c r="DA833" s="606">
        <f>opMargins</f>
        <v>0.09739156137</v>
      </c>
      <c r="DB833" s="606">
        <f>opMargins</f>
        <v>0.2827988338</v>
      </c>
      <c r="DC833" s="606">
        <f>opMargins</f>
        <v>0.2764138268</v>
      </c>
      <c r="DD833" s="597">
        <f>opMargins</f>
        <v>0.2164206704</v>
      </c>
      <c r="DE833" s="606">
        <f>opMargins</f>
        <v>0.2432414166</v>
      </c>
      <c r="DF833" s="606">
        <f>opMargins</f>
        <v>0.259229154</v>
      </c>
      <c r="DG833" s="40">
        <f>opMargins</f>
        <v>0.3167378785</v>
      </c>
      <c r="DH833" s="606">
        <f>opMargins</f>
        <v>0.3163666217</v>
      </c>
      <c r="DI833" s="597">
        <f>opMargins</f>
        <v>0.285782572</v>
      </c>
      <c r="DJ833" s="607">
        <f>opMargins</f>
        <v>0.2782273123</v>
      </c>
      <c r="DK833" s="607">
        <f>opMargins</f>
        <v>0.3108713595</v>
      </c>
      <c r="DL833" s="607">
        <f>opMargins</f>
        <v>0.3834994521</v>
      </c>
      <c r="DM833" s="606">
        <f>opMargins</f>
        <v>0.3336013293</v>
      </c>
      <c r="DN833" s="597">
        <f>opMargins</f>
        <v>0.329098916</v>
      </c>
      <c r="DO833" s="606">
        <f>opMargins</f>
        <v>0.2598841915</v>
      </c>
      <c r="DP833" s="606">
        <f>opMargins</f>
        <v>0.2797334141</v>
      </c>
      <c r="DQ833" s="606">
        <f>opMargins</f>
        <v>0.3359562272</v>
      </c>
      <c r="DR833" s="606">
        <f>opMargins</f>
        <v>0.3363352962</v>
      </c>
      <c r="DS833" s="597">
        <f>opMargins</f>
        <v>0.3061905093</v>
      </c>
      <c r="DT833" s="606">
        <f>opMargins</f>
        <v>0.3549525923</v>
      </c>
      <c r="DU833" s="606">
        <f>opMargins</f>
        <v>0.2887773723</v>
      </c>
      <c r="DV833" s="606">
        <f>opMargins</f>
        <v>0.2759504718</v>
      </c>
      <c r="DW833" s="606">
        <f>opMargins</f>
        <v>0.2945239764</v>
      </c>
      <c r="DX833" s="597">
        <f>opMargins</f>
        <v>0.3040826024</v>
      </c>
      <c r="DY833" s="606">
        <f>opMargins</f>
        <v>0.1989658516</v>
      </c>
      <c r="DZ833" s="606">
        <f>opMargins</f>
        <v>0.2992499865</v>
      </c>
      <c r="EA833" s="606">
        <f>opMargins</f>
        <v>0.2889920938</v>
      </c>
      <c r="EB833" s="606">
        <f>opMargins</f>
        <v>0.2554269916</v>
      </c>
      <c r="EC833" s="597">
        <f>opMargins</f>
        <v>0.2603924088</v>
      </c>
      <c r="ED833" s="606">
        <f>opMargins</f>
        <v>0.2365280881</v>
      </c>
      <c r="EE833" s="606">
        <f>opMargins</f>
        <v>-0.0456889237</v>
      </c>
      <c r="EF833" s="606">
        <f>opMargins</f>
        <v>-0.011409571</v>
      </c>
      <c r="EG833" s="606">
        <f>opMargins</f>
        <v>-0.08061529697</v>
      </c>
      <c r="EH833" s="597">
        <f>opMargins</f>
        <v>0.03701589114</v>
      </c>
      <c r="EI833" s="608" t="str">
        <f>opMargins</f>
        <v>#ERROR!</v>
      </c>
      <c r="EJ833" s="606" t="str">
        <f>opMargins</f>
        <v>#ERROR!</v>
      </c>
      <c r="EK833" s="606" t="str">
        <f>opMargins</f>
        <v>#ERROR!</v>
      </c>
      <c r="EL833" s="606" t="str">
        <f>opMargins</f>
        <v>#ERROR!</v>
      </c>
      <c r="EM833" s="597" t="str">
        <f>opMargins</f>
        <v>#ERROR!</v>
      </c>
      <c r="EN833" s="606" t="str">
        <f>opMargins</f>
        <v>#ERROR!</v>
      </c>
      <c r="EO833" s="606" t="str">
        <f>opMargins</f>
        <v>#ERROR!</v>
      </c>
      <c r="EP833" s="606" t="str">
        <f>opMargins</f>
        <v>#ERROR!</v>
      </c>
      <c r="EQ833" s="606" t="str">
        <f>opMargins</f>
        <v>#ERROR!</v>
      </c>
      <c r="ER833" s="597" t="str">
        <f>opMargins</f>
        <v>#ERROR!</v>
      </c>
      <c r="ES833" s="606" t="str">
        <f>opMargins</f>
        <v>#ERROR!</v>
      </c>
      <c r="ET833" s="606" t="str">
        <f>opMargins</f>
        <v>#ERROR!</v>
      </c>
      <c r="EU833" s="606" t="str">
        <f>opMargins</f>
        <v>#ERROR!</v>
      </c>
      <c r="EV833" s="606" t="str">
        <f>opMargins</f>
        <v>#ERROR!</v>
      </c>
      <c r="EW833" s="597" t="str">
        <f>opMargins</f>
        <v>#ERROR!</v>
      </c>
      <c r="EX833" s="606" t="str">
        <f>opMargins</f>
        <v>#ERROR!</v>
      </c>
      <c r="EY833" s="606" t="str">
        <f>opMargins</f>
        <v>#ERROR!</v>
      </c>
      <c r="EZ833" s="606" t="str">
        <f>opMargins</f>
        <v>#ERROR!</v>
      </c>
      <c r="FA833" s="606" t="str">
        <f>opMargins</f>
        <v>#ERROR!</v>
      </c>
      <c r="FB833" s="597" t="str">
        <f>opMargins</f>
        <v>#ERROR!</v>
      </c>
      <c r="FC833" s="606" t="str">
        <f>opMargins</f>
        <v>#ERROR!</v>
      </c>
      <c r="FD833" s="606" t="str">
        <f>opMargins</f>
        <v>#ERROR!</v>
      </c>
      <c r="FE833" s="606" t="str">
        <f>opMargins</f>
        <v>#ERROR!</v>
      </c>
      <c r="FF833" s="606" t="str">
        <f>opMargins</f>
        <v>#ERROR!</v>
      </c>
      <c r="FG833" s="597" t="str">
        <f>opMargins</f>
        <v>#ERROR!</v>
      </c>
      <c r="FH833" s="595"/>
      <c r="FI833" s="606"/>
      <c r="FJ833" s="606"/>
      <c r="FK833" s="596"/>
      <c r="FL833" s="606"/>
    </row>
    <row r="834" ht="12.75" hidden="1" customHeight="1" outlineLevel="2">
      <c r="A834" s="4"/>
      <c r="B834" s="45"/>
      <c r="C834" s="45"/>
      <c r="D834" s="4"/>
      <c r="E834" s="4"/>
      <c r="F834" s="4"/>
      <c r="G834" s="4"/>
      <c r="H834" s="45"/>
      <c r="I834" s="4"/>
      <c r="J834" s="4"/>
      <c r="K834" s="4"/>
      <c r="L834" s="4"/>
      <c r="M834" s="45"/>
      <c r="N834" s="4"/>
      <c r="O834" s="4"/>
      <c r="P834" s="4"/>
      <c r="Q834" s="4"/>
      <c r="R834" s="45"/>
      <c r="S834" s="4"/>
      <c r="T834" s="4"/>
      <c r="U834" s="4"/>
      <c r="V834" s="4"/>
      <c r="W834" s="45"/>
      <c r="X834" s="4"/>
      <c r="Y834" s="4"/>
      <c r="Z834" s="4"/>
      <c r="AA834" s="4"/>
      <c r="AB834" s="45"/>
      <c r="AC834" s="4"/>
      <c r="AD834" s="4"/>
      <c r="AE834" s="4"/>
      <c r="AF834" s="4"/>
      <c r="AG834" s="45"/>
      <c r="AH834" s="4"/>
      <c r="AI834" s="4"/>
      <c r="AJ834" s="4"/>
      <c r="AK834" s="4"/>
      <c r="AL834" s="45"/>
      <c r="AM834" s="4"/>
      <c r="AN834" s="4"/>
      <c r="AO834" s="4"/>
      <c r="AP834" s="4"/>
      <c r="AQ834" s="45"/>
      <c r="AR834" s="4"/>
      <c r="AS834" s="4"/>
      <c r="AT834" s="4"/>
      <c r="AU834" s="4"/>
      <c r="AV834" s="45"/>
      <c r="AW834" s="4"/>
      <c r="AX834" s="4"/>
      <c r="AY834" s="4"/>
      <c r="AZ834" s="4"/>
      <c r="BA834" s="45"/>
      <c r="BB834" s="4"/>
      <c r="BC834" s="4"/>
      <c r="BD834" s="4"/>
      <c r="BE834" s="4"/>
      <c r="BF834" s="45"/>
      <c r="BG834" s="4"/>
      <c r="BH834" s="4"/>
      <c r="BI834" s="4"/>
      <c r="BJ834" s="4"/>
      <c r="BK834" s="45"/>
      <c r="BL834" s="4"/>
      <c r="BM834" s="4"/>
      <c r="BN834" s="4"/>
      <c r="BO834" s="4"/>
      <c r="BP834" s="45"/>
      <c r="BQ834" s="4"/>
      <c r="BR834" s="4"/>
      <c r="BS834" s="4"/>
      <c r="BT834" s="4"/>
      <c r="BU834" s="45"/>
      <c r="BV834" s="4"/>
      <c r="BW834" s="4"/>
      <c r="BX834" s="4"/>
      <c r="BY834" s="4"/>
      <c r="BZ834" s="350"/>
      <c r="CA834" s="4"/>
      <c r="CB834" s="4"/>
      <c r="CC834" s="4"/>
      <c r="CD834" s="4"/>
      <c r="CE834" s="350"/>
      <c r="CF834" s="4"/>
      <c r="CG834" s="4"/>
      <c r="CH834" s="4"/>
      <c r="CI834" s="4"/>
      <c r="CJ834" s="350"/>
      <c r="CK834" s="4"/>
      <c r="CL834" s="4"/>
      <c r="CM834" s="4"/>
      <c r="CN834" s="16"/>
      <c r="CO834" s="350"/>
      <c r="CP834" s="16"/>
      <c r="CQ834" s="4"/>
      <c r="CR834" s="4"/>
      <c r="CS834" s="4"/>
      <c r="CT834" s="350"/>
      <c r="CU834" s="4"/>
      <c r="CV834" s="4"/>
      <c r="CW834" s="4"/>
      <c r="CX834" s="4"/>
      <c r="CY834" s="350"/>
      <c r="CZ834" s="4"/>
      <c r="DA834" s="4"/>
      <c r="DB834" s="4"/>
      <c r="DC834" s="4"/>
      <c r="DD834" s="350"/>
      <c r="DE834" s="4"/>
      <c r="DF834" s="4"/>
      <c r="DG834" s="16"/>
      <c r="DH834" s="4"/>
      <c r="DI834" s="350"/>
      <c r="DJ834" s="16"/>
      <c r="DK834" s="16"/>
      <c r="DL834" s="16"/>
      <c r="DM834" s="4"/>
      <c r="DN834" s="350"/>
      <c r="DO834" s="4"/>
      <c r="DP834" s="4"/>
      <c r="DQ834" s="4"/>
      <c r="DR834" s="4"/>
      <c r="DS834" s="350"/>
      <c r="DT834" s="4"/>
      <c r="DU834" s="4"/>
      <c r="DV834" s="4"/>
      <c r="DW834" s="4"/>
      <c r="DX834" s="350"/>
      <c r="DY834" s="4"/>
      <c r="DZ834" s="4"/>
      <c r="EA834" s="4"/>
      <c r="EB834" s="4"/>
      <c r="EC834" s="350"/>
      <c r="ED834" s="4"/>
      <c r="EE834" s="4"/>
      <c r="EF834" s="4"/>
      <c r="EG834" s="4"/>
      <c r="EH834" s="350"/>
      <c r="EI834" s="214"/>
      <c r="EJ834" s="4"/>
      <c r="EK834" s="4"/>
      <c r="EL834" s="4"/>
      <c r="EM834" s="350"/>
      <c r="EN834" s="4"/>
      <c r="EO834" s="4"/>
      <c r="EP834" s="4"/>
      <c r="EQ834" s="4"/>
      <c r="ER834" s="350"/>
      <c r="ES834" s="4"/>
      <c r="ET834" s="4"/>
      <c r="EU834" s="4"/>
      <c r="EV834" s="4"/>
      <c r="EW834" s="350"/>
      <c r="EX834" s="4"/>
      <c r="EY834" s="4"/>
      <c r="EZ834" s="4"/>
      <c r="FA834" s="4"/>
      <c r="FB834" s="350"/>
      <c r="FC834" s="4"/>
      <c r="FD834" s="4"/>
      <c r="FE834" s="4"/>
      <c r="FF834" s="4"/>
      <c r="FG834" s="350"/>
      <c r="FH834" s="145"/>
      <c r="FI834" s="4"/>
      <c r="FJ834" s="4"/>
      <c r="FK834" s="45"/>
      <c r="FL834" s="4"/>
    </row>
    <row r="835" ht="12.75" hidden="1" customHeight="1" outlineLevel="2">
      <c r="A835" s="4"/>
      <c r="B835" s="578" t="s">
        <v>325</v>
      </c>
      <c r="C835" s="299"/>
      <c r="D835" s="585"/>
      <c r="E835" s="586"/>
      <c r="F835" s="586"/>
      <c r="G835" s="586"/>
      <c r="H835" s="585"/>
      <c r="I835" s="585"/>
      <c r="J835" s="586"/>
      <c r="K835" s="586"/>
      <c r="L835" s="586"/>
      <c r="M835" s="585"/>
      <c r="N835" s="585"/>
      <c r="O835" s="586"/>
      <c r="P835" s="586"/>
      <c r="Q835" s="586"/>
      <c r="R835" s="585"/>
      <c r="S835" s="585"/>
      <c r="T835" s="586"/>
      <c r="U835" s="586"/>
      <c r="V835" s="586"/>
      <c r="W835" s="585"/>
      <c r="X835" s="585"/>
      <c r="Y835" s="586"/>
      <c r="Z835" s="586"/>
      <c r="AA835" s="586"/>
      <c r="AB835" s="585"/>
      <c r="AC835" s="585"/>
      <c r="AD835" s="586"/>
      <c r="AE835" s="586"/>
      <c r="AF835" s="586"/>
      <c r="AG835" s="585"/>
      <c r="AH835" s="585"/>
      <c r="AI835" s="586"/>
      <c r="AJ835" s="586"/>
      <c r="AK835" s="586"/>
      <c r="AL835" s="585"/>
      <c r="AM835" s="585"/>
      <c r="AN835" s="586"/>
      <c r="AO835" s="586"/>
      <c r="AP835" s="586"/>
      <c r="AQ835" s="585"/>
      <c r="AR835" s="585"/>
      <c r="AS835" s="586"/>
      <c r="AT835" s="586"/>
      <c r="AU835" s="586"/>
      <c r="AV835" s="585"/>
      <c r="AW835" s="585"/>
      <c r="AX835" s="586"/>
      <c r="AY835" s="586"/>
      <c r="AZ835" s="586"/>
      <c r="BA835" s="585"/>
      <c r="BB835" s="585"/>
      <c r="BC835" s="586"/>
      <c r="BD835" s="586"/>
      <c r="BE835" s="586"/>
      <c r="BF835" s="585"/>
      <c r="BG835" s="585"/>
      <c r="BH835" s="586"/>
      <c r="BI835" s="586"/>
      <c r="BJ835" s="586"/>
      <c r="BK835" s="585"/>
      <c r="BL835" s="585"/>
      <c r="BM835" s="586"/>
      <c r="BN835" s="586"/>
      <c r="BO835" s="586"/>
      <c r="BP835" s="585"/>
      <c r="BQ835" s="585"/>
      <c r="BR835" s="586"/>
      <c r="BS835" s="586"/>
      <c r="BT835" s="586"/>
      <c r="BU835" s="585"/>
      <c r="BV835" s="585"/>
      <c r="BW835" s="586"/>
      <c r="BX835" s="586"/>
      <c r="BY835" s="586"/>
      <c r="BZ835" s="587"/>
      <c r="CA835" s="585"/>
      <c r="CB835" s="586"/>
      <c r="CC835" s="586"/>
      <c r="CD835" s="586"/>
      <c r="CE835" s="587"/>
      <c r="CF835" s="585"/>
      <c r="CG835" s="586"/>
      <c r="CH835" s="586"/>
      <c r="CI835" s="586"/>
      <c r="CJ835" s="587"/>
      <c r="CK835" s="585"/>
      <c r="CL835" s="586"/>
      <c r="CM835" s="586"/>
      <c r="CN835" s="588"/>
      <c r="CO835" s="587"/>
      <c r="CP835" s="588"/>
      <c r="CQ835" s="586"/>
      <c r="CR835" s="586"/>
      <c r="CS835" s="586"/>
      <c r="CT835" s="587"/>
      <c r="CU835" s="585"/>
      <c r="CV835" s="586"/>
      <c r="CW835" s="586"/>
      <c r="CX835" s="586"/>
      <c r="CY835" s="587"/>
      <c r="CZ835" s="585"/>
      <c r="DA835" s="586"/>
      <c r="DB835" s="586"/>
      <c r="DC835" s="586"/>
      <c r="DD835" s="587"/>
      <c r="DE835" s="585"/>
      <c r="DF835" s="586"/>
      <c r="DG835" s="474"/>
      <c r="DH835" s="586"/>
      <c r="DI835" s="587"/>
      <c r="DJ835" s="589"/>
      <c r="DK835" s="588"/>
      <c r="DL835" s="588"/>
      <c r="DM835" s="586"/>
      <c r="DN835" s="587"/>
      <c r="DO835" s="585"/>
      <c r="DP835" s="586"/>
      <c r="DQ835" s="586"/>
      <c r="DR835" s="586"/>
      <c r="DS835" s="587"/>
      <c r="DT835" s="585"/>
      <c r="DU835" s="585"/>
      <c r="DV835" s="585"/>
      <c r="DW835" s="585"/>
      <c r="DX835" s="587"/>
      <c r="DY835" s="585"/>
      <c r="DZ835" s="585"/>
      <c r="EA835" s="585"/>
      <c r="EB835" s="585"/>
      <c r="EC835" s="587"/>
      <c r="ED835" s="585"/>
      <c r="EE835" s="585"/>
      <c r="EF835" s="585"/>
      <c r="EG835" s="585"/>
      <c r="EH835" s="587"/>
      <c r="EI835" s="590"/>
      <c r="EJ835" s="586"/>
      <c r="EK835" s="586"/>
      <c r="EL835" s="586"/>
      <c r="EM835" s="587"/>
      <c r="EN835" s="585"/>
      <c r="EO835" s="586"/>
      <c r="EP835" s="586"/>
      <c r="EQ835" s="586"/>
      <c r="ER835" s="587"/>
      <c r="ES835" s="585"/>
      <c r="ET835" s="586"/>
      <c r="EU835" s="586"/>
      <c r="EV835" s="586"/>
      <c r="EW835" s="587"/>
      <c r="EX835" s="585"/>
      <c r="EY835" s="586"/>
      <c r="EZ835" s="586"/>
      <c r="FA835" s="586"/>
      <c r="FB835" s="587"/>
      <c r="FC835" s="585"/>
      <c r="FD835" s="586"/>
      <c r="FE835" s="586"/>
      <c r="FF835" s="586"/>
      <c r="FG835" s="587"/>
      <c r="FH835" s="589"/>
      <c r="FI835" s="586"/>
      <c r="FJ835" s="586"/>
      <c r="FK835" s="585"/>
      <c r="FL835" s="585"/>
    </row>
    <row r="836" ht="12.75" hidden="1" customHeight="1" outlineLevel="2">
      <c r="A836" s="45"/>
      <c r="B836" s="215" t="str">
        <f t="shared" ref="B836:B837" si="3888">B820</f>
        <v>Digital Enterprise Group</v>
      </c>
      <c r="C836" s="45"/>
      <c r="D836" s="15"/>
      <c r="E836" s="15"/>
      <c r="F836" s="15"/>
      <c r="G836" s="15"/>
      <c r="H836" s="410"/>
      <c r="I836" s="15"/>
      <c r="J836" s="15"/>
      <c r="K836" s="15"/>
      <c r="L836" s="15"/>
      <c r="M836" s="410"/>
      <c r="N836" s="15"/>
      <c r="O836" s="15"/>
      <c r="P836" s="15"/>
      <c r="Q836" s="15"/>
      <c r="R836" s="410"/>
      <c r="S836" s="15"/>
      <c r="T836" s="15"/>
      <c r="U836" s="15"/>
      <c r="V836" s="15"/>
      <c r="W836" s="410"/>
      <c r="X836" s="15"/>
      <c r="Y836" s="15"/>
      <c r="Z836" s="15"/>
      <c r="AA836" s="15"/>
      <c r="AB836" s="410"/>
      <c r="AC836" s="15"/>
      <c r="AD836" s="15"/>
      <c r="AE836" s="15"/>
      <c r="AF836" s="15"/>
      <c r="AG836" s="410"/>
      <c r="AH836" s="15"/>
      <c r="AI836" s="15"/>
      <c r="AJ836" s="15"/>
      <c r="AK836" s="15"/>
      <c r="AL836" s="410"/>
      <c r="AM836" s="15"/>
      <c r="AN836" s="15"/>
      <c r="AO836" s="15"/>
      <c r="AP836" s="15"/>
      <c r="AQ836" s="410"/>
      <c r="AR836" s="15"/>
      <c r="AS836" s="15">
        <f t="shared" ref="AS836:AU836" si="3864">AS820/AR820-1</f>
        <v>-0.1275988585</v>
      </c>
      <c r="AT836" s="15">
        <f t="shared" si="3864"/>
        <v>-0.1556074766</v>
      </c>
      <c r="AU836" s="15">
        <f t="shared" si="3864"/>
        <v>0.3563918096</v>
      </c>
      <c r="AV836" s="410"/>
      <c r="AW836" s="15">
        <f t="shared" ref="AW836:AW837" si="3890">AW820/AU820-1</f>
        <v>-0.03467972256</v>
      </c>
      <c r="AX836" s="15">
        <f t="shared" ref="AX836:AZ836" si="3865">AX820/AW820-1</f>
        <v>-0.1580726965</v>
      </c>
      <c r="AY836" s="15">
        <f t="shared" si="3865"/>
        <v>0.1355421687</v>
      </c>
      <c r="AZ836" s="15">
        <f t="shared" si="3865"/>
        <v>0.09902740937</v>
      </c>
      <c r="BA836" s="410"/>
      <c r="BB836" s="15">
        <f t="shared" ref="BB836:BB837" si="3892">BB820/AZ820-1</f>
        <v>-0.4469026549</v>
      </c>
      <c r="BC836" s="15">
        <f t="shared" ref="BC836:BE836" si="3866">BC820/BB820-1</f>
        <v>-0.3229090909</v>
      </c>
      <c r="BD836" s="15">
        <f t="shared" si="3866"/>
        <v>-0.07841031149</v>
      </c>
      <c r="BE836" s="15">
        <f t="shared" si="3866"/>
        <v>0.2878787879</v>
      </c>
      <c r="BF836" s="410"/>
      <c r="BG836" s="15">
        <f t="shared" ref="BG836:BG837" si="3894">BG820/BE820-1</f>
        <v>-0.1574660633</v>
      </c>
      <c r="BH836" s="15">
        <f t="shared" ref="BH836:BJ836" si="3867">BH820/BG820-1</f>
        <v>-0.1224489796</v>
      </c>
      <c r="BI836" s="15">
        <f t="shared" si="3867"/>
        <v>0.5740514076</v>
      </c>
      <c r="BJ836" s="15">
        <f t="shared" si="3867"/>
        <v>0.6601866252</v>
      </c>
      <c r="BK836" s="410"/>
      <c r="BL836" s="15">
        <f t="shared" ref="BL836:BL837" si="3896">BL820/BJ820-1</f>
        <v>-0.1742388759</v>
      </c>
      <c r="BM836" s="15">
        <f t="shared" ref="BM836:BO836" si="3868">BM820/BL820-1</f>
        <v>-0.03006239365</v>
      </c>
      <c r="BN836" s="15">
        <f t="shared" si="3868"/>
        <v>0.03391812865</v>
      </c>
      <c r="BO836" s="15">
        <f t="shared" si="3868"/>
        <v>-0.3093891403</v>
      </c>
      <c r="BP836" s="410"/>
      <c r="BQ836" s="15">
        <f t="shared" ref="BQ836:BQ837" si="3898">BQ820/BO820-1</f>
        <v>-0.4242424242</v>
      </c>
      <c r="BR836" s="15">
        <f t="shared" ref="BR836:BT836" si="3869">BR820/BQ820-1</f>
        <v>0.3044096728</v>
      </c>
      <c r="BS836" s="15">
        <f t="shared" si="3869"/>
        <v>0.6488549618</v>
      </c>
      <c r="BT836" s="15" t="str">
        <f t="shared" si="3869"/>
        <v>#ERROR!</v>
      </c>
      <c r="BU836" s="410"/>
      <c r="BV836" s="15" t="str">
        <f t="shared" ref="BV836:BV837" si="3900">BV820/BT820-1</f>
        <v>#ERROR!</v>
      </c>
      <c r="BW836" s="15" t="str">
        <f t="shared" ref="BW836:BY836" si="3870">BW820/BV820-1</f>
        <v>#ERROR!</v>
      </c>
      <c r="BX836" s="15" t="str">
        <f t="shared" si="3870"/>
        <v>#ERROR!</v>
      </c>
      <c r="BY836" s="15" t="str">
        <f t="shared" si="3870"/>
        <v>#ERROR!</v>
      </c>
      <c r="BZ836" s="24"/>
      <c r="CA836" s="15" t="str">
        <f t="shared" ref="CA836:CA837" si="3902">CA820/BY820-1</f>
        <v>#ERROR!</v>
      </c>
      <c r="CB836" s="15" t="str">
        <f t="shared" ref="CB836:CD836" si="3871">CB820/CA820-1</f>
        <v>#ERROR!</v>
      </c>
      <c r="CC836" s="15" t="str">
        <f t="shared" si="3871"/>
        <v>#ERROR!</v>
      </c>
      <c r="CD836" s="15" t="str">
        <f t="shared" si="3871"/>
        <v>#ERROR!</v>
      </c>
      <c r="CE836" s="24"/>
      <c r="CF836" s="15" t="str">
        <f t="shared" ref="CF836:CF837" si="3904">CF820/CD820-1</f>
        <v>#ERROR!</v>
      </c>
      <c r="CG836" s="15" t="str">
        <f t="shared" ref="CG836:CI836" si="3872">CG820/CF820-1</f>
        <v>#ERROR!</v>
      </c>
      <c r="CH836" s="15" t="str">
        <f t="shared" si="3872"/>
        <v>#ERROR!</v>
      </c>
      <c r="CI836" s="15" t="str">
        <f t="shared" si="3872"/>
        <v>#ERROR!</v>
      </c>
      <c r="CJ836" s="24"/>
      <c r="CK836" s="15" t="str">
        <f t="shared" ref="CK836:CK837" si="3906">CK820/CI820-1</f>
        <v>#ERROR!</v>
      </c>
      <c r="CL836" s="15" t="str">
        <f t="shared" ref="CL836:CN836" si="3873">CL820/CK820-1</f>
        <v>#ERROR!</v>
      </c>
      <c r="CM836" s="15" t="str">
        <f t="shared" si="3873"/>
        <v>#ERROR!</v>
      </c>
      <c r="CN836" s="40" t="str">
        <f t="shared" si="3873"/>
        <v>#ERROR!</v>
      </c>
      <c r="CO836" s="24"/>
      <c r="CP836" s="40" t="str">
        <f t="shared" ref="CP836:CP837" si="3908">CP820/CN820-1</f>
        <v>#ERROR!</v>
      </c>
      <c r="CQ836" s="15" t="str">
        <f t="shared" ref="CQ836:CS836" si="3874">CQ820/CP820-1</f>
        <v>#ERROR!</v>
      </c>
      <c r="CR836" s="15" t="str">
        <f t="shared" si="3874"/>
        <v>#ERROR!</v>
      </c>
      <c r="CS836" s="15" t="str">
        <f t="shared" si="3874"/>
        <v>#ERROR!</v>
      </c>
      <c r="CT836" s="24"/>
      <c r="CU836" s="15" t="str">
        <f t="shared" ref="CU836:CU837" si="3910">CU820/CS820-1</f>
        <v>#ERROR!</v>
      </c>
      <c r="CV836" s="15" t="str">
        <f t="shared" ref="CV836:CX836" si="3875">CV820/CU820-1</f>
        <v>#ERROR!</v>
      </c>
      <c r="CW836" s="15" t="str">
        <f t="shared" si="3875"/>
        <v>#ERROR!</v>
      </c>
      <c r="CX836" s="15" t="str">
        <f t="shared" si="3875"/>
        <v>#ERROR!</v>
      </c>
      <c r="CY836" s="24"/>
      <c r="CZ836" s="15" t="str">
        <f t="shared" ref="CZ836:CZ837" si="3912">CZ820/CX820-1</f>
        <v>#ERROR!</v>
      </c>
      <c r="DA836" s="15" t="str">
        <f t="shared" ref="DA836:DC836" si="3876">DA820/CZ820-1</f>
        <v>#ERROR!</v>
      </c>
      <c r="DB836" s="15" t="str">
        <f t="shared" si="3876"/>
        <v>#ERROR!</v>
      </c>
      <c r="DC836" s="15" t="str">
        <f t="shared" si="3876"/>
        <v>#ERROR!</v>
      </c>
      <c r="DD836" s="24"/>
      <c r="DE836" s="15" t="str">
        <f t="shared" ref="DE836:DE837" si="3914">DE820/DC820-1</f>
        <v>#ERROR!</v>
      </c>
      <c r="DF836" s="15" t="str">
        <f t="shared" ref="DF836:DH836" si="3877">DF820/DE820-1</f>
        <v>#ERROR!</v>
      </c>
      <c r="DG836" s="40" t="str">
        <f t="shared" si="3877"/>
        <v>#ERROR!</v>
      </c>
      <c r="DH836" s="15" t="str">
        <f t="shared" si="3877"/>
        <v>#ERROR!</v>
      </c>
      <c r="DI836" s="24"/>
      <c r="DJ836" s="40" t="str">
        <f t="shared" ref="DJ836:DJ837" si="3916">DJ820/DH820-1</f>
        <v>#ERROR!</v>
      </c>
      <c r="DK836" s="40" t="str">
        <f t="shared" ref="DK836:DM836" si="3878">DK820/DJ820-1</f>
        <v>#ERROR!</v>
      </c>
      <c r="DL836" s="40" t="str">
        <f t="shared" si="3878"/>
        <v>#ERROR!</v>
      </c>
      <c r="DM836" s="15" t="str">
        <f t="shared" si="3878"/>
        <v>#ERROR!</v>
      </c>
      <c r="DN836" s="24"/>
      <c r="DO836" s="15" t="str">
        <f t="shared" ref="DO836:DO837" si="3918">DO820/DM820-1</f>
        <v>#ERROR!</v>
      </c>
      <c r="DP836" s="15" t="str">
        <f t="shared" ref="DP836:DR836" si="3879">DP820/DO820-1</f>
        <v>#ERROR!</v>
      </c>
      <c r="DQ836" s="15" t="str">
        <f t="shared" si="3879"/>
        <v>#ERROR!</v>
      </c>
      <c r="DR836" s="15" t="str">
        <f t="shared" si="3879"/>
        <v>#ERROR!</v>
      </c>
      <c r="DS836" s="24"/>
      <c r="DT836" s="15" t="str">
        <f t="shared" ref="DT836:DT837" si="3920">DT820/DR820-1</f>
        <v>#ERROR!</v>
      </c>
      <c r="DU836" s="15" t="str">
        <f t="shared" ref="DU836:DW836" si="3880">DU820/DT820-1</f>
        <v>#ERROR!</v>
      </c>
      <c r="DV836" s="15" t="str">
        <f t="shared" si="3880"/>
        <v>#ERROR!</v>
      </c>
      <c r="DW836" s="15" t="str">
        <f t="shared" si="3880"/>
        <v>#ERROR!</v>
      </c>
      <c r="DX836" s="24"/>
      <c r="DY836" s="15" t="str">
        <f t="shared" ref="DY836:DY837" si="3922">DY820/DW820-1</f>
        <v>#ERROR!</v>
      </c>
      <c r="DZ836" s="15" t="str">
        <f t="shared" ref="DZ836:EB836" si="3881">DZ820/DY820-1</f>
        <v>#ERROR!</v>
      </c>
      <c r="EA836" s="15" t="str">
        <f t="shared" si="3881"/>
        <v>#ERROR!</v>
      </c>
      <c r="EB836" s="15" t="str">
        <f t="shared" si="3881"/>
        <v>#ERROR!</v>
      </c>
      <c r="EC836" s="24"/>
      <c r="ED836" s="15" t="str">
        <f t="shared" ref="ED836:ED837" si="3924">ED820/EB820-1</f>
        <v>#ERROR!</v>
      </c>
      <c r="EE836" s="15" t="str">
        <f t="shared" ref="EE836:EG836" si="3882">EE820/ED820-1</f>
        <v>#ERROR!</v>
      </c>
      <c r="EF836" s="15" t="str">
        <f t="shared" si="3882"/>
        <v>#ERROR!</v>
      </c>
      <c r="EG836" s="15" t="str">
        <f t="shared" si="3882"/>
        <v>#ERROR!</v>
      </c>
      <c r="EH836" s="24"/>
      <c r="EI836" s="82" t="str">
        <f t="shared" ref="EI836:EI837" si="3926">EI820/EG820-1</f>
        <v>#ERROR!</v>
      </c>
      <c r="EJ836" s="15" t="str">
        <f t="shared" ref="EJ836:EL836" si="3883">EJ820/EI820-1</f>
        <v>#ERROR!</v>
      </c>
      <c r="EK836" s="15" t="str">
        <f t="shared" si="3883"/>
        <v>#ERROR!</v>
      </c>
      <c r="EL836" s="15" t="str">
        <f t="shared" si="3883"/>
        <v>#ERROR!</v>
      </c>
      <c r="EM836" s="24"/>
      <c r="EN836" s="15" t="str">
        <f t="shared" ref="EN836:EN837" si="3928">EN820/EL820-1</f>
        <v>#ERROR!</v>
      </c>
      <c r="EO836" s="15" t="str">
        <f t="shared" ref="EO836:EQ836" si="3884">EO820/EN820-1</f>
        <v>#ERROR!</v>
      </c>
      <c r="EP836" s="15" t="str">
        <f t="shared" si="3884"/>
        <v>#ERROR!</v>
      </c>
      <c r="EQ836" s="15" t="str">
        <f t="shared" si="3884"/>
        <v>#ERROR!</v>
      </c>
      <c r="ER836" s="24"/>
      <c r="ES836" s="15" t="str">
        <f t="shared" ref="ES836:ES837" si="3930">ES820/EQ820-1</f>
        <v>#ERROR!</v>
      </c>
      <c r="ET836" s="15" t="str">
        <f t="shared" ref="ET836:EV836" si="3885">ET820/ES820-1</f>
        <v>#ERROR!</v>
      </c>
      <c r="EU836" s="15" t="str">
        <f t="shared" si="3885"/>
        <v>#ERROR!</v>
      </c>
      <c r="EV836" s="15" t="str">
        <f t="shared" si="3885"/>
        <v>#ERROR!</v>
      </c>
      <c r="EW836" s="24"/>
      <c r="EX836" s="15" t="str">
        <f t="shared" ref="EX836:EX837" si="3932">EX820/EV820-1</f>
        <v>#ERROR!</v>
      </c>
      <c r="EY836" s="15" t="str">
        <f t="shared" ref="EY836:FA836" si="3886">EY820/EX820-1</f>
        <v>#ERROR!</v>
      </c>
      <c r="EZ836" s="15" t="str">
        <f t="shared" si="3886"/>
        <v>#ERROR!</v>
      </c>
      <c r="FA836" s="15" t="str">
        <f t="shared" si="3886"/>
        <v>#ERROR!</v>
      </c>
      <c r="FB836" s="24"/>
      <c r="FC836" s="15" t="str">
        <f t="shared" ref="FC836:FC837" si="3934">FC820/FA820-1</f>
        <v>#ERROR!</v>
      </c>
      <c r="FD836" s="15" t="str">
        <f t="shared" ref="FD836:FF836" si="3887">FD820/FC820-1</f>
        <v>#ERROR!</v>
      </c>
      <c r="FE836" s="15" t="str">
        <f t="shared" si="3887"/>
        <v>#ERROR!</v>
      </c>
      <c r="FF836" s="15" t="str">
        <f t="shared" si="3887"/>
        <v>#ERROR!</v>
      </c>
      <c r="FG836" s="24"/>
      <c r="FH836" s="104"/>
      <c r="FI836" s="15"/>
      <c r="FJ836" s="15"/>
      <c r="FK836" s="410"/>
      <c r="FL836" s="15"/>
    </row>
    <row r="837" ht="12.75" hidden="1" customHeight="1" outlineLevel="2">
      <c r="A837" s="45"/>
      <c r="B837" s="215" t="str">
        <f t="shared" si="3888"/>
        <v>Mobility Group</v>
      </c>
      <c r="C837" s="45"/>
      <c r="D837" s="15"/>
      <c r="E837" s="15"/>
      <c r="F837" s="15"/>
      <c r="G837" s="15"/>
      <c r="H837" s="410"/>
      <c r="I837" s="15"/>
      <c r="J837" s="15"/>
      <c r="K837" s="15"/>
      <c r="L837" s="15"/>
      <c r="M837" s="410"/>
      <c r="N837" s="15"/>
      <c r="O837" s="15"/>
      <c r="P837" s="15"/>
      <c r="Q837" s="15"/>
      <c r="R837" s="410"/>
      <c r="S837" s="15"/>
      <c r="T837" s="15"/>
      <c r="U837" s="15"/>
      <c r="V837" s="15"/>
      <c r="W837" s="410"/>
      <c r="X837" s="15"/>
      <c r="Y837" s="15"/>
      <c r="Z837" s="15"/>
      <c r="AA837" s="15"/>
      <c r="AB837" s="410"/>
      <c r="AC837" s="15"/>
      <c r="AD837" s="15"/>
      <c r="AE837" s="15"/>
      <c r="AF837" s="15"/>
      <c r="AG837" s="410"/>
      <c r="AH837" s="15"/>
      <c r="AI837" s="15"/>
      <c r="AJ837" s="15"/>
      <c r="AK837" s="15"/>
      <c r="AL837" s="410"/>
      <c r="AM837" s="15"/>
      <c r="AN837" s="15"/>
      <c r="AO837" s="15"/>
      <c r="AP837" s="15"/>
      <c r="AQ837" s="410"/>
      <c r="AR837" s="15"/>
      <c r="AS837" s="15">
        <f t="shared" ref="AS837:AU837" si="3889">AS821/AR821-1</f>
        <v>0.4825</v>
      </c>
      <c r="AT837" s="15">
        <f t="shared" si="3889"/>
        <v>0.3423271501</v>
      </c>
      <c r="AU837" s="15">
        <f t="shared" si="3889"/>
        <v>0.1231155779</v>
      </c>
      <c r="AV837" s="410"/>
      <c r="AW837" s="15">
        <f t="shared" si="3890"/>
        <v>0.2293064877</v>
      </c>
      <c r="AX837" s="15">
        <f t="shared" ref="AX837:AZ837" si="3891">AX821/AW821-1</f>
        <v>0.0373066424</v>
      </c>
      <c r="AY837" s="15">
        <f t="shared" si="3891"/>
        <v>0.2649122807</v>
      </c>
      <c r="AZ837" s="15">
        <f t="shared" si="3891"/>
        <v>0.1712898752</v>
      </c>
      <c r="BA837" s="410"/>
      <c r="BB837" s="15">
        <f t="shared" si="3892"/>
        <v>-0.3161634103</v>
      </c>
      <c r="BC837" s="15">
        <f t="shared" ref="BC837:BE837" si="3893">BC821/BB821-1</f>
        <v>-0.180952381</v>
      </c>
      <c r="BD837" s="15">
        <f t="shared" si="3893"/>
        <v>0.3319238901</v>
      </c>
      <c r="BE837" s="15">
        <f t="shared" si="3893"/>
        <v>0.2936507937</v>
      </c>
      <c r="BF837" s="410"/>
      <c r="BG837" s="15">
        <f t="shared" si="3894"/>
        <v>-0.1527607362</v>
      </c>
      <c r="BH837" s="15">
        <f t="shared" ref="BH837:BJ837" si="3895">BH821/BG821-1</f>
        <v>-0.09485879797</v>
      </c>
      <c r="BI837" s="15">
        <f t="shared" si="3895"/>
        <v>0.0336</v>
      </c>
      <c r="BJ837" s="15">
        <f t="shared" si="3895"/>
        <v>0.3026315789</v>
      </c>
      <c r="BK837" s="410"/>
      <c r="BL837" s="15">
        <f t="shared" si="3896"/>
        <v>-0.3071895425</v>
      </c>
      <c r="BM837" s="15">
        <f t="shared" ref="BM837:BO837" si="3897">BM821/BL821-1</f>
        <v>0.07289879931</v>
      </c>
      <c r="BN837" s="15">
        <f t="shared" si="3897"/>
        <v>0.4780175859</v>
      </c>
      <c r="BO837" s="15">
        <f t="shared" si="3897"/>
        <v>-0.4954029205</v>
      </c>
      <c r="BP837" s="410"/>
      <c r="BQ837" s="15">
        <f t="shared" si="3898"/>
        <v>-0.7384780279</v>
      </c>
      <c r="BR837" s="15">
        <f t="shared" ref="BR837:BT837" si="3899">BR821/BQ821-1</f>
        <v>2.290983607</v>
      </c>
      <c r="BS837" s="15">
        <f t="shared" si="3899"/>
        <v>0.6811955168</v>
      </c>
      <c r="BT837" s="15" t="str">
        <f t="shared" si="3899"/>
        <v>#ERROR!</v>
      </c>
      <c r="BU837" s="410"/>
      <c r="BV837" s="15" t="str">
        <f t="shared" si="3900"/>
        <v>#ERROR!</v>
      </c>
      <c r="BW837" s="15" t="str">
        <f t="shared" ref="BW837:BY837" si="3901">BW821/BV821-1</f>
        <v>#ERROR!</v>
      </c>
      <c r="BX837" s="15" t="str">
        <f t="shared" si="3901"/>
        <v>#ERROR!</v>
      </c>
      <c r="BY837" s="15" t="str">
        <f t="shared" si="3901"/>
        <v>#ERROR!</v>
      </c>
      <c r="BZ837" s="24"/>
      <c r="CA837" s="15" t="str">
        <f t="shared" si="3902"/>
        <v>#ERROR!</v>
      </c>
      <c r="CB837" s="15" t="str">
        <f t="shared" ref="CB837:CD837" si="3903">CB821/CA821-1</f>
        <v>#ERROR!</v>
      </c>
      <c r="CC837" s="15" t="str">
        <f t="shared" si="3903"/>
        <v>#ERROR!</v>
      </c>
      <c r="CD837" s="15" t="str">
        <f t="shared" si="3903"/>
        <v>#ERROR!</v>
      </c>
      <c r="CE837" s="24"/>
      <c r="CF837" s="15" t="str">
        <f t="shared" si="3904"/>
        <v>#ERROR!</v>
      </c>
      <c r="CG837" s="15" t="str">
        <f t="shared" ref="CG837:CI837" si="3905">CG821/CF821-1</f>
        <v>#ERROR!</v>
      </c>
      <c r="CH837" s="15" t="str">
        <f t="shared" si="3905"/>
        <v>#ERROR!</v>
      </c>
      <c r="CI837" s="15" t="str">
        <f t="shared" si="3905"/>
        <v>#ERROR!</v>
      </c>
      <c r="CJ837" s="24"/>
      <c r="CK837" s="15" t="str">
        <f t="shared" si="3906"/>
        <v>#ERROR!</v>
      </c>
      <c r="CL837" s="15" t="str">
        <f t="shared" ref="CL837:CN837" si="3907">CL821/CK821-1</f>
        <v>#ERROR!</v>
      </c>
      <c r="CM837" s="15" t="str">
        <f t="shared" si="3907"/>
        <v>#ERROR!</v>
      </c>
      <c r="CN837" s="40" t="str">
        <f t="shared" si="3907"/>
        <v>#ERROR!</v>
      </c>
      <c r="CO837" s="24"/>
      <c r="CP837" s="40" t="str">
        <f t="shared" si="3908"/>
        <v>#ERROR!</v>
      </c>
      <c r="CQ837" s="15" t="str">
        <f t="shared" ref="CQ837:CS837" si="3909">CQ821/CP821-1</f>
        <v>#ERROR!</v>
      </c>
      <c r="CR837" s="15" t="str">
        <f t="shared" si="3909"/>
        <v>#ERROR!</v>
      </c>
      <c r="CS837" s="15" t="str">
        <f t="shared" si="3909"/>
        <v>#ERROR!</v>
      </c>
      <c r="CT837" s="24"/>
      <c r="CU837" s="15" t="str">
        <f t="shared" si="3910"/>
        <v>#ERROR!</v>
      </c>
      <c r="CV837" s="15" t="str">
        <f t="shared" ref="CV837:CX837" si="3911">CV821/CU821-1</f>
        <v>#ERROR!</v>
      </c>
      <c r="CW837" s="15" t="str">
        <f t="shared" si="3911"/>
        <v>#ERROR!</v>
      </c>
      <c r="CX837" s="15" t="str">
        <f t="shared" si="3911"/>
        <v>#ERROR!</v>
      </c>
      <c r="CY837" s="24"/>
      <c r="CZ837" s="15" t="str">
        <f t="shared" si="3912"/>
        <v>#ERROR!</v>
      </c>
      <c r="DA837" s="15" t="str">
        <f t="shared" ref="DA837:DC837" si="3913">DA821/CZ821-1</f>
        <v>#ERROR!</v>
      </c>
      <c r="DB837" s="15" t="str">
        <f t="shared" si="3913"/>
        <v>#ERROR!</v>
      </c>
      <c r="DC837" s="15" t="str">
        <f t="shared" si="3913"/>
        <v>#ERROR!</v>
      </c>
      <c r="DD837" s="24"/>
      <c r="DE837" s="15" t="str">
        <f t="shared" si="3914"/>
        <v>#ERROR!</v>
      </c>
      <c r="DF837" s="15" t="str">
        <f t="shared" ref="DF837:DH837" si="3915">DF821/DE821-1</f>
        <v>#ERROR!</v>
      </c>
      <c r="DG837" s="40" t="str">
        <f t="shared" si="3915"/>
        <v>#ERROR!</v>
      </c>
      <c r="DH837" s="15" t="str">
        <f t="shared" si="3915"/>
        <v>#ERROR!</v>
      </c>
      <c r="DI837" s="24"/>
      <c r="DJ837" s="40" t="str">
        <f t="shared" si="3916"/>
        <v>#ERROR!</v>
      </c>
      <c r="DK837" s="40" t="str">
        <f t="shared" ref="DK837:DM837" si="3917">DK821/DJ821-1</f>
        <v>#ERROR!</v>
      </c>
      <c r="DL837" s="40" t="str">
        <f t="shared" si="3917"/>
        <v>#ERROR!</v>
      </c>
      <c r="DM837" s="15" t="str">
        <f t="shared" si="3917"/>
        <v>#ERROR!</v>
      </c>
      <c r="DN837" s="24"/>
      <c r="DO837" s="15" t="str">
        <f t="shared" si="3918"/>
        <v>#ERROR!</v>
      </c>
      <c r="DP837" s="15" t="str">
        <f t="shared" ref="DP837:DR837" si="3919">DP821/DO821-1</f>
        <v>#ERROR!</v>
      </c>
      <c r="DQ837" s="15" t="str">
        <f t="shared" si="3919"/>
        <v>#ERROR!</v>
      </c>
      <c r="DR837" s="15" t="str">
        <f t="shared" si="3919"/>
        <v>#ERROR!</v>
      </c>
      <c r="DS837" s="24"/>
      <c r="DT837" s="15" t="str">
        <f t="shared" si="3920"/>
        <v>#ERROR!</v>
      </c>
      <c r="DU837" s="15" t="str">
        <f t="shared" ref="DU837:DW837" si="3921">DU821/DT821-1</f>
        <v>#ERROR!</v>
      </c>
      <c r="DV837" s="15" t="str">
        <f t="shared" si="3921"/>
        <v>#ERROR!</v>
      </c>
      <c r="DW837" s="15" t="str">
        <f t="shared" si="3921"/>
        <v>#ERROR!</v>
      </c>
      <c r="DX837" s="24"/>
      <c r="DY837" s="15" t="str">
        <f t="shared" si="3922"/>
        <v>#ERROR!</v>
      </c>
      <c r="DZ837" s="15" t="str">
        <f t="shared" ref="DZ837:EB837" si="3923">DZ821/DY821-1</f>
        <v>#ERROR!</v>
      </c>
      <c r="EA837" s="15" t="str">
        <f t="shared" si="3923"/>
        <v>#ERROR!</v>
      </c>
      <c r="EB837" s="15" t="str">
        <f t="shared" si="3923"/>
        <v>#ERROR!</v>
      </c>
      <c r="EC837" s="24"/>
      <c r="ED837" s="15" t="str">
        <f t="shared" si="3924"/>
        <v>#ERROR!</v>
      </c>
      <c r="EE837" s="15" t="str">
        <f t="shared" ref="EE837:EG837" si="3925">EE821/ED821-1</f>
        <v>#ERROR!</v>
      </c>
      <c r="EF837" s="15" t="str">
        <f t="shared" si="3925"/>
        <v>#ERROR!</v>
      </c>
      <c r="EG837" s="15" t="str">
        <f t="shared" si="3925"/>
        <v>#ERROR!</v>
      </c>
      <c r="EH837" s="24"/>
      <c r="EI837" s="82" t="str">
        <f t="shared" si="3926"/>
        <v>#ERROR!</v>
      </c>
      <c r="EJ837" s="15" t="str">
        <f t="shared" ref="EJ837:EL837" si="3927">EJ821/EI821-1</f>
        <v>#ERROR!</v>
      </c>
      <c r="EK837" s="15" t="str">
        <f t="shared" si="3927"/>
        <v>#ERROR!</v>
      </c>
      <c r="EL837" s="15" t="str">
        <f t="shared" si="3927"/>
        <v>#ERROR!</v>
      </c>
      <c r="EM837" s="24"/>
      <c r="EN837" s="15" t="str">
        <f t="shared" si="3928"/>
        <v>#ERROR!</v>
      </c>
      <c r="EO837" s="15" t="str">
        <f t="shared" ref="EO837:EQ837" si="3929">EO821/EN821-1</f>
        <v>#ERROR!</v>
      </c>
      <c r="EP837" s="15" t="str">
        <f t="shared" si="3929"/>
        <v>#ERROR!</v>
      </c>
      <c r="EQ837" s="15" t="str">
        <f t="shared" si="3929"/>
        <v>#ERROR!</v>
      </c>
      <c r="ER837" s="24"/>
      <c r="ES837" s="15" t="str">
        <f t="shared" si="3930"/>
        <v>#ERROR!</v>
      </c>
      <c r="ET837" s="15" t="str">
        <f t="shared" ref="ET837:EV837" si="3931">ET821/ES821-1</f>
        <v>#ERROR!</v>
      </c>
      <c r="EU837" s="15" t="str">
        <f t="shared" si="3931"/>
        <v>#ERROR!</v>
      </c>
      <c r="EV837" s="15" t="str">
        <f t="shared" si="3931"/>
        <v>#ERROR!</v>
      </c>
      <c r="EW837" s="24"/>
      <c r="EX837" s="15" t="str">
        <f t="shared" si="3932"/>
        <v>#ERROR!</v>
      </c>
      <c r="EY837" s="15" t="str">
        <f t="shared" ref="EY837:FA837" si="3933">EY821/EX821-1</f>
        <v>#ERROR!</v>
      </c>
      <c r="EZ837" s="15" t="str">
        <f t="shared" si="3933"/>
        <v>#ERROR!</v>
      </c>
      <c r="FA837" s="15" t="str">
        <f t="shared" si="3933"/>
        <v>#ERROR!</v>
      </c>
      <c r="FB837" s="24"/>
      <c r="FC837" s="15" t="str">
        <f t="shared" si="3934"/>
        <v>#ERROR!</v>
      </c>
      <c r="FD837" s="15" t="str">
        <f t="shared" ref="FD837:FF837" si="3935">FD821/FC821-1</f>
        <v>#ERROR!</v>
      </c>
      <c r="FE837" s="15" t="str">
        <f t="shared" si="3935"/>
        <v>#ERROR!</v>
      </c>
      <c r="FF837" s="15" t="str">
        <f t="shared" si="3935"/>
        <v>#ERROR!</v>
      </c>
      <c r="FG837" s="24"/>
      <c r="FH837" s="104"/>
      <c r="FI837" s="15"/>
      <c r="FJ837" s="15"/>
      <c r="FK837" s="410"/>
      <c r="FL837" s="15"/>
    </row>
    <row r="838" ht="12.75" hidden="1" customHeight="1" outlineLevel="2">
      <c r="A838" s="45"/>
      <c r="B838" s="215" t="str">
        <f>B824</f>
        <v>All Other</v>
      </c>
      <c r="C838" s="45"/>
      <c r="D838" s="15"/>
      <c r="E838" s="15"/>
      <c r="F838" s="15"/>
      <c r="G838" s="15"/>
      <c r="H838" s="410"/>
      <c r="I838" s="15"/>
      <c r="J838" s="15"/>
      <c r="K838" s="15"/>
      <c r="L838" s="15"/>
      <c r="M838" s="410"/>
      <c r="N838" s="15"/>
      <c r="O838" s="15"/>
      <c r="P838" s="15"/>
      <c r="Q838" s="15"/>
      <c r="R838" s="410"/>
      <c r="S838" s="15"/>
      <c r="T838" s="15"/>
      <c r="U838" s="15"/>
      <c r="V838" s="15"/>
      <c r="W838" s="410"/>
      <c r="X838" s="15"/>
      <c r="Y838" s="15"/>
      <c r="Z838" s="15"/>
      <c r="AA838" s="15"/>
      <c r="AB838" s="410"/>
      <c r="AC838" s="15"/>
      <c r="AD838" s="15"/>
      <c r="AE838" s="15"/>
      <c r="AF838" s="15"/>
      <c r="AG838" s="410"/>
      <c r="AH838" s="15"/>
      <c r="AI838" s="15"/>
      <c r="AJ838" s="15"/>
      <c r="AK838" s="15"/>
      <c r="AL838" s="410"/>
      <c r="AM838" s="15"/>
      <c r="AN838" s="15"/>
      <c r="AO838" s="15"/>
      <c r="AP838" s="15"/>
      <c r="AQ838" s="410"/>
      <c r="AR838" s="15"/>
      <c r="AS838" s="15"/>
      <c r="AT838" s="15"/>
      <c r="AU838" s="15"/>
      <c r="AV838" s="410"/>
      <c r="AW838" s="15"/>
      <c r="AX838" s="15"/>
      <c r="AY838" s="15"/>
      <c r="AZ838" s="15"/>
      <c r="BA838" s="410"/>
      <c r="BB838" s="15">
        <f>BB823/AZ823-1</f>
        <v>7.666666667</v>
      </c>
      <c r="BC838" s="15">
        <f t="shared" ref="BC838:BE838" si="3936">BC823/BB823-1</f>
        <v>0.4326923077</v>
      </c>
      <c r="BD838" s="15">
        <f t="shared" si="3936"/>
        <v>-0.2214765101</v>
      </c>
      <c r="BE838" s="15">
        <f t="shared" si="3936"/>
        <v>0.6034482759</v>
      </c>
      <c r="BF838" s="410"/>
      <c r="BG838" s="15"/>
      <c r="BH838" s="15"/>
      <c r="BI838" s="15"/>
      <c r="BJ838" s="15"/>
      <c r="BK838" s="410"/>
      <c r="BL838" s="15">
        <f t="shared" ref="BL838:BL839" si="3961">BL824/BJ824-1</f>
        <v>0.1245136187</v>
      </c>
      <c r="BM838" s="15">
        <f t="shared" ref="BM838:BO838" si="3937">BM824/BL824-1</f>
        <v>-0.1856978085</v>
      </c>
      <c r="BN838" s="15">
        <f t="shared" si="3937"/>
        <v>-0.2648725212</v>
      </c>
      <c r="BO838" s="15">
        <f t="shared" si="3937"/>
        <v>0.1849710983</v>
      </c>
      <c r="BP838" s="410"/>
      <c r="BQ838" s="15">
        <f t="shared" ref="BQ838:BQ839" si="3963">BQ824/BO824-1</f>
        <v>-0.512195122</v>
      </c>
      <c r="BR838" s="15">
        <f t="shared" ref="BR838:BT838" si="3938">BR824/BQ824-1</f>
        <v>4.773333333</v>
      </c>
      <c r="BS838" s="15">
        <f t="shared" si="3938"/>
        <v>-0.8366050808</v>
      </c>
      <c r="BT838" s="15">
        <f t="shared" si="3938"/>
        <v>1.250848057</v>
      </c>
      <c r="BU838" s="410"/>
      <c r="BV838" s="15">
        <f t="shared" ref="BV838:BV839" si="3965">BV824/BT824-1</f>
        <v>-0.07979717107</v>
      </c>
      <c r="BW838" s="15">
        <f t="shared" ref="BW838:BY838" si="3939">BW824/BV824-1</f>
        <v>0.1545823666</v>
      </c>
      <c r="BX838" s="15">
        <f t="shared" si="3939"/>
        <v>0.03893494097</v>
      </c>
      <c r="BY838" s="15">
        <f t="shared" si="3939"/>
        <v>-0.02732108317</v>
      </c>
      <c r="BZ838" s="24"/>
      <c r="CA838" s="15">
        <f t="shared" ref="CA838:CA839" si="3967">CA824/BY824-1</f>
        <v>0.03355704698</v>
      </c>
      <c r="CB838" s="15">
        <f t="shared" ref="CB838:CD838" si="3940">CB824/CA824-1</f>
        <v>-0.05363155363</v>
      </c>
      <c r="CC838" s="15">
        <f t="shared" si="3940"/>
        <v>0.2160101652</v>
      </c>
      <c r="CD838" s="15">
        <f t="shared" si="3940"/>
        <v>-0.03887147335</v>
      </c>
      <c r="CE838" s="24"/>
      <c r="CF838" s="15">
        <f t="shared" ref="CF838:CF839" si="3969">CF824/CD824-1</f>
        <v>-0.1715590346</v>
      </c>
      <c r="CG838" s="15">
        <f t="shared" ref="CG838:CI838" si="3941">CG824/CF824-1</f>
        <v>0.005774278215</v>
      </c>
      <c r="CH838" s="15">
        <f t="shared" si="3941"/>
        <v>0.002348643006</v>
      </c>
      <c r="CI838" s="15">
        <f t="shared" si="3941"/>
        <v>-0.1785993231</v>
      </c>
      <c r="CJ838" s="24"/>
      <c r="CK838" s="15">
        <f t="shared" ref="CK838:CK839" si="3971">CK824/CI824-1</f>
        <v>-0.2015847861</v>
      </c>
      <c r="CL838" s="15">
        <f t="shared" ref="CL838:CN838" si="3942">CL824/CK824-1</f>
        <v>0.07939658595</v>
      </c>
      <c r="CM838" s="15">
        <f t="shared" si="3942"/>
        <v>0.2887090842</v>
      </c>
      <c r="CN838" s="40">
        <f t="shared" si="3942"/>
        <v>0.01284246575</v>
      </c>
      <c r="CO838" s="24"/>
      <c r="CP838" s="40">
        <f t="shared" ref="CP838:CP839" si="3973">CP824/CN824-1</f>
        <v>-0.2862778247</v>
      </c>
      <c r="CQ838" s="15">
        <f t="shared" ref="CQ838:CS838" si="3943">CQ824/CP824-1</f>
        <v>0.5175681011</v>
      </c>
      <c r="CR838" s="15">
        <f t="shared" si="3943"/>
        <v>0.1810613944</v>
      </c>
      <c r="CS838" s="15">
        <f t="shared" si="3943"/>
        <v>-0.01916299559</v>
      </c>
      <c r="CT838" s="24"/>
      <c r="CU838" s="15">
        <f t="shared" ref="CU838:CU839" si="3975">CU824/CS824-1</f>
        <v>-0.4127554458</v>
      </c>
      <c r="CV838" s="15">
        <f t="shared" ref="CV838:CX838" si="3944">CV824/CU824-1</f>
        <v>0.107456979</v>
      </c>
      <c r="CW838" s="15">
        <f t="shared" si="3944"/>
        <v>0.4475138122</v>
      </c>
      <c r="CX838" s="15">
        <f t="shared" si="3944"/>
        <v>0.02552480916</v>
      </c>
      <c r="CY838" s="24"/>
      <c r="CZ838" s="15">
        <f t="shared" ref="CZ838:CZ839" si="3977">CZ824/CX824-1</f>
        <v>-0.4026517795</v>
      </c>
      <c r="DA838" s="15">
        <f t="shared" ref="DA838:DC838" si="3945">DA824/CZ824-1</f>
        <v>-0.4867601246</v>
      </c>
      <c r="DB838" s="15">
        <f t="shared" si="3945"/>
        <v>2.385432473</v>
      </c>
      <c r="DC838" s="15">
        <f t="shared" si="3945"/>
        <v>0.01434334379</v>
      </c>
      <c r="DD838" s="24"/>
      <c r="DE838" s="15">
        <f t="shared" ref="DE838:DE839" si="3979">DE824/DC824-1</f>
        <v>-0.2048166151</v>
      </c>
      <c r="DF838" s="15">
        <f t="shared" ref="DF838:DH838" si="3946">DF824/DE824-1</f>
        <v>0.06335093081</v>
      </c>
      <c r="DG838" s="40">
        <f t="shared" si="3946"/>
        <v>0.3365560491</v>
      </c>
      <c r="DH838" s="15">
        <f t="shared" si="3946"/>
        <v>0.05474095797</v>
      </c>
      <c r="DI838" s="24"/>
      <c r="DJ838" s="40">
        <f t="shared" ref="DJ838:DJ839" si="3981">DJ824/DH824-1</f>
        <v>-0.171455051</v>
      </c>
      <c r="DK838" s="40">
        <f t="shared" ref="DK838:DM838" si="3947">DK824/DJ824-1</f>
        <v>0.1796420582</v>
      </c>
      <c r="DL838" s="40">
        <f t="shared" si="3947"/>
        <v>0.3937037739</v>
      </c>
      <c r="DM838" s="15">
        <f t="shared" si="3947"/>
        <v>-0.153082052</v>
      </c>
      <c r="DN838" s="24"/>
      <c r="DO838" s="15">
        <f t="shared" ref="DO838:DO839" si="3983">DO824/DM824-1</f>
        <v>-0.3293701799</v>
      </c>
      <c r="DP838" s="15">
        <f t="shared" ref="DP838:DR838" si="3948">DP824/DO824-1</f>
        <v>0.1061332056</v>
      </c>
      <c r="DQ838" s="15">
        <f t="shared" si="3948"/>
        <v>0.3963612736</v>
      </c>
      <c r="DR838" s="15">
        <f t="shared" si="3948"/>
        <v>0.0542888165</v>
      </c>
      <c r="DS838" s="24"/>
      <c r="DT838" s="15">
        <f t="shared" ref="DT838:DT839" si="3985">DT824/DR824-1</f>
        <v>0.03545681918</v>
      </c>
      <c r="DU838" s="15">
        <f t="shared" ref="DU838:DW838" si="3949">DU824/DT824-1</f>
        <v>-0.1905370844</v>
      </c>
      <c r="DV838" s="15">
        <f t="shared" si="3949"/>
        <v>-0.111988766</v>
      </c>
      <c r="DW838" s="15">
        <f t="shared" si="3949"/>
        <v>0.1630757067</v>
      </c>
      <c r="DX838" s="24"/>
      <c r="DY838" s="15">
        <f t="shared" ref="DY838:DY839" si="3987">DY824/DW824-1</f>
        <v>-0.3721957852</v>
      </c>
      <c r="DZ838" s="15">
        <f t="shared" ref="DZ838:EB838" si="3950">DZ824/DY824-1</f>
        <v>0.5013535463</v>
      </c>
      <c r="EA838" s="15">
        <f t="shared" si="3950"/>
        <v>-0.05751893256</v>
      </c>
      <c r="EB838" s="15">
        <f t="shared" si="3950"/>
        <v>-0.04553281041</v>
      </c>
      <c r="EC838" s="24"/>
      <c r="ED838" s="15">
        <f t="shared" ref="ED838:ED839" si="3989">ED824/EB824-1</f>
        <v>-0.1298857486</v>
      </c>
      <c r="EE838" s="15">
        <f t="shared" ref="EE838:EG838" si="3951">EE824/ED824-1</f>
        <v>-1.161253167</v>
      </c>
      <c r="EF838" s="15">
        <f t="shared" si="3951"/>
        <v>-0.75</v>
      </c>
      <c r="EG838" s="15">
        <f t="shared" si="3951"/>
        <v>5.468571429</v>
      </c>
      <c r="EH838" s="24"/>
      <c r="EI838" s="82" t="str">
        <f t="shared" ref="EI838:EI839" si="3991">EI824/EG824-1</f>
        <v>#ERROR!</v>
      </c>
      <c r="EJ838" s="15" t="str">
        <f t="shared" ref="EJ838:EL838" si="3952">EJ824/EI824-1</f>
        <v>#ERROR!</v>
      </c>
      <c r="EK838" s="15" t="str">
        <f t="shared" si="3952"/>
        <v>#ERROR!</v>
      </c>
      <c r="EL838" s="15" t="str">
        <f t="shared" si="3952"/>
        <v>#ERROR!</v>
      </c>
      <c r="EM838" s="24"/>
      <c r="EN838" s="15" t="str">
        <f t="shared" ref="EN838:EN839" si="3993">EN824/EL824-1</f>
        <v>#ERROR!</v>
      </c>
      <c r="EO838" s="15" t="str">
        <f t="shared" ref="EO838:EQ838" si="3953">EO824/EN824-1</f>
        <v>#ERROR!</v>
      </c>
      <c r="EP838" s="15" t="str">
        <f t="shared" si="3953"/>
        <v>#ERROR!</v>
      </c>
      <c r="EQ838" s="15" t="str">
        <f t="shared" si="3953"/>
        <v>#ERROR!</v>
      </c>
      <c r="ER838" s="24"/>
      <c r="ES838" s="15" t="str">
        <f t="shared" ref="ES838:ES839" si="3995">ES824/EQ824-1</f>
        <v>#ERROR!</v>
      </c>
      <c r="ET838" s="15" t="str">
        <f t="shared" ref="ET838:EV838" si="3954">ET824/ES824-1</f>
        <v>#ERROR!</v>
      </c>
      <c r="EU838" s="15" t="str">
        <f t="shared" si="3954"/>
        <v>#ERROR!</v>
      </c>
      <c r="EV838" s="15" t="str">
        <f t="shared" si="3954"/>
        <v>#ERROR!</v>
      </c>
      <c r="EW838" s="24"/>
      <c r="EX838" s="15" t="str">
        <f t="shared" ref="EX838:EX839" si="3997">EX824/EV824-1</f>
        <v>#ERROR!</v>
      </c>
      <c r="EY838" s="15" t="str">
        <f t="shared" ref="EY838:FA838" si="3955">EY824/EX824-1</f>
        <v>#ERROR!</v>
      </c>
      <c r="EZ838" s="15" t="str">
        <f t="shared" si="3955"/>
        <v>#ERROR!</v>
      </c>
      <c r="FA838" s="15" t="str">
        <f t="shared" si="3955"/>
        <v>#ERROR!</v>
      </c>
      <c r="FB838" s="24"/>
      <c r="FC838" s="15" t="str">
        <f t="shared" ref="FC838:FC839" si="3999">FC824/FA824-1</f>
        <v>#ERROR!</v>
      </c>
      <c r="FD838" s="15" t="str">
        <f t="shared" ref="FD838:FF838" si="3956">FD824/FC824-1</f>
        <v>#ERROR!</v>
      </c>
      <c r="FE838" s="15" t="str">
        <f t="shared" si="3956"/>
        <v>#ERROR!</v>
      </c>
      <c r="FF838" s="15" t="str">
        <f t="shared" si="3956"/>
        <v>#ERROR!</v>
      </c>
      <c r="FG838" s="24"/>
      <c r="FH838" s="104"/>
      <c r="FI838" s="15"/>
      <c r="FJ838" s="15"/>
      <c r="FK838" s="410"/>
      <c r="FL838" s="15"/>
    </row>
    <row r="839" ht="13.5" hidden="1" customHeight="1" outlineLevel="2">
      <c r="A839" s="4"/>
      <c r="B839" s="529" t="s">
        <v>291</v>
      </c>
      <c r="C839" s="529"/>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6"/>
      <c r="AQ839" s="596"/>
      <c r="AR839" s="596"/>
      <c r="AS839" s="596">
        <f t="shared" ref="AS839:AU839" si="3957">AS825/AR825-1</f>
        <v>-0.03836833603</v>
      </c>
      <c r="AT839" s="596">
        <f t="shared" si="3957"/>
        <v>-0.003359932801</v>
      </c>
      <c r="AU839" s="596">
        <f t="shared" si="3957"/>
        <v>0.2220817531</v>
      </c>
      <c r="AV839" s="596"/>
      <c r="AW839" s="596">
        <f>AW825/AU825-1</f>
        <v>0.04551724138</v>
      </c>
      <c r="AX839" s="596">
        <f t="shared" ref="AX839:AZ839" si="3958">AX825/AW825-1</f>
        <v>-0.1263192612</v>
      </c>
      <c r="AY839" s="596">
        <f t="shared" si="3958"/>
        <v>0.2231030578</v>
      </c>
      <c r="AZ839" s="596">
        <f t="shared" si="3958"/>
        <v>0.0212962963</v>
      </c>
      <c r="BA839" s="596"/>
      <c r="BB839" s="596">
        <f>BB825/AZ825-1</f>
        <v>-0.4808099124</v>
      </c>
      <c r="BC839" s="596">
        <f t="shared" ref="BC839:BE839" si="3959">BC825/BB825-1</f>
        <v>-0.3760186263</v>
      </c>
      <c r="BD839" s="596">
        <f t="shared" si="3959"/>
        <v>0.2817164179</v>
      </c>
      <c r="BE839" s="596">
        <f t="shared" si="3959"/>
        <v>0.08296943231</v>
      </c>
      <c r="BF839" s="596"/>
      <c r="BG839" s="596">
        <f>BG825/BE825-1</f>
        <v>0.125672043</v>
      </c>
      <c r="BH839" s="596">
        <f t="shared" ref="BH839:BJ839" si="3960">BH825/BG825-1</f>
        <v>-0.1940298507</v>
      </c>
      <c r="BI839" s="596">
        <f t="shared" si="3960"/>
        <v>0.6718518519</v>
      </c>
      <c r="BJ839" s="596">
        <f t="shared" si="3960"/>
        <v>0.3500221533</v>
      </c>
      <c r="BK839" s="596"/>
      <c r="BL839" s="596">
        <f t="shared" si="3961"/>
        <v>-0.323268789</v>
      </c>
      <c r="BM839" s="596">
        <f t="shared" ref="BM839:BO839" si="3962">BM825/BL825-1</f>
        <v>0.09359844811</v>
      </c>
      <c r="BN839" s="596">
        <f t="shared" si="3962"/>
        <v>0.3738359202</v>
      </c>
      <c r="BO839" s="596">
        <f t="shared" si="3962"/>
        <v>-0.503227889</v>
      </c>
      <c r="BP839" s="596"/>
      <c r="BQ839" s="596">
        <f t="shared" si="3963"/>
        <v>-0.579597141</v>
      </c>
      <c r="BR839" s="596">
        <f t="shared" ref="BR839:BT839" si="3964">BR825/BQ825-1</f>
        <v>1.217928903</v>
      </c>
      <c r="BS839" s="596">
        <f t="shared" si="3964"/>
        <v>0.7972125436</v>
      </c>
      <c r="BT839" s="596">
        <f t="shared" si="3964"/>
        <v>0.4528887166</v>
      </c>
      <c r="BU839" s="596"/>
      <c r="BV839" s="596">
        <f t="shared" si="3965"/>
        <v>-0.07979717107</v>
      </c>
      <c r="BW839" s="596">
        <f t="shared" ref="BW839:BY839" si="3966">BW825/BV825-1</f>
        <v>0.1545823666</v>
      </c>
      <c r="BX839" s="596">
        <f t="shared" si="3966"/>
        <v>0.03893494097</v>
      </c>
      <c r="BY839" s="596">
        <f t="shared" si="3966"/>
        <v>-0.02732108317</v>
      </c>
      <c r="BZ839" s="597"/>
      <c r="CA839" s="596">
        <f t="shared" si="3967"/>
        <v>0.03355704698</v>
      </c>
      <c r="CB839" s="596">
        <f t="shared" ref="CB839:CD839" si="3968">CB825/CA825-1</f>
        <v>-0.05363155363</v>
      </c>
      <c r="CC839" s="596">
        <f t="shared" si="3968"/>
        <v>0.2160101652</v>
      </c>
      <c r="CD839" s="596">
        <f t="shared" si="3968"/>
        <v>-0.03887147335</v>
      </c>
      <c r="CE839" s="597"/>
      <c r="CF839" s="596">
        <f t="shared" si="3969"/>
        <v>-0.1715590346</v>
      </c>
      <c r="CG839" s="596">
        <f t="shared" ref="CG839:CI839" si="3970">CG825/CF825-1</f>
        <v>0.005774278215</v>
      </c>
      <c r="CH839" s="596">
        <f t="shared" si="3970"/>
        <v>0.002348643006</v>
      </c>
      <c r="CI839" s="596">
        <f t="shared" si="3970"/>
        <v>-0.1785993231</v>
      </c>
      <c r="CJ839" s="597"/>
      <c r="CK839" s="596">
        <f t="shared" si="3971"/>
        <v>-0.2015847861</v>
      </c>
      <c r="CL839" s="596">
        <f t="shared" ref="CL839:CN839" si="3972">CL825/CK825-1</f>
        <v>0.07939658595</v>
      </c>
      <c r="CM839" s="596">
        <f t="shared" si="3972"/>
        <v>0.2887090842</v>
      </c>
      <c r="CN839" s="595">
        <f t="shared" si="3972"/>
        <v>0.01284246575</v>
      </c>
      <c r="CO839" s="597"/>
      <c r="CP839" s="595">
        <f t="shared" si="3973"/>
        <v>-0.2862778247</v>
      </c>
      <c r="CQ839" s="596">
        <f t="shared" ref="CQ839:CS839" si="3974">CQ825/CP825-1</f>
        <v>0.5175681011</v>
      </c>
      <c r="CR839" s="596">
        <f t="shared" si="3974"/>
        <v>0.1810613944</v>
      </c>
      <c r="CS839" s="596">
        <f t="shared" si="3974"/>
        <v>-0.01916299559</v>
      </c>
      <c r="CT839" s="597"/>
      <c r="CU839" s="596">
        <f t="shared" si="3975"/>
        <v>-0.4127554458</v>
      </c>
      <c r="CV839" s="596">
        <f t="shared" ref="CV839:CX839" si="3976">CV825/CU825-1</f>
        <v>0.107456979</v>
      </c>
      <c r="CW839" s="596">
        <f t="shared" si="3976"/>
        <v>0.4475138122</v>
      </c>
      <c r="CX839" s="596">
        <f t="shared" si="3976"/>
        <v>0.02552480916</v>
      </c>
      <c r="CY839" s="597"/>
      <c r="CZ839" s="596">
        <f t="shared" si="3977"/>
        <v>-0.4026517795</v>
      </c>
      <c r="DA839" s="596">
        <f t="shared" ref="DA839:DC839" si="3978">DA825/CZ825-1</f>
        <v>-0.4867601246</v>
      </c>
      <c r="DB839" s="596">
        <f t="shared" si="3978"/>
        <v>2.385432473</v>
      </c>
      <c r="DC839" s="596">
        <f t="shared" si="3978"/>
        <v>0.01434334379</v>
      </c>
      <c r="DD839" s="597"/>
      <c r="DE839" s="596">
        <f t="shared" si="3979"/>
        <v>-0.2048166151</v>
      </c>
      <c r="DF839" s="596">
        <f t="shared" ref="DF839:DH839" si="3980">DF825/DE825-1</f>
        <v>0.06335093081</v>
      </c>
      <c r="DG839" s="104">
        <f t="shared" si="3980"/>
        <v>0.3365560491</v>
      </c>
      <c r="DH839" s="596">
        <f t="shared" si="3980"/>
        <v>0.05474095797</v>
      </c>
      <c r="DI839" s="597"/>
      <c r="DJ839" s="595">
        <f t="shared" si="3981"/>
        <v>-0.171455051</v>
      </c>
      <c r="DK839" s="595">
        <f t="shared" ref="DK839:DM839" si="3982">DK825/DJ825-1</f>
        <v>0.1796420582</v>
      </c>
      <c r="DL839" s="595">
        <f t="shared" si="3982"/>
        <v>0.3937037739</v>
      </c>
      <c r="DM839" s="596">
        <f t="shared" si="3982"/>
        <v>-0.153082052</v>
      </c>
      <c r="DN839" s="597"/>
      <c r="DO839" s="596">
        <f t="shared" si="3983"/>
        <v>-0.3293701799</v>
      </c>
      <c r="DP839" s="596">
        <f t="shared" ref="DP839:DR839" si="3984">DP825/DO825-1</f>
        <v>0.1061332056</v>
      </c>
      <c r="DQ839" s="596">
        <f t="shared" si="3984"/>
        <v>0.3963612736</v>
      </c>
      <c r="DR839" s="596">
        <f t="shared" si="3984"/>
        <v>0.0542888165</v>
      </c>
      <c r="DS839" s="597"/>
      <c r="DT839" s="596">
        <f t="shared" si="3985"/>
        <v>0.03545681918</v>
      </c>
      <c r="DU839" s="596">
        <f t="shared" ref="DU839:DW839" si="3986">DU825/DT825-1</f>
        <v>-0.1905370844</v>
      </c>
      <c r="DV839" s="596">
        <f t="shared" si="3986"/>
        <v>-0.111988766</v>
      </c>
      <c r="DW839" s="596">
        <f t="shared" si="3986"/>
        <v>0.1630757067</v>
      </c>
      <c r="DX839" s="597"/>
      <c r="DY839" s="596">
        <f t="shared" si="3987"/>
        <v>-0.3721957852</v>
      </c>
      <c r="DZ839" s="596">
        <f t="shared" ref="DZ839:EB839" si="3988">DZ825/DY825-1</f>
        <v>0.5013535463</v>
      </c>
      <c r="EA839" s="596">
        <f t="shared" si="3988"/>
        <v>-0.05751893256</v>
      </c>
      <c r="EB839" s="596">
        <f t="shared" si="3988"/>
        <v>-0.04553281041</v>
      </c>
      <c r="EC839" s="597"/>
      <c r="ED839" s="596">
        <f t="shared" si="3989"/>
        <v>-0.1298857486</v>
      </c>
      <c r="EE839" s="596">
        <f t="shared" ref="EE839:EG839" si="3990">EE825/ED825-1</f>
        <v>-1.161253167</v>
      </c>
      <c r="EF839" s="596">
        <f t="shared" si="3990"/>
        <v>-0.75</v>
      </c>
      <c r="EG839" s="596">
        <f t="shared" si="3990"/>
        <v>5.468571429</v>
      </c>
      <c r="EH839" s="597"/>
      <c r="EI839" s="598" t="str">
        <f t="shared" si="3991"/>
        <v>#ERROR!</v>
      </c>
      <c r="EJ839" s="596" t="str">
        <f t="shared" ref="EJ839:EL839" si="3992">EJ825/EI825-1</f>
        <v>#ERROR!</v>
      </c>
      <c r="EK839" s="596" t="str">
        <f t="shared" si="3992"/>
        <v>#ERROR!</v>
      </c>
      <c r="EL839" s="596" t="str">
        <f t="shared" si="3992"/>
        <v>#ERROR!</v>
      </c>
      <c r="EM839" s="597"/>
      <c r="EN839" s="596" t="str">
        <f t="shared" si="3993"/>
        <v>#ERROR!</v>
      </c>
      <c r="EO839" s="596" t="str">
        <f t="shared" ref="EO839:EQ839" si="3994">EO825/EN825-1</f>
        <v>#ERROR!</v>
      </c>
      <c r="EP839" s="596" t="str">
        <f t="shared" si="3994"/>
        <v>#ERROR!</v>
      </c>
      <c r="EQ839" s="596" t="str">
        <f t="shared" si="3994"/>
        <v>#ERROR!</v>
      </c>
      <c r="ER839" s="597"/>
      <c r="ES839" s="596" t="str">
        <f t="shared" si="3995"/>
        <v>#ERROR!</v>
      </c>
      <c r="ET839" s="596" t="str">
        <f t="shared" ref="ET839:EV839" si="3996">ET825/ES825-1</f>
        <v>#ERROR!</v>
      </c>
      <c r="EU839" s="596" t="str">
        <f t="shared" si="3996"/>
        <v>#ERROR!</v>
      </c>
      <c r="EV839" s="596" t="str">
        <f t="shared" si="3996"/>
        <v>#ERROR!</v>
      </c>
      <c r="EW839" s="597"/>
      <c r="EX839" s="596" t="str">
        <f t="shared" si="3997"/>
        <v>#ERROR!</v>
      </c>
      <c r="EY839" s="596" t="str">
        <f t="shared" ref="EY839:FA839" si="3998">EY825/EX825-1</f>
        <v>#ERROR!</v>
      </c>
      <c r="EZ839" s="596" t="str">
        <f t="shared" si="3998"/>
        <v>#ERROR!</v>
      </c>
      <c r="FA839" s="596" t="str">
        <f t="shared" si="3998"/>
        <v>#ERROR!</v>
      </c>
      <c r="FB839" s="597"/>
      <c r="FC839" s="596" t="str">
        <f t="shared" si="3999"/>
        <v>#ERROR!</v>
      </c>
      <c r="FD839" s="596" t="str">
        <f t="shared" ref="FD839:FF839" si="4000">FD825/FC825-1</f>
        <v>#ERROR!</v>
      </c>
      <c r="FE839" s="596" t="str">
        <f t="shared" si="4000"/>
        <v>#ERROR!</v>
      </c>
      <c r="FF839" s="596" t="str">
        <f t="shared" si="4000"/>
        <v>#ERROR!</v>
      </c>
      <c r="FG839" s="597"/>
      <c r="FH839" s="595"/>
      <c r="FI839" s="596"/>
      <c r="FJ839" s="596"/>
      <c r="FK839" s="596"/>
      <c r="FL839" s="596"/>
    </row>
    <row r="840" ht="12.75" hidden="1" customHeight="1" outlineLevel="2">
      <c r="A840" s="4"/>
      <c r="B840" s="45"/>
      <c r="C840" s="45"/>
      <c r="D840" s="410"/>
      <c r="E840" s="410"/>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410"/>
      <c r="AK840" s="410"/>
      <c r="AL840" s="410"/>
      <c r="AM840" s="410"/>
      <c r="AN840" s="410"/>
      <c r="AO840" s="410"/>
      <c r="AP840" s="410"/>
      <c r="AQ840" s="410"/>
      <c r="AR840" s="410"/>
      <c r="AS840" s="410"/>
      <c r="AT840" s="410"/>
      <c r="AU840" s="410"/>
      <c r="AV840" s="410"/>
      <c r="AW840" s="410"/>
      <c r="AX840" s="410"/>
      <c r="AY840" s="410"/>
      <c r="AZ840" s="410"/>
      <c r="BA840" s="410"/>
      <c r="BB840" s="410"/>
      <c r="BC840" s="410"/>
      <c r="BD840" s="410"/>
      <c r="BE840" s="410"/>
      <c r="BF840" s="410"/>
      <c r="BG840" s="410"/>
      <c r="BH840" s="410"/>
      <c r="BI840" s="410"/>
      <c r="BJ840" s="410"/>
      <c r="BK840" s="410"/>
      <c r="BL840" s="410"/>
      <c r="BM840" s="410"/>
      <c r="BN840" s="410"/>
      <c r="BO840" s="410"/>
      <c r="BP840" s="410"/>
      <c r="BQ840" s="410"/>
      <c r="BR840" s="410"/>
      <c r="BS840" s="410"/>
      <c r="BT840" s="410"/>
      <c r="BU840" s="410"/>
      <c r="BV840" s="410"/>
      <c r="BW840" s="410"/>
      <c r="BX840" s="410"/>
      <c r="BY840" s="410"/>
      <c r="BZ840" s="24"/>
      <c r="CA840" s="410"/>
      <c r="CB840" s="410"/>
      <c r="CC840" s="410"/>
      <c r="CD840" s="410"/>
      <c r="CE840" s="24"/>
      <c r="CF840" s="410"/>
      <c r="CG840" s="410"/>
      <c r="CH840" s="410"/>
      <c r="CI840" s="410"/>
      <c r="CJ840" s="24"/>
      <c r="CK840" s="410"/>
      <c r="CL840" s="410"/>
      <c r="CM840" s="410"/>
      <c r="CN840" s="104"/>
      <c r="CO840" s="24"/>
      <c r="CP840" s="104"/>
      <c r="CQ840" s="410"/>
      <c r="CR840" s="410"/>
      <c r="CS840" s="410"/>
      <c r="CT840" s="24"/>
      <c r="CU840" s="410"/>
      <c r="CV840" s="410"/>
      <c r="CW840" s="410"/>
      <c r="CX840" s="410"/>
      <c r="CY840" s="24"/>
      <c r="CZ840" s="410"/>
      <c r="DA840" s="410"/>
      <c r="DB840" s="410"/>
      <c r="DC840" s="410"/>
      <c r="DD840" s="24"/>
      <c r="DE840" s="410"/>
      <c r="DF840" s="410"/>
      <c r="DG840" s="104"/>
      <c r="DH840" s="410"/>
      <c r="DI840" s="24"/>
      <c r="DJ840" s="104"/>
      <c r="DK840" s="104"/>
      <c r="DL840" s="104"/>
      <c r="DM840" s="410"/>
      <c r="DN840" s="24"/>
      <c r="DO840" s="410"/>
      <c r="DP840" s="410"/>
      <c r="DQ840" s="410"/>
      <c r="DR840" s="410"/>
      <c r="DS840" s="24"/>
      <c r="DT840" s="410"/>
      <c r="DU840" s="410"/>
      <c r="DV840" s="410"/>
      <c r="DW840" s="410"/>
      <c r="DX840" s="24"/>
      <c r="DY840" s="410"/>
      <c r="DZ840" s="410"/>
      <c r="EA840" s="410"/>
      <c r="EB840" s="410"/>
      <c r="EC840" s="24"/>
      <c r="ED840" s="410"/>
      <c r="EE840" s="410"/>
      <c r="EF840" s="410"/>
      <c r="EG840" s="410"/>
      <c r="EH840" s="24"/>
      <c r="EI840" s="317"/>
      <c r="EJ840" s="410"/>
      <c r="EK840" s="410"/>
      <c r="EL840" s="410"/>
      <c r="EM840" s="24"/>
      <c r="EN840" s="410"/>
      <c r="EO840" s="410"/>
      <c r="EP840" s="410"/>
      <c r="EQ840" s="410"/>
      <c r="ER840" s="24"/>
      <c r="ES840" s="410"/>
      <c r="ET840" s="410"/>
      <c r="EU840" s="410"/>
      <c r="EV840" s="410"/>
      <c r="EW840" s="24"/>
      <c r="EX840" s="410"/>
      <c r="EY840" s="410"/>
      <c r="EZ840" s="410"/>
      <c r="FA840" s="410"/>
      <c r="FB840" s="24"/>
      <c r="FC840" s="410"/>
      <c r="FD840" s="410"/>
      <c r="FE840" s="410"/>
      <c r="FF840" s="410"/>
      <c r="FG840" s="24"/>
      <c r="FH840" s="104"/>
      <c r="FI840" s="410"/>
      <c r="FJ840" s="410"/>
      <c r="FK840" s="410"/>
      <c r="FL840" s="410"/>
    </row>
    <row r="841" ht="12.75" hidden="1" customHeight="1" outlineLevel="2">
      <c r="A841" s="4"/>
      <c r="B841" s="578" t="s">
        <v>326</v>
      </c>
      <c r="C841" s="299"/>
      <c r="D841" s="585"/>
      <c r="E841" s="586"/>
      <c r="F841" s="586"/>
      <c r="G841" s="586"/>
      <c r="H841" s="585"/>
      <c r="I841" s="585"/>
      <c r="J841" s="586"/>
      <c r="K841" s="586"/>
      <c r="L841" s="586"/>
      <c r="M841" s="585"/>
      <c r="N841" s="585"/>
      <c r="O841" s="586"/>
      <c r="P841" s="586"/>
      <c r="Q841" s="586"/>
      <c r="R841" s="585"/>
      <c r="S841" s="585"/>
      <c r="T841" s="586"/>
      <c r="U841" s="586"/>
      <c r="V841" s="586"/>
      <c r="W841" s="585"/>
      <c r="X841" s="585"/>
      <c r="Y841" s="586"/>
      <c r="Z841" s="586"/>
      <c r="AA841" s="586"/>
      <c r="AB841" s="585"/>
      <c r="AC841" s="585"/>
      <c r="AD841" s="586"/>
      <c r="AE841" s="586"/>
      <c r="AF841" s="586"/>
      <c r="AG841" s="585"/>
      <c r="AH841" s="585"/>
      <c r="AI841" s="586"/>
      <c r="AJ841" s="586"/>
      <c r="AK841" s="586"/>
      <c r="AL841" s="585"/>
      <c r="AM841" s="585"/>
      <c r="AN841" s="586"/>
      <c r="AO841" s="586"/>
      <c r="AP841" s="586"/>
      <c r="AQ841" s="585"/>
      <c r="AR841" s="585"/>
      <c r="AS841" s="586"/>
      <c r="AT841" s="586"/>
      <c r="AU841" s="586"/>
      <c r="AV841" s="585"/>
      <c r="AW841" s="585"/>
      <c r="AX841" s="586"/>
      <c r="AY841" s="586"/>
      <c r="AZ841" s="586"/>
      <c r="BA841" s="585"/>
      <c r="BB841" s="585"/>
      <c r="BC841" s="586"/>
      <c r="BD841" s="586"/>
      <c r="BE841" s="586"/>
      <c r="BF841" s="585"/>
      <c r="BG841" s="585"/>
      <c r="BH841" s="586"/>
      <c r="BI841" s="586"/>
      <c r="BJ841" s="586"/>
      <c r="BK841" s="585"/>
      <c r="BL841" s="585"/>
      <c r="BM841" s="586"/>
      <c r="BN841" s="586"/>
      <c r="BO841" s="586"/>
      <c r="BP841" s="585"/>
      <c r="BQ841" s="585"/>
      <c r="BR841" s="586"/>
      <c r="BS841" s="586"/>
      <c r="BT841" s="586"/>
      <c r="BU841" s="585"/>
      <c r="BV841" s="585"/>
      <c r="BW841" s="586"/>
      <c r="BX841" s="586"/>
      <c r="BY841" s="586"/>
      <c r="BZ841" s="587"/>
      <c r="CA841" s="585"/>
      <c r="CB841" s="586"/>
      <c r="CC841" s="586"/>
      <c r="CD841" s="586"/>
      <c r="CE841" s="587"/>
      <c r="CF841" s="585"/>
      <c r="CG841" s="586"/>
      <c r="CH841" s="586"/>
      <c r="CI841" s="586"/>
      <c r="CJ841" s="587"/>
      <c r="CK841" s="585"/>
      <c r="CL841" s="586"/>
      <c r="CM841" s="586"/>
      <c r="CN841" s="588"/>
      <c r="CO841" s="587"/>
      <c r="CP841" s="588"/>
      <c r="CQ841" s="586"/>
      <c r="CR841" s="586"/>
      <c r="CS841" s="586"/>
      <c r="CT841" s="587"/>
      <c r="CU841" s="585"/>
      <c r="CV841" s="586"/>
      <c r="CW841" s="586"/>
      <c r="CX841" s="586"/>
      <c r="CY841" s="587"/>
      <c r="CZ841" s="585"/>
      <c r="DA841" s="586"/>
      <c r="DB841" s="586"/>
      <c r="DC841" s="586"/>
      <c r="DD841" s="587"/>
      <c r="DE841" s="585"/>
      <c r="DF841" s="586"/>
      <c r="DG841" s="474"/>
      <c r="DH841" s="586"/>
      <c r="DI841" s="587"/>
      <c r="DJ841" s="589"/>
      <c r="DK841" s="588"/>
      <c r="DL841" s="588"/>
      <c r="DM841" s="586"/>
      <c r="DN841" s="587"/>
      <c r="DO841" s="585"/>
      <c r="DP841" s="586"/>
      <c r="DQ841" s="586"/>
      <c r="DR841" s="586"/>
      <c r="DS841" s="587"/>
      <c r="DT841" s="585"/>
      <c r="DU841" s="585"/>
      <c r="DV841" s="585"/>
      <c r="DW841" s="585"/>
      <c r="DX841" s="587"/>
      <c r="DY841" s="585"/>
      <c r="DZ841" s="585"/>
      <c r="EA841" s="585"/>
      <c r="EB841" s="585"/>
      <c r="EC841" s="587"/>
      <c r="ED841" s="585"/>
      <c r="EE841" s="585"/>
      <c r="EF841" s="585"/>
      <c r="EG841" s="585"/>
      <c r="EH841" s="587"/>
      <c r="EI841" s="590"/>
      <c r="EJ841" s="586"/>
      <c r="EK841" s="586"/>
      <c r="EL841" s="586"/>
      <c r="EM841" s="587"/>
      <c r="EN841" s="585"/>
      <c r="EO841" s="586"/>
      <c r="EP841" s="586"/>
      <c r="EQ841" s="586"/>
      <c r="ER841" s="587"/>
      <c r="ES841" s="585"/>
      <c r="ET841" s="586"/>
      <c r="EU841" s="586"/>
      <c r="EV841" s="586"/>
      <c r="EW841" s="587"/>
      <c r="EX841" s="585"/>
      <c r="EY841" s="586"/>
      <c r="EZ841" s="586"/>
      <c r="FA841" s="586"/>
      <c r="FB841" s="587"/>
      <c r="FC841" s="585"/>
      <c r="FD841" s="586"/>
      <c r="FE841" s="586"/>
      <c r="FF841" s="586"/>
      <c r="FG841" s="587"/>
      <c r="FH841" s="589"/>
      <c r="FI841" s="586"/>
      <c r="FJ841" s="586"/>
      <c r="FK841" s="585"/>
      <c r="FL841" s="585"/>
    </row>
    <row r="842" ht="12.75" hidden="1" customHeight="1" outlineLevel="2">
      <c r="A842" s="45"/>
      <c r="B842" s="215" t="str">
        <f>B820</f>
        <v>Digital Enterprise Group</v>
      </c>
      <c r="C842" s="45"/>
      <c r="D842" s="15"/>
      <c r="E842" s="15"/>
      <c r="F842" s="15"/>
      <c r="G842" s="15"/>
      <c r="H842" s="410"/>
      <c r="I842" s="15"/>
      <c r="J842" s="15"/>
      <c r="K842" s="15"/>
      <c r="L842" s="15"/>
      <c r="M842" s="410"/>
      <c r="N842" s="15"/>
      <c r="O842" s="15"/>
      <c r="P842" s="15"/>
      <c r="Q842" s="15"/>
      <c r="R842" s="410"/>
      <c r="S842" s="15"/>
      <c r="T842" s="15"/>
      <c r="U842" s="15"/>
      <c r="V842" s="15"/>
      <c r="W842" s="410"/>
      <c r="X842" s="15"/>
      <c r="Y842" s="15"/>
      <c r="Z842" s="15"/>
      <c r="AA842" s="15"/>
      <c r="AB842" s="410"/>
      <c r="AC842" s="15"/>
      <c r="AD842" s="15"/>
      <c r="AE842" s="15"/>
      <c r="AF842" s="15"/>
      <c r="AG842" s="410"/>
      <c r="AH842" s="15"/>
      <c r="AI842" s="15"/>
      <c r="AJ842" s="15"/>
      <c r="AK842" s="15"/>
      <c r="AL842" s="410"/>
      <c r="AM842" s="15"/>
      <c r="AN842" s="15"/>
      <c r="AO842" s="15"/>
      <c r="AP842" s="15"/>
      <c r="AQ842" s="410"/>
      <c r="AR842" s="15"/>
      <c r="AS842" s="15"/>
      <c r="AT842" s="15"/>
      <c r="AU842" s="15"/>
      <c r="AV842" s="410"/>
      <c r="AW842" s="15">
        <f t="shared" ref="AW842:FG842" si="4001">AW820/AR820-1</f>
        <v>-0.03546677538</v>
      </c>
      <c r="AX842" s="15">
        <f t="shared" si="4001"/>
        <v>-0.0691588785</v>
      </c>
      <c r="AY842" s="15">
        <f t="shared" si="4001"/>
        <v>0.2517985612</v>
      </c>
      <c r="AZ842" s="15">
        <f t="shared" si="4001"/>
        <v>0.01427988576</v>
      </c>
      <c r="BA842" s="410">
        <f t="shared" si="4001"/>
        <v>0.02881030392</v>
      </c>
      <c r="BB842" s="15">
        <f t="shared" si="4001"/>
        <v>-0.4188503804</v>
      </c>
      <c r="BC842" s="15">
        <f t="shared" si="4001"/>
        <v>-0.5326305221</v>
      </c>
      <c r="BD842" s="15">
        <f t="shared" si="4001"/>
        <v>-0.6206896552</v>
      </c>
      <c r="BE842" s="15">
        <f t="shared" si="4001"/>
        <v>-0.5555108608</v>
      </c>
      <c r="BF842" s="410">
        <f t="shared" si="4001"/>
        <v>-0.5311882275</v>
      </c>
      <c r="BG842" s="15">
        <f t="shared" si="4001"/>
        <v>-0.3229090909</v>
      </c>
      <c r="BH842" s="15">
        <f t="shared" si="4001"/>
        <v>-0.1224489796</v>
      </c>
      <c r="BI842" s="15">
        <f t="shared" si="4001"/>
        <v>0.4988344988</v>
      </c>
      <c r="BJ842" s="15">
        <f t="shared" si="4001"/>
        <v>0.9321266968</v>
      </c>
      <c r="BK842" s="410">
        <f t="shared" si="4001"/>
        <v>0.2108222066</v>
      </c>
      <c r="BL842" s="15">
        <f t="shared" si="4001"/>
        <v>0.8936627282</v>
      </c>
      <c r="BM842" s="15">
        <f t="shared" si="4001"/>
        <v>1.093023256</v>
      </c>
      <c r="BN842" s="15">
        <f t="shared" si="4001"/>
        <v>0.3748055988</v>
      </c>
      <c r="BO842" s="15">
        <f t="shared" si="4001"/>
        <v>-0.4281030445</v>
      </c>
      <c r="BP842" s="410">
        <f t="shared" si="4001"/>
        <v>0.2501450958</v>
      </c>
      <c r="BQ842" s="15">
        <f t="shared" si="4001"/>
        <v>-0.6012478729</v>
      </c>
      <c r="BR842" s="15">
        <f t="shared" si="4001"/>
        <v>-0.4637426901</v>
      </c>
      <c r="BS842" s="15">
        <f t="shared" si="4001"/>
        <v>-0.1447963801</v>
      </c>
      <c r="BT842" s="15" t="str">
        <f t="shared" si="4001"/>
        <v>#ERROR!</v>
      </c>
      <c r="BU842" s="410" t="str">
        <f t="shared" si="4001"/>
        <v>#ERROR!</v>
      </c>
      <c r="BV842" s="15" t="str">
        <f t="shared" si="4001"/>
        <v>#ERROR!</v>
      </c>
      <c r="BW842" s="15" t="str">
        <f t="shared" si="4001"/>
        <v>#ERROR!</v>
      </c>
      <c r="BX842" s="15" t="str">
        <f t="shared" si="4001"/>
        <v>#ERROR!</v>
      </c>
      <c r="BY842" s="15" t="str">
        <f t="shared" si="4001"/>
        <v>#ERROR!</v>
      </c>
      <c r="BZ842" s="24" t="str">
        <f t="shared" si="4001"/>
        <v>#ERROR!</v>
      </c>
      <c r="CA842" s="15" t="str">
        <f t="shared" si="4001"/>
        <v>#ERROR!</v>
      </c>
      <c r="CB842" s="15" t="str">
        <f t="shared" si="4001"/>
        <v>#ERROR!</v>
      </c>
      <c r="CC842" s="15" t="str">
        <f t="shared" si="4001"/>
        <v>#ERROR!</v>
      </c>
      <c r="CD842" s="15" t="str">
        <f t="shared" si="4001"/>
        <v>#ERROR!</v>
      </c>
      <c r="CE842" s="24" t="str">
        <f t="shared" si="4001"/>
        <v>#ERROR!</v>
      </c>
      <c r="CF842" s="15" t="str">
        <f t="shared" si="4001"/>
        <v>#ERROR!</v>
      </c>
      <c r="CG842" s="15" t="str">
        <f t="shared" si="4001"/>
        <v>#ERROR!</v>
      </c>
      <c r="CH842" s="15" t="str">
        <f t="shared" si="4001"/>
        <v>#ERROR!</v>
      </c>
      <c r="CI842" s="15" t="str">
        <f t="shared" si="4001"/>
        <v>#ERROR!</v>
      </c>
      <c r="CJ842" s="24" t="str">
        <f t="shared" si="4001"/>
        <v>#ERROR!</v>
      </c>
      <c r="CK842" s="15" t="str">
        <f t="shared" si="4001"/>
        <v>#ERROR!</v>
      </c>
      <c r="CL842" s="15" t="str">
        <f t="shared" si="4001"/>
        <v>#ERROR!</v>
      </c>
      <c r="CM842" s="15" t="str">
        <f t="shared" si="4001"/>
        <v>#ERROR!</v>
      </c>
      <c r="CN842" s="40" t="str">
        <f t="shared" si="4001"/>
        <v>#ERROR!</v>
      </c>
      <c r="CO842" s="24" t="str">
        <f t="shared" si="4001"/>
        <v>#ERROR!</v>
      </c>
      <c r="CP842" s="40" t="str">
        <f t="shared" si="4001"/>
        <v>#ERROR!</v>
      </c>
      <c r="CQ842" s="15" t="str">
        <f t="shared" si="4001"/>
        <v>#ERROR!</v>
      </c>
      <c r="CR842" s="15" t="str">
        <f t="shared" si="4001"/>
        <v>#ERROR!</v>
      </c>
      <c r="CS842" s="15" t="str">
        <f t="shared" si="4001"/>
        <v>#ERROR!</v>
      </c>
      <c r="CT842" s="24" t="str">
        <f t="shared" si="4001"/>
        <v>#ERROR!</v>
      </c>
      <c r="CU842" s="15" t="str">
        <f t="shared" si="4001"/>
        <v>#ERROR!</v>
      </c>
      <c r="CV842" s="15" t="str">
        <f t="shared" si="4001"/>
        <v>#ERROR!</v>
      </c>
      <c r="CW842" s="15" t="str">
        <f t="shared" si="4001"/>
        <v>#ERROR!</v>
      </c>
      <c r="CX842" s="15" t="str">
        <f t="shared" si="4001"/>
        <v>#ERROR!</v>
      </c>
      <c r="CY842" s="24" t="str">
        <f t="shared" si="4001"/>
        <v>#ERROR!</v>
      </c>
      <c r="CZ842" s="15" t="str">
        <f t="shared" si="4001"/>
        <v>#ERROR!</v>
      </c>
      <c r="DA842" s="15" t="str">
        <f t="shared" si="4001"/>
        <v>#ERROR!</v>
      </c>
      <c r="DB842" s="15" t="str">
        <f t="shared" si="4001"/>
        <v>#ERROR!</v>
      </c>
      <c r="DC842" s="15" t="str">
        <f t="shared" si="4001"/>
        <v>#ERROR!</v>
      </c>
      <c r="DD842" s="24" t="str">
        <f t="shared" si="4001"/>
        <v>#ERROR!</v>
      </c>
      <c r="DE842" s="15" t="str">
        <f t="shared" si="4001"/>
        <v>#ERROR!</v>
      </c>
      <c r="DF842" s="15" t="str">
        <f t="shared" si="4001"/>
        <v>#ERROR!</v>
      </c>
      <c r="DG842" s="40" t="str">
        <f t="shared" si="4001"/>
        <v>#ERROR!</v>
      </c>
      <c r="DH842" s="15" t="str">
        <f t="shared" si="4001"/>
        <v>#ERROR!</v>
      </c>
      <c r="DI842" s="24" t="str">
        <f t="shared" si="4001"/>
        <v>#ERROR!</v>
      </c>
      <c r="DJ842" s="40" t="str">
        <f t="shared" si="4001"/>
        <v>#ERROR!</v>
      </c>
      <c r="DK842" s="40" t="str">
        <f t="shared" si="4001"/>
        <v>#ERROR!</v>
      </c>
      <c r="DL842" s="40" t="str">
        <f t="shared" si="4001"/>
        <v>#ERROR!</v>
      </c>
      <c r="DM842" s="15" t="str">
        <f t="shared" si="4001"/>
        <v>#ERROR!</v>
      </c>
      <c r="DN842" s="24" t="str">
        <f t="shared" si="4001"/>
        <v>#ERROR!</v>
      </c>
      <c r="DO842" s="15" t="str">
        <f t="shared" si="4001"/>
        <v>#ERROR!</v>
      </c>
      <c r="DP842" s="15" t="str">
        <f t="shared" si="4001"/>
        <v>#ERROR!</v>
      </c>
      <c r="DQ842" s="15" t="str">
        <f t="shared" si="4001"/>
        <v>#ERROR!</v>
      </c>
      <c r="DR842" s="15" t="str">
        <f t="shared" si="4001"/>
        <v>#ERROR!</v>
      </c>
      <c r="DS842" s="24" t="str">
        <f t="shared" si="4001"/>
        <v>#ERROR!</v>
      </c>
      <c r="DT842" s="15" t="str">
        <f t="shared" si="4001"/>
        <v>#ERROR!</v>
      </c>
      <c r="DU842" s="15" t="str">
        <f t="shared" si="4001"/>
        <v>#ERROR!</v>
      </c>
      <c r="DV842" s="15" t="str">
        <f t="shared" si="4001"/>
        <v>#ERROR!</v>
      </c>
      <c r="DW842" s="15" t="str">
        <f t="shared" si="4001"/>
        <v>#ERROR!</v>
      </c>
      <c r="DX842" s="24" t="str">
        <f t="shared" si="4001"/>
        <v>#ERROR!</v>
      </c>
      <c r="DY842" s="15" t="str">
        <f t="shared" si="4001"/>
        <v>#ERROR!</v>
      </c>
      <c r="DZ842" s="15" t="str">
        <f t="shared" si="4001"/>
        <v>#ERROR!</v>
      </c>
      <c r="EA842" s="15" t="str">
        <f t="shared" si="4001"/>
        <v>#ERROR!</v>
      </c>
      <c r="EB842" s="15" t="str">
        <f t="shared" si="4001"/>
        <v>#ERROR!</v>
      </c>
      <c r="EC842" s="24" t="str">
        <f t="shared" si="4001"/>
        <v>#ERROR!</v>
      </c>
      <c r="ED842" s="15" t="str">
        <f t="shared" si="4001"/>
        <v>#ERROR!</v>
      </c>
      <c r="EE842" s="15" t="str">
        <f t="shared" si="4001"/>
        <v>#ERROR!</v>
      </c>
      <c r="EF842" s="15" t="str">
        <f t="shared" si="4001"/>
        <v>#ERROR!</v>
      </c>
      <c r="EG842" s="15" t="str">
        <f t="shared" si="4001"/>
        <v>#ERROR!</v>
      </c>
      <c r="EH842" s="24" t="str">
        <f t="shared" si="4001"/>
        <v>#ERROR!</v>
      </c>
      <c r="EI842" s="82" t="str">
        <f t="shared" si="4001"/>
        <v>#ERROR!</v>
      </c>
      <c r="EJ842" s="15" t="str">
        <f t="shared" si="4001"/>
        <v>#ERROR!</v>
      </c>
      <c r="EK842" s="15" t="str">
        <f t="shared" si="4001"/>
        <v>#ERROR!</v>
      </c>
      <c r="EL842" s="15" t="str">
        <f t="shared" si="4001"/>
        <v>#ERROR!</v>
      </c>
      <c r="EM842" s="24" t="str">
        <f t="shared" si="4001"/>
        <v>#ERROR!</v>
      </c>
      <c r="EN842" s="15" t="str">
        <f t="shared" si="4001"/>
        <v>#ERROR!</v>
      </c>
      <c r="EO842" s="15" t="str">
        <f t="shared" si="4001"/>
        <v>#ERROR!</v>
      </c>
      <c r="EP842" s="15" t="str">
        <f t="shared" si="4001"/>
        <v>#ERROR!</v>
      </c>
      <c r="EQ842" s="15" t="str">
        <f t="shared" si="4001"/>
        <v>#ERROR!</v>
      </c>
      <c r="ER842" s="24" t="str">
        <f t="shared" si="4001"/>
        <v>#ERROR!</v>
      </c>
      <c r="ES842" s="15" t="str">
        <f t="shared" si="4001"/>
        <v>#ERROR!</v>
      </c>
      <c r="ET842" s="15" t="str">
        <f t="shared" si="4001"/>
        <v>#ERROR!</v>
      </c>
      <c r="EU842" s="15" t="str">
        <f t="shared" si="4001"/>
        <v>#ERROR!</v>
      </c>
      <c r="EV842" s="15" t="str">
        <f t="shared" si="4001"/>
        <v>#ERROR!</v>
      </c>
      <c r="EW842" s="24" t="str">
        <f t="shared" si="4001"/>
        <v>#ERROR!</v>
      </c>
      <c r="EX842" s="15" t="str">
        <f t="shared" si="4001"/>
        <v>#ERROR!</v>
      </c>
      <c r="EY842" s="15" t="str">
        <f t="shared" si="4001"/>
        <v>#ERROR!</v>
      </c>
      <c r="EZ842" s="15" t="str">
        <f t="shared" si="4001"/>
        <v>#ERROR!</v>
      </c>
      <c r="FA842" s="15" t="str">
        <f t="shared" si="4001"/>
        <v>#ERROR!</v>
      </c>
      <c r="FB842" s="24" t="str">
        <f t="shared" si="4001"/>
        <v>#ERROR!</v>
      </c>
      <c r="FC842" s="15" t="str">
        <f t="shared" si="4001"/>
        <v>#ERROR!</v>
      </c>
      <c r="FD842" s="15" t="str">
        <f t="shared" si="4001"/>
        <v>#ERROR!</v>
      </c>
      <c r="FE842" s="15" t="str">
        <f t="shared" si="4001"/>
        <v>#ERROR!</v>
      </c>
      <c r="FF842" s="15" t="str">
        <f t="shared" si="4001"/>
        <v>#ERROR!</v>
      </c>
      <c r="FG842" s="24" t="str">
        <f t="shared" si="4001"/>
        <v>#ERROR!</v>
      </c>
      <c r="FH842" s="104"/>
      <c r="FI842" s="15"/>
      <c r="FJ842" s="15"/>
      <c r="FK842" s="410"/>
      <c r="FL842" s="15"/>
    </row>
    <row r="843" ht="12.75" hidden="1" customHeight="1" outlineLevel="2">
      <c r="A843" s="45"/>
      <c r="B843" s="215" t="str">
        <f>B830</f>
        <v>Mobility Group less Flash</v>
      </c>
      <c r="C843" s="45"/>
      <c r="D843" s="15"/>
      <c r="E843" s="15"/>
      <c r="F843" s="15"/>
      <c r="G843" s="15"/>
      <c r="H843" s="410"/>
      <c r="I843" s="15"/>
      <c r="J843" s="15"/>
      <c r="K843" s="15"/>
      <c r="L843" s="15"/>
      <c r="M843" s="410"/>
      <c r="N843" s="15"/>
      <c r="O843" s="15"/>
      <c r="P843" s="15"/>
      <c r="Q843" s="15"/>
      <c r="R843" s="410"/>
      <c r="S843" s="15"/>
      <c r="T843" s="15"/>
      <c r="U843" s="15"/>
      <c r="V843" s="15"/>
      <c r="W843" s="410"/>
      <c r="X843" s="15"/>
      <c r="Y843" s="15"/>
      <c r="Z843" s="15"/>
      <c r="AA843" s="15"/>
      <c r="AB843" s="410"/>
      <c r="AC843" s="15"/>
      <c r="AD843" s="15"/>
      <c r="AE843" s="15"/>
      <c r="AF843" s="15"/>
      <c r="AG843" s="410"/>
      <c r="AH843" s="15"/>
      <c r="AI843" s="15"/>
      <c r="AJ843" s="15"/>
      <c r="AK843" s="15"/>
      <c r="AL843" s="410"/>
      <c r="AM843" s="15"/>
      <c r="AN843" s="15"/>
      <c r="AO843" s="15"/>
      <c r="AP843" s="15"/>
      <c r="AQ843" s="410"/>
      <c r="AR843" s="15"/>
      <c r="AS843" s="15"/>
      <c r="AT843" s="15"/>
      <c r="AU843" s="15"/>
      <c r="AV843" s="410"/>
      <c r="AW843" s="15">
        <f t="shared" ref="AW843:AZ843" si="4002">AW821/AR821-1</f>
        <v>1.7475</v>
      </c>
      <c r="AX843" s="15">
        <f t="shared" si="4002"/>
        <v>0.9224283305</v>
      </c>
      <c r="AY843" s="15">
        <f t="shared" si="4002"/>
        <v>0.8115577889</v>
      </c>
      <c r="AZ843" s="15">
        <f t="shared" si="4002"/>
        <v>0.889261745</v>
      </c>
      <c r="BA843" s="410">
        <f>BA822/AV822-1</f>
        <v>0.9505649718</v>
      </c>
      <c r="BB843" s="15">
        <f t="shared" ref="BB843:FG843" si="4003">BB821/AW821-1</f>
        <v>0.05095541401</v>
      </c>
      <c r="BC843" s="15">
        <f t="shared" si="4003"/>
        <v>-0.1701754386</v>
      </c>
      <c r="BD843" s="15">
        <f t="shared" si="4003"/>
        <v>-0.1262135922</v>
      </c>
      <c r="BE843" s="15">
        <f t="shared" si="4003"/>
        <v>-0.03493191237</v>
      </c>
      <c r="BF843" s="410">
        <f t="shared" si="4003"/>
        <v>-0.07057728119</v>
      </c>
      <c r="BG843" s="15">
        <f t="shared" si="4003"/>
        <v>0.1956709957</v>
      </c>
      <c r="BH843" s="15">
        <f t="shared" si="4003"/>
        <v>0.3213530655</v>
      </c>
      <c r="BI843" s="15">
        <f t="shared" si="4003"/>
        <v>0.0253968254</v>
      </c>
      <c r="BJ843" s="15">
        <f t="shared" si="4003"/>
        <v>0.03251533742</v>
      </c>
      <c r="BK843" s="410">
        <f t="shared" si="4003"/>
        <v>0.1232217992</v>
      </c>
      <c r="BL843" s="15">
        <f t="shared" si="4003"/>
        <v>-0.1556842867</v>
      </c>
      <c r="BM843" s="15">
        <f t="shared" si="4003"/>
        <v>0.0008</v>
      </c>
      <c r="BN843" s="15">
        <f t="shared" si="4003"/>
        <v>0.4311145511</v>
      </c>
      <c r="BO843" s="15">
        <f t="shared" si="4003"/>
        <v>-0.4456327986</v>
      </c>
      <c r="BP843" s="410">
        <f t="shared" si="4003"/>
        <v>-0.07260078487</v>
      </c>
      <c r="BQ843" s="15">
        <f t="shared" si="4003"/>
        <v>-0.7907375643</v>
      </c>
      <c r="BR843" s="15">
        <f t="shared" si="4003"/>
        <v>-0.3581135092</v>
      </c>
      <c r="BS843" s="15">
        <f t="shared" si="4003"/>
        <v>-0.2698756084</v>
      </c>
      <c r="BT843" s="15" t="str">
        <f t="shared" si="4003"/>
        <v>#ERROR!</v>
      </c>
      <c r="BU843" s="410" t="str">
        <f t="shared" si="4003"/>
        <v>#ERROR!</v>
      </c>
      <c r="BV843" s="15" t="str">
        <f t="shared" si="4003"/>
        <v>#ERROR!</v>
      </c>
      <c r="BW843" s="15" t="str">
        <f t="shared" si="4003"/>
        <v>#ERROR!</v>
      </c>
      <c r="BX843" s="15" t="str">
        <f t="shared" si="4003"/>
        <v>#ERROR!</v>
      </c>
      <c r="BY843" s="15" t="str">
        <f t="shared" si="4003"/>
        <v>#ERROR!</v>
      </c>
      <c r="BZ843" s="24" t="str">
        <f t="shared" si="4003"/>
        <v>#ERROR!</v>
      </c>
      <c r="CA843" s="15" t="str">
        <f t="shared" si="4003"/>
        <v>#ERROR!</v>
      </c>
      <c r="CB843" s="15" t="str">
        <f t="shared" si="4003"/>
        <v>#ERROR!</v>
      </c>
      <c r="CC843" s="15" t="str">
        <f t="shared" si="4003"/>
        <v>#ERROR!</v>
      </c>
      <c r="CD843" s="15" t="str">
        <f t="shared" si="4003"/>
        <v>#ERROR!</v>
      </c>
      <c r="CE843" s="24" t="str">
        <f t="shared" si="4003"/>
        <v>#ERROR!</v>
      </c>
      <c r="CF843" s="15" t="str">
        <f t="shared" si="4003"/>
        <v>#ERROR!</v>
      </c>
      <c r="CG843" s="15" t="str">
        <f t="shared" si="4003"/>
        <v>#ERROR!</v>
      </c>
      <c r="CH843" s="15" t="str">
        <f t="shared" si="4003"/>
        <v>#ERROR!</v>
      </c>
      <c r="CI843" s="15" t="str">
        <f t="shared" si="4003"/>
        <v>#ERROR!</v>
      </c>
      <c r="CJ843" s="24" t="str">
        <f t="shared" si="4003"/>
        <v>#ERROR!</v>
      </c>
      <c r="CK843" s="15" t="str">
        <f t="shared" si="4003"/>
        <v>#ERROR!</v>
      </c>
      <c r="CL843" s="15" t="str">
        <f t="shared" si="4003"/>
        <v>#ERROR!</v>
      </c>
      <c r="CM843" s="15" t="str">
        <f t="shared" si="4003"/>
        <v>#ERROR!</v>
      </c>
      <c r="CN843" s="40" t="str">
        <f t="shared" si="4003"/>
        <v>#ERROR!</v>
      </c>
      <c r="CO843" s="24" t="str">
        <f t="shared" si="4003"/>
        <v>#ERROR!</v>
      </c>
      <c r="CP843" s="40" t="str">
        <f t="shared" si="4003"/>
        <v>#ERROR!</v>
      </c>
      <c r="CQ843" s="15" t="str">
        <f t="shared" si="4003"/>
        <v>#ERROR!</v>
      </c>
      <c r="CR843" s="15" t="str">
        <f t="shared" si="4003"/>
        <v>#ERROR!</v>
      </c>
      <c r="CS843" s="15" t="str">
        <f t="shared" si="4003"/>
        <v>#ERROR!</v>
      </c>
      <c r="CT843" s="24" t="str">
        <f t="shared" si="4003"/>
        <v>#ERROR!</v>
      </c>
      <c r="CU843" s="15" t="str">
        <f t="shared" si="4003"/>
        <v>#ERROR!</v>
      </c>
      <c r="CV843" s="15" t="str">
        <f t="shared" si="4003"/>
        <v>#ERROR!</v>
      </c>
      <c r="CW843" s="15" t="str">
        <f t="shared" si="4003"/>
        <v>#ERROR!</v>
      </c>
      <c r="CX843" s="15" t="str">
        <f t="shared" si="4003"/>
        <v>#ERROR!</v>
      </c>
      <c r="CY843" s="24" t="str">
        <f t="shared" si="4003"/>
        <v>#ERROR!</v>
      </c>
      <c r="CZ843" s="15" t="str">
        <f t="shared" si="4003"/>
        <v>#ERROR!</v>
      </c>
      <c r="DA843" s="15" t="str">
        <f t="shared" si="4003"/>
        <v>#ERROR!</v>
      </c>
      <c r="DB843" s="15" t="str">
        <f t="shared" si="4003"/>
        <v>#ERROR!</v>
      </c>
      <c r="DC843" s="15" t="str">
        <f t="shared" si="4003"/>
        <v>#ERROR!</v>
      </c>
      <c r="DD843" s="24" t="str">
        <f t="shared" si="4003"/>
        <v>#ERROR!</v>
      </c>
      <c r="DE843" s="15" t="str">
        <f t="shared" si="4003"/>
        <v>#ERROR!</v>
      </c>
      <c r="DF843" s="15" t="str">
        <f t="shared" si="4003"/>
        <v>#ERROR!</v>
      </c>
      <c r="DG843" s="40" t="str">
        <f t="shared" si="4003"/>
        <v>#ERROR!</v>
      </c>
      <c r="DH843" s="15" t="str">
        <f t="shared" si="4003"/>
        <v>#ERROR!</v>
      </c>
      <c r="DI843" s="24" t="str">
        <f t="shared" si="4003"/>
        <v>#ERROR!</v>
      </c>
      <c r="DJ843" s="40" t="str">
        <f t="shared" si="4003"/>
        <v>#ERROR!</v>
      </c>
      <c r="DK843" s="40" t="str">
        <f t="shared" si="4003"/>
        <v>#ERROR!</v>
      </c>
      <c r="DL843" s="40" t="str">
        <f t="shared" si="4003"/>
        <v>#ERROR!</v>
      </c>
      <c r="DM843" s="15" t="str">
        <f t="shared" si="4003"/>
        <v>#ERROR!</v>
      </c>
      <c r="DN843" s="24" t="str">
        <f t="shared" si="4003"/>
        <v>#ERROR!</v>
      </c>
      <c r="DO843" s="15" t="str">
        <f t="shared" si="4003"/>
        <v>#ERROR!</v>
      </c>
      <c r="DP843" s="15" t="str">
        <f t="shared" si="4003"/>
        <v>#ERROR!</v>
      </c>
      <c r="DQ843" s="15" t="str">
        <f t="shared" si="4003"/>
        <v>#ERROR!</v>
      </c>
      <c r="DR843" s="15" t="str">
        <f t="shared" si="4003"/>
        <v>#ERROR!</v>
      </c>
      <c r="DS843" s="24" t="str">
        <f t="shared" si="4003"/>
        <v>#ERROR!</v>
      </c>
      <c r="DT843" s="15" t="str">
        <f t="shared" si="4003"/>
        <v>#ERROR!</v>
      </c>
      <c r="DU843" s="15" t="str">
        <f t="shared" si="4003"/>
        <v>#ERROR!</v>
      </c>
      <c r="DV843" s="15" t="str">
        <f t="shared" si="4003"/>
        <v>#ERROR!</v>
      </c>
      <c r="DW843" s="15" t="str">
        <f t="shared" si="4003"/>
        <v>#ERROR!</v>
      </c>
      <c r="DX843" s="24" t="str">
        <f t="shared" si="4003"/>
        <v>#ERROR!</v>
      </c>
      <c r="DY843" s="15" t="str">
        <f t="shared" si="4003"/>
        <v>#ERROR!</v>
      </c>
      <c r="DZ843" s="15" t="str">
        <f t="shared" si="4003"/>
        <v>#ERROR!</v>
      </c>
      <c r="EA843" s="15" t="str">
        <f t="shared" si="4003"/>
        <v>#ERROR!</v>
      </c>
      <c r="EB843" s="15" t="str">
        <f t="shared" si="4003"/>
        <v>#ERROR!</v>
      </c>
      <c r="EC843" s="24" t="str">
        <f t="shared" si="4003"/>
        <v>#ERROR!</v>
      </c>
      <c r="ED843" s="15" t="str">
        <f t="shared" si="4003"/>
        <v>#ERROR!</v>
      </c>
      <c r="EE843" s="15" t="str">
        <f t="shared" si="4003"/>
        <v>#ERROR!</v>
      </c>
      <c r="EF843" s="15" t="str">
        <f t="shared" si="4003"/>
        <v>#ERROR!</v>
      </c>
      <c r="EG843" s="15" t="str">
        <f t="shared" si="4003"/>
        <v>#ERROR!</v>
      </c>
      <c r="EH843" s="24" t="str">
        <f t="shared" si="4003"/>
        <v>#ERROR!</v>
      </c>
      <c r="EI843" s="82" t="str">
        <f t="shared" si="4003"/>
        <v>#ERROR!</v>
      </c>
      <c r="EJ843" s="15" t="str">
        <f t="shared" si="4003"/>
        <v>#ERROR!</v>
      </c>
      <c r="EK843" s="15" t="str">
        <f t="shared" si="4003"/>
        <v>#ERROR!</v>
      </c>
      <c r="EL843" s="15" t="str">
        <f t="shared" si="4003"/>
        <v>#ERROR!</v>
      </c>
      <c r="EM843" s="24" t="str">
        <f t="shared" si="4003"/>
        <v>#ERROR!</v>
      </c>
      <c r="EN843" s="15" t="str">
        <f t="shared" si="4003"/>
        <v>#ERROR!</v>
      </c>
      <c r="EO843" s="15" t="str">
        <f t="shared" si="4003"/>
        <v>#ERROR!</v>
      </c>
      <c r="EP843" s="15" t="str">
        <f t="shared" si="4003"/>
        <v>#ERROR!</v>
      </c>
      <c r="EQ843" s="15" t="str">
        <f t="shared" si="4003"/>
        <v>#ERROR!</v>
      </c>
      <c r="ER843" s="24" t="str">
        <f t="shared" si="4003"/>
        <v>#ERROR!</v>
      </c>
      <c r="ES843" s="15" t="str">
        <f t="shared" si="4003"/>
        <v>#ERROR!</v>
      </c>
      <c r="ET843" s="15" t="str">
        <f t="shared" si="4003"/>
        <v>#ERROR!</v>
      </c>
      <c r="EU843" s="15" t="str">
        <f t="shared" si="4003"/>
        <v>#ERROR!</v>
      </c>
      <c r="EV843" s="15" t="str">
        <f t="shared" si="4003"/>
        <v>#ERROR!</v>
      </c>
      <c r="EW843" s="24" t="str">
        <f t="shared" si="4003"/>
        <v>#ERROR!</v>
      </c>
      <c r="EX843" s="15" t="str">
        <f t="shared" si="4003"/>
        <v>#ERROR!</v>
      </c>
      <c r="EY843" s="15" t="str">
        <f t="shared" si="4003"/>
        <v>#ERROR!</v>
      </c>
      <c r="EZ843" s="15" t="str">
        <f t="shared" si="4003"/>
        <v>#ERROR!</v>
      </c>
      <c r="FA843" s="15" t="str">
        <f t="shared" si="4003"/>
        <v>#ERROR!</v>
      </c>
      <c r="FB843" s="24" t="str">
        <f t="shared" si="4003"/>
        <v>#ERROR!</v>
      </c>
      <c r="FC843" s="15" t="str">
        <f t="shared" si="4003"/>
        <v>#ERROR!</v>
      </c>
      <c r="FD843" s="15" t="str">
        <f t="shared" si="4003"/>
        <v>#ERROR!</v>
      </c>
      <c r="FE843" s="15" t="str">
        <f t="shared" si="4003"/>
        <v>#ERROR!</v>
      </c>
      <c r="FF843" s="15" t="str">
        <f t="shared" si="4003"/>
        <v>#ERROR!</v>
      </c>
      <c r="FG843" s="24" t="str">
        <f t="shared" si="4003"/>
        <v>#ERROR!</v>
      </c>
      <c r="FH843" s="104"/>
      <c r="FI843" s="15"/>
      <c r="FJ843" s="15"/>
      <c r="FK843" s="410"/>
      <c r="FL843" s="15"/>
    </row>
    <row r="844" ht="12.75" hidden="1" customHeight="1" outlineLevel="2">
      <c r="A844" s="45"/>
      <c r="B844" s="215" t="str">
        <f>B824</f>
        <v>All Other</v>
      </c>
      <c r="C844" s="45"/>
      <c r="D844" s="413"/>
      <c r="E844" s="413"/>
      <c r="F844" s="413"/>
      <c r="G844" s="413"/>
      <c r="H844" s="414"/>
      <c r="I844" s="413"/>
      <c r="J844" s="413"/>
      <c r="K844" s="413"/>
      <c r="L844" s="413"/>
      <c r="M844" s="414"/>
      <c r="N844" s="413"/>
      <c r="O844" s="413"/>
      <c r="P844" s="413"/>
      <c r="Q844" s="413"/>
      <c r="R844" s="414"/>
      <c r="S844" s="413"/>
      <c r="T844" s="413"/>
      <c r="U844" s="413"/>
      <c r="V844" s="413"/>
      <c r="W844" s="414"/>
      <c r="X844" s="413"/>
      <c r="Y844" s="413"/>
      <c r="Z844" s="413"/>
      <c r="AA844" s="413"/>
      <c r="AB844" s="414"/>
      <c r="AC844" s="413"/>
      <c r="AD844" s="413"/>
      <c r="AE844" s="413"/>
      <c r="AF844" s="413"/>
      <c r="AG844" s="414"/>
      <c r="AH844" s="413"/>
      <c r="AI844" s="413"/>
      <c r="AJ844" s="413"/>
      <c r="AK844" s="413"/>
      <c r="AL844" s="414"/>
      <c r="AM844" s="413"/>
      <c r="AN844" s="413"/>
      <c r="AO844" s="413"/>
      <c r="AP844" s="413"/>
      <c r="AQ844" s="414"/>
      <c r="AR844" s="413"/>
      <c r="AS844" s="413"/>
      <c r="AT844" s="413"/>
      <c r="AU844" s="413"/>
      <c r="AV844" s="414"/>
      <c r="AW844" s="413">
        <f t="shared" ref="AW844:FG844" si="4004">AW824/AR824-1</f>
        <v>0.1485411141</v>
      </c>
      <c r="AX844" s="413">
        <f t="shared" si="4004"/>
        <v>0.3721590909</v>
      </c>
      <c r="AY844" s="413">
        <f t="shared" si="4004"/>
        <v>1.017391304</v>
      </c>
      <c r="AZ844" s="413">
        <f t="shared" si="4004"/>
        <v>0.6</v>
      </c>
      <c r="BA844" s="414">
        <f t="shared" si="4004"/>
        <v>0.49002849</v>
      </c>
      <c r="BB844" s="413">
        <f t="shared" si="4004"/>
        <v>0.6351039261</v>
      </c>
      <c r="BC844" s="413">
        <f t="shared" si="4004"/>
        <v>0.3581780538</v>
      </c>
      <c r="BD844" s="413">
        <f t="shared" si="4004"/>
        <v>0.3534482759</v>
      </c>
      <c r="BE844" s="413">
        <f t="shared" si="4004"/>
        <v>0.4901685393</v>
      </c>
      <c r="BF844" s="414">
        <f t="shared" si="4004"/>
        <v>0.4593690249</v>
      </c>
      <c r="BG844" s="413">
        <f t="shared" si="4004"/>
        <v>-0.5</v>
      </c>
      <c r="BH844" s="413">
        <f t="shared" si="4004"/>
        <v>-0.3506097561</v>
      </c>
      <c r="BI844" s="413">
        <f t="shared" si="4004"/>
        <v>-0.5350318471</v>
      </c>
      <c r="BJ844" s="413">
        <f t="shared" si="4004"/>
        <v>-0.27332705</v>
      </c>
      <c r="BK844" s="414">
        <f t="shared" si="4004"/>
        <v>-0.3963314772</v>
      </c>
      <c r="BL844" s="413">
        <f t="shared" si="4004"/>
        <v>1.449152542</v>
      </c>
      <c r="BM844" s="413">
        <f t="shared" si="4004"/>
        <v>0.6572769953</v>
      </c>
      <c r="BN844" s="413">
        <f t="shared" si="4004"/>
        <v>0.7773972603</v>
      </c>
      <c r="BO844" s="413">
        <f t="shared" si="4004"/>
        <v>-0.2023346304</v>
      </c>
      <c r="BP844" s="414">
        <f t="shared" si="4004"/>
        <v>0.4688008681</v>
      </c>
      <c r="BQ844" s="413">
        <f t="shared" si="4004"/>
        <v>-0.6539792388</v>
      </c>
      <c r="BR844" s="413">
        <f t="shared" si="4004"/>
        <v>1.45325779</v>
      </c>
      <c r="BS844" s="413">
        <f t="shared" si="4004"/>
        <v>-0.4547206166</v>
      </c>
      <c r="BT844" s="413">
        <f t="shared" si="4004"/>
        <v>0.03575609756</v>
      </c>
      <c r="BU844" s="414">
        <f t="shared" si="4004"/>
        <v>0.09050240118</v>
      </c>
      <c r="BV844" s="413">
        <f t="shared" si="4004"/>
        <v>0.9538666667</v>
      </c>
      <c r="BW844" s="413">
        <f t="shared" si="4004"/>
        <v>-0.6092551963</v>
      </c>
      <c r="BX844" s="413">
        <f t="shared" si="4004"/>
        <v>1.484522968</v>
      </c>
      <c r="BY844" s="413">
        <f t="shared" si="4004"/>
        <v>0.07365892714</v>
      </c>
      <c r="BZ844" s="415">
        <f t="shared" si="4004"/>
        <v>-0.1023140322</v>
      </c>
      <c r="CA844" s="413">
        <f t="shared" si="4004"/>
        <v>0.2059164733</v>
      </c>
      <c r="CB844" s="413">
        <f t="shared" si="4004"/>
        <v>-0.01155488571</v>
      </c>
      <c r="CC844" s="413">
        <f t="shared" si="4004"/>
        <v>0.1569148936</v>
      </c>
      <c r="CD844" s="413">
        <f t="shared" si="4004"/>
        <v>0.1431767338</v>
      </c>
      <c r="CE844" s="415">
        <f t="shared" si="4004"/>
        <v>0.1211829613</v>
      </c>
      <c r="CF844" s="413">
        <f t="shared" si="4004"/>
        <v>-0.08369408369</v>
      </c>
      <c r="CG844" s="413">
        <f t="shared" si="4004"/>
        <v>-0.02617534943</v>
      </c>
      <c r="CH844" s="413">
        <f t="shared" si="4004"/>
        <v>-0.1972831766</v>
      </c>
      <c r="CI844" s="413">
        <f t="shared" si="4004"/>
        <v>-0.3139813003</v>
      </c>
      <c r="CJ844" s="415">
        <f t="shared" si="4004"/>
        <v>-0.1624420667</v>
      </c>
      <c r="CK844" s="413">
        <f t="shared" si="4004"/>
        <v>-0.3388451444</v>
      </c>
      <c r="CL844" s="413">
        <f t="shared" si="4004"/>
        <v>-0.2904488518</v>
      </c>
      <c r="CM844" s="413">
        <f t="shared" si="4004"/>
        <v>-0.08773756834</v>
      </c>
      <c r="CN844" s="416">
        <f t="shared" si="4004"/>
        <v>0.124881141</v>
      </c>
      <c r="CO844" s="415">
        <f t="shared" si="4004"/>
        <v>-0.1603361115</v>
      </c>
      <c r="CP844" s="416">
        <f t="shared" si="4004"/>
        <v>0.005557761016</v>
      </c>
      <c r="CQ844" s="413">
        <f t="shared" si="4004"/>
        <v>0.413755057</v>
      </c>
      <c r="CR844" s="413">
        <f t="shared" si="4004"/>
        <v>0.2956621005</v>
      </c>
      <c r="CS844" s="413">
        <f t="shared" si="4004"/>
        <v>0.2547196393</v>
      </c>
      <c r="CT844" s="415">
        <f t="shared" si="4004"/>
        <v>0.2505085022</v>
      </c>
      <c r="CU844" s="413">
        <f t="shared" si="4004"/>
        <v>0.03237268062</v>
      </c>
      <c r="CV844" s="413">
        <f t="shared" si="4004"/>
        <v>-0.2466181061</v>
      </c>
      <c r="CW844" s="413">
        <f t="shared" si="4004"/>
        <v>-0.07665198238</v>
      </c>
      <c r="CX844" s="413">
        <f t="shared" si="4004"/>
        <v>-0.0345834269</v>
      </c>
      <c r="CY844" s="415">
        <f t="shared" si="4004"/>
        <v>-0.08900455433</v>
      </c>
      <c r="CZ844" s="413">
        <f t="shared" si="4004"/>
        <v>-0.01797323136</v>
      </c>
      <c r="DA844" s="413">
        <f t="shared" si="4004"/>
        <v>-0.5448895028</v>
      </c>
      <c r="DB844" s="413">
        <f t="shared" si="4004"/>
        <v>0.06440839695</v>
      </c>
      <c r="DC844" s="413">
        <f t="shared" si="4004"/>
        <v>0.05280297744</v>
      </c>
      <c r="DD844" s="415">
        <f t="shared" si="4004"/>
        <v>-0.08055992001</v>
      </c>
      <c r="DE844" s="413">
        <f t="shared" si="4004"/>
        <v>0.4014797508</v>
      </c>
      <c r="DF844" s="413">
        <f t="shared" si="4004"/>
        <v>1.903641882</v>
      </c>
      <c r="DG844" s="40">
        <f t="shared" si="4004"/>
        <v>0.1463469296</v>
      </c>
      <c r="DH844" s="413">
        <f t="shared" si="4004"/>
        <v>0.1920017676</v>
      </c>
      <c r="DI844" s="415">
        <f t="shared" si="4004"/>
        <v>0.393195588</v>
      </c>
      <c r="DJ844" s="416">
        <f t="shared" si="4004"/>
        <v>0.2420116699</v>
      </c>
      <c r="DK844" s="416">
        <f t="shared" si="4004"/>
        <v>0.3778416514</v>
      </c>
      <c r="DL844" s="416">
        <f t="shared" si="4004"/>
        <v>0.4367546432</v>
      </c>
      <c r="DM844" s="413">
        <f t="shared" si="4004"/>
        <v>0.153660797</v>
      </c>
      <c r="DN844" s="415">
        <f t="shared" si="4004"/>
        <v>0.299955397</v>
      </c>
      <c r="DO844" s="413">
        <f t="shared" si="4004"/>
        <v>-0.06621923937</v>
      </c>
      <c r="DP844" s="413">
        <f t="shared" si="4004"/>
        <v>-0.1244073582</v>
      </c>
      <c r="DQ844" s="413">
        <f t="shared" si="4004"/>
        <v>-0.1227377875</v>
      </c>
      <c r="DR844" s="413">
        <f t="shared" si="4004"/>
        <v>0.09206298201</v>
      </c>
      <c r="DS844" s="415">
        <f t="shared" si="4004"/>
        <v>-0.05494081318</v>
      </c>
      <c r="DT844" s="413">
        <f t="shared" si="4004"/>
        <v>0.6861523718</v>
      </c>
      <c r="DU844" s="413">
        <f t="shared" si="4004"/>
        <v>0.2339181287</v>
      </c>
      <c r="DV844" s="413">
        <f t="shared" si="4004"/>
        <v>-0.2152939352</v>
      </c>
      <c r="DW844" s="413">
        <f t="shared" si="4004"/>
        <v>-0.1343239665</v>
      </c>
      <c r="DX844" s="415">
        <f t="shared" si="4004"/>
        <v>0.07456319492</v>
      </c>
      <c r="DY844" s="413">
        <f t="shared" si="4004"/>
        <v>-0.4751349815</v>
      </c>
      <c r="DZ844" s="413">
        <f t="shared" si="4004"/>
        <v>-0.02650517816</v>
      </c>
      <c r="EA844" s="413">
        <f t="shared" si="4004"/>
        <v>0.0332081439</v>
      </c>
      <c r="EB844" s="413">
        <f t="shared" si="4004"/>
        <v>-0.1521074099</v>
      </c>
      <c r="EC844" s="415">
        <f t="shared" si="4004"/>
        <v>-0.1783089788</v>
      </c>
      <c r="ED844" s="413">
        <f t="shared" si="4004"/>
        <v>0.1751488901</v>
      </c>
      <c r="EE844" s="413">
        <f t="shared" si="4004"/>
        <v>-1.126217093</v>
      </c>
      <c r="EF844" s="413">
        <f t="shared" si="4004"/>
        <v>-1.033480008</v>
      </c>
      <c r="EG844" s="413">
        <f t="shared" si="4004"/>
        <v>-1.226899178</v>
      </c>
      <c r="EH844" s="415">
        <f t="shared" si="4004"/>
        <v>-0.8800370066</v>
      </c>
      <c r="EI844" s="420" t="str">
        <f t="shared" si="4004"/>
        <v>#ERROR!</v>
      </c>
      <c r="EJ844" s="413" t="str">
        <f t="shared" si="4004"/>
        <v>#ERROR!</v>
      </c>
      <c r="EK844" s="413" t="str">
        <f t="shared" si="4004"/>
        <v>#ERROR!</v>
      </c>
      <c r="EL844" s="413" t="str">
        <f t="shared" si="4004"/>
        <v>#ERROR!</v>
      </c>
      <c r="EM844" s="415" t="str">
        <f t="shared" si="4004"/>
        <v>#ERROR!</v>
      </c>
      <c r="EN844" s="413" t="str">
        <f t="shared" si="4004"/>
        <v>#ERROR!</v>
      </c>
      <c r="EO844" s="413" t="str">
        <f t="shared" si="4004"/>
        <v>#ERROR!</v>
      </c>
      <c r="EP844" s="413" t="str">
        <f t="shared" si="4004"/>
        <v>#ERROR!</v>
      </c>
      <c r="EQ844" s="413" t="str">
        <f t="shared" si="4004"/>
        <v>#ERROR!</v>
      </c>
      <c r="ER844" s="415" t="str">
        <f t="shared" si="4004"/>
        <v>#ERROR!</v>
      </c>
      <c r="ES844" s="413" t="str">
        <f t="shared" si="4004"/>
        <v>#ERROR!</v>
      </c>
      <c r="ET844" s="413" t="str">
        <f t="shared" si="4004"/>
        <v>#ERROR!</v>
      </c>
      <c r="EU844" s="413" t="str">
        <f t="shared" si="4004"/>
        <v>#ERROR!</v>
      </c>
      <c r="EV844" s="413" t="str">
        <f t="shared" si="4004"/>
        <v>#ERROR!</v>
      </c>
      <c r="EW844" s="415" t="str">
        <f t="shared" si="4004"/>
        <v>#ERROR!</v>
      </c>
      <c r="EX844" s="413" t="str">
        <f t="shared" si="4004"/>
        <v>#ERROR!</v>
      </c>
      <c r="EY844" s="413" t="str">
        <f t="shared" si="4004"/>
        <v>#ERROR!</v>
      </c>
      <c r="EZ844" s="413" t="str">
        <f t="shared" si="4004"/>
        <v>#ERROR!</v>
      </c>
      <c r="FA844" s="413" t="str">
        <f t="shared" si="4004"/>
        <v>#ERROR!</v>
      </c>
      <c r="FB844" s="415" t="str">
        <f t="shared" si="4004"/>
        <v>#ERROR!</v>
      </c>
      <c r="FC844" s="413" t="str">
        <f t="shared" si="4004"/>
        <v>#ERROR!</v>
      </c>
      <c r="FD844" s="413" t="str">
        <f t="shared" si="4004"/>
        <v>#ERROR!</v>
      </c>
      <c r="FE844" s="413" t="str">
        <f t="shared" si="4004"/>
        <v>#ERROR!</v>
      </c>
      <c r="FF844" s="413" t="str">
        <f t="shared" si="4004"/>
        <v>#ERROR!</v>
      </c>
      <c r="FG844" s="415" t="str">
        <f t="shared" si="4004"/>
        <v>#ERROR!</v>
      </c>
      <c r="FH844" s="388"/>
      <c r="FI844" s="413"/>
      <c r="FJ844" s="413"/>
      <c r="FK844" s="414"/>
      <c r="FL844" s="413"/>
    </row>
    <row r="845" ht="13.5" hidden="1" customHeight="1" outlineLevel="2">
      <c r="A845" s="4"/>
      <c r="B845" s="529" t="s">
        <v>291</v>
      </c>
      <c r="C845" s="529"/>
      <c r="D845" s="634"/>
      <c r="E845" s="634"/>
      <c r="F845" s="634"/>
      <c r="G845" s="634"/>
      <c r="H845" s="634"/>
      <c r="I845" s="634"/>
      <c r="J845" s="634"/>
      <c r="K845" s="634"/>
      <c r="L845" s="634"/>
      <c r="M845" s="634"/>
      <c r="N845" s="634"/>
      <c r="O845" s="634"/>
      <c r="P845" s="634"/>
      <c r="Q845" s="634"/>
      <c r="R845" s="634"/>
      <c r="S845" s="634"/>
      <c r="T845" s="634"/>
      <c r="U845" s="634"/>
      <c r="V845" s="634"/>
      <c r="W845" s="634"/>
      <c r="X845" s="634"/>
      <c r="Y845" s="634"/>
      <c r="Z845" s="634"/>
      <c r="AA845" s="634"/>
      <c r="AB845" s="634"/>
      <c r="AC845" s="634"/>
      <c r="AD845" s="634"/>
      <c r="AE845" s="634"/>
      <c r="AF845" s="634"/>
      <c r="AG845" s="634"/>
      <c r="AH845" s="634"/>
      <c r="AI845" s="634"/>
      <c r="AJ845" s="634"/>
      <c r="AK845" s="634"/>
      <c r="AL845" s="634"/>
      <c r="AM845" s="634"/>
      <c r="AN845" s="634"/>
      <c r="AO845" s="634"/>
      <c r="AP845" s="634"/>
      <c r="AQ845" s="634"/>
      <c r="AR845" s="634"/>
      <c r="AS845" s="634"/>
      <c r="AT845" s="634"/>
      <c r="AU845" s="634"/>
      <c r="AV845" s="634"/>
      <c r="AW845" s="634">
        <f t="shared" ref="AW845:FG845" si="4005">AW825/AR825-1</f>
        <v>0.2245557351</v>
      </c>
      <c r="AX845" s="634">
        <f t="shared" si="4005"/>
        <v>0.1125577488</v>
      </c>
      <c r="AY845" s="634">
        <f t="shared" si="4005"/>
        <v>0.3653603034</v>
      </c>
      <c r="AZ845" s="634">
        <f t="shared" si="4005"/>
        <v>0.1410344828</v>
      </c>
      <c r="BA845" s="634">
        <f t="shared" si="4005"/>
        <v>0.2073050346</v>
      </c>
      <c r="BB845" s="634">
        <f t="shared" si="4005"/>
        <v>-0.4333773087</v>
      </c>
      <c r="BC845" s="634">
        <f t="shared" si="4005"/>
        <v>-0.5953189883</v>
      </c>
      <c r="BD845" s="634">
        <f t="shared" si="4005"/>
        <v>-0.5759259259</v>
      </c>
      <c r="BE845" s="634">
        <f t="shared" si="4005"/>
        <v>-0.5503173164</v>
      </c>
      <c r="BF845" s="634">
        <f t="shared" si="4005"/>
        <v>-0.5378577269</v>
      </c>
      <c r="BG845" s="634">
        <f t="shared" si="4005"/>
        <v>-0.02502910361</v>
      </c>
      <c r="BH845" s="634">
        <f t="shared" si="4005"/>
        <v>0.2593283582</v>
      </c>
      <c r="BI845" s="634">
        <f t="shared" si="4005"/>
        <v>0.6426491994</v>
      </c>
      <c r="BJ845" s="634">
        <f t="shared" si="4005"/>
        <v>1.047715054</v>
      </c>
      <c r="BK845" s="634">
        <f t="shared" si="4005"/>
        <v>0.4736376504</v>
      </c>
      <c r="BL845" s="634">
        <f t="shared" si="4005"/>
        <v>0.2310447761</v>
      </c>
      <c r="BM845" s="634">
        <f t="shared" si="4005"/>
        <v>0.6703703704</v>
      </c>
      <c r="BN845" s="634">
        <f t="shared" si="4005"/>
        <v>0.3726185202</v>
      </c>
      <c r="BO845" s="634">
        <f t="shared" si="4005"/>
        <v>-0.4949130292</v>
      </c>
      <c r="BP845" s="634">
        <f t="shared" si="4005"/>
        <v>0.07503902029</v>
      </c>
      <c r="BQ845" s="634">
        <f t="shared" si="4005"/>
        <v>-0.6862269641</v>
      </c>
      <c r="BR845" s="634">
        <f t="shared" si="4005"/>
        <v>-0.3636363636</v>
      </c>
      <c r="BS845" s="634">
        <f t="shared" si="4005"/>
        <v>-0.1675274371</v>
      </c>
      <c r="BT845" s="634">
        <f t="shared" si="4005"/>
        <v>1.434697856</v>
      </c>
      <c r="BU845" s="634">
        <f t="shared" si="4005"/>
        <v>-0.06097788698</v>
      </c>
      <c r="BV845" s="634">
        <f t="shared" si="4005"/>
        <v>4.329211747</v>
      </c>
      <c r="BW845" s="634">
        <f t="shared" si="4005"/>
        <v>1.774216028</v>
      </c>
      <c r="BX845" s="634">
        <f t="shared" si="4005"/>
        <v>0.603722373</v>
      </c>
      <c r="BY845" s="634">
        <f t="shared" si="4005"/>
        <v>0.07365892714</v>
      </c>
      <c r="BZ845" s="635">
        <f t="shared" si="4005"/>
        <v>0.8539477384</v>
      </c>
      <c r="CA845" s="634">
        <f t="shared" si="4005"/>
        <v>0.2059164733</v>
      </c>
      <c r="CB845" s="634">
        <f t="shared" si="4005"/>
        <v>-0.01155488571</v>
      </c>
      <c r="CC845" s="634">
        <f t="shared" si="4005"/>
        <v>0.1569148936</v>
      </c>
      <c r="CD845" s="634">
        <f t="shared" si="4005"/>
        <v>0.1431767338</v>
      </c>
      <c r="CE845" s="635">
        <f t="shared" si="4005"/>
        <v>0.1211829613</v>
      </c>
      <c r="CF845" s="634">
        <f t="shared" si="4005"/>
        <v>-0.08369408369</v>
      </c>
      <c r="CG845" s="634">
        <f t="shared" si="4005"/>
        <v>-0.02617534943</v>
      </c>
      <c r="CH845" s="634">
        <f t="shared" si="4005"/>
        <v>-0.1972831766</v>
      </c>
      <c r="CI845" s="634">
        <f t="shared" si="4005"/>
        <v>-0.3139813003</v>
      </c>
      <c r="CJ845" s="635">
        <f t="shared" si="4005"/>
        <v>-0.1624420667</v>
      </c>
      <c r="CK845" s="634">
        <f t="shared" si="4005"/>
        <v>-0.3388451444</v>
      </c>
      <c r="CL845" s="634">
        <f t="shared" si="4005"/>
        <v>-0.2904488518</v>
      </c>
      <c r="CM845" s="634">
        <f t="shared" si="4005"/>
        <v>-0.08773756834</v>
      </c>
      <c r="CN845" s="636">
        <f t="shared" si="4005"/>
        <v>0.124881141</v>
      </c>
      <c r="CO845" s="635">
        <f t="shared" si="4005"/>
        <v>-0.1603361115</v>
      </c>
      <c r="CP845" s="636">
        <f t="shared" si="4005"/>
        <v>0.005557761016</v>
      </c>
      <c r="CQ845" s="634">
        <f t="shared" si="4005"/>
        <v>0.413755057</v>
      </c>
      <c r="CR845" s="634">
        <f t="shared" si="4005"/>
        <v>0.2956621005</v>
      </c>
      <c r="CS845" s="634">
        <f t="shared" si="4005"/>
        <v>0.2547196393</v>
      </c>
      <c r="CT845" s="635">
        <f t="shared" si="4005"/>
        <v>0.2616548694</v>
      </c>
      <c r="CU845" s="634">
        <f t="shared" si="4005"/>
        <v>0.03237268062</v>
      </c>
      <c r="CV845" s="634">
        <f t="shared" si="4005"/>
        <v>-0.2466181061</v>
      </c>
      <c r="CW845" s="634">
        <f t="shared" si="4005"/>
        <v>-0.07665198238</v>
      </c>
      <c r="CX845" s="634">
        <f t="shared" si="4005"/>
        <v>-0.0345834269</v>
      </c>
      <c r="CY845" s="635">
        <f t="shared" si="4005"/>
        <v>-0.09028180822</v>
      </c>
      <c r="CZ845" s="634">
        <f t="shared" si="4005"/>
        <v>-0.01797323136</v>
      </c>
      <c r="DA845" s="634">
        <f t="shared" si="4005"/>
        <v>-0.5448895028</v>
      </c>
      <c r="DB845" s="634">
        <f t="shared" si="4005"/>
        <v>0.06440839695</v>
      </c>
      <c r="DC845" s="634">
        <f t="shared" si="4005"/>
        <v>0.05280297744</v>
      </c>
      <c r="DD845" s="635">
        <f t="shared" si="4005"/>
        <v>-0.08740341674</v>
      </c>
      <c r="DE845" s="634">
        <f t="shared" si="4005"/>
        <v>0.4014797508</v>
      </c>
      <c r="DF845" s="634">
        <f t="shared" si="4005"/>
        <v>1.903641882</v>
      </c>
      <c r="DG845" s="104">
        <f t="shared" si="4005"/>
        <v>0.1463469296</v>
      </c>
      <c r="DH845" s="634">
        <f t="shared" si="4005"/>
        <v>0.1920017676</v>
      </c>
      <c r="DI845" s="635">
        <f t="shared" si="4005"/>
        <v>0.393195588</v>
      </c>
      <c r="DJ845" s="636">
        <f t="shared" si="4005"/>
        <v>0.2420116699</v>
      </c>
      <c r="DK845" s="636">
        <f t="shared" si="4005"/>
        <v>0.3778416514</v>
      </c>
      <c r="DL845" s="636">
        <f t="shared" si="4005"/>
        <v>0.4367546432</v>
      </c>
      <c r="DM845" s="634">
        <f t="shared" si="4005"/>
        <v>0.153660797</v>
      </c>
      <c r="DN845" s="635">
        <f t="shared" si="4005"/>
        <v>0.299955397</v>
      </c>
      <c r="DO845" s="634">
        <f t="shared" si="4005"/>
        <v>-0.06621923937</v>
      </c>
      <c r="DP845" s="634">
        <f t="shared" si="4005"/>
        <v>-0.1244073582</v>
      </c>
      <c r="DQ845" s="634">
        <f t="shared" si="4005"/>
        <v>-0.1227377875</v>
      </c>
      <c r="DR845" s="634">
        <f t="shared" si="4005"/>
        <v>0.09206298201</v>
      </c>
      <c r="DS845" s="635">
        <f t="shared" si="4005"/>
        <v>-0.05494081318</v>
      </c>
      <c r="DT845" s="634">
        <f t="shared" si="4005"/>
        <v>0.6861523718</v>
      </c>
      <c r="DU845" s="634">
        <f t="shared" si="4005"/>
        <v>0.2339181287</v>
      </c>
      <c r="DV845" s="634">
        <f t="shared" si="4005"/>
        <v>-0.2152939352</v>
      </c>
      <c r="DW845" s="634">
        <f t="shared" si="4005"/>
        <v>-0.1343239665</v>
      </c>
      <c r="DX845" s="635">
        <f t="shared" si="4005"/>
        <v>0.07456319492</v>
      </c>
      <c r="DY845" s="634">
        <f t="shared" si="4005"/>
        <v>-0.4751349815</v>
      </c>
      <c r="DZ845" s="634">
        <f t="shared" si="4005"/>
        <v>-0.02650517816</v>
      </c>
      <c r="EA845" s="634">
        <f t="shared" si="4005"/>
        <v>0.0332081439</v>
      </c>
      <c r="EB845" s="634">
        <f t="shared" si="4005"/>
        <v>-0.1521074099</v>
      </c>
      <c r="EC845" s="635">
        <f t="shared" si="4005"/>
        <v>-0.1783089788</v>
      </c>
      <c r="ED845" s="634">
        <f t="shared" si="4005"/>
        <v>0.1751488901</v>
      </c>
      <c r="EE845" s="634">
        <f t="shared" si="4005"/>
        <v>-1.126217093</v>
      </c>
      <c r="EF845" s="634">
        <f t="shared" si="4005"/>
        <v>-1.033480008</v>
      </c>
      <c r="EG845" s="634">
        <f t="shared" si="4005"/>
        <v>-1.226899178</v>
      </c>
      <c r="EH845" s="635">
        <f t="shared" si="4005"/>
        <v>-0.8800370066</v>
      </c>
      <c r="EI845" s="637" t="str">
        <f t="shared" si="4005"/>
        <v>#ERROR!</v>
      </c>
      <c r="EJ845" s="634" t="str">
        <f t="shared" si="4005"/>
        <v>#ERROR!</v>
      </c>
      <c r="EK845" s="634" t="str">
        <f t="shared" si="4005"/>
        <v>#ERROR!</v>
      </c>
      <c r="EL845" s="634" t="str">
        <f t="shared" si="4005"/>
        <v>#ERROR!</v>
      </c>
      <c r="EM845" s="635" t="str">
        <f t="shared" si="4005"/>
        <v>#ERROR!</v>
      </c>
      <c r="EN845" s="634" t="str">
        <f t="shared" si="4005"/>
        <v>#ERROR!</v>
      </c>
      <c r="EO845" s="634" t="str">
        <f t="shared" si="4005"/>
        <v>#ERROR!</v>
      </c>
      <c r="EP845" s="634" t="str">
        <f t="shared" si="4005"/>
        <v>#ERROR!</v>
      </c>
      <c r="EQ845" s="634" t="str">
        <f t="shared" si="4005"/>
        <v>#ERROR!</v>
      </c>
      <c r="ER845" s="635" t="str">
        <f t="shared" si="4005"/>
        <v>#ERROR!</v>
      </c>
      <c r="ES845" s="634" t="str">
        <f t="shared" si="4005"/>
        <v>#ERROR!</v>
      </c>
      <c r="ET845" s="634" t="str">
        <f t="shared" si="4005"/>
        <v>#ERROR!</v>
      </c>
      <c r="EU845" s="634" t="str">
        <f t="shared" si="4005"/>
        <v>#ERROR!</v>
      </c>
      <c r="EV845" s="634" t="str">
        <f t="shared" si="4005"/>
        <v>#ERROR!</v>
      </c>
      <c r="EW845" s="635" t="str">
        <f t="shared" si="4005"/>
        <v>#ERROR!</v>
      </c>
      <c r="EX845" s="634" t="str">
        <f t="shared" si="4005"/>
        <v>#ERROR!</v>
      </c>
      <c r="EY845" s="634" t="str">
        <f t="shared" si="4005"/>
        <v>#ERROR!</v>
      </c>
      <c r="EZ845" s="634" t="str">
        <f t="shared" si="4005"/>
        <v>#ERROR!</v>
      </c>
      <c r="FA845" s="634" t="str">
        <f t="shared" si="4005"/>
        <v>#ERROR!</v>
      </c>
      <c r="FB845" s="635" t="str">
        <f t="shared" si="4005"/>
        <v>#ERROR!</v>
      </c>
      <c r="FC845" s="634" t="str">
        <f t="shared" si="4005"/>
        <v>#ERROR!</v>
      </c>
      <c r="FD845" s="634" t="str">
        <f t="shared" si="4005"/>
        <v>#ERROR!</v>
      </c>
      <c r="FE845" s="634" t="str">
        <f t="shared" si="4005"/>
        <v>#ERROR!</v>
      </c>
      <c r="FF845" s="634" t="str">
        <f t="shared" si="4005"/>
        <v>#ERROR!</v>
      </c>
      <c r="FG845" s="635" t="str">
        <f t="shared" si="4005"/>
        <v>#ERROR!</v>
      </c>
      <c r="FH845" s="636"/>
      <c r="FI845" s="634"/>
      <c r="FJ845" s="634"/>
      <c r="FK845" s="634"/>
      <c r="FL845" s="634"/>
    </row>
    <row r="846" ht="12.75" hidden="1" customHeight="1" outlineLevel="2">
      <c r="A846" s="4"/>
      <c r="B846" s="344"/>
      <c r="C846" s="45"/>
      <c r="D846" s="410"/>
      <c r="E846" s="410"/>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410"/>
      <c r="AK846" s="410"/>
      <c r="AL846" s="410"/>
      <c r="AM846" s="410"/>
      <c r="AN846" s="410"/>
      <c r="AO846" s="410"/>
      <c r="AP846" s="410"/>
      <c r="AQ846" s="410"/>
      <c r="AR846" s="410"/>
      <c r="AS846" s="410"/>
      <c r="AT846" s="410"/>
      <c r="AU846" s="410"/>
      <c r="AV846" s="410"/>
      <c r="AW846" s="410"/>
      <c r="AX846" s="410"/>
      <c r="AY846" s="410"/>
      <c r="AZ846" s="410"/>
      <c r="BA846" s="410"/>
      <c r="BB846" s="410"/>
      <c r="BC846" s="410"/>
      <c r="BD846" s="410"/>
      <c r="BE846" s="410"/>
      <c r="BF846" s="410"/>
      <c r="BG846" s="410"/>
      <c r="BH846" s="410"/>
      <c r="BI846" s="410"/>
      <c r="BJ846" s="410"/>
      <c r="BK846" s="410"/>
      <c r="BL846" s="410"/>
      <c r="BM846" s="410"/>
      <c r="BN846" s="410"/>
      <c r="BO846" s="410"/>
      <c r="BP846" s="410"/>
      <c r="BQ846" s="410"/>
      <c r="BR846" s="410"/>
      <c r="BS846" s="410"/>
      <c r="BT846" s="410"/>
      <c r="BU846" s="410"/>
      <c r="BV846" s="410"/>
      <c r="BW846" s="410"/>
      <c r="BX846" s="410"/>
      <c r="BY846" s="410"/>
      <c r="BZ846" s="24"/>
      <c r="CA846" s="410"/>
      <c r="CB846" s="410"/>
      <c r="CC846" s="410"/>
      <c r="CD846" s="410"/>
      <c r="CE846" s="24"/>
      <c r="CF846" s="410"/>
      <c r="CG846" s="410"/>
      <c r="CH846" s="410"/>
      <c r="CI846" s="410"/>
      <c r="CJ846" s="24"/>
      <c r="CK846" s="410"/>
      <c r="CL846" s="410"/>
      <c r="CM846" s="410"/>
      <c r="CN846" s="104"/>
      <c r="CO846" s="24"/>
      <c r="CP846" s="104"/>
      <c r="CQ846" s="410"/>
      <c r="CR846" s="410"/>
      <c r="CS846" s="410"/>
      <c r="CT846" s="24"/>
      <c r="CU846" s="410"/>
      <c r="CV846" s="410"/>
      <c r="CW846" s="410"/>
      <c r="CX846" s="410"/>
      <c r="CY846" s="24"/>
      <c r="CZ846" s="410"/>
      <c r="DA846" s="410"/>
      <c r="DB846" s="410"/>
      <c r="DC846" s="410"/>
      <c r="DD846" s="24"/>
      <c r="DE846" s="410"/>
      <c r="DF846" s="410"/>
      <c r="DG846" s="104"/>
      <c r="DH846" s="410"/>
      <c r="DI846" s="24"/>
      <c r="DJ846" s="104"/>
      <c r="DK846" s="104"/>
      <c r="DL846" s="104"/>
      <c r="DM846" s="410"/>
      <c r="DN846" s="24"/>
      <c r="DO846" s="410"/>
      <c r="DP846" s="410"/>
      <c r="DQ846" s="410"/>
      <c r="DR846" s="410"/>
      <c r="DS846" s="24"/>
      <c r="DT846" s="410"/>
      <c r="DU846" s="410"/>
      <c r="DV846" s="410"/>
      <c r="DW846" s="410"/>
      <c r="DX846" s="24"/>
      <c r="DY846" s="410"/>
      <c r="DZ846" s="410"/>
      <c r="EA846" s="410"/>
      <c r="EB846" s="410"/>
      <c r="EC846" s="24"/>
      <c r="ED846" s="410"/>
      <c r="EE846" s="410"/>
      <c r="EF846" s="410"/>
      <c r="EG846" s="410"/>
      <c r="EH846" s="24"/>
      <c r="EI846" s="317"/>
      <c r="EJ846" s="410"/>
      <c r="EK846" s="410"/>
      <c r="EL846" s="410"/>
      <c r="EM846" s="24"/>
      <c r="EN846" s="410"/>
      <c r="EO846" s="410"/>
      <c r="EP846" s="410"/>
      <c r="EQ846" s="410"/>
      <c r="ER846" s="24"/>
      <c r="ES846" s="410"/>
      <c r="ET846" s="410"/>
      <c r="EU846" s="410"/>
      <c r="EV846" s="410"/>
      <c r="EW846" s="24"/>
      <c r="EX846" s="410"/>
      <c r="EY846" s="410"/>
      <c r="EZ846" s="410"/>
      <c r="FA846" s="410"/>
      <c r="FB846" s="24"/>
      <c r="FC846" s="410"/>
      <c r="FD846" s="410"/>
      <c r="FE846" s="410"/>
      <c r="FF846" s="410"/>
      <c r="FG846" s="24"/>
      <c r="FH846" s="104"/>
      <c r="FI846" s="410"/>
      <c r="FJ846" s="410"/>
      <c r="FK846" s="410"/>
      <c r="FL846" s="410"/>
    </row>
    <row r="847" ht="12.75" hidden="1" customHeight="1" outlineLevel="2">
      <c r="A847" s="66"/>
      <c r="B847" s="601" t="s">
        <v>307</v>
      </c>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c r="AD847" s="66"/>
      <c r="AE847" s="66"/>
      <c r="AF847" s="66"/>
      <c r="AG847" s="66"/>
      <c r="AH847" s="66"/>
      <c r="AI847" s="66"/>
      <c r="AJ847" s="66"/>
      <c r="AK847" s="66"/>
      <c r="AL847" s="66"/>
      <c r="AM847" s="66"/>
      <c r="AN847" s="66"/>
      <c r="AO847" s="66"/>
      <c r="AP847" s="66"/>
      <c r="AQ847" s="66"/>
      <c r="AR847" s="66"/>
      <c r="AS847" s="66"/>
      <c r="AT847" s="66"/>
      <c r="AU847" s="66"/>
      <c r="AV847" s="66"/>
      <c r="AW847" s="66"/>
      <c r="AX847" s="66"/>
      <c r="AY847" s="66"/>
      <c r="AZ847" s="66"/>
      <c r="BA847" s="66"/>
      <c r="BB847" s="66"/>
      <c r="BC847" s="66"/>
      <c r="BD847" s="66"/>
      <c r="BE847" s="66"/>
      <c r="BF847" s="66"/>
      <c r="BG847" s="66"/>
      <c r="BH847" s="66"/>
      <c r="BI847" s="66"/>
      <c r="BJ847" s="66"/>
      <c r="BK847" s="66"/>
      <c r="BL847" s="66"/>
      <c r="BM847" s="66"/>
      <c r="BN847" s="66"/>
      <c r="BO847" s="66"/>
      <c r="BP847" s="66"/>
      <c r="BQ847" s="66"/>
      <c r="BR847" s="66"/>
      <c r="BS847" s="66"/>
      <c r="BT847" s="66"/>
      <c r="BU847" s="66"/>
      <c r="BV847" s="66"/>
      <c r="BW847" s="66"/>
      <c r="BX847" s="66"/>
      <c r="BY847" s="66"/>
      <c r="BZ847" s="638"/>
      <c r="CA847" s="66"/>
      <c r="CB847" s="66"/>
      <c r="CC847" s="66"/>
      <c r="CD847" s="66"/>
      <c r="CE847" s="638"/>
      <c r="CF847" s="66"/>
      <c r="CG847" s="66"/>
      <c r="CH847" s="66"/>
      <c r="CI847" s="66"/>
      <c r="CJ847" s="638"/>
      <c r="CK847" s="66"/>
      <c r="CL847" s="66"/>
      <c r="CM847" s="66"/>
      <c r="CN847" s="639"/>
      <c r="CO847" s="638"/>
      <c r="CP847" s="639"/>
      <c r="CQ847" s="66"/>
      <c r="CR847" s="66"/>
      <c r="CS847" s="66"/>
      <c r="CT847" s="638"/>
      <c r="CU847" s="66"/>
      <c r="CV847" s="66"/>
      <c r="CW847" s="66"/>
      <c r="CX847" s="66"/>
      <c r="CY847" s="638"/>
      <c r="CZ847" s="66"/>
      <c r="DA847" s="66"/>
      <c r="DB847" s="66"/>
      <c r="DC847" s="66"/>
      <c r="DD847" s="638"/>
      <c r="DE847" s="66"/>
      <c r="DF847" s="66"/>
      <c r="DG847" s="639"/>
      <c r="DH847" s="66"/>
      <c r="DI847" s="638"/>
      <c r="DJ847" s="639"/>
      <c r="DK847" s="639"/>
      <c r="DL847" s="639"/>
      <c r="DM847" s="66"/>
      <c r="DN847" s="638"/>
      <c r="DO847" s="66"/>
      <c r="DP847" s="66"/>
      <c r="DQ847" s="66"/>
      <c r="DR847" s="66"/>
      <c r="DS847" s="638"/>
      <c r="DT847" s="66"/>
      <c r="DU847" s="66"/>
      <c r="DV847" s="66"/>
      <c r="DW847" s="66"/>
      <c r="DX847" s="638"/>
      <c r="DY847" s="66"/>
      <c r="DZ847" s="66"/>
      <c r="EA847" s="66"/>
      <c r="EB847" s="66"/>
      <c r="EC847" s="638"/>
      <c r="ED847" s="66"/>
      <c r="EE847" s="66"/>
      <c r="EF847" s="66"/>
      <c r="EG847" s="66"/>
      <c r="EH847" s="638"/>
      <c r="EI847" s="640"/>
      <c r="EJ847" s="66"/>
      <c r="EK847" s="66"/>
      <c r="EL847" s="66"/>
      <c r="EM847" s="638"/>
      <c r="EN847" s="66"/>
      <c r="EO847" s="66"/>
      <c r="EP847" s="66"/>
      <c r="EQ847" s="66"/>
      <c r="ER847" s="638"/>
      <c r="ES847" s="66"/>
      <c r="ET847" s="66"/>
      <c r="EU847" s="66"/>
      <c r="EV847" s="66"/>
      <c r="EW847" s="638"/>
      <c r="EX847" s="66"/>
      <c r="EY847" s="66"/>
      <c r="EZ847" s="66"/>
      <c r="FA847" s="66"/>
      <c r="FB847" s="638"/>
      <c r="FC847" s="66"/>
      <c r="FD847" s="66"/>
      <c r="FE847" s="66"/>
      <c r="FF847" s="66"/>
      <c r="FG847" s="638"/>
      <c r="FH847" s="639"/>
      <c r="FI847" s="66"/>
      <c r="FJ847" s="66"/>
      <c r="FK847" s="66"/>
      <c r="FL847" s="66"/>
    </row>
    <row r="848" ht="12.75" hidden="1" customHeight="1" outlineLevel="2">
      <c r="A848" s="4"/>
      <c r="B848" s="299" t="s">
        <v>308</v>
      </c>
      <c r="C848" s="299"/>
      <c r="D848" s="90"/>
      <c r="E848" s="90"/>
      <c r="F848" s="90"/>
      <c r="G848" s="90"/>
      <c r="H848" s="299"/>
      <c r="I848" s="90"/>
      <c r="J848" s="90"/>
      <c r="K848" s="90"/>
      <c r="L848" s="90"/>
      <c r="M848" s="299"/>
      <c r="N848" s="90"/>
      <c r="O848" s="90"/>
      <c r="P848" s="90"/>
      <c r="Q848" s="90"/>
      <c r="R848" s="299"/>
      <c r="S848" s="90"/>
      <c r="T848" s="90"/>
      <c r="U848" s="90"/>
      <c r="V848" s="90"/>
      <c r="W848" s="299"/>
      <c r="X848" s="90"/>
      <c r="Y848" s="90"/>
      <c r="Z848" s="90"/>
      <c r="AA848" s="90"/>
      <c r="AB848" s="299"/>
      <c r="AC848" s="90"/>
      <c r="AD848" s="90"/>
      <c r="AE848" s="90"/>
      <c r="AF848" s="90"/>
      <c r="AG848" s="299"/>
      <c r="AH848" s="90"/>
      <c r="AI848" s="90"/>
      <c r="AJ848" s="90"/>
      <c r="AK848" s="90"/>
      <c r="AL848" s="299"/>
      <c r="AM848" s="90"/>
      <c r="AN848" s="90"/>
      <c r="AO848" s="90"/>
      <c r="AP848" s="90"/>
      <c r="AQ848" s="299"/>
      <c r="AR848" s="90"/>
      <c r="AS848" s="90"/>
      <c r="AT848" s="90"/>
      <c r="AU848" s="90"/>
      <c r="AV848" s="299"/>
      <c r="AW848" s="90"/>
      <c r="AX848" s="90"/>
      <c r="AY848" s="90"/>
      <c r="AZ848" s="90"/>
      <c r="BA848" s="299"/>
      <c r="BB848" s="90"/>
      <c r="BC848" s="90"/>
      <c r="BD848" s="90"/>
      <c r="BE848" s="90"/>
      <c r="BF848" s="299"/>
      <c r="BG848" s="90"/>
      <c r="BH848" s="90"/>
      <c r="BI848" s="90"/>
      <c r="BJ848" s="90"/>
      <c r="BK848" s="299"/>
      <c r="BL848" s="90"/>
      <c r="BM848" s="90"/>
      <c r="BN848" s="90"/>
      <c r="BO848" s="90"/>
      <c r="BP848" s="299"/>
      <c r="BQ848" s="90"/>
      <c r="BR848" s="90"/>
      <c r="BS848" s="90"/>
      <c r="BT848" s="90"/>
      <c r="BU848" s="299"/>
      <c r="BV848" s="90"/>
      <c r="BW848" s="90"/>
      <c r="BX848" s="90"/>
      <c r="BY848" s="90"/>
      <c r="BZ848" s="301"/>
      <c r="CA848" s="90"/>
      <c r="CB848" s="90"/>
      <c r="CC848" s="90"/>
      <c r="CD848" s="90"/>
      <c r="CE848" s="301"/>
      <c r="CF848" s="90"/>
      <c r="CG848" s="90"/>
      <c r="CH848" s="90"/>
      <c r="CI848" s="90"/>
      <c r="CJ848" s="301"/>
      <c r="CK848" s="90"/>
      <c r="CL848" s="90"/>
      <c r="CM848" s="90"/>
      <c r="CN848" s="135"/>
      <c r="CO848" s="301"/>
      <c r="CP848" s="135"/>
      <c r="CQ848" s="90"/>
      <c r="CR848" s="90"/>
      <c r="CS848" s="90"/>
      <c r="CT848" s="301"/>
      <c r="CU848" s="90"/>
      <c r="CV848" s="90"/>
      <c r="CW848" s="90"/>
      <c r="CX848" s="90"/>
      <c r="CY848" s="301"/>
      <c r="CZ848" s="90"/>
      <c r="DA848" s="90"/>
      <c r="DB848" s="90"/>
      <c r="DC848" s="90"/>
      <c r="DD848" s="301"/>
      <c r="DE848" s="90"/>
      <c r="DF848" s="90"/>
      <c r="DG848" s="16"/>
      <c r="DH848" s="90"/>
      <c r="DI848" s="301"/>
      <c r="DJ848" s="135"/>
      <c r="DK848" s="135"/>
      <c r="DL848" s="135"/>
      <c r="DM848" s="90"/>
      <c r="DN848" s="301"/>
      <c r="DO848" s="90"/>
      <c r="DP848" s="90"/>
      <c r="DQ848" s="90"/>
      <c r="DR848" s="90"/>
      <c r="DS848" s="301"/>
      <c r="DT848" s="90"/>
      <c r="DU848" s="90"/>
      <c r="DV848" s="90"/>
      <c r="DW848" s="90"/>
      <c r="DX848" s="301"/>
      <c r="DY848" s="90"/>
      <c r="DZ848" s="90"/>
      <c r="EA848" s="90"/>
      <c r="EB848" s="90"/>
      <c r="EC848" s="301"/>
      <c r="ED848" s="90"/>
      <c r="EE848" s="90"/>
      <c r="EF848" s="90"/>
      <c r="EG848" s="90"/>
      <c r="EH848" s="301"/>
      <c r="EI848" s="389"/>
      <c r="EJ848" s="90"/>
      <c r="EK848" s="90"/>
      <c r="EL848" s="90"/>
      <c r="EM848" s="301"/>
      <c r="EN848" s="90"/>
      <c r="EO848" s="90"/>
      <c r="EP848" s="90"/>
      <c r="EQ848" s="90"/>
      <c r="ER848" s="301"/>
      <c r="ES848" s="90"/>
      <c r="ET848" s="90"/>
      <c r="EU848" s="90"/>
      <c r="EV848" s="90"/>
      <c r="EW848" s="301"/>
      <c r="EX848" s="90"/>
      <c r="EY848" s="90"/>
      <c r="EZ848" s="90"/>
      <c r="FA848" s="90"/>
      <c r="FB848" s="301"/>
      <c r="FC848" s="90"/>
      <c r="FD848" s="90"/>
      <c r="FE848" s="90"/>
      <c r="FF848" s="90"/>
      <c r="FG848" s="301"/>
      <c r="FH848" s="137"/>
      <c r="FI848" s="90"/>
      <c r="FJ848" s="90"/>
      <c r="FK848" s="299"/>
      <c r="FL848" s="90"/>
    </row>
    <row r="849" ht="12.75" hidden="1" customHeight="1" outlineLevel="2">
      <c r="A849" s="4"/>
      <c r="B849" s="4" t="s">
        <v>327</v>
      </c>
      <c r="C849" s="4"/>
      <c r="D849" s="17"/>
      <c r="E849" s="17"/>
      <c r="F849" s="17"/>
      <c r="G849" s="17"/>
      <c r="H849" s="112"/>
      <c r="I849" s="17"/>
      <c r="J849" s="17"/>
      <c r="K849" s="17"/>
      <c r="L849" s="17"/>
      <c r="M849" s="112"/>
      <c r="N849" s="17"/>
      <c r="O849" s="17"/>
      <c r="P849" s="17"/>
      <c r="Q849" s="17"/>
      <c r="R849" s="112"/>
      <c r="S849" s="17"/>
      <c r="T849" s="17"/>
      <c r="U849" s="17"/>
      <c r="V849" s="17"/>
      <c r="W849" s="112"/>
      <c r="X849" s="17">
        <f t="shared" ref="X849:AA849" si="4006">X852-X851-X850</f>
        <v>5521</v>
      </c>
      <c r="Y849" s="17">
        <f t="shared" si="4006"/>
        <v>5723.8</v>
      </c>
      <c r="Z849" s="17">
        <f t="shared" si="4006"/>
        <v>5919.86</v>
      </c>
      <c r="AA849" s="17">
        <f t="shared" si="4006"/>
        <v>5784.9258</v>
      </c>
      <c r="AB849" s="112">
        <f t="shared" ref="AB849:AB851" si="4031">+SUM(X849:AA849)</f>
        <v>22949.5858</v>
      </c>
      <c r="AC849" s="17" t="str">
        <f>estimatedCPURevenues</f>
        <v>#ERROR!</v>
      </c>
      <c r="AD849" s="17" t="str">
        <f>estimatedCPURevenues</f>
        <v>#ERROR!</v>
      </c>
      <c r="AE849" s="17" t="str">
        <f>estimatedCPURevenues</f>
        <v>#ERROR!</v>
      </c>
      <c r="AF849" s="17" t="str">
        <f>estimatedCPURevenues</f>
        <v>#ERROR!</v>
      </c>
      <c r="AG849" s="112" t="str">
        <f t="shared" ref="AG849:AG853" si="4033">+SUM(AC849:AF849)</f>
        <v>#ERROR!</v>
      </c>
      <c r="AH849" s="17">
        <v>4805.0</v>
      </c>
      <c r="AI849" s="17">
        <v>4367.0</v>
      </c>
      <c r="AJ849" s="17">
        <v>4518.0</v>
      </c>
      <c r="AK849" s="17">
        <v>4968.0</v>
      </c>
      <c r="AL849" s="112">
        <f t="shared" ref="AL849:AL853" si="4034">+SUM(AH849:AK849)</f>
        <v>18658</v>
      </c>
      <c r="AM849" s="17">
        <v>4848.0</v>
      </c>
      <c r="AN849" s="17">
        <v>4829.0</v>
      </c>
      <c r="AO849" s="17">
        <v>5698.0</v>
      </c>
      <c r="AP849" s="17">
        <v>6488.0</v>
      </c>
      <c r="AQ849" s="112">
        <f t="shared" ref="AQ849:AQ853" si="4035">+SUM(AM849:AP849)</f>
        <v>21863</v>
      </c>
      <c r="AR849" s="17">
        <v>5980.0</v>
      </c>
      <c r="AS849" s="17">
        <v>5751.0</v>
      </c>
      <c r="AT849" s="17">
        <v>5928.0</v>
      </c>
      <c r="AU849" s="17">
        <v>6804.0</v>
      </c>
      <c r="AV849" s="112">
        <f t="shared" ref="AV849:AV852" si="4036">+SUM(AR849:AU849)</f>
        <v>24463</v>
      </c>
      <c r="AW849" s="17" t="str">
        <f t="shared" ref="AW849:AZ849" si="4007">AW747+AW751</f>
        <v>#ERROR!</v>
      </c>
      <c r="AX849" s="17" t="str">
        <f t="shared" si="4007"/>
        <v>#ERROR!</v>
      </c>
      <c r="AY849" s="17" t="str">
        <f t="shared" si="4007"/>
        <v>#ERROR!</v>
      </c>
      <c r="AZ849" s="17" t="str">
        <f t="shared" si="4007"/>
        <v>#ERROR!</v>
      </c>
      <c r="BA849" s="112" t="str">
        <f t="shared" ref="BA849:BA852" si="4038">+SUM(AW849:AZ849)</f>
        <v>#ERROR!</v>
      </c>
      <c r="BB849" s="17" t="str">
        <f t="shared" ref="BB849:BD849" si="4008">BB747+BB751+BB758</f>
        <v>#ERROR!</v>
      </c>
      <c r="BC849" s="17" t="str">
        <f t="shared" si="4008"/>
        <v>#ERROR!</v>
      </c>
      <c r="BD849" s="17" t="str">
        <f t="shared" si="4008"/>
        <v>#ERROR!</v>
      </c>
      <c r="BE849" s="17" t="str">
        <f>BE747+BE751+BE758*0.8</f>
        <v>#ERROR!</v>
      </c>
      <c r="BF849" s="112" t="str">
        <f t="shared" ref="BF849:BF852" si="4040">+SUM(BB849:BE849)</f>
        <v>#ERROR!</v>
      </c>
      <c r="BG849" s="17" t="str">
        <f t="shared" ref="BG849:BJ849" si="4009">BG747+BG751+BG758*0.8</f>
        <v>#ERROR!</v>
      </c>
      <c r="BH849" s="17" t="str">
        <f t="shared" si="4009"/>
        <v>#ERROR!</v>
      </c>
      <c r="BI849" s="17" t="str">
        <f t="shared" si="4009"/>
        <v>#ERROR!</v>
      </c>
      <c r="BJ849" s="17" t="str">
        <f t="shared" si="4009"/>
        <v>#ERROR!</v>
      </c>
      <c r="BK849" s="112" t="str">
        <f t="shared" ref="BK849:BK852" si="4041">+SUM(BG849:BJ849)</f>
        <v>#ERROR!</v>
      </c>
      <c r="BL849" s="17" t="str">
        <f>BL747+BL751+BL758*0.8</f>
        <v>#ERROR!</v>
      </c>
      <c r="BM849" s="17" t="str">
        <f t="shared" ref="BM849:BO849" si="4010">BM747+BM751</f>
        <v>#ERROR!</v>
      </c>
      <c r="BN849" s="17" t="str">
        <f t="shared" si="4010"/>
        <v>#ERROR!</v>
      </c>
      <c r="BO849" s="17" t="str">
        <f t="shared" si="4010"/>
        <v>#ERROR!</v>
      </c>
      <c r="BP849" s="112" t="str">
        <f t="shared" ref="BP849:BP852" si="4042">+SUM(BL849:BO849)</f>
        <v>#ERROR!</v>
      </c>
      <c r="BQ849" s="17" t="str">
        <f t="shared" ref="BQ849:BT849" si="4011">BQ747+BQ751</f>
        <v>#ERROR!</v>
      </c>
      <c r="BR849" s="17" t="str">
        <f t="shared" si="4011"/>
        <v>#ERROR!</v>
      </c>
      <c r="BS849" s="17" t="str">
        <f t="shared" si="4011"/>
        <v>#ERROR!</v>
      </c>
      <c r="BT849" s="17" t="str">
        <f t="shared" si="4011"/>
        <v>#ERROR!</v>
      </c>
      <c r="BU849" s="112" t="str">
        <f t="shared" ref="BU849:BU852" si="4044">+SUM(BQ849:BT849)</f>
        <v>#ERROR!</v>
      </c>
      <c r="BV849" s="17" t="str">
        <f t="shared" ref="BV849:BY849" si="4012">BV747+BV751</f>
        <v>#ERROR!</v>
      </c>
      <c r="BW849" s="17" t="str">
        <f t="shared" si="4012"/>
        <v>#ERROR!</v>
      </c>
      <c r="BX849" s="17" t="str">
        <f t="shared" si="4012"/>
        <v>#ERROR!</v>
      </c>
      <c r="BY849" s="17" t="str">
        <f t="shared" si="4012"/>
        <v>#ERROR!</v>
      </c>
      <c r="BZ849" s="80" t="str">
        <f t="shared" ref="BZ849:BZ852" si="4046">+SUM(BV849:BY849)</f>
        <v>#ERROR!</v>
      </c>
      <c r="CA849" s="17" t="str">
        <f t="shared" ref="CA849:CD849" si="4013">CA747+CA751</f>
        <v>#ERROR!</v>
      </c>
      <c r="CB849" s="17" t="str">
        <f t="shared" si="4013"/>
        <v>#ERROR!</v>
      </c>
      <c r="CC849" s="17" t="str">
        <f t="shared" si="4013"/>
        <v>#ERROR!</v>
      </c>
      <c r="CD849" s="17" t="str">
        <f t="shared" si="4013"/>
        <v>#ERROR!</v>
      </c>
      <c r="CE849" s="80" t="str">
        <f t="shared" ref="CE849:CE852" si="4048">+SUM(CA849:CD849)</f>
        <v>#ERROR!</v>
      </c>
      <c r="CF849" s="17" t="str">
        <f t="shared" ref="CF849:CI849" si="4014">CF747+CF751</f>
        <v>#ERROR!</v>
      </c>
      <c r="CG849" s="17" t="str">
        <f t="shared" si="4014"/>
        <v>#ERROR!</v>
      </c>
      <c r="CH849" s="17" t="str">
        <f t="shared" si="4014"/>
        <v>#ERROR!</v>
      </c>
      <c r="CI849" s="17" t="str">
        <f t="shared" si="4014"/>
        <v>#ERROR!</v>
      </c>
      <c r="CJ849" s="80" t="str">
        <f t="shared" ref="CJ849:CJ852" si="4050">+SUM(CF849:CI849)</f>
        <v>#ERROR!</v>
      </c>
      <c r="CK849" s="17" t="str">
        <f t="shared" ref="CK849:CN849" si="4015">CK747+CK751</f>
        <v>#ERROR!</v>
      </c>
      <c r="CL849" s="17" t="str">
        <f t="shared" si="4015"/>
        <v>#ERROR!</v>
      </c>
      <c r="CM849" s="17" t="str">
        <f t="shared" si="4015"/>
        <v>#ERROR!</v>
      </c>
      <c r="CN849" s="19" t="str">
        <f t="shared" si="4015"/>
        <v>#ERROR!</v>
      </c>
      <c r="CO849" s="80" t="str">
        <f t="shared" ref="CO849:CO852" si="4052">+SUM(CK849:CN849)</f>
        <v>#ERROR!</v>
      </c>
      <c r="CP849" s="19" t="str">
        <f t="shared" ref="CP849:CS849" si="4016">CP747+CP751</f>
        <v>#ERROR!</v>
      </c>
      <c r="CQ849" s="17" t="str">
        <f t="shared" si="4016"/>
        <v>#ERROR!</v>
      </c>
      <c r="CR849" s="17" t="str">
        <f t="shared" si="4016"/>
        <v>#ERROR!</v>
      </c>
      <c r="CS849" s="17" t="str">
        <f t="shared" si="4016"/>
        <v>#ERROR!</v>
      </c>
      <c r="CT849" s="80" t="str">
        <f t="shared" ref="CT849:CT852" si="4054">+SUM(CP849:CS849)</f>
        <v>#ERROR!</v>
      </c>
      <c r="CU849" s="17" t="str">
        <f t="shared" ref="CU849:CX849" si="4017">CU747+CU751</f>
        <v>#ERROR!</v>
      </c>
      <c r="CV849" s="17" t="str">
        <f t="shared" si="4017"/>
        <v>#ERROR!</v>
      </c>
      <c r="CW849" s="17" t="str">
        <f t="shared" si="4017"/>
        <v>#ERROR!</v>
      </c>
      <c r="CX849" s="17" t="str">
        <f t="shared" si="4017"/>
        <v>#ERROR!</v>
      </c>
      <c r="CY849" s="80" t="str">
        <f t="shared" ref="CY849:CY852" si="4056">+SUM(CU849:CX849)</f>
        <v>#ERROR!</v>
      </c>
      <c r="CZ849" s="17" t="str">
        <f t="shared" ref="CZ849:DC849" si="4018">CZ747+CZ751</f>
        <v>#ERROR!</v>
      </c>
      <c r="DA849" s="17" t="str">
        <f t="shared" si="4018"/>
        <v>#ERROR!</v>
      </c>
      <c r="DB849" s="17" t="str">
        <f t="shared" si="4018"/>
        <v>#ERROR!</v>
      </c>
      <c r="DC849" s="17" t="str">
        <f t="shared" si="4018"/>
        <v>#ERROR!</v>
      </c>
      <c r="DD849" s="80" t="str">
        <f t="shared" ref="DD849:DD852" si="4058">+SUM(CZ849:DC849)</f>
        <v>#ERROR!</v>
      </c>
      <c r="DE849" s="17" t="str">
        <f t="shared" ref="DE849:DH849" si="4019">DE747+DE751</f>
        <v>#ERROR!</v>
      </c>
      <c r="DF849" s="17" t="str">
        <f t="shared" si="4019"/>
        <v>#ERROR!</v>
      </c>
      <c r="DG849" s="19" t="str">
        <f t="shared" si="4019"/>
        <v>#ERROR!</v>
      </c>
      <c r="DH849" s="17" t="str">
        <f t="shared" si="4019"/>
        <v>#ERROR!</v>
      </c>
      <c r="DI849" s="80" t="str">
        <f t="shared" ref="DI849:DI852" si="4060">+SUM(DE849:DH849)</f>
        <v>#ERROR!</v>
      </c>
      <c r="DJ849" s="19" t="str">
        <f t="shared" ref="DJ849:DM849" si="4020">DJ747+DJ751</f>
        <v>#ERROR!</v>
      </c>
      <c r="DK849" s="19" t="str">
        <f t="shared" si="4020"/>
        <v>#ERROR!</v>
      </c>
      <c r="DL849" s="19" t="str">
        <f t="shared" si="4020"/>
        <v>#ERROR!</v>
      </c>
      <c r="DM849" s="17" t="str">
        <f t="shared" si="4020"/>
        <v>#ERROR!</v>
      </c>
      <c r="DN849" s="80" t="str">
        <f t="shared" ref="DN849:DN852" si="4062">+SUM(DJ849:DM849)</f>
        <v>#ERROR!</v>
      </c>
      <c r="DO849" s="17" t="str">
        <f t="shared" ref="DO849:DR849" si="4021">DO747+DO751</f>
        <v>#ERROR!</v>
      </c>
      <c r="DP849" s="17" t="str">
        <f t="shared" si="4021"/>
        <v>#ERROR!</v>
      </c>
      <c r="DQ849" s="17" t="str">
        <f t="shared" si="4021"/>
        <v>#ERROR!</v>
      </c>
      <c r="DR849" s="17" t="str">
        <f t="shared" si="4021"/>
        <v>#ERROR!</v>
      </c>
      <c r="DS849" s="80" t="str">
        <f t="shared" ref="DS849:DS852" si="4064">+SUM(DO849:DR849)</f>
        <v>#ERROR!</v>
      </c>
      <c r="DT849" s="17" t="str">
        <f t="shared" ref="DT849:DW849" si="4022">DT747+DT751</f>
        <v>#ERROR!</v>
      </c>
      <c r="DU849" s="17" t="str">
        <f t="shared" si="4022"/>
        <v>#ERROR!</v>
      </c>
      <c r="DV849" s="17" t="str">
        <f t="shared" si="4022"/>
        <v>#ERROR!</v>
      </c>
      <c r="DW849" s="17" t="str">
        <f t="shared" si="4022"/>
        <v>#ERROR!</v>
      </c>
      <c r="DX849" s="80" t="str">
        <f t="shared" ref="DX849:DX852" si="4066">+SUM(DT849:DW849)</f>
        <v>#ERROR!</v>
      </c>
      <c r="DY849" s="17" t="str">
        <f t="shared" ref="DY849:EB849" si="4023">DY747+DY751</f>
        <v>#ERROR!</v>
      </c>
      <c r="DZ849" s="17" t="str">
        <f t="shared" si="4023"/>
        <v>#ERROR!</v>
      </c>
      <c r="EA849" s="17" t="str">
        <f t="shared" si="4023"/>
        <v>#ERROR!</v>
      </c>
      <c r="EB849" s="17" t="str">
        <f t="shared" si="4023"/>
        <v>#ERROR!</v>
      </c>
      <c r="EC849" s="80" t="str">
        <f t="shared" ref="EC849:EC852" si="4068">+SUM(DY849:EB849)</f>
        <v>#ERROR!</v>
      </c>
      <c r="ED849" s="17" t="str">
        <f t="shared" ref="ED849:EG849" si="4024">ED747+ED751</f>
        <v>#ERROR!</v>
      </c>
      <c r="EE849" s="17" t="str">
        <f t="shared" si="4024"/>
        <v>#ERROR!</v>
      </c>
      <c r="EF849" s="17" t="str">
        <f t="shared" si="4024"/>
        <v>#ERROR!</v>
      </c>
      <c r="EG849" s="17" t="str">
        <f t="shared" si="4024"/>
        <v>#ERROR!</v>
      </c>
      <c r="EH849" s="80" t="str">
        <f t="shared" ref="EH849:EH852" si="4070">+SUM(ED849:EG849)</f>
        <v>#ERROR!</v>
      </c>
      <c r="EI849" s="25" t="str">
        <f t="shared" ref="EI849:EL849" si="4025">EI747+EI751</f>
        <v>#ERROR!</v>
      </c>
      <c r="EJ849" s="17" t="str">
        <f t="shared" si="4025"/>
        <v>#ERROR!</v>
      </c>
      <c r="EK849" s="17" t="str">
        <f t="shared" si="4025"/>
        <v>#ERROR!</v>
      </c>
      <c r="EL849" s="17" t="str">
        <f t="shared" si="4025"/>
        <v>#ERROR!</v>
      </c>
      <c r="EM849" s="80" t="str">
        <f t="shared" ref="EM849:EM852" si="4072">+SUM(EI849:EL849)</f>
        <v>#ERROR!</v>
      </c>
      <c r="EN849" s="17" t="str">
        <f t="shared" ref="EN849:EQ849" si="4026">EN747+EN751</f>
        <v>#ERROR!</v>
      </c>
      <c r="EO849" s="17" t="str">
        <f t="shared" si="4026"/>
        <v>#ERROR!</v>
      </c>
      <c r="EP849" s="17" t="str">
        <f t="shared" si="4026"/>
        <v>#ERROR!</v>
      </c>
      <c r="EQ849" s="17" t="str">
        <f t="shared" si="4026"/>
        <v>#ERROR!</v>
      </c>
      <c r="ER849" s="80" t="str">
        <f t="shared" ref="ER849:ER852" si="4074">+SUM(EN849:EQ849)</f>
        <v>#ERROR!</v>
      </c>
      <c r="ES849" s="17" t="str">
        <f t="shared" ref="ES849:EV849" si="4027">ES747+ES751</f>
        <v>#ERROR!</v>
      </c>
      <c r="ET849" s="17" t="str">
        <f t="shared" si="4027"/>
        <v>#ERROR!</v>
      </c>
      <c r="EU849" s="17" t="str">
        <f t="shared" si="4027"/>
        <v>#ERROR!</v>
      </c>
      <c r="EV849" s="17" t="str">
        <f t="shared" si="4027"/>
        <v>#ERROR!</v>
      </c>
      <c r="EW849" s="80" t="str">
        <f t="shared" ref="EW849:EW852" si="4076">+SUM(ES849:EV849)</f>
        <v>#ERROR!</v>
      </c>
      <c r="EX849" s="17" t="str">
        <f t="shared" ref="EX849:FA849" si="4028">EX747+EX751</f>
        <v>#ERROR!</v>
      </c>
      <c r="EY849" s="17" t="str">
        <f t="shared" si="4028"/>
        <v>#ERROR!</v>
      </c>
      <c r="EZ849" s="17" t="str">
        <f t="shared" si="4028"/>
        <v>#ERROR!</v>
      </c>
      <c r="FA849" s="17" t="str">
        <f t="shared" si="4028"/>
        <v>#ERROR!</v>
      </c>
      <c r="FB849" s="80" t="str">
        <f t="shared" ref="FB849:FB852" si="4078">+SUM(EX849:FA849)</f>
        <v>#ERROR!</v>
      </c>
      <c r="FC849" s="17" t="str">
        <f t="shared" ref="FC849:FF849" si="4029">FC747+FC751</f>
        <v>#ERROR!</v>
      </c>
      <c r="FD849" s="17" t="str">
        <f t="shared" si="4029"/>
        <v>#ERROR!</v>
      </c>
      <c r="FE849" s="17" t="str">
        <f t="shared" si="4029"/>
        <v>#ERROR!</v>
      </c>
      <c r="FF849" s="17" t="str">
        <f t="shared" si="4029"/>
        <v>#ERROR!</v>
      </c>
      <c r="FG849" s="80" t="str">
        <f t="shared" ref="FG849:FG852" si="4080">+SUM(FC849:FF849)</f>
        <v>#ERROR!</v>
      </c>
      <c r="FH849" s="146"/>
      <c r="FI849" s="17"/>
      <c r="FJ849" s="17"/>
      <c r="FK849" s="112"/>
      <c r="FL849" s="17"/>
    </row>
    <row r="850" ht="12.75" hidden="1" customHeight="1" outlineLevel="2">
      <c r="A850" s="4"/>
      <c r="B850" s="4" t="s">
        <v>328</v>
      </c>
      <c r="C850" s="4"/>
      <c r="D850" s="17"/>
      <c r="E850" s="17"/>
      <c r="F850" s="17"/>
      <c r="G850" s="17"/>
      <c r="H850" s="112"/>
      <c r="I850" s="17"/>
      <c r="J850" s="17"/>
      <c r="K850" s="17"/>
      <c r="L850" s="17"/>
      <c r="M850" s="112"/>
      <c r="N850" s="17"/>
      <c r="O850" s="17"/>
      <c r="P850" s="17"/>
      <c r="Q850" s="17"/>
      <c r="R850" s="112"/>
      <c r="S850" s="17"/>
      <c r="T850" s="17"/>
      <c r="U850" s="17"/>
      <c r="V850" s="17"/>
      <c r="W850" s="112"/>
      <c r="X850" s="17">
        <v>700.0</v>
      </c>
      <c r="Y850" s="17">
        <f t="shared" ref="Y850:AA850" si="4030">X850*(1+Y886)</f>
        <v>686</v>
      </c>
      <c r="Z850" s="17">
        <f t="shared" si="4030"/>
        <v>734.02</v>
      </c>
      <c r="AA850" s="17">
        <f t="shared" si="4030"/>
        <v>697.319</v>
      </c>
      <c r="AB850" s="112">
        <f t="shared" si="4031"/>
        <v>2817.339</v>
      </c>
      <c r="AC850" s="17">
        <f t="shared" ref="AC850:AC851" si="4082">AA850*(1+AC886)</f>
        <v>522.98925</v>
      </c>
      <c r="AD850" s="17">
        <f t="shared" ref="AD850:AF850" si="4032">AC850*(1+AD886)</f>
        <v>554.368605</v>
      </c>
      <c r="AE850" s="17">
        <f t="shared" si="4032"/>
        <v>604.2617795</v>
      </c>
      <c r="AF850" s="17">
        <f t="shared" si="4032"/>
        <v>625.4109417</v>
      </c>
      <c r="AG850" s="112">
        <f t="shared" si="4033"/>
        <v>2307.030576</v>
      </c>
      <c r="AH850" s="17">
        <v>512.1</v>
      </c>
      <c r="AI850" s="17">
        <v>469.7</v>
      </c>
      <c r="AJ850" s="17">
        <v>538.0</v>
      </c>
      <c r="AK850" s="17">
        <v>569.36</v>
      </c>
      <c r="AL850" s="112">
        <f t="shared" si="4034"/>
        <v>2089.16</v>
      </c>
      <c r="AM850" s="17">
        <v>605.28</v>
      </c>
      <c r="AN850" s="17">
        <v>653.6</v>
      </c>
      <c r="AO850" s="17">
        <v>772.69</v>
      </c>
      <c r="AP850" s="17">
        <v>780.0</v>
      </c>
      <c r="AQ850" s="112">
        <f t="shared" si="4035"/>
        <v>2811.57</v>
      </c>
      <c r="AR850" s="17">
        <v>725.0</v>
      </c>
      <c r="AS850" s="17">
        <v>703.0</v>
      </c>
      <c r="AT850" s="17">
        <v>807.0</v>
      </c>
      <c r="AU850" s="17">
        <v>930.0</v>
      </c>
      <c r="AV850" s="112">
        <f t="shared" si="4036"/>
        <v>3165</v>
      </c>
      <c r="AW850" s="17">
        <f t="shared" ref="AW850:AZ850" si="4037">AW749*0.4+AW752*0.6</f>
        <v>876.4</v>
      </c>
      <c r="AX850" s="17">
        <f t="shared" si="4037"/>
        <v>898.8</v>
      </c>
      <c r="AY850" s="17">
        <f t="shared" si="4037"/>
        <v>957.6</v>
      </c>
      <c r="AZ850" s="17">
        <f t="shared" si="4037"/>
        <v>1013.4</v>
      </c>
      <c r="BA850" s="112">
        <f t="shared" si="4038"/>
        <v>3746.2</v>
      </c>
      <c r="BB850" s="17">
        <f>BB749*0.4+BB752*0.6</f>
        <v>881.2</v>
      </c>
      <c r="BC850" s="17">
        <f t="shared" ref="BC850:BD850" si="4039">BC749*0.35+BC752*0.5</f>
        <v>814.55</v>
      </c>
      <c r="BD850" s="17">
        <f t="shared" si="4039"/>
        <v>903.25</v>
      </c>
      <c r="BE850" s="17">
        <f>BE749*0.25+BE752*0.65+BE758*0.2</f>
        <v>984.6</v>
      </c>
      <c r="BF850" s="112">
        <f t="shared" si="4040"/>
        <v>3583.6</v>
      </c>
      <c r="BG850" s="17">
        <f>BG749*0.2+BG752*0.75+BG758*0.2</f>
        <v>936.5</v>
      </c>
      <c r="BH850" s="17">
        <f>BH749*0.3+BH752*0.8+BH758*0.2</f>
        <v>1105.2</v>
      </c>
      <c r="BI850" s="17">
        <f>BI749*0.325+BI752*0.8+BI758*0.2</f>
        <v>1397.9</v>
      </c>
      <c r="BJ850" s="17">
        <f>BJ749*0.35+BJ752*0.8+BJ758*0.2</f>
        <v>1436.25</v>
      </c>
      <c r="BK850" s="112">
        <f t="shared" si="4041"/>
        <v>4875.85</v>
      </c>
      <c r="BL850" s="17">
        <f>BL749*0.4+BL752*0.9+BL758*0.2</f>
        <v>1330.7</v>
      </c>
      <c r="BM850" s="17">
        <f>BM749*0.4+BM752*0.8</f>
        <v>1350</v>
      </c>
      <c r="BN850" s="17">
        <f>BN749*0.3+BN752*0.8</f>
        <v>1409.9</v>
      </c>
      <c r="BO850" s="17">
        <f>BO749*0.35+BO752*0.8</f>
        <v>1025.85</v>
      </c>
      <c r="BP850" s="112">
        <f t="shared" si="4042"/>
        <v>5116.45</v>
      </c>
      <c r="BQ850" s="17">
        <f t="shared" ref="BQ850:BT850" si="4043">BQ749*0.35+BQ752*0.8</f>
        <v>843.65</v>
      </c>
      <c r="BR850" s="17">
        <f t="shared" si="4043"/>
        <v>1051.7</v>
      </c>
      <c r="BS850" s="17">
        <f t="shared" si="4043"/>
        <v>1329.6</v>
      </c>
      <c r="BT850" s="17" t="str">
        <f t="shared" si="4043"/>
        <v>#ERROR!</v>
      </c>
      <c r="BU850" s="112" t="str">
        <f t="shared" si="4044"/>
        <v>#ERROR!</v>
      </c>
      <c r="BV850" s="17" t="str">
        <f t="shared" ref="BV850:BY850" si="4045">BV749*0.35+BV752*0.8</f>
        <v>#ERROR!</v>
      </c>
      <c r="BW850" s="17" t="str">
        <f t="shared" si="4045"/>
        <v>#ERROR!</v>
      </c>
      <c r="BX850" s="17" t="str">
        <f t="shared" si="4045"/>
        <v>#ERROR!</v>
      </c>
      <c r="BY850" s="17" t="str">
        <f t="shared" si="4045"/>
        <v>#ERROR!</v>
      </c>
      <c r="BZ850" s="80" t="str">
        <f t="shared" si="4046"/>
        <v>#ERROR!</v>
      </c>
      <c r="CA850" s="17" t="str">
        <f t="shared" ref="CA850:CD850" si="4047">CA749*0.35+CA752*0.8</f>
        <v>#ERROR!</v>
      </c>
      <c r="CB850" s="17" t="str">
        <f t="shared" si="4047"/>
        <v>#ERROR!</v>
      </c>
      <c r="CC850" s="17" t="str">
        <f t="shared" si="4047"/>
        <v>#ERROR!</v>
      </c>
      <c r="CD850" s="17" t="str">
        <f t="shared" si="4047"/>
        <v>#ERROR!</v>
      </c>
      <c r="CE850" s="80" t="str">
        <f t="shared" si="4048"/>
        <v>#ERROR!</v>
      </c>
      <c r="CF850" s="17" t="str">
        <f t="shared" ref="CF850:CI850" si="4049">CF749*0.35+CF752*0.8</f>
        <v>#ERROR!</v>
      </c>
      <c r="CG850" s="17" t="str">
        <f t="shared" si="4049"/>
        <v>#ERROR!</v>
      </c>
      <c r="CH850" s="17" t="str">
        <f t="shared" si="4049"/>
        <v>#ERROR!</v>
      </c>
      <c r="CI850" s="17" t="str">
        <f t="shared" si="4049"/>
        <v>#ERROR!</v>
      </c>
      <c r="CJ850" s="80" t="str">
        <f t="shared" si="4050"/>
        <v>#ERROR!</v>
      </c>
      <c r="CK850" s="17" t="str">
        <f t="shared" ref="CK850:CN850" si="4051">CK749*0.35+CK752*0.8</f>
        <v>#ERROR!</v>
      </c>
      <c r="CL850" s="17" t="str">
        <f t="shared" si="4051"/>
        <v>#ERROR!</v>
      </c>
      <c r="CM850" s="17" t="str">
        <f t="shared" si="4051"/>
        <v>#ERROR!</v>
      </c>
      <c r="CN850" s="19" t="str">
        <f t="shared" si="4051"/>
        <v>#ERROR!</v>
      </c>
      <c r="CO850" s="80" t="str">
        <f t="shared" si="4052"/>
        <v>#ERROR!</v>
      </c>
      <c r="CP850" s="19" t="str">
        <f t="shared" ref="CP850:CS850" si="4053">CP749*0.35+CP752*0.8</f>
        <v>#ERROR!</v>
      </c>
      <c r="CQ850" s="17" t="str">
        <f t="shared" si="4053"/>
        <v>#ERROR!</v>
      </c>
      <c r="CR850" s="17" t="str">
        <f t="shared" si="4053"/>
        <v>#ERROR!</v>
      </c>
      <c r="CS850" s="17" t="str">
        <f t="shared" si="4053"/>
        <v>#ERROR!</v>
      </c>
      <c r="CT850" s="80" t="str">
        <f t="shared" si="4054"/>
        <v>#ERROR!</v>
      </c>
      <c r="CU850" s="17" t="str">
        <f t="shared" ref="CU850:CX850" si="4055">CU749*0.35+CU752*0.8</f>
        <v>#ERROR!</v>
      </c>
      <c r="CV850" s="17" t="str">
        <f t="shared" si="4055"/>
        <v>#ERROR!</v>
      </c>
      <c r="CW850" s="17" t="str">
        <f t="shared" si="4055"/>
        <v>#ERROR!</v>
      </c>
      <c r="CX850" s="17" t="str">
        <f t="shared" si="4055"/>
        <v>#ERROR!</v>
      </c>
      <c r="CY850" s="80" t="str">
        <f t="shared" si="4056"/>
        <v>#ERROR!</v>
      </c>
      <c r="CZ850" s="17" t="str">
        <f t="shared" ref="CZ850:DC850" si="4057">CZ749*0.35+CZ752*0.8</f>
        <v>#ERROR!</v>
      </c>
      <c r="DA850" s="17" t="str">
        <f t="shared" si="4057"/>
        <v>#ERROR!</v>
      </c>
      <c r="DB850" s="17" t="str">
        <f t="shared" si="4057"/>
        <v>#ERROR!</v>
      </c>
      <c r="DC850" s="17" t="str">
        <f t="shared" si="4057"/>
        <v>#ERROR!</v>
      </c>
      <c r="DD850" s="80" t="str">
        <f t="shared" si="4058"/>
        <v>#ERROR!</v>
      </c>
      <c r="DE850" s="17" t="str">
        <f t="shared" ref="DE850:DH850" si="4059">DE749*0.35+DE752*0.8</f>
        <v>#ERROR!</v>
      </c>
      <c r="DF850" s="17" t="str">
        <f t="shared" si="4059"/>
        <v>#ERROR!</v>
      </c>
      <c r="DG850" s="19" t="str">
        <f t="shared" si="4059"/>
        <v>#ERROR!</v>
      </c>
      <c r="DH850" s="17" t="str">
        <f t="shared" si="4059"/>
        <v>#ERROR!</v>
      </c>
      <c r="DI850" s="80" t="str">
        <f t="shared" si="4060"/>
        <v>#ERROR!</v>
      </c>
      <c r="DJ850" s="19" t="str">
        <f t="shared" ref="DJ850:DM850" si="4061">DJ749*0.35+DJ752*0.8</f>
        <v>#ERROR!</v>
      </c>
      <c r="DK850" s="19" t="str">
        <f t="shared" si="4061"/>
        <v>#ERROR!</v>
      </c>
      <c r="DL850" s="19" t="str">
        <f t="shared" si="4061"/>
        <v>#ERROR!</v>
      </c>
      <c r="DM850" s="17" t="str">
        <f t="shared" si="4061"/>
        <v>#ERROR!</v>
      </c>
      <c r="DN850" s="80" t="str">
        <f t="shared" si="4062"/>
        <v>#ERROR!</v>
      </c>
      <c r="DO850" s="17" t="str">
        <f t="shared" ref="DO850:DR850" si="4063">DO749*0.35+DO752*0.8</f>
        <v>#ERROR!</v>
      </c>
      <c r="DP850" s="17" t="str">
        <f t="shared" si="4063"/>
        <v>#ERROR!</v>
      </c>
      <c r="DQ850" s="17" t="str">
        <f t="shared" si="4063"/>
        <v>#ERROR!</v>
      </c>
      <c r="DR850" s="17" t="str">
        <f t="shared" si="4063"/>
        <v>#ERROR!</v>
      </c>
      <c r="DS850" s="80" t="str">
        <f t="shared" si="4064"/>
        <v>#ERROR!</v>
      </c>
      <c r="DT850" s="17" t="str">
        <f t="shared" ref="DT850:DW850" si="4065">DT749*0.35+DT752*0.8</f>
        <v>#ERROR!</v>
      </c>
      <c r="DU850" s="17" t="str">
        <f t="shared" si="4065"/>
        <v>#ERROR!</v>
      </c>
      <c r="DV850" s="17" t="str">
        <f t="shared" si="4065"/>
        <v>#ERROR!</v>
      </c>
      <c r="DW850" s="17" t="str">
        <f t="shared" si="4065"/>
        <v>#ERROR!</v>
      </c>
      <c r="DX850" s="80" t="str">
        <f t="shared" si="4066"/>
        <v>#ERROR!</v>
      </c>
      <c r="DY850" s="17" t="str">
        <f t="shared" ref="DY850:EB850" si="4067">DY749*0.35+DY752*0.8</f>
        <v>#ERROR!</v>
      </c>
      <c r="DZ850" s="17" t="str">
        <f t="shared" si="4067"/>
        <v>#ERROR!</v>
      </c>
      <c r="EA850" s="17" t="str">
        <f t="shared" si="4067"/>
        <v>#ERROR!</v>
      </c>
      <c r="EB850" s="17" t="str">
        <f t="shared" si="4067"/>
        <v>#ERROR!</v>
      </c>
      <c r="EC850" s="80" t="str">
        <f t="shared" si="4068"/>
        <v>#ERROR!</v>
      </c>
      <c r="ED850" s="17" t="str">
        <f t="shared" ref="ED850:EG850" si="4069">ED749*0.35+ED752*0.8</f>
        <v>#ERROR!</v>
      </c>
      <c r="EE850" s="17" t="str">
        <f t="shared" si="4069"/>
        <v>#ERROR!</v>
      </c>
      <c r="EF850" s="17" t="str">
        <f t="shared" si="4069"/>
        <v>#ERROR!</v>
      </c>
      <c r="EG850" s="17" t="str">
        <f t="shared" si="4069"/>
        <v>#ERROR!</v>
      </c>
      <c r="EH850" s="80" t="str">
        <f t="shared" si="4070"/>
        <v>#ERROR!</v>
      </c>
      <c r="EI850" s="25" t="str">
        <f t="shared" ref="EI850:EL850" si="4071">EI749*0.35+EI752*0.8</f>
        <v>#ERROR!</v>
      </c>
      <c r="EJ850" s="17" t="str">
        <f t="shared" si="4071"/>
        <v>#ERROR!</v>
      </c>
      <c r="EK850" s="17" t="str">
        <f t="shared" si="4071"/>
        <v>#ERROR!</v>
      </c>
      <c r="EL850" s="17" t="str">
        <f t="shared" si="4071"/>
        <v>#ERROR!</v>
      </c>
      <c r="EM850" s="80" t="str">
        <f t="shared" si="4072"/>
        <v>#ERROR!</v>
      </c>
      <c r="EN850" s="17" t="str">
        <f t="shared" ref="EN850:EQ850" si="4073">EN749*0.35+EN752*0.8</f>
        <v>#ERROR!</v>
      </c>
      <c r="EO850" s="17" t="str">
        <f t="shared" si="4073"/>
        <v>#ERROR!</v>
      </c>
      <c r="EP850" s="17" t="str">
        <f t="shared" si="4073"/>
        <v>#ERROR!</v>
      </c>
      <c r="EQ850" s="17" t="str">
        <f t="shared" si="4073"/>
        <v>#ERROR!</v>
      </c>
      <c r="ER850" s="80" t="str">
        <f t="shared" si="4074"/>
        <v>#ERROR!</v>
      </c>
      <c r="ES850" s="17" t="str">
        <f t="shared" ref="ES850:EV850" si="4075">ES749*0.35+ES752*0.8</f>
        <v>#ERROR!</v>
      </c>
      <c r="ET850" s="17" t="str">
        <f t="shared" si="4075"/>
        <v>#ERROR!</v>
      </c>
      <c r="EU850" s="17" t="str">
        <f t="shared" si="4075"/>
        <v>#ERROR!</v>
      </c>
      <c r="EV850" s="17" t="str">
        <f t="shared" si="4075"/>
        <v>#ERROR!</v>
      </c>
      <c r="EW850" s="80" t="str">
        <f t="shared" si="4076"/>
        <v>#ERROR!</v>
      </c>
      <c r="EX850" s="17" t="str">
        <f t="shared" ref="EX850:FA850" si="4077">EX749*0.35+EX752*0.8</f>
        <v>#ERROR!</v>
      </c>
      <c r="EY850" s="17" t="str">
        <f t="shared" si="4077"/>
        <v>#ERROR!</v>
      </c>
      <c r="EZ850" s="17" t="str">
        <f t="shared" si="4077"/>
        <v>#ERROR!</v>
      </c>
      <c r="FA850" s="17" t="str">
        <f t="shared" si="4077"/>
        <v>#ERROR!</v>
      </c>
      <c r="FB850" s="80" t="str">
        <f t="shared" si="4078"/>
        <v>#ERROR!</v>
      </c>
      <c r="FC850" s="17" t="str">
        <f t="shared" ref="FC850:FF850" si="4079">FC749*0.35+FC752*0.8</f>
        <v>#ERROR!</v>
      </c>
      <c r="FD850" s="17" t="str">
        <f t="shared" si="4079"/>
        <v>#ERROR!</v>
      </c>
      <c r="FE850" s="17" t="str">
        <f t="shared" si="4079"/>
        <v>#ERROR!</v>
      </c>
      <c r="FF850" s="17" t="str">
        <f t="shared" si="4079"/>
        <v>#ERROR!</v>
      </c>
      <c r="FG850" s="80" t="str">
        <f t="shared" si="4080"/>
        <v>#ERROR!</v>
      </c>
      <c r="FH850" s="146"/>
      <c r="FI850" s="17"/>
      <c r="FJ850" s="17"/>
      <c r="FK850" s="112"/>
      <c r="FL850" s="17"/>
    </row>
    <row r="851" ht="12.75" hidden="1" customHeight="1" outlineLevel="2">
      <c r="A851" s="4"/>
      <c r="B851" s="4" t="s">
        <v>329</v>
      </c>
      <c r="C851" s="4"/>
      <c r="D851" s="17"/>
      <c r="E851" s="17"/>
      <c r="F851" s="17"/>
      <c r="G851" s="17"/>
      <c r="H851" s="112"/>
      <c r="I851" s="17"/>
      <c r="J851" s="17"/>
      <c r="K851" s="17"/>
      <c r="L851" s="17"/>
      <c r="M851" s="112"/>
      <c r="N851" s="17"/>
      <c r="O851" s="17"/>
      <c r="P851" s="17"/>
      <c r="Q851" s="17"/>
      <c r="R851" s="112"/>
      <c r="S851" s="17"/>
      <c r="T851" s="17"/>
      <c r="U851" s="17"/>
      <c r="V851" s="17"/>
      <c r="W851" s="112"/>
      <c r="X851" s="17">
        <v>360.0</v>
      </c>
      <c r="Y851" s="17">
        <f t="shared" ref="Y851:AA851" si="4081">X851*(1+Y887)</f>
        <v>349.2</v>
      </c>
      <c r="Z851" s="17">
        <f t="shared" si="4081"/>
        <v>384.12</v>
      </c>
      <c r="AA851" s="17">
        <f t="shared" si="4081"/>
        <v>368.7552</v>
      </c>
      <c r="AB851" s="112">
        <f t="shared" si="4031"/>
        <v>1462.0752</v>
      </c>
      <c r="AC851" s="17">
        <f t="shared" si="4082"/>
        <v>258.12864</v>
      </c>
      <c r="AD851" s="17">
        <f t="shared" ref="AD851:AF851" si="4083">AC851*(1+AD887)</f>
        <v>219.409344</v>
      </c>
      <c r="AE851" s="17">
        <f t="shared" si="4083"/>
        <v>236.9620915</v>
      </c>
      <c r="AF851" s="17">
        <f t="shared" si="4083"/>
        <v>246.4405752</v>
      </c>
      <c r="AG851" s="112">
        <f t="shared" si="4033"/>
        <v>960.9406507</v>
      </c>
      <c r="AH851" s="17">
        <f>963-AH850</f>
        <v>450.9</v>
      </c>
      <c r="AI851" s="17">
        <f>846-AI850</f>
        <v>376.3</v>
      </c>
      <c r="AJ851" s="17">
        <f>889-AJ850</f>
        <v>351</v>
      </c>
      <c r="AK851" s="17">
        <f>960-AK850</f>
        <v>390.64</v>
      </c>
      <c r="AL851" s="112">
        <f t="shared" si="4034"/>
        <v>1568.84</v>
      </c>
      <c r="AM851" s="17">
        <f>912-AM850</f>
        <v>306.72</v>
      </c>
      <c r="AN851" s="17">
        <f>1004-AN850</f>
        <v>350.4</v>
      </c>
      <c r="AO851" s="17">
        <f>1140-AO850</f>
        <v>367.31</v>
      </c>
      <c r="AP851" s="17">
        <f>1183-AP850</f>
        <v>403</v>
      </c>
      <c r="AQ851" s="112">
        <f t="shared" si="4035"/>
        <v>1427.43</v>
      </c>
      <c r="AR851" s="17">
        <f>1045-AR850</f>
        <v>320</v>
      </c>
      <c r="AS851" s="17">
        <f>1023-AS850</f>
        <v>320</v>
      </c>
      <c r="AT851" s="17">
        <f>1210-AT850</f>
        <v>403</v>
      </c>
      <c r="AU851" s="17">
        <f>1426-AU850</f>
        <v>496</v>
      </c>
      <c r="AV851" s="112">
        <f t="shared" si="4036"/>
        <v>1539</v>
      </c>
      <c r="AW851" s="17">
        <f t="shared" ref="AW851:AZ851" si="4084">AW749*0.4</f>
        <v>566.8</v>
      </c>
      <c r="AX851" s="17">
        <f t="shared" si="4084"/>
        <v>559.2</v>
      </c>
      <c r="AY851" s="17">
        <f t="shared" si="4084"/>
        <v>573.6</v>
      </c>
      <c r="AZ851" s="17">
        <f t="shared" si="4084"/>
        <v>590.4</v>
      </c>
      <c r="BA851" s="112">
        <f t="shared" si="4038"/>
        <v>2290</v>
      </c>
      <c r="BB851" s="17">
        <f>BB749*0.4</f>
        <v>502</v>
      </c>
      <c r="BC851" s="17">
        <f t="shared" ref="BC851:BD851" si="4085">BC749*0.45</f>
        <v>577.35</v>
      </c>
      <c r="BD851" s="17">
        <f t="shared" si="4085"/>
        <v>641.25</v>
      </c>
      <c r="BE851" s="17">
        <f>BE749*0.55</f>
        <v>718.85</v>
      </c>
      <c r="BF851" s="112">
        <f t="shared" si="4040"/>
        <v>2439.45</v>
      </c>
      <c r="BG851" s="17">
        <f>BG749*0.6</f>
        <v>715.8</v>
      </c>
      <c r="BH851" s="17">
        <f>BH749*0.5</f>
        <v>589</v>
      </c>
      <c r="BI851" s="17">
        <f>BI749*0.475</f>
        <v>628.9</v>
      </c>
      <c r="BJ851" s="17">
        <f>BJ749*0.45</f>
        <v>634.95</v>
      </c>
      <c r="BK851" s="112">
        <f t="shared" si="4041"/>
        <v>2568.65</v>
      </c>
      <c r="BL851" s="17">
        <f t="shared" ref="BL851:BO851" si="4086">BL749*0.45</f>
        <v>542.25</v>
      </c>
      <c r="BM851" s="17">
        <f t="shared" si="4086"/>
        <v>569.25</v>
      </c>
      <c r="BN851" s="17">
        <f t="shared" si="4086"/>
        <v>562.05</v>
      </c>
      <c r="BO851" s="17">
        <f t="shared" si="4086"/>
        <v>375.75</v>
      </c>
      <c r="BP851" s="112">
        <f t="shared" si="4042"/>
        <v>2049.3</v>
      </c>
      <c r="BQ851" s="17">
        <f t="shared" ref="BQ851:BT851" si="4087">BQ749*0.45</f>
        <v>337.95</v>
      </c>
      <c r="BR851" s="17">
        <f t="shared" si="4087"/>
        <v>398.7</v>
      </c>
      <c r="BS851" s="17">
        <f t="shared" si="4087"/>
        <v>468</v>
      </c>
      <c r="BT851" s="17">
        <f t="shared" si="4087"/>
        <v>97.6108058</v>
      </c>
      <c r="BU851" s="112">
        <f t="shared" si="4044"/>
        <v>1302.260806</v>
      </c>
      <c r="BV851" s="17">
        <f t="shared" ref="BV851:BY851" si="4088">BV749*0.45</f>
        <v>88.68452139</v>
      </c>
      <c r="BW851" s="17">
        <f t="shared" si="4088"/>
        <v>102.4073613</v>
      </c>
      <c r="BX851" s="17">
        <f t="shared" si="4088"/>
        <v>106.0602749</v>
      </c>
      <c r="BY851" s="17">
        <f t="shared" si="4088"/>
        <v>123.2473503</v>
      </c>
      <c r="BZ851" s="80">
        <f t="shared" si="4046"/>
        <v>420.3995079</v>
      </c>
      <c r="CA851" s="17">
        <f t="shared" ref="CA851:CD851" si="4089">CA749*0.45</f>
        <v>98.74042108</v>
      </c>
      <c r="CB851" s="17">
        <f t="shared" si="4089"/>
        <v>100.6092984</v>
      </c>
      <c r="CC851" s="17">
        <f t="shared" si="4089"/>
        <v>103.1028352</v>
      </c>
      <c r="CD851" s="17">
        <f t="shared" si="4089"/>
        <v>110.6589515</v>
      </c>
      <c r="CE851" s="80">
        <f t="shared" si="4048"/>
        <v>413.1115062</v>
      </c>
      <c r="CF851" s="17">
        <f t="shared" ref="CF851:CI851" si="4090">CF749*0.45</f>
        <v>99.38608255</v>
      </c>
      <c r="CG851" s="17">
        <f t="shared" si="4090"/>
        <v>113.505297</v>
      </c>
      <c r="CH851" s="17">
        <f t="shared" si="4090"/>
        <v>111.4187464</v>
      </c>
      <c r="CI851" s="17">
        <f t="shared" si="4090"/>
        <v>116.8218492</v>
      </c>
      <c r="CJ851" s="80">
        <f t="shared" si="4050"/>
        <v>441.1319752</v>
      </c>
      <c r="CK851" s="17">
        <f t="shared" ref="CK851:CN851" si="4091">CK749*0.45</f>
        <v>111.3290388</v>
      </c>
      <c r="CL851" s="17">
        <f t="shared" si="4091"/>
        <v>115.1395513</v>
      </c>
      <c r="CM851" s="17">
        <f t="shared" si="4091"/>
        <v>123.9727368</v>
      </c>
      <c r="CN851" s="19">
        <f t="shared" si="4091"/>
        <v>127.9528765</v>
      </c>
      <c r="CO851" s="80">
        <f t="shared" si="4052"/>
        <v>478.3942033</v>
      </c>
      <c r="CP851" s="19">
        <f t="shared" ref="CP851:CS851" si="4092">CP749*0.45</f>
        <v>120.4303451</v>
      </c>
      <c r="CQ851" s="17">
        <f t="shared" si="4092"/>
        <v>141.0293593</v>
      </c>
      <c r="CR851" s="17">
        <f t="shared" si="4092"/>
        <v>155.4847313</v>
      </c>
      <c r="CS851" s="17">
        <f t="shared" si="4092"/>
        <v>171.7150269</v>
      </c>
      <c r="CT851" s="80">
        <f t="shared" si="4054"/>
        <v>588.6594626</v>
      </c>
      <c r="CU851" s="17">
        <f t="shared" ref="CU851:CX851" si="4093">CU749*0.45</f>
        <v>157.4435163</v>
      </c>
      <c r="CV851" s="17">
        <f t="shared" si="4093"/>
        <v>164.9873456</v>
      </c>
      <c r="CW851" s="17">
        <f t="shared" si="4093"/>
        <v>192.7886354</v>
      </c>
      <c r="CX851" s="17">
        <f t="shared" si="4093"/>
        <v>184.254998</v>
      </c>
      <c r="CY851" s="80">
        <f t="shared" si="4056"/>
        <v>699.4744954</v>
      </c>
      <c r="CZ851" s="17">
        <f t="shared" ref="CZ851:DC851" si="4094">CZ749*0.45</f>
        <v>168.2193817</v>
      </c>
      <c r="DA851" s="17">
        <f t="shared" si="4094"/>
        <v>177.9325301</v>
      </c>
      <c r="DB851" s="17">
        <f t="shared" si="4094"/>
        <v>193.097551</v>
      </c>
      <c r="DC851" s="17">
        <f t="shared" si="4094"/>
        <v>201.9776982</v>
      </c>
      <c r="DD851" s="80">
        <f t="shared" si="4058"/>
        <v>741.2271609</v>
      </c>
      <c r="DE851" s="17">
        <f t="shared" ref="DE851:DH851" si="4095">DE749*0.45</f>
        <v>186.0676364</v>
      </c>
      <c r="DF851" s="17">
        <f t="shared" si="4095"/>
        <v>191.1355854</v>
      </c>
      <c r="DG851" s="19">
        <f t="shared" si="4095"/>
        <v>209.6160533</v>
      </c>
      <c r="DH851" s="17">
        <f t="shared" si="4095"/>
        <v>209.1362655</v>
      </c>
      <c r="DI851" s="80">
        <f t="shared" si="4060"/>
        <v>795.9555406</v>
      </c>
      <c r="DJ851" s="19">
        <f t="shared" ref="DJ851:DM851" si="4096">DJ749*0.45</f>
        <v>201.7689967</v>
      </c>
      <c r="DK851" s="19">
        <f t="shared" si="4096"/>
        <v>219.7270539</v>
      </c>
      <c r="DL851" s="19">
        <f t="shared" si="4096"/>
        <v>243.7398908</v>
      </c>
      <c r="DM851" s="17">
        <f t="shared" si="4096"/>
        <v>242.8347417</v>
      </c>
      <c r="DN851" s="80">
        <f t="shared" si="4062"/>
        <v>908.0706831</v>
      </c>
      <c r="DO851" s="17">
        <f t="shared" ref="DO851:DR851" si="4097">DO749*0.45</f>
        <v>229.3859964</v>
      </c>
      <c r="DP851" s="17">
        <f t="shared" si="4097"/>
        <v>245.7330798</v>
      </c>
      <c r="DQ851" s="17">
        <f t="shared" si="4097"/>
        <v>266.2534766</v>
      </c>
      <c r="DR851" s="17">
        <f t="shared" si="4097"/>
        <v>276.9712434</v>
      </c>
      <c r="DS851" s="80">
        <f t="shared" si="4064"/>
        <v>1018.343796</v>
      </c>
      <c r="DT851" s="17">
        <f t="shared" ref="DT851:DW851" si="4098">DT749*0.45</f>
        <v>261.5935542</v>
      </c>
      <c r="DU851" s="17">
        <f t="shared" si="4098"/>
        <v>280.342716</v>
      </c>
      <c r="DV851" s="17">
        <f t="shared" si="4098"/>
        <v>303.8567532</v>
      </c>
      <c r="DW851" s="17">
        <f t="shared" si="4098"/>
        <v>316.1076606</v>
      </c>
      <c r="DX851" s="80">
        <f t="shared" si="4066"/>
        <v>1161.900684</v>
      </c>
      <c r="DY851" s="17">
        <f t="shared" ref="DY851:EB851" si="4099">DY749*0.45</f>
        <v>298.5854031</v>
      </c>
      <c r="DZ851" s="17">
        <f t="shared" si="4099"/>
        <v>320.0899058</v>
      </c>
      <c r="EA851" s="17">
        <f t="shared" si="4099"/>
        <v>347.0429128</v>
      </c>
      <c r="EB851" s="17">
        <f t="shared" si="4099"/>
        <v>361.0562954</v>
      </c>
      <c r="EC851" s="80">
        <f t="shared" si="4068"/>
        <v>1326.774517</v>
      </c>
      <c r="ED851" s="17">
        <f t="shared" ref="ED851:EG851" si="4100">ED749*0.45</f>
        <v>0</v>
      </c>
      <c r="EE851" s="17">
        <f t="shared" si="4100"/>
        <v>0</v>
      </c>
      <c r="EF851" s="17">
        <f t="shared" si="4100"/>
        <v>0</v>
      </c>
      <c r="EG851" s="17">
        <f t="shared" si="4100"/>
        <v>0</v>
      </c>
      <c r="EH851" s="80">
        <f t="shared" si="4070"/>
        <v>0</v>
      </c>
      <c r="EI851" s="25">
        <f t="shared" ref="EI851:EL851" si="4101">EI749*0.45</f>
        <v>0</v>
      </c>
      <c r="EJ851" s="17">
        <f t="shared" si="4101"/>
        <v>0</v>
      </c>
      <c r="EK851" s="17">
        <f t="shared" si="4101"/>
        <v>0</v>
      </c>
      <c r="EL851" s="17">
        <f t="shared" si="4101"/>
        <v>0</v>
      </c>
      <c r="EM851" s="80">
        <f t="shared" si="4072"/>
        <v>0</v>
      </c>
      <c r="EN851" s="17">
        <f t="shared" ref="EN851:EQ851" si="4102">EN749*0.45</f>
        <v>0</v>
      </c>
      <c r="EO851" s="17">
        <f t="shared" si="4102"/>
        <v>0</v>
      </c>
      <c r="EP851" s="17">
        <f t="shared" si="4102"/>
        <v>0</v>
      </c>
      <c r="EQ851" s="17">
        <f t="shared" si="4102"/>
        <v>0</v>
      </c>
      <c r="ER851" s="80">
        <f t="shared" si="4074"/>
        <v>0</v>
      </c>
      <c r="ES851" s="17">
        <f t="shared" ref="ES851:EV851" si="4103">ES749*0.45</f>
        <v>0</v>
      </c>
      <c r="ET851" s="17">
        <f t="shared" si="4103"/>
        <v>0</v>
      </c>
      <c r="EU851" s="17">
        <f t="shared" si="4103"/>
        <v>0</v>
      </c>
      <c r="EV851" s="17">
        <f t="shared" si="4103"/>
        <v>0</v>
      </c>
      <c r="EW851" s="80">
        <f t="shared" si="4076"/>
        <v>0</v>
      </c>
      <c r="EX851" s="17">
        <f t="shared" ref="EX851:FA851" si="4104">EX749*0.45</f>
        <v>0</v>
      </c>
      <c r="EY851" s="17">
        <f t="shared" si="4104"/>
        <v>0</v>
      </c>
      <c r="EZ851" s="17">
        <f t="shared" si="4104"/>
        <v>0</v>
      </c>
      <c r="FA851" s="17">
        <f t="shared" si="4104"/>
        <v>0</v>
      </c>
      <c r="FB851" s="80">
        <f t="shared" si="4078"/>
        <v>0</v>
      </c>
      <c r="FC851" s="17">
        <f t="shared" ref="FC851:FF851" si="4105">FC749*0.45</f>
        <v>0</v>
      </c>
      <c r="FD851" s="17">
        <f t="shared" si="4105"/>
        <v>0</v>
      </c>
      <c r="FE851" s="17">
        <f t="shared" si="4105"/>
        <v>0</v>
      </c>
      <c r="FF851" s="17">
        <f t="shared" si="4105"/>
        <v>0</v>
      </c>
      <c r="FG851" s="80">
        <f t="shared" si="4080"/>
        <v>0</v>
      </c>
      <c r="FH851" s="146"/>
      <c r="FI851" s="17"/>
      <c r="FJ851" s="17"/>
      <c r="FK851" s="112"/>
      <c r="FL851" s="17"/>
    </row>
    <row r="852" ht="12.75" hidden="1" customHeight="1" outlineLevel="2">
      <c r="A852" s="4"/>
      <c r="B852" s="45" t="s">
        <v>330</v>
      </c>
      <c r="C852" s="45"/>
      <c r="D852" s="112"/>
      <c r="E852" s="112"/>
      <c r="F852" s="112"/>
      <c r="G852" s="112"/>
      <c r="H852" s="112">
        <v>18811.0</v>
      </c>
      <c r="I852" s="112"/>
      <c r="J852" s="112"/>
      <c r="K852" s="112"/>
      <c r="L852" s="112"/>
      <c r="M852" s="112">
        <v>22679.0</v>
      </c>
      <c r="N852" s="112">
        <v>4931.0</v>
      </c>
      <c r="O852" s="112">
        <v>5240.0</v>
      </c>
      <c r="P852" s="112">
        <v>6233.0</v>
      </c>
      <c r="Q852" s="112">
        <f>R852-N852-O852-P852</f>
        <v>7449</v>
      </c>
      <c r="R852" s="112">
        <v>23853.0</v>
      </c>
      <c r="S852" s="112">
        <v>6429.0</v>
      </c>
      <c r="T852" s="112">
        <v>5559.0</v>
      </c>
      <c r="U852" s="112">
        <v>6268.0</v>
      </c>
      <c r="V852" s="112">
        <v>6963.0</v>
      </c>
      <c r="W852" s="112">
        <v>25459.0</v>
      </c>
      <c r="X852" s="112">
        <v>6581.0</v>
      </c>
      <c r="Y852" s="112">
        <v>6759.0</v>
      </c>
      <c r="Z852" s="112">
        <v>7038.0</v>
      </c>
      <c r="AA852" s="112">
        <v>6851.0</v>
      </c>
      <c r="AB852" s="112">
        <v>27297.0</v>
      </c>
      <c r="AC852" s="112">
        <v>5133.0</v>
      </c>
      <c r="AD852" s="112">
        <v>5127.0</v>
      </c>
      <c r="AE852" s="112">
        <v>5393.0</v>
      </c>
      <c r="AF852" s="112">
        <v>5793.0</v>
      </c>
      <c r="AG852" s="112">
        <f t="shared" si="4033"/>
        <v>21446</v>
      </c>
      <c r="AH852" s="112">
        <v>5768.0</v>
      </c>
      <c r="AI852" s="112">
        <v>5213.0</v>
      </c>
      <c r="AJ852" s="112">
        <v>5407.0</v>
      </c>
      <c r="AK852" s="112">
        <v>5928.0</v>
      </c>
      <c r="AL852" s="112">
        <f t="shared" si="4034"/>
        <v>22316</v>
      </c>
      <c r="AM852" s="112">
        <v>5760.0</v>
      </c>
      <c r="AN852" s="112">
        <f>+AN849+AN850+AN851</f>
        <v>5833</v>
      </c>
      <c r="AO852" s="112">
        <v>6838.0</v>
      </c>
      <c r="AP852" s="112">
        <f>+AP849+AP850+AP851</f>
        <v>7671</v>
      </c>
      <c r="AQ852" s="112">
        <f t="shared" si="4035"/>
        <v>26102</v>
      </c>
      <c r="AR852" s="112">
        <f>+AR849+AR850+AR851</f>
        <v>7025</v>
      </c>
      <c r="AS852" s="112">
        <v>6774.0</v>
      </c>
      <c r="AT852" s="112">
        <v>7138.0</v>
      </c>
      <c r="AU852" s="112">
        <f>+AU849+AU850+AU851</f>
        <v>8230</v>
      </c>
      <c r="AV852" s="112">
        <f t="shared" si="4036"/>
        <v>29167</v>
      </c>
      <c r="AW852" s="112" t="str">
        <f t="shared" ref="AW852:AZ852" si="4106">+AW849+AW850+AW851</f>
        <v>#ERROR!</v>
      </c>
      <c r="AX852" s="112" t="str">
        <f t="shared" si="4106"/>
        <v>#ERROR!</v>
      </c>
      <c r="AY852" s="112" t="str">
        <f t="shared" si="4106"/>
        <v>#ERROR!</v>
      </c>
      <c r="AZ852" s="112" t="str">
        <f t="shared" si="4106"/>
        <v>#ERROR!</v>
      </c>
      <c r="BA852" s="112" t="str">
        <f t="shared" si="4038"/>
        <v>#ERROR!</v>
      </c>
      <c r="BB852" s="112" t="str">
        <f t="shared" ref="BB852:BE852" si="4107">+BB849+BB850+BB851</f>
        <v>#ERROR!</v>
      </c>
      <c r="BC852" s="112" t="str">
        <f t="shared" si="4107"/>
        <v>#ERROR!</v>
      </c>
      <c r="BD852" s="112" t="str">
        <f t="shared" si="4107"/>
        <v>#ERROR!</v>
      </c>
      <c r="BE852" s="112" t="str">
        <f t="shared" si="4107"/>
        <v>#ERROR!</v>
      </c>
      <c r="BF852" s="112" t="str">
        <f t="shared" si="4040"/>
        <v>#ERROR!</v>
      </c>
      <c r="BG852" s="112" t="str">
        <f t="shared" ref="BG852:BJ852" si="4108">+BG849+BG850+BG851</f>
        <v>#ERROR!</v>
      </c>
      <c r="BH852" s="112" t="str">
        <f t="shared" si="4108"/>
        <v>#ERROR!</v>
      </c>
      <c r="BI852" s="112" t="str">
        <f t="shared" si="4108"/>
        <v>#ERROR!</v>
      </c>
      <c r="BJ852" s="112" t="str">
        <f t="shared" si="4108"/>
        <v>#ERROR!</v>
      </c>
      <c r="BK852" s="112" t="str">
        <f t="shared" si="4041"/>
        <v>#ERROR!</v>
      </c>
      <c r="BL852" s="112" t="str">
        <f t="shared" ref="BL852:BO852" si="4109">+BL849+BL850+BL851</f>
        <v>#ERROR!</v>
      </c>
      <c r="BM852" s="112" t="str">
        <f t="shared" si="4109"/>
        <v>#ERROR!</v>
      </c>
      <c r="BN852" s="112" t="str">
        <f t="shared" si="4109"/>
        <v>#ERROR!</v>
      </c>
      <c r="BO852" s="112" t="str">
        <f t="shared" si="4109"/>
        <v>#ERROR!</v>
      </c>
      <c r="BP852" s="112" t="str">
        <f t="shared" si="4042"/>
        <v>#ERROR!</v>
      </c>
      <c r="BQ852" s="112" t="str">
        <f t="shared" ref="BQ852:BT852" si="4110">+BQ849+BQ850+BQ851</f>
        <v>#ERROR!</v>
      </c>
      <c r="BR852" s="112" t="str">
        <f t="shared" si="4110"/>
        <v>#ERROR!</v>
      </c>
      <c r="BS852" s="112" t="str">
        <f t="shared" si="4110"/>
        <v>#ERROR!</v>
      </c>
      <c r="BT852" s="112" t="str">
        <f t="shared" si="4110"/>
        <v>#ERROR!</v>
      </c>
      <c r="BU852" s="112" t="str">
        <f t="shared" si="4044"/>
        <v>#ERROR!</v>
      </c>
      <c r="BV852" s="112" t="str">
        <f t="shared" ref="BV852:BY852" si="4111">+BV849+BV850+BV851</f>
        <v>#ERROR!</v>
      </c>
      <c r="BW852" s="112" t="str">
        <f t="shared" si="4111"/>
        <v>#ERROR!</v>
      </c>
      <c r="BX852" s="112" t="str">
        <f t="shared" si="4111"/>
        <v>#ERROR!</v>
      </c>
      <c r="BY852" s="112" t="str">
        <f t="shared" si="4111"/>
        <v>#ERROR!</v>
      </c>
      <c r="BZ852" s="80" t="str">
        <f t="shared" si="4046"/>
        <v>#ERROR!</v>
      </c>
      <c r="CA852" s="112" t="str">
        <f t="shared" ref="CA852:CD852" si="4112">+CA849+CA850+CA851</f>
        <v>#ERROR!</v>
      </c>
      <c r="CB852" s="112" t="str">
        <f t="shared" si="4112"/>
        <v>#ERROR!</v>
      </c>
      <c r="CC852" s="112" t="str">
        <f t="shared" si="4112"/>
        <v>#ERROR!</v>
      </c>
      <c r="CD852" s="112" t="str">
        <f t="shared" si="4112"/>
        <v>#ERROR!</v>
      </c>
      <c r="CE852" s="80" t="str">
        <f t="shared" si="4048"/>
        <v>#ERROR!</v>
      </c>
      <c r="CF852" s="112" t="str">
        <f t="shared" ref="CF852:CI852" si="4113">+CF849+CF850+CF851</f>
        <v>#ERROR!</v>
      </c>
      <c r="CG852" s="112" t="str">
        <f t="shared" si="4113"/>
        <v>#ERROR!</v>
      </c>
      <c r="CH852" s="112" t="str">
        <f t="shared" si="4113"/>
        <v>#ERROR!</v>
      </c>
      <c r="CI852" s="112" t="str">
        <f t="shared" si="4113"/>
        <v>#ERROR!</v>
      </c>
      <c r="CJ852" s="80" t="str">
        <f t="shared" si="4050"/>
        <v>#ERROR!</v>
      </c>
      <c r="CK852" s="112" t="str">
        <f t="shared" ref="CK852:CN852" si="4114">+CK849+CK850+CK851</f>
        <v>#ERROR!</v>
      </c>
      <c r="CL852" s="112" t="str">
        <f t="shared" si="4114"/>
        <v>#ERROR!</v>
      </c>
      <c r="CM852" s="112" t="str">
        <f t="shared" si="4114"/>
        <v>#ERROR!</v>
      </c>
      <c r="CN852" s="146" t="str">
        <f t="shared" si="4114"/>
        <v>#ERROR!</v>
      </c>
      <c r="CO852" s="80" t="str">
        <f t="shared" si="4052"/>
        <v>#ERROR!</v>
      </c>
      <c r="CP852" s="146" t="str">
        <f t="shared" ref="CP852:CS852" si="4115">+CP849+CP850+CP851</f>
        <v>#ERROR!</v>
      </c>
      <c r="CQ852" s="112" t="str">
        <f t="shared" si="4115"/>
        <v>#ERROR!</v>
      </c>
      <c r="CR852" s="112" t="str">
        <f t="shared" si="4115"/>
        <v>#ERROR!</v>
      </c>
      <c r="CS852" s="112" t="str">
        <f t="shared" si="4115"/>
        <v>#ERROR!</v>
      </c>
      <c r="CT852" s="80" t="str">
        <f t="shared" si="4054"/>
        <v>#ERROR!</v>
      </c>
      <c r="CU852" s="112" t="str">
        <f t="shared" ref="CU852:CX852" si="4116">+CU849+CU850+CU851</f>
        <v>#ERROR!</v>
      </c>
      <c r="CV852" s="112" t="str">
        <f t="shared" si="4116"/>
        <v>#ERROR!</v>
      </c>
      <c r="CW852" s="112" t="str">
        <f t="shared" si="4116"/>
        <v>#ERROR!</v>
      </c>
      <c r="CX852" s="112" t="str">
        <f t="shared" si="4116"/>
        <v>#ERROR!</v>
      </c>
      <c r="CY852" s="80" t="str">
        <f t="shared" si="4056"/>
        <v>#ERROR!</v>
      </c>
      <c r="CZ852" s="112" t="str">
        <f t="shared" ref="CZ852:DC852" si="4117">+CZ849+CZ850+CZ851</f>
        <v>#ERROR!</v>
      </c>
      <c r="DA852" s="112" t="str">
        <f t="shared" si="4117"/>
        <v>#ERROR!</v>
      </c>
      <c r="DB852" s="112" t="str">
        <f t="shared" si="4117"/>
        <v>#ERROR!</v>
      </c>
      <c r="DC852" s="112" t="str">
        <f t="shared" si="4117"/>
        <v>#ERROR!</v>
      </c>
      <c r="DD852" s="80" t="str">
        <f t="shared" si="4058"/>
        <v>#ERROR!</v>
      </c>
      <c r="DE852" s="112" t="str">
        <f t="shared" ref="DE852:DH852" si="4118">+DE849+DE850+DE851</f>
        <v>#ERROR!</v>
      </c>
      <c r="DF852" s="112" t="str">
        <f t="shared" si="4118"/>
        <v>#ERROR!</v>
      </c>
      <c r="DG852" s="146" t="str">
        <f t="shared" si="4118"/>
        <v>#ERROR!</v>
      </c>
      <c r="DH852" s="112" t="str">
        <f t="shared" si="4118"/>
        <v>#ERROR!</v>
      </c>
      <c r="DI852" s="80" t="str">
        <f t="shared" si="4060"/>
        <v>#ERROR!</v>
      </c>
      <c r="DJ852" s="146" t="str">
        <f t="shared" ref="DJ852:DM852" si="4119">+DJ849+DJ850+DJ851</f>
        <v>#ERROR!</v>
      </c>
      <c r="DK852" s="146" t="str">
        <f t="shared" si="4119"/>
        <v>#ERROR!</v>
      </c>
      <c r="DL852" s="146" t="str">
        <f t="shared" si="4119"/>
        <v>#ERROR!</v>
      </c>
      <c r="DM852" s="112" t="str">
        <f t="shared" si="4119"/>
        <v>#ERROR!</v>
      </c>
      <c r="DN852" s="80" t="str">
        <f t="shared" si="4062"/>
        <v>#ERROR!</v>
      </c>
      <c r="DO852" s="112" t="str">
        <f t="shared" ref="DO852:DR852" si="4120">+DO849+DO850+DO851</f>
        <v>#ERROR!</v>
      </c>
      <c r="DP852" s="112" t="str">
        <f t="shared" si="4120"/>
        <v>#ERROR!</v>
      </c>
      <c r="DQ852" s="112" t="str">
        <f t="shared" si="4120"/>
        <v>#ERROR!</v>
      </c>
      <c r="DR852" s="112" t="str">
        <f t="shared" si="4120"/>
        <v>#ERROR!</v>
      </c>
      <c r="DS852" s="80" t="str">
        <f t="shared" si="4064"/>
        <v>#ERROR!</v>
      </c>
      <c r="DT852" s="112" t="str">
        <f t="shared" ref="DT852:DW852" si="4121">+DT849+DT850+DT851</f>
        <v>#ERROR!</v>
      </c>
      <c r="DU852" s="112" t="str">
        <f t="shared" si="4121"/>
        <v>#ERROR!</v>
      </c>
      <c r="DV852" s="112" t="str">
        <f t="shared" si="4121"/>
        <v>#ERROR!</v>
      </c>
      <c r="DW852" s="112" t="str">
        <f t="shared" si="4121"/>
        <v>#ERROR!</v>
      </c>
      <c r="DX852" s="80" t="str">
        <f t="shared" si="4066"/>
        <v>#ERROR!</v>
      </c>
      <c r="DY852" s="112" t="str">
        <f t="shared" ref="DY852:EB852" si="4122">+DY849+DY850+DY851</f>
        <v>#ERROR!</v>
      </c>
      <c r="DZ852" s="112" t="str">
        <f t="shared" si="4122"/>
        <v>#ERROR!</v>
      </c>
      <c r="EA852" s="112" t="str">
        <f t="shared" si="4122"/>
        <v>#ERROR!</v>
      </c>
      <c r="EB852" s="112" t="str">
        <f t="shared" si="4122"/>
        <v>#ERROR!</v>
      </c>
      <c r="EC852" s="80" t="str">
        <f t="shared" si="4068"/>
        <v>#ERROR!</v>
      </c>
      <c r="ED852" s="112" t="str">
        <f t="shared" ref="ED852:EG852" si="4123">+ED849+ED850+ED851</f>
        <v>#ERROR!</v>
      </c>
      <c r="EE852" s="112" t="str">
        <f t="shared" si="4123"/>
        <v>#ERROR!</v>
      </c>
      <c r="EF852" s="112" t="str">
        <f t="shared" si="4123"/>
        <v>#ERROR!</v>
      </c>
      <c r="EG852" s="112" t="str">
        <f t="shared" si="4123"/>
        <v>#ERROR!</v>
      </c>
      <c r="EH852" s="80" t="str">
        <f t="shared" si="4070"/>
        <v>#ERROR!</v>
      </c>
      <c r="EI852" s="110" t="str">
        <f t="shared" ref="EI852:EL852" si="4124">+EI849+EI850+EI851</f>
        <v>#ERROR!</v>
      </c>
      <c r="EJ852" s="112" t="str">
        <f t="shared" si="4124"/>
        <v>#ERROR!</v>
      </c>
      <c r="EK852" s="112" t="str">
        <f t="shared" si="4124"/>
        <v>#ERROR!</v>
      </c>
      <c r="EL852" s="112" t="str">
        <f t="shared" si="4124"/>
        <v>#ERROR!</v>
      </c>
      <c r="EM852" s="80" t="str">
        <f t="shared" si="4072"/>
        <v>#ERROR!</v>
      </c>
      <c r="EN852" s="112" t="str">
        <f t="shared" ref="EN852:EQ852" si="4125">+EN849+EN850+EN851</f>
        <v>#ERROR!</v>
      </c>
      <c r="EO852" s="112" t="str">
        <f t="shared" si="4125"/>
        <v>#ERROR!</v>
      </c>
      <c r="EP852" s="112" t="str">
        <f t="shared" si="4125"/>
        <v>#ERROR!</v>
      </c>
      <c r="EQ852" s="112" t="str">
        <f t="shared" si="4125"/>
        <v>#ERROR!</v>
      </c>
      <c r="ER852" s="80" t="str">
        <f t="shared" si="4074"/>
        <v>#ERROR!</v>
      </c>
      <c r="ES852" s="112" t="str">
        <f t="shared" ref="ES852:EV852" si="4126">+ES849+ES850+ES851</f>
        <v>#ERROR!</v>
      </c>
      <c r="ET852" s="112" t="str">
        <f t="shared" si="4126"/>
        <v>#ERROR!</v>
      </c>
      <c r="EU852" s="112" t="str">
        <f t="shared" si="4126"/>
        <v>#ERROR!</v>
      </c>
      <c r="EV852" s="112" t="str">
        <f t="shared" si="4126"/>
        <v>#ERROR!</v>
      </c>
      <c r="EW852" s="80" t="str">
        <f t="shared" si="4076"/>
        <v>#ERROR!</v>
      </c>
      <c r="EX852" s="112" t="str">
        <f t="shared" ref="EX852:FA852" si="4127">+EX849+EX850+EX851</f>
        <v>#ERROR!</v>
      </c>
      <c r="EY852" s="112" t="str">
        <f t="shared" si="4127"/>
        <v>#ERROR!</v>
      </c>
      <c r="EZ852" s="112" t="str">
        <f t="shared" si="4127"/>
        <v>#ERROR!</v>
      </c>
      <c r="FA852" s="112" t="str">
        <f t="shared" si="4127"/>
        <v>#ERROR!</v>
      </c>
      <c r="FB852" s="80" t="str">
        <f t="shared" si="4078"/>
        <v>#ERROR!</v>
      </c>
      <c r="FC852" s="112" t="str">
        <f t="shared" ref="FC852:FF852" si="4128">+FC849+FC850+FC851</f>
        <v>#ERROR!</v>
      </c>
      <c r="FD852" s="112" t="str">
        <f t="shared" si="4128"/>
        <v>#ERROR!</v>
      </c>
      <c r="FE852" s="112" t="str">
        <f t="shared" si="4128"/>
        <v>#ERROR!</v>
      </c>
      <c r="FF852" s="112" t="str">
        <f t="shared" si="4128"/>
        <v>#ERROR!</v>
      </c>
      <c r="FG852" s="80" t="str">
        <f t="shared" si="4080"/>
        <v>#ERROR!</v>
      </c>
      <c r="FH852" s="146"/>
      <c r="FI852" s="112"/>
      <c r="FJ852" s="112"/>
      <c r="FK852" s="112"/>
      <c r="FL852" s="112"/>
    </row>
    <row r="853" ht="12.75" hidden="1" customHeight="1" outlineLevel="2">
      <c r="A853" s="4"/>
      <c r="B853" s="72" t="s">
        <v>331</v>
      </c>
      <c r="C853" s="4"/>
      <c r="D853" s="17"/>
      <c r="E853" s="17"/>
      <c r="F853" s="17"/>
      <c r="G853" s="17"/>
      <c r="H853" s="112"/>
      <c r="I853" s="17"/>
      <c r="J853" s="17"/>
      <c r="K853" s="17"/>
      <c r="L853" s="17"/>
      <c r="M853" s="112"/>
      <c r="N853" s="17"/>
      <c r="O853" s="17"/>
      <c r="P853" s="17"/>
      <c r="Q853" s="17"/>
      <c r="R853" s="112"/>
      <c r="S853" s="17">
        <v>126.0</v>
      </c>
      <c r="T853" s="17">
        <v>166.0</v>
      </c>
      <c r="U853" s="17">
        <v>206.0</v>
      </c>
      <c r="V853" s="17">
        <v>275.0</v>
      </c>
      <c r="W853" s="112">
        <v>1264.0</v>
      </c>
      <c r="X853" s="17">
        <f>0.07*X12</f>
        <v>559.51</v>
      </c>
      <c r="Y853" s="17">
        <f>+X853*(1+Y889)</f>
        <v>660.2218</v>
      </c>
      <c r="Z853" s="17">
        <v>667.0</v>
      </c>
      <c r="AA853" s="17">
        <v>819.0</v>
      </c>
      <c r="AB853" s="112">
        <v>2669.0</v>
      </c>
      <c r="AC853" s="17">
        <f>1714-AD853-AE853</f>
        <v>695</v>
      </c>
      <c r="AD853" s="17">
        <v>510.0</v>
      </c>
      <c r="AE853" s="17">
        <v>509.0</v>
      </c>
      <c r="AF853" s="17">
        <v>518.0</v>
      </c>
      <c r="AG853" s="112">
        <f t="shared" si="4033"/>
        <v>2232</v>
      </c>
      <c r="AH853" s="17">
        <v>459.0</v>
      </c>
      <c r="AI853" s="17">
        <v>532.0</v>
      </c>
      <c r="AJ853" s="17">
        <v>586.0</v>
      </c>
      <c r="AK853" s="17">
        <v>662.0</v>
      </c>
      <c r="AL853" s="112">
        <f t="shared" si="4034"/>
        <v>2239</v>
      </c>
      <c r="AM853" s="17">
        <v>473.0</v>
      </c>
      <c r="AN853" s="17">
        <v>465.0</v>
      </c>
      <c r="AO853" s="17">
        <v>450.0</v>
      </c>
      <c r="AP853" s="17">
        <v>469.0</v>
      </c>
      <c r="AQ853" s="112">
        <f t="shared" si="4035"/>
        <v>1857</v>
      </c>
      <c r="AR853" s="17"/>
      <c r="AS853" s="17"/>
      <c r="AT853" s="17"/>
      <c r="AU853" s="17"/>
      <c r="AV853" s="112"/>
      <c r="AW853" s="17"/>
      <c r="AX853" s="17"/>
      <c r="AY853" s="17"/>
      <c r="AZ853" s="17"/>
      <c r="BA853" s="112"/>
      <c r="BB853" s="17"/>
      <c r="BC853" s="17"/>
      <c r="BD853" s="17"/>
      <c r="BE853" s="17"/>
      <c r="BF853" s="112"/>
      <c r="BG853" s="17"/>
      <c r="BH853" s="17"/>
      <c r="BI853" s="17"/>
      <c r="BJ853" s="17"/>
      <c r="BK853" s="112"/>
      <c r="BL853" s="17"/>
      <c r="BM853" s="17"/>
      <c r="BN853" s="17"/>
      <c r="BO853" s="17"/>
      <c r="BP853" s="112"/>
      <c r="BQ853" s="17"/>
      <c r="BR853" s="17"/>
      <c r="BS853" s="17"/>
      <c r="BT853" s="17"/>
      <c r="BU853" s="112"/>
      <c r="BV853" s="17"/>
      <c r="BW853" s="17"/>
      <c r="BX853" s="17"/>
      <c r="BY853" s="17"/>
      <c r="BZ853" s="80"/>
      <c r="CA853" s="17"/>
      <c r="CB853" s="17"/>
      <c r="CC853" s="17"/>
      <c r="CD853" s="17"/>
      <c r="CE853" s="80"/>
      <c r="CF853" s="17"/>
      <c r="CG853" s="17"/>
      <c r="CH853" s="17"/>
      <c r="CI853" s="17"/>
      <c r="CJ853" s="80"/>
      <c r="CK853" s="17"/>
      <c r="CL853" s="17"/>
      <c r="CM853" s="17"/>
      <c r="CN853" s="19"/>
      <c r="CO853" s="80"/>
      <c r="CP853" s="19"/>
      <c r="CQ853" s="17"/>
      <c r="CR853" s="17"/>
      <c r="CS853" s="17"/>
      <c r="CT853" s="80"/>
      <c r="CU853" s="17"/>
      <c r="CV853" s="17"/>
      <c r="CW853" s="17"/>
      <c r="CX853" s="17"/>
      <c r="CY853" s="80"/>
      <c r="CZ853" s="17"/>
      <c r="DA853" s="17"/>
      <c r="DB853" s="17"/>
      <c r="DC853" s="17"/>
      <c r="DD853" s="80"/>
      <c r="DE853" s="17"/>
      <c r="DF853" s="17"/>
      <c r="DG853" s="19"/>
      <c r="DH853" s="17"/>
      <c r="DI853" s="80"/>
      <c r="DJ853" s="19"/>
      <c r="DK853" s="19"/>
      <c r="DL853" s="19"/>
      <c r="DM853" s="17"/>
      <c r="DN853" s="80"/>
      <c r="DO853" s="17"/>
      <c r="DP853" s="17"/>
      <c r="DQ853" s="17"/>
      <c r="DR853" s="17"/>
      <c r="DS853" s="80"/>
      <c r="DT853" s="17"/>
      <c r="DU853" s="17"/>
      <c r="DV853" s="17"/>
      <c r="DW853" s="17"/>
      <c r="DX853" s="80"/>
      <c r="DY853" s="17"/>
      <c r="DZ853" s="17"/>
      <c r="EA853" s="17"/>
      <c r="EB853" s="17"/>
      <c r="EC853" s="80"/>
      <c r="ED853" s="17"/>
      <c r="EE853" s="17"/>
      <c r="EF853" s="17"/>
      <c r="EG853" s="17"/>
      <c r="EH853" s="80"/>
      <c r="EI853" s="25"/>
      <c r="EJ853" s="17"/>
      <c r="EK853" s="17"/>
      <c r="EL853" s="17"/>
      <c r="EM853" s="80"/>
      <c r="EN853" s="17"/>
      <c r="EO853" s="17"/>
      <c r="EP853" s="17"/>
      <c r="EQ853" s="17"/>
      <c r="ER853" s="80"/>
      <c r="ES853" s="17"/>
      <c r="ET853" s="17"/>
      <c r="EU853" s="17"/>
      <c r="EV853" s="17"/>
      <c r="EW853" s="80"/>
      <c r="EX853" s="17"/>
      <c r="EY853" s="17"/>
      <c r="EZ853" s="17"/>
      <c r="FA853" s="17"/>
      <c r="FB853" s="80"/>
      <c r="FC853" s="17"/>
      <c r="FD853" s="17"/>
      <c r="FE853" s="17"/>
      <c r="FF853" s="17"/>
      <c r="FG853" s="80"/>
      <c r="FH853" s="146"/>
      <c r="FI853" s="17"/>
      <c r="FJ853" s="17"/>
      <c r="FK853" s="112"/>
      <c r="FL853" s="17"/>
    </row>
    <row r="854" ht="12.75" hidden="1" customHeight="1" outlineLevel="2">
      <c r="A854" s="4"/>
      <c r="B854" s="72" t="s">
        <v>332</v>
      </c>
      <c r="C854" s="4"/>
      <c r="D854" s="17"/>
      <c r="E854" s="17"/>
      <c r="F854" s="17"/>
      <c r="G854" s="17"/>
      <c r="H854" s="112"/>
      <c r="I854" s="17"/>
      <c r="J854" s="17"/>
      <c r="K854" s="17"/>
      <c r="L854" s="17"/>
      <c r="M854" s="112"/>
      <c r="N854" s="17"/>
      <c r="O854" s="17"/>
      <c r="P854" s="17"/>
      <c r="Q854" s="17"/>
      <c r="R854" s="112"/>
      <c r="S854" s="17"/>
      <c r="T854" s="17"/>
      <c r="U854" s="17"/>
      <c r="V854" s="17"/>
      <c r="W854" s="112"/>
      <c r="X854" s="17"/>
      <c r="Y854" s="17"/>
      <c r="Z854" s="17"/>
      <c r="AA854" s="17"/>
      <c r="AB854" s="112"/>
      <c r="AC854" s="17"/>
      <c r="AD854" s="17"/>
      <c r="AE854" s="17"/>
      <c r="AF854" s="17"/>
      <c r="AG854" s="112"/>
      <c r="AH854" s="17"/>
      <c r="AI854" s="17"/>
      <c r="AJ854" s="17"/>
      <c r="AK854" s="17"/>
      <c r="AL854" s="112"/>
      <c r="AM854" s="17">
        <v>409.0</v>
      </c>
      <c r="AN854" s="17">
        <v>411.0</v>
      </c>
      <c r="AO854" s="17">
        <f>1200-AM854-AN854</f>
        <v>380</v>
      </c>
      <c r="AP854" s="17">
        <f>AQ854-SUM(AM854:AO854)</f>
        <v>397</v>
      </c>
      <c r="AQ854" s="112">
        <v>1597.0</v>
      </c>
      <c r="AR854" s="17">
        <f t="shared" ref="AR854:AU854" si="4129">AR753</f>
        <v>417</v>
      </c>
      <c r="AS854" s="17">
        <f t="shared" si="4129"/>
        <v>587</v>
      </c>
      <c r="AT854" s="17">
        <f t="shared" si="4129"/>
        <v>638</v>
      </c>
      <c r="AU854" s="17">
        <f t="shared" si="4129"/>
        <v>643</v>
      </c>
      <c r="AV854" s="112">
        <f t="shared" ref="AV854:AV857" si="4153">+SUM(AR854:AU854)</f>
        <v>2285</v>
      </c>
      <c r="AW854" s="17">
        <f t="shared" ref="AW854:AY854" si="4130">AW753</f>
        <v>578</v>
      </c>
      <c r="AX854" s="17">
        <f t="shared" si="4130"/>
        <v>528</v>
      </c>
      <c r="AY854" s="17">
        <f t="shared" si="4130"/>
        <v>572</v>
      </c>
      <c r="AZ854" s="17">
        <f>AZ757</f>
        <v>600</v>
      </c>
      <c r="BA854" s="112">
        <f t="shared" ref="BA854:BA857" si="4155">+SUM(AW854:AZ854)</f>
        <v>2278</v>
      </c>
      <c r="BB854" s="17">
        <f t="shared" ref="BB854:BE854" si="4131">BB757</f>
        <v>544</v>
      </c>
      <c r="BC854" s="17">
        <f t="shared" si="4131"/>
        <v>536</v>
      </c>
      <c r="BD854" s="17">
        <f t="shared" si="4131"/>
        <v>507</v>
      </c>
      <c r="BE854" s="17">
        <f t="shared" si="4131"/>
        <v>576</v>
      </c>
      <c r="BF854" s="112">
        <f t="shared" ref="BF854:BF857" si="4157">+SUM(BB854:BE854)</f>
        <v>2163</v>
      </c>
      <c r="BG854" s="17">
        <f t="shared" ref="BG854:BJ854" si="4132">BG757</f>
        <v>469</v>
      </c>
      <c r="BH854" s="17">
        <f t="shared" si="4132"/>
        <v>494</v>
      </c>
      <c r="BI854" s="17">
        <f t="shared" si="4132"/>
        <v>553</v>
      </c>
      <c r="BJ854" s="17">
        <f t="shared" si="4132"/>
        <v>586</v>
      </c>
      <c r="BK854" s="112">
        <f t="shared" ref="BK854:BK857" si="4159">+SUM(BG854:BJ854)</f>
        <v>2102</v>
      </c>
      <c r="BL854" s="17">
        <f t="shared" ref="BL854:BO854" si="4133">BL755+BL756</f>
        <v>499</v>
      </c>
      <c r="BM854" s="17">
        <f t="shared" si="4133"/>
        <v>250</v>
      </c>
      <c r="BN854" s="17">
        <f t="shared" si="4133"/>
        <v>185</v>
      </c>
      <c r="BO854" s="17">
        <f t="shared" si="4133"/>
        <v>170</v>
      </c>
      <c r="BP854" s="112">
        <f t="shared" ref="BP854:BP857" si="4160">+SUM(BL854:BO854)</f>
        <v>1104</v>
      </c>
      <c r="BQ854" s="17">
        <f t="shared" ref="BQ854:BT854" si="4134">BQ755+BQ756</f>
        <v>155</v>
      </c>
      <c r="BR854" s="17">
        <f t="shared" si="4134"/>
        <v>193</v>
      </c>
      <c r="BS854" s="17">
        <f t="shared" si="4134"/>
        <v>219</v>
      </c>
      <c r="BT854" s="17">
        <f t="shared" si="4134"/>
        <v>270</v>
      </c>
      <c r="BU854" s="112">
        <f t="shared" ref="BU854:BU857" si="4162">+SUM(BQ854:BT854)</f>
        <v>837</v>
      </c>
      <c r="BV854" s="17">
        <f t="shared" ref="BV854:BY854" si="4135">BV755+BV756</f>
        <v>314.234375</v>
      </c>
      <c r="BW854" s="17">
        <f t="shared" si="4135"/>
        <v>304.8073438</v>
      </c>
      <c r="BX854" s="17">
        <f t="shared" si="4135"/>
        <v>365.7688125</v>
      </c>
      <c r="BY854" s="17">
        <f t="shared" si="4135"/>
        <v>402.3456938</v>
      </c>
      <c r="BZ854" s="80">
        <f t="shared" ref="BZ854:BZ857" si="4164">+SUM(BV854:BY854)</f>
        <v>1387.156225</v>
      </c>
      <c r="CA854" s="17">
        <f t="shared" ref="CA854:CD854" si="4136">CA755+CA756</f>
        <v>341.9938397</v>
      </c>
      <c r="CB854" s="17">
        <f t="shared" si="4136"/>
        <v>331.7340245</v>
      </c>
      <c r="CC854" s="17">
        <f t="shared" si="4136"/>
        <v>398.0808294</v>
      </c>
      <c r="CD854" s="17">
        <f t="shared" si="4136"/>
        <v>437.8889123</v>
      </c>
      <c r="CE854" s="80">
        <f t="shared" ref="CE854:CE857" si="4166">+SUM(CA854:CD854)</f>
        <v>1509.697606</v>
      </c>
      <c r="CF854" s="17">
        <f t="shared" ref="CF854:CI854" si="4137">CF755+CF756</f>
        <v>372.2055755</v>
      </c>
      <c r="CG854" s="17">
        <f t="shared" si="4137"/>
        <v>361.0394082</v>
      </c>
      <c r="CH854" s="17">
        <f t="shared" si="4137"/>
        <v>433.2472899</v>
      </c>
      <c r="CI854" s="17">
        <f t="shared" si="4137"/>
        <v>476.5720189</v>
      </c>
      <c r="CJ854" s="80">
        <f t="shared" ref="CJ854:CJ857" si="4168">+SUM(CF854:CI854)</f>
        <v>1643.064292</v>
      </c>
      <c r="CK854" s="17">
        <f t="shared" ref="CK854:CN854" si="4138">CK755+CK756</f>
        <v>405.086216</v>
      </c>
      <c r="CL854" s="17">
        <f t="shared" si="4138"/>
        <v>392.9336295</v>
      </c>
      <c r="CM854" s="17">
        <f t="shared" si="4138"/>
        <v>471.5203555</v>
      </c>
      <c r="CN854" s="19">
        <f t="shared" si="4138"/>
        <v>518.672391</v>
      </c>
      <c r="CO854" s="80">
        <f t="shared" ref="CO854:CO857" si="4170">+SUM(CK854:CN854)</f>
        <v>1788.212592</v>
      </c>
      <c r="CP854" s="19">
        <f t="shared" ref="CP854:CS854" si="4139">CP755+CP756</f>
        <v>440.8715323</v>
      </c>
      <c r="CQ854" s="17">
        <f t="shared" si="4139"/>
        <v>427.6453864</v>
      </c>
      <c r="CR854" s="17">
        <f t="shared" si="4139"/>
        <v>513.1744637</v>
      </c>
      <c r="CS854" s="17">
        <f t="shared" si="4139"/>
        <v>564.49191</v>
      </c>
      <c r="CT854" s="80">
        <f t="shared" ref="CT854:CT857" si="4172">+SUM(CP854:CS854)</f>
        <v>1946.183292</v>
      </c>
      <c r="CU854" s="17">
        <f t="shared" ref="CU854:CX854" si="4140">CU755+CU756</f>
        <v>479.8181235</v>
      </c>
      <c r="CV854" s="17">
        <f t="shared" si="4140"/>
        <v>465.4235798</v>
      </c>
      <c r="CW854" s="17">
        <f t="shared" si="4140"/>
        <v>558.5082958</v>
      </c>
      <c r="CX854" s="17">
        <f t="shared" si="4140"/>
        <v>614.3591253</v>
      </c>
      <c r="CY854" s="80">
        <f t="shared" ref="CY854:CY857" si="4174">+SUM(CU854:CX854)</f>
        <v>2118.109124</v>
      </c>
      <c r="CZ854" s="17">
        <f t="shared" ref="CZ854:DC854" si="4141">CZ755+CZ756</f>
        <v>522.2052565</v>
      </c>
      <c r="DA854" s="17">
        <f t="shared" si="4141"/>
        <v>506.5390988</v>
      </c>
      <c r="DB854" s="17">
        <f t="shared" si="4141"/>
        <v>607.8469186</v>
      </c>
      <c r="DC854" s="17">
        <f t="shared" si="4141"/>
        <v>668.6316105</v>
      </c>
      <c r="DD854" s="80">
        <f t="shared" ref="DD854:DD857" si="4176">+SUM(CZ854:DC854)</f>
        <v>2305.222884</v>
      </c>
      <c r="DE854" s="17">
        <f t="shared" ref="DE854:DH854" si="4142">DE755+DE756</f>
        <v>568.3368689</v>
      </c>
      <c r="DF854" s="17">
        <f t="shared" si="4142"/>
        <v>551.2867628</v>
      </c>
      <c r="DG854" s="19">
        <f t="shared" si="4142"/>
        <v>661.5441154</v>
      </c>
      <c r="DH854" s="17">
        <f t="shared" si="4142"/>
        <v>727.698527</v>
      </c>
      <c r="DI854" s="80">
        <f t="shared" ref="DI854:DI857" si="4178">+SUM(DE854:DH854)</f>
        <v>2508.866274</v>
      </c>
      <c r="DJ854" s="19">
        <f t="shared" ref="DJ854:DM854" si="4143">DJ755+DJ756</f>
        <v>618.5437479</v>
      </c>
      <c r="DK854" s="19">
        <f t="shared" si="4143"/>
        <v>599.9874355</v>
      </c>
      <c r="DL854" s="19">
        <f t="shared" si="4143"/>
        <v>719.9849226</v>
      </c>
      <c r="DM854" s="17">
        <f t="shared" si="4143"/>
        <v>791.9834148</v>
      </c>
      <c r="DN854" s="80">
        <f t="shared" ref="DN854:DN857" si="4180">+SUM(DJ854:DM854)</f>
        <v>2730.499521</v>
      </c>
      <c r="DO854" s="17">
        <f t="shared" ref="DO854:DR854" si="4144">DO755+DO756</f>
        <v>673.1859026</v>
      </c>
      <c r="DP854" s="17">
        <f t="shared" si="4144"/>
        <v>652.9903255</v>
      </c>
      <c r="DQ854" s="17">
        <f t="shared" si="4144"/>
        <v>783.5883906</v>
      </c>
      <c r="DR854" s="17">
        <f t="shared" si="4144"/>
        <v>861.9472297</v>
      </c>
      <c r="DS854" s="80">
        <f t="shared" ref="DS854:DS857" si="4182">+SUM(DO854:DR854)</f>
        <v>2971.711848</v>
      </c>
      <c r="DT854" s="17">
        <f t="shared" ref="DT854:DW854" si="4145">DT755+DT756</f>
        <v>732.6551452</v>
      </c>
      <c r="DU854" s="17">
        <f t="shared" si="4145"/>
        <v>710.6754909</v>
      </c>
      <c r="DV854" s="17">
        <f t="shared" si="4145"/>
        <v>852.8105891</v>
      </c>
      <c r="DW854" s="17">
        <f t="shared" si="4145"/>
        <v>938.091648</v>
      </c>
      <c r="DX854" s="80">
        <f t="shared" ref="DX854:DX857" si="4184">+SUM(DT854:DW854)</f>
        <v>3234.232873</v>
      </c>
      <c r="DY854" s="17">
        <f t="shared" ref="DY854:EB854" si="4146">DY755+DY756</f>
        <v>797.3779008</v>
      </c>
      <c r="DZ854" s="17">
        <f t="shared" si="4146"/>
        <v>773.4565637</v>
      </c>
      <c r="EA854" s="17">
        <f t="shared" si="4146"/>
        <v>928.1478765</v>
      </c>
      <c r="EB854" s="17">
        <f t="shared" si="4146"/>
        <v>1020.962664</v>
      </c>
      <c r="EC854" s="80">
        <f t="shared" ref="EC854:EC857" si="4186">+SUM(DY854:EB854)</f>
        <v>3519.945005</v>
      </c>
      <c r="ED854" s="17">
        <f t="shared" ref="ED854:EG854" si="4147">ED755+ED756</f>
        <v>867.8182645</v>
      </c>
      <c r="EE854" s="17">
        <f t="shared" si="4147"/>
        <v>841.7837166</v>
      </c>
      <c r="EF854" s="17">
        <f t="shared" si="4147"/>
        <v>1010.14046</v>
      </c>
      <c r="EG854" s="17">
        <f t="shared" si="4147"/>
        <v>1111.154506</v>
      </c>
      <c r="EH854" s="80">
        <f t="shared" ref="EH854:EH857" si="4188">+SUM(ED854:EG854)</f>
        <v>3830.896947</v>
      </c>
      <c r="EI854" s="25">
        <f t="shared" ref="EI854:EL854" si="4148">EI755+EI756</f>
        <v>944.48133</v>
      </c>
      <c r="EJ854" s="17">
        <f t="shared" si="4148"/>
        <v>916.1468901</v>
      </c>
      <c r="EK854" s="17">
        <f t="shared" si="4148"/>
        <v>1099.376268</v>
      </c>
      <c r="EL854" s="17">
        <f t="shared" si="4148"/>
        <v>1209.313895</v>
      </c>
      <c r="EM854" s="80">
        <f t="shared" ref="EM854:EM857" si="4190">+SUM(EI854:EL854)</f>
        <v>4169.318383</v>
      </c>
      <c r="EN854" s="17">
        <f t="shared" ref="EN854:EQ854" si="4149">EN755+EN756</f>
        <v>1027.916811</v>
      </c>
      <c r="EO854" s="17">
        <f t="shared" si="4149"/>
        <v>997.0793064</v>
      </c>
      <c r="EP854" s="17">
        <f t="shared" si="4149"/>
        <v>1196.495168</v>
      </c>
      <c r="EQ854" s="17">
        <f t="shared" si="4149"/>
        <v>1316.144684</v>
      </c>
      <c r="ER854" s="80">
        <f t="shared" ref="ER854:ER857" si="4192">+SUM(EN854:EQ854)</f>
        <v>4537.635969</v>
      </c>
      <c r="ES854" s="17">
        <f t="shared" ref="ES854:EV854" si="4150">ES755+ES756</f>
        <v>1118.722982</v>
      </c>
      <c r="ET854" s="17">
        <f t="shared" si="4150"/>
        <v>1085.161292</v>
      </c>
      <c r="EU854" s="17">
        <f t="shared" si="4150"/>
        <v>1302.193551</v>
      </c>
      <c r="EV854" s="17">
        <f t="shared" si="4150"/>
        <v>1432.412906</v>
      </c>
      <c r="EW854" s="80">
        <f t="shared" ref="EW854:EW857" si="4194">+SUM(ES854:EV854)</f>
        <v>4938.490731</v>
      </c>
      <c r="EX854" s="17">
        <f t="shared" ref="EX854:FA854" si="4151">EX755+EX756</f>
        <v>1217.55097</v>
      </c>
      <c r="EY854" s="17">
        <f t="shared" si="4151"/>
        <v>1181.024441</v>
      </c>
      <c r="EZ854" s="17">
        <f t="shared" si="4151"/>
        <v>1417.229329</v>
      </c>
      <c r="FA854" s="17">
        <f t="shared" si="4151"/>
        <v>1558.952262</v>
      </c>
      <c r="FB854" s="80">
        <f t="shared" ref="FB854:FB857" si="4196">+SUM(EX854:FA854)</f>
        <v>5374.757002</v>
      </c>
      <c r="FC854" s="17">
        <f t="shared" ref="FC854:FF854" si="4152">FC755+FC756</f>
        <v>1325.109423</v>
      </c>
      <c r="FD854" s="17">
        <f t="shared" si="4152"/>
        <v>1285.35614</v>
      </c>
      <c r="FE854" s="17">
        <f t="shared" si="4152"/>
        <v>1542.427368</v>
      </c>
      <c r="FF854" s="17">
        <f t="shared" si="4152"/>
        <v>1696.670105</v>
      </c>
      <c r="FG854" s="80">
        <f t="shared" ref="FG854:FG857" si="4198">+SUM(FC854:FF854)</f>
        <v>5849.563035</v>
      </c>
      <c r="FH854" s="146"/>
      <c r="FI854" s="17"/>
      <c r="FJ854" s="17"/>
      <c r="FK854" s="112"/>
      <c r="FL854" s="17"/>
    </row>
    <row r="855" ht="12.75" hidden="1" customHeight="1" outlineLevel="2">
      <c r="A855" s="4"/>
      <c r="B855" s="72" t="s">
        <v>333</v>
      </c>
      <c r="C855" s="4"/>
      <c r="D855" s="17"/>
      <c r="E855" s="17"/>
      <c r="F855" s="17"/>
      <c r="G855" s="17"/>
      <c r="H855" s="112"/>
      <c r="I855" s="17"/>
      <c r="J855" s="17"/>
      <c r="K855" s="17"/>
      <c r="L855" s="17"/>
      <c r="M855" s="112"/>
      <c r="N855" s="17"/>
      <c r="O855" s="17"/>
      <c r="P855" s="17"/>
      <c r="Q855" s="17"/>
      <c r="R855" s="112"/>
      <c r="S855" s="17"/>
      <c r="T855" s="17"/>
      <c r="U855" s="17"/>
      <c r="V855" s="17"/>
      <c r="W855" s="112">
        <v>2380.0</v>
      </c>
      <c r="X855" s="17">
        <v>550.0</v>
      </c>
      <c r="Y855" s="17">
        <f>+X855*(1+Y891)</f>
        <v>671</v>
      </c>
      <c r="Z855" s="17">
        <v>948.0</v>
      </c>
      <c r="AA855" s="17">
        <v>924.0</v>
      </c>
      <c r="AB855" s="112">
        <v>3483.0</v>
      </c>
      <c r="AC855" s="17">
        <f>1990-AD855-AE855</f>
        <v>775</v>
      </c>
      <c r="AD855" s="17">
        <v>635.0</v>
      </c>
      <c r="AE855" s="17">
        <v>580.0</v>
      </c>
      <c r="AF855" s="17">
        <v>590.0</v>
      </c>
      <c r="AG855" s="112">
        <f t="shared" ref="AG855:AG857" si="4200">+SUM(AC855:AF855)</f>
        <v>2580</v>
      </c>
      <c r="AH855" s="17">
        <v>518.0</v>
      </c>
      <c r="AI855" s="17">
        <v>536.0</v>
      </c>
      <c r="AJ855" s="17">
        <v>482.0</v>
      </c>
      <c r="AK855" s="17">
        <v>544.0</v>
      </c>
      <c r="AL855" s="112">
        <f t="shared" ref="AL855:AL857" si="4201">+SUM(AH855:AK855)</f>
        <v>2080</v>
      </c>
      <c r="AM855" s="17">
        <v>503.0</v>
      </c>
      <c r="AN855" s="17">
        <v>508.0</v>
      </c>
      <c r="AO855" s="17">
        <v>544.0</v>
      </c>
      <c r="AP855" s="17">
        <v>592.0</v>
      </c>
      <c r="AQ855" s="112">
        <f t="shared" ref="AQ855:AQ857" si="4202">+SUM(AM855:AP855)</f>
        <v>2147</v>
      </c>
      <c r="AR855" s="17">
        <f>1065-AR854</f>
        <v>648</v>
      </c>
      <c r="AS855" s="17">
        <f>1271-AS854</f>
        <v>684</v>
      </c>
      <c r="AT855" s="17">
        <f>1327-AT854</f>
        <v>689</v>
      </c>
      <c r="AU855" s="17">
        <f>1364-AU854</f>
        <v>721</v>
      </c>
      <c r="AV855" s="112">
        <f t="shared" si="4153"/>
        <v>2742</v>
      </c>
      <c r="AW855" s="17" t="str">
        <f t="shared" ref="AW855:AZ855" si="4154">AW749*0.2+AW752*0.4+AW746+AW762-AW856</f>
        <v>#ERROR!</v>
      </c>
      <c r="AX855" s="17" t="str">
        <f t="shared" si="4154"/>
        <v>#ERROR!</v>
      </c>
      <c r="AY855" s="17" t="str">
        <f t="shared" si="4154"/>
        <v>#ERROR!</v>
      </c>
      <c r="AZ855" s="17" t="str">
        <f t="shared" si="4154"/>
        <v>#ERROR!</v>
      </c>
      <c r="BA855" s="112" t="str">
        <f t="shared" si="4155"/>
        <v>#ERROR!</v>
      </c>
      <c r="BB855" s="17" t="str">
        <f>BB749*0.2+BB752*0.4+BB746+BB759-BB856</f>
        <v>#ERROR!</v>
      </c>
      <c r="BC855" s="17" t="str">
        <f t="shared" ref="BC855:BD855" si="4156">BC749*0.2+BC752*0.5+BC746+BC759-BC856</f>
        <v>#ERROR!</v>
      </c>
      <c r="BD855" s="17" t="str">
        <f t="shared" si="4156"/>
        <v>#ERROR!</v>
      </c>
      <c r="BE855" s="17" t="str">
        <f>BE749*0.2+BE752*0.4+BE746+BE759-BE856</f>
        <v>#ERROR!</v>
      </c>
      <c r="BF855" s="112" t="str">
        <f t="shared" si="4157"/>
        <v>#ERROR!</v>
      </c>
      <c r="BG855" s="17" t="str">
        <f>BG749*0.2+BG746+BG752*0.25+BG759-BG856</f>
        <v>#ERROR!</v>
      </c>
      <c r="BH855" s="17" t="str">
        <f t="shared" ref="BH855:BJ855" si="4158">BH749*0.2+BH746+BH752*0.2+BH759-BH856</f>
        <v>#ERROR!</v>
      </c>
      <c r="BI855" s="17" t="str">
        <f t="shared" si="4158"/>
        <v>#ERROR!</v>
      </c>
      <c r="BJ855" s="17" t="str">
        <f t="shared" si="4158"/>
        <v>#ERROR!</v>
      </c>
      <c r="BK855" s="112" t="str">
        <f t="shared" si="4159"/>
        <v>#ERROR!</v>
      </c>
      <c r="BL855" s="17" t="str">
        <f>BL749*0.15+BL746+BL752*0.15+BL759-BL856</f>
        <v>#ERROR!</v>
      </c>
      <c r="BM855" s="17" t="str">
        <f>BM749*0.15+BM746+BM752*0.2+BM759-BM856++BM758</f>
        <v>#ERROR!</v>
      </c>
      <c r="BN855" s="17" t="str">
        <f>BN749*0.25+BN746+BN752*0.2+BN759-BN856++BN758</f>
        <v>#ERROR!</v>
      </c>
      <c r="BO855" s="17" t="str">
        <f>BO749*0.2+BO746+BO752*0.2+BO759-BO856++BO758</f>
        <v>#ERROR!</v>
      </c>
      <c r="BP855" s="112" t="str">
        <f t="shared" si="4160"/>
        <v>#ERROR!</v>
      </c>
      <c r="BQ855" s="17" t="str">
        <f t="shared" ref="BQ855:BT855" si="4161">BQ749*0.2+BQ746+BQ752*0.2+BQ759-BQ856+BQ758</f>
        <v>#ERROR!</v>
      </c>
      <c r="BR855" s="17" t="str">
        <f t="shared" si="4161"/>
        <v>#ERROR!</v>
      </c>
      <c r="BS855" s="17">
        <f t="shared" si="4161"/>
        <v>570.4</v>
      </c>
      <c r="BT855" s="17" t="str">
        <f t="shared" si="4161"/>
        <v>#ERROR!</v>
      </c>
      <c r="BU855" s="112" t="str">
        <f t="shared" si="4162"/>
        <v>#ERROR!</v>
      </c>
      <c r="BV855" s="17" t="str">
        <f t="shared" ref="BV855:BY855" si="4163">BV749*0.2+BV746+BV752*0.2+BV759-BV856+BV758</f>
        <v>#ERROR!</v>
      </c>
      <c r="BW855" s="17" t="str">
        <f t="shared" si="4163"/>
        <v>#ERROR!</v>
      </c>
      <c r="BX855" s="17" t="str">
        <f t="shared" si="4163"/>
        <v>#ERROR!</v>
      </c>
      <c r="BY855" s="17" t="str">
        <f t="shared" si="4163"/>
        <v>#ERROR!</v>
      </c>
      <c r="BZ855" s="80" t="str">
        <f t="shared" si="4164"/>
        <v>#ERROR!</v>
      </c>
      <c r="CA855" s="17" t="str">
        <f t="shared" ref="CA855:CD855" si="4165">CA749*0.2+CA746+CA752*0.2+CA759-CA856+CA758</f>
        <v>#ERROR!</v>
      </c>
      <c r="CB855" s="17" t="str">
        <f t="shared" si="4165"/>
        <v>#ERROR!</v>
      </c>
      <c r="CC855" s="17" t="str">
        <f t="shared" si="4165"/>
        <v>#ERROR!</v>
      </c>
      <c r="CD855" s="17" t="str">
        <f t="shared" si="4165"/>
        <v>#ERROR!</v>
      </c>
      <c r="CE855" s="80" t="str">
        <f t="shared" si="4166"/>
        <v>#ERROR!</v>
      </c>
      <c r="CF855" s="17" t="str">
        <f t="shared" ref="CF855:CI855" si="4167">CF749*0.2+CF746+CF752*0.2+CF759-CF856+CF758</f>
        <v>#ERROR!</v>
      </c>
      <c r="CG855" s="17" t="str">
        <f t="shared" si="4167"/>
        <v>#ERROR!</v>
      </c>
      <c r="CH855" s="17" t="str">
        <f t="shared" si="4167"/>
        <v>#ERROR!</v>
      </c>
      <c r="CI855" s="17" t="str">
        <f t="shared" si="4167"/>
        <v>#ERROR!</v>
      </c>
      <c r="CJ855" s="80" t="str">
        <f t="shared" si="4168"/>
        <v>#ERROR!</v>
      </c>
      <c r="CK855" s="17" t="str">
        <f t="shared" ref="CK855:CN855" si="4169">CK749*0.2+CK746+CK752*0.2+CK759-CK856+CK758</f>
        <v>#ERROR!</v>
      </c>
      <c r="CL855" s="17" t="str">
        <f t="shared" si="4169"/>
        <v>#ERROR!</v>
      </c>
      <c r="CM855" s="17" t="str">
        <f t="shared" si="4169"/>
        <v>#ERROR!</v>
      </c>
      <c r="CN855" s="19" t="str">
        <f t="shared" si="4169"/>
        <v>#ERROR!</v>
      </c>
      <c r="CO855" s="80" t="str">
        <f t="shared" si="4170"/>
        <v>#ERROR!</v>
      </c>
      <c r="CP855" s="19" t="str">
        <f t="shared" ref="CP855:CS855" si="4171">CP749*0.2+CP746+CP752*0.2+CP759-CP856+CP758</f>
        <v>#ERROR!</v>
      </c>
      <c r="CQ855" s="17" t="str">
        <f t="shared" si="4171"/>
        <v>#ERROR!</v>
      </c>
      <c r="CR855" s="17" t="str">
        <f t="shared" si="4171"/>
        <v>#ERROR!</v>
      </c>
      <c r="CS855" s="17" t="str">
        <f t="shared" si="4171"/>
        <v>#ERROR!</v>
      </c>
      <c r="CT855" s="80" t="str">
        <f t="shared" si="4172"/>
        <v>#ERROR!</v>
      </c>
      <c r="CU855" s="17" t="str">
        <f t="shared" ref="CU855:CX855" si="4173">CU749*0.2+CU746+CU752*0.2+CU759-CU856+CU758</f>
        <v>#ERROR!</v>
      </c>
      <c r="CV855" s="17" t="str">
        <f t="shared" si="4173"/>
        <v>#ERROR!</v>
      </c>
      <c r="CW855" s="17" t="str">
        <f t="shared" si="4173"/>
        <v>#ERROR!</v>
      </c>
      <c r="CX855" s="17" t="str">
        <f t="shared" si="4173"/>
        <v>#ERROR!</v>
      </c>
      <c r="CY855" s="80" t="str">
        <f t="shared" si="4174"/>
        <v>#ERROR!</v>
      </c>
      <c r="CZ855" s="17" t="str">
        <f t="shared" ref="CZ855:DC855" si="4175">CZ749*0.2+CZ746+CZ752*0.2+CZ759-CZ856+CZ758</f>
        <v>#ERROR!</v>
      </c>
      <c r="DA855" s="17" t="str">
        <f t="shared" si="4175"/>
        <v>#ERROR!</v>
      </c>
      <c r="DB855" s="17" t="str">
        <f t="shared" si="4175"/>
        <v>#ERROR!</v>
      </c>
      <c r="DC855" s="17" t="str">
        <f t="shared" si="4175"/>
        <v>#ERROR!</v>
      </c>
      <c r="DD855" s="80" t="str">
        <f t="shared" si="4176"/>
        <v>#ERROR!</v>
      </c>
      <c r="DE855" s="17" t="str">
        <f t="shared" ref="DE855:DH855" si="4177">DE749*0.2+DE746+DE752*0.2+DE759-DE856+DE758</f>
        <v>#ERROR!</v>
      </c>
      <c r="DF855" s="17" t="str">
        <f t="shared" si="4177"/>
        <v>#ERROR!</v>
      </c>
      <c r="DG855" s="19" t="str">
        <f t="shared" si="4177"/>
        <v>#ERROR!</v>
      </c>
      <c r="DH855" s="17" t="str">
        <f t="shared" si="4177"/>
        <v>#ERROR!</v>
      </c>
      <c r="DI855" s="80" t="str">
        <f t="shared" si="4178"/>
        <v>#ERROR!</v>
      </c>
      <c r="DJ855" s="19" t="str">
        <f t="shared" ref="DJ855:DM855" si="4179">DJ749*0.2+DJ746+DJ752*0.2+DJ759-DJ856+DJ758</f>
        <v>#ERROR!</v>
      </c>
      <c r="DK855" s="19" t="str">
        <f t="shared" si="4179"/>
        <v>#ERROR!</v>
      </c>
      <c r="DL855" s="19" t="str">
        <f t="shared" si="4179"/>
        <v>#ERROR!</v>
      </c>
      <c r="DM855" s="17" t="str">
        <f t="shared" si="4179"/>
        <v>#ERROR!</v>
      </c>
      <c r="DN855" s="80" t="str">
        <f t="shared" si="4180"/>
        <v>#ERROR!</v>
      </c>
      <c r="DO855" s="17" t="str">
        <f t="shared" ref="DO855:DR855" si="4181">DO749*0.2+DO746+DO752*0.2+DO759-DO856+DO758</f>
        <v>#ERROR!</v>
      </c>
      <c r="DP855" s="17" t="str">
        <f t="shared" si="4181"/>
        <v>#ERROR!</v>
      </c>
      <c r="DQ855" s="17" t="str">
        <f t="shared" si="4181"/>
        <v>#ERROR!</v>
      </c>
      <c r="DR855" s="17" t="str">
        <f t="shared" si="4181"/>
        <v>#ERROR!</v>
      </c>
      <c r="DS855" s="80" t="str">
        <f t="shared" si="4182"/>
        <v>#ERROR!</v>
      </c>
      <c r="DT855" s="17" t="str">
        <f t="shared" ref="DT855:DW855" si="4183">DT749*0.2+DT746+DT752*0.2+DT759-DT856+DT758</f>
        <v>#ERROR!</v>
      </c>
      <c r="DU855" s="17" t="str">
        <f t="shared" si="4183"/>
        <v>#ERROR!</v>
      </c>
      <c r="DV855" s="17" t="str">
        <f t="shared" si="4183"/>
        <v>#ERROR!</v>
      </c>
      <c r="DW855" s="17" t="str">
        <f t="shared" si="4183"/>
        <v>#ERROR!</v>
      </c>
      <c r="DX855" s="80" t="str">
        <f t="shared" si="4184"/>
        <v>#ERROR!</v>
      </c>
      <c r="DY855" s="17" t="str">
        <f t="shared" ref="DY855:EB855" si="4185">DY749*0.2+DY746+DY752*0.2+DY759-DY856+DY758</f>
        <v>#ERROR!</v>
      </c>
      <c r="DZ855" s="17" t="str">
        <f t="shared" si="4185"/>
        <v>#ERROR!</v>
      </c>
      <c r="EA855" s="17" t="str">
        <f t="shared" si="4185"/>
        <v>#ERROR!</v>
      </c>
      <c r="EB855" s="17" t="str">
        <f t="shared" si="4185"/>
        <v>#ERROR!</v>
      </c>
      <c r="EC855" s="80" t="str">
        <f t="shared" si="4186"/>
        <v>#ERROR!</v>
      </c>
      <c r="ED855" s="17" t="str">
        <f t="shared" ref="ED855:EG855" si="4187">ED749*0.2+ED746+ED752*0.2+ED759-ED856+ED758</f>
        <v>#ERROR!</v>
      </c>
      <c r="EE855" s="17" t="str">
        <f t="shared" si="4187"/>
        <v>#ERROR!</v>
      </c>
      <c r="EF855" s="17" t="str">
        <f t="shared" si="4187"/>
        <v>#ERROR!</v>
      </c>
      <c r="EG855" s="17" t="str">
        <f t="shared" si="4187"/>
        <v>#ERROR!</v>
      </c>
      <c r="EH855" s="80" t="str">
        <f t="shared" si="4188"/>
        <v>#ERROR!</v>
      </c>
      <c r="EI855" s="25" t="str">
        <f t="shared" ref="EI855:EL855" si="4189">EI749*0.2+EI746+EI752*0.2+EI759-EI856+EI758</f>
        <v>#ERROR!</v>
      </c>
      <c r="EJ855" s="17" t="str">
        <f t="shared" si="4189"/>
        <v>#ERROR!</v>
      </c>
      <c r="EK855" s="17" t="str">
        <f t="shared" si="4189"/>
        <v>#ERROR!</v>
      </c>
      <c r="EL855" s="17" t="str">
        <f t="shared" si="4189"/>
        <v>#ERROR!</v>
      </c>
      <c r="EM855" s="80" t="str">
        <f t="shared" si="4190"/>
        <v>#ERROR!</v>
      </c>
      <c r="EN855" s="17" t="str">
        <f t="shared" ref="EN855:EQ855" si="4191">EN749*0.2+EN746+EN752*0.2+EN759-EN856+EN758</f>
        <v>#ERROR!</v>
      </c>
      <c r="EO855" s="17" t="str">
        <f t="shared" si="4191"/>
        <v>#ERROR!</v>
      </c>
      <c r="EP855" s="17" t="str">
        <f t="shared" si="4191"/>
        <v>#ERROR!</v>
      </c>
      <c r="EQ855" s="17" t="str">
        <f t="shared" si="4191"/>
        <v>#ERROR!</v>
      </c>
      <c r="ER855" s="80" t="str">
        <f t="shared" si="4192"/>
        <v>#ERROR!</v>
      </c>
      <c r="ES855" s="17" t="str">
        <f t="shared" ref="ES855:EV855" si="4193">ES749*0.2+ES746+ES752*0.2+ES759-ES856+ES758</f>
        <v>#ERROR!</v>
      </c>
      <c r="ET855" s="17" t="str">
        <f t="shared" si="4193"/>
        <v>#ERROR!</v>
      </c>
      <c r="EU855" s="17" t="str">
        <f t="shared" si="4193"/>
        <v>#ERROR!</v>
      </c>
      <c r="EV855" s="17" t="str">
        <f t="shared" si="4193"/>
        <v>#ERROR!</v>
      </c>
      <c r="EW855" s="80" t="str">
        <f t="shared" si="4194"/>
        <v>#ERROR!</v>
      </c>
      <c r="EX855" s="17" t="str">
        <f t="shared" ref="EX855:FA855" si="4195">EX749*0.2+EX746+EX752*0.2+EX759-EX856+EX758</f>
        <v>#ERROR!</v>
      </c>
      <c r="EY855" s="17" t="str">
        <f t="shared" si="4195"/>
        <v>#ERROR!</v>
      </c>
      <c r="EZ855" s="17" t="str">
        <f t="shared" si="4195"/>
        <v>#ERROR!</v>
      </c>
      <c r="FA855" s="17" t="str">
        <f t="shared" si="4195"/>
        <v>#ERROR!</v>
      </c>
      <c r="FB855" s="80" t="str">
        <f t="shared" si="4196"/>
        <v>#ERROR!</v>
      </c>
      <c r="FC855" s="17" t="str">
        <f t="shared" ref="FC855:FF855" si="4197">FC749*0.2+FC746+FC752*0.2+FC759-FC856+FC758</f>
        <v>#ERROR!</v>
      </c>
      <c r="FD855" s="17" t="str">
        <f t="shared" si="4197"/>
        <v>#ERROR!</v>
      </c>
      <c r="FE855" s="17" t="str">
        <f t="shared" si="4197"/>
        <v>#ERROR!</v>
      </c>
      <c r="FF855" s="17" t="str">
        <f t="shared" si="4197"/>
        <v>#ERROR!</v>
      </c>
      <c r="FG855" s="80" t="str">
        <f t="shared" si="4198"/>
        <v>#ERROR!</v>
      </c>
      <c r="FH855" s="146"/>
      <c r="FI855" s="17"/>
      <c r="FJ855" s="17"/>
      <c r="FK855" s="112"/>
      <c r="FL855" s="17"/>
    </row>
    <row r="856" ht="12.75" hidden="1" customHeight="1" outlineLevel="2">
      <c r="A856" s="4"/>
      <c r="B856" s="72" t="s">
        <v>334</v>
      </c>
      <c r="C856" s="4"/>
      <c r="D856" s="17"/>
      <c r="E856" s="17"/>
      <c r="F856" s="17"/>
      <c r="G856" s="17"/>
      <c r="H856" s="112"/>
      <c r="I856" s="17"/>
      <c r="J856" s="17"/>
      <c r="K856" s="17"/>
      <c r="L856" s="17"/>
      <c r="M856" s="112"/>
      <c r="N856" s="17"/>
      <c r="O856" s="17"/>
      <c r="P856" s="17"/>
      <c r="Q856" s="17"/>
      <c r="R856" s="112"/>
      <c r="S856" s="17"/>
      <c r="T856" s="17"/>
      <c r="U856" s="17"/>
      <c r="V856" s="17"/>
      <c r="W856" s="112">
        <v>282.0</v>
      </c>
      <c r="X856" s="17">
        <f t="shared" ref="X856:Y856" si="4199">+X857-X853-X855</f>
        <v>302.49</v>
      </c>
      <c r="Y856" s="17">
        <f t="shared" si="4199"/>
        <v>209.7782</v>
      </c>
      <c r="Z856" s="17">
        <v>77.0</v>
      </c>
      <c r="AA856" s="17">
        <f>+AA857-AA853-AA855</f>
        <v>108</v>
      </c>
      <c r="AB856" s="112">
        <v>273.0</v>
      </c>
      <c r="AC856" s="17">
        <f>199-AD856-AE856</f>
        <v>74</v>
      </c>
      <c r="AD856" s="17">
        <v>62.0</v>
      </c>
      <c r="AE856" s="17">
        <v>63.0</v>
      </c>
      <c r="AF856" s="17">
        <v>82.0</v>
      </c>
      <c r="AG856" s="112">
        <f t="shared" si="4200"/>
        <v>281</v>
      </c>
      <c r="AH856" s="17">
        <v>36.0</v>
      </c>
      <c r="AI856" s="17">
        <v>38.0</v>
      </c>
      <c r="AJ856" s="17">
        <v>29.0</v>
      </c>
      <c r="AK856" s="17">
        <v>26.0</v>
      </c>
      <c r="AL856" s="112">
        <f t="shared" si="4201"/>
        <v>129</v>
      </c>
      <c r="AM856" s="17">
        <v>15.0</v>
      </c>
      <c r="AN856" s="17">
        <v>10.0</v>
      </c>
      <c r="AO856" s="17">
        <v>1.0</v>
      </c>
      <c r="AP856" s="17">
        <v>9.0</v>
      </c>
      <c r="AQ856" s="112">
        <f t="shared" si="4202"/>
        <v>35</v>
      </c>
      <c r="AR856" s="17">
        <v>1.0</v>
      </c>
      <c r="AS856" s="17">
        <v>4.0</v>
      </c>
      <c r="AT856" s="17">
        <v>6.0</v>
      </c>
      <c r="AU856" s="17">
        <v>4.0</v>
      </c>
      <c r="AV856" s="112">
        <f t="shared" si="4153"/>
        <v>15</v>
      </c>
      <c r="AW856" s="17">
        <f t="shared" ref="AW856:AZ856" si="4203">AV856</f>
        <v>15</v>
      </c>
      <c r="AX856" s="17">
        <f t="shared" si="4203"/>
        <v>15</v>
      </c>
      <c r="AY856" s="17">
        <f t="shared" si="4203"/>
        <v>15</v>
      </c>
      <c r="AZ856" s="17">
        <f t="shared" si="4203"/>
        <v>15</v>
      </c>
      <c r="BA856" s="112">
        <f t="shared" si="4155"/>
        <v>60</v>
      </c>
      <c r="BB856" s="17">
        <f>AZ856</f>
        <v>15</v>
      </c>
      <c r="BC856" s="17">
        <f t="shared" ref="BC856:BE856" si="4204">BB856</f>
        <v>15</v>
      </c>
      <c r="BD856" s="17">
        <f t="shared" si="4204"/>
        <v>15</v>
      </c>
      <c r="BE856" s="17">
        <f t="shared" si="4204"/>
        <v>15</v>
      </c>
      <c r="BF856" s="112">
        <f t="shared" si="4157"/>
        <v>60</v>
      </c>
      <c r="BG856" s="17">
        <f>BE856</f>
        <v>15</v>
      </c>
      <c r="BH856" s="17">
        <f t="shared" ref="BH856:BJ856" si="4205">BG856</f>
        <v>15</v>
      </c>
      <c r="BI856" s="17">
        <f t="shared" si="4205"/>
        <v>15</v>
      </c>
      <c r="BJ856" s="17">
        <f t="shared" si="4205"/>
        <v>15</v>
      </c>
      <c r="BK856" s="112">
        <f t="shared" si="4159"/>
        <v>60</v>
      </c>
      <c r="BL856" s="17">
        <f>BJ856</f>
        <v>15</v>
      </c>
      <c r="BM856" s="17">
        <f t="shared" ref="BM856:BO856" si="4206">BL856</f>
        <v>15</v>
      </c>
      <c r="BN856" s="17">
        <f t="shared" si="4206"/>
        <v>15</v>
      </c>
      <c r="BO856" s="17">
        <f t="shared" si="4206"/>
        <v>15</v>
      </c>
      <c r="BP856" s="112">
        <f t="shared" si="4160"/>
        <v>60</v>
      </c>
      <c r="BQ856" s="17">
        <f>BO856</f>
        <v>15</v>
      </c>
      <c r="BR856" s="17">
        <f t="shared" ref="BR856:BT856" si="4207">BQ856</f>
        <v>15</v>
      </c>
      <c r="BS856" s="17">
        <f t="shared" si="4207"/>
        <v>15</v>
      </c>
      <c r="BT856" s="17">
        <f t="shared" si="4207"/>
        <v>15</v>
      </c>
      <c r="BU856" s="112">
        <f t="shared" si="4162"/>
        <v>60</v>
      </c>
      <c r="BV856" s="17">
        <f>BT856</f>
        <v>15</v>
      </c>
      <c r="BW856" s="17">
        <f t="shared" ref="BW856:BY856" si="4208">BV856</f>
        <v>15</v>
      </c>
      <c r="BX856" s="17">
        <f t="shared" si="4208"/>
        <v>15</v>
      </c>
      <c r="BY856" s="17">
        <f t="shared" si="4208"/>
        <v>15</v>
      </c>
      <c r="BZ856" s="80">
        <f t="shared" si="4164"/>
        <v>60</v>
      </c>
      <c r="CA856" s="17">
        <f>BY856</f>
        <v>15</v>
      </c>
      <c r="CB856" s="17">
        <f t="shared" ref="CB856:CD856" si="4209">CA856</f>
        <v>15</v>
      </c>
      <c r="CC856" s="17">
        <f t="shared" si="4209"/>
        <v>15</v>
      </c>
      <c r="CD856" s="17">
        <f t="shared" si="4209"/>
        <v>15</v>
      </c>
      <c r="CE856" s="80">
        <f t="shared" si="4166"/>
        <v>60</v>
      </c>
      <c r="CF856" s="17">
        <f>CD856</f>
        <v>15</v>
      </c>
      <c r="CG856" s="17">
        <f t="shared" ref="CG856:CI856" si="4210">CF856</f>
        <v>15</v>
      </c>
      <c r="CH856" s="17">
        <f t="shared" si="4210"/>
        <v>15</v>
      </c>
      <c r="CI856" s="17">
        <f t="shared" si="4210"/>
        <v>15</v>
      </c>
      <c r="CJ856" s="80">
        <f t="shared" si="4168"/>
        <v>60</v>
      </c>
      <c r="CK856" s="17">
        <f>CI856</f>
        <v>15</v>
      </c>
      <c r="CL856" s="17">
        <f t="shared" ref="CL856:CN856" si="4211">CK856</f>
        <v>15</v>
      </c>
      <c r="CM856" s="17">
        <f t="shared" si="4211"/>
        <v>15</v>
      </c>
      <c r="CN856" s="19">
        <f t="shared" si="4211"/>
        <v>15</v>
      </c>
      <c r="CO856" s="80">
        <f t="shared" si="4170"/>
        <v>60</v>
      </c>
      <c r="CP856" s="19">
        <f>CN856</f>
        <v>15</v>
      </c>
      <c r="CQ856" s="17">
        <f t="shared" ref="CQ856:CS856" si="4212">CP856</f>
        <v>15</v>
      </c>
      <c r="CR856" s="17">
        <f t="shared" si="4212"/>
        <v>15</v>
      </c>
      <c r="CS856" s="17">
        <f t="shared" si="4212"/>
        <v>15</v>
      </c>
      <c r="CT856" s="80">
        <f t="shared" si="4172"/>
        <v>60</v>
      </c>
      <c r="CU856" s="17">
        <f>CS856</f>
        <v>15</v>
      </c>
      <c r="CV856" s="17">
        <f t="shared" ref="CV856:CX856" si="4213">CU856</f>
        <v>15</v>
      </c>
      <c r="CW856" s="17">
        <f t="shared" si="4213"/>
        <v>15</v>
      </c>
      <c r="CX856" s="17">
        <f t="shared" si="4213"/>
        <v>15</v>
      </c>
      <c r="CY856" s="80">
        <f t="shared" si="4174"/>
        <v>60</v>
      </c>
      <c r="CZ856" s="17">
        <f>CX856</f>
        <v>15</v>
      </c>
      <c r="DA856" s="17">
        <f t="shared" ref="DA856:DC856" si="4214">CZ856</f>
        <v>15</v>
      </c>
      <c r="DB856" s="17">
        <f t="shared" si="4214"/>
        <v>15</v>
      </c>
      <c r="DC856" s="17">
        <f t="shared" si="4214"/>
        <v>15</v>
      </c>
      <c r="DD856" s="80">
        <f t="shared" si="4176"/>
        <v>60</v>
      </c>
      <c r="DE856" s="17">
        <f>DC856</f>
        <v>15</v>
      </c>
      <c r="DF856" s="17">
        <f t="shared" ref="DF856:DH856" si="4215">DE856</f>
        <v>15</v>
      </c>
      <c r="DG856" s="19">
        <f t="shared" si="4215"/>
        <v>15</v>
      </c>
      <c r="DH856" s="17">
        <f t="shared" si="4215"/>
        <v>15</v>
      </c>
      <c r="DI856" s="80">
        <f t="shared" si="4178"/>
        <v>60</v>
      </c>
      <c r="DJ856" s="19">
        <f>DH856</f>
        <v>15</v>
      </c>
      <c r="DK856" s="19">
        <f t="shared" ref="DK856:DM856" si="4216">DJ856</f>
        <v>15</v>
      </c>
      <c r="DL856" s="19">
        <f t="shared" si="4216"/>
        <v>15</v>
      </c>
      <c r="DM856" s="17">
        <f t="shared" si="4216"/>
        <v>15</v>
      </c>
      <c r="DN856" s="80">
        <f t="shared" si="4180"/>
        <v>60</v>
      </c>
      <c r="DO856" s="17">
        <f>DM856</f>
        <v>15</v>
      </c>
      <c r="DP856" s="17">
        <f t="shared" ref="DP856:DR856" si="4217">DO856</f>
        <v>15</v>
      </c>
      <c r="DQ856" s="17">
        <f t="shared" si="4217"/>
        <v>15</v>
      </c>
      <c r="DR856" s="17">
        <f t="shared" si="4217"/>
        <v>15</v>
      </c>
      <c r="DS856" s="80">
        <f t="shared" si="4182"/>
        <v>60</v>
      </c>
      <c r="DT856" s="17">
        <f>DR856</f>
        <v>15</v>
      </c>
      <c r="DU856" s="17">
        <f t="shared" ref="DU856:DW856" si="4218">DT856</f>
        <v>15</v>
      </c>
      <c r="DV856" s="17">
        <f t="shared" si="4218"/>
        <v>15</v>
      </c>
      <c r="DW856" s="17">
        <f t="shared" si="4218"/>
        <v>15</v>
      </c>
      <c r="DX856" s="80">
        <f t="shared" si="4184"/>
        <v>60</v>
      </c>
      <c r="DY856" s="17">
        <f>DW856</f>
        <v>15</v>
      </c>
      <c r="DZ856" s="17">
        <f t="shared" ref="DZ856:EB856" si="4219">DY856</f>
        <v>15</v>
      </c>
      <c r="EA856" s="17">
        <f t="shared" si="4219"/>
        <v>15</v>
      </c>
      <c r="EB856" s="17">
        <f t="shared" si="4219"/>
        <v>15</v>
      </c>
      <c r="EC856" s="80">
        <f t="shared" si="4186"/>
        <v>60</v>
      </c>
      <c r="ED856" s="17">
        <f>EB856</f>
        <v>15</v>
      </c>
      <c r="EE856" s="17">
        <f t="shared" ref="EE856:EG856" si="4220">ED856</f>
        <v>15</v>
      </c>
      <c r="EF856" s="17">
        <f t="shared" si="4220"/>
        <v>15</v>
      </c>
      <c r="EG856" s="17">
        <f t="shared" si="4220"/>
        <v>15</v>
      </c>
      <c r="EH856" s="80">
        <f t="shared" si="4188"/>
        <v>60</v>
      </c>
      <c r="EI856" s="25">
        <f>EG856</f>
        <v>15</v>
      </c>
      <c r="EJ856" s="17">
        <f t="shared" ref="EJ856:EL856" si="4221">EI856</f>
        <v>15</v>
      </c>
      <c r="EK856" s="17">
        <f t="shared" si="4221"/>
        <v>15</v>
      </c>
      <c r="EL856" s="17">
        <f t="shared" si="4221"/>
        <v>15</v>
      </c>
      <c r="EM856" s="80">
        <f t="shared" si="4190"/>
        <v>60</v>
      </c>
      <c r="EN856" s="17">
        <f>EL856</f>
        <v>15</v>
      </c>
      <c r="EO856" s="17">
        <f t="shared" ref="EO856:EQ856" si="4222">EN856</f>
        <v>15</v>
      </c>
      <c r="EP856" s="17">
        <f t="shared" si="4222"/>
        <v>15</v>
      </c>
      <c r="EQ856" s="17">
        <f t="shared" si="4222"/>
        <v>15</v>
      </c>
      <c r="ER856" s="80">
        <f t="shared" si="4192"/>
        <v>60</v>
      </c>
      <c r="ES856" s="17">
        <f>EQ856</f>
        <v>15</v>
      </c>
      <c r="ET856" s="17">
        <f t="shared" ref="ET856:EV856" si="4223">ES856</f>
        <v>15</v>
      </c>
      <c r="EU856" s="17">
        <f t="shared" si="4223"/>
        <v>15</v>
      </c>
      <c r="EV856" s="17">
        <f t="shared" si="4223"/>
        <v>15</v>
      </c>
      <c r="EW856" s="80">
        <f t="shared" si="4194"/>
        <v>60</v>
      </c>
      <c r="EX856" s="17">
        <f>EV856</f>
        <v>15</v>
      </c>
      <c r="EY856" s="17">
        <f t="shared" ref="EY856:FA856" si="4224">EX856</f>
        <v>15</v>
      </c>
      <c r="EZ856" s="17">
        <f t="shared" si="4224"/>
        <v>15</v>
      </c>
      <c r="FA856" s="17">
        <f t="shared" si="4224"/>
        <v>15</v>
      </c>
      <c r="FB856" s="80">
        <f t="shared" si="4196"/>
        <v>60</v>
      </c>
      <c r="FC856" s="17">
        <f>FA856</f>
        <v>15</v>
      </c>
      <c r="FD856" s="17">
        <f t="shared" ref="FD856:FF856" si="4225">FC856</f>
        <v>15</v>
      </c>
      <c r="FE856" s="17">
        <f t="shared" si="4225"/>
        <v>15</v>
      </c>
      <c r="FF856" s="17">
        <f t="shared" si="4225"/>
        <v>15</v>
      </c>
      <c r="FG856" s="80">
        <f t="shared" si="4198"/>
        <v>60</v>
      </c>
      <c r="FH856" s="146"/>
      <c r="FI856" s="17"/>
      <c r="FJ856" s="17"/>
      <c r="FK856" s="112"/>
      <c r="FL856" s="17"/>
    </row>
    <row r="857" ht="12.75" hidden="1" customHeight="1" outlineLevel="2">
      <c r="A857" s="4"/>
      <c r="B857" s="4" t="s">
        <v>335</v>
      </c>
      <c r="C857" s="4"/>
      <c r="D857" s="112"/>
      <c r="E857" s="112"/>
      <c r="F857" s="112"/>
      <c r="G857" s="112"/>
      <c r="H857" s="112">
        <v>2036.0</v>
      </c>
      <c r="I857" s="112"/>
      <c r="J857" s="112"/>
      <c r="K857" s="112"/>
      <c r="L857" s="112"/>
      <c r="M857" s="112">
        <v>2392.0</v>
      </c>
      <c r="N857" s="112">
        <f>946+124</f>
        <v>1070</v>
      </c>
      <c r="O857" s="112">
        <v>687.0</v>
      </c>
      <c r="P857" s="112">
        <v>498.0</v>
      </c>
      <c r="Q857" s="112">
        <f>R857-N857-O857-P857</f>
        <v>165</v>
      </c>
      <c r="R857" s="112">
        <v>2420.0</v>
      </c>
      <c r="S857" s="112">
        <f>674</f>
        <v>674</v>
      </c>
      <c r="T857" s="112">
        <f>1187</f>
        <v>1187</v>
      </c>
      <c r="U857" s="112">
        <v>1060.0</v>
      </c>
      <c r="V857" s="112">
        <v>1249.0</v>
      </c>
      <c r="W857" s="112">
        <v>3930.0</v>
      </c>
      <c r="X857" s="112">
        <v>1412.0</v>
      </c>
      <c r="Y857" s="112">
        <f>1541</f>
        <v>1541</v>
      </c>
      <c r="Z857" s="112">
        <v>1693.0</v>
      </c>
      <c r="AA857" s="112">
        <v>1851.0</v>
      </c>
      <c r="AB857" s="112">
        <v>6429.0</v>
      </c>
      <c r="AC857" s="112">
        <v>1544.0</v>
      </c>
      <c r="AD857" s="112">
        <v>1207.0</v>
      </c>
      <c r="AE857" s="112">
        <f t="shared" ref="AE857:AF857" si="4226">+AE853+AE855+AE856</f>
        <v>1152</v>
      </c>
      <c r="AF857" s="112">
        <f t="shared" si="4226"/>
        <v>1190</v>
      </c>
      <c r="AG857" s="112">
        <f t="shared" si="4200"/>
        <v>5093</v>
      </c>
      <c r="AH857" s="112">
        <f t="shared" ref="AH857:AK857" si="4227">+AH853+AH855+AH856</f>
        <v>1013</v>
      </c>
      <c r="AI857" s="112">
        <f t="shared" si="4227"/>
        <v>1106</v>
      </c>
      <c r="AJ857" s="112">
        <f t="shared" si="4227"/>
        <v>1097</v>
      </c>
      <c r="AK857" s="112">
        <f t="shared" si="4227"/>
        <v>1232</v>
      </c>
      <c r="AL857" s="112">
        <f t="shared" si="4201"/>
        <v>4448</v>
      </c>
      <c r="AM857" s="112">
        <f t="shared" ref="AM857:AP857" si="4228">+AM853+AM855+AM856</f>
        <v>991</v>
      </c>
      <c r="AN857" s="112">
        <f t="shared" si="4228"/>
        <v>983</v>
      </c>
      <c r="AO857" s="112">
        <f t="shared" si="4228"/>
        <v>995</v>
      </c>
      <c r="AP857" s="112">
        <f t="shared" si="4228"/>
        <v>1070</v>
      </c>
      <c r="AQ857" s="112">
        <f t="shared" si="4202"/>
        <v>4039</v>
      </c>
      <c r="AR857" s="112">
        <f t="shared" ref="AR857:AU857" si="4229">+AR854+AR855+AR856</f>
        <v>1066</v>
      </c>
      <c r="AS857" s="112">
        <f t="shared" si="4229"/>
        <v>1275</v>
      </c>
      <c r="AT857" s="112">
        <f t="shared" si="4229"/>
        <v>1333</v>
      </c>
      <c r="AU857" s="112">
        <f t="shared" si="4229"/>
        <v>1368</v>
      </c>
      <c r="AV857" s="112">
        <f t="shared" si="4153"/>
        <v>5042</v>
      </c>
      <c r="AW857" s="112" t="str">
        <f t="shared" ref="AW857:AZ857" si="4230">+AW854+AW855+AW856</f>
        <v>#ERROR!</v>
      </c>
      <c r="AX857" s="112" t="str">
        <f t="shared" si="4230"/>
        <v>#ERROR!</v>
      </c>
      <c r="AY857" s="112" t="str">
        <f t="shared" si="4230"/>
        <v>#ERROR!</v>
      </c>
      <c r="AZ857" s="112" t="str">
        <f t="shared" si="4230"/>
        <v>#ERROR!</v>
      </c>
      <c r="BA857" s="112" t="str">
        <f t="shared" si="4155"/>
        <v>#ERROR!</v>
      </c>
      <c r="BB857" s="112" t="str">
        <f t="shared" ref="BB857:BE857" si="4231">+BB854+BB855+BB856</f>
        <v>#ERROR!</v>
      </c>
      <c r="BC857" s="112" t="str">
        <f t="shared" si="4231"/>
        <v>#ERROR!</v>
      </c>
      <c r="BD857" s="112" t="str">
        <f t="shared" si="4231"/>
        <v>#ERROR!</v>
      </c>
      <c r="BE857" s="112" t="str">
        <f t="shared" si="4231"/>
        <v>#ERROR!</v>
      </c>
      <c r="BF857" s="112" t="str">
        <f t="shared" si="4157"/>
        <v>#ERROR!</v>
      </c>
      <c r="BG857" s="112" t="str">
        <f t="shared" ref="BG857:BJ857" si="4232">+BG854+BG855+BG856</f>
        <v>#ERROR!</v>
      </c>
      <c r="BH857" s="112" t="str">
        <f t="shared" si="4232"/>
        <v>#ERROR!</v>
      </c>
      <c r="BI857" s="112" t="str">
        <f t="shared" si="4232"/>
        <v>#ERROR!</v>
      </c>
      <c r="BJ857" s="112" t="str">
        <f t="shared" si="4232"/>
        <v>#ERROR!</v>
      </c>
      <c r="BK857" s="112" t="str">
        <f t="shared" si="4159"/>
        <v>#ERROR!</v>
      </c>
      <c r="BL857" s="112" t="str">
        <f t="shared" ref="BL857:BO857" si="4233">+BL854+BL855+BL856</f>
        <v>#ERROR!</v>
      </c>
      <c r="BM857" s="112" t="str">
        <f t="shared" si="4233"/>
        <v>#ERROR!</v>
      </c>
      <c r="BN857" s="112" t="str">
        <f t="shared" si="4233"/>
        <v>#ERROR!</v>
      </c>
      <c r="BO857" s="112" t="str">
        <f t="shared" si="4233"/>
        <v>#ERROR!</v>
      </c>
      <c r="BP857" s="112" t="str">
        <f t="shared" si="4160"/>
        <v>#ERROR!</v>
      </c>
      <c r="BQ857" s="112" t="str">
        <f t="shared" ref="BQ857:BT857" si="4234">+BQ854+BQ855+BQ856</f>
        <v>#ERROR!</v>
      </c>
      <c r="BR857" s="112" t="str">
        <f t="shared" si="4234"/>
        <v>#ERROR!</v>
      </c>
      <c r="BS857" s="112">
        <f t="shared" si="4234"/>
        <v>804.4</v>
      </c>
      <c r="BT857" s="112" t="str">
        <f t="shared" si="4234"/>
        <v>#ERROR!</v>
      </c>
      <c r="BU857" s="112" t="str">
        <f t="shared" si="4162"/>
        <v>#ERROR!</v>
      </c>
      <c r="BV857" s="112" t="str">
        <f t="shared" ref="BV857:BY857" si="4235">+BV854+BV855+BV856</f>
        <v>#ERROR!</v>
      </c>
      <c r="BW857" s="112" t="str">
        <f t="shared" si="4235"/>
        <v>#ERROR!</v>
      </c>
      <c r="BX857" s="112" t="str">
        <f t="shared" si="4235"/>
        <v>#ERROR!</v>
      </c>
      <c r="BY857" s="112" t="str">
        <f t="shared" si="4235"/>
        <v>#ERROR!</v>
      </c>
      <c r="BZ857" s="80" t="str">
        <f t="shared" si="4164"/>
        <v>#ERROR!</v>
      </c>
      <c r="CA857" s="112" t="str">
        <f t="shared" ref="CA857:CD857" si="4236">+CA854+CA855+CA856</f>
        <v>#ERROR!</v>
      </c>
      <c r="CB857" s="112" t="str">
        <f t="shared" si="4236"/>
        <v>#ERROR!</v>
      </c>
      <c r="CC857" s="112" t="str">
        <f t="shared" si="4236"/>
        <v>#ERROR!</v>
      </c>
      <c r="CD857" s="112" t="str">
        <f t="shared" si="4236"/>
        <v>#ERROR!</v>
      </c>
      <c r="CE857" s="80" t="str">
        <f t="shared" si="4166"/>
        <v>#ERROR!</v>
      </c>
      <c r="CF857" s="112" t="str">
        <f t="shared" ref="CF857:CI857" si="4237">+CF854+CF855+CF856</f>
        <v>#ERROR!</v>
      </c>
      <c r="CG857" s="112" t="str">
        <f t="shared" si="4237"/>
        <v>#ERROR!</v>
      </c>
      <c r="CH857" s="112" t="str">
        <f t="shared" si="4237"/>
        <v>#ERROR!</v>
      </c>
      <c r="CI857" s="112" t="str">
        <f t="shared" si="4237"/>
        <v>#ERROR!</v>
      </c>
      <c r="CJ857" s="80" t="str">
        <f t="shared" si="4168"/>
        <v>#ERROR!</v>
      </c>
      <c r="CK857" s="112" t="str">
        <f t="shared" ref="CK857:CN857" si="4238">+CK854+CK855+CK856</f>
        <v>#ERROR!</v>
      </c>
      <c r="CL857" s="112" t="str">
        <f t="shared" si="4238"/>
        <v>#ERROR!</v>
      </c>
      <c r="CM857" s="112" t="str">
        <f t="shared" si="4238"/>
        <v>#ERROR!</v>
      </c>
      <c r="CN857" s="146" t="str">
        <f t="shared" si="4238"/>
        <v>#ERROR!</v>
      </c>
      <c r="CO857" s="80" t="str">
        <f t="shared" si="4170"/>
        <v>#ERROR!</v>
      </c>
      <c r="CP857" s="146" t="str">
        <f t="shared" ref="CP857:CS857" si="4239">+CP854+CP855+CP856</f>
        <v>#ERROR!</v>
      </c>
      <c r="CQ857" s="112" t="str">
        <f t="shared" si="4239"/>
        <v>#ERROR!</v>
      </c>
      <c r="CR857" s="112" t="str">
        <f t="shared" si="4239"/>
        <v>#ERROR!</v>
      </c>
      <c r="CS857" s="112" t="str">
        <f t="shared" si="4239"/>
        <v>#ERROR!</v>
      </c>
      <c r="CT857" s="80" t="str">
        <f t="shared" si="4172"/>
        <v>#ERROR!</v>
      </c>
      <c r="CU857" s="112" t="str">
        <f t="shared" ref="CU857:CX857" si="4240">+CU854+CU855+CU856</f>
        <v>#ERROR!</v>
      </c>
      <c r="CV857" s="112" t="str">
        <f t="shared" si="4240"/>
        <v>#ERROR!</v>
      </c>
      <c r="CW857" s="112" t="str">
        <f t="shared" si="4240"/>
        <v>#ERROR!</v>
      </c>
      <c r="CX857" s="112" t="str">
        <f t="shared" si="4240"/>
        <v>#ERROR!</v>
      </c>
      <c r="CY857" s="80" t="str">
        <f t="shared" si="4174"/>
        <v>#ERROR!</v>
      </c>
      <c r="CZ857" s="112" t="str">
        <f t="shared" ref="CZ857:DC857" si="4241">+CZ854+CZ855+CZ856</f>
        <v>#ERROR!</v>
      </c>
      <c r="DA857" s="112" t="str">
        <f t="shared" si="4241"/>
        <v>#ERROR!</v>
      </c>
      <c r="DB857" s="112" t="str">
        <f t="shared" si="4241"/>
        <v>#ERROR!</v>
      </c>
      <c r="DC857" s="112" t="str">
        <f t="shared" si="4241"/>
        <v>#ERROR!</v>
      </c>
      <c r="DD857" s="80" t="str">
        <f t="shared" si="4176"/>
        <v>#ERROR!</v>
      </c>
      <c r="DE857" s="112" t="str">
        <f t="shared" ref="DE857:DH857" si="4242">+DE854+DE855+DE856</f>
        <v>#ERROR!</v>
      </c>
      <c r="DF857" s="112" t="str">
        <f t="shared" si="4242"/>
        <v>#ERROR!</v>
      </c>
      <c r="DG857" s="146" t="str">
        <f t="shared" si="4242"/>
        <v>#ERROR!</v>
      </c>
      <c r="DH857" s="112" t="str">
        <f t="shared" si="4242"/>
        <v>#ERROR!</v>
      </c>
      <c r="DI857" s="80" t="str">
        <f t="shared" si="4178"/>
        <v>#ERROR!</v>
      </c>
      <c r="DJ857" s="146" t="str">
        <f t="shared" ref="DJ857:DM857" si="4243">+DJ854+DJ855+DJ856</f>
        <v>#ERROR!</v>
      </c>
      <c r="DK857" s="146" t="str">
        <f t="shared" si="4243"/>
        <v>#ERROR!</v>
      </c>
      <c r="DL857" s="146" t="str">
        <f t="shared" si="4243"/>
        <v>#ERROR!</v>
      </c>
      <c r="DM857" s="112" t="str">
        <f t="shared" si="4243"/>
        <v>#ERROR!</v>
      </c>
      <c r="DN857" s="80" t="str">
        <f t="shared" si="4180"/>
        <v>#ERROR!</v>
      </c>
      <c r="DO857" s="112" t="str">
        <f t="shared" ref="DO857:DR857" si="4244">+DO854+DO855+DO856</f>
        <v>#ERROR!</v>
      </c>
      <c r="DP857" s="112" t="str">
        <f t="shared" si="4244"/>
        <v>#ERROR!</v>
      </c>
      <c r="DQ857" s="112" t="str">
        <f t="shared" si="4244"/>
        <v>#ERROR!</v>
      </c>
      <c r="DR857" s="112" t="str">
        <f t="shared" si="4244"/>
        <v>#ERROR!</v>
      </c>
      <c r="DS857" s="80" t="str">
        <f t="shared" si="4182"/>
        <v>#ERROR!</v>
      </c>
      <c r="DT857" s="112" t="str">
        <f t="shared" ref="DT857:DW857" si="4245">+DT854+DT855+DT856</f>
        <v>#ERROR!</v>
      </c>
      <c r="DU857" s="112" t="str">
        <f t="shared" si="4245"/>
        <v>#ERROR!</v>
      </c>
      <c r="DV857" s="112" t="str">
        <f t="shared" si="4245"/>
        <v>#ERROR!</v>
      </c>
      <c r="DW857" s="112" t="str">
        <f t="shared" si="4245"/>
        <v>#ERROR!</v>
      </c>
      <c r="DX857" s="80" t="str">
        <f t="shared" si="4184"/>
        <v>#ERROR!</v>
      </c>
      <c r="DY857" s="112" t="str">
        <f t="shared" ref="DY857:EB857" si="4246">+DY854+DY855+DY856</f>
        <v>#ERROR!</v>
      </c>
      <c r="DZ857" s="112" t="str">
        <f t="shared" si="4246"/>
        <v>#ERROR!</v>
      </c>
      <c r="EA857" s="112" t="str">
        <f t="shared" si="4246"/>
        <v>#ERROR!</v>
      </c>
      <c r="EB857" s="112" t="str">
        <f t="shared" si="4246"/>
        <v>#ERROR!</v>
      </c>
      <c r="EC857" s="80" t="str">
        <f t="shared" si="4186"/>
        <v>#ERROR!</v>
      </c>
      <c r="ED857" s="112" t="str">
        <f t="shared" ref="ED857:EG857" si="4247">+ED854+ED855+ED856</f>
        <v>#ERROR!</v>
      </c>
      <c r="EE857" s="112" t="str">
        <f t="shared" si="4247"/>
        <v>#ERROR!</v>
      </c>
      <c r="EF857" s="112" t="str">
        <f t="shared" si="4247"/>
        <v>#ERROR!</v>
      </c>
      <c r="EG857" s="112" t="str">
        <f t="shared" si="4247"/>
        <v>#ERROR!</v>
      </c>
      <c r="EH857" s="80" t="str">
        <f t="shared" si="4188"/>
        <v>#ERROR!</v>
      </c>
      <c r="EI857" s="110" t="str">
        <f t="shared" ref="EI857:EL857" si="4248">+EI854+EI855+EI856</f>
        <v>#ERROR!</v>
      </c>
      <c r="EJ857" s="112" t="str">
        <f t="shared" si="4248"/>
        <v>#ERROR!</v>
      </c>
      <c r="EK857" s="112" t="str">
        <f t="shared" si="4248"/>
        <v>#ERROR!</v>
      </c>
      <c r="EL857" s="112" t="str">
        <f t="shared" si="4248"/>
        <v>#ERROR!</v>
      </c>
      <c r="EM857" s="80" t="str">
        <f t="shared" si="4190"/>
        <v>#ERROR!</v>
      </c>
      <c r="EN857" s="112" t="str">
        <f t="shared" ref="EN857:EQ857" si="4249">+EN854+EN855+EN856</f>
        <v>#ERROR!</v>
      </c>
      <c r="EO857" s="112" t="str">
        <f t="shared" si="4249"/>
        <v>#ERROR!</v>
      </c>
      <c r="EP857" s="112" t="str">
        <f t="shared" si="4249"/>
        <v>#ERROR!</v>
      </c>
      <c r="EQ857" s="112" t="str">
        <f t="shared" si="4249"/>
        <v>#ERROR!</v>
      </c>
      <c r="ER857" s="80" t="str">
        <f t="shared" si="4192"/>
        <v>#ERROR!</v>
      </c>
      <c r="ES857" s="112" t="str">
        <f t="shared" ref="ES857:EV857" si="4250">+ES854+ES855+ES856</f>
        <v>#ERROR!</v>
      </c>
      <c r="ET857" s="112" t="str">
        <f t="shared" si="4250"/>
        <v>#ERROR!</v>
      </c>
      <c r="EU857" s="112" t="str">
        <f t="shared" si="4250"/>
        <v>#ERROR!</v>
      </c>
      <c r="EV857" s="112" t="str">
        <f t="shared" si="4250"/>
        <v>#ERROR!</v>
      </c>
      <c r="EW857" s="80" t="str">
        <f t="shared" si="4194"/>
        <v>#ERROR!</v>
      </c>
      <c r="EX857" s="112" t="str">
        <f t="shared" ref="EX857:FA857" si="4251">+EX854+EX855+EX856</f>
        <v>#ERROR!</v>
      </c>
      <c r="EY857" s="112" t="str">
        <f t="shared" si="4251"/>
        <v>#ERROR!</v>
      </c>
      <c r="EZ857" s="112" t="str">
        <f t="shared" si="4251"/>
        <v>#ERROR!</v>
      </c>
      <c r="FA857" s="112" t="str">
        <f t="shared" si="4251"/>
        <v>#ERROR!</v>
      </c>
      <c r="FB857" s="80" t="str">
        <f t="shared" si="4196"/>
        <v>#ERROR!</v>
      </c>
      <c r="FC857" s="112" t="str">
        <f t="shared" ref="FC857:FF857" si="4252">+FC854+FC855+FC856</f>
        <v>#ERROR!</v>
      </c>
      <c r="FD857" s="112" t="str">
        <f t="shared" si="4252"/>
        <v>#ERROR!</v>
      </c>
      <c r="FE857" s="112" t="str">
        <f t="shared" si="4252"/>
        <v>#ERROR!</v>
      </c>
      <c r="FF857" s="112" t="str">
        <f t="shared" si="4252"/>
        <v>#ERROR!</v>
      </c>
      <c r="FG857" s="80" t="str">
        <f t="shared" si="4198"/>
        <v>#ERROR!</v>
      </c>
      <c r="FH857" s="146"/>
      <c r="FI857" s="112"/>
      <c r="FJ857" s="112"/>
      <c r="FK857" s="112"/>
      <c r="FL857" s="112"/>
    </row>
    <row r="858" ht="13.5" hidden="1" customHeight="1" outlineLevel="2">
      <c r="A858" s="4"/>
      <c r="B858" s="529" t="s">
        <v>321</v>
      </c>
      <c r="C858" s="529"/>
      <c r="D858" s="164"/>
      <c r="E858" s="164"/>
      <c r="F858" s="164"/>
      <c r="G858" s="164"/>
      <c r="H858" s="164">
        <f>H852+H857</f>
        <v>20847</v>
      </c>
      <c r="I858" s="164"/>
      <c r="J858" s="164"/>
      <c r="K858" s="164"/>
      <c r="L858" s="164"/>
      <c r="M858" s="164">
        <f t="shared" ref="M858:BE858" si="4253">M852+M857</f>
        <v>25071</v>
      </c>
      <c r="N858" s="164">
        <f t="shared" si="4253"/>
        <v>6001</v>
      </c>
      <c r="O858" s="164">
        <f t="shared" si="4253"/>
        <v>5927</v>
      </c>
      <c r="P858" s="164">
        <f t="shared" si="4253"/>
        <v>6731</v>
      </c>
      <c r="Q858" s="164">
        <f t="shared" si="4253"/>
        <v>7614</v>
      </c>
      <c r="R858" s="164">
        <f t="shared" si="4253"/>
        <v>26273</v>
      </c>
      <c r="S858" s="164">
        <f t="shared" si="4253"/>
        <v>7103</v>
      </c>
      <c r="T858" s="164">
        <f t="shared" si="4253"/>
        <v>6746</v>
      </c>
      <c r="U858" s="164">
        <f t="shared" si="4253"/>
        <v>7328</v>
      </c>
      <c r="V858" s="164">
        <f t="shared" si="4253"/>
        <v>8212</v>
      </c>
      <c r="W858" s="164">
        <f t="shared" si="4253"/>
        <v>29389</v>
      </c>
      <c r="X858" s="164">
        <f t="shared" si="4253"/>
        <v>7993</v>
      </c>
      <c r="Y858" s="164">
        <f t="shared" si="4253"/>
        <v>8300</v>
      </c>
      <c r="Z858" s="164">
        <f t="shared" si="4253"/>
        <v>8731</v>
      </c>
      <c r="AA858" s="164">
        <f t="shared" si="4253"/>
        <v>8702</v>
      </c>
      <c r="AB858" s="164">
        <f t="shared" si="4253"/>
        <v>33726</v>
      </c>
      <c r="AC858" s="164">
        <f t="shared" si="4253"/>
        <v>6677</v>
      </c>
      <c r="AD858" s="164">
        <f t="shared" si="4253"/>
        <v>6334</v>
      </c>
      <c r="AE858" s="164">
        <f t="shared" si="4253"/>
        <v>6545</v>
      </c>
      <c r="AF858" s="164">
        <f t="shared" si="4253"/>
        <v>6983</v>
      </c>
      <c r="AG858" s="164">
        <f t="shared" si="4253"/>
        <v>26539</v>
      </c>
      <c r="AH858" s="164">
        <f t="shared" si="4253"/>
        <v>6781</v>
      </c>
      <c r="AI858" s="164">
        <f t="shared" si="4253"/>
        <v>6319</v>
      </c>
      <c r="AJ858" s="164">
        <f t="shared" si="4253"/>
        <v>6504</v>
      </c>
      <c r="AK858" s="164">
        <f t="shared" si="4253"/>
        <v>7160</v>
      </c>
      <c r="AL858" s="164">
        <f t="shared" si="4253"/>
        <v>26764</v>
      </c>
      <c r="AM858" s="164">
        <f t="shared" si="4253"/>
        <v>6751</v>
      </c>
      <c r="AN858" s="164">
        <f t="shared" si="4253"/>
        <v>6816</v>
      </c>
      <c r="AO858" s="164">
        <f t="shared" si="4253"/>
        <v>7833</v>
      </c>
      <c r="AP858" s="164">
        <f t="shared" si="4253"/>
        <v>8741</v>
      </c>
      <c r="AQ858" s="164">
        <f t="shared" si="4253"/>
        <v>30141</v>
      </c>
      <c r="AR858" s="164">
        <f t="shared" si="4253"/>
        <v>8091</v>
      </c>
      <c r="AS858" s="164">
        <f t="shared" si="4253"/>
        <v>8049</v>
      </c>
      <c r="AT858" s="164">
        <f t="shared" si="4253"/>
        <v>8471</v>
      </c>
      <c r="AU858" s="164">
        <f t="shared" si="4253"/>
        <v>9598</v>
      </c>
      <c r="AV858" s="164">
        <f t="shared" si="4253"/>
        <v>34209</v>
      </c>
      <c r="AW858" s="164" t="str">
        <f t="shared" si="4253"/>
        <v>#ERROR!</v>
      </c>
      <c r="AX858" s="164" t="str">
        <f t="shared" si="4253"/>
        <v>#ERROR!</v>
      </c>
      <c r="AY858" s="164" t="str">
        <f t="shared" si="4253"/>
        <v>#ERROR!</v>
      </c>
      <c r="AZ858" s="164" t="str">
        <f t="shared" si="4253"/>
        <v>#ERROR!</v>
      </c>
      <c r="BA858" s="164" t="str">
        <f t="shared" si="4253"/>
        <v>#ERROR!</v>
      </c>
      <c r="BB858" s="164" t="str">
        <f t="shared" si="4253"/>
        <v>#ERROR!</v>
      </c>
      <c r="BC858" s="164" t="str">
        <f t="shared" si="4253"/>
        <v>#ERROR!</v>
      </c>
      <c r="BD858" s="164" t="str">
        <f t="shared" si="4253"/>
        <v>#ERROR!</v>
      </c>
      <c r="BE858" s="164" t="str">
        <f t="shared" si="4253"/>
        <v>#ERROR!</v>
      </c>
      <c r="BF858" s="164">
        <f>Sales</f>
        <v>35382</v>
      </c>
      <c r="BG858" s="164" t="str">
        <f t="shared" ref="BG858:BJ858" si="4254">BG852+BG857</f>
        <v>#ERROR!</v>
      </c>
      <c r="BH858" s="164" t="str">
        <f t="shared" si="4254"/>
        <v>#ERROR!</v>
      </c>
      <c r="BI858" s="164" t="str">
        <f t="shared" si="4254"/>
        <v>#ERROR!</v>
      </c>
      <c r="BJ858" s="164" t="str">
        <f t="shared" si="4254"/>
        <v>#ERROR!</v>
      </c>
      <c r="BK858" s="164">
        <f>Sales</f>
        <v>38334</v>
      </c>
      <c r="BL858" s="164" t="str">
        <f t="shared" ref="BL858:BO858" si="4255">BL852+BL857</f>
        <v>#ERROR!</v>
      </c>
      <c r="BM858" s="164" t="str">
        <f t="shared" si="4255"/>
        <v>#ERROR!</v>
      </c>
      <c r="BN858" s="164" t="str">
        <f t="shared" si="4255"/>
        <v>#ERROR!</v>
      </c>
      <c r="BO858" s="164" t="str">
        <f t="shared" si="4255"/>
        <v>#ERROR!</v>
      </c>
      <c r="BP858" s="164">
        <f>Sales</f>
        <v>37586</v>
      </c>
      <c r="BQ858" s="164" t="str">
        <f t="shared" ref="BQ858:BT858" si="4256">BQ852+BQ857</f>
        <v>#ERROR!</v>
      </c>
      <c r="BR858" s="164" t="str">
        <f t="shared" si="4256"/>
        <v>#ERROR!</v>
      </c>
      <c r="BS858" s="164" t="str">
        <f t="shared" si="4256"/>
        <v>#ERROR!</v>
      </c>
      <c r="BT858" s="164" t="str">
        <f t="shared" si="4256"/>
        <v>#ERROR!</v>
      </c>
      <c r="BU858" s="164">
        <f>Sales</f>
        <v>35127</v>
      </c>
      <c r="BV858" s="164" t="str">
        <f t="shared" ref="BV858:BY858" si="4257">BV852+BV857</f>
        <v>#ERROR!</v>
      </c>
      <c r="BW858" s="164" t="str">
        <f t="shared" si="4257"/>
        <v>#ERROR!</v>
      </c>
      <c r="BX858" s="164" t="str">
        <f t="shared" si="4257"/>
        <v>#ERROR!</v>
      </c>
      <c r="BY858" s="164" t="str">
        <f t="shared" si="4257"/>
        <v>#ERROR!</v>
      </c>
      <c r="BZ858" s="165">
        <f>Sales</f>
        <v>43623</v>
      </c>
      <c r="CA858" s="164" t="str">
        <f t="shared" ref="CA858:CD858" si="4258">CA852+CA857</f>
        <v>#ERROR!</v>
      </c>
      <c r="CB858" s="164" t="str">
        <f t="shared" si="4258"/>
        <v>#ERROR!</v>
      </c>
      <c r="CC858" s="164" t="str">
        <f t="shared" si="4258"/>
        <v>#ERROR!</v>
      </c>
      <c r="CD858" s="164" t="str">
        <f t="shared" si="4258"/>
        <v>#ERROR!</v>
      </c>
      <c r="CE858" s="165">
        <f>Sales</f>
        <v>53999</v>
      </c>
      <c r="CF858" s="164" t="str">
        <f t="shared" ref="CF858:CI858" si="4259">CF852+CF857</f>
        <v>#ERROR!</v>
      </c>
      <c r="CG858" s="164" t="str">
        <f t="shared" si="4259"/>
        <v>#ERROR!</v>
      </c>
      <c r="CH858" s="164" t="str">
        <f t="shared" si="4259"/>
        <v>#ERROR!</v>
      </c>
      <c r="CI858" s="164" t="str">
        <f t="shared" si="4259"/>
        <v>#ERROR!</v>
      </c>
      <c r="CJ858" s="165">
        <f>Sales</f>
        <v>53341</v>
      </c>
      <c r="CK858" s="164" t="str">
        <f t="shared" ref="CK858:CN858" si="4260">CK852+CK857</f>
        <v>#ERROR!</v>
      </c>
      <c r="CL858" s="164" t="str">
        <f t="shared" si="4260"/>
        <v>#ERROR!</v>
      </c>
      <c r="CM858" s="164" t="str">
        <f t="shared" si="4260"/>
        <v>#ERROR!</v>
      </c>
      <c r="CN858" s="583" t="str">
        <f t="shared" si="4260"/>
        <v>#ERROR!</v>
      </c>
      <c r="CO858" s="165">
        <f>Sales</f>
        <v>52708</v>
      </c>
      <c r="CP858" s="583" t="str">
        <f t="shared" ref="CP858:CS858" si="4261">CP852+CP857</f>
        <v>#ERROR!</v>
      </c>
      <c r="CQ858" s="164" t="str">
        <f t="shared" si="4261"/>
        <v>#ERROR!</v>
      </c>
      <c r="CR858" s="164" t="str">
        <f t="shared" si="4261"/>
        <v>#ERROR!</v>
      </c>
      <c r="CS858" s="164" t="str">
        <f t="shared" si="4261"/>
        <v>#ERROR!</v>
      </c>
      <c r="CT858" s="165">
        <f>Sales</f>
        <v>55870</v>
      </c>
      <c r="CU858" s="164" t="str">
        <f t="shared" ref="CU858:CX858" si="4262">CU852+CU857</f>
        <v>#ERROR!</v>
      </c>
      <c r="CV858" s="164" t="str">
        <f t="shared" si="4262"/>
        <v>#ERROR!</v>
      </c>
      <c r="CW858" s="164" t="str">
        <f t="shared" si="4262"/>
        <v>#ERROR!</v>
      </c>
      <c r="CX858" s="164" t="str">
        <f t="shared" si="4262"/>
        <v>#ERROR!</v>
      </c>
      <c r="CY858" s="165">
        <f>Sales</f>
        <v>55355</v>
      </c>
      <c r="CZ858" s="164" t="str">
        <f t="shared" ref="CZ858:DC858" si="4263">CZ852+CZ857</f>
        <v>#ERROR!</v>
      </c>
      <c r="DA858" s="164" t="str">
        <f t="shared" si="4263"/>
        <v>#ERROR!</v>
      </c>
      <c r="DB858" s="164" t="str">
        <f t="shared" si="4263"/>
        <v>#ERROR!</v>
      </c>
      <c r="DC858" s="164" t="str">
        <f t="shared" si="4263"/>
        <v>#ERROR!</v>
      </c>
      <c r="DD858" s="165">
        <f>Sales</f>
        <v>59486</v>
      </c>
      <c r="DE858" s="164" t="str">
        <f t="shared" ref="DE858:DH858" si="4264">DE852+DE857</f>
        <v>#ERROR!</v>
      </c>
      <c r="DF858" s="164" t="str">
        <f t="shared" si="4264"/>
        <v>#ERROR!</v>
      </c>
      <c r="DG858" s="146" t="str">
        <f t="shared" si="4264"/>
        <v>#ERROR!</v>
      </c>
      <c r="DH858" s="164" t="str">
        <f t="shared" si="4264"/>
        <v>#ERROR!</v>
      </c>
      <c r="DI858" s="165">
        <f>Sales</f>
        <v>62761</v>
      </c>
      <c r="DJ858" s="583" t="str">
        <f t="shared" ref="DJ858:DM858" si="4265">DJ852+DJ857</f>
        <v>#ERROR!</v>
      </c>
      <c r="DK858" s="583" t="str">
        <f t="shared" si="4265"/>
        <v>#ERROR!</v>
      </c>
      <c r="DL858" s="583" t="str">
        <f t="shared" si="4265"/>
        <v>#ERROR!</v>
      </c>
      <c r="DM858" s="164" t="str">
        <f t="shared" si="4265"/>
        <v>#ERROR!</v>
      </c>
      <c r="DN858" s="165">
        <f>Sales</f>
        <v>70848</v>
      </c>
      <c r="DO858" s="164" t="str">
        <f t="shared" ref="DO858:DR858" si="4266">DO852+DO857</f>
        <v>#ERROR!</v>
      </c>
      <c r="DP858" s="164" t="str">
        <f t="shared" si="4266"/>
        <v>#ERROR!</v>
      </c>
      <c r="DQ858" s="164" t="str">
        <f t="shared" si="4266"/>
        <v>#ERROR!</v>
      </c>
      <c r="DR858" s="164" t="str">
        <f t="shared" si="4266"/>
        <v>#ERROR!</v>
      </c>
      <c r="DS858" s="165">
        <f>Sales</f>
        <v>71965</v>
      </c>
      <c r="DT858" s="164" t="str">
        <f t="shared" ref="DT858:DW858" si="4267">DT852+DT857</f>
        <v>#ERROR!</v>
      </c>
      <c r="DU858" s="164" t="str">
        <f t="shared" si="4267"/>
        <v>#ERROR!</v>
      </c>
      <c r="DV858" s="164" t="str">
        <f t="shared" si="4267"/>
        <v>#ERROR!</v>
      </c>
      <c r="DW858" s="164" t="str">
        <f t="shared" si="4267"/>
        <v>#ERROR!</v>
      </c>
      <c r="DX858" s="165">
        <f>Sales</f>
        <v>77867</v>
      </c>
      <c r="DY858" s="164" t="str">
        <f t="shared" ref="DY858:EB858" si="4268">DY852+DY857</f>
        <v>#ERROR!</v>
      </c>
      <c r="DZ858" s="164" t="str">
        <f t="shared" si="4268"/>
        <v>#ERROR!</v>
      </c>
      <c r="EA858" s="164" t="str">
        <f t="shared" si="4268"/>
        <v>#ERROR!</v>
      </c>
      <c r="EB858" s="164" t="str">
        <f t="shared" si="4268"/>
        <v>#ERROR!</v>
      </c>
      <c r="EC858" s="165">
        <f>Sales</f>
        <v>74718</v>
      </c>
      <c r="ED858" s="164" t="str">
        <f t="shared" ref="ED858:EG858" si="4269">ED852+ED857</f>
        <v>#ERROR!</v>
      </c>
      <c r="EE858" s="164" t="str">
        <f t="shared" si="4269"/>
        <v>#ERROR!</v>
      </c>
      <c r="EF858" s="164" t="str">
        <f t="shared" si="4269"/>
        <v>#ERROR!</v>
      </c>
      <c r="EG858" s="164" t="str">
        <f t="shared" si="4269"/>
        <v>#ERROR!</v>
      </c>
      <c r="EH858" s="165">
        <f>Sales</f>
        <v>63054</v>
      </c>
      <c r="EI858" s="584" t="str">
        <f t="shared" ref="EI858:EL858" si="4270">EI852+EI857</f>
        <v>#ERROR!</v>
      </c>
      <c r="EJ858" s="164" t="str">
        <f t="shared" si="4270"/>
        <v>#ERROR!</v>
      </c>
      <c r="EK858" s="164" t="str">
        <f t="shared" si="4270"/>
        <v>#ERROR!</v>
      </c>
      <c r="EL858" s="164" t="str">
        <f t="shared" si="4270"/>
        <v>#ERROR!</v>
      </c>
      <c r="EM858" s="165" t="str">
        <f>Sales</f>
        <v>#ERROR!</v>
      </c>
      <c r="EN858" s="164" t="str">
        <f t="shared" ref="EN858:EQ858" si="4271">EN852+EN857</f>
        <v>#ERROR!</v>
      </c>
      <c r="EO858" s="164" t="str">
        <f t="shared" si="4271"/>
        <v>#ERROR!</v>
      </c>
      <c r="EP858" s="164" t="str">
        <f t="shared" si="4271"/>
        <v>#ERROR!</v>
      </c>
      <c r="EQ858" s="164" t="str">
        <f t="shared" si="4271"/>
        <v>#ERROR!</v>
      </c>
      <c r="ER858" s="165" t="str">
        <f>Sales</f>
        <v>#ERROR!</v>
      </c>
      <c r="ES858" s="164" t="str">
        <f t="shared" ref="ES858:EV858" si="4272">ES852+ES857</f>
        <v>#ERROR!</v>
      </c>
      <c r="ET858" s="164" t="str">
        <f t="shared" si="4272"/>
        <v>#ERROR!</v>
      </c>
      <c r="EU858" s="164" t="str">
        <f t="shared" si="4272"/>
        <v>#ERROR!</v>
      </c>
      <c r="EV858" s="164" t="str">
        <f t="shared" si="4272"/>
        <v>#ERROR!</v>
      </c>
      <c r="EW858" s="165" t="str">
        <f>Sales</f>
        <v>#ERROR!</v>
      </c>
      <c r="EX858" s="164" t="str">
        <f t="shared" ref="EX858:FA858" si="4273">EX852+EX857</f>
        <v>#ERROR!</v>
      </c>
      <c r="EY858" s="164" t="str">
        <f t="shared" si="4273"/>
        <v>#ERROR!</v>
      </c>
      <c r="EZ858" s="164" t="str">
        <f t="shared" si="4273"/>
        <v>#ERROR!</v>
      </c>
      <c r="FA858" s="164" t="str">
        <f t="shared" si="4273"/>
        <v>#ERROR!</v>
      </c>
      <c r="FB858" s="165" t="str">
        <f>Sales</f>
        <v>#ERROR!</v>
      </c>
      <c r="FC858" s="164" t="str">
        <f t="shared" ref="FC858:FF858" si="4274">FC852+FC857</f>
        <v>#ERROR!</v>
      </c>
      <c r="FD858" s="164" t="str">
        <f t="shared" si="4274"/>
        <v>#ERROR!</v>
      </c>
      <c r="FE858" s="164" t="str">
        <f t="shared" si="4274"/>
        <v>#ERROR!</v>
      </c>
      <c r="FF858" s="164" t="str">
        <f t="shared" si="4274"/>
        <v>#ERROR!</v>
      </c>
      <c r="FG858" s="165" t="str">
        <f>Sales</f>
        <v>#ERROR!</v>
      </c>
      <c r="FH858" s="583"/>
      <c r="FI858" s="164"/>
      <c r="FJ858" s="164"/>
      <c r="FK858" s="164"/>
      <c r="FL858" s="164"/>
    </row>
    <row r="859" ht="12.75" hidden="1" customHeight="1" outlineLevel="2">
      <c r="A859" s="4"/>
      <c r="B859" s="641">
        <v>0.005</v>
      </c>
      <c r="C859" s="4"/>
      <c r="D859" s="17"/>
      <c r="E859" s="17"/>
      <c r="F859" s="17"/>
      <c r="G859" s="17"/>
      <c r="H859" s="73"/>
      <c r="I859" s="17"/>
      <c r="J859" s="17"/>
      <c r="K859" s="17"/>
      <c r="L859" s="17"/>
      <c r="M859" s="73"/>
      <c r="N859" s="17"/>
      <c r="O859" s="17"/>
      <c r="P859" s="17"/>
      <c r="Q859" s="17"/>
      <c r="R859" s="73"/>
      <c r="S859" s="17"/>
      <c r="T859" s="17"/>
      <c r="U859" s="17"/>
      <c r="V859" s="17"/>
      <c r="W859" s="73"/>
      <c r="X859" s="17"/>
      <c r="Y859" s="17"/>
      <c r="Z859" s="17"/>
      <c r="AA859" s="17"/>
      <c r="AB859" s="73"/>
      <c r="AC859" s="17"/>
      <c r="AD859" s="17"/>
      <c r="AE859" s="17"/>
      <c r="AF859" s="17"/>
      <c r="AG859" s="73"/>
      <c r="AH859" s="17"/>
      <c r="AI859" s="17"/>
      <c r="AJ859" s="17"/>
      <c r="AK859" s="17"/>
      <c r="AL859" s="73"/>
      <c r="AM859" s="17"/>
      <c r="AN859" s="17"/>
      <c r="AO859" s="17"/>
      <c r="AP859" s="17"/>
      <c r="AQ859" s="73"/>
      <c r="AR859" s="17"/>
      <c r="AS859" s="17"/>
      <c r="AT859" s="17"/>
      <c r="AU859" s="17"/>
      <c r="AV859" s="73"/>
      <c r="AW859" s="17"/>
      <c r="AX859" s="17"/>
      <c r="AY859" s="17"/>
      <c r="AZ859" s="17"/>
      <c r="BA859" s="73"/>
      <c r="BB859" s="17"/>
      <c r="BC859" s="17"/>
      <c r="BD859" s="17"/>
      <c r="BE859" s="17"/>
      <c r="BF859" s="73"/>
      <c r="BG859" s="17"/>
      <c r="BH859" s="17"/>
      <c r="BI859" s="17"/>
      <c r="BJ859" s="17"/>
      <c r="BK859" s="73"/>
      <c r="BL859" s="17"/>
      <c r="BM859" s="17"/>
      <c r="BN859" s="17"/>
      <c r="BO859" s="17"/>
      <c r="BP859" s="73"/>
      <c r="BQ859" s="17"/>
      <c r="BR859" s="17"/>
      <c r="BS859" s="17"/>
      <c r="BT859" s="17"/>
      <c r="BU859" s="73"/>
      <c r="BV859" s="17"/>
      <c r="BW859" s="17"/>
      <c r="BX859" s="17"/>
      <c r="BY859" s="17"/>
      <c r="BZ859" s="18"/>
      <c r="CA859" s="17"/>
      <c r="CB859" s="17"/>
      <c r="CC859" s="17"/>
      <c r="CD859" s="17"/>
      <c r="CE859" s="18"/>
      <c r="CF859" s="17"/>
      <c r="CG859" s="17"/>
      <c r="CH859" s="17"/>
      <c r="CI859" s="17"/>
      <c r="CJ859" s="18"/>
      <c r="CK859" s="17"/>
      <c r="CL859" s="17"/>
      <c r="CM859" s="17"/>
      <c r="CN859" s="19"/>
      <c r="CO859" s="18"/>
      <c r="CP859" s="19"/>
      <c r="CQ859" s="17"/>
      <c r="CR859" s="17"/>
      <c r="CS859" s="17"/>
      <c r="CT859" s="18"/>
      <c r="CU859" s="17"/>
      <c r="CV859" s="17"/>
      <c r="CW859" s="17"/>
      <c r="CX859" s="17"/>
      <c r="CY859" s="18"/>
      <c r="CZ859" s="17"/>
      <c r="DA859" s="17"/>
      <c r="DB859" s="17"/>
      <c r="DC859" s="17"/>
      <c r="DD859" s="18"/>
      <c r="DE859" s="17"/>
      <c r="DF859" s="17"/>
      <c r="DG859" s="19"/>
      <c r="DH859" s="17"/>
      <c r="DI859" s="18"/>
      <c r="DJ859" s="19"/>
      <c r="DK859" s="19"/>
      <c r="DL859" s="19"/>
      <c r="DM859" s="17"/>
      <c r="DN859" s="18"/>
      <c r="DO859" s="17"/>
      <c r="DP859" s="17"/>
      <c r="DQ859" s="17"/>
      <c r="DR859" s="17"/>
      <c r="DS859" s="18"/>
      <c r="DT859" s="17"/>
      <c r="DU859" s="17"/>
      <c r="DV859" s="17"/>
      <c r="DW859" s="17"/>
      <c r="DX859" s="18"/>
      <c r="DY859" s="17"/>
      <c r="DZ859" s="17"/>
      <c r="EA859" s="17"/>
      <c r="EB859" s="17"/>
      <c r="EC859" s="18"/>
      <c r="ED859" s="17"/>
      <c r="EE859" s="17"/>
      <c r="EF859" s="17"/>
      <c r="EG859" s="17"/>
      <c r="EH859" s="18"/>
      <c r="EI859" s="25"/>
      <c r="EJ859" s="17"/>
      <c r="EK859" s="17"/>
      <c r="EL859" s="17"/>
      <c r="EM859" s="18"/>
      <c r="EN859" s="17"/>
      <c r="EO859" s="17"/>
      <c r="EP859" s="17"/>
      <c r="EQ859" s="17"/>
      <c r="ER859" s="18"/>
      <c r="ES859" s="17"/>
      <c r="ET859" s="17"/>
      <c r="EU859" s="17"/>
      <c r="EV859" s="17"/>
      <c r="EW859" s="18"/>
      <c r="EX859" s="17"/>
      <c r="EY859" s="17"/>
      <c r="EZ859" s="17"/>
      <c r="FA859" s="17"/>
      <c r="FB859" s="18"/>
      <c r="FC859" s="17"/>
      <c r="FD859" s="17"/>
      <c r="FE859" s="17"/>
      <c r="FF859" s="17"/>
      <c r="FG859" s="18"/>
      <c r="FH859" s="74"/>
      <c r="FI859" s="17"/>
      <c r="FJ859" s="17"/>
      <c r="FK859" s="73"/>
      <c r="FL859" s="17"/>
    </row>
    <row r="860" ht="12.75" hidden="1" customHeight="1" outlineLevel="2">
      <c r="A860" s="4"/>
      <c r="B860" s="578" t="s">
        <v>288</v>
      </c>
      <c r="C860" s="299"/>
      <c r="D860" s="585"/>
      <c r="E860" s="586"/>
      <c r="F860" s="586"/>
      <c r="G860" s="586"/>
      <c r="H860" s="585"/>
      <c r="I860" s="585"/>
      <c r="J860" s="586"/>
      <c r="K860" s="586"/>
      <c r="L860" s="586"/>
      <c r="M860" s="585"/>
      <c r="N860" s="585"/>
      <c r="O860" s="586"/>
      <c r="P860" s="586"/>
      <c r="Q860" s="586"/>
      <c r="R860" s="585"/>
      <c r="S860" s="585"/>
      <c r="T860" s="586"/>
      <c r="U860" s="586"/>
      <c r="V860" s="586"/>
      <c r="W860" s="585"/>
      <c r="X860" s="585"/>
      <c r="Y860" s="586"/>
      <c r="Z860" s="586"/>
      <c r="AA860" s="586"/>
      <c r="AB860" s="585"/>
      <c r="AC860" s="585"/>
      <c r="AD860" s="586"/>
      <c r="AE860" s="586"/>
      <c r="AF860" s="586"/>
      <c r="AG860" s="585"/>
      <c r="AH860" s="585"/>
      <c r="AI860" s="586"/>
      <c r="AJ860" s="586"/>
      <c r="AK860" s="586"/>
      <c r="AL860" s="585"/>
      <c r="AM860" s="585"/>
      <c r="AN860" s="586"/>
      <c r="AO860" s="586"/>
      <c r="AP860" s="586"/>
      <c r="AQ860" s="585"/>
      <c r="AR860" s="585"/>
      <c r="AS860" s="586"/>
      <c r="AT860" s="586"/>
      <c r="AU860" s="586"/>
      <c r="AV860" s="585"/>
      <c r="AW860" s="585"/>
      <c r="AX860" s="586"/>
      <c r="AY860" s="586"/>
      <c r="AZ860" s="586"/>
      <c r="BA860" s="585"/>
      <c r="BB860" s="585"/>
      <c r="BC860" s="586"/>
      <c r="BD860" s="586"/>
      <c r="BE860" s="586"/>
      <c r="BF860" s="585"/>
      <c r="BG860" s="585"/>
      <c r="BH860" s="586"/>
      <c r="BI860" s="586"/>
      <c r="BJ860" s="586"/>
      <c r="BK860" s="585"/>
      <c r="BL860" s="585"/>
      <c r="BM860" s="586"/>
      <c r="BN860" s="586"/>
      <c r="BO860" s="586"/>
      <c r="BP860" s="585"/>
      <c r="BQ860" s="585"/>
      <c r="BR860" s="586"/>
      <c r="BS860" s="586"/>
      <c r="BT860" s="586"/>
      <c r="BU860" s="585"/>
      <c r="BV860" s="585"/>
      <c r="BW860" s="586"/>
      <c r="BX860" s="586"/>
      <c r="BY860" s="586"/>
      <c r="BZ860" s="587"/>
      <c r="CA860" s="585"/>
      <c r="CB860" s="586"/>
      <c r="CC860" s="586"/>
      <c r="CD860" s="586"/>
      <c r="CE860" s="587"/>
      <c r="CF860" s="585"/>
      <c r="CG860" s="586"/>
      <c r="CH860" s="586"/>
      <c r="CI860" s="586"/>
      <c r="CJ860" s="587"/>
      <c r="CK860" s="585"/>
      <c r="CL860" s="586"/>
      <c r="CM860" s="586"/>
      <c r="CN860" s="588"/>
      <c r="CO860" s="587"/>
      <c r="CP860" s="588"/>
      <c r="CQ860" s="586"/>
      <c r="CR860" s="586"/>
      <c r="CS860" s="586"/>
      <c r="CT860" s="587"/>
      <c r="CU860" s="585"/>
      <c r="CV860" s="586"/>
      <c r="CW860" s="586"/>
      <c r="CX860" s="586"/>
      <c r="CY860" s="587"/>
      <c r="CZ860" s="585"/>
      <c r="DA860" s="586"/>
      <c r="DB860" s="586"/>
      <c r="DC860" s="586"/>
      <c r="DD860" s="587"/>
      <c r="DE860" s="585"/>
      <c r="DF860" s="586"/>
      <c r="DG860" s="474"/>
      <c r="DH860" s="586"/>
      <c r="DI860" s="587"/>
      <c r="DJ860" s="589"/>
      <c r="DK860" s="588"/>
      <c r="DL860" s="588"/>
      <c r="DM860" s="586"/>
      <c r="DN860" s="587"/>
      <c r="DO860" s="585"/>
      <c r="DP860" s="586"/>
      <c r="DQ860" s="586"/>
      <c r="DR860" s="586"/>
      <c r="DS860" s="587"/>
      <c r="DT860" s="585"/>
      <c r="DU860" s="585"/>
      <c r="DV860" s="585"/>
      <c r="DW860" s="585"/>
      <c r="DX860" s="587"/>
      <c r="DY860" s="585"/>
      <c r="DZ860" s="585"/>
      <c r="EA860" s="585"/>
      <c r="EB860" s="585"/>
      <c r="EC860" s="587"/>
      <c r="ED860" s="585"/>
      <c r="EE860" s="585"/>
      <c r="EF860" s="585"/>
      <c r="EG860" s="585"/>
      <c r="EH860" s="587"/>
      <c r="EI860" s="590"/>
      <c r="EJ860" s="586"/>
      <c r="EK860" s="586"/>
      <c r="EL860" s="586"/>
      <c r="EM860" s="587"/>
      <c r="EN860" s="585"/>
      <c r="EO860" s="586"/>
      <c r="EP860" s="586"/>
      <c r="EQ860" s="586"/>
      <c r="ER860" s="587"/>
      <c r="ES860" s="585"/>
      <c r="ET860" s="586"/>
      <c r="EU860" s="586"/>
      <c r="EV860" s="586"/>
      <c r="EW860" s="587"/>
      <c r="EX860" s="585"/>
      <c r="EY860" s="586"/>
      <c r="EZ860" s="586"/>
      <c r="FA860" s="586"/>
      <c r="FB860" s="587"/>
      <c r="FC860" s="585"/>
      <c r="FD860" s="586"/>
      <c r="FE860" s="586"/>
      <c r="FF860" s="586"/>
      <c r="FG860" s="587"/>
      <c r="FH860" s="589"/>
      <c r="FI860" s="586"/>
      <c r="FJ860" s="586"/>
      <c r="FK860" s="585"/>
      <c r="FL860" s="585"/>
    </row>
    <row r="861" ht="12.75" hidden="1" customHeight="1" outlineLevel="2">
      <c r="A861" s="4"/>
      <c r="B861" s="4" t="str">
        <f t="shared" ref="B861:B864" si="4275">+B849</f>
        <v>   Microprocessor</v>
      </c>
      <c r="C861" s="4"/>
      <c r="D861" s="15"/>
      <c r="E861" s="15"/>
      <c r="F861" s="15"/>
      <c r="G861" s="15"/>
      <c r="H861" s="410"/>
      <c r="I861" s="15"/>
      <c r="J861" s="15"/>
      <c r="K861" s="15"/>
      <c r="L861" s="15"/>
      <c r="M861" s="410"/>
      <c r="N861" s="15"/>
      <c r="O861" s="15"/>
      <c r="P861" s="15"/>
      <c r="Q861" s="15"/>
      <c r="R861" s="410"/>
      <c r="S861" s="15"/>
      <c r="T861" s="15"/>
      <c r="U861" s="15"/>
      <c r="V861" s="15"/>
      <c r="W861" s="410"/>
      <c r="X861" s="15">
        <f>849:849/Sales</f>
        <v>0.6907293882</v>
      </c>
      <c r="Y861" s="15">
        <f>849:849/Sales</f>
        <v>0.6896144578</v>
      </c>
      <c r="Z861" s="15">
        <f>849:849/Sales</f>
        <v>0.6780277173</v>
      </c>
      <c r="AA861" s="15">
        <f>849:849/Sales</f>
        <v>0.6647811767</v>
      </c>
      <c r="AB861" s="410">
        <f>+AB849/AB12</f>
        <v>0.6804716183</v>
      </c>
      <c r="AC861" s="15" t="str">
        <f>849:849/Sales</f>
        <v>#ERROR!</v>
      </c>
      <c r="AD861" s="15" t="str">
        <f>849:849/Sales</f>
        <v>#ERROR!</v>
      </c>
      <c r="AE861" s="15" t="str">
        <f>849:849/Sales</f>
        <v>#ERROR!</v>
      </c>
      <c r="AF861" s="15" t="str">
        <f>849:849/Sales</f>
        <v>#ERROR!</v>
      </c>
      <c r="AG861" s="410" t="str">
        <f>+AG849/AG12</f>
        <v>#ERROR!</v>
      </c>
      <c r="AH861" s="15">
        <f>849:849/Sales</f>
        <v>0.708597552</v>
      </c>
      <c r="AI861" s="15">
        <f>849:849/Sales</f>
        <v>0.6910903624</v>
      </c>
      <c r="AJ861" s="15">
        <f>849:849/Sales</f>
        <v>0.6946494465</v>
      </c>
      <c r="AK861" s="15">
        <f>849:849/Sales</f>
        <v>0.6938547486</v>
      </c>
      <c r="AL861" s="410">
        <f>+AL849/AL12</f>
        <v>0.6971304738</v>
      </c>
      <c r="AM861" s="15">
        <f>849:849/Sales</f>
        <v>0.7181158347</v>
      </c>
      <c r="AN861" s="15">
        <f>849:849/Sales</f>
        <v>0.7084800469</v>
      </c>
      <c r="AO861" s="15">
        <f>849:849/Sales</f>
        <v>0.72743521</v>
      </c>
      <c r="AP861" s="15">
        <f>849:849/Sales</f>
        <v>0.7422491706</v>
      </c>
      <c r="AQ861" s="410">
        <f>+AQ849/AQ12</f>
        <v>0.7253574865</v>
      </c>
      <c r="AR861" s="15">
        <f>849:849/Sales</f>
        <v>0.7390928192</v>
      </c>
      <c r="AS861" s="15">
        <f>849:849/Sales</f>
        <v>0.7144986955</v>
      </c>
      <c r="AT861" s="15">
        <f>849:849/Sales</f>
        <v>0.6997993153</v>
      </c>
      <c r="AU861" s="15">
        <f>849:849/Sales</f>
        <v>0.708897687</v>
      </c>
      <c r="AV861" s="410">
        <f>+AV849/AV12</f>
        <v>0.7151042123</v>
      </c>
      <c r="AW861" s="15" t="str">
        <f>849:849/Sales</f>
        <v>#ERROR!</v>
      </c>
      <c r="AX861" s="15" t="str">
        <f>849:849/Sales</f>
        <v>#ERROR!</v>
      </c>
      <c r="AY861" s="15" t="str">
        <f>849:849/Sales</f>
        <v>#ERROR!</v>
      </c>
      <c r="AZ861" s="15" t="str">
        <f>849:849/Sales</f>
        <v>#ERROR!</v>
      </c>
      <c r="BA861" s="410" t="str">
        <f>+BA849/BA12</f>
        <v>#ERROR!</v>
      </c>
      <c r="BB861" s="15" t="str">
        <f>849:849/Sales</f>
        <v>#ERROR!</v>
      </c>
      <c r="BC861" s="15" t="str">
        <f>849:849/Sales</f>
        <v>#ERROR!</v>
      </c>
      <c r="BD861" s="15" t="str">
        <f>849:849/Sales</f>
        <v>#ERROR!</v>
      </c>
      <c r="BE861" s="15" t="str">
        <f>849:849/Sales</f>
        <v>#ERROR!</v>
      </c>
      <c r="BF861" s="410" t="str">
        <f>+BF849/BF12</f>
        <v>#ERROR!</v>
      </c>
      <c r="BG861" s="15" t="str">
        <f>849:849/Sales</f>
        <v>#ERROR!</v>
      </c>
      <c r="BH861" s="15" t="str">
        <f>849:849/Sales</f>
        <v>#ERROR!</v>
      </c>
      <c r="BI861" s="15" t="str">
        <f>849:849/Sales</f>
        <v>#ERROR!</v>
      </c>
      <c r="BJ861" s="15" t="str">
        <f>849:849/Sales</f>
        <v>#ERROR!</v>
      </c>
      <c r="BK861" s="410" t="str">
        <f>+BK849/BK12</f>
        <v>#ERROR!</v>
      </c>
      <c r="BL861" s="15" t="str">
        <f>849:849/Sales</f>
        <v>#ERROR!</v>
      </c>
      <c r="BM861" s="15" t="str">
        <f>849:849/Sales</f>
        <v>#ERROR!</v>
      </c>
      <c r="BN861" s="15" t="str">
        <f>849:849/Sales</f>
        <v>#ERROR!</v>
      </c>
      <c r="BO861" s="15" t="str">
        <f>849:849/Sales</f>
        <v>#ERROR!</v>
      </c>
      <c r="BP861" s="410" t="str">
        <f>+BP849/BP12</f>
        <v>#ERROR!</v>
      </c>
      <c r="BQ861" s="15" t="str">
        <f>849:849/Sales</f>
        <v>#ERROR!</v>
      </c>
      <c r="BR861" s="15" t="str">
        <f>849:849/Sales</f>
        <v>#ERROR!</v>
      </c>
      <c r="BS861" s="15" t="str">
        <f>849:849/Sales</f>
        <v>#ERROR!</v>
      </c>
      <c r="BT861" s="15" t="str">
        <f>849:849/Sales</f>
        <v>#ERROR!</v>
      </c>
      <c r="BU861" s="410" t="str">
        <f>+BU849/BU12</f>
        <v>#ERROR!</v>
      </c>
      <c r="BV861" s="15" t="str">
        <f>849:849/Sales</f>
        <v>#ERROR!</v>
      </c>
      <c r="BW861" s="15" t="str">
        <f>849:849/Sales</f>
        <v>#ERROR!</v>
      </c>
      <c r="BX861" s="15" t="str">
        <f>849:849/Sales</f>
        <v>#ERROR!</v>
      </c>
      <c r="BY861" s="15" t="str">
        <f>849:849/Sales</f>
        <v>#ERROR!</v>
      </c>
      <c r="BZ861" s="24" t="str">
        <f>+BZ849/BZ12</f>
        <v>#ERROR!</v>
      </c>
      <c r="CA861" s="15" t="str">
        <f>849:849/Sales</f>
        <v>#ERROR!</v>
      </c>
      <c r="CB861" s="15" t="str">
        <f>849:849/Sales</f>
        <v>#ERROR!</v>
      </c>
      <c r="CC861" s="15" t="str">
        <f>849:849/Sales</f>
        <v>#ERROR!</v>
      </c>
      <c r="CD861" s="15" t="str">
        <f>849:849/Sales</f>
        <v>#ERROR!</v>
      </c>
      <c r="CE861" s="24" t="str">
        <f>+CE849/CE12</f>
        <v>#ERROR!</v>
      </c>
      <c r="CF861" s="15" t="str">
        <f>849:849/Sales</f>
        <v>#ERROR!</v>
      </c>
      <c r="CG861" s="15" t="str">
        <f>849:849/Sales</f>
        <v>#ERROR!</v>
      </c>
      <c r="CH861" s="15" t="str">
        <f>849:849/Sales</f>
        <v>#ERROR!</v>
      </c>
      <c r="CI861" s="15" t="str">
        <f>849:849/Sales</f>
        <v>#ERROR!</v>
      </c>
      <c r="CJ861" s="24" t="str">
        <f>+CJ849/CJ12</f>
        <v>#ERROR!</v>
      </c>
      <c r="CK861" s="15" t="str">
        <f>849:849/Sales</f>
        <v>#ERROR!</v>
      </c>
      <c r="CL861" s="15" t="str">
        <f>849:849/Sales</f>
        <v>#ERROR!</v>
      </c>
      <c r="CM861" s="15" t="str">
        <f>849:849/Sales</f>
        <v>#ERROR!</v>
      </c>
      <c r="CN861" s="40" t="str">
        <f>849:849/Sales</f>
        <v>#ERROR!</v>
      </c>
      <c r="CO861" s="24" t="str">
        <f>+CO849/CO12</f>
        <v>#ERROR!</v>
      </c>
      <c r="CP861" s="40" t="str">
        <f>849:849/Sales</f>
        <v>#ERROR!</v>
      </c>
      <c r="CQ861" s="15" t="str">
        <f>849:849/Sales</f>
        <v>#ERROR!</v>
      </c>
      <c r="CR861" s="15" t="str">
        <f>849:849/Sales</f>
        <v>#ERROR!</v>
      </c>
      <c r="CS861" s="15" t="str">
        <f>849:849/Sales</f>
        <v>#ERROR!</v>
      </c>
      <c r="CT861" s="24" t="str">
        <f>+CT849/CT12</f>
        <v>#ERROR!</v>
      </c>
      <c r="CU861" s="15" t="str">
        <f>849:849/Sales</f>
        <v>#ERROR!</v>
      </c>
      <c r="CV861" s="15" t="str">
        <f>849:849/Sales</f>
        <v>#ERROR!</v>
      </c>
      <c r="CW861" s="15" t="str">
        <f>849:849/Sales</f>
        <v>#ERROR!</v>
      </c>
      <c r="CX861" s="15" t="str">
        <f>849:849/Sales</f>
        <v>#ERROR!</v>
      </c>
      <c r="CY861" s="24" t="str">
        <f>+CY849/CY12</f>
        <v>#ERROR!</v>
      </c>
      <c r="CZ861" s="15" t="str">
        <f>849:849/Sales</f>
        <v>#ERROR!</v>
      </c>
      <c r="DA861" s="15" t="str">
        <f>849:849/Sales</f>
        <v>#ERROR!</v>
      </c>
      <c r="DB861" s="15" t="str">
        <f>849:849/Sales</f>
        <v>#ERROR!</v>
      </c>
      <c r="DC861" s="15" t="str">
        <f>849:849/Sales</f>
        <v>#ERROR!</v>
      </c>
      <c r="DD861" s="24" t="str">
        <f>+DD849/DD12</f>
        <v>#ERROR!</v>
      </c>
      <c r="DE861" s="15" t="str">
        <f>849:849/Sales</f>
        <v>#ERROR!</v>
      </c>
      <c r="DF861" s="15" t="str">
        <f>849:849/Sales</f>
        <v>#ERROR!</v>
      </c>
      <c r="DG861" s="40" t="str">
        <f>849:849/Sales</f>
        <v>#ERROR!</v>
      </c>
      <c r="DH861" s="15" t="str">
        <f>849:849/Sales</f>
        <v>#ERROR!</v>
      </c>
      <c r="DI861" s="24" t="str">
        <f>+DI849/DI12</f>
        <v>#ERROR!</v>
      </c>
      <c r="DJ861" s="40" t="str">
        <f>849:849/Sales</f>
        <v>#ERROR!</v>
      </c>
      <c r="DK861" s="40" t="str">
        <f>849:849/Sales</f>
        <v>#ERROR!</v>
      </c>
      <c r="DL861" s="40" t="str">
        <f>849:849/Sales</f>
        <v>#ERROR!</v>
      </c>
      <c r="DM861" s="15" t="str">
        <f>849:849/Sales</f>
        <v>#ERROR!</v>
      </c>
      <c r="DN861" s="24" t="str">
        <f>+DN849/DN12</f>
        <v>#ERROR!</v>
      </c>
      <c r="DO861" s="15" t="str">
        <f>849:849/Sales</f>
        <v>#ERROR!</v>
      </c>
      <c r="DP861" s="15" t="str">
        <f>849:849/Sales</f>
        <v>#ERROR!</v>
      </c>
      <c r="DQ861" s="15" t="str">
        <f>849:849/Sales</f>
        <v>#ERROR!</v>
      </c>
      <c r="DR861" s="15" t="str">
        <f>849:849/Sales</f>
        <v>#ERROR!</v>
      </c>
      <c r="DS861" s="24" t="str">
        <f>+DS849/DS12</f>
        <v>#ERROR!</v>
      </c>
      <c r="DT861" s="15" t="str">
        <f>849:849/Sales</f>
        <v>#ERROR!</v>
      </c>
      <c r="DU861" s="15" t="str">
        <f>849:849/Sales</f>
        <v>#ERROR!</v>
      </c>
      <c r="DV861" s="15" t="str">
        <f>849:849/Sales</f>
        <v>#ERROR!</v>
      </c>
      <c r="DW861" s="15" t="str">
        <f>849:849/Sales</f>
        <v>#ERROR!</v>
      </c>
      <c r="DX861" s="24" t="str">
        <f>+DX849/DX12</f>
        <v>#ERROR!</v>
      </c>
      <c r="DY861" s="15" t="str">
        <f>849:849/Sales</f>
        <v>#ERROR!</v>
      </c>
      <c r="DZ861" s="15" t="str">
        <f>849:849/Sales</f>
        <v>#ERROR!</v>
      </c>
      <c r="EA861" s="15" t="str">
        <f>849:849/Sales</f>
        <v>#ERROR!</v>
      </c>
      <c r="EB861" s="15" t="str">
        <f>849:849/Sales</f>
        <v>#ERROR!</v>
      </c>
      <c r="EC861" s="24" t="str">
        <f>+EC849/EC12</f>
        <v>#ERROR!</v>
      </c>
      <c r="ED861" s="15" t="str">
        <f>849:849/Sales</f>
        <v>#ERROR!</v>
      </c>
      <c r="EE861" s="15" t="str">
        <f>849:849/Sales</f>
        <v>#ERROR!</v>
      </c>
      <c r="EF861" s="15" t="str">
        <f>849:849/Sales</f>
        <v>#ERROR!</v>
      </c>
      <c r="EG861" s="15" t="str">
        <f>849:849/Sales</f>
        <v>#ERROR!</v>
      </c>
      <c r="EH861" s="24" t="str">
        <f>+EH849/EH12</f>
        <v>#ERROR!</v>
      </c>
      <c r="EI861" s="82" t="str">
        <f>849:849/Sales</f>
        <v>#ERROR!</v>
      </c>
      <c r="EJ861" s="15" t="str">
        <f>849:849/Sales</f>
        <v>#ERROR!</v>
      </c>
      <c r="EK861" s="15" t="str">
        <f>849:849/Sales</f>
        <v>#ERROR!</v>
      </c>
      <c r="EL861" s="15" t="str">
        <f>849:849/Sales</f>
        <v>#ERROR!</v>
      </c>
      <c r="EM861" s="24" t="str">
        <f>+EM849/EM12</f>
        <v>#ERROR!</v>
      </c>
      <c r="EN861" s="15" t="str">
        <f>849:849/Sales</f>
        <v>#ERROR!</v>
      </c>
      <c r="EO861" s="15" t="str">
        <f>849:849/Sales</f>
        <v>#ERROR!</v>
      </c>
      <c r="EP861" s="15" t="str">
        <f>849:849/Sales</f>
        <v>#ERROR!</v>
      </c>
      <c r="EQ861" s="15" t="str">
        <f>849:849/Sales</f>
        <v>#ERROR!</v>
      </c>
      <c r="ER861" s="24" t="str">
        <f>+ER849/ER12</f>
        <v>#ERROR!</v>
      </c>
      <c r="ES861" s="15" t="str">
        <f>849:849/Sales</f>
        <v>#ERROR!</v>
      </c>
      <c r="ET861" s="15" t="str">
        <f>849:849/Sales</f>
        <v>#ERROR!</v>
      </c>
      <c r="EU861" s="15" t="str">
        <f>849:849/Sales</f>
        <v>#ERROR!</v>
      </c>
      <c r="EV861" s="15" t="str">
        <f>849:849/Sales</f>
        <v>#ERROR!</v>
      </c>
      <c r="EW861" s="24" t="str">
        <f>+EW849/EW12</f>
        <v>#ERROR!</v>
      </c>
      <c r="EX861" s="15" t="str">
        <f>849:849/Sales</f>
        <v>#ERROR!</v>
      </c>
      <c r="EY861" s="15" t="str">
        <f>849:849/Sales</f>
        <v>#ERROR!</v>
      </c>
      <c r="EZ861" s="15" t="str">
        <f>849:849/Sales</f>
        <v>#ERROR!</v>
      </c>
      <c r="FA861" s="15" t="str">
        <f>849:849/Sales</f>
        <v>#ERROR!</v>
      </c>
      <c r="FB861" s="24" t="str">
        <f>+FB849/FB12</f>
        <v>#ERROR!</v>
      </c>
      <c r="FC861" s="15" t="str">
        <f>849:849/Sales</f>
        <v>#ERROR!</v>
      </c>
      <c r="FD861" s="15" t="str">
        <f>849:849/Sales</f>
        <v>#ERROR!</v>
      </c>
      <c r="FE861" s="15" t="str">
        <f>849:849/Sales</f>
        <v>#ERROR!</v>
      </c>
      <c r="FF861" s="15" t="str">
        <f>849:849/Sales</f>
        <v>#ERROR!</v>
      </c>
      <c r="FG861" s="24" t="str">
        <f>+FG849/FG12</f>
        <v>#ERROR!</v>
      </c>
      <c r="FH861" s="104"/>
      <c r="FI861" s="15"/>
      <c r="FJ861" s="15"/>
      <c r="FK861" s="410"/>
      <c r="FL861" s="15"/>
    </row>
    <row r="862" ht="12.75" hidden="1" customHeight="1" outlineLevel="2">
      <c r="A862" s="4"/>
      <c r="B862" s="4" t="str">
        <f t="shared" si="4275"/>
        <v>   Chipset</v>
      </c>
      <c r="C862" s="4"/>
      <c r="D862" s="15"/>
      <c r="E862" s="15"/>
      <c r="F862" s="15"/>
      <c r="G862" s="15"/>
      <c r="H862" s="410"/>
      <c r="I862" s="15"/>
      <c r="J862" s="15"/>
      <c r="K862" s="15"/>
      <c r="L862" s="15"/>
      <c r="M862" s="410"/>
      <c r="N862" s="15"/>
      <c r="O862" s="15"/>
      <c r="P862" s="15"/>
      <c r="Q862" s="15"/>
      <c r="R862" s="410"/>
      <c r="S862" s="15"/>
      <c r="T862" s="15"/>
      <c r="U862" s="15"/>
      <c r="V862" s="15"/>
      <c r="W862" s="410"/>
      <c r="X862" s="15">
        <f>+X850/Sales</f>
        <v>0.08757662955</v>
      </c>
      <c r="Y862" s="15">
        <f>+Y850/Sales</f>
        <v>0.08265060241</v>
      </c>
      <c r="Z862" s="15">
        <f>+Z850/Sales</f>
        <v>0.0840705532</v>
      </c>
      <c r="AA862" s="15">
        <f>+AA850/Sales</f>
        <v>0.08013318777</v>
      </c>
      <c r="AB862" s="410">
        <f>+AB850/AB12</f>
        <v>0.08353611457</v>
      </c>
      <c r="AC862" s="15">
        <f>+AC850/Sales</f>
        <v>0.07832698068</v>
      </c>
      <c r="AD862" s="15">
        <f>+AD850/Sales</f>
        <v>0.08752267209</v>
      </c>
      <c r="AE862" s="15">
        <f>+AE850/Sales</f>
        <v>0.09232418326</v>
      </c>
      <c r="AF862" s="15">
        <f>+AF850/Sales</f>
        <v>0.08956192779</v>
      </c>
      <c r="AG862" s="410">
        <f>+AG850/AG12</f>
        <v>0.08692982314</v>
      </c>
      <c r="AH862" s="15">
        <f>+AH850/Sales</f>
        <v>0.07551983483</v>
      </c>
      <c r="AI862" s="15">
        <f>+AI850/Sales</f>
        <v>0.07433138155</v>
      </c>
      <c r="AJ862" s="15">
        <f>+AJ850/Sales</f>
        <v>0.08271832718</v>
      </c>
      <c r="AK862" s="15">
        <f>+AK850/Sales</f>
        <v>0.07951955307</v>
      </c>
      <c r="AL862" s="410">
        <f>+AL850/AL12</f>
        <v>0.07805858616</v>
      </c>
      <c r="AM862" s="15">
        <f>+AM850/Sales</f>
        <v>0.08965782847</v>
      </c>
      <c r="AN862" s="15">
        <f>+AN850/Sales</f>
        <v>0.09589201878</v>
      </c>
      <c r="AO862" s="15">
        <f>+AO850/Sales</f>
        <v>0.09864547428</v>
      </c>
      <c r="AP862" s="15">
        <f>+AP850/Sales</f>
        <v>0.08923464135</v>
      </c>
      <c r="AQ862" s="410">
        <f>+AQ850/AQ12</f>
        <v>0.09328058127</v>
      </c>
      <c r="AR862" s="15">
        <f>+AR850/Sales</f>
        <v>0.08960573477</v>
      </c>
      <c r="AS862" s="15">
        <f>+AS850/Sales</f>
        <v>0.08734004224</v>
      </c>
      <c r="AT862" s="15">
        <f>+AT850/Sales</f>
        <v>0.09526620234</v>
      </c>
      <c r="AU862" s="15">
        <f>+AU850/Sales</f>
        <v>0.0968951865</v>
      </c>
      <c r="AV862" s="410">
        <f>+AV850/AV12</f>
        <v>0.09251951241</v>
      </c>
      <c r="AW862" s="15">
        <f>+AW850/Sales</f>
        <v>0.09289802841</v>
      </c>
      <c r="AX862" s="15">
        <f>+AX850/Sales</f>
        <v>0.09736756581</v>
      </c>
      <c r="AY862" s="15">
        <f>+AY850/Sales</f>
        <v>0.09614457831</v>
      </c>
      <c r="AZ862" s="15">
        <f>+AZ850/Sales</f>
        <v>0.09934320165</v>
      </c>
      <c r="BA862" s="410">
        <f>+BA850/BA12</f>
        <v>0.09648689023</v>
      </c>
      <c r="BB862" s="15">
        <f>+BB850/Sales</f>
        <v>0.09856823266</v>
      </c>
      <c r="BC862" s="15">
        <f>+BC850/Sales</f>
        <v>0.1017043326</v>
      </c>
      <c r="BD862" s="15">
        <f>+BD850/Sales</f>
        <v>0.1033585078</v>
      </c>
      <c r="BE862" s="15">
        <f>+BE850/Sales</f>
        <v>0.1015679802</v>
      </c>
      <c r="BF862" s="410">
        <f>+BF850/BF12</f>
        <v>0.1012831383</v>
      </c>
      <c r="BG862" s="15">
        <f>+BG850/Sales</f>
        <v>0.1057953005</v>
      </c>
      <c r="BH862" s="15">
        <f>+BH850/Sales</f>
        <v>0.1273271889</v>
      </c>
      <c r="BI862" s="15">
        <f>+BI850/Sales</f>
        <v>0.138543112</v>
      </c>
      <c r="BJ862" s="15">
        <f>+BJ850/Sales</f>
        <v>0.1340786034</v>
      </c>
      <c r="BK862" s="410">
        <f>+BK850/BK12</f>
        <v>0.1271938749</v>
      </c>
      <c r="BL862" s="15">
        <f>+BL850/Sales</f>
        <v>0.1375684896</v>
      </c>
      <c r="BM862" s="15">
        <f>+BM850/Sales</f>
        <v>0.1425554382</v>
      </c>
      <c r="BN862" s="15">
        <f>+BN850/Sales</f>
        <v>0.1379954977</v>
      </c>
      <c r="BO862" s="15">
        <f>+BO850/Sales</f>
        <v>0.1247082422</v>
      </c>
      <c r="BP862" s="410">
        <f>+BP850/BP12</f>
        <v>0.1361264833</v>
      </c>
      <c r="BQ862" s="15">
        <f>+BQ850/Sales</f>
        <v>0.1180755773</v>
      </c>
      <c r="BR862" s="15">
        <f>+BR850/Sales</f>
        <v>0.1310692921</v>
      </c>
      <c r="BS862" s="15">
        <f>+BS850/Sales</f>
        <v>0.1416125253</v>
      </c>
      <c r="BT862" s="15" t="str">
        <f>+BT850/Sales</f>
        <v>#ERROR!</v>
      </c>
      <c r="BU862" s="410" t="str">
        <f>+BU850/BU12</f>
        <v>#ERROR!</v>
      </c>
      <c r="BV862" s="15" t="str">
        <f>+BV850/Sales</f>
        <v>#ERROR!</v>
      </c>
      <c r="BW862" s="15" t="str">
        <f>+BW850/Sales</f>
        <v>#ERROR!</v>
      </c>
      <c r="BX862" s="15" t="str">
        <f>+BX850/Sales</f>
        <v>#ERROR!</v>
      </c>
      <c r="BY862" s="15" t="str">
        <f>+BY850/Sales</f>
        <v>#ERROR!</v>
      </c>
      <c r="BZ862" s="24" t="str">
        <f>+BZ850/BZ12</f>
        <v>#ERROR!</v>
      </c>
      <c r="CA862" s="15" t="str">
        <f>+CA850/Sales</f>
        <v>#ERROR!</v>
      </c>
      <c r="CB862" s="15" t="str">
        <f>+CB850/Sales</f>
        <v>#ERROR!</v>
      </c>
      <c r="CC862" s="15" t="str">
        <f>+CC850/Sales</f>
        <v>#ERROR!</v>
      </c>
      <c r="CD862" s="15" t="str">
        <f>+CD850/Sales</f>
        <v>#ERROR!</v>
      </c>
      <c r="CE862" s="24" t="str">
        <f>+CE850/CE12</f>
        <v>#ERROR!</v>
      </c>
      <c r="CF862" s="15" t="str">
        <f>+CF850/Sales</f>
        <v>#ERROR!</v>
      </c>
      <c r="CG862" s="15" t="str">
        <f>+CG850/Sales</f>
        <v>#ERROR!</v>
      </c>
      <c r="CH862" s="15" t="str">
        <f>+CH850/Sales</f>
        <v>#ERROR!</v>
      </c>
      <c r="CI862" s="15" t="str">
        <f>+CI850/Sales</f>
        <v>#ERROR!</v>
      </c>
      <c r="CJ862" s="24" t="str">
        <f>+CJ850/CJ12</f>
        <v>#ERROR!</v>
      </c>
      <c r="CK862" s="15" t="str">
        <f>+CK850/Sales</f>
        <v>#ERROR!</v>
      </c>
      <c r="CL862" s="15" t="str">
        <f>+CL850/Sales</f>
        <v>#ERROR!</v>
      </c>
      <c r="CM862" s="15" t="str">
        <f>+CM850/Sales</f>
        <v>#ERROR!</v>
      </c>
      <c r="CN862" s="40" t="str">
        <f>+CN850/Sales</f>
        <v>#ERROR!</v>
      </c>
      <c r="CO862" s="24" t="str">
        <f>+CO850/CO12</f>
        <v>#ERROR!</v>
      </c>
      <c r="CP862" s="40" t="str">
        <f>+CP850/Sales</f>
        <v>#ERROR!</v>
      </c>
      <c r="CQ862" s="15" t="str">
        <f>+CQ850/Sales</f>
        <v>#ERROR!</v>
      </c>
      <c r="CR862" s="15" t="str">
        <f>+CR850/Sales</f>
        <v>#ERROR!</v>
      </c>
      <c r="CS862" s="15" t="str">
        <f>+CS850/Sales</f>
        <v>#ERROR!</v>
      </c>
      <c r="CT862" s="24" t="str">
        <f>+CT850/CT12</f>
        <v>#ERROR!</v>
      </c>
      <c r="CU862" s="15" t="str">
        <f>+CU850/Sales</f>
        <v>#ERROR!</v>
      </c>
      <c r="CV862" s="15" t="str">
        <f>+CV850/Sales</f>
        <v>#ERROR!</v>
      </c>
      <c r="CW862" s="15" t="str">
        <f>+CW850/Sales</f>
        <v>#ERROR!</v>
      </c>
      <c r="CX862" s="15" t="str">
        <f>+CX850/Sales</f>
        <v>#ERROR!</v>
      </c>
      <c r="CY862" s="24" t="str">
        <f>+CY850/CY12</f>
        <v>#ERROR!</v>
      </c>
      <c r="CZ862" s="15" t="str">
        <f>+CZ850/Sales</f>
        <v>#ERROR!</v>
      </c>
      <c r="DA862" s="15" t="str">
        <f>+DA850/Sales</f>
        <v>#ERROR!</v>
      </c>
      <c r="DB862" s="15" t="str">
        <f>+DB850/Sales</f>
        <v>#ERROR!</v>
      </c>
      <c r="DC862" s="15" t="str">
        <f>+DC850/Sales</f>
        <v>#ERROR!</v>
      </c>
      <c r="DD862" s="24" t="str">
        <f>+DD850/DD12</f>
        <v>#ERROR!</v>
      </c>
      <c r="DE862" s="15" t="str">
        <f>+DE850/Sales</f>
        <v>#ERROR!</v>
      </c>
      <c r="DF862" s="15" t="str">
        <f>+DF850/Sales</f>
        <v>#ERROR!</v>
      </c>
      <c r="DG862" s="40" t="str">
        <f>+DG850/Sales</f>
        <v>#ERROR!</v>
      </c>
      <c r="DH862" s="15" t="str">
        <f>+DH850/Sales</f>
        <v>#ERROR!</v>
      </c>
      <c r="DI862" s="24" t="str">
        <f>+DI850/DI12</f>
        <v>#ERROR!</v>
      </c>
      <c r="DJ862" s="40" t="str">
        <f>+DJ850/Sales</f>
        <v>#ERROR!</v>
      </c>
      <c r="DK862" s="40" t="str">
        <f>+DK850/Sales</f>
        <v>#ERROR!</v>
      </c>
      <c r="DL862" s="40" t="str">
        <f>+DL850/Sales</f>
        <v>#ERROR!</v>
      </c>
      <c r="DM862" s="15" t="str">
        <f>+DM850/Sales</f>
        <v>#ERROR!</v>
      </c>
      <c r="DN862" s="24" t="str">
        <f>+DN850/DN12</f>
        <v>#ERROR!</v>
      </c>
      <c r="DO862" s="15" t="str">
        <f>+DO850/Sales</f>
        <v>#ERROR!</v>
      </c>
      <c r="DP862" s="15" t="str">
        <f>+DP850/Sales</f>
        <v>#ERROR!</v>
      </c>
      <c r="DQ862" s="15" t="str">
        <f>+DQ850/Sales</f>
        <v>#ERROR!</v>
      </c>
      <c r="DR862" s="15" t="str">
        <f>+DR850/Sales</f>
        <v>#ERROR!</v>
      </c>
      <c r="DS862" s="24" t="str">
        <f>+DS850/DS12</f>
        <v>#ERROR!</v>
      </c>
      <c r="DT862" s="15" t="str">
        <f>+DT850/Sales</f>
        <v>#ERROR!</v>
      </c>
      <c r="DU862" s="15" t="str">
        <f>+DU850/Sales</f>
        <v>#ERROR!</v>
      </c>
      <c r="DV862" s="15" t="str">
        <f>+DV850/Sales</f>
        <v>#ERROR!</v>
      </c>
      <c r="DW862" s="15" t="str">
        <f>+DW850/Sales</f>
        <v>#ERROR!</v>
      </c>
      <c r="DX862" s="24" t="str">
        <f>+DX850/DX12</f>
        <v>#ERROR!</v>
      </c>
      <c r="DY862" s="15" t="str">
        <f>+DY850/Sales</f>
        <v>#ERROR!</v>
      </c>
      <c r="DZ862" s="15" t="str">
        <f>+DZ850/Sales</f>
        <v>#ERROR!</v>
      </c>
      <c r="EA862" s="15" t="str">
        <f>+EA850/Sales</f>
        <v>#ERROR!</v>
      </c>
      <c r="EB862" s="15" t="str">
        <f>+EB850/Sales</f>
        <v>#ERROR!</v>
      </c>
      <c r="EC862" s="24" t="str">
        <f>+EC850/EC12</f>
        <v>#ERROR!</v>
      </c>
      <c r="ED862" s="15" t="str">
        <f>+ED850/Sales</f>
        <v>#ERROR!</v>
      </c>
      <c r="EE862" s="15" t="str">
        <f>+EE850/Sales</f>
        <v>#ERROR!</v>
      </c>
      <c r="EF862" s="15" t="str">
        <f>+EF850/Sales</f>
        <v>#ERROR!</v>
      </c>
      <c r="EG862" s="15" t="str">
        <f>+EG850/Sales</f>
        <v>#ERROR!</v>
      </c>
      <c r="EH862" s="24" t="str">
        <f>+EH850/EH12</f>
        <v>#ERROR!</v>
      </c>
      <c r="EI862" s="82" t="str">
        <f>+EI850/Sales</f>
        <v>#ERROR!</v>
      </c>
      <c r="EJ862" s="15" t="str">
        <f>+EJ850/Sales</f>
        <v>#ERROR!</v>
      </c>
      <c r="EK862" s="15" t="str">
        <f>+EK850/Sales</f>
        <v>#ERROR!</v>
      </c>
      <c r="EL862" s="15" t="str">
        <f>+EL850/Sales</f>
        <v>#ERROR!</v>
      </c>
      <c r="EM862" s="24" t="str">
        <f>+EM850/EM12</f>
        <v>#ERROR!</v>
      </c>
      <c r="EN862" s="15" t="str">
        <f>+EN850/Sales</f>
        <v>#ERROR!</v>
      </c>
      <c r="EO862" s="15" t="str">
        <f>+EO850/Sales</f>
        <v>#ERROR!</v>
      </c>
      <c r="EP862" s="15" t="str">
        <f>+EP850/Sales</f>
        <v>#ERROR!</v>
      </c>
      <c r="EQ862" s="15" t="str">
        <f>+EQ850/Sales</f>
        <v>#ERROR!</v>
      </c>
      <c r="ER862" s="24" t="str">
        <f>+ER850/ER12</f>
        <v>#ERROR!</v>
      </c>
      <c r="ES862" s="15" t="str">
        <f>+ES850/Sales</f>
        <v>#ERROR!</v>
      </c>
      <c r="ET862" s="15" t="str">
        <f>+ET850/Sales</f>
        <v>#ERROR!</v>
      </c>
      <c r="EU862" s="15" t="str">
        <f>+EU850/Sales</f>
        <v>#ERROR!</v>
      </c>
      <c r="EV862" s="15" t="str">
        <f>+EV850/Sales</f>
        <v>#ERROR!</v>
      </c>
      <c r="EW862" s="24" t="str">
        <f>+EW850/EW12</f>
        <v>#ERROR!</v>
      </c>
      <c r="EX862" s="15" t="str">
        <f>+EX850/Sales</f>
        <v>#ERROR!</v>
      </c>
      <c r="EY862" s="15" t="str">
        <f>+EY850/Sales</f>
        <v>#ERROR!</v>
      </c>
      <c r="EZ862" s="15" t="str">
        <f>+EZ850/Sales</f>
        <v>#ERROR!</v>
      </c>
      <c r="FA862" s="15" t="str">
        <f>+FA850/Sales</f>
        <v>#ERROR!</v>
      </c>
      <c r="FB862" s="24" t="str">
        <f>+FB850/FB12</f>
        <v>#ERROR!</v>
      </c>
      <c r="FC862" s="15" t="str">
        <f>+FC850/Sales</f>
        <v>#ERROR!</v>
      </c>
      <c r="FD862" s="15" t="str">
        <f>+FD850/Sales</f>
        <v>#ERROR!</v>
      </c>
      <c r="FE862" s="15" t="str">
        <f>+FE850/Sales</f>
        <v>#ERROR!</v>
      </c>
      <c r="FF862" s="15" t="str">
        <f>+FF850/Sales</f>
        <v>#ERROR!</v>
      </c>
      <c r="FG862" s="24" t="str">
        <f>+FG850/FG12</f>
        <v>#ERROR!</v>
      </c>
      <c r="FH862" s="104"/>
      <c r="FI862" s="15"/>
      <c r="FJ862" s="15"/>
      <c r="FK862" s="410"/>
      <c r="FL862" s="15"/>
    </row>
    <row r="863" ht="12.75" hidden="1" customHeight="1" outlineLevel="2">
      <c r="A863" s="4"/>
      <c r="B863" s="4" t="str">
        <f t="shared" si="4275"/>
        <v>   Motherboard</v>
      </c>
      <c r="C863" s="4"/>
      <c r="D863" s="15"/>
      <c r="E863" s="15"/>
      <c r="F863" s="15"/>
      <c r="G863" s="15"/>
      <c r="H863" s="410"/>
      <c r="I863" s="15"/>
      <c r="J863" s="15"/>
      <c r="K863" s="15"/>
      <c r="L863" s="15"/>
      <c r="M863" s="410"/>
      <c r="N863" s="15"/>
      <c r="O863" s="15"/>
      <c r="P863" s="15"/>
      <c r="Q863" s="15"/>
      <c r="R863" s="410"/>
      <c r="S863" s="15"/>
      <c r="T863" s="15"/>
      <c r="U863" s="15"/>
      <c r="V863" s="15"/>
      <c r="W863" s="410"/>
      <c r="X863" s="15">
        <f>X851/Sales</f>
        <v>0.04503940948</v>
      </c>
      <c r="Y863" s="15">
        <f>Y851/Sales</f>
        <v>0.04207228916</v>
      </c>
      <c r="Z863" s="15">
        <f>Z851/Sales</f>
        <v>0.04399496049</v>
      </c>
      <c r="AA863" s="15">
        <f>AA851/Sales</f>
        <v>0.04237591358</v>
      </c>
      <c r="AB863" s="410">
        <f>+AB851/AB12</f>
        <v>0.04335157445</v>
      </c>
      <c r="AC863" s="15">
        <f>AC851/Sales</f>
        <v>0.03865937397</v>
      </c>
      <c r="AD863" s="15">
        <f>AD851/Sales</f>
        <v>0.03463993432</v>
      </c>
      <c r="AE863" s="15">
        <f>AE851/Sales</f>
        <v>0.036205056</v>
      </c>
      <c r="AF863" s="15">
        <f>AF851/Sales</f>
        <v>0.03529150439</v>
      </c>
      <c r="AG863" s="410">
        <f>+AG851/AG12</f>
        <v>0.03620862318</v>
      </c>
      <c r="AH863" s="15">
        <f>AH851/Sales</f>
        <v>0.06649461731</v>
      </c>
      <c r="AI863" s="15">
        <f>AI851/Sales</f>
        <v>0.0595505618</v>
      </c>
      <c r="AJ863" s="15">
        <f>AJ851/Sales</f>
        <v>0.05396678967</v>
      </c>
      <c r="AK863" s="15">
        <f>AK851/Sales</f>
        <v>0.05455865922</v>
      </c>
      <c r="AL863" s="410">
        <f>+AL851/AL12</f>
        <v>0.05861754596</v>
      </c>
      <c r="AM863" s="15">
        <f>AM851/Sales</f>
        <v>0.04543326915</v>
      </c>
      <c r="AN863" s="15">
        <f>AN851/Sales</f>
        <v>0.0514084507</v>
      </c>
      <c r="AO863" s="15">
        <f>AO851/Sales</f>
        <v>0.04689263373</v>
      </c>
      <c r="AP863" s="15">
        <f>AP851/Sales</f>
        <v>0.0461045647</v>
      </c>
      <c r="AQ863" s="410">
        <f>+AQ851/AQ12</f>
        <v>0.04735841545</v>
      </c>
      <c r="AR863" s="15">
        <f>AR851/Sales</f>
        <v>0.03955011741</v>
      </c>
      <c r="AS863" s="15">
        <f>AS851/Sales</f>
        <v>0.03975649149</v>
      </c>
      <c r="AT863" s="15">
        <f>AT851/Sales</f>
        <v>0.04757407626</v>
      </c>
      <c r="AU863" s="15">
        <f>AU851/Sales</f>
        <v>0.0516774328</v>
      </c>
      <c r="AV863" s="410">
        <f>+AV851/AV12</f>
        <v>0.04498816101</v>
      </c>
      <c r="AW863" s="15">
        <f>AW851/Sales</f>
        <v>0.06008055968</v>
      </c>
      <c r="AX863" s="15">
        <f>AX851/Sales</f>
        <v>0.06057848554</v>
      </c>
      <c r="AY863" s="15">
        <f>AY851/Sales</f>
        <v>0.05759036145</v>
      </c>
      <c r="AZ863" s="15">
        <f>AZ851/Sales</f>
        <v>0.05787667876</v>
      </c>
      <c r="BA863" s="410">
        <f>+BA851/BA12</f>
        <v>0.05898109514</v>
      </c>
      <c r="BB863" s="15">
        <f>BB851/Sales</f>
        <v>0.05615212528</v>
      </c>
      <c r="BC863" s="15">
        <f>BC851/Sales</f>
        <v>0.07208765139</v>
      </c>
      <c r="BD863" s="15">
        <f>BD851/Sales</f>
        <v>0.07337796087</v>
      </c>
      <c r="BE863" s="15">
        <f>BE851/Sales</f>
        <v>0.07415411595</v>
      </c>
      <c r="BF863" s="410">
        <f>+BF851/BF12</f>
        <v>0.06894607428</v>
      </c>
      <c r="BG863" s="15">
        <f>BG851/Sales</f>
        <v>0.08086308179</v>
      </c>
      <c r="BH863" s="15">
        <f>BH851/Sales</f>
        <v>0.06785714286</v>
      </c>
      <c r="BI863" s="15">
        <f>BI851/Sales</f>
        <v>0.06232903865</v>
      </c>
      <c r="BJ863" s="15">
        <f>BJ851/Sales</f>
        <v>0.05927464526</v>
      </c>
      <c r="BK863" s="410">
        <f>+BK851/BK12</f>
        <v>0.06700709553</v>
      </c>
      <c r="BL863" s="15">
        <f>BL851/Sales</f>
        <v>0.05605809987</v>
      </c>
      <c r="BM863" s="15">
        <f>BM851/Sales</f>
        <v>0.06011087645</v>
      </c>
      <c r="BN863" s="15">
        <f>BN851/Sales</f>
        <v>0.05501125575</v>
      </c>
      <c r="BO863" s="15">
        <f>BO851/Sales</f>
        <v>0.04567833698</v>
      </c>
      <c r="BP863" s="410">
        <f>+BP851/BP12</f>
        <v>0.05452296068</v>
      </c>
      <c r="BQ863" s="15">
        <f>BQ851/Sales</f>
        <v>0.04729881036</v>
      </c>
      <c r="BR863" s="15">
        <f>BR851/Sales</f>
        <v>0.0496884347</v>
      </c>
      <c r="BS863" s="15">
        <f>BS851/Sales</f>
        <v>0.04984556396</v>
      </c>
      <c r="BT863" s="15">
        <f>BT851/Sales</f>
        <v>0.009235576289</v>
      </c>
      <c r="BU863" s="410">
        <f>+BU851/BU12</f>
        <v>0.03707292982</v>
      </c>
      <c r="BV863" s="15">
        <f>BV851/Sales</f>
        <v>0.008610983726</v>
      </c>
      <c r="BW863" s="15">
        <f>BW851/Sales</f>
        <v>0.009512992224</v>
      </c>
      <c r="BX863" s="15">
        <f>BX851/Sales</f>
        <v>0.009553258413</v>
      </c>
      <c r="BY863" s="15">
        <f>BY851/Sales</f>
        <v>0.01075738416</v>
      </c>
      <c r="BZ863" s="24">
        <f>+BZ851/BZ12</f>
        <v>0.009637106753</v>
      </c>
      <c r="CA863" s="15">
        <f>CA851/Sales</f>
        <v>0.007685873829</v>
      </c>
      <c r="CB863" s="15">
        <f>CB851/Sales</f>
        <v>0.007720173296</v>
      </c>
      <c r="CC863" s="15">
        <f>CC851/Sales</f>
        <v>0.007243928563</v>
      </c>
      <c r="CD863" s="15">
        <f>CD851/Sales</f>
        <v>0.007968528228</v>
      </c>
      <c r="CE863" s="24">
        <f>+CE851/CE12</f>
        <v>0.007650354751</v>
      </c>
      <c r="CF863" s="15">
        <f>CF851/Sales</f>
        <v>0.007700765733</v>
      </c>
      <c r="CG863" s="15">
        <f>CG851/Sales</f>
        <v>0.008407177022</v>
      </c>
      <c r="CH863" s="15">
        <f>CH851/Sales</f>
        <v>0.008279612576</v>
      </c>
      <c r="CI863" s="15">
        <f>CI851/Sales</f>
        <v>0.008668238421</v>
      </c>
      <c r="CJ863" s="24">
        <f>+CJ851/CJ12</f>
        <v>0.008270035717</v>
      </c>
      <c r="CK863" s="15">
        <f>CK851/Sales</f>
        <v>0.008849685117</v>
      </c>
      <c r="CL863" s="15">
        <f>CL851/Sales</f>
        <v>0.008987553766</v>
      </c>
      <c r="CM863" s="15">
        <f>CM851/Sales</f>
        <v>0.009194744257</v>
      </c>
      <c r="CN863" s="40">
        <f>CN851/Sales</f>
        <v>0.009249159784</v>
      </c>
      <c r="CO863" s="24">
        <f>+CO851/CO12</f>
        <v>0.00907631106</v>
      </c>
      <c r="CP863" s="40">
        <f>CP851/Sales</f>
        <v>0.009435157089</v>
      </c>
      <c r="CQ863" s="15">
        <f>CQ851/Sales</f>
        <v>0.01019661336</v>
      </c>
      <c r="CR863" s="15">
        <f>CR851/Sales</f>
        <v>0.01068329884</v>
      </c>
      <c r="CS863" s="15">
        <f>CS851/Sales</f>
        <v>0.01166463059</v>
      </c>
      <c r="CT863" s="24">
        <f>+CT851/CT12</f>
        <v>0.01053623524</v>
      </c>
      <c r="CU863" s="15">
        <f>CU851/Sales</f>
        <v>0.01231856008</v>
      </c>
      <c r="CV863" s="15">
        <f>CV851/Sales</f>
        <v>0.01250377761</v>
      </c>
      <c r="CW863" s="15">
        <f>CW851/Sales</f>
        <v>0.01332793885</v>
      </c>
      <c r="CX863" s="15">
        <f>CX851/Sales</f>
        <v>0.012354499</v>
      </c>
      <c r="CY863" s="24">
        <f>+CY851/CY12</f>
        <v>0.01263615745</v>
      </c>
      <c r="CZ863" s="15">
        <f>CZ851/Sales</f>
        <v>0.01218892701</v>
      </c>
      <c r="DA863" s="15">
        <f>DA851/Sales</f>
        <v>0.01314804774</v>
      </c>
      <c r="DB863" s="15">
        <f>DB851/Sales</f>
        <v>0.01223840481</v>
      </c>
      <c r="DC863" s="15">
        <f>DC851/Sales</f>
        <v>0.01233526922</v>
      </c>
      <c r="DD863" s="24">
        <f>+DD851/DD12</f>
        <v>0.01246053123</v>
      </c>
      <c r="DE863" s="15">
        <f>DE851/Sales</f>
        <v>0.01257553639</v>
      </c>
      <c r="DF863" s="15">
        <f>DF851/Sales</f>
        <v>0.01294693392</v>
      </c>
      <c r="DG863" s="40">
        <f>DG851/Sales</f>
        <v>0.01298012591</v>
      </c>
      <c r="DH863" s="15">
        <f>DH851/Sales</f>
        <v>0.01226389876</v>
      </c>
      <c r="DI863" s="24">
        <f>+DI851/DI12</f>
        <v>0.01268232725</v>
      </c>
      <c r="DJ863" s="40">
        <f>DJ851/Sales</f>
        <v>0.01255875742</v>
      </c>
      <c r="DK863" s="40">
        <f>DK851/Sales</f>
        <v>0.01295407699</v>
      </c>
      <c r="DL863" s="40">
        <f>DL851/Sales</f>
        <v>0.01271929712</v>
      </c>
      <c r="DM863" s="15">
        <f>DM851/Sales</f>
        <v>0.01301574431</v>
      </c>
      <c r="DN863" s="24">
        <f>+DN851/DN12</f>
        <v>0.0128171675</v>
      </c>
      <c r="DO863" s="15">
        <f>DO851/Sales</f>
        <v>0.01428217398</v>
      </c>
      <c r="DP863" s="15">
        <f>DP851/Sales</f>
        <v>0.01488840229</v>
      </c>
      <c r="DQ863" s="15">
        <f>DQ851/Sales</f>
        <v>0.01387459492</v>
      </c>
      <c r="DR863" s="15">
        <f>DR851/Sales</f>
        <v>0.01370534135</v>
      </c>
      <c r="DS863" s="24">
        <f>+DS851/DS12</f>
        <v>0.01415054257</v>
      </c>
      <c r="DT863" s="15">
        <f>DT851/Sales</f>
        <v>0.01319313871</v>
      </c>
      <c r="DU863" s="15">
        <f>DU851/Sales</f>
        <v>0.0142103972</v>
      </c>
      <c r="DV863" s="15">
        <f>DV851/Sales</f>
        <v>0.01657430607</v>
      </c>
      <c r="DW863" s="15">
        <f>DW851/Sales</f>
        <v>0.0158227881</v>
      </c>
      <c r="DX863" s="24">
        <f>+DX851/DX12</f>
        <v>0.01492160587</v>
      </c>
      <c r="DY863" s="15">
        <f>DY851/Sales</f>
        <v>0.01608237656</v>
      </c>
      <c r="DZ863" s="15">
        <f>DZ851/Sales</f>
        <v>0.01727134872</v>
      </c>
      <c r="EA863" s="15">
        <f>EA851/Sales</f>
        <v>0.01918742262</v>
      </c>
      <c r="EB863" s="15">
        <f>EB851/Sales</f>
        <v>0.01848537248</v>
      </c>
      <c r="EC863" s="24">
        <f>+EC851/EC12</f>
        <v>0.01775709357</v>
      </c>
      <c r="ED863" s="15">
        <f>ED851/Sales</f>
        <v>0</v>
      </c>
      <c r="EE863" s="15">
        <f>EE851/Sales</f>
        <v>0</v>
      </c>
      <c r="EF863" s="15">
        <f>EF851/Sales</f>
        <v>0</v>
      </c>
      <c r="EG863" s="15">
        <f>EG851/Sales</f>
        <v>0</v>
      </c>
      <c r="EH863" s="24">
        <f>+EH851/EH12</f>
        <v>0</v>
      </c>
      <c r="EI863" s="82" t="str">
        <f>EI851/Sales</f>
        <v>#ERROR!</v>
      </c>
      <c r="EJ863" s="15" t="str">
        <f>EJ851/Sales</f>
        <v>#ERROR!</v>
      </c>
      <c r="EK863" s="15" t="str">
        <f>EK851/Sales</f>
        <v>#ERROR!</v>
      </c>
      <c r="EL863" s="15" t="str">
        <f>EL851/Sales</f>
        <v>#ERROR!</v>
      </c>
      <c r="EM863" s="24" t="str">
        <f>+EM851/EM12</f>
        <v>#ERROR!</v>
      </c>
      <c r="EN863" s="15" t="str">
        <f>EN851/Sales</f>
        <v>#ERROR!</v>
      </c>
      <c r="EO863" s="15" t="str">
        <f>EO851/Sales</f>
        <v>#ERROR!</v>
      </c>
      <c r="EP863" s="15" t="str">
        <f>EP851/Sales</f>
        <v>#ERROR!</v>
      </c>
      <c r="EQ863" s="15" t="str">
        <f>EQ851/Sales</f>
        <v>#ERROR!</v>
      </c>
      <c r="ER863" s="24" t="str">
        <f>+ER851/ER12</f>
        <v>#ERROR!</v>
      </c>
      <c r="ES863" s="15" t="str">
        <f>ES851/Sales</f>
        <v>#ERROR!</v>
      </c>
      <c r="ET863" s="15" t="str">
        <f>ET851/Sales</f>
        <v>#ERROR!</v>
      </c>
      <c r="EU863" s="15" t="str">
        <f>EU851/Sales</f>
        <v>#ERROR!</v>
      </c>
      <c r="EV863" s="15" t="str">
        <f>EV851/Sales</f>
        <v>#ERROR!</v>
      </c>
      <c r="EW863" s="24" t="str">
        <f>+EW851/EW12</f>
        <v>#ERROR!</v>
      </c>
      <c r="EX863" s="15" t="str">
        <f>EX851/Sales</f>
        <v>#ERROR!</v>
      </c>
      <c r="EY863" s="15" t="str">
        <f>EY851/Sales</f>
        <v>#ERROR!</v>
      </c>
      <c r="EZ863" s="15" t="str">
        <f>EZ851/Sales</f>
        <v>#ERROR!</v>
      </c>
      <c r="FA863" s="15" t="str">
        <f>FA851/Sales</f>
        <v>#ERROR!</v>
      </c>
      <c r="FB863" s="24" t="str">
        <f>+FB851/FB12</f>
        <v>#ERROR!</v>
      </c>
      <c r="FC863" s="15" t="str">
        <f>FC851/Sales</f>
        <v>#ERROR!</v>
      </c>
      <c r="FD863" s="15" t="str">
        <f>FD851/Sales</f>
        <v>#ERROR!</v>
      </c>
      <c r="FE863" s="15" t="str">
        <f>FE851/Sales</f>
        <v>#ERROR!</v>
      </c>
      <c r="FF863" s="15" t="str">
        <f>FF851/Sales</f>
        <v>#ERROR!</v>
      </c>
      <c r="FG863" s="24" t="str">
        <f>+FG851/FG12</f>
        <v>#ERROR!</v>
      </c>
      <c r="FH863" s="104"/>
      <c r="FI863" s="15"/>
      <c r="FJ863" s="15"/>
      <c r="FK863" s="410"/>
      <c r="FL863" s="15"/>
    </row>
    <row r="864" ht="12.75" hidden="1" customHeight="1" outlineLevel="2">
      <c r="A864" s="45"/>
      <c r="B864" s="45" t="str">
        <f t="shared" si="4275"/>
        <v>Architecture group - IAG</v>
      </c>
      <c r="C864" s="45"/>
      <c r="D864" s="410"/>
      <c r="E864" s="410"/>
      <c r="F864" s="410"/>
      <c r="G864" s="410"/>
      <c r="H864" s="410">
        <f>+H852/H12</f>
        <v>0.9023360675</v>
      </c>
      <c r="I864" s="410"/>
      <c r="J864" s="410"/>
      <c r="K864" s="410"/>
      <c r="L864" s="410"/>
      <c r="M864" s="410">
        <f>+M852/M12</f>
        <v>0.9045909617</v>
      </c>
      <c r="N864" s="410"/>
      <c r="O864" s="410"/>
      <c r="P864" s="410"/>
      <c r="Q864" s="410"/>
      <c r="R864" s="410">
        <f>+R852/R12</f>
        <v>0.9078902295</v>
      </c>
      <c r="S864" s="410">
        <f>IABG/Sales</f>
        <v>0.9051105167</v>
      </c>
      <c r="T864" s="410">
        <f>IABG/Sales</f>
        <v>0.8240438779</v>
      </c>
      <c r="U864" s="410">
        <f>IABG/Sales</f>
        <v>0.855349345</v>
      </c>
      <c r="V864" s="410">
        <f>IABG/Sales</f>
        <v>0.8479055041</v>
      </c>
      <c r="W864" s="410">
        <f>+W852/W12</f>
        <v>0.866276498</v>
      </c>
      <c r="X864" s="410">
        <f>IABG/Sales</f>
        <v>0.8233454272</v>
      </c>
      <c r="Y864" s="410">
        <f>IABG/Sales</f>
        <v>0.8143373494</v>
      </c>
      <c r="Z864" s="410">
        <f>IABG/Sales</f>
        <v>0.806093231</v>
      </c>
      <c r="AA864" s="410">
        <f>IABG/Sales</f>
        <v>0.7872902781</v>
      </c>
      <c r="AB864" s="410">
        <f>+AB852/AB12</f>
        <v>0.809375556</v>
      </c>
      <c r="AC864" s="410">
        <f>IABG/Sales</f>
        <v>0.7687584244</v>
      </c>
      <c r="AD864" s="410">
        <f>IABG/Sales</f>
        <v>0.8094411115</v>
      </c>
      <c r="AE864" s="410">
        <f>IABG/Sales</f>
        <v>0.8239877769</v>
      </c>
      <c r="AF864" s="410">
        <f>IABG/Sales</f>
        <v>0.8295861378</v>
      </c>
      <c r="AG864" s="410">
        <f>+AG852/AG12</f>
        <v>0.8080937488</v>
      </c>
      <c r="AH864" s="410">
        <f>IABG/Sales</f>
        <v>0.8506120041</v>
      </c>
      <c r="AI864" s="410">
        <f>IABG/Sales</f>
        <v>0.8249723057</v>
      </c>
      <c r="AJ864" s="410">
        <f>IABG/Sales</f>
        <v>0.8313345633</v>
      </c>
      <c r="AK864" s="410">
        <f>IABG/Sales</f>
        <v>0.8279329609</v>
      </c>
      <c r="AL864" s="410">
        <f>+AL852/AL12</f>
        <v>0.8338066059</v>
      </c>
      <c r="AM864" s="410">
        <f>IABG/Sales</f>
        <v>0.8532069323</v>
      </c>
      <c r="AN864" s="410">
        <f>IABG/Sales</f>
        <v>0.8557805164</v>
      </c>
      <c r="AO864" s="410">
        <f>IABG/Sales</f>
        <v>0.872973318</v>
      </c>
      <c r="AP864" s="410">
        <f>IABG/Sales</f>
        <v>0.8775883766</v>
      </c>
      <c r="AQ864" s="410">
        <f>+AQ852/AQ12</f>
        <v>0.8659964832</v>
      </c>
      <c r="AR864" s="410">
        <f>IABG/Sales</f>
        <v>0.8682486714</v>
      </c>
      <c r="AS864" s="410">
        <f>IABG/Sales</f>
        <v>0.8415952292</v>
      </c>
      <c r="AT864" s="410">
        <f>IABG/Sales</f>
        <v>0.8426395939</v>
      </c>
      <c r="AU864" s="410">
        <f>IABG/Sales</f>
        <v>0.8574703063</v>
      </c>
      <c r="AV864" s="410">
        <f>+AV852/AV12</f>
        <v>0.8526118858</v>
      </c>
      <c r="AW864" s="410" t="str">
        <f>IABG/Sales</f>
        <v>#ERROR!</v>
      </c>
      <c r="AX864" s="410" t="str">
        <f>IABG/Sales</f>
        <v>#ERROR!</v>
      </c>
      <c r="AY864" s="410" t="str">
        <f>IABG/Sales</f>
        <v>#ERROR!</v>
      </c>
      <c r="AZ864" s="410" t="str">
        <f>IABG/Sales</f>
        <v>#ERROR!</v>
      </c>
      <c r="BA864" s="410" t="str">
        <f>+BA852/BA12</f>
        <v>#ERROR!</v>
      </c>
      <c r="BB864" s="410" t="str">
        <f>IABG/Sales</f>
        <v>#ERROR!</v>
      </c>
      <c r="BC864" s="410" t="str">
        <f>IABG/Sales</f>
        <v>#ERROR!</v>
      </c>
      <c r="BD864" s="410" t="str">
        <f>IABG/Sales</f>
        <v>#ERROR!</v>
      </c>
      <c r="BE864" s="410" t="str">
        <f>IABG/Sales</f>
        <v>#ERROR!</v>
      </c>
      <c r="BF864" s="410" t="str">
        <f>+BF852/BF12</f>
        <v>#ERROR!</v>
      </c>
      <c r="BG864" s="410" t="str">
        <f>IABG/Sales</f>
        <v>#ERROR!</v>
      </c>
      <c r="BH864" s="410" t="str">
        <f>IABG/Sales</f>
        <v>#ERROR!</v>
      </c>
      <c r="BI864" s="410" t="str">
        <f>IABG/Sales</f>
        <v>#ERROR!</v>
      </c>
      <c r="BJ864" s="410" t="str">
        <f>IABG/Sales</f>
        <v>#ERROR!</v>
      </c>
      <c r="BK864" s="410" t="str">
        <f>+BK852/BK12</f>
        <v>#ERROR!</v>
      </c>
      <c r="BL864" s="410" t="str">
        <f>IABG/Sales</f>
        <v>#ERROR!</v>
      </c>
      <c r="BM864" s="410" t="str">
        <f>IABG/Sales</f>
        <v>#ERROR!</v>
      </c>
      <c r="BN864" s="410" t="str">
        <f>IABG/Sales</f>
        <v>#ERROR!</v>
      </c>
      <c r="BO864" s="410" t="str">
        <f>IABG/Sales</f>
        <v>#ERROR!</v>
      </c>
      <c r="BP864" s="410" t="str">
        <f>+BP852/BP12</f>
        <v>#ERROR!</v>
      </c>
      <c r="BQ864" s="410" t="str">
        <f>IABG/Sales</f>
        <v>#ERROR!</v>
      </c>
      <c r="BR864" s="410" t="str">
        <f>IABG/Sales</f>
        <v>#ERROR!</v>
      </c>
      <c r="BS864" s="410" t="str">
        <f>IABG/Sales</f>
        <v>#ERROR!</v>
      </c>
      <c r="BT864" s="410" t="str">
        <f>IABG/Sales</f>
        <v>#ERROR!</v>
      </c>
      <c r="BU864" s="410" t="str">
        <f>+BU852/BU12</f>
        <v>#ERROR!</v>
      </c>
      <c r="BV864" s="410" t="str">
        <f>IABG/Sales</f>
        <v>#ERROR!</v>
      </c>
      <c r="BW864" s="410" t="str">
        <f>IABG/Sales</f>
        <v>#ERROR!</v>
      </c>
      <c r="BX864" s="410" t="str">
        <f>IABG/Sales</f>
        <v>#ERROR!</v>
      </c>
      <c r="BY864" s="410" t="str">
        <f>IABG/Sales</f>
        <v>#ERROR!</v>
      </c>
      <c r="BZ864" s="24" t="str">
        <f>+BZ852/BZ12</f>
        <v>#ERROR!</v>
      </c>
      <c r="CA864" s="410" t="str">
        <f>IABG/Sales</f>
        <v>#ERROR!</v>
      </c>
      <c r="CB864" s="410" t="str">
        <f>IABG/Sales</f>
        <v>#ERROR!</v>
      </c>
      <c r="CC864" s="410" t="str">
        <f>IABG/Sales</f>
        <v>#ERROR!</v>
      </c>
      <c r="CD864" s="410" t="str">
        <f>IABG/Sales</f>
        <v>#ERROR!</v>
      </c>
      <c r="CE864" s="24" t="str">
        <f>+CE852/CE12</f>
        <v>#ERROR!</v>
      </c>
      <c r="CF864" s="410" t="str">
        <f>IABG/Sales</f>
        <v>#ERROR!</v>
      </c>
      <c r="CG864" s="410" t="str">
        <f>IABG/Sales</f>
        <v>#ERROR!</v>
      </c>
      <c r="CH864" s="410" t="str">
        <f>IABG/Sales</f>
        <v>#ERROR!</v>
      </c>
      <c r="CI864" s="410" t="str">
        <f>IABG/Sales</f>
        <v>#ERROR!</v>
      </c>
      <c r="CJ864" s="24" t="str">
        <f>+CJ852/CJ12</f>
        <v>#ERROR!</v>
      </c>
      <c r="CK864" s="410" t="str">
        <f>IABG/Sales</f>
        <v>#ERROR!</v>
      </c>
      <c r="CL864" s="410" t="str">
        <f>IABG/Sales</f>
        <v>#ERROR!</v>
      </c>
      <c r="CM864" s="410" t="str">
        <f>IABG/Sales</f>
        <v>#ERROR!</v>
      </c>
      <c r="CN864" s="104" t="str">
        <f>IABG/Sales</f>
        <v>#ERROR!</v>
      </c>
      <c r="CO864" s="24" t="str">
        <f>+CO852/CO12</f>
        <v>#ERROR!</v>
      </c>
      <c r="CP864" s="104" t="str">
        <f>IABG/Sales</f>
        <v>#ERROR!</v>
      </c>
      <c r="CQ864" s="410" t="str">
        <f>IABG/Sales</f>
        <v>#ERROR!</v>
      </c>
      <c r="CR864" s="410" t="str">
        <f>IABG/Sales</f>
        <v>#ERROR!</v>
      </c>
      <c r="CS864" s="410" t="str">
        <f>IABG/Sales</f>
        <v>#ERROR!</v>
      </c>
      <c r="CT864" s="24" t="str">
        <f>+CT852/CT12</f>
        <v>#ERROR!</v>
      </c>
      <c r="CU864" s="410" t="str">
        <f>IABG/Sales</f>
        <v>#ERROR!</v>
      </c>
      <c r="CV864" s="410" t="str">
        <f>IABG/Sales</f>
        <v>#ERROR!</v>
      </c>
      <c r="CW864" s="410" t="str">
        <f>IABG/Sales</f>
        <v>#ERROR!</v>
      </c>
      <c r="CX864" s="410" t="str">
        <f>IABG/Sales</f>
        <v>#ERROR!</v>
      </c>
      <c r="CY864" s="24" t="str">
        <f>+CY852/CY12</f>
        <v>#ERROR!</v>
      </c>
      <c r="CZ864" s="410" t="str">
        <f>IABG/Sales</f>
        <v>#ERROR!</v>
      </c>
      <c r="DA864" s="410" t="str">
        <f>IABG/Sales</f>
        <v>#ERROR!</v>
      </c>
      <c r="DB864" s="410" t="str">
        <f>IABG/Sales</f>
        <v>#ERROR!</v>
      </c>
      <c r="DC864" s="410" t="str">
        <f>IABG/Sales</f>
        <v>#ERROR!</v>
      </c>
      <c r="DD864" s="24" t="str">
        <f>+DD852/DD12</f>
        <v>#ERROR!</v>
      </c>
      <c r="DE864" s="410" t="str">
        <f>IABG/Sales</f>
        <v>#ERROR!</v>
      </c>
      <c r="DF864" s="410" t="str">
        <f>IABG/Sales</f>
        <v>#ERROR!</v>
      </c>
      <c r="DG864" s="104" t="str">
        <f>IABG/Sales</f>
        <v>#ERROR!</v>
      </c>
      <c r="DH864" s="410" t="str">
        <f>IABG/Sales</f>
        <v>#ERROR!</v>
      </c>
      <c r="DI864" s="24" t="str">
        <f>+DI852/DI12</f>
        <v>#ERROR!</v>
      </c>
      <c r="DJ864" s="104" t="str">
        <f>IABG/Sales</f>
        <v>#ERROR!</v>
      </c>
      <c r="DK864" s="104" t="str">
        <f>IABG/Sales</f>
        <v>#ERROR!</v>
      </c>
      <c r="DL864" s="104" t="str">
        <f>IABG/Sales</f>
        <v>#ERROR!</v>
      </c>
      <c r="DM864" s="410" t="str">
        <f>IABG/Sales</f>
        <v>#ERROR!</v>
      </c>
      <c r="DN864" s="24" t="str">
        <f>+DN852/DN12</f>
        <v>#ERROR!</v>
      </c>
      <c r="DO864" s="410" t="str">
        <f>IABG/Sales</f>
        <v>#ERROR!</v>
      </c>
      <c r="DP864" s="410" t="str">
        <f>IABG/Sales</f>
        <v>#ERROR!</v>
      </c>
      <c r="DQ864" s="410" t="str">
        <f>IABG/Sales</f>
        <v>#ERROR!</v>
      </c>
      <c r="DR864" s="410" t="str">
        <f>IABG/Sales</f>
        <v>#ERROR!</v>
      </c>
      <c r="DS864" s="24" t="str">
        <f>+DS852/DS12</f>
        <v>#ERROR!</v>
      </c>
      <c r="DT864" s="410" t="str">
        <f>IABG/Sales</f>
        <v>#ERROR!</v>
      </c>
      <c r="DU864" s="410" t="str">
        <f>IABG/Sales</f>
        <v>#ERROR!</v>
      </c>
      <c r="DV864" s="410" t="str">
        <f>IABG/Sales</f>
        <v>#ERROR!</v>
      </c>
      <c r="DW864" s="410" t="str">
        <f>IABG/Sales</f>
        <v>#ERROR!</v>
      </c>
      <c r="DX864" s="24" t="str">
        <f>+DX852/DX12</f>
        <v>#ERROR!</v>
      </c>
      <c r="DY864" s="410" t="str">
        <f>IABG/Sales</f>
        <v>#ERROR!</v>
      </c>
      <c r="DZ864" s="410" t="str">
        <f>IABG/Sales</f>
        <v>#ERROR!</v>
      </c>
      <c r="EA864" s="410" t="str">
        <f>IABG/Sales</f>
        <v>#ERROR!</v>
      </c>
      <c r="EB864" s="410" t="str">
        <f>IABG/Sales</f>
        <v>#ERROR!</v>
      </c>
      <c r="EC864" s="24" t="str">
        <f>+EC852/EC12</f>
        <v>#ERROR!</v>
      </c>
      <c r="ED864" s="410" t="str">
        <f>IABG/Sales</f>
        <v>#ERROR!</v>
      </c>
      <c r="EE864" s="410" t="str">
        <f>IABG/Sales</f>
        <v>#ERROR!</v>
      </c>
      <c r="EF864" s="410" t="str">
        <f>IABG/Sales</f>
        <v>#ERROR!</v>
      </c>
      <c r="EG864" s="410" t="str">
        <f>IABG/Sales</f>
        <v>#ERROR!</v>
      </c>
      <c r="EH864" s="24" t="str">
        <f>+EH852/EH12</f>
        <v>#ERROR!</v>
      </c>
      <c r="EI864" s="317" t="str">
        <f>IABG/Sales</f>
        <v>#ERROR!</v>
      </c>
      <c r="EJ864" s="410" t="str">
        <f>IABG/Sales</f>
        <v>#ERROR!</v>
      </c>
      <c r="EK864" s="410" t="str">
        <f>IABG/Sales</f>
        <v>#ERROR!</v>
      </c>
      <c r="EL864" s="410" t="str">
        <f>IABG/Sales</f>
        <v>#ERROR!</v>
      </c>
      <c r="EM864" s="24" t="str">
        <f>+EM852/EM12</f>
        <v>#ERROR!</v>
      </c>
      <c r="EN864" s="410" t="str">
        <f>IABG/Sales</f>
        <v>#ERROR!</v>
      </c>
      <c r="EO864" s="410" t="str">
        <f>IABG/Sales</f>
        <v>#ERROR!</v>
      </c>
      <c r="EP864" s="410" t="str">
        <f>IABG/Sales</f>
        <v>#ERROR!</v>
      </c>
      <c r="EQ864" s="410" t="str">
        <f>IABG/Sales</f>
        <v>#ERROR!</v>
      </c>
      <c r="ER864" s="24" t="str">
        <f>+ER852/ER12</f>
        <v>#ERROR!</v>
      </c>
      <c r="ES864" s="410" t="str">
        <f>IABG/Sales</f>
        <v>#ERROR!</v>
      </c>
      <c r="ET864" s="410" t="str">
        <f>IABG/Sales</f>
        <v>#ERROR!</v>
      </c>
      <c r="EU864" s="410" t="str">
        <f>IABG/Sales</f>
        <v>#ERROR!</v>
      </c>
      <c r="EV864" s="410" t="str">
        <f>IABG/Sales</f>
        <v>#ERROR!</v>
      </c>
      <c r="EW864" s="24" t="str">
        <f>+EW852/EW12</f>
        <v>#ERROR!</v>
      </c>
      <c r="EX864" s="410" t="str">
        <f>IABG/Sales</f>
        <v>#ERROR!</v>
      </c>
      <c r="EY864" s="410" t="str">
        <f>IABG/Sales</f>
        <v>#ERROR!</v>
      </c>
      <c r="EZ864" s="410" t="str">
        <f>IABG/Sales</f>
        <v>#ERROR!</v>
      </c>
      <c r="FA864" s="410" t="str">
        <f>IABG/Sales</f>
        <v>#ERROR!</v>
      </c>
      <c r="FB864" s="24" t="str">
        <f>+FB852/FB12</f>
        <v>#ERROR!</v>
      </c>
      <c r="FC864" s="410" t="str">
        <f>IABG/Sales</f>
        <v>#ERROR!</v>
      </c>
      <c r="FD864" s="410" t="str">
        <f>IABG/Sales</f>
        <v>#ERROR!</v>
      </c>
      <c r="FE864" s="410" t="str">
        <f>IABG/Sales</f>
        <v>#ERROR!</v>
      </c>
      <c r="FF864" s="410" t="str">
        <f>IABG/Sales</f>
        <v>#ERROR!</v>
      </c>
      <c r="FG864" s="24" t="str">
        <f>+FG852/FG12</f>
        <v>#ERROR!</v>
      </c>
      <c r="FH864" s="104"/>
      <c r="FI864" s="410"/>
      <c r="FJ864" s="410"/>
      <c r="FK864" s="410"/>
      <c r="FL864" s="410"/>
    </row>
    <row r="865" ht="12.75" hidden="1" customHeight="1" outlineLevel="2">
      <c r="A865" s="4"/>
      <c r="B865" s="72" t="str">
        <f t="shared" ref="B865:B868" si="4276">B853</f>
        <v>WCCG</v>
      </c>
      <c r="C865" s="4"/>
      <c r="D865" s="15"/>
      <c r="E865" s="15"/>
      <c r="F865" s="15"/>
      <c r="G865" s="15"/>
      <c r="H865" s="410"/>
      <c r="I865" s="15"/>
      <c r="J865" s="15"/>
      <c r="K865" s="15"/>
      <c r="L865" s="15"/>
      <c r="M865" s="410"/>
      <c r="N865" s="15"/>
      <c r="O865" s="15"/>
      <c r="P865" s="15"/>
      <c r="Q865" s="15"/>
      <c r="R865" s="410"/>
      <c r="S865" s="15"/>
      <c r="T865" s="15"/>
      <c r="U865" s="15"/>
      <c r="V865" s="15"/>
      <c r="W865" s="410">
        <f>+W853/W12</f>
        <v>0.04300928919</v>
      </c>
      <c r="X865" s="15">
        <f>X853/Sales</f>
        <v>0.07</v>
      </c>
      <c r="Y865" s="15">
        <f>Y853/Sales</f>
        <v>0.07954479518</v>
      </c>
      <c r="Z865" s="15">
        <f>Z853/Sales</f>
        <v>0.07639445653</v>
      </c>
      <c r="AA865" s="15">
        <f>AA853/Sales</f>
        <v>0.0941162951</v>
      </c>
      <c r="AB865" s="410">
        <f>+AB853/AB12</f>
        <v>0.07913775722</v>
      </c>
      <c r="AC865" s="15">
        <f>AC853/Sales</f>
        <v>0.1040886626</v>
      </c>
      <c r="AD865" s="15">
        <f>AD853/Sales</f>
        <v>0.08051784023</v>
      </c>
      <c r="AE865" s="15">
        <f>AE853/Sales</f>
        <v>0.07776928953</v>
      </c>
      <c r="AF865" s="15">
        <f>AF853/Sales</f>
        <v>0.0741801518</v>
      </c>
      <c r="AG865" s="410">
        <f>+AG853/AG12</f>
        <v>0.0841026414</v>
      </c>
      <c r="AH865" s="15">
        <f>AH853/Sales</f>
        <v>0.0676891314</v>
      </c>
      <c r="AI865" s="15">
        <f>AI853/Sales</f>
        <v>0.08419053648</v>
      </c>
      <c r="AJ865" s="15">
        <f>AJ853/Sales</f>
        <v>0.09009840098</v>
      </c>
      <c r="AK865" s="15">
        <f>AK853/Sales</f>
        <v>0.09245810056</v>
      </c>
      <c r="AL865" s="410">
        <f>+AL853/AL12</f>
        <v>0.0836571514</v>
      </c>
      <c r="AM865" s="15">
        <f>AM853/Sales</f>
        <v>0.07006369427</v>
      </c>
      <c r="AN865" s="15">
        <f>AN853/Sales</f>
        <v>0.06822183099</v>
      </c>
      <c r="AO865" s="15">
        <f>AO853/Sales</f>
        <v>0.05744925316</v>
      </c>
      <c r="AP865" s="15">
        <f>AP853/Sales</f>
        <v>0.05365518819</v>
      </c>
      <c r="AQ865" s="410">
        <f>+AQ853/AQ12</f>
        <v>0.06161043097</v>
      </c>
      <c r="AR865" s="15"/>
      <c r="AS865" s="15"/>
      <c r="AT865" s="15"/>
      <c r="AU865" s="15"/>
      <c r="AV865" s="410"/>
      <c r="AW865" s="15"/>
      <c r="AX865" s="15"/>
      <c r="AY865" s="15"/>
      <c r="AZ865" s="15"/>
      <c r="BA865" s="410"/>
      <c r="BB865" s="15"/>
      <c r="BC865" s="15"/>
      <c r="BD865" s="15"/>
      <c r="BE865" s="15"/>
      <c r="BF865" s="410"/>
      <c r="BG865" s="15"/>
      <c r="BH865" s="15"/>
      <c r="BI865" s="15"/>
      <c r="BJ865" s="15"/>
      <c r="BK865" s="410"/>
      <c r="BL865" s="15"/>
      <c r="BM865" s="15"/>
      <c r="BN865" s="15"/>
      <c r="BO865" s="15"/>
      <c r="BP865" s="410"/>
      <c r="BQ865" s="15"/>
      <c r="BR865" s="15"/>
      <c r="BS865" s="15"/>
      <c r="BT865" s="15"/>
      <c r="BU865" s="410"/>
      <c r="BV865" s="15"/>
      <c r="BW865" s="15"/>
      <c r="BX865" s="15"/>
      <c r="BY865" s="15"/>
      <c r="BZ865" s="24"/>
      <c r="CA865" s="15"/>
      <c r="CB865" s="15"/>
      <c r="CC865" s="15"/>
      <c r="CD865" s="15"/>
      <c r="CE865" s="24"/>
      <c r="CF865" s="15"/>
      <c r="CG865" s="15"/>
      <c r="CH865" s="15"/>
      <c r="CI865" s="15"/>
      <c r="CJ865" s="24"/>
      <c r="CK865" s="15"/>
      <c r="CL865" s="15"/>
      <c r="CM865" s="15"/>
      <c r="CN865" s="40"/>
      <c r="CO865" s="24"/>
      <c r="CP865" s="40"/>
      <c r="CQ865" s="15"/>
      <c r="CR865" s="15"/>
      <c r="CS865" s="15"/>
      <c r="CT865" s="24"/>
      <c r="CU865" s="15"/>
      <c r="CV865" s="15"/>
      <c r="CW865" s="15"/>
      <c r="CX865" s="15"/>
      <c r="CY865" s="24"/>
      <c r="CZ865" s="15"/>
      <c r="DA865" s="15"/>
      <c r="DB865" s="15"/>
      <c r="DC865" s="15"/>
      <c r="DD865" s="24"/>
      <c r="DE865" s="15"/>
      <c r="DF865" s="15"/>
      <c r="DG865" s="40"/>
      <c r="DH865" s="15"/>
      <c r="DI865" s="24"/>
      <c r="DJ865" s="40"/>
      <c r="DK865" s="40"/>
      <c r="DL865" s="40"/>
      <c r="DM865" s="15"/>
      <c r="DN865" s="24"/>
      <c r="DO865" s="15"/>
      <c r="DP865" s="15"/>
      <c r="DQ865" s="15"/>
      <c r="DR865" s="15"/>
      <c r="DS865" s="24"/>
      <c r="DT865" s="15"/>
      <c r="DU865" s="15"/>
      <c r="DV865" s="15"/>
      <c r="DW865" s="15"/>
      <c r="DX865" s="24"/>
      <c r="DY865" s="15"/>
      <c r="DZ865" s="15"/>
      <c r="EA865" s="15"/>
      <c r="EB865" s="15"/>
      <c r="EC865" s="24"/>
      <c r="ED865" s="15"/>
      <c r="EE865" s="15"/>
      <c r="EF865" s="15"/>
      <c r="EG865" s="15"/>
      <c r="EH865" s="24"/>
      <c r="EI865" s="82"/>
      <c r="EJ865" s="15"/>
      <c r="EK865" s="15"/>
      <c r="EL865" s="15"/>
      <c r="EM865" s="24"/>
      <c r="EN865" s="15"/>
      <c r="EO865" s="15"/>
      <c r="EP865" s="15"/>
      <c r="EQ865" s="15"/>
      <c r="ER865" s="24"/>
      <c r="ES865" s="15"/>
      <c r="ET865" s="15"/>
      <c r="EU865" s="15"/>
      <c r="EV865" s="15"/>
      <c r="EW865" s="24"/>
      <c r="EX865" s="15"/>
      <c r="EY865" s="15"/>
      <c r="EZ865" s="15"/>
      <c r="FA865" s="15"/>
      <c r="FB865" s="24"/>
      <c r="FC865" s="15"/>
      <c r="FD865" s="15"/>
      <c r="FE865" s="15"/>
      <c r="FF865" s="15"/>
      <c r="FG865" s="24"/>
      <c r="FH865" s="104"/>
      <c r="FI865" s="15"/>
      <c r="FJ865" s="15"/>
      <c r="FK865" s="410"/>
      <c r="FL865" s="15"/>
    </row>
    <row r="866" ht="12.75" hidden="1" customHeight="1" outlineLevel="2">
      <c r="A866" s="4"/>
      <c r="B866" s="72" t="str">
        <f t="shared" si="4276"/>
        <v>Flash</v>
      </c>
      <c r="C866" s="4"/>
      <c r="D866" s="15"/>
      <c r="E866" s="15"/>
      <c r="F866" s="15"/>
      <c r="G866" s="15"/>
      <c r="H866" s="410"/>
      <c r="I866" s="15"/>
      <c r="J866" s="15"/>
      <c r="K866" s="15"/>
      <c r="L866" s="15"/>
      <c r="M866" s="410"/>
      <c r="N866" s="15"/>
      <c r="O866" s="15"/>
      <c r="P866" s="15"/>
      <c r="Q866" s="15"/>
      <c r="R866" s="410"/>
      <c r="S866" s="15"/>
      <c r="T866" s="15"/>
      <c r="U866" s="15"/>
      <c r="V866" s="15"/>
      <c r="W866" s="410"/>
      <c r="X866" s="15"/>
      <c r="Y866" s="15"/>
      <c r="Z866" s="15"/>
      <c r="AA866" s="15"/>
      <c r="AB866" s="410"/>
      <c r="AC866" s="15"/>
      <c r="AD866" s="15"/>
      <c r="AE866" s="15"/>
      <c r="AF866" s="15"/>
      <c r="AG866" s="410"/>
      <c r="AH866" s="15"/>
      <c r="AI866" s="15"/>
      <c r="AJ866" s="15"/>
      <c r="AK866" s="15"/>
      <c r="AL866" s="410"/>
      <c r="AM866" s="15"/>
      <c r="AN866" s="15"/>
      <c r="AO866" s="15"/>
      <c r="AP866" s="15"/>
      <c r="AQ866" s="410"/>
      <c r="AR866" s="15">
        <f>AR854/Sales</f>
        <v>0.05153874676</v>
      </c>
      <c r="AS866" s="15">
        <f>AS854/Sales</f>
        <v>0.07292831408</v>
      </c>
      <c r="AT866" s="15">
        <f>AT854/Sales</f>
        <v>0.07531578326</v>
      </c>
      <c r="AU866" s="15">
        <f>AU854/Sales</f>
        <v>0.06699312357</v>
      </c>
      <c r="AV866" s="410">
        <f t="shared" ref="AV866:AV869" si="4277">+AV854/AV$12</f>
        <v>0.06679528779</v>
      </c>
      <c r="AW866" s="15">
        <f>AW854/Sales</f>
        <v>0.06126775493</v>
      </c>
      <c r="AX866" s="15">
        <f>AX854/Sales</f>
        <v>0.05719857004</v>
      </c>
      <c r="AY866" s="15">
        <f>AY854/Sales</f>
        <v>0.05742971888</v>
      </c>
      <c r="AZ866" s="15">
        <f>AZ854/Sales</f>
        <v>0.05881776296</v>
      </c>
      <c r="BA866" s="410">
        <f t="shared" ref="BA866:BA869" si="4278">+BA854/BA$12</f>
        <v>0.0586720239</v>
      </c>
      <c r="BB866" s="15">
        <f>BB854/Sales</f>
        <v>0.06085011186</v>
      </c>
      <c r="BC866" s="15">
        <f>BC854/Sales</f>
        <v>0.0669247097</v>
      </c>
      <c r="BD866" s="15">
        <f>BD854/Sales</f>
        <v>0.05801579128</v>
      </c>
      <c r="BE866" s="15">
        <f>BE854/Sales</f>
        <v>0.05941819682</v>
      </c>
      <c r="BF866" s="410">
        <f t="shared" ref="BF866:BF869" si="4279">+BF854/BF$12</f>
        <v>0.06113277938</v>
      </c>
      <c r="BG866" s="15">
        <f>BG854/Sales</f>
        <v>0.05298237686</v>
      </c>
      <c r="BH866" s="15">
        <f>BH854/Sales</f>
        <v>0.0569124424</v>
      </c>
      <c r="BI866" s="15">
        <f>BI854/Sales</f>
        <v>0.05480673935</v>
      </c>
      <c r="BJ866" s="15">
        <f>BJ854/Sales</f>
        <v>0.05470500373</v>
      </c>
      <c r="BK866" s="410">
        <f t="shared" ref="BK866:BK869" si="4280">+BK854/BK$12</f>
        <v>0.05483382898</v>
      </c>
      <c r="BL866" s="15">
        <f>BL854/Sales</f>
        <v>0.05158689135</v>
      </c>
      <c r="BM866" s="15">
        <f>BM854/Sales</f>
        <v>0.02639915523</v>
      </c>
      <c r="BN866" s="15">
        <f>BN854/Sales</f>
        <v>0.01810707644</v>
      </c>
      <c r="BO866" s="15">
        <f>BO854/Sales</f>
        <v>0.0206661804</v>
      </c>
      <c r="BP866" s="410">
        <f t="shared" ref="BP866:BP869" si="4281">+BP854/BP$12</f>
        <v>0.02937263875</v>
      </c>
      <c r="BQ866" s="15">
        <f>BQ854/Sales</f>
        <v>0.02169349195</v>
      </c>
      <c r="BR866" s="15">
        <f>BR854/Sales</f>
        <v>0.02405284148</v>
      </c>
      <c r="BS866" s="15">
        <f>BS854/Sales</f>
        <v>0.02332516775</v>
      </c>
      <c r="BT866" s="15">
        <f>BT854/Sales</f>
        <v>0.02554640931</v>
      </c>
      <c r="BU866" s="410">
        <f t="shared" ref="BU866:BU869" si="4282">+BU854/BU$12</f>
        <v>0.02382782475</v>
      </c>
      <c r="BV866" s="15">
        <f>BV854/Sales</f>
        <v>0.030511154</v>
      </c>
      <c r="BW866" s="15">
        <f>BW854/Sales</f>
        <v>0.02831466268</v>
      </c>
      <c r="BX866" s="15">
        <f>BX854/Sales</f>
        <v>0.03294620902</v>
      </c>
      <c r="BY866" s="15">
        <f>BY854/Sales</f>
        <v>0.03511789245</v>
      </c>
      <c r="BZ866" s="24">
        <f t="shared" ref="BZ866:BZ869" si="4283">+BZ854/BZ$12</f>
        <v>0.03179873519</v>
      </c>
      <c r="CA866" s="15">
        <f>CA854/Sales</f>
        <v>0.0266205215</v>
      </c>
      <c r="CB866" s="15">
        <f>CB854/Sales</f>
        <v>0.02545534258</v>
      </c>
      <c r="CC866" s="15">
        <f>CC854/Sales</f>
        <v>0.02796886316</v>
      </c>
      <c r="CD866" s="15">
        <f>CD854/Sales</f>
        <v>0.03153229008</v>
      </c>
      <c r="CE866" s="24">
        <f t="shared" ref="CE866:CE869" si="4284">+CE854/CE$12</f>
        <v>0.02795788081</v>
      </c>
      <c r="CF866" s="15">
        <f>CF854/Sales</f>
        <v>0.02883973156</v>
      </c>
      <c r="CG866" s="15">
        <f>CG854/Sales</f>
        <v>0.026741679</v>
      </c>
      <c r="CH866" s="15">
        <f>CH854/Sales</f>
        <v>0.03219493868</v>
      </c>
      <c r="CI866" s="15">
        <f>CI854/Sales</f>
        <v>0.03536187719</v>
      </c>
      <c r="CJ866" s="24">
        <f t="shared" ref="CJ866:CJ869" si="4285">+CJ854/CJ$12</f>
        <v>0.03080302755</v>
      </c>
      <c r="CK866" s="15">
        <f>CK854/Sales</f>
        <v>0.03220081208</v>
      </c>
      <c r="CL866" s="15">
        <f>CL854/Sales</f>
        <v>0.03067158142</v>
      </c>
      <c r="CM866" s="15">
        <f>CM854/Sales</f>
        <v>0.03497147189</v>
      </c>
      <c r="CN866" s="40">
        <f>CN854/Sales</f>
        <v>0.03749258284</v>
      </c>
      <c r="CO866" s="24">
        <f t="shared" ref="CO866:CO869" si="4286">+CO854/CO$12</f>
        <v>0.03392677757</v>
      </c>
      <c r="CP866" s="40">
        <f>CP854/Sales</f>
        <v>0.03454023287</v>
      </c>
      <c r="CQ866" s="15">
        <f>CQ854/Sales</f>
        <v>0.03091933963</v>
      </c>
      <c r="CR866" s="15">
        <f>CR854/Sales</f>
        <v>0.03526002911</v>
      </c>
      <c r="CS866" s="15">
        <f>CS854/Sales</f>
        <v>0.03834603016</v>
      </c>
      <c r="CT866" s="24">
        <f t="shared" ref="CT866:CT869" si="4287">+CT854/CT$12</f>
        <v>0.03483413804</v>
      </c>
      <c r="CU866" s="15">
        <f>CU854/Sales</f>
        <v>0.03754151659</v>
      </c>
      <c r="CV866" s="15">
        <f>CV854/Sales</f>
        <v>0.03527272299</v>
      </c>
      <c r="CW866" s="15">
        <f>CW854/Sales</f>
        <v>0.0386110125</v>
      </c>
      <c r="CX866" s="15">
        <f>CX854/Sales</f>
        <v>0.04119345081</v>
      </c>
      <c r="CY866" s="24">
        <f t="shared" ref="CY866:CY869" si="4288">+CY854/CY$12</f>
        <v>0.03826409763</v>
      </c>
      <c r="CZ866" s="15">
        <f>CZ854/Sales</f>
        <v>0.03783821872</v>
      </c>
      <c r="DA866" s="15">
        <f>DA854/Sales</f>
        <v>0.03742991937</v>
      </c>
      <c r="DB866" s="15">
        <f>DB854/Sales</f>
        <v>0.03852496632</v>
      </c>
      <c r="DC866" s="15">
        <f>DC854/Sales</f>
        <v>0.0408349585</v>
      </c>
      <c r="DD866" s="24">
        <f t="shared" ref="DD866:DD869" si="4289">+DD854/DD$12</f>
        <v>0.03875235996</v>
      </c>
      <c r="DE866" s="15">
        <f>DE854/Sales</f>
        <v>0.03841152128</v>
      </c>
      <c r="DF866" s="15">
        <f>DF854/Sales</f>
        <v>0.03734246175</v>
      </c>
      <c r="DG866" s="40">
        <f>DG854/Sales</f>
        <v>0.04096502046</v>
      </c>
      <c r="DH866" s="15">
        <f>DH854/Sales</f>
        <v>0.04267275711</v>
      </c>
      <c r="DI866" s="24">
        <f t="shared" ref="DI866:DI869" si="4290">+DI854/DI$12</f>
        <v>0.0399749251</v>
      </c>
      <c r="DJ866" s="40">
        <f>DJ854/Sales</f>
        <v>0.03850017104</v>
      </c>
      <c r="DK866" s="40">
        <f>DK854/Sales</f>
        <v>0.03537244638</v>
      </c>
      <c r="DL866" s="40">
        <f>DL854/Sales</f>
        <v>0.03757161836</v>
      </c>
      <c r="DM866" s="15">
        <f>DM854/Sales</f>
        <v>0.0424496658</v>
      </c>
      <c r="DN866" s="24">
        <f t="shared" ref="DN866:DN869" si="4291">+DN854/DN$12</f>
        <v>0.03854024843</v>
      </c>
      <c r="DO866" s="15">
        <f>DO854/Sales</f>
        <v>0.04191432057</v>
      </c>
      <c r="DP866" s="15">
        <f>DP854/Sales</f>
        <v>0.0395631824</v>
      </c>
      <c r="DQ866" s="15">
        <f>DQ854/Sales</f>
        <v>0.04083316262</v>
      </c>
      <c r="DR866" s="15">
        <f>DR854/Sales</f>
        <v>0.04265165172</v>
      </c>
      <c r="DS866" s="24">
        <f t="shared" ref="DS866:DS869" si="4292">+DS854/DS$12</f>
        <v>0.04129384907</v>
      </c>
      <c r="DT866" s="15">
        <f>DT854/Sales</f>
        <v>0.03695053184</v>
      </c>
      <c r="DU866" s="15">
        <f>DU854/Sales</f>
        <v>0.03602369682</v>
      </c>
      <c r="DV866" s="15">
        <f>DV854/Sales</f>
        <v>0.046517787</v>
      </c>
      <c r="DW866" s="15">
        <f>DW854/Sales</f>
        <v>0.04695623426</v>
      </c>
      <c r="DX866" s="24">
        <f t="shared" ref="DX866:DX869" si="4293">+DX854/DX$12</f>
        <v>0.04153534711</v>
      </c>
      <c r="DY866" s="15">
        <f>DY854/Sales</f>
        <v>0.04294828723</v>
      </c>
      <c r="DZ866" s="15">
        <f>DZ854/Sales</f>
        <v>0.04173401844</v>
      </c>
      <c r="EA866" s="15">
        <f>EA854/Sales</f>
        <v>0.05131574482</v>
      </c>
      <c r="EB866" s="15">
        <f>EB854/Sales</f>
        <v>0.05227128119</v>
      </c>
      <c r="EC866" s="24">
        <f t="shared" ref="EC866:EC869" si="4294">+EC854/EC$12</f>
        <v>0.04710973266</v>
      </c>
      <c r="ED866" s="15">
        <f>ED854/Sales</f>
        <v>0.04728481799</v>
      </c>
      <c r="EE866" s="15">
        <f>EE854/Sales</f>
        <v>0.05494313143</v>
      </c>
      <c r="EF866" s="15">
        <f>EF854/Sales</f>
        <v>0.0658586817</v>
      </c>
      <c r="EG866" s="15">
        <f>EG854/Sales</f>
        <v>0.07913078663</v>
      </c>
      <c r="EH866" s="24">
        <f t="shared" ref="EH866:EH869" si="4295">+EH854/EH$12</f>
        <v>0.06075581164</v>
      </c>
      <c r="EI866" s="82" t="str">
        <f>EI854/Sales</f>
        <v>#ERROR!</v>
      </c>
      <c r="EJ866" s="15" t="str">
        <f>EJ854/Sales</f>
        <v>#ERROR!</v>
      </c>
      <c r="EK866" s="15" t="str">
        <f>EK854/Sales</f>
        <v>#ERROR!</v>
      </c>
      <c r="EL866" s="15" t="str">
        <f>EL854/Sales</f>
        <v>#ERROR!</v>
      </c>
      <c r="EM866" s="24" t="str">
        <f t="shared" ref="EM866:EM869" si="4296">+EM854/EM$12</f>
        <v>#ERROR!</v>
      </c>
      <c r="EN866" s="15" t="str">
        <f>EN854/Sales</f>
        <v>#ERROR!</v>
      </c>
      <c r="EO866" s="15" t="str">
        <f>EO854/Sales</f>
        <v>#ERROR!</v>
      </c>
      <c r="EP866" s="15" t="str">
        <f>EP854/Sales</f>
        <v>#ERROR!</v>
      </c>
      <c r="EQ866" s="15" t="str">
        <f>EQ854/Sales</f>
        <v>#ERROR!</v>
      </c>
      <c r="ER866" s="24" t="str">
        <f t="shared" ref="ER866:ER869" si="4297">+ER854/ER$12</f>
        <v>#ERROR!</v>
      </c>
      <c r="ES866" s="15" t="str">
        <f>ES854/Sales</f>
        <v>#ERROR!</v>
      </c>
      <c r="ET866" s="15" t="str">
        <f>ET854/Sales</f>
        <v>#ERROR!</v>
      </c>
      <c r="EU866" s="15" t="str">
        <f>EU854/Sales</f>
        <v>#ERROR!</v>
      </c>
      <c r="EV866" s="15" t="str">
        <f>EV854/Sales</f>
        <v>#ERROR!</v>
      </c>
      <c r="EW866" s="24" t="str">
        <f t="shared" ref="EW866:EW869" si="4298">+EW854/EW$12</f>
        <v>#ERROR!</v>
      </c>
      <c r="EX866" s="15" t="str">
        <f>EX854/Sales</f>
        <v>#ERROR!</v>
      </c>
      <c r="EY866" s="15" t="str">
        <f>EY854/Sales</f>
        <v>#ERROR!</v>
      </c>
      <c r="EZ866" s="15" t="str">
        <f>EZ854/Sales</f>
        <v>#ERROR!</v>
      </c>
      <c r="FA866" s="15" t="str">
        <f>FA854/Sales</f>
        <v>#ERROR!</v>
      </c>
      <c r="FB866" s="24" t="str">
        <f t="shared" ref="FB866:FB869" si="4299">+FB854/FB$12</f>
        <v>#ERROR!</v>
      </c>
      <c r="FC866" s="15" t="str">
        <f>FC854/Sales</f>
        <v>#ERROR!</v>
      </c>
      <c r="FD866" s="15" t="str">
        <f>FD854/Sales</f>
        <v>#ERROR!</v>
      </c>
      <c r="FE866" s="15" t="str">
        <f>FE854/Sales</f>
        <v>#ERROR!</v>
      </c>
      <c r="FF866" s="15" t="str">
        <f>FF854/Sales</f>
        <v>#ERROR!</v>
      </c>
      <c r="FG866" s="24" t="str">
        <f t="shared" ref="FG866:FG869" si="4300">+FG854/FG$12</f>
        <v>#ERROR!</v>
      </c>
      <c r="FH866" s="104"/>
      <c r="FI866" s="15"/>
      <c r="FJ866" s="15"/>
      <c r="FK866" s="410"/>
      <c r="FL866" s="15"/>
    </row>
    <row r="867" ht="12.75" hidden="1" customHeight="1" outlineLevel="2">
      <c r="A867" s="4"/>
      <c r="B867" s="72" t="str">
        <f t="shared" si="4276"/>
        <v>Comm/Embedded (former ICG)</v>
      </c>
      <c r="C867" s="4"/>
      <c r="D867" s="15"/>
      <c r="E867" s="15"/>
      <c r="F867" s="15"/>
      <c r="G867" s="15"/>
      <c r="H867" s="410"/>
      <c r="I867" s="15"/>
      <c r="J867" s="15"/>
      <c r="K867" s="15"/>
      <c r="L867" s="15"/>
      <c r="M867" s="410"/>
      <c r="N867" s="15"/>
      <c r="O867" s="15"/>
      <c r="P867" s="15"/>
      <c r="Q867" s="15"/>
      <c r="R867" s="410"/>
      <c r="S867" s="15"/>
      <c r="T867" s="15"/>
      <c r="U867" s="15"/>
      <c r="V867" s="15"/>
      <c r="W867" s="410">
        <f>+W855/W12</f>
        <v>0.08098268059</v>
      </c>
      <c r="X867" s="15">
        <f>X855/Sales</f>
        <v>0.06881020893</v>
      </c>
      <c r="Y867" s="15">
        <f>Y855/Sales</f>
        <v>0.08084337349</v>
      </c>
      <c r="Z867" s="15">
        <f>Z855/Sales</f>
        <v>0.1085786279</v>
      </c>
      <c r="AA867" s="15">
        <f>AA855/Sales</f>
        <v>0.1061824868</v>
      </c>
      <c r="AB867" s="410">
        <f>+AB855/AB12</f>
        <v>0.1032734389</v>
      </c>
      <c r="AC867" s="15">
        <f>AC855/Sales</f>
        <v>0.1160700914</v>
      </c>
      <c r="AD867" s="15">
        <f>AD855/Sales</f>
        <v>0.100252605</v>
      </c>
      <c r="AE867" s="15">
        <f>AE855/Sales</f>
        <v>0.08861726509</v>
      </c>
      <c r="AF867" s="15">
        <f>AF855/Sales</f>
        <v>0.08449090649</v>
      </c>
      <c r="AG867" s="410">
        <f>+AG855/AG12</f>
        <v>0.09721541882</v>
      </c>
      <c r="AH867" s="15">
        <f>AH855/Sales</f>
        <v>0.07638991299</v>
      </c>
      <c r="AI867" s="15">
        <f>AI855/Sales</f>
        <v>0.08482354803</v>
      </c>
      <c r="AJ867" s="15">
        <f>AJ855/Sales</f>
        <v>0.07410824108</v>
      </c>
      <c r="AK867" s="15">
        <f>AK855/Sales</f>
        <v>0.07597765363</v>
      </c>
      <c r="AL867" s="410">
        <f t="shared" ref="AL867:AL869" si="4301">+AL855/AL$12</f>
        <v>0.07771633538</v>
      </c>
      <c r="AM867" s="15">
        <f>AM855/Sales</f>
        <v>0.07450748037</v>
      </c>
      <c r="AN867" s="15">
        <f>AN855/Sales</f>
        <v>0.07453051643</v>
      </c>
      <c r="AO867" s="15">
        <f>AO855/Sales</f>
        <v>0.06944976382</v>
      </c>
      <c r="AP867" s="15">
        <f>AP855/Sales</f>
        <v>0.06772680471</v>
      </c>
      <c r="AQ867" s="410">
        <f t="shared" ref="AQ867:AQ869" si="4302">+AQ855/AQ$12</f>
        <v>0.07123187685</v>
      </c>
      <c r="AR867" s="15">
        <f>AR855/Sales</f>
        <v>0.08008898776</v>
      </c>
      <c r="AS867" s="15">
        <f>AS855/Sales</f>
        <v>0.08497950056</v>
      </c>
      <c r="AT867" s="15">
        <f>AT855/Sales</f>
        <v>0.08133632393</v>
      </c>
      <c r="AU867" s="15">
        <f>AU855/Sales</f>
        <v>0.07511981663</v>
      </c>
      <c r="AV867" s="410">
        <f t="shared" si="4277"/>
        <v>0.08015434535</v>
      </c>
      <c r="AW867" s="15" t="str">
        <f>AW855/Sales</f>
        <v>#ERROR!</v>
      </c>
      <c r="AX867" s="15" t="str">
        <f>AX855/Sales</f>
        <v>#ERROR!</v>
      </c>
      <c r="AY867" s="15" t="str">
        <f>AY855/Sales</f>
        <v>#ERROR!</v>
      </c>
      <c r="AZ867" s="15" t="str">
        <f>AZ855/Sales</f>
        <v>#ERROR!</v>
      </c>
      <c r="BA867" s="410" t="str">
        <f t="shared" si="4278"/>
        <v>#ERROR!</v>
      </c>
      <c r="BB867" s="15" t="str">
        <f>BB855/Sales</f>
        <v>#ERROR!</v>
      </c>
      <c r="BC867" s="15" t="str">
        <f>BC855/Sales</f>
        <v>#ERROR!</v>
      </c>
      <c r="BD867" s="15" t="str">
        <f>BD855/Sales</f>
        <v>#ERROR!</v>
      </c>
      <c r="BE867" s="15" t="str">
        <f>BE855/Sales</f>
        <v>#ERROR!</v>
      </c>
      <c r="BF867" s="410" t="str">
        <f t="shared" si="4279"/>
        <v>#ERROR!</v>
      </c>
      <c r="BG867" s="15" t="str">
        <f>BG855/Sales</f>
        <v>#ERROR!</v>
      </c>
      <c r="BH867" s="15" t="str">
        <f>BH855/Sales</f>
        <v>#ERROR!</v>
      </c>
      <c r="BI867" s="15" t="str">
        <f>BI855/Sales</f>
        <v>#ERROR!</v>
      </c>
      <c r="BJ867" s="15" t="str">
        <f>BJ855/Sales</f>
        <v>#ERROR!</v>
      </c>
      <c r="BK867" s="410" t="str">
        <f t="shared" si="4280"/>
        <v>#ERROR!</v>
      </c>
      <c r="BL867" s="15" t="str">
        <f>BL855/Sales</f>
        <v>#ERROR!</v>
      </c>
      <c r="BM867" s="15" t="str">
        <f>BM855/Sales</f>
        <v>#ERROR!</v>
      </c>
      <c r="BN867" s="15" t="str">
        <f>BN855/Sales</f>
        <v>#ERROR!</v>
      </c>
      <c r="BO867" s="15" t="str">
        <f>BO855/Sales</f>
        <v>#ERROR!</v>
      </c>
      <c r="BP867" s="410" t="str">
        <f t="shared" si="4281"/>
        <v>#ERROR!</v>
      </c>
      <c r="BQ867" s="15" t="str">
        <f>BQ855/Sales</f>
        <v>#ERROR!</v>
      </c>
      <c r="BR867" s="15" t="str">
        <f>BR855/Sales</f>
        <v>#ERROR!</v>
      </c>
      <c r="BS867" s="15">
        <f>BS855/Sales</f>
        <v>0.06075194376</v>
      </c>
      <c r="BT867" s="15" t="str">
        <f>BT855/Sales</f>
        <v>#ERROR!</v>
      </c>
      <c r="BU867" s="410" t="str">
        <f t="shared" si="4282"/>
        <v>#ERROR!</v>
      </c>
      <c r="BV867" s="15" t="str">
        <f>BV855/Sales</f>
        <v>#ERROR!</v>
      </c>
      <c r="BW867" s="15" t="str">
        <f>BW855/Sales</f>
        <v>#ERROR!</v>
      </c>
      <c r="BX867" s="15" t="str">
        <f>BX855/Sales</f>
        <v>#ERROR!</v>
      </c>
      <c r="BY867" s="15" t="str">
        <f>BY855/Sales</f>
        <v>#ERROR!</v>
      </c>
      <c r="BZ867" s="24" t="str">
        <f t="shared" si="4283"/>
        <v>#ERROR!</v>
      </c>
      <c r="CA867" s="15" t="str">
        <f>CA855/Sales</f>
        <v>#ERROR!</v>
      </c>
      <c r="CB867" s="15" t="str">
        <f>CB855/Sales</f>
        <v>#ERROR!</v>
      </c>
      <c r="CC867" s="15" t="str">
        <f>CC855/Sales</f>
        <v>#ERROR!</v>
      </c>
      <c r="CD867" s="15" t="str">
        <f>CD855/Sales</f>
        <v>#ERROR!</v>
      </c>
      <c r="CE867" s="24" t="str">
        <f t="shared" si="4284"/>
        <v>#ERROR!</v>
      </c>
      <c r="CF867" s="15" t="str">
        <f>CF855/Sales</f>
        <v>#ERROR!</v>
      </c>
      <c r="CG867" s="15" t="str">
        <f>CG855/Sales</f>
        <v>#ERROR!</v>
      </c>
      <c r="CH867" s="15" t="str">
        <f>CH855/Sales</f>
        <v>#ERROR!</v>
      </c>
      <c r="CI867" s="15" t="str">
        <f>CI855/Sales</f>
        <v>#ERROR!</v>
      </c>
      <c r="CJ867" s="24" t="str">
        <f t="shared" si="4285"/>
        <v>#ERROR!</v>
      </c>
      <c r="CK867" s="15" t="str">
        <f>CK855/Sales</f>
        <v>#ERROR!</v>
      </c>
      <c r="CL867" s="15" t="str">
        <f>CL855/Sales</f>
        <v>#ERROR!</v>
      </c>
      <c r="CM867" s="15" t="str">
        <f>CM855/Sales</f>
        <v>#ERROR!</v>
      </c>
      <c r="CN867" s="40" t="str">
        <f>CN855/Sales</f>
        <v>#ERROR!</v>
      </c>
      <c r="CO867" s="24" t="str">
        <f t="shared" si="4286"/>
        <v>#ERROR!</v>
      </c>
      <c r="CP867" s="40" t="str">
        <f>CP855/Sales</f>
        <v>#ERROR!</v>
      </c>
      <c r="CQ867" s="15" t="str">
        <f>CQ855/Sales</f>
        <v>#ERROR!</v>
      </c>
      <c r="CR867" s="15" t="str">
        <f>CR855/Sales</f>
        <v>#ERROR!</v>
      </c>
      <c r="CS867" s="15" t="str">
        <f>CS855/Sales</f>
        <v>#ERROR!</v>
      </c>
      <c r="CT867" s="24" t="str">
        <f t="shared" si="4287"/>
        <v>#ERROR!</v>
      </c>
      <c r="CU867" s="15" t="str">
        <f>CU855/Sales</f>
        <v>#ERROR!</v>
      </c>
      <c r="CV867" s="15" t="str">
        <f>CV855/Sales</f>
        <v>#ERROR!</v>
      </c>
      <c r="CW867" s="15" t="str">
        <f>CW855/Sales</f>
        <v>#ERROR!</v>
      </c>
      <c r="CX867" s="15" t="str">
        <f>CX855/Sales</f>
        <v>#ERROR!</v>
      </c>
      <c r="CY867" s="24" t="str">
        <f t="shared" si="4288"/>
        <v>#ERROR!</v>
      </c>
      <c r="CZ867" s="15" t="str">
        <f>CZ855/Sales</f>
        <v>#ERROR!</v>
      </c>
      <c r="DA867" s="15" t="str">
        <f>DA855/Sales</f>
        <v>#ERROR!</v>
      </c>
      <c r="DB867" s="15" t="str">
        <f>DB855/Sales</f>
        <v>#ERROR!</v>
      </c>
      <c r="DC867" s="15" t="str">
        <f>DC855/Sales</f>
        <v>#ERROR!</v>
      </c>
      <c r="DD867" s="24" t="str">
        <f t="shared" si="4289"/>
        <v>#ERROR!</v>
      </c>
      <c r="DE867" s="15" t="str">
        <f>DE855/Sales</f>
        <v>#ERROR!</v>
      </c>
      <c r="DF867" s="15" t="str">
        <f>DF855/Sales</f>
        <v>#ERROR!</v>
      </c>
      <c r="DG867" s="40" t="str">
        <f>DG855/Sales</f>
        <v>#ERROR!</v>
      </c>
      <c r="DH867" s="15" t="str">
        <f>DH855/Sales</f>
        <v>#ERROR!</v>
      </c>
      <c r="DI867" s="24" t="str">
        <f t="shared" si="4290"/>
        <v>#ERROR!</v>
      </c>
      <c r="DJ867" s="40" t="str">
        <f>DJ855/Sales</f>
        <v>#ERROR!</v>
      </c>
      <c r="DK867" s="40" t="str">
        <f>DK855/Sales</f>
        <v>#ERROR!</v>
      </c>
      <c r="DL867" s="40" t="str">
        <f>DL855/Sales</f>
        <v>#ERROR!</v>
      </c>
      <c r="DM867" s="15" t="str">
        <f>DM855/Sales</f>
        <v>#ERROR!</v>
      </c>
      <c r="DN867" s="24" t="str">
        <f t="shared" si="4291"/>
        <v>#ERROR!</v>
      </c>
      <c r="DO867" s="15" t="str">
        <f>DO855/Sales</f>
        <v>#ERROR!</v>
      </c>
      <c r="DP867" s="15" t="str">
        <f>DP855/Sales</f>
        <v>#ERROR!</v>
      </c>
      <c r="DQ867" s="15" t="str">
        <f>DQ855/Sales</f>
        <v>#ERROR!</v>
      </c>
      <c r="DR867" s="15" t="str">
        <f>DR855/Sales</f>
        <v>#ERROR!</v>
      </c>
      <c r="DS867" s="24" t="str">
        <f t="shared" si="4292"/>
        <v>#ERROR!</v>
      </c>
      <c r="DT867" s="15" t="str">
        <f>DT855/Sales</f>
        <v>#ERROR!</v>
      </c>
      <c r="DU867" s="15" t="str">
        <f>DU855/Sales</f>
        <v>#ERROR!</v>
      </c>
      <c r="DV867" s="15" t="str">
        <f>DV855/Sales</f>
        <v>#ERROR!</v>
      </c>
      <c r="DW867" s="15" t="str">
        <f>DW855/Sales</f>
        <v>#ERROR!</v>
      </c>
      <c r="DX867" s="24" t="str">
        <f t="shared" si="4293"/>
        <v>#ERROR!</v>
      </c>
      <c r="DY867" s="15" t="str">
        <f>DY855/Sales</f>
        <v>#ERROR!</v>
      </c>
      <c r="DZ867" s="15" t="str">
        <f>DZ855/Sales</f>
        <v>#ERROR!</v>
      </c>
      <c r="EA867" s="15" t="str">
        <f>EA855/Sales</f>
        <v>#ERROR!</v>
      </c>
      <c r="EB867" s="15" t="str">
        <f>EB855/Sales</f>
        <v>#ERROR!</v>
      </c>
      <c r="EC867" s="24" t="str">
        <f t="shared" si="4294"/>
        <v>#ERROR!</v>
      </c>
      <c r="ED867" s="15" t="str">
        <f>ED855/Sales</f>
        <v>#ERROR!</v>
      </c>
      <c r="EE867" s="15" t="str">
        <f>EE855/Sales</f>
        <v>#ERROR!</v>
      </c>
      <c r="EF867" s="15" t="str">
        <f>EF855/Sales</f>
        <v>#ERROR!</v>
      </c>
      <c r="EG867" s="15" t="str">
        <f>EG855/Sales</f>
        <v>#ERROR!</v>
      </c>
      <c r="EH867" s="24" t="str">
        <f t="shared" si="4295"/>
        <v>#ERROR!</v>
      </c>
      <c r="EI867" s="82" t="str">
        <f>EI855/Sales</f>
        <v>#ERROR!</v>
      </c>
      <c r="EJ867" s="15" t="str">
        <f>EJ855/Sales</f>
        <v>#ERROR!</v>
      </c>
      <c r="EK867" s="15" t="str">
        <f>EK855/Sales</f>
        <v>#ERROR!</v>
      </c>
      <c r="EL867" s="15" t="str">
        <f>EL855/Sales</f>
        <v>#ERROR!</v>
      </c>
      <c r="EM867" s="24" t="str">
        <f t="shared" si="4296"/>
        <v>#ERROR!</v>
      </c>
      <c r="EN867" s="15" t="str">
        <f>EN855/Sales</f>
        <v>#ERROR!</v>
      </c>
      <c r="EO867" s="15" t="str">
        <f>EO855/Sales</f>
        <v>#ERROR!</v>
      </c>
      <c r="EP867" s="15" t="str">
        <f>EP855/Sales</f>
        <v>#ERROR!</v>
      </c>
      <c r="EQ867" s="15" t="str">
        <f>EQ855/Sales</f>
        <v>#ERROR!</v>
      </c>
      <c r="ER867" s="24" t="str">
        <f t="shared" si="4297"/>
        <v>#ERROR!</v>
      </c>
      <c r="ES867" s="15" t="str">
        <f>ES855/Sales</f>
        <v>#ERROR!</v>
      </c>
      <c r="ET867" s="15" t="str">
        <f>ET855/Sales</f>
        <v>#ERROR!</v>
      </c>
      <c r="EU867" s="15" t="str">
        <f>EU855/Sales</f>
        <v>#ERROR!</v>
      </c>
      <c r="EV867" s="15" t="str">
        <f>EV855/Sales</f>
        <v>#ERROR!</v>
      </c>
      <c r="EW867" s="24" t="str">
        <f t="shared" si="4298"/>
        <v>#ERROR!</v>
      </c>
      <c r="EX867" s="15" t="str">
        <f>EX855/Sales</f>
        <v>#ERROR!</v>
      </c>
      <c r="EY867" s="15" t="str">
        <f>EY855/Sales</f>
        <v>#ERROR!</v>
      </c>
      <c r="EZ867" s="15" t="str">
        <f>EZ855/Sales</f>
        <v>#ERROR!</v>
      </c>
      <c r="FA867" s="15" t="str">
        <f>FA855/Sales</f>
        <v>#ERROR!</v>
      </c>
      <c r="FB867" s="24" t="str">
        <f t="shared" si="4299"/>
        <v>#ERROR!</v>
      </c>
      <c r="FC867" s="15" t="str">
        <f>FC855/Sales</f>
        <v>#ERROR!</v>
      </c>
      <c r="FD867" s="15" t="str">
        <f>FD855/Sales</f>
        <v>#ERROR!</v>
      </c>
      <c r="FE867" s="15" t="str">
        <f>FE855/Sales</f>
        <v>#ERROR!</v>
      </c>
      <c r="FF867" s="15" t="str">
        <f>FF855/Sales</f>
        <v>#ERROR!</v>
      </c>
      <c r="FG867" s="24" t="str">
        <f t="shared" si="4300"/>
        <v>#ERROR!</v>
      </c>
      <c r="FH867" s="104"/>
      <c r="FI867" s="15"/>
      <c r="FJ867" s="15"/>
      <c r="FK867" s="410"/>
      <c r="FL867" s="15"/>
    </row>
    <row r="868" ht="12.75" hidden="1" customHeight="1" outlineLevel="2">
      <c r="A868" s="4"/>
      <c r="B868" s="72" t="str">
        <f t="shared" si="4276"/>
        <v>All other</v>
      </c>
      <c r="C868" s="4"/>
      <c r="D868" s="15"/>
      <c r="E868" s="15"/>
      <c r="F868" s="15"/>
      <c r="G868" s="15"/>
      <c r="H868" s="410"/>
      <c r="I868" s="15"/>
      <c r="J868" s="15"/>
      <c r="K868" s="15"/>
      <c r="L868" s="15"/>
      <c r="M868" s="410"/>
      <c r="N868" s="15"/>
      <c r="O868" s="15"/>
      <c r="P868" s="15"/>
      <c r="Q868" s="15"/>
      <c r="R868" s="410"/>
      <c r="S868" s="15"/>
      <c r="T868" s="15"/>
      <c r="U868" s="15"/>
      <c r="V868" s="15"/>
      <c r="W868" s="410">
        <f>+W856/W12</f>
        <v>0.00959542686</v>
      </c>
      <c r="X868" s="15">
        <f>X856/Sales</f>
        <v>0.03784436382</v>
      </c>
      <c r="Y868" s="15">
        <f>Y856/Sales</f>
        <v>0.02527448193</v>
      </c>
      <c r="Z868" s="15">
        <f>Z856/Sales</f>
        <v>0.008819150155</v>
      </c>
      <c r="AA868" s="15">
        <f>AA856/Sales</f>
        <v>0.01241094001</v>
      </c>
      <c r="AB868" s="410">
        <f>+AB856/AB12</f>
        <v>0.008094645081</v>
      </c>
      <c r="AC868" s="15">
        <f>AC856/Sales</f>
        <v>0.01108282163</v>
      </c>
      <c r="AD868" s="15">
        <f>AD856/Sales</f>
        <v>0.009788443322</v>
      </c>
      <c r="AE868" s="15">
        <f>AE856/Sales</f>
        <v>0.009625668449</v>
      </c>
      <c r="AF868" s="15">
        <f>AF856/Sales</f>
        <v>0.01174280395</v>
      </c>
      <c r="AG868" s="410">
        <f>+AG856/AG12</f>
        <v>0.01058819096</v>
      </c>
      <c r="AH868" s="15">
        <f>AH856/Sales</f>
        <v>0.005308951482</v>
      </c>
      <c r="AI868" s="15">
        <f>AI856/Sales</f>
        <v>0.006013609748</v>
      </c>
      <c r="AJ868" s="15">
        <f>AJ856/Sales</f>
        <v>0.004458794588</v>
      </c>
      <c r="AK868" s="15">
        <f>AK856/Sales</f>
        <v>0.003631284916</v>
      </c>
      <c r="AL868" s="410">
        <f t="shared" si="4301"/>
        <v>0.004819907338</v>
      </c>
      <c r="AM868" s="15">
        <f>AM856/Sales</f>
        <v>0.002221893053</v>
      </c>
      <c r="AN868" s="15">
        <f>AN856/Sales</f>
        <v>0.00146713615</v>
      </c>
      <c r="AO868" s="15">
        <f>AO856/Sales</f>
        <v>0.000127665007</v>
      </c>
      <c r="AP868" s="15">
        <f>AP856/Sales</f>
        <v>0.001029630477</v>
      </c>
      <c r="AQ868" s="410">
        <f t="shared" si="4302"/>
        <v>0.001161208984</v>
      </c>
      <c r="AR868" s="15">
        <f>AR856/Sales</f>
        <v>0.0001235941169</v>
      </c>
      <c r="AS868" s="15">
        <f>AS856/Sales</f>
        <v>0.0004969561436</v>
      </c>
      <c r="AT868" s="15">
        <f>AT856/Sales</f>
        <v>0.0007082989021</v>
      </c>
      <c r="AU868" s="15">
        <f>AU856/Sales</f>
        <v>0.0004167534903</v>
      </c>
      <c r="AV868" s="410">
        <f t="shared" si="4277"/>
        <v>0.0004384811015</v>
      </c>
      <c r="AW868" s="15">
        <f>AW856/Sales</f>
        <v>0.00158999364</v>
      </c>
      <c r="AX868" s="15">
        <f>AX856/Sales</f>
        <v>0.001624959376</v>
      </c>
      <c r="AY868" s="15">
        <f>AY856/Sales</f>
        <v>0.001506024096</v>
      </c>
      <c r="AZ868" s="15">
        <f>AZ856/Sales</f>
        <v>0.001470444074</v>
      </c>
      <c r="BA868" s="410">
        <f t="shared" si="4278"/>
        <v>0.001545356205</v>
      </c>
      <c r="BB868" s="15">
        <f>BB856/Sales</f>
        <v>0.001677852349</v>
      </c>
      <c r="BC868" s="15">
        <f>BC856/Sales</f>
        <v>0.001872892995</v>
      </c>
      <c r="BD868" s="15">
        <f>BD856/Sales</f>
        <v>0.001716443529</v>
      </c>
      <c r="BE868" s="15">
        <f>BE856/Sales</f>
        <v>0.001547348876</v>
      </c>
      <c r="BF868" s="410">
        <f t="shared" si="4279"/>
        <v>0.001695777514</v>
      </c>
      <c r="BG868" s="15">
        <f>BG856/Sales</f>
        <v>0.001694532309</v>
      </c>
      <c r="BH868" s="15">
        <f>BH856/Sales</f>
        <v>0.001728110599</v>
      </c>
      <c r="BI868" s="15">
        <f>BI856/Sales</f>
        <v>0.001486620416</v>
      </c>
      <c r="BJ868" s="15">
        <f>BJ856/Sales</f>
        <v>0.00140029873</v>
      </c>
      <c r="BK868" s="410">
        <f t="shared" si="4280"/>
        <v>0.001565190171</v>
      </c>
      <c r="BL868" s="15">
        <f>BL856/Sales</f>
        <v>0.001550708157</v>
      </c>
      <c r="BM868" s="15">
        <f>BM856/Sales</f>
        <v>0.001583949314</v>
      </c>
      <c r="BN868" s="15">
        <f>BN856/Sales</f>
        <v>0.001468141333</v>
      </c>
      <c r="BO868" s="15">
        <f>BO856/Sales</f>
        <v>0.001823486506</v>
      </c>
      <c r="BP868" s="410">
        <f t="shared" si="4281"/>
        <v>0.001596339062</v>
      </c>
      <c r="BQ868" s="15">
        <f>BQ856/Sales</f>
        <v>0.002099370189</v>
      </c>
      <c r="BR868" s="15">
        <f>BR856/Sales</f>
        <v>0.001869391825</v>
      </c>
      <c r="BS868" s="15">
        <f>BS856/Sales</f>
        <v>0.001597614229</v>
      </c>
      <c r="BT868" s="15">
        <f>BT856/Sales</f>
        <v>0.001419244962</v>
      </c>
      <c r="BU868" s="410">
        <f t="shared" si="4282"/>
        <v>0.001708087796</v>
      </c>
      <c r="BV868" s="15">
        <f>BV856/Sales</f>
        <v>0.001456452083</v>
      </c>
      <c r="BW868" s="15">
        <f>BW856/Sales</f>
        <v>0.001393404552</v>
      </c>
      <c r="BX868" s="15">
        <f>BX856/Sales</f>
        <v>0.001351107908</v>
      </c>
      <c r="BY868" s="15">
        <f>BY856/Sales</f>
        <v>0.001309243257</v>
      </c>
      <c r="BZ868" s="24">
        <f t="shared" si="4283"/>
        <v>0.001375421223</v>
      </c>
      <c r="CA868" s="15">
        <f>CA856/Sales</f>
        <v>0.001167587764</v>
      </c>
      <c r="CB868" s="15">
        <f>CB856/Sales</f>
        <v>0.001151012891</v>
      </c>
      <c r="CC868" s="15">
        <f>CC856/Sales</f>
        <v>0.00105388885</v>
      </c>
      <c r="CD868" s="15">
        <f>CD856/Sales</f>
        <v>0.0010801469</v>
      </c>
      <c r="CE868" s="24">
        <f t="shared" si="4284"/>
        <v>0.001111131688</v>
      </c>
      <c r="CF868" s="15">
        <f>CF856/Sales</f>
        <v>0.001162250116</v>
      </c>
      <c r="CG868" s="15">
        <f>CG856/Sales</f>
        <v>0.001111028813</v>
      </c>
      <c r="CH868" s="15">
        <f>CH856/Sales</f>
        <v>0.001114661514</v>
      </c>
      <c r="CI868" s="15">
        <f>CI856/Sales</f>
        <v>0.001113007346</v>
      </c>
      <c r="CJ868" s="24">
        <f t="shared" si="4285"/>
        <v>0.001124838304</v>
      </c>
      <c r="CK868" s="15">
        <f>CK856/Sales</f>
        <v>0.001192368839</v>
      </c>
      <c r="CL868" s="15">
        <f>CL856/Sales</f>
        <v>0.001170868785</v>
      </c>
      <c r="CM868" s="15">
        <f>CM856/Sales</f>
        <v>0.001112512052</v>
      </c>
      <c r="CN868" s="40">
        <f>CN856/Sales</f>
        <v>0.001084285095</v>
      </c>
      <c r="CO868" s="24">
        <f t="shared" si="4286"/>
        <v>0.00113834712</v>
      </c>
      <c r="CP868" s="40">
        <f>CP856/Sales</f>
        <v>0.001175180194</v>
      </c>
      <c r="CQ868" s="15">
        <f>CQ856/Sales</f>
        <v>0.001084520281</v>
      </c>
      <c r="CR868" s="15">
        <f>CR856/Sales</f>
        <v>0.001030644496</v>
      </c>
      <c r="CS868" s="15">
        <f>CS856/Sales</f>
        <v>0.001018952517</v>
      </c>
      <c r="CT868" s="24">
        <f t="shared" si="4287"/>
        <v>0.001073921604</v>
      </c>
      <c r="CU868" s="15">
        <f>CU856/Sales</f>
        <v>0.001173617088</v>
      </c>
      <c r="CV868" s="15">
        <f>CV856/Sales</f>
        <v>0.00113679424</v>
      </c>
      <c r="CW868" s="15">
        <f>CW856/Sales</f>
        <v>0.001036985828</v>
      </c>
      <c r="CX868" s="15">
        <f>CX856/Sales</f>
        <v>0.001005766394</v>
      </c>
      <c r="CY868" s="24">
        <f t="shared" si="4288"/>
        <v>0.001083912926</v>
      </c>
      <c r="CZ868" s="15">
        <f>CZ856/Sales</f>
        <v>0.001086877762</v>
      </c>
      <c r="DA868" s="15">
        <f>DA856/Sales</f>
        <v>0.001108401685</v>
      </c>
      <c r="DB868" s="15">
        <f>DB856/Sales</f>
        <v>0.0009506908353</v>
      </c>
      <c r="DC868" s="15">
        <f>DC856/Sales</f>
        <v>0.0009160864786</v>
      </c>
      <c r="DD868" s="24">
        <f t="shared" si="4289"/>
        <v>0.001008640689</v>
      </c>
      <c r="DE868" s="15">
        <f>DE856/Sales</f>
        <v>0.00101378751</v>
      </c>
      <c r="DF868" s="15">
        <f>DF856/Sales</f>
        <v>0.001016053648</v>
      </c>
      <c r="DG868" s="40">
        <f>DG856/Sales</f>
        <v>0.0009288500836</v>
      </c>
      <c r="DH868" s="15">
        <f>DH856/Sales</f>
        <v>0.0008796106257</v>
      </c>
      <c r="DI868" s="24">
        <f t="shared" si="4290"/>
        <v>0.0009560077118</v>
      </c>
      <c r="DJ868" s="40">
        <f>DJ856/Sales</f>
        <v>0.0009336486991</v>
      </c>
      <c r="DK868" s="40">
        <f>DK856/Sales</f>
        <v>0.0008843296781</v>
      </c>
      <c r="DL868" s="40">
        <f>DL856/Sales</f>
        <v>0.0007827584407</v>
      </c>
      <c r="DM868" s="15">
        <f>DM856/Sales</f>
        <v>0.0008039877794</v>
      </c>
      <c r="DN868" s="24">
        <f t="shared" si="4291"/>
        <v>0.0008468834688</v>
      </c>
      <c r="DO868" s="15">
        <f>DO856/Sales</f>
        <v>0.0009339393562</v>
      </c>
      <c r="DP868" s="15">
        <f>DP856/Sales</f>
        <v>0.0009088155105</v>
      </c>
      <c r="DQ868" s="15">
        <f>DQ856/Sales</f>
        <v>0.0007816571131</v>
      </c>
      <c r="DR868" s="15">
        <f>DR856/Sales</f>
        <v>0.0007422435549</v>
      </c>
      <c r="DS868" s="24">
        <f t="shared" si="4292"/>
        <v>0.0008337386229</v>
      </c>
      <c r="DT868" s="15">
        <f>DT856/Sales</f>
        <v>0.0007565059512</v>
      </c>
      <c r="DU868" s="15">
        <f>DU856/Sales</f>
        <v>0.0007603406326</v>
      </c>
      <c r="DV868" s="15">
        <f>DV856/Sales</f>
        <v>0.0008181966945</v>
      </c>
      <c r="DW868" s="15">
        <f>DW856/Sales</f>
        <v>0.0007508259085</v>
      </c>
      <c r="DX868" s="24">
        <f t="shared" si="4293"/>
        <v>0.0007705446466</v>
      </c>
      <c r="DY868" s="15">
        <f>DY856/Sales</f>
        <v>0.0008079284714</v>
      </c>
      <c r="DZ868" s="15">
        <f>DZ856/Sales</f>
        <v>0.0008093670749</v>
      </c>
      <c r="EA868" s="15">
        <f>EA856/Sales</f>
        <v>0.0008293249295</v>
      </c>
      <c r="EB868" s="15">
        <f>EB856/Sales</f>
        <v>0.0007679705099</v>
      </c>
      <c r="EC868" s="24">
        <f t="shared" si="4294"/>
        <v>0.0008030193528</v>
      </c>
      <c r="ED868" s="15">
        <f>ED856/Sales</f>
        <v>0.0008173050727</v>
      </c>
      <c r="EE868" s="15">
        <f>EE856/Sales</f>
        <v>0.000979048365</v>
      </c>
      <c r="EF868" s="15">
        <f>EF856/Sales</f>
        <v>0.0009779632286</v>
      </c>
      <c r="EG868" s="15">
        <f>EG856/Sales</f>
        <v>0.0010682239</v>
      </c>
      <c r="EH868" s="24">
        <f t="shared" si="4295"/>
        <v>0.000951565325</v>
      </c>
      <c r="EI868" s="82" t="str">
        <f>EI856/Sales</f>
        <v>#ERROR!</v>
      </c>
      <c r="EJ868" s="15" t="str">
        <f>EJ856/Sales</f>
        <v>#ERROR!</v>
      </c>
      <c r="EK868" s="15" t="str">
        <f>EK856/Sales</f>
        <v>#ERROR!</v>
      </c>
      <c r="EL868" s="15" t="str">
        <f>EL856/Sales</f>
        <v>#ERROR!</v>
      </c>
      <c r="EM868" s="24" t="str">
        <f t="shared" si="4296"/>
        <v>#ERROR!</v>
      </c>
      <c r="EN868" s="15" t="str">
        <f>EN856/Sales</f>
        <v>#ERROR!</v>
      </c>
      <c r="EO868" s="15" t="str">
        <f>EO856/Sales</f>
        <v>#ERROR!</v>
      </c>
      <c r="EP868" s="15" t="str">
        <f>EP856/Sales</f>
        <v>#ERROR!</v>
      </c>
      <c r="EQ868" s="15" t="str">
        <f>EQ856/Sales</f>
        <v>#ERROR!</v>
      </c>
      <c r="ER868" s="24" t="str">
        <f t="shared" si="4297"/>
        <v>#ERROR!</v>
      </c>
      <c r="ES868" s="15" t="str">
        <f>ES856/Sales</f>
        <v>#ERROR!</v>
      </c>
      <c r="ET868" s="15" t="str">
        <f>ET856/Sales</f>
        <v>#ERROR!</v>
      </c>
      <c r="EU868" s="15" t="str">
        <f>EU856/Sales</f>
        <v>#ERROR!</v>
      </c>
      <c r="EV868" s="15" t="str">
        <f>EV856/Sales</f>
        <v>#ERROR!</v>
      </c>
      <c r="EW868" s="24" t="str">
        <f t="shared" si="4298"/>
        <v>#ERROR!</v>
      </c>
      <c r="EX868" s="15" t="str">
        <f>EX856/Sales</f>
        <v>#ERROR!</v>
      </c>
      <c r="EY868" s="15" t="str">
        <f>EY856/Sales</f>
        <v>#ERROR!</v>
      </c>
      <c r="EZ868" s="15" t="str">
        <f>EZ856/Sales</f>
        <v>#ERROR!</v>
      </c>
      <c r="FA868" s="15" t="str">
        <f>FA856/Sales</f>
        <v>#ERROR!</v>
      </c>
      <c r="FB868" s="24" t="str">
        <f t="shared" si="4299"/>
        <v>#ERROR!</v>
      </c>
      <c r="FC868" s="15" t="str">
        <f>FC856/Sales</f>
        <v>#ERROR!</v>
      </c>
      <c r="FD868" s="15" t="str">
        <f>FD856/Sales</f>
        <v>#ERROR!</v>
      </c>
      <c r="FE868" s="15" t="str">
        <f>FE856/Sales</f>
        <v>#ERROR!</v>
      </c>
      <c r="FF868" s="15" t="str">
        <f>FF856/Sales</f>
        <v>#ERROR!</v>
      </c>
      <c r="FG868" s="24" t="str">
        <f t="shared" si="4300"/>
        <v>#ERROR!</v>
      </c>
      <c r="FH868" s="104"/>
      <c r="FI868" s="15"/>
      <c r="FJ868" s="15"/>
      <c r="FK868" s="410"/>
      <c r="FL868" s="15"/>
    </row>
    <row r="869" ht="12.75" hidden="1" customHeight="1" outlineLevel="2">
      <c r="A869" s="45"/>
      <c r="B869" s="45" t="str">
        <f>+B857</f>
        <v>ICG/All other</v>
      </c>
      <c r="C869" s="45"/>
      <c r="D869" s="410"/>
      <c r="E869" s="410"/>
      <c r="F869" s="410"/>
      <c r="G869" s="410"/>
      <c r="H869" s="410">
        <f>+H857/H12</f>
        <v>0.09766393246</v>
      </c>
      <c r="I869" s="410"/>
      <c r="J869" s="410"/>
      <c r="K869" s="410"/>
      <c r="L869" s="410"/>
      <c r="M869" s="410">
        <f>+M857/M12</f>
        <v>0.09540903833</v>
      </c>
      <c r="N869" s="410"/>
      <c r="O869" s="410"/>
      <c r="P869" s="410"/>
      <c r="Q869" s="410"/>
      <c r="R869" s="410">
        <f>+R857/R12</f>
        <v>0.09210977049</v>
      </c>
      <c r="S869" s="410"/>
      <c r="T869" s="410"/>
      <c r="U869" s="410"/>
      <c r="V869" s="410"/>
      <c r="W869" s="410">
        <f>+W857/W12</f>
        <v>0.133723502</v>
      </c>
      <c r="X869" s="410">
        <f>X857/Sales</f>
        <v>0.1766545728</v>
      </c>
      <c r="Y869" s="410">
        <f>Y857/Sales</f>
        <v>0.1856626506</v>
      </c>
      <c r="Z869" s="410">
        <f>Z857/Sales</f>
        <v>0.193906769</v>
      </c>
      <c r="AA869" s="410">
        <f>AA857/Sales</f>
        <v>0.2127097219</v>
      </c>
      <c r="AB869" s="410">
        <f>+AB857/AB12</f>
        <v>0.190624444</v>
      </c>
      <c r="AC869" s="410">
        <f>AC857/Sales</f>
        <v>0.2312415756</v>
      </c>
      <c r="AD869" s="410">
        <f>AD857/Sales</f>
        <v>0.1905588885</v>
      </c>
      <c r="AE869" s="410">
        <f>AE857/Sales</f>
        <v>0.1760122231</v>
      </c>
      <c r="AF869" s="410">
        <f>AF857/Sales</f>
        <v>0.1704138622</v>
      </c>
      <c r="AG869" s="410">
        <f>+AG857/AG12</f>
        <v>0.1919062512</v>
      </c>
      <c r="AH869" s="410">
        <f>AH857/Sales</f>
        <v>0.1493879959</v>
      </c>
      <c r="AI869" s="410">
        <f>AI857/Sales</f>
        <v>0.1750276943</v>
      </c>
      <c r="AJ869" s="410">
        <f>AJ857/Sales</f>
        <v>0.1686654367</v>
      </c>
      <c r="AK869" s="410">
        <f>AK857/Sales</f>
        <v>0.1720670391</v>
      </c>
      <c r="AL869" s="410">
        <f t="shared" si="4301"/>
        <v>0.1661933941</v>
      </c>
      <c r="AM869" s="410">
        <f>AM857/Sales</f>
        <v>0.1467930677</v>
      </c>
      <c r="AN869" s="410">
        <f>AN857/Sales</f>
        <v>0.1442194836</v>
      </c>
      <c r="AO869" s="410">
        <f>AO857/Sales</f>
        <v>0.127026682</v>
      </c>
      <c r="AP869" s="410">
        <f>AP857/Sales</f>
        <v>0.1224116234</v>
      </c>
      <c r="AQ869" s="410">
        <f t="shared" si="4302"/>
        <v>0.1340035168</v>
      </c>
      <c r="AR869" s="410">
        <f>AR857/Sales</f>
        <v>0.1317513286</v>
      </c>
      <c r="AS869" s="410">
        <f>AS857/Sales</f>
        <v>0.1584047708</v>
      </c>
      <c r="AT869" s="410">
        <f>AT857/Sales</f>
        <v>0.1573604061</v>
      </c>
      <c r="AU869" s="410">
        <f>AU857/Sales</f>
        <v>0.1425296937</v>
      </c>
      <c r="AV869" s="410">
        <f t="shared" si="4277"/>
        <v>0.1473881142</v>
      </c>
      <c r="AW869" s="410" t="str">
        <f>AW857/Sales</f>
        <v>#ERROR!</v>
      </c>
      <c r="AX869" s="410" t="str">
        <f>AX857/Sales</f>
        <v>#ERROR!</v>
      </c>
      <c r="AY869" s="410" t="str">
        <f>AY857/Sales</f>
        <v>#ERROR!</v>
      </c>
      <c r="AZ869" s="410" t="str">
        <f>AZ857/Sales</f>
        <v>#ERROR!</v>
      </c>
      <c r="BA869" s="410" t="str">
        <f t="shared" si="4278"/>
        <v>#ERROR!</v>
      </c>
      <c r="BB869" s="410" t="str">
        <f>BB857/Sales</f>
        <v>#ERROR!</v>
      </c>
      <c r="BC869" s="410" t="str">
        <f>BC857/Sales</f>
        <v>#ERROR!</v>
      </c>
      <c r="BD869" s="410" t="str">
        <f>BD857/Sales</f>
        <v>#ERROR!</v>
      </c>
      <c r="BE869" s="410" t="str">
        <f>BE857/Sales</f>
        <v>#ERROR!</v>
      </c>
      <c r="BF869" s="410" t="str">
        <f t="shared" si="4279"/>
        <v>#ERROR!</v>
      </c>
      <c r="BG869" s="410" t="str">
        <f>BG857/Sales</f>
        <v>#ERROR!</v>
      </c>
      <c r="BH869" s="410" t="str">
        <f>BH857/Sales</f>
        <v>#ERROR!</v>
      </c>
      <c r="BI869" s="410" t="str">
        <f>BI857/Sales</f>
        <v>#ERROR!</v>
      </c>
      <c r="BJ869" s="410" t="str">
        <f>BJ857/Sales</f>
        <v>#ERROR!</v>
      </c>
      <c r="BK869" s="410" t="str">
        <f t="shared" si="4280"/>
        <v>#ERROR!</v>
      </c>
      <c r="BL869" s="410" t="str">
        <f>BL857/Sales</f>
        <v>#ERROR!</v>
      </c>
      <c r="BM869" s="410" t="str">
        <f>BM857/Sales</f>
        <v>#ERROR!</v>
      </c>
      <c r="BN869" s="410" t="str">
        <f>BN857/Sales</f>
        <v>#ERROR!</v>
      </c>
      <c r="BO869" s="410" t="str">
        <f>BO857/Sales</f>
        <v>#ERROR!</v>
      </c>
      <c r="BP869" s="410" t="str">
        <f t="shared" si="4281"/>
        <v>#ERROR!</v>
      </c>
      <c r="BQ869" s="410" t="str">
        <f>BQ857/Sales</f>
        <v>#ERROR!</v>
      </c>
      <c r="BR869" s="410" t="str">
        <f>BR857/Sales</f>
        <v>#ERROR!</v>
      </c>
      <c r="BS869" s="410">
        <f>BS857/Sales</f>
        <v>0.08567472574</v>
      </c>
      <c r="BT869" s="410" t="str">
        <f>BT857/Sales</f>
        <v>#ERROR!</v>
      </c>
      <c r="BU869" s="410" t="str">
        <f t="shared" si="4282"/>
        <v>#ERROR!</v>
      </c>
      <c r="BV869" s="410" t="str">
        <f>BV857/Sales</f>
        <v>#ERROR!</v>
      </c>
      <c r="BW869" s="410" t="str">
        <f>BW857/Sales</f>
        <v>#ERROR!</v>
      </c>
      <c r="BX869" s="410" t="str">
        <f>BX857/Sales</f>
        <v>#ERROR!</v>
      </c>
      <c r="BY869" s="410" t="str">
        <f>BY857/Sales</f>
        <v>#ERROR!</v>
      </c>
      <c r="BZ869" s="24" t="str">
        <f t="shared" si="4283"/>
        <v>#ERROR!</v>
      </c>
      <c r="CA869" s="410" t="str">
        <f>CA857/Sales</f>
        <v>#ERROR!</v>
      </c>
      <c r="CB869" s="410" t="str">
        <f>CB857/Sales</f>
        <v>#ERROR!</v>
      </c>
      <c r="CC869" s="410" t="str">
        <f>CC857/Sales</f>
        <v>#ERROR!</v>
      </c>
      <c r="CD869" s="410" t="str">
        <f>CD857/Sales</f>
        <v>#ERROR!</v>
      </c>
      <c r="CE869" s="24" t="str">
        <f t="shared" si="4284"/>
        <v>#ERROR!</v>
      </c>
      <c r="CF869" s="410" t="str">
        <f>CF857/Sales</f>
        <v>#ERROR!</v>
      </c>
      <c r="CG869" s="410" t="str">
        <f>CG857/Sales</f>
        <v>#ERROR!</v>
      </c>
      <c r="CH869" s="410" t="str">
        <f>CH857/Sales</f>
        <v>#ERROR!</v>
      </c>
      <c r="CI869" s="410" t="str">
        <f>CI857/Sales</f>
        <v>#ERROR!</v>
      </c>
      <c r="CJ869" s="24" t="str">
        <f t="shared" si="4285"/>
        <v>#ERROR!</v>
      </c>
      <c r="CK869" s="410" t="str">
        <f>CK857/Sales</f>
        <v>#ERROR!</v>
      </c>
      <c r="CL869" s="410" t="str">
        <f>CL857/Sales</f>
        <v>#ERROR!</v>
      </c>
      <c r="CM869" s="410" t="str">
        <f>CM857/Sales</f>
        <v>#ERROR!</v>
      </c>
      <c r="CN869" s="104" t="str">
        <f>CN857/Sales</f>
        <v>#ERROR!</v>
      </c>
      <c r="CO869" s="24" t="str">
        <f t="shared" si="4286"/>
        <v>#ERROR!</v>
      </c>
      <c r="CP869" s="104" t="str">
        <f>CP857/Sales</f>
        <v>#ERROR!</v>
      </c>
      <c r="CQ869" s="410" t="str">
        <f>CQ857/Sales</f>
        <v>#ERROR!</v>
      </c>
      <c r="CR869" s="410" t="str">
        <f>CR857/Sales</f>
        <v>#ERROR!</v>
      </c>
      <c r="CS869" s="410" t="str">
        <f>CS857/Sales</f>
        <v>#ERROR!</v>
      </c>
      <c r="CT869" s="24" t="str">
        <f t="shared" si="4287"/>
        <v>#ERROR!</v>
      </c>
      <c r="CU869" s="410" t="str">
        <f>CU857/Sales</f>
        <v>#ERROR!</v>
      </c>
      <c r="CV869" s="410" t="str">
        <f>CV857/Sales</f>
        <v>#ERROR!</v>
      </c>
      <c r="CW869" s="410" t="str">
        <f>CW857/Sales</f>
        <v>#ERROR!</v>
      </c>
      <c r="CX869" s="410" t="str">
        <f>CX857/Sales</f>
        <v>#ERROR!</v>
      </c>
      <c r="CY869" s="24" t="str">
        <f t="shared" si="4288"/>
        <v>#ERROR!</v>
      </c>
      <c r="CZ869" s="410" t="str">
        <f>CZ857/Sales</f>
        <v>#ERROR!</v>
      </c>
      <c r="DA869" s="410" t="str">
        <f>DA857/Sales</f>
        <v>#ERROR!</v>
      </c>
      <c r="DB869" s="410" t="str">
        <f>DB857/Sales</f>
        <v>#ERROR!</v>
      </c>
      <c r="DC869" s="410" t="str">
        <f>DC857/Sales</f>
        <v>#ERROR!</v>
      </c>
      <c r="DD869" s="24" t="str">
        <f t="shared" si="4289"/>
        <v>#ERROR!</v>
      </c>
      <c r="DE869" s="410" t="str">
        <f>DE857/Sales</f>
        <v>#ERROR!</v>
      </c>
      <c r="DF869" s="410" t="str">
        <f>DF857/Sales</f>
        <v>#ERROR!</v>
      </c>
      <c r="DG869" s="104" t="str">
        <f>DG857/Sales</f>
        <v>#ERROR!</v>
      </c>
      <c r="DH869" s="410" t="str">
        <f>DH857/Sales</f>
        <v>#ERROR!</v>
      </c>
      <c r="DI869" s="24" t="str">
        <f t="shared" si="4290"/>
        <v>#ERROR!</v>
      </c>
      <c r="DJ869" s="104" t="str">
        <f>DJ857/Sales</f>
        <v>#ERROR!</v>
      </c>
      <c r="DK869" s="104" t="str">
        <f>DK857/Sales</f>
        <v>#ERROR!</v>
      </c>
      <c r="DL869" s="104" t="str">
        <f>DL857/Sales</f>
        <v>#ERROR!</v>
      </c>
      <c r="DM869" s="410" t="str">
        <f>DM857/Sales</f>
        <v>#ERROR!</v>
      </c>
      <c r="DN869" s="24" t="str">
        <f t="shared" si="4291"/>
        <v>#ERROR!</v>
      </c>
      <c r="DO869" s="410" t="str">
        <f>DO857/Sales</f>
        <v>#ERROR!</v>
      </c>
      <c r="DP869" s="410" t="str">
        <f>DP857/Sales</f>
        <v>#ERROR!</v>
      </c>
      <c r="DQ869" s="410" t="str">
        <f>DQ857/Sales</f>
        <v>#ERROR!</v>
      </c>
      <c r="DR869" s="410" t="str">
        <f>DR857/Sales</f>
        <v>#ERROR!</v>
      </c>
      <c r="DS869" s="24" t="str">
        <f t="shared" si="4292"/>
        <v>#ERROR!</v>
      </c>
      <c r="DT869" s="410" t="str">
        <f>DT857/Sales</f>
        <v>#ERROR!</v>
      </c>
      <c r="DU869" s="410" t="str">
        <f>DU857/Sales</f>
        <v>#ERROR!</v>
      </c>
      <c r="DV869" s="410" t="str">
        <f>DV857/Sales</f>
        <v>#ERROR!</v>
      </c>
      <c r="DW869" s="410" t="str">
        <f>DW857/Sales</f>
        <v>#ERROR!</v>
      </c>
      <c r="DX869" s="24" t="str">
        <f t="shared" si="4293"/>
        <v>#ERROR!</v>
      </c>
      <c r="DY869" s="410" t="str">
        <f>DY857/Sales</f>
        <v>#ERROR!</v>
      </c>
      <c r="DZ869" s="410" t="str">
        <f>DZ857/Sales</f>
        <v>#ERROR!</v>
      </c>
      <c r="EA869" s="410" t="str">
        <f>EA857/Sales</f>
        <v>#ERROR!</v>
      </c>
      <c r="EB869" s="410" t="str">
        <f>EB857/Sales</f>
        <v>#ERROR!</v>
      </c>
      <c r="EC869" s="24" t="str">
        <f t="shared" si="4294"/>
        <v>#ERROR!</v>
      </c>
      <c r="ED869" s="410" t="str">
        <f>ED857/Sales</f>
        <v>#ERROR!</v>
      </c>
      <c r="EE869" s="410" t="str">
        <f>EE857/Sales</f>
        <v>#ERROR!</v>
      </c>
      <c r="EF869" s="410" t="str">
        <f>EF857/Sales</f>
        <v>#ERROR!</v>
      </c>
      <c r="EG869" s="410" t="str">
        <f>EG857/Sales</f>
        <v>#ERROR!</v>
      </c>
      <c r="EH869" s="24" t="str">
        <f t="shared" si="4295"/>
        <v>#ERROR!</v>
      </c>
      <c r="EI869" s="317" t="str">
        <f>EI857/Sales</f>
        <v>#ERROR!</v>
      </c>
      <c r="EJ869" s="410" t="str">
        <f>EJ857/Sales</f>
        <v>#ERROR!</v>
      </c>
      <c r="EK869" s="410" t="str">
        <f>EK857/Sales</f>
        <v>#ERROR!</v>
      </c>
      <c r="EL869" s="410" t="str">
        <f>EL857/Sales</f>
        <v>#ERROR!</v>
      </c>
      <c r="EM869" s="24" t="str">
        <f t="shared" si="4296"/>
        <v>#ERROR!</v>
      </c>
      <c r="EN869" s="410" t="str">
        <f>EN857/Sales</f>
        <v>#ERROR!</v>
      </c>
      <c r="EO869" s="410" t="str">
        <f>EO857/Sales</f>
        <v>#ERROR!</v>
      </c>
      <c r="EP869" s="410" t="str">
        <f>EP857/Sales</f>
        <v>#ERROR!</v>
      </c>
      <c r="EQ869" s="410" t="str">
        <f>EQ857/Sales</f>
        <v>#ERROR!</v>
      </c>
      <c r="ER869" s="24" t="str">
        <f t="shared" si="4297"/>
        <v>#ERROR!</v>
      </c>
      <c r="ES869" s="410" t="str">
        <f>ES857/Sales</f>
        <v>#ERROR!</v>
      </c>
      <c r="ET869" s="410" t="str">
        <f>ET857/Sales</f>
        <v>#ERROR!</v>
      </c>
      <c r="EU869" s="410" t="str">
        <f>EU857/Sales</f>
        <v>#ERROR!</v>
      </c>
      <c r="EV869" s="410" t="str">
        <f>EV857/Sales</f>
        <v>#ERROR!</v>
      </c>
      <c r="EW869" s="24" t="str">
        <f t="shared" si="4298"/>
        <v>#ERROR!</v>
      </c>
      <c r="EX869" s="410" t="str">
        <f>EX857/Sales</f>
        <v>#ERROR!</v>
      </c>
      <c r="EY869" s="410" t="str">
        <f>EY857/Sales</f>
        <v>#ERROR!</v>
      </c>
      <c r="EZ869" s="410" t="str">
        <f>EZ857/Sales</f>
        <v>#ERROR!</v>
      </c>
      <c r="FA869" s="410" t="str">
        <f>FA857/Sales</f>
        <v>#ERROR!</v>
      </c>
      <c r="FB869" s="24" t="str">
        <f t="shared" si="4299"/>
        <v>#ERROR!</v>
      </c>
      <c r="FC869" s="410" t="str">
        <f>FC857/Sales</f>
        <v>#ERROR!</v>
      </c>
      <c r="FD869" s="410" t="str">
        <f>FD857/Sales</f>
        <v>#ERROR!</v>
      </c>
      <c r="FE869" s="410" t="str">
        <f>FE857/Sales</f>
        <v>#ERROR!</v>
      </c>
      <c r="FF869" s="410" t="str">
        <f>FF857/Sales</f>
        <v>#ERROR!</v>
      </c>
      <c r="FG869" s="24" t="str">
        <f t="shared" si="4300"/>
        <v>#ERROR!</v>
      </c>
      <c r="FH869" s="104"/>
      <c r="FI869" s="410"/>
      <c r="FJ869" s="410"/>
      <c r="FK869" s="410"/>
      <c r="FL869" s="410"/>
    </row>
    <row r="870" ht="13.5" hidden="1" customHeight="1" outlineLevel="2">
      <c r="A870" s="4"/>
      <c r="B870" s="591" t="s">
        <v>293</v>
      </c>
      <c r="C870" s="591"/>
      <c r="D870" s="591"/>
      <c r="E870" s="591"/>
      <c r="F870" s="591"/>
      <c r="G870" s="591"/>
      <c r="H870" s="591"/>
      <c r="I870" s="591"/>
      <c r="J870" s="591"/>
      <c r="K870" s="591"/>
      <c r="L870" s="591"/>
      <c r="M870" s="591"/>
      <c r="N870" s="591"/>
      <c r="O870" s="591"/>
      <c r="P870" s="591"/>
      <c r="Q870" s="591"/>
      <c r="R870" s="591"/>
      <c r="S870" s="591"/>
      <c r="T870" s="591"/>
      <c r="U870" s="591"/>
      <c r="V870" s="591"/>
      <c r="W870" s="591"/>
      <c r="X870" s="591"/>
      <c r="Y870" s="591"/>
      <c r="Z870" s="591"/>
      <c r="AA870" s="591"/>
      <c r="AB870" s="591"/>
      <c r="AC870" s="591"/>
      <c r="AD870" s="591"/>
      <c r="AE870" s="591"/>
      <c r="AF870" s="591"/>
      <c r="AG870" s="591">
        <f t="shared" ref="AG870:FG870" si="4303">AG869+AG864</f>
        <v>1</v>
      </c>
      <c r="AH870" s="591">
        <f t="shared" si="4303"/>
        <v>1</v>
      </c>
      <c r="AI870" s="591">
        <f t="shared" si="4303"/>
        <v>1</v>
      </c>
      <c r="AJ870" s="591">
        <f t="shared" si="4303"/>
        <v>1</v>
      </c>
      <c r="AK870" s="591">
        <f t="shared" si="4303"/>
        <v>1</v>
      </c>
      <c r="AL870" s="591">
        <f t="shared" si="4303"/>
        <v>1</v>
      </c>
      <c r="AM870" s="591">
        <f t="shared" si="4303"/>
        <v>1</v>
      </c>
      <c r="AN870" s="591">
        <f t="shared" si="4303"/>
        <v>1</v>
      </c>
      <c r="AO870" s="591">
        <f t="shared" si="4303"/>
        <v>1</v>
      </c>
      <c r="AP870" s="591">
        <f t="shared" si="4303"/>
        <v>1</v>
      </c>
      <c r="AQ870" s="591">
        <f t="shared" si="4303"/>
        <v>1</v>
      </c>
      <c r="AR870" s="591">
        <f t="shared" si="4303"/>
        <v>1</v>
      </c>
      <c r="AS870" s="591">
        <f t="shared" si="4303"/>
        <v>1</v>
      </c>
      <c r="AT870" s="591">
        <f t="shared" si="4303"/>
        <v>1</v>
      </c>
      <c r="AU870" s="591">
        <f t="shared" si="4303"/>
        <v>1</v>
      </c>
      <c r="AV870" s="591">
        <f t="shared" si="4303"/>
        <v>1</v>
      </c>
      <c r="AW870" s="591" t="str">
        <f t="shared" si="4303"/>
        <v>#ERROR!</v>
      </c>
      <c r="AX870" s="591" t="str">
        <f t="shared" si="4303"/>
        <v>#ERROR!</v>
      </c>
      <c r="AY870" s="591" t="str">
        <f t="shared" si="4303"/>
        <v>#ERROR!</v>
      </c>
      <c r="AZ870" s="591" t="str">
        <f t="shared" si="4303"/>
        <v>#ERROR!</v>
      </c>
      <c r="BA870" s="591" t="str">
        <f t="shared" si="4303"/>
        <v>#ERROR!</v>
      </c>
      <c r="BB870" s="591" t="str">
        <f t="shared" si="4303"/>
        <v>#ERROR!</v>
      </c>
      <c r="BC870" s="591" t="str">
        <f t="shared" si="4303"/>
        <v>#ERROR!</v>
      </c>
      <c r="BD870" s="591" t="str">
        <f t="shared" si="4303"/>
        <v>#ERROR!</v>
      </c>
      <c r="BE870" s="591" t="str">
        <f t="shared" si="4303"/>
        <v>#ERROR!</v>
      </c>
      <c r="BF870" s="591" t="str">
        <f t="shared" si="4303"/>
        <v>#ERROR!</v>
      </c>
      <c r="BG870" s="591" t="str">
        <f t="shared" si="4303"/>
        <v>#ERROR!</v>
      </c>
      <c r="BH870" s="591" t="str">
        <f t="shared" si="4303"/>
        <v>#ERROR!</v>
      </c>
      <c r="BI870" s="591" t="str">
        <f t="shared" si="4303"/>
        <v>#ERROR!</v>
      </c>
      <c r="BJ870" s="591" t="str">
        <f t="shared" si="4303"/>
        <v>#ERROR!</v>
      </c>
      <c r="BK870" s="591" t="str">
        <f t="shared" si="4303"/>
        <v>#ERROR!</v>
      </c>
      <c r="BL870" s="591" t="str">
        <f t="shared" si="4303"/>
        <v>#ERROR!</v>
      </c>
      <c r="BM870" s="591" t="str">
        <f t="shared" si="4303"/>
        <v>#ERROR!</v>
      </c>
      <c r="BN870" s="591" t="str">
        <f t="shared" si="4303"/>
        <v>#ERROR!</v>
      </c>
      <c r="BO870" s="591" t="str">
        <f t="shared" si="4303"/>
        <v>#ERROR!</v>
      </c>
      <c r="BP870" s="591" t="str">
        <f t="shared" si="4303"/>
        <v>#ERROR!</v>
      </c>
      <c r="BQ870" s="591" t="str">
        <f t="shared" si="4303"/>
        <v>#ERROR!</v>
      </c>
      <c r="BR870" s="591" t="str">
        <f t="shared" si="4303"/>
        <v>#ERROR!</v>
      </c>
      <c r="BS870" s="591" t="str">
        <f t="shared" si="4303"/>
        <v>#ERROR!</v>
      </c>
      <c r="BT870" s="591" t="str">
        <f t="shared" si="4303"/>
        <v>#ERROR!</v>
      </c>
      <c r="BU870" s="591" t="str">
        <f t="shared" si="4303"/>
        <v>#ERROR!</v>
      </c>
      <c r="BV870" s="591" t="str">
        <f t="shared" si="4303"/>
        <v>#ERROR!</v>
      </c>
      <c r="BW870" s="591" t="str">
        <f t="shared" si="4303"/>
        <v>#ERROR!</v>
      </c>
      <c r="BX870" s="591" t="str">
        <f t="shared" si="4303"/>
        <v>#ERROR!</v>
      </c>
      <c r="BY870" s="591" t="str">
        <f t="shared" si="4303"/>
        <v>#ERROR!</v>
      </c>
      <c r="BZ870" s="627" t="str">
        <f t="shared" si="4303"/>
        <v>#ERROR!</v>
      </c>
      <c r="CA870" s="591" t="str">
        <f t="shared" si="4303"/>
        <v>#ERROR!</v>
      </c>
      <c r="CB870" s="591" t="str">
        <f t="shared" si="4303"/>
        <v>#ERROR!</v>
      </c>
      <c r="CC870" s="591" t="str">
        <f t="shared" si="4303"/>
        <v>#ERROR!</v>
      </c>
      <c r="CD870" s="591" t="str">
        <f t="shared" si="4303"/>
        <v>#ERROR!</v>
      </c>
      <c r="CE870" s="627" t="str">
        <f t="shared" si="4303"/>
        <v>#ERROR!</v>
      </c>
      <c r="CF870" s="591" t="str">
        <f t="shared" si="4303"/>
        <v>#ERROR!</v>
      </c>
      <c r="CG870" s="591" t="str">
        <f t="shared" si="4303"/>
        <v>#ERROR!</v>
      </c>
      <c r="CH870" s="591" t="str">
        <f t="shared" si="4303"/>
        <v>#ERROR!</v>
      </c>
      <c r="CI870" s="591" t="str">
        <f t="shared" si="4303"/>
        <v>#ERROR!</v>
      </c>
      <c r="CJ870" s="627" t="str">
        <f t="shared" si="4303"/>
        <v>#ERROR!</v>
      </c>
      <c r="CK870" s="591" t="str">
        <f t="shared" si="4303"/>
        <v>#ERROR!</v>
      </c>
      <c r="CL870" s="591" t="str">
        <f t="shared" si="4303"/>
        <v>#ERROR!</v>
      </c>
      <c r="CM870" s="591" t="str">
        <f t="shared" si="4303"/>
        <v>#ERROR!</v>
      </c>
      <c r="CN870" s="628" t="str">
        <f t="shared" si="4303"/>
        <v>#ERROR!</v>
      </c>
      <c r="CO870" s="627" t="str">
        <f t="shared" si="4303"/>
        <v>#ERROR!</v>
      </c>
      <c r="CP870" s="628" t="str">
        <f t="shared" si="4303"/>
        <v>#ERROR!</v>
      </c>
      <c r="CQ870" s="591" t="str">
        <f t="shared" si="4303"/>
        <v>#ERROR!</v>
      </c>
      <c r="CR870" s="591" t="str">
        <f t="shared" si="4303"/>
        <v>#ERROR!</v>
      </c>
      <c r="CS870" s="591" t="str">
        <f t="shared" si="4303"/>
        <v>#ERROR!</v>
      </c>
      <c r="CT870" s="627" t="str">
        <f t="shared" si="4303"/>
        <v>#ERROR!</v>
      </c>
      <c r="CU870" s="591" t="str">
        <f t="shared" si="4303"/>
        <v>#ERROR!</v>
      </c>
      <c r="CV870" s="591" t="str">
        <f t="shared" si="4303"/>
        <v>#ERROR!</v>
      </c>
      <c r="CW870" s="591" t="str">
        <f t="shared" si="4303"/>
        <v>#ERROR!</v>
      </c>
      <c r="CX870" s="591" t="str">
        <f t="shared" si="4303"/>
        <v>#ERROR!</v>
      </c>
      <c r="CY870" s="627" t="str">
        <f t="shared" si="4303"/>
        <v>#ERROR!</v>
      </c>
      <c r="CZ870" s="591" t="str">
        <f t="shared" si="4303"/>
        <v>#ERROR!</v>
      </c>
      <c r="DA870" s="591" t="str">
        <f t="shared" si="4303"/>
        <v>#ERROR!</v>
      </c>
      <c r="DB870" s="591" t="str">
        <f t="shared" si="4303"/>
        <v>#ERROR!</v>
      </c>
      <c r="DC870" s="591" t="str">
        <f t="shared" si="4303"/>
        <v>#ERROR!</v>
      </c>
      <c r="DD870" s="627" t="str">
        <f t="shared" si="4303"/>
        <v>#ERROR!</v>
      </c>
      <c r="DE870" s="591" t="str">
        <f t="shared" si="4303"/>
        <v>#ERROR!</v>
      </c>
      <c r="DF870" s="591" t="str">
        <f t="shared" si="4303"/>
        <v>#ERROR!</v>
      </c>
      <c r="DG870" s="325" t="str">
        <f t="shared" si="4303"/>
        <v>#ERROR!</v>
      </c>
      <c r="DH870" s="591" t="str">
        <f t="shared" si="4303"/>
        <v>#ERROR!</v>
      </c>
      <c r="DI870" s="627" t="str">
        <f t="shared" si="4303"/>
        <v>#ERROR!</v>
      </c>
      <c r="DJ870" s="628" t="str">
        <f t="shared" si="4303"/>
        <v>#ERROR!</v>
      </c>
      <c r="DK870" s="628" t="str">
        <f t="shared" si="4303"/>
        <v>#ERROR!</v>
      </c>
      <c r="DL870" s="628" t="str">
        <f t="shared" si="4303"/>
        <v>#ERROR!</v>
      </c>
      <c r="DM870" s="591" t="str">
        <f t="shared" si="4303"/>
        <v>#ERROR!</v>
      </c>
      <c r="DN870" s="627" t="str">
        <f t="shared" si="4303"/>
        <v>#ERROR!</v>
      </c>
      <c r="DO870" s="591" t="str">
        <f t="shared" si="4303"/>
        <v>#ERROR!</v>
      </c>
      <c r="DP870" s="591" t="str">
        <f t="shared" si="4303"/>
        <v>#ERROR!</v>
      </c>
      <c r="DQ870" s="591" t="str">
        <f t="shared" si="4303"/>
        <v>#ERROR!</v>
      </c>
      <c r="DR870" s="591" t="str">
        <f t="shared" si="4303"/>
        <v>#ERROR!</v>
      </c>
      <c r="DS870" s="627" t="str">
        <f t="shared" si="4303"/>
        <v>#ERROR!</v>
      </c>
      <c r="DT870" s="591" t="str">
        <f t="shared" si="4303"/>
        <v>#ERROR!</v>
      </c>
      <c r="DU870" s="591" t="str">
        <f t="shared" si="4303"/>
        <v>#ERROR!</v>
      </c>
      <c r="DV870" s="591" t="str">
        <f t="shared" si="4303"/>
        <v>#ERROR!</v>
      </c>
      <c r="DW870" s="591" t="str">
        <f t="shared" si="4303"/>
        <v>#ERROR!</v>
      </c>
      <c r="DX870" s="627" t="str">
        <f t="shared" si="4303"/>
        <v>#ERROR!</v>
      </c>
      <c r="DY870" s="591" t="str">
        <f t="shared" si="4303"/>
        <v>#ERROR!</v>
      </c>
      <c r="DZ870" s="591" t="str">
        <f t="shared" si="4303"/>
        <v>#ERROR!</v>
      </c>
      <c r="EA870" s="591" t="str">
        <f t="shared" si="4303"/>
        <v>#ERROR!</v>
      </c>
      <c r="EB870" s="591" t="str">
        <f t="shared" si="4303"/>
        <v>#ERROR!</v>
      </c>
      <c r="EC870" s="627" t="str">
        <f t="shared" si="4303"/>
        <v>#ERROR!</v>
      </c>
      <c r="ED870" s="591" t="str">
        <f t="shared" si="4303"/>
        <v>#ERROR!</v>
      </c>
      <c r="EE870" s="591" t="str">
        <f t="shared" si="4303"/>
        <v>#ERROR!</v>
      </c>
      <c r="EF870" s="591" t="str">
        <f t="shared" si="4303"/>
        <v>#ERROR!</v>
      </c>
      <c r="EG870" s="591" t="str">
        <f t="shared" si="4303"/>
        <v>#ERROR!</v>
      </c>
      <c r="EH870" s="627" t="str">
        <f t="shared" si="4303"/>
        <v>#ERROR!</v>
      </c>
      <c r="EI870" s="629" t="str">
        <f t="shared" si="4303"/>
        <v>#ERROR!</v>
      </c>
      <c r="EJ870" s="591" t="str">
        <f t="shared" si="4303"/>
        <v>#ERROR!</v>
      </c>
      <c r="EK870" s="591" t="str">
        <f t="shared" si="4303"/>
        <v>#ERROR!</v>
      </c>
      <c r="EL870" s="591" t="str">
        <f t="shared" si="4303"/>
        <v>#ERROR!</v>
      </c>
      <c r="EM870" s="627" t="str">
        <f t="shared" si="4303"/>
        <v>#ERROR!</v>
      </c>
      <c r="EN870" s="591" t="str">
        <f t="shared" si="4303"/>
        <v>#ERROR!</v>
      </c>
      <c r="EO870" s="591" t="str">
        <f t="shared" si="4303"/>
        <v>#ERROR!</v>
      </c>
      <c r="EP870" s="591" t="str">
        <f t="shared" si="4303"/>
        <v>#ERROR!</v>
      </c>
      <c r="EQ870" s="591" t="str">
        <f t="shared" si="4303"/>
        <v>#ERROR!</v>
      </c>
      <c r="ER870" s="627" t="str">
        <f t="shared" si="4303"/>
        <v>#ERROR!</v>
      </c>
      <c r="ES870" s="591" t="str">
        <f t="shared" si="4303"/>
        <v>#ERROR!</v>
      </c>
      <c r="ET870" s="591" t="str">
        <f t="shared" si="4303"/>
        <v>#ERROR!</v>
      </c>
      <c r="EU870" s="591" t="str">
        <f t="shared" si="4303"/>
        <v>#ERROR!</v>
      </c>
      <c r="EV870" s="591" t="str">
        <f t="shared" si="4303"/>
        <v>#ERROR!</v>
      </c>
      <c r="EW870" s="627" t="str">
        <f t="shared" si="4303"/>
        <v>#ERROR!</v>
      </c>
      <c r="EX870" s="591" t="str">
        <f t="shared" si="4303"/>
        <v>#ERROR!</v>
      </c>
      <c r="EY870" s="591" t="str">
        <f t="shared" si="4303"/>
        <v>#ERROR!</v>
      </c>
      <c r="EZ870" s="591" t="str">
        <f t="shared" si="4303"/>
        <v>#ERROR!</v>
      </c>
      <c r="FA870" s="591" t="str">
        <f t="shared" si="4303"/>
        <v>#ERROR!</v>
      </c>
      <c r="FB870" s="627" t="str">
        <f t="shared" si="4303"/>
        <v>#ERROR!</v>
      </c>
      <c r="FC870" s="591" t="str">
        <f t="shared" si="4303"/>
        <v>#ERROR!</v>
      </c>
      <c r="FD870" s="591" t="str">
        <f t="shared" si="4303"/>
        <v>#ERROR!</v>
      </c>
      <c r="FE870" s="591" t="str">
        <f t="shared" si="4303"/>
        <v>#ERROR!</v>
      </c>
      <c r="FF870" s="591" t="str">
        <f t="shared" si="4303"/>
        <v>#ERROR!</v>
      </c>
      <c r="FG870" s="627" t="str">
        <f t="shared" si="4303"/>
        <v>#ERROR!</v>
      </c>
      <c r="FH870" s="628"/>
      <c r="FI870" s="591"/>
      <c r="FJ870" s="591"/>
      <c r="FK870" s="591"/>
      <c r="FL870" s="591"/>
    </row>
    <row r="871" ht="12.75" hidden="1" customHeight="1" outlineLevel="2">
      <c r="A871" s="4"/>
      <c r="B871" s="4"/>
      <c r="C871" s="4"/>
      <c r="D871" s="15"/>
      <c r="E871" s="15"/>
      <c r="F871" s="15"/>
      <c r="G871" s="4"/>
      <c r="H871" s="45"/>
      <c r="I871" s="15"/>
      <c r="J871" s="15"/>
      <c r="K871" s="15"/>
      <c r="L871" s="4"/>
      <c r="M871" s="45"/>
      <c r="N871" s="15"/>
      <c r="O871" s="15"/>
      <c r="P871" s="15"/>
      <c r="Q871" s="4"/>
      <c r="R871" s="45"/>
      <c r="S871" s="15"/>
      <c r="T871" s="15"/>
      <c r="U871" s="15"/>
      <c r="V871" s="4"/>
      <c r="W871" s="45"/>
      <c r="X871" s="15"/>
      <c r="Y871" s="15"/>
      <c r="Z871" s="15"/>
      <c r="AA871" s="4"/>
      <c r="AB871" s="45"/>
      <c r="AC871" s="15"/>
      <c r="AD871" s="15"/>
      <c r="AE871" s="15"/>
      <c r="AF871" s="4"/>
      <c r="AG871" s="45"/>
      <c r="AH871" s="15"/>
      <c r="AI871" s="15"/>
      <c r="AJ871" s="15"/>
      <c r="AK871" s="4"/>
      <c r="AL871" s="45"/>
      <c r="AM871" s="15"/>
      <c r="AN871" s="15"/>
      <c r="AO871" s="15"/>
      <c r="AP871" s="4"/>
      <c r="AQ871" s="45"/>
      <c r="AR871" s="15"/>
      <c r="AS871" s="15"/>
      <c r="AT871" s="15"/>
      <c r="AU871" s="4"/>
      <c r="AV871" s="45"/>
      <c r="AW871" s="15"/>
      <c r="AX871" s="15"/>
      <c r="AY871" s="15"/>
      <c r="AZ871" s="4"/>
      <c r="BA871" s="45"/>
      <c r="BB871" s="15"/>
      <c r="BC871" s="15"/>
      <c r="BD871" s="15"/>
      <c r="BE871" s="4"/>
      <c r="BF871" s="45"/>
      <c r="BG871" s="15"/>
      <c r="BH871" s="15"/>
      <c r="BI871" s="15"/>
      <c r="BJ871" s="4"/>
      <c r="BK871" s="45"/>
      <c r="BL871" s="15"/>
      <c r="BM871" s="15"/>
      <c r="BN871" s="15"/>
      <c r="BO871" s="4"/>
      <c r="BP871" s="45"/>
      <c r="BQ871" s="15"/>
      <c r="BR871" s="15"/>
      <c r="BS871" s="15"/>
      <c r="BT871" s="4"/>
      <c r="BU871" s="45"/>
      <c r="BV871" s="15"/>
      <c r="BW871" s="15"/>
      <c r="BX871" s="15"/>
      <c r="BY871" s="4"/>
      <c r="BZ871" s="350"/>
      <c r="CA871" s="15"/>
      <c r="CB871" s="15"/>
      <c r="CC871" s="15"/>
      <c r="CD871" s="4"/>
      <c r="CE871" s="350"/>
      <c r="CF871" s="15"/>
      <c r="CG871" s="15"/>
      <c r="CH871" s="15"/>
      <c r="CI871" s="4"/>
      <c r="CJ871" s="350"/>
      <c r="CK871" s="15"/>
      <c r="CL871" s="15"/>
      <c r="CM871" s="15"/>
      <c r="CN871" s="16"/>
      <c r="CO871" s="350"/>
      <c r="CP871" s="16"/>
      <c r="CQ871" s="15"/>
      <c r="CR871" s="15"/>
      <c r="CS871" s="4"/>
      <c r="CT871" s="350"/>
      <c r="CU871" s="15"/>
      <c r="CV871" s="15"/>
      <c r="CW871" s="15"/>
      <c r="CX871" s="4"/>
      <c r="CY871" s="350"/>
      <c r="CZ871" s="15"/>
      <c r="DA871" s="15"/>
      <c r="DB871" s="15"/>
      <c r="DC871" s="4"/>
      <c r="DD871" s="350"/>
      <c r="DE871" s="15"/>
      <c r="DF871" s="15"/>
      <c r="DG871" s="40"/>
      <c r="DH871" s="4"/>
      <c r="DI871" s="350"/>
      <c r="DJ871" s="40"/>
      <c r="DK871" s="40"/>
      <c r="DL871" s="40"/>
      <c r="DM871" s="4"/>
      <c r="DN871" s="350"/>
      <c r="DO871" s="15"/>
      <c r="DP871" s="15"/>
      <c r="DQ871" s="15"/>
      <c r="DR871" s="15"/>
      <c r="DS871" s="350"/>
      <c r="DT871" s="15"/>
      <c r="DU871" s="15"/>
      <c r="DV871" s="15"/>
      <c r="DW871" s="15"/>
      <c r="DX871" s="350"/>
      <c r="DY871" s="15"/>
      <c r="DZ871" s="15"/>
      <c r="EA871" s="15"/>
      <c r="EB871" s="15"/>
      <c r="EC871" s="350"/>
      <c r="ED871" s="15"/>
      <c r="EE871" s="15"/>
      <c r="EF871" s="15"/>
      <c r="EG871" s="15"/>
      <c r="EH871" s="350"/>
      <c r="EI871" s="214"/>
      <c r="EJ871" s="15"/>
      <c r="EK871" s="15"/>
      <c r="EL871" s="4"/>
      <c r="EM871" s="350"/>
      <c r="EN871" s="15"/>
      <c r="EO871" s="15"/>
      <c r="EP871" s="15"/>
      <c r="EQ871" s="4"/>
      <c r="ER871" s="350"/>
      <c r="ES871" s="15"/>
      <c r="ET871" s="15"/>
      <c r="EU871" s="15"/>
      <c r="EV871" s="4"/>
      <c r="EW871" s="350"/>
      <c r="EX871" s="15"/>
      <c r="EY871" s="15"/>
      <c r="EZ871" s="15"/>
      <c r="FA871" s="4"/>
      <c r="FB871" s="350"/>
      <c r="FC871" s="15"/>
      <c r="FD871" s="15"/>
      <c r="FE871" s="15"/>
      <c r="FF871" s="4"/>
      <c r="FG871" s="350"/>
      <c r="FH871" s="145"/>
      <c r="FI871" s="15"/>
      <c r="FJ871" s="4"/>
      <c r="FK871" s="45"/>
      <c r="FL871" s="15"/>
    </row>
    <row r="872" ht="12.75" hidden="1" customHeight="1" outlineLevel="2">
      <c r="A872" s="4"/>
      <c r="B872" s="578" t="s">
        <v>292</v>
      </c>
      <c r="C872" s="299"/>
      <c r="D872" s="299"/>
      <c r="E872" s="90"/>
      <c r="F872" s="90"/>
      <c r="G872" s="90"/>
      <c r="H872" s="299"/>
      <c r="I872" s="299"/>
      <c r="J872" s="90"/>
      <c r="K872" s="90"/>
      <c r="L872" s="90"/>
      <c r="M872" s="299"/>
      <c r="N872" s="299"/>
      <c r="O872" s="90"/>
      <c r="P872" s="90"/>
      <c r="Q872" s="90"/>
      <c r="R872" s="299"/>
      <c r="S872" s="299"/>
      <c r="T872" s="90"/>
      <c r="U872" s="90"/>
      <c r="V872" s="90"/>
      <c r="W872" s="299"/>
      <c r="X872" s="299"/>
      <c r="Y872" s="90"/>
      <c r="Z872" s="90"/>
      <c r="AA872" s="90"/>
      <c r="AB872" s="299"/>
      <c r="AC872" s="299"/>
      <c r="AD872" s="90"/>
      <c r="AE872" s="90"/>
      <c r="AF872" s="90"/>
      <c r="AG872" s="299"/>
      <c r="AH872" s="299"/>
      <c r="AI872" s="90"/>
      <c r="AJ872" s="90"/>
      <c r="AK872" s="90"/>
      <c r="AL872" s="299"/>
      <c r="AM872" s="299"/>
      <c r="AN872" s="90"/>
      <c r="AO872" s="90"/>
      <c r="AP872" s="90"/>
      <c r="AQ872" s="299"/>
      <c r="AR872" s="299"/>
      <c r="AS872" s="90"/>
      <c r="AT872" s="90">
        <f>(AT850+AT851)/(AO850+AO851)-1</f>
        <v>0.06140350877</v>
      </c>
      <c r="AU872" s="90"/>
      <c r="AV872" s="299"/>
      <c r="AW872" s="299"/>
      <c r="AX872" s="90"/>
      <c r="AY872" s="90"/>
      <c r="AZ872" s="90"/>
      <c r="BA872" s="299"/>
      <c r="BB872" s="299"/>
      <c r="BC872" s="90"/>
      <c r="BD872" s="90"/>
      <c r="BE872" s="90"/>
      <c r="BF872" s="299"/>
      <c r="BG872" s="299"/>
      <c r="BH872" s="90"/>
      <c r="BI872" s="90"/>
      <c r="BJ872" s="90"/>
      <c r="BK872" s="299"/>
      <c r="BL872" s="299"/>
      <c r="BM872" s="90"/>
      <c r="BN872" s="90"/>
      <c r="BO872" s="90"/>
      <c r="BP872" s="299"/>
      <c r="BQ872" s="299"/>
      <c r="BR872" s="90"/>
      <c r="BS872" s="90"/>
      <c r="BT872" s="90"/>
      <c r="BU872" s="299"/>
      <c r="BV872" s="299"/>
      <c r="BW872" s="90"/>
      <c r="BX872" s="90"/>
      <c r="BY872" s="90"/>
      <c r="BZ872" s="301"/>
      <c r="CA872" s="299"/>
      <c r="CB872" s="90"/>
      <c r="CC872" s="90"/>
      <c r="CD872" s="90"/>
      <c r="CE872" s="301"/>
      <c r="CF872" s="299"/>
      <c r="CG872" s="90"/>
      <c r="CH872" s="90"/>
      <c r="CI872" s="90"/>
      <c r="CJ872" s="301"/>
      <c r="CK872" s="299"/>
      <c r="CL872" s="90"/>
      <c r="CM872" s="90"/>
      <c r="CN872" s="135"/>
      <c r="CO872" s="301"/>
      <c r="CP872" s="135"/>
      <c r="CQ872" s="90"/>
      <c r="CR872" s="90"/>
      <c r="CS872" s="90"/>
      <c r="CT872" s="301"/>
      <c r="CU872" s="299"/>
      <c r="CV872" s="90"/>
      <c r="CW872" s="90"/>
      <c r="CX872" s="90"/>
      <c r="CY872" s="301"/>
      <c r="CZ872" s="299"/>
      <c r="DA872" s="90"/>
      <c r="DB872" s="90"/>
      <c r="DC872" s="90"/>
      <c r="DD872" s="301"/>
      <c r="DE872" s="299"/>
      <c r="DF872" s="90"/>
      <c r="DG872" s="16"/>
      <c r="DH872" s="90"/>
      <c r="DI872" s="301"/>
      <c r="DJ872" s="137"/>
      <c r="DK872" s="135"/>
      <c r="DL872" s="135"/>
      <c r="DM872" s="90"/>
      <c r="DN872" s="301"/>
      <c r="DO872" s="299"/>
      <c r="DP872" s="90"/>
      <c r="DQ872" s="90"/>
      <c r="DR872" s="90"/>
      <c r="DS872" s="301"/>
      <c r="DT872" s="299"/>
      <c r="DU872" s="299"/>
      <c r="DV872" s="299"/>
      <c r="DW872" s="299"/>
      <c r="DX872" s="301"/>
      <c r="DY872" s="299"/>
      <c r="DZ872" s="299"/>
      <c r="EA872" s="299"/>
      <c r="EB872" s="299"/>
      <c r="EC872" s="301"/>
      <c r="ED872" s="299"/>
      <c r="EE872" s="299"/>
      <c r="EF872" s="299"/>
      <c r="EG872" s="299"/>
      <c r="EH872" s="301"/>
      <c r="EI872" s="389"/>
      <c r="EJ872" s="90"/>
      <c r="EK872" s="90"/>
      <c r="EL872" s="90"/>
      <c r="EM872" s="301"/>
      <c r="EN872" s="299"/>
      <c r="EO872" s="90"/>
      <c r="EP872" s="90"/>
      <c r="EQ872" s="90"/>
      <c r="ER872" s="301"/>
      <c r="ES872" s="299"/>
      <c r="ET872" s="90"/>
      <c r="EU872" s="90"/>
      <c r="EV872" s="90"/>
      <c r="EW872" s="301"/>
      <c r="EX872" s="299"/>
      <c r="EY872" s="90"/>
      <c r="EZ872" s="90"/>
      <c r="FA872" s="90"/>
      <c r="FB872" s="301"/>
      <c r="FC872" s="299"/>
      <c r="FD872" s="90"/>
      <c r="FE872" s="90"/>
      <c r="FF872" s="90"/>
      <c r="FG872" s="301"/>
      <c r="FH872" s="137"/>
      <c r="FI872" s="90"/>
      <c r="FJ872" s="90"/>
      <c r="FK872" s="299"/>
      <c r="FL872" s="299"/>
    </row>
    <row r="873" ht="12.75" hidden="1" customHeight="1" outlineLevel="2">
      <c r="A873" s="15"/>
      <c r="B873" s="15" t="str">
        <f t="shared" ref="B873:B875" si="4305">+B885</f>
        <v>   Microprocessor</v>
      </c>
      <c r="C873" s="15"/>
      <c r="D873" s="15"/>
      <c r="E873" s="15"/>
      <c r="F873" s="15"/>
      <c r="G873" s="15"/>
      <c r="H873" s="410"/>
      <c r="I873" s="15"/>
      <c r="J873" s="15"/>
      <c r="K873" s="15"/>
      <c r="L873" s="15"/>
      <c r="M873" s="410"/>
      <c r="N873" s="15"/>
      <c r="O873" s="15"/>
      <c r="P873" s="15"/>
      <c r="Q873" s="15"/>
      <c r="R873" s="410"/>
      <c r="S873" s="15"/>
      <c r="T873" s="15"/>
      <c r="U873" s="15"/>
      <c r="V873" s="15"/>
      <c r="W873" s="410"/>
      <c r="X873" s="15"/>
      <c r="Y873" s="15"/>
      <c r="Z873" s="15"/>
      <c r="AA873" s="15"/>
      <c r="AB873" s="410"/>
      <c r="AC873" s="15" t="str">
        <f t="shared" ref="AC873:FG873" si="4304">+AC849/X849-1</f>
        <v>#ERROR!</v>
      </c>
      <c r="AD873" s="15" t="str">
        <f t="shared" si="4304"/>
        <v>#ERROR!</v>
      </c>
      <c r="AE873" s="15" t="str">
        <f t="shared" si="4304"/>
        <v>#ERROR!</v>
      </c>
      <c r="AF873" s="15" t="str">
        <f t="shared" si="4304"/>
        <v>#ERROR!</v>
      </c>
      <c r="AG873" s="410" t="str">
        <f t="shared" si="4304"/>
        <v>#ERROR!</v>
      </c>
      <c r="AH873" s="15" t="str">
        <f t="shared" si="4304"/>
        <v>#ERROR!</v>
      </c>
      <c r="AI873" s="15" t="str">
        <f t="shared" si="4304"/>
        <v>#ERROR!</v>
      </c>
      <c r="AJ873" s="15" t="str">
        <f t="shared" si="4304"/>
        <v>#ERROR!</v>
      </c>
      <c r="AK873" s="15" t="str">
        <f t="shared" si="4304"/>
        <v>#ERROR!</v>
      </c>
      <c r="AL873" s="410" t="str">
        <f t="shared" si="4304"/>
        <v>#ERROR!</v>
      </c>
      <c r="AM873" s="15">
        <f t="shared" si="4304"/>
        <v>0.008949011446</v>
      </c>
      <c r="AN873" s="15">
        <f t="shared" si="4304"/>
        <v>0.1057934509</v>
      </c>
      <c r="AO873" s="15">
        <f t="shared" si="4304"/>
        <v>0.2611775122</v>
      </c>
      <c r="AP873" s="15">
        <f t="shared" si="4304"/>
        <v>0.305958132</v>
      </c>
      <c r="AQ873" s="410">
        <f t="shared" si="4304"/>
        <v>0.1717761818</v>
      </c>
      <c r="AR873" s="15">
        <f t="shared" si="4304"/>
        <v>0.2334983498</v>
      </c>
      <c r="AS873" s="15">
        <f t="shared" si="4304"/>
        <v>0.1909297991</v>
      </c>
      <c r="AT873" s="15">
        <f t="shared" si="4304"/>
        <v>0.04036504037</v>
      </c>
      <c r="AU873" s="15">
        <f t="shared" si="4304"/>
        <v>0.0487053021</v>
      </c>
      <c r="AV873" s="410">
        <f t="shared" si="4304"/>
        <v>0.1189223803</v>
      </c>
      <c r="AW873" s="15" t="str">
        <f t="shared" si="4304"/>
        <v>#ERROR!</v>
      </c>
      <c r="AX873" s="15" t="str">
        <f t="shared" si="4304"/>
        <v>#ERROR!</v>
      </c>
      <c r="AY873" s="15" t="str">
        <f t="shared" si="4304"/>
        <v>#ERROR!</v>
      </c>
      <c r="AZ873" s="15" t="str">
        <f t="shared" si="4304"/>
        <v>#ERROR!</v>
      </c>
      <c r="BA873" s="410" t="str">
        <f t="shared" si="4304"/>
        <v>#ERROR!</v>
      </c>
      <c r="BB873" s="15" t="str">
        <f t="shared" si="4304"/>
        <v>#ERROR!</v>
      </c>
      <c r="BC873" s="15" t="str">
        <f t="shared" si="4304"/>
        <v>#ERROR!</v>
      </c>
      <c r="BD873" s="15" t="str">
        <f t="shared" si="4304"/>
        <v>#ERROR!</v>
      </c>
      <c r="BE873" s="15" t="str">
        <f t="shared" si="4304"/>
        <v>#ERROR!</v>
      </c>
      <c r="BF873" s="410" t="str">
        <f t="shared" si="4304"/>
        <v>#ERROR!</v>
      </c>
      <c r="BG873" s="15" t="str">
        <f t="shared" si="4304"/>
        <v>#ERROR!</v>
      </c>
      <c r="BH873" s="15" t="str">
        <f t="shared" si="4304"/>
        <v>#ERROR!</v>
      </c>
      <c r="BI873" s="15" t="str">
        <f t="shared" si="4304"/>
        <v>#ERROR!</v>
      </c>
      <c r="BJ873" s="15" t="str">
        <f t="shared" si="4304"/>
        <v>#ERROR!</v>
      </c>
      <c r="BK873" s="410" t="str">
        <f t="shared" si="4304"/>
        <v>#ERROR!</v>
      </c>
      <c r="BL873" s="15" t="str">
        <f t="shared" si="4304"/>
        <v>#ERROR!</v>
      </c>
      <c r="BM873" s="15" t="str">
        <f t="shared" si="4304"/>
        <v>#ERROR!</v>
      </c>
      <c r="BN873" s="15" t="str">
        <f t="shared" si="4304"/>
        <v>#ERROR!</v>
      </c>
      <c r="BO873" s="15" t="str">
        <f t="shared" si="4304"/>
        <v>#ERROR!</v>
      </c>
      <c r="BP873" s="410" t="str">
        <f t="shared" si="4304"/>
        <v>#ERROR!</v>
      </c>
      <c r="BQ873" s="15" t="str">
        <f t="shared" si="4304"/>
        <v>#ERROR!</v>
      </c>
      <c r="BR873" s="15" t="str">
        <f t="shared" si="4304"/>
        <v>#ERROR!</v>
      </c>
      <c r="BS873" s="15" t="str">
        <f t="shared" si="4304"/>
        <v>#ERROR!</v>
      </c>
      <c r="BT873" s="15" t="str">
        <f t="shared" si="4304"/>
        <v>#ERROR!</v>
      </c>
      <c r="BU873" s="410" t="str">
        <f t="shared" si="4304"/>
        <v>#ERROR!</v>
      </c>
      <c r="BV873" s="15" t="str">
        <f t="shared" si="4304"/>
        <v>#ERROR!</v>
      </c>
      <c r="BW873" s="15" t="str">
        <f t="shared" si="4304"/>
        <v>#ERROR!</v>
      </c>
      <c r="BX873" s="15" t="str">
        <f t="shared" si="4304"/>
        <v>#ERROR!</v>
      </c>
      <c r="BY873" s="15" t="str">
        <f t="shared" si="4304"/>
        <v>#ERROR!</v>
      </c>
      <c r="BZ873" s="24" t="str">
        <f t="shared" si="4304"/>
        <v>#ERROR!</v>
      </c>
      <c r="CA873" s="15" t="str">
        <f t="shared" si="4304"/>
        <v>#ERROR!</v>
      </c>
      <c r="CB873" s="15" t="str">
        <f t="shared" si="4304"/>
        <v>#ERROR!</v>
      </c>
      <c r="CC873" s="15" t="str">
        <f t="shared" si="4304"/>
        <v>#ERROR!</v>
      </c>
      <c r="CD873" s="15" t="str">
        <f t="shared" si="4304"/>
        <v>#ERROR!</v>
      </c>
      <c r="CE873" s="24" t="str">
        <f t="shared" si="4304"/>
        <v>#ERROR!</v>
      </c>
      <c r="CF873" s="15" t="str">
        <f t="shared" si="4304"/>
        <v>#ERROR!</v>
      </c>
      <c r="CG873" s="15" t="str">
        <f t="shared" si="4304"/>
        <v>#ERROR!</v>
      </c>
      <c r="CH873" s="15" t="str">
        <f t="shared" si="4304"/>
        <v>#ERROR!</v>
      </c>
      <c r="CI873" s="15" t="str">
        <f t="shared" si="4304"/>
        <v>#ERROR!</v>
      </c>
      <c r="CJ873" s="24" t="str">
        <f t="shared" si="4304"/>
        <v>#ERROR!</v>
      </c>
      <c r="CK873" s="15" t="str">
        <f t="shared" si="4304"/>
        <v>#ERROR!</v>
      </c>
      <c r="CL873" s="15" t="str">
        <f t="shared" si="4304"/>
        <v>#ERROR!</v>
      </c>
      <c r="CM873" s="15" t="str">
        <f t="shared" si="4304"/>
        <v>#ERROR!</v>
      </c>
      <c r="CN873" s="40" t="str">
        <f t="shared" si="4304"/>
        <v>#ERROR!</v>
      </c>
      <c r="CO873" s="24" t="str">
        <f t="shared" si="4304"/>
        <v>#ERROR!</v>
      </c>
      <c r="CP873" s="40" t="str">
        <f t="shared" si="4304"/>
        <v>#ERROR!</v>
      </c>
      <c r="CQ873" s="15" t="str">
        <f t="shared" si="4304"/>
        <v>#ERROR!</v>
      </c>
      <c r="CR873" s="15" t="str">
        <f t="shared" si="4304"/>
        <v>#ERROR!</v>
      </c>
      <c r="CS873" s="15" t="str">
        <f t="shared" si="4304"/>
        <v>#ERROR!</v>
      </c>
      <c r="CT873" s="24" t="str">
        <f t="shared" si="4304"/>
        <v>#ERROR!</v>
      </c>
      <c r="CU873" s="15" t="str">
        <f t="shared" si="4304"/>
        <v>#ERROR!</v>
      </c>
      <c r="CV873" s="15" t="str">
        <f t="shared" si="4304"/>
        <v>#ERROR!</v>
      </c>
      <c r="CW873" s="15" t="str">
        <f t="shared" si="4304"/>
        <v>#ERROR!</v>
      </c>
      <c r="CX873" s="15" t="str">
        <f t="shared" si="4304"/>
        <v>#ERROR!</v>
      </c>
      <c r="CY873" s="24" t="str">
        <f t="shared" si="4304"/>
        <v>#ERROR!</v>
      </c>
      <c r="CZ873" s="15" t="str">
        <f t="shared" si="4304"/>
        <v>#ERROR!</v>
      </c>
      <c r="DA873" s="15" t="str">
        <f t="shared" si="4304"/>
        <v>#ERROR!</v>
      </c>
      <c r="DB873" s="15" t="str">
        <f t="shared" si="4304"/>
        <v>#ERROR!</v>
      </c>
      <c r="DC873" s="15" t="str">
        <f t="shared" si="4304"/>
        <v>#ERROR!</v>
      </c>
      <c r="DD873" s="24" t="str">
        <f t="shared" si="4304"/>
        <v>#ERROR!</v>
      </c>
      <c r="DE873" s="15" t="str">
        <f t="shared" si="4304"/>
        <v>#ERROR!</v>
      </c>
      <c r="DF873" s="15" t="str">
        <f t="shared" si="4304"/>
        <v>#ERROR!</v>
      </c>
      <c r="DG873" s="40" t="str">
        <f t="shared" si="4304"/>
        <v>#ERROR!</v>
      </c>
      <c r="DH873" s="15" t="str">
        <f t="shared" si="4304"/>
        <v>#ERROR!</v>
      </c>
      <c r="DI873" s="24" t="str">
        <f t="shared" si="4304"/>
        <v>#ERROR!</v>
      </c>
      <c r="DJ873" s="40" t="str">
        <f t="shared" si="4304"/>
        <v>#ERROR!</v>
      </c>
      <c r="DK873" s="40" t="str">
        <f t="shared" si="4304"/>
        <v>#ERROR!</v>
      </c>
      <c r="DL873" s="40" t="str">
        <f t="shared" si="4304"/>
        <v>#ERROR!</v>
      </c>
      <c r="DM873" s="15" t="str">
        <f t="shared" si="4304"/>
        <v>#ERROR!</v>
      </c>
      <c r="DN873" s="24" t="str">
        <f t="shared" si="4304"/>
        <v>#ERROR!</v>
      </c>
      <c r="DO873" s="15" t="str">
        <f t="shared" si="4304"/>
        <v>#ERROR!</v>
      </c>
      <c r="DP873" s="15" t="str">
        <f t="shared" si="4304"/>
        <v>#ERROR!</v>
      </c>
      <c r="DQ873" s="15" t="str">
        <f t="shared" si="4304"/>
        <v>#ERROR!</v>
      </c>
      <c r="DR873" s="15" t="str">
        <f t="shared" si="4304"/>
        <v>#ERROR!</v>
      </c>
      <c r="DS873" s="24" t="str">
        <f t="shared" si="4304"/>
        <v>#ERROR!</v>
      </c>
      <c r="DT873" s="15" t="str">
        <f t="shared" si="4304"/>
        <v>#ERROR!</v>
      </c>
      <c r="DU873" s="15" t="str">
        <f t="shared" si="4304"/>
        <v>#ERROR!</v>
      </c>
      <c r="DV873" s="15" t="str">
        <f t="shared" si="4304"/>
        <v>#ERROR!</v>
      </c>
      <c r="DW873" s="15" t="str">
        <f t="shared" si="4304"/>
        <v>#ERROR!</v>
      </c>
      <c r="DX873" s="24" t="str">
        <f t="shared" si="4304"/>
        <v>#ERROR!</v>
      </c>
      <c r="DY873" s="15" t="str">
        <f t="shared" si="4304"/>
        <v>#ERROR!</v>
      </c>
      <c r="DZ873" s="15" t="str">
        <f t="shared" si="4304"/>
        <v>#ERROR!</v>
      </c>
      <c r="EA873" s="15" t="str">
        <f t="shared" si="4304"/>
        <v>#ERROR!</v>
      </c>
      <c r="EB873" s="15" t="str">
        <f t="shared" si="4304"/>
        <v>#ERROR!</v>
      </c>
      <c r="EC873" s="24" t="str">
        <f t="shared" si="4304"/>
        <v>#ERROR!</v>
      </c>
      <c r="ED873" s="15" t="str">
        <f t="shared" si="4304"/>
        <v>#ERROR!</v>
      </c>
      <c r="EE873" s="15" t="str">
        <f t="shared" si="4304"/>
        <v>#ERROR!</v>
      </c>
      <c r="EF873" s="15" t="str">
        <f t="shared" si="4304"/>
        <v>#ERROR!</v>
      </c>
      <c r="EG873" s="15" t="str">
        <f t="shared" si="4304"/>
        <v>#ERROR!</v>
      </c>
      <c r="EH873" s="24" t="str">
        <f t="shared" si="4304"/>
        <v>#ERROR!</v>
      </c>
      <c r="EI873" s="82" t="str">
        <f t="shared" si="4304"/>
        <v>#ERROR!</v>
      </c>
      <c r="EJ873" s="15" t="str">
        <f t="shared" si="4304"/>
        <v>#ERROR!</v>
      </c>
      <c r="EK873" s="15" t="str">
        <f t="shared" si="4304"/>
        <v>#ERROR!</v>
      </c>
      <c r="EL873" s="15" t="str">
        <f t="shared" si="4304"/>
        <v>#ERROR!</v>
      </c>
      <c r="EM873" s="24" t="str">
        <f t="shared" si="4304"/>
        <v>#ERROR!</v>
      </c>
      <c r="EN873" s="15" t="str">
        <f t="shared" si="4304"/>
        <v>#ERROR!</v>
      </c>
      <c r="EO873" s="15" t="str">
        <f t="shared" si="4304"/>
        <v>#ERROR!</v>
      </c>
      <c r="EP873" s="15" t="str">
        <f t="shared" si="4304"/>
        <v>#ERROR!</v>
      </c>
      <c r="EQ873" s="15" t="str">
        <f t="shared" si="4304"/>
        <v>#ERROR!</v>
      </c>
      <c r="ER873" s="24" t="str">
        <f t="shared" si="4304"/>
        <v>#ERROR!</v>
      </c>
      <c r="ES873" s="15" t="str">
        <f t="shared" si="4304"/>
        <v>#ERROR!</v>
      </c>
      <c r="ET873" s="15" t="str">
        <f t="shared" si="4304"/>
        <v>#ERROR!</v>
      </c>
      <c r="EU873" s="15" t="str">
        <f t="shared" si="4304"/>
        <v>#ERROR!</v>
      </c>
      <c r="EV873" s="15" t="str">
        <f t="shared" si="4304"/>
        <v>#ERROR!</v>
      </c>
      <c r="EW873" s="24" t="str">
        <f t="shared" si="4304"/>
        <v>#ERROR!</v>
      </c>
      <c r="EX873" s="15" t="str">
        <f t="shared" si="4304"/>
        <v>#ERROR!</v>
      </c>
      <c r="EY873" s="15" t="str">
        <f t="shared" si="4304"/>
        <v>#ERROR!</v>
      </c>
      <c r="EZ873" s="15" t="str">
        <f t="shared" si="4304"/>
        <v>#ERROR!</v>
      </c>
      <c r="FA873" s="15" t="str">
        <f t="shared" si="4304"/>
        <v>#ERROR!</v>
      </c>
      <c r="FB873" s="24" t="str">
        <f t="shared" si="4304"/>
        <v>#ERROR!</v>
      </c>
      <c r="FC873" s="15" t="str">
        <f t="shared" si="4304"/>
        <v>#ERROR!</v>
      </c>
      <c r="FD873" s="15" t="str">
        <f t="shared" si="4304"/>
        <v>#ERROR!</v>
      </c>
      <c r="FE873" s="15" t="str">
        <f t="shared" si="4304"/>
        <v>#ERROR!</v>
      </c>
      <c r="FF873" s="15" t="str">
        <f t="shared" si="4304"/>
        <v>#ERROR!</v>
      </c>
      <c r="FG873" s="24" t="str">
        <f t="shared" si="4304"/>
        <v>#ERROR!</v>
      </c>
      <c r="FH873" s="104"/>
      <c r="FI873" s="15"/>
      <c r="FJ873" s="15"/>
      <c r="FK873" s="410"/>
      <c r="FL873" s="15"/>
    </row>
    <row r="874" ht="12.75" hidden="1" customHeight="1" outlineLevel="2">
      <c r="A874" s="15"/>
      <c r="B874" s="15" t="str">
        <f t="shared" si="4305"/>
        <v>   Chipset</v>
      </c>
      <c r="C874" s="15"/>
      <c r="D874" s="15"/>
      <c r="E874" s="15"/>
      <c r="F874" s="15"/>
      <c r="G874" s="15"/>
      <c r="H874" s="410"/>
      <c r="I874" s="15"/>
      <c r="J874" s="15"/>
      <c r="K874" s="15"/>
      <c r="L874" s="15"/>
      <c r="M874" s="410"/>
      <c r="N874" s="15"/>
      <c r="O874" s="15"/>
      <c r="P874" s="15"/>
      <c r="Q874" s="15"/>
      <c r="R874" s="410"/>
      <c r="S874" s="15"/>
      <c r="T874" s="15"/>
      <c r="U874" s="15"/>
      <c r="V874" s="15"/>
      <c r="W874" s="410"/>
      <c r="X874" s="15"/>
      <c r="Y874" s="15"/>
      <c r="Z874" s="15"/>
      <c r="AA874" s="15"/>
      <c r="AB874" s="410"/>
      <c r="AC874" s="15">
        <f t="shared" ref="AC874:FG874" si="4306">+AC850/X850-1</f>
        <v>-0.2528725</v>
      </c>
      <c r="AD874" s="15">
        <f t="shared" si="4306"/>
        <v>-0.1918825</v>
      </c>
      <c r="AE874" s="15">
        <f t="shared" si="4306"/>
        <v>-0.1767775</v>
      </c>
      <c r="AF874" s="15">
        <f t="shared" si="4306"/>
        <v>-0.10312075</v>
      </c>
      <c r="AG874" s="410">
        <f t="shared" si="4306"/>
        <v>-0.1811313526</v>
      </c>
      <c r="AH874" s="15">
        <f t="shared" si="4306"/>
        <v>-0.02082117367</v>
      </c>
      <c r="AI874" s="15">
        <f t="shared" si="4306"/>
        <v>-0.1527297979</v>
      </c>
      <c r="AJ874" s="15">
        <f t="shared" si="4306"/>
        <v>-0.1096574063</v>
      </c>
      <c r="AK874" s="15">
        <f t="shared" si="4306"/>
        <v>-0.08962257932</v>
      </c>
      <c r="AL874" s="410">
        <f t="shared" si="4306"/>
        <v>-0.09443766304</v>
      </c>
      <c r="AM874" s="15">
        <f t="shared" si="4306"/>
        <v>0.1819566491</v>
      </c>
      <c r="AN874" s="15">
        <f t="shared" si="4306"/>
        <v>0.3915265063</v>
      </c>
      <c r="AO874" s="15">
        <f t="shared" si="4306"/>
        <v>0.4362267658</v>
      </c>
      <c r="AP874" s="15">
        <f t="shared" si="4306"/>
        <v>0.3699592525</v>
      </c>
      <c r="AQ874" s="410">
        <f t="shared" si="4306"/>
        <v>0.3457896954</v>
      </c>
      <c r="AR874" s="15">
        <f t="shared" si="4306"/>
        <v>0.1977927571</v>
      </c>
      <c r="AS874" s="15">
        <f t="shared" si="4306"/>
        <v>0.07558139535</v>
      </c>
      <c r="AT874" s="15">
        <f t="shared" si="4306"/>
        <v>0.04440331828</v>
      </c>
      <c r="AU874" s="15">
        <f t="shared" si="4306"/>
        <v>0.1923076923</v>
      </c>
      <c r="AV874" s="410">
        <f t="shared" si="4306"/>
        <v>0.1257055666</v>
      </c>
      <c r="AW874" s="15">
        <f t="shared" si="4306"/>
        <v>0.2088275862</v>
      </c>
      <c r="AX874" s="15">
        <f t="shared" si="4306"/>
        <v>0.2785206259</v>
      </c>
      <c r="AY874" s="15">
        <f t="shared" si="4306"/>
        <v>0.1866171004</v>
      </c>
      <c r="AZ874" s="15">
        <f t="shared" si="4306"/>
        <v>0.08967741935</v>
      </c>
      <c r="BA874" s="410">
        <f t="shared" si="4306"/>
        <v>0.1836334913</v>
      </c>
      <c r="BB874" s="15">
        <f t="shared" si="4306"/>
        <v>0.005476951164</v>
      </c>
      <c r="BC874" s="15">
        <f t="shared" si="4306"/>
        <v>-0.09373609257</v>
      </c>
      <c r="BD874" s="15">
        <f t="shared" si="4306"/>
        <v>-0.05675647452</v>
      </c>
      <c r="BE874" s="15">
        <f t="shared" si="4306"/>
        <v>-0.02841918295</v>
      </c>
      <c r="BF874" s="410">
        <f t="shared" si="4306"/>
        <v>-0.0434039827</v>
      </c>
      <c r="BG874" s="15">
        <f t="shared" si="4306"/>
        <v>0.06275533364</v>
      </c>
      <c r="BH874" s="15">
        <f t="shared" si="4306"/>
        <v>0.3568227856</v>
      </c>
      <c r="BI874" s="15">
        <f t="shared" si="4306"/>
        <v>0.5476335455</v>
      </c>
      <c r="BJ874" s="15">
        <f t="shared" si="4306"/>
        <v>0.4587141987</v>
      </c>
      <c r="BK874" s="410">
        <f t="shared" si="4306"/>
        <v>0.3606010715</v>
      </c>
      <c r="BL874" s="15">
        <f t="shared" si="4306"/>
        <v>0.4209289909</v>
      </c>
      <c r="BM874" s="15">
        <f t="shared" si="4306"/>
        <v>0.2214983713</v>
      </c>
      <c r="BN874" s="15">
        <f t="shared" si="4306"/>
        <v>0.008584305029</v>
      </c>
      <c r="BO874" s="15">
        <f t="shared" si="4306"/>
        <v>-0.2857441253</v>
      </c>
      <c r="BP874" s="410">
        <f t="shared" si="4306"/>
        <v>0.04934524237</v>
      </c>
      <c r="BQ874" s="15">
        <f t="shared" si="4306"/>
        <v>-0.3660103705</v>
      </c>
      <c r="BR874" s="15">
        <f t="shared" si="4306"/>
        <v>-0.220962963</v>
      </c>
      <c r="BS874" s="15">
        <f t="shared" si="4306"/>
        <v>-0.05695439393</v>
      </c>
      <c r="BT874" s="15" t="str">
        <f t="shared" si="4306"/>
        <v>#ERROR!</v>
      </c>
      <c r="BU874" s="410" t="str">
        <f t="shared" si="4306"/>
        <v>#ERROR!</v>
      </c>
      <c r="BV874" s="15" t="str">
        <f t="shared" si="4306"/>
        <v>#ERROR!</v>
      </c>
      <c r="BW874" s="15" t="str">
        <f t="shared" si="4306"/>
        <v>#ERROR!</v>
      </c>
      <c r="BX874" s="15" t="str">
        <f t="shared" si="4306"/>
        <v>#ERROR!</v>
      </c>
      <c r="BY874" s="15" t="str">
        <f t="shared" si="4306"/>
        <v>#ERROR!</v>
      </c>
      <c r="BZ874" s="24" t="str">
        <f t="shared" si="4306"/>
        <v>#ERROR!</v>
      </c>
      <c r="CA874" s="15" t="str">
        <f t="shared" si="4306"/>
        <v>#ERROR!</v>
      </c>
      <c r="CB874" s="15" t="str">
        <f t="shared" si="4306"/>
        <v>#ERROR!</v>
      </c>
      <c r="CC874" s="15" t="str">
        <f t="shared" si="4306"/>
        <v>#ERROR!</v>
      </c>
      <c r="CD874" s="15" t="str">
        <f t="shared" si="4306"/>
        <v>#ERROR!</v>
      </c>
      <c r="CE874" s="24" t="str">
        <f t="shared" si="4306"/>
        <v>#ERROR!</v>
      </c>
      <c r="CF874" s="15" t="str">
        <f t="shared" si="4306"/>
        <v>#ERROR!</v>
      </c>
      <c r="CG874" s="15" t="str">
        <f t="shared" si="4306"/>
        <v>#ERROR!</v>
      </c>
      <c r="CH874" s="15" t="str">
        <f t="shared" si="4306"/>
        <v>#ERROR!</v>
      </c>
      <c r="CI874" s="15" t="str">
        <f t="shared" si="4306"/>
        <v>#ERROR!</v>
      </c>
      <c r="CJ874" s="24" t="str">
        <f t="shared" si="4306"/>
        <v>#ERROR!</v>
      </c>
      <c r="CK874" s="15" t="str">
        <f t="shared" si="4306"/>
        <v>#ERROR!</v>
      </c>
      <c r="CL874" s="15" t="str">
        <f t="shared" si="4306"/>
        <v>#ERROR!</v>
      </c>
      <c r="CM874" s="15" t="str">
        <f t="shared" si="4306"/>
        <v>#ERROR!</v>
      </c>
      <c r="CN874" s="40" t="str">
        <f t="shared" si="4306"/>
        <v>#ERROR!</v>
      </c>
      <c r="CO874" s="24" t="str">
        <f t="shared" si="4306"/>
        <v>#ERROR!</v>
      </c>
      <c r="CP874" s="40" t="str">
        <f t="shared" si="4306"/>
        <v>#ERROR!</v>
      </c>
      <c r="CQ874" s="15" t="str">
        <f t="shared" si="4306"/>
        <v>#ERROR!</v>
      </c>
      <c r="CR874" s="15" t="str">
        <f t="shared" si="4306"/>
        <v>#ERROR!</v>
      </c>
      <c r="CS874" s="15" t="str">
        <f t="shared" si="4306"/>
        <v>#ERROR!</v>
      </c>
      <c r="CT874" s="24" t="str">
        <f t="shared" si="4306"/>
        <v>#ERROR!</v>
      </c>
      <c r="CU874" s="15" t="str">
        <f t="shared" si="4306"/>
        <v>#ERROR!</v>
      </c>
      <c r="CV874" s="15" t="str">
        <f t="shared" si="4306"/>
        <v>#ERROR!</v>
      </c>
      <c r="CW874" s="15" t="str">
        <f t="shared" si="4306"/>
        <v>#ERROR!</v>
      </c>
      <c r="CX874" s="15" t="str">
        <f t="shared" si="4306"/>
        <v>#ERROR!</v>
      </c>
      <c r="CY874" s="24" t="str">
        <f t="shared" si="4306"/>
        <v>#ERROR!</v>
      </c>
      <c r="CZ874" s="15" t="str">
        <f t="shared" si="4306"/>
        <v>#ERROR!</v>
      </c>
      <c r="DA874" s="15" t="str">
        <f t="shared" si="4306"/>
        <v>#ERROR!</v>
      </c>
      <c r="DB874" s="15" t="str">
        <f t="shared" si="4306"/>
        <v>#ERROR!</v>
      </c>
      <c r="DC874" s="15" t="str">
        <f t="shared" si="4306"/>
        <v>#ERROR!</v>
      </c>
      <c r="DD874" s="24" t="str">
        <f t="shared" si="4306"/>
        <v>#ERROR!</v>
      </c>
      <c r="DE874" s="15" t="str">
        <f t="shared" si="4306"/>
        <v>#ERROR!</v>
      </c>
      <c r="DF874" s="15" t="str">
        <f t="shared" si="4306"/>
        <v>#ERROR!</v>
      </c>
      <c r="DG874" s="40" t="str">
        <f t="shared" si="4306"/>
        <v>#ERROR!</v>
      </c>
      <c r="DH874" s="15" t="str">
        <f t="shared" si="4306"/>
        <v>#ERROR!</v>
      </c>
      <c r="DI874" s="24" t="str">
        <f t="shared" si="4306"/>
        <v>#ERROR!</v>
      </c>
      <c r="DJ874" s="40" t="str">
        <f t="shared" si="4306"/>
        <v>#ERROR!</v>
      </c>
      <c r="DK874" s="40" t="str">
        <f t="shared" si="4306"/>
        <v>#ERROR!</v>
      </c>
      <c r="DL874" s="40" t="str">
        <f t="shared" si="4306"/>
        <v>#ERROR!</v>
      </c>
      <c r="DM874" s="15" t="str">
        <f t="shared" si="4306"/>
        <v>#ERROR!</v>
      </c>
      <c r="DN874" s="24" t="str">
        <f t="shared" si="4306"/>
        <v>#ERROR!</v>
      </c>
      <c r="DO874" s="15" t="str">
        <f t="shared" si="4306"/>
        <v>#ERROR!</v>
      </c>
      <c r="DP874" s="15" t="str">
        <f t="shared" si="4306"/>
        <v>#ERROR!</v>
      </c>
      <c r="DQ874" s="15" t="str">
        <f t="shared" si="4306"/>
        <v>#ERROR!</v>
      </c>
      <c r="DR874" s="15" t="str">
        <f t="shared" si="4306"/>
        <v>#ERROR!</v>
      </c>
      <c r="DS874" s="24" t="str">
        <f t="shared" si="4306"/>
        <v>#ERROR!</v>
      </c>
      <c r="DT874" s="15" t="str">
        <f t="shared" si="4306"/>
        <v>#ERROR!</v>
      </c>
      <c r="DU874" s="15" t="str">
        <f t="shared" si="4306"/>
        <v>#ERROR!</v>
      </c>
      <c r="DV874" s="15" t="str">
        <f t="shared" si="4306"/>
        <v>#ERROR!</v>
      </c>
      <c r="DW874" s="15" t="str">
        <f t="shared" si="4306"/>
        <v>#ERROR!</v>
      </c>
      <c r="DX874" s="24" t="str">
        <f t="shared" si="4306"/>
        <v>#ERROR!</v>
      </c>
      <c r="DY874" s="15" t="str">
        <f t="shared" si="4306"/>
        <v>#ERROR!</v>
      </c>
      <c r="DZ874" s="15" t="str">
        <f t="shared" si="4306"/>
        <v>#ERROR!</v>
      </c>
      <c r="EA874" s="15" t="str">
        <f t="shared" si="4306"/>
        <v>#ERROR!</v>
      </c>
      <c r="EB874" s="15" t="str">
        <f t="shared" si="4306"/>
        <v>#ERROR!</v>
      </c>
      <c r="EC874" s="24" t="str">
        <f t="shared" si="4306"/>
        <v>#ERROR!</v>
      </c>
      <c r="ED874" s="15" t="str">
        <f t="shared" si="4306"/>
        <v>#ERROR!</v>
      </c>
      <c r="EE874" s="15" t="str">
        <f t="shared" si="4306"/>
        <v>#ERROR!</v>
      </c>
      <c r="EF874" s="15" t="str">
        <f t="shared" si="4306"/>
        <v>#ERROR!</v>
      </c>
      <c r="EG874" s="15" t="str">
        <f t="shared" si="4306"/>
        <v>#ERROR!</v>
      </c>
      <c r="EH874" s="24" t="str">
        <f t="shared" si="4306"/>
        <v>#ERROR!</v>
      </c>
      <c r="EI874" s="82" t="str">
        <f t="shared" si="4306"/>
        <v>#ERROR!</v>
      </c>
      <c r="EJ874" s="15" t="str">
        <f t="shared" si="4306"/>
        <v>#ERROR!</v>
      </c>
      <c r="EK874" s="15" t="str">
        <f t="shared" si="4306"/>
        <v>#ERROR!</v>
      </c>
      <c r="EL874" s="15" t="str">
        <f t="shared" si="4306"/>
        <v>#ERROR!</v>
      </c>
      <c r="EM874" s="24" t="str">
        <f t="shared" si="4306"/>
        <v>#ERROR!</v>
      </c>
      <c r="EN874" s="15" t="str">
        <f t="shared" si="4306"/>
        <v>#ERROR!</v>
      </c>
      <c r="EO874" s="15" t="str">
        <f t="shared" si="4306"/>
        <v>#ERROR!</v>
      </c>
      <c r="EP874" s="15" t="str">
        <f t="shared" si="4306"/>
        <v>#ERROR!</v>
      </c>
      <c r="EQ874" s="15" t="str">
        <f t="shared" si="4306"/>
        <v>#ERROR!</v>
      </c>
      <c r="ER874" s="24" t="str">
        <f t="shared" si="4306"/>
        <v>#ERROR!</v>
      </c>
      <c r="ES874" s="15" t="str">
        <f t="shared" si="4306"/>
        <v>#ERROR!</v>
      </c>
      <c r="ET874" s="15" t="str">
        <f t="shared" si="4306"/>
        <v>#ERROR!</v>
      </c>
      <c r="EU874" s="15" t="str">
        <f t="shared" si="4306"/>
        <v>#ERROR!</v>
      </c>
      <c r="EV874" s="15" t="str">
        <f t="shared" si="4306"/>
        <v>#ERROR!</v>
      </c>
      <c r="EW874" s="24" t="str">
        <f t="shared" si="4306"/>
        <v>#ERROR!</v>
      </c>
      <c r="EX874" s="15" t="str">
        <f t="shared" si="4306"/>
        <v>#ERROR!</v>
      </c>
      <c r="EY874" s="15" t="str">
        <f t="shared" si="4306"/>
        <v>#ERROR!</v>
      </c>
      <c r="EZ874" s="15" t="str">
        <f t="shared" si="4306"/>
        <v>#ERROR!</v>
      </c>
      <c r="FA874" s="15" t="str">
        <f t="shared" si="4306"/>
        <v>#ERROR!</v>
      </c>
      <c r="FB874" s="24" t="str">
        <f t="shared" si="4306"/>
        <v>#ERROR!</v>
      </c>
      <c r="FC874" s="15" t="str">
        <f t="shared" si="4306"/>
        <v>#ERROR!</v>
      </c>
      <c r="FD874" s="15" t="str">
        <f t="shared" si="4306"/>
        <v>#ERROR!</v>
      </c>
      <c r="FE874" s="15" t="str">
        <f t="shared" si="4306"/>
        <v>#ERROR!</v>
      </c>
      <c r="FF874" s="15" t="str">
        <f t="shared" si="4306"/>
        <v>#ERROR!</v>
      </c>
      <c r="FG874" s="24" t="str">
        <f t="shared" si="4306"/>
        <v>#ERROR!</v>
      </c>
      <c r="FH874" s="104"/>
      <c r="FI874" s="15"/>
      <c r="FJ874" s="15"/>
      <c r="FK874" s="410"/>
      <c r="FL874" s="15"/>
    </row>
    <row r="875" ht="12.75" hidden="1" customHeight="1" outlineLevel="2">
      <c r="A875" s="15"/>
      <c r="B875" s="15" t="str">
        <f t="shared" si="4305"/>
        <v>   Motherboard</v>
      </c>
      <c r="C875" s="15"/>
      <c r="D875" s="15"/>
      <c r="E875" s="15"/>
      <c r="F875" s="15"/>
      <c r="G875" s="15"/>
      <c r="H875" s="410"/>
      <c r="I875" s="15"/>
      <c r="J875" s="15"/>
      <c r="K875" s="15"/>
      <c r="L875" s="15"/>
      <c r="M875" s="410"/>
      <c r="N875" s="15"/>
      <c r="O875" s="15"/>
      <c r="P875" s="15"/>
      <c r="Q875" s="15"/>
      <c r="R875" s="410"/>
      <c r="S875" s="15"/>
      <c r="T875" s="15"/>
      <c r="U875" s="15"/>
      <c r="V875" s="15"/>
      <c r="W875" s="410"/>
      <c r="X875" s="15"/>
      <c r="Y875" s="15"/>
      <c r="Z875" s="15"/>
      <c r="AA875" s="15"/>
      <c r="AB875" s="410"/>
      <c r="AC875" s="15">
        <f t="shared" ref="AC875:FG875" si="4307">+AC851/X851-1</f>
        <v>-0.282976</v>
      </c>
      <c r="AD875" s="15">
        <f t="shared" si="4307"/>
        <v>-0.37168</v>
      </c>
      <c r="AE875" s="15">
        <f t="shared" si="4307"/>
        <v>-0.383104</v>
      </c>
      <c r="AF875" s="15">
        <f t="shared" si="4307"/>
        <v>-0.331696</v>
      </c>
      <c r="AG875" s="410">
        <f t="shared" si="4307"/>
        <v>-0.3427556594</v>
      </c>
      <c r="AH875" s="15">
        <f t="shared" si="4307"/>
        <v>0.7468034543</v>
      </c>
      <c r="AI875" s="15">
        <f t="shared" si="4307"/>
        <v>0.7150591362</v>
      </c>
      <c r="AJ875" s="15">
        <f t="shared" si="4307"/>
        <v>0.4812495862</v>
      </c>
      <c r="AK875" s="15">
        <f t="shared" si="4307"/>
        <v>0.5851285841</v>
      </c>
      <c r="AL875" s="410">
        <f t="shared" si="4307"/>
        <v>0.6326086308</v>
      </c>
      <c r="AM875" s="15">
        <f t="shared" si="4307"/>
        <v>-0.319760479</v>
      </c>
      <c r="AN875" s="15">
        <f t="shared" si="4307"/>
        <v>-0.06882806272</v>
      </c>
      <c r="AO875" s="15">
        <f t="shared" si="4307"/>
        <v>0.04646723647</v>
      </c>
      <c r="AP875" s="15">
        <f t="shared" si="4307"/>
        <v>0.03164038501</v>
      </c>
      <c r="AQ875" s="410">
        <f t="shared" si="4307"/>
        <v>-0.09013666148</v>
      </c>
      <c r="AR875" s="15">
        <f t="shared" si="4307"/>
        <v>0.04329681794</v>
      </c>
      <c r="AS875" s="15">
        <f t="shared" si="4307"/>
        <v>-0.08675799087</v>
      </c>
      <c r="AT875" s="15">
        <f t="shared" si="4307"/>
        <v>0.09716588168</v>
      </c>
      <c r="AU875" s="15">
        <f t="shared" si="4307"/>
        <v>0.2307692308</v>
      </c>
      <c r="AV875" s="410">
        <f t="shared" si="4307"/>
        <v>0.078161451</v>
      </c>
      <c r="AW875" s="15">
        <f t="shared" si="4307"/>
        <v>0.77125</v>
      </c>
      <c r="AX875" s="15">
        <f t="shared" si="4307"/>
        <v>0.7475</v>
      </c>
      <c r="AY875" s="15">
        <f t="shared" si="4307"/>
        <v>0.423325062</v>
      </c>
      <c r="AZ875" s="15">
        <f t="shared" si="4307"/>
        <v>0.1903225806</v>
      </c>
      <c r="BA875" s="410">
        <f t="shared" si="4307"/>
        <v>0.4879792073</v>
      </c>
      <c r="BB875" s="15">
        <f t="shared" si="4307"/>
        <v>-0.1143260409</v>
      </c>
      <c r="BC875" s="15">
        <f t="shared" si="4307"/>
        <v>0.03245708155</v>
      </c>
      <c r="BD875" s="15">
        <f t="shared" si="4307"/>
        <v>0.1179393305</v>
      </c>
      <c r="BE875" s="15">
        <f t="shared" si="4307"/>
        <v>0.2175643631</v>
      </c>
      <c r="BF875" s="410">
        <f t="shared" si="4307"/>
        <v>0.06526200873</v>
      </c>
      <c r="BG875" s="15">
        <f t="shared" si="4307"/>
        <v>0.4258964143</v>
      </c>
      <c r="BH875" s="15">
        <f t="shared" si="4307"/>
        <v>0.02017840132</v>
      </c>
      <c r="BI875" s="15">
        <f t="shared" si="4307"/>
        <v>-0.01925925926</v>
      </c>
      <c r="BJ875" s="15">
        <f t="shared" si="4307"/>
        <v>-0.1167141963</v>
      </c>
      <c r="BK875" s="410">
        <f t="shared" si="4307"/>
        <v>0.052962758</v>
      </c>
      <c r="BL875" s="15">
        <f t="shared" si="4307"/>
        <v>-0.2424559933</v>
      </c>
      <c r="BM875" s="15">
        <f t="shared" si="4307"/>
        <v>-0.03353140917</v>
      </c>
      <c r="BN875" s="15">
        <f t="shared" si="4307"/>
        <v>-0.1062967085</v>
      </c>
      <c r="BO875" s="15">
        <f t="shared" si="4307"/>
        <v>-0.4082211198</v>
      </c>
      <c r="BP875" s="410">
        <f t="shared" si="4307"/>
        <v>-0.2021879197</v>
      </c>
      <c r="BQ875" s="15">
        <f t="shared" si="4307"/>
        <v>-0.3767634855</v>
      </c>
      <c r="BR875" s="15">
        <f t="shared" si="4307"/>
        <v>-0.2996047431</v>
      </c>
      <c r="BS875" s="15">
        <f t="shared" si="4307"/>
        <v>-0.1673338671</v>
      </c>
      <c r="BT875" s="15">
        <f t="shared" si="4307"/>
        <v>-0.7402240697</v>
      </c>
      <c r="BU875" s="410">
        <f t="shared" si="4307"/>
        <v>-0.364533838</v>
      </c>
      <c r="BV875" s="15">
        <f t="shared" si="4307"/>
        <v>-0.7375809398</v>
      </c>
      <c r="BW875" s="15">
        <f t="shared" si="4307"/>
        <v>-0.7431468239</v>
      </c>
      <c r="BX875" s="15">
        <f t="shared" si="4307"/>
        <v>-0.773375481</v>
      </c>
      <c r="BY875" s="15">
        <f t="shared" si="4307"/>
        <v>0.2626404347</v>
      </c>
      <c r="BZ875" s="24">
        <f t="shared" si="4307"/>
        <v>-0.6771771783</v>
      </c>
      <c r="CA875" s="15">
        <f t="shared" si="4307"/>
        <v>0.1133895693</v>
      </c>
      <c r="CB875" s="15">
        <f t="shared" si="4307"/>
        <v>-0.01755794585</v>
      </c>
      <c r="CC875" s="15">
        <f t="shared" si="4307"/>
        <v>-0.02788451819</v>
      </c>
      <c r="CD875" s="15">
        <f t="shared" si="4307"/>
        <v>-0.1021393056</v>
      </c>
      <c r="CE875" s="24">
        <f t="shared" si="4307"/>
        <v>-0.01733589484</v>
      </c>
      <c r="CF875" s="15">
        <f t="shared" si="4307"/>
        <v>0.006538978253</v>
      </c>
      <c r="CG875" s="15">
        <f t="shared" si="4307"/>
        <v>0.1281789933</v>
      </c>
      <c r="CH875" s="15">
        <f t="shared" si="4307"/>
        <v>0.08065647444</v>
      </c>
      <c r="CI875" s="15">
        <f t="shared" si="4307"/>
        <v>0.05569271733</v>
      </c>
      <c r="CJ875" s="24">
        <f t="shared" si="4307"/>
        <v>0.06782785889</v>
      </c>
      <c r="CK875" s="15">
        <f t="shared" si="4307"/>
        <v>0.1201672902</v>
      </c>
      <c r="CL875" s="15">
        <f t="shared" si="4307"/>
        <v>0.01439804459</v>
      </c>
      <c r="CM875" s="15">
        <f t="shared" si="4307"/>
        <v>0.1126739511</v>
      </c>
      <c r="CN875" s="40">
        <f t="shared" si="4307"/>
        <v>0.09528206688</v>
      </c>
      <c r="CO875" s="24">
        <f t="shared" si="4307"/>
        <v>0.08446956985</v>
      </c>
      <c r="CP875" s="40">
        <f t="shared" si="4307"/>
        <v>0.0817514137</v>
      </c>
      <c r="CQ875" s="15">
        <f t="shared" si="4307"/>
        <v>0.2248559051</v>
      </c>
      <c r="CR875" s="15">
        <f t="shared" si="4307"/>
        <v>0.2541848743</v>
      </c>
      <c r="CS875" s="15">
        <f t="shared" si="4307"/>
        <v>0.3420177149</v>
      </c>
      <c r="CT875" s="24">
        <f t="shared" si="4307"/>
        <v>0.2304903749</v>
      </c>
      <c r="CU875" s="15">
        <f t="shared" si="4307"/>
        <v>0.307340905</v>
      </c>
      <c r="CV875" s="15">
        <f t="shared" si="4307"/>
        <v>0.1698794238</v>
      </c>
      <c r="CW875" s="15">
        <f t="shared" si="4307"/>
        <v>0.2399200471</v>
      </c>
      <c r="CX875" s="15">
        <f t="shared" si="4307"/>
        <v>0.07302780305</v>
      </c>
      <c r="CY875" s="24">
        <f t="shared" si="4307"/>
        <v>0.1882498113</v>
      </c>
      <c r="CZ875" s="15">
        <f t="shared" si="4307"/>
        <v>0.0684427379</v>
      </c>
      <c r="DA875" s="15">
        <f t="shared" si="4307"/>
        <v>0.07846168088</v>
      </c>
      <c r="DB875" s="15">
        <f t="shared" si="4307"/>
        <v>0.00160235394</v>
      </c>
      <c r="DC875" s="15">
        <f t="shared" si="4307"/>
        <v>0.09618572263</v>
      </c>
      <c r="DD875" s="24">
        <f t="shared" si="4307"/>
        <v>0.05969147671</v>
      </c>
      <c r="DE875" s="15">
        <f t="shared" si="4307"/>
        <v>0.10610106</v>
      </c>
      <c r="DF875" s="15">
        <f t="shared" si="4307"/>
        <v>0.0742025942</v>
      </c>
      <c r="DG875" s="40">
        <f t="shared" si="4307"/>
        <v>0.08554485622</v>
      </c>
      <c r="DH875" s="15">
        <f t="shared" si="4307"/>
        <v>0.03544236522</v>
      </c>
      <c r="DI875" s="24">
        <f t="shared" si="4307"/>
        <v>0.07383482756</v>
      </c>
      <c r="DJ875" s="40">
        <f t="shared" si="4307"/>
        <v>0.08438523008</v>
      </c>
      <c r="DK875" s="40">
        <f t="shared" si="4307"/>
        <v>0.1495873648</v>
      </c>
      <c r="DL875" s="40">
        <f t="shared" si="4307"/>
        <v>0.1627921</v>
      </c>
      <c r="DM875" s="15">
        <f t="shared" si="4307"/>
        <v>0.1611316721</v>
      </c>
      <c r="DN875" s="24">
        <f t="shared" si="4307"/>
        <v>0.1408560363</v>
      </c>
      <c r="DO875" s="15">
        <f t="shared" si="4307"/>
        <v>0.1368743472</v>
      </c>
      <c r="DP875" s="15">
        <f t="shared" si="4307"/>
        <v>0.1183560486</v>
      </c>
      <c r="DQ875" s="15">
        <f t="shared" si="4307"/>
        <v>0.09236725963</v>
      </c>
      <c r="DR875" s="15">
        <f t="shared" si="4307"/>
        <v>0.1405750328</v>
      </c>
      <c r="DS875" s="24">
        <f t="shared" si="4307"/>
        <v>0.1214367066</v>
      </c>
      <c r="DT875" s="15">
        <f t="shared" si="4307"/>
        <v>0.1404076901</v>
      </c>
      <c r="DU875" s="15">
        <f t="shared" si="4307"/>
        <v>0.1408423977</v>
      </c>
      <c r="DV875" s="15">
        <f t="shared" si="4307"/>
        <v>0.1412311197</v>
      </c>
      <c r="DW875" s="15">
        <f t="shared" si="4307"/>
        <v>0.1413013736</v>
      </c>
      <c r="DX875" s="24">
        <f t="shared" si="4307"/>
        <v>0.1409709455</v>
      </c>
      <c r="DY875" s="15">
        <f t="shared" si="4307"/>
        <v>0.1414096345</v>
      </c>
      <c r="DZ875" s="15">
        <f t="shared" si="4307"/>
        <v>0.1417807119</v>
      </c>
      <c r="EA875" s="15">
        <f t="shared" si="4307"/>
        <v>0.1421267068</v>
      </c>
      <c r="EB875" s="15">
        <f t="shared" si="4307"/>
        <v>0.14219407</v>
      </c>
      <c r="EC875" s="24">
        <f t="shared" si="4307"/>
        <v>0.1419001086</v>
      </c>
      <c r="ED875" s="15">
        <f t="shared" si="4307"/>
        <v>-1</v>
      </c>
      <c r="EE875" s="15">
        <f t="shared" si="4307"/>
        <v>-1</v>
      </c>
      <c r="EF875" s="15">
        <f t="shared" si="4307"/>
        <v>-1</v>
      </c>
      <c r="EG875" s="15">
        <f t="shared" si="4307"/>
        <v>-1</v>
      </c>
      <c r="EH875" s="24">
        <f t="shared" si="4307"/>
        <v>-1</v>
      </c>
      <c r="EI875" s="82" t="str">
        <f t="shared" si="4307"/>
        <v>#DIV/0!</v>
      </c>
      <c r="EJ875" s="15" t="str">
        <f t="shared" si="4307"/>
        <v>#DIV/0!</v>
      </c>
      <c r="EK875" s="15" t="str">
        <f t="shared" si="4307"/>
        <v>#DIV/0!</v>
      </c>
      <c r="EL875" s="15" t="str">
        <f t="shared" si="4307"/>
        <v>#DIV/0!</v>
      </c>
      <c r="EM875" s="24" t="str">
        <f t="shared" si="4307"/>
        <v>#DIV/0!</v>
      </c>
      <c r="EN875" s="15" t="str">
        <f t="shared" si="4307"/>
        <v>#DIV/0!</v>
      </c>
      <c r="EO875" s="15" t="str">
        <f t="shared" si="4307"/>
        <v>#DIV/0!</v>
      </c>
      <c r="EP875" s="15" t="str">
        <f t="shared" si="4307"/>
        <v>#DIV/0!</v>
      </c>
      <c r="EQ875" s="15" t="str">
        <f t="shared" si="4307"/>
        <v>#DIV/0!</v>
      </c>
      <c r="ER875" s="24" t="str">
        <f t="shared" si="4307"/>
        <v>#DIV/0!</v>
      </c>
      <c r="ES875" s="15" t="str">
        <f t="shared" si="4307"/>
        <v>#DIV/0!</v>
      </c>
      <c r="ET875" s="15" t="str">
        <f t="shared" si="4307"/>
        <v>#DIV/0!</v>
      </c>
      <c r="EU875" s="15" t="str">
        <f t="shared" si="4307"/>
        <v>#DIV/0!</v>
      </c>
      <c r="EV875" s="15" t="str">
        <f t="shared" si="4307"/>
        <v>#DIV/0!</v>
      </c>
      <c r="EW875" s="24" t="str">
        <f t="shared" si="4307"/>
        <v>#DIV/0!</v>
      </c>
      <c r="EX875" s="15" t="str">
        <f t="shared" si="4307"/>
        <v>#DIV/0!</v>
      </c>
      <c r="EY875" s="15" t="str">
        <f t="shared" si="4307"/>
        <v>#DIV/0!</v>
      </c>
      <c r="EZ875" s="15" t="str">
        <f t="shared" si="4307"/>
        <v>#DIV/0!</v>
      </c>
      <c r="FA875" s="15" t="str">
        <f t="shared" si="4307"/>
        <v>#DIV/0!</v>
      </c>
      <c r="FB875" s="24" t="str">
        <f t="shared" si="4307"/>
        <v>#DIV/0!</v>
      </c>
      <c r="FC875" s="15" t="str">
        <f t="shared" si="4307"/>
        <v>#DIV/0!</v>
      </c>
      <c r="FD875" s="15" t="str">
        <f t="shared" si="4307"/>
        <v>#DIV/0!</v>
      </c>
      <c r="FE875" s="15" t="str">
        <f t="shared" si="4307"/>
        <v>#DIV/0!</v>
      </c>
      <c r="FF875" s="15" t="str">
        <f t="shared" si="4307"/>
        <v>#DIV/0!</v>
      </c>
      <c r="FG875" s="24" t="str">
        <f t="shared" si="4307"/>
        <v>#DIV/0!</v>
      </c>
      <c r="FH875" s="104"/>
      <c r="FI875" s="15"/>
      <c r="FJ875" s="15"/>
      <c r="FK875" s="410"/>
      <c r="FL875" s="15"/>
    </row>
    <row r="876" ht="12.75" hidden="1" customHeight="1" outlineLevel="2">
      <c r="A876" s="45"/>
      <c r="B876" s="45" t="str">
        <f>B852</f>
        <v>Architecture group - IAG</v>
      </c>
      <c r="C876" s="45"/>
      <c r="D876" s="410"/>
      <c r="E876" s="410"/>
      <c r="F876" s="410"/>
      <c r="G876" s="410"/>
      <c r="H876" s="410"/>
      <c r="I876" s="410"/>
      <c r="J876" s="410"/>
      <c r="K876" s="410"/>
      <c r="L876" s="410"/>
      <c r="M876" s="410">
        <f>+M852/H852-1</f>
        <v>0.2056243687</v>
      </c>
      <c r="N876" s="410"/>
      <c r="O876" s="410"/>
      <c r="P876" s="410"/>
      <c r="Q876" s="410"/>
      <c r="R876" s="410">
        <f t="shared" ref="R876:FG876" si="4308">+R852/M852-1</f>
        <v>0.05176595088</v>
      </c>
      <c r="S876" s="410">
        <f t="shared" si="4308"/>
        <v>0.3037923342</v>
      </c>
      <c r="T876" s="410">
        <f t="shared" si="4308"/>
        <v>0.0608778626</v>
      </c>
      <c r="U876" s="410">
        <f t="shared" si="4308"/>
        <v>0.005615273544</v>
      </c>
      <c r="V876" s="410">
        <f t="shared" si="4308"/>
        <v>-0.06524365687</v>
      </c>
      <c r="W876" s="410">
        <f t="shared" si="4308"/>
        <v>0.06732905714</v>
      </c>
      <c r="X876" s="410">
        <f t="shared" si="4308"/>
        <v>0.02364286825</v>
      </c>
      <c r="Y876" s="410">
        <f t="shared" si="4308"/>
        <v>0.215866163</v>
      </c>
      <c r="Z876" s="410">
        <f t="shared" si="4308"/>
        <v>0.1228462029</v>
      </c>
      <c r="AA876" s="410">
        <f t="shared" si="4308"/>
        <v>-0.01608502082</v>
      </c>
      <c r="AB876" s="410">
        <f t="shared" si="4308"/>
        <v>0.07219450882</v>
      </c>
      <c r="AC876" s="410">
        <f t="shared" si="4308"/>
        <v>-0.2200273515</v>
      </c>
      <c r="AD876" s="410">
        <f t="shared" si="4308"/>
        <v>-0.2414558367</v>
      </c>
      <c r="AE876" s="410">
        <f t="shared" si="4308"/>
        <v>-0.2337311736</v>
      </c>
      <c r="AF876" s="410">
        <f t="shared" si="4308"/>
        <v>-0.1544300102</v>
      </c>
      <c r="AG876" s="410">
        <f t="shared" si="4308"/>
        <v>-0.2143458988</v>
      </c>
      <c r="AH876" s="410">
        <f t="shared" si="4308"/>
        <v>0.1237093318</v>
      </c>
      <c r="AI876" s="410">
        <f t="shared" si="4308"/>
        <v>0.01677394188</v>
      </c>
      <c r="AJ876" s="410">
        <f t="shared" si="4308"/>
        <v>0.002595957723</v>
      </c>
      <c r="AK876" s="410">
        <f t="shared" si="4308"/>
        <v>0.02330398757</v>
      </c>
      <c r="AL876" s="410">
        <f t="shared" si="4308"/>
        <v>0.0405670055</v>
      </c>
      <c r="AM876" s="410">
        <f t="shared" si="4308"/>
        <v>-0.001386962552</v>
      </c>
      <c r="AN876" s="410">
        <f t="shared" si="4308"/>
        <v>0.1189334356</v>
      </c>
      <c r="AO876" s="410">
        <f t="shared" si="4308"/>
        <v>0.2646569262</v>
      </c>
      <c r="AP876" s="410">
        <f t="shared" si="4308"/>
        <v>0.2940283401</v>
      </c>
      <c r="AQ876" s="410">
        <f t="shared" si="4308"/>
        <v>0.1696540599</v>
      </c>
      <c r="AR876" s="410">
        <f t="shared" si="4308"/>
        <v>0.2196180556</v>
      </c>
      <c r="AS876" s="410">
        <f t="shared" si="4308"/>
        <v>0.1613235042</v>
      </c>
      <c r="AT876" s="410">
        <f t="shared" si="4308"/>
        <v>0.04387247733</v>
      </c>
      <c r="AU876" s="410">
        <f t="shared" si="4308"/>
        <v>0.07287185504</v>
      </c>
      <c r="AV876" s="410">
        <f t="shared" si="4308"/>
        <v>0.1174239522</v>
      </c>
      <c r="AW876" s="410" t="str">
        <f t="shared" si="4308"/>
        <v>#ERROR!</v>
      </c>
      <c r="AX876" s="410" t="str">
        <f t="shared" si="4308"/>
        <v>#ERROR!</v>
      </c>
      <c r="AY876" s="410" t="str">
        <f t="shared" si="4308"/>
        <v>#ERROR!</v>
      </c>
      <c r="AZ876" s="410" t="str">
        <f t="shared" si="4308"/>
        <v>#ERROR!</v>
      </c>
      <c r="BA876" s="410" t="str">
        <f t="shared" si="4308"/>
        <v>#ERROR!</v>
      </c>
      <c r="BB876" s="410" t="str">
        <f t="shared" si="4308"/>
        <v>#ERROR!</v>
      </c>
      <c r="BC876" s="410" t="str">
        <f t="shared" si="4308"/>
        <v>#ERROR!</v>
      </c>
      <c r="BD876" s="410" t="str">
        <f t="shared" si="4308"/>
        <v>#ERROR!</v>
      </c>
      <c r="BE876" s="410" t="str">
        <f t="shared" si="4308"/>
        <v>#ERROR!</v>
      </c>
      <c r="BF876" s="410" t="str">
        <f t="shared" si="4308"/>
        <v>#ERROR!</v>
      </c>
      <c r="BG876" s="410" t="str">
        <f t="shared" si="4308"/>
        <v>#ERROR!</v>
      </c>
      <c r="BH876" s="410" t="str">
        <f t="shared" si="4308"/>
        <v>#ERROR!</v>
      </c>
      <c r="BI876" s="410" t="str">
        <f t="shared" si="4308"/>
        <v>#ERROR!</v>
      </c>
      <c r="BJ876" s="410" t="str">
        <f t="shared" si="4308"/>
        <v>#ERROR!</v>
      </c>
      <c r="BK876" s="410" t="str">
        <f t="shared" si="4308"/>
        <v>#ERROR!</v>
      </c>
      <c r="BL876" s="410" t="str">
        <f t="shared" si="4308"/>
        <v>#ERROR!</v>
      </c>
      <c r="BM876" s="410" t="str">
        <f t="shared" si="4308"/>
        <v>#ERROR!</v>
      </c>
      <c r="BN876" s="410" t="str">
        <f t="shared" si="4308"/>
        <v>#ERROR!</v>
      </c>
      <c r="BO876" s="410" t="str">
        <f t="shared" si="4308"/>
        <v>#ERROR!</v>
      </c>
      <c r="BP876" s="410" t="str">
        <f t="shared" si="4308"/>
        <v>#ERROR!</v>
      </c>
      <c r="BQ876" s="410" t="str">
        <f t="shared" si="4308"/>
        <v>#ERROR!</v>
      </c>
      <c r="BR876" s="410" t="str">
        <f t="shared" si="4308"/>
        <v>#ERROR!</v>
      </c>
      <c r="BS876" s="410" t="str">
        <f t="shared" si="4308"/>
        <v>#ERROR!</v>
      </c>
      <c r="BT876" s="410" t="str">
        <f t="shared" si="4308"/>
        <v>#ERROR!</v>
      </c>
      <c r="BU876" s="410" t="str">
        <f t="shared" si="4308"/>
        <v>#ERROR!</v>
      </c>
      <c r="BV876" s="410" t="str">
        <f t="shared" si="4308"/>
        <v>#ERROR!</v>
      </c>
      <c r="BW876" s="410" t="str">
        <f t="shared" si="4308"/>
        <v>#ERROR!</v>
      </c>
      <c r="BX876" s="410" t="str">
        <f t="shared" si="4308"/>
        <v>#ERROR!</v>
      </c>
      <c r="BY876" s="410" t="str">
        <f t="shared" si="4308"/>
        <v>#ERROR!</v>
      </c>
      <c r="BZ876" s="24" t="str">
        <f t="shared" si="4308"/>
        <v>#ERROR!</v>
      </c>
      <c r="CA876" s="410" t="str">
        <f t="shared" si="4308"/>
        <v>#ERROR!</v>
      </c>
      <c r="CB876" s="410" t="str">
        <f t="shared" si="4308"/>
        <v>#ERROR!</v>
      </c>
      <c r="CC876" s="410" t="str">
        <f t="shared" si="4308"/>
        <v>#ERROR!</v>
      </c>
      <c r="CD876" s="410" t="str">
        <f t="shared" si="4308"/>
        <v>#ERROR!</v>
      </c>
      <c r="CE876" s="24" t="str">
        <f t="shared" si="4308"/>
        <v>#ERROR!</v>
      </c>
      <c r="CF876" s="410" t="str">
        <f t="shared" si="4308"/>
        <v>#ERROR!</v>
      </c>
      <c r="CG876" s="410" t="str">
        <f t="shared" si="4308"/>
        <v>#ERROR!</v>
      </c>
      <c r="CH876" s="410" t="str">
        <f t="shared" si="4308"/>
        <v>#ERROR!</v>
      </c>
      <c r="CI876" s="410" t="str">
        <f t="shared" si="4308"/>
        <v>#ERROR!</v>
      </c>
      <c r="CJ876" s="24" t="str">
        <f t="shared" si="4308"/>
        <v>#ERROR!</v>
      </c>
      <c r="CK876" s="410" t="str">
        <f t="shared" si="4308"/>
        <v>#ERROR!</v>
      </c>
      <c r="CL876" s="410" t="str">
        <f t="shared" si="4308"/>
        <v>#ERROR!</v>
      </c>
      <c r="CM876" s="410" t="str">
        <f t="shared" si="4308"/>
        <v>#ERROR!</v>
      </c>
      <c r="CN876" s="104" t="str">
        <f t="shared" si="4308"/>
        <v>#ERROR!</v>
      </c>
      <c r="CO876" s="24" t="str">
        <f t="shared" si="4308"/>
        <v>#ERROR!</v>
      </c>
      <c r="CP876" s="104" t="str">
        <f t="shared" si="4308"/>
        <v>#ERROR!</v>
      </c>
      <c r="CQ876" s="410" t="str">
        <f t="shared" si="4308"/>
        <v>#ERROR!</v>
      </c>
      <c r="CR876" s="410" t="str">
        <f t="shared" si="4308"/>
        <v>#ERROR!</v>
      </c>
      <c r="CS876" s="410" t="str">
        <f t="shared" si="4308"/>
        <v>#ERROR!</v>
      </c>
      <c r="CT876" s="24" t="str">
        <f t="shared" si="4308"/>
        <v>#ERROR!</v>
      </c>
      <c r="CU876" s="410" t="str">
        <f t="shared" si="4308"/>
        <v>#ERROR!</v>
      </c>
      <c r="CV876" s="410" t="str">
        <f t="shared" si="4308"/>
        <v>#ERROR!</v>
      </c>
      <c r="CW876" s="410" t="str">
        <f t="shared" si="4308"/>
        <v>#ERROR!</v>
      </c>
      <c r="CX876" s="410" t="str">
        <f t="shared" si="4308"/>
        <v>#ERROR!</v>
      </c>
      <c r="CY876" s="24" t="str">
        <f t="shared" si="4308"/>
        <v>#ERROR!</v>
      </c>
      <c r="CZ876" s="410" t="str">
        <f t="shared" si="4308"/>
        <v>#ERROR!</v>
      </c>
      <c r="DA876" s="410" t="str">
        <f t="shared" si="4308"/>
        <v>#ERROR!</v>
      </c>
      <c r="DB876" s="410" t="str">
        <f t="shared" si="4308"/>
        <v>#ERROR!</v>
      </c>
      <c r="DC876" s="410" t="str">
        <f t="shared" si="4308"/>
        <v>#ERROR!</v>
      </c>
      <c r="DD876" s="24" t="str">
        <f t="shared" si="4308"/>
        <v>#ERROR!</v>
      </c>
      <c r="DE876" s="410" t="str">
        <f t="shared" si="4308"/>
        <v>#ERROR!</v>
      </c>
      <c r="DF876" s="410" t="str">
        <f t="shared" si="4308"/>
        <v>#ERROR!</v>
      </c>
      <c r="DG876" s="104" t="str">
        <f t="shared" si="4308"/>
        <v>#ERROR!</v>
      </c>
      <c r="DH876" s="410" t="str">
        <f t="shared" si="4308"/>
        <v>#ERROR!</v>
      </c>
      <c r="DI876" s="24" t="str">
        <f t="shared" si="4308"/>
        <v>#ERROR!</v>
      </c>
      <c r="DJ876" s="104" t="str">
        <f t="shared" si="4308"/>
        <v>#ERROR!</v>
      </c>
      <c r="DK876" s="104" t="str">
        <f t="shared" si="4308"/>
        <v>#ERROR!</v>
      </c>
      <c r="DL876" s="104" t="str">
        <f t="shared" si="4308"/>
        <v>#ERROR!</v>
      </c>
      <c r="DM876" s="410" t="str">
        <f t="shared" si="4308"/>
        <v>#ERROR!</v>
      </c>
      <c r="DN876" s="24" t="str">
        <f t="shared" si="4308"/>
        <v>#ERROR!</v>
      </c>
      <c r="DO876" s="410" t="str">
        <f t="shared" si="4308"/>
        <v>#ERROR!</v>
      </c>
      <c r="DP876" s="410" t="str">
        <f t="shared" si="4308"/>
        <v>#ERROR!</v>
      </c>
      <c r="DQ876" s="410" t="str">
        <f t="shared" si="4308"/>
        <v>#ERROR!</v>
      </c>
      <c r="DR876" s="410" t="str">
        <f t="shared" si="4308"/>
        <v>#ERROR!</v>
      </c>
      <c r="DS876" s="24" t="str">
        <f t="shared" si="4308"/>
        <v>#ERROR!</v>
      </c>
      <c r="DT876" s="410" t="str">
        <f t="shared" si="4308"/>
        <v>#ERROR!</v>
      </c>
      <c r="DU876" s="410" t="str">
        <f t="shared" si="4308"/>
        <v>#ERROR!</v>
      </c>
      <c r="DV876" s="410" t="str">
        <f t="shared" si="4308"/>
        <v>#ERROR!</v>
      </c>
      <c r="DW876" s="410" t="str">
        <f t="shared" si="4308"/>
        <v>#ERROR!</v>
      </c>
      <c r="DX876" s="24" t="str">
        <f t="shared" si="4308"/>
        <v>#ERROR!</v>
      </c>
      <c r="DY876" s="410" t="str">
        <f t="shared" si="4308"/>
        <v>#ERROR!</v>
      </c>
      <c r="DZ876" s="410" t="str">
        <f t="shared" si="4308"/>
        <v>#ERROR!</v>
      </c>
      <c r="EA876" s="410" t="str">
        <f t="shared" si="4308"/>
        <v>#ERROR!</v>
      </c>
      <c r="EB876" s="410" t="str">
        <f t="shared" si="4308"/>
        <v>#ERROR!</v>
      </c>
      <c r="EC876" s="24" t="str">
        <f t="shared" si="4308"/>
        <v>#ERROR!</v>
      </c>
      <c r="ED876" s="410" t="str">
        <f t="shared" si="4308"/>
        <v>#ERROR!</v>
      </c>
      <c r="EE876" s="410" t="str">
        <f t="shared" si="4308"/>
        <v>#ERROR!</v>
      </c>
      <c r="EF876" s="410" t="str">
        <f t="shared" si="4308"/>
        <v>#ERROR!</v>
      </c>
      <c r="EG876" s="410" t="str">
        <f t="shared" si="4308"/>
        <v>#ERROR!</v>
      </c>
      <c r="EH876" s="24" t="str">
        <f t="shared" si="4308"/>
        <v>#ERROR!</v>
      </c>
      <c r="EI876" s="317" t="str">
        <f t="shared" si="4308"/>
        <v>#ERROR!</v>
      </c>
      <c r="EJ876" s="410" t="str">
        <f t="shared" si="4308"/>
        <v>#ERROR!</v>
      </c>
      <c r="EK876" s="410" t="str">
        <f t="shared" si="4308"/>
        <v>#ERROR!</v>
      </c>
      <c r="EL876" s="410" t="str">
        <f t="shared" si="4308"/>
        <v>#ERROR!</v>
      </c>
      <c r="EM876" s="24" t="str">
        <f t="shared" si="4308"/>
        <v>#ERROR!</v>
      </c>
      <c r="EN876" s="410" t="str">
        <f t="shared" si="4308"/>
        <v>#ERROR!</v>
      </c>
      <c r="EO876" s="410" t="str">
        <f t="shared" si="4308"/>
        <v>#ERROR!</v>
      </c>
      <c r="EP876" s="410" t="str">
        <f t="shared" si="4308"/>
        <v>#ERROR!</v>
      </c>
      <c r="EQ876" s="410" t="str">
        <f t="shared" si="4308"/>
        <v>#ERROR!</v>
      </c>
      <c r="ER876" s="24" t="str">
        <f t="shared" si="4308"/>
        <v>#ERROR!</v>
      </c>
      <c r="ES876" s="410" t="str">
        <f t="shared" si="4308"/>
        <v>#ERROR!</v>
      </c>
      <c r="ET876" s="410" t="str">
        <f t="shared" si="4308"/>
        <v>#ERROR!</v>
      </c>
      <c r="EU876" s="410" t="str">
        <f t="shared" si="4308"/>
        <v>#ERROR!</v>
      </c>
      <c r="EV876" s="410" t="str">
        <f t="shared" si="4308"/>
        <v>#ERROR!</v>
      </c>
      <c r="EW876" s="24" t="str">
        <f t="shared" si="4308"/>
        <v>#ERROR!</v>
      </c>
      <c r="EX876" s="410" t="str">
        <f t="shared" si="4308"/>
        <v>#ERROR!</v>
      </c>
      <c r="EY876" s="410" t="str">
        <f t="shared" si="4308"/>
        <v>#ERROR!</v>
      </c>
      <c r="EZ876" s="410" t="str">
        <f t="shared" si="4308"/>
        <v>#ERROR!</v>
      </c>
      <c r="FA876" s="410" t="str">
        <f t="shared" si="4308"/>
        <v>#ERROR!</v>
      </c>
      <c r="FB876" s="24" t="str">
        <f t="shared" si="4308"/>
        <v>#ERROR!</v>
      </c>
      <c r="FC876" s="410" t="str">
        <f t="shared" si="4308"/>
        <v>#ERROR!</v>
      </c>
      <c r="FD876" s="410" t="str">
        <f t="shared" si="4308"/>
        <v>#ERROR!</v>
      </c>
      <c r="FE876" s="410" t="str">
        <f t="shared" si="4308"/>
        <v>#ERROR!</v>
      </c>
      <c r="FF876" s="410" t="str">
        <f t="shared" si="4308"/>
        <v>#ERROR!</v>
      </c>
      <c r="FG876" s="24" t="str">
        <f t="shared" si="4308"/>
        <v>#ERROR!</v>
      </c>
      <c r="FH876" s="104"/>
      <c r="FI876" s="410"/>
      <c r="FJ876" s="410"/>
      <c r="FK876" s="410"/>
      <c r="FL876" s="410"/>
    </row>
    <row r="877" ht="12.75" hidden="1" customHeight="1" outlineLevel="2">
      <c r="A877" s="4"/>
      <c r="B877" s="72" t="str">
        <f t="shared" ref="B877:B880" si="4310">+B889</f>
        <v>WCCG</v>
      </c>
      <c r="C877" s="4"/>
      <c r="D877" s="15"/>
      <c r="E877" s="15"/>
      <c r="F877" s="15"/>
      <c r="G877" s="15"/>
      <c r="H877" s="410"/>
      <c r="I877" s="15"/>
      <c r="J877" s="15"/>
      <c r="K877" s="15"/>
      <c r="L877" s="15"/>
      <c r="M877" s="410"/>
      <c r="N877" s="15"/>
      <c r="O877" s="15"/>
      <c r="P877" s="15"/>
      <c r="Q877" s="15"/>
      <c r="R877" s="410"/>
      <c r="S877" s="15"/>
      <c r="T877" s="15"/>
      <c r="U877" s="15"/>
      <c r="V877" s="15"/>
      <c r="W877" s="410"/>
      <c r="X877" s="15">
        <f t="shared" ref="X877:AQ877" si="4309">+X853/S853-1</f>
        <v>3.440555556</v>
      </c>
      <c r="Y877" s="15">
        <f t="shared" si="4309"/>
        <v>2.977239759</v>
      </c>
      <c r="Z877" s="15">
        <f t="shared" si="4309"/>
        <v>2.237864078</v>
      </c>
      <c r="AA877" s="15">
        <f t="shared" si="4309"/>
        <v>1.978181818</v>
      </c>
      <c r="AB877" s="410">
        <f t="shared" si="4309"/>
        <v>1.111550633</v>
      </c>
      <c r="AC877" s="15">
        <f t="shared" si="4309"/>
        <v>0.2421583171</v>
      </c>
      <c r="AD877" s="15">
        <f t="shared" si="4309"/>
        <v>-0.2275323232</v>
      </c>
      <c r="AE877" s="15">
        <f t="shared" si="4309"/>
        <v>-0.2368815592</v>
      </c>
      <c r="AF877" s="15">
        <f t="shared" si="4309"/>
        <v>-0.3675213675</v>
      </c>
      <c r="AG877" s="410">
        <f t="shared" si="4309"/>
        <v>-0.1637317347</v>
      </c>
      <c r="AH877" s="15">
        <f t="shared" si="4309"/>
        <v>-0.3395683453</v>
      </c>
      <c r="AI877" s="15">
        <f t="shared" si="4309"/>
        <v>0.0431372549</v>
      </c>
      <c r="AJ877" s="15">
        <f t="shared" si="4309"/>
        <v>0.1512770138</v>
      </c>
      <c r="AK877" s="15">
        <f t="shared" si="4309"/>
        <v>0.277992278</v>
      </c>
      <c r="AL877" s="410">
        <f t="shared" si="4309"/>
        <v>0.003136200717</v>
      </c>
      <c r="AM877" s="15">
        <f t="shared" si="4309"/>
        <v>0.03050108932</v>
      </c>
      <c r="AN877" s="15">
        <f t="shared" si="4309"/>
        <v>-0.1259398496</v>
      </c>
      <c r="AO877" s="15">
        <f t="shared" si="4309"/>
        <v>-0.2320819113</v>
      </c>
      <c r="AP877" s="15">
        <f t="shared" si="4309"/>
        <v>-0.2915407855</v>
      </c>
      <c r="AQ877" s="410">
        <f t="shared" si="4309"/>
        <v>-0.1706118803</v>
      </c>
      <c r="AR877" s="15"/>
      <c r="AS877" s="15"/>
      <c r="AT877" s="15"/>
      <c r="AU877" s="15"/>
      <c r="AV877" s="410"/>
      <c r="AW877" s="15"/>
      <c r="AX877" s="15"/>
      <c r="AY877" s="15"/>
      <c r="AZ877" s="15"/>
      <c r="BA877" s="410"/>
      <c r="BB877" s="15"/>
      <c r="BC877" s="15"/>
      <c r="BD877" s="15"/>
      <c r="BE877" s="15"/>
      <c r="BF877" s="410"/>
      <c r="BG877" s="15"/>
      <c r="BH877" s="15"/>
      <c r="BI877" s="15"/>
      <c r="BJ877" s="15"/>
      <c r="BK877" s="410"/>
      <c r="BL877" s="15"/>
      <c r="BM877" s="15"/>
      <c r="BN877" s="15"/>
      <c r="BO877" s="15"/>
      <c r="BP877" s="410"/>
      <c r="BQ877" s="15"/>
      <c r="BR877" s="15"/>
      <c r="BS877" s="15"/>
      <c r="BT877" s="15"/>
      <c r="BU877" s="410"/>
      <c r="BV877" s="15"/>
      <c r="BW877" s="15"/>
      <c r="BX877" s="15"/>
      <c r="BY877" s="15"/>
      <c r="BZ877" s="24"/>
      <c r="CA877" s="15"/>
      <c r="CB877" s="15"/>
      <c r="CC877" s="15"/>
      <c r="CD877" s="15"/>
      <c r="CE877" s="24"/>
      <c r="CF877" s="15"/>
      <c r="CG877" s="15"/>
      <c r="CH877" s="15"/>
      <c r="CI877" s="15"/>
      <c r="CJ877" s="24"/>
      <c r="CK877" s="15"/>
      <c r="CL877" s="15"/>
      <c r="CM877" s="15"/>
      <c r="CN877" s="40"/>
      <c r="CO877" s="24"/>
      <c r="CP877" s="40"/>
      <c r="CQ877" s="15"/>
      <c r="CR877" s="15"/>
      <c r="CS877" s="15"/>
      <c r="CT877" s="24"/>
      <c r="CU877" s="15"/>
      <c r="CV877" s="15"/>
      <c r="CW877" s="15"/>
      <c r="CX877" s="15"/>
      <c r="CY877" s="24"/>
      <c r="CZ877" s="15"/>
      <c r="DA877" s="15"/>
      <c r="DB877" s="15"/>
      <c r="DC877" s="15"/>
      <c r="DD877" s="24"/>
      <c r="DE877" s="15"/>
      <c r="DF877" s="15"/>
      <c r="DG877" s="40"/>
      <c r="DH877" s="15"/>
      <c r="DI877" s="24"/>
      <c r="DJ877" s="40"/>
      <c r="DK877" s="40"/>
      <c r="DL877" s="40"/>
      <c r="DM877" s="15"/>
      <c r="DN877" s="24"/>
      <c r="DO877" s="15"/>
      <c r="DP877" s="15"/>
      <c r="DQ877" s="15"/>
      <c r="DR877" s="15"/>
      <c r="DS877" s="24"/>
      <c r="DT877" s="15"/>
      <c r="DU877" s="15"/>
      <c r="DV877" s="15"/>
      <c r="DW877" s="15"/>
      <c r="DX877" s="24"/>
      <c r="DY877" s="15"/>
      <c r="DZ877" s="15"/>
      <c r="EA877" s="15"/>
      <c r="EB877" s="15"/>
      <c r="EC877" s="24"/>
      <c r="ED877" s="15"/>
      <c r="EE877" s="15"/>
      <c r="EF877" s="15"/>
      <c r="EG877" s="15"/>
      <c r="EH877" s="24"/>
      <c r="EI877" s="82"/>
      <c r="EJ877" s="15"/>
      <c r="EK877" s="15"/>
      <c r="EL877" s="15"/>
      <c r="EM877" s="24"/>
      <c r="EN877" s="15"/>
      <c r="EO877" s="15"/>
      <c r="EP877" s="15"/>
      <c r="EQ877" s="15"/>
      <c r="ER877" s="24"/>
      <c r="ES877" s="15"/>
      <c r="ET877" s="15"/>
      <c r="EU877" s="15"/>
      <c r="EV877" s="15"/>
      <c r="EW877" s="24"/>
      <c r="EX877" s="15"/>
      <c r="EY877" s="15"/>
      <c r="EZ877" s="15"/>
      <c r="FA877" s="15"/>
      <c r="FB877" s="24"/>
      <c r="FC877" s="15"/>
      <c r="FD877" s="15"/>
      <c r="FE877" s="15"/>
      <c r="FF877" s="15"/>
      <c r="FG877" s="24"/>
      <c r="FH877" s="104"/>
      <c r="FI877" s="15"/>
      <c r="FJ877" s="15"/>
      <c r="FK877" s="410"/>
      <c r="FL877" s="15"/>
    </row>
    <row r="878" ht="12.75" hidden="1" customHeight="1" outlineLevel="2">
      <c r="A878" s="4"/>
      <c r="B878" s="72" t="str">
        <f t="shared" si="4310"/>
        <v>Flash</v>
      </c>
      <c r="C878" s="4"/>
      <c r="D878" s="15"/>
      <c r="E878" s="15"/>
      <c r="F878" s="15"/>
      <c r="G878" s="15"/>
      <c r="H878" s="410"/>
      <c r="I878" s="15"/>
      <c r="J878" s="15"/>
      <c r="K878" s="15"/>
      <c r="L878" s="15"/>
      <c r="M878" s="410"/>
      <c r="N878" s="15"/>
      <c r="O878" s="15"/>
      <c r="P878" s="15"/>
      <c r="Q878" s="15"/>
      <c r="R878" s="410"/>
      <c r="S878" s="15"/>
      <c r="T878" s="15"/>
      <c r="U878" s="15"/>
      <c r="V878" s="15"/>
      <c r="W878" s="410"/>
      <c r="X878" s="15"/>
      <c r="Y878" s="15"/>
      <c r="Z878" s="15"/>
      <c r="AA878" s="15"/>
      <c r="AB878" s="410"/>
      <c r="AC878" s="15"/>
      <c r="AD878" s="15"/>
      <c r="AE878" s="15"/>
      <c r="AF878" s="15"/>
      <c r="AG878" s="410"/>
      <c r="AH878" s="15"/>
      <c r="AI878" s="15"/>
      <c r="AJ878" s="15"/>
      <c r="AK878" s="15"/>
      <c r="AL878" s="410"/>
      <c r="AM878" s="15"/>
      <c r="AN878" s="15"/>
      <c r="AO878" s="15"/>
      <c r="AP878" s="15"/>
      <c r="AQ878" s="410"/>
      <c r="AR878" s="15">
        <f>+AR854/AM854-1</f>
        <v>0.0195599022</v>
      </c>
      <c r="AS878" s="15"/>
      <c r="AT878" s="15"/>
      <c r="AU878" s="15"/>
      <c r="AV878" s="410"/>
      <c r="AW878" s="15">
        <f t="shared" ref="AW878:FG878" si="4311">+AW854/AR854-1</f>
        <v>0.3860911271</v>
      </c>
      <c r="AX878" s="15">
        <f t="shared" si="4311"/>
        <v>-0.1005110733</v>
      </c>
      <c r="AY878" s="15">
        <f t="shared" si="4311"/>
        <v>-0.1034482759</v>
      </c>
      <c r="AZ878" s="15">
        <f t="shared" si="4311"/>
        <v>-0.06687402799</v>
      </c>
      <c r="BA878" s="410">
        <f t="shared" si="4311"/>
        <v>-0.00306345733</v>
      </c>
      <c r="BB878" s="15">
        <f t="shared" si="4311"/>
        <v>-0.05882352941</v>
      </c>
      <c r="BC878" s="15">
        <f t="shared" si="4311"/>
        <v>0.01515151515</v>
      </c>
      <c r="BD878" s="15">
        <f t="shared" si="4311"/>
        <v>-0.1136363636</v>
      </c>
      <c r="BE878" s="15">
        <f t="shared" si="4311"/>
        <v>-0.04</v>
      </c>
      <c r="BF878" s="410">
        <f t="shared" si="4311"/>
        <v>-0.05048287972</v>
      </c>
      <c r="BG878" s="15">
        <f t="shared" si="4311"/>
        <v>-0.1378676471</v>
      </c>
      <c r="BH878" s="15">
        <f t="shared" si="4311"/>
        <v>-0.07835820896</v>
      </c>
      <c r="BI878" s="15">
        <f t="shared" si="4311"/>
        <v>0.09072978304</v>
      </c>
      <c r="BJ878" s="15">
        <f t="shared" si="4311"/>
        <v>0.01736111111</v>
      </c>
      <c r="BK878" s="410">
        <f t="shared" si="4311"/>
        <v>-0.02820157189</v>
      </c>
      <c r="BL878" s="15">
        <f t="shared" si="4311"/>
        <v>0.06396588486</v>
      </c>
      <c r="BM878" s="15">
        <f t="shared" si="4311"/>
        <v>-0.4939271255</v>
      </c>
      <c r="BN878" s="15">
        <f t="shared" si="4311"/>
        <v>-0.6654611212</v>
      </c>
      <c r="BO878" s="15">
        <f t="shared" si="4311"/>
        <v>-0.7098976109</v>
      </c>
      <c r="BP878" s="410">
        <f t="shared" si="4311"/>
        <v>-0.4747859182</v>
      </c>
      <c r="BQ878" s="15">
        <f t="shared" si="4311"/>
        <v>-0.6893787575</v>
      </c>
      <c r="BR878" s="15">
        <f t="shared" si="4311"/>
        <v>-0.228</v>
      </c>
      <c r="BS878" s="15">
        <f t="shared" si="4311"/>
        <v>0.1837837838</v>
      </c>
      <c r="BT878" s="15">
        <f t="shared" si="4311"/>
        <v>0.5882352941</v>
      </c>
      <c r="BU878" s="410">
        <f t="shared" si="4311"/>
        <v>-0.2418478261</v>
      </c>
      <c r="BV878" s="15">
        <f t="shared" si="4311"/>
        <v>1.027318548</v>
      </c>
      <c r="BW878" s="15">
        <f t="shared" si="4311"/>
        <v>0.5793126619</v>
      </c>
      <c r="BX878" s="15">
        <f t="shared" si="4311"/>
        <v>0.670177226</v>
      </c>
      <c r="BY878" s="15">
        <f t="shared" si="4311"/>
        <v>0.4901692361</v>
      </c>
      <c r="BZ878" s="24">
        <f t="shared" si="4311"/>
        <v>0.6572953704</v>
      </c>
      <c r="CA878" s="15">
        <f t="shared" si="4311"/>
        <v>0.08834</v>
      </c>
      <c r="CB878" s="15">
        <f t="shared" si="4311"/>
        <v>0.08834</v>
      </c>
      <c r="CC878" s="15">
        <f t="shared" si="4311"/>
        <v>0.08834</v>
      </c>
      <c r="CD878" s="15">
        <f t="shared" si="4311"/>
        <v>0.08834</v>
      </c>
      <c r="CE878" s="24">
        <f t="shared" si="4311"/>
        <v>0.08834</v>
      </c>
      <c r="CF878" s="15">
        <f t="shared" si="4311"/>
        <v>0.08834</v>
      </c>
      <c r="CG878" s="15">
        <f t="shared" si="4311"/>
        <v>0.08834</v>
      </c>
      <c r="CH878" s="15">
        <f t="shared" si="4311"/>
        <v>0.08834</v>
      </c>
      <c r="CI878" s="15">
        <f t="shared" si="4311"/>
        <v>0.08834</v>
      </c>
      <c r="CJ878" s="24">
        <f t="shared" si="4311"/>
        <v>0.08834</v>
      </c>
      <c r="CK878" s="15">
        <f t="shared" si="4311"/>
        <v>0.08834</v>
      </c>
      <c r="CL878" s="15">
        <f t="shared" si="4311"/>
        <v>0.08834</v>
      </c>
      <c r="CM878" s="15">
        <f t="shared" si="4311"/>
        <v>0.08834</v>
      </c>
      <c r="CN878" s="40">
        <f t="shared" si="4311"/>
        <v>0.08834</v>
      </c>
      <c r="CO878" s="24">
        <f t="shared" si="4311"/>
        <v>0.08834</v>
      </c>
      <c r="CP878" s="40">
        <f t="shared" si="4311"/>
        <v>0.08834</v>
      </c>
      <c r="CQ878" s="15">
        <f t="shared" si="4311"/>
        <v>0.08834</v>
      </c>
      <c r="CR878" s="15">
        <f t="shared" si="4311"/>
        <v>0.08834</v>
      </c>
      <c r="CS878" s="15">
        <f t="shared" si="4311"/>
        <v>0.08834</v>
      </c>
      <c r="CT878" s="24">
        <f t="shared" si="4311"/>
        <v>0.08834</v>
      </c>
      <c r="CU878" s="15">
        <f t="shared" si="4311"/>
        <v>0.08834</v>
      </c>
      <c r="CV878" s="15">
        <f t="shared" si="4311"/>
        <v>0.08834</v>
      </c>
      <c r="CW878" s="15">
        <f t="shared" si="4311"/>
        <v>0.08834</v>
      </c>
      <c r="CX878" s="15">
        <f t="shared" si="4311"/>
        <v>0.08834</v>
      </c>
      <c r="CY878" s="24">
        <f t="shared" si="4311"/>
        <v>0.08834</v>
      </c>
      <c r="CZ878" s="15">
        <f t="shared" si="4311"/>
        <v>0.08834</v>
      </c>
      <c r="DA878" s="15">
        <f t="shared" si="4311"/>
        <v>0.08834</v>
      </c>
      <c r="DB878" s="15">
        <f t="shared" si="4311"/>
        <v>0.08834</v>
      </c>
      <c r="DC878" s="15">
        <f t="shared" si="4311"/>
        <v>0.08834</v>
      </c>
      <c r="DD878" s="24">
        <f t="shared" si="4311"/>
        <v>0.08834</v>
      </c>
      <c r="DE878" s="15">
        <f t="shared" si="4311"/>
        <v>0.08834</v>
      </c>
      <c r="DF878" s="15">
        <f t="shared" si="4311"/>
        <v>0.08834</v>
      </c>
      <c r="DG878" s="40">
        <f t="shared" si="4311"/>
        <v>0.08834</v>
      </c>
      <c r="DH878" s="15">
        <f t="shared" si="4311"/>
        <v>0.08834</v>
      </c>
      <c r="DI878" s="24">
        <f t="shared" si="4311"/>
        <v>0.08834</v>
      </c>
      <c r="DJ878" s="40">
        <f t="shared" si="4311"/>
        <v>0.08834</v>
      </c>
      <c r="DK878" s="40">
        <f t="shared" si="4311"/>
        <v>0.08834</v>
      </c>
      <c r="DL878" s="40">
        <f t="shared" si="4311"/>
        <v>0.08834</v>
      </c>
      <c r="DM878" s="15">
        <f t="shared" si="4311"/>
        <v>0.08834</v>
      </c>
      <c r="DN878" s="24">
        <f t="shared" si="4311"/>
        <v>0.08834</v>
      </c>
      <c r="DO878" s="15">
        <f t="shared" si="4311"/>
        <v>0.08834</v>
      </c>
      <c r="DP878" s="15">
        <f t="shared" si="4311"/>
        <v>0.08834</v>
      </c>
      <c r="DQ878" s="15">
        <f t="shared" si="4311"/>
        <v>0.08834</v>
      </c>
      <c r="DR878" s="15">
        <f t="shared" si="4311"/>
        <v>0.08834</v>
      </c>
      <c r="DS878" s="24">
        <f t="shared" si="4311"/>
        <v>0.08834</v>
      </c>
      <c r="DT878" s="15">
        <f t="shared" si="4311"/>
        <v>0.08834</v>
      </c>
      <c r="DU878" s="15">
        <f t="shared" si="4311"/>
        <v>0.08834</v>
      </c>
      <c r="DV878" s="15">
        <f t="shared" si="4311"/>
        <v>0.08834</v>
      </c>
      <c r="DW878" s="15">
        <f t="shared" si="4311"/>
        <v>0.08834</v>
      </c>
      <c r="DX878" s="24">
        <f t="shared" si="4311"/>
        <v>0.08834</v>
      </c>
      <c r="DY878" s="15">
        <f t="shared" si="4311"/>
        <v>0.08834</v>
      </c>
      <c r="DZ878" s="15">
        <f t="shared" si="4311"/>
        <v>0.08834</v>
      </c>
      <c r="EA878" s="15">
        <f t="shared" si="4311"/>
        <v>0.08834</v>
      </c>
      <c r="EB878" s="15">
        <f t="shared" si="4311"/>
        <v>0.08834</v>
      </c>
      <c r="EC878" s="24">
        <f t="shared" si="4311"/>
        <v>0.08834</v>
      </c>
      <c r="ED878" s="15">
        <f t="shared" si="4311"/>
        <v>0.08834</v>
      </c>
      <c r="EE878" s="15">
        <f t="shared" si="4311"/>
        <v>0.08834</v>
      </c>
      <c r="EF878" s="15">
        <f t="shared" si="4311"/>
        <v>0.08834</v>
      </c>
      <c r="EG878" s="15">
        <f t="shared" si="4311"/>
        <v>0.08834</v>
      </c>
      <c r="EH878" s="24">
        <f t="shared" si="4311"/>
        <v>0.08834</v>
      </c>
      <c r="EI878" s="82">
        <f t="shared" si="4311"/>
        <v>0.08834</v>
      </c>
      <c r="EJ878" s="15">
        <f t="shared" si="4311"/>
        <v>0.08834</v>
      </c>
      <c r="EK878" s="15">
        <f t="shared" si="4311"/>
        <v>0.08834</v>
      </c>
      <c r="EL878" s="15">
        <f t="shared" si="4311"/>
        <v>0.08834</v>
      </c>
      <c r="EM878" s="24">
        <f t="shared" si="4311"/>
        <v>0.08834</v>
      </c>
      <c r="EN878" s="15">
        <f t="shared" si="4311"/>
        <v>0.08834</v>
      </c>
      <c r="EO878" s="15">
        <f t="shared" si="4311"/>
        <v>0.08834</v>
      </c>
      <c r="EP878" s="15">
        <f t="shared" si="4311"/>
        <v>0.08834</v>
      </c>
      <c r="EQ878" s="15">
        <f t="shared" si="4311"/>
        <v>0.08834</v>
      </c>
      <c r="ER878" s="24">
        <f t="shared" si="4311"/>
        <v>0.08834</v>
      </c>
      <c r="ES878" s="15">
        <f t="shared" si="4311"/>
        <v>0.08834</v>
      </c>
      <c r="ET878" s="15">
        <f t="shared" si="4311"/>
        <v>0.08834</v>
      </c>
      <c r="EU878" s="15">
        <f t="shared" si="4311"/>
        <v>0.08834</v>
      </c>
      <c r="EV878" s="15">
        <f t="shared" si="4311"/>
        <v>0.08834</v>
      </c>
      <c r="EW878" s="24">
        <f t="shared" si="4311"/>
        <v>0.08834</v>
      </c>
      <c r="EX878" s="15">
        <f t="shared" si="4311"/>
        <v>0.08834</v>
      </c>
      <c r="EY878" s="15">
        <f t="shared" si="4311"/>
        <v>0.08834</v>
      </c>
      <c r="EZ878" s="15">
        <f t="shared" si="4311"/>
        <v>0.08834</v>
      </c>
      <c r="FA878" s="15">
        <f t="shared" si="4311"/>
        <v>0.08834</v>
      </c>
      <c r="FB878" s="24">
        <f t="shared" si="4311"/>
        <v>0.08834</v>
      </c>
      <c r="FC878" s="15">
        <f t="shared" si="4311"/>
        <v>0.08834</v>
      </c>
      <c r="FD878" s="15">
        <f t="shared" si="4311"/>
        <v>0.08834</v>
      </c>
      <c r="FE878" s="15">
        <f t="shared" si="4311"/>
        <v>0.08834</v>
      </c>
      <c r="FF878" s="15">
        <f t="shared" si="4311"/>
        <v>0.08834</v>
      </c>
      <c r="FG878" s="24">
        <f t="shared" si="4311"/>
        <v>0.08834</v>
      </c>
      <c r="FH878" s="104"/>
      <c r="FI878" s="15"/>
      <c r="FJ878" s="15"/>
      <c r="FK878" s="410"/>
      <c r="FL878" s="15"/>
    </row>
    <row r="879" ht="12.75" hidden="1" customHeight="1" outlineLevel="2">
      <c r="A879" s="4"/>
      <c r="B879" s="72" t="str">
        <f t="shared" si="4310"/>
        <v>Comm/Embedded (former ICG)</v>
      </c>
      <c r="C879" s="4"/>
      <c r="D879" s="15"/>
      <c r="E879" s="15"/>
      <c r="F879" s="15"/>
      <c r="G879" s="15"/>
      <c r="H879" s="410"/>
      <c r="I879" s="15"/>
      <c r="J879" s="15"/>
      <c r="K879" s="15"/>
      <c r="L879" s="15"/>
      <c r="M879" s="410"/>
      <c r="N879" s="15"/>
      <c r="O879" s="15"/>
      <c r="P879" s="15"/>
      <c r="Q879" s="15"/>
      <c r="R879" s="410"/>
      <c r="S879" s="15"/>
      <c r="T879" s="15"/>
      <c r="U879" s="15"/>
      <c r="V879" s="15"/>
      <c r="W879" s="410"/>
      <c r="X879" s="15"/>
      <c r="Y879" s="15"/>
      <c r="Z879" s="15"/>
      <c r="AA879" s="15"/>
      <c r="AB879" s="410"/>
      <c r="AC879" s="15">
        <f t="shared" ref="AC879:FG879" si="4312">+AC855/X855-1</f>
        <v>0.4090909091</v>
      </c>
      <c r="AD879" s="15">
        <f t="shared" si="4312"/>
        <v>-0.05365126677</v>
      </c>
      <c r="AE879" s="15">
        <f t="shared" si="4312"/>
        <v>-0.388185654</v>
      </c>
      <c r="AF879" s="15">
        <f t="shared" si="4312"/>
        <v>-0.3614718615</v>
      </c>
      <c r="AG879" s="410">
        <f t="shared" si="4312"/>
        <v>-0.2592592593</v>
      </c>
      <c r="AH879" s="15">
        <f t="shared" si="4312"/>
        <v>-0.3316129032</v>
      </c>
      <c r="AI879" s="15">
        <f t="shared" si="4312"/>
        <v>-0.1559055118</v>
      </c>
      <c r="AJ879" s="15">
        <f t="shared" si="4312"/>
        <v>-0.1689655172</v>
      </c>
      <c r="AK879" s="15">
        <f t="shared" si="4312"/>
        <v>-0.07796610169</v>
      </c>
      <c r="AL879" s="410">
        <f t="shared" si="4312"/>
        <v>-0.1937984496</v>
      </c>
      <c r="AM879" s="15">
        <f t="shared" si="4312"/>
        <v>-0.02895752896</v>
      </c>
      <c r="AN879" s="15">
        <f t="shared" si="4312"/>
        <v>-0.05223880597</v>
      </c>
      <c r="AO879" s="15">
        <f t="shared" si="4312"/>
        <v>0.1286307054</v>
      </c>
      <c r="AP879" s="15">
        <f t="shared" si="4312"/>
        <v>0.08823529412</v>
      </c>
      <c r="AQ879" s="410">
        <f t="shared" si="4312"/>
        <v>0.03221153846</v>
      </c>
      <c r="AR879" s="15">
        <f t="shared" si="4312"/>
        <v>0.2882703777</v>
      </c>
      <c r="AS879" s="15">
        <f t="shared" si="4312"/>
        <v>0.3464566929</v>
      </c>
      <c r="AT879" s="15">
        <f t="shared" si="4312"/>
        <v>0.2665441176</v>
      </c>
      <c r="AU879" s="15">
        <f t="shared" si="4312"/>
        <v>0.2179054054</v>
      </c>
      <c r="AV879" s="410">
        <f t="shared" si="4312"/>
        <v>0.2771308803</v>
      </c>
      <c r="AW879" s="15" t="str">
        <f t="shared" si="4312"/>
        <v>#ERROR!</v>
      </c>
      <c r="AX879" s="15" t="str">
        <f t="shared" si="4312"/>
        <v>#ERROR!</v>
      </c>
      <c r="AY879" s="15" t="str">
        <f t="shared" si="4312"/>
        <v>#ERROR!</v>
      </c>
      <c r="AZ879" s="15" t="str">
        <f t="shared" si="4312"/>
        <v>#ERROR!</v>
      </c>
      <c r="BA879" s="410" t="str">
        <f t="shared" si="4312"/>
        <v>#ERROR!</v>
      </c>
      <c r="BB879" s="15" t="str">
        <f t="shared" si="4312"/>
        <v>#ERROR!</v>
      </c>
      <c r="BC879" s="15" t="str">
        <f t="shared" si="4312"/>
        <v>#ERROR!</v>
      </c>
      <c r="BD879" s="15" t="str">
        <f t="shared" si="4312"/>
        <v>#ERROR!</v>
      </c>
      <c r="BE879" s="15" t="str">
        <f t="shared" si="4312"/>
        <v>#ERROR!</v>
      </c>
      <c r="BF879" s="410" t="str">
        <f t="shared" si="4312"/>
        <v>#ERROR!</v>
      </c>
      <c r="BG879" s="15" t="str">
        <f t="shared" si="4312"/>
        <v>#ERROR!</v>
      </c>
      <c r="BH879" s="15" t="str">
        <f t="shared" si="4312"/>
        <v>#ERROR!</v>
      </c>
      <c r="BI879" s="15" t="str">
        <f t="shared" si="4312"/>
        <v>#ERROR!</v>
      </c>
      <c r="BJ879" s="15" t="str">
        <f t="shared" si="4312"/>
        <v>#ERROR!</v>
      </c>
      <c r="BK879" s="410" t="str">
        <f t="shared" si="4312"/>
        <v>#ERROR!</v>
      </c>
      <c r="BL879" s="15" t="str">
        <f t="shared" si="4312"/>
        <v>#ERROR!</v>
      </c>
      <c r="BM879" s="15" t="str">
        <f t="shared" si="4312"/>
        <v>#ERROR!</v>
      </c>
      <c r="BN879" s="15" t="str">
        <f t="shared" si="4312"/>
        <v>#ERROR!</v>
      </c>
      <c r="BO879" s="15" t="str">
        <f t="shared" si="4312"/>
        <v>#ERROR!</v>
      </c>
      <c r="BP879" s="410" t="str">
        <f t="shared" si="4312"/>
        <v>#ERROR!</v>
      </c>
      <c r="BQ879" s="15" t="str">
        <f t="shared" si="4312"/>
        <v>#ERROR!</v>
      </c>
      <c r="BR879" s="15" t="str">
        <f t="shared" si="4312"/>
        <v>#ERROR!</v>
      </c>
      <c r="BS879" s="15" t="str">
        <f t="shared" si="4312"/>
        <v>#ERROR!</v>
      </c>
      <c r="BT879" s="15" t="str">
        <f t="shared" si="4312"/>
        <v>#ERROR!</v>
      </c>
      <c r="BU879" s="410" t="str">
        <f t="shared" si="4312"/>
        <v>#ERROR!</v>
      </c>
      <c r="BV879" s="15" t="str">
        <f t="shared" si="4312"/>
        <v>#ERROR!</v>
      </c>
      <c r="BW879" s="15" t="str">
        <f t="shared" si="4312"/>
        <v>#ERROR!</v>
      </c>
      <c r="BX879" s="15" t="str">
        <f t="shared" si="4312"/>
        <v>#ERROR!</v>
      </c>
      <c r="BY879" s="15" t="str">
        <f t="shared" si="4312"/>
        <v>#ERROR!</v>
      </c>
      <c r="BZ879" s="24" t="str">
        <f t="shared" si="4312"/>
        <v>#ERROR!</v>
      </c>
      <c r="CA879" s="15" t="str">
        <f t="shared" si="4312"/>
        <v>#ERROR!</v>
      </c>
      <c r="CB879" s="15" t="str">
        <f t="shared" si="4312"/>
        <v>#ERROR!</v>
      </c>
      <c r="CC879" s="15" t="str">
        <f t="shared" si="4312"/>
        <v>#ERROR!</v>
      </c>
      <c r="CD879" s="15" t="str">
        <f t="shared" si="4312"/>
        <v>#ERROR!</v>
      </c>
      <c r="CE879" s="24" t="str">
        <f t="shared" si="4312"/>
        <v>#ERROR!</v>
      </c>
      <c r="CF879" s="15" t="str">
        <f t="shared" si="4312"/>
        <v>#ERROR!</v>
      </c>
      <c r="CG879" s="15" t="str">
        <f t="shared" si="4312"/>
        <v>#ERROR!</v>
      </c>
      <c r="CH879" s="15" t="str">
        <f t="shared" si="4312"/>
        <v>#ERROR!</v>
      </c>
      <c r="CI879" s="15" t="str">
        <f t="shared" si="4312"/>
        <v>#ERROR!</v>
      </c>
      <c r="CJ879" s="24" t="str">
        <f t="shared" si="4312"/>
        <v>#ERROR!</v>
      </c>
      <c r="CK879" s="15" t="str">
        <f t="shared" si="4312"/>
        <v>#ERROR!</v>
      </c>
      <c r="CL879" s="15" t="str">
        <f t="shared" si="4312"/>
        <v>#ERROR!</v>
      </c>
      <c r="CM879" s="15" t="str">
        <f t="shared" si="4312"/>
        <v>#ERROR!</v>
      </c>
      <c r="CN879" s="40" t="str">
        <f t="shared" si="4312"/>
        <v>#ERROR!</v>
      </c>
      <c r="CO879" s="24" t="str">
        <f t="shared" si="4312"/>
        <v>#ERROR!</v>
      </c>
      <c r="CP879" s="40" t="str">
        <f t="shared" si="4312"/>
        <v>#ERROR!</v>
      </c>
      <c r="CQ879" s="15" t="str">
        <f t="shared" si="4312"/>
        <v>#ERROR!</v>
      </c>
      <c r="CR879" s="15" t="str">
        <f t="shared" si="4312"/>
        <v>#ERROR!</v>
      </c>
      <c r="CS879" s="15" t="str">
        <f t="shared" si="4312"/>
        <v>#ERROR!</v>
      </c>
      <c r="CT879" s="24" t="str">
        <f t="shared" si="4312"/>
        <v>#ERROR!</v>
      </c>
      <c r="CU879" s="15" t="str">
        <f t="shared" si="4312"/>
        <v>#ERROR!</v>
      </c>
      <c r="CV879" s="15" t="str">
        <f t="shared" si="4312"/>
        <v>#ERROR!</v>
      </c>
      <c r="CW879" s="15" t="str">
        <f t="shared" si="4312"/>
        <v>#ERROR!</v>
      </c>
      <c r="CX879" s="15" t="str">
        <f t="shared" si="4312"/>
        <v>#ERROR!</v>
      </c>
      <c r="CY879" s="24" t="str">
        <f t="shared" si="4312"/>
        <v>#ERROR!</v>
      </c>
      <c r="CZ879" s="15" t="str">
        <f t="shared" si="4312"/>
        <v>#ERROR!</v>
      </c>
      <c r="DA879" s="15" t="str">
        <f t="shared" si="4312"/>
        <v>#ERROR!</v>
      </c>
      <c r="DB879" s="15" t="str">
        <f t="shared" si="4312"/>
        <v>#ERROR!</v>
      </c>
      <c r="DC879" s="15" t="str">
        <f t="shared" si="4312"/>
        <v>#ERROR!</v>
      </c>
      <c r="DD879" s="24" t="str">
        <f t="shared" si="4312"/>
        <v>#ERROR!</v>
      </c>
      <c r="DE879" s="15" t="str">
        <f t="shared" si="4312"/>
        <v>#ERROR!</v>
      </c>
      <c r="DF879" s="15" t="str">
        <f t="shared" si="4312"/>
        <v>#ERROR!</v>
      </c>
      <c r="DG879" s="40" t="str">
        <f t="shared" si="4312"/>
        <v>#ERROR!</v>
      </c>
      <c r="DH879" s="15" t="str">
        <f t="shared" si="4312"/>
        <v>#ERROR!</v>
      </c>
      <c r="DI879" s="24" t="str">
        <f t="shared" si="4312"/>
        <v>#ERROR!</v>
      </c>
      <c r="DJ879" s="40" t="str">
        <f t="shared" si="4312"/>
        <v>#ERROR!</v>
      </c>
      <c r="DK879" s="40" t="str">
        <f t="shared" si="4312"/>
        <v>#ERROR!</v>
      </c>
      <c r="DL879" s="40" t="str">
        <f t="shared" si="4312"/>
        <v>#ERROR!</v>
      </c>
      <c r="DM879" s="15" t="str">
        <f t="shared" si="4312"/>
        <v>#ERROR!</v>
      </c>
      <c r="DN879" s="24" t="str">
        <f t="shared" si="4312"/>
        <v>#ERROR!</v>
      </c>
      <c r="DO879" s="15" t="str">
        <f t="shared" si="4312"/>
        <v>#ERROR!</v>
      </c>
      <c r="DP879" s="15" t="str">
        <f t="shared" si="4312"/>
        <v>#ERROR!</v>
      </c>
      <c r="DQ879" s="15" t="str">
        <f t="shared" si="4312"/>
        <v>#ERROR!</v>
      </c>
      <c r="DR879" s="15" t="str">
        <f t="shared" si="4312"/>
        <v>#ERROR!</v>
      </c>
      <c r="DS879" s="24" t="str">
        <f t="shared" si="4312"/>
        <v>#ERROR!</v>
      </c>
      <c r="DT879" s="15" t="str">
        <f t="shared" si="4312"/>
        <v>#ERROR!</v>
      </c>
      <c r="DU879" s="15" t="str">
        <f t="shared" si="4312"/>
        <v>#ERROR!</v>
      </c>
      <c r="DV879" s="15" t="str">
        <f t="shared" si="4312"/>
        <v>#ERROR!</v>
      </c>
      <c r="DW879" s="15" t="str">
        <f t="shared" si="4312"/>
        <v>#ERROR!</v>
      </c>
      <c r="DX879" s="24" t="str">
        <f t="shared" si="4312"/>
        <v>#ERROR!</v>
      </c>
      <c r="DY879" s="15" t="str">
        <f t="shared" si="4312"/>
        <v>#ERROR!</v>
      </c>
      <c r="DZ879" s="15" t="str">
        <f t="shared" si="4312"/>
        <v>#ERROR!</v>
      </c>
      <c r="EA879" s="15" t="str">
        <f t="shared" si="4312"/>
        <v>#ERROR!</v>
      </c>
      <c r="EB879" s="15" t="str">
        <f t="shared" si="4312"/>
        <v>#ERROR!</v>
      </c>
      <c r="EC879" s="24" t="str">
        <f t="shared" si="4312"/>
        <v>#ERROR!</v>
      </c>
      <c r="ED879" s="15" t="str">
        <f t="shared" si="4312"/>
        <v>#ERROR!</v>
      </c>
      <c r="EE879" s="15" t="str">
        <f t="shared" si="4312"/>
        <v>#ERROR!</v>
      </c>
      <c r="EF879" s="15" t="str">
        <f t="shared" si="4312"/>
        <v>#ERROR!</v>
      </c>
      <c r="EG879" s="15" t="str">
        <f t="shared" si="4312"/>
        <v>#ERROR!</v>
      </c>
      <c r="EH879" s="24" t="str">
        <f t="shared" si="4312"/>
        <v>#ERROR!</v>
      </c>
      <c r="EI879" s="82" t="str">
        <f t="shared" si="4312"/>
        <v>#ERROR!</v>
      </c>
      <c r="EJ879" s="15" t="str">
        <f t="shared" si="4312"/>
        <v>#ERROR!</v>
      </c>
      <c r="EK879" s="15" t="str">
        <f t="shared" si="4312"/>
        <v>#ERROR!</v>
      </c>
      <c r="EL879" s="15" t="str">
        <f t="shared" si="4312"/>
        <v>#ERROR!</v>
      </c>
      <c r="EM879" s="24" t="str">
        <f t="shared" si="4312"/>
        <v>#ERROR!</v>
      </c>
      <c r="EN879" s="15" t="str">
        <f t="shared" si="4312"/>
        <v>#ERROR!</v>
      </c>
      <c r="EO879" s="15" t="str">
        <f t="shared" si="4312"/>
        <v>#ERROR!</v>
      </c>
      <c r="EP879" s="15" t="str">
        <f t="shared" si="4312"/>
        <v>#ERROR!</v>
      </c>
      <c r="EQ879" s="15" t="str">
        <f t="shared" si="4312"/>
        <v>#ERROR!</v>
      </c>
      <c r="ER879" s="24" t="str">
        <f t="shared" si="4312"/>
        <v>#ERROR!</v>
      </c>
      <c r="ES879" s="15" t="str">
        <f t="shared" si="4312"/>
        <v>#ERROR!</v>
      </c>
      <c r="ET879" s="15" t="str">
        <f t="shared" si="4312"/>
        <v>#ERROR!</v>
      </c>
      <c r="EU879" s="15" t="str">
        <f t="shared" si="4312"/>
        <v>#ERROR!</v>
      </c>
      <c r="EV879" s="15" t="str">
        <f t="shared" si="4312"/>
        <v>#ERROR!</v>
      </c>
      <c r="EW879" s="24" t="str">
        <f t="shared" si="4312"/>
        <v>#ERROR!</v>
      </c>
      <c r="EX879" s="15" t="str">
        <f t="shared" si="4312"/>
        <v>#ERROR!</v>
      </c>
      <c r="EY879" s="15" t="str">
        <f t="shared" si="4312"/>
        <v>#ERROR!</v>
      </c>
      <c r="EZ879" s="15" t="str">
        <f t="shared" si="4312"/>
        <v>#ERROR!</v>
      </c>
      <c r="FA879" s="15" t="str">
        <f t="shared" si="4312"/>
        <v>#ERROR!</v>
      </c>
      <c r="FB879" s="24" t="str">
        <f t="shared" si="4312"/>
        <v>#ERROR!</v>
      </c>
      <c r="FC879" s="15" t="str">
        <f t="shared" si="4312"/>
        <v>#ERROR!</v>
      </c>
      <c r="FD879" s="15" t="str">
        <f t="shared" si="4312"/>
        <v>#ERROR!</v>
      </c>
      <c r="FE879" s="15" t="str">
        <f t="shared" si="4312"/>
        <v>#ERROR!</v>
      </c>
      <c r="FF879" s="15" t="str">
        <f t="shared" si="4312"/>
        <v>#ERROR!</v>
      </c>
      <c r="FG879" s="24" t="str">
        <f t="shared" si="4312"/>
        <v>#ERROR!</v>
      </c>
      <c r="FH879" s="104"/>
      <c r="FI879" s="15"/>
      <c r="FJ879" s="15"/>
      <c r="FK879" s="410"/>
      <c r="FL879" s="15"/>
    </row>
    <row r="880" ht="12.75" hidden="1" customHeight="1" outlineLevel="2">
      <c r="A880" s="4"/>
      <c r="B880" s="72" t="str">
        <f t="shared" si="4310"/>
        <v>All other</v>
      </c>
      <c r="C880" s="4"/>
      <c r="D880" s="15"/>
      <c r="E880" s="15"/>
      <c r="F880" s="15"/>
      <c r="G880" s="15"/>
      <c r="H880" s="410"/>
      <c r="I880" s="15"/>
      <c r="J880" s="15"/>
      <c r="K880" s="15"/>
      <c r="L880" s="15"/>
      <c r="M880" s="410"/>
      <c r="N880" s="15"/>
      <c r="O880" s="15"/>
      <c r="P880" s="15"/>
      <c r="Q880" s="15"/>
      <c r="R880" s="410"/>
      <c r="S880" s="15"/>
      <c r="T880" s="15"/>
      <c r="U880" s="15"/>
      <c r="V880" s="15"/>
      <c r="W880" s="410"/>
      <c r="X880" s="15"/>
      <c r="Y880" s="15"/>
      <c r="Z880" s="15"/>
      <c r="AA880" s="15"/>
      <c r="AB880" s="410"/>
      <c r="AC880" s="15">
        <f t="shared" ref="AC880:FG880" si="4313">+AC856/X856-1</f>
        <v>-0.7553638137</v>
      </c>
      <c r="AD880" s="15">
        <f t="shared" si="4313"/>
        <v>-0.7044497474</v>
      </c>
      <c r="AE880" s="15">
        <f t="shared" si="4313"/>
        <v>-0.1818181818</v>
      </c>
      <c r="AF880" s="15">
        <f t="shared" si="4313"/>
        <v>-0.2407407407</v>
      </c>
      <c r="AG880" s="410">
        <f t="shared" si="4313"/>
        <v>0.0293040293</v>
      </c>
      <c r="AH880" s="15">
        <f t="shared" si="4313"/>
        <v>-0.5135135135</v>
      </c>
      <c r="AI880" s="15">
        <f t="shared" si="4313"/>
        <v>-0.3870967742</v>
      </c>
      <c r="AJ880" s="15">
        <f t="shared" si="4313"/>
        <v>-0.5396825397</v>
      </c>
      <c r="AK880" s="15">
        <f t="shared" si="4313"/>
        <v>-0.6829268293</v>
      </c>
      <c r="AL880" s="410">
        <f t="shared" si="4313"/>
        <v>-0.5409252669</v>
      </c>
      <c r="AM880" s="15">
        <f t="shared" si="4313"/>
        <v>-0.5833333333</v>
      </c>
      <c r="AN880" s="15">
        <f t="shared" si="4313"/>
        <v>-0.7368421053</v>
      </c>
      <c r="AO880" s="15">
        <f t="shared" si="4313"/>
        <v>-0.9655172414</v>
      </c>
      <c r="AP880" s="15">
        <f t="shared" si="4313"/>
        <v>-0.6538461538</v>
      </c>
      <c r="AQ880" s="410">
        <f t="shared" si="4313"/>
        <v>-0.7286821705</v>
      </c>
      <c r="AR880" s="15">
        <f t="shared" si="4313"/>
        <v>-0.9333333333</v>
      </c>
      <c r="AS880" s="15">
        <f t="shared" si="4313"/>
        <v>-0.6</v>
      </c>
      <c r="AT880" s="15">
        <f t="shared" si="4313"/>
        <v>5</v>
      </c>
      <c r="AU880" s="15">
        <f t="shared" si="4313"/>
        <v>-0.5555555556</v>
      </c>
      <c r="AV880" s="410">
        <f t="shared" si="4313"/>
        <v>-0.5714285714</v>
      </c>
      <c r="AW880" s="15">
        <f t="shared" si="4313"/>
        <v>14</v>
      </c>
      <c r="AX880" s="15">
        <f t="shared" si="4313"/>
        <v>2.75</v>
      </c>
      <c r="AY880" s="15">
        <f t="shared" si="4313"/>
        <v>1.5</v>
      </c>
      <c r="AZ880" s="15">
        <f t="shared" si="4313"/>
        <v>2.75</v>
      </c>
      <c r="BA880" s="410">
        <f t="shared" si="4313"/>
        <v>3</v>
      </c>
      <c r="BB880" s="15">
        <f t="shared" si="4313"/>
        <v>0</v>
      </c>
      <c r="BC880" s="15">
        <f t="shared" si="4313"/>
        <v>0</v>
      </c>
      <c r="BD880" s="15">
        <f t="shared" si="4313"/>
        <v>0</v>
      </c>
      <c r="BE880" s="15">
        <f t="shared" si="4313"/>
        <v>0</v>
      </c>
      <c r="BF880" s="410">
        <f t="shared" si="4313"/>
        <v>0</v>
      </c>
      <c r="BG880" s="15">
        <f t="shared" si="4313"/>
        <v>0</v>
      </c>
      <c r="BH880" s="15">
        <f t="shared" si="4313"/>
        <v>0</v>
      </c>
      <c r="BI880" s="15">
        <f t="shared" si="4313"/>
        <v>0</v>
      </c>
      <c r="BJ880" s="15">
        <f t="shared" si="4313"/>
        <v>0</v>
      </c>
      <c r="BK880" s="410">
        <f t="shared" si="4313"/>
        <v>0</v>
      </c>
      <c r="BL880" s="15">
        <f t="shared" si="4313"/>
        <v>0</v>
      </c>
      <c r="BM880" s="15">
        <f t="shared" si="4313"/>
        <v>0</v>
      </c>
      <c r="BN880" s="15">
        <f t="shared" si="4313"/>
        <v>0</v>
      </c>
      <c r="BO880" s="15">
        <f t="shared" si="4313"/>
        <v>0</v>
      </c>
      <c r="BP880" s="410">
        <f t="shared" si="4313"/>
        <v>0</v>
      </c>
      <c r="BQ880" s="15">
        <f t="shared" si="4313"/>
        <v>0</v>
      </c>
      <c r="BR880" s="15">
        <f t="shared" si="4313"/>
        <v>0</v>
      </c>
      <c r="BS880" s="15">
        <f t="shared" si="4313"/>
        <v>0</v>
      </c>
      <c r="BT880" s="15">
        <f t="shared" si="4313"/>
        <v>0</v>
      </c>
      <c r="BU880" s="410">
        <f t="shared" si="4313"/>
        <v>0</v>
      </c>
      <c r="BV880" s="15">
        <f t="shared" si="4313"/>
        <v>0</v>
      </c>
      <c r="BW880" s="15">
        <f t="shared" si="4313"/>
        <v>0</v>
      </c>
      <c r="BX880" s="15">
        <f t="shared" si="4313"/>
        <v>0</v>
      </c>
      <c r="BY880" s="15">
        <f t="shared" si="4313"/>
        <v>0</v>
      </c>
      <c r="BZ880" s="24">
        <f t="shared" si="4313"/>
        <v>0</v>
      </c>
      <c r="CA880" s="15">
        <f t="shared" si="4313"/>
        <v>0</v>
      </c>
      <c r="CB880" s="15">
        <f t="shared" si="4313"/>
        <v>0</v>
      </c>
      <c r="CC880" s="15">
        <f t="shared" si="4313"/>
        <v>0</v>
      </c>
      <c r="CD880" s="15">
        <f t="shared" si="4313"/>
        <v>0</v>
      </c>
      <c r="CE880" s="24">
        <f t="shared" si="4313"/>
        <v>0</v>
      </c>
      <c r="CF880" s="15">
        <f t="shared" si="4313"/>
        <v>0</v>
      </c>
      <c r="CG880" s="15">
        <f t="shared" si="4313"/>
        <v>0</v>
      </c>
      <c r="CH880" s="15">
        <f t="shared" si="4313"/>
        <v>0</v>
      </c>
      <c r="CI880" s="15">
        <f t="shared" si="4313"/>
        <v>0</v>
      </c>
      <c r="CJ880" s="24">
        <f t="shared" si="4313"/>
        <v>0</v>
      </c>
      <c r="CK880" s="15">
        <f t="shared" si="4313"/>
        <v>0</v>
      </c>
      <c r="CL880" s="15">
        <f t="shared" si="4313"/>
        <v>0</v>
      </c>
      <c r="CM880" s="15">
        <f t="shared" si="4313"/>
        <v>0</v>
      </c>
      <c r="CN880" s="40">
        <f t="shared" si="4313"/>
        <v>0</v>
      </c>
      <c r="CO880" s="24">
        <f t="shared" si="4313"/>
        <v>0</v>
      </c>
      <c r="CP880" s="40">
        <f t="shared" si="4313"/>
        <v>0</v>
      </c>
      <c r="CQ880" s="15">
        <f t="shared" si="4313"/>
        <v>0</v>
      </c>
      <c r="CR880" s="15">
        <f t="shared" si="4313"/>
        <v>0</v>
      </c>
      <c r="CS880" s="15">
        <f t="shared" si="4313"/>
        <v>0</v>
      </c>
      <c r="CT880" s="24">
        <f t="shared" si="4313"/>
        <v>0</v>
      </c>
      <c r="CU880" s="15">
        <f t="shared" si="4313"/>
        <v>0</v>
      </c>
      <c r="CV880" s="15">
        <f t="shared" si="4313"/>
        <v>0</v>
      </c>
      <c r="CW880" s="15">
        <f t="shared" si="4313"/>
        <v>0</v>
      </c>
      <c r="CX880" s="15">
        <f t="shared" si="4313"/>
        <v>0</v>
      </c>
      <c r="CY880" s="24">
        <f t="shared" si="4313"/>
        <v>0</v>
      </c>
      <c r="CZ880" s="15">
        <f t="shared" si="4313"/>
        <v>0</v>
      </c>
      <c r="DA880" s="15">
        <f t="shared" si="4313"/>
        <v>0</v>
      </c>
      <c r="DB880" s="15">
        <f t="shared" si="4313"/>
        <v>0</v>
      </c>
      <c r="DC880" s="15">
        <f t="shared" si="4313"/>
        <v>0</v>
      </c>
      <c r="DD880" s="24">
        <f t="shared" si="4313"/>
        <v>0</v>
      </c>
      <c r="DE880" s="15">
        <f t="shared" si="4313"/>
        <v>0</v>
      </c>
      <c r="DF880" s="15">
        <f t="shared" si="4313"/>
        <v>0</v>
      </c>
      <c r="DG880" s="40">
        <f t="shared" si="4313"/>
        <v>0</v>
      </c>
      <c r="DH880" s="15">
        <f t="shared" si="4313"/>
        <v>0</v>
      </c>
      <c r="DI880" s="24">
        <f t="shared" si="4313"/>
        <v>0</v>
      </c>
      <c r="DJ880" s="40">
        <f t="shared" si="4313"/>
        <v>0</v>
      </c>
      <c r="DK880" s="40">
        <f t="shared" si="4313"/>
        <v>0</v>
      </c>
      <c r="DL880" s="40">
        <f t="shared" si="4313"/>
        <v>0</v>
      </c>
      <c r="DM880" s="15">
        <f t="shared" si="4313"/>
        <v>0</v>
      </c>
      <c r="DN880" s="24">
        <f t="shared" si="4313"/>
        <v>0</v>
      </c>
      <c r="DO880" s="15">
        <f t="shared" si="4313"/>
        <v>0</v>
      </c>
      <c r="DP880" s="15">
        <f t="shared" si="4313"/>
        <v>0</v>
      </c>
      <c r="DQ880" s="15">
        <f t="shared" si="4313"/>
        <v>0</v>
      </c>
      <c r="DR880" s="15">
        <f t="shared" si="4313"/>
        <v>0</v>
      </c>
      <c r="DS880" s="24">
        <f t="shared" si="4313"/>
        <v>0</v>
      </c>
      <c r="DT880" s="15">
        <f t="shared" si="4313"/>
        <v>0</v>
      </c>
      <c r="DU880" s="15">
        <f t="shared" si="4313"/>
        <v>0</v>
      </c>
      <c r="DV880" s="15">
        <f t="shared" si="4313"/>
        <v>0</v>
      </c>
      <c r="DW880" s="15">
        <f t="shared" si="4313"/>
        <v>0</v>
      </c>
      <c r="DX880" s="24">
        <f t="shared" si="4313"/>
        <v>0</v>
      </c>
      <c r="DY880" s="15">
        <f t="shared" si="4313"/>
        <v>0</v>
      </c>
      <c r="DZ880" s="15">
        <f t="shared" si="4313"/>
        <v>0</v>
      </c>
      <c r="EA880" s="15">
        <f t="shared" si="4313"/>
        <v>0</v>
      </c>
      <c r="EB880" s="15">
        <f t="shared" si="4313"/>
        <v>0</v>
      </c>
      <c r="EC880" s="24">
        <f t="shared" si="4313"/>
        <v>0</v>
      </c>
      <c r="ED880" s="15">
        <f t="shared" si="4313"/>
        <v>0</v>
      </c>
      <c r="EE880" s="15">
        <f t="shared" si="4313"/>
        <v>0</v>
      </c>
      <c r="EF880" s="15">
        <f t="shared" si="4313"/>
        <v>0</v>
      </c>
      <c r="EG880" s="15">
        <f t="shared" si="4313"/>
        <v>0</v>
      </c>
      <c r="EH880" s="24">
        <f t="shared" si="4313"/>
        <v>0</v>
      </c>
      <c r="EI880" s="82">
        <f t="shared" si="4313"/>
        <v>0</v>
      </c>
      <c r="EJ880" s="15">
        <f t="shared" si="4313"/>
        <v>0</v>
      </c>
      <c r="EK880" s="15">
        <f t="shared" si="4313"/>
        <v>0</v>
      </c>
      <c r="EL880" s="15">
        <f t="shared" si="4313"/>
        <v>0</v>
      </c>
      <c r="EM880" s="24">
        <f t="shared" si="4313"/>
        <v>0</v>
      </c>
      <c r="EN880" s="15">
        <f t="shared" si="4313"/>
        <v>0</v>
      </c>
      <c r="EO880" s="15">
        <f t="shared" si="4313"/>
        <v>0</v>
      </c>
      <c r="EP880" s="15">
        <f t="shared" si="4313"/>
        <v>0</v>
      </c>
      <c r="EQ880" s="15">
        <f t="shared" si="4313"/>
        <v>0</v>
      </c>
      <c r="ER880" s="24">
        <f t="shared" si="4313"/>
        <v>0</v>
      </c>
      <c r="ES880" s="15">
        <f t="shared" si="4313"/>
        <v>0</v>
      </c>
      <c r="ET880" s="15">
        <f t="shared" si="4313"/>
        <v>0</v>
      </c>
      <c r="EU880" s="15">
        <f t="shared" si="4313"/>
        <v>0</v>
      </c>
      <c r="EV880" s="15">
        <f t="shared" si="4313"/>
        <v>0</v>
      </c>
      <c r="EW880" s="24">
        <f t="shared" si="4313"/>
        <v>0</v>
      </c>
      <c r="EX880" s="15">
        <f t="shared" si="4313"/>
        <v>0</v>
      </c>
      <c r="EY880" s="15">
        <f t="shared" si="4313"/>
        <v>0</v>
      </c>
      <c r="EZ880" s="15">
        <f t="shared" si="4313"/>
        <v>0</v>
      </c>
      <c r="FA880" s="15">
        <f t="shared" si="4313"/>
        <v>0</v>
      </c>
      <c r="FB880" s="24">
        <f t="shared" si="4313"/>
        <v>0</v>
      </c>
      <c r="FC880" s="15">
        <f t="shared" si="4313"/>
        <v>0</v>
      </c>
      <c r="FD880" s="15">
        <f t="shared" si="4313"/>
        <v>0</v>
      </c>
      <c r="FE880" s="15">
        <f t="shared" si="4313"/>
        <v>0</v>
      </c>
      <c r="FF880" s="15">
        <f t="shared" si="4313"/>
        <v>0</v>
      </c>
      <c r="FG880" s="24">
        <f t="shared" si="4313"/>
        <v>0</v>
      </c>
      <c r="FH880" s="104"/>
      <c r="FI880" s="15"/>
      <c r="FJ880" s="15"/>
      <c r="FK880" s="410"/>
      <c r="FL880" s="15"/>
    </row>
    <row r="881" ht="12.75" hidden="1" customHeight="1" outlineLevel="2">
      <c r="A881" s="45"/>
      <c r="B881" s="45" t="str">
        <f>B857</f>
        <v>ICG/All other</v>
      </c>
      <c r="C881" s="45"/>
      <c r="D881" s="410"/>
      <c r="E881" s="410"/>
      <c r="F881" s="410"/>
      <c r="G881" s="410"/>
      <c r="H881" s="410"/>
      <c r="I881" s="410"/>
      <c r="J881" s="410"/>
      <c r="K881" s="410"/>
      <c r="L881" s="410"/>
      <c r="M881" s="410">
        <f>+M857/H857-1</f>
        <v>0.1748526523</v>
      </c>
      <c r="N881" s="410"/>
      <c r="O881" s="410"/>
      <c r="P881" s="410"/>
      <c r="Q881" s="410"/>
      <c r="R881" s="410">
        <f t="shared" ref="R881:FG881" si="4314">+R857/M857-1</f>
        <v>0.01170568562</v>
      </c>
      <c r="S881" s="410">
        <f t="shared" si="4314"/>
        <v>-0.3700934579</v>
      </c>
      <c r="T881" s="410">
        <f t="shared" si="4314"/>
        <v>0.7278020378</v>
      </c>
      <c r="U881" s="410">
        <f t="shared" si="4314"/>
        <v>1.128514056</v>
      </c>
      <c r="V881" s="410">
        <f t="shared" si="4314"/>
        <v>6.56969697</v>
      </c>
      <c r="W881" s="410">
        <f t="shared" si="4314"/>
        <v>0.6239669421</v>
      </c>
      <c r="X881" s="410">
        <f t="shared" si="4314"/>
        <v>1.09495549</v>
      </c>
      <c r="Y881" s="410">
        <f t="shared" si="4314"/>
        <v>0.298230834</v>
      </c>
      <c r="Z881" s="410">
        <f t="shared" si="4314"/>
        <v>0.5971698113</v>
      </c>
      <c r="AA881" s="410">
        <f t="shared" si="4314"/>
        <v>0.4819855885</v>
      </c>
      <c r="AB881" s="410">
        <f t="shared" si="4314"/>
        <v>0.6358778626</v>
      </c>
      <c r="AC881" s="410">
        <f t="shared" si="4314"/>
        <v>0.09348441926</v>
      </c>
      <c r="AD881" s="410">
        <f t="shared" si="4314"/>
        <v>-0.2167423751</v>
      </c>
      <c r="AE881" s="410">
        <f t="shared" si="4314"/>
        <v>-0.3195510927</v>
      </c>
      <c r="AF881" s="410">
        <f t="shared" si="4314"/>
        <v>-0.357104268</v>
      </c>
      <c r="AG881" s="410">
        <f t="shared" si="4314"/>
        <v>-0.2078083683</v>
      </c>
      <c r="AH881" s="410">
        <f t="shared" si="4314"/>
        <v>-0.3439119171</v>
      </c>
      <c r="AI881" s="410">
        <f t="shared" si="4314"/>
        <v>-0.08367854184</v>
      </c>
      <c r="AJ881" s="410">
        <f t="shared" si="4314"/>
        <v>-0.04774305556</v>
      </c>
      <c r="AK881" s="410">
        <f t="shared" si="4314"/>
        <v>0.03529411765</v>
      </c>
      <c r="AL881" s="410">
        <f t="shared" si="4314"/>
        <v>-0.1266444139</v>
      </c>
      <c r="AM881" s="410">
        <f t="shared" si="4314"/>
        <v>-0.02171767029</v>
      </c>
      <c r="AN881" s="410">
        <f t="shared" si="4314"/>
        <v>-0.1112115732</v>
      </c>
      <c r="AO881" s="410">
        <f t="shared" si="4314"/>
        <v>-0.09298085688</v>
      </c>
      <c r="AP881" s="410">
        <f t="shared" si="4314"/>
        <v>-0.1314935065</v>
      </c>
      <c r="AQ881" s="410">
        <f t="shared" si="4314"/>
        <v>-0.09195143885</v>
      </c>
      <c r="AR881" s="410">
        <f t="shared" si="4314"/>
        <v>0.07568113017</v>
      </c>
      <c r="AS881" s="410">
        <f t="shared" si="4314"/>
        <v>0.2970498474</v>
      </c>
      <c r="AT881" s="410">
        <f t="shared" si="4314"/>
        <v>0.3396984925</v>
      </c>
      <c r="AU881" s="410">
        <f t="shared" si="4314"/>
        <v>0.2785046729</v>
      </c>
      <c r="AV881" s="410">
        <f t="shared" si="4314"/>
        <v>0.2483287943</v>
      </c>
      <c r="AW881" s="410" t="str">
        <f t="shared" si="4314"/>
        <v>#ERROR!</v>
      </c>
      <c r="AX881" s="410" t="str">
        <f t="shared" si="4314"/>
        <v>#ERROR!</v>
      </c>
      <c r="AY881" s="410" t="str">
        <f t="shared" si="4314"/>
        <v>#ERROR!</v>
      </c>
      <c r="AZ881" s="410" t="str">
        <f t="shared" si="4314"/>
        <v>#ERROR!</v>
      </c>
      <c r="BA881" s="410" t="str">
        <f t="shared" si="4314"/>
        <v>#ERROR!</v>
      </c>
      <c r="BB881" s="410" t="str">
        <f t="shared" si="4314"/>
        <v>#ERROR!</v>
      </c>
      <c r="BC881" s="410" t="str">
        <f t="shared" si="4314"/>
        <v>#ERROR!</v>
      </c>
      <c r="BD881" s="410" t="str">
        <f t="shared" si="4314"/>
        <v>#ERROR!</v>
      </c>
      <c r="BE881" s="410" t="str">
        <f t="shared" si="4314"/>
        <v>#ERROR!</v>
      </c>
      <c r="BF881" s="410" t="str">
        <f t="shared" si="4314"/>
        <v>#ERROR!</v>
      </c>
      <c r="BG881" s="410" t="str">
        <f t="shared" si="4314"/>
        <v>#ERROR!</v>
      </c>
      <c r="BH881" s="410" t="str">
        <f t="shared" si="4314"/>
        <v>#ERROR!</v>
      </c>
      <c r="BI881" s="410" t="str">
        <f t="shared" si="4314"/>
        <v>#ERROR!</v>
      </c>
      <c r="BJ881" s="410" t="str">
        <f t="shared" si="4314"/>
        <v>#ERROR!</v>
      </c>
      <c r="BK881" s="410" t="str">
        <f t="shared" si="4314"/>
        <v>#ERROR!</v>
      </c>
      <c r="BL881" s="410" t="str">
        <f t="shared" si="4314"/>
        <v>#ERROR!</v>
      </c>
      <c r="BM881" s="410" t="str">
        <f t="shared" si="4314"/>
        <v>#ERROR!</v>
      </c>
      <c r="BN881" s="410" t="str">
        <f t="shared" si="4314"/>
        <v>#ERROR!</v>
      </c>
      <c r="BO881" s="410" t="str">
        <f t="shared" si="4314"/>
        <v>#ERROR!</v>
      </c>
      <c r="BP881" s="410" t="str">
        <f t="shared" si="4314"/>
        <v>#ERROR!</v>
      </c>
      <c r="BQ881" s="410" t="str">
        <f t="shared" si="4314"/>
        <v>#ERROR!</v>
      </c>
      <c r="BR881" s="410" t="str">
        <f t="shared" si="4314"/>
        <v>#ERROR!</v>
      </c>
      <c r="BS881" s="410" t="str">
        <f t="shared" si="4314"/>
        <v>#ERROR!</v>
      </c>
      <c r="BT881" s="410" t="str">
        <f t="shared" si="4314"/>
        <v>#ERROR!</v>
      </c>
      <c r="BU881" s="410" t="str">
        <f t="shared" si="4314"/>
        <v>#ERROR!</v>
      </c>
      <c r="BV881" s="410" t="str">
        <f t="shared" si="4314"/>
        <v>#ERROR!</v>
      </c>
      <c r="BW881" s="410" t="str">
        <f t="shared" si="4314"/>
        <v>#ERROR!</v>
      </c>
      <c r="BX881" s="410" t="str">
        <f t="shared" si="4314"/>
        <v>#ERROR!</v>
      </c>
      <c r="BY881" s="410" t="str">
        <f t="shared" si="4314"/>
        <v>#ERROR!</v>
      </c>
      <c r="BZ881" s="24" t="str">
        <f t="shared" si="4314"/>
        <v>#ERROR!</v>
      </c>
      <c r="CA881" s="410" t="str">
        <f t="shared" si="4314"/>
        <v>#ERROR!</v>
      </c>
      <c r="CB881" s="410" t="str">
        <f t="shared" si="4314"/>
        <v>#ERROR!</v>
      </c>
      <c r="CC881" s="410" t="str">
        <f t="shared" si="4314"/>
        <v>#ERROR!</v>
      </c>
      <c r="CD881" s="410" t="str">
        <f t="shared" si="4314"/>
        <v>#ERROR!</v>
      </c>
      <c r="CE881" s="24" t="str">
        <f t="shared" si="4314"/>
        <v>#ERROR!</v>
      </c>
      <c r="CF881" s="410" t="str">
        <f t="shared" si="4314"/>
        <v>#ERROR!</v>
      </c>
      <c r="CG881" s="410" t="str">
        <f t="shared" si="4314"/>
        <v>#ERROR!</v>
      </c>
      <c r="CH881" s="410" t="str">
        <f t="shared" si="4314"/>
        <v>#ERROR!</v>
      </c>
      <c r="CI881" s="410" t="str">
        <f t="shared" si="4314"/>
        <v>#ERROR!</v>
      </c>
      <c r="CJ881" s="24" t="str">
        <f t="shared" si="4314"/>
        <v>#ERROR!</v>
      </c>
      <c r="CK881" s="410" t="str">
        <f t="shared" si="4314"/>
        <v>#ERROR!</v>
      </c>
      <c r="CL881" s="410" t="str">
        <f t="shared" si="4314"/>
        <v>#ERROR!</v>
      </c>
      <c r="CM881" s="410" t="str">
        <f t="shared" si="4314"/>
        <v>#ERROR!</v>
      </c>
      <c r="CN881" s="104" t="str">
        <f t="shared" si="4314"/>
        <v>#ERROR!</v>
      </c>
      <c r="CO881" s="24" t="str">
        <f t="shared" si="4314"/>
        <v>#ERROR!</v>
      </c>
      <c r="CP881" s="104" t="str">
        <f t="shared" si="4314"/>
        <v>#ERROR!</v>
      </c>
      <c r="CQ881" s="410" t="str">
        <f t="shared" si="4314"/>
        <v>#ERROR!</v>
      </c>
      <c r="CR881" s="410" t="str">
        <f t="shared" si="4314"/>
        <v>#ERROR!</v>
      </c>
      <c r="CS881" s="410" t="str">
        <f t="shared" si="4314"/>
        <v>#ERROR!</v>
      </c>
      <c r="CT881" s="24" t="str">
        <f t="shared" si="4314"/>
        <v>#ERROR!</v>
      </c>
      <c r="CU881" s="410" t="str">
        <f t="shared" si="4314"/>
        <v>#ERROR!</v>
      </c>
      <c r="CV881" s="410" t="str">
        <f t="shared" si="4314"/>
        <v>#ERROR!</v>
      </c>
      <c r="CW881" s="410" t="str">
        <f t="shared" si="4314"/>
        <v>#ERROR!</v>
      </c>
      <c r="CX881" s="410" t="str">
        <f t="shared" si="4314"/>
        <v>#ERROR!</v>
      </c>
      <c r="CY881" s="24" t="str">
        <f t="shared" si="4314"/>
        <v>#ERROR!</v>
      </c>
      <c r="CZ881" s="410" t="str">
        <f t="shared" si="4314"/>
        <v>#ERROR!</v>
      </c>
      <c r="DA881" s="410" t="str">
        <f t="shared" si="4314"/>
        <v>#ERROR!</v>
      </c>
      <c r="DB881" s="410" t="str">
        <f t="shared" si="4314"/>
        <v>#ERROR!</v>
      </c>
      <c r="DC881" s="410" t="str">
        <f t="shared" si="4314"/>
        <v>#ERROR!</v>
      </c>
      <c r="DD881" s="24" t="str">
        <f t="shared" si="4314"/>
        <v>#ERROR!</v>
      </c>
      <c r="DE881" s="410" t="str">
        <f t="shared" si="4314"/>
        <v>#ERROR!</v>
      </c>
      <c r="DF881" s="410" t="str">
        <f t="shared" si="4314"/>
        <v>#ERROR!</v>
      </c>
      <c r="DG881" s="104" t="str">
        <f t="shared" si="4314"/>
        <v>#ERROR!</v>
      </c>
      <c r="DH881" s="410" t="str">
        <f t="shared" si="4314"/>
        <v>#ERROR!</v>
      </c>
      <c r="DI881" s="24" t="str">
        <f t="shared" si="4314"/>
        <v>#ERROR!</v>
      </c>
      <c r="DJ881" s="104" t="str">
        <f t="shared" si="4314"/>
        <v>#ERROR!</v>
      </c>
      <c r="DK881" s="104" t="str">
        <f t="shared" si="4314"/>
        <v>#ERROR!</v>
      </c>
      <c r="DL881" s="104" t="str">
        <f t="shared" si="4314"/>
        <v>#ERROR!</v>
      </c>
      <c r="DM881" s="410" t="str">
        <f t="shared" si="4314"/>
        <v>#ERROR!</v>
      </c>
      <c r="DN881" s="24" t="str">
        <f t="shared" si="4314"/>
        <v>#ERROR!</v>
      </c>
      <c r="DO881" s="410" t="str">
        <f t="shared" si="4314"/>
        <v>#ERROR!</v>
      </c>
      <c r="DP881" s="410" t="str">
        <f t="shared" si="4314"/>
        <v>#ERROR!</v>
      </c>
      <c r="DQ881" s="410" t="str">
        <f t="shared" si="4314"/>
        <v>#ERROR!</v>
      </c>
      <c r="DR881" s="410" t="str">
        <f t="shared" si="4314"/>
        <v>#ERROR!</v>
      </c>
      <c r="DS881" s="24" t="str">
        <f t="shared" si="4314"/>
        <v>#ERROR!</v>
      </c>
      <c r="DT881" s="410" t="str">
        <f t="shared" si="4314"/>
        <v>#ERROR!</v>
      </c>
      <c r="DU881" s="410" t="str">
        <f t="shared" si="4314"/>
        <v>#ERROR!</v>
      </c>
      <c r="DV881" s="410" t="str">
        <f t="shared" si="4314"/>
        <v>#ERROR!</v>
      </c>
      <c r="DW881" s="410" t="str">
        <f t="shared" si="4314"/>
        <v>#ERROR!</v>
      </c>
      <c r="DX881" s="24" t="str">
        <f t="shared" si="4314"/>
        <v>#ERROR!</v>
      </c>
      <c r="DY881" s="410" t="str">
        <f t="shared" si="4314"/>
        <v>#ERROR!</v>
      </c>
      <c r="DZ881" s="410" t="str">
        <f t="shared" si="4314"/>
        <v>#ERROR!</v>
      </c>
      <c r="EA881" s="410" t="str">
        <f t="shared" si="4314"/>
        <v>#ERROR!</v>
      </c>
      <c r="EB881" s="410" t="str">
        <f t="shared" si="4314"/>
        <v>#ERROR!</v>
      </c>
      <c r="EC881" s="24" t="str">
        <f t="shared" si="4314"/>
        <v>#ERROR!</v>
      </c>
      <c r="ED881" s="410" t="str">
        <f t="shared" si="4314"/>
        <v>#ERROR!</v>
      </c>
      <c r="EE881" s="410" t="str">
        <f t="shared" si="4314"/>
        <v>#ERROR!</v>
      </c>
      <c r="EF881" s="410" t="str">
        <f t="shared" si="4314"/>
        <v>#ERROR!</v>
      </c>
      <c r="EG881" s="410" t="str">
        <f t="shared" si="4314"/>
        <v>#ERROR!</v>
      </c>
      <c r="EH881" s="24" t="str">
        <f t="shared" si="4314"/>
        <v>#ERROR!</v>
      </c>
      <c r="EI881" s="317" t="str">
        <f t="shared" si="4314"/>
        <v>#ERROR!</v>
      </c>
      <c r="EJ881" s="410" t="str">
        <f t="shared" si="4314"/>
        <v>#ERROR!</v>
      </c>
      <c r="EK881" s="410" t="str">
        <f t="shared" si="4314"/>
        <v>#ERROR!</v>
      </c>
      <c r="EL881" s="410" t="str">
        <f t="shared" si="4314"/>
        <v>#ERROR!</v>
      </c>
      <c r="EM881" s="24" t="str">
        <f t="shared" si="4314"/>
        <v>#ERROR!</v>
      </c>
      <c r="EN881" s="410" t="str">
        <f t="shared" si="4314"/>
        <v>#ERROR!</v>
      </c>
      <c r="EO881" s="410" t="str">
        <f t="shared" si="4314"/>
        <v>#ERROR!</v>
      </c>
      <c r="EP881" s="410" t="str">
        <f t="shared" si="4314"/>
        <v>#ERROR!</v>
      </c>
      <c r="EQ881" s="410" t="str">
        <f t="shared" si="4314"/>
        <v>#ERROR!</v>
      </c>
      <c r="ER881" s="24" t="str">
        <f t="shared" si="4314"/>
        <v>#ERROR!</v>
      </c>
      <c r="ES881" s="410" t="str">
        <f t="shared" si="4314"/>
        <v>#ERROR!</v>
      </c>
      <c r="ET881" s="410" t="str">
        <f t="shared" si="4314"/>
        <v>#ERROR!</v>
      </c>
      <c r="EU881" s="410" t="str">
        <f t="shared" si="4314"/>
        <v>#ERROR!</v>
      </c>
      <c r="EV881" s="410" t="str">
        <f t="shared" si="4314"/>
        <v>#ERROR!</v>
      </c>
      <c r="EW881" s="24" t="str">
        <f t="shared" si="4314"/>
        <v>#ERROR!</v>
      </c>
      <c r="EX881" s="410" t="str">
        <f t="shared" si="4314"/>
        <v>#ERROR!</v>
      </c>
      <c r="EY881" s="410" t="str">
        <f t="shared" si="4314"/>
        <v>#ERROR!</v>
      </c>
      <c r="EZ881" s="410" t="str">
        <f t="shared" si="4314"/>
        <v>#ERROR!</v>
      </c>
      <c r="FA881" s="410" t="str">
        <f t="shared" si="4314"/>
        <v>#ERROR!</v>
      </c>
      <c r="FB881" s="24" t="str">
        <f t="shared" si="4314"/>
        <v>#ERROR!</v>
      </c>
      <c r="FC881" s="410" t="str">
        <f t="shared" si="4314"/>
        <v>#ERROR!</v>
      </c>
      <c r="FD881" s="410" t="str">
        <f t="shared" si="4314"/>
        <v>#ERROR!</v>
      </c>
      <c r="FE881" s="410" t="str">
        <f t="shared" si="4314"/>
        <v>#ERROR!</v>
      </c>
      <c r="FF881" s="410" t="str">
        <f t="shared" si="4314"/>
        <v>#ERROR!</v>
      </c>
      <c r="FG881" s="24" t="str">
        <f t="shared" si="4314"/>
        <v>#ERROR!</v>
      </c>
      <c r="FH881" s="104"/>
      <c r="FI881" s="410"/>
      <c r="FJ881" s="410"/>
      <c r="FK881" s="410"/>
      <c r="FL881" s="410"/>
    </row>
    <row r="882" ht="13.5" hidden="1" customHeight="1" outlineLevel="2">
      <c r="A882" s="4"/>
      <c r="B882" s="529" t="s">
        <v>336</v>
      </c>
      <c r="C882" s="529"/>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f t="shared" ref="AG882:AV882" si="4315">+AG858/AB858-1</f>
        <v>-0.2130996857</v>
      </c>
      <c r="AH882" s="596">
        <f t="shared" si="4315"/>
        <v>0.01557585742</v>
      </c>
      <c r="AI882" s="596">
        <f t="shared" si="4315"/>
        <v>-0.002368171771</v>
      </c>
      <c r="AJ882" s="596">
        <f t="shared" si="4315"/>
        <v>-0.006264323911</v>
      </c>
      <c r="AK882" s="596">
        <f t="shared" si="4315"/>
        <v>0.02534727195</v>
      </c>
      <c r="AL882" s="596">
        <f t="shared" si="4315"/>
        <v>0.00847808885</v>
      </c>
      <c r="AM882" s="596">
        <f t="shared" si="4315"/>
        <v>-0.004424126235</v>
      </c>
      <c r="AN882" s="596">
        <f t="shared" si="4315"/>
        <v>0.07865168539</v>
      </c>
      <c r="AO882" s="596">
        <f t="shared" si="4315"/>
        <v>0.2043357934</v>
      </c>
      <c r="AP882" s="596">
        <f t="shared" si="4315"/>
        <v>0.2208100559</v>
      </c>
      <c r="AQ882" s="596">
        <f t="shared" si="4315"/>
        <v>0.1261769541</v>
      </c>
      <c r="AR882" s="596">
        <f t="shared" si="4315"/>
        <v>0.1984891127</v>
      </c>
      <c r="AS882" s="596">
        <f t="shared" si="4315"/>
        <v>0.1808978873</v>
      </c>
      <c r="AT882" s="596">
        <f t="shared" si="4315"/>
        <v>0.08145027448</v>
      </c>
      <c r="AU882" s="596">
        <f t="shared" si="4315"/>
        <v>0.09804370209</v>
      </c>
      <c r="AV882" s="596">
        <f t="shared" si="4315"/>
        <v>0.1349656614</v>
      </c>
      <c r="AW882" s="596">
        <f>AU882*0.93</f>
        <v>0.09118064295</v>
      </c>
      <c r="AX882" s="596">
        <f>AW882*1.1</f>
        <v>0.1002987072</v>
      </c>
      <c r="AY882" s="596" t="str">
        <f t="shared" ref="AY882:BA882" si="4316">+AY858/AT858-1</f>
        <v>#ERROR!</v>
      </c>
      <c r="AZ882" s="596" t="str">
        <f t="shared" si="4316"/>
        <v>#ERROR!</v>
      </c>
      <c r="BA882" s="596" t="str">
        <f t="shared" si="4316"/>
        <v>#ERROR!</v>
      </c>
      <c r="BB882" s="596" t="str">
        <f>AZ882*1.18</f>
        <v>#ERROR!</v>
      </c>
      <c r="BC882" s="596" t="str">
        <f>BB882*1.08</f>
        <v>#ERROR!</v>
      </c>
      <c r="BD882" s="596" t="str">
        <f t="shared" ref="BD882:FG882" si="4317">+BD858/AY858-1</f>
        <v>#ERROR!</v>
      </c>
      <c r="BE882" s="596" t="str">
        <f t="shared" si="4317"/>
        <v>#ERROR!</v>
      </c>
      <c r="BF882" s="596" t="str">
        <f t="shared" si="4317"/>
        <v>#ERROR!</v>
      </c>
      <c r="BG882" s="596" t="str">
        <f t="shared" si="4317"/>
        <v>#ERROR!</v>
      </c>
      <c r="BH882" s="596" t="str">
        <f t="shared" si="4317"/>
        <v>#ERROR!</v>
      </c>
      <c r="BI882" s="596" t="str">
        <f t="shared" si="4317"/>
        <v>#ERROR!</v>
      </c>
      <c r="BJ882" s="596" t="str">
        <f t="shared" si="4317"/>
        <v>#ERROR!</v>
      </c>
      <c r="BK882" s="596">
        <f t="shared" si="4317"/>
        <v>0.08343225369</v>
      </c>
      <c r="BL882" s="596" t="str">
        <f t="shared" si="4317"/>
        <v>#ERROR!</v>
      </c>
      <c r="BM882" s="596" t="str">
        <f t="shared" si="4317"/>
        <v>#ERROR!</v>
      </c>
      <c r="BN882" s="596" t="str">
        <f t="shared" si="4317"/>
        <v>#ERROR!</v>
      </c>
      <c r="BO882" s="596" t="str">
        <f t="shared" si="4317"/>
        <v>#ERROR!</v>
      </c>
      <c r="BP882" s="596">
        <f t="shared" si="4317"/>
        <v>-0.01951270413</v>
      </c>
      <c r="BQ882" s="596" t="str">
        <f t="shared" si="4317"/>
        <v>#ERROR!</v>
      </c>
      <c r="BR882" s="596" t="str">
        <f t="shared" si="4317"/>
        <v>#ERROR!</v>
      </c>
      <c r="BS882" s="596" t="str">
        <f t="shared" si="4317"/>
        <v>#ERROR!</v>
      </c>
      <c r="BT882" s="596" t="str">
        <f t="shared" si="4317"/>
        <v>#ERROR!</v>
      </c>
      <c r="BU882" s="596">
        <f t="shared" si="4317"/>
        <v>-0.06542329591</v>
      </c>
      <c r="BV882" s="596" t="str">
        <f t="shared" si="4317"/>
        <v>#ERROR!</v>
      </c>
      <c r="BW882" s="596" t="str">
        <f t="shared" si="4317"/>
        <v>#ERROR!</v>
      </c>
      <c r="BX882" s="596" t="str">
        <f t="shared" si="4317"/>
        <v>#ERROR!</v>
      </c>
      <c r="BY882" s="596" t="str">
        <f t="shared" si="4317"/>
        <v>#ERROR!</v>
      </c>
      <c r="BZ882" s="597">
        <f t="shared" si="4317"/>
        <v>0.2418652319</v>
      </c>
      <c r="CA882" s="596" t="str">
        <f t="shared" si="4317"/>
        <v>#ERROR!</v>
      </c>
      <c r="CB882" s="596" t="str">
        <f t="shared" si="4317"/>
        <v>#ERROR!</v>
      </c>
      <c r="CC882" s="596" t="str">
        <f t="shared" si="4317"/>
        <v>#ERROR!</v>
      </c>
      <c r="CD882" s="596" t="str">
        <f t="shared" si="4317"/>
        <v>#ERROR!</v>
      </c>
      <c r="CE882" s="597">
        <f t="shared" si="4317"/>
        <v>0.2378561768</v>
      </c>
      <c r="CF882" s="596" t="str">
        <f t="shared" si="4317"/>
        <v>#ERROR!</v>
      </c>
      <c r="CG882" s="596" t="str">
        <f t="shared" si="4317"/>
        <v>#ERROR!</v>
      </c>
      <c r="CH882" s="596" t="str">
        <f t="shared" si="4317"/>
        <v>#ERROR!</v>
      </c>
      <c r="CI882" s="596" t="str">
        <f t="shared" si="4317"/>
        <v>#ERROR!</v>
      </c>
      <c r="CJ882" s="597">
        <f t="shared" si="4317"/>
        <v>-0.01218541084</v>
      </c>
      <c r="CK882" s="596" t="str">
        <f t="shared" si="4317"/>
        <v>#ERROR!</v>
      </c>
      <c r="CL882" s="596" t="str">
        <f t="shared" si="4317"/>
        <v>#ERROR!</v>
      </c>
      <c r="CM882" s="596" t="str">
        <f t="shared" si="4317"/>
        <v>#ERROR!</v>
      </c>
      <c r="CN882" s="595" t="str">
        <f t="shared" si="4317"/>
        <v>#ERROR!</v>
      </c>
      <c r="CO882" s="597">
        <f t="shared" si="4317"/>
        <v>-0.01186704411</v>
      </c>
      <c r="CP882" s="595" t="str">
        <f t="shared" si="4317"/>
        <v>#ERROR!</v>
      </c>
      <c r="CQ882" s="596" t="str">
        <f t="shared" si="4317"/>
        <v>#ERROR!</v>
      </c>
      <c r="CR882" s="596" t="str">
        <f t="shared" si="4317"/>
        <v>#ERROR!</v>
      </c>
      <c r="CS882" s="596" t="str">
        <f t="shared" si="4317"/>
        <v>#ERROR!</v>
      </c>
      <c r="CT882" s="597">
        <f t="shared" si="4317"/>
        <v>0.05999089322</v>
      </c>
      <c r="CU882" s="596" t="str">
        <f t="shared" si="4317"/>
        <v>#ERROR!</v>
      </c>
      <c r="CV882" s="596" t="str">
        <f t="shared" si="4317"/>
        <v>#ERROR!</v>
      </c>
      <c r="CW882" s="596" t="str">
        <f t="shared" si="4317"/>
        <v>#ERROR!</v>
      </c>
      <c r="CX882" s="596" t="str">
        <f t="shared" si="4317"/>
        <v>#ERROR!</v>
      </c>
      <c r="CY882" s="597">
        <f t="shared" si="4317"/>
        <v>-0.009217827099</v>
      </c>
      <c r="CZ882" s="596" t="str">
        <f t="shared" si="4317"/>
        <v>#ERROR!</v>
      </c>
      <c r="DA882" s="596" t="str">
        <f t="shared" si="4317"/>
        <v>#ERROR!</v>
      </c>
      <c r="DB882" s="596" t="str">
        <f t="shared" si="4317"/>
        <v>#ERROR!</v>
      </c>
      <c r="DC882" s="596" t="str">
        <f t="shared" si="4317"/>
        <v>#ERROR!</v>
      </c>
      <c r="DD882" s="597">
        <f t="shared" si="4317"/>
        <v>0.07462740493</v>
      </c>
      <c r="DE882" s="596" t="str">
        <f t="shared" si="4317"/>
        <v>#ERROR!</v>
      </c>
      <c r="DF882" s="596" t="str">
        <f t="shared" si="4317"/>
        <v>#ERROR!</v>
      </c>
      <c r="DG882" s="104" t="str">
        <f t="shared" si="4317"/>
        <v>#ERROR!</v>
      </c>
      <c r="DH882" s="596" t="str">
        <f t="shared" si="4317"/>
        <v>#ERROR!</v>
      </c>
      <c r="DI882" s="597">
        <f t="shared" si="4317"/>
        <v>0.05505497092</v>
      </c>
      <c r="DJ882" s="595" t="str">
        <f t="shared" si="4317"/>
        <v>#ERROR!</v>
      </c>
      <c r="DK882" s="595" t="str">
        <f t="shared" si="4317"/>
        <v>#ERROR!</v>
      </c>
      <c r="DL882" s="595" t="str">
        <f t="shared" si="4317"/>
        <v>#ERROR!</v>
      </c>
      <c r="DM882" s="596" t="str">
        <f t="shared" si="4317"/>
        <v>#ERROR!</v>
      </c>
      <c r="DN882" s="597">
        <f t="shared" si="4317"/>
        <v>0.1288539061</v>
      </c>
      <c r="DO882" s="596" t="str">
        <f t="shared" si="4317"/>
        <v>#ERROR!</v>
      </c>
      <c r="DP882" s="596" t="str">
        <f t="shared" si="4317"/>
        <v>#ERROR!</v>
      </c>
      <c r="DQ882" s="596" t="str">
        <f t="shared" si="4317"/>
        <v>#ERROR!</v>
      </c>
      <c r="DR882" s="596" t="str">
        <f t="shared" si="4317"/>
        <v>#ERROR!</v>
      </c>
      <c r="DS882" s="597">
        <f t="shared" si="4317"/>
        <v>0.01576614724</v>
      </c>
      <c r="DT882" s="596" t="str">
        <f t="shared" si="4317"/>
        <v>#ERROR!</v>
      </c>
      <c r="DU882" s="596" t="str">
        <f t="shared" si="4317"/>
        <v>#ERROR!</v>
      </c>
      <c r="DV882" s="596" t="str">
        <f t="shared" si="4317"/>
        <v>#ERROR!</v>
      </c>
      <c r="DW882" s="596" t="str">
        <f t="shared" si="4317"/>
        <v>#ERROR!</v>
      </c>
      <c r="DX882" s="597">
        <f t="shared" si="4317"/>
        <v>0.08201208921</v>
      </c>
      <c r="DY882" s="596" t="str">
        <f t="shared" si="4317"/>
        <v>#ERROR!</v>
      </c>
      <c r="DZ882" s="596" t="str">
        <f t="shared" si="4317"/>
        <v>#ERROR!</v>
      </c>
      <c r="EA882" s="596" t="str">
        <f t="shared" si="4317"/>
        <v>#ERROR!</v>
      </c>
      <c r="EB882" s="596" t="str">
        <f t="shared" si="4317"/>
        <v>#ERROR!</v>
      </c>
      <c r="EC882" s="597">
        <f t="shared" si="4317"/>
        <v>-0.04044075154</v>
      </c>
      <c r="ED882" s="596" t="str">
        <f t="shared" si="4317"/>
        <v>#ERROR!</v>
      </c>
      <c r="EE882" s="596" t="str">
        <f t="shared" si="4317"/>
        <v>#ERROR!</v>
      </c>
      <c r="EF882" s="596" t="str">
        <f t="shared" si="4317"/>
        <v>#ERROR!</v>
      </c>
      <c r="EG882" s="596" t="str">
        <f t="shared" si="4317"/>
        <v>#ERROR!</v>
      </c>
      <c r="EH882" s="597">
        <f t="shared" si="4317"/>
        <v>-0.1561069622</v>
      </c>
      <c r="EI882" s="598" t="str">
        <f t="shared" si="4317"/>
        <v>#ERROR!</v>
      </c>
      <c r="EJ882" s="596" t="str">
        <f t="shared" si="4317"/>
        <v>#ERROR!</v>
      </c>
      <c r="EK882" s="596" t="str">
        <f t="shared" si="4317"/>
        <v>#ERROR!</v>
      </c>
      <c r="EL882" s="596" t="str">
        <f t="shared" si="4317"/>
        <v>#ERROR!</v>
      </c>
      <c r="EM882" s="597" t="str">
        <f t="shared" si="4317"/>
        <v>#ERROR!</v>
      </c>
      <c r="EN882" s="596" t="str">
        <f t="shared" si="4317"/>
        <v>#ERROR!</v>
      </c>
      <c r="EO882" s="596" t="str">
        <f t="shared" si="4317"/>
        <v>#ERROR!</v>
      </c>
      <c r="EP882" s="596" t="str">
        <f t="shared" si="4317"/>
        <v>#ERROR!</v>
      </c>
      <c r="EQ882" s="596" t="str">
        <f t="shared" si="4317"/>
        <v>#ERROR!</v>
      </c>
      <c r="ER882" s="597" t="str">
        <f t="shared" si="4317"/>
        <v>#ERROR!</v>
      </c>
      <c r="ES882" s="596" t="str">
        <f t="shared" si="4317"/>
        <v>#ERROR!</v>
      </c>
      <c r="ET882" s="596" t="str">
        <f t="shared" si="4317"/>
        <v>#ERROR!</v>
      </c>
      <c r="EU882" s="596" t="str">
        <f t="shared" si="4317"/>
        <v>#ERROR!</v>
      </c>
      <c r="EV882" s="596" t="str">
        <f t="shared" si="4317"/>
        <v>#ERROR!</v>
      </c>
      <c r="EW882" s="597" t="str">
        <f t="shared" si="4317"/>
        <v>#ERROR!</v>
      </c>
      <c r="EX882" s="596" t="str">
        <f t="shared" si="4317"/>
        <v>#ERROR!</v>
      </c>
      <c r="EY882" s="596" t="str">
        <f t="shared" si="4317"/>
        <v>#ERROR!</v>
      </c>
      <c r="EZ882" s="596" t="str">
        <f t="shared" si="4317"/>
        <v>#ERROR!</v>
      </c>
      <c r="FA882" s="596" t="str">
        <f t="shared" si="4317"/>
        <v>#ERROR!</v>
      </c>
      <c r="FB882" s="597" t="str">
        <f t="shared" si="4317"/>
        <v>#ERROR!</v>
      </c>
      <c r="FC882" s="596" t="str">
        <f t="shared" si="4317"/>
        <v>#ERROR!</v>
      </c>
      <c r="FD882" s="596" t="str">
        <f t="shared" si="4317"/>
        <v>#ERROR!</v>
      </c>
      <c r="FE882" s="596" t="str">
        <f t="shared" si="4317"/>
        <v>#ERROR!</v>
      </c>
      <c r="FF882" s="596" t="str">
        <f t="shared" si="4317"/>
        <v>#ERROR!</v>
      </c>
      <c r="FG882" s="597" t="str">
        <f t="shared" si="4317"/>
        <v>#ERROR!</v>
      </c>
      <c r="FH882" s="595"/>
      <c r="FI882" s="596"/>
      <c r="FJ882" s="596"/>
      <c r="FK882" s="596"/>
      <c r="FL882" s="596"/>
    </row>
    <row r="883" ht="12.75" hidden="1" customHeight="1" outlineLevel="2">
      <c r="A883" s="4"/>
      <c r="B883" s="4"/>
      <c r="C883" s="4"/>
      <c r="D883" s="45"/>
      <c r="E883" s="4"/>
      <c r="F883" s="4"/>
      <c r="G883" s="4"/>
      <c r="H883" s="45"/>
      <c r="I883" s="45"/>
      <c r="J883" s="4"/>
      <c r="K883" s="4"/>
      <c r="L883" s="4"/>
      <c r="M883" s="45"/>
      <c r="N883" s="45"/>
      <c r="O883" s="4"/>
      <c r="P883" s="4"/>
      <c r="Q883" s="4"/>
      <c r="R883" s="45"/>
      <c r="S883" s="45"/>
      <c r="T883" s="4"/>
      <c r="U883" s="4"/>
      <c r="V883" s="4"/>
      <c r="W883" s="45"/>
      <c r="X883" s="45"/>
      <c r="Y883" s="4"/>
      <c r="Z883" s="4"/>
      <c r="AA883" s="4"/>
      <c r="AB883" s="45"/>
      <c r="AC883" s="45"/>
      <c r="AD883" s="4"/>
      <c r="AE883" s="4"/>
      <c r="AF883" s="4"/>
      <c r="AG883" s="45"/>
      <c r="AH883" s="45"/>
      <c r="AI883" s="4"/>
      <c r="AJ883" s="4"/>
      <c r="AK883" s="4"/>
      <c r="AL883" s="45"/>
      <c r="AM883" s="45"/>
      <c r="AN883" s="4"/>
      <c r="AO883" s="4"/>
      <c r="AP883" s="4"/>
      <c r="AQ883" s="45"/>
      <c r="AR883" s="45"/>
      <c r="AS883" s="4"/>
      <c r="AT883" s="4"/>
      <c r="AU883" s="4"/>
      <c r="AV883" s="45"/>
      <c r="AW883" s="45"/>
      <c r="AX883" s="4"/>
      <c r="AY883" s="4"/>
      <c r="AZ883" s="4"/>
      <c r="BA883" s="45"/>
      <c r="BB883" s="45"/>
      <c r="BC883" s="4"/>
      <c r="BD883" s="4"/>
      <c r="BE883" s="4"/>
      <c r="BF883" s="45"/>
      <c r="BG883" s="45"/>
      <c r="BH883" s="4"/>
      <c r="BI883" s="4"/>
      <c r="BJ883" s="4"/>
      <c r="BK883" s="45"/>
      <c r="BL883" s="45"/>
      <c r="BM883" s="4"/>
      <c r="BN883" s="4"/>
      <c r="BO883" s="4"/>
      <c r="BP883" s="45"/>
      <c r="BQ883" s="45"/>
      <c r="BR883" s="4"/>
      <c r="BS883" s="4"/>
      <c r="BT883" s="4"/>
      <c r="BU883" s="45"/>
      <c r="BV883" s="45"/>
      <c r="BW883" s="4"/>
      <c r="BX883" s="4"/>
      <c r="BY883" s="4"/>
      <c r="BZ883" s="350"/>
      <c r="CA883" s="45"/>
      <c r="CB883" s="4"/>
      <c r="CC883" s="4"/>
      <c r="CD883" s="4"/>
      <c r="CE883" s="350"/>
      <c r="CF883" s="45"/>
      <c r="CG883" s="4"/>
      <c r="CH883" s="4"/>
      <c r="CI883" s="4"/>
      <c r="CJ883" s="350"/>
      <c r="CK883" s="45"/>
      <c r="CL883" s="4"/>
      <c r="CM883" s="4"/>
      <c r="CN883" s="16"/>
      <c r="CO883" s="350"/>
      <c r="CP883" s="16"/>
      <c r="CQ883" s="4"/>
      <c r="CR883" s="4"/>
      <c r="CS883" s="4"/>
      <c r="CT883" s="350"/>
      <c r="CU883" s="45"/>
      <c r="CV883" s="4"/>
      <c r="CW883" s="4"/>
      <c r="CX883" s="4"/>
      <c r="CY883" s="350"/>
      <c r="CZ883" s="45"/>
      <c r="DA883" s="4"/>
      <c r="DB883" s="4"/>
      <c r="DC883" s="4"/>
      <c r="DD883" s="350"/>
      <c r="DE883" s="45"/>
      <c r="DF883" s="4"/>
      <c r="DG883" s="16"/>
      <c r="DH883" s="4"/>
      <c r="DI883" s="350"/>
      <c r="DJ883" s="145"/>
      <c r="DK883" s="16"/>
      <c r="DL883" s="16"/>
      <c r="DM883" s="4"/>
      <c r="DN883" s="350"/>
      <c r="DO883" s="45"/>
      <c r="DP883" s="4"/>
      <c r="DQ883" s="4"/>
      <c r="DR883" s="4"/>
      <c r="DS883" s="350"/>
      <c r="DT883" s="45"/>
      <c r="DU883" s="45"/>
      <c r="DV883" s="45"/>
      <c r="DW883" s="45"/>
      <c r="DX883" s="350"/>
      <c r="DY883" s="45"/>
      <c r="DZ883" s="45"/>
      <c r="EA883" s="45"/>
      <c r="EB883" s="45"/>
      <c r="EC883" s="350"/>
      <c r="ED883" s="45"/>
      <c r="EE883" s="45"/>
      <c r="EF883" s="45"/>
      <c r="EG883" s="45"/>
      <c r="EH883" s="350"/>
      <c r="EI883" s="214"/>
      <c r="EJ883" s="4"/>
      <c r="EK883" s="4"/>
      <c r="EL883" s="4"/>
      <c r="EM883" s="350"/>
      <c r="EN883" s="45"/>
      <c r="EO883" s="4"/>
      <c r="EP883" s="4"/>
      <c r="EQ883" s="4"/>
      <c r="ER883" s="350"/>
      <c r="ES883" s="45"/>
      <c r="ET883" s="4"/>
      <c r="EU883" s="4"/>
      <c r="EV883" s="4"/>
      <c r="EW883" s="350"/>
      <c r="EX883" s="45"/>
      <c r="EY883" s="4"/>
      <c r="EZ883" s="4"/>
      <c r="FA883" s="4"/>
      <c r="FB883" s="350"/>
      <c r="FC883" s="45"/>
      <c r="FD883" s="4"/>
      <c r="FE883" s="4"/>
      <c r="FF883" s="4"/>
      <c r="FG883" s="350"/>
      <c r="FH883" s="145"/>
      <c r="FI883" s="4"/>
      <c r="FJ883" s="4"/>
      <c r="FK883" s="45"/>
      <c r="FL883" s="45"/>
    </row>
    <row r="884" ht="12.75" hidden="1" customHeight="1" outlineLevel="2">
      <c r="A884" s="4"/>
      <c r="B884" s="578" t="s">
        <v>290</v>
      </c>
      <c r="C884" s="299"/>
      <c r="D884" s="299"/>
      <c r="E884" s="90"/>
      <c r="F884" s="90"/>
      <c r="G884" s="90"/>
      <c r="H884" s="299"/>
      <c r="I884" s="299"/>
      <c r="J884" s="90"/>
      <c r="K884" s="90"/>
      <c r="L884" s="90"/>
      <c r="M884" s="299"/>
      <c r="N884" s="299"/>
      <c r="O884" s="90"/>
      <c r="P884" s="90"/>
      <c r="Q884" s="90"/>
      <c r="R884" s="299"/>
      <c r="S884" s="299"/>
      <c r="T884" s="90"/>
      <c r="U884" s="90"/>
      <c r="V884" s="90"/>
      <c r="W884" s="299"/>
      <c r="X884" s="299"/>
      <c r="Y884" s="90"/>
      <c r="Z884" s="90"/>
      <c r="AA884" s="90"/>
      <c r="AB884" s="299"/>
      <c r="AC884" s="299"/>
      <c r="AD884" s="90"/>
      <c r="AE884" s="90"/>
      <c r="AF884" s="90"/>
      <c r="AG884" s="299"/>
      <c r="AH884" s="299"/>
      <c r="AI884" s="90"/>
      <c r="AJ884" s="90"/>
      <c r="AK884" s="90"/>
      <c r="AL884" s="299"/>
      <c r="AM884" s="299"/>
      <c r="AN884" s="90"/>
      <c r="AO884" s="90"/>
      <c r="AP884" s="90"/>
      <c r="AQ884" s="299"/>
      <c r="AR884" s="299"/>
      <c r="AS884" s="90"/>
      <c r="AT884" s="90">
        <f>(AT850+AT851)/(AS850+AS851)-1</f>
        <v>0.1827956989</v>
      </c>
      <c r="AU884" s="90"/>
      <c r="AV884" s="299"/>
      <c r="AW884" s="299"/>
      <c r="AX884" s="90"/>
      <c r="AY884" s="90"/>
      <c r="AZ884" s="90"/>
      <c r="BA884" s="299"/>
      <c r="BB884" s="299"/>
      <c r="BC884" s="90"/>
      <c r="BD884" s="90"/>
      <c r="BE884" s="90"/>
      <c r="BF884" s="299"/>
      <c r="BG884" s="299"/>
      <c r="BH884" s="90"/>
      <c r="BI884" s="90"/>
      <c r="BJ884" s="90"/>
      <c r="BK884" s="299"/>
      <c r="BL884" s="299"/>
      <c r="BM884" s="90"/>
      <c r="BN884" s="90"/>
      <c r="BO884" s="90"/>
      <c r="BP884" s="299"/>
      <c r="BQ884" s="299"/>
      <c r="BR884" s="90"/>
      <c r="BS884" s="90"/>
      <c r="BT884" s="90"/>
      <c r="BU884" s="299"/>
      <c r="BV884" s="299"/>
      <c r="BW884" s="90"/>
      <c r="BX884" s="90"/>
      <c r="BY884" s="90"/>
      <c r="BZ884" s="301"/>
      <c r="CA884" s="299"/>
      <c r="CB884" s="90"/>
      <c r="CC884" s="90"/>
      <c r="CD884" s="90"/>
      <c r="CE884" s="301"/>
      <c r="CF884" s="299"/>
      <c r="CG884" s="90"/>
      <c r="CH884" s="90"/>
      <c r="CI884" s="90"/>
      <c r="CJ884" s="301"/>
      <c r="CK884" s="299"/>
      <c r="CL884" s="90"/>
      <c r="CM884" s="90"/>
      <c r="CN884" s="135"/>
      <c r="CO884" s="301"/>
      <c r="CP884" s="135"/>
      <c r="CQ884" s="90"/>
      <c r="CR884" s="90"/>
      <c r="CS884" s="90"/>
      <c r="CT884" s="301"/>
      <c r="CU884" s="299"/>
      <c r="CV884" s="90"/>
      <c r="CW884" s="90"/>
      <c r="CX884" s="90"/>
      <c r="CY884" s="301"/>
      <c r="CZ884" s="299"/>
      <c r="DA884" s="90"/>
      <c r="DB884" s="90"/>
      <c r="DC884" s="90"/>
      <c r="DD884" s="301"/>
      <c r="DE884" s="299"/>
      <c r="DF884" s="90"/>
      <c r="DG884" s="16"/>
      <c r="DH884" s="90"/>
      <c r="DI884" s="301"/>
      <c r="DJ884" s="137"/>
      <c r="DK884" s="135"/>
      <c r="DL884" s="135"/>
      <c r="DM884" s="90"/>
      <c r="DN884" s="301"/>
      <c r="DO884" s="299"/>
      <c r="DP884" s="90"/>
      <c r="DQ884" s="90"/>
      <c r="DR884" s="90"/>
      <c r="DS884" s="301"/>
      <c r="DT884" s="299"/>
      <c r="DU884" s="299"/>
      <c r="DV884" s="299"/>
      <c r="DW884" s="299"/>
      <c r="DX884" s="301"/>
      <c r="DY884" s="299"/>
      <c r="DZ884" s="299"/>
      <c r="EA884" s="299"/>
      <c r="EB884" s="299"/>
      <c r="EC884" s="301"/>
      <c r="ED884" s="299"/>
      <c r="EE884" s="299"/>
      <c r="EF884" s="299"/>
      <c r="EG884" s="299"/>
      <c r="EH884" s="301"/>
      <c r="EI884" s="389"/>
      <c r="EJ884" s="90"/>
      <c r="EK884" s="90"/>
      <c r="EL884" s="90"/>
      <c r="EM884" s="301"/>
      <c r="EN884" s="299"/>
      <c r="EO884" s="90"/>
      <c r="EP884" s="90"/>
      <c r="EQ884" s="90"/>
      <c r="ER884" s="301"/>
      <c r="ES884" s="299"/>
      <c r="ET884" s="90"/>
      <c r="EU884" s="90"/>
      <c r="EV884" s="90"/>
      <c r="EW884" s="301"/>
      <c r="EX884" s="299"/>
      <c r="EY884" s="90"/>
      <c r="EZ884" s="90"/>
      <c r="FA884" s="90"/>
      <c r="FB884" s="301"/>
      <c r="FC884" s="299"/>
      <c r="FD884" s="90"/>
      <c r="FE884" s="90"/>
      <c r="FF884" s="90"/>
      <c r="FG884" s="301"/>
      <c r="FH884" s="137"/>
      <c r="FI884" s="90"/>
      <c r="FJ884" s="90"/>
      <c r="FK884" s="299"/>
      <c r="FL884" s="299"/>
    </row>
    <row r="885" ht="12.75" hidden="1" customHeight="1" outlineLevel="2">
      <c r="A885" s="4"/>
      <c r="B885" s="4" t="str">
        <f t="shared" ref="B885:B887" si="4346">+B861</f>
        <v>   Microprocessor</v>
      </c>
      <c r="C885" s="4"/>
      <c r="D885" s="15"/>
      <c r="E885" s="15"/>
      <c r="F885" s="15"/>
      <c r="G885" s="15"/>
      <c r="H885" s="410"/>
      <c r="I885" s="15"/>
      <c r="J885" s="15"/>
      <c r="K885" s="15"/>
      <c r="L885" s="15"/>
      <c r="M885" s="410"/>
      <c r="N885" s="15"/>
      <c r="O885" s="15"/>
      <c r="P885" s="15"/>
      <c r="Q885" s="15"/>
      <c r="R885" s="410"/>
      <c r="S885" s="15"/>
      <c r="T885" s="15"/>
      <c r="U885" s="15"/>
      <c r="V885" s="15"/>
      <c r="W885" s="410"/>
      <c r="X885" s="15"/>
      <c r="Y885" s="15">
        <f t="shared" ref="Y885:AA885" si="4318">+Y849/X849-1</f>
        <v>0.036732476</v>
      </c>
      <c r="Z885" s="15">
        <f t="shared" si="4318"/>
        <v>0.03425346798</v>
      </c>
      <c r="AA885" s="15">
        <f t="shared" si="4318"/>
        <v>-0.02279347822</v>
      </c>
      <c r="AB885" s="410"/>
      <c r="AC885" s="15" t="str">
        <f>+AC849/AA849-1</f>
        <v>#ERROR!</v>
      </c>
      <c r="AD885" s="15" t="str">
        <f t="shared" ref="AD885:AF885" si="4319">+AD849/AC849-1</f>
        <v>#ERROR!</v>
      </c>
      <c r="AE885" s="15" t="str">
        <f t="shared" si="4319"/>
        <v>#ERROR!</v>
      </c>
      <c r="AF885" s="15" t="str">
        <f t="shared" si="4319"/>
        <v>#ERROR!</v>
      </c>
      <c r="AG885" s="410"/>
      <c r="AH885" s="15" t="str">
        <f>+AH849/AF849-1</f>
        <v>#ERROR!</v>
      </c>
      <c r="AI885" s="15">
        <f t="shared" ref="AI885:AK885" si="4320">+AI849/AH849-1</f>
        <v>-0.09115504683</v>
      </c>
      <c r="AJ885" s="15">
        <f t="shared" si="4320"/>
        <v>0.03457751317</v>
      </c>
      <c r="AK885" s="15">
        <f t="shared" si="4320"/>
        <v>0.09960159363</v>
      </c>
      <c r="AL885" s="410"/>
      <c r="AM885" s="15">
        <f>+AM849/AK849-1</f>
        <v>-0.02415458937</v>
      </c>
      <c r="AN885" s="15">
        <f t="shared" ref="AN885:AP885" si="4321">+AN849/AM849-1</f>
        <v>-0.003919141914</v>
      </c>
      <c r="AO885" s="15">
        <f t="shared" si="4321"/>
        <v>0.1799544419</v>
      </c>
      <c r="AP885" s="15">
        <f t="shared" si="4321"/>
        <v>0.1386451386</v>
      </c>
      <c r="AQ885" s="410"/>
      <c r="AR885" s="15">
        <f>+AR849/AP849-1</f>
        <v>-0.07829839704</v>
      </c>
      <c r="AS885" s="15">
        <f t="shared" ref="AS885:AU885" si="4322">+AS849/AR849-1</f>
        <v>-0.03829431438</v>
      </c>
      <c r="AT885" s="15">
        <f t="shared" si="4322"/>
        <v>0.03077725613</v>
      </c>
      <c r="AU885" s="15">
        <f t="shared" si="4322"/>
        <v>0.1477732794</v>
      </c>
      <c r="AV885" s="410"/>
      <c r="AW885" s="15" t="str">
        <f>+AW849/AU849-1</f>
        <v>#ERROR!</v>
      </c>
      <c r="AX885" s="15" t="str">
        <f t="shared" ref="AX885:AZ885" si="4323">+AX849/AW849-1</f>
        <v>#ERROR!</v>
      </c>
      <c r="AY885" s="15" t="str">
        <f t="shared" si="4323"/>
        <v>#ERROR!</v>
      </c>
      <c r="AZ885" s="15" t="str">
        <f t="shared" si="4323"/>
        <v>#ERROR!</v>
      </c>
      <c r="BA885" s="410"/>
      <c r="BB885" s="15" t="str">
        <f>+BB849/AZ849-1</f>
        <v>#ERROR!</v>
      </c>
      <c r="BC885" s="15" t="str">
        <f t="shared" ref="BC885:BE885" si="4324">+BC849/BB849-1</f>
        <v>#ERROR!</v>
      </c>
      <c r="BD885" s="15" t="str">
        <f t="shared" si="4324"/>
        <v>#ERROR!</v>
      </c>
      <c r="BE885" s="15" t="str">
        <f t="shared" si="4324"/>
        <v>#ERROR!</v>
      </c>
      <c r="BF885" s="410"/>
      <c r="BG885" s="15" t="str">
        <f>+BG849/BE849-1</f>
        <v>#ERROR!</v>
      </c>
      <c r="BH885" s="15" t="str">
        <f t="shared" ref="BH885:BJ885" si="4325">+BH849/BG849-1</f>
        <v>#ERROR!</v>
      </c>
      <c r="BI885" s="15" t="str">
        <f t="shared" si="4325"/>
        <v>#ERROR!</v>
      </c>
      <c r="BJ885" s="15" t="str">
        <f t="shared" si="4325"/>
        <v>#ERROR!</v>
      </c>
      <c r="BK885" s="410"/>
      <c r="BL885" s="15" t="str">
        <f>+BL849/BJ849-1</f>
        <v>#ERROR!</v>
      </c>
      <c r="BM885" s="15" t="str">
        <f t="shared" ref="BM885:BO885" si="4326">+BM849/BL849-1</f>
        <v>#ERROR!</v>
      </c>
      <c r="BN885" s="15" t="str">
        <f t="shared" si="4326"/>
        <v>#ERROR!</v>
      </c>
      <c r="BO885" s="15" t="str">
        <f t="shared" si="4326"/>
        <v>#ERROR!</v>
      </c>
      <c r="BP885" s="410"/>
      <c r="BQ885" s="15" t="str">
        <f>+BQ849/BO849-1</f>
        <v>#ERROR!</v>
      </c>
      <c r="BR885" s="15" t="str">
        <f t="shared" ref="BR885:BT885" si="4327">+BR849/BQ849-1</f>
        <v>#ERROR!</v>
      </c>
      <c r="BS885" s="15" t="str">
        <f t="shared" si="4327"/>
        <v>#ERROR!</v>
      </c>
      <c r="BT885" s="15" t="str">
        <f t="shared" si="4327"/>
        <v>#ERROR!</v>
      </c>
      <c r="BU885" s="410"/>
      <c r="BV885" s="15" t="str">
        <f>+BV849/BT849-1</f>
        <v>#ERROR!</v>
      </c>
      <c r="BW885" s="15" t="str">
        <f t="shared" ref="BW885:BY885" si="4328">+BW849/BV849-1</f>
        <v>#ERROR!</v>
      </c>
      <c r="BX885" s="15" t="str">
        <f t="shared" si="4328"/>
        <v>#ERROR!</v>
      </c>
      <c r="BY885" s="15" t="str">
        <f t="shared" si="4328"/>
        <v>#ERROR!</v>
      </c>
      <c r="BZ885" s="24"/>
      <c r="CA885" s="15" t="str">
        <f>+CA849/BY849-1</f>
        <v>#ERROR!</v>
      </c>
      <c r="CB885" s="15" t="str">
        <f t="shared" ref="CB885:CD885" si="4329">+CB849/CA849-1</f>
        <v>#ERROR!</v>
      </c>
      <c r="CC885" s="15" t="str">
        <f t="shared" si="4329"/>
        <v>#ERROR!</v>
      </c>
      <c r="CD885" s="15" t="str">
        <f t="shared" si="4329"/>
        <v>#ERROR!</v>
      </c>
      <c r="CE885" s="24"/>
      <c r="CF885" s="15" t="str">
        <f>+CF849/CD849-1</f>
        <v>#ERROR!</v>
      </c>
      <c r="CG885" s="15" t="str">
        <f t="shared" ref="CG885:CI885" si="4330">+CG849/CF849-1</f>
        <v>#ERROR!</v>
      </c>
      <c r="CH885" s="15" t="str">
        <f t="shared" si="4330"/>
        <v>#ERROR!</v>
      </c>
      <c r="CI885" s="15" t="str">
        <f t="shared" si="4330"/>
        <v>#ERROR!</v>
      </c>
      <c r="CJ885" s="24"/>
      <c r="CK885" s="15" t="str">
        <f>+CK849/CI849-1</f>
        <v>#ERROR!</v>
      </c>
      <c r="CL885" s="15" t="str">
        <f t="shared" ref="CL885:CN885" si="4331">+CL849/CK849-1</f>
        <v>#ERROR!</v>
      </c>
      <c r="CM885" s="15" t="str">
        <f t="shared" si="4331"/>
        <v>#ERROR!</v>
      </c>
      <c r="CN885" s="40" t="str">
        <f t="shared" si="4331"/>
        <v>#ERROR!</v>
      </c>
      <c r="CO885" s="24"/>
      <c r="CP885" s="40" t="str">
        <f>+CP849/CN849-1</f>
        <v>#ERROR!</v>
      </c>
      <c r="CQ885" s="15" t="str">
        <f t="shared" ref="CQ885:CS885" si="4332">+CQ849/CP849-1</f>
        <v>#ERROR!</v>
      </c>
      <c r="CR885" s="15" t="str">
        <f t="shared" si="4332"/>
        <v>#ERROR!</v>
      </c>
      <c r="CS885" s="15" t="str">
        <f t="shared" si="4332"/>
        <v>#ERROR!</v>
      </c>
      <c r="CT885" s="24"/>
      <c r="CU885" s="15" t="str">
        <f>+CU849/CS849-1</f>
        <v>#ERROR!</v>
      </c>
      <c r="CV885" s="15" t="str">
        <f t="shared" ref="CV885:CX885" si="4333">+CV849/CU849-1</f>
        <v>#ERROR!</v>
      </c>
      <c r="CW885" s="15" t="str">
        <f t="shared" si="4333"/>
        <v>#ERROR!</v>
      </c>
      <c r="CX885" s="15" t="str">
        <f t="shared" si="4333"/>
        <v>#ERROR!</v>
      </c>
      <c r="CY885" s="24"/>
      <c r="CZ885" s="15" t="str">
        <f>+CZ849/CX849-1</f>
        <v>#ERROR!</v>
      </c>
      <c r="DA885" s="15" t="str">
        <f t="shared" ref="DA885:DC885" si="4334">+DA849/CZ849-1</f>
        <v>#ERROR!</v>
      </c>
      <c r="DB885" s="15" t="str">
        <f t="shared" si="4334"/>
        <v>#ERROR!</v>
      </c>
      <c r="DC885" s="15" t="str">
        <f t="shared" si="4334"/>
        <v>#ERROR!</v>
      </c>
      <c r="DD885" s="24"/>
      <c r="DE885" s="15" t="str">
        <f>+DE849/DC849-1</f>
        <v>#ERROR!</v>
      </c>
      <c r="DF885" s="15" t="str">
        <f t="shared" ref="DF885:DH885" si="4335">+DF849/DE849-1</f>
        <v>#ERROR!</v>
      </c>
      <c r="DG885" s="40" t="str">
        <f t="shared" si="4335"/>
        <v>#ERROR!</v>
      </c>
      <c r="DH885" s="15" t="str">
        <f t="shared" si="4335"/>
        <v>#ERROR!</v>
      </c>
      <c r="DI885" s="24"/>
      <c r="DJ885" s="40" t="str">
        <f>+DJ849/DH849-1</f>
        <v>#ERROR!</v>
      </c>
      <c r="DK885" s="40" t="str">
        <f t="shared" ref="DK885:DM885" si="4336">+DK849/DJ849-1</f>
        <v>#ERROR!</v>
      </c>
      <c r="DL885" s="40" t="str">
        <f t="shared" si="4336"/>
        <v>#ERROR!</v>
      </c>
      <c r="DM885" s="15" t="str">
        <f t="shared" si="4336"/>
        <v>#ERROR!</v>
      </c>
      <c r="DN885" s="24"/>
      <c r="DO885" s="15" t="str">
        <f>+DO849/DM849-1</f>
        <v>#ERROR!</v>
      </c>
      <c r="DP885" s="15" t="str">
        <f t="shared" ref="DP885:DR885" si="4337">+DP849/DO849-1</f>
        <v>#ERROR!</v>
      </c>
      <c r="DQ885" s="15" t="str">
        <f t="shared" si="4337"/>
        <v>#ERROR!</v>
      </c>
      <c r="DR885" s="15" t="str">
        <f t="shared" si="4337"/>
        <v>#ERROR!</v>
      </c>
      <c r="DS885" s="24"/>
      <c r="DT885" s="15" t="str">
        <f>+DT849/DR849-1</f>
        <v>#ERROR!</v>
      </c>
      <c r="DU885" s="15" t="str">
        <f t="shared" ref="DU885:DW885" si="4338">+DU849/DT849-1</f>
        <v>#ERROR!</v>
      </c>
      <c r="DV885" s="15" t="str">
        <f t="shared" si="4338"/>
        <v>#ERROR!</v>
      </c>
      <c r="DW885" s="15" t="str">
        <f t="shared" si="4338"/>
        <v>#ERROR!</v>
      </c>
      <c r="DX885" s="24"/>
      <c r="DY885" s="15" t="str">
        <f>+DY849/DW849-1</f>
        <v>#ERROR!</v>
      </c>
      <c r="DZ885" s="15" t="str">
        <f t="shared" ref="DZ885:EB885" si="4339">+DZ849/DY849-1</f>
        <v>#ERROR!</v>
      </c>
      <c r="EA885" s="15" t="str">
        <f t="shared" si="4339"/>
        <v>#ERROR!</v>
      </c>
      <c r="EB885" s="15" t="str">
        <f t="shared" si="4339"/>
        <v>#ERROR!</v>
      </c>
      <c r="EC885" s="24"/>
      <c r="ED885" s="15" t="str">
        <f>+ED849/EB849-1</f>
        <v>#ERROR!</v>
      </c>
      <c r="EE885" s="15" t="str">
        <f t="shared" ref="EE885:EG885" si="4340">+EE849/ED849-1</f>
        <v>#ERROR!</v>
      </c>
      <c r="EF885" s="15" t="str">
        <f t="shared" si="4340"/>
        <v>#ERROR!</v>
      </c>
      <c r="EG885" s="15" t="str">
        <f t="shared" si="4340"/>
        <v>#ERROR!</v>
      </c>
      <c r="EH885" s="24"/>
      <c r="EI885" s="82" t="str">
        <f>+EI849/EG849-1</f>
        <v>#ERROR!</v>
      </c>
      <c r="EJ885" s="15" t="str">
        <f t="shared" ref="EJ885:EL885" si="4341">+EJ849/EI849-1</f>
        <v>#ERROR!</v>
      </c>
      <c r="EK885" s="15" t="str">
        <f t="shared" si="4341"/>
        <v>#ERROR!</v>
      </c>
      <c r="EL885" s="15" t="str">
        <f t="shared" si="4341"/>
        <v>#ERROR!</v>
      </c>
      <c r="EM885" s="24"/>
      <c r="EN885" s="15" t="str">
        <f>+EN849/EL849-1</f>
        <v>#ERROR!</v>
      </c>
      <c r="EO885" s="15" t="str">
        <f t="shared" ref="EO885:EQ885" si="4342">+EO849/EN849-1</f>
        <v>#ERROR!</v>
      </c>
      <c r="EP885" s="15" t="str">
        <f t="shared" si="4342"/>
        <v>#ERROR!</v>
      </c>
      <c r="EQ885" s="15" t="str">
        <f t="shared" si="4342"/>
        <v>#ERROR!</v>
      </c>
      <c r="ER885" s="24"/>
      <c r="ES885" s="15" t="str">
        <f>+ES849/EQ849-1</f>
        <v>#ERROR!</v>
      </c>
      <c r="ET885" s="15" t="str">
        <f t="shared" ref="ET885:EV885" si="4343">+ET849/ES849-1</f>
        <v>#ERROR!</v>
      </c>
      <c r="EU885" s="15" t="str">
        <f t="shared" si="4343"/>
        <v>#ERROR!</v>
      </c>
      <c r="EV885" s="15" t="str">
        <f t="shared" si="4343"/>
        <v>#ERROR!</v>
      </c>
      <c r="EW885" s="24"/>
      <c r="EX885" s="15" t="str">
        <f>+EX849/EV849-1</f>
        <v>#ERROR!</v>
      </c>
      <c r="EY885" s="15" t="str">
        <f t="shared" ref="EY885:FA885" si="4344">+EY849/EX849-1</f>
        <v>#ERROR!</v>
      </c>
      <c r="EZ885" s="15" t="str">
        <f t="shared" si="4344"/>
        <v>#ERROR!</v>
      </c>
      <c r="FA885" s="15" t="str">
        <f t="shared" si="4344"/>
        <v>#ERROR!</v>
      </c>
      <c r="FB885" s="24"/>
      <c r="FC885" s="15" t="str">
        <f>+FC849/FA849-1</f>
        <v>#ERROR!</v>
      </c>
      <c r="FD885" s="15" t="str">
        <f t="shared" ref="FD885:FF885" si="4345">+FD849/FC849-1</f>
        <v>#ERROR!</v>
      </c>
      <c r="FE885" s="15" t="str">
        <f t="shared" si="4345"/>
        <v>#ERROR!</v>
      </c>
      <c r="FF885" s="15" t="str">
        <f t="shared" si="4345"/>
        <v>#ERROR!</v>
      </c>
      <c r="FG885" s="24"/>
      <c r="FH885" s="104"/>
      <c r="FI885" s="15"/>
      <c r="FJ885" s="15"/>
      <c r="FK885" s="410"/>
      <c r="FL885" s="15"/>
    </row>
    <row r="886" ht="12.75" hidden="1" customHeight="1" outlineLevel="2">
      <c r="A886" s="4"/>
      <c r="B886" s="4" t="str">
        <f t="shared" si="4346"/>
        <v>   Chipset</v>
      </c>
      <c r="C886" s="4"/>
      <c r="D886" s="15"/>
      <c r="E886" s="15"/>
      <c r="F886" s="15"/>
      <c r="G886" s="15"/>
      <c r="H886" s="410"/>
      <c r="I886" s="15"/>
      <c r="J886" s="15"/>
      <c r="K886" s="15"/>
      <c r="L886" s="15"/>
      <c r="M886" s="410"/>
      <c r="N886" s="15"/>
      <c r="O886" s="15"/>
      <c r="P886" s="15"/>
      <c r="Q886" s="15"/>
      <c r="R886" s="410"/>
      <c r="S886" s="15"/>
      <c r="T886" s="15"/>
      <c r="U886" s="15"/>
      <c r="V886" s="15"/>
      <c r="W886" s="410"/>
      <c r="X886" s="15"/>
      <c r="Y886" s="15">
        <v>-0.02</v>
      </c>
      <c r="Z886" s="15">
        <v>0.07</v>
      </c>
      <c r="AA886" s="15">
        <v>-0.05</v>
      </c>
      <c r="AB886" s="410"/>
      <c r="AC886" s="15">
        <v>-0.25</v>
      </c>
      <c r="AD886" s="15">
        <v>0.06</v>
      </c>
      <c r="AE886" s="15">
        <v>0.09</v>
      </c>
      <c r="AF886" s="15">
        <v>0.035</v>
      </c>
      <c r="AG886" s="410"/>
      <c r="AH886" s="15">
        <v>-0.0635</v>
      </c>
      <c r="AI886" s="15">
        <v>-0.15</v>
      </c>
      <c r="AJ886" s="15">
        <v>0.025</v>
      </c>
      <c r="AK886" s="15">
        <v>0.075</v>
      </c>
      <c r="AL886" s="410"/>
      <c r="AM886" s="15">
        <f t="shared" ref="AM886:AM887" si="4372">AM850/AK850-1</f>
        <v>0.06308837994</v>
      </c>
      <c r="AN886" s="15">
        <f t="shared" ref="AN886:AP886" si="4347">AN850/AM850-1</f>
        <v>0.0798308221</v>
      </c>
      <c r="AO886" s="15">
        <f t="shared" si="4347"/>
        <v>0.1822062424</v>
      </c>
      <c r="AP886" s="15">
        <f t="shared" si="4347"/>
        <v>0.009460456328</v>
      </c>
      <c r="AQ886" s="410"/>
      <c r="AR886" s="15">
        <f t="shared" ref="AR886:AR887" si="4374">AR850/AP850-1</f>
        <v>-0.07051282051</v>
      </c>
      <c r="AS886" s="15">
        <f t="shared" ref="AS886:AU886" si="4348">AS850/AR850-1</f>
        <v>-0.03034482759</v>
      </c>
      <c r="AT886" s="15">
        <f t="shared" si="4348"/>
        <v>0.1479374111</v>
      </c>
      <c r="AU886" s="15">
        <f t="shared" si="4348"/>
        <v>0.1524163569</v>
      </c>
      <c r="AV886" s="410"/>
      <c r="AW886" s="15">
        <f t="shared" ref="AW886:AW887" si="4376">AW850/AU850-1</f>
        <v>-0.0576344086</v>
      </c>
      <c r="AX886" s="15">
        <f t="shared" ref="AX886:AZ886" si="4349">AX850/AW850-1</f>
        <v>0.02555910543</v>
      </c>
      <c r="AY886" s="15">
        <f t="shared" si="4349"/>
        <v>0.06542056075</v>
      </c>
      <c r="AZ886" s="15">
        <f t="shared" si="4349"/>
        <v>0.05827067669</v>
      </c>
      <c r="BA886" s="410"/>
      <c r="BB886" s="15">
        <f t="shared" ref="BB886:BB887" si="4378">BB850/AZ850-1</f>
        <v>-0.130451944</v>
      </c>
      <c r="BC886" s="15">
        <f t="shared" ref="BC886:BE886" si="4350">BC850/BB850-1</f>
        <v>-0.07563549705</v>
      </c>
      <c r="BD886" s="15">
        <f t="shared" si="4350"/>
        <v>0.1088944816</v>
      </c>
      <c r="BE886" s="15">
        <f t="shared" si="4350"/>
        <v>0.09006365901</v>
      </c>
      <c r="BF886" s="410"/>
      <c r="BG886" s="15">
        <f t="shared" ref="BG886:BG887" si="4380">BG850/BE850-1</f>
        <v>-0.04885232582</v>
      </c>
      <c r="BH886" s="15">
        <f t="shared" ref="BH886:BJ886" si="4351">BH850/BG850-1</f>
        <v>0.1801388147</v>
      </c>
      <c r="BI886" s="15">
        <f t="shared" si="4351"/>
        <v>0.2648389432</v>
      </c>
      <c r="BJ886" s="15">
        <f t="shared" si="4351"/>
        <v>0.02743400816</v>
      </c>
      <c r="BK886" s="410"/>
      <c r="BL886" s="15">
        <f>BL850/BJ850-1</f>
        <v>-0.0734899913</v>
      </c>
      <c r="BM886" s="15">
        <f t="shared" ref="BM886:BO886" si="4352">BM850/BL850-1</f>
        <v>0.0145036447</v>
      </c>
      <c r="BN886" s="15">
        <f t="shared" si="4352"/>
        <v>0.04437037037</v>
      </c>
      <c r="BO886" s="15">
        <f t="shared" si="4352"/>
        <v>-0.2723952053</v>
      </c>
      <c r="BP886" s="410"/>
      <c r="BQ886" s="15">
        <f>BQ850/BO850-1</f>
        <v>-0.1776088122</v>
      </c>
      <c r="BR886" s="15">
        <f t="shared" ref="BR886:BT886" si="4353">BR850/BQ850-1</f>
        <v>0.2466070053</v>
      </c>
      <c r="BS886" s="15">
        <f t="shared" si="4353"/>
        <v>0.2642388514</v>
      </c>
      <c r="BT886" s="15" t="str">
        <f t="shared" si="4353"/>
        <v>#ERROR!</v>
      </c>
      <c r="BU886" s="410"/>
      <c r="BV886" s="15" t="str">
        <f>BV850/BT850-1</f>
        <v>#ERROR!</v>
      </c>
      <c r="BW886" s="15" t="str">
        <f t="shared" ref="BW886:BY886" si="4354">BW850/BV850-1</f>
        <v>#ERROR!</v>
      </c>
      <c r="BX886" s="15" t="str">
        <f t="shared" si="4354"/>
        <v>#ERROR!</v>
      </c>
      <c r="BY886" s="15" t="str">
        <f t="shared" si="4354"/>
        <v>#ERROR!</v>
      </c>
      <c r="BZ886" s="24"/>
      <c r="CA886" s="15" t="str">
        <f>CA850/BY850-1</f>
        <v>#ERROR!</v>
      </c>
      <c r="CB886" s="15" t="str">
        <f t="shared" ref="CB886:CD886" si="4355">CB850/CA850-1</f>
        <v>#ERROR!</v>
      </c>
      <c r="CC886" s="15" t="str">
        <f t="shared" si="4355"/>
        <v>#ERROR!</v>
      </c>
      <c r="CD886" s="15" t="str">
        <f t="shared" si="4355"/>
        <v>#ERROR!</v>
      </c>
      <c r="CE886" s="24"/>
      <c r="CF886" s="15" t="str">
        <f>CF850/CD850-1</f>
        <v>#ERROR!</v>
      </c>
      <c r="CG886" s="15" t="str">
        <f t="shared" ref="CG886:CI886" si="4356">CG850/CF850-1</f>
        <v>#ERROR!</v>
      </c>
      <c r="CH886" s="15" t="str">
        <f t="shared" si="4356"/>
        <v>#ERROR!</v>
      </c>
      <c r="CI886" s="15" t="str">
        <f t="shared" si="4356"/>
        <v>#ERROR!</v>
      </c>
      <c r="CJ886" s="24"/>
      <c r="CK886" s="15" t="str">
        <f>CK850/CI850-1</f>
        <v>#ERROR!</v>
      </c>
      <c r="CL886" s="15" t="str">
        <f t="shared" ref="CL886:CN886" si="4357">CL850/CK850-1</f>
        <v>#ERROR!</v>
      </c>
      <c r="CM886" s="15" t="str">
        <f t="shared" si="4357"/>
        <v>#ERROR!</v>
      </c>
      <c r="CN886" s="40" t="str">
        <f t="shared" si="4357"/>
        <v>#ERROR!</v>
      </c>
      <c r="CO886" s="24"/>
      <c r="CP886" s="40" t="str">
        <f>CP850/CN850-1</f>
        <v>#ERROR!</v>
      </c>
      <c r="CQ886" s="15" t="str">
        <f t="shared" ref="CQ886:CS886" si="4358">CQ850/CP850-1</f>
        <v>#ERROR!</v>
      </c>
      <c r="CR886" s="15" t="str">
        <f t="shared" si="4358"/>
        <v>#ERROR!</v>
      </c>
      <c r="CS886" s="15" t="str">
        <f t="shared" si="4358"/>
        <v>#ERROR!</v>
      </c>
      <c r="CT886" s="24"/>
      <c r="CU886" s="15" t="str">
        <f>CU850/CS850-1</f>
        <v>#ERROR!</v>
      </c>
      <c r="CV886" s="15" t="str">
        <f t="shared" ref="CV886:CX886" si="4359">CV850/CU850-1</f>
        <v>#ERROR!</v>
      </c>
      <c r="CW886" s="15" t="str">
        <f t="shared" si="4359"/>
        <v>#ERROR!</v>
      </c>
      <c r="CX886" s="15" t="str">
        <f t="shared" si="4359"/>
        <v>#ERROR!</v>
      </c>
      <c r="CY886" s="24"/>
      <c r="CZ886" s="15" t="str">
        <f>CZ850/CX850-1</f>
        <v>#ERROR!</v>
      </c>
      <c r="DA886" s="15" t="str">
        <f t="shared" ref="DA886:DC886" si="4360">DA850/CZ850-1</f>
        <v>#ERROR!</v>
      </c>
      <c r="DB886" s="15" t="str">
        <f t="shared" si="4360"/>
        <v>#ERROR!</v>
      </c>
      <c r="DC886" s="15" t="str">
        <f t="shared" si="4360"/>
        <v>#ERROR!</v>
      </c>
      <c r="DD886" s="24"/>
      <c r="DE886" s="15" t="str">
        <f>DE850/DC850-1</f>
        <v>#ERROR!</v>
      </c>
      <c r="DF886" s="15" t="str">
        <f t="shared" ref="DF886:DH886" si="4361">DF850/DE850-1</f>
        <v>#ERROR!</v>
      </c>
      <c r="DG886" s="40" t="str">
        <f t="shared" si="4361"/>
        <v>#ERROR!</v>
      </c>
      <c r="DH886" s="15" t="str">
        <f t="shared" si="4361"/>
        <v>#ERROR!</v>
      </c>
      <c r="DI886" s="24"/>
      <c r="DJ886" s="40" t="str">
        <f>DJ850/DH850-1</f>
        <v>#ERROR!</v>
      </c>
      <c r="DK886" s="40" t="str">
        <f t="shared" ref="DK886:DM886" si="4362">DK850/DJ850-1</f>
        <v>#ERROR!</v>
      </c>
      <c r="DL886" s="40" t="str">
        <f t="shared" si="4362"/>
        <v>#ERROR!</v>
      </c>
      <c r="DM886" s="15" t="str">
        <f t="shared" si="4362"/>
        <v>#ERROR!</v>
      </c>
      <c r="DN886" s="24"/>
      <c r="DO886" s="15" t="str">
        <f>DO850/DM850-1</f>
        <v>#ERROR!</v>
      </c>
      <c r="DP886" s="15" t="str">
        <f t="shared" ref="DP886:DR886" si="4363">DP850/DO850-1</f>
        <v>#ERROR!</v>
      </c>
      <c r="DQ886" s="15" t="str">
        <f t="shared" si="4363"/>
        <v>#ERROR!</v>
      </c>
      <c r="DR886" s="15" t="str">
        <f t="shared" si="4363"/>
        <v>#ERROR!</v>
      </c>
      <c r="DS886" s="24"/>
      <c r="DT886" s="15" t="str">
        <f>DT850/DR850-1</f>
        <v>#ERROR!</v>
      </c>
      <c r="DU886" s="15" t="str">
        <f t="shared" ref="DU886:DW886" si="4364">DU850/DT850-1</f>
        <v>#ERROR!</v>
      </c>
      <c r="DV886" s="15" t="str">
        <f t="shared" si="4364"/>
        <v>#ERROR!</v>
      </c>
      <c r="DW886" s="15" t="str">
        <f t="shared" si="4364"/>
        <v>#ERROR!</v>
      </c>
      <c r="DX886" s="24"/>
      <c r="DY886" s="15" t="str">
        <f>DY850/DW850-1</f>
        <v>#ERROR!</v>
      </c>
      <c r="DZ886" s="15" t="str">
        <f t="shared" ref="DZ886:EB886" si="4365">DZ850/DY850-1</f>
        <v>#ERROR!</v>
      </c>
      <c r="EA886" s="15" t="str">
        <f t="shared" si="4365"/>
        <v>#ERROR!</v>
      </c>
      <c r="EB886" s="15" t="str">
        <f t="shared" si="4365"/>
        <v>#ERROR!</v>
      </c>
      <c r="EC886" s="24"/>
      <c r="ED886" s="15" t="str">
        <f>ED850/EB850-1</f>
        <v>#ERROR!</v>
      </c>
      <c r="EE886" s="15" t="str">
        <f t="shared" ref="EE886:EG886" si="4366">EE850/ED850-1</f>
        <v>#ERROR!</v>
      </c>
      <c r="EF886" s="15" t="str">
        <f t="shared" si="4366"/>
        <v>#ERROR!</v>
      </c>
      <c r="EG886" s="15" t="str">
        <f t="shared" si="4366"/>
        <v>#ERROR!</v>
      </c>
      <c r="EH886" s="24"/>
      <c r="EI886" s="82" t="str">
        <f>EI850/EG850-1</f>
        <v>#ERROR!</v>
      </c>
      <c r="EJ886" s="15" t="str">
        <f t="shared" ref="EJ886:EL886" si="4367">EJ850/EI850-1</f>
        <v>#ERROR!</v>
      </c>
      <c r="EK886" s="15" t="str">
        <f t="shared" si="4367"/>
        <v>#ERROR!</v>
      </c>
      <c r="EL886" s="15" t="str">
        <f t="shared" si="4367"/>
        <v>#ERROR!</v>
      </c>
      <c r="EM886" s="24"/>
      <c r="EN886" s="15" t="str">
        <f>EN850/EL850-1</f>
        <v>#ERROR!</v>
      </c>
      <c r="EO886" s="15" t="str">
        <f t="shared" ref="EO886:EQ886" si="4368">EO850/EN850-1</f>
        <v>#ERROR!</v>
      </c>
      <c r="EP886" s="15" t="str">
        <f t="shared" si="4368"/>
        <v>#ERROR!</v>
      </c>
      <c r="EQ886" s="15" t="str">
        <f t="shared" si="4368"/>
        <v>#ERROR!</v>
      </c>
      <c r="ER886" s="24"/>
      <c r="ES886" s="15" t="str">
        <f>ES850/EQ850-1</f>
        <v>#ERROR!</v>
      </c>
      <c r="ET886" s="15" t="str">
        <f t="shared" ref="ET886:EV886" si="4369">ET850/ES850-1</f>
        <v>#ERROR!</v>
      </c>
      <c r="EU886" s="15" t="str">
        <f t="shared" si="4369"/>
        <v>#ERROR!</v>
      </c>
      <c r="EV886" s="15" t="str">
        <f t="shared" si="4369"/>
        <v>#ERROR!</v>
      </c>
      <c r="EW886" s="24"/>
      <c r="EX886" s="15" t="str">
        <f>EX850/EV850-1</f>
        <v>#ERROR!</v>
      </c>
      <c r="EY886" s="15" t="str">
        <f t="shared" ref="EY886:FA886" si="4370">EY850/EX850-1</f>
        <v>#ERROR!</v>
      </c>
      <c r="EZ886" s="15" t="str">
        <f t="shared" si="4370"/>
        <v>#ERROR!</v>
      </c>
      <c r="FA886" s="15" t="str">
        <f t="shared" si="4370"/>
        <v>#ERROR!</v>
      </c>
      <c r="FB886" s="24"/>
      <c r="FC886" s="15" t="str">
        <f>FC850/FA850-1</f>
        <v>#ERROR!</v>
      </c>
      <c r="FD886" s="15" t="str">
        <f t="shared" ref="FD886:FF886" si="4371">FD850/FC850-1</f>
        <v>#ERROR!</v>
      </c>
      <c r="FE886" s="15" t="str">
        <f t="shared" si="4371"/>
        <v>#ERROR!</v>
      </c>
      <c r="FF886" s="15" t="str">
        <f t="shared" si="4371"/>
        <v>#ERROR!</v>
      </c>
      <c r="FG886" s="24"/>
      <c r="FH886" s="104"/>
      <c r="FI886" s="15"/>
      <c r="FJ886" s="15"/>
      <c r="FK886" s="410"/>
      <c r="FL886" s="15"/>
    </row>
    <row r="887" ht="12.75" hidden="1" customHeight="1" outlineLevel="2">
      <c r="A887" s="4"/>
      <c r="B887" s="4" t="str">
        <f t="shared" si="4346"/>
        <v>   Motherboard</v>
      </c>
      <c r="C887" s="4"/>
      <c r="D887" s="15"/>
      <c r="E887" s="15"/>
      <c r="F887" s="15"/>
      <c r="G887" s="315"/>
      <c r="H887" s="410"/>
      <c r="I887" s="15"/>
      <c r="J887" s="15"/>
      <c r="K887" s="15"/>
      <c r="L887" s="315"/>
      <c r="M887" s="410"/>
      <c r="N887" s="15"/>
      <c r="O887" s="15"/>
      <c r="P887" s="15"/>
      <c r="Q887" s="315"/>
      <c r="R887" s="410"/>
      <c r="S887" s="15"/>
      <c r="T887" s="15"/>
      <c r="U887" s="15"/>
      <c r="V887" s="315"/>
      <c r="W887" s="410"/>
      <c r="X887" s="15"/>
      <c r="Y887" s="15">
        <v>-0.03</v>
      </c>
      <c r="Z887" s="15">
        <v>0.1</v>
      </c>
      <c r="AA887" s="315">
        <v>-0.04</v>
      </c>
      <c r="AB887" s="410"/>
      <c r="AC887" s="15">
        <v>-0.3</v>
      </c>
      <c r="AD887" s="15">
        <v>-0.15</v>
      </c>
      <c r="AE887" s="15">
        <v>0.08</v>
      </c>
      <c r="AF887" s="315">
        <v>0.04</v>
      </c>
      <c r="AG887" s="410"/>
      <c r="AH887" s="15">
        <v>0.02</v>
      </c>
      <c r="AI887" s="15">
        <v>-0.1</v>
      </c>
      <c r="AJ887" s="15">
        <v>0.0</v>
      </c>
      <c r="AK887" s="315">
        <v>0.075</v>
      </c>
      <c r="AL887" s="410"/>
      <c r="AM887" s="15">
        <f t="shared" si="4372"/>
        <v>-0.2148269506</v>
      </c>
      <c r="AN887" s="15">
        <f t="shared" ref="AN887:AP887" si="4373">AN851/AM851-1</f>
        <v>0.1424100156</v>
      </c>
      <c r="AO887" s="15">
        <f t="shared" si="4373"/>
        <v>0.04825913242</v>
      </c>
      <c r="AP887" s="315">
        <f t="shared" si="4373"/>
        <v>0.09716588168</v>
      </c>
      <c r="AQ887" s="410"/>
      <c r="AR887" s="15">
        <f t="shared" si="4374"/>
        <v>-0.205955335</v>
      </c>
      <c r="AS887" s="15">
        <f t="shared" ref="AS887:AU887" si="4375">AS851/AR851-1</f>
        <v>0</v>
      </c>
      <c r="AT887" s="15">
        <f t="shared" si="4375"/>
        <v>0.259375</v>
      </c>
      <c r="AU887" s="315">
        <f t="shared" si="4375"/>
        <v>0.2307692308</v>
      </c>
      <c r="AV887" s="410"/>
      <c r="AW887" s="15">
        <f t="shared" si="4376"/>
        <v>0.1427419355</v>
      </c>
      <c r="AX887" s="15">
        <f t="shared" ref="AX887:AZ887" si="4377">AX851/AW851-1</f>
        <v>-0.01340860974</v>
      </c>
      <c r="AY887" s="15">
        <f t="shared" si="4377"/>
        <v>0.02575107296</v>
      </c>
      <c r="AZ887" s="315">
        <f t="shared" si="4377"/>
        <v>0.02928870293</v>
      </c>
      <c r="BA887" s="410"/>
      <c r="BB887" s="15">
        <f t="shared" si="4378"/>
        <v>-0.1497289973</v>
      </c>
      <c r="BC887" s="15">
        <f t="shared" ref="BC887:BE887" si="4379">BC851/BB851-1</f>
        <v>0.1500996016</v>
      </c>
      <c r="BD887" s="15">
        <f t="shared" si="4379"/>
        <v>0.1106780982</v>
      </c>
      <c r="BE887" s="315">
        <f t="shared" si="4379"/>
        <v>0.1210136452</v>
      </c>
      <c r="BF887" s="410"/>
      <c r="BG887" s="15">
        <f t="shared" si="4380"/>
        <v>-0.004242887946</v>
      </c>
      <c r="BH887" s="15">
        <f t="shared" ref="BH887:BJ887" si="4381">BH851/BG851-1</f>
        <v>-0.1771444538</v>
      </c>
      <c r="BI887" s="15">
        <f t="shared" si="4381"/>
        <v>0.06774193548</v>
      </c>
      <c r="BJ887" s="315">
        <f t="shared" si="4381"/>
        <v>0.009619971379</v>
      </c>
      <c r="BK887" s="410"/>
      <c r="BL887" s="15">
        <v>-0.1</v>
      </c>
      <c r="BM887" s="15">
        <v>-0.07</v>
      </c>
      <c r="BN887" s="15">
        <v>0.19</v>
      </c>
      <c r="BO887" s="315">
        <v>0.12</v>
      </c>
      <c r="BP887" s="410"/>
      <c r="BQ887" s="15">
        <v>-0.1</v>
      </c>
      <c r="BR887" s="15">
        <v>-0.07</v>
      </c>
      <c r="BS887" s="15">
        <v>-0.07</v>
      </c>
      <c r="BT887" s="315">
        <v>0.12</v>
      </c>
      <c r="BU887" s="410"/>
      <c r="BV887" s="15">
        <v>-0.1</v>
      </c>
      <c r="BW887" s="15">
        <v>-0.07</v>
      </c>
      <c r="BX887" s="15">
        <v>0.19</v>
      </c>
      <c r="BY887" s="315">
        <v>0.12</v>
      </c>
      <c r="BZ887" s="24"/>
      <c r="CA887" s="15">
        <v>-0.1</v>
      </c>
      <c r="CB887" s="15">
        <v>-0.07</v>
      </c>
      <c r="CC887" s="15">
        <v>0.19</v>
      </c>
      <c r="CD887" s="315">
        <v>0.12</v>
      </c>
      <c r="CE887" s="24"/>
      <c r="CF887" s="15">
        <v>-0.1</v>
      </c>
      <c r="CG887" s="15">
        <v>-0.07</v>
      </c>
      <c r="CH887" s="15">
        <v>0.19</v>
      </c>
      <c r="CI887" s="315">
        <v>0.12</v>
      </c>
      <c r="CJ887" s="24"/>
      <c r="CK887" s="15">
        <v>-0.1</v>
      </c>
      <c r="CL887" s="15">
        <v>-0.07</v>
      </c>
      <c r="CM887" s="15">
        <v>0.19</v>
      </c>
      <c r="CN887" s="365">
        <v>0.12</v>
      </c>
      <c r="CO887" s="24"/>
      <c r="CP887" s="365">
        <v>-0.1</v>
      </c>
      <c r="CQ887" s="15">
        <v>-0.07</v>
      </c>
      <c r="CR887" s="15">
        <v>0.19</v>
      </c>
      <c r="CS887" s="315">
        <v>0.12</v>
      </c>
      <c r="CT887" s="24"/>
      <c r="CU887" s="15">
        <v>-0.1</v>
      </c>
      <c r="CV887" s="15">
        <v>-0.07</v>
      </c>
      <c r="CW887" s="15">
        <v>0.19</v>
      </c>
      <c r="CX887" s="315">
        <v>0.12</v>
      </c>
      <c r="CY887" s="24"/>
      <c r="CZ887" s="15">
        <v>-0.1</v>
      </c>
      <c r="DA887" s="15">
        <v>-0.07</v>
      </c>
      <c r="DB887" s="15">
        <v>0.19</v>
      </c>
      <c r="DC887" s="315">
        <v>0.12</v>
      </c>
      <c r="DD887" s="24"/>
      <c r="DE887" s="15">
        <v>-0.1</v>
      </c>
      <c r="DF887" s="15">
        <v>-0.07</v>
      </c>
      <c r="DG887" s="40">
        <v>0.19</v>
      </c>
      <c r="DH887" s="315">
        <v>0.12</v>
      </c>
      <c r="DI887" s="24"/>
      <c r="DJ887" s="40">
        <v>-0.1</v>
      </c>
      <c r="DK887" s="40">
        <v>-0.07</v>
      </c>
      <c r="DL887" s="40">
        <v>0.19</v>
      </c>
      <c r="DM887" s="315">
        <v>0.12</v>
      </c>
      <c r="DN887" s="24"/>
      <c r="DO887" s="15">
        <v>-0.1</v>
      </c>
      <c r="DP887" s="15">
        <v>-0.07</v>
      </c>
      <c r="DQ887" s="15">
        <v>0.19</v>
      </c>
      <c r="DR887" s="15">
        <v>0.12</v>
      </c>
      <c r="DS887" s="24"/>
      <c r="DT887" s="15">
        <v>-0.1</v>
      </c>
      <c r="DU887" s="15">
        <v>-0.07</v>
      </c>
      <c r="DV887" s="15">
        <v>0.19</v>
      </c>
      <c r="DW887" s="15">
        <v>0.12</v>
      </c>
      <c r="DX887" s="24"/>
      <c r="DY887" s="15">
        <v>-0.1</v>
      </c>
      <c r="DZ887" s="15">
        <v>-0.07</v>
      </c>
      <c r="EA887" s="15">
        <v>0.19</v>
      </c>
      <c r="EB887" s="15">
        <v>0.12</v>
      </c>
      <c r="EC887" s="24"/>
      <c r="ED887" s="15">
        <v>-0.1</v>
      </c>
      <c r="EE887" s="15">
        <v>-0.07</v>
      </c>
      <c r="EF887" s="15">
        <v>0.19</v>
      </c>
      <c r="EG887" s="15">
        <v>0.12</v>
      </c>
      <c r="EH887" s="24"/>
      <c r="EI887" s="314">
        <v>-0.1</v>
      </c>
      <c r="EJ887" s="15">
        <v>-0.07</v>
      </c>
      <c r="EK887" s="15">
        <v>0.19</v>
      </c>
      <c r="EL887" s="315">
        <v>0.12</v>
      </c>
      <c r="EM887" s="24"/>
      <c r="EN887" s="15">
        <v>-0.1</v>
      </c>
      <c r="EO887" s="15">
        <v>-0.07</v>
      </c>
      <c r="EP887" s="15">
        <v>0.19</v>
      </c>
      <c r="EQ887" s="315">
        <v>0.12</v>
      </c>
      <c r="ER887" s="24"/>
      <c r="ES887" s="15">
        <v>-0.1</v>
      </c>
      <c r="ET887" s="15">
        <v>-0.07</v>
      </c>
      <c r="EU887" s="15">
        <v>0.19</v>
      </c>
      <c r="EV887" s="315">
        <v>0.12</v>
      </c>
      <c r="EW887" s="24"/>
      <c r="EX887" s="15">
        <v>-0.1</v>
      </c>
      <c r="EY887" s="15">
        <v>-0.07</v>
      </c>
      <c r="EZ887" s="15">
        <v>0.19</v>
      </c>
      <c r="FA887" s="315">
        <v>0.12</v>
      </c>
      <c r="FB887" s="24"/>
      <c r="FC887" s="15">
        <v>-0.1</v>
      </c>
      <c r="FD887" s="15">
        <v>-0.07</v>
      </c>
      <c r="FE887" s="15">
        <v>0.19</v>
      </c>
      <c r="FF887" s="315">
        <v>0.12</v>
      </c>
      <c r="FG887" s="24"/>
      <c r="FH887" s="104"/>
      <c r="FI887" s="15"/>
      <c r="FJ887" s="315"/>
      <c r="FK887" s="410"/>
      <c r="FL887" s="15"/>
    </row>
    <row r="888" ht="12.75" hidden="1" customHeight="1" outlineLevel="2">
      <c r="A888" s="45"/>
      <c r="B888" s="45" t="str">
        <f>B852</f>
        <v>Architecture group - IAG</v>
      </c>
      <c r="C888" s="45"/>
      <c r="D888" s="410"/>
      <c r="E888" s="410"/>
      <c r="F888" s="410"/>
      <c r="G888" s="410"/>
      <c r="H888" s="410"/>
      <c r="I888" s="410"/>
      <c r="J888" s="410"/>
      <c r="K888" s="410"/>
      <c r="L888" s="410"/>
      <c r="M888" s="410"/>
      <c r="N888" s="410"/>
      <c r="O888" s="410">
        <f t="shared" ref="O888:Q888" si="4382">+O852/N852-1</f>
        <v>0.06266477388</v>
      </c>
      <c r="P888" s="410">
        <f t="shared" si="4382"/>
        <v>0.1895038168</v>
      </c>
      <c r="Q888" s="410">
        <f t="shared" si="4382"/>
        <v>0.1950906466</v>
      </c>
      <c r="R888" s="410"/>
      <c r="S888" s="410">
        <f>+S852/Q852-1</f>
        <v>-0.1369311317</v>
      </c>
      <c r="T888" s="410">
        <f t="shared" ref="T888:V888" si="4383">+T852/S852-1</f>
        <v>-0.1353243117</v>
      </c>
      <c r="U888" s="410">
        <f t="shared" si="4383"/>
        <v>0.1275409246</v>
      </c>
      <c r="V888" s="410">
        <f t="shared" si="4383"/>
        <v>0.1108806637</v>
      </c>
      <c r="W888" s="410"/>
      <c r="X888" s="410">
        <f>+X852/V852-1</f>
        <v>-0.05486141031</v>
      </c>
      <c r="Y888" s="410">
        <f t="shared" ref="Y888:AA888" si="4384">+Y852/X852-1</f>
        <v>0.02704756116</v>
      </c>
      <c r="Z888" s="410">
        <f t="shared" si="4384"/>
        <v>0.04127829561</v>
      </c>
      <c r="AA888" s="410">
        <f t="shared" si="4384"/>
        <v>-0.02657004831</v>
      </c>
      <c r="AB888" s="410"/>
      <c r="AC888" s="410">
        <f>+AC852/AA852-1</f>
        <v>-0.2507663115</v>
      </c>
      <c r="AD888" s="410">
        <f t="shared" ref="AD888:AF888" si="4385">+AD852/AC852-1</f>
        <v>-0.001168907072</v>
      </c>
      <c r="AE888" s="410">
        <f t="shared" si="4385"/>
        <v>0.05188219232</v>
      </c>
      <c r="AF888" s="410">
        <f t="shared" si="4385"/>
        <v>0.07417022066</v>
      </c>
      <c r="AG888" s="410"/>
      <c r="AH888" s="410">
        <f>+AH852/AF852-1</f>
        <v>-0.004315553254</v>
      </c>
      <c r="AI888" s="410">
        <f t="shared" ref="AI888:AK888" si="4386">+AI852/AH852-1</f>
        <v>-0.09622052705</v>
      </c>
      <c r="AJ888" s="410">
        <f t="shared" si="4386"/>
        <v>0.03721465567</v>
      </c>
      <c r="AK888" s="410">
        <f t="shared" si="4386"/>
        <v>0.09635657481</v>
      </c>
      <c r="AL888" s="410"/>
      <c r="AM888" s="410">
        <f>+AM852/AK852-1</f>
        <v>-0.02834008097</v>
      </c>
      <c r="AN888" s="410">
        <f t="shared" ref="AN888:AP888" si="4387">+AN852/AM852-1</f>
        <v>0.01267361111</v>
      </c>
      <c r="AO888" s="410">
        <f t="shared" si="4387"/>
        <v>0.1722955597</v>
      </c>
      <c r="AP888" s="410">
        <f t="shared" si="4387"/>
        <v>0.1218192454</v>
      </c>
      <c r="AQ888" s="410"/>
      <c r="AR888" s="410">
        <f>+AR852/AP852-1</f>
        <v>-0.08421327076</v>
      </c>
      <c r="AS888" s="410">
        <f t="shared" ref="AS888:AU888" si="4388">+AS852/AR852-1</f>
        <v>-0.03572953737</v>
      </c>
      <c r="AT888" s="410">
        <f t="shared" si="4388"/>
        <v>0.05373486862</v>
      </c>
      <c r="AU888" s="410">
        <f t="shared" si="4388"/>
        <v>0.1529840291</v>
      </c>
      <c r="AV888" s="410"/>
      <c r="AW888" s="410" t="str">
        <f>+AW852/AU852-1</f>
        <v>#ERROR!</v>
      </c>
      <c r="AX888" s="410" t="str">
        <f t="shared" ref="AX888:AZ888" si="4389">+AX852/AW852-1</f>
        <v>#ERROR!</v>
      </c>
      <c r="AY888" s="410" t="str">
        <f t="shared" si="4389"/>
        <v>#ERROR!</v>
      </c>
      <c r="AZ888" s="410" t="str">
        <f t="shared" si="4389"/>
        <v>#ERROR!</v>
      </c>
      <c r="BA888" s="410"/>
      <c r="BB888" s="410" t="str">
        <f>+BB852/AZ852-1</f>
        <v>#ERROR!</v>
      </c>
      <c r="BC888" s="410" t="str">
        <f t="shared" ref="BC888:BE888" si="4390">+BC852/BB852-1</f>
        <v>#ERROR!</v>
      </c>
      <c r="BD888" s="410" t="str">
        <f t="shared" si="4390"/>
        <v>#ERROR!</v>
      </c>
      <c r="BE888" s="410" t="str">
        <f t="shared" si="4390"/>
        <v>#ERROR!</v>
      </c>
      <c r="BF888" s="410"/>
      <c r="BG888" s="410" t="str">
        <f>+BG852/BE852-1</f>
        <v>#ERROR!</v>
      </c>
      <c r="BH888" s="410" t="str">
        <f t="shared" ref="BH888:BJ888" si="4391">+BH852/BG852-1</f>
        <v>#ERROR!</v>
      </c>
      <c r="BI888" s="410" t="str">
        <f t="shared" si="4391"/>
        <v>#ERROR!</v>
      </c>
      <c r="BJ888" s="410" t="str">
        <f t="shared" si="4391"/>
        <v>#ERROR!</v>
      </c>
      <c r="BK888" s="410"/>
      <c r="BL888" s="410" t="str">
        <f>+BL852/BJ852-1</f>
        <v>#ERROR!</v>
      </c>
      <c r="BM888" s="410" t="str">
        <f t="shared" ref="BM888:BO888" si="4392">+BM852/BL852-1</f>
        <v>#ERROR!</v>
      </c>
      <c r="BN888" s="410" t="str">
        <f t="shared" si="4392"/>
        <v>#ERROR!</v>
      </c>
      <c r="BO888" s="410" t="str">
        <f t="shared" si="4392"/>
        <v>#ERROR!</v>
      </c>
      <c r="BP888" s="410"/>
      <c r="BQ888" s="410" t="str">
        <f>+BQ852/BO852-1</f>
        <v>#ERROR!</v>
      </c>
      <c r="BR888" s="410" t="str">
        <f t="shared" ref="BR888:BT888" si="4393">+BR852/BQ852-1</f>
        <v>#ERROR!</v>
      </c>
      <c r="BS888" s="410" t="str">
        <f t="shared" si="4393"/>
        <v>#ERROR!</v>
      </c>
      <c r="BT888" s="410" t="str">
        <f t="shared" si="4393"/>
        <v>#ERROR!</v>
      </c>
      <c r="BU888" s="410"/>
      <c r="BV888" s="410" t="str">
        <f>+BV852/BT852-1</f>
        <v>#ERROR!</v>
      </c>
      <c r="BW888" s="410" t="str">
        <f t="shared" ref="BW888:BY888" si="4394">+BW852/BV852-1</f>
        <v>#ERROR!</v>
      </c>
      <c r="BX888" s="410" t="str">
        <f t="shared" si="4394"/>
        <v>#ERROR!</v>
      </c>
      <c r="BY888" s="410" t="str">
        <f t="shared" si="4394"/>
        <v>#ERROR!</v>
      </c>
      <c r="BZ888" s="24"/>
      <c r="CA888" s="410" t="str">
        <f>+CA852/BY852-1</f>
        <v>#ERROR!</v>
      </c>
      <c r="CB888" s="410" t="str">
        <f t="shared" ref="CB888:CD888" si="4395">+CB852/CA852-1</f>
        <v>#ERROR!</v>
      </c>
      <c r="CC888" s="410" t="str">
        <f t="shared" si="4395"/>
        <v>#ERROR!</v>
      </c>
      <c r="CD888" s="410" t="str">
        <f t="shared" si="4395"/>
        <v>#ERROR!</v>
      </c>
      <c r="CE888" s="24"/>
      <c r="CF888" s="410" t="str">
        <f>+CF852/CD852-1</f>
        <v>#ERROR!</v>
      </c>
      <c r="CG888" s="410" t="str">
        <f t="shared" ref="CG888:CI888" si="4396">+CG852/CF852-1</f>
        <v>#ERROR!</v>
      </c>
      <c r="CH888" s="410" t="str">
        <f t="shared" si="4396"/>
        <v>#ERROR!</v>
      </c>
      <c r="CI888" s="410" t="str">
        <f t="shared" si="4396"/>
        <v>#ERROR!</v>
      </c>
      <c r="CJ888" s="24"/>
      <c r="CK888" s="410" t="str">
        <f>+CK852/CI852-1</f>
        <v>#ERROR!</v>
      </c>
      <c r="CL888" s="410" t="str">
        <f t="shared" ref="CL888:CN888" si="4397">+CL852/CK852-1</f>
        <v>#ERROR!</v>
      </c>
      <c r="CM888" s="410" t="str">
        <f t="shared" si="4397"/>
        <v>#ERROR!</v>
      </c>
      <c r="CN888" s="104" t="str">
        <f t="shared" si="4397"/>
        <v>#ERROR!</v>
      </c>
      <c r="CO888" s="24"/>
      <c r="CP888" s="104" t="str">
        <f>+CP852/CN852-1</f>
        <v>#ERROR!</v>
      </c>
      <c r="CQ888" s="410" t="str">
        <f t="shared" ref="CQ888:CS888" si="4398">+CQ852/CP852-1</f>
        <v>#ERROR!</v>
      </c>
      <c r="CR888" s="410" t="str">
        <f t="shared" si="4398"/>
        <v>#ERROR!</v>
      </c>
      <c r="CS888" s="410" t="str">
        <f t="shared" si="4398"/>
        <v>#ERROR!</v>
      </c>
      <c r="CT888" s="24"/>
      <c r="CU888" s="410" t="str">
        <f>+CU852/CS852-1</f>
        <v>#ERROR!</v>
      </c>
      <c r="CV888" s="410" t="str">
        <f t="shared" ref="CV888:CX888" si="4399">+CV852/CU852-1</f>
        <v>#ERROR!</v>
      </c>
      <c r="CW888" s="410" t="str">
        <f t="shared" si="4399"/>
        <v>#ERROR!</v>
      </c>
      <c r="CX888" s="410" t="str">
        <f t="shared" si="4399"/>
        <v>#ERROR!</v>
      </c>
      <c r="CY888" s="24"/>
      <c r="CZ888" s="410" t="str">
        <f>+CZ852/CX852-1</f>
        <v>#ERROR!</v>
      </c>
      <c r="DA888" s="410" t="str">
        <f t="shared" ref="DA888:DC888" si="4400">+DA852/CZ852-1</f>
        <v>#ERROR!</v>
      </c>
      <c r="DB888" s="410" t="str">
        <f t="shared" si="4400"/>
        <v>#ERROR!</v>
      </c>
      <c r="DC888" s="410" t="str">
        <f t="shared" si="4400"/>
        <v>#ERROR!</v>
      </c>
      <c r="DD888" s="24"/>
      <c r="DE888" s="410" t="str">
        <f>+DE852/DC852-1</f>
        <v>#ERROR!</v>
      </c>
      <c r="DF888" s="410" t="str">
        <f t="shared" ref="DF888:DH888" si="4401">+DF852/DE852-1</f>
        <v>#ERROR!</v>
      </c>
      <c r="DG888" s="104" t="str">
        <f t="shared" si="4401"/>
        <v>#ERROR!</v>
      </c>
      <c r="DH888" s="410" t="str">
        <f t="shared" si="4401"/>
        <v>#ERROR!</v>
      </c>
      <c r="DI888" s="24"/>
      <c r="DJ888" s="104" t="str">
        <f>+DJ852/DH852-1</f>
        <v>#ERROR!</v>
      </c>
      <c r="DK888" s="104" t="str">
        <f t="shared" ref="DK888:DM888" si="4402">+DK852/DJ852-1</f>
        <v>#ERROR!</v>
      </c>
      <c r="DL888" s="104" t="str">
        <f t="shared" si="4402"/>
        <v>#ERROR!</v>
      </c>
      <c r="DM888" s="410" t="str">
        <f t="shared" si="4402"/>
        <v>#ERROR!</v>
      </c>
      <c r="DN888" s="24"/>
      <c r="DO888" s="410" t="str">
        <f>+DO852/DM852-1</f>
        <v>#ERROR!</v>
      </c>
      <c r="DP888" s="410" t="str">
        <f t="shared" ref="DP888:DR888" si="4403">+DP852/DO852-1</f>
        <v>#ERROR!</v>
      </c>
      <c r="DQ888" s="410" t="str">
        <f t="shared" si="4403"/>
        <v>#ERROR!</v>
      </c>
      <c r="DR888" s="410" t="str">
        <f t="shared" si="4403"/>
        <v>#ERROR!</v>
      </c>
      <c r="DS888" s="24"/>
      <c r="DT888" s="410" t="str">
        <f>+DT852/DR852-1</f>
        <v>#ERROR!</v>
      </c>
      <c r="DU888" s="410" t="str">
        <f t="shared" ref="DU888:DW888" si="4404">+DU852/DT852-1</f>
        <v>#ERROR!</v>
      </c>
      <c r="DV888" s="410" t="str">
        <f t="shared" si="4404"/>
        <v>#ERROR!</v>
      </c>
      <c r="DW888" s="410" t="str">
        <f t="shared" si="4404"/>
        <v>#ERROR!</v>
      </c>
      <c r="DX888" s="24"/>
      <c r="DY888" s="410" t="str">
        <f>+DY852/DW852-1</f>
        <v>#ERROR!</v>
      </c>
      <c r="DZ888" s="410" t="str">
        <f t="shared" ref="DZ888:EB888" si="4405">+DZ852/DY852-1</f>
        <v>#ERROR!</v>
      </c>
      <c r="EA888" s="410" t="str">
        <f t="shared" si="4405"/>
        <v>#ERROR!</v>
      </c>
      <c r="EB888" s="410" t="str">
        <f t="shared" si="4405"/>
        <v>#ERROR!</v>
      </c>
      <c r="EC888" s="24"/>
      <c r="ED888" s="410" t="str">
        <f>+ED852/EB852-1</f>
        <v>#ERROR!</v>
      </c>
      <c r="EE888" s="410" t="str">
        <f t="shared" ref="EE888:EG888" si="4406">+EE852/ED852-1</f>
        <v>#ERROR!</v>
      </c>
      <c r="EF888" s="410" t="str">
        <f t="shared" si="4406"/>
        <v>#ERROR!</v>
      </c>
      <c r="EG888" s="410" t="str">
        <f t="shared" si="4406"/>
        <v>#ERROR!</v>
      </c>
      <c r="EH888" s="24"/>
      <c r="EI888" s="317" t="str">
        <f>+EI852/EG852-1</f>
        <v>#ERROR!</v>
      </c>
      <c r="EJ888" s="410" t="str">
        <f t="shared" ref="EJ888:EL888" si="4407">+EJ852/EI852-1</f>
        <v>#ERROR!</v>
      </c>
      <c r="EK888" s="410" t="str">
        <f t="shared" si="4407"/>
        <v>#ERROR!</v>
      </c>
      <c r="EL888" s="410" t="str">
        <f t="shared" si="4407"/>
        <v>#ERROR!</v>
      </c>
      <c r="EM888" s="24"/>
      <c r="EN888" s="410" t="str">
        <f>+EN852/EL852-1</f>
        <v>#ERROR!</v>
      </c>
      <c r="EO888" s="410" t="str">
        <f t="shared" ref="EO888:EQ888" si="4408">+EO852/EN852-1</f>
        <v>#ERROR!</v>
      </c>
      <c r="EP888" s="410" t="str">
        <f t="shared" si="4408"/>
        <v>#ERROR!</v>
      </c>
      <c r="EQ888" s="410" t="str">
        <f t="shared" si="4408"/>
        <v>#ERROR!</v>
      </c>
      <c r="ER888" s="24"/>
      <c r="ES888" s="410" t="str">
        <f>+ES852/EQ852-1</f>
        <v>#ERROR!</v>
      </c>
      <c r="ET888" s="410" t="str">
        <f t="shared" ref="ET888:EV888" si="4409">+ET852/ES852-1</f>
        <v>#ERROR!</v>
      </c>
      <c r="EU888" s="410" t="str">
        <f t="shared" si="4409"/>
        <v>#ERROR!</v>
      </c>
      <c r="EV888" s="410" t="str">
        <f t="shared" si="4409"/>
        <v>#ERROR!</v>
      </c>
      <c r="EW888" s="24"/>
      <c r="EX888" s="410" t="str">
        <f>+EX852/EV852-1</f>
        <v>#ERROR!</v>
      </c>
      <c r="EY888" s="410" t="str">
        <f t="shared" ref="EY888:FA888" si="4410">+EY852/EX852-1</f>
        <v>#ERROR!</v>
      </c>
      <c r="EZ888" s="410" t="str">
        <f t="shared" si="4410"/>
        <v>#ERROR!</v>
      </c>
      <c r="FA888" s="410" t="str">
        <f t="shared" si="4410"/>
        <v>#ERROR!</v>
      </c>
      <c r="FB888" s="24"/>
      <c r="FC888" s="410" t="str">
        <f>+FC852/FA852-1</f>
        <v>#ERROR!</v>
      </c>
      <c r="FD888" s="410" t="str">
        <f t="shared" ref="FD888:FF888" si="4411">+FD852/FC852-1</f>
        <v>#ERROR!</v>
      </c>
      <c r="FE888" s="410" t="str">
        <f t="shared" si="4411"/>
        <v>#ERROR!</v>
      </c>
      <c r="FF888" s="410" t="str">
        <f t="shared" si="4411"/>
        <v>#ERROR!</v>
      </c>
      <c r="FG888" s="24"/>
      <c r="FH888" s="104"/>
      <c r="FI888" s="410"/>
      <c r="FJ888" s="410"/>
      <c r="FK888" s="410"/>
      <c r="FL888" s="410"/>
    </row>
    <row r="889" ht="12.75" hidden="1" customHeight="1" outlineLevel="2">
      <c r="A889" s="4"/>
      <c r="B889" s="72" t="str">
        <f t="shared" ref="B889:B892" si="4416">+B865</f>
        <v>WCCG</v>
      </c>
      <c r="C889" s="4"/>
      <c r="D889" s="15"/>
      <c r="E889" s="15"/>
      <c r="F889" s="15"/>
      <c r="G889" s="315"/>
      <c r="H889" s="410"/>
      <c r="I889" s="15"/>
      <c r="J889" s="15"/>
      <c r="K889" s="15"/>
      <c r="L889" s="315"/>
      <c r="M889" s="410"/>
      <c r="N889" s="15"/>
      <c r="O889" s="15"/>
      <c r="P889" s="15"/>
      <c r="Q889" s="315"/>
      <c r="R889" s="410"/>
      <c r="S889" s="15"/>
      <c r="T889" s="15">
        <f t="shared" ref="T889:V889" si="4412">+T853/S853-1</f>
        <v>0.3174603175</v>
      </c>
      <c r="U889" s="15">
        <f t="shared" si="4412"/>
        <v>0.2409638554</v>
      </c>
      <c r="V889" s="315">
        <f t="shared" si="4412"/>
        <v>0.3349514563</v>
      </c>
      <c r="W889" s="410"/>
      <c r="X889" s="15"/>
      <c r="Y889" s="15">
        <v>0.18</v>
      </c>
      <c r="Z889" s="15">
        <f>Z853/Y853-1</f>
        <v>0.01026654982</v>
      </c>
      <c r="AA889" s="315">
        <v>0.13</v>
      </c>
      <c r="AB889" s="410"/>
      <c r="AC889" s="15">
        <v>-0.2</v>
      </c>
      <c r="AD889" s="15">
        <f t="shared" ref="AD889:AF889" si="4413">AD853/AC853-1</f>
        <v>-0.2661870504</v>
      </c>
      <c r="AE889" s="15">
        <f t="shared" si="4413"/>
        <v>-0.001960784314</v>
      </c>
      <c r="AF889" s="315">
        <f t="shared" si="4413"/>
        <v>0.01768172888</v>
      </c>
      <c r="AG889" s="410"/>
      <c r="AH889" s="15">
        <f>AH853/AF853-1</f>
        <v>-0.1138996139</v>
      </c>
      <c r="AI889" s="15">
        <f t="shared" ref="AI889:AK889" si="4414">AI853/AH853-1</f>
        <v>0.1590413943</v>
      </c>
      <c r="AJ889" s="15">
        <f t="shared" si="4414"/>
        <v>0.1015037594</v>
      </c>
      <c r="AK889" s="315">
        <f t="shared" si="4414"/>
        <v>0.1296928328</v>
      </c>
      <c r="AL889" s="410"/>
      <c r="AM889" s="15">
        <v>-0.157</v>
      </c>
      <c r="AN889" s="15">
        <f t="shared" ref="AN889:AP889" si="4415">AN853/AM853-1</f>
        <v>-0.01691331924</v>
      </c>
      <c r="AO889" s="15">
        <f t="shared" si="4415"/>
        <v>-0.03225806452</v>
      </c>
      <c r="AP889" s="315">
        <f t="shared" si="4415"/>
        <v>0.04222222222</v>
      </c>
      <c r="AQ889" s="410"/>
      <c r="AR889" s="15"/>
      <c r="AS889" s="15"/>
      <c r="AT889" s="15"/>
      <c r="AU889" s="315"/>
      <c r="AV889" s="410"/>
      <c r="AW889" s="15"/>
      <c r="AX889" s="15"/>
      <c r="AY889" s="15"/>
      <c r="AZ889" s="315"/>
      <c r="BA889" s="410"/>
      <c r="BB889" s="15"/>
      <c r="BC889" s="15"/>
      <c r="BD889" s="15"/>
      <c r="BE889" s="315"/>
      <c r="BF889" s="410"/>
      <c r="BG889" s="15"/>
      <c r="BH889" s="15"/>
      <c r="BI889" s="15"/>
      <c r="BJ889" s="315"/>
      <c r="BK889" s="410"/>
      <c r="BL889" s="15"/>
      <c r="BM889" s="15"/>
      <c r="BN889" s="15"/>
      <c r="BO889" s="315"/>
      <c r="BP889" s="410"/>
      <c r="BQ889" s="15"/>
      <c r="BR889" s="15"/>
      <c r="BS889" s="15"/>
      <c r="BT889" s="315"/>
      <c r="BU889" s="410"/>
      <c r="BV889" s="15"/>
      <c r="BW889" s="15"/>
      <c r="BX889" s="15"/>
      <c r="BY889" s="315"/>
      <c r="BZ889" s="24"/>
      <c r="CA889" s="15"/>
      <c r="CB889" s="15"/>
      <c r="CC889" s="15"/>
      <c r="CD889" s="315"/>
      <c r="CE889" s="24"/>
      <c r="CF889" s="15"/>
      <c r="CG889" s="15"/>
      <c r="CH889" s="15"/>
      <c r="CI889" s="315"/>
      <c r="CJ889" s="24"/>
      <c r="CK889" s="15"/>
      <c r="CL889" s="15"/>
      <c r="CM889" s="15"/>
      <c r="CN889" s="365"/>
      <c r="CO889" s="24"/>
      <c r="CP889" s="365"/>
      <c r="CQ889" s="15"/>
      <c r="CR889" s="15"/>
      <c r="CS889" s="315"/>
      <c r="CT889" s="24"/>
      <c r="CU889" s="15"/>
      <c r="CV889" s="15"/>
      <c r="CW889" s="15"/>
      <c r="CX889" s="315"/>
      <c r="CY889" s="24"/>
      <c r="CZ889" s="15"/>
      <c r="DA889" s="15"/>
      <c r="DB889" s="15"/>
      <c r="DC889" s="315"/>
      <c r="DD889" s="24"/>
      <c r="DE889" s="15"/>
      <c r="DF889" s="15"/>
      <c r="DG889" s="40"/>
      <c r="DH889" s="315"/>
      <c r="DI889" s="24"/>
      <c r="DJ889" s="40"/>
      <c r="DK889" s="40"/>
      <c r="DL889" s="40"/>
      <c r="DM889" s="315"/>
      <c r="DN889" s="24"/>
      <c r="DO889" s="15"/>
      <c r="DP889" s="15"/>
      <c r="DQ889" s="15"/>
      <c r="DR889" s="15"/>
      <c r="DS889" s="24"/>
      <c r="DT889" s="15"/>
      <c r="DU889" s="15"/>
      <c r="DV889" s="15"/>
      <c r="DW889" s="15"/>
      <c r="DX889" s="24"/>
      <c r="DY889" s="15"/>
      <c r="DZ889" s="15"/>
      <c r="EA889" s="15"/>
      <c r="EB889" s="15"/>
      <c r="EC889" s="24"/>
      <c r="ED889" s="15"/>
      <c r="EE889" s="15"/>
      <c r="EF889" s="15"/>
      <c r="EG889" s="15"/>
      <c r="EH889" s="24"/>
      <c r="EI889" s="314"/>
      <c r="EJ889" s="15"/>
      <c r="EK889" s="15"/>
      <c r="EL889" s="315"/>
      <c r="EM889" s="24"/>
      <c r="EN889" s="15"/>
      <c r="EO889" s="15"/>
      <c r="EP889" s="15"/>
      <c r="EQ889" s="315"/>
      <c r="ER889" s="24"/>
      <c r="ES889" s="15"/>
      <c r="ET889" s="15"/>
      <c r="EU889" s="15"/>
      <c r="EV889" s="315"/>
      <c r="EW889" s="24"/>
      <c r="EX889" s="15"/>
      <c r="EY889" s="15"/>
      <c r="EZ889" s="15"/>
      <c r="FA889" s="315"/>
      <c r="FB889" s="24"/>
      <c r="FC889" s="15"/>
      <c r="FD889" s="15"/>
      <c r="FE889" s="15"/>
      <c r="FF889" s="315"/>
      <c r="FG889" s="24"/>
      <c r="FH889" s="104"/>
      <c r="FI889" s="15"/>
      <c r="FJ889" s="315"/>
      <c r="FK889" s="410"/>
      <c r="FL889" s="15"/>
    </row>
    <row r="890" ht="12.75" hidden="1" customHeight="1" outlineLevel="2">
      <c r="A890" s="4"/>
      <c r="B890" s="72" t="str">
        <f t="shared" si="4416"/>
        <v>Flash</v>
      </c>
      <c r="C890" s="4"/>
      <c r="D890" s="15"/>
      <c r="E890" s="15"/>
      <c r="F890" s="15"/>
      <c r="G890" s="15"/>
      <c r="H890" s="410"/>
      <c r="I890" s="15"/>
      <c r="J890" s="15"/>
      <c r="K890" s="15"/>
      <c r="L890" s="15"/>
      <c r="M890" s="410"/>
      <c r="N890" s="15"/>
      <c r="O890" s="15"/>
      <c r="P890" s="15"/>
      <c r="Q890" s="15"/>
      <c r="R890" s="410"/>
      <c r="S890" s="15"/>
      <c r="T890" s="15"/>
      <c r="U890" s="15"/>
      <c r="V890" s="15"/>
      <c r="W890" s="410"/>
      <c r="X890" s="15"/>
      <c r="Y890" s="15"/>
      <c r="Z890" s="15"/>
      <c r="AA890" s="15"/>
      <c r="AB890" s="410"/>
      <c r="AC890" s="15"/>
      <c r="AD890" s="15"/>
      <c r="AE890" s="15"/>
      <c r="AF890" s="15"/>
      <c r="AG890" s="410"/>
      <c r="AH890" s="15"/>
      <c r="AI890" s="15"/>
      <c r="AJ890" s="15"/>
      <c r="AK890" s="15"/>
      <c r="AL890" s="410"/>
      <c r="AM890" s="15"/>
      <c r="AN890" s="15"/>
      <c r="AO890" s="15"/>
      <c r="AP890" s="15"/>
      <c r="AQ890" s="410"/>
      <c r="AR890" s="15"/>
      <c r="AS890" s="15">
        <f t="shared" ref="AS890:AU890" si="4417">AS854/AR854-1</f>
        <v>0.4076738609</v>
      </c>
      <c r="AT890" s="15">
        <f t="shared" si="4417"/>
        <v>0.08688245315</v>
      </c>
      <c r="AU890" s="15">
        <f t="shared" si="4417"/>
        <v>0.007836990596</v>
      </c>
      <c r="AV890" s="410"/>
      <c r="AW890" s="15">
        <f t="shared" ref="AW890:AW891" si="4444">AW854/AU854-1</f>
        <v>-0.101088647</v>
      </c>
      <c r="AX890" s="15">
        <f t="shared" ref="AX890:AX891" si="4445">AX854/AW854-1</f>
        <v>-0.08650519031</v>
      </c>
      <c r="AY890" s="15">
        <f>AY789</f>
        <v>0.08333333333</v>
      </c>
      <c r="AZ890" s="15">
        <f>AZ791</f>
        <v>0.04895104895</v>
      </c>
      <c r="BA890" s="410"/>
      <c r="BB890" s="15">
        <f t="shared" ref="BB890:BE890" si="4418">BB791</f>
        <v>-0.1283333333</v>
      </c>
      <c r="BC890" s="15">
        <f t="shared" si="4418"/>
        <v>-0.02868068834</v>
      </c>
      <c r="BD890" s="15">
        <f t="shared" si="4418"/>
        <v>-0.08267716535</v>
      </c>
      <c r="BE890" s="15">
        <f t="shared" si="4418"/>
        <v>0.09442060086</v>
      </c>
      <c r="BF890" s="410"/>
      <c r="BG890" s="15">
        <f t="shared" ref="BG890:BJ890" si="4419">BG791</f>
        <v>-0.162745098</v>
      </c>
      <c r="BH890" s="15">
        <f t="shared" si="4419"/>
        <v>-0.05222482436</v>
      </c>
      <c r="BI890" s="15">
        <f t="shared" si="4419"/>
        <v>0.04027674821</v>
      </c>
      <c r="BJ890" s="15">
        <f t="shared" si="4419"/>
        <v>0.04275534442</v>
      </c>
      <c r="BK890" s="410"/>
      <c r="BL890" s="15">
        <f t="shared" ref="BL890:BO890" si="4420">BL791</f>
        <v>-0.2733485194</v>
      </c>
      <c r="BM890" s="15">
        <f t="shared" si="4420"/>
        <v>-0.7648902821</v>
      </c>
      <c r="BN890" s="15">
        <f t="shared" si="4420"/>
        <v>-0.6</v>
      </c>
      <c r="BO890" s="15">
        <f t="shared" si="4420"/>
        <v>-0.3333333333</v>
      </c>
      <c r="BP890" s="410"/>
      <c r="BQ890" s="15">
        <f t="shared" ref="BQ890:BT890" si="4421">BQ791</f>
        <v>-1</v>
      </c>
      <c r="BR890" s="15" t="str">
        <f t="shared" si="4421"/>
        <v/>
      </c>
      <c r="BS890" s="15" t="str">
        <f t="shared" si="4421"/>
        <v/>
      </c>
      <c r="BT890" s="15" t="str">
        <f t="shared" si="4421"/>
        <v/>
      </c>
      <c r="BU890" s="410"/>
      <c r="BV890" s="15" t="str">
        <f t="shared" ref="BV890:BY890" si="4422">BV791</f>
        <v/>
      </c>
      <c r="BW890" s="15" t="str">
        <f t="shared" si="4422"/>
        <v/>
      </c>
      <c r="BX890" s="15" t="str">
        <f t="shared" si="4422"/>
        <v/>
      </c>
      <c r="BY890" s="15" t="str">
        <f t="shared" si="4422"/>
        <v/>
      </c>
      <c r="BZ890" s="24"/>
      <c r="CA890" s="15" t="str">
        <f t="shared" ref="CA890:CD890" si="4423">CA791</f>
        <v/>
      </c>
      <c r="CB890" s="15" t="str">
        <f t="shared" si="4423"/>
        <v/>
      </c>
      <c r="CC890" s="15" t="str">
        <f t="shared" si="4423"/>
        <v/>
      </c>
      <c r="CD890" s="15" t="str">
        <f t="shared" si="4423"/>
        <v/>
      </c>
      <c r="CE890" s="24"/>
      <c r="CF890" s="15" t="str">
        <f t="shared" ref="CF890:CI890" si="4424">CF791</f>
        <v/>
      </c>
      <c r="CG890" s="15" t="str">
        <f t="shared" si="4424"/>
        <v/>
      </c>
      <c r="CH890" s="15" t="str">
        <f t="shared" si="4424"/>
        <v/>
      </c>
      <c r="CI890" s="15" t="str">
        <f t="shared" si="4424"/>
        <v/>
      </c>
      <c r="CJ890" s="24"/>
      <c r="CK890" s="15" t="str">
        <f t="shared" ref="CK890:CN890" si="4425">CK791</f>
        <v/>
      </c>
      <c r="CL890" s="15" t="str">
        <f t="shared" si="4425"/>
        <v/>
      </c>
      <c r="CM890" s="15" t="str">
        <f t="shared" si="4425"/>
        <v/>
      </c>
      <c r="CN890" s="40" t="str">
        <f t="shared" si="4425"/>
        <v/>
      </c>
      <c r="CO890" s="24"/>
      <c r="CP890" s="40" t="str">
        <f t="shared" ref="CP890:CS890" si="4426">CP791</f>
        <v/>
      </c>
      <c r="CQ890" s="15" t="str">
        <f t="shared" si="4426"/>
        <v/>
      </c>
      <c r="CR890" s="15" t="str">
        <f t="shared" si="4426"/>
        <v/>
      </c>
      <c r="CS890" s="15" t="str">
        <f t="shared" si="4426"/>
        <v/>
      </c>
      <c r="CT890" s="24"/>
      <c r="CU890" s="15" t="str">
        <f t="shared" ref="CU890:CX890" si="4427">CU791</f>
        <v/>
      </c>
      <c r="CV890" s="15" t="str">
        <f t="shared" si="4427"/>
        <v/>
      </c>
      <c r="CW890" s="15" t="str">
        <f t="shared" si="4427"/>
        <v/>
      </c>
      <c r="CX890" s="15" t="str">
        <f t="shared" si="4427"/>
        <v/>
      </c>
      <c r="CY890" s="24"/>
      <c r="CZ890" s="15" t="str">
        <f t="shared" ref="CZ890:DC890" si="4428">CZ791</f>
        <v/>
      </c>
      <c r="DA890" s="15" t="str">
        <f t="shared" si="4428"/>
        <v/>
      </c>
      <c r="DB890" s="15" t="str">
        <f t="shared" si="4428"/>
        <v/>
      </c>
      <c r="DC890" s="15" t="str">
        <f t="shared" si="4428"/>
        <v/>
      </c>
      <c r="DD890" s="24"/>
      <c r="DE890" s="15" t="str">
        <f t="shared" ref="DE890:DH890" si="4429">DE791</f>
        <v/>
      </c>
      <c r="DF890" s="15" t="str">
        <f t="shared" si="4429"/>
        <v/>
      </c>
      <c r="DG890" s="40" t="str">
        <f t="shared" si="4429"/>
        <v/>
      </c>
      <c r="DH890" s="15" t="str">
        <f t="shared" si="4429"/>
        <v/>
      </c>
      <c r="DI890" s="24"/>
      <c r="DJ890" s="40" t="str">
        <f t="shared" ref="DJ890:DM890" si="4430">DJ791</f>
        <v/>
      </c>
      <c r="DK890" s="40" t="str">
        <f t="shared" si="4430"/>
        <v/>
      </c>
      <c r="DL890" s="40" t="str">
        <f t="shared" si="4430"/>
        <v/>
      </c>
      <c r="DM890" s="15" t="str">
        <f t="shared" si="4430"/>
        <v/>
      </c>
      <c r="DN890" s="24"/>
      <c r="DO890" s="15" t="str">
        <f t="shared" ref="DO890:DR890" si="4431">DO791</f>
        <v/>
      </c>
      <c r="DP890" s="15" t="str">
        <f t="shared" si="4431"/>
        <v/>
      </c>
      <c r="DQ890" s="15" t="str">
        <f t="shared" si="4431"/>
        <v/>
      </c>
      <c r="DR890" s="15" t="str">
        <f t="shared" si="4431"/>
        <v/>
      </c>
      <c r="DS890" s="24"/>
      <c r="DT890" s="15" t="str">
        <f t="shared" ref="DT890:DW890" si="4432">DT791</f>
        <v/>
      </c>
      <c r="DU890" s="15" t="str">
        <f t="shared" si="4432"/>
        <v/>
      </c>
      <c r="DV890" s="15" t="str">
        <f t="shared" si="4432"/>
        <v/>
      </c>
      <c r="DW890" s="15" t="str">
        <f t="shared" si="4432"/>
        <v/>
      </c>
      <c r="DX890" s="24"/>
      <c r="DY890" s="15" t="str">
        <f t="shared" ref="DY890:EB890" si="4433">DY791</f>
        <v/>
      </c>
      <c r="DZ890" s="15" t="str">
        <f t="shared" si="4433"/>
        <v/>
      </c>
      <c r="EA890" s="15" t="str">
        <f t="shared" si="4433"/>
        <v/>
      </c>
      <c r="EB890" s="15" t="str">
        <f t="shared" si="4433"/>
        <v/>
      </c>
      <c r="EC890" s="24"/>
      <c r="ED890" s="15" t="str">
        <f t="shared" ref="ED890:EG890" si="4434">ED791</f>
        <v/>
      </c>
      <c r="EE890" s="15" t="str">
        <f t="shared" si="4434"/>
        <v/>
      </c>
      <c r="EF890" s="15" t="str">
        <f t="shared" si="4434"/>
        <v/>
      </c>
      <c r="EG890" s="15" t="str">
        <f t="shared" si="4434"/>
        <v/>
      </c>
      <c r="EH890" s="24"/>
      <c r="EI890" s="82" t="str">
        <f t="shared" ref="EI890:EL890" si="4435">EI791</f>
        <v/>
      </c>
      <c r="EJ890" s="15" t="str">
        <f t="shared" si="4435"/>
        <v/>
      </c>
      <c r="EK890" s="15" t="str">
        <f t="shared" si="4435"/>
        <v/>
      </c>
      <c r="EL890" s="15" t="str">
        <f t="shared" si="4435"/>
        <v/>
      </c>
      <c r="EM890" s="24"/>
      <c r="EN890" s="15" t="str">
        <f t="shared" ref="EN890:EQ890" si="4436">EN791</f>
        <v/>
      </c>
      <c r="EO890" s="15" t="str">
        <f t="shared" si="4436"/>
        <v/>
      </c>
      <c r="EP890" s="15" t="str">
        <f t="shared" si="4436"/>
        <v/>
      </c>
      <c r="EQ890" s="15" t="str">
        <f t="shared" si="4436"/>
        <v/>
      </c>
      <c r="ER890" s="24"/>
      <c r="ES890" s="15" t="str">
        <f t="shared" ref="ES890:EV890" si="4437">ES791</f>
        <v/>
      </c>
      <c r="ET890" s="15" t="str">
        <f t="shared" si="4437"/>
        <v/>
      </c>
      <c r="EU890" s="15" t="str">
        <f t="shared" si="4437"/>
        <v/>
      </c>
      <c r="EV890" s="15" t="str">
        <f t="shared" si="4437"/>
        <v/>
      </c>
      <c r="EW890" s="24"/>
      <c r="EX890" s="15" t="str">
        <f t="shared" ref="EX890:FA890" si="4438">EX791</f>
        <v/>
      </c>
      <c r="EY890" s="15" t="str">
        <f t="shared" si="4438"/>
        <v/>
      </c>
      <c r="EZ890" s="15" t="str">
        <f t="shared" si="4438"/>
        <v/>
      </c>
      <c r="FA890" s="15" t="str">
        <f t="shared" si="4438"/>
        <v/>
      </c>
      <c r="FB890" s="24"/>
      <c r="FC890" s="15" t="str">
        <f t="shared" ref="FC890:FF890" si="4439">FC791</f>
        <v/>
      </c>
      <c r="FD890" s="15" t="str">
        <f t="shared" si="4439"/>
        <v/>
      </c>
      <c r="FE890" s="15" t="str">
        <f t="shared" si="4439"/>
        <v/>
      </c>
      <c r="FF890" s="15" t="str">
        <f t="shared" si="4439"/>
        <v/>
      </c>
      <c r="FG890" s="24"/>
      <c r="FH890" s="104"/>
      <c r="FI890" s="15"/>
      <c r="FJ890" s="15"/>
      <c r="FK890" s="410"/>
      <c r="FL890" s="15"/>
    </row>
    <row r="891" ht="12.75" hidden="1" customHeight="1" outlineLevel="2">
      <c r="A891" s="4"/>
      <c r="B891" s="72" t="str">
        <f t="shared" si="4416"/>
        <v>Comm/Embedded (former ICG)</v>
      </c>
      <c r="C891" s="4"/>
      <c r="D891" s="15"/>
      <c r="E891" s="15"/>
      <c r="F891" s="15"/>
      <c r="G891" s="315"/>
      <c r="H891" s="410"/>
      <c r="I891" s="15"/>
      <c r="J891" s="15"/>
      <c r="K891" s="15"/>
      <c r="L891" s="315"/>
      <c r="M891" s="410"/>
      <c r="N891" s="15"/>
      <c r="O891" s="15"/>
      <c r="P891" s="15"/>
      <c r="Q891" s="315"/>
      <c r="R891" s="410"/>
      <c r="S891" s="15"/>
      <c r="T891" s="15"/>
      <c r="U891" s="15"/>
      <c r="V891" s="315"/>
      <c r="W891" s="410"/>
      <c r="X891" s="15"/>
      <c r="Y891" s="15">
        <v>0.22</v>
      </c>
      <c r="Z891" s="15">
        <f t="shared" ref="Z891:Z892" si="4449">Z855/Y855-1</f>
        <v>0.4128166915</v>
      </c>
      <c r="AA891" s="315">
        <v>0.12</v>
      </c>
      <c r="AB891" s="410"/>
      <c r="AC891" s="15">
        <v>-0.14</v>
      </c>
      <c r="AD891" s="15">
        <f t="shared" ref="AD891:AF891" si="4440">AD855/AC855-1</f>
        <v>-0.1806451613</v>
      </c>
      <c r="AE891" s="15">
        <f t="shared" si="4440"/>
        <v>-0.08661417323</v>
      </c>
      <c r="AF891" s="315">
        <f t="shared" si="4440"/>
        <v>0.01724137931</v>
      </c>
      <c r="AG891" s="410"/>
      <c r="AH891" s="15">
        <f t="shared" ref="AH891:AH892" si="4451">AH855/AF855-1</f>
        <v>-0.1220338983</v>
      </c>
      <c r="AI891" s="15">
        <f t="shared" ref="AI891:AK891" si="4441">AI855/AH855-1</f>
        <v>0.03474903475</v>
      </c>
      <c r="AJ891" s="15">
        <f t="shared" si="4441"/>
        <v>-0.1007462687</v>
      </c>
      <c r="AK891" s="315">
        <f t="shared" si="4441"/>
        <v>0.1286307054</v>
      </c>
      <c r="AL891" s="410"/>
      <c r="AM891" s="15">
        <f t="shared" ref="AM891:AM892" si="4453">AM855/AK855-1</f>
        <v>-0.07536764706</v>
      </c>
      <c r="AN891" s="15">
        <f t="shared" ref="AN891:AP891" si="4442">AN855/AM855-1</f>
        <v>0.009940357853</v>
      </c>
      <c r="AO891" s="15">
        <f t="shared" si="4442"/>
        <v>0.07086614173</v>
      </c>
      <c r="AP891" s="315">
        <f t="shared" si="4442"/>
        <v>0.08823529412</v>
      </c>
      <c r="AQ891" s="410"/>
      <c r="AR891" s="15">
        <f>AR855/AP855-1</f>
        <v>0.09459459459</v>
      </c>
      <c r="AS891" s="15">
        <f t="shared" ref="AS891:AU891" si="4443">AS855/AR855-1</f>
        <v>0.05555555556</v>
      </c>
      <c r="AT891" s="15">
        <f t="shared" si="4443"/>
        <v>0.00730994152</v>
      </c>
      <c r="AU891" s="315">
        <f t="shared" si="4443"/>
        <v>0.04644412192</v>
      </c>
      <c r="AV891" s="410"/>
      <c r="AW891" s="15" t="str">
        <f t="shared" si="4444"/>
        <v>#ERROR!</v>
      </c>
      <c r="AX891" s="15" t="str">
        <f t="shared" si="4445"/>
        <v>#ERROR!</v>
      </c>
      <c r="AY891" s="15" t="str">
        <f t="shared" ref="AY891:AZ891" si="4446">AY855/AX855-1</f>
        <v>#ERROR!</v>
      </c>
      <c r="AZ891" s="315" t="str">
        <f t="shared" si="4446"/>
        <v>#ERROR!</v>
      </c>
      <c r="BA891" s="410"/>
      <c r="BB891" s="15" t="str">
        <f>BB855/AZ855-1</f>
        <v>#ERROR!</v>
      </c>
      <c r="BC891" s="15" t="str">
        <f t="shared" ref="BC891:BE891" si="4447">BC855/BB855-1</f>
        <v>#ERROR!</v>
      </c>
      <c r="BD891" s="15" t="str">
        <f t="shared" si="4447"/>
        <v>#ERROR!</v>
      </c>
      <c r="BE891" s="315" t="str">
        <f t="shared" si="4447"/>
        <v>#ERROR!</v>
      </c>
      <c r="BF891" s="410"/>
      <c r="BG891" s="15" t="str">
        <f>BG855/BE855-1</f>
        <v>#ERROR!</v>
      </c>
      <c r="BH891" s="15" t="str">
        <f t="shared" ref="BH891:BJ891" si="4448">BH855/BG855-1</f>
        <v>#ERROR!</v>
      </c>
      <c r="BI891" s="15" t="str">
        <f t="shared" si="4448"/>
        <v>#ERROR!</v>
      </c>
      <c r="BJ891" s="315" t="str">
        <f t="shared" si="4448"/>
        <v>#ERROR!</v>
      </c>
      <c r="BK891" s="410"/>
      <c r="BL891" s="15">
        <v>-0.01</v>
      </c>
      <c r="BM891" s="15">
        <v>0.02</v>
      </c>
      <c r="BN891" s="15">
        <v>0.03</v>
      </c>
      <c r="BO891" s="315">
        <v>0.04</v>
      </c>
      <c r="BP891" s="410"/>
      <c r="BQ891" s="15">
        <v>-0.01</v>
      </c>
      <c r="BR891" s="15">
        <v>0.02</v>
      </c>
      <c r="BS891" s="15">
        <v>0.02</v>
      </c>
      <c r="BT891" s="315">
        <v>0.04</v>
      </c>
      <c r="BU891" s="410"/>
      <c r="BV891" s="15">
        <v>-0.01</v>
      </c>
      <c r="BW891" s="15">
        <v>0.02</v>
      </c>
      <c r="BX891" s="15">
        <v>0.03</v>
      </c>
      <c r="BY891" s="315">
        <v>0.04</v>
      </c>
      <c r="BZ891" s="24"/>
      <c r="CA891" s="15">
        <v>-0.01</v>
      </c>
      <c r="CB891" s="15">
        <v>0.02</v>
      </c>
      <c r="CC891" s="15">
        <v>0.03</v>
      </c>
      <c r="CD891" s="315">
        <v>0.04</v>
      </c>
      <c r="CE891" s="24"/>
      <c r="CF891" s="15">
        <v>-0.01</v>
      </c>
      <c r="CG891" s="15">
        <v>0.02</v>
      </c>
      <c r="CH891" s="15">
        <v>0.03</v>
      </c>
      <c r="CI891" s="315">
        <v>0.04</v>
      </c>
      <c r="CJ891" s="24"/>
      <c r="CK891" s="15">
        <v>-0.01</v>
      </c>
      <c r="CL891" s="15">
        <v>0.02</v>
      </c>
      <c r="CM891" s="15">
        <v>0.03</v>
      </c>
      <c r="CN891" s="365">
        <v>0.04</v>
      </c>
      <c r="CO891" s="24"/>
      <c r="CP891" s="365">
        <v>-0.01</v>
      </c>
      <c r="CQ891" s="15">
        <v>0.02</v>
      </c>
      <c r="CR891" s="15">
        <v>0.03</v>
      </c>
      <c r="CS891" s="315">
        <v>0.04</v>
      </c>
      <c r="CT891" s="24"/>
      <c r="CU891" s="15">
        <v>-0.01</v>
      </c>
      <c r="CV891" s="15">
        <v>0.02</v>
      </c>
      <c r="CW891" s="15">
        <v>0.03</v>
      </c>
      <c r="CX891" s="315">
        <v>0.04</v>
      </c>
      <c r="CY891" s="24"/>
      <c r="CZ891" s="15">
        <v>-0.01</v>
      </c>
      <c r="DA891" s="15">
        <v>0.02</v>
      </c>
      <c r="DB891" s="15">
        <v>0.03</v>
      </c>
      <c r="DC891" s="315">
        <v>0.04</v>
      </c>
      <c r="DD891" s="24"/>
      <c r="DE891" s="15">
        <v>-0.01</v>
      </c>
      <c r="DF891" s="15">
        <v>0.02</v>
      </c>
      <c r="DG891" s="40">
        <v>0.03</v>
      </c>
      <c r="DH891" s="315">
        <v>0.04</v>
      </c>
      <c r="DI891" s="24"/>
      <c r="DJ891" s="40">
        <v>-0.01</v>
      </c>
      <c r="DK891" s="40">
        <v>0.02</v>
      </c>
      <c r="DL891" s="40">
        <v>0.03</v>
      </c>
      <c r="DM891" s="315">
        <v>0.04</v>
      </c>
      <c r="DN891" s="24"/>
      <c r="DO891" s="15">
        <v>-0.01</v>
      </c>
      <c r="DP891" s="15">
        <v>0.02</v>
      </c>
      <c r="DQ891" s="15">
        <v>0.03</v>
      </c>
      <c r="DR891" s="15">
        <v>0.04</v>
      </c>
      <c r="DS891" s="24"/>
      <c r="DT891" s="15">
        <v>-0.01</v>
      </c>
      <c r="DU891" s="15">
        <v>0.02</v>
      </c>
      <c r="DV891" s="15">
        <v>0.03</v>
      </c>
      <c r="DW891" s="15">
        <v>0.04</v>
      </c>
      <c r="DX891" s="24"/>
      <c r="DY891" s="15">
        <v>-0.01</v>
      </c>
      <c r="DZ891" s="15">
        <v>0.02</v>
      </c>
      <c r="EA891" s="15">
        <v>0.03</v>
      </c>
      <c r="EB891" s="15">
        <v>0.04</v>
      </c>
      <c r="EC891" s="24"/>
      <c r="ED891" s="15">
        <v>-0.01</v>
      </c>
      <c r="EE891" s="15">
        <v>0.02</v>
      </c>
      <c r="EF891" s="15">
        <v>0.03</v>
      </c>
      <c r="EG891" s="15">
        <v>0.04</v>
      </c>
      <c r="EH891" s="24"/>
      <c r="EI891" s="314">
        <v>-0.01</v>
      </c>
      <c r="EJ891" s="15">
        <v>0.02</v>
      </c>
      <c r="EK891" s="15">
        <v>0.03</v>
      </c>
      <c r="EL891" s="315">
        <v>0.04</v>
      </c>
      <c r="EM891" s="24"/>
      <c r="EN891" s="15">
        <v>-0.01</v>
      </c>
      <c r="EO891" s="15">
        <v>0.02</v>
      </c>
      <c r="EP891" s="15">
        <v>0.03</v>
      </c>
      <c r="EQ891" s="315">
        <v>0.04</v>
      </c>
      <c r="ER891" s="24"/>
      <c r="ES891" s="15">
        <v>-0.01</v>
      </c>
      <c r="ET891" s="15">
        <v>0.02</v>
      </c>
      <c r="EU891" s="15">
        <v>0.03</v>
      </c>
      <c r="EV891" s="315">
        <v>0.04</v>
      </c>
      <c r="EW891" s="24"/>
      <c r="EX891" s="15">
        <v>-0.01</v>
      </c>
      <c r="EY891" s="15">
        <v>0.02</v>
      </c>
      <c r="EZ891" s="15">
        <v>0.03</v>
      </c>
      <c r="FA891" s="315">
        <v>0.04</v>
      </c>
      <c r="FB891" s="24"/>
      <c r="FC891" s="15">
        <v>-0.01</v>
      </c>
      <c r="FD891" s="15">
        <v>0.02</v>
      </c>
      <c r="FE891" s="15">
        <v>0.03</v>
      </c>
      <c r="FF891" s="315">
        <v>0.04</v>
      </c>
      <c r="FG891" s="24"/>
      <c r="FH891" s="104"/>
      <c r="FI891" s="15"/>
      <c r="FJ891" s="315"/>
      <c r="FK891" s="410"/>
      <c r="FL891" s="15"/>
    </row>
    <row r="892" ht="12.75" hidden="1" customHeight="1" outlineLevel="2">
      <c r="A892" s="4"/>
      <c r="B892" s="72" t="str">
        <f t="shared" si="4416"/>
        <v>All other</v>
      </c>
      <c r="C892" s="4"/>
      <c r="D892" s="15"/>
      <c r="E892" s="15"/>
      <c r="F892" s="15"/>
      <c r="G892" s="315"/>
      <c r="H892" s="410"/>
      <c r="I892" s="15"/>
      <c r="J892" s="15"/>
      <c r="K892" s="15"/>
      <c r="L892" s="315"/>
      <c r="M892" s="410"/>
      <c r="N892" s="15"/>
      <c r="O892" s="15"/>
      <c r="P892" s="15"/>
      <c r="Q892" s="315"/>
      <c r="R892" s="410"/>
      <c r="S892" s="15"/>
      <c r="T892" s="15"/>
      <c r="U892" s="15"/>
      <c r="V892" s="315"/>
      <c r="W892" s="410"/>
      <c r="X892" s="15"/>
      <c r="Y892" s="15">
        <f t="shared" ref="Y892:Y893" si="4459">+Y856/X856-1</f>
        <v>-0.3064954213</v>
      </c>
      <c r="Z892" s="15">
        <f t="shared" si="4449"/>
        <v>-0.632945654</v>
      </c>
      <c r="AA892" s="315">
        <f>+AA856/Z856-1</f>
        <v>0.4025974026</v>
      </c>
      <c r="AB892" s="410"/>
      <c r="AC892" s="15">
        <v>-0.06</v>
      </c>
      <c r="AD892" s="15">
        <f t="shared" ref="AD892:AF892" si="4450">AD856/AC856-1</f>
        <v>-0.1621621622</v>
      </c>
      <c r="AE892" s="15">
        <f t="shared" si="4450"/>
        <v>0.01612903226</v>
      </c>
      <c r="AF892" s="315">
        <f t="shared" si="4450"/>
        <v>0.3015873016</v>
      </c>
      <c r="AG892" s="410"/>
      <c r="AH892" s="15">
        <f t="shared" si="4451"/>
        <v>-0.5609756098</v>
      </c>
      <c r="AI892" s="15">
        <f t="shared" ref="AI892:AK892" si="4452">AI856/AH856-1</f>
        <v>0.05555555556</v>
      </c>
      <c r="AJ892" s="15">
        <f t="shared" si="4452"/>
        <v>-0.2368421053</v>
      </c>
      <c r="AK892" s="315">
        <f t="shared" si="4452"/>
        <v>-0.1034482759</v>
      </c>
      <c r="AL892" s="410"/>
      <c r="AM892" s="15">
        <f t="shared" si="4453"/>
        <v>-0.4230769231</v>
      </c>
      <c r="AN892" s="15">
        <f t="shared" ref="AN892:AP892" si="4454">AN856/AM856-1</f>
        <v>-0.3333333333</v>
      </c>
      <c r="AO892" s="15">
        <f t="shared" si="4454"/>
        <v>-0.9</v>
      </c>
      <c r="AP892" s="315">
        <f t="shared" si="4454"/>
        <v>8</v>
      </c>
      <c r="AQ892" s="410"/>
      <c r="AR892" s="15"/>
      <c r="AS892" s="15"/>
      <c r="AT892" s="15">
        <v>0.0</v>
      </c>
      <c r="AU892" s="315">
        <v>0.0</v>
      </c>
      <c r="AV892" s="410"/>
      <c r="AW892" s="15">
        <f>AU892*0.9</f>
        <v>0</v>
      </c>
      <c r="AX892" s="15">
        <f>AW892*1.1</f>
        <v>0</v>
      </c>
      <c r="AY892" s="15">
        <v>0.0</v>
      </c>
      <c r="AZ892" s="315">
        <v>0.0</v>
      </c>
      <c r="BA892" s="410"/>
      <c r="BB892" s="15">
        <f>AZ892*0.9</f>
        <v>0</v>
      </c>
      <c r="BC892" s="15">
        <f t="shared" ref="BC892:BE892" si="4455">BC856/BB856-1</f>
        <v>0</v>
      </c>
      <c r="BD892" s="15">
        <f t="shared" si="4455"/>
        <v>0</v>
      </c>
      <c r="BE892" s="315">
        <f t="shared" si="4455"/>
        <v>0</v>
      </c>
      <c r="BF892" s="410"/>
      <c r="BG892" s="15">
        <f>BE892*0.9</f>
        <v>0</v>
      </c>
      <c r="BH892" s="15">
        <f t="shared" ref="BH892:BJ892" si="4456">BH856/BG856-1</f>
        <v>0</v>
      </c>
      <c r="BI892" s="15">
        <f t="shared" si="4456"/>
        <v>0</v>
      </c>
      <c r="BJ892" s="315">
        <f t="shared" si="4456"/>
        <v>0</v>
      </c>
      <c r="BK892" s="410"/>
      <c r="BL892" s="15">
        <v>0.0</v>
      </c>
      <c r="BM892" s="15">
        <v>0.0</v>
      </c>
      <c r="BN892" s="15">
        <v>0.0</v>
      </c>
      <c r="BO892" s="315">
        <v>0.0</v>
      </c>
      <c r="BP892" s="410"/>
      <c r="BQ892" s="15">
        <v>0.0</v>
      </c>
      <c r="BR892" s="15">
        <v>0.0</v>
      </c>
      <c r="BS892" s="15">
        <v>0.0</v>
      </c>
      <c r="BT892" s="315">
        <v>0.0</v>
      </c>
      <c r="BU892" s="410"/>
      <c r="BV892" s="15">
        <v>0.0</v>
      </c>
      <c r="BW892" s="15">
        <v>0.0</v>
      </c>
      <c r="BX892" s="15">
        <v>0.0</v>
      </c>
      <c r="BY892" s="315">
        <v>0.0</v>
      </c>
      <c r="BZ892" s="24"/>
      <c r="CA892" s="15">
        <v>0.0</v>
      </c>
      <c r="CB892" s="15">
        <v>0.0</v>
      </c>
      <c r="CC892" s="15">
        <v>0.0</v>
      </c>
      <c r="CD892" s="315">
        <v>0.0</v>
      </c>
      <c r="CE892" s="24"/>
      <c r="CF892" s="15">
        <v>0.0</v>
      </c>
      <c r="CG892" s="15">
        <v>0.0</v>
      </c>
      <c r="CH892" s="15">
        <v>0.0</v>
      </c>
      <c r="CI892" s="315">
        <v>0.0</v>
      </c>
      <c r="CJ892" s="24"/>
      <c r="CK892" s="15">
        <v>0.0</v>
      </c>
      <c r="CL892" s="15">
        <v>0.0</v>
      </c>
      <c r="CM892" s="15">
        <v>0.0</v>
      </c>
      <c r="CN892" s="365">
        <v>0.0</v>
      </c>
      <c r="CO892" s="24"/>
      <c r="CP892" s="365">
        <v>0.0</v>
      </c>
      <c r="CQ892" s="15">
        <v>0.0</v>
      </c>
      <c r="CR892" s="15">
        <v>0.0</v>
      </c>
      <c r="CS892" s="315">
        <v>0.0</v>
      </c>
      <c r="CT892" s="24"/>
      <c r="CU892" s="15">
        <v>0.0</v>
      </c>
      <c r="CV892" s="15">
        <v>0.0</v>
      </c>
      <c r="CW892" s="15">
        <v>0.0</v>
      </c>
      <c r="CX892" s="315">
        <v>0.0</v>
      </c>
      <c r="CY892" s="24"/>
      <c r="CZ892" s="15">
        <v>0.0</v>
      </c>
      <c r="DA892" s="15">
        <v>0.0</v>
      </c>
      <c r="DB892" s="15">
        <v>0.0</v>
      </c>
      <c r="DC892" s="315">
        <v>0.0</v>
      </c>
      <c r="DD892" s="24"/>
      <c r="DE892" s="15">
        <v>0.0</v>
      </c>
      <c r="DF892" s="15">
        <v>0.0</v>
      </c>
      <c r="DG892" s="40">
        <v>0.0</v>
      </c>
      <c r="DH892" s="315">
        <v>0.0</v>
      </c>
      <c r="DI892" s="24"/>
      <c r="DJ892" s="40">
        <v>0.0</v>
      </c>
      <c r="DK892" s="40">
        <v>0.0</v>
      </c>
      <c r="DL892" s="40">
        <v>0.0</v>
      </c>
      <c r="DM892" s="315">
        <v>0.0</v>
      </c>
      <c r="DN892" s="24"/>
      <c r="DO892" s="15">
        <v>0.0</v>
      </c>
      <c r="DP892" s="15">
        <v>0.0</v>
      </c>
      <c r="DQ892" s="15">
        <v>0.0</v>
      </c>
      <c r="DR892" s="15">
        <v>0.0</v>
      </c>
      <c r="DS892" s="24"/>
      <c r="DT892" s="15">
        <v>0.0</v>
      </c>
      <c r="DU892" s="15">
        <v>0.0</v>
      </c>
      <c r="DV892" s="15">
        <v>0.0</v>
      </c>
      <c r="DW892" s="15">
        <v>0.0</v>
      </c>
      <c r="DX892" s="24"/>
      <c r="DY892" s="15">
        <v>0.0</v>
      </c>
      <c r="DZ892" s="15">
        <v>0.0</v>
      </c>
      <c r="EA892" s="15">
        <v>0.0</v>
      </c>
      <c r="EB892" s="15">
        <v>0.0</v>
      </c>
      <c r="EC892" s="24"/>
      <c r="ED892" s="15">
        <v>0.0</v>
      </c>
      <c r="EE892" s="15">
        <v>0.0</v>
      </c>
      <c r="EF892" s="15">
        <v>0.0</v>
      </c>
      <c r="EG892" s="15">
        <v>0.0</v>
      </c>
      <c r="EH892" s="24"/>
      <c r="EI892" s="314">
        <v>0.0</v>
      </c>
      <c r="EJ892" s="15">
        <v>0.0</v>
      </c>
      <c r="EK892" s="15">
        <v>0.0</v>
      </c>
      <c r="EL892" s="315">
        <v>0.0</v>
      </c>
      <c r="EM892" s="24"/>
      <c r="EN892" s="15">
        <v>0.0</v>
      </c>
      <c r="EO892" s="15">
        <v>0.0</v>
      </c>
      <c r="EP892" s="15">
        <v>0.0</v>
      </c>
      <c r="EQ892" s="315">
        <v>0.0</v>
      </c>
      <c r="ER892" s="24"/>
      <c r="ES892" s="15">
        <v>0.0</v>
      </c>
      <c r="ET892" s="15">
        <v>0.0</v>
      </c>
      <c r="EU892" s="15">
        <v>0.0</v>
      </c>
      <c r="EV892" s="315">
        <v>0.0</v>
      </c>
      <c r="EW892" s="24"/>
      <c r="EX892" s="15">
        <v>0.0</v>
      </c>
      <c r="EY892" s="15">
        <v>0.0</v>
      </c>
      <c r="EZ892" s="15">
        <v>0.0</v>
      </c>
      <c r="FA892" s="315">
        <v>0.0</v>
      </c>
      <c r="FB892" s="24"/>
      <c r="FC892" s="15">
        <v>0.0</v>
      </c>
      <c r="FD892" s="15">
        <v>0.0</v>
      </c>
      <c r="FE892" s="15">
        <v>0.0</v>
      </c>
      <c r="FF892" s="315">
        <v>0.0</v>
      </c>
      <c r="FG892" s="24"/>
      <c r="FH892" s="104"/>
      <c r="FI892" s="15"/>
      <c r="FJ892" s="315"/>
      <c r="FK892" s="410"/>
      <c r="FL892" s="15"/>
    </row>
    <row r="893" ht="12.75" hidden="1" customHeight="1" outlineLevel="2">
      <c r="A893" s="45"/>
      <c r="B893" s="45" t="str">
        <f>B857</f>
        <v>ICG/All other</v>
      </c>
      <c r="C893" s="45"/>
      <c r="D893" s="410"/>
      <c r="E893" s="410"/>
      <c r="F893" s="410"/>
      <c r="G893" s="410"/>
      <c r="H893" s="410"/>
      <c r="I893" s="410"/>
      <c r="J893" s="410"/>
      <c r="K893" s="410"/>
      <c r="L893" s="410"/>
      <c r="M893" s="410"/>
      <c r="N893" s="410"/>
      <c r="O893" s="410">
        <f t="shared" ref="O893:Q893" si="4457">+O857/N857-1</f>
        <v>-0.3579439252</v>
      </c>
      <c r="P893" s="410">
        <f t="shared" si="4457"/>
        <v>-0.2751091703</v>
      </c>
      <c r="Q893" s="410">
        <f t="shared" si="4457"/>
        <v>-0.6686746988</v>
      </c>
      <c r="R893" s="410"/>
      <c r="S893" s="410">
        <f>+S857/Q857-1</f>
        <v>3.084848485</v>
      </c>
      <c r="T893" s="410">
        <f t="shared" ref="T893:V893" si="4458">+T857/S857-1</f>
        <v>0.7611275964</v>
      </c>
      <c r="U893" s="410">
        <f t="shared" si="4458"/>
        <v>-0.1069924179</v>
      </c>
      <c r="V893" s="410">
        <f t="shared" si="4458"/>
        <v>0.1783018868</v>
      </c>
      <c r="W893" s="410"/>
      <c r="X893" s="410">
        <f>+X857/V857-1</f>
        <v>0.1305044035</v>
      </c>
      <c r="Y893" s="410">
        <f t="shared" si="4459"/>
        <v>0.09135977337</v>
      </c>
      <c r="Z893" s="410">
        <f t="shared" ref="Z893:AA893" si="4460">+Z857/Y857-1</f>
        <v>0.09863724854</v>
      </c>
      <c r="AA893" s="410">
        <f t="shared" si="4460"/>
        <v>0.09332545777</v>
      </c>
      <c r="AB893" s="410"/>
      <c r="AC893" s="410">
        <f>+AC857/AA857-1</f>
        <v>-0.1658562939</v>
      </c>
      <c r="AD893" s="410">
        <f t="shared" ref="AD893:AF893" si="4461">+AD857/AC857-1</f>
        <v>-0.2182642487</v>
      </c>
      <c r="AE893" s="410">
        <f t="shared" si="4461"/>
        <v>-0.04556752278</v>
      </c>
      <c r="AF893" s="410">
        <f t="shared" si="4461"/>
        <v>0.03298611111</v>
      </c>
      <c r="AG893" s="410"/>
      <c r="AH893" s="410">
        <f t="shared" ref="AH893:AH894" si="4488">+AH857/AF857-1</f>
        <v>-0.1487394958</v>
      </c>
      <c r="AI893" s="410">
        <f t="shared" ref="AI893:AK893" si="4462">+AI857/AH857-1</f>
        <v>0.0918065153</v>
      </c>
      <c r="AJ893" s="410">
        <f t="shared" si="4462"/>
        <v>-0.008137432188</v>
      </c>
      <c r="AK893" s="410">
        <f t="shared" si="4462"/>
        <v>0.1230628988</v>
      </c>
      <c r="AL893" s="410"/>
      <c r="AM893" s="410">
        <f t="shared" ref="AM893:AM894" si="4490">+AM857/AK857-1</f>
        <v>-0.1956168831</v>
      </c>
      <c r="AN893" s="410">
        <f t="shared" ref="AN893:AP893" si="4463">+AN857/AM857-1</f>
        <v>-0.008072653885</v>
      </c>
      <c r="AO893" s="410">
        <f t="shared" si="4463"/>
        <v>0.01220752798</v>
      </c>
      <c r="AP893" s="410">
        <f t="shared" si="4463"/>
        <v>0.07537688442</v>
      </c>
      <c r="AQ893" s="410"/>
      <c r="AR893" s="410">
        <f t="shared" ref="AR893:AR894" si="4492">+AR857/AP857-1</f>
        <v>-0.003738317757</v>
      </c>
      <c r="AS893" s="410">
        <f t="shared" ref="AS893:AU893" si="4464">+AS857/AR857-1</f>
        <v>0.1960600375</v>
      </c>
      <c r="AT893" s="410">
        <f t="shared" si="4464"/>
        <v>0.04549019608</v>
      </c>
      <c r="AU893" s="410">
        <f t="shared" si="4464"/>
        <v>0.02625656414</v>
      </c>
      <c r="AV893" s="410"/>
      <c r="AW893" s="410" t="str">
        <f t="shared" ref="AW893:AW894" si="4494">+AW857/AU857-1</f>
        <v>#ERROR!</v>
      </c>
      <c r="AX893" s="410" t="str">
        <f t="shared" ref="AX893:AZ893" si="4465">+AX857/AW857-1</f>
        <v>#ERROR!</v>
      </c>
      <c r="AY893" s="410" t="str">
        <f t="shared" si="4465"/>
        <v>#ERROR!</v>
      </c>
      <c r="AZ893" s="410" t="str">
        <f t="shared" si="4465"/>
        <v>#ERROR!</v>
      </c>
      <c r="BA893" s="410"/>
      <c r="BB893" s="410" t="str">
        <f t="shared" ref="BB893:BB894" si="4496">+BB857/AZ857-1</f>
        <v>#ERROR!</v>
      </c>
      <c r="BC893" s="410" t="str">
        <f t="shared" ref="BC893:BE893" si="4466">+BC857/BB857-1</f>
        <v>#ERROR!</v>
      </c>
      <c r="BD893" s="410" t="str">
        <f t="shared" si="4466"/>
        <v>#ERROR!</v>
      </c>
      <c r="BE893" s="410" t="str">
        <f t="shared" si="4466"/>
        <v>#ERROR!</v>
      </c>
      <c r="BF893" s="410"/>
      <c r="BG893" s="410" t="str">
        <f t="shared" ref="BG893:BG894" si="4498">+BG857/BE857-1</f>
        <v>#ERROR!</v>
      </c>
      <c r="BH893" s="410" t="str">
        <f t="shared" ref="BH893:BJ893" si="4467">+BH857/BG857-1</f>
        <v>#ERROR!</v>
      </c>
      <c r="BI893" s="410" t="str">
        <f t="shared" si="4467"/>
        <v>#ERROR!</v>
      </c>
      <c r="BJ893" s="410" t="str">
        <f t="shared" si="4467"/>
        <v>#ERROR!</v>
      </c>
      <c r="BK893" s="410"/>
      <c r="BL893" s="410" t="str">
        <f t="shared" ref="BL893:BL894" si="4500">+BL857/BJ857-1</f>
        <v>#ERROR!</v>
      </c>
      <c r="BM893" s="410" t="str">
        <f t="shared" ref="BM893:BO893" si="4468">+BM857/BL857-1</f>
        <v>#ERROR!</v>
      </c>
      <c r="BN893" s="410" t="str">
        <f t="shared" si="4468"/>
        <v>#ERROR!</v>
      </c>
      <c r="BO893" s="410" t="str">
        <f t="shared" si="4468"/>
        <v>#ERROR!</v>
      </c>
      <c r="BP893" s="410"/>
      <c r="BQ893" s="410" t="str">
        <f t="shared" ref="BQ893:BQ894" si="4502">+BQ857/BO857-1</f>
        <v>#ERROR!</v>
      </c>
      <c r="BR893" s="410" t="str">
        <f t="shared" ref="BR893:BT893" si="4469">+BR857/BQ857-1</f>
        <v>#ERROR!</v>
      </c>
      <c r="BS893" s="410" t="str">
        <f t="shared" si="4469"/>
        <v>#ERROR!</v>
      </c>
      <c r="BT893" s="410" t="str">
        <f t="shared" si="4469"/>
        <v>#ERROR!</v>
      </c>
      <c r="BU893" s="410"/>
      <c r="BV893" s="410" t="str">
        <f t="shared" ref="BV893:BV894" si="4504">+BV857/BT857-1</f>
        <v>#ERROR!</v>
      </c>
      <c r="BW893" s="410" t="str">
        <f t="shared" ref="BW893:BY893" si="4470">+BW857/BV857-1</f>
        <v>#ERROR!</v>
      </c>
      <c r="BX893" s="410" t="str">
        <f t="shared" si="4470"/>
        <v>#ERROR!</v>
      </c>
      <c r="BY893" s="410" t="str">
        <f t="shared" si="4470"/>
        <v>#ERROR!</v>
      </c>
      <c r="BZ893" s="24"/>
      <c r="CA893" s="410" t="str">
        <f t="shared" ref="CA893:CA894" si="4506">+CA857/BY857-1</f>
        <v>#ERROR!</v>
      </c>
      <c r="CB893" s="410" t="str">
        <f t="shared" ref="CB893:CD893" si="4471">+CB857/CA857-1</f>
        <v>#ERROR!</v>
      </c>
      <c r="CC893" s="410" t="str">
        <f t="shared" si="4471"/>
        <v>#ERROR!</v>
      </c>
      <c r="CD893" s="410" t="str">
        <f t="shared" si="4471"/>
        <v>#ERROR!</v>
      </c>
      <c r="CE893" s="24"/>
      <c r="CF893" s="410" t="str">
        <f t="shared" ref="CF893:CF894" si="4508">+CF857/CD857-1</f>
        <v>#ERROR!</v>
      </c>
      <c r="CG893" s="410" t="str">
        <f t="shared" ref="CG893:CI893" si="4472">+CG857/CF857-1</f>
        <v>#ERROR!</v>
      </c>
      <c r="CH893" s="410" t="str">
        <f t="shared" si="4472"/>
        <v>#ERROR!</v>
      </c>
      <c r="CI893" s="410" t="str">
        <f t="shared" si="4472"/>
        <v>#ERROR!</v>
      </c>
      <c r="CJ893" s="24"/>
      <c r="CK893" s="410" t="str">
        <f t="shared" ref="CK893:CK894" si="4510">+CK857/CI857-1</f>
        <v>#ERROR!</v>
      </c>
      <c r="CL893" s="410" t="str">
        <f t="shared" ref="CL893:CN893" si="4473">+CL857/CK857-1</f>
        <v>#ERROR!</v>
      </c>
      <c r="CM893" s="410" t="str">
        <f t="shared" si="4473"/>
        <v>#ERROR!</v>
      </c>
      <c r="CN893" s="104" t="str">
        <f t="shared" si="4473"/>
        <v>#ERROR!</v>
      </c>
      <c r="CO893" s="24"/>
      <c r="CP893" s="104" t="str">
        <f t="shared" ref="CP893:CP894" si="4512">+CP857/CN857-1</f>
        <v>#ERROR!</v>
      </c>
      <c r="CQ893" s="410" t="str">
        <f t="shared" ref="CQ893:CS893" si="4474">+CQ857/CP857-1</f>
        <v>#ERROR!</v>
      </c>
      <c r="CR893" s="410" t="str">
        <f t="shared" si="4474"/>
        <v>#ERROR!</v>
      </c>
      <c r="CS893" s="410" t="str">
        <f t="shared" si="4474"/>
        <v>#ERROR!</v>
      </c>
      <c r="CT893" s="24"/>
      <c r="CU893" s="410" t="str">
        <f t="shared" ref="CU893:CU894" si="4514">+CU857/CS857-1</f>
        <v>#ERROR!</v>
      </c>
      <c r="CV893" s="410" t="str">
        <f t="shared" ref="CV893:CX893" si="4475">+CV857/CU857-1</f>
        <v>#ERROR!</v>
      </c>
      <c r="CW893" s="410" t="str">
        <f t="shared" si="4475"/>
        <v>#ERROR!</v>
      </c>
      <c r="CX893" s="410" t="str">
        <f t="shared" si="4475"/>
        <v>#ERROR!</v>
      </c>
      <c r="CY893" s="24"/>
      <c r="CZ893" s="410" t="str">
        <f t="shared" ref="CZ893:CZ894" si="4516">+CZ857/CX857-1</f>
        <v>#ERROR!</v>
      </c>
      <c r="DA893" s="410" t="str">
        <f t="shared" ref="DA893:DC893" si="4476">+DA857/CZ857-1</f>
        <v>#ERROR!</v>
      </c>
      <c r="DB893" s="410" t="str">
        <f t="shared" si="4476"/>
        <v>#ERROR!</v>
      </c>
      <c r="DC893" s="410" t="str">
        <f t="shared" si="4476"/>
        <v>#ERROR!</v>
      </c>
      <c r="DD893" s="24"/>
      <c r="DE893" s="410" t="str">
        <f t="shared" ref="DE893:DE894" si="4518">+DE857/DC857-1</f>
        <v>#ERROR!</v>
      </c>
      <c r="DF893" s="410" t="str">
        <f t="shared" ref="DF893:DH893" si="4477">+DF857/DE857-1</f>
        <v>#ERROR!</v>
      </c>
      <c r="DG893" s="104" t="str">
        <f t="shared" si="4477"/>
        <v>#ERROR!</v>
      </c>
      <c r="DH893" s="410" t="str">
        <f t="shared" si="4477"/>
        <v>#ERROR!</v>
      </c>
      <c r="DI893" s="24"/>
      <c r="DJ893" s="104" t="str">
        <f t="shared" ref="DJ893:DJ894" si="4520">+DJ857/DH857-1</f>
        <v>#ERROR!</v>
      </c>
      <c r="DK893" s="104" t="str">
        <f t="shared" ref="DK893:DM893" si="4478">+DK857/DJ857-1</f>
        <v>#ERROR!</v>
      </c>
      <c r="DL893" s="104" t="str">
        <f t="shared" si="4478"/>
        <v>#ERROR!</v>
      </c>
      <c r="DM893" s="410" t="str">
        <f t="shared" si="4478"/>
        <v>#ERROR!</v>
      </c>
      <c r="DN893" s="24"/>
      <c r="DO893" s="410" t="str">
        <f t="shared" ref="DO893:DO894" si="4522">+DO857/DM857-1</f>
        <v>#ERROR!</v>
      </c>
      <c r="DP893" s="410" t="str">
        <f t="shared" ref="DP893:DR893" si="4479">+DP857/DO857-1</f>
        <v>#ERROR!</v>
      </c>
      <c r="DQ893" s="410" t="str">
        <f t="shared" si="4479"/>
        <v>#ERROR!</v>
      </c>
      <c r="DR893" s="410" t="str">
        <f t="shared" si="4479"/>
        <v>#ERROR!</v>
      </c>
      <c r="DS893" s="24"/>
      <c r="DT893" s="410" t="str">
        <f t="shared" ref="DT893:DT894" si="4524">+DT857/DR857-1</f>
        <v>#ERROR!</v>
      </c>
      <c r="DU893" s="410" t="str">
        <f t="shared" ref="DU893:DW893" si="4480">+DU857/DT857-1</f>
        <v>#ERROR!</v>
      </c>
      <c r="DV893" s="410" t="str">
        <f t="shared" si="4480"/>
        <v>#ERROR!</v>
      </c>
      <c r="DW893" s="410" t="str">
        <f t="shared" si="4480"/>
        <v>#ERROR!</v>
      </c>
      <c r="DX893" s="24"/>
      <c r="DY893" s="410" t="str">
        <f t="shared" ref="DY893:DY894" si="4526">+DY857/DW857-1</f>
        <v>#ERROR!</v>
      </c>
      <c r="DZ893" s="410" t="str">
        <f t="shared" ref="DZ893:EB893" si="4481">+DZ857/DY857-1</f>
        <v>#ERROR!</v>
      </c>
      <c r="EA893" s="410" t="str">
        <f t="shared" si="4481"/>
        <v>#ERROR!</v>
      </c>
      <c r="EB893" s="410" t="str">
        <f t="shared" si="4481"/>
        <v>#ERROR!</v>
      </c>
      <c r="EC893" s="24"/>
      <c r="ED893" s="410" t="str">
        <f t="shared" ref="ED893:ED894" si="4528">+ED857/EB857-1</f>
        <v>#ERROR!</v>
      </c>
      <c r="EE893" s="410" t="str">
        <f t="shared" ref="EE893:EG893" si="4482">+EE857/ED857-1</f>
        <v>#ERROR!</v>
      </c>
      <c r="EF893" s="410" t="str">
        <f t="shared" si="4482"/>
        <v>#ERROR!</v>
      </c>
      <c r="EG893" s="410" t="str">
        <f t="shared" si="4482"/>
        <v>#ERROR!</v>
      </c>
      <c r="EH893" s="24"/>
      <c r="EI893" s="317" t="str">
        <f t="shared" ref="EI893:EI894" si="4530">+EI857/EG857-1</f>
        <v>#ERROR!</v>
      </c>
      <c r="EJ893" s="410" t="str">
        <f t="shared" ref="EJ893:EL893" si="4483">+EJ857/EI857-1</f>
        <v>#ERROR!</v>
      </c>
      <c r="EK893" s="410" t="str">
        <f t="shared" si="4483"/>
        <v>#ERROR!</v>
      </c>
      <c r="EL893" s="410" t="str">
        <f t="shared" si="4483"/>
        <v>#ERROR!</v>
      </c>
      <c r="EM893" s="24"/>
      <c r="EN893" s="410" t="str">
        <f t="shared" ref="EN893:EN894" si="4532">+EN857/EL857-1</f>
        <v>#ERROR!</v>
      </c>
      <c r="EO893" s="410" t="str">
        <f t="shared" ref="EO893:EQ893" si="4484">+EO857/EN857-1</f>
        <v>#ERROR!</v>
      </c>
      <c r="EP893" s="410" t="str">
        <f t="shared" si="4484"/>
        <v>#ERROR!</v>
      </c>
      <c r="EQ893" s="410" t="str">
        <f t="shared" si="4484"/>
        <v>#ERROR!</v>
      </c>
      <c r="ER893" s="24"/>
      <c r="ES893" s="410" t="str">
        <f t="shared" ref="ES893:ES894" si="4534">+ES857/EQ857-1</f>
        <v>#ERROR!</v>
      </c>
      <c r="ET893" s="410" t="str">
        <f t="shared" ref="ET893:EV893" si="4485">+ET857/ES857-1</f>
        <v>#ERROR!</v>
      </c>
      <c r="EU893" s="410" t="str">
        <f t="shared" si="4485"/>
        <v>#ERROR!</v>
      </c>
      <c r="EV893" s="410" t="str">
        <f t="shared" si="4485"/>
        <v>#ERROR!</v>
      </c>
      <c r="EW893" s="24"/>
      <c r="EX893" s="410" t="str">
        <f t="shared" ref="EX893:EX894" si="4536">+EX857/EV857-1</f>
        <v>#ERROR!</v>
      </c>
      <c r="EY893" s="410" t="str">
        <f t="shared" ref="EY893:FA893" si="4486">+EY857/EX857-1</f>
        <v>#ERROR!</v>
      </c>
      <c r="EZ893" s="410" t="str">
        <f t="shared" si="4486"/>
        <v>#ERROR!</v>
      </c>
      <c r="FA893" s="410" t="str">
        <f t="shared" si="4486"/>
        <v>#ERROR!</v>
      </c>
      <c r="FB893" s="24"/>
      <c r="FC893" s="410" t="str">
        <f t="shared" ref="FC893:FC894" si="4538">+FC857/FA857-1</f>
        <v>#ERROR!</v>
      </c>
      <c r="FD893" s="410" t="str">
        <f t="shared" ref="FD893:FF893" si="4487">+FD857/FC857-1</f>
        <v>#ERROR!</v>
      </c>
      <c r="FE893" s="410" t="str">
        <f t="shared" si="4487"/>
        <v>#ERROR!</v>
      </c>
      <c r="FF893" s="410" t="str">
        <f t="shared" si="4487"/>
        <v>#ERROR!</v>
      </c>
      <c r="FG893" s="24"/>
      <c r="FH893" s="104"/>
      <c r="FI893" s="410"/>
      <c r="FJ893" s="410"/>
      <c r="FK893" s="410"/>
      <c r="FL893" s="410"/>
    </row>
    <row r="894" ht="13.5" hidden="1" customHeight="1" outlineLevel="2">
      <c r="A894" s="4"/>
      <c r="B894" s="529" t="s">
        <v>291</v>
      </c>
      <c r="C894" s="529"/>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f t="shared" si="4488"/>
        <v>-0.0289273951</v>
      </c>
      <c r="AI894" s="596">
        <f t="shared" ref="AI894:AK894" si="4489">+AI858/AH858-1</f>
        <v>-0.06813154402</v>
      </c>
      <c r="AJ894" s="596">
        <f t="shared" si="4489"/>
        <v>0.0292767843</v>
      </c>
      <c r="AK894" s="596">
        <f t="shared" si="4489"/>
        <v>0.1008610086</v>
      </c>
      <c r="AL894" s="596"/>
      <c r="AM894" s="596">
        <f t="shared" si="4490"/>
        <v>-0.05712290503</v>
      </c>
      <c r="AN894" s="596">
        <f t="shared" ref="AN894:AP894" si="4491">+AN858/AM858-1</f>
        <v>0.009628203229</v>
      </c>
      <c r="AO894" s="596">
        <f t="shared" si="4491"/>
        <v>0.1492077465</v>
      </c>
      <c r="AP894" s="596">
        <f t="shared" si="4491"/>
        <v>0.1159198264</v>
      </c>
      <c r="AQ894" s="596"/>
      <c r="AR894" s="596">
        <f t="shared" si="4492"/>
        <v>-0.07436220112</v>
      </c>
      <c r="AS894" s="596">
        <f t="shared" ref="AS894:AU894" si="4493">+AS858/AR858-1</f>
        <v>-0.005190952911</v>
      </c>
      <c r="AT894" s="596">
        <f t="shared" si="4493"/>
        <v>0.05242887315</v>
      </c>
      <c r="AU894" s="596">
        <f t="shared" si="4493"/>
        <v>0.1330421438</v>
      </c>
      <c r="AV894" s="596"/>
      <c r="AW894" s="596" t="str">
        <f t="shared" si="4494"/>
        <v>#ERROR!</v>
      </c>
      <c r="AX894" s="596" t="str">
        <f t="shared" ref="AX894:AZ894" si="4495">+AX858/AW858-1</f>
        <v>#ERROR!</v>
      </c>
      <c r="AY894" s="596" t="str">
        <f t="shared" si="4495"/>
        <v>#ERROR!</v>
      </c>
      <c r="AZ894" s="596" t="str">
        <f t="shared" si="4495"/>
        <v>#ERROR!</v>
      </c>
      <c r="BA894" s="596"/>
      <c r="BB894" s="596" t="str">
        <f t="shared" si="4496"/>
        <v>#ERROR!</v>
      </c>
      <c r="BC894" s="596" t="str">
        <f t="shared" ref="BC894:BE894" si="4497">+BC858/BB858-1</f>
        <v>#ERROR!</v>
      </c>
      <c r="BD894" s="596" t="str">
        <f t="shared" si="4497"/>
        <v>#ERROR!</v>
      </c>
      <c r="BE894" s="596" t="str">
        <f t="shared" si="4497"/>
        <v>#ERROR!</v>
      </c>
      <c r="BF894" s="596"/>
      <c r="BG894" s="596" t="str">
        <f t="shared" si="4498"/>
        <v>#ERROR!</v>
      </c>
      <c r="BH894" s="596" t="str">
        <f t="shared" ref="BH894:BJ894" si="4499">+BH858/BG858-1</f>
        <v>#ERROR!</v>
      </c>
      <c r="BI894" s="596" t="str">
        <f t="shared" si="4499"/>
        <v>#ERROR!</v>
      </c>
      <c r="BJ894" s="596" t="str">
        <f t="shared" si="4499"/>
        <v>#ERROR!</v>
      </c>
      <c r="BK894" s="596"/>
      <c r="BL894" s="596" t="str">
        <f t="shared" si="4500"/>
        <v>#ERROR!</v>
      </c>
      <c r="BM894" s="596" t="str">
        <f t="shared" ref="BM894:BO894" si="4501">+BM858/BL858-1</f>
        <v>#ERROR!</v>
      </c>
      <c r="BN894" s="596" t="str">
        <f t="shared" si="4501"/>
        <v>#ERROR!</v>
      </c>
      <c r="BO894" s="596" t="str">
        <f t="shared" si="4501"/>
        <v>#ERROR!</v>
      </c>
      <c r="BP894" s="596"/>
      <c r="BQ894" s="596" t="str">
        <f t="shared" si="4502"/>
        <v>#ERROR!</v>
      </c>
      <c r="BR894" s="596" t="str">
        <f t="shared" ref="BR894:BT894" si="4503">+BR858/BQ858-1</f>
        <v>#ERROR!</v>
      </c>
      <c r="BS894" s="596" t="str">
        <f t="shared" si="4503"/>
        <v>#ERROR!</v>
      </c>
      <c r="BT894" s="596" t="str">
        <f t="shared" si="4503"/>
        <v>#ERROR!</v>
      </c>
      <c r="BU894" s="596"/>
      <c r="BV894" s="596" t="str">
        <f t="shared" si="4504"/>
        <v>#ERROR!</v>
      </c>
      <c r="BW894" s="596" t="str">
        <f t="shared" ref="BW894:BY894" si="4505">+BW858/BV858-1</f>
        <v>#ERROR!</v>
      </c>
      <c r="BX894" s="596" t="str">
        <f t="shared" si="4505"/>
        <v>#ERROR!</v>
      </c>
      <c r="BY894" s="596" t="str">
        <f t="shared" si="4505"/>
        <v>#ERROR!</v>
      </c>
      <c r="BZ894" s="597"/>
      <c r="CA894" s="596" t="str">
        <f t="shared" si="4506"/>
        <v>#ERROR!</v>
      </c>
      <c r="CB894" s="596" t="str">
        <f t="shared" ref="CB894:CD894" si="4507">+CB858/CA858-1</f>
        <v>#ERROR!</v>
      </c>
      <c r="CC894" s="596" t="str">
        <f t="shared" si="4507"/>
        <v>#ERROR!</v>
      </c>
      <c r="CD894" s="596" t="str">
        <f t="shared" si="4507"/>
        <v>#ERROR!</v>
      </c>
      <c r="CE894" s="597"/>
      <c r="CF894" s="596" t="str">
        <f t="shared" si="4508"/>
        <v>#ERROR!</v>
      </c>
      <c r="CG894" s="596" t="str">
        <f t="shared" ref="CG894:CI894" si="4509">+CG858/CF858-1</f>
        <v>#ERROR!</v>
      </c>
      <c r="CH894" s="596" t="str">
        <f t="shared" si="4509"/>
        <v>#ERROR!</v>
      </c>
      <c r="CI894" s="596" t="str">
        <f t="shared" si="4509"/>
        <v>#ERROR!</v>
      </c>
      <c r="CJ894" s="597"/>
      <c r="CK894" s="596" t="str">
        <f t="shared" si="4510"/>
        <v>#ERROR!</v>
      </c>
      <c r="CL894" s="596" t="str">
        <f t="shared" ref="CL894:CN894" si="4511">+CL858/CK858-1</f>
        <v>#ERROR!</v>
      </c>
      <c r="CM894" s="596" t="str">
        <f t="shared" si="4511"/>
        <v>#ERROR!</v>
      </c>
      <c r="CN894" s="595" t="str">
        <f t="shared" si="4511"/>
        <v>#ERROR!</v>
      </c>
      <c r="CO894" s="597"/>
      <c r="CP894" s="595" t="str">
        <f t="shared" si="4512"/>
        <v>#ERROR!</v>
      </c>
      <c r="CQ894" s="596" t="str">
        <f t="shared" ref="CQ894:CS894" si="4513">+CQ858/CP858-1</f>
        <v>#ERROR!</v>
      </c>
      <c r="CR894" s="596" t="str">
        <f t="shared" si="4513"/>
        <v>#ERROR!</v>
      </c>
      <c r="CS894" s="596" t="str">
        <f t="shared" si="4513"/>
        <v>#ERROR!</v>
      </c>
      <c r="CT894" s="597"/>
      <c r="CU894" s="596" t="str">
        <f t="shared" si="4514"/>
        <v>#ERROR!</v>
      </c>
      <c r="CV894" s="596" t="str">
        <f t="shared" ref="CV894:CX894" si="4515">+CV858/CU858-1</f>
        <v>#ERROR!</v>
      </c>
      <c r="CW894" s="596" t="str">
        <f t="shared" si="4515"/>
        <v>#ERROR!</v>
      </c>
      <c r="CX894" s="596" t="str">
        <f t="shared" si="4515"/>
        <v>#ERROR!</v>
      </c>
      <c r="CY894" s="597"/>
      <c r="CZ894" s="596" t="str">
        <f t="shared" si="4516"/>
        <v>#ERROR!</v>
      </c>
      <c r="DA894" s="596" t="str">
        <f t="shared" ref="DA894:DC894" si="4517">+DA858/CZ858-1</f>
        <v>#ERROR!</v>
      </c>
      <c r="DB894" s="596" t="str">
        <f t="shared" si="4517"/>
        <v>#ERROR!</v>
      </c>
      <c r="DC894" s="596" t="str">
        <f t="shared" si="4517"/>
        <v>#ERROR!</v>
      </c>
      <c r="DD894" s="597"/>
      <c r="DE894" s="596" t="str">
        <f t="shared" si="4518"/>
        <v>#ERROR!</v>
      </c>
      <c r="DF894" s="596" t="str">
        <f t="shared" ref="DF894:DH894" si="4519">+DF858/DE858-1</f>
        <v>#ERROR!</v>
      </c>
      <c r="DG894" s="104" t="str">
        <f t="shared" si="4519"/>
        <v>#ERROR!</v>
      </c>
      <c r="DH894" s="596" t="str">
        <f t="shared" si="4519"/>
        <v>#ERROR!</v>
      </c>
      <c r="DI894" s="597"/>
      <c r="DJ894" s="595" t="str">
        <f t="shared" si="4520"/>
        <v>#ERROR!</v>
      </c>
      <c r="DK894" s="595" t="str">
        <f t="shared" ref="DK894:DM894" si="4521">+DK858/DJ858-1</f>
        <v>#ERROR!</v>
      </c>
      <c r="DL894" s="595" t="str">
        <f t="shared" si="4521"/>
        <v>#ERROR!</v>
      </c>
      <c r="DM894" s="596" t="str">
        <f t="shared" si="4521"/>
        <v>#ERROR!</v>
      </c>
      <c r="DN894" s="597"/>
      <c r="DO894" s="596" t="str">
        <f t="shared" si="4522"/>
        <v>#ERROR!</v>
      </c>
      <c r="DP894" s="596" t="str">
        <f t="shared" ref="DP894:DR894" si="4523">+DP858/DO858-1</f>
        <v>#ERROR!</v>
      </c>
      <c r="DQ894" s="596" t="str">
        <f t="shared" si="4523"/>
        <v>#ERROR!</v>
      </c>
      <c r="DR894" s="596" t="str">
        <f t="shared" si="4523"/>
        <v>#ERROR!</v>
      </c>
      <c r="DS894" s="597"/>
      <c r="DT894" s="596" t="str">
        <f t="shared" si="4524"/>
        <v>#ERROR!</v>
      </c>
      <c r="DU894" s="596" t="str">
        <f t="shared" ref="DU894:DW894" si="4525">+DU858/DT858-1</f>
        <v>#ERROR!</v>
      </c>
      <c r="DV894" s="596" t="str">
        <f t="shared" si="4525"/>
        <v>#ERROR!</v>
      </c>
      <c r="DW894" s="596" t="str">
        <f t="shared" si="4525"/>
        <v>#ERROR!</v>
      </c>
      <c r="DX894" s="597"/>
      <c r="DY894" s="596" t="str">
        <f t="shared" si="4526"/>
        <v>#ERROR!</v>
      </c>
      <c r="DZ894" s="596" t="str">
        <f t="shared" ref="DZ894:EB894" si="4527">+DZ858/DY858-1</f>
        <v>#ERROR!</v>
      </c>
      <c r="EA894" s="596" t="str">
        <f t="shared" si="4527"/>
        <v>#ERROR!</v>
      </c>
      <c r="EB894" s="596" t="str">
        <f t="shared" si="4527"/>
        <v>#ERROR!</v>
      </c>
      <c r="EC894" s="597"/>
      <c r="ED894" s="596" t="str">
        <f t="shared" si="4528"/>
        <v>#ERROR!</v>
      </c>
      <c r="EE894" s="596" t="str">
        <f t="shared" ref="EE894:EG894" si="4529">+EE858/ED858-1</f>
        <v>#ERROR!</v>
      </c>
      <c r="EF894" s="596" t="str">
        <f t="shared" si="4529"/>
        <v>#ERROR!</v>
      </c>
      <c r="EG894" s="596" t="str">
        <f t="shared" si="4529"/>
        <v>#ERROR!</v>
      </c>
      <c r="EH894" s="597"/>
      <c r="EI894" s="598" t="str">
        <f t="shared" si="4530"/>
        <v>#ERROR!</v>
      </c>
      <c r="EJ894" s="596" t="str">
        <f t="shared" ref="EJ894:EL894" si="4531">+EJ858/EI858-1</f>
        <v>#ERROR!</v>
      </c>
      <c r="EK894" s="596" t="str">
        <f t="shared" si="4531"/>
        <v>#ERROR!</v>
      </c>
      <c r="EL894" s="596" t="str">
        <f t="shared" si="4531"/>
        <v>#ERROR!</v>
      </c>
      <c r="EM894" s="597"/>
      <c r="EN894" s="596" t="str">
        <f t="shared" si="4532"/>
        <v>#ERROR!</v>
      </c>
      <c r="EO894" s="596" t="str">
        <f t="shared" ref="EO894:EQ894" si="4533">+EO858/EN858-1</f>
        <v>#ERROR!</v>
      </c>
      <c r="EP894" s="596" t="str">
        <f t="shared" si="4533"/>
        <v>#ERROR!</v>
      </c>
      <c r="EQ894" s="596" t="str">
        <f t="shared" si="4533"/>
        <v>#ERROR!</v>
      </c>
      <c r="ER894" s="597"/>
      <c r="ES894" s="596" t="str">
        <f t="shared" si="4534"/>
        <v>#ERROR!</v>
      </c>
      <c r="ET894" s="596" t="str">
        <f t="shared" ref="ET894:EV894" si="4535">+ET858/ES858-1</f>
        <v>#ERROR!</v>
      </c>
      <c r="EU894" s="596" t="str">
        <f t="shared" si="4535"/>
        <v>#ERROR!</v>
      </c>
      <c r="EV894" s="596" t="str">
        <f t="shared" si="4535"/>
        <v>#ERROR!</v>
      </c>
      <c r="EW894" s="597"/>
      <c r="EX894" s="596" t="str">
        <f t="shared" si="4536"/>
        <v>#ERROR!</v>
      </c>
      <c r="EY894" s="596" t="str">
        <f t="shared" ref="EY894:FA894" si="4537">+EY858/EX858-1</f>
        <v>#ERROR!</v>
      </c>
      <c r="EZ894" s="596" t="str">
        <f t="shared" si="4537"/>
        <v>#ERROR!</v>
      </c>
      <c r="FA894" s="596" t="str">
        <f t="shared" si="4537"/>
        <v>#ERROR!</v>
      </c>
      <c r="FB894" s="597"/>
      <c r="FC894" s="596" t="str">
        <f t="shared" si="4538"/>
        <v>#ERROR!</v>
      </c>
      <c r="FD894" s="596" t="str">
        <f t="shared" ref="FD894:FF894" si="4539">+FD858/FC858-1</f>
        <v>#ERROR!</v>
      </c>
      <c r="FE894" s="596" t="str">
        <f t="shared" si="4539"/>
        <v>#ERROR!</v>
      </c>
      <c r="FF894" s="596" t="str">
        <f t="shared" si="4539"/>
        <v>#ERROR!</v>
      </c>
      <c r="FG894" s="597"/>
      <c r="FH894" s="595"/>
      <c r="FI894" s="596"/>
      <c r="FJ894" s="596"/>
      <c r="FK894" s="596"/>
      <c r="FL894" s="596"/>
    </row>
    <row r="895" ht="12.75" hidden="1" customHeight="1" outlineLevel="2">
      <c r="A895" s="4"/>
      <c r="B895" s="4"/>
      <c r="C895" s="4"/>
      <c r="D895" s="45"/>
      <c r="E895" s="4"/>
      <c r="F895" s="4"/>
      <c r="G895" s="4"/>
      <c r="H895" s="45"/>
      <c r="I895" s="45"/>
      <c r="J895" s="4"/>
      <c r="K895" s="4"/>
      <c r="L895" s="4"/>
      <c r="M895" s="45"/>
      <c r="N895" s="45"/>
      <c r="O895" s="4"/>
      <c r="P895" s="4"/>
      <c r="Q895" s="4"/>
      <c r="R895" s="45"/>
      <c r="S895" s="45"/>
      <c r="T895" s="4"/>
      <c r="U895" s="4"/>
      <c r="V895" s="4"/>
      <c r="W895" s="45"/>
      <c r="X895" s="45"/>
      <c r="Y895" s="4"/>
      <c r="Z895" s="4"/>
      <c r="AA895" s="4"/>
      <c r="AB895" s="45"/>
      <c r="AC895" s="45"/>
      <c r="AD895" s="4"/>
      <c r="AE895" s="4"/>
      <c r="AF895" s="4"/>
      <c r="AG895" s="45"/>
      <c r="AH895" s="45"/>
      <c r="AI895" s="4"/>
      <c r="AJ895" s="4"/>
      <c r="AK895" s="4"/>
      <c r="AL895" s="45"/>
      <c r="AM895" s="45"/>
      <c r="AN895" s="4"/>
      <c r="AO895" s="4"/>
      <c r="AP895" s="4"/>
      <c r="AQ895" s="45"/>
      <c r="AR895" s="45"/>
      <c r="AS895" s="4"/>
      <c r="AT895" s="4"/>
      <c r="AU895" s="4"/>
      <c r="AV895" s="45"/>
      <c r="AW895" s="45"/>
      <c r="AX895" s="4"/>
      <c r="AY895" s="4"/>
      <c r="AZ895" s="4"/>
      <c r="BA895" s="45"/>
      <c r="BB895" s="45"/>
      <c r="BC895" s="4"/>
      <c r="BD895" s="4"/>
      <c r="BE895" s="4"/>
      <c r="BF895" s="45"/>
      <c r="BG895" s="45"/>
      <c r="BH895" s="4"/>
      <c r="BI895" s="4"/>
      <c r="BJ895" s="4"/>
      <c r="BK895" s="45"/>
      <c r="BL895" s="45"/>
      <c r="BM895" s="4"/>
      <c r="BN895" s="4"/>
      <c r="BO895" s="4"/>
      <c r="BP895" s="45"/>
      <c r="BQ895" s="45"/>
      <c r="BR895" s="4"/>
      <c r="BS895" s="4"/>
      <c r="BT895" s="4"/>
      <c r="BU895" s="45"/>
      <c r="BV895" s="45"/>
      <c r="BW895" s="4"/>
      <c r="BX895" s="4"/>
      <c r="BY895" s="4"/>
      <c r="BZ895" s="350"/>
      <c r="CA895" s="45"/>
      <c r="CB895" s="4"/>
      <c r="CC895" s="4"/>
      <c r="CD895" s="4"/>
      <c r="CE895" s="350"/>
      <c r="CF895" s="45"/>
      <c r="CG895" s="4"/>
      <c r="CH895" s="4"/>
      <c r="CI895" s="4"/>
      <c r="CJ895" s="350"/>
      <c r="CK895" s="45"/>
      <c r="CL895" s="4"/>
      <c r="CM895" s="4"/>
      <c r="CN895" s="16"/>
      <c r="CO895" s="350"/>
      <c r="CP895" s="16"/>
      <c r="CQ895" s="4"/>
      <c r="CR895" s="4"/>
      <c r="CS895" s="4"/>
      <c r="CT895" s="350"/>
      <c r="CU895" s="45"/>
      <c r="CV895" s="4"/>
      <c r="CW895" s="4"/>
      <c r="CX895" s="4"/>
      <c r="CY895" s="350"/>
      <c r="CZ895" s="45"/>
      <c r="DA895" s="4"/>
      <c r="DB895" s="4"/>
      <c r="DC895" s="4"/>
      <c r="DD895" s="350"/>
      <c r="DE895" s="45"/>
      <c r="DF895" s="4"/>
      <c r="DG895" s="16"/>
      <c r="DH895" s="4"/>
      <c r="DI895" s="350"/>
      <c r="DJ895" s="145"/>
      <c r="DK895" s="16"/>
      <c r="DL895" s="16"/>
      <c r="DM895" s="4"/>
      <c r="DN895" s="350"/>
      <c r="DO895" s="45"/>
      <c r="DP895" s="4"/>
      <c r="DQ895" s="4"/>
      <c r="DR895" s="4"/>
      <c r="DS895" s="350"/>
      <c r="DT895" s="45"/>
      <c r="DU895" s="45"/>
      <c r="DV895" s="45"/>
      <c r="DW895" s="45"/>
      <c r="DX895" s="350"/>
      <c r="DY895" s="45"/>
      <c r="DZ895" s="45"/>
      <c r="EA895" s="45"/>
      <c r="EB895" s="45"/>
      <c r="EC895" s="350"/>
      <c r="ED895" s="45"/>
      <c r="EE895" s="45"/>
      <c r="EF895" s="45"/>
      <c r="EG895" s="45"/>
      <c r="EH895" s="350"/>
      <c r="EI895" s="214"/>
      <c r="EJ895" s="4"/>
      <c r="EK895" s="4"/>
      <c r="EL895" s="4"/>
      <c r="EM895" s="350"/>
      <c r="EN895" s="45"/>
      <c r="EO895" s="4"/>
      <c r="EP895" s="4"/>
      <c r="EQ895" s="4"/>
      <c r="ER895" s="350"/>
      <c r="ES895" s="45"/>
      <c r="ET895" s="4"/>
      <c r="EU895" s="4"/>
      <c r="EV895" s="4"/>
      <c r="EW895" s="350"/>
      <c r="EX895" s="45"/>
      <c r="EY895" s="4"/>
      <c r="EZ895" s="4"/>
      <c r="FA895" s="4"/>
      <c r="FB895" s="350"/>
      <c r="FC895" s="45"/>
      <c r="FD895" s="4"/>
      <c r="FE895" s="4"/>
      <c r="FF895" s="4"/>
      <c r="FG895" s="350"/>
      <c r="FH895" s="145"/>
      <c r="FI895" s="4"/>
      <c r="FJ895" s="4"/>
      <c r="FK895" s="45"/>
      <c r="FL895" s="45"/>
    </row>
    <row r="896" ht="12.75" hidden="1" customHeight="1" outlineLevel="2">
      <c r="A896" s="4"/>
      <c r="B896" s="601" t="s">
        <v>163</v>
      </c>
      <c r="C896" s="4"/>
      <c r="D896" s="17"/>
      <c r="E896" s="17"/>
      <c r="F896" s="17"/>
      <c r="G896" s="17"/>
      <c r="H896" s="45"/>
      <c r="I896" s="17"/>
      <c r="J896" s="17"/>
      <c r="K896" s="17"/>
      <c r="L896" s="17"/>
      <c r="M896" s="45"/>
      <c r="N896" s="17"/>
      <c r="O896" s="17"/>
      <c r="P896" s="17"/>
      <c r="Q896" s="17"/>
      <c r="R896" s="45"/>
      <c r="S896" s="17"/>
      <c r="T896" s="17"/>
      <c r="U896" s="17"/>
      <c r="V896" s="17"/>
      <c r="W896" s="45"/>
      <c r="X896" s="17"/>
      <c r="Y896" s="17"/>
      <c r="Z896" s="17"/>
      <c r="AA896" s="17"/>
      <c r="AB896" s="45"/>
      <c r="AC896" s="17"/>
      <c r="AD896" s="17"/>
      <c r="AE896" s="17"/>
      <c r="AF896" s="17"/>
      <c r="AG896" s="45"/>
      <c r="AH896" s="17"/>
      <c r="AI896" s="17"/>
      <c r="AJ896" s="17"/>
      <c r="AK896" s="17"/>
      <c r="AL896" s="45"/>
      <c r="AM896" s="17"/>
      <c r="AN896" s="17"/>
      <c r="AO896" s="17"/>
      <c r="AP896" s="17"/>
      <c r="AQ896" s="45"/>
      <c r="AR896" s="17"/>
      <c r="AS896" s="17"/>
      <c r="AT896" s="17"/>
      <c r="AU896" s="17"/>
      <c r="AV896" s="45"/>
      <c r="AW896" s="17"/>
      <c r="AX896" s="17"/>
      <c r="AY896" s="17"/>
      <c r="AZ896" s="17"/>
      <c r="BA896" s="45"/>
      <c r="BB896" s="17"/>
      <c r="BC896" s="17"/>
      <c r="BD896" s="17"/>
      <c r="BE896" s="17"/>
      <c r="BF896" s="45"/>
      <c r="BG896" s="17"/>
      <c r="BH896" s="17"/>
      <c r="BI896" s="17"/>
      <c r="BJ896" s="17"/>
      <c r="BK896" s="45"/>
      <c r="BL896" s="17"/>
      <c r="BM896" s="17"/>
      <c r="BN896" s="17"/>
      <c r="BO896" s="17"/>
      <c r="BP896" s="45"/>
      <c r="BQ896" s="17"/>
      <c r="BR896" s="17"/>
      <c r="BS896" s="17"/>
      <c r="BT896" s="17"/>
      <c r="BU896" s="45"/>
      <c r="BV896" s="17"/>
      <c r="BW896" s="17"/>
      <c r="BX896" s="17"/>
      <c r="BY896" s="17"/>
      <c r="BZ896" s="350"/>
      <c r="CA896" s="17"/>
      <c r="CB896" s="17"/>
      <c r="CC896" s="17"/>
      <c r="CD896" s="17"/>
      <c r="CE896" s="350"/>
      <c r="CF896" s="17"/>
      <c r="CG896" s="17"/>
      <c r="CH896" s="17"/>
      <c r="CI896" s="17"/>
      <c r="CJ896" s="350"/>
      <c r="CK896" s="17"/>
      <c r="CL896" s="17"/>
      <c r="CM896" s="17"/>
      <c r="CN896" s="19"/>
      <c r="CO896" s="350"/>
      <c r="CP896" s="19"/>
      <c r="CQ896" s="17"/>
      <c r="CR896" s="17"/>
      <c r="CS896" s="17"/>
      <c r="CT896" s="350"/>
      <c r="CU896" s="17"/>
      <c r="CV896" s="17"/>
      <c r="CW896" s="17"/>
      <c r="CX896" s="17"/>
      <c r="CY896" s="350"/>
      <c r="CZ896" s="17"/>
      <c r="DA896" s="17"/>
      <c r="DB896" s="17"/>
      <c r="DC896" s="17"/>
      <c r="DD896" s="350"/>
      <c r="DE896" s="17"/>
      <c r="DF896" s="17"/>
      <c r="DG896" s="19"/>
      <c r="DH896" s="17"/>
      <c r="DI896" s="350"/>
      <c r="DJ896" s="19"/>
      <c r="DK896" s="19"/>
      <c r="DL896" s="19"/>
      <c r="DM896" s="17"/>
      <c r="DN896" s="350"/>
      <c r="DO896" s="17"/>
      <c r="DP896" s="17"/>
      <c r="DQ896" s="17"/>
      <c r="DR896" s="17"/>
      <c r="DS896" s="350"/>
      <c r="DT896" s="17"/>
      <c r="DU896" s="17"/>
      <c r="DV896" s="17"/>
      <c r="DW896" s="17"/>
      <c r="DX896" s="350"/>
      <c r="DY896" s="17"/>
      <c r="DZ896" s="17"/>
      <c r="EA896" s="17"/>
      <c r="EB896" s="17"/>
      <c r="EC896" s="350"/>
      <c r="ED896" s="17"/>
      <c r="EE896" s="17"/>
      <c r="EF896" s="17"/>
      <c r="EG896" s="17"/>
      <c r="EH896" s="350"/>
      <c r="EI896" s="25"/>
      <c r="EJ896" s="17"/>
      <c r="EK896" s="17"/>
      <c r="EL896" s="17"/>
      <c r="EM896" s="350"/>
      <c r="EN896" s="17"/>
      <c r="EO896" s="17"/>
      <c r="EP896" s="17"/>
      <c r="EQ896" s="17"/>
      <c r="ER896" s="350"/>
      <c r="ES896" s="17"/>
      <c r="ET896" s="17"/>
      <c r="EU896" s="17"/>
      <c r="EV896" s="17"/>
      <c r="EW896" s="350"/>
      <c r="EX896" s="17"/>
      <c r="EY896" s="17"/>
      <c r="EZ896" s="17"/>
      <c r="FA896" s="17"/>
      <c r="FB896" s="350"/>
      <c r="FC896" s="17"/>
      <c r="FD896" s="17"/>
      <c r="FE896" s="17"/>
      <c r="FF896" s="17"/>
      <c r="FG896" s="350"/>
      <c r="FH896" s="145"/>
      <c r="FI896" s="17"/>
      <c r="FJ896" s="17"/>
      <c r="FK896" s="45"/>
      <c r="FL896" s="17"/>
    </row>
    <row r="897" ht="12.75" hidden="1" customHeight="1" outlineLevel="4">
      <c r="A897" s="4"/>
      <c r="B897" s="15" t="str">
        <f t="shared" ref="B897:B899" si="4540">+B873</f>
        <v>   Microprocessor</v>
      </c>
      <c r="C897" s="4"/>
      <c r="D897" s="45"/>
      <c r="E897" s="4"/>
      <c r="F897" s="4"/>
      <c r="G897" s="4"/>
      <c r="H897" s="45"/>
      <c r="I897" s="45"/>
      <c r="J897" s="4"/>
      <c r="K897" s="4"/>
      <c r="L897" s="4"/>
      <c r="M897" s="45"/>
      <c r="N897" s="45"/>
      <c r="O897" s="4"/>
      <c r="P897" s="4"/>
      <c r="Q897" s="4"/>
      <c r="R897" s="45"/>
      <c r="S897" s="45"/>
      <c r="T897" s="4"/>
      <c r="U897" s="4"/>
      <c r="V897" s="4"/>
      <c r="W897" s="45"/>
      <c r="X897" s="45"/>
      <c r="Y897" s="4"/>
      <c r="Z897" s="4"/>
      <c r="AA897" s="4"/>
      <c r="AB897" s="45"/>
      <c r="AC897" s="45"/>
      <c r="AD897" s="4"/>
      <c r="AE897" s="4"/>
      <c r="AF897" s="4"/>
      <c r="AG897" s="45"/>
      <c r="AH897" s="45"/>
      <c r="AI897" s="4"/>
      <c r="AJ897" s="4"/>
      <c r="AK897" s="4"/>
      <c r="AL897" s="45"/>
      <c r="AM897" s="45"/>
      <c r="AN897" s="4"/>
      <c r="AO897" s="4"/>
      <c r="AP897" s="4"/>
      <c r="AQ897" s="45"/>
      <c r="AR897" s="45"/>
      <c r="AS897" s="4"/>
      <c r="AT897" s="4"/>
      <c r="AU897" s="4"/>
      <c r="AV897" s="45"/>
      <c r="AW897" s="45"/>
      <c r="AX897" s="4"/>
      <c r="AY897" s="4"/>
      <c r="AZ897" s="4"/>
      <c r="BA897" s="45"/>
      <c r="BB897" s="45"/>
      <c r="BC897" s="4"/>
      <c r="BD897" s="4"/>
      <c r="BE897" s="4"/>
      <c r="BF897" s="45"/>
      <c r="BG897" s="45"/>
      <c r="BH897" s="4"/>
      <c r="BI897" s="4"/>
      <c r="BJ897" s="4"/>
      <c r="BK897" s="45"/>
      <c r="BL897" s="45"/>
      <c r="BM897" s="4"/>
      <c r="BN897" s="4"/>
      <c r="BO897" s="4"/>
      <c r="BP897" s="45"/>
      <c r="BQ897" s="45"/>
      <c r="BR897" s="4"/>
      <c r="BS897" s="4"/>
      <c r="BT897" s="4"/>
      <c r="BU897" s="45"/>
      <c r="BV897" s="45"/>
      <c r="BW897" s="4"/>
      <c r="BX897" s="4"/>
      <c r="BY897" s="4"/>
      <c r="BZ897" s="350"/>
      <c r="CA897" s="45"/>
      <c r="CB897" s="4"/>
      <c r="CC897" s="4"/>
      <c r="CD897" s="4"/>
      <c r="CE897" s="350"/>
      <c r="CF897" s="45"/>
      <c r="CG897" s="4"/>
      <c r="CH897" s="4"/>
      <c r="CI897" s="4"/>
      <c r="CJ897" s="350"/>
      <c r="CK897" s="45"/>
      <c r="CL897" s="4"/>
      <c r="CM897" s="4"/>
      <c r="CN897" s="16"/>
      <c r="CO897" s="350"/>
      <c r="CP897" s="16"/>
      <c r="CQ897" s="4"/>
      <c r="CR897" s="4"/>
      <c r="CS897" s="4"/>
      <c r="CT897" s="350"/>
      <c r="CU897" s="45"/>
      <c r="CV897" s="4"/>
      <c r="CW897" s="4"/>
      <c r="CX897" s="4"/>
      <c r="CY897" s="350"/>
      <c r="CZ897" s="45"/>
      <c r="DA897" s="4"/>
      <c r="DB897" s="4"/>
      <c r="DC897" s="4"/>
      <c r="DD897" s="350"/>
      <c r="DE897" s="45"/>
      <c r="DF897" s="4"/>
      <c r="DG897" s="16"/>
      <c r="DH897" s="4"/>
      <c r="DI897" s="350"/>
      <c r="DJ897" s="145"/>
      <c r="DK897" s="16"/>
      <c r="DL897" s="16"/>
      <c r="DM897" s="4"/>
      <c r="DN897" s="350"/>
      <c r="DO897" s="45"/>
      <c r="DP897" s="4"/>
      <c r="DQ897" s="4"/>
      <c r="DR897" s="4"/>
      <c r="DS897" s="350"/>
      <c r="DT897" s="45"/>
      <c r="DU897" s="45"/>
      <c r="DV897" s="45"/>
      <c r="DW897" s="45"/>
      <c r="DX897" s="350"/>
      <c r="DY897" s="45"/>
      <c r="DZ897" s="45"/>
      <c r="EA897" s="45"/>
      <c r="EB897" s="45"/>
      <c r="EC897" s="350"/>
      <c r="ED897" s="45"/>
      <c r="EE897" s="45"/>
      <c r="EF897" s="45"/>
      <c r="EG897" s="45"/>
      <c r="EH897" s="350"/>
      <c r="EI897" s="214"/>
      <c r="EJ897" s="4"/>
      <c r="EK897" s="4"/>
      <c r="EL897" s="4"/>
      <c r="EM897" s="350"/>
      <c r="EN897" s="45"/>
      <c r="EO897" s="4"/>
      <c r="EP897" s="4"/>
      <c r="EQ897" s="4"/>
      <c r="ER897" s="350"/>
      <c r="ES897" s="45"/>
      <c r="ET897" s="4"/>
      <c r="EU897" s="4"/>
      <c r="EV897" s="4"/>
      <c r="EW897" s="350"/>
      <c r="EX897" s="45"/>
      <c r="EY897" s="4"/>
      <c r="EZ897" s="4"/>
      <c r="FA897" s="4"/>
      <c r="FB897" s="350"/>
      <c r="FC897" s="45"/>
      <c r="FD897" s="4"/>
      <c r="FE897" s="4"/>
      <c r="FF897" s="4"/>
      <c r="FG897" s="350"/>
      <c r="FH897" s="145"/>
      <c r="FI897" s="4"/>
      <c r="FJ897" s="4"/>
      <c r="FK897" s="45"/>
      <c r="FL897" s="45"/>
    </row>
    <row r="898" ht="12.75" hidden="1" customHeight="1" outlineLevel="4">
      <c r="A898" s="4"/>
      <c r="B898" s="15" t="str">
        <f t="shared" si="4540"/>
        <v>   Chipset</v>
      </c>
      <c r="C898" s="4"/>
      <c r="D898" s="45"/>
      <c r="E898" s="4"/>
      <c r="F898" s="4"/>
      <c r="G898" s="4"/>
      <c r="H898" s="45"/>
      <c r="I898" s="45"/>
      <c r="J898" s="4"/>
      <c r="K898" s="4"/>
      <c r="L898" s="4"/>
      <c r="M898" s="45"/>
      <c r="N898" s="45"/>
      <c r="O898" s="4"/>
      <c r="P898" s="4"/>
      <c r="Q898" s="4"/>
      <c r="R898" s="45"/>
      <c r="S898" s="45"/>
      <c r="T898" s="4"/>
      <c r="U898" s="4"/>
      <c r="V898" s="4"/>
      <c r="W898" s="45"/>
      <c r="X898" s="45"/>
      <c r="Y898" s="4"/>
      <c r="Z898" s="4"/>
      <c r="AA898" s="4"/>
      <c r="AB898" s="45"/>
      <c r="AC898" s="45"/>
      <c r="AD898" s="4"/>
      <c r="AE898" s="4"/>
      <c r="AF898" s="4"/>
      <c r="AG898" s="45"/>
      <c r="AH898" s="45"/>
      <c r="AI898" s="4"/>
      <c r="AJ898" s="4"/>
      <c r="AK898" s="4"/>
      <c r="AL898" s="45"/>
      <c r="AM898" s="45"/>
      <c r="AN898" s="4"/>
      <c r="AO898" s="4"/>
      <c r="AP898" s="4"/>
      <c r="AQ898" s="45"/>
      <c r="AR898" s="45"/>
      <c r="AS898" s="4"/>
      <c r="AT898" s="4"/>
      <c r="AU898" s="4"/>
      <c r="AV898" s="45"/>
      <c r="AW898" s="45"/>
      <c r="AX898" s="4"/>
      <c r="AY898" s="4"/>
      <c r="AZ898" s="4"/>
      <c r="BA898" s="45"/>
      <c r="BB898" s="45"/>
      <c r="BC898" s="4"/>
      <c r="BD898" s="4"/>
      <c r="BE898" s="4"/>
      <c r="BF898" s="45"/>
      <c r="BG898" s="45"/>
      <c r="BH898" s="4"/>
      <c r="BI898" s="4"/>
      <c r="BJ898" s="4"/>
      <c r="BK898" s="45"/>
      <c r="BL898" s="45"/>
      <c r="BM898" s="4"/>
      <c r="BN898" s="4"/>
      <c r="BO898" s="4"/>
      <c r="BP898" s="45"/>
      <c r="BQ898" s="45"/>
      <c r="BR898" s="4"/>
      <c r="BS898" s="4"/>
      <c r="BT898" s="4"/>
      <c r="BU898" s="45"/>
      <c r="BV898" s="45"/>
      <c r="BW898" s="4"/>
      <c r="BX898" s="4"/>
      <c r="BY898" s="4"/>
      <c r="BZ898" s="350"/>
      <c r="CA898" s="45"/>
      <c r="CB898" s="4"/>
      <c r="CC898" s="4"/>
      <c r="CD898" s="4"/>
      <c r="CE898" s="350"/>
      <c r="CF898" s="45"/>
      <c r="CG898" s="4"/>
      <c r="CH898" s="4"/>
      <c r="CI898" s="4"/>
      <c r="CJ898" s="350"/>
      <c r="CK898" s="45"/>
      <c r="CL898" s="4"/>
      <c r="CM898" s="4"/>
      <c r="CN898" s="16"/>
      <c r="CO898" s="350"/>
      <c r="CP898" s="16"/>
      <c r="CQ898" s="4"/>
      <c r="CR898" s="4"/>
      <c r="CS898" s="4"/>
      <c r="CT898" s="350"/>
      <c r="CU898" s="45"/>
      <c r="CV898" s="4"/>
      <c r="CW898" s="4"/>
      <c r="CX898" s="4"/>
      <c r="CY898" s="350"/>
      <c r="CZ898" s="45"/>
      <c r="DA898" s="4"/>
      <c r="DB898" s="4"/>
      <c r="DC898" s="4"/>
      <c r="DD898" s="350"/>
      <c r="DE898" s="45"/>
      <c r="DF898" s="4"/>
      <c r="DG898" s="16"/>
      <c r="DH898" s="4"/>
      <c r="DI898" s="350"/>
      <c r="DJ898" s="145"/>
      <c r="DK898" s="16"/>
      <c r="DL898" s="16"/>
      <c r="DM898" s="4"/>
      <c r="DN898" s="350"/>
      <c r="DO898" s="45"/>
      <c r="DP898" s="4"/>
      <c r="DQ898" s="4"/>
      <c r="DR898" s="4"/>
      <c r="DS898" s="350"/>
      <c r="DT898" s="45"/>
      <c r="DU898" s="45"/>
      <c r="DV898" s="45"/>
      <c r="DW898" s="45"/>
      <c r="DX898" s="350"/>
      <c r="DY898" s="45"/>
      <c r="DZ898" s="45"/>
      <c r="EA898" s="45"/>
      <c r="EB898" s="45"/>
      <c r="EC898" s="350"/>
      <c r="ED898" s="45"/>
      <c r="EE898" s="45"/>
      <c r="EF898" s="45"/>
      <c r="EG898" s="45"/>
      <c r="EH898" s="350"/>
      <c r="EI898" s="214"/>
      <c r="EJ898" s="4"/>
      <c r="EK898" s="4"/>
      <c r="EL898" s="4"/>
      <c r="EM898" s="350"/>
      <c r="EN898" s="45"/>
      <c r="EO898" s="4"/>
      <c r="EP898" s="4"/>
      <c r="EQ898" s="4"/>
      <c r="ER898" s="350"/>
      <c r="ES898" s="45"/>
      <c r="ET898" s="4"/>
      <c r="EU898" s="4"/>
      <c r="EV898" s="4"/>
      <c r="EW898" s="350"/>
      <c r="EX898" s="45"/>
      <c r="EY898" s="4"/>
      <c r="EZ898" s="4"/>
      <c r="FA898" s="4"/>
      <c r="FB898" s="350"/>
      <c r="FC898" s="45"/>
      <c r="FD898" s="4"/>
      <c r="FE898" s="4"/>
      <c r="FF898" s="4"/>
      <c r="FG898" s="350"/>
      <c r="FH898" s="145"/>
      <c r="FI898" s="4"/>
      <c r="FJ898" s="4"/>
      <c r="FK898" s="45"/>
      <c r="FL898" s="45"/>
    </row>
    <row r="899" ht="12.75" hidden="1" customHeight="1" outlineLevel="4">
      <c r="A899" s="4"/>
      <c r="B899" s="15" t="str">
        <f t="shared" si="4540"/>
        <v>   Motherboard</v>
      </c>
      <c r="C899" s="4"/>
      <c r="D899" s="45"/>
      <c r="E899" s="4"/>
      <c r="F899" s="4"/>
      <c r="G899" s="4"/>
      <c r="H899" s="45"/>
      <c r="I899" s="45"/>
      <c r="J899" s="4"/>
      <c r="K899" s="4"/>
      <c r="L899" s="4"/>
      <c r="M899" s="45"/>
      <c r="N899" s="45"/>
      <c r="O899" s="4"/>
      <c r="P899" s="4"/>
      <c r="Q899" s="4"/>
      <c r="R899" s="45"/>
      <c r="S899" s="45"/>
      <c r="T899" s="4"/>
      <c r="U899" s="4"/>
      <c r="V899" s="4"/>
      <c r="W899" s="45"/>
      <c r="X899" s="45"/>
      <c r="Y899" s="4"/>
      <c r="Z899" s="4"/>
      <c r="AA899" s="4"/>
      <c r="AB899" s="45"/>
      <c r="AC899" s="45"/>
      <c r="AD899" s="4"/>
      <c r="AE899" s="4"/>
      <c r="AF899" s="4"/>
      <c r="AG899" s="45"/>
      <c r="AH899" s="45"/>
      <c r="AI899" s="4"/>
      <c r="AJ899" s="4"/>
      <c r="AK899" s="4"/>
      <c r="AL899" s="45"/>
      <c r="AM899" s="45"/>
      <c r="AN899" s="4"/>
      <c r="AO899" s="4"/>
      <c r="AP899" s="4"/>
      <c r="AQ899" s="45"/>
      <c r="AR899" s="45"/>
      <c r="AS899" s="4"/>
      <c r="AT899" s="4"/>
      <c r="AU899" s="4"/>
      <c r="AV899" s="45"/>
      <c r="AW899" s="45"/>
      <c r="AX899" s="4"/>
      <c r="AY899" s="4"/>
      <c r="AZ899" s="4"/>
      <c r="BA899" s="45"/>
      <c r="BB899" s="45"/>
      <c r="BC899" s="4"/>
      <c r="BD899" s="4"/>
      <c r="BE899" s="4"/>
      <c r="BF899" s="45"/>
      <c r="BG899" s="45"/>
      <c r="BH899" s="4"/>
      <c r="BI899" s="4"/>
      <c r="BJ899" s="4"/>
      <c r="BK899" s="45"/>
      <c r="BL899" s="45"/>
      <c r="BM899" s="4"/>
      <c r="BN899" s="4"/>
      <c r="BO899" s="4"/>
      <c r="BP899" s="45"/>
      <c r="BQ899" s="45"/>
      <c r="BR899" s="4"/>
      <c r="BS899" s="4"/>
      <c r="BT899" s="4"/>
      <c r="BU899" s="45"/>
      <c r="BV899" s="45"/>
      <c r="BW899" s="4"/>
      <c r="BX899" s="4"/>
      <c r="BY899" s="4"/>
      <c r="BZ899" s="350"/>
      <c r="CA899" s="45"/>
      <c r="CB899" s="4"/>
      <c r="CC899" s="4"/>
      <c r="CD899" s="4"/>
      <c r="CE899" s="350"/>
      <c r="CF899" s="45"/>
      <c r="CG899" s="4"/>
      <c r="CH899" s="4"/>
      <c r="CI899" s="4"/>
      <c r="CJ899" s="350"/>
      <c r="CK899" s="45"/>
      <c r="CL899" s="4"/>
      <c r="CM899" s="4"/>
      <c r="CN899" s="16"/>
      <c r="CO899" s="350"/>
      <c r="CP899" s="16"/>
      <c r="CQ899" s="4"/>
      <c r="CR899" s="4"/>
      <c r="CS899" s="4"/>
      <c r="CT899" s="350"/>
      <c r="CU899" s="45"/>
      <c r="CV899" s="4"/>
      <c r="CW899" s="4"/>
      <c r="CX899" s="4"/>
      <c r="CY899" s="350"/>
      <c r="CZ899" s="45"/>
      <c r="DA899" s="4"/>
      <c r="DB899" s="4"/>
      <c r="DC899" s="4"/>
      <c r="DD899" s="350"/>
      <c r="DE899" s="45"/>
      <c r="DF899" s="4"/>
      <c r="DG899" s="16"/>
      <c r="DH899" s="4"/>
      <c r="DI899" s="350"/>
      <c r="DJ899" s="145"/>
      <c r="DK899" s="16"/>
      <c r="DL899" s="16"/>
      <c r="DM899" s="4"/>
      <c r="DN899" s="350"/>
      <c r="DO899" s="45"/>
      <c r="DP899" s="4"/>
      <c r="DQ899" s="4"/>
      <c r="DR899" s="4"/>
      <c r="DS899" s="350"/>
      <c r="DT899" s="45"/>
      <c r="DU899" s="45"/>
      <c r="DV899" s="45"/>
      <c r="DW899" s="45"/>
      <c r="DX899" s="350"/>
      <c r="DY899" s="45"/>
      <c r="DZ899" s="45"/>
      <c r="EA899" s="45"/>
      <c r="EB899" s="45"/>
      <c r="EC899" s="350"/>
      <c r="ED899" s="45"/>
      <c r="EE899" s="45"/>
      <c r="EF899" s="45"/>
      <c r="EG899" s="45"/>
      <c r="EH899" s="350"/>
      <c r="EI899" s="214"/>
      <c r="EJ899" s="4"/>
      <c r="EK899" s="4"/>
      <c r="EL899" s="4"/>
      <c r="EM899" s="350"/>
      <c r="EN899" s="45"/>
      <c r="EO899" s="4"/>
      <c r="EP899" s="4"/>
      <c r="EQ899" s="4"/>
      <c r="ER899" s="350"/>
      <c r="ES899" s="45"/>
      <c r="ET899" s="4"/>
      <c r="EU899" s="4"/>
      <c r="EV899" s="4"/>
      <c r="EW899" s="350"/>
      <c r="EX899" s="45"/>
      <c r="EY899" s="4"/>
      <c r="EZ899" s="4"/>
      <c r="FA899" s="4"/>
      <c r="FB899" s="350"/>
      <c r="FC899" s="45"/>
      <c r="FD899" s="4"/>
      <c r="FE899" s="4"/>
      <c r="FF899" s="4"/>
      <c r="FG899" s="350"/>
      <c r="FH899" s="145"/>
      <c r="FI899" s="4"/>
      <c r="FJ899" s="4"/>
      <c r="FK899" s="45"/>
      <c r="FL899" s="45"/>
    </row>
    <row r="900" ht="12.75" hidden="1" customHeight="1" outlineLevel="2">
      <c r="A900" s="4"/>
      <c r="B900" s="4" t="str">
        <f t="shared" ref="B900:B901" si="4564">B852</f>
        <v>Architecture group - IAG</v>
      </c>
      <c r="C900" s="4"/>
      <c r="D900" s="17"/>
      <c r="E900" s="17"/>
      <c r="F900" s="17"/>
      <c r="G900" s="17"/>
      <c r="H900" s="112"/>
      <c r="I900" s="17"/>
      <c r="J900" s="17"/>
      <c r="K900" s="17"/>
      <c r="L900" s="17"/>
      <c r="M900" s="112"/>
      <c r="N900" s="17">
        <v>1938.0</v>
      </c>
      <c r="O900" s="17">
        <v>1649.0</v>
      </c>
      <c r="P900" s="17">
        <v>2586.0</v>
      </c>
      <c r="Q900" s="17">
        <f>R900-N900-O900-P900</f>
        <v>3240</v>
      </c>
      <c r="R900" s="112">
        <v>9413.0</v>
      </c>
      <c r="S900" s="17">
        <v>2944.0</v>
      </c>
      <c r="T900" s="17">
        <v>2305.0</v>
      </c>
      <c r="U900" s="17">
        <v>2731.0</v>
      </c>
      <c r="V900" s="17">
        <v>3315.0</v>
      </c>
      <c r="W900" s="112">
        <v>11131.0</v>
      </c>
      <c r="X900" s="17">
        <v>3010.0</v>
      </c>
      <c r="Y900" s="17">
        <v>2971.0</v>
      </c>
      <c r="Z900" s="17">
        <v>3347.0</v>
      </c>
      <c r="AA900" s="17">
        <v>3211.0</v>
      </c>
      <c r="AB900" s="112">
        <v>12511.0</v>
      </c>
      <c r="AC900" s="17">
        <v>1666.0</v>
      </c>
      <c r="AD900" s="17">
        <v>1444.0</v>
      </c>
      <c r="AE900" s="17">
        <v>1328.0</v>
      </c>
      <c r="AF900" s="17">
        <f t="shared" ref="AF900:AF903" si="4565">AG900-AC900-AD900-AE900</f>
        <v>1814</v>
      </c>
      <c r="AG900" s="112">
        <v>6252.0</v>
      </c>
      <c r="AH900" s="17">
        <f>1802+5</f>
        <v>1807</v>
      </c>
      <c r="AI900" s="17">
        <f>1370</f>
        <v>1370</v>
      </c>
      <c r="AJ900" s="17">
        <f>1414</f>
        <v>1414</v>
      </c>
      <c r="AK900" s="17">
        <f>2001</f>
        <v>2001</v>
      </c>
      <c r="AL900" s="112">
        <v>6592.0</v>
      </c>
      <c r="AM900" s="17">
        <v>1908.0</v>
      </c>
      <c r="AN900" s="17">
        <f>1843-2</f>
        <v>1841</v>
      </c>
      <c r="AO900" s="17">
        <v>2915.0</v>
      </c>
      <c r="AP900" s="17">
        <v>3732.0</v>
      </c>
      <c r="AQ900" s="112">
        <f t="shared" ref="AQ900:AQ904" si="4566">SUM(AM900:AP900)</f>
        <v>10396</v>
      </c>
      <c r="AR900" s="17">
        <v>3015.0</v>
      </c>
      <c r="AS900" s="17">
        <v>2788.0</v>
      </c>
      <c r="AT900" s="17">
        <v>2790.0</v>
      </c>
      <c r="AU900" s="17">
        <v>3484.0</v>
      </c>
      <c r="AV900" s="112">
        <f>SUM(AR900:AU900)</f>
        <v>12077</v>
      </c>
      <c r="AW900" s="17">
        <f t="shared" ref="AW900:AZ900" si="4541">AW40-AW904</f>
        <v>3670</v>
      </c>
      <c r="AX900" s="17">
        <f t="shared" si="4541"/>
        <v>3212</v>
      </c>
      <c r="AY900" s="17">
        <f t="shared" si="4541"/>
        <v>3728</v>
      </c>
      <c r="AZ900" s="17">
        <f t="shared" si="4541"/>
        <v>3747</v>
      </c>
      <c r="BA900" s="112">
        <f>SUM(AW900:AZ900)</f>
        <v>14357</v>
      </c>
      <c r="BB900" s="17">
        <f t="shared" ref="BB900:BE900" si="4542">BB40-BB904</f>
        <v>1868</v>
      </c>
      <c r="BC900" s="17">
        <f t="shared" si="4542"/>
        <v>1197</v>
      </c>
      <c r="BD900" s="17">
        <f t="shared" si="4542"/>
        <v>1474</v>
      </c>
      <c r="BE900" s="17">
        <f t="shared" si="4542"/>
        <v>1588</v>
      </c>
      <c r="BF900" s="112">
        <f>SUM(BB900:BE900)</f>
        <v>6127</v>
      </c>
      <c r="BG900" s="17">
        <f t="shared" ref="BG900:BJ900" si="4543">BG40-BG904</f>
        <v>1775</v>
      </c>
      <c r="BH900" s="17">
        <f t="shared" si="4543"/>
        <v>1450</v>
      </c>
      <c r="BI900" s="17">
        <f t="shared" si="4543"/>
        <v>2357</v>
      </c>
      <c r="BJ900" s="17">
        <f t="shared" si="4543"/>
        <v>3147</v>
      </c>
      <c r="BK900" s="112">
        <f>SUM(BG900:BJ900)</f>
        <v>8729</v>
      </c>
      <c r="BL900" s="17">
        <f t="shared" ref="BL900:BO900" si="4544">BL40-BL904</f>
        <v>2162</v>
      </c>
      <c r="BM900" s="17">
        <f t="shared" si="4544"/>
        <v>2355</v>
      </c>
      <c r="BN900" s="17">
        <f t="shared" si="4544"/>
        <v>3198</v>
      </c>
      <c r="BO900" s="17">
        <f t="shared" si="4544"/>
        <v>1639</v>
      </c>
      <c r="BP900" s="112">
        <f>SUM(BL900:BO900)</f>
        <v>9354</v>
      </c>
      <c r="BQ900" s="17">
        <f t="shared" ref="BQ900:BT900" si="4545">BQ40-BQ904</f>
        <v>747</v>
      </c>
      <c r="BR900" s="17">
        <f t="shared" si="4545"/>
        <v>1535</v>
      </c>
      <c r="BS900" s="17">
        <f t="shared" si="4545"/>
        <v>2679</v>
      </c>
      <c r="BT900" s="17">
        <f t="shared" si="4545"/>
        <v>3847</v>
      </c>
      <c r="BU900" s="112">
        <f>SUM(BQ900:BT900)</f>
        <v>8808</v>
      </c>
      <c r="BV900" s="17">
        <f t="shared" ref="BV900:BY900" si="4546">BV40-BV904</f>
        <v>3548</v>
      </c>
      <c r="BW900" s="17">
        <f t="shared" si="4546"/>
        <v>4081</v>
      </c>
      <c r="BX900" s="17">
        <f t="shared" si="4546"/>
        <v>4236</v>
      </c>
      <c r="BY900" s="17">
        <f t="shared" si="4546"/>
        <v>4123</v>
      </c>
      <c r="BZ900" s="80">
        <f>SUM(BV900:BY900)</f>
        <v>15988</v>
      </c>
      <c r="CA900" s="17">
        <f t="shared" ref="CA900:CD900" si="4547">CA40-CA904</f>
        <v>4258</v>
      </c>
      <c r="CB900" s="17">
        <f t="shared" si="4547"/>
        <v>4035</v>
      </c>
      <c r="CC900" s="17">
        <f t="shared" si="4547"/>
        <v>4885</v>
      </c>
      <c r="CD900" s="17">
        <f t="shared" si="4547"/>
        <v>4699</v>
      </c>
      <c r="CE900" s="80">
        <f>SUM(CA900:CD900)</f>
        <v>17877</v>
      </c>
      <c r="CF900" s="17">
        <f t="shared" ref="CF900:CI900" si="4548">CF40-CF904</f>
        <v>3910</v>
      </c>
      <c r="CG900" s="17">
        <f t="shared" si="4548"/>
        <v>3932</v>
      </c>
      <c r="CH900" s="17">
        <f t="shared" si="4548"/>
        <v>3941</v>
      </c>
      <c r="CI900" s="17">
        <f t="shared" si="4548"/>
        <v>3255</v>
      </c>
      <c r="CJ900" s="80">
        <f>SUM(CF900:CI900)</f>
        <v>15038</v>
      </c>
      <c r="CK900" s="17">
        <f t="shared" ref="CK900:CN900" si="4549">CK40-CK904</f>
        <v>2619</v>
      </c>
      <c r="CL900" s="17">
        <f t="shared" si="4549"/>
        <v>2819</v>
      </c>
      <c r="CM900" s="17">
        <f t="shared" si="4549"/>
        <v>3604</v>
      </c>
      <c r="CN900" s="19">
        <f t="shared" si="4549"/>
        <v>3649</v>
      </c>
      <c r="CO900" s="80">
        <f>SUM(CK900:CN900)</f>
        <v>12691</v>
      </c>
      <c r="CP900" s="19">
        <f t="shared" ref="CP900:CS900" si="4550">CP40-CP904</f>
        <v>2633</v>
      </c>
      <c r="CQ900" s="17">
        <f t="shared" si="4550"/>
        <v>3944</v>
      </c>
      <c r="CR900" s="17">
        <f t="shared" si="4550"/>
        <v>4640</v>
      </c>
      <c r="CS900" s="17">
        <f t="shared" si="4550"/>
        <v>4553</v>
      </c>
      <c r="CT900" s="80">
        <f>SUM(CP900:CS900)</f>
        <v>15770</v>
      </c>
      <c r="CU900" s="17">
        <f t="shared" ref="CU900:CX900" si="4551">CU40-CU904</f>
        <v>2715</v>
      </c>
      <c r="CV900" s="17">
        <f t="shared" si="4551"/>
        <v>2996</v>
      </c>
      <c r="CW900" s="17">
        <f t="shared" si="4551"/>
        <v>4292</v>
      </c>
      <c r="CX900" s="17">
        <f t="shared" si="4551"/>
        <v>4399</v>
      </c>
      <c r="CY900" s="80">
        <f>SUM(CU900:CX900)</f>
        <v>14402</v>
      </c>
      <c r="CZ900" s="17">
        <f t="shared" ref="CZ900:DC900" si="4552">CZ40-CZ904</f>
        <v>2668</v>
      </c>
      <c r="DA900" s="17">
        <f t="shared" si="4552"/>
        <v>1418</v>
      </c>
      <c r="DB900" s="17">
        <f t="shared" si="4552"/>
        <v>4562</v>
      </c>
      <c r="DC900" s="17">
        <f t="shared" si="4552"/>
        <v>4626</v>
      </c>
      <c r="DD900" s="80">
        <f>SUM(CZ900:DC900)</f>
        <v>13274</v>
      </c>
      <c r="DE900" s="17">
        <f t="shared" ref="DE900:DH900" si="4553">DE40-DE904</f>
        <v>3699</v>
      </c>
      <c r="DF900" s="17">
        <f t="shared" si="4553"/>
        <v>3927</v>
      </c>
      <c r="DG900" s="19">
        <f t="shared" si="4553"/>
        <v>5215</v>
      </c>
      <c r="DH900" s="17">
        <f t="shared" si="4553"/>
        <v>5495</v>
      </c>
      <c r="DI900" s="80">
        <f>SUM(DE900:DH900)</f>
        <v>18336</v>
      </c>
      <c r="DJ900" s="19">
        <f t="shared" ref="DJ900:DM900" si="4554">DJ40-DJ904</f>
        <v>4570</v>
      </c>
      <c r="DK900" s="19">
        <f t="shared" si="4554"/>
        <v>5373</v>
      </c>
      <c r="DL900" s="19">
        <f t="shared" si="4554"/>
        <v>7449</v>
      </c>
      <c r="DM900" s="17">
        <f t="shared" si="4554"/>
        <v>6324</v>
      </c>
      <c r="DN900" s="80">
        <f>SUM(DJ900:DM900)</f>
        <v>23716</v>
      </c>
      <c r="DO900" s="17">
        <f t="shared" ref="DO900:DR900" si="4555">DO40-DO904</f>
        <v>4274</v>
      </c>
      <c r="DP900" s="17">
        <f t="shared" si="4555"/>
        <v>4717</v>
      </c>
      <c r="DQ900" s="17">
        <f t="shared" si="4555"/>
        <v>6547</v>
      </c>
      <c r="DR900" s="17">
        <f t="shared" si="4555"/>
        <v>6897</v>
      </c>
      <c r="DS900" s="80">
        <f>SUM(DO900:DR900)</f>
        <v>22435</v>
      </c>
      <c r="DT900" s="17">
        <f t="shared" ref="DT900:DW900" si="4556">DT40-DT904</f>
        <v>7138</v>
      </c>
      <c r="DU900" s="17">
        <f t="shared" si="4556"/>
        <v>5797</v>
      </c>
      <c r="DV900" s="17">
        <f t="shared" si="4556"/>
        <v>5159</v>
      </c>
      <c r="DW900" s="17">
        <f t="shared" si="4556"/>
        <v>5984</v>
      </c>
      <c r="DX900" s="80">
        <f>SUM(DT900:DW900)</f>
        <v>24078</v>
      </c>
      <c r="DY900" s="17">
        <f t="shared" ref="DY900:EB900" si="4557">DY40-DY904</f>
        <v>3794</v>
      </c>
      <c r="DZ900" s="17">
        <f t="shared" si="4557"/>
        <v>5646</v>
      </c>
      <c r="EA900" s="17">
        <f t="shared" si="4557"/>
        <v>5327</v>
      </c>
      <c r="EB900" s="17">
        <f t="shared" si="4557"/>
        <v>5089</v>
      </c>
      <c r="EC900" s="80">
        <f>SUM(DY900:EB900)</f>
        <v>19856</v>
      </c>
      <c r="ED900" s="17">
        <f t="shared" ref="ED900:EG900" si="4558">ED40-ED904</f>
        <v>4441</v>
      </c>
      <c r="EE900" s="17">
        <f t="shared" si="4558"/>
        <v>-600</v>
      </c>
      <c r="EF900" s="17">
        <f t="shared" si="4558"/>
        <v>-75</v>
      </c>
      <c r="EG900" s="17">
        <f t="shared" si="4558"/>
        <v>-1032</v>
      </c>
      <c r="EH900" s="80">
        <f>SUM(ED900:EG900)</f>
        <v>2734</v>
      </c>
      <c r="EI900" s="25" t="str">
        <f t="shared" ref="EI900:EL900" si="4559">EI40-EI904</f>
        <v>#ERROR!</v>
      </c>
      <c r="EJ900" s="17" t="str">
        <f t="shared" si="4559"/>
        <v>#ERROR!</v>
      </c>
      <c r="EK900" s="17" t="str">
        <f t="shared" si="4559"/>
        <v>#ERROR!</v>
      </c>
      <c r="EL900" s="17" t="str">
        <f t="shared" si="4559"/>
        <v>#ERROR!</v>
      </c>
      <c r="EM900" s="80" t="str">
        <f>SUM(EI900:EL900)</f>
        <v>#ERROR!</v>
      </c>
      <c r="EN900" s="17" t="str">
        <f t="shared" ref="EN900:EQ900" si="4560">EN40-EN904</f>
        <v>#ERROR!</v>
      </c>
      <c r="EO900" s="17" t="str">
        <f t="shared" si="4560"/>
        <v>#ERROR!</v>
      </c>
      <c r="EP900" s="17" t="str">
        <f t="shared" si="4560"/>
        <v>#ERROR!</v>
      </c>
      <c r="EQ900" s="17" t="str">
        <f t="shared" si="4560"/>
        <v>#ERROR!</v>
      </c>
      <c r="ER900" s="80" t="str">
        <f>SUM(EN900:EQ900)</f>
        <v>#ERROR!</v>
      </c>
      <c r="ES900" s="17" t="str">
        <f t="shared" ref="ES900:EV900" si="4561">ES40-ES904</f>
        <v>#ERROR!</v>
      </c>
      <c r="ET900" s="17" t="str">
        <f t="shared" si="4561"/>
        <v>#ERROR!</v>
      </c>
      <c r="EU900" s="17" t="str">
        <f t="shared" si="4561"/>
        <v>#ERROR!</v>
      </c>
      <c r="EV900" s="17" t="str">
        <f t="shared" si="4561"/>
        <v>#ERROR!</v>
      </c>
      <c r="EW900" s="80" t="str">
        <f>SUM(ES900:EV900)</f>
        <v>#ERROR!</v>
      </c>
      <c r="EX900" s="17" t="str">
        <f t="shared" ref="EX900:FA900" si="4562">EX40-EX904</f>
        <v>#ERROR!</v>
      </c>
      <c r="EY900" s="17" t="str">
        <f t="shared" si="4562"/>
        <v>#ERROR!</v>
      </c>
      <c r="EZ900" s="17" t="str">
        <f t="shared" si="4562"/>
        <v>#ERROR!</v>
      </c>
      <c r="FA900" s="17" t="str">
        <f t="shared" si="4562"/>
        <v>#ERROR!</v>
      </c>
      <c r="FB900" s="80" t="str">
        <f>SUM(EX900:FA900)</f>
        <v>#ERROR!</v>
      </c>
      <c r="FC900" s="17" t="str">
        <f t="shared" ref="FC900:FF900" si="4563">FC40-FC904</f>
        <v>#ERROR!</v>
      </c>
      <c r="FD900" s="17" t="str">
        <f t="shared" si="4563"/>
        <v>#ERROR!</v>
      </c>
      <c r="FE900" s="17" t="str">
        <f t="shared" si="4563"/>
        <v>#ERROR!</v>
      </c>
      <c r="FF900" s="17" t="str">
        <f t="shared" si="4563"/>
        <v>#ERROR!</v>
      </c>
      <c r="FG900" s="80" t="str">
        <f>SUM(FC900:FF900)</f>
        <v>#ERROR!</v>
      </c>
      <c r="FH900" s="146"/>
      <c r="FI900" s="17"/>
      <c r="FJ900" s="17"/>
      <c r="FK900" s="112"/>
      <c r="FL900" s="17"/>
    </row>
    <row r="901" ht="12.75" hidden="1" customHeight="1" outlineLevel="4">
      <c r="A901" s="4"/>
      <c r="B901" s="72" t="str">
        <f t="shared" si="4564"/>
        <v>WCCG</v>
      </c>
      <c r="C901" s="4"/>
      <c r="D901" s="17"/>
      <c r="E901" s="17"/>
      <c r="F901" s="17"/>
      <c r="G901" s="17"/>
      <c r="H901" s="112"/>
      <c r="I901" s="17"/>
      <c r="J901" s="17"/>
      <c r="K901" s="17"/>
      <c r="L901" s="17"/>
      <c r="M901" s="112"/>
      <c r="N901" s="17"/>
      <c r="O901" s="17"/>
      <c r="P901" s="17"/>
      <c r="Q901" s="17"/>
      <c r="R901" s="112"/>
      <c r="S901" s="17"/>
      <c r="T901" s="17"/>
      <c r="U901" s="17"/>
      <c r="V901" s="17"/>
      <c r="W901" s="112">
        <v>-96.0</v>
      </c>
      <c r="X901" s="17"/>
      <c r="Y901" s="17"/>
      <c r="Z901" s="17">
        <v>149.0</v>
      </c>
      <c r="AA901" s="17">
        <v>161.0</v>
      </c>
      <c r="AB901" s="112">
        <v>608.0</v>
      </c>
      <c r="AC901" s="17">
        <v>-19.0</v>
      </c>
      <c r="AD901" s="17">
        <v>-158.0</v>
      </c>
      <c r="AE901" s="17">
        <v>-59.0</v>
      </c>
      <c r="AF901" s="17">
        <f t="shared" si="4565"/>
        <v>-20</v>
      </c>
      <c r="AG901" s="112">
        <v>-256.0</v>
      </c>
      <c r="AH901" s="17">
        <f>-68+1</f>
        <v>-67</v>
      </c>
      <c r="AI901" s="17">
        <f>-98+3.5</f>
        <v>-94.5</v>
      </c>
      <c r="AJ901" s="17">
        <f>-30+1.5</f>
        <v>-28.5</v>
      </c>
      <c r="AK901" s="17">
        <f>-97</f>
        <v>-97</v>
      </c>
      <c r="AL901" s="112">
        <v>-287.0</v>
      </c>
      <c r="AM901" s="17">
        <v>-94.0</v>
      </c>
      <c r="AN901" s="17">
        <f>-120+0.5</f>
        <v>-119.5</v>
      </c>
      <c r="AO901" s="17">
        <v>-124.0</v>
      </c>
      <c r="AP901" s="17">
        <v>-97.0</v>
      </c>
      <c r="AQ901" s="112">
        <f t="shared" si="4566"/>
        <v>-434.5</v>
      </c>
      <c r="AR901" s="17"/>
      <c r="AS901" s="17"/>
      <c r="AT901" s="17"/>
      <c r="AU901" s="17"/>
      <c r="AV901" s="112"/>
      <c r="AW901" s="17"/>
      <c r="AX901" s="17"/>
      <c r="AY901" s="17"/>
      <c r="AZ901" s="17"/>
      <c r="BA901" s="112"/>
      <c r="BB901" s="17"/>
      <c r="BC901" s="17"/>
      <c r="BD901" s="17"/>
      <c r="BE901" s="17"/>
      <c r="BF901" s="112"/>
      <c r="BG901" s="17"/>
      <c r="BH901" s="17"/>
      <c r="BI901" s="17"/>
      <c r="BJ901" s="17"/>
      <c r="BK901" s="112"/>
      <c r="BL901" s="17"/>
      <c r="BM901" s="17"/>
      <c r="BN901" s="17"/>
      <c r="BO901" s="17"/>
      <c r="BP901" s="112"/>
      <c r="BQ901" s="17"/>
      <c r="BR901" s="17"/>
      <c r="BS901" s="17"/>
      <c r="BT901" s="17"/>
      <c r="BU901" s="112"/>
      <c r="BV901" s="17"/>
      <c r="BW901" s="17"/>
      <c r="BX901" s="17"/>
      <c r="BY901" s="17"/>
      <c r="BZ901" s="80"/>
      <c r="CA901" s="17"/>
      <c r="CB901" s="17"/>
      <c r="CC901" s="17"/>
      <c r="CD901" s="17"/>
      <c r="CE901" s="80"/>
      <c r="CF901" s="17"/>
      <c r="CG901" s="17"/>
      <c r="CH901" s="17"/>
      <c r="CI901" s="17"/>
      <c r="CJ901" s="80"/>
      <c r="CK901" s="17"/>
      <c r="CL901" s="17"/>
      <c r="CM901" s="17"/>
      <c r="CN901" s="19"/>
      <c r="CO901" s="80"/>
      <c r="CP901" s="19"/>
      <c r="CQ901" s="17"/>
      <c r="CR901" s="17"/>
      <c r="CS901" s="17"/>
      <c r="CT901" s="80"/>
      <c r="CU901" s="17"/>
      <c r="CV901" s="17"/>
      <c r="CW901" s="17"/>
      <c r="CX901" s="17"/>
      <c r="CY901" s="80"/>
      <c r="CZ901" s="17"/>
      <c r="DA901" s="17"/>
      <c r="DB901" s="17"/>
      <c r="DC901" s="17"/>
      <c r="DD901" s="80"/>
      <c r="DE901" s="17"/>
      <c r="DF901" s="17"/>
      <c r="DG901" s="19"/>
      <c r="DH901" s="17"/>
      <c r="DI901" s="80"/>
      <c r="DJ901" s="19"/>
      <c r="DK901" s="19"/>
      <c r="DL901" s="19"/>
      <c r="DM901" s="17"/>
      <c r="DN901" s="80"/>
      <c r="DO901" s="17"/>
      <c r="DP901" s="17"/>
      <c r="DQ901" s="17"/>
      <c r="DR901" s="17"/>
      <c r="DS901" s="80"/>
      <c r="DT901" s="17"/>
      <c r="DU901" s="17"/>
      <c r="DV901" s="17"/>
      <c r="DW901" s="17"/>
      <c r="DX901" s="80"/>
      <c r="DY901" s="17"/>
      <c r="DZ901" s="17"/>
      <c r="EA901" s="17"/>
      <c r="EB901" s="17"/>
      <c r="EC901" s="80"/>
      <c r="ED901" s="17"/>
      <c r="EE901" s="17"/>
      <c r="EF901" s="17"/>
      <c r="EG901" s="17"/>
      <c r="EH901" s="80"/>
      <c r="EI901" s="25"/>
      <c r="EJ901" s="17"/>
      <c r="EK901" s="17"/>
      <c r="EL901" s="17"/>
      <c r="EM901" s="80"/>
      <c r="EN901" s="17"/>
      <c r="EO901" s="17"/>
      <c r="EP901" s="17"/>
      <c r="EQ901" s="17"/>
      <c r="ER901" s="80"/>
      <c r="ES901" s="17"/>
      <c r="ET901" s="17"/>
      <c r="EU901" s="17"/>
      <c r="EV901" s="17"/>
      <c r="EW901" s="80"/>
      <c r="EX901" s="17"/>
      <c r="EY901" s="17"/>
      <c r="EZ901" s="17"/>
      <c r="FA901" s="17"/>
      <c r="FB901" s="80"/>
      <c r="FC901" s="17"/>
      <c r="FD901" s="17"/>
      <c r="FE901" s="17"/>
      <c r="FF901" s="17"/>
      <c r="FG901" s="80"/>
      <c r="FH901" s="146"/>
      <c r="FI901" s="17"/>
      <c r="FJ901" s="17"/>
      <c r="FK901" s="112"/>
      <c r="FL901" s="17"/>
    </row>
    <row r="902" ht="12.75" hidden="1" customHeight="1" outlineLevel="4">
      <c r="A902" s="4"/>
      <c r="B902" s="72" t="str">
        <f t="shared" ref="B902:B904" si="4567">B855</f>
        <v>Comm/Embedded (former ICG)</v>
      </c>
      <c r="C902" s="4"/>
      <c r="D902" s="132"/>
      <c r="E902" s="132"/>
      <c r="F902" s="132"/>
      <c r="G902" s="132"/>
      <c r="H902" s="112"/>
      <c r="I902" s="132"/>
      <c r="J902" s="132"/>
      <c r="K902" s="132"/>
      <c r="L902" s="132"/>
      <c r="M902" s="112"/>
      <c r="N902" s="132"/>
      <c r="O902" s="132"/>
      <c r="P902" s="132"/>
      <c r="Q902" s="132"/>
      <c r="R902" s="112"/>
      <c r="S902" s="132"/>
      <c r="T902" s="132"/>
      <c r="U902" s="132"/>
      <c r="V902" s="132"/>
      <c r="W902" s="112">
        <v>437.0</v>
      </c>
      <c r="X902" s="132"/>
      <c r="Y902" s="132"/>
      <c r="Z902" s="132">
        <v>102.0</v>
      </c>
      <c r="AA902" s="132">
        <v>67.0</v>
      </c>
      <c r="AB902" s="112">
        <v>319.0</v>
      </c>
      <c r="AC902" s="132">
        <v>-153.0</v>
      </c>
      <c r="AD902" s="132">
        <v>-235.0</v>
      </c>
      <c r="AE902" s="132">
        <v>-218.0</v>
      </c>
      <c r="AF902" s="132">
        <f t="shared" si="4565"/>
        <v>-129</v>
      </c>
      <c r="AG902" s="112">
        <v>-735.0</v>
      </c>
      <c r="AH902" s="132">
        <v>-150.0</v>
      </c>
      <c r="AI902" s="132">
        <v>-127.0</v>
      </c>
      <c r="AJ902" s="132">
        <v>-177.0</v>
      </c>
      <c r="AK902" s="132">
        <v>-168.0</v>
      </c>
      <c r="AL902" s="112">
        <f>SUM(AH902:AK902)</f>
        <v>-622</v>
      </c>
      <c r="AM902" s="132">
        <v>-140.0</v>
      </c>
      <c r="AN902" s="132">
        <v>-143.0</v>
      </c>
      <c r="AO902" s="132">
        <v>-94.0</v>
      </c>
      <c r="AP902" s="132">
        <v>-49.0</v>
      </c>
      <c r="AQ902" s="112">
        <f t="shared" si="4566"/>
        <v>-426</v>
      </c>
      <c r="AR902" s="132">
        <v>-219.0</v>
      </c>
      <c r="AS902" s="132">
        <v>-126.0</v>
      </c>
      <c r="AT902" s="132">
        <v>-251.0</v>
      </c>
      <c r="AU902" s="132">
        <v>-196.0</v>
      </c>
      <c r="AV902" s="112">
        <f t="shared" ref="AV902:AV904" si="4568">SUM(AR902:AU902)</f>
        <v>-792</v>
      </c>
      <c r="AW902" s="132">
        <v>-250.0</v>
      </c>
      <c r="AX902" s="132">
        <v>-175.0</v>
      </c>
      <c r="AY902" s="132">
        <v>-100.0</v>
      </c>
      <c r="AZ902" s="132">
        <v>-50.0</v>
      </c>
      <c r="BA902" s="112">
        <f t="shared" ref="BA902:BA904" si="4570">SUM(AW902:AZ902)</f>
        <v>-575</v>
      </c>
      <c r="BB902" s="132">
        <v>0.0</v>
      </c>
      <c r="BC902" s="132">
        <v>25.0</v>
      </c>
      <c r="BD902" s="132">
        <v>50.0</v>
      </c>
      <c r="BE902" s="132">
        <v>50.0</v>
      </c>
      <c r="BF902" s="112">
        <f t="shared" ref="BF902:BF904" si="4571">SUM(BB902:BE902)</f>
        <v>125</v>
      </c>
      <c r="BG902" s="132">
        <v>50.0</v>
      </c>
      <c r="BH902" s="132">
        <v>50.0</v>
      </c>
      <c r="BI902" s="132">
        <v>50.0</v>
      </c>
      <c r="BJ902" s="132">
        <v>50.0</v>
      </c>
      <c r="BK902" s="112">
        <f t="shared" ref="BK902:BK904" si="4572">SUM(BG902:BJ902)</f>
        <v>200</v>
      </c>
      <c r="BL902" s="132">
        <v>50.0</v>
      </c>
      <c r="BM902" s="132">
        <v>50.0</v>
      </c>
      <c r="BN902" s="132">
        <v>50.0</v>
      </c>
      <c r="BO902" s="132">
        <v>50.0</v>
      </c>
      <c r="BP902" s="112">
        <f t="shared" ref="BP902:BP904" si="4573">SUM(BL902:BO902)</f>
        <v>200</v>
      </c>
      <c r="BQ902" s="132">
        <v>50.0</v>
      </c>
      <c r="BR902" s="132">
        <v>50.0</v>
      </c>
      <c r="BS902" s="132">
        <v>50.0</v>
      </c>
      <c r="BT902" s="132">
        <v>50.0</v>
      </c>
      <c r="BU902" s="112">
        <f t="shared" ref="BU902:BU904" si="4574">SUM(BQ902:BT902)</f>
        <v>200</v>
      </c>
      <c r="BV902" s="132">
        <v>50.0</v>
      </c>
      <c r="BW902" s="132">
        <v>50.0</v>
      </c>
      <c r="BX902" s="132">
        <v>50.0</v>
      </c>
      <c r="BY902" s="132">
        <v>50.0</v>
      </c>
      <c r="BZ902" s="80">
        <f t="shared" ref="BZ902:BZ904" si="4575">SUM(BV902:BY902)</f>
        <v>200</v>
      </c>
      <c r="CA902" s="132">
        <v>50.0</v>
      </c>
      <c r="CB902" s="132">
        <v>50.0</v>
      </c>
      <c r="CC902" s="132">
        <v>50.0</v>
      </c>
      <c r="CD902" s="132">
        <v>50.0</v>
      </c>
      <c r="CE902" s="80">
        <f t="shared" ref="CE902:CE904" si="4576">SUM(CA902:CD902)</f>
        <v>200</v>
      </c>
      <c r="CF902" s="132">
        <v>50.0</v>
      </c>
      <c r="CG902" s="132">
        <v>50.0</v>
      </c>
      <c r="CH902" s="132">
        <v>50.0</v>
      </c>
      <c r="CI902" s="132">
        <v>50.0</v>
      </c>
      <c r="CJ902" s="80">
        <f t="shared" ref="CJ902:CJ904" si="4577">SUM(CF902:CI902)</f>
        <v>200</v>
      </c>
      <c r="CK902" s="132">
        <v>50.0</v>
      </c>
      <c r="CL902" s="132">
        <v>50.0</v>
      </c>
      <c r="CM902" s="132">
        <v>50.0</v>
      </c>
      <c r="CN902" s="133">
        <v>50.0</v>
      </c>
      <c r="CO902" s="80">
        <f t="shared" ref="CO902:CO904" si="4578">SUM(CK902:CN902)</f>
        <v>200</v>
      </c>
      <c r="CP902" s="133">
        <v>50.0</v>
      </c>
      <c r="CQ902" s="132">
        <v>50.0</v>
      </c>
      <c r="CR902" s="132">
        <v>50.0</v>
      </c>
      <c r="CS902" s="132">
        <v>50.0</v>
      </c>
      <c r="CT902" s="80">
        <f t="shared" ref="CT902:CT904" si="4579">SUM(CP902:CS902)</f>
        <v>200</v>
      </c>
      <c r="CU902" s="132">
        <v>50.0</v>
      </c>
      <c r="CV902" s="132">
        <v>50.0</v>
      </c>
      <c r="CW902" s="132">
        <v>50.0</v>
      </c>
      <c r="CX902" s="132">
        <v>50.0</v>
      </c>
      <c r="CY902" s="80">
        <f t="shared" ref="CY902:CY904" si="4580">SUM(CU902:CX902)</f>
        <v>200</v>
      </c>
      <c r="CZ902" s="132">
        <v>50.0</v>
      </c>
      <c r="DA902" s="132">
        <v>50.0</v>
      </c>
      <c r="DB902" s="132">
        <v>50.0</v>
      </c>
      <c r="DC902" s="132">
        <v>50.0</v>
      </c>
      <c r="DD902" s="80">
        <f t="shared" ref="DD902:DD904" si="4581">SUM(CZ902:DC902)</f>
        <v>200</v>
      </c>
      <c r="DE902" s="132">
        <v>50.0</v>
      </c>
      <c r="DF902" s="132">
        <v>50.0</v>
      </c>
      <c r="DG902" s="133">
        <v>50.0</v>
      </c>
      <c r="DH902" s="132">
        <v>50.0</v>
      </c>
      <c r="DI902" s="80">
        <f t="shared" ref="DI902:DI904" si="4582">SUM(DE902:DH902)</f>
        <v>200</v>
      </c>
      <c r="DJ902" s="133">
        <v>50.0</v>
      </c>
      <c r="DK902" s="133">
        <v>50.0</v>
      </c>
      <c r="DL902" s="133">
        <v>50.0</v>
      </c>
      <c r="DM902" s="132">
        <v>50.0</v>
      </c>
      <c r="DN902" s="80">
        <f t="shared" ref="DN902:DN904" si="4583">SUM(DJ902:DM902)</f>
        <v>200</v>
      </c>
      <c r="DO902" s="132">
        <v>50.0</v>
      </c>
      <c r="DP902" s="132">
        <v>50.0</v>
      </c>
      <c r="DQ902" s="132">
        <v>50.0</v>
      </c>
      <c r="DR902" s="132">
        <v>50.0</v>
      </c>
      <c r="DS902" s="80">
        <f t="shared" ref="DS902:DS904" si="4584">SUM(DO902:DR902)</f>
        <v>200</v>
      </c>
      <c r="DT902" s="132">
        <v>50.0</v>
      </c>
      <c r="DU902" s="132">
        <v>50.0</v>
      </c>
      <c r="DV902" s="132">
        <v>50.0</v>
      </c>
      <c r="DW902" s="132">
        <v>50.0</v>
      </c>
      <c r="DX902" s="80">
        <f t="shared" ref="DX902:DX904" si="4585">SUM(DT902:DW902)</f>
        <v>200</v>
      </c>
      <c r="DY902" s="132">
        <v>50.0</v>
      </c>
      <c r="DZ902" s="132">
        <v>50.0</v>
      </c>
      <c r="EA902" s="132">
        <v>50.0</v>
      </c>
      <c r="EB902" s="132">
        <v>50.0</v>
      </c>
      <c r="EC902" s="80">
        <f t="shared" ref="EC902:EC904" si="4586">SUM(DY902:EB902)</f>
        <v>200</v>
      </c>
      <c r="ED902" s="132">
        <v>50.0</v>
      </c>
      <c r="EE902" s="132">
        <v>50.0</v>
      </c>
      <c r="EF902" s="132">
        <v>50.0</v>
      </c>
      <c r="EG902" s="132">
        <v>50.0</v>
      </c>
      <c r="EH902" s="80">
        <f t="shared" ref="EH902:EH904" si="4587">SUM(ED902:EG902)</f>
        <v>200</v>
      </c>
      <c r="EI902" s="131">
        <v>50.0</v>
      </c>
      <c r="EJ902" s="132">
        <v>50.0</v>
      </c>
      <c r="EK902" s="132">
        <v>50.0</v>
      </c>
      <c r="EL902" s="132">
        <v>50.0</v>
      </c>
      <c r="EM902" s="80">
        <f t="shared" ref="EM902:EM904" si="4588">SUM(EI902:EL902)</f>
        <v>200</v>
      </c>
      <c r="EN902" s="132">
        <v>50.0</v>
      </c>
      <c r="EO902" s="132">
        <v>50.0</v>
      </c>
      <c r="EP902" s="132">
        <v>50.0</v>
      </c>
      <c r="EQ902" s="132">
        <v>50.0</v>
      </c>
      <c r="ER902" s="80">
        <f t="shared" ref="ER902:ER904" si="4589">SUM(EN902:EQ902)</f>
        <v>200</v>
      </c>
      <c r="ES902" s="132">
        <v>50.0</v>
      </c>
      <c r="ET902" s="132">
        <v>50.0</v>
      </c>
      <c r="EU902" s="132">
        <v>50.0</v>
      </c>
      <c r="EV902" s="132">
        <v>50.0</v>
      </c>
      <c r="EW902" s="80">
        <f t="shared" ref="EW902:EW904" si="4590">SUM(ES902:EV902)</f>
        <v>200</v>
      </c>
      <c r="EX902" s="132">
        <v>50.0</v>
      </c>
      <c r="EY902" s="132">
        <v>50.0</v>
      </c>
      <c r="EZ902" s="132">
        <v>50.0</v>
      </c>
      <c r="FA902" s="132">
        <v>50.0</v>
      </c>
      <c r="FB902" s="80">
        <f t="shared" ref="FB902:FB904" si="4591">SUM(EX902:FA902)</f>
        <v>200</v>
      </c>
      <c r="FC902" s="132">
        <v>50.0</v>
      </c>
      <c r="FD902" s="132">
        <v>50.0</v>
      </c>
      <c r="FE902" s="132">
        <v>50.0</v>
      </c>
      <c r="FF902" s="132">
        <v>50.0</v>
      </c>
      <c r="FG902" s="80">
        <f t="shared" ref="FG902:FG904" si="4592">SUM(FC902:FF902)</f>
        <v>200</v>
      </c>
      <c r="FH902" s="146"/>
      <c r="FI902" s="132"/>
      <c r="FJ902" s="132"/>
      <c r="FK902" s="112"/>
      <c r="FL902" s="132"/>
    </row>
    <row r="903" ht="12.75" hidden="1" customHeight="1" outlineLevel="4">
      <c r="A903" s="4"/>
      <c r="B903" s="72" t="str">
        <f t="shared" si="4567"/>
        <v>All other</v>
      </c>
      <c r="C903" s="4"/>
      <c r="D903" s="132"/>
      <c r="E903" s="132"/>
      <c r="F903" s="132"/>
      <c r="G903" s="132"/>
      <c r="H903" s="112"/>
      <c r="I903" s="132"/>
      <c r="J903" s="132"/>
      <c r="K903" s="132"/>
      <c r="L903" s="132"/>
      <c r="M903" s="112"/>
      <c r="N903" s="132"/>
      <c r="O903" s="132"/>
      <c r="P903" s="132"/>
      <c r="Q903" s="132"/>
      <c r="R903" s="112"/>
      <c r="S903" s="132"/>
      <c r="T903" s="132"/>
      <c r="U903" s="132"/>
      <c r="V903" s="132"/>
      <c r="W903" s="112">
        <v>-1705.0</v>
      </c>
      <c r="X903" s="132"/>
      <c r="Y903" s="132"/>
      <c r="Z903" s="132">
        <v>-741.0</v>
      </c>
      <c r="AA903" s="132">
        <v>-863.0</v>
      </c>
      <c r="AB903" s="112">
        <v>-3043.0</v>
      </c>
      <c r="AC903" s="132">
        <v>-852.0</v>
      </c>
      <c r="AD903" s="132">
        <v>-834.0</v>
      </c>
      <c r="AE903" s="132">
        <v>-662.0</v>
      </c>
      <c r="AF903" s="132">
        <f t="shared" si="4565"/>
        <v>-657</v>
      </c>
      <c r="AG903" s="112">
        <v>-3005.0</v>
      </c>
      <c r="AH903" s="132">
        <f>-269-2.5</f>
        <v>-271.5</v>
      </c>
      <c r="AI903" s="132">
        <f>-506-5</f>
        <v>-511</v>
      </c>
      <c r="AJ903" s="132">
        <f>-243-3</f>
        <v>-246</v>
      </c>
      <c r="AK903" s="132">
        <v>-272.0</v>
      </c>
      <c r="AL903" s="112">
        <v>-1301.0</v>
      </c>
      <c r="AM903" s="132">
        <v>-298.0</v>
      </c>
      <c r="AN903" s="132">
        <f>-301-1.5</f>
        <v>-302.5</v>
      </c>
      <c r="AO903" s="132">
        <v>-393.0</v>
      </c>
      <c r="AP903" s="132">
        <v>-1024.0</v>
      </c>
      <c r="AQ903" s="112">
        <f t="shared" si="4566"/>
        <v>-2017.5</v>
      </c>
      <c r="AR903" s="132">
        <v>-320.0</v>
      </c>
      <c r="AS903" s="132">
        <v>-281.0</v>
      </c>
      <c r="AT903" s="132">
        <v>-166.0</v>
      </c>
      <c r="AU903" s="132">
        <v>-388.0</v>
      </c>
      <c r="AV903" s="112">
        <f t="shared" si="4568"/>
        <v>-1155</v>
      </c>
      <c r="AW903" s="132">
        <f>AU903</f>
        <v>-388</v>
      </c>
      <c r="AX903" s="132">
        <f t="shared" ref="AX903:AZ903" si="4569">AW903</f>
        <v>-388</v>
      </c>
      <c r="AY903" s="132">
        <f t="shared" si="4569"/>
        <v>-388</v>
      </c>
      <c r="AZ903" s="132">
        <f t="shared" si="4569"/>
        <v>-388</v>
      </c>
      <c r="BA903" s="112">
        <f t="shared" si="4570"/>
        <v>-1552</v>
      </c>
      <c r="BB903" s="132">
        <v>-150.0</v>
      </c>
      <c r="BC903" s="132">
        <v>-150.0</v>
      </c>
      <c r="BD903" s="132">
        <v>-150.0</v>
      </c>
      <c r="BE903" s="132">
        <v>-150.0</v>
      </c>
      <c r="BF903" s="112">
        <f t="shared" si="4571"/>
        <v>-600</v>
      </c>
      <c r="BG903" s="132">
        <v>-150.0</v>
      </c>
      <c r="BH903" s="132">
        <v>-150.0</v>
      </c>
      <c r="BI903" s="132">
        <v>-150.0</v>
      </c>
      <c r="BJ903" s="132">
        <v>-150.0</v>
      </c>
      <c r="BK903" s="112">
        <f t="shared" si="4572"/>
        <v>-600</v>
      </c>
      <c r="BL903" s="132">
        <v>-150.0</v>
      </c>
      <c r="BM903" s="132">
        <v>-150.0</v>
      </c>
      <c r="BN903" s="132">
        <v>-150.0</v>
      </c>
      <c r="BO903" s="132">
        <v>-150.0</v>
      </c>
      <c r="BP903" s="112">
        <f t="shared" si="4573"/>
        <v>-600</v>
      </c>
      <c r="BQ903" s="132">
        <v>-150.0</v>
      </c>
      <c r="BR903" s="132">
        <v>-150.0</v>
      </c>
      <c r="BS903" s="132">
        <v>-150.0</v>
      </c>
      <c r="BT903" s="132">
        <v>-150.0</v>
      </c>
      <c r="BU903" s="112">
        <f t="shared" si="4574"/>
        <v>-600</v>
      </c>
      <c r="BV903" s="132">
        <v>-150.0</v>
      </c>
      <c r="BW903" s="132">
        <v>-150.0</v>
      </c>
      <c r="BX903" s="132">
        <v>-150.0</v>
      </c>
      <c r="BY903" s="132">
        <v>-150.0</v>
      </c>
      <c r="BZ903" s="80">
        <f t="shared" si="4575"/>
        <v>-600</v>
      </c>
      <c r="CA903" s="132">
        <v>-150.0</v>
      </c>
      <c r="CB903" s="132">
        <v>-150.0</v>
      </c>
      <c r="CC903" s="132">
        <v>-150.0</v>
      </c>
      <c r="CD903" s="132">
        <v>-150.0</v>
      </c>
      <c r="CE903" s="80">
        <f t="shared" si="4576"/>
        <v>-600</v>
      </c>
      <c r="CF903" s="132">
        <v>-150.0</v>
      </c>
      <c r="CG903" s="132">
        <v>-150.0</v>
      </c>
      <c r="CH903" s="132">
        <v>-150.0</v>
      </c>
      <c r="CI903" s="132">
        <v>-150.0</v>
      </c>
      <c r="CJ903" s="80">
        <f t="shared" si="4577"/>
        <v>-600</v>
      </c>
      <c r="CK903" s="132">
        <v>-150.0</v>
      </c>
      <c r="CL903" s="132">
        <v>-150.0</v>
      </c>
      <c r="CM903" s="132">
        <v>-150.0</v>
      </c>
      <c r="CN903" s="133">
        <v>-150.0</v>
      </c>
      <c r="CO903" s="80">
        <f t="shared" si="4578"/>
        <v>-600</v>
      </c>
      <c r="CP903" s="133">
        <v>-150.0</v>
      </c>
      <c r="CQ903" s="132">
        <v>-150.0</v>
      </c>
      <c r="CR903" s="132">
        <v>-150.0</v>
      </c>
      <c r="CS903" s="132">
        <v>-150.0</v>
      </c>
      <c r="CT903" s="80">
        <f t="shared" si="4579"/>
        <v>-600</v>
      </c>
      <c r="CU903" s="132">
        <v>-150.0</v>
      </c>
      <c r="CV903" s="132">
        <v>-150.0</v>
      </c>
      <c r="CW903" s="132">
        <v>-150.0</v>
      </c>
      <c r="CX903" s="132">
        <v>-150.0</v>
      </c>
      <c r="CY903" s="80">
        <f t="shared" si="4580"/>
        <v>-600</v>
      </c>
      <c r="CZ903" s="132">
        <v>-150.0</v>
      </c>
      <c r="DA903" s="132">
        <v>-150.0</v>
      </c>
      <c r="DB903" s="132">
        <v>-150.0</v>
      </c>
      <c r="DC903" s="132">
        <v>-150.0</v>
      </c>
      <c r="DD903" s="80">
        <f t="shared" si="4581"/>
        <v>-600</v>
      </c>
      <c r="DE903" s="132">
        <v>-150.0</v>
      </c>
      <c r="DF903" s="132">
        <v>-150.0</v>
      </c>
      <c r="DG903" s="133">
        <v>-150.0</v>
      </c>
      <c r="DH903" s="132">
        <v>-150.0</v>
      </c>
      <c r="DI903" s="80">
        <f t="shared" si="4582"/>
        <v>-600</v>
      </c>
      <c r="DJ903" s="133">
        <v>-150.0</v>
      </c>
      <c r="DK903" s="133">
        <v>-150.0</v>
      </c>
      <c r="DL903" s="133">
        <v>-150.0</v>
      </c>
      <c r="DM903" s="132">
        <v>-150.0</v>
      </c>
      <c r="DN903" s="80">
        <f t="shared" si="4583"/>
        <v>-600</v>
      </c>
      <c r="DO903" s="132">
        <v>-150.0</v>
      </c>
      <c r="DP903" s="132">
        <v>-150.0</v>
      </c>
      <c r="DQ903" s="132">
        <v>-150.0</v>
      </c>
      <c r="DR903" s="132">
        <v>-150.0</v>
      </c>
      <c r="DS903" s="80">
        <f t="shared" si="4584"/>
        <v>-600</v>
      </c>
      <c r="DT903" s="132">
        <v>-150.0</v>
      </c>
      <c r="DU903" s="132">
        <v>-150.0</v>
      </c>
      <c r="DV903" s="132">
        <v>-150.0</v>
      </c>
      <c r="DW903" s="132">
        <v>-150.0</v>
      </c>
      <c r="DX903" s="80">
        <f t="shared" si="4585"/>
        <v>-600</v>
      </c>
      <c r="DY903" s="132">
        <v>-150.0</v>
      </c>
      <c r="DZ903" s="132">
        <v>-150.0</v>
      </c>
      <c r="EA903" s="132">
        <v>-150.0</v>
      </c>
      <c r="EB903" s="132">
        <v>-150.0</v>
      </c>
      <c r="EC903" s="80">
        <f t="shared" si="4586"/>
        <v>-600</v>
      </c>
      <c r="ED903" s="132">
        <v>-150.0</v>
      </c>
      <c r="EE903" s="132">
        <v>-150.0</v>
      </c>
      <c r="EF903" s="132">
        <v>-150.0</v>
      </c>
      <c r="EG903" s="132">
        <v>-150.0</v>
      </c>
      <c r="EH903" s="80">
        <f t="shared" si="4587"/>
        <v>-600</v>
      </c>
      <c r="EI903" s="131">
        <v>-150.0</v>
      </c>
      <c r="EJ903" s="132">
        <v>-150.0</v>
      </c>
      <c r="EK903" s="132">
        <v>-150.0</v>
      </c>
      <c r="EL903" s="132">
        <v>-150.0</v>
      </c>
      <c r="EM903" s="80">
        <f t="shared" si="4588"/>
        <v>-600</v>
      </c>
      <c r="EN903" s="132">
        <v>-150.0</v>
      </c>
      <c r="EO903" s="132">
        <v>-150.0</v>
      </c>
      <c r="EP903" s="132">
        <v>-150.0</v>
      </c>
      <c r="EQ903" s="132">
        <v>-150.0</v>
      </c>
      <c r="ER903" s="80">
        <f t="shared" si="4589"/>
        <v>-600</v>
      </c>
      <c r="ES903" s="132">
        <v>-150.0</v>
      </c>
      <c r="ET903" s="132">
        <v>-150.0</v>
      </c>
      <c r="EU903" s="132">
        <v>-150.0</v>
      </c>
      <c r="EV903" s="132">
        <v>-150.0</v>
      </c>
      <c r="EW903" s="80">
        <f t="shared" si="4590"/>
        <v>-600</v>
      </c>
      <c r="EX903" s="132">
        <v>-150.0</v>
      </c>
      <c r="EY903" s="132">
        <v>-150.0</v>
      </c>
      <c r="EZ903" s="132">
        <v>-150.0</v>
      </c>
      <c r="FA903" s="132">
        <v>-150.0</v>
      </c>
      <c r="FB903" s="80">
        <f t="shared" si="4591"/>
        <v>-600</v>
      </c>
      <c r="FC903" s="132">
        <v>-150.0</v>
      </c>
      <c r="FD903" s="132">
        <v>-150.0</v>
      </c>
      <c r="FE903" s="132">
        <v>-150.0</v>
      </c>
      <c r="FF903" s="132">
        <v>-150.0</v>
      </c>
      <c r="FG903" s="80">
        <f t="shared" si="4592"/>
        <v>-600</v>
      </c>
      <c r="FH903" s="146"/>
      <c r="FI903" s="132"/>
      <c r="FJ903" s="132"/>
      <c r="FK903" s="112"/>
      <c r="FL903" s="132"/>
    </row>
    <row r="904" ht="12.75" hidden="1" customHeight="1" outlineLevel="2">
      <c r="A904" s="4"/>
      <c r="B904" s="4" t="str">
        <f t="shared" si="4567"/>
        <v>ICG/All other</v>
      </c>
      <c r="C904" s="4"/>
      <c r="D904" s="17"/>
      <c r="E904" s="17"/>
      <c r="F904" s="17"/>
      <c r="G904" s="17"/>
      <c r="H904" s="112"/>
      <c r="I904" s="17"/>
      <c r="J904" s="17"/>
      <c r="K904" s="17"/>
      <c r="L904" s="17"/>
      <c r="M904" s="112"/>
      <c r="N904" s="17">
        <f>-54-103</f>
        <v>-157</v>
      </c>
      <c r="O904" s="17">
        <v>-43.0</v>
      </c>
      <c r="P904" s="17">
        <v>-430.0</v>
      </c>
      <c r="Q904" s="17">
        <f>R904-N904-O904-P904</f>
        <v>-404</v>
      </c>
      <c r="R904" s="112">
        <v>-1034.0</v>
      </c>
      <c r="S904" s="17">
        <v>-307.0</v>
      </c>
      <c r="T904" s="17">
        <v>15.0</v>
      </c>
      <c r="U904" s="17">
        <v>-675.0</v>
      </c>
      <c r="V904" s="17">
        <v>-561.0</v>
      </c>
      <c r="W904" s="112">
        <f>SUM(W901:W903)</f>
        <v>-1364</v>
      </c>
      <c r="X904" s="17">
        <v>-456.0</v>
      </c>
      <c r="Y904" s="17">
        <v>-563.0</v>
      </c>
      <c r="Z904" s="17">
        <f>SUM(Z901:Z903)</f>
        <v>-490</v>
      </c>
      <c r="AA904" s="17">
        <f>AA901+AA902+AA903</f>
        <v>-635</v>
      </c>
      <c r="AB904" s="112">
        <f t="shared" ref="AB904:AC904" si="4593">SUM(AB901:AB903)</f>
        <v>-2116</v>
      </c>
      <c r="AC904" s="17">
        <f t="shared" si="4593"/>
        <v>-1024</v>
      </c>
      <c r="AD904" s="17">
        <f>-158-235-836</f>
        <v>-1229</v>
      </c>
      <c r="AE904" s="17">
        <f>SUM(AE901:AE903)</f>
        <v>-939</v>
      </c>
      <c r="AF904" s="17">
        <f>-129-20-656</f>
        <v>-805</v>
      </c>
      <c r="AG904" s="112">
        <f t="shared" ref="AG904:AK904" si="4594">SUM(AG901:AG903)</f>
        <v>-3996</v>
      </c>
      <c r="AH904" s="17">
        <f t="shared" si="4594"/>
        <v>-488.5</v>
      </c>
      <c r="AI904" s="17">
        <f t="shared" si="4594"/>
        <v>-732.5</v>
      </c>
      <c r="AJ904" s="17">
        <f t="shared" si="4594"/>
        <v>-451.5</v>
      </c>
      <c r="AK904" s="17">
        <f t="shared" si="4594"/>
        <v>-537</v>
      </c>
      <c r="AL904" s="112">
        <f t="shared" ref="AL904:AL905" si="4621">SUM(AH904:AK904)</f>
        <v>-2209.5</v>
      </c>
      <c r="AM904" s="17">
        <f t="shared" ref="AM904:AP904" si="4595">SUM(AM901:AM903)</f>
        <v>-532</v>
      </c>
      <c r="AN904" s="17">
        <f t="shared" si="4595"/>
        <v>-565</v>
      </c>
      <c r="AO904" s="17">
        <f t="shared" si="4595"/>
        <v>-611</v>
      </c>
      <c r="AP904" s="17">
        <f t="shared" si="4595"/>
        <v>-1170</v>
      </c>
      <c r="AQ904" s="112">
        <f t="shared" si="4566"/>
        <v>-2878</v>
      </c>
      <c r="AR904" s="17">
        <f t="shared" ref="AR904:AU904" si="4596">SUM(AR901:AR903)</f>
        <v>-539</v>
      </c>
      <c r="AS904" s="17">
        <f t="shared" si="4596"/>
        <v>-407</v>
      </c>
      <c r="AT904" s="17">
        <f t="shared" si="4596"/>
        <v>-417</v>
      </c>
      <c r="AU904" s="17">
        <f t="shared" si="4596"/>
        <v>-584</v>
      </c>
      <c r="AV904" s="112">
        <f t="shared" si="4568"/>
        <v>-1947</v>
      </c>
      <c r="AW904" s="17">
        <f t="shared" ref="AW904:AZ904" si="4597">SUM(AW901:AW903)</f>
        <v>-638</v>
      </c>
      <c r="AX904" s="17">
        <f t="shared" si="4597"/>
        <v>-563</v>
      </c>
      <c r="AY904" s="17">
        <f t="shared" si="4597"/>
        <v>-488</v>
      </c>
      <c r="AZ904" s="17">
        <f t="shared" si="4597"/>
        <v>-438</v>
      </c>
      <c r="BA904" s="112">
        <f t="shared" si="4570"/>
        <v>-2127</v>
      </c>
      <c r="BB904" s="17">
        <f t="shared" ref="BB904:BE904" si="4598">SUM(BB901:BB903)</f>
        <v>-150</v>
      </c>
      <c r="BC904" s="17">
        <f t="shared" si="4598"/>
        <v>-125</v>
      </c>
      <c r="BD904" s="17">
        <f t="shared" si="4598"/>
        <v>-100</v>
      </c>
      <c r="BE904" s="17">
        <f t="shared" si="4598"/>
        <v>-100</v>
      </c>
      <c r="BF904" s="112">
        <f t="shared" si="4571"/>
        <v>-475</v>
      </c>
      <c r="BG904" s="17">
        <f t="shared" ref="BG904:BJ904" si="4599">SUM(BG901:BG903)</f>
        <v>-100</v>
      </c>
      <c r="BH904" s="17">
        <f t="shared" si="4599"/>
        <v>-100</v>
      </c>
      <c r="BI904" s="17">
        <f t="shared" si="4599"/>
        <v>-100</v>
      </c>
      <c r="BJ904" s="17">
        <f t="shared" si="4599"/>
        <v>-100</v>
      </c>
      <c r="BK904" s="112">
        <f t="shared" si="4572"/>
        <v>-400</v>
      </c>
      <c r="BL904" s="17">
        <f t="shared" ref="BL904:BO904" si="4600">SUM(BL901:BL903)</f>
        <v>-100</v>
      </c>
      <c r="BM904" s="17">
        <f t="shared" si="4600"/>
        <v>-100</v>
      </c>
      <c r="BN904" s="17">
        <f t="shared" si="4600"/>
        <v>-100</v>
      </c>
      <c r="BO904" s="17">
        <f t="shared" si="4600"/>
        <v>-100</v>
      </c>
      <c r="BP904" s="112">
        <f t="shared" si="4573"/>
        <v>-400</v>
      </c>
      <c r="BQ904" s="17">
        <f t="shared" ref="BQ904:BT904" si="4601">SUM(BQ901:BQ903)</f>
        <v>-100</v>
      </c>
      <c r="BR904" s="17">
        <f t="shared" si="4601"/>
        <v>-100</v>
      </c>
      <c r="BS904" s="17">
        <f t="shared" si="4601"/>
        <v>-100</v>
      </c>
      <c r="BT904" s="17">
        <f t="shared" si="4601"/>
        <v>-100</v>
      </c>
      <c r="BU904" s="112">
        <f t="shared" si="4574"/>
        <v>-400</v>
      </c>
      <c r="BV904" s="17">
        <f t="shared" ref="BV904:BY904" si="4602">SUM(BV901:BV903)</f>
        <v>-100</v>
      </c>
      <c r="BW904" s="17">
        <f t="shared" si="4602"/>
        <v>-100</v>
      </c>
      <c r="BX904" s="17">
        <f t="shared" si="4602"/>
        <v>-100</v>
      </c>
      <c r="BY904" s="17">
        <f t="shared" si="4602"/>
        <v>-100</v>
      </c>
      <c r="BZ904" s="80">
        <f t="shared" si="4575"/>
        <v>-400</v>
      </c>
      <c r="CA904" s="17">
        <f t="shared" ref="CA904:CD904" si="4603">SUM(CA901:CA903)</f>
        <v>-100</v>
      </c>
      <c r="CB904" s="17">
        <f t="shared" si="4603"/>
        <v>-100</v>
      </c>
      <c r="CC904" s="17">
        <f t="shared" si="4603"/>
        <v>-100</v>
      </c>
      <c r="CD904" s="17">
        <f t="shared" si="4603"/>
        <v>-100</v>
      </c>
      <c r="CE904" s="80">
        <f t="shared" si="4576"/>
        <v>-400</v>
      </c>
      <c r="CF904" s="17">
        <f t="shared" ref="CF904:CI904" si="4604">SUM(CF901:CF903)</f>
        <v>-100</v>
      </c>
      <c r="CG904" s="17">
        <f t="shared" si="4604"/>
        <v>-100</v>
      </c>
      <c r="CH904" s="17">
        <f t="shared" si="4604"/>
        <v>-100</v>
      </c>
      <c r="CI904" s="17">
        <f t="shared" si="4604"/>
        <v>-100</v>
      </c>
      <c r="CJ904" s="80">
        <f t="shared" si="4577"/>
        <v>-400</v>
      </c>
      <c r="CK904" s="17">
        <f t="shared" ref="CK904:CN904" si="4605">SUM(CK901:CK903)</f>
        <v>-100</v>
      </c>
      <c r="CL904" s="17">
        <f t="shared" si="4605"/>
        <v>-100</v>
      </c>
      <c r="CM904" s="17">
        <f t="shared" si="4605"/>
        <v>-100</v>
      </c>
      <c r="CN904" s="19">
        <f t="shared" si="4605"/>
        <v>-100</v>
      </c>
      <c r="CO904" s="80">
        <f t="shared" si="4578"/>
        <v>-400</v>
      </c>
      <c r="CP904" s="19">
        <f t="shared" ref="CP904:CS904" si="4606">SUM(CP901:CP903)</f>
        <v>-100</v>
      </c>
      <c r="CQ904" s="17">
        <f t="shared" si="4606"/>
        <v>-100</v>
      </c>
      <c r="CR904" s="17">
        <f t="shared" si="4606"/>
        <v>-100</v>
      </c>
      <c r="CS904" s="17">
        <f t="shared" si="4606"/>
        <v>-100</v>
      </c>
      <c r="CT904" s="80">
        <f t="shared" si="4579"/>
        <v>-400</v>
      </c>
      <c r="CU904" s="17">
        <f t="shared" ref="CU904:CX904" si="4607">SUM(CU901:CU903)</f>
        <v>-100</v>
      </c>
      <c r="CV904" s="17">
        <f t="shared" si="4607"/>
        <v>-100</v>
      </c>
      <c r="CW904" s="17">
        <f t="shared" si="4607"/>
        <v>-100</v>
      </c>
      <c r="CX904" s="17">
        <f t="shared" si="4607"/>
        <v>-100</v>
      </c>
      <c r="CY904" s="80">
        <f t="shared" si="4580"/>
        <v>-400</v>
      </c>
      <c r="CZ904" s="17">
        <f t="shared" ref="CZ904:DC904" si="4608">SUM(CZ901:CZ903)</f>
        <v>-100</v>
      </c>
      <c r="DA904" s="17">
        <f t="shared" si="4608"/>
        <v>-100</v>
      </c>
      <c r="DB904" s="17">
        <f t="shared" si="4608"/>
        <v>-100</v>
      </c>
      <c r="DC904" s="17">
        <f t="shared" si="4608"/>
        <v>-100</v>
      </c>
      <c r="DD904" s="80">
        <f t="shared" si="4581"/>
        <v>-400</v>
      </c>
      <c r="DE904" s="17">
        <f t="shared" ref="DE904:DH904" si="4609">SUM(DE901:DE903)</f>
        <v>-100</v>
      </c>
      <c r="DF904" s="17">
        <f t="shared" si="4609"/>
        <v>-100</v>
      </c>
      <c r="DG904" s="19">
        <f t="shared" si="4609"/>
        <v>-100</v>
      </c>
      <c r="DH904" s="17">
        <f t="shared" si="4609"/>
        <v>-100</v>
      </c>
      <c r="DI904" s="80">
        <f t="shared" si="4582"/>
        <v>-400</v>
      </c>
      <c r="DJ904" s="19">
        <f t="shared" ref="DJ904:DM904" si="4610">SUM(DJ901:DJ903)</f>
        <v>-100</v>
      </c>
      <c r="DK904" s="19">
        <f t="shared" si="4610"/>
        <v>-100</v>
      </c>
      <c r="DL904" s="19">
        <f t="shared" si="4610"/>
        <v>-100</v>
      </c>
      <c r="DM904" s="17">
        <f t="shared" si="4610"/>
        <v>-100</v>
      </c>
      <c r="DN904" s="80">
        <f t="shared" si="4583"/>
        <v>-400</v>
      </c>
      <c r="DO904" s="17">
        <f t="shared" ref="DO904:DR904" si="4611">SUM(DO901:DO903)</f>
        <v>-100</v>
      </c>
      <c r="DP904" s="17">
        <f t="shared" si="4611"/>
        <v>-100</v>
      </c>
      <c r="DQ904" s="17">
        <f t="shared" si="4611"/>
        <v>-100</v>
      </c>
      <c r="DR904" s="17">
        <f t="shared" si="4611"/>
        <v>-100</v>
      </c>
      <c r="DS904" s="80">
        <f t="shared" si="4584"/>
        <v>-400</v>
      </c>
      <c r="DT904" s="17">
        <f t="shared" ref="DT904:DW904" si="4612">SUM(DT901:DT903)</f>
        <v>-100</v>
      </c>
      <c r="DU904" s="17">
        <f t="shared" si="4612"/>
        <v>-100</v>
      </c>
      <c r="DV904" s="17">
        <f t="shared" si="4612"/>
        <v>-100</v>
      </c>
      <c r="DW904" s="17">
        <f t="shared" si="4612"/>
        <v>-100</v>
      </c>
      <c r="DX904" s="80">
        <f t="shared" si="4585"/>
        <v>-400</v>
      </c>
      <c r="DY904" s="17">
        <f t="shared" ref="DY904:EB904" si="4613">SUM(DY901:DY903)</f>
        <v>-100</v>
      </c>
      <c r="DZ904" s="17">
        <f t="shared" si="4613"/>
        <v>-100</v>
      </c>
      <c r="EA904" s="17">
        <f t="shared" si="4613"/>
        <v>-100</v>
      </c>
      <c r="EB904" s="17">
        <f t="shared" si="4613"/>
        <v>-100</v>
      </c>
      <c r="EC904" s="80">
        <f t="shared" si="4586"/>
        <v>-400</v>
      </c>
      <c r="ED904" s="17">
        <f t="shared" ref="ED904:EG904" si="4614">SUM(ED901:ED903)</f>
        <v>-100</v>
      </c>
      <c r="EE904" s="17">
        <f t="shared" si="4614"/>
        <v>-100</v>
      </c>
      <c r="EF904" s="17">
        <f t="shared" si="4614"/>
        <v>-100</v>
      </c>
      <c r="EG904" s="17">
        <f t="shared" si="4614"/>
        <v>-100</v>
      </c>
      <c r="EH904" s="80">
        <f t="shared" si="4587"/>
        <v>-400</v>
      </c>
      <c r="EI904" s="25">
        <f t="shared" ref="EI904:EL904" si="4615">SUM(EI901:EI903)</f>
        <v>-100</v>
      </c>
      <c r="EJ904" s="17">
        <f t="shared" si="4615"/>
        <v>-100</v>
      </c>
      <c r="EK904" s="17">
        <f t="shared" si="4615"/>
        <v>-100</v>
      </c>
      <c r="EL904" s="17">
        <f t="shared" si="4615"/>
        <v>-100</v>
      </c>
      <c r="EM904" s="80">
        <f t="shared" si="4588"/>
        <v>-400</v>
      </c>
      <c r="EN904" s="17">
        <f t="shared" ref="EN904:EQ904" si="4616">SUM(EN901:EN903)</f>
        <v>-100</v>
      </c>
      <c r="EO904" s="17">
        <f t="shared" si="4616"/>
        <v>-100</v>
      </c>
      <c r="EP904" s="17">
        <f t="shared" si="4616"/>
        <v>-100</v>
      </c>
      <c r="EQ904" s="17">
        <f t="shared" si="4616"/>
        <v>-100</v>
      </c>
      <c r="ER904" s="80">
        <f t="shared" si="4589"/>
        <v>-400</v>
      </c>
      <c r="ES904" s="17">
        <f t="shared" ref="ES904:EV904" si="4617">SUM(ES901:ES903)</f>
        <v>-100</v>
      </c>
      <c r="ET904" s="17">
        <f t="shared" si="4617"/>
        <v>-100</v>
      </c>
      <c r="EU904" s="17">
        <f t="shared" si="4617"/>
        <v>-100</v>
      </c>
      <c r="EV904" s="17">
        <f t="shared" si="4617"/>
        <v>-100</v>
      </c>
      <c r="EW904" s="80">
        <f t="shared" si="4590"/>
        <v>-400</v>
      </c>
      <c r="EX904" s="17">
        <f t="shared" ref="EX904:FA904" si="4618">SUM(EX901:EX903)</f>
        <v>-100</v>
      </c>
      <c r="EY904" s="17">
        <f t="shared" si="4618"/>
        <v>-100</v>
      </c>
      <c r="EZ904" s="17">
        <f t="shared" si="4618"/>
        <v>-100</v>
      </c>
      <c r="FA904" s="17">
        <f t="shared" si="4618"/>
        <v>-100</v>
      </c>
      <c r="FB904" s="80">
        <f t="shared" si="4591"/>
        <v>-400</v>
      </c>
      <c r="FC904" s="17">
        <f t="shared" ref="FC904:FF904" si="4619">SUM(FC901:FC903)</f>
        <v>-100</v>
      </c>
      <c r="FD904" s="17">
        <f t="shared" si="4619"/>
        <v>-100</v>
      </c>
      <c r="FE904" s="17">
        <f t="shared" si="4619"/>
        <v>-100</v>
      </c>
      <c r="FF904" s="17">
        <f t="shared" si="4619"/>
        <v>-100</v>
      </c>
      <c r="FG904" s="80">
        <f t="shared" si="4592"/>
        <v>-400</v>
      </c>
      <c r="FH904" s="146"/>
      <c r="FI904" s="17"/>
      <c r="FJ904" s="17"/>
      <c r="FK904" s="112"/>
      <c r="FL904" s="17"/>
    </row>
    <row r="905" ht="13.5" hidden="1" customHeight="1" outlineLevel="2">
      <c r="A905" s="4"/>
      <c r="B905" s="529" t="s">
        <v>291</v>
      </c>
      <c r="C905" s="529"/>
      <c r="D905" s="164"/>
      <c r="E905" s="164"/>
      <c r="F905" s="164"/>
      <c r="G905" s="164"/>
      <c r="H905" s="164"/>
      <c r="I905" s="164"/>
      <c r="J905" s="164"/>
      <c r="K905" s="164"/>
      <c r="L905" s="164"/>
      <c r="M905" s="164"/>
      <c r="N905" s="164">
        <f t="shared" ref="N905:AK905" si="4620">N900+N904</f>
        <v>1781</v>
      </c>
      <c r="O905" s="164">
        <f t="shared" si="4620"/>
        <v>1606</v>
      </c>
      <c r="P905" s="164">
        <f t="shared" si="4620"/>
        <v>2156</v>
      </c>
      <c r="Q905" s="164">
        <f t="shared" si="4620"/>
        <v>2836</v>
      </c>
      <c r="R905" s="164">
        <f t="shared" si="4620"/>
        <v>8379</v>
      </c>
      <c r="S905" s="164">
        <f t="shared" si="4620"/>
        <v>2637</v>
      </c>
      <c r="T905" s="164">
        <f t="shared" si="4620"/>
        <v>2320</v>
      </c>
      <c r="U905" s="164">
        <f t="shared" si="4620"/>
        <v>2056</v>
      </c>
      <c r="V905" s="164">
        <f t="shared" si="4620"/>
        <v>2754</v>
      </c>
      <c r="W905" s="164">
        <f t="shared" si="4620"/>
        <v>9767</v>
      </c>
      <c r="X905" s="164">
        <f t="shared" si="4620"/>
        <v>2554</v>
      </c>
      <c r="Y905" s="164">
        <f t="shared" si="4620"/>
        <v>2408</v>
      </c>
      <c r="Z905" s="164">
        <f t="shared" si="4620"/>
        <v>2857</v>
      </c>
      <c r="AA905" s="164">
        <f t="shared" si="4620"/>
        <v>2576</v>
      </c>
      <c r="AB905" s="164">
        <f t="shared" si="4620"/>
        <v>10395</v>
      </c>
      <c r="AC905" s="164">
        <f t="shared" si="4620"/>
        <v>642</v>
      </c>
      <c r="AD905" s="164">
        <f t="shared" si="4620"/>
        <v>215</v>
      </c>
      <c r="AE905" s="164">
        <f t="shared" si="4620"/>
        <v>389</v>
      </c>
      <c r="AF905" s="164">
        <f t="shared" si="4620"/>
        <v>1009</v>
      </c>
      <c r="AG905" s="164">
        <f t="shared" si="4620"/>
        <v>2256</v>
      </c>
      <c r="AH905" s="164">
        <f t="shared" si="4620"/>
        <v>1318.5</v>
      </c>
      <c r="AI905" s="164">
        <f t="shared" si="4620"/>
        <v>637.5</v>
      </c>
      <c r="AJ905" s="164">
        <f t="shared" si="4620"/>
        <v>962.5</v>
      </c>
      <c r="AK905" s="164">
        <f t="shared" si="4620"/>
        <v>1464</v>
      </c>
      <c r="AL905" s="164">
        <f t="shared" si="4621"/>
        <v>4382.5</v>
      </c>
      <c r="AM905" s="164">
        <f t="shared" ref="AM905:AP905" si="4622">AM900+AM904</f>
        <v>1376</v>
      </c>
      <c r="AN905" s="164">
        <f t="shared" si="4622"/>
        <v>1276</v>
      </c>
      <c r="AO905" s="164">
        <f t="shared" si="4622"/>
        <v>2304</v>
      </c>
      <c r="AP905" s="164">
        <f t="shared" si="4622"/>
        <v>2562</v>
      </c>
      <c r="AQ905" s="164">
        <f>SUM(AQ900,AQ904)</f>
        <v>7518</v>
      </c>
      <c r="AR905" s="164">
        <f t="shared" ref="AR905:FG905" si="4623">AR900+AR904</f>
        <v>2476</v>
      </c>
      <c r="AS905" s="164">
        <f t="shared" si="4623"/>
        <v>2381</v>
      </c>
      <c r="AT905" s="164">
        <f t="shared" si="4623"/>
        <v>2373</v>
      </c>
      <c r="AU905" s="164">
        <f t="shared" si="4623"/>
        <v>2900</v>
      </c>
      <c r="AV905" s="164">
        <f t="shared" si="4623"/>
        <v>10130</v>
      </c>
      <c r="AW905" s="164">
        <f t="shared" si="4623"/>
        <v>3032</v>
      </c>
      <c r="AX905" s="164">
        <f t="shared" si="4623"/>
        <v>2649</v>
      </c>
      <c r="AY905" s="164">
        <f t="shared" si="4623"/>
        <v>3240</v>
      </c>
      <c r="AZ905" s="164">
        <f t="shared" si="4623"/>
        <v>3309</v>
      </c>
      <c r="BA905" s="164">
        <f t="shared" si="4623"/>
        <v>12230</v>
      </c>
      <c r="BB905" s="164">
        <f t="shared" si="4623"/>
        <v>1718</v>
      </c>
      <c r="BC905" s="164">
        <f t="shared" si="4623"/>
        <v>1072</v>
      </c>
      <c r="BD905" s="164">
        <f t="shared" si="4623"/>
        <v>1374</v>
      </c>
      <c r="BE905" s="164">
        <f t="shared" si="4623"/>
        <v>1488</v>
      </c>
      <c r="BF905" s="164">
        <f t="shared" si="4623"/>
        <v>5652</v>
      </c>
      <c r="BG905" s="164">
        <f t="shared" si="4623"/>
        <v>1675</v>
      </c>
      <c r="BH905" s="164">
        <f t="shared" si="4623"/>
        <v>1350</v>
      </c>
      <c r="BI905" s="164">
        <f t="shared" si="4623"/>
        <v>2257</v>
      </c>
      <c r="BJ905" s="164">
        <f t="shared" si="4623"/>
        <v>3047</v>
      </c>
      <c r="BK905" s="164">
        <f t="shared" si="4623"/>
        <v>8329</v>
      </c>
      <c r="BL905" s="164">
        <f t="shared" si="4623"/>
        <v>2062</v>
      </c>
      <c r="BM905" s="164">
        <f t="shared" si="4623"/>
        <v>2255</v>
      </c>
      <c r="BN905" s="164">
        <f t="shared" si="4623"/>
        <v>3098</v>
      </c>
      <c r="BO905" s="164">
        <f t="shared" si="4623"/>
        <v>1539</v>
      </c>
      <c r="BP905" s="164">
        <f t="shared" si="4623"/>
        <v>8954</v>
      </c>
      <c r="BQ905" s="164">
        <f t="shared" si="4623"/>
        <v>647</v>
      </c>
      <c r="BR905" s="164">
        <f t="shared" si="4623"/>
        <v>1435</v>
      </c>
      <c r="BS905" s="164">
        <f t="shared" si="4623"/>
        <v>2579</v>
      </c>
      <c r="BT905" s="164">
        <f t="shared" si="4623"/>
        <v>3747</v>
      </c>
      <c r="BU905" s="164">
        <f t="shared" si="4623"/>
        <v>8408</v>
      </c>
      <c r="BV905" s="164">
        <f t="shared" si="4623"/>
        <v>3448</v>
      </c>
      <c r="BW905" s="164">
        <f t="shared" si="4623"/>
        <v>3981</v>
      </c>
      <c r="BX905" s="164">
        <f t="shared" si="4623"/>
        <v>4136</v>
      </c>
      <c r="BY905" s="164">
        <f t="shared" si="4623"/>
        <v>4023</v>
      </c>
      <c r="BZ905" s="165">
        <f t="shared" si="4623"/>
        <v>15588</v>
      </c>
      <c r="CA905" s="164">
        <f t="shared" si="4623"/>
        <v>4158</v>
      </c>
      <c r="CB905" s="164">
        <f t="shared" si="4623"/>
        <v>3935</v>
      </c>
      <c r="CC905" s="164">
        <f t="shared" si="4623"/>
        <v>4785</v>
      </c>
      <c r="CD905" s="164">
        <f t="shared" si="4623"/>
        <v>4599</v>
      </c>
      <c r="CE905" s="165">
        <f t="shared" si="4623"/>
        <v>17477</v>
      </c>
      <c r="CF905" s="164">
        <f t="shared" si="4623"/>
        <v>3810</v>
      </c>
      <c r="CG905" s="164">
        <f t="shared" si="4623"/>
        <v>3832</v>
      </c>
      <c r="CH905" s="164">
        <f t="shared" si="4623"/>
        <v>3841</v>
      </c>
      <c r="CI905" s="164">
        <f t="shared" si="4623"/>
        <v>3155</v>
      </c>
      <c r="CJ905" s="165">
        <f t="shared" si="4623"/>
        <v>14638</v>
      </c>
      <c r="CK905" s="164">
        <f t="shared" si="4623"/>
        <v>2519</v>
      </c>
      <c r="CL905" s="164">
        <f t="shared" si="4623"/>
        <v>2719</v>
      </c>
      <c r="CM905" s="164">
        <f t="shared" si="4623"/>
        <v>3504</v>
      </c>
      <c r="CN905" s="583">
        <f t="shared" si="4623"/>
        <v>3549</v>
      </c>
      <c r="CO905" s="165">
        <f t="shared" si="4623"/>
        <v>12291</v>
      </c>
      <c r="CP905" s="583">
        <f t="shared" si="4623"/>
        <v>2533</v>
      </c>
      <c r="CQ905" s="164">
        <f t="shared" si="4623"/>
        <v>3844</v>
      </c>
      <c r="CR905" s="164">
        <f t="shared" si="4623"/>
        <v>4540</v>
      </c>
      <c r="CS905" s="164">
        <f t="shared" si="4623"/>
        <v>4453</v>
      </c>
      <c r="CT905" s="165">
        <f t="shared" si="4623"/>
        <v>15370</v>
      </c>
      <c r="CU905" s="164">
        <f t="shared" si="4623"/>
        <v>2615</v>
      </c>
      <c r="CV905" s="164">
        <f t="shared" si="4623"/>
        <v>2896</v>
      </c>
      <c r="CW905" s="164">
        <f t="shared" si="4623"/>
        <v>4192</v>
      </c>
      <c r="CX905" s="164">
        <f t="shared" si="4623"/>
        <v>4299</v>
      </c>
      <c r="CY905" s="165">
        <f t="shared" si="4623"/>
        <v>14002</v>
      </c>
      <c r="CZ905" s="164">
        <f t="shared" si="4623"/>
        <v>2568</v>
      </c>
      <c r="DA905" s="164">
        <f t="shared" si="4623"/>
        <v>1318</v>
      </c>
      <c r="DB905" s="164">
        <f t="shared" si="4623"/>
        <v>4462</v>
      </c>
      <c r="DC905" s="164">
        <f t="shared" si="4623"/>
        <v>4526</v>
      </c>
      <c r="DD905" s="165">
        <f t="shared" si="4623"/>
        <v>12874</v>
      </c>
      <c r="DE905" s="164">
        <f t="shared" si="4623"/>
        <v>3599</v>
      </c>
      <c r="DF905" s="164">
        <f t="shared" si="4623"/>
        <v>3827</v>
      </c>
      <c r="DG905" s="146">
        <f t="shared" si="4623"/>
        <v>5115</v>
      </c>
      <c r="DH905" s="164">
        <f t="shared" si="4623"/>
        <v>5395</v>
      </c>
      <c r="DI905" s="165">
        <f t="shared" si="4623"/>
        <v>17936</v>
      </c>
      <c r="DJ905" s="583">
        <f t="shared" si="4623"/>
        <v>4470</v>
      </c>
      <c r="DK905" s="583">
        <f t="shared" si="4623"/>
        <v>5273</v>
      </c>
      <c r="DL905" s="583">
        <f t="shared" si="4623"/>
        <v>7349</v>
      </c>
      <c r="DM905" s="164">
        <f t="shared" si="4623"/>
        <v>6224</v>
      </c>
      <c r="DN905" s="165">
        <f t="shared" si="4623"/>
        <v>23316</v>
      </c>
      <c r="DO905" s="164">
        <f t="shared" si="4623"/>
        <v>4174</v>
      </c>
      <c r="DP905" s="164">
        <f t="shared" si="4623"/>
        <v>4617</v>
      </c>
      <c r="DQ905" s="164">
        <f t="shared" si="4623"/>
        <v>6447</v>
      </c>
      <c r="DR905" s="164">
        <f t="shared" si="4623"/>
        <v>6797</v>
      </c>
      <c r="DS905" s="165">
        <f t="shared" si="4623"/>
        <v>22035</v>
      </c>
      <c r="DT905" s="164">
        <f t="shared" si="4623"/>
        <v>7038</v>
      </c>
      <c r="DU905" s="164">
        <f t="shared" si="4623"/>
        <v>5697</v>
      </c>
      <c r="DV905" s="164">
        <f t="shared" si="4623"/>
        <v>5059</v>
      </c>
      <c r="DW905" s="164">
        <f t="shared" si="4623"/>
        <v>5884</v>
      </c>
      <c r="DX905" s="165">
        <f t="shared" si="4623"/>
        <v>23678</v>
      </c>
      <c r="DY905" s="164">
        <f t="shared" si="4623"/>
        <v>3694</v>
      </c>
      <c r="DZ905" s="164">
        <f t="shared" si="4623"/>
        <v>5546</v>
      </c>
      <c r="EA905" s="164">
        <f t="shared" si="4623"/>
        <v>5227</v>
      </c>
      <c r="EB905" s="164">
        <f t="shared" si="4623"/>
        <v>4989</v>
      </c>
      <c r="EC905" s="165">
        <f t="shared" si="4623"/>
        <v>19456</v>
      </c>
      <c r="ED905" s="164">
        <f t="shared" si="4623"/>
        <v>4341</v>
      </c>
      <c r="EE905" s="164">
        <f t="shared" si="4623"/>
        <v>-700</v>
      </c>
      <c r="EF905" s="164">
        <f t="shared" si="4623"/>
        <v>-175</v>
      </c>
      <c r="EG905" s="164">
        <f t="shared" si="4623"/>
        <v>-1132</v>
      </c>
      <c r="EH905" s="165">
        <f t="shared" si="4623"/>
        <v>2334</v>
      </c>
      <c r="EI905" s="584" t="str">
        <f t="shared" si="4623"/>
        <v>#ERROR!</v>
      </c>
      <c r="EJ905" s="164" t="str">
        <f t="shared" si="4623"/>
        <v>#ERROR!</v>
      </c>
      <c r="EK905" s="164" t="str">
        <f t="shared" si="4623"/>
        <v>#ERROR!</v>
      </c>
      <c r="EL905" s="164" t="str">
        <f t="shared" si="4623"/>
        <v>#ERROR!</v>
      </c>
      <c r="EM905" s="165" t="str">
        <f t="shared" si="4623"/>
        <v>#ERROR!</v>
      </c>
      <c r="EN905" s="164" t="str">
        <f t="shared" si="4623"/>
        <v>#ERROR!</v>
      </c>
      <c r="EO905" s="164" t="str">
        <f t="shared" si="4623"/>
        <v>#ERROR!</v>
      </c>
      <c r="EP905" s="164" t="str">
        <f t="shared" si="4623"/>
        <v>#ERROR!</v>
      </c>
      <c r="EQ905" s="164" t="str">
        <f t="shared" si="4623"/>
        <v>#ERROR!</v>
      </c>
      <c r="ER905" s="165" t="str">
        <f t="shared" si="4623"/>
        <v>#ERROR!</v>
      </c>
      <c r="ES905" s="164" t="str">
        <f t="shared" si="4623"/>
        <v>#ERROR!</v>
      </c>
      <c r="ET905" s="164" t="str">
        <f t="shared" si="4623"/>
        <v>#ERROR!</v>
      </c>
      <c r="EU905" s="164" t="str">
        <f t="shared" si="4623"/>
        <v>#ERROR!</v>
      </c>
      <c r="EV905" s="164" t="str">
        <f t="shared" si="4623"/>
        <v>#ERROR!</v>
      </c>
      <c r="EW905" s="165" t="str">
        <f t="shared" si="4623"/>
        <v>#ERROR!</v>
      </c>
      <c r="EX905" s="164" t="str">
        <f t="shared" si="4623"/>
        <v>#ERROR!</v>
      </c>
      <c r="EY905" s="164" t="str">
        <f t="shared" si="4623"/>
        <v>#ERROR!</v>
      </c>
      <c r="EZ905" s="164" t="str">
        <f t="shared" si="4623"/>
        <v>#ERROR!</v>
      </c>
      <c r="FA905" s="164" t="str">
        <f t="shared" si="4623"/>
        <v>#ERROR!</v>
      </c>
      <c r="FB905" s="165" t="str">
        <f t="shared" si="4623"/>
        <v>#ERROR!</v>
      </c>
      <c r="FC905" s="164" t="str">
        <f t="shared" si="4623"/>
        <v>#ERROR!</v>
      </c>
      <c r="FD905" s="164" t="str">
        <f t="shared" si="4623"/>
        <v>#ERROR!</v>
      </c>
      <c r="FE905" s="164" t="str">
        <f t="shared" si="4623"/>
        <v>#ERROR!</v>
      </c>
      <c r="FF905" s="164" t="str">
        <f t="shared" si="4623"/>
        <v>#ERROR!</v>
      </c>
      <c r="FG905" s="165" t="str">
        <f t="shared" si="4623"/>
        <v>#ERROR!</v>
      </c>
      <c r="FH905" s="583"/>
      <c r="FI905" s="164"/>
      <c r="FJ905" s="164"/>
      <c r="FK905" s="164"/>
      <c r="FL905" s="164"/>
    </row>
    <row r="906" ht="12.75" hidden="1" customHeight="1" outlineLevel="2">
      <c r="A906" s="4"/>
      <c r="B906" s="4"/>
      <c r="C906" s="4"/>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c r="AA906" s="128"/>
      <c r="AB906" s="128"/>
      <c r="AC906" s="128"/>
      <c r="AD906" s="128"/>
      <c r="AE906" s="128"/>
      <c r="AF906" s="128"/>
      <c r="AG906" s="128"/>
      <c r="AH906" s="128"/>
      <c r="AI906" s="128"/>
      <c r="AJ906" s="128"/>
      <c r="AK906" s="128"/>
      <c r="AL906" s="128"/>
      <c r="AM906" s="128"/>
      <c r="AN906" s="128"/>
      <c r="AO906" s="128"/>
      <c r="AP906" s="128"/>
      <c r="AQ906" s="128"/>
      <c r="AR906" s="128"/>
      <c r="AS906" s="128"/>
      <c r="AT906" s="128"/>
      <c r="AU906" s="128"/>
      <c r="AV906" s="128"/>
      <c r="AW906" s="128"/>
      <c r="AX906" s="128"/>
      <c r="AY906" s="128"/>
      <c r="AZ906" s="128"/>
      <c r="BA906" s="128"/>
      <c r="BB906" s="128"/>
      <c r="BC906" s="128"/>
      <c r="BD906" s="128"/>
      <c r="BE906" s="128"/>
      <c r="BF906" s="128"/>
      <c r="BG906" s="128"/>
      <c r="BH906" s="128"/>
      <c r="BI906" s="128"/>
      <c r="BJ906" s="128"/>
      <c r="BK906" s="128"/>
      <c r="BL906" s="128"/>
      <c r="BM906" s="128"/>
      <c r="BN906" s="128"/>
      <c r="BO906" s="128"/>
      <c r="BP906" s="128"/>
      <c r="BQ906" s="128"/>
      <c r="BR906" s="128"/>
      <c r="BS906" s="128"/>
      <c r="BT906" s="128"/>
      <c r="BU906" s="128"/>
      <c r="BV906" s="128"/>
      <c r="BW906" s="128"/>
      <c r="BX906" s="128"/>
      <c r="BY906" s="128"/>
      <c r="BZ906" s="81"/>
      <c r="CA906" s="128"/>
      <c r="CB906" s="128"/>
      <c r="CC906" s="128"/>
      <c r="CD906" s="128"/>
      <c r="CE906" s="81"/>
      <c r="CF906" s="128"/>
      <c r="CG906" s="128"/>
      <c r="CH906" s="128"/>
      <c r="CI906" s="128"/>
      <c r="CJ906" s="81"/>
      <c r="CK906" s="128"/>
      <c r="CL906" s="128"/>
      <c r="CM906" s="128"/>
      <c r="CN906" s="129"/>
      <c r="CO906" s="81"/>
      <c r="CP906" s="129"/>
      <c r="CQ906" s="128"/>
      <c r="CR906" s="128"/>
      <c r="CS906" s="128"/>
      <c r="CT906" s="81"/>
      <c r="CU906" s="128"/>
      <c r="CV906" s="128"/>
      <c r="CW906" s="128"/>
      <c r="CX906" s="128"/>
      <c r="CY906" s="81"/>
      <c r="CZ906" s="128"/>
      <c r="DA906" s="128"/>
      <c r="DB906" s="128"/>
      <c r="DC906" s="128"/>
      <c r="DD906" s="81"/>
      <c r="DE906" s="128"/>
      <c r="DF906" s="128"/>
      <c r="DG906" s="129"/>
      <c r="DH906" s="128"/>
      <c r="DI906" s="81"/>
      <c r="DJ906" s="129"/>
      <c r="DK906" s="129"/>
      <c r="DL906" s="129"/>
      <c r="DM906" s="128"/>
      <c r="DN906" s="81"/>
      <c r="DO906" s="128"/>
      <c r="DP906" s="128"/>
      <c r="DQ906" s="128"/>
      <c r="DR906" s="128"/>
      <c r="DS906" s="81"/>
      <c r="DT906" s="128"/>
      <c r="DU906" s="128"/>
      <c r="DV906" s="128"/>
      <c r="DW906" s="128"/>
      <c r="DX906" s="81"/>
      <c r="DY906" s="128"/>
      <c r="DZ906" s="128"/>
      <c r="EA906" s="128"/>
      <c r="EB906" s="128"/>
      <c r="EC906" s="81"/>
      <c r="ED906" s="128"/>
      <c r="EE906" s="128"/>
      <c r="EF906" s="128"/>
      <c r="EG906" s="128"/>
      <c r="EH906" s="81"/>
      <c r="EI906" s="134"/>
      <c r="EJ906" s="128"/>
      <c r="EK906" s="128"/>
      <c r="EL906" s="128"/>
      <c r="EM906" s="81"/>
      <c r="EN906" s="128"/>
      <c r="EO906" s="128"/>
      <c r="EP906" s="128"/>
      <c r="EQ906" s="128"/>
      <c r="ER906" s="81"/>
      <c r="ES906" s="128"/>
      <c r="ET906" s="128"/>
      <c r="EU906" s="128"/>
      <c r="EV906" s="128"/>
      <c r="EW906" s="81"/>
      <c r="EX906" s="128"/>
      <c r="EY906" s="128"/>
      <c r="EZ906" s="128"/>
      <c r="FA906" s="128"/>
      <c r="FB906" s="81"/>
      <c r="FC906" s="128"/>
      <c r="FD906" s="128"/>
      <c r="FE906" s="128"/>
      <c r="FF906" s="128"/>
      <c r="FG906" s="81"/>
      <c r="FH906" s="129"/>
      <c r="FI906" s="128"/>
      <c r="FJ906" s="128"/>
      <c r="FK906" s="128"/>
      <c r="FL906" s="128"/>
    </row>
    <row r="907" ht="13.5" hidden="1" customHeight="1" outlineLevel="2">
      <c r="A907" s="4"/>
      <c r="B907" s="601" t="s">
        <v>337</v>
      </c>
      <c r="C907" s="4"/>
      <c r="D907" s="642"/>
      <c r="E907" s="642"/>
      <c r="F907" s="642"/>
      <c r="G907" s="642"/>
      <c r="H907" s="642"/>
      <c r="I907" s="642"/>
      <c r="J907" s="642"/>
      <c r="K907" s="642"/>
      <c r="L907" s="642"/>
      <c r="M907" s="642"/>
      <c r="N907" s="642"/>
      <c r="O907" s="642"/>
      <c r="P907" s="642"/>
      <c r="Q907" s="642"/>
      <c r="R907" s="642"/>
      <c r="S907" s="642"/>
      <c r="T907" s="642"/>
      <c r="U907" s="642"/>
      <c r="V907" s="642"/>
      <c r="W907" s="642"/>
      <c r="X907" s="642"/>
      <c r="Y907" s="642"/>
      <c r="Z907" s="642"/>
      <c r="AA907" s="642"/>
      <c r="AB907" s="642"/>
      <c r="AC907" s="642"/>
      <c r="AD907" s="642"/>
      <c r="AE907" s="642"/>
      <c r="AF907" s="642"/>
      <c r="AG907" s="642"/>
      <c r="AH907" s="642"/>
      <c r="AI907" s="642"/>
      <c r="AJ907" s="642"/>
      <c r="AK907" s="642"/>
      <c r="AL907" s="642"/>
      <c r="AM907" s="642"/>
      <c r="AN907" s="642"/>
      <c r="AO907" s="642"/>
      <c r="AP907" s="642"/>
      <c r="AQ907" s="642"/>
      <c r="AR907" s="642"/>
      <c r="AS907" s="642"/>
      <c r="AT907" s="642"/>
      <c r="AU907" s="642"/>
      <c r="AV907" s="642"/>
      <c r="AW907" s="642"/>
      <c r="AX907" s="642"/>
      <c r="AY907" s="642"/>
      <c r="AZ907" s="642"/>
      <c r="BA907" s="642"/>
      <c r="BB907" s="642"/>
      <c r="BC907" s="642"/>
      <c r="BD907" s="642"/>
      <c r="BE907" s="642"/>
      <c r="BF907" s="642"/>
      <c r="BG907" s="642"/>
      <c r="BH907" s="642"/>
      <c r="BI907" s="642"/>
      <c r="BJ907" s="642"/>
      <c r="BK907" s="642"/>
      <c r="BL907" s="642"/>
      <c r="BM907" s="642"/>
      <c r="BN907" s="642"/>
      <c r="BO907" s="642"/>
      <c r="BP907" s="642"/>
      <c r="BQ907" s="642"/>
      <c r="BR907" s="642"/>
      <c r="BS907" s="642"/>
      <c r="BT907" s="642"/>
      <c r="BU907" s="642"/>
      <c r="BV907" s="642"/>
      <c r="BW907" s="642"/>
      <c r="BX907" s="642"/>
      <c r="BY907" s="642"/>
      <c r="BZ907" s="643"/>
      <c r="CA907" s="642"/>
      <c r="CB907" s="642"/>
      <c r="CC907" s="642"/>
      <c r="CD907" s="642"/>
      <c r="CE907" s="643"/>
      <c r="CF907" s="642"/>
      <c r="CG907" s="642"/>
      <c r="CH907" s="642"/>
      <c r="CI907" s="642"/>
      <c r="CJ907" s="643"/>
      <c r="CK907" s="642"/>
      <c r="CL907" s="642"/>
      <c r="CM907" s="642"/>
      <c r="CN907" s="644"/>
      <c r="CO907" s="643"/>
      <c r="CP907" s="644"/>
      <c r="CQ907" s="642"/>
      <c r="CR907" s="642"/>
      <c r="CS907" s="642"/>
      <c r="CT907" s="643"/>
      <c r="CU907" s="642"/>
      <c r="CV907" s="642"/>
      <c r="CW907" s="642"/>
      <c r="CX907" s="642"/>
      <c r="CY907" s="643"/>
      <c r="CZ907" s="642"/>
      <c r="DA907" s="642"/>
      <c r="DB907" s="642"/>
      <c r="DC907" s="642"/>
      <c r="DD907" s="643"/>
      <c r="DE907" s="642"/>
      <c r="DF907" s="642"/>
      <c r="DG907" s="644"/>
      <c r="DH907" s="642"/>
      <c r="DI907" s="643"/>
      <c r="DJ907" s="644"/>
      <c r="DK907" s="644"/>
      <c r="DL907" s="644"/>
      <c r="DM907" s="642"/>
      <c r="DN907" s="643"/>
      <c r="DO907" s="642"/>
      <c r="DP907" s="642"/>
      <c r="DQ907" s="642"/>
      <c r="DR907" s="642"/>
      <c r="DS907" s="643"/>
      <c r="DT907" s="642"/>
      <c r="DU907" s="642"/>
      <c r="DV907" s="642"/>
      <c r="DW907" s="642"/>
      <c r="DX907" s="643"/>
      <c r="DY907" s="642"/>
      <c r="DZ907" s="642"/>
      <c r="EA907" s="642"/>
      <c r="EB907" s="642"/>
      <c r="EC907" s="643"/>
      <c r="ED907" s="642"/>
      <c r="EE907" s="642"/>
      <c r="EF907" s="642"/>
      <c r="EG907" s="642"/>
      <c r="EH907" s="643"/>
      <c r="EI907" s="645"/>
      <c r="EJ907" s="642"/>
      <c r="EK907" s="642"/>
      <c r="EL907" s="642"/>
      <c r="EM907" s="643"/>
      <c r="EN907" s="642"/>
      <c r="EO907" s="642"/>
      <c r="EP907" s="642"/>
      <c r="EQ907" s="642"/>
      <c r="ER907" s="643"/>
      <c r="ES907" s="642"/>
      <c r="ET907" s="642"/>
      <c r="EU907" s="642"/>
      <c r="EV907" s="642"/>
      <c r="EW907" s="643"/>
      <c r="EX907" s="642"/>
      <c r="EY907" s="642"/>
      <c r="EZ907" s="642"/>
      <c r="FA907" s="642"/>
      <c r="FB907" s="643"/>
      <c r="FC907" s="642"/>
      <c r="FD907" s="642"/>
      <c r="FE907" s="642"/>
      <c r="FF907" s="642"/>
      <c r="FG907" s="643"/>
      <c r="FH907" s="644"/>
      <c r="FI907" s="642"/>
      <c r="FJ907" s="642"/>
      <c r="FK907" s="642"/>
      <c r="FL907" s="642"/>
    </row>
    <row r="908" ht="12.75" hidden="1" customHeight="1" outlineLevel="4">
      <c r="A908" s="4"/>
      <c r="B908" s="4" t="str">
        <f t="shared" ref="B908:B910" si="4624">+B885</f>
        <v>   Microprocessor</v>
      </c>
      <c r="C908" s="4"/>
      <c r="D908" s="45"/>
      <c r="E908" s="4"/>
      <c r="F908" s="4"/>
      <c r="G908" s="4"/>
      <c r="H908" s="45"/>
      <c r="I908" s="45"/>
      <c r="J908" s="4"/>
      <c r="K908" s="4"/>
      <c r="L908" s="4"/>
      <c r="M908" s="45"/>
      <c r="N908" s="45"/>
      <c r="O908" s="4"/>
      <c r="P908" s="4"/>
      <c r="Q908" s="4"/>
      <c r="R908" s="45"/>
      <c r="S908" s="45"/>
      <c r="T908" s="4"/>
      <c r="U908" s="4"/>
      <c r="V908" s="4"/>
      <c r="W908" s="45"/>
      <c r="X908" s="45"/>
      <c r="Y908" s="4"/>
      <c r="Z908" s="4"/>
      <c r="AA908" s="4"/>
      <c r="AB908" s="45"/>
      <c r="AC908" s="45"/>
      <c r="AD908" s="4"/>
      <c r="AE908" s="4"/>
      <c r="AF908" s="4"/>
      <c r="AG908" s="45"/>
      <c r="AH908" s="45"/>
      <c r="AI908" s="4"/>
      <c r="AJ908" s="4"/>
      <c r="AK908" s="4"/>
      <c r="AL908" s="45"/>
      <c r="AM908" s="45"/>
      <c r="AN908" s="4"/>
      <c r="AO908" s="4"/>
      <c r="AP908" s="4"/>
      <c r="AQ908" s="45"/>
      <c r="AR908" s="45"/>
      <c r="AS908" s="4"/>
      <c r="AT908" s="4"/>
      <c r="AU908" s="4"/>
      <c r="AV908" s="45"/>
      <c r="AW908" s="45"/>
      <c r="AX908" s="4"/>
      <c r="AY908" s="4"/>
      <c r="AZ908" s="4"/>
      <c r="BA908" s="45"/>
      <c r="BB908" s="45"/>
      <c r="BC908" s="4"/>
      <c r="BD908" s="4"/>
      <c r="BE908" s="4"/>
      <c r="BF908" s="45"/>
      <c r="BG908" s="45"/>
      <c r="BH908" s="4"/>
      <c r="BI908" s="4"/>
      <c r="BJ908" s="4"/>
      <c r="BK908" s="45"/>
      <c r="BL908" s="45"/>
      <c r="BM908" s="4"/>
      <c r="BN908" s="4"/>
      <c r="BO908" s="4"/>
      <c r="BP908" s="45"/>
      <c r="BQ908" s="45"/>
      <c r="BR908" s="4"/>
      <c r="BS908" s="4"/>
      <c r="BT908" s="4"/>
      <c r="BU908" s="45"/>
      <c r="BV908" s="45"/>
      <c r="BW908" s="4"/>
      <c r="BX908" s="4"/>
      <c r="BY908" s="4"/>
      <c r="BZ908" s="350"/>
      <c r="CA908" s="45"/>
      <c r="CB908" s="4"/>
      <c r="CC908" s="4"/>
      <c r="CD908" s="4"/>
      <c r="CE908" s="350"/>
      <c r="CF908" s="45"/>
      <c r="CG908" s="4"/>
      <c r="CH908" s="4"/>
      <c r="CI908" s="4"/>
      <c r="CJ908" s="350"/>
      <c r="CK908" s="45"/>
      <c r="CL908" s="4"/>
      <c r="CM908" s="4"/>
      <c r="CN908" s="16"/>
      <c r="CO908" s="350"/>
      <c r="CP908" s="16"/>
      <c r="CQ908" s="4"/>
      <c r="CR908" s="4"/>
      <c r="CS908" s="4"/>
      <c r="CT908" s="350"/>
      <c r="CU908" s="45"/>
      <c r="CV908" s="4"/>
      <c r="CW908" s="4"/>
      <c r="CX908" s="4"/>
      <c r="CY908" s="350"/>
      <c r="CZ908" s="45"/>
      <c r="DA908" s="4"/>
      <c r="DB908" s="4"/>
      <c r="DC908" s="4"/>
      <c r="DD908" s="350"/>
      <c r="DE908" s="45"/>
      <c r="DF908" s="4"/>
      <c r="DG908" s="16"/>
      <c r="DH908" s="4"/>
      <c r="DI908" s="350"/>
      <c r="DJ908" s="145"/>
      <c r="DK908" s="16"/>
      <c r="DL908" s="16"/>
      <c r="DM908" s="4"/>
      <c r="DN908" s="350"/>
      <c r="DO908" s="45"/>
      <c r="DP908" s="4"/>
      <c r="DQ908" s="4"/>
      <c r="DR908" s="4"/>
      <c r="DS908" s="350"/>
      <c r="DT908" s="45"/>
      <c r="DU908" s="45"/>
      <c r="DV908" s="45"/>
      <c r="DW908" s="45"/>
      <c r="DX908" s="350"/>
      <c r="DY908" s="45"/>
      <c r="DZ908" s="45"/>
      <c r="EA908" s="45"/>
      <c r="EB908" s="45"/>
      <c r="EC908" s="350"/>
      <c r="ED908" s="45"/>
      <c r="EE908" s="45"/>
      <c r="EF908" s="45"/>
      <c r="EG908" s="45"/>
      <c r="EH908" s="350"/>
      <c r="EI908" s="214"/>
      <c r="EJ908" s="4"/>
      <c r="EK908" s="4"/>
      <c r="EL908" s="4"/>
      <c r="EM908" s="350"/>
      <c r="EN908" s="45"/>
      <c r="EO908" s="4"/>
      <c r="EP908" s="4"/>
      <c r="EQ908" s="4"/>
      <c r="ER908" s="350"/>
      <c r="ES908" s="45"/>
      <c r="ET908" s="4"/>
      <c r="EU908" s="4"/>
      <c r="EV908" s="4"/>
      <c r="EW908" s="350"/>
      <c r="EX908" s="45"/>
      <c r="EY908" s="4"/>
      <c r="EZ908" s="4"/>
      <c r="FA908" s="4"/>
      <c r="FB908" s="350"/>
      <c r="FC908" s="45"/>
      <c r="FD908" s="4"/>
      <c r="FE908" s="4"/>
      <c r="FF908" s="4"/>
      <c r="FG908" s="350"/>
      <c r="FH908" s="145"/>
      <c r="FI908" s="4"/>
      <c r="FJ908" s="4"/>
      <c r="FK908" s="45"/>
      <c r="FL908" s="45"/>
    </row>
    <row r="909" ht="12.75" hidden="1" customHeight="1" outlineLevel="4">
      <c r="A909" s="4"/>
      <c r="B909" s="4" t="str">
        <f t="shared" si="4624"/>
        <v>   Chipset</v>
      </c>
      <c r="C909" s="4"/>
      <c r="D909" s="45"/>
      <c r="E909" s="4"/>
      <c r="F909" s="4"/>
      <c r="G909" s="4"/>
      <c r="H909" s="45"/>
      <c r="I909" s="45"/>
      <c r="J909" s="4"/>
      <c r="K909" s="4"/>
      <c r="L909" s="4"/>
      <c r="M909" s="45"/>
      <c r="N909" s="45"/>
      <c r="O909" s="4"/>
      <c r="P909" s="4"/>
      <c r="Q909" s="4"/>
      <c r="R909" s="45"/>
      <c r="S909" s="45"/>
      <c r="T909" s="4"/>
      <c r="U909" s="4"/>
      <c r="V909" s="4"/>
      <c r="W909" s="45"/>
      <c r="X909" s="45"/>
      <c r="Y909" s="4"/>
      <c r="Z909" s="4"/>
      <c r="AA909" s="4"/>
      <c r="AB909" s="45"/>
      <c r="AC909" s="45"/>
      <c r="AD909" s="4"/>
      <c r="AE909" s="4"/>
      <c r="AF909" s="4"/>
      <c r="AG909" s="45"/>
      <c r="AH909" s="45"/>
      <c r="AI909" s="4"/>
      <c r="AJ909" s="4"/>
      <c r="AK909" s="4"/>
      <c r="AL909" s="45"/>
      <c r="AM909" s="45"/>
      <c r="AN909" s="4"/>
      <c r="AO909" s="4"/>
      <c r="AP909" s="4"/>
      <c r="AQ909" s="45"/>
      <c r="AR909" s="45"/>
      <c r="AS909" s="4"/>
      <c r="AT909" s="4"/>
      <c r="AU909" s="4"/>
      <c r="AV909" s="45"/>
      <c r="AW909" s="45"/>
      <c r="AX909" s="4"/>
      <c r="AY909" s="4"/>
      <c r="AZ909" s="4"/>
      <c r="BA909" s="45"/>
      <c r="BB909" s="45"/>
      <c r="BC909" s="4"/>
      <c r="BD909" s="4"/>
      <c r="BE909" s="4"/>
      <c r="BF909" s="45"/>
      <c r="BG909" s="45"/>
      <c r="BH909" s="4"/>
      <c r="BI909" s="4"/>
      <c r="BJ909" s="4"/>
      <c r="BK909" s="45"/>
      <c r="BL909" s="45"/>
      <c r="BM909" s="4"/>
      <c r="BN909" s="4"/>
      <c r="BO909" s="4"/>
      <c r="BP909" s="45"/>
      <c r="BQ909" s="45"/>
      <c r="BR909" s="4"/>
      <c r="BS909" s="4"/>
      <c r="BT909" s="4"/>
      <c r="BU909" s="45"/>
      <c r="BV909" s="45"/>
      <c r="BW909" s="4"/>
      <c r="BX909" s="4"/>
      <c r="BY909" s="4"/>
      <c r="BZ909" s="350"/>
      <c r="CA909" s="45"/>
      <c r="CB909" s="4"/>
      <c r="CC909" s="4"/>
      <c r="CD909" s="4"/>
      <c r="CE909" s="350"/>
      <c r="CF909" s="45"/>
      <c r="CG909" s="4"/>
      <c r="CH909" s="4"/>
      <c r="CI909" s="4"/>
      <c r="CJ909" s="350"/>
      <c r="CK909" s="45"/>
      <c r="CL909" s="4"/>
      <c r="CM909" s="4"/>
      <c r="CN909" s="16"/>
      <c r="CO909" s="350"/>
      <c r="CP909" s="16"/>
      <c r="CQ909" s="4"/>
      <c r="CR909" s="4"/>
      <c r="CS909" s="4"/>
      <c r="CT909" s="350"/>
      <c r="CU909" s="45"/>
      <c r="CV909" s="4"/>
      <c r="CW909" s="4"/>
      <c r="CX909" s="4"/>
      <c r="CY909" s="350"/>
      <c r="CZ909" s="45"/>
      <c r="DA909" s="4"/>
      <c r="DB909" s="4"/>
      <c r="DC909" s="4"/>
      <c r="DD909" s="350"/>
      <c r="DE909" s="45"/>
      <c r="DF909" s="4"/>
      <c r="DG909" s="16"/>
      <c r="DH909" s="4"/>
      <c r="DI909" s="350"/>
      <c r="DJ909" s="145"/>
      <c r="DK909" s="16"/>
      <c r="DL909" s="16"/>
      <c r="DM909" s="4"/>
      <c r="DN909" s="350"/>
      <c r="DO909" s="45"/>
      <c r="DP909" s="4"/>
      <c r="DQ909" s="4"/>
      <c r="DR909" s="4"/>
      <c r="DS909" s="350"/>
      <c r="DT909" s="45"/>
      <c r="DU909" s="45"/>
      <c r="DV909" s="45"/>
      <c r="DW909" s="45"/>
      <c r="DX909" s="350"/>
      <c r="DY909" s="45"/>
      <c r="DZ909" s="45"/>
      <c r="EA909" s="45"/>
      <c r="EB909" s="45"/>
      <c r="EC909" s="350"/>
      <c r="ED909" s="45"/>
      <c r="EE909" s="45"/>
      <c r="EF909" s="45"/>
      <c r="EG909" s="45"/>
      <c r="EH909" s="350"/>
      <c r="EI909" s="214"/>
      <c r="EJ909" s="4"/>
      <c r="EK909" s="4"/>
      <c r="EL909" s="4"/>
      <c r="EM909" s="350"/>
      <c r="EN909" s="45"/>
      <c r="EO909" s="4"/>
      <c r="EP909" s="4"/>
      <c r="EQ909" s="4"/>
      <c r="ER909" s="350"/>
      <c r="ES909" s="45"/>
      <c r="ET909" s="4"/>
      <c r="EU909" s="4"/>
      <c r="EV909" s="4"/>
      <c r="EW909" s="350"/>
      <c r="EX909" s="45"/>
      <c r="EY909" s="4"/>
      <c r="EZ909" s="4"/>
      <c r="FA909" s="4"/>
      <c r="FB909" s="350"/>
      <c r="FC909" s="45"/>
      <c r="FD909" s="4"/>
      <c r="FE909" s="4"/>
      <c r="FF909" s="4"/>
      <c r="FG909" s="350"/>
      <c r="FH909" s="145"/>
      <c r="FI909" s="4"/>
      <c r="FJ909" s="4"/>
      <c r="FK909" s="45"/>
      <c r="FL909" s="45"/>
    </row>
    <row r="910" ht="12.75" hidden="1" customHeight="1" outlineLevel="4">
      <c r="A910" s="4"/>
      <c r="B910" s="4" t="str">
        <f t="shared" si="4624"/>
        <v>   Motherboard</v>
      </c>
      <c r="C910" s="4"/>
      <c r="D910" s="45"/>
      <c r="E910" s="4"/>
      <c r="F910" s="4"/>
      <c r="G910" s="4"/>
      <c r="H910" s="45"/>
      <c r="I910" s="45"/>
      <c r="J910" s="4"/>
      <c r="K910" s="4"/>
      <c r="L910" s="4"/>
      <c r="M910" s="45"/>
      <c r="N910" s="45"/>
      <c r="O910" s="4"/>
      <c r="P910" s="4"/>
      <c r="Q910" s="4"/>
      <c r="R910" s="45"/>
      <c r="S910" s="45"/>
      <c r="T910" s="4"/>
      <c r="U910" s="4"/>
      <c r="V910" s="4"/>
      <c r="W910" s="45"/>
      <c r="X910" s="45"/>
      <c r="Y910" s="4"/>
      <c r="Z910" s="4"/>
      <c r="AA910" s="4"/>
      <c r="AB910" s="45"/>
      <c r="AC910" s="45"/>
      <c r="AD910" s="4"/>
      <c r="AE910" s="4"/>
      <c r="AF910" s="4"/>
      <c r="AG910" s="45"/>
      <c r="AH910" s="45"/>
      <c r="AI910" s="4"/>
      <c r="AJ910" s="4"/>
      <c r="AK910" s="4"/>
      <c r="AL910" s="45"/>
      <c r="AM910" s="45"/>
      <c r="AN910" s="4"/>
      <c r="AO910" s="4"/>
      <c r="AP910" s="4"/>
      <c r="AQ910" s="45"/>
      <c r="AR910" s="45"/>
      <c r="AS910" s="4"/>
      <c r="AT910" s="4"/>
      <c r="AU910" s="4"/>
      <c r="AV910" s="45"/>
      <c r="AW910" s="45"/>
      <c r="AX910" s="4"/>
      <c r="AY910" s="4"/>
      <c r="AZ910" s="4"/>
      <c r="BA910" s="45"/>
      <c r="BB910" s="45"/>
      <c r="BC910" s="4"/>
      <c r="BD910" s="4"/>
      <c r="BE910" s="4"/>
      <c r="BF910" s="45"/>
      <c r="BG910" s="45"/>
      <c r="BH910" s="4"/>
      <c r="BI910" s="4"/>
      <c r="BJ910" s="4"/>
      <c r="BK910" s="45"/>
      <c r="BL910" s="45"/>
      <c r="BM910" s="4"/>
      <c r="BN910" s="4"/>
      <c r="BO910" s="4"/>
      <c r="BP910" s="45"/>
      <c r="BQ910" s="45"/>
      <c r="BR910" s="4"/>
      <c r="BS910" s="4"/>
      <c r="BT910" s="4"/>
      <c r="BU910" s="45"/>
      <c r="BV910" s="45"/>
      <c r="BW910" s="4"/>
      <c r="BX910" s="4"/>
      <c r="BY910" s="4"/>
      <c r="BZ910" s="350"/>
      <c r="CA910" s="45"/>
      <c r="CB910" s="4"/>
      <c r="CC910" s="4"/>
      <c r="CD910" s="4"/>
      <c r="CE910" s="350"/>
      <c r="CF910" s="45"/>
      <c r="CG910" s="4"/>
      <c r="CH910" s="4"/>
      <c r="CI910" s="4"/>
      <c r="CJ910" s="350"/>
      <c r="CK910" s="45"/>
      <c r="CL910" s="4"/>
      <c r="CM910" s="4"/>
      <c r="CN910" s="16"/>
      <c r="CO910" s="350"/>
      <c r="CP910" s="16"/>
      <c r="CQ910" s="4"/>
      <c r="CR910" s="4"/>
      <c r="CS910" s="4"/>
      <c r="CT910" s="350"/>
      <c r="CU910" s="45"/>
      <c r="CV910" s="4"/>
      <c r="CW910" s="4"/>
      <c r="CX910" s="4"/>
      <c r="CY910" s="350"/>
      <c r="CZ910" s="45"/>
      <c r="DA910" s="4"/>
      <c r="DB910" s="4"/>
      <c r="DC910" s="4"/>
      <c r="DD910" s="350"/>
      <c r="DE910" s="45"/>
      <c r="DF910" s="4"/>
      <c r="DG910" s="16"/>
      <c r="DH910" s="4"/>
      <c r="DI910" s="350"/>
      <c r="DJ910" s="145"/>
      <c r="DK910" s="16"/>
      <c r="DL910" s="16"/>
      <c r="DM910" s="4"/>
      <c r="DN910" s="350"/>
      <c r="DO910" s="45"/>
      <c r="DP910" s="4"/>
      <c r="DQ910" s="4"/>
      <c r="DR910" s="4"/>
      <c r="DS910" s="350"/>
      <c r="DT910" s="45"/>
      <c r="DU910" s="45"/>
      <c r="DV910" s="45"/>
      <c r="DW910" s="45"/>
      <c r="DX910" s="350"/>
      <c r="DY910" s="45"/>
      <c r="DZ910" s="45"/>
      <c r="EA910" s="45"/>
      <c r="EB910" s="45"/>
      <c r="EC910" s="350"/>
      <c r="ED910" s="45"/>
      <c r="EE910" s="45"/>
      <c r="EF910" s="45"/>
      <c r="EG910" s="45"/>
      <c r="EH910" s="350"/>
      <c r="EI910" s="214"/>
      <c r="EJ910" s="4"/>
      <c r="EK910" s="4"/>
      <c r="EL910" s="4"/>
      <c r="EM910" s="350"/>
      <c r="EN910" s="45"/>
      <c r="EO910" s="4"/>
      <c r="EP910" s="4"/>
      <c r="EQ910" s="4"/>
      <c r="ER910" s="350"/>
      <c r="ES910" s="45"/>
      <c r="ET910" s="4"/>
      <c r="EU910" s="4"/>
      <c r="EV910" s="4"/>
      <c r="EW910" s="350"/>
      <c r="EX910" s="45"/>
      <c r="EY910" s="4"/>
      <c r="EZ910" s="4"/>
      <c r="FA910" s="4"/>
      <c r="FB910" s="350"/>
      <c r="FC910" s="45"/>
      <c r="FD910" s="4"/>
      <c r="FE910" s="4"/>
      <c r="FF910" s="4"/>
      <c r="FG910" s="350"/>
      <c r="FH910" s="145"/>
      <c r="FI910" s="4"/>
      <c r="FJ910" s="4"/>
      <c r="FK910" s="45"/>
      <c r="FL910" s="45"/>
    </row>
    <row r="911" ht="13.5" hidden="1" customHeight="1" outlineLevel="2">
      <c r="A911" s="4"/>
      <c r="B911" s="4" t="str">
        <f t="shared" ref="B911:B915" si="4626">B900</f>
        <v>Architecture group - IAG</v>
      </c>
      <c r="C911" s="4"/>
      <c r="D911" s="15"/>
      <c r="E911" s="15"/>
      <c r="F911" s="15"/>
      <c r="G911" s="15"/>
      <c r="H911" s="309"/>
      <c r="I911" s="15"/>
      <c r="J911" s="15"/>
      <c r="K911" s="15"/>
      <c r="L911" s="15"/>
      <c r="M911" s="309"/>
      <c r="N911" s="15">
        <f t="shared" ref="N911:FG911" si="4625">N900/N852</f>
        <v>0.3930237274</v>
      </c>
      <c r="O911" s="15">
        <f t="shared" si="4625"/>
        <v>0.3146946565</v>
      </c>
      <c r="P911" s="15">
        <f t="shared" si="4625"/>
        <v>0.4148884967</v>
      </c>
      <c r="Q911" s="15">
        <f t="shared" si="4625"/>
        <v>0.4349577124</v>
      </c>
      <c r="R911" s="309">
        <f t="shared" si="4625"/>
        <v>0.394625414</v>
      </c>
      <c r="S911" s="15">
        <f t="shared" si="4625"/>
        <v>0.4579250272</v>
      </c>
      <c r="T911" s="15">
        <f t="shared" si="4625"/>
        <v>0.4146429214</v>
      </c>
      <c r="U911" s="15">
        <f t="shared" si="4625"/>
        <v>0.4357051691</v>
      </c>
      <c r="V911" s="15">
        <f t="shared" si="4625"/>
        <v>0.4760878931</v>
      </c>
      <c r="W911" s="309">
        <f t="shared" si="4625"/>
        <v>0.4372127735</v>
      </c>
      <c r="X911" s="15">
        <f t="shared" si="4625"/>
        <v>0.4573772983</v>
      </c>
      <c r="Y911" s="15">
        <f t="shared" si="4625"/>
        <v>0.4395620654</v>
      </c>
      <c r="Z911" s="15">
        <f t="shared" si="4625"/>
        <v>0.475561239</v>
      </c>
      <c r="AA911" s="15">
        <f t="shared" si="4625"/>
        <v>0.4686907021</v>
      </c>
      <c r="AB911" s="309">
        <f t="shared" si="4625"/>
        <v>0.4583287541</v>
      </c>
      <c r="AC911" s="15">
        <f t="shared" si="4625"/>
        <v>0.3245665303</v>
      </c>
      <c r="AD911" s="15">
        <f t="shared" si="4625"/>
        <v>0.2816461869</v>
      </c>
      <c r="AE911" s="15">
        <f t="shared" si="4625"/>
        <v>0.2462451326</v>
      </c>
      <c r="AF911" s="15">
        <f t="shared" si="4625"/>
        <v>0.3131365441</v>
      </c>
      <c r="AG911" s="309">
        <f t="shared" si="4625"/>
        <v>0.2915228947</v>
      </c>
      <c r="AH911" s="15">
        <f t="shared" si="4625"/>
        <v>0.3132801664</v>
      </c>
      <c r="AI911" s="15">
        <f t="shared" si="4625"/>
        <v>0.2628045271</v>
      </c>
      <c r="AJ911" s="15">
        <f t="shared" si="4625"/>
        <v>0.2615128537</v>
      </c>
      <c r="AK911" s="15">
        <f t="shared" si="4625"/>
        <v>0.3375506073</v>
      </c>
      <c r="AL911" s="309">
        <f t="shared" si="4625"/>
        <v>0.2953934397</v>
      </c>
      <c r="AM911" s="15">
        <f t="shared" si="4625"/>
        <v>0.33125</v>
      </c>
      <c r="AN911" s="15">
        <f t="shared" si="4625"/>
        <v>0.3156180353</v>
      </c>
      <c r="AO911" s="15">
        <f t="shared" si="4625"/>
        <v>0.4262942381</v>
      </c>
      <c r="AP911" s="15">
        <f t="shared" si="4625"/>
        <v>0.4865076261</v>
      </c>
      <c r="AQ911" s="309">
        <f t="shared" si="4625"/>
        <v>0.3982836564</v>
      </c>
      <c r="AR911" s="15">
        <f t="shared" si="4625"/>
        <v>0.4291814947</v>
      </c>
      <c r="AS911" s="15">
        <f t="shared" si="4625"/>
        <v>0.411573664</v>
      </c>
      <c r="AT911" s="15">
        <f t="shared" si="4625"/>
        <v>0.3908657887</v>
      </c>
      <c r="AU911" s="15">
        <f t="shared" si="4625"/>
        <v>0.4233292831</v>
      </c>
      <c r="AV911" s="309">
        <f t="shared" si="4625"/>
        <v>0.4140638393</v>
      </c>
      <c r="AW911" s="15" t="str">
        <f t="shared" si="4625"/>
        <v>#ERROR!</v>
      </c>
      <c r="AX911" s="15" t="str">
        <f t="shared" si="4625"/>
        <v>#ERROR!</v>
      </c>
      <c r="AY911" s="15" t="str">
        <f t="shared" si="4625"/>
        <v>#ERROR!</v>
      </c>
      <c r="AZ911" s="15" t="str">
        <f t="shared" si="4625"/>
        <v>#ERROR!</v>
      </c>
      <c r="BA911" s="309" t="str">
        <f t="shared" si="4625"/>
        <v>#ERROR!</v>
      </c>
      <c r="BB911" s="15" t="str">
        <f t="shared" si="4625"/>
        <v>#ERROR!</v>
      </c>
      <c r="BC911" s="15" t="str">
        <f t="shared" si="4625"/>
        <v>#ERROR!</v>
      </c>
      <c r="BD911" s="15" t="str">
        <f t="shared" si="4625"/>
        <v>#ERROR!</v>
      </c>
      <c r="BE911" s="15" t="str">
        <f t="shared" si="4625"/>
        <v>#ERROR!</v>
      </c>
      <c r="BF911" s="309" t="str">
        <f t="shared" si="4625"/>
        <v>#ERROR!</v>
      </c>
      <c r="BG911" s="15" t="str">
        <f t="shared" si="4625"/>
        <v>#ERROR!</v>
      </c>
      <c r="BH911" s="15" t="str">
        <f t="shared" si="4625"/>
        <v>#ERROR!</v>
      </c>
      <c r="BI911" s="15" t="str">
        <f t="shared" si="4625"/>
        <v>#ERROR!</v>
      </c>
      <c r="BJ911" s="15" t="str">
        <f t="shared" si="4625"/>
        <v>#ERROR!</v>
      </c>
      <c r="BK911" s="309" t="str">
        <f t="shared" si="4625"/>
        <v>#ERROR!</v>
      </c>
      <c r="BL911" s="15" t="str">
        <f t="shared" si="4625"/>
        <v>#ERROR!</v>
      </c>
      <c r="BM911" s="15" t="str">
        <f t="shared" si="4625"/>
        <v>#ERROR!</v>
      </c>
      <c r="BN911" s="15" t="str">
        <f t="shared" si="4625"/>
        <v>#ERROR!</v>
      </c>
      <c r="BO911" s="15" t="str">
        <f t="shared" si="4625"/>
        <v>#ERROR!</v>
      </c>
      <c r="BP911" s="309" t="str">
        <f t="shared" si="4625"/>
        <v>#ERROR!</v>
      </c>
      <c r="BQ911" s="15" t="str">
        <f t="shared" si="4625"/>
        <v>#ERROR!</v>
      </c>
      <c r="BR911" s="15" t="str">
        <f t="shared" si="4625"/>
        <v>#ERROR!</v>
      </c>
      <c r="BS911" s="15" t="str">
        <f t="shared" si="4625"/>
        <v>#ERROR!</v>
      </c>
      <c r="BT911" s="15" t="str">
        <f t="shared" si="4625"/>
        <v>#ERROR!</v>
      </c>
      <c r="BU911" s="309" t="str">
        <f t="shared" si="4625"/>
        <v>#ERROR!</v>
      </c>
      <c r="BV911" s="15" t="str">
        <f t="shared" si="4625"/>
        <v>#ERROR!</v>
      </c>
      <c r="BW911" s="15" t="str">
        <f t="shared" si="4625"/>
        <v>#ERROR!</v>
      </c>
      <c r="BX911" s="15" t="str">
        <f t="shared" si="4625"/>
        <v>#ERROR!</v>
      </c>
      <c r="BY911" s="15" t="str">
        <f t="shared" si="4625"/>
        <v>#ERROR!</v>
      </c>
      <c r="BZ911" s="37" t="str">
        <f t="shared" si="4625"/>
        <v>#ERROR!</v>
      </c>
      <c r="CA911" s="15" t="str">
        <f t="shared" si="4625"/>
        <v>#ERROR!</v>
      </c>
      <c r="CB911" s="15" t="str">
        <f t="shared" si="4625"/>
        <v>#ERROR!</v>
      </c>
      <c r="CC911" s="15" t="str">
        <f t="shared" si="4625"/>
        <v>#ERROR!</v>
      </c>
      <c r="CD911" s="15" t="str">
        <f t="shared" si="4625"/>
        <v>#ERROR!</v>
      </c>
      <c r="CE911" s="37" t="str">
        <f t="shared" si="4625"/>
        <v>#ERROR!</v>
      </c>
      <c r="CF911" s="15" t="str">
        <f t="shared" si="4625"/>
        <v>#ERROR!</v>
      </c>
      <c r="CG911" s="15" t="str">
        <f t="shared" si="4625"/>
        <v>#ERROR!</v>
      </c>
      <c r="CH911" s="15" t="str">
        <f t="shared" si="4625"/>
        <v>#ERROR!</v>
      </c>
      <c r="CI911" s="15" t="str">
        <f t="shared" si="4625"/>
        <v>#ERROR!</v>
      </c>
      <c r="CJ911" s="37" t="str">
        <f t="shared" si="4625"/>
        <v>#ERROR!</v>
      </c>
      <c r="CK911" s="15" t="str">
        <f t="shared" si="4625"/>
        <v>#ERROR!</v>
      </c>
      <c r="CL911" s="15" t="str">
        <f t="shared" si="4625"/>
        <v>#ERROR!</v>
      </c>
      <c r="CM911" s="15" t="str">
        <f t="shared" si="4625"/>
        <v>#ERROR!</v>
      </c>
      <c r="CN911" s="40" t="str">
        <f t="shared" si="4625"/>
        <v>#ERROR!</v>
      </c>
      <c r="CO911" s="37" t="str">
        <f t="shared" si="4625"/>
        <v>#ERROR!</v>
      </c>
      <c r="CP911" s="40" t="str">
        <f t="shared" si="4625"/>
        <v>#ERROR!</v>
      </c>
      <c r="CQ911" s="15" t="str">
        <f t="shared" si="4625"/>
        <v>#ERROR!</v>
      </c>
      <c r="CR911" s="15" t="str">
        <f t="shared" si="4625"/>
        <v>#ERROR!</v>
      </c>
      <c r="CS911" s="15" t="str">
        <f t="shared" si="4625"/>
        <v>#ERROR!</v>
      </c>
      <c r="CT911" s="37" t="str">
        <f t="shared" si="4625"/>
        <v>#ERROR!</v>
      </c>
      <c r="CU911" s="15" t="str">
        <f t="shared" si="4625"/>
        <v>#ERROR!</v>
      </c>
      <c r="CV911" s="15" t="str">
        <f t="shared" si="4625"/>
        <v>#ERROR!</v>
      </c>
      <c r="CW911" s="15" t="str">
        <f t="shared" si="4625"/>
        <v>#ERROR!</v>
      </c>
      <c r="CX911" s="15" t="str">
        <f t="shared" si="4625"/>
        <v>#ERROR!</v>
      </c>
      <c r="CY911" s="37" t="str">
        <f t="shared" si="4625"/>
        <v>#ERROR!</v>
      </c>
      <c r="CZ911" s="15" t="str">
        <f t="shared" si="4625"/>
        <v>#ERROR!</v>
      </c>
      <c r="DA911" s="15" t="str">
        <f t="shared" si="4625"/>
        <v>#ERROR!</v>
      </c>
      <c r="DB911" s="15" t="str">
        <f t="shared" si="4625"/>
        <v>#ERROR!</v>
      </c>
      <c r="DC911" s="15" t="str">
        <f t="shared" si="4625"/>
        <v>#ERROR!</v>
      </c>
      <c r="DD911" s="37" t="str">
        <f t="shared" si="4625"/>
        <v>#ERROR!</v>
      </c>
      <c r="DE911" s="15" t="str">
        <f t="shared" si="4625"/>
        <v>#ERROR!</v>
      </c>
      <c r="DF911" s="15" t="str">
        <f t="shared" si="4625"/>
        <v>#ERROR!</v>
      </c>
      <c r="DG911" s="40" t="str">
        <f t="shared" si="4625"/>
        <v>#ERROR!</v>
      </c>
      <c r="DH911" s="15" t="str">
        <f t="shared" si="4625"/>
        <v>#ERROR!</v>
      </c>
      <c r="DI911" s="37" t="str">
        <f t="shared" si="4625"/>
        <v>#ERROR!</v>
      </c>
      <c r="DJ911" s="40" t="str">
        <f t="shared" si="4625"/>
        <v>#ERROR!</v>
      </c>
      <c r="DK911" s="40" t="str">
        <f t="shared" si="4625"/>
        <v>#ERROR!</v>
      </c>
      <c r="DL911" s="40" t="str">
        <f t="shared" si="4625"/>
        <v>#ERROR!</v>
      </c>
      <c r="DM911" s="15" t="str">
        <f t="shared" si="4625"/>
        <v>#ERROR!</v>
      </c>
      <c r="DN911" s="37" t="str">
        <f t="shared" si="4625"/>
        <v>#ERROR!</v>
      </c>
      <c r="DO911" s="15" t="str">
        <f t="shared" si="4625"/>
        <v>#ERROR!</v>
      </c>
      <c r="DP911" s="15" t="str">
        <f t="shared" si="4625"/>
        <v>#ERROR!</v>
      </c>
      <c r="DQ911" s="15" t="str">
        <f t="shared" si="4625"/>
        <v>#ERROR!</v>
      </c>
      <c r="DR911" s="15" t="str">
        <f t="shared" si="4625"/>
        <v>#ERROR!</v>
      </c>
      <c r="DS911" s="37" t="str">
        <f t="shared" si="4625"/>
        <v>#ERROR!</v>
      </c>
      <c r="DT911" s="15" t="str">
        <f t="shared" si="4625"/>
        <v>#ERROR!</v>
      </c>
      <c r="DU911" s="15" t="str">
        <f t="shared" si="4625"/>
        <v>#ERROR!</v>
      </c>
      <c r="DV911" s="15" t="str">
        <f t="shared" si="4625"/>
        <v>#ERROR!</v>
      </c>
      <c r="DW911" s="15" t="str">
        <f t="shared" si="4625"/>
        <v>#ERROR!</v>
      </c>
      <c r="DX911" s="37" t="str">
        <f t="shared" si="4625"/>
        <v>#ERROR!</v>
      </c>
      <c r="DY911" s="15" t="str">
        <f t="shared" si="4625"/>
        <v>#ERROR!</v>
      </c>
      <c r="DZ911" s="15" t="str">
        <f t="shared" si="4625"/>
        <v>#ERROR!</v>
      </c>
      <c r="EA911" s="15" t="str">
        <f t="shared" si="4625"/>
        <v>#ERROR!</v>
      </c>
      <c r="EB911" s="15" t="str">
        <f t="shared" si="4625"/>
        <v>#ERROR!</v>
      </c>
      <c r="EC911" s="37" t="str">
        <f t="shared" si="4625"/>
        <v>#ERROR!</v>
      </c>
      <c r="ED911" s="15" t="str">
        <f t="shared" si="4625"/>
        <v>#ERROR!</v>
      </c>
      <c r="EE911" s="15" t="str">
        <f t="shared" si="4625"/>
        <v>#ERROR!</v>
      </c>
      <c r="EF911" s="15" t="str">
        <f t="shared" si="4625"/>
        <v>#ERROR!</v>
      </c>
      <c r="EG911" s="15" t="str">
        <f t="shared" si="4625"/>
        <v>#ERROR!</v>
      </c>
      <c r="EH911" s="37" t="str">
        <f t="shared" si="4625"/>
        <v>#ERROR!</v>
      </c>
      <c r="EI911" s="82" t="str">
        <f t="shared" si="4625"/>
        <v>#ERROR!</v>
      </c>
      <c r="EJ911" s="15" t="str">
        <f t="shared" si="4625"/>
        <v>#ERROR!</v>
      </c>
      <c r="EK911" s="15" t="str">
        <f t="shared" si="4625"/>
        <v>#ERROR!</v>
      </c>
      <c r="EL911" s="15" t="str">
        <f t="shared" si="4625"/>
        <v>#ERROR!</v>
      </c>
      <c r="EM911" s="37" t="str">
        <f t="shared" si="4625"/>
        <v>#ERROR!</v>
      </c>
      <c r="EN911" s="15" t="str">
        <f t="shared" si="4625"/>
        <v>#ERROR!</v>
      </c>
      <c r="EO911" s="15" t="str">
        <f t="shared" si="4625"/>
        <v>#ERROR!</v>
      </c>
      <c r="EP911" s="15" t="str">
        <f t="shared" si="4625"/>
        <v>#ERROR!</v>
      </c>
      <c r="EQ911" s="15" t="str">
        <f t="shared" si="4625"/>
        <v>#ERROR!</v>
      </c>
      <c r="ER911" s="37" t="str">
        <f t="shared" si="4625"/>
        <v>#ERROR!</v>
      </c>
      <c r="ES911" s="15" t="str">
        <f t="shared" si="4625"/>
        <v>#ERROR!</v>
      </c>
      <c r="ET911" s="15" t="str">
        <f t="shared" si="4625"/>
        <v>#ERROR!</v>
      </c>
      <c r="EU911" s="15" t="str">
        <f t="shared" si="4625"/>
        <v>#ERROR!</v>
      </c>
      <c r="EV911" s="15" t="str">
        <f t="shared" si="4625"/>
        <v>#ERROR!</v>
      </c>
      <c r="EW911" s="37" t="str">
        <f t="shared" si="4625"/>
        <v>#ERROR!</v>
      </c>
      <c r="EX911" s="15" t="str">
        <f t="shared" si="4625"/>
        <v>#ERROR!</v>
      </c>
      <c r="EY911" s="15" t="str">
        <f t="shared" si="4625"/>
        <v>#ERROR!</v>
      </c>
      <c r="EZ911" s="15" t="str">
        <f t="shared" si="4625"/>
        <v>#ERROR!</v>
      </c>
      <c r="FA911" s="15" t="str">
        <f t="shared" si="4625"/>
        <v>#ERROR!</v>
      </c>
      <c r="FB911" s="37" t="str">
        <f t="shared" si="4625"/>
        <v>#ERROR!</v>
      </c>
      <c r="FC911" s="15" t="str">
        <f t="shared" si="4625"/>
        <v>#ERROR!</v>
      </c>
      <c r="FD911" s="15" t="str">
        <f t="shared" si="4625"/>
        <v>#ERROR!</v>
      </c>
      <c r="FE911" s="15" t="str">
        <f t="shared" si="4625"/>
        <v>#ERROR!</v>
      </c>
      <c r="FF911" s="15" t="str">
        <f t="shared" si="4625"/>
        <v>#ERROR!</v>
      </c>
      <c r="FG911" s="37" t="str">
        <f t="shared" si="4625"/>
        <v>#ERROR!</v>
      </c>
      <c r="FH911" s="35"/>
      <c r="FI911" s="15"/>
      <c r="FJ911" s="15"/>
      <c r="FK911" s="309"/>
      <c r="FL911" s="15"/>
    </row>
    <row r="912" ht="13.5" hidden="1" customHeight="1" outlineLevel="4">
      <c r="A912" s="4"/>
      <c r="B912" s="72" t="str">
        <f t="shared" si="4626"/>
        <v>WCCG</v>
      </c>
      <c r="C912" s="4"/>
      <c r="D912" s="315"/>
      <c r="E912" s="315"/>
      <c r="F912" s="315"/>
      <c r="G912" s="315"/>
      <c r="H912" s="309"/>
      <c r="I912" s="315"/>
      <c r="J912" s="315"/>
      <c r="K912" s="315"/>
      <c r="L912" s="315"/>
      <c r="M912" s="309"/>
      <c r="N912" s="315"/>
      <c r="O912" s="315"/>
      <c r="P912" s="315"/>
      <c r="Q912" s="315"/>
      <c r="R912" s="309"/>
      <c r="S912" s="315"/>
      <c r="T912" s="315"/>
      <c r="U912" s="315"/>
      <c r="V912" s="315"/>
      <c r="W912" s="309">
        <f t="shared" ref="W912:AQ912" si="4627">W901/W853</f>
        <v>-0.07594936709</v>
      </c>
      <c r="X912" s="315">
        <f t="shared" si="4627"/>
        <v>0</v>
      </c>
      <c r="Y912" s="315">
        <f t="shared" si="4627"/>
        <v>0</v>
      </c>
      <c r="Z912" s="315">
        <f t="shared" si="4627"/>
        <v>0.2233883058</v>
      </c>
      <c r="AA912" s="315">
        <f t="shared" si="4627"/>
        <v>0.1965811966</v>
      </c>
      <c r="AB912" s="309">
        <f t="shared" si="4627"/>
        <v>0.2278006744</v>
      </c>
      <c r="AC912" s="315">
        <f t="shared" si="4627"/>
        <v>-0.0273381295</v>
      </c>
      <c r="AD912" s="315">
        <f t="shared" si="4627"/>
        <v>-0.3098039216</v>
      </c>
      <c r="AE912" s="315">
        <f t="shared" si="4627"/>
        <v>-0.115913556</v>
      </c>
      <c r="AF912" s="315">
        <f t="shared" si="4627"/>
        <v>-0.03861003861</v>
      </c>
      <c r="AG912" s="309">
        <f t="shared" si="4627"/>
        <v>-0.1146953405</v>
      </c>
      <c r="AH912" s="315">
        <f t="shared" si="4627"/>
        <v>-0.1459694989</v>
      </c>
      <c r="AI912" s="315">
        <f t="shared" si="4627"/>
        <v>-0.1776315789</v>
      </c>
      <c r="AJ912" s="315">
        <f t="shared" si="4627"/>
        <v>-0.04863481229</v>
      </c>
      <c r="AK912" s="315">
        <f t="shared" si="4627"/>
        <v>-0.1465256798</v>
      </c>
      <c r="AL912" s="309">
        <f t="shared" si="4627"/>
        <v>-0.1281822242</v>
      </c>
      <c r="AM912" s="315">
        <f t="shared" si="4627"/>
        <v>-0.1987315011</v>
      </c>
      <c r="AN912" s="315">
        <f t="shared" si="4627"/>
        <v>-0.2569892473</v>
      </c>
      <c r="AO912" s="315">
        <f t="shared" si="4627"/>
        <v>-0.2755555556</v>
      </c>
      <c r="AP912" s="315">
        <f t="shared" si="4627"/>
        <v>-0.2068230277</v>
      </c>
      <c r="AQ912" s="309">
        <f t="shared" si="4627"/>
        <v>-0.2339795369</v>
      </c>
      <c r="AR912" s="315"/>
      <c r="AS912" s="315"/>
      <c r="AT912" s="315"/>
      <c r="AU912" s="315"/>
      <c r="AV912" s="309"/>
      <c r="AW912" s="315"/>
      <c r="AX912" s="315"/>
      <c r="AY912" s="315"/>
      <c r="AZ912" s="315"/>
      <c r="BA912" s="309"/>
      <c r="BB912" s="315"/>
      <c r="BC912" s="315"/>
      <c r="BD912" s="315"/>
      <c r="BE912" s="315"/>
      <c r="BF912" s="309"/>
      <c r="BG912" s="315"/>
      <c r="BH912" s="315"/>
      <c r="BI912" s="315"/>
      <c r="BJ912" s="315"/>
      <c r="BK912" s="309"/>
      <c r="BL912" s="315"/>
      <c r="BM912" s="315"/>
      <c r="BN912" s="315"/>
      <c r="BO912" s="315"/>
      <c r="BP912" s="309"/>
      <c r="BQ912" s="315"/>
      <c r="BR912" s="315"/>
      <c r="BS912" s="315"/>
      <c r="BT912" s="315"/>
      <c r="BU912" s="309"/>
      <c r="BV912" s="315"/>
      <c r="BW912" s="315"/>
      <c r="BX912" s="315"/>
      <c r="BY912" s="315"/>
      <c r="BZ912" s="37"/>
      <c r="CA912" s="315"/>
      <c r="CB912" s="315"/>
      <c r="CC912" s="315"/>
      <c r="CD912" s="315"/>
      <c r="CE912" s="37"/>
      <c r="CF912" s="315"/>
      <c r="CG912" s="315"/>
      <c r="CH912" s="315"/>
      <c r="CI912" s="315"/>
      <c r="CJ912" s="37"/>
      <c r="CK912" s="315"/>
      <c r="CL912" s="315"/>
      <c r="CM912" s="315"/>
      <c r="CN912" s="365"/>
      <c r="CO912" s="37"/>
      <c r="CP912" s="365"/>
      <c r="CQ912" s="315"/>
      <c r="CR912" s="315"/>
      <c r="CS912" s="315"/>
      <c r="CT912" s="37"/>
      <c r="CU912" s="315"/>
      <c r="CV912" s="315"/>
      <c r="CW912" s="315"/>
      <c r="CX912" s="315"/>
      <c r="CY912" s="37"/>
      <c r="CZ912" s="315"/>
      <c r="DA912" s="315"/>
      <c r="DB912" s="315"/>
      <c r="DC912" s="315"/>
      <c r="DD912" s="37"/>
      <c r="DE912" s="315"/>
      <c r="DF912" s="315"/>
      <c r="DG912" s="365"/>
      <c r="DH912" s="315"/>
      <c r="DI912" s="37"/>
      <c r="DJ912" s="365"/>
      <c r="DK912" s="365"/>
      <c r="DL912" s="365"/>
      <c r="DM912" s="315"/>
      <c r="DN912" s="37"/>
      <c r="DO912" s="315"/>
      <c r="DP912" s="315"/>
      <c r="DQ912" s="315"/>
      <c r="DR912" s="315"/>
      <c r="DS912" s="37"/>
      <c r="DT912" s="315"/>
      <c r="DU912" s="315"/>
      <c r="DV912" s="315"/>
      <c r="DW912" s="315"/>
      <c r="DX912" s="37"/>
      <c r="DY912" s="315"/>
      <c r="DZ912" s="315"/>
      <c r="EA912" s="315"/>
      <c r="EB912" s="315"/>
      <c r="EC912" s="37"/>
      <c r="ED912" s="315"/>
      <c r="EE912" s="315"/>
      <c r="EF912" s="315"/>
      <c r="EG912" s="315"/>
      <c r="EH912" s="37"/>
      <c r="EI912" s="314"/>
      <c r="EJ912" s="315"/>
      <c r="EK912" s="315"/>
      <c r="EL912" s="315"/>
      <c r="EM912" s="37"/>
      <c r="EN912" s="315"/>
      <c r="EO912" s="315"/>
      <c r="EP912" s="315"/>
      <c r="EQ912" s="315"/>
      <c r="ER912" s="37"/>
      <c r="ES912" s="315"/>
      <c r="ET912" s="315"/>
      <c r="EU912" s="315"/>
      <c r="EV912" s="315"/>
      <c r="EW912" s="37"/>
      <c r="EX912" s="315"/>
      <c r="EY912" s="315"/>
      <c r="EZ912" s="315"/>
      <c r="FA912" s="315"/>
      <c r="FB912" s="37"/>
      <c r="FC912" s="315"/>
      <c r="FD912" s="315"/>
      <c r="FE912" s="315"/>
      <c r="FF912" s="315"/>
      <c r="FG912" s="37"/>
      <c r="FH912" s="35"/>
      <c r="FI912" s="315"/>
      <c r="FJ912" s="315"/>
      <c r="FK912" s="309"/>
      <c r="FL912" s="315"/>
    </row>
    <row r="913" ht="13.5" hidden="1" customHeight="1" outlineLevel="4">
      <c r="A913" s="4"/>
      <c r="B913" s="72" t="str">
        <f t="shared" si="4626"/>
        <v>Comm/Embedded (former ICG)</v>
      </c>
      <c r="C913" s="4"/>
      <c r="D913" s="15"/>
      <c r="E913" s="15"/>
      <c r="F913" s="15"/>
      <c r="G913" s="15"/>
      <c r="H913" s="410"/>
      <c r="I913" s="15"/>
      <c r="J913" s="15"/>
      <c r="K913" s="15"/>
      <c r="L913" s="15"/>
      <c r="M913" s="410"/>
      <c r="N913" s="15"/>
      <c r="O913" s="15"/>
      <c r="P913" s="15"/>
      <c r="Q913" s="15"/>
      <c r="R913" s="410"/>
      <c r="S913" s="15"/>
      <c r="T913" s="15"/>
      <c r="U913" s="15"/>
      <c r="V913" s="15"/>
      <c r="W913" s="410">
        <f t="shared" ref="W913:AT913" si="4628">W902/W855</f>
        <v>0.1836134454</v>
      </c>
      <c r="X913" s="15">
        <f t="shared" si="4628"/>
        <v>0</v>
      </c>
      <c r="Y913" s="15">
        <f t="shared" si="4628"/>
        <v>0</v>
      </c>
      <c r="Z913" s="15">
        <f t="shared" si="4628"/>
        <v>0.1075949367</v>
      </c>
      <c r="AA913" s="15">
        <f t="shared" si="4628"/>
        <v>0.07251082251</v>
      </c>
      <c r="AB913" s="410">
        <f t="shared" si="4628"/>
        <v>0.09158771174</v>
      </c>
      <c r="AC913" s="15">
        <f t="shared" si="4628"/>
        <v>-0.1974193548</v>
      </c>
      <c r="AD913" s="15">
        <f t="shared" si="4628"/>
        <v>-0.3700787402</v>
      </c>
      <c r="AE913" s="15">
        <f t="shared" si="4628"/>
        <v>-0.375862069</v>
      </c>
      <c r="AF913" s="15">
        <f t="shared" si="4628"/>
        <v>-0.2186440678</v>
      </c>
      <c r="AG913" s="410">
        <f t="shared" si="4628"/>
        <v>-0.2848837209</v>
      </c>
      <c r="AH913" s="15">
        <f t="shared" si="4628"/>
        <v>-0.2895752896</v>
      </c>
      <c r="AI913" s="15">
        <f t="shared" si="4628"/>
        <v>-0.2369402985</v>
      </c>
      <c r="AJ913" s="15">
        <f t="shared" si="4628"/>
        <v>-0.367219917</v>
      </c>
      <c r="AK913" s="15">
        <f t="shared" si="4628"/>
        <v>-0.3088235294</v>
      </c>
      <c r="AL913" s="410">
        <f t="shared" si="4628"/>
        <v>-0.2990384615</v>
      </c>
      <c r="AM913" s="15">
        <f t="shared" si="4628"/>
        <v>-0.2783300199</v>
      </c>
      <c r="AN913" s="15">
        <f t="shared" si="4628"/>
        <v>-0.281496063</v>
      </c>
      <c r="AO913" s="15">
        <f t="shared" si="4628"/>
        <v>-0.1727941176</v>
      </c>
      <c r="AP913" s="15">
        <f t="shared" si="4628"/>
        <v>-0.08277027027</v>
      </c>
      <c r="AQ913" s="410">
        <f t="shared" si="4628"/>
        <v>-0.198416395</v>
      </c>
      <c r="AR913" s="15">
        <f t="shared" si="4628"/>
        <v>-0.337962963</v>
      </c>
      <c r="AS913" s="15">
        <f t="shared" si="4628"/>
        <v>-0.1842105263</v>
      </c>
      <c r="AT913" s="15">
        <f t="shared" si="4628"/>
        <v>-0.3642960813</v>
      </c>
      <c r="AU913" s="15">
        <f>IF(ABS(AU902/AU855)&gt;2,"NA",AU902/AU855)</f>
        <v>-0.2718446602</v>
      </c>
      <c r="AV913" s="410">
        <f t="shared" ref="AV913:FG913" si="4629">AV902/AV855</f>
        <v>-0.2888402626</v>
      </c>
      <c r="AW913" s="15" t="str">
        <f t="shared" si="4629"/>
        <v>#ERROR!</v>
      </c>
      <c r="AX913" s="15" t="str">
        <f t="shared" si="4629"/>
        <v>#ERROR!</v>
      </c>
      <c r="AY913" s="15" t="str">
        <f t="shared" si="4629"/>
        <v>#ERROR!</v>
      </c>
      <c r="AZ913" s="15" t="str">
        <f t="shared" si="4629"/>
        <v>#ERROR!</v>
      </c>
      <c r="BA913" s="410" t="str">
        <f t="shared" si="4629"/>
        <v>#ERROR!</v>
      </c>
      <c r="BB913" s="15" t="str">
        <f t="shared" si="4629"/>
        <v>#ERROR!</v>
      </c>
      <c r="BC913" s="15" t="str">
        <f t="shared" si="4629"/>
        <v>#ERROR!</v>
      </c>
      <c r="BD913" s="15" t="str">
        <f t="shared" si="4629"/>
        <v>#ERROR!</v>
      </c>
      <c r="BE913" s="15" t="str">
        <f t="shared" si="4629"/>
        <v>#ERROR!</v>
      </c>
      <c r="BF913" s="410" t="str">
        <f t="shared" si="4629"/>
        <v>#ERROR!</v>
      </c>
      <c r="BG913" s="15" t="str">
        <f t="shared" si="4629"/>
        <v>#ERROR!</v>
      </c>
      <c r="BH913" s="15" t="str">
        <f t="shared" si="4629"/>
        <v>#ERROR!</v>
      </c>
      <c r="BI913" s="15" t="str">
        <f t="shared" si="4629"/>
        <v>#ERROR!</v>
      </c>
      <c r="BJ913" s="15" t="str">
        <f t="shared" si="4629"/>
        <v>#ERROR!</v>
      </c>
      <c r="BK913" s="410" t="str">
        <f t="shared" si="4629"/>
        <v>#ERROR!</v>
      </c>
      <c r="BL913" s="15" t="str">
        <f t="shared" si="4629"/>
        <v>#ERROR!</v>
      </c>
      <c r="BM913" s="15" t="str">
        <f t="shared" si="4629"/>
        <v>#ERROR!</v>
      </c>
      <c r="BN913" s="15" t="str">
        <f t="shared" si="4629"/>
        <v>#ERROR!</v>
      </c>
      <c r="BO913" s="15" t="str">
        <f t="shared" si="4629"/>
        <v>#ERROR!</v>
      </c>
      <c r="BP913" s="410" t="str">
        <f t="shared" si="4629"/>
        <v>#ERROR!</v>
      </c>
      <c r="BQ913" s="15" t="str">
        <f t="shared" si="4629"/>
        <v>#ERROR!</v>
      </c>
      <c r="BR913" s="15" t="str">
        <f t="shared" si="4629"/>
        <v>#ERROR!</v>
      </c>
      <c r="BS913" s="15">
        <f t="shared" si="4629"/>
        <v>0.08765778401</v>
      </c>
      <c r="BT913" s="15" t="str">
        <f t="shared" si="4629"/>
        <v>#ERROR!</v>
      </c>
      <c r="BU913" s="410" t="str">
        <f t="shared" si="4629"/>
        <v>#ERROR!</v>
      </c>
      <c r="BV913" s="15" t="str">
        <f t="shared" si="4629"/>
        <v>#ERROR!</v>
      </c>
      <c r="BW913" s="15" t="str">
        <f t="shared" si="4629"/>
        <v>#ERROR!</v>
      </c>
      <c r="BX913" s="15" t="str">
        <f t="shared" si="4629"/>
        <v>#ERROR!</v>
      </c>
      <c r="BY913" s="15" t="str">
        <f t="shared" si="4629"/>
        <v>#ERROR!</v>
      </c>
      <c r="BZ913" s="24" t="str">
        <f t="shared" si="4629"/>
        <v>#ERROR!</v>
      </c>
      <c r="CA913" s="15" t="str">
        <f t="shared" si="4629"/>
        <v>#ERROR!</v>
      </c>
      <c r="CB913" s="15" t="str">
        <f t="shared" si="4629"/>
        <v>#ERROR!</v>
      </c>
      <c r="CC913" s="15" t="str">
        <f t="shared" si="4629"/>
        <v>#ERROR!</v>
      </c>
      <c r="CD913" s="15" t="str">
        <f t="shared" si="4629"/>
        <v>#ERROR!</v>
      </c>
      <c r="CE913" s="24" t="str">
        <f t="shared" si="4629"/>
        <v>#ERROR!</v>
      </c>
      <c r="CF913" s="15" t="str">
        <f t="shared" si="4629"/>
        <v>#ERROR!</v>
      </c>
      <c r="CG913" s="15" t="str">
        <f t="shared" si="4629"/>
        <v>#ERROR!</v>
      </c>
      <c r="CH913" s="15" t="str">
        <f t="shared" si="4629"/>
        <v>#ERROR!</v>
      </c>
      <c r="CI913" s="15" t="str">
        <f t="shared" si="4629"/>
        <v>#ERROR!</v>
      </c>
      <c r="CJ913" s="24" t="str">
        <f t="shared" si="4629"/>
        <v>#ERROR!</v>
      </c>
      <c r="CK913" s="15" t="str">
        <f t="shared" si="4629"/>
        <v>#ERROR!</v>
      </c>
      <c r="CL913" s="15" t="str">
        <f t="shared" si="4629"/>
        <v>#ERROR!</v>
      </c>
      <c r="CM913" s="15" t="str">
        <f t="shared" si="4629"/>
        <v>#ERROR!</v>
      </c>
      <c r="CN913" s="40" t="str">
        <f t="shared" si="4629"/>
        <v>#ERROR!</v>
      </c>
      <c r="CO913" s="24" t="str">
        <f t="shared" si="4629"/>
        <v>#ERROR!</v>
      </c>
      <c r="CP913" s="40" t="str">
        <f t="shared" si="4629"/>
        <v>#ERROR!</v>
      </c>
      <c r="CQ913" s="15" t="str">
        <f t="shared" si="4629"/>
        <v>#ERROR!</v>
      </c>
      <c r="CR913" s="15" t="str">
        <f t="shared" si="4629"/>
        <v>#ERROR!</v>
      </c>
      <c r="CS913" s="15" t="str">
        <f t="shared" si="4629"/>
        <v>#ERROR!</v>
      </c>
      <c r="CT913" s="24" t="str">
        <f t="shared" si="4629"/>
        <v>#ERROR!</v>
      </c>
      <c r="CU913" s="15" t="str">
        <f t="shared" si="4629"/>
        <v>#ERROR!</v>
      </c>
      <c r="CV913" s="15" t="str">
        <f t="shared" si="4629"/>
        <v>#ERROR!</v>
      </c>
      <c r="CW913" s="15" t="str">
        <f t="shared" si="4629"/>
        <v>#ERROR!</v>
      </c>
      <c r="CX913" s="15" t="str">
        <f t="shared" si="4629"/>
        <v>#ERROR!</v>
      </c>
      <c r="CY913" s="24" t="str">
        <f t="shared" si="4629"/>
        <v>#ERROR!</v>
      </c>
      <c r="CZ913" s="15" t="str">
        <f t="shared" si="4629"/>
        <v>#ERROR!</v>
      </c>
      <c r="DA913" s="15" t="str">
        <f t="shared" si="4629"/>
        <v>#ERROR!</v>
      </c>
      <c r="DB913" s="15" t="str">
        <f t="shared" si="4629"/>
        <v>#ERROR!</v>
      </c>
      <c r="DC913" s="15" t="str">
        <f t="shared" si="4629"/>
        <v>#ERROR!</v>
      </c>
      <c r="DD913" s="24" t="str">
        <f t="shared" si="4629"/>
        <v>#ERROR!</v>
      </c>
      <c r="DE913" s="15" t="str">
        <f t="shared" si="4629"/>
        <v>#ERROR!</v>
      </c>
      <c r="DF913" s="15" t="str">
        <f t="shared" si="4629"/>
        <v>#ERROR!</v>
      </c>
      <c r="DG913" s="40" t="str">
        <f t="shared" si="4629"/>
        <v>#ERROR!</v>
      </c>
      <c r="DH913" s="15" t="str">
        <f t="shared" si="4629"/>
        <v>#ERROR!</v>
      </c>
      <c r="DI913" s="24" t="str">
        <f t="shared" si="4629"/>
        <v>#ERROR!</v>
      </c>
      <c r="DJ913" s="40" t="str">
        <f t="shared" si="4629"/>
        <v>#ERROR!</v>
      </c>
      <c r="DK913" s="40" t="str">
        <f t="shared" si="4629"/>
        <v>#ERROR!</v>
      </c>
      <c r="DL913" s="40" t="str">
        <f t="shared" si="4629"/>
        <v>#ERROR!</v>
      </c>
      <c r="DM913" s="15" t="str">
        <f t="shared" si="4629"/>
        <v>#ERROR!</v>
      </c>
      <c r="DN913" s="24" t="str">
        <f t="shared" si="4629"/>
        <v>#ERROR!</v>
      </c>
      <c r="DO913" s="15" t="str">
        <f t="shared" si="4629"/>
        <v>#ERROR!</v>
      </c>
      <c r="DP913" s="15" t="str">
        <f t="shared" si="4629"/>
        <v>#ERROR!</v>
      </c>
      <c r="DQ913" s="15" t="str">
        <f t="shared" si="4629"/>
        <v>#ERROR!</v>
      </c>
      <c r="DR913" s="15" t="str">
        <f t="shared" si="4629"/>
        <v>#ERROR!</v>
      </c>
      <c r="DS913" s="24" t="str">
        <f t="shared" si="4629"/>
        <v>#ERROR!</v>
      </c>
      <c r="DT913" s="15" t="str">
        <f t="shared" si="4629"/>
        <v>#ERROR!</v>
      </c>
      <c r="DU913" s="15" t="str">
        <f t="shared" si="4629"/>
        <v>#ERROR!</v>
      </c>
      <c r="DV913" s="15" t="str">
        <f t="shared" si="4629"/>
        <v>#ERROR!</v>
      </c>
      <c r="DW913" s="15" t="str">
        <f t="shared" si="4629"/>
        <v>#ERROR!</v>
      </c>
      <c r="DX913" s="24" t="str">
        <f t="shared" si="4629"/>
        <v>#ERROR!</v>
      </c>
      <c r="DY913" s="15" t="str">
        <f t="shared" si="4629"/>
        <v>#ERROR!</v>
      </c>
      <c r="DZ913" s="15" t="str">
        <f t="shared" si="4629"/>
        <v>#ERROR!</v>
      </c>
      <c r="EA913" s="15" t="str">
        <f t="shared" si="4629"/>
        <v>#ERROR!</v>
      </c>
      <c r="EB913" s="15" t="str">
        <f t="shared" si="4629"/>
        <v>#ERROR!</v>
      </c>
      <c r="EC913" s="24" t="str">
        <f t="shared" si="4629"/>
        <v>#ERROR!</v>
      </c>
      <c r="ED913" s="15" t="str">
        <f t="shared" si="4629"/>
        <v>#ERROR!</v>
      </c>
      <c r="EE913" s="15" t="str">
        <f t="shared" si="4629"/>
        <v>#ERROR!</v>
      </c>
      <c r="EF913" s="15" t="str">
        <f t="shared" si="4629"/>
        <v>#ERROR!</v>
      </c>
      <c r="EG913" s="15" t="str">
        <f t="shared" si="4629"/>
        <v>#ERROR!</v>
      </c>
      <c r="EH913" s="24" t="str">
        <f t="shared" si="4629"/>
        <v>#ERROR!</v>
      </c>
      <c r="EI913" s="82" t="str">
        <f t="shared" si="4629"/>
        <v>#ERROR!</v>
      </c>
      <c r="EJ913" s="15" t="str">
        <f t="shared" si="4629"/>
        <v>#ERROR!</v>
      </c>
      <c r="EK913" s="15" t="str">
        <f t="shared" si="4629"/>
        <v>#ERROR!</v>
      </c>
      <c r="EL913" s="15" t="str">
        <f t="shared" si="4629"/>
        <v>#ERROR!</v>
      </c>
      <c r="EM913" s="24" t="str">
        <f t="shared" si="4629"/>
        <v>#ERROR!</v>
      </c>
      <c r="EN913" s="15" t="str">
        <f t="shared" si="4629"/>
        <v>#ERROR!</v>
      </c>
      <c r="EO913" s="15" t="str">
        <f t="shared" si="4629"/>
        <v>#ERROR!</v>
      </c>
      <c r="EP913" s="15" t="str">
        <f t="shared" si="4629"/>
        <v>#ERROR!</v>
      </c>
      <c r="EQ913" s="15" t="str">
        <f t="shared" si="4629"/>
        <v>#ERROR!</v>
      </c>
      <c r="ER913" s="24" t="str">
        <f t="shared" si="4629"/>
        <v>#ERROR!</v>
      </c>
      <c r="ES913" s="15" t="str">
        <f t="shared" si="4629"/>
        <v>#ERROR!</v>
      </c>
      <c r="ET913" s="15" t="str">
        <f t="shared" si="4629"/>
        <v>#ERROR!</v>
      </c>
      <c r="EU913" s="15" t="str">
        <f t="shared" si="4629"/>
        <v>#ERROR!</v>
      </c>
      <c r="EV913" s="15" t="str">
        <f t="shared" si="4629"/>
        <v>#ERROR!</v>
      </c>
      <c r="EW913" s="24" t="str">
        <f t="shared" si="4629"/>
        <v>#ERROR!</v>
      </c>
      <c r="EX913" s="15" t="str">
        <f t="shared" si="4629"/>
        <v>#ERROR!</v>
      </c>
      <c r="EY913" s="15" t="str">
        <f t="shared" si="4629"/>
        <v>#ERROR!</v>
      </c>
      <c r="EZ913" s="15" t="str">
        <f t="shared" si="4629"/>
        <v>#ERROR!</v>
      </c>
      <c r="FA913" s="15" t="str">
        <f t="shared" si="4629"/>
        <v>#ERROR!</v>
      </c>
      <c r="FB913" s="24" t="str">
        <f t="shared" si="4629"/>
        <v>#ERROR!</v>
      </c>
      <c r="FC913" s="15" t="str">
        <f t="shared" si="4629"/>
        <v>#ERROR!</v>
      </c>
      <c r="FD913" s="15" t="str">
        <f t="shared" si="4629"/>
        <v>#ERROR!</v>
      </c>
      <c r="FE913" s="15" t="str">
        <f t="shared" si="4629"/>
        <v>#ERROR!</v>
      </c>
      <c r="FF913" s="15" t="str">
        <f t="shared" si="4629"/>
        <v>#ERROR!</v>
      </c>
      <c r="FG913" s="24" t="str">
        <f t="shared" si="4629"/>
        <v>#ERROR!</v>
      </c>
      <c r="FH913" s="104"/>
      <c r="FI913" s="15"/>
      <c r="FJ913" s="15"/>
      <c r="FK913" s="410"/>
      <c r="FL913" s="15"/>
    </row>
    <row r="914" ht="13.5" hidden="1" customHeight="1" outlineLevel="4">
      <c r="A914" s="4"/>
      <c r="B914" s="72" t="str">
        <f t="shared" si="4626"/>
        <v>All other</v>
      </c>
      <c r="C914" s="4"/>
      <c r="D914" s="646"/>
      <c r="E914" s="646"/>
      <c r="F914" s="646"/>
      <c r="G914" s="646"/>
      <c r="H914" s="647"/>
      <c r="I914" s="646"/>
      <c r="J914" s="646"/>
      <c r="K914" s="646"/>
      <c r="L914" s="646"/>
      <c r="M914" s="647"/>
      <c r="N914" s="646"/>
      <c r="O914" s="646"/>
      <c r="P914" s="646"/>
      <c r="Q914" s="646"/>
      <c r="R914" s="647"/>
      <c r="S914" s="646"/>
      <c r="T914" s="646"/>
      <c r="U914" s="646"/>
      <c r="V914" s="646"/>
      <c r="W914" s="647" t="str">
        <f t="shared" ref="W914:FG914" si="4630">IF(ABS(W903/W856)&gt;2,"NA",W903/W856)</f>
        <v>NA</v>
      </c>
      <c r="X914" s="646">
        <f t="shared" si="4630"/>
        <v>0</v>
      </c>
      <c r="Y914" s="646">
        <f t="shared" si="4630"/>
        <v>0</v>
      </c>
      <c r="Z914" s="646" t="str">
        <f t="shared" si="4630"/>
        <v>NA</v>
      </c>
      <c r="AA914" s="646" t="str">
        <f t="shared" si="4630"/>
        <v>NA</v>
      </c>
      <c r="AB914" s="647" t="str">
        <f t="shared" si="4630"/>
        <v>NA</v>
      </c>
      <c r="AC914" s="646" t="str">
        <f t="shared" si="4630"/>
        <v>NA</v>
      </c>
      <c r="AD914" s="646" t="str">
        <f t="shared" si="4630"/>
        <v>NA</v>
      </c>
      <c r="AE914" s="646" t="str">
        <f t="shared" si="4630"/>
        <v>NA</v>
      </c>
      <c r="AF914" s="646" t="str">
        <f t="shared" si="4630"/>
        <v>NA</v>
      </c>
      <c r="AG914" s="647" t="str">
        <f t="shared" si="4630"/>
        <v>NA</v>
      </c>
      <c r="AH914" s="646" t="str">
        <f t="shared" si="4630"/>
        <v>NA</v>
      </c>
      <c r="AI914" s="646" t="str">
        <f t="shared" si="4630"/>
        <v>NA</v>
      </c>
      <c r="AJ914" s="646" t="str">
        <f t="shared" si="4630"/>
        <v>NA</v>
      </c>
      <c r="AK914" s="646" t="str">
        <f t="shared" si="4630"/>
        <v>NA</v>
      </c>
      <c r="AL914" s="647" t="str">
        <f t="shared" si="4630"/>
        <v>NA</v>
      </c>
      <c r="AM914" s="646" t="str">
        <f t="shared" si="4630"/>
        <v>NA</v>
      </c>
      <c r="AN914" s="646" t="str">
        <f t="shared" si="4630"/>
        <v>NA</v>
      </c>
      <c r="AO914" s="646" t="str">
        <f t="shared" si="4630"/>
        <v>NA</v>
      </c>
      <c r="AP914" s="646" t="str">
        <f t="shared" si="4630"/>
        <v>NA</v>
      </c>
      <c r="AQ914" s="647" t="str">
        <f t="shared" si="4630"/>
        <v>NA</v>
      </c>
      <c r="AR914" s="646" t="str">
        <f t="shared" si="4630"/>
        <v>NA</v>
      </c>
      <c r="AS914" s="646" t="str">
        <f t="shared" si="4630"/>
        <v>NA</v>
      </c>
      <c r="AT914" s="646" t="str">
        <f t="shared" si="4630"/>
        <v>NA</v>
      </c>
      <c r="AU914" s="646" t="str">
        <f t="shared" si="4630"/>
        <v>NA</v>
      </c>
      <c r="AV914" s="647" t="str">
        <f t="shared" si="4630"/>
        <v>NA</v>
      </c>
      <c r="AW914" s="646" t="str">
        <f t="shared" si="4630"/>
        <v>NA</v>
      </c>
      <c r="AX914" s="646" t="str">
        <f t="shared" si="4630"/>
        <v>NA</v>
      </c>
      <c r="AY914" s="646" t="str">
        <f t="shared" si="4630"/>
        <v>NA</v>
      </c>
      <c r="AZ914" s="646" t="str">
        <f t="shared" si="4630"/>
        <v>NA</v>
      </c>
      <c r="BA914" s="647" t="str">
        <f t="shared" si="4630"/>
        <v>NA</v>
      </c>
      <c r="BB914" s="646" t="str">
        <f t="shared" si="4630"/>
        <v>NA</v>
      </c>
      <c r="BC914" s="646" t="str">
        <f t="shared" si="4630"/>
        <v>NA</v>
      </c>
      <c r="BD914" s="646" t="str">
        <f t="shared" si="4630"/>
        <v>NA</v>
      </c>
      <c r="BE914" s="646" t="str">
        <f t="shared" si="4630"/>
        <v>NA</v>
      </c>
      <c r="BF914" s="647" t="str">
        <f t="shared" si="4630"/>
        <v>NA</v>
      </c>
      <c r="BG914" s="646" t="str">
        <f t="shared" si="4630"/>
        <v>NA</v>
      </c>
      <c r="BH914" s="646" t="str">
        <f t="shared" si="4630"/>
        <v>NA</v>
      </c>
      <c r="BI914" s="646" t="str">
        <f t="shared" si="4630"/>
        <v>NA</v>
      </c>
      <c r="BJ914" s="646" t="str">
        <f t="shared" si="4630"/>
        <v>NA</v>
      </c>
      <c r="BK914" s="647" t="str">
        <f t="shared" si="4630"/>
        <v>NA</v>
      </c>
      <c r="BL914" s="646" t="str">
        <f t="shared" si="4630"/>
        <v>NA</v>
      </c>
      <c r="BM914" s="646" t="str">
        <f t="shared" si="4630"/>
        <v>NA</v>
      </c>
      <c r="BN914" s="646" t="str">
        <f t="shared" si="4630"/>
        <v>NA</v>
      </c>
      <c r="BO914" s="646" t="str">
        <f t="shared" si="4630"/>
        <v>NA</v>
      </c>
      <c r="BP914" s="647" t="str">
        <f t="shared" si="4630"/>
        <v>NA</v>
      </c>
      <c r="BQ914" s="646" t="str">
        <f t="shared" si="4630"/>
        <v>NA</v>
      </c>
      <c r="BR914" s="646" t="str">
        <f t="shared" si="4630"/>
        <v>NA</v>
      </c>
      <c r="BS914" s="646" t="str">
        <f t="shared" si="4630"/>
        <v>NA</v>
      </c>
      <c r="BT914" s="646" t="str">
        <f t="shared" si="4630"/>
        <v>NA</v>
      </c>
      <c r="BU914" s="647" t="str">
        <f t="shared" si="4630"/>
        <v>NA</v>
      </c>
      <c r="BV914" s="646" t="str">
        <f t="shared" si="4630"/>
        <v>NA</v>
      </c>
      <c r="BW914" s="646" t="str">
        <f t="shared" si="4630"/>
        <v>NA</v>
      </c>
      <c r="BX914" s="646" t="str">
        <f t="shared" si="4630"/>
        <v>NA</v>
      </c>
      <c r="BY914" s="646" t="str">
        <f t="shared" si="4630"/>
        <v>NA</v>
      </c>
      <c r="BZ914" s="648" t="str">
        <f t="shared" si="4630"/>
        <v>NA</v>
      </c>
      <c r="CA914" s="646" t="str">
        <f t="shared" si="4630"/>
        <v>NA</v>
      </c>
      <c r="CB914" s="646" t="str">
        <f t="shared" si="4630"/>
        <v>NA</v>
      </c>
      <c r="CC914" s="646" t="str">
        <f t="shared" si="4630"/>
        <v>NA</v>
      </c>
      <c r="CD914" s="646" t="str">
        <f t="shared" si="4630"/>
        <v>NA</v>
      </c>
      <c r="CE914" s="648" t="str">
        <f t="shared" si="4630"/>
        <v>NA</v>
      </c>
      <c r="CF914" s="646" t="str">
        <f t="shared" si="4630"/>
        <v>NA</v>
      </c>
      <c r="CG914" s="646" t="str">
        <f t="shared" si="4630"/>
        <v>NA</v>
      </c>
      <c r="CH914" s="646" t="str">
        <f t="shared" si="4630"/>
        <v>NA</v>
      </c>
      <c r="CI914" s="646" t="str">
        <f t="shared" si="4630"/>
        <v>NA</v>
      </c>
      <c r="CJ914" s="648" t="str">
        <f t="shared" si="4630"/>
        <v>NA</v>
      </c>
      <c r="CK914" s="646" t="str">
        <f t="shared" si="4630"/>
        <v>NA</v>
      </c>
      <c r="CL914" s="646" t="str">
        <f t="shared" si="4630"/>
        <v>NA</v>
      </c>
      <c r="CM914" s="646" t="str">
        <f t="shared" si="4630"/>
        <v>NA</v>
      </c>
      <c r="CN914" s="649" t="str">
        <f t="shared" si="4630"/>
        <v>NA</v>
      </c>
      <c r="CO914" s="648" t="str">
        <f t="shared" si="4630"/>
        <v>NA</v>
      </c>
      <c r="CP914" s="649" t="str">
        <f t="shared" si="4630"/>
        <v>NA</v>
      </c>
      <c r="CQ914" s="646" t="str">
        <f t="shared" si="4630"/>
        <v>NA</v>
      </c>
      <c r="CR914" s="646" t="str">
        <f t="shared" si="4630"/>
        <v>NA</v>
      </c>
      <c r="CS914" s="646" t="str">
        <f t="shared" si="4630"/>
        <v>NA</v>
      </c>
      <c r="CT914" s="648" t="str">
        <f t="shared" si="4630"/>
        <v>NA</v>
      </c>
      <c r="CU914" s="646" t="str">
        <f t="shared" si="4630"/>
        <v>NA</v>
      </c>
      <c r="CV914" s="646" t="str">
        <f t="shared" si="4630"/>
        <v>NA</v>
      </c>
      <c r="CW914" s="646" t="str">
        <f t="shared" si="4630"/>
        <v>NA</v>
      </c>
      <c r="CX914" s="646" t="str">
        <f t="shared" si="4630"/>
        <v>NA</v>
      </c>
      <c r="CY914" s="648" t="str">
        <f t="shared" si="4630"/>
        <v>NA</v>
      </c>
      <c r="CZ914" s="646" t="str">
        <f t="shared" si="4630"/>
        <v>NA</v>
      </c>
      <c r="DA914" s="646" t="str">
        <f t="shared" si="4630"/>
        <v>NA</v>
      </c>
      <c r="DB914" s="646" t="str">
        <f t="shared" si="4630"/>
        <v>NA</v>
      </c>
      <c r="DC914" s="646" t="str">
        <f t="shared" si="4630"/>
        <v>NA</v>
      </c>
      <c r="DD914" s="648" t="str">
        <f t="shared" si="4630"/>
        <v>NA</v>
      </c>
      <c r="DE914" s="646" t="str">
        <f t="shared" si="4630"/>
        <v>NA</v>
      </c>
      <c r="DF914" s="646" t="str">
        <f t="shared" si="4630"/>
        <v>NA</v>
      </c>
      <c r="DG914" s="649" t="str">
        <f t="shared" si="4630"/>
        <v>NA</v>
      </c>
      <c r="DH914" s="646" t="str">
        <f t="shared" si="4630"/>
        <v>NA</v>
      </c>
      <c r="DI914" s="648" t="str">
        <f t="shared" si="4630"/>
        <v>NA</v>
      </c>
      <c r="DJ914" s="649" t="str">
        <f t="shared" si="4630"/>
        <v>NA</v>
      </c>
      <c r="DK914" s="649" t="str">
        <f t="shared" si="4630"/>
        <v>NA</v>
      </c>
      <c r="DL914" s="649" t="str">
        <f t="shared" si="4630"/>
        <v>NA</v>
      </c>
      <c r="DM914" s="646" t="str">
        <f t="shared" si="4630"/>
        <v>NA</v>
      </c>
      <c r="DN914" s="648" t="str">
        <f t="shared" si="4630"/>
        <v>NA</v>
      </c>
      <c r="DO914" s="646" t="str">
        <f t="shared" si="4630"/>
        <v>NA</v>
      </c>
      <c r="DP914" s="646" t="str">
        <f t="shared" si="4630"/>
        <v>NA</v>
      </c>
      <c r="DQ914" s="646" t="str">
        <f t="shared" si="4630"/>
        <v>NA</v>
      </c>
      <c r="DR914" s="646" t="str">
        <f t="shared" si="4630"/>
        <v>NA</v>
      </c>
      <c r="DS914" s="648" t="str">
        <f t="shared" si="4630"/>
        <v>NA</v>
      </c>
      <c r="DT914" s="646" t="str">
        <f t="shared" si="4630"/>
        <v>NA</v>
      </c>
      <c r="DU914" s="646" t="str">
        <f t="shared" si="4630"/>
        <v>NA</v>
      </c>
      <c r="DV914" s="646" t="str">
        <f t="shared" si="4630"/>
        <v>NA</v>
      </c>
      <c r="DW914" s="646" t="str">
        <f t="shared" si="4630"/>
        <v>NA</v>
      </c>
      <c r="DX914" s="648" t="str">
        <f t="shared" si="4630"/>
        <v>NA</v>
      </c>
      <c r="DY914" s="646" t="str">
        <f t="shared" si="4630"/>
        <v>NA</v>
      </c>
      <c r="DZ914" s="646" t="str">
        <f t="shared" si="4630"/>
        <v>NA</v>
      </c>
      <c r="EA914" s="646" t="str">
        <f t="shared" si="4630"/>
        <v>NA</v>
      </c>
      <c r="EB914" s="646" t="str">
        <f t="shared" si="4630"/>
        <v>NA</v>
      </c>
      <c r="EC914" s="648" t="str">
        <f t="shared" si="4630"/>
        <v>NA</v>
      </c>
      <c r="ED914" s="646" t="str">
        <f t="shared" si="4630"/>
        <v>NA</v>
      </c>
      <c r="EE914" s="646" t="str">
        <f t="shared" si="4630"/>
        <v>NA</v>
      </c>
      <c r="EF914" s="646" t="str">
        <f t="shared" si="4630"/>
        <v>NA</v>
      </c>
      <c r="EG914" s="646" t="str">
        <f t="shared" si="4630"/>
        <v>NA</v>
      </c>
      <c r="EH914" s="648" t="str">
        <f t="shared" si="4630"/>
        <v>NA</v>
      </c>
      <c r="EI914" s="650" t="str">
        <f t="shared" si="4630"/>
        <v>NA</v>
      </c>
      <c r="EJ914" s="646" t="str">
        <f t="shared" si="4630"/>
        <v>NA</v>
      </c>
      <c r="EK914" s="646" t="str">
        <f t="shared" si="4630"/>
        <v>NA</v>
      </c>
      <c r="EL914" s="646" t="str">
        <f t="shared" si="4630"/>
        <v>NA</v>
      </c>
      <c r="EM914" s="648" t="str">
        <f t="shared" si="4630"/>
        <v>NA</v>
      </c>
      <c r="EN914" s="646" t="str">
        <f t="shared" si="4630"/>
        <v>NA</v>
      </c>
      <c r="EO914" s="646" t="str">
        <f t="shared" si="4630"/>
        <v>NA</v>
      </c>
      <c r="EP914" s="646" t="str">
        <f t="shared" si="4630"/>
        <v>NA</v>
      </c>
      <c r="EQ914" s="646" t="str">
        <f t="shared" si="4630"/>
        <v>NA</v>
      </c>
      <c r="ER914" s="648" t="str">
        <f t="shared" si="4630"/>
        <v>NA</v>
      </c>
      <c r="ES914" s="646" t="str">
        <f t="shared" si="4630"/>
        <v>NA</v>
      </c>
      <c r="ET914" s="646" t="str">
        <f t="shared" si="4630"/>
        <v>NA</v>
      </c>
      <c r="EU914" s="646" t="str">
        <f t="shared" si="4630"/>
        <v>NA</v>
      </c>
      <c r="EV914" s="646" t="str">
        <f t="shared" si="4630"/>
        <v>NA</v>
      </c>
      <c r="EW914" s="648" t="str">
        <f t="shared" si="4630"/>
        <v>NA</v>
      </c>
      <c r="EX914" s="646" t="str">
        <f t="shared" si="4630"/>
        <v>NA</v>
      </c>
      <c r="EY914" s="646" t="str">
        <f t="shared" si="4630"/>
        <v>NA</v>
      </c>
      <c r="EZ914" s="646" t="str">
        <f t="shared" si="4630"/>
        <v>NA</v>
      </c>
      <c r="FA914" s="646" t="str">
        <f t="shared" si="4630"/>
        <v>NA</v>
      </c>
      <c r="FB914" s="648" t="str">
        <f t="shared" si="4630"/>
        <v>NA</v>
      </c>
      <c r="FC914" s="646" t="str">
        <f t="shared" si="4630"/>
        <v>NA</v>
      </c>
      <c r="FD914" s="646" t="str">
        <f t="shared" si="4630"/>
        <v>NA</v>
      </c>
      <c r="FE914" s="646" t="str">
        <f t="shared" si="4630"/>
        <v>NA</v>
      </c>
      <c r="FF914" s="646" t="str">
        <f t="shared" si="4630"/>
        <v>NA</v>
      </c>
      <c r="FG914" s="648" t="str">
        <f t="shared" si="4630"/>
        <v>NA</v>
      </c>
      <c r="FH914" s="651"/>
      <c r="FI914" s="646"/>
      <c r="FJ914" s="646"/>
      <c r="FK914" s="647"/>
      <c r="FL914" s="646"/>
    </row>
    <row r="915" ht="13.5" hidden="1" customHeight="1" outlineLevel="2">
      <c r="A915" s="4"/>
      <c r="B915" s="4" t="str">
        <f t="shared" si="4626"/>
        <v>ICG/All other</v>
      </c>
      <c r="C915" s="4"/>
      <c r="D915" s="652"/>
      <c r="E915" s="652"/>
      <c r="F915" s="652"/>
      <c r="G915" s="652"/>
      <c r="H915" s="309"/>
      <c r="I915" s="652"/>
      <c r="J915" s="652"/>
      <c r="K915" s="652"/>
      <c r="L915" s="652"/>
      <c r="M915" s="309"/>
      <c r="N915" s="652">
        <f t="shared" ref="N915:AS915" si="4631">N904/N857</f>
        <v>-0.146728972</v>
      </c>
      <c r="O915" s="652">
        <f t="shared" si="4631"/>
        <v>-0.06259097525</v>
      </c>
      <c r="P915" s="652">
        <f t="shared" si="4631"/>
        <v>-0.8634538153</v>
      </c>
      <c r="Q915" s="652">
        <f t="shared" si="4631"/>
        <v>-2.448484848</v>
      </c>
      <c r="R915" s="309">
        <f t="shared" si="4631"/>
        <v>-0.4272727273</v>
      </c>
      <c r="S915" s="652">
        <f t="shared" si="4631"/>
        <v>-0.4554896142</v>
      </c>
      <c r="T915" s="652">
        <f t="shared" si="4631"/>
        <v>0.01263689975</v>
      </c>
      <c r="U915" s="652">
        <f t="shared" si="4631"/>
        <v>-0.6367924528</v>
      </c>
      <c r="V915" s="652">
        <f t="shared" si="4631"/>
        <v>-0.4491593275</v>
      </c>
      <c r="W915" s="309">
        <f t="shared" si="4631"/>
        <v>-0.3470737913</v>
      </c>
      <c r="X915" s="652">
        <f t="shared" si="4631"/>
        <v>-0.3229461756</v>
      </c>
      <c r="Y915" s="652">
        <f t="shared" si="4631"/>
        <v>-0.3653471772</v>
      </c>
      <c r="Z915" s="652">
        <f t="shared" si="4631"/>
        <v>-0.2894270526</v>
      </c>
      <c r="AA915" s="652">
        <f t="shared" si="4631"/>
        <v>-0.3430578066</v>
      </c>
      <c r="AB915" s="309">
        <f t="shared" si="4631"/>
        <v>-0.3291336133</v>
      </c>
      <c r="AC915" s="652">
        <f t="shared" si="4631"/>
        <v>-0.6632124352</v>
      </c>
      <c r="AD915" s="652">
        <f t="shared" si="4631"/>
        <v>-1.018227009</v>
      </c>
      <c r="AE915" s="652">
        <f t="shared" si="4631"/>
        <v>-0.8151041667</v>
      </c>
      <c r="AF915" s="652">
        <f t="shared" si="4631"/>
        <v>-0.6764705882</v>
      </c>
      <c r="AG915" s="309">
        <f t="shared" si="4631"/>
        <v>-0.7846063224</v>
      </c>
      <c r="AH915" s="652">
        <f t="shared" si="4631"/>
        <v>-0.482230997</v>
      </c>
      <c r="AI915" s="652">
        <f t="shared" si="4631"/>
        <v>-0.6622965642</v>
      </c>
      <c r="AJ915" s="652">
        <f t="shared" si="4631"/>
        <v>-0.4115770283</v>
      </c>
      <c r="AK915" s="652">
        <f t="shared" si="4631"/>
        <v>-0.4358766234</v>
      </c>
      <c r="AL915" s="309">
        <f t="shared" si="4631"/>
        <v>-0.4967401079</v>
      </c>
      <c r="AM915" s="652">
        <f t="shared" si="4631"/>
        <v>-0.5368314834</v>
      </c>
      <c r="AN915" s="652">
        <f t="shared" si="4631"/>
        <v>-0.5747711089</v>
      </c>
      <c r="AO915" s="652">
        <f t="shared" si="4631"/>
        <v>-0.6140703518</v>
      </c>
      <c r="AP915" s="652">
        <f t="shared" si="4631"/>
        <v>-1.093457944</v>
      </c>
      <c r="AQ915" s="309">
        <f t="shared" si="4631"/>
        <v>-0.712552612</v>
      </c>
      <c r="AR915" s="652">
        <f t="shared" si="4631"/>
        <v>-0.5056285178</v>
      </c>
      <c r="AS915" s="652">
        <f t="shared" si="4631"/>
        <v>-0.3192156863</v>
      </c>
      <c r="AT915" s="652">
        <f t="shared" ref="AT915:AU915" si="4632">IF(ABS(AT904/AT857)&gt;2,"NA",AT904/AT857)</f>
        <v>-0.3128282071</v>
      </c>
      <c r="AU915" s="652">
        <f t="shared" si="4632"/>
        <v>-0.4269005848</v>
      </c>
      <c r="AV915" s="309">
        <f t="shared" ref="AV915:AV916" si="4659">AV904/AV857</f>
        <v>-0.3861562872</v>
      </c>
      <c r="AW915" s="652" t="str">
        <f t="shared" ref="AW915:AZ915" si="4633">IF(ABS(AW904/AW857)&gt;2,"NA",AW904/AW857)</f>
        <v>#ERROR!</v>
      </c>
      <c r="AX915" s="652" t="str">
        <f t="shared" si="4633"/>
        <v>#ERROR!</v>
      </c>
      <c r="AY915" s="652" t="str">
        <f t="shared" si="4633"/>
        <v>#ERROR!</v>
      </c>
      <c r="AZ915" s="652" t="str">
        <f t="shared" si="4633"/>
        <v>#ERROR!</v>
      </c>
      <c r="BA915" s="309" t="str">
        <f t="shared" ref="BA915:BA916" si="4661">BA904/BA857</f>
        <v>#ERROR!</v>
      </c>
      <c r="BB915" s="652" t="str">
        <f t="shared" ref="BB915:BE915" si="4634">IF(ABS(BB904/BB857)&gt;2,"NA",BB904/BB857)</f>
        <v>#ERROR!</v>
      </c>
      <c r="BC915" s="652" t="str">
        <f t="shared" si="4634"/>
        <v>#ERROR!</v>
      </c>
      <c r="BD915" s="652" t="str">
        <f t="shared" si="4634"/>
        <v>#ERROR!</v>
      </c>
      <c r="BE915" s="652" t="str">
        <f t="shared" si="4634"/>
        <v>#ERROR!</v>
      </c>
      <c r="BF915" s="309" t="str">
        <f t="shared" ref="BF915:BF916" si="4663">BF904/BF857</f>
        <v>#ERROR!</v>
      </c>
      <c r="BG915" s="652" t="str">
        <f t="shared" ref="BG915:BJ915" si="4635">IF(ABS(BG904/BG857)&gt;2,"NA",BG904/BG857)</f>
        <v>#ERROR!</v>
      </c>
      <c r="BH915" s="652" t="str">
        <f t="shared" si="4635"/>
        <v>#ERROR!</v>
      </c>
      <c r="BI915" s="652" t="str">
        <f t="shared" si="4635"/>
        <v>#ERROR!</v>
      </c>
      <c r="BJ915" s="652" t="str">
        <f t="shared" si="4635"/>
        <v>#ERROR!</v>
      </c>
      <c r="BK915" s="309" t="str">
        <f t="shared" ref="BK915:BK916" si="4665">BK904/BK857</f>
        <v>#ERROR!</v>
      </c>
      <c r="BL915" s="652" t="str">
        <f t="shared" ref="BL915:BO915" si="4636">IF(ABS(BL904/BL857)&gt;2,"NA",BL904/BL857)</f>
        <v>#ERROR!</v>
      </c>
      <c r="BM915" s="652" t="str">
        <f t="shared" si="4636"/>
        <v>#ERROR!</v>
      </c>
      <c r="BN915" s="652" t="str">
        <f t="shared" si="4636"/>
        <v>#ERROR!</v>
      </c>
      <c r="BO915" s="652" t="str">
        <f t="shared" si="4636"/>
        <v>#ERROR!</v>
      </c>
      <c r="BP915" s="309" t="str">
        <f t="shared" ref="BP915:BP916" si="4667">BP904/BP857</f>
        <v>#ERROR!</v>
      </c>
      <c r="BQ915" s="652" t="str">
        <f t="shared" ref="BQ915:BT915" si="4637">IF(ABS(BQ904/BQ857)&gt;2,"NA",BQ904/BQ857)</f>
        <v>#ERROR!</v>
      </c>
      <c r="BR915" s="652" t="str">
        <f t="shared" si="4637"/>
        <v>#ERROR!</v>
      </c>
      <c r="BS915" s="652">
        <f t="shared" si="4637"/>
        <v>-0.1243162606</v>
      </c>
      <c r="BT915" s="652" t="str">
        <f t="shared" si="4637"/>
        <v>#ERROR!</v>
      </c>
      <c r="BU915" s="309" t="str">
        <f t="shared" ref="BU915:BU916" si="4669">BU904/BU857</f>
        <v>#ERROR!</v>
      </c>
      <c r="BV915" s="652" t="str">
        <f t="shared" ref="BV915:BY915" si="4638">IF(ABS(BV904/BV857)&gt;2,"NA",BV904/BV857)</f>
        <v>#ERROR!</v>
      </c>
      <c r="BW915" s="652" t="str">
        <f t="shared" si="4638"/>
        <v>#ERROR!</v>
      </c>
      <c r="BX915" s="652" t="str">
        <f t="shared" si="4638"/>
        <v>#ERROR!</v>
      </c>
      <c r="BY915" s="652" t="str">
        <f t="shared" si="4638"/>
        <v>#ERROR!</v>
      </c>
      <c r="BZ915" s="37" t="str">
        <f t="shared" ref="BZ915:BZ916" si="4671">BZ904/BZ857</f>
        <v>#ERROR!</v>
      </c>
      <c r="CA915" s="652" t="str">
        <f t="shared" ref="CA915:CD915" si="4639">IF(ABS(CA904/CA857)&gt;2,"NA",CA904/CA857)</f>
        <v>#ERROR!</v>
      </c>
      <c r="CB915" s="652" t="str">
        <f t="shared" si="4639"/>
        <v>#ERROR!</v>
      </c>
      <c r="CC915" s="652" t="str">
        <f t="shared" si="4639"/>
        <v>#ERROR!</v>
      </c>
      <c r="CD915" s="652" t="str">
        <f t="shared" si="4639"/>
        <v>#ERROR!</v>
      </c>
      <c r="CE915" s="37" t="str">
        <f t="shared" ref="CE915:CE916" si="4673">CE904/CE857</f>
        <v>#ERROR!</v>
      </c>
      <c r="CF915" s="652" t="str">
        <f t="shared" ref="CF915:CI915" si="4640">IF(ABS(CF904/CF857)&gt;2,"NA",CF904/CF857)</f>
        <v>#ERROR!</v>
      </c>
      <c r="CG915" s="652" t="str">
        <f t="shared" si="4640"/>
        <v>#ERROR!</v>
      </c>
      <c r="CH915" s="652" t="str">
        <f t="shared" si="4640"/>
        <v>#ERROR!</v>
      </c>
      <c r="CI915" s="652" t="str">
        <f t="shared" si="4640"/>
        <v>#ERROR!</v>
      </c>
      <c r="CJ915" s="37" t="str">
        <f t="shared" ref="CJ915:CJ916" si="4675">CJ904/CJ857</f>
        <v>#ERROR!</v>
      </c>
      <c r="CK915" s="652" t="str">
        <f t="shared" ref="CK915:CN915" si="4641">IF(ABS(CK904/CK857)&gt;2,"NA",CK904/CK857)</f>
        <v>#ERROR!</v>
      </c>
      <c r="CL915" s="652" t="str">
        <f t="shared" si="4641"/>
        <v>#ERROR!</v>
      </c>
      <c r="CM915" s="652" t="str">
        <f t="shared" si="4641"/>
        <v>#ERROR!</v>
      </c>
      <c r="CN915" s="653" t="str">
        <f t="shared" si="4641"/>
        <v>#ERROR!</v>
      </c>
      <c r="CO915" s="37" t="str">
        <f t="shared" ref="CO915:CO916" si="4677">CO904/CO857</f>
        <v>#ERROR!</v>
      </c>
      <c r="CP915" s="653" t="str">
        <f t="shared" ref="CP915:CS915" si="4642">IF(ABS(CP904/CP857)&gt;2,"NA",CP904/CP857)</f>
        <v>#ERROR!</v>
      </c>
      <c r="CQ915" s="652" t="str">
        <f t="shared" si="4642"/>
        <v>#ERROR!</v>
      </c>
      <c r="CR915" s="652" t="str">
        <f t="shared" si="4642"/>
        <v>#ERROR!</v>
      </c>
      <c r="CS915" s="652" t="str">
        <f t="shared" si="4642"/>
        <v>#ERROR!</v>
      </c>
      <c r="CT915" s="37" t="str">
        <f t="shared" ref="CT915:CT916" si="4679">CT904/CT857</f>
        <v>#ERROR!</v>
      </c>
      <c r="CU915" s="652" t="str">
        <f t="shared" ref="CU915:CX915" si="4643">IF(ABS(CU904/CU857)&gt;2,"NA",CU904/CU857)</f>
        <v>#ERROR!</v>
      </c>
      <c r="CV915" s="652" t="str">
        <f t="shared" si="4643"/>
        <v>#ERROR!</v>
      </c>
      <c r="CW915" s="652" t="str">
        <f t="shared" si="4643"/>
        <v>#ERROR!</v>
      </c>
      <c r="CX915" s="652" t="str">
        <f t="shared" si="4643"/>
        <v>#ERROR!</v>
      </c>
      <c r="CY915" s="37" t="str">
        <f t="shared" ref="CY915:CY916" si="4681">CY904/CY857</f>
        <v>#ERROR!</v>
      </c>
      <c r="CZ915" s="652" t="str">
        <f t="shared" ref="CZ915:DC915" si="4644">IF(ABS(CZ904/CZ857)&gt;2,"NA",CZ904/CZ857)</f>
        <v>#ERROR!</v>
      </c>
      <c r="DA915" s="652" t="str">
        <f t="shared" si="4644"/>
        <v>#ERROR!</v>
      </c>
      <c r="DB915" s="652" t="str">
        <f t="shared" si="4644"/>
        <v>#ERROR!</v>
      </c>
      <c r="DC915" s="652" t="str">
        <f t="shared" si="4644"/>
        <v>#ERROR!</v>
      </c>
      <c r="DD915" s="37" t="str">
        <f t="shared" ref="DD915:DD916" si="4683">DD904/DD857</f>
        <v>#ERROR!</v>
      </c>
      <c r="DE915" s="652" t="str">
        <f t="shared" ref="DE915:DH915" si="4645">IF(ABS(DE904/DE857)&gt;2,"NA",DE904/DE857)</f>
        <v>#ERROR!</v>
      </c>
      <c r="DF915" s="652" t="str">
        <f t="shared" si="4645"/>
        <v>#ERROR!</v>
      </c>
      <c r="DG915" s="653" t="str">
        <f t="shared" si="4645"/>
        <v>#ERROR!</v>
      </c>
      <c r="DH915" s="652" t="str">
        <f t="shared" si="4645"/>
        <v>#ERROR!</v>
      </c>
      <c r="DI915" s="37" t="str">
        <f t="shared" ref="DI915:DI916" si="4685">DI904/DI857</f>
        <v>#ERROR!</v>
      </c>
      <c r="DJ915" s="653" t="str">
        <f t="shared" ref="DJ915:DM915" si="4646">IF(ABS(DJ904/DJ857)&gt;2,"NA",DJ904/DJ857)</f>
        <v>#ERROR!</v>
      </c>
      <c r="DK915" s="653" t="str">
        <f t="shared" si="4646"/>
        <v>#ERROR!</v>
      </c>
      <c r="DL915" s="653" t="str">
        <f t="shared" si="4646"/>
        <v>#ERROR!</v>
      </c>
      <c r="DM915" s="652" t="str">
        <f t="shared" si="4646"/>
        <v>#ERROR!</v>
      </c>
      <c r="DN915" s="37" t="str">
        <f t="shared" ref="DN915:DN916" si="4687">DN904/DN857</f>
        <v>#ERROR!</v>
      </c>
      <c r="DO915" s="652" t="str">
        <f t="shared" ref="DO915:DR915" si="4647">IF(ABS(DO904/DO857)&gt;2,"NA",DO904/DO857)</f>
        <v>#ERROR!</v>
      </c>
      <c r="DP915" s="652" t="str">
        <f t="shared" si="4647"/>
        <v>#ERROR!</v>
      </c>
      <c r="DQ915" s="652" t="str">
        <f t="shared" si="4647"/>
        <v>#ERROR!</v>
      </c>
      <c r="DR915" s="652" t="str">
        <f t="shared" si="4647"/>
        <v>#ERROR!</v>
      </c>
      <c r="DS915" s="37" t="str">
        <f t="shared" ref="DS915:DS916" si="4689">DS904/DS857</f>
        <v>#ERROR!</v>
      </c>
      <c r="DT915" s="652" t="str">
        <f t="shared" ref="DT915:DW915" si="4648">IF(ABS(DT904/DT857)&gt;2,"NA",DT904/DT857)</f>
        <v>#ERROR!</v>
      </c>
      <c r="DU915" s="652" t="str">
        <f t="shared" si="4648"/>
        <v>#ERROR!</v>
      </c>
      <c r="DV915" s="652" t="str">
        <f t="shared" si="4648"/>
        <v>#ERROR!</v>
      </c>
      <c r="DW915" s="652" t="str">
        <f t="shared" si="4648"/>
        <v>#ERROR!</v>
      </c>
      <c r="DX915" s="37" t="str">
        <f t="shared" ref="DX915:DX916" si="4691">DX904/DX857</f>
        <v>#ERROR!</v>
      </c>
      <c r="DY915" s="652" t="str">
        <f t="shared" ref="DY915:EB915" si="4649">IF(ABS(DY904/DY857)&gt;2,"NA",DY904/DY857)</f>
        <v>#ERROR!</v>
      </c>
      <c r="DZ915" s="652" t="str">
        <f t="shared" si="4649"/>
        <v>#ERROR!</v>
      </c>
      <c r="EA915" s="652" t="str">
        <f t="shared" si="4649"/>
        <v>#ERROR!</v>
      </c>
      <c r="EB915" s="652" t="str">
        <f t="shared" si="4649"/>
        <v>#ERROR!</v>
      </c>
      <c r="EC915" s="37" t="str">
        <f t="shared" ref="EC915:EC916" si="4693">EC904/EC857</f>
        <v>#ERROR!</v>
      </c>
      <c r="ED915" s="652" t="str">
        <f t="shared" ref="ED915:EG915" si="4650">IF(ABS(ED904/ED857)&gt;2,"NA",ED904/ED857)</f>
        <v>#ERROR!</v>
      </c>
      <c r="EE915" s="652" t="str">
        <f t="shared" si="4650"/>
        <v>#ERROR!</v>
      </c>
      <c r="EF915" s="652" t="str">
        <f t="shared" si="4650"/>
        <v>#ERROR!</v>
      </c>
      <c r="EG915" s="652" t="str">
        <f t="shared" si="4650"/>
        <v>#ERROR!</v>
      </c>
      <c r="EH915" s="37" t="str">
        <f t="shared" ref="EH915:EH916" si="4695">EH904/EH857</f>
        <v>#ERROR!</v>
      </c>
      <c r="EI915" s="654" t="str">
        <f t="shared" ref="EI915:EL915" si="4651">IF(ABS(EI904/EI857)&gt;2,"NA",EI904/EI857)</f>
        <v>#ERROR!</v>
      </c>
      <c r="EJ915" s="652" t="str">
        <f t="shared" si="4651"/>
        <v>#ERROR!</v>
      </c>
      <c r="EK915" s="652" t="str">
        <f t="shared" si="4651"/>
        <v>#ERROR!</v>
      </c>
      <c r="EL915" s="652" t="str">
        <f t="shared" si="4651"/>
        <v>#ERROR!</v>
      </c>
      <c r="EM915" s="37" t="str">
        <f t="shared" ref="EM915:EM916" si="4697">EM904/EM857</f>
        <v>#ERROR!</v>
      </c>
      <c r="EN915" s="652" t="str">
        <f t="shared" ref="EN915:EQ915" si="4652">IF(ABS(EN904/EN857)&gt;2,"NA",EN904/EN857)</f>
        <v>#ERROR!</v>
      </c>
      <c r="EO915" s="652" t="str">
        <f t="shared" si="4652"/>
        <v>#ERROR!</v>
      </c>
      <c r="EP915" s="652" t="str">
        <f t="shared" si="4652"/>
        <v>#ERROR!</v>
      </c>
      <c r="EQ915" s="652" t="str">
        <f t="shared" si="4652"/>
        <v>#ERROR!</v>
      </c>
      <c r="ER915" s="37" t="str">
        <f t="shared" ref="ER915:ER916" si="4699">ER904/ER857</f>
        <v>#ERROR!</v>
      </c>
      <c r="ES915" s="652" t="str">
        <f t="shared" ref="ES915:EV915" si="4653">IF(ABS(ES904/ES857)&gt;2,"NA",ES904/ES857)</f>
        <v>#ERROR!</v>
      </c>
      <c r="ET915" s="652" t="str">
        <f t="shared" si="4653"/>
        <v>#ERROR!</v>
      </c>
      <c r="EU915" s="652" t="str">
        <f t="shared" si="4653"/>
        <v>#ERROR!</v>
      </c>
      <c r="EV915" s="652" t="str">
        <f t="shared" si="4653"/>
        <v>#ERROR!</v>
      </c>
      <c r="EW915" s="37" t="str">
        <f t="shared" ref="EW915:EW916" si="4701">EW904/EW857</f>
        <v>#ERROR!</v>
      </c>
      <c r="EX915" s="652" t="str">
        <f t="shared" ref="EX915:FA915" si="4654">IF(ABS(EX904/EX857)&gt;2,"NA",EX904/EX857)</f>
        <v>#ERROR!</v>
      </c>
      <c r="EY915" s="652" t="str">
        <f t="shared" si="4654"/>
        <v>#ERROR!</v>
      </c>
      <c r="EZ915" s="652" t="str">
        <f t="shared" si="4654"/>
        <v>#ERROR!</v>
      </c>
      <c r="FA915" s="652" t="str">
        <f t="shared" si="4654"/>
        <v>#ERROR!</v>
      </c>
      <c r="FB915" s="37" t="str">
        <f t="shared" ref="FB915:FB916" si="4703">FB904/FB857</f>
        <v>#ERROR!</v>
      </c>
      <c r="FC915" s="652" t="str">
        <f t="shared" ref="FC915:FF915" si="4655">IF(ABS(FC904/FC857)&gt;2,"NA",FC904/FC857)</f>
        <v>#ERROR!</v>
      </c>
      <c r="FD915" s="652" t="str">
        <f t="shared" si="4655"/>
        <v>#ERROR!</v>
      </c>
      <c r="FE915" s="652" t="str">
        <f t="shared" si="4655"/>
        <v>#ERROR!</v>
      </c>
      <c r="FF915" s="652" t="str">
        <f t="shared" si="4655"/>
        <v>#ERROR!</v>
      </c>
      <c r="FG915" s="37" t="str">
        <f t="shared" ref="FG915:FG916" si="4705">FG904/FG857</f>
        <v>#ERROR!</v>
      </c>
      <c r="FH915" s="35"/>
      <c r="FI915" s="652"/>
      <c r="FJ915" s="652"/>
      <c r="FK915" s="309"/>
      <c r="FL915" s="652"/>
    </row>
    <row r="916" ht="13.5" hidden="1" customHeight="1" outlineLevel="2">
      <c r="A916" s="326"/>
      <c r="B916" s="529" t="s">
        <v>338</v>
      </c>
      <c r="C916" s="529"/>
      <c r="D916" s="655"/>
      <c r="E916" s="655"/>
      <c r="F916" s="655"/>
      <c r="G916" s="655"/>
      <c r="H916" s="655"/>
      <c r="I916" s="655"/>
      <c r="J916" s="655"/>
      <c r="K916" s="655"/>
      <c r="L916" s="655"/>
      <c r="M916" s="655"/>
      <c r="N916" s="655"/>
      <c r="O916" s="655"/>
      <c r="P916" s="655"/>
      <c r="Q916" s="655"/>
      <c r="R916" s="655"/>
      <c r="S916" s="655"/>
      <c r="T916" s="655"/>
      <c r="U916" s="655"/>
      <c r="V916" s="655"/>
      <c r="W916" s="655">
        <f t="shared" ref="W916:AN916" si="4656">W905/W858</f>
        <v>0.3323352275</v>
      </c>
      <c r="X916" s="655">
        <f t="shared" si="4656"/>
        <v>0.3195295884</v>
      </c>
      <c r="Y916" s="655">
        <f t="shared" si="4656"/>
        <v>0.2901204819</v>
      </c>
      <c r="Z916" s="655">
        <f t="shared" si="4656"/>
        <v>0.3272248311</v>
      </c>
      <c r="AA916" s="655">
        <f t="shared" si="4656"/>
        <v>0.2960239026</v>
      </c>
      <c r="AB916" s="655">
        <f t="shared" si="4656"/>
        <v>0.3082191781</v>
      </c>
      <c r="AC916" s="655">
        <f t="shared" si="4656"/>
        <v>0.096150966</v>
      </c>
      <c r="AD916" s="655">
        <f t="shared" si="4656"/>
        <v>0.03394379539</v>
      </c>
      <c r="AE916" s="655">
        <f t="shared" si="4656"/>
        <v>0.05943468296</v>
      </c>
      <c r="AF916" s="655">
        <f t="shared" si="4656"/>
        <v>0.1444937706</v>
      </c>
      <c r="AG916" s="655">
        <f t="shared" si="4656"/>
        <v>0.08500697087</v>
      </c>
      <c r="AH916" s="655">
        <f t="shared" si="4656"/>
        <v>0.194440348</v>
      </c>
      <c r="AI916" s="655">
        <f t="shared" si="4656"/>
        <v>0.1008862162</v>
      </c>
      <c r="AJ916" s="655">
        <f t="shared" si="4656"/>
        <v>0.1479858549</v>
      </c>
      <c r="AK916" s="655">
        <f t="shared" si="4656"/>
        <v>0.2044692737</v>
      </c>
      <c r="AL916" s="655">
        <f t="shared" si="4656"/>
        <v>0.1637460768</v>
      </c>
      <c r="AM916" s="655">
        <f t="shared" si="4656"/>
        <v>0.2038216561</v>
      </c>
      <c r="AN916" s="655">
        <f t="shared" si="4656"/>
        <v>0.1872065728</v>
      </c>
      <c r="AO916" s="655">
        <f t="shared" ref="AO916:AP916" si="4657">IF(ABS(AO905/AO858)&gt;2,"NA",AO905/AO858)</f>
        <v>0.2941401762</v>
      </c>
      <c r="AP916" s="655">
        <f t="shared" si="4657"/>
        <v>0.2931014758</v>
      </c>
      <c r="AQ916" s="655">
        <f>AQ905/AQ858</f>
        <v>0.2494276899</v>
      </c>
      <c r="AR916" s="655">
        <f t="shared" ref="AR916:AU916" si="4658">IF(ABS(AR905/AR858)&gt;2,"NA",AR905/AR858)</f>
        <v>0.3060190335</v>
      </c>
      <c r="AS916" s="655">
        <f t="shared" si="4658"/>
        <v>0.2958131445</v>
      </c>
      <c r="AT916" s="655">
        <f t="shared" si="4658"/>
        <v>0.2801322158</v>
      </c>
      <c r="AU916" s="655">
        <f t="shared" si="4658"/>
        <v>0.3021462805</v>
      </c>
      <c r="AV916" s="655">
        <f t="shared" si="4659"/>
        <v>0.2961209039</v>
      </c>
      <c r="AW916" s="655" t="str">
        <f t="shared" ref="AW916:AZ916" si="4660">IF(ABS(AW905/AW858)&gt;2,"NA",AW905/AW858)</f>
        <v>#ERROR!</v>
      </c>
      <c r="AX916" s="655" t="str">
        <f t="shared" si="4660"/>
        <v>#ERROR!</v>
      </c>
      <c r="AY916" s="655" t="str">
        <f t="shared" si="4660"/>
        <v>#ERROR!</v>
      </c>
      <c r="AZ916" s="655" t="str">
        <f t="shared" si="4660"/>
        <v>#ERROR!</v>
      </c>
      <c r="BA916" s="655" t="str">
        <f t="shared" si="4661"/>
        <v>#ERROR!</v>
      </c>
      <c r="BB916" s="655" t="str">
        <f t="shared" ref="BB916:BE916" si="4662">IF(ABS(BB905/BB858)&gt;2,"NA",BB905/BB858)</f>
        <v>#ERROR!</v>
      </c>
      <c r="BC916" s="655" t="str">
        <f t="shared" si="4662"/>
        <v>#ERROR!</v>
      </c>
      <c r="BD916" s="655" t="str">
        <f t="shared" si="4662"/>
        <v>#ERROR!</v>
      </c>
      <c r="BE916" s="655" t="str">
        <f t="shared" si="4662"/>
        <v>#ERROR!</v>
      </c>
      <c r="BF916" s="655">
        <f t="shared" si="4663"/>
        <v>0.1597422418</v>
      </c>
      <c r="BG916" s="655" t="str">
        <f t="shared" ref="BG916:BJ916" si="4664">IF(ABS(BG905/BG858)&gt;2,"NA",BG905/BG858)</f>
        <v>#ERROR!</v>
      </c>
      <c r="BH916" s="655" t="str">
        <f t="shared" si="4664"/>
        <v>#ERROR!</v>
      </c>
      <c r="BI916" s="655" t="str">
        <f t="shared" si="4664"/>
        <v>#ERROR!</v>
      </c>
      <c r="BJ916" s="655" t="str">
        <f t="shared" si="4664"/>
        <v>#ERROR!</v>
      </c>
      <c r="BK916" s="655">
        <f t="shared" si="4665"/>
        <v>0.2172744822</v>
      </c>
      <c r="BL916" s="655" t="str">
        <f t="shared" ref="BL916:BO916" si="4666">IF(ABS(BL905/BL858)&gt;2,"NA",BL905/BL858)</f>
        <v>#ERROR!</v>
      </c>
      <c r="BM916" s="655" t="str">
        <f t="shared" si="4666"/>
        <v>#ERROR!</v>
      </c>
      <c r="BN916" s="655" t="str">
        <f t="shared" si="4666"/>
        <v>#ERROR!</v>
      </c>
      <c r="BO916" s="655" t="str">
        <f t="shared" si="4666"/>
        <v>#ERROR!</v>
      </c>
      <c r="BP916" s="655">
        <f t="shared" si="4667"/>
        <v>0.2382269994</v>
      </c>
      <c r="BQ916" s="655" t="str">
        <f t="shared" ref="BQ916:BT916" si="4668">IF(ABS(BQ905/BQ858)&gt;2,"NA",BQ905/BQ858)</f>
        <v>#ERROR!</v>
      </c>
      <c r="BR916" s="655" t="str">
        <f t="shared" si="4668"/>
        <v>#ERROR!</v>
      </c>
      <c r="BS916" s="655" t="str">
        <f t="shared" si="4668"/>
        <v>#ERROR!</v>
      </c>
      <c r="BT916" s="655" t="str">
        <f t="shared" si="4668"/>
        <v>#ERROR!</v>
      </c>
      <c r="BU916" s="655">
        <f t="shared" si="4669"/>
        <v>0.2393600364</v>
      </c>
      <c r="BV916" s="655" t="str">
        <f t="shared" ref="BV916:BY916" si="4670">IF(ABS(BV905/BV858)&gt;2,"NA",BV905/BV858)</f>
        <v>#ERROR!</v>
      </c>
      <c r="BW916" s="655" t="str">
        <f t="shared" si="4670"/>
        <v>#ERROR!</v>
      </c>
      <c r="BX916" s="655" t="str">
        <f t="shared" si="4670"/>
        <v>#ERROR!</v>
      </c>
      <c r="BY916" s="655" t="str">
        <f t="shared" si="4670"/>
        <v>#ERROR!</v>
      </c>
      <c r="BZ916" s="656">
        <f t="shared" si="4671"/>
        <v>0.3573344337</v>
      </c>
      <c r="CA916" s="655" t="str">
        <f t="shared" ref="CA916:CD916" si="4672">IF(ABS(CA905/CA858)&gt;2,"NA",CA905/CA858)</f>
        <v>#ERROR!</v>
      </c>
      <c r="CB916" s="655" t="str">
        <f t="shared" si="4672"/>
        <v>#ERROR!</v>
      </c>
      <c r="CC916" s="655" t="str">
        <f t="shared" si="4672"/>
        <v>#ERROR!</v>
      </c>
      <c r="CD916" s="655" t="str">
        <f t="shared" si="4672"/>
        <v>#ERROR!</v>
      </c>
      <c r="CE916" s="656">
        <f t="shared" si="4673"/>
        <v>0.3236541417</v>
      </c>
      <c r="CF916" s="655" t="str">
        <f t="shared" ref="CF916:CI916" si="4674">IF(ABS(CF905/CF858)&gt;2,"NA",CF905/CF858)</f>
        <v>#ERROR!</v>
      </c>
      <c r="CG916" s="655" t="str">
        <f t="shared" si="4674"/>
        <v>#ERROR!</v>
      </c>
      <c r="CH916" s="655" t="str">
        <f t="shared" si="4674"/>
        <v>#ERROR!</v>
      </c>
      <c r="CI916" s="655" t="str">
        <f t="shared" si="4674"/>
        <v>#ERROR!</v>
      </c>
      <c r="CJ916" s="656">
        <f t="shared" si="4675"/>
        <v>0.2744230517</v>
      </c>
      <c r="CK916" s="655" t="str">
        <f t="shared" ref="CK916:CN916" si="4676">IF(ABS(CK905/CK858)&gt;2,"NA",CK905/CK858)</f>
        <v>#ERROR!</v>
      </c>
      <c r="CL916" s="655" t="str">
        <f t="shared" si="4676"/>
        <v>#ERROR!</v>
      </c>
      <c r="CM916" s="655" t="str">
        <f t="shared" si="4676"/>
        <v>#ERROR!</v>
      </c>
      <c r="CN916" s="657" t="str">
        <f t="shared" si="4676"/>
        <v>#ERROR!</v>
      </c>
      <c r="CO916" s="656">
        <f t="shared" si="4677"/>
        <v>0.2331904075</v>
      </c>
      <c r="CP916" s="657" t="str">
        <f t="shared" ref="CP916:CS916" si="4678">IF(ABS(CP905/CP858)&gt;2,"NA",CP905/CP858)</f>
        <v>#ERROR!</v>
      </c>
      <c r="CQ916" s="655" t="str">
        <f t="shared" si="4678"/>
        <v>#ERROR!</v>
      </c>
      <c r="CR916" s="655" t="str">
        <f t="shared" si="4678"/>
        <v>#ERROR!</v>
      </c>
      <c r="CS916" s="655" t="str">
        <f t="shared" si="4678"/>
        <v>#ERROR!</v>
      </c>
      <c r="CT916" s="656">
        <f t="shared" si="4679"/>
        <v>0.2751029175</v>
      </c>
      <c r="CU916" s="655" t="str">
        <f t="shared" ref="CU916:CX916" si="4680">IF(ABS(CU905/CU858)&gt;2,"NA",CU905/CU858)</f>
        <v>#ERROR!</v>
      </c>
      <c r="CV916" s="655" t="str">
        <f t="shared" si="4680"/>
        <v>#ERROR!</v>
      </c>
      <c r="CW916" s="655" t="str">
        <f t="shared" si="4680"/>
        <v>#ERROR!</v>
      </c>
      <c r="CX916" s="655" t="str">
        <f t="shared" si="4680"/>
        <v>#ERROR!</v>
      </c>
      <c r="CY916" s="656">
        <f t="shared" si="4681"/>
        <v>0.2529491464</v>
      </c>
      <c r="CZ916" s="655" t="str">
        <f t="shared" ref="CZ916:DC916" si="4682">IF(ABS(CZ905/CZ858)&gt;2,"NA",CZ905/CZ858)</f>
        <v>#ERROR!</v>
      </c>
      <c r="DA916" s="655" t="str">
        <f t="shared" si="4682"/>
        <v>#ERROR!</v>
      </c>
      <c r="DB916" s="655" t="str">
        <f t="shared" si="4682"/>
        <v>#ERROR!</v>
      </c>
      <c r="DC916" s="655" t="str">
        <f t="shared" si="4682"/>
        <v>#ERROR!</v>
      </c>
      <c r="DD916" s="656">
        <f t="shared" si="4683"/>
        <v>0.2164206704</v>
      </c>
      <c r="DE916" s="655" t="str">
        <f t="shared" ref="DE916:DH916" si="4684">IF(ABS(DE905/DE858)&gt;2,"NA",DE905/DE858)</f>
        <v>#ERROR!</v>
      </c>
      <c r="DF916" s="655" t="str">
        <f t="shared" si="4684"/>
        <v>#ERROR!</v>
      </c>
      <c r="DG916" s="651" t="str">
        <f t="shared" si="4684"/>
        <v>#ERROR!</v>
      </c>
      <c r="DH916" s="655" t="str">
        <f t="shared" si="4684"/>
        <v>#ERROR!</v>
      </c>
      <c r="DI916" s="656">
        <f t="shared" si="4685"/>
        <v>0.285782572</v>
      </c>
      <c r="DJ916" s="657" t="str">
        <f t="shared" ref="DJ916:DM916" si="4686">IF(ABS(DJ905/DJ858)&gt;2,"NA",DJ905/DJ858)</f>
        <v>#ERROR!</v>
      </c>
      <c r="DK916" s="657" t="str">
        <f t="shared" si="4686"/>
        <v>#ERROR!</v>
      </c>
      <c r="DL916" s="657" t="str">
        <f t="shared" si="4686"/>
        <v>#ERROR!</v>
      </c>
      <c r="DM916" s="655" t="str">
        <f t="shared" si="4686"/>
        <v>#ERROR!</v>
      </c>
      <c r="DN916" s="656">
        <f t="shared" si="4687"/>
        <v>0.329098916</v>
      </c>
      <c r="DO916" s="655" t="str">
        <f t="shared" ref="DO916:DR916" si="4688">IF(ABS(DO905/DO858)&gt;2,"NA",DO905/DO858)</f>
        <v>#ERROR!</v>
      </c>
      <c r="DP916" s="655" t="str">
        <f t="shared" si="4688"/>
        <v>#ERROR!</v>
      </c>
      <c r="DQ916" s="655" t="str">
        <f t="shared" si="4688"/>
        <v>#ERROR!</v>
      </c>
      <c r="DR916" s="655" t="str">
        <f t="shared" si="4688"/>
        <v>#ERROR!</v>
      </c>
      <c r="DS916" s="656">
        <f t="shared" si="4689"/>
        <v>0.3061905093</v>
      </c>
      <c r="DT916" s="655" t="str">
        <f t="shared" ref="DT916:DW916" si="4690">IF(ABS(DT905/DT858)&gt;2,"NA",DT905/DT858)</f>
        <v>#ERROR!</v>
      </c>
      <c r="DU916" s="655" t="str">
        <f t="shared" si="4690"/>
        <v>#ERROR!</v>
      </c>
      <c r="DV916" s="655" t="str">
        <f t="shared" si="4690"/>
        <v>#ERROR!</v>
      </c>
      <c r="DW916" s="655" t="str">
        <f t="shared" si="4690"/>
        <v>#ERROR!</v>
      </c>
      <c r="DX916" s="656">
        <f t="shared" si="4691"/>
        <v>0.3040826024</v>
      </c>
      <c r="DY916" s="655" t="str">
        <f t="shared" ref="DY916:EB916" si="4692">IF(ABS(DY905/DY858)&gt;2,"NA",DY905/DY858)</f>
        <v>#ERROR!</v>
      </c>
      <c r="DZ916" s="655" t="str">
        <f t="shared" si="4692"/>
        <v>#ERROR!</v>
      </c>
      <c r="EA916" s="655" t="str">
        <f t="shared" si="4692"/>
        <v>#ERROR!</v>
      </c>
      <c r="EB916" s="655" t="str">
        <f t="shared" si="4692"/>
        <v>#ERROR!</v>
      </c>
      <c r="EC916" s="656">
        <f t="shared" si="4693"/>
        <v>0.2603924088</v>
      </c>
      <c r="ED916" s="655" t="str">
        <f t="shared" ref="ED916:EG916" si="4694">IF(ABS(ED905/ED858)&gt;2,"NA",ED905/ED858)</f>
        <v>#ERROR!</v>
      </c>
      <c r="EE916" s="655" t="str">
        <f t="shared" si="4694"/>
        <v>#ERROR!</v>
      </c>
      <c r="EF916" s="655" t="str">
        <f t="shared" si="4694"/>
        <v>#ERROR!</v>
      </c>
      <c r="EG916" s="655" t="str">
        <f t="shared" si="4694"/>
        <v>#ERROR!</v>
      </c>
      <c r="EH916" s="656">
        <f t="shared" si="4695"/>
        <v>0.03701589114</v>
      </c>
      <c r="EI916" s="658" t="str">
        <f t="shared" ref="EI916:EL916" si="4696">IF(ABS(EI905/EI858)&gt;2,"NA",EI905/EI858)</f>
        <v>#ERROR!</v>
      </c>
      <c r="EJ916" s="655" t="str">
        <f t="shared" si="4696"/>
        <v>#ERROR!</v>
      </c>
      <c r="EK916" s="655" t="str">
        <f t="shared" si="4696"/>
        <v>#ERROR!</v>
      </c>
      <c r="EL916" s="655" t="str">
        <f t="shared" si="4696"/>
        <v>#ERROR!</v>
      </c>
      <c r="EM916" s="656" t="str">
        <f t="shared" si="4697"/>
        <v>#ERROR!</v>
      </c>
      <c r="EN916" s="655" t="str">
        <f t="shared" ref="EN916:EQ916" si="4698">IF(ABS(EN905/EN858)&gt;2,"NA",EN905/EN858)</f>
        <v>#ERROR!</v>
      </c>
      <c r="EO916" s="655" t="str">
        <f t="shared" si="4698"/>
        <v>#ERROR!</v>
      </c>
      <c r="EP916" s="655" t="str">
        <f t="shared" si="4698"/>
        <v>#ERROR!</v>
      </c>
      <c r="EQ916" s="655" t="str">
        <f t="shared" si="4698"/>
        <v>#ERROR!</v>
      </c>
      <c r="ER916" s="656" t="str">
        <f t="shared" si="4699"/>
        <v>#ERROR!</v>
      </c>
      <c r="ES916" s="655" t="str">
        <f t="shared" ref="ES916:EV916" si="4700">IF(ABS(ES905/ES858)&gt;2,"NA",ES905/ES858)</f>
        <v>#ERROR!</v>
      </c>
      <c r="ET916" s="655" t="str">
        <f t="shared" si="4700"/>
        <v>#ERROR!</v>
      </c>
      <c r="EU916" s="655" t="str">
        <f t="shared" si="4700"/>
        <v>#ERROR!</v>
      </c>
      <c r="EV916" s="655" t="str">
        <f t="shared" si="4700"/>
        <v>#ERROR!</v>
      </c>
      <c r="EW916" s="656" t="str">
        <f t="shared" si="4701"/>
        <v>#ERROR!</v>
      </c>
      <c r="EX916" s="655" t="str">
        <f t="shared" ref="EX916:FA916" si="4702">IF(ABS(EX905/EX858)&gt;2,"NA",EX905/EX858)</f>
        <v>#ERROR!</v>
      </c>
      <c r="EY916" s="655" t="str">
        <f t="shared" si="4702"/>
        <v>#ERROR!</v>
      </c>
      <c r="EZ916" s="655" t="str">
        <f t="shared" si="4702"/>
        <v>#ERROR!</v>
      </c>
      <c r="FA916" s="655" t="str">
        <f t="shared" si="4702"/>
        <v>#ERROR!</v>
      </c>
      <c r="FB916" s="656" t="str">
        <f t="shared" si="4703"/>
        <v>#ERROR!</v>
      </c>
      <c r="FC916" s="655" t="str">
        <f t="shared" ref="FC916:FF916" si="4704">IF(ABS(FC905/FC858)&gt;2,"NA",FC905/FC858)</f>
        <v>#ERROR!</v>
      </c>
      <c r="FD916" s="655" t="str">
        <f t="shared" si="4704"/>
        <v>#ERROR!</v>
      </c>
      <c r="FE916" s="655" t="str">
        <f t="shared" si="4704"/>
        <v>#ERROR!</v>
      </c>
      <c r="FF916" s="655" t="str">
        <f t="shared" si="4704"/>
        <v>#ERROR!</v>
      </c>
      <c r="FG916" s="656" t="str">
        <f t="shared" si="4705"/>
        <v>#ERROR!</v>
      </c>
      <c r="FH916" s="657"/>
      <c r="FI916" s="655"/>
      <c r="FJ916" s="655"/>
      <c r="FK916" s="655"/>
      <c r="FL916" s="655"/>
    </row>
    <row r="917" ht="12.75" hidden="1" customHeight="1" outlineLevel="2">
      <c r="A917" s="4"/>
      <c r="B917" s="4"/>
      <c r="C917" s="4"/>
      <c r="D917" s="309"/>
      <c r="E917" s="309"/>
      <c r="F917" s="309"/>
      <c r="G917" s="309"/>
      <c r="H917" s="309"/>
      <c r="I917" s="309"/>
      <c r="J917" s="309"/>
      <c r="K917" s="309"/>
      <c r="L917" s="309"/>
      <c r="M917" s="309"/>
      <c r="N917" s="309"/>
      <c r="O917" s="309"/>
      <c r="P917" s="309"/>
      <c r="Q917" s="309"/>
      <c r="R917" s="309"/>
      <c r="S917" s="309"/>
      <c r="T917" s="309"/>
      <c r="U917" s="309"/>
      <c r="V917" s="309"/>
      <c r="W917" s="309"/>
      <c r="X917" s="309"/>
      <c r="Y917" s="309"/>
      <c r="Z917" s="309"/>
      <c r="AA917" s="309"/>
      <c r="AB917" s="309"/>
      <c r="AC917" s="309"/>
      <c r="AD917" s="309"/>
      <c r="AE917" s="309"/>
      <c r="AF917" s="309"/>
      <c r="AG917" s="309"/>
      <c r="AH917" s="309"/>
      <c r="AI917" s="309"/>
      <c r="AJ917" s="309"/>
      <c r="AK917" s="309"/>
      <c r="AL917" s="309"/>
      <c r="AM917" s="309"/>
      <c r="AN917" s="309"/>
      <c r="AO917" s="309"/>
      <c r="AP917" s="309"/>
      <c r="AQ917" s="309"/>
      <c r="AR917" s="309"/>
      <c r="AS917" s="309"/>
      <c r="AT917" s="309"/>
      <c r="AU917" s="309"/>
      <c r="AV917" s="309"/>
      <c r="AW917" s="309"/>
      <c r="AX917" s="309"/>
      <c r="AY917" s="309"/>
      <c r="AZ917" s="309"/>
      <c r="BA917" s="309"/>
      <c r="BB917" s="309"/>
      <c r="BC917" s="309"/>
      <c r="BD917" s="309"/>
      <c r="BE917" s="309"/>
      <c r="BF917" s="309"/>
      <c r="BG917" s="309"/>
      <c r="BH917" s="309"/>
      <c r="BI917" s="309"/>
      <c r="BJ917" s="309"/>
      <c r="BK917" s="309"/>
      <c r="BL917" s="309"/>
      <c r="BM917" s="309"/>
      <c r="BN917" s="309"/>
      <c r="BO917" s="309"/>
      <c r="BP917" s="309"/>
      <c r="BQ917" s="309"/>
      <c r="BR917" s="309"/>
      <c r="BS917" s="309"/>
      <c r="BT917" s="309"/>
      <c r="BU917" s="309"/>
      <c r="BV917" s="309"/>
      <c r="BW917" s="309"/>
      <c r="BX917" s="309"/>
      <c r="BY917" s="309"/>
      <c r="BZ917" s="37"/>
      <c r="CA917" s="309"/>
      <c r="CB917" s="309"/>
      <c r="CC917" s="309"/>
      <c r="CD917" s="309"/>
      <c r="CE917" s="37"/>
      <c r="CF917" s="309"/>
      <c r="CG917" s="309"/>
      <c r="CH917" s="309"/>
      <c r="CI917" s="309"/>
      <c r="CJ917" s="37"/>
      <c r="CK917" s="309"/>
      <c r="CL917" s="309"/>
      <c r="CM917" s="309"/>
      <c r="CN917" s="35"/>
      <c r="CO917" s="37"/>
      <c r="CP917" s="35"/>
      <c r="CQ917" s="309"/>
      <c r="CR917" s="309"/>
      <c r="CS917" s="309"/>
      <c r="CT917" s="37"/>
      <c r="CU917" s="309"/>
      <c r="CV917" s="309"/>
      <c r="CW917" s="309"/>
      <c r="CX917" s="309"/>
      <c r="CY917" s="37"/>
      <c r="CZ917" s="309"/>
      <c r="DA917" s="309"/>
      <c r="DB917" s="309"/>
      <c r="DC917" s="309"/>
      <c r="DD917" s="37"/>
      <c r="DE917" s="309"/>
      <c r="DF917" s="309"/>
      <c r="DG917" s="35"/>
      <c r="DH917" s="309"/>
      <c r="DI917" s="37"/>
      <c r="DJ917" s="35"/>
      <c r="DK917" s="35"/>
      <c r="DL917" s="35"/>
      <c r="DM917" s="309"/>
      <c r="DN917" s="37"/>
      <c r="DO917" s="309"/>
      <c r="DP917" s="309"/>
      <c r="DQ917" s="309"/>
      <c r="DR917" s="309"/>
      <c r="DS917" s="37"/>
      <c r="DT917" s="309"/>
      <c r="DU917" s="309"/>
      <c r="DV917" s="309"/>
      <c r="DW917" s="309"/>
      <c r="DX917" s="37"/>
      <c r="DY917" s="309"/>
      <c r="DZ917" s="309"/>
      <c r="EA917" s="309"/>
      <c r="EB917" s="309"/>
      <c r="EC917" s="37"/>
      <c r="ED917" s="309"/>
      <c r="EE917" s="309"/>
      <c r="EF917" s="309"/>
      <c r="EG917" s="309"/>
      <c r="EH917" s="37"/>
      <c r="EI917" s="659"/>
      <c r="EJ917" s="309"/>
      <c r="EK917" s="309"/>
      <c r="EL917" s="309"/>
      <c r="EM917" s="37"/>
      <c r="EN917" s="309"/>
      <c r="EO917" s="309"/>
      <c r="EP917" s="309"/>
      <c r="EQ917" s="309"/>
      <c r="ER917" s="37"/>
      <c r="ES917" s="309"/>
      <c r="ET917" s="309"/>
      <c r="EU917" s="309"/>
      <c r="EV917" s="309"/>
      <c r="EW917" s="37"/>
      <c r="EX917" s="309"/>
      <c r="EY917" s="309"/>
      <c r="EZ917" s="309"/>
      <c r="FA917" s="309"/>
      <c r="FB917" s="37"/>
      <c r="FC917" s="309"/>
      <c r="FD917" s="309"/>
      <c r="FE917" s="309"/>
      <c r="FF917" s="309"/>
      <c r="FG917" s="37"/>
      <c r="FH917" s="35"/>
      <c r="FI917" s="309"/>
      <c r="FJ917" s="309"/>
      <c r="FK917" s="309"/>
      <c r="FL917" s="309"/>
    </row>
    <row r="918" ht="13.5" hidden="1" customHeight="1" outlineLevel="2">
      <c r="A918" s="4"/>
      <c r="B918" s="578" t="s">
        <v>339</v>
      </c>
      <c r="C918" s="4"/>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c r="BC918" s="73"/>
      <c r="BD918" s="73"/>
      <c r="BE918" s="73"/>
      <c r="BF918" s="73"/>
      <c r="BG918" s="73"/>
      <c r="BH918" s="73"/>
      <c r="BI918" s="73"/>
      <c r="BJ918" s="73"/>
      <c r="BK918" s="73"/>
      <c r="BL918" s="73"/>
      <c r="BM918" s="73"/>
      <c r="BN918" s="73"/>
      <c r="BO918" s="73"/>
      <c r="BP918" s="73"/>
      <c r="BQ918" s="73"/>
      <c r="BR918" s="73"/>
      <c r="BS918" s="73"/>
      <c r="BT918" s="73"/>
      <c r="BU918" s="73"/>
      <c r="BV918" s="73"/>
      <c r="BW918" s="73"/>
      <c r="BX918" s="73"/>
      <c r="BY918" s="73"/>
      <c r="BZ918" s="18"/>
      <c r="CA918" s="73"/>
      <c r="CB918" s="73"/>
      <c r="CC918" s="73"/>
      <c r="CD918" s="73"/>
      <c r="CE918" s="18"/>
      <c r="CF918" s="73"/>
      <c r="CG918" s="73"/>
      <c r="CH918" s="73"/>
      <c r="CI918" s="73"/>
      <c r="CJ918" s="18"/>
      <c r="CK918" s="73"/>
      <c r="CL918" s="73"/>
      <c r="CM918" s="73"/>
      <c r="CN918" s="74"/>
      <c r="CO918" s="18"/>
      <c r="CP918" s="74"/>
      <c r="CQ918" s="73"/>
      <c r="CR918" s="73"/>
      <c r="CS918" s="73"/>
      <c r="CT918" s="18"/>
      <c r="CU918" s="73"/>
      <c r="CV918" s="73"/>
      <c r="CW918" s="73"/>
      <c r="CX918" s="73"/>
      <c r="CY918" s="18"/>
      <c r="CZ918" s="73"/>
      <c r="DA918" s="73"/>
      <c r="DB918" s="73"/>
      <c r="DC918" s="73"/>
      <c r="DD918" s="18"/>
      <c r="DE918" s="73"/>
      <c r="DF918" s="73"/>
      <c r="DG918" s="74"/>
      <c r="DH918" s="73"/>
      <c r="DI918" s="18"/>
      <c r="DJ918" s="74"/>
      <c r="DK918" s="74"/>
      <c r="DL918" s="74"/>
      <c r="DM918" s="73"/>
      <c r="DN918" s="18"/>
      <c r="DO918" s="73"/>
      <c r="DP918" s="73"/>
      <c r="DQ918" s="73"/>
      <c r="DR918" s="73"/>
      <c r="DS918" s="18"/>
      <c r="DT918" s="73"/>
      <c r="DU918" s="73"/>
      <c r="DV918" s="73"/>
      <c r="DW918" s="73"/>
      <c r="DX918" s="18"/>
      <c r="DY918" s="73"/>
      <c r="DZ918" s="73"/>
      <c r="EA918" s="73"/>
      <c r="EB918" s="73"/>
      <c r="EC918" s="18"/>
      <c r="ED918" s="73"/>
      <c r="EE918" s="73"/>
      <c r="EF918" s="73"/>
      <c r="EG918" s="73"/>
      <c r="EH918" s="18"/>
      <c r="EI918" s="275"/>
      <c r="EJ918" s="73"/>
      <c r="EK918" s="73"/>
      <c r="EL918" s="73"/>
      <c r="EM918" s="18"/>
      <c r="EN918" s="73"/>
      <c r="EO918" s="73"/>
      <c r="EP918" s="73"/>
      <c r="EQ918" s="73"/>
      <c r="ER918" s="18"/>
      <c r="ES918" s="73"/>
      <c r="ET918" s="73"/>
      <c r="EU918" s="73"/>
      <c r="EV918" s="73"/>
      <c r="EW918" s="18"/>
      <c r="EX918" s="73"/>
      <c r="EY918" s="73"/>
      <c r="EZ918" s="73"/>
      <c r="FA918" s="73"/>
      <c r="FB918" s="18"/>
      <c r="FC918" s="73"/>
      <c r="FD918" s="73"/>
      <c r="FE918" s="73"/>
      <c r="FF918" s="73"/>
      <c r="FG918" s="18"/>
      <c r="FH918" s="74"/>
      <c r="FI918" s="73"/>
      <c r="FJ918" s="73"/>
      <c r="FK918" s="73"/>
      <c r="FL918" s="73"/>
    </row>
    <row r="919" ht="12.75" hidden="1" customHeight="1" outlineLevel="4">
      <c r="A919" s="4"/>
      <c r="B919" s="15" t="str">
        <f t="shared" ref="B919:B921" si="4706">+B897</f>
        <v>   Microprocessor</v>
      </c>
      <c r="C919" s="4"/>
      <c r="D919" s="45"/>
      <c r="E919" s="4"/>
      <c r="F919" s="4"/>
      <c r="G919" s="4"/>
      <c r="H919" s="45"/>
      <c r="I919" s="45"/>
      <c r="J919" s="4"/>
      <c r="K919" s="4"/>
      <c r="L919" s="4"/>
      <c r="M919" s="45"/>
      <c r="N919" s="45"/>
      <c r="O919" s="4"/>
      <c r="P919" s="4"/>
      <c r="Q919" s="4"/>
      <c r="R919" s="45"/>
      <c r="S919" s="45"/>
      <c r="T919" s="4"/>
      <c r="U919" s="4"/>
      <c r="V919" s="4"/>
      <c r="W919" s="45"/>
      <c r="X919" s="45"/>
      <c r="Y919" s="4"/>
      <c r="Z919" s="4"/>
      <c r="AA919" s="4"/>
      <c r="AB919" s="45"/>
      <c r="AC919" s="45"/>
      <c r="AD919" s="4"/>
      <c r="AE919" s="4"/>
      <c r="AF919" s="4"/>
      <c r="AG919" s="45"/>
      <c r="AH919" s="45"/>
      <c r="AI919" s="4"/>
      <c r="AJ919" s="4"/>
      <c r="AK919" s="4"/>
      <c r="AL919" s="45"/>
      <c r="AM919" s="45"/>
      <c r="AN919" s="4"/>
      <c r="AO919" s="4"/>
      <c r="AP919" s="4"/>
      <c r="AQ919" s="45"/>
      <c r="AR919" s="45"/>
      <c r="AS919" s="4"/>
      <c r="AT919" s="4"/>
      <c r="AU919" s="4"/>
      <c r="AV919" s="45"/>
      <c r="AW919" s="45"/>
      <c r="AX919" s="4"/>
      <c r="AY919" s="4"/>
      <c r="AZ919" s="4"/>
      <c r="BA919" s="45"/>
      <c r="BB919" s="45"/>
      <c r="BC919" s="4"/>
      <c r="BD919" s="4"/>
      <c r="BE919" s="4"/>
      <c r="BF919" s="45"/>
      <c r="BG919" s="45"/>
      <c r="BH919" s="4"/>
      <c r="BI919" s="4"/>
      <c r="BJ919" s="4"/>
      <c r="BK919" s="45"/>
      <c r="BL919" s="45"/>
      <c r="BM919" s="4"/>
      <c r="BN919" s="4"/>
      <c r="BO919" s="4"/>
      <c r="BP919" s="45"/>
      <c r="BQ919" s="45"/>
      <c r="BR919" s="4"/>
      <c r="BS919" s="4"/>
      <c r="BT919" s="4"/>
      <c r="BU919" s="45"/>
      <c r="BV919" s="45"/>
      <c r="BW919" s="4"/>
      <c r="BX919" s="4"/>
      <c r="BY919" s="4"/>
      <c r="BZ919" s="350"/>
      <c r="CA919" s="45"/>
      <c r="CB919" s="4"/>
      <c r="CC919" s="4"/>
      <c r="CD919" s="4"/>
      <c r="CE919" s="350"/>
      <c r="CF919" s="45"/>
      <c r="CG919" s="4"/>
      <c r="CH919" s="4"/>
      <c r="CI919" s="4"/>
      <c r="CJ919" s="350"/>
      <c r="CK919" s="45"/>
      <c r="CL919" s="4"/>
      <c r="CM919" s="4"/>
      <c r="CN919" s="16"/>
      <c r="CO919" s="350"/>
      <c r="CP919" s="16"/>
      <c r="CQ919" s="4"/>
      <c r="CR919" s="4"/>
      <c r="CS919" s="4"/>
      <c r="CT919" s="350"/>
      <c r="CU919" s="45"/>
      <c r="CV919" s="4"/>
      <c r="CW919" s="4"/>
      <c r="CX919" s="4"/>
      <c r="CY919" s="350"/>
      <c r="CZ919" s="45"/>
      <c r="DA919" s="4"/>
      <c r="DB919" s="4"/>
      <c r="DC919" s="4"/>
      <c r="DD919" s="350"/>
      <c r="DE919" s="45"/>
      <c r="DF919" s="4"/>
      <c r="DG919" s="16"/>
      <c r="DH919" s="4"/>
      <c r="DI919" s="350"/>
      <c r="DJ919" s="145"/>
      <c r="DK919" s="16"/>
      <c r="DL919" s="16"/>
      <c r="DM919" s="4"/>
      <c r="DN919" s="350"/>
      <c r="DO919" s="45"/>
      <c r="DP919" s="4"/>
      <c r="DQ919" s="4"/>
      <c r="DR919" s="4"/>
      <c r="DS919" s="350"/>
      <c r="DT919" s="45"/>
      <c r="DU919" s="45"/>
      <c r="DV919" s="45"/>
      <c r="DW919" s="45"/>
      <c r="DX919" s="350"/>
      <c r="DY919" s="45"/>
      <c r="DZ919" s="45"/>
      <c r="EA919" s="45"/>
      <c r="EB919" s="45"/>
      <c r="EC919" s="350"/>
      <c r="ED919" s="45"/>
      <c r="EE919" s="45"/>
      <c r="EF919" s="45"/>
      <c r="EG919" s="45"/>
      <c r="EH919" s="350"/>
      <c r="EI919" s="214"/>
      <c r="EJ919" s="4"/>
      <c r="EK919" s="4"/>
      <c r="EL919" s="4"/>
      <c r="EM919" s="350"/>
      <c r="EN919" s="45"/>
      <c r="EO919" s="4"/>
      <c r="EP919" s="4"/>
      <c r="EQ919" s="4"/>
      <c r="ER919" s="350"/>
      <c r="ES919" s="45"/>
      <c r="ET919" s="4"/>
      <c r="EU919" s="4"/>
      <c r="EV919" s="4"/>
      <c r="EW919" s="350"/>
      <c r="EX919" s="45"/>
      <c r="EY919" s="4"/>
      <c r="EZ919" s="4"/>
      <c r="FA919" s="4"/>
      <c r="FB919" s="350"/>
      <c r="FC919" s="45"/>
      <c r="FD919" s="4"/>
      <c r="FE919" s="4"/>
      <c r="FF919" s="4"/>
      <c r="FG919" s="350"/>
      <c r="FH919" s="145"/>
      <c r="FI919" s="4"/>
      <c r="FJ919" s="4"/>
      <c r="FK919" s="45"/>
      <c r="FL919" s="45"/>
    </row>
    <row r="920" ht="12.75" hidden="1" customHeight="1" outlineLevel="4">
      <c r="A920" s="4"/>
      <c r="B920" s="15" t="str">
        <f t="shared" si="4706"/>
        <v>   Chipset</v>
      </c>
      <c r="C920" s="4"/>
      <c r="D920" s="45"/>
      <c r="E920" s="4"/>
      <c r="F920" s="4"/>
      <c r="G920" s="4"/>
      <c r="H920" s="45"/>
      <c r="I920" s="45"/>
      <c r="J920" s="4"/>
      <c r="K920" s="4"/>
      <c r="L920" s="4"/>
      <c r="M920" s="45"/>
      <c r="N920" s="45"/>
      <c r="O920" s="4"/>
      <c r="P920" s="4"/>
      <c r="Q920" s="4"/>
      <c r="R920" s="45"/>
      <c r="S920" s="45"/>
      <c r="T920" s="4"/>
      <c r="U920" s="4"/>
      <c r="V920" s="4"/>
      <c r="W920" s="45"/>
      <c r="X920" s="45"/>
      <c r="Y920" s="4"/>
      <c r="Z920" s="4"/>
      <c r="AA920" s="4"/>
      <c r="AB920" s="45"/>
      <c r="AC920" s="45"/>
      <c r="AD920" s="4"/>
      <c r="AE920" s="4"/>
      <c r="AF920" s="4"/>
      <c r="AG920" s="45"/>
      <c r="AH920" s="45"/>
      <c r="AI920" s="4"/>
      <c r="AJ920" s="4"/>
      <c r="AK920" s="4"/>
      <c r="AL920" s="45"/>
      <c r="AM920" s="45"/>
      <c r="AN920" s="4"/>
      <c r="AO920" s="4"/>
      <c r="AP920" s="4"/>
      <c r="AQ920" s="45"/>
      <c r="AR920" s="45"/>
      <c r="AS920" s="4"/>
      <c r="AT920" s="4"/>
      <c r="AU920" s="4"/>
      <c r="AV920" s="45"/>
      <c r="AW920" s="45"/>
      <c r="AX920" s="4"/>
      <c r="AY920" s="4"/>
      <c r="AZ920" s="4"/>
      <c r="BA920" s="45"/>
      <c r="BB920" s="45"/>
      <c r="BC920" s="4"/>
      <c r="BD920" s="4"/>
      <c r="BE920" s="4"/>
      <c r="BF920" s="45"/>
      <c r="BG920" s="45"/>
      <c r="BH920" s="4"/>
      <c r="BI920" s="4"/>
      <c r="BJ920" s="4"/>
      <c r="BK920" s="45"/>
      <c r="BL920" s="45"/>
      <c r="BM920" s="4"/>
      <c r="BN920" s="4"/>
      <c r="BO920" s="4"/>
      <c r="BP920" s="45"/>
      <c r="BQ920" s="45"/>
      <c r="BR920" s="4"/>
      <c r="BS920" s="4"/>
      <c r="BT920" s="4"/>
      <c r="BU920" s="45"/>
      <c r="BV920" s="45"/>
      <c r="BW920" s="4"/>
      <c r="BX920" s="4"/>
      <c r="BY920" s="4"/>
      <c r="BZ920" s="350"/>
      <c r="CA920" s="45"/>
      <c r="CB920" s="4"/>
      <c r="CC920" s="4"/>
      <c r="CD920" s="4"/>
      <c r="CE920" s="350"/>
      <c r="CF920" s="45"/>
      <c r="CG920" s="4"/>
      <c r="CH920" s="4"/>
      <c r="CI920" s="4"/>
      <c r="CJ920" s="350"/>
      <c r="CK920" s="45"/>
      <c r="CL920" s="4"/>
      <c r="CM920" s="4"/>
      <c r="CN920" s="16"/>
      <c r="CO920" s="350"/>
      <c r="CP920" s="16"/>
      <c r="CQ920" s="4"/>
      <c r="CR920" s="4"/>
      <c r="CS920" s="4"/>
      <c r="CT920" s="350"/>
      <c r="CU920" s="45"/>
      <c r="CV920" s="4"/>
      <c r="CW920" s="4"/>
      <c r="CX920" s="4"/>
      <c r="CY920" s="350"/>
      <c r="CZ920" s="45"/>
      <c r="DA920" s="4"/>
      <c r="DB920" s="4"/>
      <c r="DC920" s="4"/>
      <c r="DD920" s="350"/>
      <c r="DE920" s="45"/>
      <c r="DF920" s="4"/>
      <c r="DG920" s="16"/>
      <c r="DH920" s="4"/>
      <c r="DI920" s="350"/>
      <c r="DJ920" s="145"/>
      <c r="DK920" s="16"/>
      <c r="DL920" s="16"/>
      <c r="DM920" s="4"/>
      <c r="DN920" s="350"/>
      <c r="DO920" s="45"/>
      <c r="DP920" s="4"/>
      <c r="DQ920" s="4"/>
      <c r="DR920" s="4"/>
      <c r="DS920" s="350"/>
      <c r="DT920" s="45"/>
      <c r="DU920" s="45"/>
      <c r="DV920" s="45"/>
      <c r="DW920" s="45"/>
      <c r="DX920" s="350"/>
      <c r="DY920" s="45"/>
      <c r="DZ920" s="45"/>
      <c r="EA920" s="45"/>
      <c r="EB920" s="45"/>
      <c r="EC920" s="350"/>
      <c r="ED920" s="45"/>
      <c r="EE920" s="45"/>
      <c r="EF920" s="45"/>
      <c r="EG920" s="45"/>
      <c r="EH920" s="350"/>
      <c r="EI920" s="214"/>
      <c r="EJ920" s="4"/>
      <c r="EK920" s="4"/>
      <c r="EL920" s="4"/>
      <c r="EM920" s="350"/>
      <c r="EN920" s="45"/>
      <c r="EO920" s="4"/>
      <c r="EP920" s="4"/>
      <c r="EQ920" s="4"/>
      <c r="ER920" s="350"/>
      <c r="ES920" s="45"/>
      <c r="ET920" s="4"/>
      <c r="EU920" s="4"/>
      <c r="EV920" s="4"/>
      <c r="EW920" s="350"/>
      <c r="EX920" s="45"/>
      <c r="EY920" s="4"/>
      <c r="EZ920" s="4"/>
      <c r="FA920" s="4"/>
      <c r="FB920" s="350"/>
      <c r="FC920" s="45"/>
      <c r="FD920" s="4"/>
      <c r="FE920" s="4"/>
      <c r="FF920" s="4"/>
      <c r="FG920" s="350"/>
      <c r="FH920" s="145"/>
      <c r="FI920" s="4"/>
      <c r="FJ920" s="4"/>
      <c r="FK920" s="45"/>
      <c r="FL920" s="45"/>
    </row>
    <row r="921" ht="12.75" hidden="1" customHeight="1" outlineLevel="4">
      <c r="A921" s="4"/>
      <c r="B921" s="15" t="str">
        <f t="shared" si="4706"/>
        <v>   Motherboard</v>
      </c>
      <c r="C921" s="4"/>
      <c r="D921" s="45"/>
      <c r="E921" s="4"/>
      <c r="F921" s="4"/>
      <c r="G921" s="4"/>
      <c r="H921" s="45"/>
      <c r="I921" s="45"/>
      <c r="J921" s="4"/>
      <c r="K921" s="4"/>
      <c r="L921" s="4"/>
      <c r="M921" s="45"/>
      <c r="N921" s="45"/>
      <c r="O921" s="4"/>
      <c r="P921" s="4"/>
      <c r="Q921" s="4"/>
      <c r="R921" s="45"/>
      <c r="S921" s="45"/>
      <c r="T921" s="4"/>
      <c r="U921" s="4"/>
      <c r="V921" s="4"/>
      <c r="W921" s="45"/>
      <c r="X921" s="45"/>
      <c r="Y921" s="4"/>
      <c r="Z921" s="4"/>
      <c r="AA921" s="4"/>
      <c r="AB921" s="45"/>
      <c r="AC921" s="45"/>
      <c r="AD921" s="4"/>
      <c r="AE921" s="4"/>
      <c r="AF921" s="4"/>
      <c r="AG921" s="45"/>
      <c r="AH921" s="45"/>
      <c r="AI921" s="4"/>
      <c r="AJ921" s="4"/>
      <c r="AK921" s="4"/>
      <c r="AL921" s="45"/>
      <c r="AM921" s="45"/>
      <c r="AN921" s="4"/>
      <c r="AO921" s="4"/>
      <c r="AP921" s="4"/>
      <c r="AQ921" s="45"/>
      <c r="AR921" s="45"/>
      <c r="AS921" s="4"/>
      <c r="AT921" s="4"/>
      <c r="AU921" s="4"/>
      <c r="AV921" s="45"/>
      <c r="AW921" s="45"/>
      <c r="AX921" s="4"/>
      <c r="AY921" s="4"/>
      <c r="AZ921" s="4"/>
      <c r="BA921" s="45"/>
      <c r="BB921" s="45"/>
      <c r="BC921" s="4"/>
      <c r="BD921" s="4"/>
      <c r="BE921" s="4"/>
      <c r="BF921" s="45"/>
      <c r="BG921" s="45"/>
      <c r="BH921" s="4"/>
      <c r="BI921" s="4"/>
      <c r="BJ921" s="4"/>
      <c r="BK921" s="45"/>
      <c r="BL921" s="45"/>
      <c r="BM921" s="4"/>
      <c r="BN921" s="4"/>
      <c r="BO921" s="4"/>
      <c r="BP921" s="45"/>
      <c r="BQ921" s="45"/>
      <c r="BR921" s="4"/>
      <c r="BS921" s="4"/>
      <c r="BT921" s="4"/>
      <c r="BU921" s="45"/>
      <c r="BV921" s="45"/>
      <c r="BW921" s="4"/>
      <c r="BX921" s="4"/>
      <c r="BY921" s="4"/>
      <c r="BZ921" s="350"/>
      <c r="CA921" s="45"/>
      <c r="CB921" s="4"/>
      <c r="CC921" s="4"/>
      <c r="CD921" s="4"/>
      <c r="CE921" s="350"/>
      <c r="CF921" s="45"/>
      <c r="CG921" s="4"/>
      <c r="CH921" s="4"/>
      <c r="CI921" s="4"/>
      <c r="CJ921" s="350"/>
      <c r="CK921" s="45"/>
      <c r="CL921" s="4"/>
      <c r="CM921" s="4"/>
      <c r="CN921" s="16"/>
      <c r="CO921" s="350"/>
      <c r="CP921" s="16"/>
      <c r="CQ921" s="4"/>
      <c r="CR921" s="4"/>
      <c r="CS921" s="4"/>
      <c r="CT921" s="350"/>
      <c r="CU921" s="45"/>
      <c r="CV921" s="4"/>
      <c r="CW921" s="4"/>
      <c r="CX921" s="4"/>
      <c r="CY921" s="350"/>
      <c r="CZ921" s="45"/>
      <c r="DA921" s="4"/>
      <c r="DB921" s="4"/>
      <c r="DC921" s="4"/>
      <c r="DD921" s="350"/>
      <c r="DE921" s="45"/>
      <c r="DF921" s="4"/>
      <c r="DG921" s="16"/>
      <c r="DH921" s="4"/>
      <c r="DI921" s="350"/>
      <c r="DJ921" s="145"/>
      <c r="DK921" s="16"/>
      <c r="DL921" s="16"/>
      <c r="DM921" s="4"/>
      <c r="DN921" s="350"/>
      <c r="DO921" s="45"/>
      <c r="DP921" s="4"/>
      <c r="DQ921" s="4"/>
      <c r="DR921" s="4"/>
      <c r="DS921" s="350"/>
      <c r="DT921" s="45"/>
      <c r="DU921" s="45"/>
      <c r="DV921" s="45"/>
      <c r="DW921" s="45"/>
      <c r="DX921" s="350"/>
      <c r="DY921" s="45"/>
      <c r="DZ921" s="45"/>
      <c r="EA921" s="45"/>
      <c r="EB921" s="45"/>
      <c r="EC921" s="350"/>
      <c r="ED921" s="45"/>
      <c r="EE921" s="45"/>
      <c r="EF921" s="45"/>
      <c r="EG921" s="45"/>
      <c r="EH921" s="350"/>
      <c r="EI921" s="214"/>
      <c r="EJ921" s="4"/>
      <c r="EK921" s="4"/>
      <c r="EL921" s="4"/>
      <c r="EM921" s="350"/>
      <c r="EN921" s="45"/>
      <c r="EO921" s="4"/>
      <c r="EP921" s="4"/>
      <c r="EQ921" s="4"/>
      <c r="ER921" s="350"/>
      <c r="ES921" s="45"/>
      <c r="ET921" s="4"/>
      <c r="EU921" s="4"/>
      <c r="EV921" s="4"/>
      <c r="EW921" s="350"/>
      <c r="EX921" s="45"/>
      <c r="EY921" s="4"/>
      <c r="EZ921" s="4"/>
      <c r="FA921" s="4"/>
      <c r="FB921" s="350"/>
      <c r="FC921" s="45"/>
      <c r="FD921" s="4"/>
      <c r="FE921" s="4"/>
      <c r="FF921" s="4"/>
      <c r="FG921" s="350"/>
      <c r="FH921" s="145"/>
      <c r="FI921" s="4"/>
      <c r="FJ921" s="4"/>
      <c r="FK921" s="45"/>
      <c r="FL921" s="45"/>
    </row>
    <row r="922" ht="13.5" hidden="1" customHeight="1" outlineLevel="2">
      <c r="A922" s="4"/>
      <c r="B922" s="4" t="str">
        <f t="shared" ref="B922:B926" si="4736">B911</f>
        <v>Architecture group - IAG</v>
      </c>
      <c r="C922" s="4"/>
      <c r="D922" s="660"/>
      <c r="E922" s="660"/>
      <c r="F922" s="660"/>
      <c r="G922" s="660"/>
      <c r="H922" s="309"/>
      <c r="I922" s="660"/>
      <c r="J922" s="660"/>
      <c r="K922" s="660"/>
      <c r="L922" s="660"/>
      <c r="M922" s="309"/>
      <c r="N922" s="660"/>
      <c r="O922" s="660"/>
      <c r="P922" s="660"/>
      <c r="Q922" s="660"/>
      <c r="R922" s="309"/>
      <c r="S922" s="660">
        <f>S900/Q900-1</f>
        <v>-0.09135802469</v>
      </c>
      <c r="T922" s="660">
        <f t="shared" ref="T922:V922" si="4707">T900/S900-1</f>
        <v>-0.2170516304</v>
      </c>
      <c r="U922" s="660">
        <f t="shared" si="4707"/>
        <v>0.1848156182</v>
      </c>
      <c r="V922" s="660">
        <f t="shared" si="4707"/>
        <v>0.2138410839</v>
      </c>
      <c r="W922" s="309"/>
      <c r="X922" s="660">
        <f>X900/V900-1</f>
        <v>-0.09200603318</v>
      </c>
      <c r="Y922" s="660">
        <f t="shared" ref="Y922:AA922" si="4708">Y900/X900-1</f>
        <v>-0.01295681063</v>
      </c>
      <c r="Z922" s="660">
        <f t="shared" si="4708"/>
        <v>0.1265567149</v>
      </c>
      <c r="AA922" s="660">
        <f t="shared" si="4708"/>
        <v>-0.04063340305</v>
      </c>
      <c r="AB922" s="309"/>
      <c r="AC922" s="660">
        <f>AC900/AA900-1</f>
        <v>-0.4811585176</v>
      </c>
      <c r="AD922" s="660">
        <f t="shared" ref="AD922:AF922" si="4709">AD900/AC900-1</f>
        <v>-0.1332533013</v>
      </c>
      <c r="AE922" s="660">
        <f t="shared" si="4709"/>
        <v>-0.08033240997</v>
      </c>
      <c r="AF922" s="660">
        <f t="shared" si="4709"/>
        <v>0.3659638554</v>
      </c>
      <c r="AG922" s="309"/>
      <c r="AH922" s="660">
        <f t="shared" ref="AH922:AH927" si="4737">AH900/AF900-1</f>
        <v>-0.003858875413</v>
      </c>
      <c r="AI922" s="660">
        <f t="shared" ref="AI922:AK922" si="4710">AI900/AH900-1</f>
        <v>-0.2418372994</v>
      </c>
      <c r="AJ922" s="660">
        <f t="shared" si="4710"/>
        <v>0.03211678832</v>
      </c>
      <c r="AK922" s="660">
        <f t="shared" si="4710"/>
        <v>0.4151343706</v>
      </c>
      <c r="AL922" s="309"/>
      <c r="AM922" s="660">
        <f t="shared" ref="AM922:AM927" si="4739">AM900/AK900-1</f>
        <v>-0.04647676162</v>
      </c>
      <c r="AN922" s="660">
        <f t="shared" ref="AN922:AP922" si="4711">AN900/AM900-1</f>
        <v>-0.03511530398</v>
      </c>
      <c r="AO922" s="660">
        <f t="shared" si="4711"/>
        <v>0.5833785986</v>
      </c>
      <c r="AP922" s="660">
        <f t="shared" si="4711"/>
        <v>0.2802744425</v>
      </c>
      <c r="AQ922" s="309"/>
      <c r="AR922" s="660">
        <f>AR900/AP900-1</f>
        <v>-0.1921221865</v>
      </c>
      <c r="AS922" s="660">
        <f t="shared" ref="AS922:AU922" si="4712">AS900/AR900-1</f>
        <v>-0.07529021559</v>
      </c>
      <c r="AT922" s="660">
        <f t="shared" si="4712"/>
        <v>0.0007173601148</v>
      </c>
      <c r="AU922" s="660">
        <f t="shared" si="4712"/>
        <v>0.2487455197</v>
      </c>
      <c r="AV922" s="309"/>
      <c r="AW922" s="660">
        <f>AW900/AU900-1</f>
        <v>0.0533869116</v>
      </c>
      <c r="AX922" s="660">
        <f t="shared" ref="AX922:AZ922" si="4713">AX900/AW900-1</f>
        <v>-0.1247956403</v>
      </c>
      <c r="AY922" s="660">
        <f t="shared" si="4713"/>
        <v>0.1606475716</v>
      </c>
      <c r="AZ922" s="660">
        <f t="shared" si="4713"/>
        <v>0.005096566524</v>
      </c>
      <c r="BA922" s="309"/>
      <c r="BB922" s="660">
        <f>BB900/AZ900-1</f>
        <v>-0.5014678409</v>
      </c>
      <c r="BC922" s="660">
        <f t="shared" ref="BC922:BE922" si="4714">BC900/BB900-1</f>
        <v>-0.3592077088</v>
      </c>
      <c r="BD922" s="660">
        <f t="shared" si="4714"/>
        <v>0.231411863</v>
      </c>
      <c r="BE922" s="660">
        <f t="shared" si="4714"/>
        <v>0.07734056988</v>
      </c>
      <c r="BF922" s="309"/>
      <c r="BG922" s="660">
        <f>BG900/BE900-1</f>
        <v>0.1177581864</v>
      </c>
      <c r="BH922" s="660">
        <f t="shared" ref="BH922:BJ922" si="4715">BH900/BG900-1</f>
        <v>-0.1830985915</v>
      </c>
      <c r="BI922" s="660">
        <f t="shared" si="4715"/>
        <v>0.6255172414</v>
      </c>
      <c r="BJ922" s="660">
        <f t="shared" si="4715"/>
        <v>0.3351718286</v>
      </c>
      <c r="BK922" s="309"/>
      <c r="BL922" s="660">
        <f>BL900/BJ900-1</f>
        <v>-0.3129965046</v>
      </c>
      <c r="BM922" s="660">
        <f t="shared" ref="BM922:BO922" si="4716">BM900/BL900-1</f>
        <v>0.08926919519</v>
      </c>
      <c r="BN922" s="660">
        <f t="shared" si="4716"/>
        <v>0.3579617834</v>
      </c>
      <c r="BO922" s="660">
        <f t="shared" si="4716"/>
        <v>-0.4874921826</v>
      </c>
      <c r="BP922" s="309"/>
      <c r="BQ922" s="660">
        <f>BQ900/BO900-1</f>
        <v>-0.5442342892</v>
      </c>
      <c r="BR922" s="660">
        <f t="shared" ref="BR922:BT922" si="4717">BR900/BQ900-1</f>
        <v>1.054886212</v>
      </c>
      <c r="BS922" s="660">
        <f t="shared" si="4717"/>
        <v>0.745276873</v>
      </c>
      <c r="BT922" s="660">
        <f t="shared" si="4717"/>
        <v>0.435983576</v>
      </c>
      <c r="BU922" s="309"/>
      <c r="BV922" s="660">
        <f>BV900/BT900-1</f>
        <v>-0.07772290096</v>
      </c>
      <c r="BW922" s="660">
        <f t="shared" ref="BW922:BY922" si="4718">BW900/BV900-1</f>
        <v>0.1502254791</v>
      </c>
      <c r="BX922" s="660">
        <f t="shared" si="4718"/>
        <v>0.03798088704</v>
      </c>
      <c r="BY922" s="660">
        <f t="shared" si="4718"/>
        <v>-0.02667610954</v>
      </c>
      <c r="BZ922" s="37"/>
      <c r="CA922" s="660">
        <f>CA900/BY900-1</f>
        <v>0.03274314819</v>
      </c>
      <c r="CB922" s="660">
        <f t="shared" ref="CB922:CD922" si="4719">CB900/CA900-1</f>
        <v>-0.05237200564</v>
      </c>
      <c r="CC922" s="660">
        <f t="shared" si="4719"/>
        <v>0.2106567534</v>
      </c>
      <c r="CD922" s="660">
        <f t="shared" si="4719"/>
        <v>-0.03807574207</v>
      </c>
      <c r="CE922" s="37"/>
      <c r="CF922" s="660">
        <f>CF900/CD900-1</f>
        <v>-0.1679080655</v>
      </c>
      <c r="CG922" s="660">
        <f t="shared" ref="CG922:CI922" si="4720">CG900/CF900-1</f>
        <v>0.005626598465</v>
      </c>
      <c r="CH922" s="660">
        <f t="shared" si="4720"/>
        <v>0.002288911495</v>
      </c>
      <c r="CI922" s="660">
        <f t="shared" si="4720"/>
        <v>-0.1740674956</v>
      </c>
      <c r="CJ922" s="37"/>
      <c r="CK922" s="660">
        <f>CK900/CI900-1</f>
        <v>-0.1953917051</v>
      </c>
      <c r="CL922" s="660">
        <f t="shared" ref="CL922:CN922" si="4721">CL900/CK900-1</f>
        <v>0.07636502482</v>
      </c>
      <c r="CM922" s="660">
        <f t="shared" si="4721"/>
        <v>0.2784675417</v>
      </c>
      <c r="CN922" s="83">
        <f t="shared" si="4721"/>
        <v>0.01248612653</v>
      </c>
      <c r="CO922" s="37"/>
      <c r="CP922" s="83">
        <f>CP900/CN900-1</f>
        <v>-0.2784324472</v>
      </c>
      <c r="CQ922" s="660">
        <f t="shared" ref="CQ922:CS922" si="4722">CQ900/CP900-1</f>
        <v>0.497911128</v>
      </c>
      <c r="CR922" s="660">
        <f t="shared" si="4722"/>
        <v>0.1764705882</v>
      </c>
      <c r="CS922" s="660">
        <f t="shared" si="4722"/>
        <v>-0.01875</v>
      </c>
      <c r="CT922" s="37"/>
      <c r="CU922" s="660">
        <f>CU900/CS900-1</f>
        <v>-0.4036898748</v>
      </c>
      <c r="CV922" s="660">
        <f t="shared" ref="CV922:CX922" si="4723">CV900/CU900-1</f>
        <v>0.1034990792</v>
      </c>
      <c r="CW922" s="660">
        <f t="shared" si="4723"/>
        <v>0.432576769</v>
      </c>
      <c r="CX922" s="660">
        <f t="shared" si="4723"/>
        <v>0.02493010252</v>
      </c>
      <c r="CY922" s="37"/>
      <c r="CZ922" s="660">
        <f>CZ900/CX900-1</f>
        <v>-0.3934985224</v>
      </c>
      <c r="DA922" s="660">
        <f t="shared" ref="DA922:DC922" si="4724">DA900/CZ900-1</f>
        <v>-0.4685157421</v>
      </c>
      <c r="DB922" s="660">
        <f t="shared" si="4724"/>
        <v>2.217207334</v>
      </c>
      <c r="DC922" s="660">
        <f t="shared" si="4724"/>
        <v>0.01402893468</v>
      </c>
      <c r="DD922" s="37"/>
      <c r="DE922" s="660">
        <f>DE900/DC900-1</f>
        <v>-0.2003891051</v>
      </c>
      <c r="DF922" s="660">
        <f t="shared" ref="DF922:DH922" si="4725">DF900/DE900-1</f>
        <v>0.06163828062</v>
      </c>
      <c r="DG922" s="83">
        <f t="shared" si="4725"/>
        <v>0.3279857398</v>
      </c>
      <c r="DH922" s="660">
        <f t="shared" si="4725"/>
        <v>0.05369127517</v>
      </c>
      <c r="DI922" s="37"/>
      <c r="DJ922" s="83">
        <f>DJ900/DH900-1</f>
        <v>-0.1683348499</v>
      </c>
      <c r="DK922" s="83">
        <f t="shared" ref="DK922:DM922" si="4726">DK900/DJ900-1</f>
        <v>0.1757111597</v>
      </c>
      <c r="DL922" s="83">
        <f t="shared" si="4726"/>
        <v>0.3863763261</v>
      </c>
      <c r="DM922" s="660">
        <f t="shared" si="4726"/>
        <v>-0.1510269835</v>
      </c>
      <c r="DN922" s="37"/>
      <c r="DO922" s="660">
        <f>DO900/DM900-1</f>
        <v>-0.3241619228</v>
      </c>
      <c r="DP922" s="660">
        <f t="shared" ref="DP922:DR922" si="4727">DP900/DO900-1</f>
        <v>0.1036499766</v>
      </c>
      <c r="DQ922" s="660">
        <f t="shared" si="4727"/>
        <v>0.3879584482</v>
      </c>
      <c r="DR922" s="660">
        <f t="shared" si="4727"/>
        <v>0.05345959982</v>
      </c>
      <c r="DS922" s="37"/>
      <c r="DT922" s="660">
        <f>DT900/DR900-1</f>
        <v>0.03494272872</v>
      </c>
      <c r="DU922" s="660">
        <f t="shared" ref="DU922:DW922" si="4728">DU900/DT900-1</f>
        <v>-0.1878677501</v>
      </c>
      <c r="DV922" s="660">
        <f t="shared" si="4728"/>
        <v>-0.110056926</v>
      </c>
      <c r="DW922" s="660">
        <f t="shared" si="4728"/>
        <v>0.1599147122</v>
      </c>
      <c r="DX922" s="37"/>
      <c r="DY922" s="660">
        <f>DY900/DW900-1</f>
        <v>-0.3659759358</v>
      </c>
      <c r="DZ922" s="660">
        <f t="shared" ref="DZ922:EB922" si="4729">DZ900/DY900-1</f>
        <v>0.4881391671</v>
      </c>
      <c r="EA922" s="660">
        <f t="shared" si="4729"/>
        <v>-0.05650017712</v>
      </c>
      <c r="EB922" s="660">
        <f t="shared" si="4729"/>
        <v>-0.04467805519</v>
      </c>
      <c r="EC922" s="37"/>
      <c r="ED922" s="660">
        <f>ED900/EB900-1</f>
        <v>-0.1273334643</v>
      </c>
      <c r="EE922" s="660">
        <f t="shared" ref="EE922:EG922" si="4730">EE900/ED900-1</f>
        <v>-1.135104706</v>
      </c>
      <c r="EF922" s="660">
        <f t="shared" si="4730"/>
        <v>-0.875</v>
      </c>
      <c r="EG922" s="660">
        <f t="shared" si="4730"/>
        <v>12.76</v>
      </c>
      <c r="EH922" s="37"/>
      <c r="EI922" s="661" t="str">
        <f>EI900/EG900-1</f>
        <v>#ERROR!</v>
      </c>
      <c r="EJ922" s="660" t="str">
        <f t="shared" ref="EJ922:EL922" si="4731">EJ900/EI900-1</f>
        <v>#ERROR!</v>
      </c>
      <c r="EK922" s="660" t="str">
        <f t="shared" si="4731"/>
        <v>#ERROR!</v>
      </c>
      <c r="EL922" s="660" t="str">
        <f t="shared" si="4731"/>
        <v>#ERROR!</v>
      </c>
      <c r="EM922" s="37"/>
      <c r="EN922" s="660" t="str">
        <f>EN900/EL900-1</f>
        <v>#ERROR!</v>
      </c>
      <c r="EO922" s="660" t="str">
        <f t="shared" ref="EO922:EQ922" si="4732">EO900/EN900-1</f>
        <v>#ERROR!</v>
      </c>
      <c r="EP922" s="660" t="str">
        <f t="shared" si="4732"/>
        <v>#ERROR!</v>
      </c>
      <c r="EQ922" s="660" t="str">
        <f t="shared" si="4732"/>
        <v>#ERROR!</v>
      </c>
      <c r="ER922" s="37"/>
      <c r="ES922" s="660" t="str">
        <f>ES900/EQ900-1</f>
        <v>#ERROR!</v>
      </c>
      <c r="ET922" s="660" t="str">
        <f t="shared" ref="ET922:EV922" si="4733">ET900/ES900-1</f>
        <v>#ERROR!</v>
      </c>
      <c r="EU922" s="660" t="str">
        <f t="shared" si="4733"/>
        <v>#ERROR!</v>
      </c>
      <c r="EV922" s="660" t="str">
        <f t="shared" si="4733"/>
        <v>#ERROR!</v>
      </c>
      <c r="EW922" s="37"/>
      <c r="EX922" s="660" t="str">
        <f>EX900/EV900-1</f>
        <v>#ERROR!</v>
      </c>
      <c r="EY922" s="660" t="str">
        <f t="shared" ref="EY922:FA922" si="4734">EY900/EX900-1</f>
        <v>#ERROR!</v>
      </c>
      <c r="EZ922" s="660" t="str">
        <f t="shared" si="4734"/>
        <v>#ERROR!</v>
      </c>
      <c r="FA922" s="660" t="str">
        <f t="shared" si="4734"/>
        <v>#ERROR!</v>
      </c>
      <c r="FB922" s="37"/>
      <c r="FC922" s="660" t="str">
        <f>FC900/FA900-1</f>
        <v>#ERROR!</v>
      </c>
      <c r="FD922" s="660" t="str">
        <f t="shared" ref="FD922:FF922" si="4735">FD900/FC900-1</f>
        <v>#ERROR!</v>
      </c>
      <c r="FE922" s="660" t="str">
        <f t="shared" si="4735"/>
        <v>#ERROR!</v>
      </c>
      <c r="FF922" s="660" t="str">
        <f t="shared" si="4735"/>
        <v>#ERROR!</v>
      </c>
      <c r="FG922" s="37"/>
      <c r="FH922" s="35"/>
      <c r="FI922" s="660"/>
      <c r="FJ922" s="660"/>
      <c r="FK922" s="309"/>
      <c r="FL922" s="660"/>
    </row>
    <row r="923" ht="13.5" hidden="1" customHeight="1" outlineLevel="4">
      <c r="A923" s="4"/>
      <c r="B923" s="72" t="str">
        <f t="shared" si="4736"/>
        <v>WCCG</v>
      </c>
      <c r="C923" s="4"/>
      <c r="D923" s="660"/>
      <c r="E923" s="660"/>
      <c r="F923" s="660"/>
      <c r="G923" s="660"/>
      <c r="H923" s="309"/>
      <c r="I923" s="660"/>
      <c r="J923" s="660"/>
      <c r="K923" s="660"/>
      <c r="L923" s="660"/>
      <c r="M923" s="309"/>
      <c r="N923" s="660"/>
      <c r="O923" s="660"/>
      <c r="P923" s="660"/>
      <c r="Q923" s="660"/>
      <c r="R923" s="309"/>
      <c r="S923" s="660"/>
      <c r="T923" s="660"/>
      <c r="U923" s="660"/>
      <c r="V923" s="660"/>
      <c r="W923" s="309"/>
      <c r="X923" s="660"/>
      <c r="Y923" s="660"/>
      <c r="Z923" s="660"/>
      <c r="AA923" s="660"/>
      <c r="AB923" s="309"/>
      <c r="AC923" s="660"/>
      <c r="AD923" s="660"/>
      <c r="AE923" s="660"/>
      <c r="AF923" s="660"/>
      <c r="AG923" s="309"/>
      <c r="AH923" s="660">
        <f t="shared" si="4737"/>
        <v>2.35</v>
      </c>
      <c r="AI923" s="660">
        <f t="shared" ref="AI923:AK923" si="4738">AI901/AH901-1</f>
        <v>0.4104477612</v>
      </c>
      <c r="AJ923" s="660">
        <f t="shared" si="4738"/>
        <v>-0.6984126984</v>
      </c>
      <c r="AK923" s="660">
        <f t="shared" si="4738"/>
        <v>2.403508772</v>
      </c>
      <c r="AL923" s="309"/>
      <c r="AM923" s="660">
        <f t="shared" si="4739"/>
        <v>-0.03092783505</v>
      </c>
      <c r="AN923" s="660">
        <f t="shared" ref="AN923:AP923" si="4740">AN901/AM901-1</f>
        <v>0.2712765957</v>
      </c>
      <c r="AO923" s="660">
        <f t="shared" si="4740"/>
        <v>0.03765690377</v>
      </c>
      <c r="AP923" s="660">
        <f t="shared" si="4740"/>
        <v>-0.2177419355</v>
      </c>
      <c r="AQ923" s="309"/>
      <c r="AR923" s="660"/>
      <c r="AS923" s="660"/>
      <c r="AT923" s="660"/>
      <c r="AU923" s="660"/>
      <c r="AV923" s="309"/>
      <c r="AW923" s="660"/>
      <c r="AX923" s="660"/>
      <c r="AY923" s="660"/>
      <c r="AZ923" s="660"/>
      <c r="BA923" s="309"/>
      <c r="BB923" s="660"/>
      <c r="BC923" s="660"/>
      <c r="BD923" s="660"/>
      <c r="BE923" s="660"/>
      <c r="BF923" s="309"/>
      <c r="BG923" s="660"/>
      <c r="BH923" s="660"/>
      <c r="BI923" s="660"/>
      <c r="BJ923" s="660"/>
      <c r="BK923" s="309"/>
      <c r="BL923" s="660"/>
      <c r="BM923" s="660"/>
      <c r="BN923" s="660"/>
      <c r="BO923" s="660"/>
      <c r="BP923" s="309"/>
      <c r="BQ923" s="660"/>
      <c r="BR923" s="660"/>
      <c r="BS923" s="660"/>
      <c r="BT923" s="660"/>
      <c r="BU923" s="309"/>
      <c r="BV923" s="660"/>
      <c r="BW923" s="660"/>
      <c r="BX923" s="660"/>
      <c r="BY923" s="660"/>
      <c r="BZ923" s="37"/>
      <c r="CA923" s="660"/>
      <c r="CB923" s="660"/>
      <c r="CC923" s="660"/>
      <c r="CD923" s="660"/>
      <c r="CE923" s="37"/>
      <c r="CF923" s="660"/>
      <c r="CG923" s="660"/>
      <c r="CH923" s="660"/>
      <c r="CI923" s="660"/>
      <c r="CJ923" s="37"/>
      <c r="CK923" s="660"/>
      <c r="CL923" s="660"/>
      <c r="CM923" s="660"/>
      <c r="CN923" s="83"/>
      <c r="CO923" s="37"/>
      <c r="CP923" s="83"/>
      <c r="CQ923" s="660"/>
      <c r="CR923" s="660"/>
      <c r="CS923" s="660"/>
      <c r="CT923" s="37"/>
      <c r="CU923" s="660"/>
      <c r="CV923" s="660"/>
      <c r="CW923" s="660"/>
      <c r="CX923" s="660"/>
      <c r="CY923" s="37"/>
      <c r="CZ923" s="660"/>
      <c r="DA923" s="660"/>
      <c r="DB923" s="660"/>
      <c r="DC923" s="660"/>
      <c r="DD923" s="37"/>
      <c r="DE923" s="660"/>
      <c r="DF923" s="660"/>
      <c r="DG923" s="83"/>
      <c r="DH923" s="660"/>
      <c r="DI923" s="37"/>
      <c r="DJ923" s="83"/>
      <c r="DK923" s="83"/>
      <c r="DL923" s="83"/>
      <c r="DM923" s="660"/>
      <c r="DN923" s="37"/>
      <c r="DO923" s="660"/>
      <c r="DP923" s="660"/>
      <c r="DQ923" s="660"/>
      <c r="DR923" s="660"/>
      <c r="DS923" s="37"/>
      <c r="DT923" s="660"/>
      <c r="DU923" s="660"/>
      <c r="DV923" s="660"/>
      <c r="DW923" s="660"/>
      <c r="DX923" s="37"/>
      <c r="DY923" s="660"/>
      <c r="DZ923" s="660"/>
      <c r="EA923" s="660"/>
      <c r="EB923" s="660"/>
      <c r="EC923" s="37"/>
      <c r="ED923" s="660"/>
      <c r="EE923" s="660"/>
      <c r="EF923" s="660"/>
      <c r="EG923" s="660"/>
      <c r="EH923" s="37"/>
      <c r="EI923" s="661"/>
      <c r="EJ923" s="660"/>
      <c r="EK923" s="660"/>
      <c r="EL923" s="660"/>
      <c r="EM923" s="37"/>
      <c r="EN923" s="660"/>
      <c r="EO923" s="660"/>
      <c r="EP923" s="660"/>
      <c r="EQ923" s="660"/>
      <c r="ER923" s="37"/>
      <c r="ES923" s="660"/>
      <c r="ET923" s="660"/>
      <c r="EU923" s="660"/>
      <c r="EV923" s="660"/>
      <c r="EW923" s="37"/>
      <c r="EX923" s="660"/>
      <c r="EY923" s="660"/>
      <c r="EZ923" s="660"/>
      <c r="FA923" s="660"/>
      <c r="FB923" s="37"/>
      <c r="FC923" s="660"/>
      <c r="FD923" s="660"/>
      <c r="FE923" s="660"/>
      <c r="FF923" s="660"/>
      <c r="FG923" s="37"/>
      <c r="FH923" s="35"/>
      <c r="FI923" s="660"/>
      <c r="FJ923" s="660"/>
      <c r="FK923" s="309"/>
      <c r="FL923" s="660"/>
    </row>
    <row r="924" ht="13.5" hidden="1" customHeight="1" outlineLevel="4">
      <c r="A924" s="4"/>
      <c r="B924" s="72" t="str">
        <f t="shared" si="4736"/>
        <v>Comm/Embedded (former ICG)</v>
      </c>
      <c r="C924" s="4"/>
      <c r="D924" s="660"/>
      <c r="E924" s="15"/>
      <c r="F924" s="15"/>
      <c r="G924" s="660"/>
      <c r="H924" s="309"/>
      <c r="I924" s="660"/>
      <c r="J924" s="15"/>
      <c r="K924" s="15"/>
      <c r="L924" s="660"/>
      <c r="M924" s="309"/>
      <c r="N924" s="660"/>
      <c r="O924" s="15"/>
      <c r="P924" s="15"/>
      <c r="Q924" s="660"/>
      <c r="R924" s="309"/>
      <c r="S924" s="660"/>
      <c r="T924" s="15"/>
      <c r="U924" s="15"/>
      <c r="V924" s="660"/>
      <c r="W924" s="309"/>
      <c r="X924" s="660"/>
      <c r="Y924" s="15"/>
      <c r="Z924" s="15"/>
      <c r="AA924" s="660"/>
      <c r="AB924" s="309"/>
      <c r="AC924" s="660"/>
      <c r="AD924" s="15"/>
      <c r="AE924" s="15"/>
      <c r="AF924" s="660"/>
      <c r="AG924" s="309"/>
      <c r="AH924" s="660">
        <f t="shared" si="4737"/>
        <v>0.1627906977</v>
      </c>
      <c r="AI924" s="15">
        <f t="shared" ref="AI924:AK924" si="4741">AI902/AH902-1</f>
        <v>-0.1533333333</v>
      </c>
      <c r="AJ924" s="15">
        <f t="shared" si="4741"/>
        <v>0.3937007874</v>
      </c>
      <c r="AK924" s="660">
        <f t="shared" si="4741"/>
        <v>-0.05084745763</v>
      </c>
      <c r="AL924" s="309"/>
      <c r="AM924" s="660">
        <f t="shared" si="4739"/>
        <v>-0.1666666667</v>
      </c>
      <c r="AN924" s="15">
        <f t="shared" ref="AN924:AP924" si="4742">AN902/AM902-1</f>
        <v>0.02142857143</v>
      </c>
      <c r="AO924" s="15">
        <f t="shared" si="4742"/>
        <v>-0.3426573427</v>
      </c>
      <c r="AP924" s="660">
        <f t="shared" si="4742"/>
        <v>-0.4787234043</v>
      </c>
      <c r="AQ924" s="309"/>
      <c r="AR924" s="660">
        <f t="shared" ref="AR924:AR927" si="4769">AR902/AP902-1</f>
        <v>3.469387755</v>
      </c>
      <c r="AS924" s="15">
        <f t="shared" ref="AS924:AU924" si="4743">AS902/AR902-1</f>
        <v>-0.4246575342</v>
      </c>
      <c r="AT924" s="15">
        <f t="shared" si="4743"/>
        <v>0.9920634921</v>
      </c>
      <c r="AU924" s="660">
        <f t="shared" si="4743"/>
        <v>-0.219123506</v>
      </c>
      <c r="AV924" s="309"/>
      <c r="AW924" s="660">
        <f t="shared" ref="AW924:AW927" si="4771">AW902/AU902-1</f>
        <v>0.2755102041</v>
      </c>
      <c r="AX924" s="15">
        <f t="shared" ref="AX924:AZ924" si="4744">AX902/AW902-1</f>
        <v>-0.3</v>
      </c>
      <c r="AY924" s="15">
        <f t="shared" si="4744"/>
        <v>-0.4285714286</v>
      </c>
      <c r="AZ924" s="660">
        <f t="shared" si="4744"/>
        <v>-0.5</v>
      </c>
      <c r="BA924" s="309"/>
      <c r="BB924" s="660">
        <f t="shared" ref="BB924:BB927" si="4773">BB902/AZ902-1</f>
        <v>-1</v>
      </c>
      <c r="BC924" s="15" t="str">
        <f t="shared" ref="BC924:BE924" si="4745">BC902/BB902-1</f>
        <v>#DIV/0!</v>
      </c>
      <c r="BD924" s="15">
        <f t="shared" si="4745"/>
        <v>1</v>
      </c>
      <c r="BE924" s="660">
        <f t="shared" si="4745"/>
        <v>0</v>
      </c>
      <c r="BF924" s="309"/>
      <c r="BG924" s="660">
        <f t="shared" ref="BG924:BG927" si="4775">BG902/BE902-1</f>
        <v>0</v>
      </c>
      <c r="BH924" s="15">
        <f t="shared" ref="BH924:BJ924" si="4746">BH902/BG902-1</f>
        <v>0</v>
      </c>
      <c r="BI924" s="15">
        <f t="shared" si="4746"/>
        <v>0</v>
      </c>
      <c r="BJ924" s="660">
        <f t="shared" si="4746"/>
        <v>0</v>
      </c>
      <c r="BK924" s="309"/>
      <c r="BL924" s="660">
        <f t="shared" ref="BL924:BL927" si="4777">BL902/BJ902-1</f>
        <v>0</v>
      </c>
      <c r="BM924" s="15">
        <f t="shared" ref="BM924:BO924" si="4747">BM902/BL902-1</f>
        <v>0</v>
      </c>
      <c r="BN924" s="15">
        <f t="shared" si="4747"/>
        <v>0</v>
      </c>
      <c r="BO924" s="660">
        <f t="shared" si="4747"/>
        <v>0</v>
      </c>
      <c r="BP924" s="309"/>
      <c r="BQ924" s="660">
        <f t="shared" ref="BQ924:BQ927" si="4779">BQ902/BO902-1</f>
        <v>0</v>
      </c>
      <c r="BR924" s="15">
        <f t="shared" ref="BR924:BT924" si="4748">BR902/BQ902-1</f>
        <v>0</v>
      </c>
      <c r="BS924" s="15">
        <f t="shared" si="4748"/>
        <v>0</v>
      </c>
      <c r="BT924" s="660">
        <f t="shared" si="4748"/>
        <v>0</v>
      </c>
      <c r="BU924" s="309"/>
      <c r="BV924" s="660">
        <f t="shared" ref="BV924:BV927" si="4781">BV902/BT902-1</f>
        <v>0</v>
      </c>
      <c r="BW924" s="15">
        <f t="shared" ref="BW924:BY924" si="4749">BW902/BV902-1</f>
        <v>0</v>
      </c>
      <c r="BX924" s="15">
        <f t="shared" si="4749"/>
        <v>0</v>
      </c>
      <c r="BY924" s="660">
        <f t="shared" si="4749"/>
        <v>0</v>
      </c>
      <c r="BZ924" s="37"/>
      <c r="CA924" s="660">
        <f t="shared" ref="CA924:CA927" si="4783">CA902/BY902-1</f>
        <v>0</v>
      </c>
      <c r="CB924" s="15">
        <f t="shared" ref="CB924:CD924" si="4750">CB902/CA902-1</f>
        <v>0</v>
      </c>
      <c r="CC924" s="15">
        <f t="shared" si="4750"/>
        <v>0</v>
      </c>
      <c r="CD924" s="660">
        <f t="shared" si="4750"/>
        <v>0</v>
      </c>
      <c r="CE924" s="37"/>
      <c r="CF924" s="660">
        <f t="shared" ref="CF924:CF927" si="4785">CF902/CD902-1</f>
        <v>0</v>
      </c>
      <c r="CG924" s="15">
        <f t="shared" ref="CG924:CI924" si="4751">CG902/CF902-1</f>
        <v>0</v>
      </c>
      <c r="CH924" s="15">
        <f t="shared" si="4751"/>
        <v>0</v>
      </c>
      <c r="CI924" s="660">
        <f t="shared" si="4751"/>
        <v>0</v>
      </c>
      <c r="CJ924" s="37"/>
      <c r="CK924" s="660">
        <f t="shared" ref="CK924:CK927" si="4787">CK902/CI902-1</f>
        <v>0</v>
      </c>
      <c r="CL924" s="15">
        <f t="shared" ref="CL924:CN924" si="4752">CL902/CK902-1</f>
        <v>0</v>
      </c>
      <c r="CM924" s="15">
        <f t="shared" si="4752"/>
        <v>0</v>
      </c>
      <c r="CN924" s="83">
        <f t="shared" si="4752"/>
        <v>0</v>
      </c>
      <c r="CO924" s="37"/>
      <c r="CP924" s="83">
        <f t="shared" ref="CP924:CP927" si="4789">CP902/CN902-1</f>
        <v>0</v>
      </c>
      <c r="CQ924" s="15">
        <f t="shared" ref="CQ924:CS924" si="4753">CQ902/CP902-1</f>
        <v>0</v>
      </c>
      <c r="CR924" s="15">
        <f t="shared" si="4753"/>
        <v>0</v>
      </c>
      <c r="CS924" s="660">
        <f t="shared" si="4753"/>
        <v>0</v>
      </c>
      <c r="CT924" s="37"/>
      <c r="CU924" s="660">
        <f t="shared" ref="CU924:CU927" si="4791">CU902/CS902-1</f>
        <v>0</v>
      </c>
      <c r="CV924" s="15">
        <f t="shared" ref="CV924:CX924" si="4754">CV902/CU902-1</f>
        <v>0</v>
      </c>
      <c r="CW924" s="15">
        <f t="shared" si="4754"/>
        <v>0</v>
      </c>
      <c r="CX924" s="660">
        <f t="shared" si="4754"/>
        <v>0</v>
      </c>
      <c r="CY924" s="37"/>
      <c r="CZ924" s="660">
        <f t="shared" ref="CZ924:CZ927" si="4793">CZ902/CX902-1</f>
        <v>0</v>
      </c>
      <c r="DA924" s="15">
        <f t="shared" ref="DA924:DC924" si="4755">DA902/CZ902-1</f>
        <v>0</v>
      </c>
      <c r="DB924" s="15">
        <f t="shared" si="4755"/>
        <v>0</v>
      </c>
      <c r="DC924" s="660">
        <f t="shared" si="4755"/>
        <v>0</v>
      </c>
      <c r="DD924" s="37"/>
      <c r="DE924" s="660">
        <f t="shared" ref="DE924:DE927" si="4795">DE902/DC902-1</f>
        <v>0</v>
      </c>
      <c r="DF924" s="15">
        <f t="shared" ref="DF924:DH924" si="4756">DF902/DE902-1</f>
        <v>0</v>
      </c>
      <c r="DG924" s="40">
        <f t="shared" si="4756"/>
        <v>0</v>
      </c>
      <c r="DH924" s="660">
        <f t="shared" si="4756"/>
        <v>0</v>
      </c>
      <c r="DI924" s="37"/>
      <c r="DJ924" s="83">
        <f t="shared" ref="DJ924:DJ927" si="4797">DJ902/DH902-1</f>
        <v>0</v>
      </c>
      <c r="DK924" s="40">
        <f t="shared" ref="DK924:DM924" si="4757">DK902/DJ902-1</f>
        <v>0</v>
      </c>
      <c r="DL924" s="40">
        <f t="shared" si="4757"/>
        <v>0</v>
      </c>
      <c r="DM924" s="660">
        <f t="shared" si="4757"/>
        <v>0</v>
      </c>
      <c r="DN924" s="37"/>
      <c r="DO924" s="660">
        <f t="shared" ref="DO924:DO927" si="4799">DO902/DM902-1</f>
        <v>0</v>
      </c>
      <c r="DP924" s="15">
        <f t="shared" ref="DP924:DR924" si="4758">DP902/DO902-1</f>
        <v>0</v>
      </c>
      <c r="DQ924" s="15">
        <f t="shared" si="4758"/>
        <v>0</v>
      </c>
      <c r="DR924" s="15">
        <f t="shared" si="4758"/>
        <v>0</v>
      </c>
      <c r="DS924" s="37"/>
      <c r="DT924" s="660">
        <f t="shared" ref="DT924:DT927" si="4801">DT902/DR902-1</f>
        <v>0</v>
      </c>
      <c r="DU924" s="660">
        <f t="shared" ref="DU924:DW924" si="4759">DU902/DT902-1</f>
        <v>0</v>
      </c>
      <c r="DV924" s="660">
        <f t="shared" si="4759"/>
        <v>0</v>
      </c>
      <c r="DW924" s="660">
        <f t="shared" si="4759"/>
        <v>0</v>
      </c>
      <c r="DX924" s="37"/>
      <c r="DY924" s="660">
        <f t="shared" ref="DY924:DY927" si="4803">DY902/DW902-1</f>
        <v>0</v>
      </c>
      <c r="DZ924" s="660">
        <f t="shared" ref="DZ924:EB924" si="4760">DZ902/DY902-1</f>
        <v>0</v>
      </c>
      <c r="EA924" s="660">
        <f t="shared" si="4760"/>
        <v>0</v>
      </c>
      <c r="EB924" s="660">
        <f t="shared" si="4760"/>
        <v>0</v>
      </c>
      <c r="EC924" s="37"/>
      <c r="ED924" s="660">
        <f t="shared" ref="ED924:ED927" si="4805">ED902/EB902-1</f>
        <v>0</v>
      </c>
      <c r="EE924" s="660">
        <f t="shared" ref="EE924:EG924" si="4761">EE902/ED902-1</f>
        <v>0</v>
      </c>
      <c r="EF924" s="660">
        <f t="shared" si="4761"/>
        <v>0</v>
      </c>
      <c r="EG924" s="660">
        <f t="shared" si="4761"/>
        <v>0</v>
      </c>
      <c r="EH924" s="37"/>
      <c r="EI924" s="661">
        <f t="shared" ref="EI924:EI927" si="4807">EI902/EG902-1</f>
        <v>0</v>
      </c>
      <c r="EJ924" s="15">
        <f t="shared" ref="EJ924:EL924" si="4762">EJ902/EI902-1</f>
        <v>0</v>
      </c>
      <c r="EK924" s="15">
        <f t="shared" si="4762"/>
        <v>0</v>
      </c>
      <c r="EL924" s="660">
        <f t="shared" si="4762"/>
        <v>0</v>
      </c>
      <c r="EM924" s="37"/>
      <c r="EN924" s="660">
        <f t="shared" ref="EN924:EN927" si="4809">EN902/EL902-1</f>
        <v>0</v>
      </c>
      <c r="EO924" s="15">
        <f t="shared" ref="EO924:EQ924" si="4763">EO902/EN902-1</f>
        <v>0</v>
      </c>
      <c r="EP924" s="15">
        <f t="shared" si="4763"/>
        <v>0</v>
      </c>
      <c r="EQ924" s="660">
        <f t="shared" si="4763"/>
        <v>0</v>
      </c>
      <c r="ER924" s="37"/>
      <c r="ES924" s="660">
        <f t="shared" ref="ES924:ES927" si="4811">ES902/EQ902-1</f>
        <v>0</v>
      </c>
      <c r="ET924" s="15">
        <f t="shared" ref="ET924:EV924" si="4764">ET902/ES902-1</f>
        <v>0</v>
      </c>
      <c r="EU924" s="15">
        <f t="shared" si="4764"/>
        <v>0</v>
      </c>
      <c r="EV924" s="660">
        <f t="shared" si="4764"/>
        <v>0</v>
      </c>
      <c r="EW924" s="37"/>
      <c r="EX924" s="660">
        <f t="shared" ref="EX924:EX927" si="4813">EX902/EV902-1</f>
        <v>0</v>
      </c>
      <c r="EY924" s="15">
        <f t="shared" ref="EY924:FA924" si="4765">EY902/EX902-1</f>
        <v>0</v>
      </c>
      <c r="EZ924" s="15">
        <f t="shared" si="4765"/>
        <v>0</v>
      </c>
      <c r="FA924" s="660">
        <f t="shared" si="4765"/>
        <v>0</v>
      </c>
      <c r="FB924" s="37"/>
      <c r="FC924" s="660">
        <f t="shared" ref="FC924:FC927" si="4815">FC902/FA902-1</f>
        <v>0</v>
      </c>
      <c r="FD924" s="15">
        <f t="shared" ref="FD924:FF924" si="4766">FD902/FC902-1</f>
        <v>0</v>
      </c>
      <c r="FE924" s="15">
        <f t="shared" si="4766"/>
        <v>0</v>
      </c>
      <c r="FF924" s="660">
        <f t="shared" si="4766"/>
        <v>0</v>
      </c>
      <c r="FG924" s="37"/>
      <c r="FH924" s="35"/>
      <c r="FI924" s="15"/>
      <c r="FJ924" s="660"/>
      <c r="FK924" s="309"/>
      <c r="FL924" s="660"/>
    </row>
    <row r="925" ht="13.5" hidden="1" customHeight="1" outlineLevel="4">
      <c r="A925" s="4"/>
      <c r="B925" s="72" t="str">
        <f t="shared" si="4736"/>
        <v>All other</v>
      </c>
      <c r="C925" s="4"/>
      <c r="D925" s="660"/>
      <c r="E925" s="15"/>
      <c r="F925" s="15"/>
      <c r="G925" s="660"/>
      <c r="H925" s="309"/>
      <c r="I925" s="660"/>
      <c r="J925" s="15"/>
      <c r="K925" s="15"/>
      <c r="L925" s="660"/>
      <c r="M925" s="309"/>
      <c r="N925" s="660"/>
      <c r="O925" s="15"/>
      <c r="P925" s="15"/>
      <c r="Q925" s="660"/>
      <c r="R925" s="309"/>
      <c r="S925" s="660"/>
      <c r="T925" s="15"/>
      <c r="U925" s="15"/>
      <c r="V925" s="660"/>
      <c r="W925" s="309"/>
      <c r="X925" s="660"/>
      <c r="Y925" s="15"/>
      <c r="Z925" s="15"/>
      <c r="AA925" s="660"/>
      <c r="AB925" s="309"/>
      <c r="AC925" s="660"/>
      <c r="AD925" s="15"/>
      <c r="AE925" s="15"/>
      <c r="AF925" s="660"/>
      <c r="AG925" s="309"/>
      <c r="AH925" s="660">
        <f t="shared" si="4737"/>
        <v>-0.5867579909</v>
      </c>
      <c r="AI925" s="15">
        <f t="shared" ref="AI925:AK925" si="4767">AI903/AH903-1</f>
        <v>0.8821362799</v>
      </c>
      <c r="AJ925" s="15">
        <f t="shared" si="4767"/>
        <v>-0.518590998</v>
      </c>
      <c r="AK925" s="660">
        <f t="shared" si="4767"/>
        <v>0.1056910569</v>
      </c>
      <c r="AL925" s="309"/>
      <c r="AM925" s="660">
        <f t="shared" si="4739"/>
        <v>0.09558823529</v>
      </c>
      <c r="AN925" s="15">
        <f t="shared" ref="AN925:AP925" si="4768">AN903/AM903-1</f>
        <v>0.01510067114</v>
      </c>
      <c r="AO925" s="15">
        <f t="shared" si="4768"/>
        <v>0.2991735537</v>
      </c>
      <c r="AP925" s="660">
        <f t="shared" si="4768"/>
        <v>1.605597964</v>
      </c>
      <c r="AQ925" s="309"/>
      <c r="AR925" s="660">
        <f t="shared" si="4769"/>
        <v>-0.6875</v>
      </c>
      <c r="AS925" s="15">
        <f t="shared" ref="AS925:AU925" si="4770">AS903/AR903-1</f>
        <v>-0.121875</v>
      </c>
      <c r="AT925" s="15">
        <f t="shared" si="4770"/>
        <v>-0.409252669</v>
      </c>
      <c r="AU925" s="660">
        <f t="shared" si="4770"/>
        <v>1.337349398</v>
      </c>
      <c r="AV925" s="309"/>
      <c r="AW925" s="660">
        <f t="shared" si="4771"/>
        <v>0</v>
      </c>
      <c r="AX925" s="15">
        <f t="shared" ref="AX925:AZ925" si="4772">AX903/AW903-1</f>
        <v>0</v>
      </c>
      <c r="AY925" s="15">
        <f t="shared" si="4772"/>
        <v>0</v>
      </c>
      <c r="AZ925" s="660">
        <f t="shared" si="4772"/>
        <v>0</v>
      </c>
      <c r="BA925" s="309"/>
      <c r="BB925" s="660">
        <f t="shared" si="4773"/>
        <v>-0.6134020619</v>
      </c>
      <c r="BC925" s="15">
        <f t="shared" ref="BC925:BE925" si="4774">BC903/BB903-1</f>
        <v>0</v>
      </c>
      <c r="BD925" s="15">
        <f t="shared" si="4774"/>
        <v>0</v>
      </c>
      <c r="BE925" s="660">
        <f t="shared" si="4774"/>
        <v>0</v>
      </c>
      <c r="BF925" s="309"/>
      <c r="BG925" s="660">
        <f t="shared" si="4775"/>
        <v>0</v>
      </c>
      <c r="BH925" s="15">
        <f t="shared" ref="BH925:BJ925" si="4776">BH903/BG903-1</f>
        <v>0</v>
      </c>
      <c r="BI925" s="15">
        <f t="shared" si="4776"/>
        <v>0</v>
      </c>
      <c r="BJ925" s="660">
        <f t="shared" si="4776"/>
        <v>0</v>
      </c>
      <c r="BK925" s="309"/>
      <c r="BL925" s="660">
        <f t="shared" si="4777"/>
        <v>0</v>
      </c>
      <c r="BM925" s="15">
        <f t="shared" ref="BM925:BO925" si="4778">BM903/BL903-1</f>
        <v>0</v>
      </c>
      <c r="BN925" s="15">
        <f t="shared" si="4778"/>
        <v>0</v>
      </c>
      <c r="BO925" s="660">
        <f t="shared" si="4778"/>
        <v>0</v>
      </c>
      <c r="BP925" s="309"/>
      <c r="BQ925" s="660">
        <f t="shared" si="4779"/>
        <v>0</v>
      </c>
      <c r="BR925" s="15">
        <f t="shared" ref="BR925:BT925" si="4780">BR903/BQ903-1</f>
        <v>0</v>
      </c>
      <c r="BS925" s="15">
        <f t="shared" si="4780"/>
        <v>0</v>
      </c>
      <c r="BT925" s="660">
        <f t="shared" si="4780"/>
        <v>0</v>
      </c>
      <c r="BU925" s="309"/>
      <c r="BV925" s="660">
        <f t="shared" si="4781"/>
        <v>0</v>
      </c>
      <c r="BW925" s="15">
        <f t="shared" ref="BW925:BY925" si="4782">BW903/BV903-1</f>
        <v>0</v>
      </c>
      <c r="BX925" s="15">
        <f t="shared" si="4782"/>
        <v>0</v>
      </c>
      <c r="BY925" s="660">
        <f t="shared" si="4782"/>
        <v>0</v>
      </c>
      <c r="BZ925" s="37"/>
      <c r="CA925" s="660">
        <f t="shared" si="4783"/>
        <v>0</v>
      </c>
      <c r="CB925" s="15">
        <f t="shared" ref="CB925:CD925" si="4784">CB903/CA903-1</f>
        <v>0</v>
      </c>
      <c r="CC925" s="15">
        <f t="shared" si="4784"/>
        <v>0</v>
      </c>
      <c r="CD925" s="660">
        <f t="shared" si="4784"/>
        <v>0</v>
      </c>
      <c r="CE925" s="37"/>
      <c r="CF925" s="660">
        <f t="shared" si="4785"/>
        <v>0</v>
      </c>
      <c r="CG925" s="15">
        <f t="shared" ref="CG925:CI925" si="4786">CG903/CF903-1</f>
        <v>0</v>
      </c>
      <c r="CH925" s="15">
        <f t="shared" si="4786"/>
        <v>0</v>
      </c>
      <c r="CI925" s="660">
        <f t="shared" si="4786"/>
        <v>0</v>
      </c>
      <c r="CJ925" s="37"/>
      <c r="CK925" s="660">
        <f t="shared" si="4787"/>
        <v>0</v>
      </c>
      <c r="CL925" s="15">
        <f t="shared" ref="CL925:CN925" si="4788">CL903/CK903-1</f>
        <v>0</v>
      </c>
      <c r="CM925" s="15">
        <f t="shared" si="4788"/>
        <v>0</v>
      </c>
      <c r="CN925" s="83">
        <f t="shared" si="4788"/>
        <v>0</v>
      </c>
      <c r="CO925" s="37"/>
      <c r="CP925" s="83">
        <f t="shared" si="4789"/>
        <v>0</v>
      </c>
      <c r="CQ925" s="15">
        <f t="shared" ref="CQ925:CS925" si="4790">CQ903/CP903-1</f>
        <v>0</v>
      </c>
      <c r="CR925" s="15">
        <f t="shared" si="4790"/>
        <v>0</v>
      </c>
      <c r="CS925" s="660">
        <f t="shared" si="4790"/>
        <v>0</v>
      </c>
      <c r="CT925" s="37"/>
      <c r="CU925" s="660">
        <f t="shared" si="4791"/>
        <v>0</v>
      </c>
      <c r="CV925" s="15">
        <f t="shared" ref="CV925:CX925" si="4792">CV903/CU903-1</f>
        <v>0</v>
      </c>
      <c r="CW925" s="15">
        <f t="shared" si="4792"/>
        <v>0</v>
      </c>
      <c r="CX925" s="660">
        <f t="shared" si="4792"/>
        <v>0</v>
      </c>
      <c r="CY925" s="37"/>
      <c r="CZ925" s="660">
        <f t="shared" si="4793"/>
        <v>0</v>
      </c>
      <c r="DA925" s="15">
        <f t="shared" ref="DA925:DC925" si="4794">DA903/CZ903-1</f>
        <v>0</v>
      </c>
      <c r="DB925" s="15">
        <f t="shared" si="4794"/>
        <v>0</v>
      </c>
      <c r="DC925" s="660">
        <f t="shared" si="4794"/>
        <v>0</v>
      </c>
      <c r="DD925" s="37"/>
      <c r="DE925" s="660">
        <f t="shared" si="4795"/>
        <v>0</v>
      </c>
      <c r="DF925" s="15">
        <f t="shared" ref="DF925:DH925" si="4796">DF903/DE903-1</f>
        <v>0</v>
      </c>
      <c r="DG925" s="40">
        <f t="shared" si="4796"/>
        <v>0</v>
      </c>
      <c r="DH925" s="660">
        <f t="shared" si="4796"/>
        <v>0</v>
      </c>
      <c r="DI925" s="37"/>
      <c r="DJ925" s="83">
        <f t="shared" si="4797"/>
        <v>0</v>
      </c>
      <c r="DK925" s="40">
        <f t="shared" ref="DK925:DM925" si="4798">DK903/DJ903-1</f>
        <v>0</v>
      </c>
      <c r="DL925" s="40">
        <f t="shared" si="4798"/>
        <v>0</v>
      </c>
      <c r="DM925" s="660">
        <f t="shared" si="4798"/>
        <v>0</v>
      </c>
      <c r="DN925" s="37"/>
      <c r="DO925" s="660">
        <f t="shared" si="4799"/>
        <v>0</v>
      </c>
      <c r="DP925" s="15">
        <f t="shared" ref="DP925:DR925" si="4800">DP903/DO903-1</f>
        <v>0</v>
      </c>
      <c r="DQ925" s="15">
        <f t="shared" si="4800"/>
        <v>0</v>
      </c>
      <c r="DR925" s="15">
        <f t="shared" si="4800"/>
        <v>0</v>
      </c>
      <c r="DS925" s="37"/>
      <c r="DT925" s="660">
        <f t="shared" si="4801"/>
        <v>0</v>
      </c>
      <c r="DU925" s="660">
        <f t="shared" ref="DU925:DW925" si="4802">DU903/DT903-1</f>
        <v>0</v>
      </c>
      <c r="DV925" s="660">
        <f t="shared" si="4802"/>
        <v>0</v>
      </c>
      <c r="DW925" s="660">
        <f t="shared" si="4802"/>
        <v>0</v>
      </c>
      <c r="DX925" s="37"/>
      <c r="DY925" s="660">
        <f t="shared" si="4803"/>
        <v>0</v>
      </c>
      <c r="DZ925" s="660">
        <f t="shared" ref="DZ925:EB925" si="4804">DZ903/DY903-1</f>
        <v>0</v>
      </c>
      <c r="EA925" s="660">
        <f t="shared" si="4804"/>
        <v>0</v>
      </c>
      <c r="EB925" s="660">
        <f t="shared" si="4804"/>
        <v>0</v>
      </c>
      <c r="EC925" s="37"/>
      <c r="ED925" s="660">
        <f t="shared" si="4805"/>
        <v>0</v>
      </c>
      <c r="EE925" s="660">
        <f t="shared" ref="EE925:EG925" si="4806">EE903/ED903-1</f>
        <v>0</v>
      </c>
      <c r="EF925" s="660">
        <f t="shared" si="4806"/>
        <v>0</v>
      </c>
      <c r="EG925" s="660">
        <f t="shared" si="4806"/>
        <v>0</v>
      </c>
      <c r="EH925" s="37"/>
      <c r="EI925" s="661">
        <f t="shared" si="4807"/>
        <v>0</v>
      </c>
      <c r="EJ925" s="15">
        <f t="shared" ref="EJ925:EL925" si="4808">EJ903/EI903-1</f>
        <v>0</v>
      </c>
      <c r="EK925" s="15">
        <f t="shared" si="4808"/>
        <v>0</v>
      </c>
      <c r="EL925" s="660">
        <f t="shared" si="4808"/>
        <v>0</v>
      </c>
      <c r="EM925" s="37"/>
      <c r="EN925" s="660">
        <f t="shared" si="4809"/>
        <v>0</v>
      </c>
      <c r="EO925" s="15">
        <f t="shared" ref="EO925:EQ925" si="4810">EO903/EN903-1</f>
        <v>0</v>
      </c>
      <c r="EP925" s="15">
        <f t="shared" si="4810"/>
        <v>0</v>
      </c>
      <c r="EQ925" s="660">
        <f t="shared" si="4810"/>
        <v>0</v>
      </c>
      <c r="ER925" s="37"/>
      <c r="ES925" s="660">
        <f t="shared" si="4811"/>
        <v>0</v>
      </c>
      <c r="ET925" s="15">
        <f t="shared" ref="ET925:EV925" si="4812">ET903/ES903-1</f>
        <v>0</v>
      </c>
      <c r="EU925" s="15">
        <f t="shared" si="4812"/>
        <v>0</v>
      </c>
      <c r="EV925" s="660">
        <f t="shared" si="4812"/>
        <v>0</v>
      </c>
      <c r="EW925" s="37"/>
      <c r="EX925" s="660">
        <f t="shared" si="4813"/>
        <v>0</v>
      </c>
      <c r="EY925" s="15">
        <f t="shared" ref="EY925:FA925" si="4814">EY903/EX903-1</f>
        <v>0</v>
      </c>
      <c r="EZ925" s="15">
        <f t="shared" si="4814"/>
        <v>0</v>
      </c>
      <c r="FA925" s="660">
        <f t="shared" si="4814"/>
        <v>0</v>
      </c>
      <c r="FB925" s="37"/>
      <c r="FC925" s="660">
        <f t="shared" si="4815"/>
        <v>0</v>
      </c>
      <c r="FD925" s="15">
        <f t="shared" ref="FD925:FF925" si="4816">FD903/FC903-1</f>
        <v>0</v>
      </c>
      <c r="FE925" s="15">
        <f t="shared" si="4816"/>
        <v>0</v>
      </c>
      <c r="FF925" s="660">
        <f t="shared" si="4816"/>
        <v>0</v>
      </c>
      <c r="FG925" s="37"/>
      <c r="FH925" s="35"/>
      <c r="FI925" s="15"/>
      <c r="FJ925" s="660"/>
      <c r="FK925" s="309"/>
      <c r="FL925" s="660"/>
    </row>
    <row r="926" ht="13.5" hidden="1" customHeight="1" outlineLevel="2">
      <c r="A926" s="4"/>
      <c r="B926" s="4" t="str">
        <f t="shared" si="4736"/>
        <v>ICG/All other</v>
      </c>
      <c r="C926" s="4"/>
      <c r="D926" s="660"/>
      <c r="E926" s="660"/>
      <c r="F926" s="660"/>
      <c r="G926" s="660"/>
      <c r="H926" s="309"/>
      <c r="I926" s="660"/>
      <c r="J926" s="660"/>
      <c r="K926" s="660"/>
      <c r="L926" s="660"/>
      <c r="M926" s="309"/>
      <c r="N926" s="660"/>
      <c r="O926" s="660"/>
      <c r="P926" s="660"/>
      <c r="Q926" s="660"/>
      <c r="R926" s="309"/>
      <c r="S926" s="660">
        <f>S904/Q904-1</f>
        <v>-0.2400990099</v>
      </c>
      <c r="T926" s="660">
        <f t="shared" ref="T926:V926" si="4817">T904/S904-1</f>
        <v>-1.048859935</v>
      </c>
      <c r="U926" s="660">
        <f t="shared" si="4817"/>
        <v>-46</v>
      </c>
      <c r="V926" s="660">
        <f t="shared" si="4817"/>
        <v>-0.1688888889</v>
      </c>
      <c r="W926" s="309"/>
      <c r="X926" s="660">
        <f>X904/V904-1</f>
        <v>-0.1871657754</v>
      </c>
      <c r="Y926" s="660">
        <f t="shared" ref="Y926:AA926" si="4818">Y904/X904-1</f>
        <v>0.2346491228</v>
      </c>
      <c r="Z926" s="660">
        <f t="shared" si="4818"/>
        <v>-0.1296625222</v>
      </c>
      <c r="AA926" s="660">
        <f t="shared" si="4818"/>
        <v>0.2959183673</v>
      </c>
      <c r="AB926" s="309"/>
      <c r="AC926" s="660">
        <f>AC904/AA904-1</f>
        <v>0.6125984252</v>
      </c>
      <c r="AD926" s="660">
        <f t="shared" ref="AD926:AF926" si="4819">AD904/AC904-1</f>
        <v>0.2001953125</v>
      </c>
      <c r="AE926" s="660">
        <f t="shared" si="4819"/>
        <v>-0.2359641985</v>
      </c>
      <c r="AF926" s="660">
        <f t="shared" si="4819"/>
        <v>-0.1427050053</v>
      </c>
      <c r="AG926" s="309"/>
      <c r="AH926" s="660">
        <f t="shared" si="4737"/>
        <v>-0.3931677019</v>
      </c>
      <c r="AI926" s="660">
        <f t="shared" ref="AI926:AK926" si="4820">AI904/AH904-1</f>
        <v>0.4994882293</v>
      </c>
      <c r="AJ926" s="660">
        <f t="shared" si="4820"/>
        <v>-0.3836177474</v>
      </c>
      <c r="AK926" s="660">
        <f t="shared" si="4820"/>
        <v>0.1893687708</v>
      </c>
      <c r="AL926" s="309"/>
      <c r="AM926" s="660">
        <f t="shared" si="4739"/>
        <v>-0.009310986965</v>
      </c>
      <c r="AN926" s="660">
        <f t="shared" ref="AN926:AP926" si="4821">AN904/AM904-1</f>
        <v>0.06203007519</v>
      </c>
      <c r="AO926" s="660">
        <f t="shared" si="4821"/>
        <v>0.0814159292</v>
      </c>
      <c r="AP926" s="660">
        <f t="shared" si="4821"/>
        <v>0.914893617</v>
      </c>
      <c r="AQ926" s="309"/>
      <c r="AR926" s="660">
        <f t="shared" si="4769"/>
        <v>-0.5393162393</v>
      </c>
      <c r="AS926" s="660">
        <f t="shared" ref="AS926:AU926" si="4822">AS904/AR904-1</f>
        <v>-0.2448979592</v>
      </c>
      <c r="AT926" s="660">
        <f t="shared" si="4822"/>
        <v>0.02457002457</v>
      </c>
      <c r="AU926" s="660">
        <f t="shared" si="4822"/>
        <v>0.4004796163</v>
      </c>
      <c r="AV926" s="309"/>
      <c r="AW926" s="660">
        <f t="shared" si="4771"/>
        <v>0.09246575342</v>
      </c>
      <c r="AX926" s="660">
        <f t="shared" ref="AX926:AZ926" si="4823">AX904/AW904-1</f>
        <v>-0.1175548589</v>
      </c>
      <c r="AY926" s="660">
        <f t="shared" si="4823"/>
        <v>-0.1332149201</v>
      </c>
      <c r="AZ926" s="660">
        <f t="shared" si="4823"/>
        <v>-0.1024590164</v>
      </c>
      <c r="BA926" s="309"/>
      <c r="BB926" s="660">
        <f t="shared" si="4773"/>
        <v>-0.6575342466</v>
      </c>
      <c r="BC926" s="660">
        <f t="shared" ref="BC926:BE926" si="4824">BC904/BB904-1</f>
        <v>-0.1666666667</v>
      </c>
      <c r="BD926" s="660">
        <f t="shared" si="4824"/>
        <v>-0.2</v>
      </c>
      <c r="BE926" s="660">
        <f t="shared" si="4824"/>
        <v>0</v>
      </c>
      <c r="BF926" s="309"/>
      <c r="BG926" s="660">
        <f t="shared" si="4775"/>
        <v>0</v>
      </c>
      <c r="BH926" s="660">
        <f t="shared" ref="BH926:BJ926" si="4825">BH904/BG904-1</f>
        <v>0</v>
      </c>
      <c r="BI926" s="660">
        <f t="shared" si="4825"/>
        <v>0</v>
      </c>
      <c r="BJ926" s="660">
        <f t="shared" si="4825"/>
        <v>0</v>
      </c>
      <c r="BK926" s="309"/>
      <c r="BL926" s="660">
        <f t="shared" si="4777"/>
        <v>0</v>
      </c>
      <c r="BM926" s="660">
        <f t="shared" ref="BM926:BO926" si="4826">BM904/BL904-1</f>
        <v>0</v>
      </c>
      <c r="BN926" s="660">
        <f t="shared" si="4826"/>
        <v>0</v>
      </c>
      <c r="BO926" s="660">
        <f t="shared" si="4826"/>
        <v>0</v>
      </c>
      <c r="BP926" s="309"/>
      <c r="BQ926" s="660">
        <f t="shared" si="4779"/>
        <v>0</v>
      </c>
      <c r="BR926" s="660">
        <f t="shared" ref="BR926:BT926" si="4827">BR904/BQ904-1</f>
        <v>0</v>
      </c>
      <c r="BS926" s="660">
        <f t="shared" si="4827"/>
        <v>0</v>
      </c>
      <c r="BT926" s="660">
        <f t="shared" si="4827"/>
        <v>0</v>
      </c>
      <c r="BU926" s="309"/>
      <c r="BV926" s="660">
        <f t="shared" si="4781"/>
        <v>0</v>
      </c>
      <c r="BW926" s="660">
        <f t="shared" ref="BW926:BY926" si="4828">BW904/BV904-1</f>
        <v>0</v>
      </c>
      <c r="BX926" s="660">
        <f t="shared" si="4828"/>
        <v>0</v>
      </c>
      <c r="BY926" s="660">
        <f t="shared" si="4828"/>
        <v>0</v>
      </c>
      <c r="BZ926" s="37"/>
      <c r="CA926" s="660">
        <f t="shared" si="4783"/>
        <v>0</v>
      </c>
      <c r="CB926" s="660">
        <f t="shared" ref="CB926:CD926" si="4829">CB904/CA904-1</f>
        <v>0</v>
      </c>
      <c r="CC926" s="660">
        <f t="shared" si="4829"/>
        <v>0</v>
      </c>
      <c r="CD926" s="660">
        <f t="shared" si="4829"/>
        <v>0</v>
      </c>
      <c r="CE926" s="37"/>
      <c r="CF926" s="660">
        <f t="shared" si="4785"/>
        <v>0</v>
      </c>
      <c r="CG926" s="660">
        <f t="shared" ref="CG926:CI926" si="4830">CG904/CF904-1</f>
        <v>0</v>
      </c>
      <c r="CH926" s="660">
        <f t="shared" si="4830"/>
        <v>0</v>
      </c>
      <c r="CI926" s="660">
        <f t="shared" si="4830"/>
        <v>0</v>
      </c>
      <c r="CJ926" s="37"/>
      <c r="CK926" s="660">
        <f t="shared" si="4787"/>
        <v>0</v>
      </c>
      <c r="CL926" s="660">
        <f t="shared" ref="CL926:CN926" si="4831">CL904/CK904-1</f>
        <v>0</v>
      </c>
      <c r="CM926" s="660">
        <f t="shared" si="4831"/>
        <v>0</v>
      </c>
      <c r="CN926" s="83">
        <f t="shared" si="4831"/>
        <v>0</v>
      </c>
      <c r="CO926" s="37"/>
      <c r="CP926" s="83">
        <f t="shared" si="4789"/>
        <v>0</v>
      </c>
      <c r="CQ926" s="660">
        <f t="shared" ref="CQ926:CS926" si="4832">CQ904/CP904-1</f>
        <v>0</v>
      </c>
      <c r="CR926" s="660">
        <f t="shared" si="4832"/>
        <v>0</v>
      </c>
      <c r="CS926" s="660">
        <f t="shared" si="4832"/>
        <v>0</v>
      </c>
      <c r="CT926" s="37"/>
      <c r="CU926" s="660">
        <f t="shared" si="4791"/>
        <v>0</v>
      </c>
      <c r="CV926" s="660">
        <f t="shared" ref="CV926:CX926" si="4833">CV904/CU904-1</f>
        <v>0</v>
      </c>
      <c r="CW926" s="660">
        <f t="shared" si="4833"/>
        <v>0</v>
      </c>
      <c r="CX926" s="660">
        <f t="shared" si="4833"/>
        <v>0</v>
      </c>
      <c r="CY926" s="37"/>
      <c r="CZ926" s="660">
        <f t="shared" si="4793"/>
        <v>0</v>
      </c>
      <c r="DA926" s="660">
        <f t="shared" ref="DA926:DC926" si="4834">DA904/CZ904-1</f>
        <v>0</v>
      </c>
      <c r="DB926" s="660">
        <f t="shared" si="4834"/>
        <v>0</v>
      </c>
      <c r="DC926" s="660">
        <f t="shared" si="4834"/>
        <v>0</v>
      </c>
      <c r="DD926" s="37"/>
      <c r="DE926" s="660">
        <f t="shared" si="4795"/>
        <v>0</v>
      </c>
      <c r="DF926" s="660">
        <f t="shared" ref="DF926:DH926" si="4835">DF904/DE904-1</f>
        <v>0</v>
      </c>
      <c r="DG926" s="83">
        <f t="shared" si="4835"/>
        <v>0</v>
      </c>
      <c r="DH926" s="660">
        <f t="shared" si="4835"/>
        <v>0</v>
      </c>
      <c r="DI926" s="37"/>
      <c r="DJ926" s="83">
        <f t="shared" si="4797"/>
        <v>0</v>
      </c>
      <c r="DK926" s="83">
        <f t="shared" ref="DK926:DM926" si="4836">DK904/DJ904-1</f>
        <v>0</v>
      </c>
      <c r="DL926" s="83">
        <f t="shared" si="4836"/>
        <v>0</v>
      </c>
      <c r="DM926" s="660">
        <f t="shared" si="4836"/>
        <v>0</v>
      </c>
      <c r="DN926" s="37"/>
      <c r="DO926" s="660">
        <f t="shared" si="4799"/>
        <v>0</v>
      </c>
      <c r="DP926" s="660">
        <f t="shared" ref="DP926:DR926" si="4837">DP904/DO904-1</f>
        <v>0</v>
      </c>
      <c r="DQ926" s="660">
        <f t="shared" si="4837"/>
        <v>0</v>
      </c>
      <c r="DR926" s="660">
        <f t="shared" si="4837"/>
        <v>0</v>
      </c>
      <c r="DS926" s="37"/>
      <c r="DT926" s="660">
        <f t="shared" si="4801"/>
        <v>0</v>
      </c>
      <c r="DU926" s="660">
        <f t="shared" ref="DU926:DW926" si="4838">DU904/DT904-1</f>
        <v>0</v>
      </c>
      <c r="DV926" s="660">
        <f t="shared" si="4838"/>
        <v>0</v>
      </c>
      <c r="DW926" s="660">
        <f t="shared" si="4838"/>
        <v>0</v>
      </c>
      <c r="DX926" s="37"/>
      <c r="DY926" s="660">
        <f t="shared" si="4803"/>
        <v>0</v>
      </c>
      <c r="DZ926" s="660">
        <f t="shared" ref="DZ926:EB926" si="4839">DZ904/DY904-1</f>
        <v>0</v>
      </c>
      <c r="EA926" s="660">
        <f t="shared" si="4839"/>
        <v>0</v>
      </c>
      <c r="EB926" s="660">
        <f t="shared" si="4839"/>
        <v>0</v>
      </c>
      <c r="EC926" s="37"/>
      <c r="ED926" s="660">
        <f t="shared" si="4805"/>
        <v>0</v>
      </c>
      <c r="EE926" s="660">
        <f t="shared" ref="EE926:EG926" si="4840">EE904/ED904-1</f>
        <v>0</v>
      </c>
      <c r="EF926" s="660">
        <f t="shared" si="4840"/>
        <v>0</v>
      </c>
      <c r="EG926" s="660">
        <f t="shared" si="4840"/>
        <v>0</v>
      </c>
      <c r="EH926" s="37"/>
      <c r="EI926" s="661">
        <f t="shared" si="4807"/>
        <v>0</v>
      </c>
      <c r="EJ926" s="660">
        <f t="shared" ref="EJ926:EL926" si="4841">EJ904/EI904-1</f>
        <v>0</v>
      </c>
      <c r="EK926" s="660">
        <f t="shared" si="4841"/>
        <v>0</v>
      </c>
      <c r="EL926" s="660">
        <f t="shared" si="4841"/>
        <v>0</v>
      </c>
      <c r="EM926" s="37"/>
      <c r="EN926" s="660">
        <f t="shared" si="4809"/>
        <v>0</v>
      </c>
      <c r="EO926" s="660">
        <f t="shared" ref="EO926:EQ926" si="4842">EO904/EN904-1</f>
        <v>0</v>
      </c>
      <c r="EP926" s="660">
        <f t="shared" si="4842"/>
        <v>0</v>
      </c>
      <c r="EQ926" s="660">
        <f t="shared" si="4842"/>
        <v>0</v>
      </c>
      <c r="ER926" s="37"/>
      <c r="ES926" s="660">
        <f t="shared" si="4811"/>
        <v>0</v>
      </c>
      <c r="ET926" s="660">
        <f t="shared" ref="ET926:EV926" si="4843">ET904/ES904-1</f>
        <v>0</v>
      </c>
      <c r="EU926" s="660">
        <f t="shared" si="4843"/>
        <v>0</v>
      </c>
      <c r="EV926" s="660">
        <f t="shared" si="4843"/>
        <v>0</v>
      </c>
      <c r="EW926" s="37"/>
      <c r="EX926" s="660">
        <f t="shared" si="4813"/>
        <v>0</v>
      </c>
      <c r="EY926" s="660">
        <f t="shared" ref="EY926:FA926" si="4844">EY904/EX904-1</f>
        <v>0</v>
      </c>
      <c r="EZ926" s="660">
        <f t="shared" si="4844"/>
        <v>0</v>
      </c>
      <c r="FA926" s="660">
        <f t="shared" si="4844"/>
        <v>0</v>
      </c>
      <c r="FB926" s="37"/>
      <c r="FC926" s="660">
        <f t="shared" si="4815"/>
        <v>0</v>
      </c>
      <c r="FD926" s="660">
        <f t="shared" ref="FD926:FF926" si="4845">FD904/FC904-1</f>
        <v>0</v>
      </c>
      <c r="FE926" s="660">
        <f t="shared" si="4845"/>
        <v>0</v>
      </c>
      <c r="FF926" s="660">
        <f t="shared" si="4845"/>
        <v>0</v>
      </c>
      <c r="FG926" s="37"/>
      <c r="FH926" s="35"/>
      <c r="FI926" s="660"/>
      <c r="FJ926" s="660"/>
      <c r="FK926" s="309"/>
      <c r="FL926" s="660"/>
    </row>
    <row r="927" ht="13.5" hidden="1" customHeight="1" outlineLevel="2">
      <c r="A927" s="4"/>
      <c r="B927" s="529" t="s">
        <v>338</v>
      </c>
      <c r="C927" s="529"/>
      <c r="D927" s="596"/>
      <c r="E927" s="596"/>
      <c r="F927" s="596"/>
      <c r="G927" s="596"/>
      <c r="H927" s="662"/>
      <c r="I927" s="596"/>
      <c r="J927" s="596"/>
      <c r="K927" s="596"/>
      <c r="L927" s="596"/>
      <c r="M927" s="662"/>
      <c r="N927" s="596"/>
      <c r="O927" s="596"/>
      <c r="P927" s="596"/>
      <c r="Q927" s="596"/>
      <c r="R927" s="662"/>
      <c r="S927" s="596"/>
      <c r="T927" s="596"/>
      <c r="U927" s="596"/>
      <c r="V927" s="596"/>
      <c r="W927" s="662"/>
      <c r="X927" s="596"/>
      <c r="Y927" s="596"/>
      <c r="Z927" s="596"/>
      <c r="AA927" s="596"/>
      <c r="AB927" s="662"/>
      <c r="AC927" s="596"/>
      <c r="AD927" s="596"/>
      <c r="AE927" s="596"/>
      <c r="AF927" s="596"/>
      <c r="AG927" s="662"/>
      <c r="AH927" s="596">
        <f t="shared" si="4737"/>
        <v>0.3067393459</v>
      </c>
      <c r="AI927" s="596">
        <f t="shared" ref="AI927:AK927" si="4846">AI905/AH905-1</f>
        <v>-0.5164960182</v>
      </c>
      <c r="AJ927" s="596">
        <f t="shared" si="4846"/>
        <v>0.5098039216</v>
      </c>
      <c r="AK927" s="596">
        <f t="shared" si="4846"/>
        <v>0.521038961</v>
      </c>
      <c r="AL927" s="662"/>
      <c r="AM927" s="596">
        <f t="shared" si="4739"/>
        <v>-0.06010928962</v>
      </c>
      <c r="AN927" s="596">
        <f t="shared" ref="AN927:AP927" si="4847">AN905/AM905-1</f>
        <v>-0.0726744186</v>
      </c>
      <c r="AO927" s="596">
        <f t="shared" si="4847"/>
        <v>0.8056426332</v>
      </c>
      <c r="AP927" s="596">
        <f t="shared" si="4847"/>
        <v>0.1119791667</v>
      </c>
      <c r="AQ927" s="662"/>
      <c r="AR927" s="596">
        <f t="shared" si="4769"/>
        <v>-0.03356752537</v>
      </c>
      <c r="AS927" s="596">
        <f t="shared" ref="AS927:AU927" si="4848">AS905/AR905-1</f>
        <v>-0.03836833603</v>
      </c>
      <c r="AT927" s="596">
        <f t="shared" si="4848"/>
        <v>-0.003359932801</v>
      </c>
      <c r="AU927" s="596">
        <f t="shared" si="4848"/>
        <v>0.2220817531</v>
      </c>
      <c r="AV927" s="662"/>
      <c r="AW927" s="596">
        <f t="shared" si="4771"/>
        <v>0.04551724138</v>
      </c>
      <c r="AX927" s="596">
        <f t="shared" ref="AX927:AZ927" si="4849">AX905/AW905-1</f>
        <v>-0.1263192612</v>
      </c>
      <c r="AY927" s="596">
        <f t="shared" si="4849"/>
        <v>0.2231030578</v>
      </c>
      <c r="AZ927" s="596">
        <f t="shared" si="4849"/>
        <v>0.0212962963</v>
      </c>
      <c r="BA927" s="662"/>
      <c r="BB927" s="596">
        <f t="shared" si="4773"/>
        <v>-0.4808099124</v>
      </c>
      <c r="BC927" s="596">
        <f t="shared" ref="BC927:BE927" si="4850">BC905/BB905-1</f>
        <v>-0.3760186263</v>
      </c>
      <c r="BD927" s="596">
        <f t="shared" si="4850"/>
        <v>0.2817164179</v>
      </c>
      <c r="BE927" s="596">
        <f t="shared" si="4850"/>
        <v>0.08296943231</v>
      </c>
      <c r="BF927" s="662"/>
      <c r="BG927" s="596">
        <f t="shared" si="4775"/>
        <v>0.125672043</v>
      </c>
      <c r="BH927" s="596">
        <f t="shared" ref="BH927:BJ927" si="4851">BH905/BG905-1</f>
        <v>-0.1940298507</v>
      </c>
      <c r="BI927" s="596">
        <f t="shared" si="4851"/>
        <v>0.6718518519</v>
      </c>
      <c r="BJ927" s="596">
        <f t="shared" si="4851"/>
        <v>0.3500221533</v>
      </c>
      <c r="BK927" s="662"/>
      <c r="BL927" s="596">
        <f t="shared" si="4777"/>
        <v>-0.323268789</v>
      </c>
      <c r="BM927" s="596">
        <f t="shared" ref="BM927:BO927" si="4852">BM905/BL905-1</f>
        <v>0.09359844811</v>
      </c>
      <c r="BN927" s="596">
        <f t="shared" si="4852"/>
        <v>0.3738359202</v>
      </c>
      <c r="BO927" s="596">
        <f t="shared" si="4852"/>
        <v>-0.503227889</v>
      </c>
      <c r="BP927" s="662"/>
      <c r="BQ927" s="596">
        <f t="shared" si="4779"/>
        <v>-0.579597141</v>
      </c>
      <c r="BR927" s="596">
        <f t="shared" ref="BR927:BT927" si="4853">BR905/BQ905-1</f>
        <v>1.217928903</v>
      </c>
      <c r="BS927" s="596">
        <f t="shared" si="4853"/>
        <v>0.7972125436</v>
      </c>
      <c r="BT927" s="596">
        <f t="shared" si="4853"/>
        <v>0.4528887166</v>
      </c>
      <c r="BU927" s="662"/>
      <c r="BV927" s="596">
        <f t="shared" si="4781"/>
        <v>-0.07979717107</v>
      </c>
      <c r="BW927" s="596">
        <f t="shared" ref="BW927:BY927" si="4854">BW905/BV905-1</f>
        <v>0.1545823666</v>
      </c>
      <c r="BX927" s="596">
        <f t="shared" si="4854"/>
        <v>0.03893494097</v>
      </c>
      <c r="BY927" s="596">
        <f t="shared" si="4854"/>
        <v>-0.02732108317</v>
      </c>
      <c r="BZ927" s="663"/>
      <c r="CA927" s="596">
        <f t="shared" si="4783"/>
        <v>0.03355704698</v>
      </c>
      <c r="CB927" s="596">
        <f t="shared" ref="CB927:CD927" si="4855">CB905/CA905-1</f>
        <v>-0.05363155363</v>
      </c>
      <c r="CC927" s="596">
        <f t="shared" si="4855"/>
        <v>0.2160101652</v>
      </c>
      <c r="CD927" s="596">
        <f t="shared" si="4855"/>
        <v>-0.03887147335</v>
      </c>
      <c r="CE927" s="663"/>
      <c r="CF927" s="596">
        <f t="shared" si="4785"/>
        <v>-0.1715590346</v>
      </c>
      <c r="CG927" s="596">
        <f t="shared" ref="CG927:CI927" si="4856">CG905/CF905-1</f>
        <v>0.005774278215</v>
      </c>
      <c r="CH927" s="596">
        <f t="shared" si="4856"/>
        <v>0.002348643006</v>
      </c>
      <c r="CI927" s="596">
        <f t="shared" si="4856"/>
        <v>-0.1785993231</v>
      </c>
      <c r="CJ927" s="663"/>
      <c r="CK927" s="596">
        <f t="shared" si="4787"/>
        <v>-0.2015847861</v>
      </c>
      <c r="CL927" s="596">
        <f t="shared" ref="CL927:CN927" si="4857">CL905/CK905-1</f>
        <v>0.07939658595</v>
      </c>
      <c r="CM927" s="596">
        <f t="shared" si="4857"/>
        <v>0.2887090842</v>
      </c>
      <c r="CN927" s="595">
        <f t="shared" si="4857"/>
        <v>0.01284246575</v>
      </c>
      <c r="CO927" s="663"/>
      <c r="CP927" s="595">
        <f t="shared" si="4789"/>
        <v>-0.2862778247</v>
      </c>
      <c r="CQ927" s="596">
        <f t="shared" ref="CQ927:CS927" si="4858">CQ905/CP905-1</f>
        <v>0.5175681011</v>
      </c>
      <c r="CR927" s="596">
        <f t="shared" si="4858"/>
        <v>0.1810613944</v>
      </c>
      <c r="CS927" s="596">
        <f t="shared" si="4858"/>
        <v>-0.01916299559</v>
      </c>
      <c r="CT927" s="663"/>
      <c r="CU927" s="596">
        <f t="shared" si="4791"/>
        <v>-0.4127554458</v>
      </c>
      <c r="CV927" s="596">
        <f t="shared" ref="CV927:CX927" si="4859">CV905/CU905-1</f>
        <v>0.107456979</v>
      </c>
      <c r="CW927" s="596">
        <f t="shared" si="4859"/>
        <v>0.4475138122</v>
      </c>
      <c r="CX927" s="596">
        <f t="shared" si="4859"/>
        <v>0.02552480916</v>
      </c>
      <c r="CY927" s="663"/>
      <c r="CZ927" s="596">
        <f t="shared" si="4793"/>
        <v>-0.4026517795</v>
      </c>
      <c r="DA927" s="596">
        <f t="shared" ref="DA927:DC927" si="4860">DA905/CZ905-1</f>
        <v>-0.4867601246</v>
      </c>
      <c r="DB927" s="596">
        <f t="shared" si="4860"/>
        <v>2.385432473</v>
      </c>
      <c r="DC927" s="596">
        <f t="shared" si="4860"/>
        <v>0.01434334379</v>
      </c>
      <c r="DD927" s="663"/>
      <c r="DE927" s="596">
        <f t="shared" si="4795"/>
        <v>-0.2048166151</v>
      </c>
      <c r="DF927" s="596">
        <f t="shared" ref="DF927:DH927" si="4861">DF905/DE905-1</f>
        <v>0.06335093081</v>
      </c>
      <c r="DG927" s="104">
        <f t="shared" si="4861"/>
        <v>0.3365560491</v>
      </c>
      <c r="DH927" s="596">
        <f t="shared" si="4861"/>
        <v>0.05474095797</v>
      </c>
      <c r="DI927" s="663"/>
      <c r="DJ927" s="595">
        <f t="shared" si="4797"/>
        <v>-0.171455051</v>
      </c>
      <c r="DK927" s="595">
        <f t="shared" ref="DK927:DM927" si="4862">DK905/DJ905-1</f>
        <v>0.1796420582</v>
      </c>
      <c r="DL927" s="595">
        <f t="shared" si="4862"/>
        <v>0.3937037739</v>
      </c>
      <c r="DM927" s="596">
        <f t="shared" si="4862"/>
        <v>-0.153082052</v>
      </c>
      <c r="DN927" s="663"/>
      <c r="DO927" s="596">
        <f t="shared" si="4799"/>
        <v>-0.3293701799</v>
      </c>
      <c r="DP927" s="596">
        <f t="shared" ref="DP927:DR927" si="4863">DP905/DO905-1</f>
        <v>0.1061332056</v>
      </c>
      <c r="DQ927" s="596">
        <f t="shared" si="4863"/>
        <v>0.3963612736</v>
      </c>
      <c r="DR927" s="596">
        <f t="shared" si="4863"/>
        <v>0.0542888165</v>
      </c>
      <c r="DS927" s="663"/>
      <c r="DT927" s="596">
        <f t="shared" si="4801"/>
        <v>0.03545681918</v>
      </c>
      <c r="DU927" s="596">
        <f t="shared" ref="DU927:DW927" si="4864">DU905/DT905-1</f>
        <v>-0.1905370844</v>
      </c>
      <c r="DV927" s="596">
        <f t="shared" si="4864"/>
        <v>-0.111988766</v>
      </c>
      <c r="DW927" s="596">
        <f t="shared" si="4864"/>
        <v>0.1630757067</v>
      </c>
      <c r="DX927" s="663"/>
      <c r="DY927" s="596">
        <f t="shared" si="4803"/>
        <v>-0.3721957852</v>
      </c>
      <c r="DZ927" s="596">
        <f t="shared" ref="DZ927:EB927" si="4865">DZ905/DY905-1</f>
        <v>0.5013535463</v>
      </c>
      <c r="EA927" s="596">
        <f t="shared" si="4865"/>
        <v>-0.05751893256</v>
      </c>
      <c r="EB927" s="596">
        <f t="shared" si="4865"/>
        <v>-0.04553281041</v>
      </c>
      <c r="EC927" s="663"/>
      <c r="ED927" s="596">
        <f t="shared" si="4805"/>
        <v>-0.1298857486</v>
      </c>
      <c r="EE927" s="596">
        <f t="shared" ref="EE927:EG927" si="4866">EE905/ED905-1</f>
        <v>-1.161253167</v>
      </c>
      <c r="EF927" s="596">
        <f t="shared" si="4866"/>
        <v>-0.75</v>
      </c>
      <c r="EG927" s="596">
        <f t="shared" si="4866"/>
        <v>5.468571429</v>
      </c>
      <c r="EH927" s="663"/>
      <c r="EI927" s="598" t="str">
        <f t="shared" si="4807"/>
        <v>#ERROR!</v>
      </c>
      <c r="EJ927" s="596" t="str">
        <f t="shared" ref="EJ927:EL927" si="4867">EJ905/EI905-1</f>
        <v>#ERROR!</v>
      </c>
      <c r="EK927" s="596" t="str">
        <f t="shared" si="4867"/>
        <v>#ERROR!</v>
      </c>
      <c r="EL927" s="596" t="str">
        <f t="shared" si="4867"/>
        <v>#ERROR!</v>
      </c>
      <c r="EM927" s="663"/>
      <c r="EN927" s="596" t="str">
        <f t="shared" si="4809"/>
        <v>#ERROR!</v>
      </c>
      <c r="EO927" s="596" t="str">
        <f t="shared" ref="EO927:EQ927" si="4868">EO905/EN905-1</f>
        <v>#ERROR!</v>
      </c>
      <c r="EP927" s="596" t="str">
        <f t="shared" si="4868"/>
        <v>#ERROR!</v>
      </c>
      <c r="EQ927" s="596" t="str">
        <f t="shared" si="4868"/>
        <v>#ERROR!</v>
      </c>
      <c r="ER927" s="663"/>
      <c r="ES927" s="596" t="str">
        <f t="shared" si="4811"/>
        <v>#ERROR!</v>
      </c>
      <c r="ET927" s="596" t="str">
        <f t="shared" ref="ET927:EV927" si="4869">ET905/ES905-1</f>
        <v>#ERROR!</v>
      </c>
      <c r="EU927" s="596" t="str">
        <f t="shared" si="4869"/>
        <v>#ERROR!</v>
      </c>
      <c r="EV927" s="596" t="str">
        <f t="shared" si="4869"/>
        <v>#ERROR!</v>
      </c>
      <c r="EW927" s="663"/>
      <c r="EX927" s="596" t="str">
        <f t="shared" si="4813"/>
        <v>#ERROR!</v>
      </c>
      <c r="EY927" s="596" t="str">
        <f t="shared" ref="EY927:FA927" si="4870">EY905/EX905-1</f>
        <v>#ERROR!</v>
      </c>
      <c r="EZ927" s="596" t="str">
        <f t="shared" si="4870"/>
        <v>#ERROR!</v>
      </c>
      <c r="FA927" s="596" t="str">
        <f t="shared" si="4870"/>
        <v>#ERROR!</v>
      </c>
      <c r="FB927" s="663"/>
      <c r="FC927" s="596" t="str">
        <f t="shared" si="4815"/>
        <v>#ERROR!</v>
      </c>
      <c r="FD927" s="596" t="str">
        <f t="shared" ref="FD927:FF927" si="4871">FD905/FC905-1</f>
        <v>#ERROR!</v>
      </c>
      <c r="FE927" s="596" t="str">
        <f t="shared" si="4871"/>
        <v>#ERROR!</v>
      </c>
      <c r="FF927" s="596" t="str">
        <f t="shared" si="4871"/>
        <v>#ERROR!</v>
      </c>
      <c r="FG927" s="663"/>
      <c r="FH927" s="664"/>
      <c r="FI927" s="596"/>
      <c r="FJ927" s="596"/>
      <c r="FK927" s="662"/>
      <c r="FL927" s="596"/>
    </row>
    <row r="928" ht="12.75" hidden="1" customHeight="1" outlineLevel="2">
      <c r="A928" s="4"/>
      <c r="B928" s="4"/>
      <c r="C928" s="4"/>
      <c r="D928" s="112"/>
      <c r="E928" s="112"/>
      <c r="F928" s="112"/>
      <c r="G928" s="112"/>
      <c r="H928" s="73"/>
      <c r="I928" s="112"/>
      <c r="J928" s="112"/>
      <c r="K928" s="112"/>
      <c r="L928" s="112"/>
      <c r="M928" s="73"/>
      <c r="N928" s="112"/>
      <c r="O928" s="112"/>
      <c r="P928" s="112"/>
      <c r="Q928" s="112"/>
      <c r="R928" s="73"/>
      <c r="S928" s="112"/>
      <c r="T928" s="112"/>
      <c r="U928" s="112"/>
      <c r="V928" s="112"/>
      <c r="W928" s="73"/>
      <c r="X928" s="112"/>
      <c r="Y928" s="112"/>
      <c r="Z928" s="112"/>
      <c r="AA928" s="112"/>
      <c r="AB928" s="73"/>
      <c r="AC928" s="112"/>
      <c r="AD928" s="112"/>
      <c r="AE928" s="112"/>
      <c r="AF928" s="112"/>
      <c r="AG928" s="73"/>
      <c r="AH928" s="112"/>
      <c r="AI928" s="112"/>
      <c r="AJ928" s="112"/>
      <c r="AK928" s="112"/>
      <c r="AL928" s="73"/>
      <c r="AM928" s="112"/>
      <c r="AN928" s="112"/>
      <c r="AO928" s="112"/>
      <c r="AP928" s="112"/>
      <c r="AQ928" s="73"/>
      <c r="AR928" s="112"/>
      <c r="AS928" s="112"/>
      <c r="AT928" s="112"/>
      <c r="AU928" s="112"/>
      <c r="AV928" s="73"/>
      <c r="AW928" s="112"/>
      <c r="AX928" s="112"/>
      <c r="AY928" s="112"/>
      <c r="AZ928" s="112"/>
      <c r="BA928" s="73"/>
      <c r="BB928" s="112"/>
      <c r="BC928" s="112"/>
      <c r="BD928" s="112"/>
      <c r="BE928" s="112"/>
      <c r="BF928" s="73"/>
      <c r="BG928" s="112"/>
      <c r="BH928" s="112"/>
      <c r="BI928" s="112"/>
      <c r="BJ928" s="112"/>
      <c r="BK928" s="73"/>
      <c r="BL928" s="112"/>
      <c r="BM928" s="112"/>
      <c r="BN928" s="112"/>
      <c r="BO928" s="112"/>
      <c r="BP928" s="73"/>
      <c r="BQ928" s="112"/>
      <c r="BR928" s="112"/>
      <c r="BS928" s="112"/>
      <c r="BT928" s="112"/>
      <c r="BU928" s="73"/>
      <c r="BV928" s="112"/>
      <c r="BW928" s="112"/>
      <c r="BX928" s="112"/>
      <c r="BY928" s="112"/>
      <c r="BZ928" s="18"/>
      <c r="CA928" s="112"/>
      <c r="CB928" s="112"/>
      <c r="CC928" s="112"/>
      <c r="CD928" s="112"/>
      <c r="CE928" s="18"/>
      <c r="CF928" s="112"/>
      <c r="CG928" s="112"/>
      <c r="CH928" s="112"/>
      <c r="CI928" s="112"/>
      <c r="CJ928" s="18"/>
      <c r="CK928" s="112"/>
      <c r="CL928" s="112"/>
      <c r="CM928" s="112"/>
      <c r="CN928" s="146"/>
      <c r="CO928" s="18"/>
      <c r="CP928" s="146"/>
      <c r="CQ928" s="112"/>
      <c r="CR928" s="112"/>
      <c r="CS928" s="112"/>
      <c r="CT928" s="18"/>
      <c r="CU928" s="112"/>
      <c r="CV928" s="112"/>
      <c r="CW928" s="112"/>
      <c r="CX928" s="112"/>
      <c r="CY928" s="18"/>
      <c r="CZ928" s="112"/>
      <c r="DA928" s="112"/>
      <c r="DB928" s="112"/>
      <c r="DC928" s="112"/>
      <c r="DD928" s="18"/>
      <c r="DE928" s="112"/>
      <c r="DF928" s="112"/>
      <c r="DG928" s="146"/>
      <c r="DH928" s="112"/>
      <c r="DI928" s="18"/>
      <c r="DJ928" s="146"/>
      <c r="DK928" s="146"/>
      <c r="DL928" s="146"/>
      <c r="DM928" s="112"/>
      <c r="DN928" s="18"/>
      <c r="DO928" s="112"/>
      <c r="DP928" s="112"/>
      <c r="DQ928" s="112"/>
      <c r="DR928" s="112"/>
      <c r="DS928" s="18"/>
      <c r="DT928" s="112"/>
      <c r="DU928" s="112"/>
      <c r="DV928" s="112"/>
      <c r="DW928" s="112"/>
      <c r="DX928" s="18"/>
      <c r="DY928" s="112"/>
      <c r="DZ928" s="112"/>
      <c r="EA928" s="112"/>
      <c r="EB928" s="112"/>
      <c r="EC928" s="18"/>
      <c r="ED928" s="112"/>
      <c r="EE928" s="112"/>
      <c r="EF928" s="112"/>
      <c r="EG928" s="112"/>
      <c r="EH928" s="18"/>
      <c r="EI928" s="110"/>
      <c r="EJ928" s="112"/>
      <c r="EK928" s="112"/>
      <c r="EL928" s="112"/>
      <c r="EM928" s="18"/>
      <c r="EN928" s="112"/>
      <c r="EO928" s="112"/>
      <c r="EP928" s="112"/>
      <c r="EQ928" s="112"/>
      <c r="ER928" s="18"/>
      <c r="ES928" s="112"/>
      <c r="ET928" s="112"/>
      <c r="EU928" s="112"/>
      <c r="EV928" s="112"/>
      <c r="EW928" s="18"/>
      <c r="EX928" s="112"/>
      <c r="EY928" s="112"/>
      <c r="EZ928" s="112"/>
      <c r="FA928" s="112"/>
      <c r="FB928" s="18"/>
      <c r="FC928" s="112"/>
      <c r="FD928" s="112"/>
      <c r="FE928" s="112"/>
      <c r="FF928" s="112"/>
      <c r="FG928" s="18"/>
      <c r="FH928" s="74"/>
      <c r="FI928" s="112"/>
      <c r="FJ928" s="112"/>
      <c r="FK928" s="73"/>
      <c r="FL928" s="112"/>
    </row>
    <row r="929" ht="13.5" hidden="1" customHeight="1" outlineLevel="2">
      <c r="A929" s="4"/>
      <c r="B929" s="578" t="s">
        <v>340</v>
      </c>
      <c r="C929" s="4"/>
      <c r="D929" s="112"/>
      <c r="E929" s="112"/>
      <c r="F929" s="112"/>
      <c r="G929" s="112"/>
      <c r="H929" s="73"/>
      <c r="I929" s="112"/>
      <c r="J929" s="112"/>
      <c r="K929" s="112"/>
      <c r="L929" s="112"/>
      <c r="M929" s="73"/>
      <c r="N929" s="112"/>
      <c r="O929" s="112"/>
      <c r="P929" s="112"/>
      <c r="Q929" s="112"/>
      <c r="R929" s="73"/>
      <c r="S929" s="112"/>
      <c r="T929" s="112"/>
      <c r="U929" s="112"/>
      <c r="V929" s="112"/>
      <c r="W929" s="73"/>
      <c r="X929" s="112"/>
      <c r="Y929" s="112"/>
      <c r="Z929" s="112"/>
      <c r="AA929" s="112"/>
      <c r="AB929" s="73"/>
      <c r="AC929" s="112"/>
      <c r="AD929" s="112"/>
      <c r="AE929" s="112"/>
      <c r="AF929" s="112"/>
      <c r="AG929" s="73"/>
      <c r="AH929" s="112"/>
      <c r="AI929" s="112"/>
      <c r="AJ929" s="112"/>
      <c r="AK929" s="112"/>
      <c r="AL929" s="73"/>
      <c r="AM929" s="112"/>
      <c r="AN929" s="112"/>
      <c r="AO929" s="112"/>
      <c r="AP929" s="112"/>
      <c r="AQ929" s="73"/>
      <c r="AR929" s="112"/>
      <c r="AS929" s="112"/>
      <c r="AT929" s="112"/>
      <c r="AU929" s="112"/>
      <c r="AV929" s="73"/>
      <c r="AW929" s="112"/>
      <c r="AX929" s="112"/>
      <c r="AY929" s="112"/>
      <c r="AZ929" s="112"/>
      <c r="BA929" s="73"/>
      <c r="BB929" s="112"/>
      <c r="BC929" s="112"/>
      <c r="BD929" s="112"/>
      <c r="BE929" s="112"/>
      <c r="BF929" s="73"/>
      <c r="BG929" s="112"/>
      <c r="BH929" s="112"/>
      <c r="BI929" s="112"/>
      <c r="BJ929" s="112"/>
      <c r="BK929" s="73"/>
      <c r="BL929" s="112"/>
      <c r="BM929" s="112"/>
      <c r="BN929" s="112"/>
      <c r="BO929" s="112"/>
      <c r="BP929" s="73"/>
      <c r="BQ929" s="112"/>
      <c r="BR929" s="112"/>
      <c r="BS929" s="112"/>
      <c r="BT929" s="112"/>
      <c r="BU929" s="73"/>
      <c r="BV929" s="112"/>
      <c r="BW929" s="112"/>
      <c r="BX929" s="112"/>
      <c r="BY929" s="112"/>
      <c r="BZ929" s="18"/>
      <c r="CA929" s="112"/>
      <c r="CB929" s="112"/>
      <c r="CC929" s="112"/>
      <c r="CD929" s="112"/>
      <c r="CE929" s="18"/>
      <c r="CF929" s="112"/>
      <c r="CG929" s="112"/>
      <c r="CH929" s="112"/>
      <c r="CI929" s="112"/>
      <c r="CJ929" s="18"/>
      <c r="CK929" s="112"/>
      <c r="CL929" s="112"/>
      <c r="CM929" s="112"/>
      <c r="CN929" s="146"/>
      <c r="CO929" s="18"/>
      <c r="CP929" s="146"/>
      <c r="CQ929" s="112"/>
      <c r="CR929" s="112"/>
      <c r="CS929" s="112"/>
      <c r="CT929" s="18"/>
      <c r="CU929" s="112"/>
      <c r="CV929" s="112"/>
      <c r="CW929" s="112"/>
      <c r="CX929" s="112"/>
      <c r="CY929" s="18"/>
      <c r="CZ929" s="112"/>
      <c r="DA929" s="112"/>
      <c r="DB929" s="112"/>
      <c r="DC929" s="112"/>
      <c r="DD929" s="18"/>
      <c r="DE929" s="112"/>
      <c r="DF929" s="112"/>
      <c r="DG929" s="146"/>
      <c r="DH929" s="112"/>
      <c r="DI929" s="18"/>
      <c r="DJ929" s="146"/>
      <c r="DK929" s="146"/>
      <c r="DL929" s="146"/>
      <c r="DM929" s="112"/>
      <c r="DN929" s="18"/>
      <c r="DO929" s="112"/>
      <c r="DP929" s="112"/>
      <c r="DQ929" s="112"/>
      <c r="DR929" s="112"/>
      <c r="DS929" s="18"/>
      <c r="DT929" s="112"/>
      <c r="DU929" s="112"/>
      <c r="DV929" s="112"/>
      <c r="DW929" s="112"/>
      <c r="DX929" s="18"/>
      <c r="DY929" s="112"/>
      <c r="DZ929" s="112"/>
      <c r="EA929" s="112"/>
      <c r="EB929" s="112"/>
      <c r="EC929" s="18"/>
      <c r="ED929" s="112"/>
      <c r="EE929" s="112"/>
      <c r="EF929" s="112"/>
      <c r="EG929" s="112"/>
      <c r="EH929" s="18"/>
      <c r="EI929" s="110"/>
      <c r="EJ929" s="112"/>
      <c r="EK929" s="112"/>
      <c r="EL929" s="112"/>
      <c r="EM929" s="18"/>
      <c r="EN929" s="112"/>
      <c r="EO929" s="112"/>
      <c r="EP929" s="112"/>
      <c r="EQ929" s="112"/>
      <c r="ER929" s="18"/>
      <c r="ES929" s="112"/>
      <c r="ET929" s="112"/>
      <c r="EU929" s="112"/>
      <c r="EV929" s="112"/>
      <c r="EW929" s="18"/>
      <c r="EX929" s="112"/>
      <c r="EY929" s="112"/>
      <c r="EZ929" s="112"/>
      <c r="FA929" s="112"/>
      <c r="FB929" s="18"/>
      <c r="FC929" s="112"/>
      <c r="FD929" s="112"/>
      <c r="FE929" s="112"/>
      <c r="FF929" s="112"/>
      <c r="FG929" s="18"/>
      <c r="FH929" s="74"/>
      <c r="FI929" s="112"/>
      <c r="FJ929" s="112"/>
      <c r="FK929" s="73"/>
      <c r="FL929" s="112"/>
    </row>
    <row r="930" ht="12.75" hidden="1" customHeight="1" outlineLevel="4">
      <c r="A930" s="4"/>
      <c r="B930" s="4" t="str">
        <f t="shared" ref="B930:B932" si="4872">+B908</f>
        <v>   Microprocessor</v>
      </c>
      <c r="C930" s="4"/>
      <c r="D930" s="4"/>
      <c r="E930" s="4"/>
      <c r="F930" s="4"/>
      <c r="G930" s="4"/>
      <c r="H930" s="45"/>
      <c r="I930" s="4"/>
      <c r="J930" s="4"/>
      <c r="K930" s="4"/>
      <c r="L930" s="4"/>
      <c r="M930" s="45"/>
      <c r="N930" s="4"/>
      <c r="O930" s="4"/>
      <c r="P930" s="4"/>
      <c r="Q930" s="4"/>
      <c r="R930" s="45"/>
      <c r="S930" s="4"/>
      <c r="T930" s="4"/>
      <c r="U930" s="4"/>
      <c r="V930" s="4"/>
      <c r="W930" s="45"/>
      <c r="X930" s="4"/>
      <c r="Y930" s="4"/>
      <c r="Z930" s="4"/>
      <c r="AA930" s="4"/>
      <c r="AB930" s="45"/>
      <c r="AC930" s="4"/>
      <c r="AD930" s="4"/>
      <c r="AE930" s="4"/>
      <c r="AF930" s="4"/>
      <c r="AG930" s="45"/>
      <c r="AH930" s="4"/>
      <c r="AI930" s="4"/>
      <c r="AJ930" s="4"/>
      <c r="AK930" s="4"/>
      <c r="AL930" s="45"/>
      <c r="AM930" s="4"/>
      <c r="AN930" s="4"/>
      <c r="AO930" s="4"/>
      <c r="AP930" s="4"/>
      <c r="AQ930" s="45"/>
      <c r="AR930" s="4"/>
      <c r="AS930" s="4"/>
      <c r="AT930" s="4"/>
      <c r="AU930" s="4"/>
      <c r="AV930" s="45"/>
      <c r="AW930" s="4"/>
      <c r="AX930" s="4"/>
      <c r="AY930" s="4"/>
      <c r="AZ930" s="4"/>
      <c r="BA930" s="45"/>
      <c r="BB930" s="4"/>
      <c r="BC930" s="4"/>
      <c r="BD930" s="4"/>
      <c r="BE930" s="4"/>
      <c r="BF930" s="45"/>
      <c r="BG930" s="4"/>
      <c r="BH930" s="4"/>
      <c r="BI930" s="4"/>
      <c r="BJ930" s="4"/>
      <c r="BK930" s="45"/>
      <c r="BL930" s="4"/>
      <c r="BM930" s="4"/>
      <c r="BN930" s="4"/>
      <c r="BO930" s="4"/>
      <c r="BP930" s="45"/>
      <c r="BQ930" s="4"/>
      <c r="BR930" s="4"/>
      <c r="BS930" s="4"/>
      <c r="BT930" s="4"/>
      <c r="BU930" s="45"/>
      <c r="BV930" s="4"/>
      <c r="BW930" s="4"/>
      <c r="BX930" s="4"/>
      <c r="BY930" s="4"/>
      <c r="BZ930" s="350"/>
      <c r="CA930" s="4"/>
      <c r="CB930" s="4"/>
      <c r="CC930" s="4"/>
      <c r="CD930" s="4"/>
      <c r="CE930" s="350"/>
      <c r="CF930" s="4"/>
      <c r="CG930" s="4"/>
      <c r="CH930" s="4"/>
      <c r="CI930" s="4"/>
      <c r="CJ930" s="350"/>
      <c r="CK930" s="4"/>
      <c r="CL930" s="4"/>
      <c r="CM930" s="4"/>
      <c r="CN930" s="16"/>
      <c r="CO930" s="350"/>
      <c r="CP930" s="16"/>
      <c r="CQ930" s="4"/>
      <c r="CR930" s="4"/>
      <c r="CS930" s="4"/>
      <c r="CT930" s="350"/>
      <c r="CU930" s="4"/>
      <c r="CV930" s="4"/>
      <c r="CW930" s="4"/>
      <c r="CX930" s="4"/>
      <c r="CY930" s="350"/>
      <c r="CZ930" s="4"/>
      <c r="DA930" s="4"/>
      <c r="DB930" s="4"/>
      <c r="DC930" s="4"/>
      <c r="DD930" s="350"/>
      <c r="DE930" s="4"/>
      <c r="DF930" s="4"/>
      <c r="DG930" s="16"/>
      <c r="DH930" s="4"/>
      <c r="DI930" s="350"/>
      <c r="DJ930" s="16"/>
      <c r="DK930" s="16"/>
      <c r="DL930" s="16"/>
      <c r="DM930" s="4"/>
      <c r="DN930" s="350"/>
      <c r="DO930" s="4"/>
      <c r="DP930" s="4"/>
      <c r="DQ930" s="4"/>
      <c r="DR930" s="4"/>
      <c r="DS930" s="350"/>
      <c r="DT930" s="4"/>
      <c r="DU930" s="4"/>
      <c r="DV930" s="4"/>
      <c r="DW930" s="4"/>
      <c r="DX930" s="350"/>
      <c r="DY930" s="4"/>
      <c r="DZ930" s="4"/>
      <c r="EA930" s="4"/>
      <c r="EB930" s="4"/>
      <c r="EC930" s="350"/>
      <c r="ED930" s="4"/>
      <c r="EE930" s="4"/>
      <c r="EF930" s="4"/>
      <c r="EG930" s="4"/>
      <c r="EH930" s="350"/>
      <c r="EI930" s="214"/>
      <c r="EJ930" s="4"/>
      <c r="EK930" s="4"/>
      <c r="EL930" s="4"/>
      <c r="EM930" s="350"/>
      <c r="EN930" s="4"/>
      <c r="EO930" s="4"/>
      <c r="EP930" s="4"/>
      <c r="EQ930" s="4"/>
      <c r="ER930" s="350"/>
      <c r="ES930" s="4"/>
      <c r="ET930" s="4"/>
      <c r="EU930" s="4"/>
      <c r="EV930" s="4"/>
      <c r="EW930" s="350"/>
      <c r="EX930" s="4"/>
      <c r="EY930" s="4"/>
      <c r="EZ930" s="4"/>
      <c r="FA930" s="4"/>
      <c r="FB930" s="350"/>
      <c r="FC930" s="4"/>
      <c r="FD930" s="4"/>
      <c r="FE930" s="4"/>
      <c r="FF930" s="4"/>
      <c r="FG930" s="350"/>
      <c r="FH930" s="145"/>
      <c r="FI930" s="4"/>
      <c r="FJ930" s="4"/>
      <c r="FK930" s="45"/>
      <c r="FL930" s="4"/>
    </row>
    <row r="931" ht="12.75" hidden="1" customHeight="1" outlineLevel="4">
      <c r="A931" s="4"/>
      <c r="B931" s="4" t="str">
        <f t="shared" si="4872"/>
        <v>   Chipset</v>
      </c>
      <c r="C931" s="4"/>
      <c r="D931" s="4"/>
      <c r="E931" s="4"/>
      <c r="F931" s="4"/>
      <c r="G931" s="4"/>
      <c r="H931" s="45"/>
      <c r="I931" s="4"/>
      <c r="J931" s="4"/>
      <c r="K931" s="4"/>
      <c r="L931" s="4"/>
      <c r="M931" s="45"/>
      <c r="N931" s="4"/>
      <c r="O931" s="4"/>
      <c r="P931" s="4"/>
      <c r="Q931" s="4"/>
      <c r="R931" s="45"/>
      <c r="S931" s="4"/>
      <c r="T931" s="4"/>
      <c r="U931" s="4"/>
      <c r="V931" s="4"/>
      <c r="W931" s="45"/>
      <c r="X931" s="4"/>
      <c r="Y931" s="4"/>
      <c r="Z931" s="4"/>
      <c r="AA931" s="4"/>
      <c r="AB931" s="45"/>
      <c r="AC931" s="4"/>
      <c r="AD931" s="4"/>
      <c r="AE931" s="4"/>
      <c r="AF931" s="4"/>
      <c r="AG931" s="45"/>
      <c r="AH931" s="4"/>
      <c r="AI931" s="4"/>
      <c r="AJ931" s="4"/>
      <c r="AK931" s="4"/>
      <c r="AL931" s="45"/>
      <c r="AM931" s="4"/>
      <c r="AN931" s="4"/>
      <c r="AO931" s="4"/>
      <c r="AP931" s="4"/>
      <c r="AQ931" s="45"/>
      <c r="AR931" s="4"/>
      <c r="AS931" s="4"/>
      <c r="AT931" s="4"/>
      <c r="AU931" s="4"/>
      <c r="AV931" s="45"/>
      <c r="AW931" s="4"/>
      <c r="AX931" s="4"/>
      <c r="AY931" s="4"/>
      <c r="AZ931" s="4"/>
      <c r="BA931" s="45"/>
      <c r="BB931" s="4"/>
      <c r="BC931" s="4"/>
      <c r="BD931" s="4"/>
      <c r="BE931" s="4"/>
      <c r="BF931" s="45"/>
      <c r="BG931" s="4"/>
      <c r="BH931" s="4"/>
      <c r="BI931" s="4"/>
      <c r="BJ931" s="4"/>
      <c r="BK931" s="45"/>
      <c r="BL931" s="4"/>
      <c r="BM931" s="4"/>
      <c r="BN931" s="4"/>
      <c r="BO931" s="4"/>
      <c r="BP931" s="45"/>
      <c r="BQ931" s="4"/>
      <c r="BR931" s="4"/>
      <c r="BS931" s="4"/>
      <c r="BT931" s="4"/>
      <c r="BU931" s="45"/>
      <c r="BV931" s="4"/>
      <c r="BW931" s="4"/>
      <c r="BX931" s="4"/>
      <c r="BY931" s="4"/>
      <c r="BZ931" s="350"/>
      <c r="CA931" s="4"/>
      <c r="CB931" s="4"/>
      <c r="CC931" s="4"/>
      <c r="CD931" s="4"/>
      <c r="CE931" s="350"/>
      <c r="CF931" s="4"/>
      <c r="CG931" s="4"/>
      <c r="CH931" s="4"/>
      <c r="CI931" s="4"/>
      <c r="CJ931" s="350"/>
      <c r="CK931" s="4"/>
      <c r="CL931" s="4"/>
      <c r="CM931" s="4"/>
      <c r="CN931" s="16"/>
      <c r="CO931" s="350"/>
      <c r="CP931" s="16"/>
      <c r="CQ931" s="4"/>
      <c r="CR931" s="4"/>
      <c r="CS931" s="4"/>
      <c r="CT931" s="350"/>
      <c r="CU931" s="4"/>
      <c r="CV931" s="4"/>
      <c r="CW931" s="4"/>
      <c r="CX931" s="4"/>
      <c r="CY931" s="350"/>
      <c r="CZ931" s="4"/>
      <c r="DA931" s="4"/>
      <c r="DB931" s="4"/>
      <c r="DC931" s="4"/>
      <c r="DD931" s="350"/>
      <c r="DE931" s="4"/>
      <c r="DF931" s="4"/>
      <c r="DG931" s="16"/>
      <c r="DH931" s="4"/>
      <c r="DI931" s="350"/>
      <c r="DJ931" s="16"/>
      <c r="DK931" s="16"/>
      <c r="DL931" s="16"/>
      <c r="DM931" s="4"/>
      <c r="DN931" s="350"/>
      <c r="DO931" s="4"/>
      <c r="DP931" s="4"/>
      <c r="DQ931" s="4"/>
      <c r="DR931" s="4"/>
      <c r="DS931" s="350"/>
      <c r="DT931" s="4"/>
      <c r="DU931" s="4"/>
      <c r="DV931" s="4"/>
      <c r="DW931" s="4"/>
      <c r="DX931" s="350"/>
      <c r="DY931" s="4"/>
      <c r="DZ931" s="4"/>
      <c r="EA931" s="4"/>
      <c r="EB931" s="4"/>
      <c r="EC931" s="350"/>
      <c r="ED931" s="4"/>
      <c r="EE931" s="4"/>
      <c r="EF931" s="4"/>
      <c r="EG931" s="4"/>
      <c r="EH931" s="350"/>
      <c r="EI931" s="214"/>
      <c r="EJ931" s="4"/>
      <c r="EK931" s="4"/>
      <c r="EL931" s="4"/>
      <c r="EM931" s="350"/>
      <c r="EN931" s="4"/>
      <c r="EO931" s="4"/>
      <c r="EP931" s="4"/>
      <c r="EQ931" s="4"/>
      <c r="ER931" s="350"/>
      <c r="ES931" s="4"/>
      <c r="ET931" s="4"/>
      <c r="EU931" s="4"/>
      <c r="EV931" s="4"/>
      <c r="EW931" s="350"/>
      <c r="EX931" s="4"/>
      <c r="EY931" s="4"/>
      <c r="EZ931" s="4"/>
      <c r="FA931" s="4"/>
      <c r="FB931" s="350"/>
      <c r="FC931" s="4"/>
      <c r="FD931" s="4"/>
      <c r="FE931" s="4"/>
      <c r="FF931" s="4"/>
      <c r="FG931" s="350"/>
      <c r="FH931" s="145"/>
      <c r="FI931" s="4"/>
      <c r="FJ931" s="4"/>
      <c r="FK931" s="45"/>
      <c r="FL931" s="4"/>
    </row>
    <row r="932" ht="12.75" hidden="1" customHeight="1" outlineLevel="4">
      <c r="A932" s="4"/>
      <c r="B932" s="4" t="str">
        <f t="shared" si="4872"/>
        <v>   Motherboard</v>
      </c>
      <c r="C932" s="4"/>
      <c r="D932" s="4"/>
      <c r="E932" s="4"/>
      <c r="F932" s="4"/>
      <c r="G932" s="4"/>
      <c r="H932" s="45"/>
      <c r="I932" s="4"/>
      <c r="J932" s="4"/>
      <c r="K932" s="4"/>
      <c r="L932" s="4"/>
      <c r="M932" s="45"/>
      <c r="N932" s="4"/>
      <c r="O932" s="4"/>
      <c r="P932" s="4"/>
      <c r="Q932" s="4"/>
      <c r="R932" s="45"/>
      <c r="S932" s="4"/>
      <c r="T932" s="4"/>
      <c r="U932" s="4"/>
      <c r="V932" s="4"/>
      <c r="W932" s="45"/>
      <c r="X932" s="4"/>
      <c r="Y932" s="4"/>
      <c r="Z932" s="4"/>
      <c r="AA932" s="4"/>
      <c r="AB932" s="45"/>
      <c r="AC932" s="4"/>
      <c r="AD932" s="4"/>
      <c r="AE932" s="4"/>
      <c r="AF932" s="4"/>
      <c r="AG932" s="45"/>
      <c r="AH932" s="4"/>
      <c r="AI932" s="4"/>
      <c r="AJ932" s="4"/>
      <c r="AK932" s="4"/>
      <c r="AL932" s="45"/>
      <c r="AM932" s="4"/>
      <c r="AN932" s="4"/>
      <c r="AO932" s="4"/>
      <c r="AP932" s="4"/>
      <c r="AQ932" s="45"/>
      <c r="AR932" s="4"/>
      <c r="AS932" s="4"/>
      <c r="AT932" s="4"/>
      <c r="AU932" s="4"/>
      <c r="AV932" s="45"/>
      <c r="AW932" s="4"/>
      <c r="AX932" s="4"/>
      <c r="AY932" s="4"/>
      <c r="AZ932" s="4"/>
      <c r="BA932" s="45"/>
      <c r="BB932" s="4"/>
      <c r="BC932" s="4"/>
      <c r="BD932" s="4"/>
      <c r="BE932" s="4"/>
      <c r="BF932" s="45"/>
      <c r="BG932" s="4"/>
      <c r="BH932" s="4"/>
      <c r="BI932" s="4"/>
      <c r="BJ932" s="4"/>
      <c r="BK932" s="45"/>
      <c r="BL932" s="4"/>
      <c r="BM932" s="4"/>
      <c r="BN932" s="4"/>
      <c r="BO932" s="4"/>
      <c r="BP932" s="45"/>
      <c r="BQ932" s="4"/>
      <c r="BR932" s="4"/>
      <c r="BS932" s="4"/>
      <c r="BT932" s="4"/>
      <c r="BU932" s="45"/>
      <c r="BV932" s="4"/>
      <c r="BW932" s="4"/>
      <c r="BX932" s="4"/>
      <c r="BY932" s="4"/>
      <c r="BZ932" s="350"/>
      <c r="CA932" s="4"/>
      <c r="CB932" s="4"/>
      <c r="CC932" s="4"/>
      <c r="CD932" s="4"/>
      <c r="CE932" s="350"/>
      <c r="CF932" s="4"/>
      <c r="CG932" s="4"/>
      <c r="CH932" s="4"/>
      <c r="CI932" s="4"/>
      <c r="CJ932" s="350"/>
      <c r="CK932" s="4"/>
      <c r="CL932" s="4"/>
      <c r="CM932" s="4"/>
      <c r="CN932" s="16"/>
      <c r="CO932" s="350"/>
      <c r="CP932" s="16"/>
      <c r="CQ932" s="4"/>
      <c r="CR932" s="4"/>
      <c r="CS932" s="4"/>
      <c r="CT932" s="350"/>
      <c r="CU932" s="4"/>
      <c r="CV932" s="4"/>
      <c r="CW932" s="4"/>
      <c r="CX932" s="4"/>
      <c r="CY932" s="350"/>
      <c r="CZ932" s="4"/>
      <c r="DA932" s="4"/>
      <c r="DB932" s="4"/>
      <c r="DC932" s="4"/>
      <c r="DD932" s="350"/>
      <c r="DE932" s="4"/>
      <c r="DF932" s="4"/>
      <c r="DG932" s="16"/>
      <c r="DH932" s="4"/>
      <c r="DI932" s="350"/>
      <c r="DJ932" s="16"/>
      <c r="DK932" s="16"/>
      <c r="DL932" s="16"/>
      <c r="DM932" s="4"/>
      <c r="DN932" s="350"/>
      <c r="DO932" s="4"/>
      <c r="DP932" s="4"/>
      <c r="DQ932" s="4"/>
      <c r="DR932" s="4"/>
      <c r="DS932" s="350"/>
      <c r="DT932" s="4"/>
      <c r="DU932" s="4"/>
      <c r="DV932" s="4"/>
      <c r="DW932" s="4"/>
      <c r="DX932" s="350"/>
      <c r="DY932" s="4"/>
      <c r="DZ932" s="4"/>
      <c r="EA932" s="4"/>
      <c r="EB932" s="4"/>
      <c r="EC932" s="350"/>
      <c r="ED932" s="4"/>
      <c r="EE932" s="4"/>
      <c r="EF932" s="4"/>
      <c r="EG932" s="4"/>
      <c r="EH932" s="350"/>
      <c r="EI932" s="214"/>
      <c r="EJ932" s="4"/>
      <c r="EK932" s="4"/>
      <c r="EL932" s="4"/>
      <c r="EM932" s="350"/>
      <c r="EN932" s="4"/>
      <c r="EO932" s="4"/>
      <c r="EP932" s="4"/>
      <c r="EQ932" s="4"/>
      <c r="ER932" s="350"/>
      <c r="ES932" s="4"/>
      <c r="ET932" s="4"/>
      <c r="EU932" s="4"/>
      <c r="EV932" s="4"/>
      <c r="EW932" s="350"/>
      <c r="EX932" s="4"/>
      <c r="EY932" s="4"/>
      <c r="EZ932" s="4"/>
      <c r="FA932" s="4"/>
      <c r="FB932" s="350"/>
      <c r="FC932" s="4"/>
      <c r="FD932" s="4"/>
      <c r="FE932" s="4"/>
      <c r="FF932" s="4"/>
      <c r="FG932" s="350"/>
      <c r="FH932" s="145"/>
      <c r="FI932" s="4"/>
      <c r="FJ932" s="4"/>
      <c r="FK932" s="45"/>
      <c r="FL932" s="4"/>
    </row>
    <row r="933" ht="13.5" hidden="1" customHeight="1" outlineLevel="2">
      <c r="A933" s="4"/>
      <c r="B933" s="4" t="str">
        <f t="shared" ref="B933:B937" si="4874">B922</f>
        <v>Architecture group - IAG</v>
      </c>
      <c r="C933" s="4"/>
      <c r="D933" s="660"/>
      <c r="E933" s="660"/>
      <c r="F933" s="660"/>
      <c r="G933" s="660"/>
      <c r="H933" s="309"/>
      <c r="I933" s="660"/>
      <c r="J933" s="660"/>
      <c r="K933" s="660"/>
      <c r="L933" s="660"/>
      <c r="M933" s="309"/>
      <c r="N933" s="660"/>
      <c r="O933" s="660"/>
      <c r="P933" s="660"/>
      <c r="Q933" s="660"/>
      <c r="R933" s="309"/>
      <c r="S933" s="660">
        <f t="shared" ref="S933:FG933" si="4873">S900/N900-1</f>
        <v>0.5190918473</v>
      </c>
      <c r="T933" s="660">
        <f t="shared" si="4873"/>
        <v>0.3978168587</v>
      </c>
      <c r="U933" s="660">
        <f t="shared" si="4873"/>
        <v>0.05607115236</v>
      </c>
      <c r="V933" s="660">
        <f t="shared" si="4873"/>
        <v>0.02314814815</v>
      </c>
      <c r="W933" s="309">
        <f t="shared" si="4873"/>
        <v>0.1825135451</v>
      </c>
      <c r="X933" s="660">
        <f t="shared" si="4873"/>
        <v>0.02241847826</v>
      </c>
      <c r="Y933" s="660">
        <f t="shared" si="4873"/>
        <v>0.2889370933</v>
      </c>
      <c r="Z933" s="660">
        <f t="shared" si="4873"/>
        <v>0.2255584035</v>
      </c>
      <c r="AA933" s="660">
        <f t="shared" si="4873"/>
        <v>-0.03137254902</v>
      </c>
      <c r="AB933" s="309">
        <f t="shared" si="4873"/>
        <v>0.1239780792</v>
      </c>
      <c r="AC933" s="660">
        <f t="shared" si="4873"/>
        <v>-0.4465116279</v>
      </c>
      <c r="AD933" s="660">
        <f t="shared" si="4873"/>
        <v>-0.5139683608</v>
      </c>
      <c r="AE933" s="660">
        <f t="shared" si="4873"/>
        <v>-0.6032267702</v>
      </c>
      <c r="AF933" s="660">
        <f t="shared" si="4873"/>
        <v>-0.4350669573</v>
      </c>
      <c r="AG933" s="309">
        <f t="shared" si="4873"/>
        <v>-0.5002797538</v>
      </c>
      <c r="AH933" s="660">
        <f t="shared" si="4873"/>
        <v>0.08463385354</v>
      </c>
      <c r="AI933" s="660">
        <f t="shared" si="4873"/>
        <v>-0.0512465374</v>
      </c>
      <c r="AJ933" s="660">
        <f t="shared" si="4873"/>
        <v>0.06475903614</v>
      </c>
      <c r="AK933" s="660">
        <f t="shared" si="4873"/>
        <v>0.1030871003</v>
      </c>
      <c r="AL933" s="309">
        <f t="shared" si="4873"/>
        <v>0.05438259757</v>
      </c>
      <c r="AM933" s="660">
        <f t="shared" si="4873"/>
        <v>0.05589374654</v>
      </c>
      <c r="AN933" s="660">
        <f t="shared" si="4873"/>
        <v>0.3437956204</v>
      </c>
      <c r="AO933" s="660">
        <f t="shared" si="4873"/>
        <v>1.061527581</v>
      </c>
      <c r="AP933" s="660">
        <f t="shared" si="4873"/>
        <v>0.8650674663</v>
      </c>
      <c r="AQ933" s="309">
        <f t="shared" si="4873"/>
        <v>0.5770631068</v>
      </c>
      <c r="AR933" s="660">
        <f t="shared" si="4873"/>
        <v>0.5801886792</v>
      </c>
      <c r="AS933" s="660">
        <f t="shared" si="4873"/>
        <v>0.5143943509</v>
      </c>
      <c r="AT933" s="660">
        <f t="shared" si="4873"/>
        <v>-0.04288164666</v>
      </c>
      <c r="AU933" s="660">
        <f t="shared" si="4873"/>
        <v>-0.06645230439</v>
      </c>
      <c r="AV933" s="309">
        <f t="shared" si="4873"/>
        <v>0.1616968065</v>
      </c>
      <c r="AW933" s="660">
        <f t="shared" si="4873"/>
        <v>0.2172470978</v>
      </c>
      <c r="AX933" s="660">
        <f t="shared" si="4873"/>
        <v>0.1520803443</v>
      </c>
      <c r="AY933" s="660">
        <f t="shared" si="4873"/>
        <v>0.3362007168</v>
      </c>
      <c r="AZ933" s="660">
        <f t="shared" si="4873"/>
        <v>0.07548794489</v>
      </c>
      <c r="BA933" s="309">
        <f t="shared" si="4873"/>
        <v>0.1887886064</v>
      </c>
      <c r="BB933" s="660">
        <f t="shared" si="4873"/>
        <v>-0.4910081744</v>
      </c>
      <c r="BC933" s="660">
        <f t="shared" si="4873"/>
        <v>-0.6273349938</v>
      </c>
      <c r="BD933" s="660">
        <f t="shared" si="4873"/>
        <v>-0.6046137339</v>
      </c>
      <c r="BE933" s="660">
        <f t="shared" si="4873"/>
        <v>-0.5761942888</v>
      </c>
      <c r="BF933" s="309">
        <f t="shared" si="4873"/>
        <v>-0.5732395347</v>
      </c>
      <c r="BG933" s="660">
        <f t="shared" si="4873"/>
        <v>-0.04978586724</v>
      </c>
      <c r="BH933" s="660">
        <f t="shared" si="4873"/>
        <v>0.2113617377</v>
      </c>
      <c r="BI933" s="660">
        <f t="shared" si="4873"/>
        <v>0.5990502035</v>
      </c>
      <c r="BJ933" s="660">
        <f t="shared" si="4873"/>
        <v>0.9817380353</v>
      </c>
      <c r="BK933" s="309">
        <f t="shared" si="4873"/>
        <v>0.4246776563</v>
      </c>
      <c r="BL933" s="660">
        <f t="shared" si="4873"/>
        <v>0.218028169</v>
      </c>
      <c r="BM933" s="660">
        <f t="shared" si="4873"/>
        <v>0.624137931</v>
      </c>
      <c r="BN933" s="660">
        <f t="shared" si="4873"/>
        <v>0.3568095036</v>
      </c>
      <c r="BO933" s="660">
        <f t="shared" si="4873"/>
        <v>-0.4791865269</v>
      </c>
      <c r="BP933" s="309">
        <f t="shared" si="4873"/>
        <v>0.07160041242</v>
      </c>
      <c r="BQ933" s="660">
        <f t="shared" si="4873"/>
        <v>-0.6544865865</v>
      </c>
      <c r="BR933" s="660">
        <f t="shared" si="4873"/>
        <v>-0.3481953291</v>
      </c>
      <c r="BS933" s="660">
        <f t="shared" si="4873"/>
        <v>-0.1622889306</v>
      </c>
      <c r="BT933" s="660">
        <f t="shared" si="4873"/>
        <v>1.347162904</v>
      </c>
      <c r="BU933" s="309">
        <f t="shared" si="4873"/>
        <v>-0.05837075048</v>
      </c>
      <c r="BV933" s="660">
        <f t="shared" si="4873"/>
        <v>3.749665328</v>
      </c>
      <c r="BW933" s="660">
        <f t="shared" si="4873"/>
        <v>1.658631922</v>
      </c>
      <c r="BX933" s="660">
        <f t="shared" si="4873"/>
        <v>0.5811870101</v>
      </c>
      <c r="BY933" s="660">
        <f t="shared" si="4873"/>
        <v>0.07174421627</v>
      </c>
      <c r="BZ933" s="37">
        <f t="shared" si="4873"/>
        <v>0.8151680291</v>
      </c>
      <c r="CA933" s="660">
        <f t="shared" si="4873"/>
        <v>0.2001127396</v>
      </c>
      <c r="CB933" s="660">
        <f t="shared" si="4873"/>
        <v>-0.01127174712</v>
      </c>
      <c r="CC933" s="660">
        <f t="shared" si="4873"/>
        <v>0.153210576</v>
      </c>
      <c r="CD933" s="660">
        <f t="shared" si="4873"/>
        <v>0.139704099</v>
      </c>
      <c r="CE933" s="37">
        <f t="shared" si="4873"/>
        <v>0.1181511133</v>
      </c>
      <c r="CF933" s="660">
        <f t="shared" si="4873"/>
        <v>-0.08172851104</v>
      </c>
      <c r="CG933" s="660">
        <f t="shared" si="4873"/>
        <v>-0.02552664188</v>
      </c>
      <c r="CH933" s="660">
        <f t="shared" si="4873"/>
        <v>-0.1932446264</v>
      </c>
      <c r="CI933" s="660">
        <f t="shared" si="4873"/>
        <v>-0.3072994254</v>
      </c>
      <c r="CJ933" s="37">
        <f t="shared" si="4873"/>
        <v>-0.1588074062</v>
      </c>
      <c r="CK933" s="660">
        <f t="shared" si="4873"/>
        <v>-0.3301790281</v>
      </c>
      <c r="CL933" s="660">
        <f t="shared" si="4873"/>
        <v>-0.2830620549</v>
      </c>
      <c r="CM933" s="660">
        <f t="shared" si="4873"/>
        <v>-0.08551129155</v>
      </c>
      <c r="CN933" s="83">
        <f t="shared" si="4873"/>
        <v>0.1210445469</v>
      </c>
      <c r="CO933" s="37">
        <f t="shared" si="4873"/>
        <v>-0.1560712861</v>
      </c>
      <c r="CP933" s="83">
        <f t="shared" si="4873"/>
        <v>0.005345551737</v>
      </c>
      <c r="CQ933" s="660">
        <f t="shared" si="4873"/>
        <v>0.3990776871</v>
      </c>
      <c r="CR933" s="660">
        <f t="shared" si="4873"/>
        <v>0.2874583796</v>
      </c>
      <c r="CS933" s="660">
        <f t="shared" si="4873"/>
        <v>0.2477391066</v>
      </c>
      <c r="CT933" s="37">
        <f t="shared" si="4873"/>
        <v>0.2426128753</v>
      </c>
      <c r="CU933" s="660">
        <f t="shared" si="4873"/>
        <v>0.03114318268</v>
      </c>
      <c r="CV933" s="660">
        <f t="shared" si="4873"/>
        <v>-0.2403651116</v>
      </c>
      <c r="CW933" s="660">
        <f t="shared" si="4873"/>
        <v>-0.075</v>
      </c>
      <c r="CX933" s="660">
        <f t="shared" si="4873"/>
        <v>-0.03382385241</v>
      </c>
      <c r="CY933" s="37">
        <f t="shared" si="4873"/>
        <v>-0.08674698795</v>
      </c>
      <c r="CZ933" s="660">
        <f t="shared" si="4873"/>
        <v>-0.01731123389</v>
      </c>
      <c r="DA933" s="660">
        <f t="shared" si="4873"/>
        <v>-0.5267022697</v>
      </c>
      <c r="DB933" s="660">
        <f t="shared" si="4873"/>
        <v>0.06290773532</v>
      </c>
      <c r="DC933" s="660">
        <f t="shared" si="4873"/>
        <v>0.05160263696</v>
      </c>
      <c r="DD933" s="37">
        <f t="shared" si="4873"/>
        <v>-0.07832245521</v>
      </c>
      <c r="DE933" s="660">
        <f t="shared" si="4873"/>
        <v>0.3864317841</v>
      </c>
      <c r="DF933" s="660">
        <f t="shared" si="4873"/>
        <v>1.769393512</v>
      </c>
      <c r="DG933" s="83">
        <f t="shared" si="4873"/>
        <v>0.1431389741</v>
      </c>
      <c r="DH933" s="660">
        <f t="shared" si="4873"/>
        <v>0.1878512754</v>
      </c>
      <c r="DI933" s="37">
        <f t="shared" si="4873"/>
        <v>0.3813469941</v>
      </c>
      <c r="DJ933" s="83">
        <f t="shared" si="4873"/>
        <v>0.2354690457</v>
      </c>
      <c r="DK933" s="83">
        <f t="shared" si="4873"/>
        <v>0.3682200153</v>
      </c>
      <c r="DL933" s="83">
        <f t="shared" si="4873"/>
        <v>0.428379674</v>
      </c>
      <c r="DM933" s="660">
        <f t="shared" si="4873"/>
        <v>0.1508644222</v>
      </c>
      <c r="DN933" s="37">
        <f t="shared" si="4873"/>
        <v>0.2934118674</v>
      </c>
      <c r="DO933" s="660">
        <f t="shared" si="4873"/>
        <v>-0.0647702407</v>
      </c>
      <c r="DP933" s="660">
        <f t="shared" si="4873"/>
        <v>-0.1220919412</v>
      </c>
      <c r="DQ933" s="660">
        <f t="shared" si="4873"/>
        <v>-0.1210900792</v>
      </c>
      <c r="DR933" s="660">
        <f t="shared" si="4873"/>
        <v>0.09060721063</v>
      </c>
      <c r="DS933" s="37">
        <f t="shared" si="4873"/>
        <v>-0.05401416765</v>
      </c>
      <c r="DT933" s="660">
        <f t="shared" si="4873"/>
        <v>0.6700982686</v>
      </c>
      <c r="DU933" s="660">
        <f t="shared" si="4873"/>
        <v>0.2289590842</v>
      </c>
      <c r="DV933" s="660">
        <f t="shared" si="4873"/>
        <v>-0.2120054987</v>
      </c>
      <c r="DW933" s="660">
        <f t="shared" si="4873"/>
        <v>-0.1323763955</v>
      </c>
      <c r="DX933" s="37">
        <f t="shared" si="4873"/>
        <v>0.07323378649</v>
      </c>
      <c r="DY933" s="660">
        <f t="shared" si="4873"/>
        <v>-0.4684785654</v>
      </c>
      <c r="DZ933" s="660">
        <f t="shared" si="4873"/>
        <v>-0.02604795584</v>
      </c>
      <c r="EA933" s="660">
        <f t="shared" si="4873"/>
        <v>0.03256445047</v>
      </c>
      <c r="EB933" s="660">
        <f t="shared" si="4873"/>
        <v>-0.149565508</v>
      </c>
      <c r="EC933" s="37">
        <f t="shared" si="4873"/>
        <v>-0.1753467896</v>
      </c>
      <c r="ED933" s="660">
        <f t="shared" si="4873"/>
        <v>0.1705324196</v>
      </c>
      <c r="EE933" s="660">
        <f t="shared" si="4873"/>
        <v>-1.106269926</v>
      </c>
      <c r="EF933" s="660">
        <f t="shared" si="4873"/>
        <v>-1.014079219</v>
      </c>
      <c r="EG933" s="660">
        <f t="shared" si="4873"/>
        <v>-1.202790332</v>
      </c>
      <c r="EH933" s="37">
        <f t="shared" si="4873"/>
        <v>-0.8623086221</v>
      </c>
      <c r="EI933" s="661" t="str">
        <f t="shared" si="4873"/>
        <v>#ERROR!</v>
      </c>
      <c r="EJ933" s="660" t="str">
        <f t="shared" si="4873"/>
        <v>#ERROR!</v>
      </c>
      <c r="EK933" s="660" t="str">
        <f t="shared" si="4873"/>
        <v>#ERROR!</v>
      </c>
      <c r="EL933" s="660" t="str">
        <f t="shared" si="4873"/>
        <v>#ERROR!</v>
      </c>
      <c r="EM933" s="37" t="str">
        <f t="shared" si="4873"/>
        <v>#ERROR!</v>
      </c>
      <c r="EN933" s="660" t="str">
        <f t="shared" si="4873"/>
        <v>#ERROR!</v>
      </c>
      <c r="EO933" s="660" t="str">
        <f t="shared" si="4873"/>
        <v>#ERROR!</v>
      </c>
      <c r="EP933" s="660" t="str">
        <f t="shared" si="4873"/>
        <v>#ERROR!</v>
      </c>
      <c r="EQ933" s="660" t="str">
        <f t="shared" si="4873"/>
        <v>#ERROR!</v>
      </c>
      <c r="ER933" s="37" t="str">
        <f t="shared" si="4873"/>
        <v>#ERROR!</v>
      </c>
      <c r="ES933" s="660" t="str">
        <f t="shared" si="4873"/>
        <v>#ERROR!</v>
      </c>
      <c r="ET933" s="660" t="str">
        <f t="shared" si="4873"/>
        <v>#ERROR!</v>
      </c>
      <c r="EU933" s="660" t="str">
        <f t="shared" si="4873"/>
        <v>#ERROR!</v>
      </c>
      <c r="EV933" s="660" t="str">
        <f t="shared" si="4873"/>
        <v>#ERROR!</v>
      </c>
      <c r="EW933" s="37" t="str">
        <f t="shared" si="4873"/>
        <v>#ERROR!</v>
      </c>
      <c r="EX933" s="660" t="str">
        <f t="shared" si="4873"/>
        <v>#ERROR!</v>
      </c>
      <c r="EY933" s="660" t="str">
        <f t="shared" si="4873"/>
        <v>#ERROR!</v>
      </c>
      <c r="EZ933" s="660" t="str">
        <f t="shared" si="4873"/>
        <v>#ERROR!</v>
      </c>
      <c r="FA933" s="660" t="str">
        <f t="shared" si="4873"/>
        <v>#ERROR!</v>
      </c>
      <c r="FB933" s="37" t="str">
        <f t="shared" si="4873"/>
        <v>#ERROR!</v>
      </c>
      <c r="FC933" s="660" t="str">
        <f t="shared" si="4873"/>
        <v>#ERROR!</v>
      </c>
      <c r="FD933" s="660" t="str">
        <f t="shared" si="4873"/>
        <v>#ERROR!</v>
      </c>
      <c r="FE933" s="660" t="str">
        <f t="shared" si="4873"/>
        <v>#ERROR!</v>
      </c>
      <c r="FF933" s="660" t="str">
        <f t="shared" si="4873"/>
        <v>#ERROR!</v>
      </c>
      <c r="FG933" s="37" t="str">
        <f t="shared" si="4873"/>
        <v>#ERROR!</v>
      </c>
      <c r="FH933" s="35"/>
      <c r="FI933" s="660"/>
      <c r="FJ933" s="660"/>
      <c r="FK933" s="309"/>
      <c r="FL933" s="660"/>
    </row>
    <row r="934" ht="13.5" hidden="1" customHeight="1" outlineLevel="4">
      <c r="A934" s="4"/>
      <c r="B934" s="72" t="str">
        <f t="shared" si="4874"/>
        <v>WCCG</v>
      </c>
      <c r="C934" s="4"/>
      <c r="D934" s="660"/>
      <c r="E934" s="660"/>
      <c r="F934" s="660"/>
      <c r="G934" s="660"/>
      <c r="H934" s="309"/>
      <c r="I934" s="660"/>
      <c r="J934" s="660"/>
      <c r="K934" s="660"/>
      <c r="L934" s="660"/>
      <c r="M934" s="309"/>
      <c r="N934" s="660"/>
      <c r="O934" s="660"/>
      <c r="P934" s="660"/>
      <c r="Q934" s="660"/>
      <c r="R934" s="309"/>
      <c r="S934" s="660"/>
      <c r="T934" s="660"/>
      <c r="U934" s="660"/>
      <c r="V934" s="660"/>
      <c r="W934" s="309"/>
      <c r="X934" s="660"/>
      <c r="Y934" s="660"/>
      <c r="Z934" s="660"/>
      <c r="AA934" s="660"/>
      <c r="AB934" s="309">
        <f t="shared" ref="AB934:AB936" si="4876">AB901/W901-1</f>
        <v>-7.333333333</v>
      </c>
      <c r="AC934" s="660"/>
      <c r="AD934" s="660"/>
      <c r="AE934" s="660"/>
      <c r="AF934" s="660"/>
      <c r="AG934" s="309">
        <f t="shared" ref="AG934:AQ934" si="4875">AG901/AB901-1</f>
        <v>-1.421052632</v>
      </c>
      <c r="AH934" s="660">
        <f t="shared" si="4875"/>
        <v>2.526315789</v>
      </c>
      <c r="AI934" s="660">
        <f t="shared" si="4875"/>
        <v>-0.4018987342</v>
      </c>
      <c r="AJ934" s="660">
        <f t="shared" si="4875"/>
        <v>-0.5169491525</v>
      </c>
      <c r="AK934" s="660">
        <f t="shared" si="4875"/>
        <v>3.85</v>
      </c>
      <c r="AL934" s="309">
        <f t="shared" si="4875"/>
        <v>0.12109375</v>
      </c>
      <c r="AM934" s="660">
        <f t="shared" si="4875"/>
        <v>0.4029850746</v>
      </c>
      <c r="AN934" s="660">
        <f t="shared" si="4875"/>
        <v>0.2645502646</v>
      </c>
      <c r="AO934" s="660">
        <f t="shared" si="4875"/>
        <v>3.350877193</v>
      </c>
      <c r="AP934" s="660">
        <f t="shared" si="4875"/>
        <v>0</v>
      </c>
      <c r="AQ934" s="309">
        <f t="shared" si="4875"/>
        <v>0.5139372822</v>
      </c>
      <c r="AR934" s="660"/>
      <c r="AS934" s="660"/>
      <c r="AT934" s="660"/>
      <c r="AU934" s="660"/>
      <c r="AV934" s="309"/>
      <c r="AW934" s="660"/>
      <c r="AX934" s="660"/>
      <c r="AY934" s="660"/>
      <c r="AZ934" s="660"/>
      <c r="BA934" s="309"/>
      <c r="BB934" s="660"/>
      <c r="BC934" s="660"/>
      <c r="BD934" s="660"/>
      <c r="BE934" s="660"/>
      <c r="BF934" s="309"/>
      <c r="BG934" s="660"/>
      <c r="BH934" s="660"/>
      <c r="BI934" s="660"/>
      <c r="BJ934" s="660"/>
      <c r="BK934" s="309"/>
      <c r="BL934" s="660"/>
      <c r="BM934" s="660"/>
      <c r="BN934" s="660"/>
      <c r="BO934" s="660"/>
      <c r="BP934" s="309"/>
      <c r="BQ934" s="660"/>
      <c r="BR934" s="660"/>
      <c r="BS934" s="660"/>
      <c r="BT934" s="660"/>
      <c r="BU934" s="309"/>
      <c r="BV934" s="660"/>
      <c r="BW934" s="660"/>
      <c r="BX934" s="660"/>
      <c r="BY934" s="660"/>
      <c r="BZ934" s="37"/>
      <c r="CA934" s="660"/>
      <c r="CB934" s="660"/>
      <c r="CC934" s="660"/>
      <c r="CD934" s="660"/>
      <c r="CE934" s="37"/>
      <c r="CF934" s="660"/>
      <c r="CG934" s="660"/>
      <c r="CH934" s="660"/>
      <c r="CI934" s="660"/>
      <c r="CJ934" s="37"/>
      <c r="CK934" s="660"/>
      <c r="CL934" s="660"/>
      <c r="CM934" s="660"/>
      <c r="CN934" s="83"/>
      <c r="CO934" s="37"/>
      <c r="CP934" s="83"/>
      <c r="CQ934" s="660"/>
      <c r="CR934" s="660"/>
      <c r="CS934" s="660"/>
      <c r="CT934" s="37"/>
      <c r="CU934" s="660"/>
      <c r="CV934" s="660"/>
      <c r="CW934" s="660"/>
      <c r="CX934" s="660"/>
      <c r="CY934" s="37"/>
      <c r="CZ934" s="660"/>
      <c r="DA934" s="660"/>
      <c r="DB934" s="660"/>
      <c r="DC934" s="660"/>
      <c r="DD934" s="37"/>
      <c r="DE934" s="660"/>
      <c r="DF934" s="660"/>
      <c r="DG934" s="83"/>
      <c r="DH934" s="660"/>
      <c r="DI934" s="37"/>
      <c r="DJ934" s="83"/>
      <c r="DK934" s="83"/>
      <c r="DL934" s="83"/>
      <c r="DM934" s="660"/>
      <c r="DN934" s="37"/>
      <c r="DO934" s="660"/>
      <c r="DP934" s="660"/>
      <c r="DQ934" s="660"/>
      <c r="DR934" s="660"/>
      <c r="DS934" s="37"/>
      <c r="DT934" s="660"/>
      <c r="DU934" s="660"/>
      <c r="DV934" s="660"/>
      <c r="DW934" s="660"/>
      <c r="DX934" s="37"/>
      <c r="DY934" s="660"/>
      <c r="DZ934" s="660"/>
      <c r="EA934" s="660"/>
      <c r="EB934" s="660"/>
      <c r="EC934" s="37"/>
      <c r="ED934" s="660"/>
      <c r="EE934" s="660"/>
      <c r="EF934" s="660"/>
      <c r="EG934" s="660"/>
      <c r="EH934" s="37"/>
      <c r="EI934" s="661"/>
      <c r="EJ934" s="660"/>
      <c r="EK934" s="660"/>
      <c r="EL934" s="660"/>
      <c r="EM934" s="37"/>
      <c r="EN934" s="660"/>
      <c r="EO934" s="660"/>
      <c r="EP934" s="660"/>
      <c r="EQ934" s="660"/>
      <c r="ER934" s="37"/>
      <c r="ES934" s="660"/>
      <c r="ET934" s="660"/>
      <c r="EU934" s="660"/>
      <c r="EV934" s="660"/>
      <c r="EW934" s="37"/>
      <c r="EX934" s="660"/>
      <c r="EY934" s="660"/>
      <c r="EZ934" s="660"/>
      <c r="FA934" s="660"/>
      <c r="FB934" s="37"/>
      <c r="FC934" s="660"/>
      <c r="FD934" s="660"/>
      <c r="FE934" s="660"/>
      <c r="FF934" s="660"/>
      <c r="FG934" s="37"/>
      <c r="FH934" s="35"/>
      <c r="FI934" s="660"/>
      <c r="FJ934" s="660"/>
      <c r="FK934" s="309"/>
      <c r="FL934" s="660"/>
    </row>
    <row r="935" ht="13.5" hidden="1" customHeight="1" outlineLevel="4">
      <c r="A935" s="4"/>
      <c r="B935" s="72" t="str">
        <f t="shared" si="4874"/>
        <v>Comm/Embedded (former ICG)</v>
      </c>
      <c r="C935" s="4"/>
      <c r="D935" s="660"/>
      <c r="E935" s="15"/>
      <c r="F935" s="15"/>
      <c r="G935" s="660"/>
      <c r="H935" s="309"/>
      <c r="I935" s="660"/>
      <c r="J935" s="15"/>
      <c r="K935" s="15"/>
      <c r="L935" s="660"/>
      <c r="M935" s="309"/>
      <c r="N935" s="660"/>
      <c r="O935" s="15"/>
      <c r="P935" s="15"/>
      <c r="Q935" s="660"/>
      <c r="R935" s="309"/>
      <c r="S935" s="660"/>
      <c r="T935" s="15"/>
      <c r="U935" s="15"/>
      <c r="V935" s="660"/>
      <c r="W935" s="309"/>
      <c r="X935" s="660"/>
      <c r="Y935" s="15"/>
      <c r="Z935" s="15"/>
      <c r="AA935" s="660"/>
      <c r="AB935" s="309">
        <f t="shared" si="4876"/>
        <v>-0.2700228833</v>
      </c>
      <c r="AC935" s="660"/>
      <c r="AD935" s="15"/>
      <c r="AE935" s="15"/>
      <c r="AF935" s="660"/>
      <c r="AG935" s="309">
        <f t="shared" ref="AG935:FG935" si="4877">AG902/AB902-1</f>
        <v>-3.304075235</v>
      </c>
      <c r="AH935" s="660">
        <f t="shared" si="4877"/>
        <v>-0.01960784314</v>
      </c>
      <c r="AI935" s="15">
        <f t="shared" si="4877"/>
        <v>-0.4595744681</v>
      </c>
      <c r="AJ935" s="15">
        <f t="shared" si="4877"/>
        <v>-0.1880733945</v>
      </c>
      <c r="AK935" s="660">
        <f t="shared" si="4877"/>
        <v>0.3023255814</v>
      </c>
      <c r="AL935" s="309">
        <f t="shared" si="4877"/>
        <v>-0.1537414966</v>
      </c>
      <c r="AM935" s="660">
        <f t="shared" si="4877"/>
        <v>-0.06666666667</v>
      </c>
      <c r="AN935" s="15">
        <f t="shared" si="4877"/>
        <v>0.125984252</v>
      </c>
      <c r="AO935" s="15">
        <f t="shared" si="4877"/>
        <v>-0.4689265537</v>
      </c>
      <c r="AP935" s="660">
        <f t="shared" si="4877"/>
        <v>-0.7083333333</v>
      </c>
      <c r="AQ935" s="309">
        <f t="shared" si="4877"/>
        <v>-0.3151125402</v>
      </c>
      <c r="AR935" s="660">
        <f t="shared" si="4877"/>
        <v>0.5642857143</v>
      </c>
      <c r="AS935" s="15">
        <f t="shared" si="4877"/>
        <v>-0.1188811189</v>
      </c>
      <c r="AT935" s="15">
        <f t="shared" si="4877"/>
        <v>1.670212766</v>
      </c>
      <c r="AU935" s="660">
        <f t="shared" si="4877"/>
        <v>3</v>
      </c>
      <c r="AV935" s="309">
        <f t="shared" si="4877"/>
        <v>0.8591549296</v>
      </c>
      <c r="AW935" s="660">
        <f t="shared" si="4877"/>
        <v>0.1415525114</v>
      </c>
      <c r="AX935" s="15">
        <f t="shared" si="4877"/>
        <v>0.3888888889</v>
      </c>
      <c r="AY935" s="15">
        <f t="shared" si="4877"/>
        <v>-0.6015936255</v>
      </c>
      <c r="AZ935" s="660">
        <f t="shared" si="4877"/>
        <v>-0.7448979592</v>
      </c>
      <c r="BA935" s="309">
        <f t="shared" si="4877"/>
        <v>-0.273989899</v>
      </c>
      <c r="BB935" s="660">
        <f t="shared" si="4877"/>
        <v>-1</v>
      </c>
      <c r="BC935" s="15">
        <f t="shared" si="4877"/>
        <v>-1.142857143</v>
      </c>
      <c r="BD935" s="15">
        <f t="shared" si="4877"/>
        <v>-1.5</v>
      </c>
      <c r="BE935" s="660">
        <f t="shared" si="4877"/>
        <v>-2</v>
      </c>
      <c r="BF935" s="309">
        <f t="shared" si="4877"/>
        <v>-1.217391304</v>
      </c>
      <c r="BG935" s="660" t="str">
        <f t="shared" si="4877"/>
        <v>#DIV/0!</v>
      </c>
      <c r="BH935" s="15">
        <f t="shared" si="4877"/>
        <v>1</v>
      </c>
      <c r="BI935" s="15">
        <f t="shared" si="4877"/>
        <v>0</v>
      </c>
      <c r="BJ935" s="660">
        <f t="shared" si="4877"/>
        <v>0</v>
      </c>
      <c r="BK935" s="309">
        <f t="shared" si="4877"/>
        <v>0.6</v>
      </c>
      <c r="BL935" s="660">
        <f t="shared" si="4877"/>
        <v>0</v>
      </c>
      <c r="BM935" s="15">
        <f t="shared" si="4877"/>
        <v>0</v>
      </c>
      <c r="BN935" s="15">
        <f t="shared" si="4877"/>
        <v>0</v>
      </c>
      <c r="BO935" s="660">
        <f t="shared" si="4877"/>
        <v>0</v>
      </c>
      <c r="BP935" s="309">
        <f t="shared" si="4877"/>
        <v>0</v>
      </c>
      <c r="BQ935" s="660">
        <f t="shared" si="4877"/>
        <v>0</v>
      </c>
      <c r="BR935" s="15">
        <f t="shared" si="4877"/>
        <v>0</v>
      </c>
      <c r="BS935" s="15">
        <f t="shared" si="4877"/>
        <v>0</v>
      </c>
      <c r="BT935" s="660">
        <f t="shared" si="4877"/>
        <v>0</v>
      </c>
      <c r="BU935" s="309">
        <f t="shared" si="4877"/>
        <v>0</v>
      </c>
      <c r="BV935" s="660">
        <f t="shared" si="4877"/>
        <v>0</v>
      </c>
      <c r="BW935" s="15">
        <f t="shared" si="4877"/>
        <v>0</v>
      </c>
      <c r="BX935" s="15">
        <f t="shared" si="4877"/>
        <v>0</v>
      </c>
      <c r="BY935" s="660">
        <f t="shared" si="4877"/>
        <v>0</v>
      </c>
      <c r="BZ935" s="37">
        <f t="shared" si="4877"/>
        <v>0</v>
      </c>
      <c r="CA935" s="660">
        <f t="shared" si="4877"/>
        <v>0</v>
      </c>
      <c r="CB935" s="15">
        <f t="shared" si="4877"/>
        <v>0</v>
      </c>
      <c r="CC935" s="15">
        <f t="shared" si="4877"/>
        <v>0</v>
      </c>
      <c r="CD935" s="660">
        <f t="shared" si="4877"/>
        <v>0</v>
      </c>
      <c r="CE935" s="37">
        <f t="shared" si="4877"/>
        <v>0</v>
      </c>
      <c r="CF935" s="660">
        <f t="shared" si="4877"/>
        <v>0</v>
      </c>
      <c r="CG935" s="15">
        <f t="shared" si="4877"/>
        <v>0</v>
      </c>
      <c r="CH935" s="15">
        <f t="shared" si="4877"/>
        <v>0</v>
      </c>
      <c r="CI935" s="660">
        <f t="shared" si="4877"/>
        <v>0</v>
      </c>
      <c r="CJ935" s="37">
        <f t="shared" si="4877"/>
        <v>0</v>
      </c>
      <c r="CK935" s="660">
        <f t="shared" si="4877"/>
        <v>0</v>
      </c>
      <c r="CL935" s="15">
        <f t="shared" si="4877"/>
        <v>0</v>
      </c>
      <c r="CM935" s="15">
        <f t="shared" si="4877"/>
        <v>0</v>
      </c>
      <c r="CN935" s="83">
        <f t="shared" si="4877"/>
        <v>0</v>
      </c>
      <c r="CO935" s="37">
        <f t="shared" si="4877"/>
        <v>0</v>
      </c>
      <c r="CP935" s="83">
        <f t="shared" si="4877"/>
        <v>0</v>
      </c>
      <c r="CQ935" s="15">
        <f t="shared" si="4877"/>
        <v>0</v>
      </c>
      <c r="CR935" s="15">
        <f t="shared" si="4877"/>
        <v>0</v>
      </c>
      <c r="CS935" s="660">
        <f t="shared" si="4877"/>
        <v>0</v>
      </c>
      <c r="CT935" s="37">
        <f t="shared" si="4877"/>
        <v>0</v>
      </c>
      <c r="CU935" s="660">
        <f t="shared" si="4877"/>
        <v>0</v>
      </c>
      <c r="CV935" s="15">
        <f t="shared" si="4877"/>
        <v>0</v>
      </c>
      <c r="CW935" s="15">
        <f t="shared" si="4877"/>
        <v>0</v>
      </c>
      <c r="CX935" s="660">
        <f t="shared" si="4877"/>
        <v>0</v>
      </c>
      <c r="CY935" s="37">
        <f t="shared" si="4877"/>
        <v>0</v>
      </c>
      <c r="CZ935" s="660">
        <f t="shared" si="4877"/>
        <v>0</v>
      </c>
      <c r="DA935" s="15">
        <f t="shared" si="4877"/>
        <v>0</v>
      </c>
      <c r="DB935" s="15">
        <f t="shared" si="4877"/>
        <v>0</v>
      </c>
      <c r="DC935" s="660">
        <f t="shared" si="4877"/>
        <v>0</v>
      </c>
      <c r="DD935" s="37">
        <f t="shared" si="4877"/>
        <v>0</v>
      </c>
      <c r="DE935" s="660">
        <f t="shared" si="4877"/>
        <v>0</v>
      </c>
      <c r="DF935" s="15">
        <f t="shared" si="4877"/>
        <v>0</v>
      </c>
      <c r="DG935" s="40">
        <f t="shared" si="4877"/>
        <v>0</v>
      </c>
      <c r="DH935" s="660">
        <f t="shared" si="4877"/>
        <v>0</v>
      </c>
      <c r="DI935" s="37">
        <f t="shared" si="4877"/>
        <v>0</v>
      </c>
      <c r="DJ935" s="83">
        <f t="shared" si="4877"/>
        <v>0</v>
      </c>
      <c r="DK935" s="40">
        <f t="shared" si="4877"/>
        <v>0</v>
      </c>
      <c r="DL935" s="40">
        <f t="shared" si="4877"/>
        <v>0</v>
      </c>
      <c r="DM935" s="660">
        <f t="shared" si="4877"/>
        <v>0</v>
      </c>
      <c r="DN935" s="37">
        <f t="shared" si="4877"/>
        <v>0</v>
      </c>
      <c r="DO935" s="660">
        <f t="shared" si="4877"/>
        <v>0</v>
      </c>
      <c r="DP935" s="15">
        <f t="shared" si="4877"/>
        <v>0</v>
      </c>
      <c r="DQ935" s="15">
        <f t="shared" si="4877"/>
        <v>0</v>
      </c>
      <c r="DR935" s="15">
        <f t="shared" si="4877"/>
        <v>0</v>
      </c>
      <c r="DS935" s="37">
        <f t="shared" si="4877"/>
        <v>0</v>
      </c>
      <c r="DT935" s="660">
        <f t="shared" si="4877"/>
        <v>0</v>
      </c>
      <c r="DU935" s="660">
        <f t="shared" si="4877"/>
        <v>0</v>
      </c>
      <c r="DV935" s="660">
        <f t="shared" si="4877"/>
        <v>0</v>
      </c>
      <c r="DW935" s="660">
        <f t="shared" si="4877"/>
        <v>0</v>
      </c>
      <c r="DX935" s="37">
        <f t="shared" si="4877"/>
        <v>0</v>
      </c>
      <c r="DY935" s="660">
        <f t="shared" si="4877"/>
        <v>0</v>
      </c>
      <c r="DZ935" s="660">
        <f t="shared" si="4877"/>
        <v>0</v>
      </c>
      <c r="EA935" s="660">
        <f t="shared" si="4877"/>
        <v>0</v>
      </c>
      <c r="EB935" s="660">
        <f t="shared" si="4877"/>
        <v>0</v>
      </c>
      <c r="EC935" s="37">
        <f t="shared" si="4877"/>
        <v>0</v>
      </c>
      <c r="ED935" s="660">
        <f t="shared" si="4877"/>
        <v>0</v>
      </c>
      <c r="EE935" s="660">
        <f t="shared" si="4877"/>
        <v>0</v>
      </c>
      <c r="EF935" s="660">
        <f t="shared" si="4877"/>
        <v>0</v>
      </c>
      <c r="EG935" s="660">
        <f t="shared" si="4877"/>
        <v>0</v>
      </c>
      <c r="EH935" s="37">
        <f t="shared" si="4877"/>
        <v>0</v>
      </c>
      <c r="EI935" s="661">
        <f t="shared" si="4877"/>
        <v>0</v>
      </c>
      <c r="EJ935" s="15">
        <f t="shared" si="4877"/>
        <v>0</v>
      </c>
      <c r="EK935" s="15">
        <f t="shared" si="4877"/>
        <v>0</v>
      </c>
      <c r="EL935" s="660">
        <f t="shared" si="4877"/>
        <v>0</v>
      </c>
      <c r="EM935" s="37">
        <f t="shared" si="4877"/>
        <v>0</v>
      </c>
      <c r="EN935" s="660">
        <f t="shared" si="4877"/>
        <v>0</v>
      </c>
      <c r="EO935" s="15">
        <f t="shared" si="4877"/>
        <v>0</v>
      </c>
      <c r="EP935" s="15">
        <f t="shared" si="4877"/>
        <v>0</v>
      </c>
      <c r="EQ935" s="660">
        <f t="shared" si="4877"/>
        <v>0</v>
      </c>
      <c r="ER935" s="37">
        <f t="shared" si="4877"/>
        <v>0</v>
      </c>
      <c r="ES935" s="660">
        <f t="shared" si="4877"/>
        <v>0</v>
      </c>
      <c r="ET935" s="15">
        <f t="shared" si="4877"/>
        <v>0</v>
      </c>
      <c r="EU935" s="15">
        <f t="shared" si="4877"/>
        <v>0</v>
      </c>
      <c r="EV935" s="660">
        <f t="shared" si="4877"/>
        <v>0</v>
      </c>
      <c r="EW935" s="37">
        <f t="shared" si="4877"/>
        <v>0</v>
      </c>
      <c r="EX935" s="660">
        <f t="shared" si="4877"/>
        <v>0</v>
      </c>
      <c r="EY935" s="15">
        <f t="shared" si="4877"/>
        <v>0</v>
      </c>
      <c r="EZ935" s="15">
        <f t="shared" si="4877"/>
        <v>0</v>
      </c>
      <c r="FA935" s="660">
        <f t="shared" si="4877"/>
        <v>0</v>
      </c>
      <c r="FB935" s="37">
        <f t="shared" si="4877"/>
        <v>0</v>
      </c>
      <c r="FC935" s="660">
        <f t="shared" si="4877"/>
        <v>0</v>
      </c>
      <c r="FD935" s="15">
        <f t="shared" si="4877"/>
        <v>0</v>
      </c>
      <c r="FE935" s="15">
        <f t="shared" si="4877"/>
        <v>0</v>
      </c>
      <c r="FF935" s="660">
        <f t="shared" si="4877"/>
        <v>0</v>
      </c>
      <c r="FG935" s="37">
        <f t="shared" si="4877"/>
        <v>0</v>
      </c>
      <c r="FH935" s="35"/>
      <c r="FI935" s="15"/>
      <c r="FJ935" s="660"/>
      <c r="FK935" s="309"/>
      <c r="FL935" s="660"/>
    </row>
    <row r="936" ht="13.5" hidden="1" customHeight="1" outlineLevel="4">
      <c r="A936" s="4"/>
      <c r="B936" s="72" t="str">
        <f t="shared" si="4874"/>
        <v>All other</v>
      </c>
      <c r="C936" s="4"/>
      <c r="D936" s="660"/>
      <c r="E936" s="15"/>
      <c r="F936" s="15"/>
      <c r="G936" s="660"/>
      <c r="H936" s="309"/>
      <c r="I936" s="660"/>
      <c r="J936" s="15"/>
      <c r="K936" s="15"/>
      <c r="L936" s="660"/>
      <c r="M936" s="309"/>
      <c r="N936" s="660"/>
      <c r="O936" s="15"/>
      <c r="P936" s="15"/>
      <c r="Q936" s="660"/>
      <c r="R936" s="309"/>
      <c r="S936" s="660"/>
      <c r="T936" s="15"/>
      <c r="U936" s="15"/>
      <c r="V936" s="660"/>
      <c r="W936" s="309"/>
      <c r="X936" s="660"/>
      <c r="Y936" s="15"/>
      <c r="Z936" s="15"/>
      <c r="AA936" s="660"/>
      <c r="AB936" s="309">
        <f t="shared" si="4876"/>
        <v>0.7847507331</v>
      </c>
      <c r="AC936" s="660"/>
      <c r="AD936" s="15"/>
      <c r="AE936" s="15"/>
      <c r="AF936" s="660"/>
      <c r="AG936" s="309">
        <f t="shared" ref="AG936:FG936" si="4878">AG903/AB903-1</f>
        <v>-0.01248767663</v>
      </c>
      <c r="AH936" s="660">
        <f t="shared" si="4878"/>
        <v>-0.6813380282</v>
      </c>
      <c r="AI936" s="15">
        <f t="shared" si="4878"/>
        <v>-0.3872901679</v>
      </c>
      <c r="AJ936" s="15">
        <f t="shared" si="4878"/>
        <v>-0.6283987915</v>
      </c>
      <c r="AK936" s="660">
        <f t="shared" si="4878"/>
        <v>-0.5859969559</v>
      </c>
      <c r="AL936" s="309">
        <f t="shared" si="4878"/>
        <v>-0.5670549085</v>
      </c>
      <c r="AM936" s="660">
        <f t="shared" si="4878"/>
        <v>0.09760589319</v>
      </c>
      <c r="AN936" s="15">
        <f t="shared" si="4878"/>
        <v>-0.4080234834</v>
      </c>
      <c r="AO936" s="15">
        <f t="shared" si="4878"/>
        <v>0.5975609756</v>
      </c>
      <c r="AP936" s="660">
        <f t="shared" si="4878"/>
        <v>2.764705882</v>
      </c>
      <c r="AQ936" s="309">
        <f t="shared" si="4878"/>
        <v>0.5507302075</v>
      </c>
      <c r="AR936" s="660">
        <f t="shared" si="4878"/>
        <v>0.07382550336</v>
      </c>
      <c r="AS936" s="15">
        <f t="shared" si="4878"/>
        <v>-0.07107438017</v>
      </c>
      <c r="AT936" s="15">
        <f t="shared" si="4878"/>
        <v>-0.5776081425</v>
      </c>
      <c r="AU936" s="660">
        <f t="shared" si="4878"/>
        <v>-0.62109375</v>
      </c>
      <c r="AV936" s="309">
        <f t="shared" si="4878"/>
        <v>-0.4275092937</v>
      </c>
      <c r="AW936" s="660">
        <f t="shared" si="4878"/>
        <v>0.2125</v>
      </c>
      <c r="AX936" s="15">
        <f t="shared" si="4878"/>
        <v>0.3807829181</v>
      </c>
      <c r="AY936" s="15">
        <f t="shared" si="4878"/>
        <v>1.337349398</v>
      </c>
      <c r="AZ936" s="660">
        <f t="shared" si="4878"/>
        <v>0</v>
      </c>
      <c r="BA936" s="309">
        <f t="shared" si="4878"/>
        <v>0.3437229437</v>
      </c>
      <c r="BB936" s="660">
        <f t="shared" si="4878"/>
        <v>-0.6134020619</v>
      </c>
      <c r="BC936" s="15">
        <f t="shared" si="4878"/>
        <v>-0.6134020619</v>
      </c>
      <c r="BD936" s="15">
        <f t="shared" si="4878"/>
        <v>-0.6134020619</v>
      </c>
      <c r="BE936" s="660">
        <f t="shared" si="4878"/>
        <v>-0.6134020619</v>
      </c>
      <c r="BF936" s="309">
        <f t="shared" si="4878"/>
        <v>-0.6134020619</v>
      </c>
      <c r="BG936" s="660">
        <f t="shared" si="4878"/>
        <v>0</v>
      </c>
      <c r="BH936" s="15">
        <f t="shared" si="4878"/>
        <v>0</v>
      </c>
      <c r="BI936" s="15">
        <f t="shared" si="4878"/>
        <v>0</v>
      </c>
      <c r="BJ936" s="660">
        <f t="shared" si="4878"/>
        <v>0</v>
      </c>
      <c r="BK936" s="309">
        <f t="shared" si="4878"/>
        <v>0</v>
      </c>
      <c r="BL936" s="660">
        <f t="shared" si="4878"/>
        <v>0</v>
      </c>
      <c r="BM936" s="15">
        <f t="shared" si="4878"/>
        <v>0</v>
      </c>
      <c r="BN936" s="15">
        <f t="shared" si="4878"/>
        <v>0</v>
      </c>
      <c r="BO936" s="660">
        <f t="shared" si="4878"/>
        <v>0</v>
      </c>
      <c r="BP936" s="309">
        <f t="shared" si="4878"/>
        <v>0</v>
      </c>
      <c r="BQ936" s="660">
        <f t="shared" si="4878"/>
        <v>0</v>
      </c>
      <c r="BR936" s="15">
        <f t="shared" si="4878"/>
        <v>0</v>
      </c>
      <c r="BS936" s="15">
        <f t="shared" si="4878"/>
        <v>0</v>
      </c>
      <c r="BT936" s="660">
        <f t="shared" si="4878"/>
        <v>0</v>
      </c>
      <c r="BU936" s="309">
        <f t="shared" si="4878"/>
        <v>0</v>
      </c>
      <c r="BV936" s="660">
        <f t="shared" si="4878"/>
        <v>0</v>
      </c>
      <c r="BW936" s="15">
        <f t="shared" si="4878"/>
        <v>0</v>
      </c>
      <c r="BX936" s="15">
        <f t="shared" si="4878"/>
        <v>0</v>
      </c>
      <c r="BY936" s="660">
        <f t="shared" si="4878"/>
        <v>0</v>
      </c>
      <c r="BZ936" s="37">
        <f t="shared" si="4878"/>
        <v>0</v>
      </c>
      <c r="CA936" s="660">
        <f t="shared" si="4878"/>
        <v>0</v>
      </c>
      <c r="CB936" s="15">
        <f t="shared" si="4878"/>
        <v>0</v>
      </c>
      <c r="CC936" s="15">
        <f t="shared" si="4878"/>
        <v>0</v>
      </c>
      <c r="CD936" s="660">
        <f t="shared" si="4878"/>
        <v>0</v>
      </c>
      <c r="CE936" s="37">
        <f t="shared" si="4878"/>
        <v>0</v>
      </c>
      <c r="CF936" s="660">
        <f t="shared" si="4878"/>
        <v>0</v>
      </c>
      <c r="CG936" s="15">
        <f t="shared" si="4878"/>
        <v>0</v>
      </c>
      <c r="CH936" s="15">
        <f t="shared" si="4878"/>
        <v>0</v>
      </c>
      <c r="CI936" s="660">
        <f t="shared" si="4878"/>
        <v>0</v>
      </c>
      <c r="CJ936" s="37">
        <f t="shared" si="4878"/>
        <v>0</v>
      </c>
      <c r="CK936" s="660">
        <f t="shared" si="4878"/>
        <v>0</v>
      </c>
      <c r="CL936" s="15">
        <f t="shared" si="4878"/>
        <v>0</v>
      </c>
      <c r="CM936" s="15">
        <f t="shared" si="4878"/>
        <v>0</v>
      </c>
      <c r="CN936" s="83">
        <f t="shared" si="4878"/>
        <v>0</v>
      </c>
      <c r="CO936" s="37">
        <f t="shared" si="4878"/>
        <v>0</v>
      </c>
      <c r="CP936" s="83">
        <f t="shared" si="4878"/>
        <v>0</v>
      </c>
      <c r="CQ936" s="15">
        <f t="shared" si="4878"/>
        <v>0</v>
      </c>
      <c r="CR936" s="15">
        <f t="shared" si="4878"/>
        <v>0</v>
      </c>
      <c r="CS936" s="660">
        <f t="shared" si="4878"/>
        <v>0</v>
      </c>
      <c r="CT936" s="37">
        <f t="shared" si="4878"/>
        <v>0</v>
      </c>
      <c r="CU936" s="660">
        <f t="shared" si="4878"/>
        <v>0</v>
      </c>
      <c r="CV936" s="15">
        <f t="shared" si="4878"/>
        <v>0</v>
      </c>
      <c r="CW936" s="15">
        <f t="shared" si="4878"/>
        <v>0</v>
      </c>
      <c r="CX936" s="660">
        <f t="shared" si="4878"/>
        <v>0</v>
      </c>
      <c r="CY936" s="37">
        <f t="shared" si="4878"/>
        <v>0</v>
      </c>
      <c r="CZ936" s="660">
        <f t="shared" si="4878"/>
        <v>0</v>
      </c>
      <c r="DA936" s="15">
        <f t="shared" si="4878"/>
        <v>0</v>
      </c>
      <c r="DB936" s="15">
        <f t="shared" si="4878"/>
        <v>0</v>
      </c>
      <c r="DC936" s="660">
        <f t="shared" si="4878"/>
        <v>0</v>
      </c>
      <c r="DD936" s="37">
        <f t="shared" si="4878"/>
        <v>0</v>
      </c>
      <c r="DE936" s="660">
        <f t="shared" si="4878"/>
        <v>0</v>
      </c>
      <c r="DF936" s="15">
        <f t="shared" si="4878"/>
        <v>0</v>
      </c>
      <c r="DG936" s="40">
        <f t="shared" si="4878"/>
        <v>0</v>
      </c>
      <c r="DH936" s="660">
        <f t="shared" si="4878"/>
        <v>0</v>
      </c>
      <c r="DI936" s="37">
        <f t="shared" si="4878"/>
        <v>0</v>
      </c>
      <c r="DJ936" s="83">
        <f t="shared" si="4878"/>
        <v>0</v>
      </c>
      <c r="DK936" s="40">
        <f t="shared" si="4878"/>
        <v>0</v>
      </c>
      <c r="DL936" s="40">
        <f t="shared" si="4878"/>
        <v>0</v>
      </c>
      <c r="DM936" s="660">
        <f t="shared" si="4878"/>
        <v>0</v>
      </c>
      <c r="DN936" s="37">
        <f t="shared" si="4878"/>
        <v>0</v>
      </c>
      <c r="DO936" s="660">
        <f t="shared" si="4878"/>
        <v>0</v>
      </c>
      <c r="DP936" s="15">
        <f t="shared" si="4878"/>
        <v>0</v>
      </c>
      <c r="DQ936" s="15">
        <f t="shared" si="4878"/>
        <v>0</v>
      </c>
      <c r="DR936" s="15">
        <f t="shared" si="4878"/>
        <v>0</v>
      </c>
      <c r="DS936" s="37">
        <f t="shared" si="4878"/>
        <v>0</v>
      </c>
      <c r="DT936" s="660">
        <f t="shared" si="4878"/>
        <v>0</v>
      </c>
      <c r="DU936" s="660">
        <f t="shared" si="4878"/>
        <v>0</v>
      </c>
      <c r="DV936" s="660">
        <f t="shared" si="4878"/>
        <v>0</v>
      </c>
      <c r="DW936" s="660">
        <f t="shared" si="4878"/>
        <v>0</v>
      </c>
      <c r="DX936" s="37">
        <f t="shared" si="4878"/>
        <v>0</v>
      </c>
      <c r="DY936" s="660">
        <f t="shared" si="4878"/>
        <v>0</v>
      </c>
      <c r="DZ936" s="660">
        <f t="shared" si="4878"/>
        <v>0</v>
      </c>
      <c r="EA936" s="660">
        <f t="shared" si="4878"/>
        <v>0</v>
      </c>
      <c r="EB936" s="660">
        <f t="shared" si="4878"/>
        <v>0</v>
      </c>
      <c r="EC936" s="37">
        <f t="shared" si="4878"/>
        <v>0</v>
      </c>
      <c r="ED936" s="660">
        <f t="shared" si="4878"/>
        <v>0</v>
      </c>
      <c r="EE936" s="660">
        <f t="shared" si="4878"/>
        <v>0</v>
      </c>
      <c r="EF936" s="660">
        <f t="shared" si="4878"/>
        <v>0</v>
      </c>
      <c r="EG936" s="660">
        <f t="shared" si="4878"/>
        <v>0</v>
      </c>
      <c r="EH936" s="37">
        <f t="shared" si="4878"/>
        <v>0</v>
      </c>
      <c r="EI936" s="661">
        <f t="shared" si="4878"/>
        <v>0</v>
      </c>
      <c r="EJ936" s="15">
        <f t="shared" si="4878"/>
        <v>0</v>
      </c>
      <c r="EK936" s="15">
        <f t="shared" si="4878"/>
        <v>0</v>
      </c>
      <c r="EL936" s="660">
        <f t="shared" si="4878"/>
        <v>0</v>
      </c>
      <c r="EM936" s="37">
        <f t="shared" si="4878"/>
        <v>0</v>
      </c>
      <c r="EN936" s="660">
        <f t="shared" si="4878"/>
        <v>0</v>
      </c>
      <c r="EO936" s="15">
        <f t="shared" si="4878"/>
        <v>0</v>
      </c>
      <c r="EP936" s="15">
        <f t="shared" si="4878"/>
        <v>0</v>
      </c>
      <c r="EQ936" s="660">
        <f t="shared" si="4878"/>
        <v>0</v>
      </c>
      <c r="ER936" s="37">
        <f t="shared" si="4878"/>
        <v>0</v>
      </c>
      <c r="ES936" s="660">
        <f t="shared" si="4878"/>
        <v>0</v>
      </c>
      <c r="ET936" s="15">
        <f t="shared" si="4878"/>
        <v>0</v>
      </c>
      <c r="EU936" s="15">
        <f t="shared" si="4878"/>
        <v>0</v>
      </c>
      <c r="EV936" s="660">
        <f t="shared" si="4878"/>
        <v>0</v>
      </c>
      <c r="EW936" s="37">
        <f t="shared" si="4878"/>
        <v>0</v>
      </c>
      <c r="EX936" s="660">
        <f t="shared" si="4878"/>
        <v>0</v>
      </c>
      <c r="EY936" s="15">
        <f t="shared" si="4878"/>
        <v>0</v>
      </c>
      <c r="EZ936" s="15">
        <f t="shared" si="4878"/>
        <v>0</v>
      </c>
      <c r="FA936" s="660">
        <f t="shared" si="4878"/>
        <v>0</v>
      </c>
      <c r="FB936" s="37">
        <f t="shared" si="4878"/>
        <v>0</v>
      </c>
      <c r="FC936" s="660">
        <f t="shared" si="4878"/>
        <v>0</v>
      </c>
      <c r="FD936" s="15">
        <f t="shared" si="4878"/>
        <v>0</v>
      </c>
      <c r="FE936" s="15">
        <f t="shared" si="4878"/>
        <v>0</v>
      </c>
      <c r="FF936" s="660">
        <f t="shared" si="4878"/>
        <v>0</v>
      </c>
      <c r="FG936" s="37">
        <f t="shared" si="4878"/>
        <v>0</v>
      </c>
      <c r="FH936" s="35"/>
      <c r="FI936" s="15"/>
      <c r="FJ936" s="660"/>
      <c r="FK936" s="309"/>
      <c r="FL936" s="660"/>
    </row>
    <row r="937" ht="13.5" hidden="1" customHeight="1" outlineLevel="2">
      <c r="A937" s="4"/>
      <c r="B937" s="4" t="str">
        <f t="shared" si="4874"/>
        <v>ICG/All other</v>
      </c>
      <c r="C937" s="4"/>
      <c r="D937" s="660"/>
      <c r="E937" s="660"/>
      <c r="F937" s="660"/>
      <c r="G937" s="660"/>
      <c r="H937" s="309"/>
      <c r="I937" s="660"/>
      <c r="J937" s="660"/>
      <c r="K937" s="660"/>
      <c r="L937" s="660"/>
      <c r="M937" s="309"/>
      <c r="N937" s="660"/>
      <c r="O937" s="660"/>
      <c r="P937" s="660"/>
      <c r="Q937" s="660"/>
      <c r="R937" s="309"/>
      <c r="S937" s="660">
        <f t="shared" ref="S937:FG937" si="4879">S904/N904-1</f>
        <v>0.9554140127</v>
      </c>
      <c r="T937" s="660">
        <f t="shared" si="4879"/>
        <v>-1.348837209</v>
      </c>
      <c r="U937" s="660">
        <f t="shared" si="4879"/>
        <v>0.5697674419</v>
      </c>
      <c r="V937" s="660">
        <f t="shared" si="4879"/>
        <v>0.3886138614</v>
      </c>
      <c r="W937" s="309">
        <f t="shared" si="4879"/>
        <v>0.3191489362</v>
      </c>
      <c r="X937" s="660">
        <f t="shared" si="4879"/>
        <v>0.4853420195</v>
      </c>
      <c r="Y937" s="660">
        <f t="shared" si="4879"/>
        <v>-38.53333333</v>
      </c>
      <c r="Z937" s="660">
        <f t="shared" si="4879"/>
        <v>-0.2740740741</v>
      </c>
      <c r="AA937" s="660">
        <f t="shared" si="4879"/>
        <v>0.1319073084</v>
      </c>
      <c r="AB937" s="309">
        <f t="shared" si="4879"/>
        <v>0.5513196481</v>
      </c>
      <c r="AC937" s="660">
        <f t="shared" si="4879"/>
        <v>1.245614035</v>
      </c>
      <c r="AD937" s="660">
        <f t="shared" si="4879"/>
        <v>1.18294849</v>
      </c>
      <c r="AE937" s="660">
        <f t="shared" si="4879"/>
        <v>0.9163265306</v>
      </c>
      <c r="AF937" s="660">
        <f t="shared" si="4879"/>
        <v>0.2677165354</v>
      </c>
      <c r="AG937" s="309">
        <f t="shared" si="4879"/>
        <v>0.8884688091</v>
      </c>
      <c r="AH937" s="660">
        <f t="shared" si="4879"/>
        <v>-0.5229492188</v>
      </c>
      <c r="AI937" s="660">
        <f t="shared" si="4879"/>
        <v>-0.4039869813</v>
      </c>
      <c r="AJ937" s="660">
        <f t="shared" si="4879"/>
        <v>-0.5191693291</v>
      </c>
      <c r="AK937" s="660">
        <f t="shared" si="4879"/>
        <v>-0.3329192547</v>
      </c>
      <c r="AL937" s="309">
        <f t="shared" si="4879"/>
        <v>-0.4470720721</v>
      </c>
      <c r="AM937" s="660">
        <f t="shared" si="4879"/>
        <v>0.08904810645</v>
      </c>
      <c r="AN937" s="660">
        <f t="shared" si="4879"/>
        <v>-0.228668942</v>
      </c>
      <c r="AO937" s="660">
        <f t="shared" si="4879"/>
        <v>0.3532668882</v>
      </c>
      <c r="AP937" s="660">
        <f t="shared" si="4879"/>
        <v>1.17877095</v>
      </c>
      <c r="AQ937" s="309">
        <f t="shared" si="4879"/>
        <v>0.3025571396</v>
      </c>
      <c r="AR937" s="660">
        <f t="shared" si="4879"/>
        <v>0.01315789474</v>
      </c>
      <c r="AS937" s="660">
        <f t="shared" si="4879"/>
        <v>-0.2796460177</v>
      </c>
      <c r="AT937" s="660">
        <f t="shared" si="4879"/>
        <v>-0.317512275</v>
      </c>
      <c r="AU937" s="660">
        <f t="shared" si="4879"/>
        <v>-0.5008547009</v>
      </c>
      <c r="AV937" s="309">
        <f t="shared" si="4879"/>
        <v>-0.3234885337</v>
      </c>
      <c r="AW937" s="660">
        <f t="shared" si="4879"/>
        <v>0.1836734694</v>
      </c>
      <c r="AX937" s="660">
        <f t="shared" si="4879"/>
        <v>0.3832923833</v>
      </c>
      <c r="AY937" s="660">
        <f t="shared" si="4879"/>
        <v>0.170263789</v>
      </c>
      <c r="AZ937" s="660">
        <f t="shared" si="4879"/>
        <v>-0.25</v>
      </c>
      <c r="BA937" s="309">
        <f t="shared" si="4879"/>
        <v>0.09244992296</v>
      </c>
      <c r="BB937" s="660">
        <f t="shared" si="4879"/>
        <v>-0.7648902821</v>
      </c>
      <c r="BC937" s="660">
        <f t="shared" si="4879"/>
        <v>-0.7779751332</v>
      </c>
      <c r="BD937" s="660">
        <f t="shared" si="4879"/>
        <v>-0.7950819672</v>
      </c>
      <c r="BE937" s="660">
        <f t="shared" si="4879"/>
        <v>-0.7716894977</v>
      </c>
      <c r="BF937" s="309">
        <f t="shared" si="4879"/>
        <v>-0.776680771</v>
      </c>
      <c r="BG937" s="660">
        <f t="shared" si="4879"/>
        <v>-0.3333333333</v>
      </c>
      <c r="BH937" s="660">
        <f t="shared" si="4879"/>
        <v>-0.2</v>
      </c>
      <c r="BI937" s="660">
        <f t="shared" si="4879"/>
        <v>0</v>
      </c>
      <c r="BJ937" s="660">
        <f t="shared" si="4879"/>
        <v>0</v>
      </c>
      <c r="BK937" s="309">
        <f t="shared" si="4879"/>
        <v>-0.1578947368</v>
      </c>
      <c r="BL937" s="660">
        <f t="shared" si="4879"/>
        <v>0</v>
      </c>
      <c r="BM937" s="660">
        <f t="shared" si="4879"/>
        <v>0</v>
      </c>
      <c r="BN937" s="660">
        <f t="shared" si="4879"/>
        <v>0</v>
      </c>
      <c r="BO937" s="660">
        <f t="shared" si="4879"/>
        <v>0</v>
      </c>
      <c r="BP937" s="309">
        <f t="shared" si="4879"/>
        <v>0</v>
      </c>
      <c r="BQ937" s="660">
        <f t="shared" si="4879"/>
        <v>0</v>
      </c>
      <c r="BR937" s="660">
        <f t="shared" si="4879"/>
        <v>0</v>
      </c>
      <c r="BS937" s="660">
        <f t="shared" si="4879"/>
        <v>0</v>
      </c>
      <c r="BT937" s="660">
        <f t="shared" si="4879"/>
        <v>0</v>
      </c>
      <c r="BU937" s="309">
        <f t="shared" si="4879"/>
        <v>0</v>
      </c>
      <c r="BV937" s="660">
        <f t="shared" si="4879"/>
        <v>0</v>
      </c>
      <c r="BW937" s="660">
        <f t="shared" si="4879"/>
        <v>0</v>
      </c>
      <c r="BX937" s="660">
        <f t="shared" si="4879"/>
        <v>0</v>
      </c>
      <c r="BY937" s="660">
        <f t="shared" si="4879"/>
        <v>0</v>
      </c>
      <c r="BZ937" s="37">
        <f t="shared" si="4879"/>
        <v>0</v>
      </c>
      <c r="CA937" s="660">
        <f t="shared" si="4879"/>
        <v>0</v>
      </c>
      <c r="CB937" s="660">
        <f t="shared" si="4879"/>
        <v>0</v>
      </c>
      <c r="CC937" s="660">
        <f t="shared" si="4879"/>
        <v>0</v>
      </c>
      <c r="CD937" s="660">
        <f t="shared" si="4879"/>
        <v>0</v>
      </c>
      <c r="CE937" s="37">
        <f t="shared" si="4879"/>
        <v>0</v>
      </c>
      <c r="CF937" s="660">
        <f t="shared" si="4879"/>
        <v>0</v>
      </c>
      <c r="CG937" s="660">
        <f t="shared" si="4879"/>
        <v>0</v>
      </c>
      <c r="CH937" s="660">
        <f t="shared" si="4879"/>
        <v>0</v>
      </c>
      <c r="CI937" s="660">
        <f t="shared" si="4879"/>
        <v>0</v>
      </c>
      <c r="CJ937" s="37">
        <f t="shared" si="4879"/>
        <v>0</v>
      </c>
      <c r="CK937" s="660">
        <f t="shared" si="4879"/>
        <v>0</v>
      </c>
      <c r="CL937" s="660">
        <f t="shared" si="4879"/>
        <v>0</v>
      </c>
      <c r="CM937" s="660">
        <f t="shared" si="4879"/>
        <v>0</v>
      </c>
      <c r="CN937" s="83">
        <f t="shared" si="4879"/>
        <v>0</v>
      </c>
      <c r="CO937" s="37">
        <f t="shared" si="4879"/>
        <v>0</v>
      </c>
      <c r="CP937" s="83">
        <f t="shared" si="4879"/>
        <v>0</v>
      </c>
      <c r="CQ937" s="660">
        <f t="shared" si="4879"/>
        <v>0</v>
      </c>
      <c r="CR937" s="660">
        <f t="shared" si="4879"/>
        <v>0</v>
      </c>
      <c r="CS937" s="660">
        <f t="shared" si="4879"/>
        <v>0</v>
      </c>
      <c r="CT937" s="37">
        <f t="shared" si="4879"/>
        <v>0</v>
      </c>
      <c r="CU937" s="660">
        <f t="shared" si="4879"/>
        <v>0</v>
      </c>
      <c r="CV937" s="660">
        <f t="shared" si="4879"/>
        <v>0</v>
      </c>
      <c r="CW937" s="660">
        <f t="shared" si="4879"/>
        <v>0</v>
      </c>
      <c r="CX937" s="660">
        <f t="shared" si="4879"/>
        <v>0</v>
      </c>
      <c r="CY937" s="37">
        <f t="shared" si="4879"/>
        <v>0</v>
      </c>
      <c r="CZ937" s="660">
        <f t="shared" si="4879"/>
        <v>0</v>
      </c>
      <c r="DA937" s="660">
        <f t="shared" si="4879"/>
        <v>0</v>
      </c>
      <c r="DB937" s="660">
        <f t="shared" si="4879"/>
        <v>0</v>
      </c>
      <c r="DC937" s="660">
        <f t="shared" si="4879"/>
        <v>0</v>
      </c>
      <c r="DD937" s="37">
        <f t="shared" si="4879"/>
        <v>0</v>
      </c>
      <c r="DE937" s="660">
        <f t="shared" si="4879"/>
        <v>0</v>
      </c>
      <c r="DF937" s="660">
        <f t="shared" si="4879"/>
        <v>0</v>
      </c>
      <c r="DG937" s="83">
        <f t="shared" si="4879"/>
        <v>0</v>
      </c>
      <c r="DH937" s="660">
        <f t="shared" si="4879"/>
        <v>0</v>
      </c>
      <c r="DI937" s="37">
        <f t="shared" si="4879"/>
        <v>0</v>
      </c>
      <c r="DJ937" s="83">
        <f t="shared" si="4879"/>
        <v>0</v>
      </c>
      <c r="DK937" s="83">
        <f t="shared" si="4879"/>
        <v>0</v>
      </c>
      <c r="DL937" s="83">
        <f t="shared" si="4879"/>
        <v>0</v>
      </c>
      <c r="DM937" s="660">
        <f t="shared" si="4879"/>
        <v>0</v>
      </c>
      <c r="DN937" s="37">
        <f t="shared" si="4879"/>
        <v>0</v>
      </c>
      <c r="DO937" s="660">
        <f t="shared" si="4879"/>
        <v>0</v>
      </c>
      <c r="DP937" s="660">
        <f t="shared" si="4879"/>
        <v>0</v>
      </c>
      <c r="DQ937" s="660">
        <f t="shared" si="4879"/>
        <v>0</v>
      </c>
      <c r="DR937" s="660">
        <f t="shared" si="4879"/>
        <v>0</v>
      </c>
      <c r="DS937" s="37">
        <f t="shared" si="4879"/>
        <v>0</v>
      </c>
      <c r="DT937" s="660">
        <f t="shared" si="4879"/>
        <v>0</v>
      </c>
      <c r="DU937" s="660">
        <f t="shared" si="4879"/>
        <v>0</v>
      </c>
      <c r="DV937" s="660">
        <f t="shared" si="4879"/>
        <v>0</v>
      </c>
      <c r="DW937" s="660">
        <f t="shared" si="4879"/>
        <v>0</v>
      </c>
      <c r="DX937" s="37">
        <f t="shared" si="4879"/>
        <v>0</v>
      </c>
      <c r="DY937" s="660">
        <f t="shared" si="4879"/>
        <v>0</v>
      </c>
      <c r="DZ937" s="660">
        <f t="shared" si="4879"/>
        <v>0</v>
      </c>
      <c r="EA937" s="660">
        <f t="shared" si="4879"/>
        <v>0</v>
      </c>
      <c r="EB937" s="660">
        <f t="shared" si="4879"/>
        <v>0</v>
      </c>
      <c r="EC937" s="37">
        <f t="shared" si="4879"/>
        <v>0</v>
      </c>
      <c r="ED937" s="660">
        <f t="shared" si="4879"/>
        <v>0</v>
      </c>
      <c r="EE937" s="660">
        <f t="shared" si="4879"/>
        <v>0</v>
      </c>
      <c r="EF937" s="660">
        <f t="shared" si="4879"/>
        <v>0</v>
      </c>
      <c r="EG937" s="660">
        <f t="shared" si="4879"/>
        <v>0</v>
      </c>
      <c r="EH937" s="37">
        <f t="shared" si="4879"/>
        <v>0</v>
      </c>
      <c r="EI937" s="661">
        <f t="shared" si="4879"/>
        <v>0</v>
      </c>
      <c r="EJ937" s="660">
        <f t="shared" si="4879"/>
        <v>0</v>
      </c>
      <c r="EK937" s="660">
        <f t="shared" si="4879"/>
        <v>0</v>
      </c>
      <c r="EL937" s="660">
        <f t="shared" si="4879"/>
        <v>0</v>
      </c>
      <c r="EM937" s="37">
        <f t="shared" si="4879"/>
        <v>0</v>
      </c>
      <c r="EN937" s="660">
        <f t="shared" si="4879"/>
        <v>0</v>
      </c>
      <c r="EO937" s="660">
        <f t="shared" si="4879"/>
        <v>0</v>
      </c>
      <c r="EP937" s="660">
        <f t="shared" si="4879"/>
        <v>0</v>
      </c>
      <c r="EQ937" s="660">
        <f t="shared" si="4879"/>
        <v>0</v>
      </c>
      <c r="ER937" s="37">
        <f t="shared" si="4879"/>
        <v>0</v>
      </c>
      <c r="ES937" s="660">
        <f t="shared" si="4879"/>
        <v>0</v>
      </c>
      <c r="ET937" s="660">
        <f t="shared" si="4879"/>
        <v>0</v>
      </c>
      <c r="EU937" s="660">
        <f t="shared" si="4879"/>
        <v>0</v>
      </c>
      <c r="EV937" s="660">
        <f t="shared" si="4879"/>
        <v>0</v>
      </c>
      <c r="EW937" s="37">
        <f t="shared" si="4879"/>
        <v>0</v>
      </c>
      <c r="EX937" s="660">
        <f t="shared" si="4879"/>
        <v>0</v>
      </c>
      <c r="EY937" s="660">
        <f t="shared" si="4879"/>
        <v>0</v>
      </c>
      <c r="EZ937" s="660">
        <f t="shared" si="4879"/>
        <v>0</v>
      </c>
      <c r="FA937" s="660">
        <f t="shared" si="4879"/>
        <v>0</v>
      </c>
      <c r="FB937" s="37">
        <f t="shared" si="4879"/>
        <v>0</v>
      </c>
      <c r="FC937" s="660">
        <f t="shared" si="4879"/>
        <v>0</v>
      </c>
      <c r="FD937" s="660">
        <f t="shared" si="4879"/>
        <v>0</v>
      </c>
      <c r="FE937" s="660">
        <f t="shared" si="4879"/>
        <v>0</v>
      </c>
      <c r="FF937" s="660">
        <f t="shared" si="4879"/>
        <v>0</v>
      </c>
      <c r="FG937" s="37">
        <f t="shared" si="4879"/>
        <v>0</v>
      </c>
      <c r="FH937" s="35"/>
      <c r="FI937" s="660"/>
      <c r="FJ937" s="660"/>
      <c r="FK937" s="309"/>
      <c r="FL937" s="660"/>
    </row>
    <row r="938" ht="13.5" hidden="1" customHeight="1" outlineLevel="2">
      <c r="A938" s="4"/>
      <c r="B938" s="529" t="s">
        <v>338</v>
      </c>
      <c r="C938" s="529"/>
      <c r="D938" s="596"/>
      <c r="E938" s="596"/>
      <c r="F938" s="596"/>
      <c r="G938" s="596"/>
      <c r="H938" s="662"/>
      <c r="I938" s="596"/>
      <c r="J938" s="596"/>
      <c r="K938" s="596"/>
      <c r="L938" s="596"/>
      <c r="M938" s="662"/>
      <c r="N938" s="596"/>
      <c r="O938" s="596"/>
      <c r="P938" s="596"/>
      <c r="Q938" s="596"/>
      <c r="R938" s="662"/>
      <c r="S938" s="596">
        <f t="shared" ref="S938:FG938" si="4880">S905/N905-1</f>
        <v>0.4806288602</v>
      </c>
      <c r="T938" s="596">
        <f t="shared" si="4880"/>
        <v>0.4445828144</v>
      </c>
      <c r="U938" s="596">
        <f t="shared" si="4880"/>
        <v>-0.04638218924</v>
      </c>
      <c r="V938" s="596">
        <f t="shared" si="4880"/>
        <v>-0.02891396333</v>
      </c>
      <c r="W938" s="662">
        <f t="shared" si="4880"/>
        <v>0.1656522258</v>
      </c>
      <c r="X938" s="596">
        <f t="shared" si="4880"/>
        <v>-0.03147516117</v>
      </c>
      <c r="Y938" s="596">
        <f t="shared" si="4880"/>
        <v>0.03793103448</v>
      </c>
      <c r="Z938" s="596">
        <f t="shared" si="4880"/>
        <v>0.3895914397</v>
      </c>
      <c r="AA938" s="596">
        <f t="shared" si="4880"/>
        <v>-0.06463326071</v>
      </c>
      <c r="AB938" s="662">
        <f t="shared" si="4880"/>
        <v>0.06429814682</v>
      </c>
      <c r="AC938" s="596">
        <f t="shared" si="4880"/>
        <v>-0.7486296006</v>
      </c>
      <c r="AD938" s="596">
        <f t="shared" si="4880"/>
        <v>-0.9107142857</v>
      </c>
      <c r="AE938" s="596">
        <f t="shared" si="4880"/>
        <v>-0.8638431922</v>
      </c>
      <c r="AF938" s="596">
        <f t="shared" si="4880"/>
        <v>-0.6083074534</v>
      </c>
      <c r="AG938" s="662">
        <f t="shared" si="4880"/>
        <v>-0.782972583</v>
      </c>
      <c r="AH938" s="596">
        <f t="shared" si="4880"/>
        <v>1.053738318</v>
      </c>
      <c r="AI938" s="596">
        <f t="shared" si="4880"/>
        <v>1.965116279</v>
      </c>
      <c r="AJ938" s="596">
        <f t="shared" si="4880"/>
        <v>1.474293059</v>
      </c>
      <c r="AK938" s="596">
        <f t="shared" si="4880"/>
        <v>0.4509415263</v>
      </c>
      <c r="AL938" s="662">
        <f t="shared" si="4880"/>
        <v>0.9425975177</v>
      </c>
      <c r="AM938" s="596">
        <f t="shared" si="4880"/>
        <v>0.04361016306</v>
      </c>
      <c r="AN938" s="596">
        <f t="shared" si="4880"/>
        <v>1.001568627</v>
      </c>
      <c r="AO938" s="596">
        <f t="shared" si="4880"/>
        <v>1.393766234</v>
      </c>
      <c r="AP938" s="596">
        <f t="shared" si="4880"/>
        <v>0.75</v>
      </c>
      <c r="AQ938" s="662">
        <f t="shared" si="4880"/>
        <v>0.7154592128</v>
      </c>
      <c r="AR938" s="596">
        <f t="shared" si="4880"/>
        <v>0.7994186047</v>
      </c>
      <c r="AS938" s="596">
        <f t="shared" si="4880"/>
        <v>0.8659874608</v>
      </c>
      <c r="AT938" s="596">
        <f t="shared" si="4880"/>
        <v>0.02994791667</v>
      </c>
      <c r="AU938" s="596">
        <f t="shared" si="4880"/>
        <v>0.1319281811</v>
      </c>
      <c r="AV938" s="662">
        <f t="shared" si="4880"/>
        <v>0.3474328279</v>
      </c>
      <c r="AW938" s="596">
        <f t="shared" si="4880"/>
        <v>0.2245557351</v>
      </c>
      <c r="AX938" s="596">
        <f t="shared" si="4880"/>
        <v>0.1125577488</v>
      </c>
      <c r="AY938" s="596">
        <f t="shared" si="4880"/>
        <v>0.3653603034</v>
      </c>
      <c r="AZ938" s="596">
        <f t="shared" si="4880"/>
        <v>0.1410344828</v>
      </c>
      <c r="BA938" s="662">
        <f t="shared" si="4880"/>
        <v>0.2073050346</v>
      </c>
      <c r="BB938" s="596">
        <f t="shared" si="4880"/>
        <v>-0.4333773087</v>
      </c>
      <c r="BC938" s="596">
        <f t="shared" si="4880"/>
        <v>-0.5953189883</v>
      </c>
      <c r="BD938" s="596">
        <f t="shared" si="4880"/>
        <v>-0.5759259259</v>
      </c>
      <c r="BE938" s="596">
        <f t="shared" si="4880"/>
        <v>-0.5503173164</v>
      </c>
      <c r="BF938" s="662">
        <f t="shared" si="4880"/>
        <v>-0.5378577269</v>
      </c>
      <c r="BG938" s="596">
        <f t="shared" si="4880"/>
        <v>-0.02502910361</v>
      </c>
      <c r="BH938" s="596">
        <f t="shared" si="4880"/>
        <v>0.2593283582</v>
      </c>
      <c r="BI938" s="596">
        <f t="shared" si="4880"/>
        <v>0.6426491994</v>
      </c>
      <c r="BJ938" s="596">
        <f t="shared" si="4880"/>
        <v>1.047715054</v>
      </c>
      <c r="BK938" s="662">
        <f t="shared" si="4880"/>
        <v>0.4736376504</v>
      </c>
      <c r="BL938" s="596">
        <f t="shared" si="4880"/>
        <v>0.2310447761</v>
      </c>
      <c r="BM938" s="596">
        <f t="shared" si="4880"/>
        <v>0.6703703704</v>
      </c>
      <c r="BN938" s="596">
        <f t="shared" si="4880"/>
        <v>0.3726185202</v>
      </c>
      <c r="BO938" s="596">
        <f t="shared" si="4880"/>
        <v>-0.4949130292</v>
      </c>
      <c r="BP938" s="662">
        <f t="shared" si="4880"/>
        <v>0.07503902029</v>
      </c>
      <c r="BQ938" s="596">
        <f t="shared" si="4880"/>
        <v>-0.6862269641</v>
      </c>
      <c r="BR938" s="596">
        <f t="shared" si="4880"/>
        <v>-0.3636363636</v>
      </c>
      <c r="BS938" s="596">
        <f t="shared" si="4880"/>
        <v>-0.1675274371</v>
      </c>
      <c r="BT938" s="596">
        <f t="shared" si="4880"/>
        <v>1.434697856</v>
      </c>
      <c r="BU938" s="662">
        <f t="shared" si="4880"/>
        <v>-0.06097833371</v>
      </c>
      <c r="BV938" s="596">
        <f t="shared" si="4880"/>
        <v>4.329211747</v>
      </c>
      <c r="BW938" s="596">
        <f t="shared" si="4880"/>
        <v>1.774216028</v>
      </c>
      <c r="BX938" s="596">
        <f t="shared" si="4880"/>
        <v>0.603722373</v>
      </c>
      <c r="BY938" s="596">
        <f t="shared" si="4880"/>
        <v>0.07365892714</v>
      </c>
      <c r="BZ938" s="663">
        <f t="shared" si="4880"/>
        <v>0.8539486204</v>
      </c>
      <c r="CA938" s="596">
        <f t="shared" si="4880"/>
        <v>0.2059164733</v>
      </c>
      <c r="CB938" s="596">
        <f t="shared" si="4880"/>
        <v>-0.01155488571</v>
      </c>
      <c r="CC938" s="596">
        <f t="shared" si="4880"/>
        <v>0.1569148936</v>
      </c>
      <c r="CD938" s="596">
        <f t="shared" si="4880"/>
        <v>0.1431767338</v>
      </c>
      <c r="CE938" s="663">
        <f t="shared" si="4880"/>
        <v>0.1211829613</v>
      </c>
      <c r="CF938" s="596">
        <f t="shared" si="4880"/>
        <v>-0.08369408369</v>
      </c>
      <c r="CG938" s="596">
        <f t="shared" si="4880"/>
        <v>-0.02617534943</v>
      </c>
      <c r="CH938" s="596">
        <f t="shared" si="4880"/>
        <v>-0.1972831766</v>
      </c>
      <c r="CI938" s="596">
        <f t="shared" si="4880"/>
        <v>-0.3139813003</v>
      </c>
      <c r="CJ938" s="663">
        <f t="shared" si="4880"/>
        <v>-0.1624420667</v>
      </c>
      <c r="CK938" s="596">
        <f t="shared" si="4880"/>
        <v>-0.3388451444</v>
      </c>
      <c r="CL938" s="596">
        <f t="shared" si="4880"/>
        <v>-0.2904488518</v>
      </c>
      <c r="CM938" s="596">
        <f t="shared" si="4880"/>
        <v>-0.08773756834</v>
      </c>
      <c r="CN938" s="595">
        <f t="shared" si="4880"/>
        <v>0.124881141</v>
      </c>
      <c r="CO938" s="663">
        <f t="shared" si="4880"/>
        <v>-0.1603361115</v>
      </c>
      <c r="CP938" s="595">
        <f t="shared" si="4880"/>
        <v>0.005557761016</v>
      </c>
      <c r="CQ938" s="596">
        <f t="shared" si="4880"/>
        <v>0.413755057</v>
      </c>
      <c r="CR938" s="596">
        <f t="shared" si="4880"/>
        <v>0.2956621005</v>
      </c>
      <c r="CS938" s="596">
        <f t="shared" si="4880"/>
        <v>0.2547196393</v>
      </c>
      <c r="CT938" s="663">
        <f t="shared" si="4880"/>
        <v>0.2505085022</v>
      </c>
      <c r="CU938" s="596">
        <f t="shared" si="4880"/>
        <v>0.03237268062</v>
      </c>
      <c r="CV938" s="596">
        <f t="shared" si="4880"/>
        <v>-0.2466181061</v>
      </c>
      <c r="CW938" s="596">
        <f t="shared" si="4880"/>
        <v>-0.07665198238</v>
      </c>
      <c r="CX938" s="596">
        <f t="shared" si="4880"/>
        <v>-0.0345834269</v>
      </c>
      <c r="CY938" s="663">
        <f t="shared" si="4880"/>
        <v>-0.08900455433</v>
      </c>
      <c r="CZ938" s="596">
        <f t="shared" si="4880"/>
        <v>-0.01797323136</v>
      </c>
      <c r="DA938" s="596">
        <f t="shared" si="4880"/>
        <v>-0.5448895028</v>
      </c>
      <c r="DB938" s="596">
        <f t="shared" si="4880"/>
        <v>0.06440839695</v>
      </c>
      <c r="DC938" s="596">
        <f t="shared" si="4880"/>
        <v>0.05280297744</v>
      </c>
      <c r="DD938" s="663">
        <f t="shared" si="4880"/>
        <v>-0.08055992001</v>
      </c>
      <c r="DE938" s="596">
        <f t="shared" si="4880"/>
        <v>0.4014797508</v>
      </c>
      <c r="DF938" s="596">
        <f t="shared" si="4880"/>
        <v>1.903641882</v>
      </c>
      <c r="DG938" s="104">
        <f t="shared" si="4880"/>
        <v>0.1463469296</v>
      </c>
      <c r="DH938" s="596">
        <f t="shared" si="4880"/>
        <v>0.1920017676</v>
      </c>
      <c r="DI938" s="663">
        <f t="shared" si="4880"/>
        <v>0.393195588</v>
      </c>
      <c r="DJ938" s="595">
        <f t="shared" si="4880"/>
        <v>0.2420116699</v>
      </c>
      <c r="DK938" s="595">
        <f t="shared" si="4880"/>
        <v>0.3778416514</v>
      </c>
      <c r="DL938" s="595">
        <f t="shared" si="4880"/>
        <v>0.4367546432</v>
      </c>
      <c r="DM938" s="596">
        <f t="shared" si="4880"/>
        <v>0.153660797</v>
      </c>
      <c r="DN938" s="663">
        <f t="shared" si="4880"/>
        <v>0.299955397</v>
      </c>
      <c r="DO938" s="596">
        <f t="shared" si="4880"/>
        <v>-0.06621923937</v>
      </c>
      <c r="DP938" s="596">
        <f t="shared" si="4880"/>
        <v>-0.1244073582</v>
      </c>
      <c r="DQ938" s="596">
        <f t="shared" si="4880"/>
        <v>-0.1227377875</v>
      </c>
      <c r="DR938" s="596">
        <f t="shared" si="4880"/>
        <v>0.09206298201</v>
      </c>
      <c r="DS938" s="663">
        <f t="shared" si="4880"/>
        <v>-0.05494081318</v>
      </c>
      <c r="DT938" s="596">
        <f t="shared" si="4880"/>
        <v>0.6861523718</v>
      </c>
      <c r="DU938" s="596">
        <f t="shared" si="4880"/>
        <v>0.2339181287</v>
      </c>
      <c r="DV938" s="596">
        <f t="shared" si="4880"/>
        <v>-0.2152939352</v>
      </c>
      <c r="DW938" s="596">
        <f t="shared" si="4880"/>
        <v>-0.1343239665</v>
      </c>
      <c r="DX938" s="663">
        <f t="shared" si="4880"/>
        <v>0.07456319492</v>
      </c>
      <c r="DY938" s="596">
        <f t="shared" si="4880"/>
        <v>-0.4751349815</v>
      </c>
      <c r="DZ938" s="596">
        <f t="shared" si="4880"/>
        <v>-0.02650517816</v>
      </c>
      <c r="EA938" s="596">
        <f t="shared" si="4880"/>
        <v>0.0332081439</v>
      </c>
      <c r="EB938" s="596">
        <f t="shared" si="4880"/>
        <v>-0.1521074099</v>
      </c>
      <c r="EC938" s="663">
        <f t="shared" si="4880"/>
        <v>-0.1783089788</v>
      </c>
      <c r="ED938" s="596">
        <f t="shared" si="4880"/>
        <v>0.1751488901</v>
      </c>
      <c r="EE938" s="596">
        <f t="shared" si="4880"/>
        <v>-1.126217093</v>
      </c>
      <c r="EF938" s="596">
        <f t="shared" si="4880"/>
        <v>-1.033480008</v>
      </c>
      <c r="EG938" s="596">
        <f t="shared" si="4880"/>
        <v>-1.226899178</v>
      </c>
      <c r="EH938" s="663">
        <f t="shared" si="4880"/>
        <v>-0.8800370066</v>
      </c>
      <c r="EI938" s="598" t="str">
        <f t="shared" si="4880"/>
        <v>#ERROR!</v>
      </c>
      <c r="EJ938" s="596" t="str">
        <f t="shared" si="4880"/>
        <v>#ERROR!</v>
      </c>
      <c r="EK938" s="596" t="str">
        <f t="shared" si="4880"/>
        <v>#ERROR!</v>
      </c>
      <c r="EL938" s="596" t="str">
        <f t="shared" si="4880"/>
        <v>#ERROR!</v>
      </c>
      <c r="EM938" s="663" t="str">
        <f t="shared" si="4880"/>
        <v>#ERROR!</v>
      </c>
      <c r="EN938" s="596" t="str">
        <f t="shared" si="4880"/>
        <v>#ERROR!</v>
      </c>
      <c r="EO938" s="596" t="str">
        <f t="shared" si="4880"/>
        <v>#ERROR!</v>
      </c>
      <c r="EP938" s="596" t="str">
        <f t="shared" si="4880"/>
        <v>#ERROR!</v>
      </c>
      <c r="EQ938" s="596" t="str">
        <f t="shared" si="4880"/>
        <v>#ERROR!</v>
      </c>
      <c r="ER938" s="663" t="str">
        <f t="shared" si="4880"/>
        <v>#ERROR!</v>
      </c>
      <c r="ES938" s="596" t="str">
        <f t="shared" si="4880"/>
        <v>#ERROR!</v>
      </c>
      <c r="ET938" s="596" t="str">
        <f t="shared" si="4880"/>
        <v>#ERROR!</v>
      </c>
      <c r="EU938" s="596" t="str">
        <f t="shared" si="4880"/>
        <v>#ERROR!</v>
      </c>
      <c r="EV938" s="596" t="str">
        <f t="shared" si="4880"/>
        <v>#ERROR!</v>
      </c>
      <c r="EW938" s="663" t="str">
        <f t="shared" si="4880"/>
        <v>#ERROR!</v>
      </c>
      <c r="EX938" s="596" t="str">
        <f t="shared" si="4880"/>
        <v>#ERROR!</v>
      </c>
      <c r="EY938" s="596" t="str">
        <f t="shared" si="4880"/>
        <v>#ERROR!</v>
      </c>
      <c r="EZ938" s="596" t="str">
        <f t="shared" si="4880"/>
        <v>#ERROR!</v>
      </c>
      <c r="FA938" s="596" t="str">
        <f t="shared" si="4880"/>
        <v>#ERROR!</v>
      </c>
      <c r="FB938" s="663" t="str">
        <f t="shared" si="4880"/>
        <v>#ERROR!</v>
      </c>
      <c r="FC938" s="596" t="str">
        <f t="shared" si="4880"/>
        <v>#ERROR!</v>
      </c>
      <c r="FD938" s="596" t="str">
        <f t="shared" si="4880"/>
        <v>#ERROR!</v>
      </c>
      <c r="FE938" s="596" t="str">
        <f t="shared" si="4880"/>
        <v>#ERROR!</v>
      </c>
      <c r="FF938" s="596" t="str">
        <f t="shared" si="4880"/>
        <v>#ERROR!</v>
      </c>
      <c r="FG938" s="663" t="str">
        <f t="shared" si="4880"/>
        <v>#ERROR!</v>
      </c>
      <c r="FH938" s="664"/>
      <c r="FI938" s="596"/>
      <c r="FJ938" s="596"/>
      <c r="FK938" s="662"/>
      <c r="FL938" s="596"/>
    </row>
    <row r="939" ht="12.75" hidden="1" customHeight="1" outlineLevel="2">
      <c r="A939" s="4"/>
      <c r="B939" s="4"/>
      <c r="C939" s="4"/>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c r="BC939" s="73"/>
      <c r="BD939" s="73"/>
      <c r="BE939" s="73"/>
      <c r="BF939" s="73"/>
      <c r="BG939" s="73"/>
      <c r="BH939" s="73"/>
      <c r="BI939" s="73"/>
      <c r="BJ939" s="73"/>
      <c r="BK939" s="73"/>
      <c r="BL939" s="73"/>
      <c r="BM939" s="73"/>
      <c r="BN939" s="73"/>
      <c r="BO939" s="73"/>
      <c r="BP939" s="73"/>
      <c r="BQ939" s="73"/>
      <c r="BR939" s="73"/>
      <c r="BS939" s="73"/>
      <c r="BT939" s="73"/>
      <c r="BU939" s="73"/>
      <c r="BV939" s="73"/>
      <c r="BW939" s="73"/>
      <c r="BX939" s="73"/>
      <c r="BY939" s="73"/>
      <c r="BZ939" s="18"/>
      <c r="CA939" s="73"/>
      <c r="CB939" s="73"/>
      <c r="CC939" s="73"/>
      <c r="CD939" s="73"/>
      <c r="CE939" s="18"/>
      <c r="CF939" s="73"/>
      <c r="CG939" s="73"/>
      <c r="CH939" s="73"/>
      <c r="CI939" s="73"/>
      <c r="CJ939" s="18"/>
      <c r="CK939" s="73"/>
      <c r="CL939" s="73"/>
      <c r="CM939" s="73"/>
      <c r="CN939" s="74"/>
      <c r="CO939" s="18"/>
      <c r="CP939" s="74"/>
      <c r="CQ939" s="73"/>
      <c r="CR939" s="73"/>
      <c r="CS939" s="73"/>
      <c r="CT939" s="18"/>
      <c r="CU939" s="73"/>
      <c r="CV939" s="73"/>
      <c r="CW939" s="73"/>
      <c r="CX939" s="73"/>
      <c r="CY939" s="18"/>
      <c r="CZ939" s="73"/>
      <c r="DA939" s="73"/>
      <c r="DB939" s="73"/>
      <c r="DC939" s="73"/>
      <c r="DD939" s="18"/>
      <c r="DE939" s="73"/>
      <c r="DF939" s="73"/>
      <c r="DG939" s="74"/>
      <c r="DH939" s="73"/>
      <c r="DI939" s="18"/>
      <c r="DJ939" s="74"/>
      <c r="DK939" s="74"/>
      <c r="DL939" s="74"/>
      <c r="DM939" s="73"/>
      <c r="DN939" s="18"/>
      <c r="DO939" s="73"/>
      <c r="DP939" s="73"/>
      <c r="DQ939" s="73"/>
      <c r="DR939" s="73"/>
      <c r="DS939" s="18"/>
      <c r="DT939" s="73"/>
      <c r="DU939" s="73"/>
      <c r="DV939" s="73"/>
      <c r="DW939" s="73"/>
      <c r="DX939" s="18"/>
      <c r="DY939" s="73"/>
      <c r="DZ939" s="73"/>
      <c r="EA939" s="73"/>
      <c r="EB939" s="73"/>
      <c r="EC939" s="18"/>
      <c r="ED939" s="73"/>
      <c r="EE939" s="73"/>
      <c r="EF939" s="73"/>
      <c r="EG939" s="73"/>
      <c r="EH939" s="18"/>
      <c r="EI939" s="275"/>
      <c r="EJ939" s="73"/>
      <c r="EK939" s="73"/>
      <c r="EL939" s="73"/>
      <c r="EM939" s="18"/>
      <c r="EN939" s="73"/>
      <c r="EO939" s="73"/>
      <c r="EP939" s="73"/>
      <c r="EQ939" s="73"/>
      <c r="ER939" s="18"/>
      <c r="ES939" s="73"/>
      <c r="ET939" s="73"/>
      <c r="EU939" s="73"/>
      <c r="EV939" s="73"/>
      <c r="EW939" s="18"/>
      <c r="EX939" s="73"/>
      <c r="EY939" s="73"/>
      <c r="EZ939" s="73"/>
      <c r="FA939" s="73"/>
      <c r="FB939" s="18"/>
      <c r="FC939" s="73"/>
      <c r="FD939" s="73"/>
      <c r="FE939" s="73"/>
      <c r="FF939" s="73"/>
      <c r="FG939" s="18"/>
      <c r="FH939" s="74"/>
      <c r="FI939" s="73"/>
      <c r="FJ939" s="73"/>
      <c r="FK939" s="73"/>
      <c r="FL939" s="73"/>
    </row>
    <row r="940" ht="12.75" hidden="1" customHeight="1" outlineLevel="1">
      <c r="A940" s="377"/>
      <c r="B940" s="377"/>
      <c r="C940" s="377"/>
      <c r="D940" s="377"/>
      <c r="E940" s="377"/>
      <c r="F940" s="377"/>
      <c r="G940" s="377"/>
      <c r="H940" s="665"/>
      <c r="I940" s="377"/>
      <c r="J940" s="377"/>
      <c r="K940" s="377"/>
      <c r="L940" s="377"/>
      <c r="M940" s="665"/>
      <c r="N940" s="377"/>
      <c r="O940" s="377"/>
      <c r="P940" s="377"/>
      <c r="Q940" s="377"/>
      <c r="R940" s="665"/>
      <c r="S940" s="377"/>
      <c r="T940" s="377"/>
      <c r="U940" s="377"/>
      <c r="V940" s="377"/>
      <c r="W940" s="665"/>
      <c r="X940" s="377"/>
      <c r="Y940" s="377"/>
      <c r="Z940" s="377"/>
      <c r="AA940" s="377"/>
      <c r="AB940" s="665"/>
      <c r="AC940" s="377"/>
      <c r="AD940" s="377"/>
      <c r="AE940" s="377"/>
      <c r="AF940" s="377"/>
      <c r="AG940" s="665"/>
      <c r="AH940" s="377"/>
      <c r="AI940" s="377"/>
      <c r="AJ940" s="377"/>
      <c r="AK940" s="377"/>
      <c r="AL940" s="665"/>
      <c r="AM940" s="377"/>
      <c r="AN940" s="377"/>
      <c r="AO940" s="377"/>
      <c r="AP940" s="377"/>
      <c r="AQ940" s="665"/>
      <c r="AR940" s="377"/>
      <c r="AS940" s="377"/>
      <c r="AT940" s="377"/>
      <c r="AU940" s="377"/>
      <c r="AV940" s="665"/>
      <c r="AW940" s="377"/>
      <c r="AX940" s="377"/>
      <c r="AY940" s="377"/>
      <c r="AZ940" s="377"/>
      <c r="BA940" s="665"/>
      <c r="BB940" s="377"/>
      <c r="BC940" s="377"/>
      <c r="BD940" s="377"/>
      <c r="BE940" s="377"/>
      <c r="BF940" s="665"/>
      <c r="BG940" s="377"/>
      <c r="BH940" s="377"/>
      <c r="BI940" s="377"/>
      <c r="BJ940" s="377"/>
      <c r="BK940" s="665"/>
      <c r="BL940" s="377"/>
      <c r="BM940" s="377"/>
      <c r="BN940" s="377"/>
      <c r="BO940" s="377"/>
      <c r="BP940" s="665"/>
      <c r="BQ940" s="377"/>
      <c r="BR940" s="377"/>
      <c r="BS940" s="377"/>
      <c r="BT940" s="377"/>
      <c r="BU940" s="665"/>
      <c r="BV940" s="377"/>
      <c r="BW940" s="377"/>
      <c r="BX940" s="377"/>
      <c r="BY940" s="377"/>
      <c r="BZ940" s="666"/>
      <c r="CA940" s="377"/>
      <c r="CB940" s="377"/>
      <c r="CC940" s="377"/>
      <c r="CD940" s="377"/>
      <c r="CE940" s="666"/>
      <c r="CF940" s="377"/>
      <c r="CG940" s="377"/>
      <c r="CH940" s="377"/>
      <c r="CI940" s="377"/>
      <c r="CJ940" s="666"/>
      <c r="CK940" s="377"/>
      <c r="CL940" s="377"/>
      <c r="CM940" s="377"/>
      <c r="CN940" s="440"/>
      <c r="CO940" s="666"/>
      <c r="CP940" s="440"/>
      <c r="CQ940" s="377"/>
      <c r="CR940" s="377"/>
      <c r="CS940" s="377"/>
      <c r="CT940" s="666"/>
      <c r="CU940" s="377"/>
      <c r="CV940" s="377"/>
      <c r="CW940" s="377"/>
      <c r="CX940" s="377"/>
      <c r="CY940" s="666"/>
      <c r="CZ940" s="377"/>
      <c r="DA940" s="377"/>
      <c r="DB940" s="377"/>
      <c r="DC940" s="377"/>
      <c r="DD940" s="666"/>
      <c r="DE940" s="377"/>
      <c r="DF940" s="377"/>
      <c r="DG940" s="440"/>
      <c r="DH940" s="377"/>
      <c r="DI940" s="666"/>
      <c r="DJ940" s="440"/>
      <c r="DK940" s="440"/>
      <c r="DL940" s="440"/>
      <c r="DM940" s="377"/>
      <c r="DN940" s="666"/>
      <c r="DO940" s="377"/>
      <c r="DP940" s="377"/>
      <c r="DQ940" s="377"/>
      <c r="DR940" s="377"/>
      <c r="DS940" s="666"/>
      <c r="DT940" s="377"/>
      <c r="DU940" s="377"/>
      <c r="DV940" s="377"/>
      <c r="DW940" s="377"/>
      <c r="DX940" s="666"/>
      <c r="DY940" s="377"/>
      <c r="DZ940" s="377"/>
      <c r="EA940" s="377"/>
      <c r="EB940" s="377"/>
      <c r="EC940" s="666"/>
      <c r="ED940" s="377"/>
      <c r="EE940" s="377"/>
      <c r="EF940" s="377"/>
      <c r="EG940" s="377"/>
      <c r="EH940" s="666"/>
      <c r="EI940" s="442"/>
      <c r="EJ940" s="377"/>
      <c r="EK940" s="377"/>
      <c r="EL940" s="377"/>
      <c r="EM940" s="666"/>
      <c r="EN940" s="377"/>
      <c r="EO940" s="377"/>
      <c r="EP940" s="377"/>
      <c r="EQ940" s="377"/>
      <c r="ER940" s="666"/>
      <c r="ES940" s="377"/>
      <c r="ET940" s="377"/>
      <c r="EU940" s="377"/>
      <c r="EV940" s="377"/>
      <c r="EW940" s="666"/>
      <c r="EX940" s="377"/>
      <c r="EY940" s="377"/>
      <c r="EZ940" s="377"/>
      <c r="FA940" s="377"/>
      <c r="FB940" s="666"/>
      <c r="FC940" s="377"/>
      <c r="FD940" s="377"/>
      <c r="FE940" s="377"/>
      <c r="FF940" s="377"/>
      <c r="FG940" s="666"/>
      <c r="FH940" s="667"/>
      <c r="FI940" s="377"/>
      <c r="FJ940" s="377"/>
      <c r="FK940" s="665"/>
      <c r="FL940" s="377"/>
    </row>
    <row r="941" ht="12.75" hidden="1" customHeight="1" outlineLevel="1">
      <c r="A941" s="170"/>
      <c r="B941" s="668" t="s">
        <v>341</v>
      </c>
      <c r="C941" s="170"/>
      <c r="D941" s="170"/>
      <c r="E941" s="170"/>
      <c r="F941" s="170"/>
      <c r="G941" s="170"/>
      <c r="H941" s="472"/>
      <c r="I941" s="170"/>
      <c r="J941" s="170"/>
      <c r="K941" s="170"/>
      <c r="L941" s="170"/>
      <c r="M941" s="472"/>
      <c r="N941" s="170"/>
      <c r="O941" s="170"/>
      <c r="P941" s="170"/>
      <c r="Q941" s="170"/>
      <c r="R941" s="472"/>
      <c r="S941" s="170"/>
      <c r="T941" s="170"/>
      <c r="U941" s="170"/>
      <c r="V941" s="170"/>
      <c r="W941" s="472"/>
      <c r="X941" s="170"/>
      <c r="Y941" s="170"/>
      <c r="Z941" s="170"/>
      <c r="AA941" s="170"/>
      <c r="AB941" s="472"/>
      <c r="AC941" s="170"/>
      <c r="AD941" s="170"/>
      <c r="AE941" s="170"/>
      <c r="AF941" s="170"/>
      <c r="AG941" s="472"/>
      <c r="AH941" s="170"/>
      <c r="AI941" s="170"/>
      <c r="AJ941" s="170"/>
      <c r="AK941" s="170"/>
      <c r="AL941" s="472"/>
      <c r="AM941" s="170"/>
      <c r="AN941" s="170"/>
      <c r="AO941" s="170"/>
      <c r="AP941" s="170"/>
      <c r="AQ941" s="472"/>
      <c r="AR941" s="170"/>
      <c r="AS941" s="170"/>
      <c r="AT941" s="170"/>
      <c r="AU941" s="170"/>
      <c r="AV941" s="472"/>
      <c r="AW941" s="170"/>
      <c r="AX941" s="170"/>
      <c r="AY941" s="170"/>
      <c r="AZ941" s="170"/>
      <c r="BA941" s="472"/>
      <c r="BB941" s="170"/>
      <c r="BC941" s="170"/>
      <c r="BD941" s="170"/>
      <c r="BE941" s="170"/>
      <c r="BF941" s="472"/>
      <c r="BG941" s="170"/>
      <c r="BH941" s="170"/>
      <c r="BI941" s="170"/>
      <c r="BJ941" s="170"/>
      <c r="BK941" s="472"/>
      <c r="BL941" s="170"/>
      <c r="BM941" s="170"/>
      <c r="BN941" s="170"/>
      <c r="BO941" s="170"/>
      <c r="BP941" s="472"/>
      <c r="BQ941" s="170"/>
      <c r="BR941" s="170"/>
      <c r="BS941" s="170"/>
      <c r="BT941" s="170"/>
      <c r="BU941" s="472"/>
      <c r="BV941" s="170"/>
      <c r="BW941" s="170"/>
      <c r="BX941" s="170"/>
      <c r="BY941" s="170"/>
      <c r="BZ941" s="473"/>
      <c r="CA941" s="170"/>
      <c r="CB941" s="170"/>
      <c r="CC941" s="170"/>
      <c r="CD941" s="170"/>
      <c r="CE941" s="473"/>
      <c r="CF941" s="170"/>
      <c r="CG941" s="170"/>
      <c r="CH941" s="170"/>
      <c r="CI941" s="170"/>
      <c r="CJ941" s="473"/>
      <c r="CK941" s="170"/>
      <c r="CL941" s="170"/>
      <c r="CM941" s="170"/>
      <c r="CN941" s="474"/>
      <c r="CO941" s="473"/>
      <c r="CP941" s="474"/>
      <c r="CQ941" s="170"/>
      <c r="CR941" s="170"/>
      <c r="CS941" s="170"/>
      <c r="CT941" s="473"/>
      <c r="CU941" s="170"/>
      <c r="CV941" s="170"/>
      <c r="CW941" s="170"/>
      <c r="CX941" s="170"/>
      <c r="CY941" s="473"/>
      <c r="CZ941" s="170"/>
      <c r="DA941" s="170"/>
      <c r="DB941" s="170"/>
      <c r="DC941" s="170"/>
      <c r="DD941" s="473"/>
      <c r="DE941" s="170"/>
      <c r="DF941" s="170"/>
      <c r="DG941" s="474"/>
      <c r="DH941" s="170"/>
      <c r="DI941" s="473"/>
      <c r="DJ941" s="474"/>
      <c r="DK941" s="474"/>
      <c r="DL941" s="474"/>
      <c r="DM941" s="170"/>
      <c r="DN941" s="473"/>
      <c r="DO941" s="170"/>
      <c r="DP941" s="170"/>
      <c r="DQ941" s="170"/>
      <c r="DR941" s="170"/>
      <c r="DS941" s="473"/>
      <c r="DT941" s="170"/>
      <c r="DU941" s="170"/>
      <c r="DV941" s="170"/>
      <c r="DW941" s="170"/>
      <c r="DX941" s="473"/>
      <c r="DY941" s="170"/>
      <c r="DZ941" s="170"/>
      <c r="EA941" s="170"/>
      <c r="EB941" s="170"/>
      <c r="EC941" s="473"/>
      <c r="ED941" s="170"/>
      <c r="EE941" s="170"/>
      <c r="EF941" s="170"/>
      <c r="EG941" s="170"/>
      <c r="EH941" s="473"/>
      <c r="EI941" s="26"/>
      <c r="EJ941" s="170"/>
      <c r="EK941" s="170"/>
      <c r="EL941" s="170"/>
      <c r="EM941" s="473"/>
      <c r="EN941" s="170"/>
      <c r="EO941" s="170"/>
      <c r="EP941" s="170"/>
      <c r="EQ941" s="170"/>
      <c r="ER941" s="473"/>
      <c r="ES941" s="170"/>
      <c r="ET941" s="170"/>
      <c r="EU941" s="170"/>
      <c r="EV941" s="170"/>
      <c r="EW941" s="473"/>
      <c r="EX941" s="170"/>
      <c r="EY941" s="170"/>
      <c r="EZ941" s="170"/>
      <c r="FA941" s="170"/>
      <c r="FB941" s="473"/>
      <c r="FC941" s="170"/>
      <c r="FD941" s="170"/>
      <c r="FE941" s="170"/>
      <c r="FF941" s="170"/>
      <c r="FG941" s="473"/>
      <c r="FH941" s="669"/>
      <c r="FI941" s="170"/>
      <c r="FJ941" s="170"/>
      <c r="FK941" s="472"/>
      <c r="FL941" s="170"/>
    </row>
    <row r="942" ht="12.75" hidden="1" customHeight="1" outlineLevel="2">
      <c r="A942" s="670"/>
      <c r="B942" s="671" t="s">
        <v>342</v>
      </c>
      <c r="C942" s="672"/>
      <c r="D942" s="672"/>
      <c r="E942" s="672"/>
      <c r="F942" s="672"/>
      <c r="G942" s="672"/>
      <c r="H942" s="673"/>
      <c r="I942" s="672" t="str">
        <f>[2]MPU!I41</f>
        <v>#ERROR!</v>
      </c>
      <c r="J942" s="672" t="str">
        <f>[2]MPU!J41</f>
        <v>#ERROR!</v>
      </c>
      <c r="K942" s="672" t="str">
        <f>[2]MPU!K41</f>
        <v>#ERROR!</v>
      </c>
      <c r="L942" s="672" t="str">
        <f>[2]MPU!L41</f>
        <v>#ERROR!</v>
      </c>
      <c r="M942" s="673" t="str">
        <f t="shared" ref="M942:M944" si="4881">SUM(I942:L942)</f>
        <v>#ERROR!</v>
      </c>
      <c r="N942" s="672" t="str">
        <f>[2]MPU!N41</f>
        <v>#ERROR!</v>
      </c>
      <c r="O942" s="672" t="str">
        <f>[2]MPU!O41</f>
        <v>#ERROR!</v>
      </c>
      <c r="P942" s="672" t="str">
        <f>[2]MPU!P41</f>
        <v>#ERROR!</v>
      </c>
      <c r="Q942" s="672" t="str">
        <f>[2]MPU!Q41</f>
        <v>#ERROR!</v>
      </c>
      <c r="R942" s="673" t="str">
        <f t="shared" ref="R942:R944" si="4882">SUM(N942:Q942)</f>
        <v>#ERROR!</v>
      </c>
      <c r="S942" s="672" t="str">
        <f>[2]MPU!S41</f>
        <v>#ERROR!</v>
      </c>
      <c r="T942" s="672" t="str">
        <f>[2]MPU!T41</f>
        <v>#ERROR!</v>
      </c>
      <c r="U942" s="672" t="str">
        <f>[2]MPU!U41</f>
        <v>#ERROR!</v>
      </c>
      <c r="V942" s="672" t="str">
        <f>[2]MPU!V41</f>
        <v>#ERROR!</v>
      </c>
      <c r="W942" s="673" t="str">
        <f t="shared" ref="W942:W944" si="4883">SUM(S942:V942)</f>
        <v>#ERROR!</v>
      </c>
      <c r="X942" s="672" t="str">
        <f>[2]MPU!X41</f>
        <v>#ERROR!</v>
      </c>
      <c r="Y942" s="672" t="str">
        <f>[2]MPU!Y41</f>
        <v>#ERROR!</v>
      </c>
      <c r="Z942" s="672" t="str">
        <f>[2]MPU!Z41</f>
        <v>#ERROR!</v>
      </c>
      <c r="AA942" s="672" t="str">
        <f>[2]MPU!AA41</f>
        <v>#ERROR!</v>
      </c>
      <c r="AB942" s="673" t="str">
        <f t="shared" ref="AB942:AB944" si="4884">SUM(X942:AA942)</f>
        <v>#ERROR!</v>
      </c>
      <c r="AC942" s="672" t="str">
        <f>[2]MPU!AC41</f>
        <v>#ERROR!</v>
      </c>
      <c r="AD942" s="672" t="str">
        <f>[2]MPU!AD41</f>
        <v>#ERROR!</v>
      </c>
      <c r="AE942" s="672" t="str">
        <f>[2]MPU!AE41</f>
        <v>#ERROR!</v>
      </c>
      <c r="AF942" s="672" t="str">
        <f>[2]MPU!AF41</f>
        <v>#ERROR!</v>
      </c>
      <c r="AG942" s="673" t="str">
        <f t="shared" ref="AG942:AG944" si="4885">SUM(AC942:AF942)</f>
        <v>#ERROR!</v>
      </c>
      <c r="AH942" s="672" t="str">
        <f>[2]MPU!AH41</f>
        <v>#ERROR!</v>
      </c>
      <c r="AI942" s="672" t="str">
        <f>[2]MPU!AI41</f>
        <v>#ERROR!</v>
      </c>
      <c r="AJ942" s="672" t="str">
        <f>[2]MPU!AJ41</f>
        <v>#ERROR!</v>
      </c>
      <c r="AK942" s="672" t="str">
        <f>[2]MPU!AK41</f>
        <v>#ERROR!</v>
      </c>
      <c r="AL942" s="673" t="str">
        <f t="shared" ref="AL942:AL944" si="4886">SUM(AH942:AK942)</f>
        <v>#ERROR!</v>
      </c>
      <c r="AM942" s="672" t="str">
        <f>[2]MPU!AM41</f>
        <v>#ERROR!</v>
      </c>
      <c r="AN942" s="672" t="str">
        <f>[2]MPU!AN41</f>
        <v>#ERROR!</v>
      </c>
      <c r="AO942" s="672" t="str">
        <f>[2]MPU!AO41</f>
        <v>#ERROR!</v>
      </c>
      <c r="AP942" s="672" t="str">
        <f>[2]MPU!AP41</f>
        <v>#ERROR!</v>
      </c>
      <c r="AQ942" s="673" t="str">
        <f t="shared" ref="AQ942:AQ944" si="4887">SUM(AM942:AP942)</f>
        <v>#ERROR!</v>
      </c>
      <c r="AR942" s="672" t="str">
        <f>[2]MPU!AR41</f>
        <v>#ERROR!</v>
      </c>
      <c r="AS942" s="672" t="str">
        <f>[2]MPU!AS41</f>
        <v>#ERROR!</v>
      </c>
      <c r="AT942" s="672" t="str">
        <f>[2]MPU!AT41</f>
        <v>#ERROR!</v>
      </c>
      <c r="AU942" s="672" t="str">
        <f>[2]MPU!AU41</f>
        <v>#ERROR!</v>
      </c>
      <c r="AV942" s="673" t="str">
        <f t="shared" ref="AV942:AV944" si="4888">SUM(AR942:AU942)</f>
        <v>#ERROR!</v>
      </c>
      <c r="AW942" s="672" t="str">
        <f>[2]MPU!AW41</f>
        <v>#ERROR!</v>
      </c>
      <c r="AX942" s="672" t="str">
        <f>[2]MPU!AX41</f>
        <v>#ERROR!</v>
      </c>
      <c r="AY942" s="672" t="str">
        <f>[2]MPU!AY41</f>
        <v>#ERROR!</v>
      </c>
      <c r="AZ942" s="672" t="str">
        <f>[2]MPU!AZ41</f>
        <v>#ERROR!</v>
      </c>
      <c r="BA942" s="673" t="str">
        <f t="shared" ref="BA942:BA944" si="4889">SUM(AW942:AZ942)</f>
        <v>#ERROR!</v>
      </c>
      <c r="BB942" s="672" t="str">
        <f>[2]MPU!BB41</f>
        <v>#ERROR!</v>
      </c>
      <c r="BC942" s="672" t="str">
        <f>[2]MPU!BC41</f>
        <v>#ERROR!</v>
      </c>
      <c r="BD942" s="672" t="str">
        <f>[2]MPU!BD41</f>
        <v>#ERROR!</v>
      </c>
      <c r="BE942" s="672" t="str">
        <f>[2]MPU!BE41</f>
        <v>#ERROR!</v>
      </c>
      <c r="BF942" s="673" t="str">
        <f t="shared" ref="BF942:BF944" si="4890">SUM(BB942:BE942)</f>
        <v>#ERROR!</v>
      </c>
      <c r="BG942" s="672" t="str">
        <f>[2]MPU!BG41</f>
        <v>#ERROR!</v>
      </c>
      <c r="BH942" s="672" t="str">
        <f>[2]MPU!BH41</f>
        <v>#ERROR!</v>
      </c>
      <c r="BI942" s="672" t="str">
        <f>[2]MPU!BI41</f>
        <v>#ERROR!</v>
      </c>
      <c r="BJ942" s="672" t="str">
        <f>[2]MPU!BJ41</f>
        <v>#ERROR!</v>
      </c>
      <c r="BK942" s="673" t="str">
        <f t="shared" ref="BK942:BK944" si="4891">SUM(BG942:BJ942)</f>
        <v>#ERROR!</v>
      </c>
      <c r="BL942" s="672" t="str">
        <f>[2]MPU!BL41</f>
        <v>#ERROR!</v>
      </c>
      <c r="BM942" s="672" t="str">
        <f>[2]MPU!BM41</f>
        <v>#ERROR!</v>
      </c>
      <c r="BN942" s="672" t="str">
        <f>[2]MPU!BN41</f>
        <v>#ERROR!</v>
      </c>
      <c r="BO942" s="672" t="str">
        <f>[2]MPU!BO41</f>
        <v>#ERROR!</v>
      </c>
      <c r="BP942" s="673" t="str">
        <f t="shared" ref="BP942:BP944" si="4892">SUM(BL942:BO942)</f>
        <v>#ERROR!</v>
      </c>
      <c r="BQ942" s="672" t="str">
        <f>[2]MPU!BQ41</f>
        <v>#ERROR!</v>
      </c>
      <c r="BR942" s="672" t="str">
        <f>[2]MPU!BR41</f>
        <v>#ERROR!</v>
      </c>
      <c r="BS942" s="672" t="str">
        <f>[2]MPU!BS41</f>
        <v>#ERROR!</v>
      </c>
      <c r="BT942" s="672" t="str">
        <f>[2]MPU!BT41</f>
        <v>#ERROR!</v>
      </c>
      <c r="BU942" s="673" t="str">
        <f t="shared" ref="BU942:BU944" si="4893">SUM(BQ942:BT942)</f>
        <v>#ERROR!</v>
      </c>
      <c r="BV942" s="672" t="str">
        <f>[2]MPU!BV41</f>
        <v>#ERROR!</v>
      </c>
      <c r="BW942" s="672" t="str">
        <f>[2]MPU!BW41</f>
        <v>#ERROR!</v>
      </c>
      <c r="BX942" s="672" t="str">
        <f>[2]MPU!BX41</f>
        <v>#ERROR!</v>
      </c>
      <c r="BY942" s="672" t="str">
        <f>[2]MPU!BY41</f>
        <v>#ERROR!</v>
      </c>
      <c r="BZ942" s="674" t="str">
        <f t="shared" ref="BZ942:BZ944" si="4894">SUM(BV942:BY942)</f>
        <v>#ERROR!</v>
      </c>
      <c r="CA942" s="672" t="str">
        <f>[2]MPU!CA41</f>
        <v>#ERROR!</v>
      </c>
      <c r="CB942" s="672" t="str">
        <f>[2]MPU!CB41</f>
        <v>#ERROR!</v>
      </c>
      <c r="CC942" s="672" t="str">
        <f>[2]MPU!CC41</f>
        <v>#ERROR!</v>
      </c>
      <c r="CD942" s="672" t="str">
        <f>[2]MPU!CD41</f>
        <v>#ERROR!</v>
      </c>
      <c r="CE942" s="674" t="str">
        <f t="shared" ref="CE942:CE944" si="4895">SUM(CA942:CD942)</f>
        <v>#ERROR!</v>
      </c>
      <c r="CF942" s="672" t="str">
        <f>[2]MPU!CF41</f>
        <v>#ERROR!</v>
      </c>
      <c r="CG942" s="672" t="str">
        <f>[2]MPU!CG41</f>
        <v>#ERROR!</v>
      </c>
      <c r="CH942" s="672" t="str">
        <f>[2]MPU!CH41</f>
        <v>#ERROR!</v>
      </c>
      <c r="CI942" s="672" t="str">
        <f>[2]MPU!CI41</f>
        <v>#ERROR!</v>
      </c>
      <c r="CJ942" s="674" t="str">
        <f t="shared" ref="CJ942:CJ944" si="4896">SUM(CF942:CI942)</f>
        <v>#ERROR!</v>
      </c>
      <c r="CK942" s="672" t="str">
        <f>[2]MPU!CK41</f>
        <v>#ERROR!</v>
      </c>
      <c r="CL942" s="672" t="str">
        <f>[2]MPU!CL41</f>
        <v>#ERROR!</v>
      </c>
      <c r="CM942" s="672" t="str">
        <f>[2]MPU!CM41</f>
        <v>#ERROR!</v>
      </c>
      <c r="CN942" s="675" t="str">
        <f>[2]MPU!CN41</f>
        <v>#ERROR!</v>
      </c>
      <c r="CO942" s="674" t="str">
        <f t="shared" ref="CO942:CO944" si="4897">SUM(CK942:CN942)</f>
        <v>#ERROR!</v>
      </c>
      <c r="CP942" s="675" t="str">
        <f>[2]MPU!CP41</f>
        <v>#ERROR!</v>
      </c>
      <c r="CQ942" s="672" t="str">
        <f>[2]MPU!CQ41</f>
        <v>#ERROR!</v>
      </c>
      <c r="CR942" s="672" t="str">
        <f>[2]MPU!CR41</f>
        <v>#ERROR!</v>
      </c>
      <c r="CS942" s="672" t="str">
        <f>[2]MPU!CS41</f>
        <v>#ERROR!</v>
      </c>
      <c r="CT942" s="674" t="str">
        <f t="shared" ref="CT942:CT944" si="4898">SUM(CP942:CS942)</f>
        <v>#ERROR!</v>
      </c>
      <c r="CU942" s="672" t="str">
        <f>[2]MPU!CU41</f>
        <v>#ERROR!</v>
      </c>
      <c r="CV942" s="672" t="str">
        <f>[2]MPU!CV41</f>
        <v>#ERROR!</v>
      </c>
      <c r="CW942" s="672" t="str">
        <f>[2]MPU!CW41</f>
        <v>#ERROR!</v>
      </c>
      <c r="CX942" s="672" t="str">
        <f>[2]MPU!CX41</f>
        <v>#ERROR!</v>
      </c>
      <c r="CY942" s="674" t="str">
        <f t="shared" ref="CY942:CY944" si="4899">SUM(CU942:CX942)</f>
        <v>#ERROR!</v>
      </c>
      <c r="CZ942" s="672" t="str">
        <f>[2]MPU!CZ41</f>
        <v>#ERROR!</v>
      </c>
      <c r="DA942" s="672" t="str">
        <f>[2]MPU!DA41</f>
        <v>#ERROR!</v>
      </c>
      <c r="DB942" s="672" t="str">
        <f>[2]MPU!DB41</f>
        <v>#ERROR!</v>
      </c>
      <c r="DC942" s="672" t="str">
        <f>[2]MPU!DC41</f>
        <v>#ERROR!</v>
      </c>
      <c r="DD942" s="674" t="str">
        <f t="shared" ref="DD942:DD944" si="4900">SUM(CZ942:DC942)</f>
        <v>#ERROR!</v>
      </c>
      <c r="DE942" s="672" t="str">
        <f>[2]MPU!DE41</f>
        <v>#ERROR!</v>
      </c>
      <c r="DF942" s="672" t="str">
        <f>[2]MPU!DF41</f>
        <v>#ERROR!</v>
      </c>
      <c r="DG942" s="19" t="str">
        <f>[2]MPU!DG41</f>
        <v>#ERROR!</v>
      </c>
      <c r="DH942" s="672" t="str">
        <f>[2]MPU!DH41</f>
        <v>#ERROR!</v>
      </c>
      <c r="DI942" s="674" t="str">
        <f t="shared" ref="DI942:DI944" si="4901">SUM(DE942:DH942)</f>
        <v>#ERROR!</v>
      </c>
      <c r="DJ942" s="675" t="str">
        <f>[2]MPU!DJ41</f>
        <v>#ERROR!</v>
      </c>
      <c r="DK942" s="675" t="str">
        <f>[2]MPU!DK41</f>
        <v>#ERROR!</v>
      </c>
      <c r="DL942" s="675" t="str">
        <f>[2]MPU!DL41</f>
        <v>#ERROR!</v>
      </c>
      <c r="DM942" s="672" t="str">
        <f>[2]MPU!DM41</f>
        <v>#ERROR!</v>
      </c>
      <c r="DN942" s="674" t="str">
        <f t="shared" ref="DN942:DN944" si="4902">SUM(DJ942:DM942)</f>
        <v>#ERROR!</v>
      </c>
      <c r="DO942" s="672" t="str">
        <f>[2]MPU!DT41</f>
        <v>#ERROR!</v>
      </c>
      <c r="DP942" s="672" t="str">
        <f>[2]MPU!DU41</f>
        <v>#ERROR!</v>
      </c>
      <c r="DQ942" s="672" t="str">
        <f>[2]MPU!DV41</f>
        <v>#ERROR!</v>
      </c>
      <c r="DR942" s="672" t="str">
        <f>[2]MPU!DW41</f>
        <v>#ERROR!</v>
      </c>
      <c r="DS942" s="674" t="str">
        <f t="shared" ref="DS942:DS944" si="4903">SUM(DO942:DR942)</f>
        <v>#ERROR!</v>
      </c>
      <c r="DT942" s="672" t="str">
        <f>[2]MPU!DY41</f>
        <v>#ERROR!</v>
      </c>
      <c r="DU942" s="672" t="str">
        <f>[2]MPU!DZ41</f>
        <v>#ERROR!</v>
      </c>
      <c r="DV942" s="672" t="str">
        <f>[2]MPU!EA41</f>
        <v>#ERROR!</v>
      </c>
      <c r="DW942" s="672" t="str">
        <f>[2]MPU!EB41</f>
        <v>#ERROR!</v>
      </c>
      <c r="DX942" s="674" t="str">
        <f t="shared" ref="DX942:DX944" si="4904">SUM(DT942:DW942)</f>
        <v>#ERROR!</v>
      </c>
      <c r="DY942" s="672" t="str">
        <f>[2]MPU!ED41</f>
        <v>#ERROR!</v>
      </c>
      <c r="DZ942" s="672" t="str">
        <f>[2]MPU!EE41</f>
        <v>#ERROR!</v>
      </c>
      <c r="EA942" s="672" t="str">
        <f>[2]MPU!EF41</f>
        <v>#ERROR!</v>
      </c>
      <c r="EB942" s="672" t="str">
        <f>[2]MPU!EG41</f>
        <v>#ERROR!</v>
      </c>
      <c r="EC942" s="674" t="str">
        <f t="shared" ref="EC942:EC944" si="4905">SUM(DY942:EB942)</f>
        <v>#ERROR!</v>
      </c>
      <c r="ED942" s="672" t="str">
        <f>[2]MPU!EI41</f>
        <v>#ERROR!</v>
      </c>
      <c r="EE942" s="672" t="str">
        <f>[2]MPU!EJ41</f>
        <v>#ERROR!</v>
      </c>
      <c r="EF942" s="672" t="str">
        <f>[2]MPU!#REF!</f>
        <v>#ERROR!</v>
      </c>
      <c r="EG942" s="672" t="str">
        <f>[2]MPU!#REF!</f>
        <v>#ERROR!</v>
      </c>
      <c r="EH942" s="674" t="str">
        <f t="shared" ref="EH942:EH944" si="4906">SUM(ED942:EG942)</f>
        <v>#ERROR!</v>
      </c>
      <c r="EI942" s="676" t="str">
        <f>[2]MPU!#REF!</f>
        <v>#ERROR!</v>
      </c>
      <c r="EJ942" s="672" t="str">
        <f>[2]MPU!#REF!</f>
        <v>#ERROR!</v>
      </c>
      <c r="EK942" s="672" t="str">
        <f>[2]MPU!#REF!</f>
        <v>#ERROR!</v>
      </c>
      <c r="EL942" s="672" t="str">
        <f>[2]MPU!#REF!</f>
        <v>#ERROR!</v>
      </c>
      <c r="EM942" s="674" t="str">
        <f t="shared" ref="EM942:EM944" si="4907">SUM(EI942:EL942)</f>
        <v>#ERROR!</v>
      </c>
      <c r="EN942" s="672" t="str">
        <f>[2]MPU!#REF!</f>
        <v>#ERROR!</v>
      </c>
      <c r="EO942" s="672" t="str">
        <f>[2]MPU!#REF!</f>
        <v>#ERROR!</v>
      </c>
      <c r="EP942" s="672" t="str">
        <f>[2]MPU!#REF!</f>
        <v>#ERROR!</v>
      </c>
      <c r="EQ942" s="672" t="str">
        <f>[2]MPU!#REF!</f>
        <v>#ERROR!</v>
      </c>
      <c r="ER942" s="674" t="str">
        <f t="shared" ref="ER942:ER944" si="4908">SUM(EN942:EQ942)</f>
        <v>#ERROR!</v>
      </c>
      <c r="ES942" s="672" t="str">
        <f>[2]MPU!#REF!</f>
        <v>#ERROR!</v>
      </c>
      <c r="ET942" s="672" t="str">
        <f>[2]MPU!#REF!</f>
        <v>#ERROR!</v>
      </c>
      <c r="EU942" s="672" t="str">
        <f>[2]MPU!#REF!</f>
        <v>#ERROR!</v>
      </c>
      <c r="EV942" s="672" t="str">
        <f>[2]MPU!#REF!</f>
        <v>#ERROR!</v>
      </c>
      <c r="EW942" s="674" t="str">
        <f t="shared" ref="EW942:EW944" si="4909">SUM(ES942:EV942)</f>
        <v>#ERROR!</v>
      </c>
      <c r="EX942" s="672" t="str">
        <f>[2]MPU!#REF!</f>
        <v>#ERROR!</v>
      </c>
      <c r="EY942" s="672" t="str">
        <f>[2]MPU!#REF!</f>
        <v>#ERROR!</v>
      </c>
      <c r="EZ942" s="672" t="str">
        <f>[2]MPU!#REF!</f>
        <v>#ERROR!</v>
      </c>
      <c r="FA942" s="672" t="str">
        <f>[2]MPU!#REF!</f>
        <v>#ERROR!</v>
      </c>
      <c r="FB942" s="674" t="str">
        <f t="shared" ref="FB942:FB944" si="4910">SUM(EX942:FA942)</f>
        <v>#ERROR!</v>
      </c>
      <c r="FC942" s="672" t="str">
        <f>[2]MPU!#REF!</f>
        <v>#ERROR!</v>
      </c>
      <c r="FD942" s="672" t="str">
        <f>[2]MPU!#REF!</f>
        <v>#ERROR!</v>
      </c>
      <c r="FE942" s="672" t="str">
        <f>[2]MPU!#REF!</f>
        <v>#ERROR!</v>
      </c>
      <c r="FF942" s="672" t="str">
        <f>[2]MPU!#REF!</f>
        <v>#ERROR!</v>
      </c>
      <c r="FG942" s="674" t="str">
        <f t="shared" ref="FG942:FG944" si="4911">SUM(FC942:FF942)</f>
        <v>#ERROR!</v>
      </c>
      <c r="FH942" s="677"/>
      <c r="FI942" s="672"/>
      <c r="FJ942" s="672"/>
      <c r="FK942" s="673"/>
      <c r="FL942" s="672"/>
    </row>
    <row r="943" ht="12.75" hidden="1" customHeight="1" outlineLevel="2">
      <c r="A943" s="670"/>
      <c r="B943" s="678" t="s">
        <v>343</v>
      </c>
      <c r="C943" s="17"/>
      <c r="D943" s="17"/>
      <c r="E943" s="17"/>
      <c r="F943" s="17"/>
      <c r="G943" s="17"/>
      <c r="H943" s="112"/>
      <c r="I943" s="17" t="str">
        <f>[2]MPU!I48-[2]MPU!I41</f>
        <v>#ERROR!</v>
      </c>
      <c r="J943" s="17" t="str">
        <f>[2]MPU!J48-[2]MPU!J41</f>
        <v>#ERROR!</v>
      </c>
      <c r="K943" s="17" t="str">
        <f>[2]MPU!K48-[2]MPU!K41</f>
        <v>#ERROR!</v>
      </c>
      <c r="L943" s="17" t="str">
        <f>[2]MPU!L48-[2]MPU!L41</f>
        <v>#ERROR!</v>
      </c>
      <c r="M943" s="112" t="str">
        <f t="shared" si="4881"/>
        <v>#ERROR!</v>
      </c>
      <c r="N943" s="17" t="str">
        <f>[2]MPU!N48-[2]MPU!N41</f>
        <v>#ERROR!</v>
      </c>
      <c r="O943" s="17" t="str">
        <f>[2]MPU!O48-[2]MPU!O41</f>
        <v>#ERROR!</v>
      </c>
      <c r="P943" s="17" t="str">
        <f>[2]MPU!P48-[2]MPU!P41</f>
        <v>#ERROR!</v>
      </c>
      <c r="Q943" s="17" t="str">
        <f>[2]MPU!Q48-[2]MPU!Q41</f>
        <v>#ERROR!</v>
      </c>
      <c r="R943" s="112" t="str">
        <f t="shared" si="4882"/>
        <v>#ERROR!</v>
      </c>
      <c r="S943" s="17" t="str">
        <f>[2]MPU!S48-[2]MPU!S41</f>
        <v>#ERROR!</v>
      </c>
      <c r="T943" s="17" t="str">
        <f>[2]MPU!T48-[2]MPU!T41</f>
        <v>#ERROR!</v>
      </c>
      <c r="U943" s="17" t="str">
        <f>[2]MPU!U48-[2]MPU!U41</f>
        <v>#ERROR!</v>
      </c>
      <c r="V943" s="17" t="str">
        <f>[2]MPU!V48-[2]MPU!V41</f>
        <v>#ERROR!</v>
      </c>
      <c r="W943" s="112" t="str">
        <f t="shared" si="4883"/>
        <v>#ERROR!</v>
      </c>
      <c r="X943" s="17" t="str">
        <f>[2]MPU!X48-[2]MPU!X41</f>
        <v>#ERROR!</v>
      </c>
      <c r="Y943" s="17" t="str">
        <f>[2]MPU!Y48-[2]MPU!Y41</f>
        <v>#ERROR!</v>
      </c>
      <c r="Z943" s="17" t="str">
        <f>[2]MPU!Z48-[2]MPU!Z41</f>
        <v>#ERROR!</v>
      </c>
      <c r="AA943" s="17" t="str">
        <f>[2]MPU!AA48-[2]MPU!AA41</f>
        <v>#ERROR!</v>
      </c>
      <c r="AB943" s="112" t="str">
        <f t="shared" si="4884"/>
        <v>#ERROR!</v>
      </c>
      <c r="AC943" s="17" t="str">
        <f>[2]MPU!AC48-[2]MPU!AC41</f>
        <v>#ERROR!</v>
      </c>
      <c r="AD943" s="17" t="str">
        <f>[2]MPU!AD48-[2]MPU!AD41</f>
        <v>#ERROR!</v>
      </c>
      <c r="AE943" s="17" t="str">
        <f>[2]MPU!AE48-[2]MPU!AE41</f>
        <v>#ERROR!</v>
      </c>
      <c r="AF943" s="17" t="str">
        <f>[2]MPU!AF48-[2]MPU!AF41</f>
        <v>#ERROR!</v>
      </c>
      <c r="AG943" s="112" t="str">
        <f t="shared" si="4885"/>
        <v>#ERROR!</v>
      </c>
      <c r="AH943" s="17" t="str">
        <f>[2]MPU!AH48-[2]MPU!AH41</f>
        <v>#ERROR!</v>
      </c>
      <c r="AI943" s="17" t="str">
        <f>[2]MPU!AI48-[2]MPU!AI41</f>
        <v>#ERROR!</v>
      </c>
      <c r="AJ943" s="17" t="str">
        <f>[2]MPU!AJ48-[2]MPU!AJ41</f>
        <v>#ERROR!</v>
      </c>
      <c r="AK943" s="17" t="str">
        <f>[2]MPU!AK48-[2]MPU!AK41</f>
        <v>#ERROR!</v>
      </c>
      <c r="AL943" s="112" t="str">
        <f t="shared" si="4886"/>
        <v>#ERROR!</v>
      </c>
      <c r="AM943" s="17" t="str">
        <f>[2]MPU!AM48-[2]MPU!AM41</f>
        <v>#ERROR!</v>
      </c>
      <c r="AN943" s="17" t="str">
        <f>[2]MPU!AN48-[2]MPU!AN41</f>
        <v>#ERROR!</v>
      </c>
      <c r="AO943" s="17" t="str">
        <f>[2]MPU!AO48-[2]MPU!AO41</f>
        <v>#ERROR!</v>
      </c>
      <c r="AP943" s="17" t="str">
        <f>[2]MPU!AP48-[2]MPU!AP41</f>
        <v>#ERROR!</v>
      </c>
      <c r="AQ943" s="112" t="str">
        <f t="shared" si="4887"/>
        <v>#ERROR!</v>
      </c>
      <c r="AR943" s="17" t="str">
        <f>[2]MPU!AR48-[2]MPU!AR41</f>
        <v>#ERROR!</v>
      </c>
      <c r="AS943" s="17" t="str">
        <f>[2]MPU!AS48-[2]MPU!AS41</f>
        <v>#ERROR!</v>
      </c>
      <c r="AT943" s="17" t="str">
        <f>[2]MPU!AT48-[2]MPU!AT41</f>
        <v>#ERROR!</v>
      </c>
      <c r="AU943" s="17" t="str">
        <f>[2]MPU!AU48-[2]MPU!AU41</f>
        <v>#ERROR!</v>
      </c>
      <c r="AV943" s="112" t="str">
        <f t="shared" si="4888"/>
        <v>#ERROR!</v>
      </c>
      <c r="AW943" s="17" t="str">
        <f>[2]MPU!AW48-[2]MPU!AW41</f>
        <v>#ERROR!</v>
      </c>
      <c r="AX943" s="17" t="str">
        <f>[2]MPU!AX48-[2]MPU!AX41</f>
        <v>#ERROR!</v>
      </c>
      <c r="AY943" s="17" t="str">
        <f>[2]MPU!AY48-[2]MPU!AY41</f>
        <v>#ERROR!</v>
      </c>
      <c r="AZ943" s="17" t="str">
        <f>[2]MPU!AZ48-[2]MPU!AZ41</f>
        <v>#ERROR!</v>
      </c>
      <c r="BA943" s="112" t="str">
        <f t="shared" si="4889"/>
        <v>#ERROR!</v>
      </c>
      <c r="BB943" s="17" t="str">
        <f>[2]MPU!BB48-[2]MPU!BB41</f>
        <v>#ERROR!</v>
      </c>
      <c r="BC943" s="17" t="str">
        <f>[2]MPU!BC48-[2]MPU!BC41</f>
        <v>#ERROR!</v>
      </c>
      <c r="BD943" s="17" t="str">
        <f>[2]MPU!BD48-[2]MPU!BD41</f>
        <v>#ERROR!</v>
      </c>
      <c r="BE943" s="17" t="str">
        <f>[2]MPU!BE48-[2]MPU!BE41</f>
        <v>#ERROR!</v>
      </c>
      <c r="BF943" s="112" t="str">
        <f t="shared" si="4890"/>
        <v>#ERROR!</v>
      </c>
      <c r="BG943" s="17" t="str">
        <f>[2]MPU!BG48-[2]MPU!BG41</f>
        <v>#ERROR!</v>
      </c>
      <c r="BH943" s="17" t="str">
        <f>[2]MPU!BH48-[2]MPU!BH41</f>
        <v>#ERROR!</v>
      </c>
      <c r="BI943" s="17" t="str">
        <f>[2]MPU!BI48-[2]MPU!BI41</f>
        <v>#ERROR!</v>
      </c>
      <c r="BJ943" s="17" t="str">
        <f>[2]MPU!BJ48-[2]MPU!BJ41</f>
        <v>#ERROR!</v>
      </c>
      <c r="BK943" s="112" t="str">
        <f t="shared" si="4891"/>
        <v>#ERROR!</v>
      </c>
      <c r="BL943" s="17" t="str">
        <f>[2]MPU!BL48-[2]MPU!BL41</f>
        <v>#ERROR!</v>
      </c>
      <c r="BM943" s="17" t="str">
        <f>[2]MPU!BM48-[2]MPU!BM41</f>
        <v>#ERROR!</v>
      </c>
      <c r="BN943" s="17" t="str">
        <f>[2]MPU!BN48-[2]MPU!BN41</f>
        <v>#ERROR!</v>
      </c>
      <c r="BO943" s="17" t="str">
        <f>[2]MPU!BO48-[2]MPU!BO41</f>
        <v>#ERROR!</v>
      </c>
      <c r="BP943" s="112" t="str">
        <f t="shared" si="4892"/>
        <v>#ERROR!</v>
      </c>
      <c r="BQ943" s="17" t="str">
        <f>[2]MPU!BQ48-[2]MPU!BQ41</f>
        <v>#ERROR!</v>
      </c>
      <c r="BR943" s="17" t="str">
        <f>[2]MPU!BR48-[2]MPU!BR41</f>
        <v>#ERROR!</v>
      </c>
      <c r="BS943" s="17" t="str">
        <f>[2]MPU!BS48-[2]MPU!BS41</f>
        <v>#ERROR!</v>
      </c>
      <c r="BT943" s="17" t="str">
        <f>[2]MPU!BT48-[2]MPU!BT41</f>
        <v>#ERROR!</v>
      </c>
      <c r="BU943" s="112" t="str">
        <f t="shared" si="4893"/>
        <v>#ERROR!</v>
      </c>
      <c r="BV943" s="17" t="str">
        <f>[2]MPU!BV48-[2]MPU!BV41</f>
        <v>#ERROR!</v>
      </c>
      <c r="BW943" s="17" t="str">
        <f>[2]MPU!BW48-[2]MPU!BW41</f>
        <v>#ERROR!</v>
      </c>
      <c r="BX943" s="17" t="str">
        <f>[2]MPU!BX48-[2]MPU!BX41</f>
        <v>#ERROR!</v>
      </c>
      <c r="BY943" s="17" t="str">
        <f>[2]MPU!BY48-[2]MPU!BY41</f>
        <v>#ERROR!</v>
      </c>
      <c r="BZ943" s="80" t="str">
        <f t="shared" si="4894"/>
        <v>#ERROR!</v>
      </c>
      <c r="CA943" s="17" t="str">
        <f>[2]MPU!CA48-[2]MPU!CA41</f>
        <v>#ERROR!</v>
      </c>
      <c r="CB943" s="17" t="str">
        <f>[2]MPU!CB48-[2]MPU!CB41</f>
        <v>#ERROR!</v>
      </c>
      <c r="CC943" s="17" t="str">
        <f>[2]MPU!CC48-[2]MPU!CC41</f>
        <v>#ERROR!</v>
      </c>
      <c r="CD943" s="17" t="str">
        <f>[2]MPU!CD48-[2]MPU!CD41</f>
        <v>#ERROR!</v>
      </c>
      <c r="CE943" s="80" t="str">
        <f t="shared" si="4895"/>
        <v>#ERROR!</v>
      </c>
      <c r="CF943" s="17" t="str">
        <f>[2]MPU!CF48-[2]MPU!CF41</f>
        <v>#ERROR!</v>
      </c>
      <c r="CG943" s="17" t="str">
        <f>[2]MPU!CG48-[2]MPU!CG41</f>
        <v>#ERROR!</v>
      </c>
      <c r="CH943" s="17" t="str">
        <f>[2]MPU!CH48-[2]MPU!CH41</f>
        <v>#ERROR!</v>
      </c>
      <c r="CI943" s="17" t="str">
        <f>[2]MPU!CI48-[2]MPU!CI41</f>
        <v>#ERROR!</v>
      </c>
      <c r="CJ943" s="80" t="str">
        <f t="shared" si="4896"/>
        <v>#ERROR!</v>
      </c>
      <c r="CK943" s="17" t="str">
        <f>[2]MPU!CK48-[2]MPU!CK41</f>
        <v>#ERROR!</v>
      </c>
      <c r="CL943" s="17" t="str">
        <f>[2]MPU!CL48-[2]MPU!CL41</f>
        <v>#ERROR!</v>
      </c>
      <c r="CM943" s="17" t="str">
        <f>[2]MPU!CM48-[2]MPU!CM41</f>
        <v>#ERROR!</v>
      </c>
      <c r="CN943" s="19" t="str">
        <f>[2]MPU!CN48-[2]MPU!CN41</f>
        <v>#ERROR!</v>
      </c>
      <c r="CO943" s="80" t="str">
        <f t="shared" si="4897"/>
        <v>#ERROR!</v>
      </c>
      <c r="CP943" s="19" t="str">
        <f>[2]MPU!CP48-[2]MPU!CP41</f>
        <v>#ERROR!</v>
      </c>
      <c r="CQ943" s="17" t="str">
        <f>[2]MPU!CQ48-[2]MPU!CQ41</f>
        <v>#ERROR!</v>
      </c>
      <c r="CR943" s="17" t="str">
        <f>[2]MPU!CR48-[2]MPU!CR41</f>
        <v>#ERROR!</v>
      </c>
      <c r="CS943" s="17" t="str">
        <f>[2]MPU!CS48-[2]MPU!CS41</f>
        <v>#ERROR!</v>
      </c>
      <c r="CT943" s="80" t="str">
        <f t="shared" si="4898"/>
        <v>#ERROR!</v>
      </c>
      <c r="CU943" s="17" t="str">
        <f>[2]MPU!CU48-[2]MPU!CU41</f>
        <v>#ERROR!</v>
      </c>
      <c r="CV943" s="17" t="str">
        <f>[2]MPU!CV48-[2]MPU!CV41</f>
        <v>#ERROR!</v>
      </c>
      <c r="CW943" s="17" t="str">
        <f>[2]MPU!CW48-[2]MPU!CW41</f>
        <v>#ERROR!</v>
      </c>
      <c r="CX943" s="17" t="str">
        <f>[2]MPU!CX48-[2]MPU!CX41</f>
        <v>#ERROR!</v>
      </c>
      <c r="CY943" s="80" t="str">
        <f t="shared" si="4899"/>
        <v>#ERROR!</v>
      </c>
      <c r="CZ943" s="17" t="str">
        <f>[2]MPU!CZ48-[2]MPU!CZ41</f>
        <v>#ERROR!</v>
      </c>
      <c r="DA943" s="17" t="str">
        <f>[2]MPU!DA48-[2]MPU!DA41</f>
        <v>#ERROR!</v>
      </c>
      <c r="DB943" s="17" t="str">
        <f>[2]MPU!DB48-[2]MPU!DB41</f>
        <v>#ERROR!</v>
      </c>
      <c r="DC943" s="17" t="str">
        <f>[2]MPU!DC48-[2]MPU!DC41</f>
        <v>#ERROR!</v>
      </c>
      <c r="DD943" s="80" t="str">
        <f t="shared" si="4900"/>
        <v>#ERROR!</v>
      </c>
      <c r="DE943" s="17" t="str">
        <f>[2]MPU!DE48-[2]MPU!DE41</f>
        <v>#ERROR!</v>
      </c>
      <c r="DF943" s="17" t="str">
        <f>[2]MPU!DF48-[2]MPU!DF41</f>
        <v>#ERROR!</v>
      </c>
      <c r="DG943" s="19" t="str">
        <f>[2]MPU!DG48-[2]MPU!DG41</f>
        <v>#ERROR!</v>
      </c>
      <c r="DH943" s="17" t="str">
        <f>[2]MPU!DH48-[2]MPU!DH41</f>
        <v>#ERROR!</v>
      </c>
      <c r="DI943" s="80" t="str">
        <f t="shared" si="4901"/>
        <v>#ERROR!</v>
      </c>
      <c r="DJ943" s="19" t="str">
        <f>[2]MPU!DJ48-[2]MPU!DJ41</f>
        <v>#ERROR!</v>
      </c>
      <c r="DK943" s="19" t="str">
        <f>[2]MPU!DK48-[2]MPU!DK41</f>
        <v>#ERROR!</v>
      </c>
      <c r="DL943" s="19" t="str">
        <f>[2]MPU!DL48-[2]MPU!DL41</f>
        <v>#ERROR!</v>
      </c>
      <c r="DM943" s="17" t="str">
        <f>[2]MPU!DM48-[2]MPU!DM41</f>
        <v>#ERROR!</v>
      </c>
      <c r="DN943" s="80" t="str">
        <f t="shared" si="4902"/>
        <v>#ERROR!</v>
      </c>
      <c r="DO943" s="17" t="str">
        <f>[2]MPU!DT48-[2]MPU!DT41</f>
        <v>#ERROR!</v>
      </c>
      <c r="DP943" s="17" t="str">
        <f>[2]MPU!DU48-[2]MPU!DU41</f>
        <v>#ERROR!</v>
      </c>
      <c r="DQ943" s="17" t="str">
        <f>[2]MPU!DV48-[2]MPU!DV41</f>
        <v>#ERROR!</v>
      </c>
      <c r="DR943" s="17" t="str">
        <f>[2]MPU!DW48-[2]MPU!DW41</f>
        <v>#ERROR!</v>
      </c>
      <c r="DS943" s="80" t="str">
        <f t="shared" si="4903"/>
        <v>#ERROR!</v>
      </c>
      <c r="DT943" s="17" t="str">
        <f>[2]MPU!DY48-[2]MPU!DY41</f>
        <v>#ERROR!</v>
      </c>
      <c r="DU943" s="17" t="str">
        <f>[2]MPU!DZ48-[2]MPU!DZ41</f>
        <v>#ERROR!</v>
      </c>
      <c r="DV943" s="17" t="str">
        <f>[2]MPU!EA48-[2]MPU!EA41</f>
        <v>#ERROR!</v>
      </c>
      <c r="DW943" s="17" t="str">
        <f>[2]MPU!EB48-[2]MPU!EB41</f>
        <v>#ERROR!</v>
      </c>
      <c r="DX943" s="80" t="str">
        <f t="shared" si="4904"/>
        <v>#ERROR!</v>
      </c>
      <c r="DY943" s="17" t="str">
        <f>[2]MPU!ED48-[2]MPU!ED41</f>
        <v>#ERROR!</v>
      </c>
      <c r="DZ943" s="17" t="str">
        <f>[2]MPU!EE48-[2]MPU!EE41</f>
        <v>#ERROR!</v>
      </c>
      <c r="EA943" s="17" t="str">
        <f>[2]MPU!EF48-[2]MPU!EF41</f>
        <v>#ERROR!</v>
      </c>
      <c r="EB943" s="17" t="str">
        <f>[2]MPU!EG48-[2]MPU!EG41</f>
        <v>#ERROR!</v>
      </c>
      <c r="EC943" s="80" t="str">
        <f t="shared" si="4905"/>
        <v>#ERROR!</v>
      </c>
      <c r="ED943" s="17" t="str">
        <f>[2]MPU!EI48-[2]MPU!EI41</f>
        <v>#ERROR!</v>
      </c>
      <c r="EE943" s="17" t="str">
        <f>[2]MPU!EJ48-[2]MPU!EJ41</f>
        <v>#ERROR!</v>
      </c>
      <c r="EF943" s="17" t="str">
        <f>[2]MPU!#REF!-[2]MPU!#REF!</f>
        <v>#ERROR!</v>
      </c>
      <c r="EG943" s="17" t="str">
        <f>[2]MPU!#REF!-[2]MPU!#REF!</f>
        <v>#ERROR!</v>
      </c>
      <c r="EH943" s="80" t="str">
        <f t="shared" si="4906"/>
        <v>#ERROR!</v>
      </c>
      <c r="EI943" s="25" t="str">
        <f>[2]MPU!#REF!-[2]MPU!#REF!</f>
        <v>#ERROR!</v>
      </c>
      <c r="EJ943" s="17" t="str">
        <f>[2]MPU!#REF!-[2]MPU!#REF!</f>
        <v>#ERROR!</v>
      </c>
      <c r="EK943" s="17" t="str">
        <f>[2]MPU!#REF!-[2]MPU!#REF!</f>
        <v>#ERROR!</v>
      </c>
      <c r="EL943" s="17" t="str">
        <f>[2]MPU!#REF!-[2]MPU!#REF!</f>
        <v>#ERROR!</v>
      </c>
      <c r="EM943" s="80" t="str">
        <f t="shared" si="4907"/>
        <v>#ERROR!</v>
      </c>
      <c r="EN943" s="17" t="str">
        <f>[2]MPU!#REF!-[2]MPU!#REF!</f>
        <v>#ERROR!</v>
      </c>
      <c r="EO943" s="17" t="str">
        <f>[2]MPU!#REF!-[2]MPU!#REF!</f>
        <v>#ERROR!</v>
      </c>
      <c r="EP943" s="17" t="str">
        <f>[2]MPU!#REF!-[2]MPU!#REF!</f>
        <v>#ERROR!</v>
      </c>
      <c r="EQ943" s="17" t="str">
        <f>[2]MPU!#REF!-[2]MPU!#REF!</f>
        <v>#ERROR!</v>
      </c>
      <c r="ER943" s="80" t="str">
        <f t="shared" si="4908"/>
        <v>#ERROR!</v>
      </c>
      <c r="ES943" s="17" t="str">
        <f>[2]MPU!#REF!-[2]MPU!#REF!</f>
        <v>#ERROR!</v>
      </c>
      <c r="ET943" s="17" t="str">
        <f>[2]MPU!#REF!-[2]MPU!#REF!</f>
        <v>#ERROR!</v>
      </c>
      <c r="EU943" s="17" t="str">
        <f>[2]MPU!#REF!-[2]MPU!#REF!</f>
        <v>#ERROR!</v>
      </c>
      <c r="EV943" s="17" t="str">
        <f>[2]MPU!#REF!-[2]MPU!#REF!</f>
        <v>#ERROR!</v>
      </c>
      <c r="EW943" s="80" t="str">
        <f t="shared" si="4909"/>
        <v>#ERROR!</v>
      </c>
      <c r="EX943" s="17" t="str">
        <f>[2]MPU!#REF!-[2]MPU!#REF!</f>
        <v>#ERROR!</v>
      </c>
      <c r="EY943" s="17" t="str">
        <f>[2]MPU!#REF!-[2]MPU!#REF!</f>
        <v>#ERROR!</v>
      </c>
      <c r="EZ943" s="17" t="str">
        <f>[2]MPU!#REF!-[2]MPU!#REF!</f>
        <v>#ERROR!</v>
      </c>
      <c r="FA943" s="17" t="str">
        <f>[2]MPU!#REF!-[2]MPU!#REF!</f>
        <v>#ERROR!</v>
      </c>
      <c r="FB943" s="80" t="str">
        <f t="shared" si="4910"/>
        <v>#ERROR!</v>
      </c>
      <c r="FC943" s="17" t="str">
        <f>[2]MPU!#REF!-[2]MPU!#REF!</f>
        <v>#ERROR!</v>
      </c>
      <c r="FD943" s="17" t="str">
        <f>[2]MPU!#REF!-[2]MPU!#REF!</f>
        <v>#ERROR!</v>
      </c>
      <c r="FE943" s="17" t="str">
        <f>[2]MPU!#REF!-[2]MPU!#REF!</f>
        <v>#ERROR!</v>
      </c>
      <c r="FF943" s="17" t="str">
        <f>[2]MPU!#REF!-[2]MPU!#REF!</f>
        <v>#ERROR!</v>
      </c>
      <c r="FG943" s="80" t="str">
        <f t="shared" si="4911"/>
        <v>#ERROR!</v>
      </c>
      <c r="FH943" s="146"/>
      <c r="FI943" s="17"/>
      <c r="FJ943" s="17"/>
      <c r="FK943" s="112"/>
      <c r="FL943" s="17"/>
    </row>
    <row r="944" ht="12.75" hidden="1" customHeight="1" outlineLevel="1">
      <c r="A944" s="17"/>
      <c r="B944" s="672" t="s">
        <v>344</v>
      </c>
      <c r="C944" s="672"/>
      <c r="D944" s="672"/>
      <c r="E944" s="672"/>
      <c r="F944" s="672"/>
      <c r="G944" s="672"/>
      <c r="H944" s="673"/>
      <c r="I944" s="672" t="str">
        <f t="shared" ref="I944:L944" si="4912">SUM(I942:I943)</f>
        <v>#ERROR!</v>
      </c>
      <c r="J944" s="672" t="str">
        <f t="shared" si="4912"/>
        <v>#ERROR!</v>
      </c>
      <c r="K944" s="672" t="str">
        <f t="shared" si="4912"/>
        <v>#ERROR!</v>
      </c>
      <c r="L944" s="672" t="str">
        <f t="shared" si="4912"/>
        <v>#ERROR!</v>
      </c>
      <c r="M944" s="673" t="str">
        <f t="shared" si="4881"/>
        <v>#ERROR!</v>
      </c>
      <c r="N944" s="672" t="str">
        <f t="shared" ref="N944:Q944" si="4913">SUM(N942:N943)</f>
        <v>#ERROR!</v>
      </c>
      <c r="O944" s="672" t="str">
        <f t="shared" si="4913"/>
        <v>#ERROR!</v>
      </c>
      <c r="P944" s="672" t="str">
        <f t="shared" si="4913"/>
        <v>#ERROR!</v>
      </c>
      <c r="Q944" s="672" t="str">
        <f t="shared" si="4913"/>
        <v>#ERROR!</v>
      </c>
      <c r="R944" s="673" t="str">
        <f t="shared" si="4882"/>
        <v>#ERROR!</v>
      </c>
      <c r="S944" s="672" t="str">
        <f t="shared" ref="S944:V944" si="4914">SUM(S942:S943)</f>
        <v>#ERROR!</v>
      </c>
      <c r="T944" s="672" t="str">
        <f t="shared" si="4914"/>
        <v>#ERROR!</v>
      </c>
      <c r="U944" s="672" t="str">
        <f t="shared" si="4914"/>
        <v>#ERROR!</v>
      </c>
      <c r="V944" s="672" t="str">
        <f t="shared" si="4914"/>
        <v>#ERROR!</v>
      </c>
      <c r="W944" s="673" t="str">
        <f t="shared" si="4883"/>
        <v>#ERROR!</v>
      </c>
      <c r="X944" s="672" t="str">
        <f t="shared" ref="X944:AA944" si="4915">SUM(X942:X943)</f>
        <v>#ERROR!</v>
      </c>
      <c r="Y944" s="672" t="str">
        <f t="shared" si="4915"/>
        <v>#ERROR!</v>
      </c>
      <c r="Z944" s="672" t="str">
        <f t="shared" si="4915"/>
        <v>#ERROR!</v>
      </c>
      <c r="AA944" s="672" t="str">
        <f t="shared" si="4915"/>
        <v>#ERROR!</v>
      </c>
      <c r="AB944" s="673" t="str">
        <f t="shared" si="4884"/>
        <v>#ERROR!</v>
      </c>
      <c r="AC944" s="672" t="str">
        <f t="shared" ref="AC944:AF944" si="4916">SUM(AC942:AC943)</f>
        <v>#ERROR!</v>
      </c>
      <c r="AD944" s="672" t="str">
        <f t="shared" si="4916"/>
        <v>#ERROR!</v>
      </c>
      <c r="AE944" s="672" t="str">
        <f t="shared" si="4916"/>
        <v>#ERROR!</v>
      </c>
      <c r="AF944" s="672" t="str">
        <f t="shared" si="4916"/>
        <v>#ERROR!</v>
      </c>
      <c r="AG944" s="673" t="str">
        <f t="shared" si="4885"/>
        <v>#ERROR!</v>
      </c>
      <c r="AH944" s="672" t="str">
        <f t="shared" ref="AH944:AK944" si="4917">SUM(AH942:AH943)</f>
        <v>#ERROR!</v>
      </c>
      <c r="AI944" s="672" t="str">
        <f t="shared" si="4917"/>
        <v>#ERROR!</v>
      </c>
      <c r="AJ944" s="672" t="str">
        <f t="shared" si="4917"/>
        <v>#ERROR!</v>
      </c>
      <c r="AK944" s="672" t="str">
        <f t="shared" si="4917"/>
        <v>#ERROR!</v>
      </c>
      <c r="AL944" s="673" t="str">
        <f t="shared" si="4886"/>
        <v>#ERROR!</v>
      </c>
      <c r="AM944" s="672" t="str">
        <f t="shared" ref="AM944:AP944" si="4918">SUM(AM942:AM943)</f>
        <v>#ERROR!</v>
      </c>
      <c r="AN944" s="672" t="str">
        <f t="shared" si="4918"/>
        <v>#ERROR!</v>
      </c>
      <c r="AO944" s="672" t="str">
        <f t="shared" si="4918"/>
        <v>#ERROR!</v>
      </c>
      <c r="AP944" s="672" t="str">
        <f t="shared" si="4918"/>
        <v>#ERROR!</v>
      </c>
      <c r="AQ944" s="673" t="str">
        <f t="shared" si="4887"/>
        <v>#ERROR!</v>
      </c>
      <c r="AR944" s="672" t="str">
        <f t="shared" ref="AR944:AU944" si="4919">SUM(AR942:AR943)</f>
        <v>#ERROR!</v>
      </c>
      <c r="AS944" s="672" t="str">
        <f t="shared" si="4919"/>
        <v>#ERROR!</v>
      </c>
      <c r="AT944" s="672" t="str">
        <f t="shared" si="4919"/>
        <v>#ERROR!</v>
      </c>
      <c r="AU944" s="672" t="str">
        <f t="shared" si="4919"/>
        <v>#ERROR!</v>
      </c>
      <c r="AV944" s="673" t="str">
        <f t="shared" si="4888"/>
        <v>#ERROR!</v>
      </c>
      <c r="AW944" s="672" t="str">
        <f t="shared" ref="AW944:AZ944" si="4920">SUM(AW942:AW943)</f>
        <v>#ERROR!</v>
      </c>
      <c r="AX944" s="672" t="str">
        <f t="shared" si="4920"/>
        <v>#ERROR!</v>
      </c>
      <c r="AY944" s="672" t="str">
        <f t="shared" si="4920"/>
        <v>#ERROR!</v>
      </c>
      <c r="AZ944" s="672" t="str">
        <f t="shared" si="4920"/>
        <v>#ERROR!</v>
      </c>
      <c r="BA944" s="673" t="str">
        <f t="shared" si="4889"/>
        <v>#ERROR!</v>
      </c>
      <c r="BB944" s="672" t="str">
        <f t="shared" ref="BB944:BE944" si="4921">SUM(BB942:BB943)</f>
        <v>#ERROR!</v>
      </c>
      <c r="BC944" s="672" t="str">
        <f t="shared" si="4921"/>
        <v>#ERROR!</v>
      </c>
      <c r="BD944" s="672" t="str">
        <f t="shared" si="4921"/>
        <v>#ERROR!</v>
      </c>
      <c r="BE944" s="672" t="str">
        <f t="shared" si="4921"/>
        <v>#ERROR!</v>
      </c>
      <c r="BF944" s="673" t="str">
        <f t="shared" si="4890"/>
        <v>#ERROR!</v>
      </c>
      <c r="BG944" s="672" t="str">
        <f t="shared" ref="BG944:BJ944" si="4922">SUM(BG942:BG943)</f>
        <v>#ERROR!</v>
      </c>
      <c r="BH944" s="672" t="str">
        <f t="shared" si="4922"/>
        <v>#ERROR!</v>
      </c>
      <c r="BI944" s="672" t="str">
        <f t="shared" si="4922"/>
        <v>#ERROR!</v>
      </c>
      <c r="BJ944" s="672" t="str">
        <f t="shared" si="4922"/>
        <v>#ERROR!</v>
      </c>
      <c r="BK944" s="673" t="str">
        <f t="shared" si="4891"/>
        <v>#ERROR!</v>
      </c>
      <c r="BL944" s="672" t="str">
        <f t="shared" ref="BL944:BO944" si="4923">SUM(BL942:BL943)</f>
        <v>#ERROR!</v>
      </c>
      <c r="BM944" s="672" t="str">
        <f t="shared" si="4923"/>
        <v>#ERROR!</v>
      </c>
      <c r="BN944" s="672" t="str">
        <f t="shared" si="4923"/>
        <v>#ERROR!</v>
      </c>
      <c r="BO944" s="672" t="str">
        <f t="shared" si="4923"/>
        <v>#ERROR!</v>
      </c>
      <c r="BP944" s="673" t="str">
        <f t="shared" si="4892"/>
        <v>#ERROR!</v>
      </c>
      <c r="BQ944" s="672" t="str">
        <f t="shared" ref="BQ944:BT944" si="4924">SUM(BQ942:BQ943)</f>
        <v>#ERROR!</v>
      </c>
      <c r="BR944" s="672" t="str">
        <f t="shared" si="4924"/>
        <v>#ERROR!</v>
      </c>
      <c r="BS944" s="672" t="str">
        <f t="shared" si="4924"/>
        <v>#ERROR!</v>
      </c>
      <c r="BT944" s="672" t="str">
        <f t="shared" si="4924"/>
        <v>#ERROR!</v>
      </c>
      <c r="BU944" s="673" t="str">
        <f t="shared" si="4893"/>
        <v>#ERROR!</v>
      </c>
      <c r="BV944" s="672" t="str">
        <f t="shared" ref="BV944:BY944" si="4925">SUM(BV942:BV943)</f>
        <v>#ERROR!</v>
      </c>
      <c r="BW944" s="672" t="str">
        <f t="shared" si="4925"/>
        <v>#ERROR!</v>
      </c>
      <c r="BX944" s="672" t="str">
        <f t="shared" si="4925"/>
        <v>#ERROR!</v>
      </c>
      <c r="BY944" s="672" t="str">
        <f t="shared" si="4925"/>
        <v>#ERROR!</v>
      </c>
      <c r="BZ944" s="674" t="str">
        <f t="shared" si="4894"/>
        <v>#ERROR!</v>
      </c>
      <c r="CA944" s="672" t="str">
        <f t="shared" ref="CA944:CD944" si="4926">SUM(CA942:CA943)</f>
        <v>#ERROR!</v>
      </c>
      <c r="CB944" s="672" t="str">
        <f t="shared" si="4926"/>
        <v>#ERROR!</v>
      </c>
      <c r="CC944" s="672" t="str">
        <f t="shared" si="4926"/>
        <v>#ERROR!</v>
      </c>
      <c r="CD944" s="672" t="str">
        <f t="shared" si="4926"/>
        <v>#ERROR!</v>
      </c>
      <c r="CE944" s="674" t="str">
        <f t="shared" si="4895"/>
        <v>#ERROR!</v>
      </c>
      <c r="CF944" s="672" t="str">
        <f t="shared" ref="CF944:CI944" si="4927">SUM(CF942:CF943)</f>
        <v>#ERROR!</v>
      </c>
      <c r="CG944" s="672" t="str">
        <f t="shared" si="4927"/>
        <v>#ERROR!</v>
      </c>
      <c r="CH944" s="672" t="str">
        <f t="shared" si="4927"/>
        <v>#ERROR!</v>
      </c>
      <c r="CI944" s="672" t="str">
        <f t="shared" si="4927"/>
        <v>#ERROR!</v>
      </c>
      <c r="CJ944" s="674" t="str">
        <f t="shared" si="4896"/>
        <v>#ERROR!</v>
      </c>
      <c r="CK944" s="672" t="str">
        <f t="shared" ref="CK944:CN944" si="4928">SUM(CK942:CK943)</f>
        <v>#ERROR!</v>
      </c>
      <c r="CL944" s="672" t="str">
        <f t="shared" si="4928"/>
        <v>#ERROR!</v>
      </c>
      <c r="CM944" s="672" t="str">
        <f t="shared" si="4928"/>
        <v>#ERROR!</v>
      </c>
      <c r="CN944" s="675" t="str">
        <f t="shared" si="4928"/>
        <v>#ERROR!</v>
      </c>
      <c r="CO944" s="674" t="str">
        <f t="shared" si="4897"/>
        <v>#ERROR!</v>
      </c>
      <c r="CP944" s="675" t="str">
        <f t="shared" ref="CP944:CS944" si="4929">SUM(CP942:CP943)</f>
        <v>#ERROR!</v>
      </c>
      <c r="CQ944" s="672" t="str">
        <f t="shared" si="4929"/>
        <v>#ERROR!</v>
      </c>
      <c r="CR944" s="672" t="str">
        <f t="shared" si="4929"/>
        <v>#ERROR!</v>
      </c>
      <c r="CS944" s="672" t="str">
        <f t="shared" si="4929"/>
        <v>#ERROR!</v>
      </c>
      <c r="CT944" s="674" t="str">
        <f t="shared" si="4898"/>
        <v>#ERROR!</v>
      </c>
      <c r="CU944" s="672" t="str">
        <f t="shared" ref="CU944:CX944" si="4930">SUM(CU942:CU943)</f>
        <v>#ERROR!</v>
      </c>
      <c r="CV944" s="672" t="str">
        <f t="shared" si="4930"/>
        <v>#ERROR!</v>
      </c>
      <c r="CW944" s="672" t="str">
        <f t="shared" si="4930"/>
        <v>#ERROR!</v>
      </c>
      <c r="CX944" s="672" t="str">
        <f t="shared" si="4930"/>
        <v>#ERROR!</v>
      </c>
      <c r="CY944" s="674" t="str">
        <f t="shared" si="4899"/>
        <v>#ERROR!</v>
      </c>
      <c r="CZ944" s="672" t="str">
        <f t="shared" ref="CZ944:DC944" si="4931">SUM(CZ942:CZ943)</f>
        <v>#ERROR!</v>
      </c>
      <c r="DA944" s="672" t="str">
        <f t="shared" si="4931"/>
        <v>#ERROR!</v>
      </c>
      <c r="DB944" s="672" t="str">
        <f t="shared" si="4931"/>
        <v>#ERROR!</v>
      </c>
      <c r="DC944" s="672" t="str">
        <f t="shared" si="4931"/>
        <v>#ERROR!</v>
      </c>
      <c r="DD944" s="674" t="str">
        <f t="shared" si="4900"/>
        <v>#ERROR!</v>
      </c>
      <c r="DE944" s="672" t="str">
        <f t="shared" ref="DE944:DH944" si="4932">SUM(DE942:DE943)</f>
        <v>#ERROR!</v>
      </c>
      <c r="DF944" s="672" t="str">
        <f t="shared" si="4932"/>
        <v>#ERROR!</v>
      </c>
      <c r="DG944" s="19" t="str">
        <f t="shared" si="4932"/>
        <v>#ERROR!</v>
      </c>
      <c r="DH944" s="672" t="str">
        <f t="shared" si="4932"/>
        <v>#ERROR!</v>
      </c>
      <c r="DI944" s="674" t="str">
        <f t="shared" si="4901"/>
        <v>#ERROR!</v>
      </c>
      <c r="DJ944" s="675" t="str">
        <f t="shared" ref="DJ944:DM944" si="4933">SUM(DJ942:DJ943)</f>
        <v>#ERROR!</v>
      </c>
      <c r="DK944" s="675" t="str">
        <f t="shared" si="4933"/>
        <v>#ERROR!</v>
      </c>
      <c r="DL944" s="675" t="str">
        <f t="shared" si="4933"/>
        <v>#ERROR!</v>
      </c>
      <c r="DM944" s="672" t="str">
        <f t="shared" si="4933"/>
        <v>#ERROR!</v>
      </c>
      <c r="DN944" s="674" t="str">
        <f t="shared" si="4902"/>
        <v>#ERROR!</v>
      </c>
      <c r="DO944" s="672" t="str">
        <f t="shared" ref="DO944:DR944" si="4934">SUM(DO942:DO943)</f>
        <v>#ERROR!</v>
      </c>
      <c r="DP944" s="672" t="str">
        <f t="shared" si="4934"/>
        <v>#ERROR!</v>
      </c>
      <c r="DQ944" s="672" t="str">
        <f t="shared" si="4934"/>
        <v>#ERROR!</v>
      </c>
      <c r="DR944" s="672" t="str">
        <f t="shared" si="4934"/>
        <v>#ERROR!</v>
      </c>
      <c r="DS944" s="674" t="str">
        <f t="shared" si="4903"/>
        <v>#ERROR!</v>
      </c>
      <c r="DT944" s="672" t="str">
        <f t="shared" ref="DT944:DW944" si="4935">SUM(DT942:DT943)</f>
        <v>#ERROR!</v>
      </c>
      <c r="DU944" s="672" t="str">
        <f t="shared" si="4935"/>
        <v>#ERROR!</v>
      </c>
      <c r="DV944" s="672" t="str">
        <f t="shared" si="4935"/>
        <v>#ERROR!</v>
      </c>
      <c r="DW944" s="672" t="str">
        <f t="shared" si="4935"/>
        <v>#ERROR!</v>
      </c>
      <c r="DX944" s="674" t="str">
        <f t="shared" si="4904"/>
        <v>#ERROR!</v>
      </c>
      <c r="DY944" s="672" t="str">
        <f t="shared" ref="DY944:EB944" si="4936">SUM(DY942:DY943)</f>
        <v>#ERROR!</v>
      </c>
      <c r="DZ944" s="672" t="str">
        <f t="shared" si="4936"/>
        <v>#ERROR!</v>
      </c>
      <c r="EA944" s="672" t="str">
        <f t="shared" si="4936"/>
        <v>#ERROR!</v>
      </c>
      <c r="EB944" s="672" t="str">
        <f t="shared" si="4936"/>
        <v>#ERROR!</v>
      </c>
      <c r="EC944" s="674" t="str">
        <f t="shared" si="4905"/>
        <v>#ERROR!</v>
      </c>
      <c r="ED944" s="672" t="str">
        <f t="shared" ref="ED944:EG944" si="4937">SUM(ED942:ED943)</f>
        <v>#ERROR!</v>
      </c>
      <c r="EE944" s="672" t="str">
        <f t="shared" si="4937"/>
        <v>#ERROR!</v>
      </c>
      <c r="EF944" s="672" t="str">
        <f t="shared" si="4937"/>
        <v>#ERROR!</v>
      </c>
      <c r="EG944" s="672" t="str">
        <f t="shared" si="4937"/>
        <v>#ERROR!</v>
      </c>
      <c r="EH944" s="674" t="str">
        <f t="shared" si="4906"/>
        <v>#ERROR!</v>
      </c>
      <c r="EI944" s="676" t="str">
        <f t="shared" ref="EI944:EL944" si="4938">SUM(EI942:EI943)</f>
        <v>#ERROR!</v>
      </c>
      <c r="EJ944" s="672" t="str">
        <f t="shared" si="4938"/>
        <v>#ERROR!</v>
      </c>
      <c r="EK944" s="672" t="str">
        <f t="shared" si="4938"/>
        <v>#ERROR!</v>
      </c>
      <c r="EL944" s="672" t="str">
        <f t="shared" si="4938"/>
        <v>#ERROR!</v>
      </c>
      <c r="EM944" s="674" t="str">
        <f t="shared" si="4907"/>
        <v>#ERROR!</v>
      </c>
      <c r="EN944" s="672" t="str">
        <f t="shared" ref="EN944:EQ944" si="4939">SUM(EN942:EN943)</f>
        <v>#ERROR!</v>
      </c>
      <c r="EO944" s="672" t="str">
        <f t="shared" si="4939"/>
        <v>#ERROR!</v>
      </c>
      <c r="EP944" s="672" t="str">
        <f t="shared" si="4939"/>
        <v>#ERROR!</v>
      </c>
      <c r="EQ944" s="672" t="str">
        <f t="shared" si="4939"/>
        <v>#ERROR!</v>
      </c>
      <c r="ER944" s="674" t="str">
        <f t="shared" si="4908"/>
        <v>#ERROR!</v>
      </c>
      <c r="ES944" s="672" t="str">
        <f t="shared" ref="ES944:EV944" si="4940">SUM(ES942:ES943)</f>
        <v>#ERROR!</v>
      </c>
      <c r="ET944" s="672" t="str">
        <f t="shared" si="4940"/>
        <v>#ERROR!</v>
      </c>
      <c r="EU944" s="672" t="str">
        <f t="shared" si="4940"/>
        <v>#ERROR!</v>
      </c>
      <c r="EV944" s="672" t="str">
        <f t="shared" si="4940"/>
        <v>#ERROR!</v>
      </c>
      <c r="EW944" s="674" t="str">
        <f t="shared" si="4909"/>
        <v>#ERROR!</v>
      </c>
      <c r="EX944" s="672" t="str">
        <f t="shared" ref="EX944:FA944" si="4941">SUM(EX942:EX943)</f>
        <v>#ERROR!</v>
      </c>
      <c r="EY944" s="672" t="str">
        <f t="shared" si="4941"/>
        <v>#ERROR!</v>
      </c>
      <c r="EZ944" s="672" t="str">
        <f t="shared" si="4941"/>
        <v>#ERROR!</v>
      </c>
      <c r="FA944" s="672" t="str">
        <f t="shared" si="4941"/>
        <v>#ERROR!</v>
      </c>
      <c r="FB944" s="674" t="str">
        <f t="shared" si="4910"/>
        <v>#ERROR!</v>
      </c>
      <c r="FC944" s="672" t="str">
        <f t="shared" ref="FC944:FF944" si="4942">SUM(FC942:FC943)</f>
        <v>#ERROR!</v>
      </c>
      <c r="FD944" s="672" t="str">
        <f t="shared" si="4942"/>
        <v>#ERROR!</v>
      </c>
      <c r="FE944" s="672" t="str">
        <f t="shared" si="4942"/>
        <v>#ERROR!</v>
      </c>
      <c r="FF944" s="672" t="str">
        <f t="shared" si="4942"/>
        <v>#ERROR!</v>
      </c>
      <c r="FG944" s="674" t="str">
        <f t="shared" si="4911"/>
        <v>#ERROR!</v>
      </c>
      <c r="FH944" s="677"/>
      <c r="FI944" s="672"/>
      <c r="FJ944" s="672"/>
      <c r="FK944" s="673"/>
      <c r="FL944" s="672"/>
    </row>
    <row r="945" ht="12.75" hidden="1" customHeight="1" outlineLevel="1">
      <c r="A945" s="17"/>
      <c r="B945" s="17" t="s">
        <v>345</v>
      </c>
      <c r="C945" s="17"/>
      <c r="D945" s="15"/>
      <c r="E945" s="15"/>
      <c r="F945" s="15"/>
      <c r="G945" s="15"/>
      <c r="H945" s="410"/>
      <c r="I945" s="15"/>
      <c r="J945" s="15"/>
      <c r="K945" s="15"/>
      <c r="L945" s="15"/>
      <c r="M945" s="410"/>
      <c r="N945" s="15"/>
      <c r="O945" s="15"/>
      <c r="P945" s="15" t="str">
        <f t="shared" ref="P945:Q945" si="4943">P944/O944-1</f>
        <v>#ERROR!</v>
      </c>
      <c r="Q945" s="15" t="str">
        <f t="shared" si="4943"/>
        <v>#ERROR!</v>
      </c>
      <c r="R945" s="410"/>
      <c r="S945" s="15"/>
      <c r="T945" s="15" t="str">
        <f t="shared" ref="T945:V945" si="4944">T944/S944-1</f>
        <v>#ERROR!</v>
      </c>
      <c r="U945" s="15" t="str">
        <f t="shared" si="4944"/>
        <v>#ERROR!</v>
      </c>
      <c r="V945" s="15" t="str">
        <f t="shared" si="4944"/>
        <v>#ERROR!</v>
      </c>
      <c r="W945" s="410"/>
      <c r="X945" s="15"/>
      <c r="Y945" s="15" t="str">
        <f t="shared" ref="Y945:AA945" si="4945">Y944/X944-1</f>
        <v>#ERROR!</v>
      </c>
      <c r="Z945" s="15" t="str">
        <f t="shared" si="4945"/>
        <v>#ERROR!</v>
      </c>
      <c r="AA945" s="15" t="str">
        <f t="shared" si="4945"/>
        <v>#ERROR!</v>
      </c>
      <c r="AB945" s="410"/>
      <c r="AC945" s="15" t="str">
        <f>AC944/AA944-1</f>
        <v>#ERROR!</v>
      </c>
      <c r="AD945" s="15" t="str">
        <f t="shared" ref="AD945:AF945" si="4946">AD944/AC944-1</f>
        <v>#ERROR!</v>
      </c>
      <c r="AE945" s="15" t="str">
        <f t="shared" si="4946"/>
        <v>#ERROR!</v>
      </c>
      <c r="AF945" s="15" t="str">
        <f t="shared" si="4946"/>
        <v>#ERROR!</v>
      </c>
      <c r="AG945" s="410"/>
      <c r="AH945" s="15" t="str">
        <f>AH944/AF944-1</f>
        <v>#ERROR!</v>
      </c>
      <c r="AI945" s="15" t="str">
        <f t="shared" ref="AI945:AK945" si="4947">AI944/AH944-1</f>
        <v>#ERROR!</v>
      </c>
      <c r="AJ945" s="15" t="str">
        <f t="shared" si="4947"/>
        <v>#ERROR!</v>
      </c>
      <c r="AK945" s="15" t="str">
        <f t="shared" si="4947"/>
        <v>#ERROR!</v>
      </c>
      <c r="AL945" s="410"/>
      <c r="AM945" s="15" t="str">
        <f>AM944/AK944-1</f>
        <v>#ERROR!</v>
      </c>
      <c r="AN945" s="15" t="str">
        <f t="shared" ref="AN945:AP945" si="4948">AN944/AM944-1</f>
        <v>#ERROR!</v>
      </c>
      <c r="AO945" s="15" t="str">
        <f t="shared" si="4948"/>
        <v>#ERROR!</v>
      </c>
      <c r="AP945" s="15" t="str">
        <f t="shared" si="4948"/>
        <v>#ERROR!</v>
      </c>
      <c r="AQ945" s="410"/>
      <c r="AR945" s="15" t="str">
        <f>AR944/AP944-1</f>
        <v>#ERROR!</v>
      </c>
      <c r="AS945" s="15" t="str">
        <f t="shared" ref="AS945:AU945" si="4949">AS944/AR944-1</f>
        <v>#ERROR!</v>
      </c>
      <c r="AT945" s="15" t="str">
        <f t="shared" si="4949"/>
        <v>#ERROR!</v>
      </c>
      <c r="AU945" s="15" t="str">
        <f t="shared" si="4949"/>
        <v>#ERROR!</v>
      </c>
      <c r="AV945" s="410"/>
      <c r="AW945" s="15" t="str">
        <f>AW944/AU944-1</f>
        <v>#ERROR!</v>
      </c>
      <c r="AX945" s="15" t="str">
        <f t="shared" ref="AX945:AZ945" si="4950">AX944/AW944-1</f>
        <v>#ERROR!</v>
      </c>
      <c r="AY945" s="15" t="str">
        <f t="shared" si="4950"/>
        <v>#ERROR!</v>
      </c>
      <c r="AZ945" s="15" t="str">
        <f t="shared" si="4950"/>
        <v>#ERROR!</v>
      </c>
      <c r="BA945" s="410"/>
      <c r="BB945" s="15" t="str">
        <f>BB944/AZ944-1</f>
        <v>#ERROR!</v>
      </c>
      <c r="BC945" s="15" t="str">
        <f t="shared" ref="BC945:BE945" si="4951">BC944/BB944-1</f>
        <v>#ERROR!</v>
      </c>
      <c r="BD945" s="15" t="str">
        <f t="shared" si="4951"/>
        <v>#ERROR!</v>
      </c>
      <c r="BE945" s="15" t="str">
        <f t="shared" si="4951"/>
        <v>#ERROR!</v>
      </c>
      <c r="BF945" s="410"/>
      <c r="BG945" s="15" t="str">
        <f>BG944/BE944-1</f>
        <v>#ERROR!</v>
      </c>
      <c r="BH945" s="15" t="str">
        <f t="shared" ref="BH945:BJ945" si="4952">BH944/BG944-1</f>
        <v>#ERROR!</v>
      </c>
      <c r="BI945" s="15" t="str">
        <f t="shared" si="4952"/>
        <v>#ERROR!</v>
      </c>
      <c r="BJ945" s="15" t="str">
        <f t="shared" si="4952"/>
        <v>#ERROR!</v>
      </c>
      <c r="BK945" s="410"/>
      <c r="BL945" s="15" t="str">
        <f>BL944/BJ944-1</f>
        <v>#ERROR!</v>
      </c>
      <c r="BM945" s="15" t="str">
        <f t="shared" ref="BM945:BO945" si="4953">BM944/BL944-1</f>
        <v>#ERROR!</v>
      </c>
      <c r="BN945" s="15" t="str">
        <f t="shared" si="4953"/>
        <v>#ERROR!</v>
      </c>
      <c r="BO945" s="15" t="str">
        <f t="shared" si="4953"/>
        <v>#ERROR!</v>
      </c>
      <c r="BP945" s="410"/>
      <c r="BQ945" s="15" t="str">
        <f>BQ944/BO944-1</f>
        <v>#ERROR!</v>
      </c>
      <c r="BR945" s="15" t="str">
        <f t="shared" ref="BR945:BT945" si="4954">BR944/BQ944-1</f>
        <v>#ERROR!</v>
      </c>
      <c r="BS945" s="15" t="str">
        <f t="shared" si="4954"/>
        <v>#ERROR!</v>
      </c>
      <c r="BT945" s="15" t="str">
        <f t="shared" si="4954"/>
        <v>#ERROR!</v>
      </c>
      <c r="BU945" s="410"/>
      <c r="BV945" s="15" t="str">
        <f>BV944/BT944-1</f>
        <v>#ERROR!</v>
      </c>
      <c r="BW945" s="15" t="str">
        <f t="shared" ref="BW945:BY945" si="4955">BW944/BV944-1</f>
        <v>#ERROR!</v>
      </c>
      <c r="BX945" s="15" t="str">
        <f t="shared" si="4955"/>
        <v>#ERROR!</v>
      </c>
      <c r="BY945" s="15" t="str">
        <f t="shared" si="4955"/>
        <v>#ERROR!</v>
      </c>
      <c r="BZ945" s="24"/>
      <c r="CA945" s="15" t="str">
        <f>CA944/BY944-1</f>
        <v>#ERROR!</v>
      </c>
      <c r="CB945" s="15" t="str">
        <f t="shared" ref="CB945:CD945" si="4956">CB944/CA944-1</f>
        <v>#ERROR!</v>
      </c>
      <c r="CC945" s="15" t="str">
        <f t="shared" si="4956"/>
        <v>#ERROR!</v>
      </c>
      <c r="CD945" s="15" t="str">
        <f t="shared" si="4956"/>
        <v>#ERROR!</v>
      </c>
      <c r="CE945" s="24"/>
      <c r="CF945" s="15" t="str">
        <f>CF944/CD944-1</f>
        <v>#ERROR!</v>
      </c>
      <c r="CG945" s="15" t="str">
        <f t="shared" ref="CG945:CI945" si="4957">CG944/CF944-1</f>
        <v>#ERROR!</v>
      </c>
      <c r="CH945" s="15" t="str">
        <f t="shared" si="4957"/>
        <v>#ERROR!</v>
      </c>
      <c r="CI945" s="15" t="str">
        <f t="shared" si="4957"/>
        <v>#ERROR!</v>
      </c>
      <c r="CJ945" s="24"/>
      <c r="CK945" s="15" t="str">
        <f>CK944/CI944-1</f>
        <v>#ERROR!</v>
      </c>
      <c r="CL945" s="15" t="str">
        <f t="shared" ref="CL945:CN945" si="4958">CL944/CK944-1</f>
        <v>#ERROR!</v>
      </c>
      <c r="CM945" s="15" t="str">
        <f t="shared" si="4958"/>
        <v>#ERROR!</v>
      </c>
      <c r="CN945" s="40" t="str">
        <f t="shared" si="4958"/>
        <v>#ERROR!</v>
      </c>
      <c r="CO945" s="24"/>
      <c r="CP945" s="40" t="str">
        <f>CP944/CN944-1</f>
        <v>#ERROR!</v>
      </c>
      <c r="CQ945" s="15" t="str">
        <f t="shared" ref="CQ945:CS945" si="4959">CQ944/CP944-1</f>
        <v>#ERROR!</v>
      </c>
      <c r="CR945" s="15" t="str">
        <f t="shared" si="4959"/>
        <v>#ERROR!</v>
      </c>
      <c r="CS945" s="15" t="str">
        <f t="shared" si="4959"/>
        <v>#ERROR!</v>
      </c>
      <c r="CT945" s="24"/>
      <c r="CU945" s="15" t="str">
        <f>CU944/CS944-1</f>
        <v>#ERROR!</v>
      </c>
      <c r="CV945" s="15" t="str">
        <f t="shared" ref="CV945:CX945" si="4960">CV944/CU944-1</f>
        <v>#ERROR!</v>
      </c>
      <c r="CW945" s="15" t="str">
        <f t="shared" si="4960"/>
        <v>#ERROR!</v>
      </c>
      <c r="CX945" s="15" t="str">
        <f t="shared" si="4960"/>
        <v>#ERROR!</v>
      </c>
      <c r="CY945" s="24"/>
      <c r="CZ945" s="15" t="str">
        <f>CZ944/CX944-1</f>
        <v>#ERROR!</v>
      </c>
      <c r="DA945" s="15" t="str">
        <f t="shared" ref="DA945:DC945" si="4961">DA944/CZ944-1</f>
        <v>#ERROR!</v>
      </c>
      <c r="DB945" s="15" t="str">
        <f t="shared" si="4961"/>
        <v>#ERROR!</v>
      </c>
      <c r="DC945" s="15" t="str">
        <f t="shared" si="4961"/>
        <v>#ERROR!</v>
      </c>
      <c r="DD945" s="24"/>
      <c r="DE945" s="15" t="str">
        <f>DE944/DC944-1</f>
        <v>#ERROR!</v>
      </c>
      <c r="DF945" s="15" t="str">
        <f t="shared" ref="DF945:DH945" si="4962">DF944/DE944-1</f>
        <v>#ERROR!</v>
      </c>
      <c r="DG945" s="40" t="str">
        <f t="shared" si="4962"/>
        <v>#ERROR!</v>
      </c>
      <c r="DH945" s="15" t="str">
        <f t="shared" si="4962"/>
        <v>#ERROR!</v>
      </c>
      <c r="DI945" s="24"/>
      <c r="DJ945" s="40" t="str">
        <f>DJ944/DH944-1</f>
        <v>#ERROR!</v>
      </c>
      <c r="DK945" s="40" t="str">
        <f t="shared" ref="DK945:DM945" si="4963">DK944/DJ944-1</f>
        <v>#ERROR!</v>
      </c>
      <c r="DL945" s="40" t="str">
        <f t="shared" si="4963"/>
        <v>#ERROR!</v>
      </c>
      <c r="DM945" s="15" t="str">
        <f t="shared" si="4963"/>
        <v>#ERROR!</v>
      </c>
      <c r="DN945" s="24"/>
      <c r="DO945" s="15" t="str">
        <f>DO944/DM944-1</f>
        <v>#ERROR!</v>
      </c>
      <c r="DP945" s="15" t="str">
        <f t="shared" ref="DP945:DR945" si="4964">DP944/DO944-1</f>
        <v>#ERROR!</v>
      </c>
      <c r="DQ945" s="15" t="str">
        <f t="shared" si="4964"/>
        <v>#ERROR!</v>
      </c>
      <c r="DR945" s="15" t="str">
        <f t="shared" si="4964"/>
        <v>#ERROR!</v>
      </c>
      <c r="DS945" s="24"/>
      <c r="DT945" s="15" t="str">
        <f>DT944/DR944-1</f>
        <v>#ERROR!</v>
      </c>
      <c r="DU945" s="15" t="str">
        <f t="shared" ref="DU945:DW945" si="4965">DU944/DT944-1</f>
        <v>#ERROR!</v>
      </c>
      <c r="DV945" s="15" t="str">
        <f t="shared" si="4965"/>
        <v>#ERROR!</v>
      </c>
      <c r="DW945" s="15" t="str">
        <f t="shared" si="4965"/>
        <v>#ERROR!</v>
      </c>
      <c r="DX945" s="24"/>
      <c r="DY945" s="15" t="str">
        <f>DY944/DW944-1</f>
        <v>#ERROR!</v>
      </c>
      <c r="DZ945" s="15" t="str">
        <f t="shared" ref="DZ945:EB945" si="4966">DZ944/DY944-1</f>
        <v>#ERROR!</v>
      </c>
      <c r="EA945" s="15" t="str">
        <f t="shared" si="4966"/>
        <v>#ERROR!</v>
      </c>
      <c r="EB945" s="15" t="str">
        <f t="shared" si="4966"/>
        <v>#ERROR!</v>
      </c>
      <c r="EC945" s="24"/>
      <c r="ED945" s="15" t="str">
        <f>ED944/EB944-1</f>
        <v>#ERROR!</v>
      </c>
      <c r="EE945" s="15" t="str">
        <f t="shared" ref="EE945:EG945" si="4967">EE944/ED944-1</f>
        <v>#ERROR!</v>
      </c>
      <c r="EF945" s="15" t="str">
        <f t="shared" si="4967"/>
        <v>#ERROR!</v>
      </c>
      <c r="EG945" s="15" t="str">
        <f t="shared" si="4967"/>
        <v>#ERROR!</v>
      </c>
      <c r="EH945" s="24"/>
      <c r="EI945" s="82" t="str">
        <f>EI944/EG944-1</f>
        <v>#ERROR!</v>
      </c>
      <c r="EJ945" s="15" t="str">
        <f t="shared" ref="EJ945:EL945" si="4968">EJ944/EI944-1</f>
        <v>#ERROR!</v>
      </c>
      <c r="EK945" s="15" t="str">
        <f t="shared" si="4968"/>
        <v>#ERROR!</v>
      </c>
      <c r="EL945" s="15" t="str">
        <f t="shared" si="4968"/>
        <v>#ERROR!</v>
      </c>
      <c r="EM945" s="24"/>
      <c r="EN945" s="15" t="str">
        <f>EN944/EL944-1</f>
        <v>#ERROR!</v>
      </c>
      <c r="EO945" s="15" t="str">
        <f t="shared" ref="EO945:EQ945" si="4969">EO944/EN944-1</f>
        <v>#ERROR!</v>
      </c>
      <c r="EP945" s="15" t="str">
        <f t="shared" si="4969"/>
        <v>#ERROR!</v>
      </c>
      <c r="EQ945" s="15" t="str">
        <f t="shared" si="4969"/>
        <v>#ERROR!</v>
      </c>
      <c r="ER945" s="24"/>
      <c r="ES945" s="15" t="str">
        <f>ES944/EQ944-1</f>
        <v>#ERROR!</v>
      </c>
      <c r="ET945" s="15" t="str">
        <f t="shared" ref="ET945:EV945" si="4970">ET944/ES944-1</f>
        <v>#ERROR!</v>
      </c>
      <c r="EU945" s="15" t="str">
        <f t="shared" si="4970"/>
        <v>#ERROR!</v>
      </c>
      <c r="EV945" s="15" t="str">
        <f t="shared" si="4970"/>
        <v>#ERROR!</v>
      </c>
      <c r="EW945" s="24"/>
      <c r="EX945" s="15" t="str">
        <f>EX944/EV944-1</f>
        <v>#ERROR!</v>
      </c>
      <c r="EY945" s="15" t="str">
        <f t="shared" ref="EY945:FA945" si="4971">EY944/EX944-1</f>
        <v>#ERROR!</v>
      </c>
      <c r="EZ945" s="15" t="str">
        <f t="shared" si="4971"/>
        <v>#ERROR!</v>
      </c>
      <c r="FA945" s="15" t="str">
        <f t="shared" si="4971"/>
        <v>#ERROR!</v>
      </c>
      <c r="FB945" s="24"/>
      <c r="FC945" s="15" t="str">
        <f>FC944/FA944-1</f>
        <v>#ERROR!</v>
      </c>
      <c r="FD945" s="15" t="str">
        <f t="shared" ref="FD945:FF945" si="4972">FD944/FC944-1</f>
        <v>#ERROR!</v>
      </c>
      <c r="FE945" s="15" t="str">
        <f t="shared" si="4972"/>
        <v>#ERROR!</v>
      </c>
      <c r="FF945" s="15" t="str">
        <f t="shared" si="4972"/>
        <v>#ERROR!</v>
      </c>
      <c r="FG945" s="24"/>
      <c r="FH945" s="104"/>
      <c r="FI945" s="15"/>
      <c r="FJ945" s="15"/>
      <c r="FK945" s="410"/>
      <c r="FL945" s="15"/>
    </row>
    <row r="946" ht="12.75" hidden="1" customHeight="1" outlineLevel="1">
      <c r="A946" s="17"/>
      <c r="B946" s="92" t="s">
        <v>346</v>
      </c>
      <c r="C946" s="92"/>
      <c r="D946" s="413"/>
      <c r="E946" s="413"/>
      <c r="F946" s="413"/>
      <c r="G946" s="413"/>
      <c r="H946" s="679"/>
      <c r="I946" s="413"/>
      <c r="J946" s="413"/>
      <c r="K946" s="413"/>
      <c r="L946" s="413"/>
      <c r="M946" s="679"/>
      <c r="N946" s="413"/>
      <c r="O946" s="413"/>
      <c r="P946" s="413"/>
      <c r="Q946" s="413"/>
      <c r="R946" s="679"/>
      <c r="S946" s="413"/>
      <c r="T946" s="413"/>
      <c r="U946" s="413"/>
      <c r="V946" s="413"/>
      <c r="W946" s="679"/>
      <c r="X946" s="413"/>
      <c r="Y946" s="413"/>
      <c r="Z946" s="413"/>
      <c r="AA946" s="413"/>
      <c r="AB946" s="679"/>
      <c r="AC946" s="413" t="str">
        <f t="shared" ref="AC946:FG946" si="4973">AC944/X944-1</f>
        <v>#ERROR!</v>
      </c>
      <c r="AD946" s="413" t="str">
        <f t="shared" si="4973"/>
        <v>#ERROR!</v>
      </c>
      <c r="AE946" s="413" t="str">
        <f t="shared" si="4973"/>
        <v>#ERROR!</v>
      </c>
      <c r="AF946" s="413" t="str">
        <f t="shared" si="4973"/>
        <v>#ERROR!</v>
      </c>
      <c r="AG946" s="679" t="str">
        <f t="shared" si="4973"/>
        <v>#ERROR!</v>
      </c>
      <c r="AH946" s="413" t="str">
        <f t="shared" si="4973"/>
        <v>#ERROR!</v>
      </c>
      <c r="AI946" s="413" t="str">
        <f t="shared" si="4973"/>
        <v>#ERROR!</v>
      </c>
      <c r="AJ946" s="413" t="str">
        <f t="shared" si="4973"/>
        <v>#ERROR!</v>
      </c>
      <c r="AK946" s="413" t="str">
        <f t="shared" si="4973"/>
        <v>#ERROR!</v>
      </c>
      <c r="AL946" s="679" t="str">
        <f t="shared" si="4973"/>
        <v>#ERROR!</v>
      </c>
      <c r="AM946" s="413" t="str">
        <f t="shared" si="4973"/>
        <v>#ERROR!</v>
      </c>
      <c r="AN946" s="413" t="str">
        <f t="shared" si="4973"/>
        <v>#ERROR!</v>
      </c>
      <c r="AO946" s="413" t="str">
        <f t="shared" si="4973"/>
        <v>#ERROR!</v>
      </c>
      <c r="AP946" s="413" t="str">
        <f t="shared" si="4973"/>
        <v>#ERROR!</v>
      </c>
      <c r="AQ946" s="679" t="str">
        <f t="shared" si="4973"/>
        <v>#ERROR!</v>
      </c>
      <c r="AR946" s="413" t="str">
        <f t="shared" si="4973"/>
        <v>#ERROR!</v>
      </c>
      <c r="AS946" s="413" t="str">
        <f t="shared" si="4973"/>
        <v>#ERROR!</v>
      </c>
      <c r="AT946" s="413" t="str">
        <f t="shared" si="4973"/>
        <v>#ERROR!</v>
      </c>
      <c r="AU946" s="413" t="str">
        <f t="shared" si="4973"/>
        <v>#ERROR!</v>
      </c>
      <c r="AV946" s="679" t="str">
        <f t="shared" si="4973"/>
        <v>#ERROR!</v>
      </c>
      <c r="AW946" s="413" t="str">
        <f t="shared" si="4973"/>
        <v>#ERROR!</v>
      </c>
      <c r="AX946" s="413" t="str">
        <f t="shared" si="4973"/>
        <v>#ERROR!</v>
      </c>
      <c r="AY946" s="413" t="str">
        <f t="shared" si="4973"/>
        <v>#ERROR!</v>
      </c>
      <c r="AZ946" s="413" t="str">
        <f t="shared" si="4973"/>
        <v>#ERROR!</v>
      </c>
      <c r="BA946" s="679" t="str">
        <f t="shared" si="4973"/>
        <v>#ERROR!</v>
      </c>
      <c r="BB946" s="413" t="str">
        <f t="shared" si="4973"/>
        <v>#ERROR!</v>
      </c>
      <c r="BC946" s="413" t="str">
        <f t="shared" si="4973"/>
        <v>#ERROR!</v>
      </c>
      <c r="BD946" s="413" t="str">
        <f t="shared" si="4973"/>
        <v>#ERROR!</v>
      </c>
      <c r="BE946" s="413" t="str">
        <f t="shared" si="4973"/>
        <v>#ERROR!</v>
      </c>
      <c r="BF946" s="679" t="str">
        <f t="shared" si="4973"/>
        <v>#ERROR!</v>
      </c>
      <c r="BG946" s="413" t="str">
        <f t="shared" si="4973"/>
        <v>#ERROR!</v>
      </c>
      <c r="BH946" s="413" t="str">
        <f t="shared" si="4973"/>
        <v>#ERROR!</v>
      </c>
      <c r="BI946" s="413" t="str">
        <f t="shared" si="4973"/>
        <v>#ERROR!</v>
      </c>
      <c r="BJ946" s="413" t="str">
        <f t="shared" si="4973"/>
        <v>#ERROR!</v>
      </c>
      <c r="BK946" s="679" t="str">
        <f t="shared" si="4973"/>
        <v>#ERROR!</v>
      </c>
      <c r="BL946" s="413" t="str">
        <f t="shared" si="4973"/>
        <v>#ERROR!</v>
      </c>
      <c r="BM946" s="413" t="str">
        <f t="shared" si="4973"/>
        <v>#ERROR!</v>
      </c>
      <c r="BN946" s="413" t="str">
        <f t="shared" si="4973"/>
        <v>#ERROR!</v>
      </c>
      <c r="BO946" s="413" t="str">
        <f t="shared" si="4973"/>
        <v>#ERROR!</v>
      </c>
      <c r="BP946" s="679" t="str">
        <f t="shared" si="4973"/>
        <v>#ERROR!</v>
      </c>
      <c r="BQ946" s="413" t="str">
        <f t="shared" si="4973"/>
        <v>#ERROR!</v>
      </c>
      <c r="BR946" s="413" t="str">
        <f t="shared" si="4973"/>
        <v>#ERROR!</v>
      </c>
      <c r="BS946" s="413" t="str">
        <f t="shared" si="4973"/>
        <v>#ERROR!</v>
      </c>
      <c r="BT946" s="413" t="str">
        <f t="shared" si="4973"/>
        <v>#ERROR!</v>
      </c>
      <c r="BU946" s="679" t="str">
        <f t="shared" si="4973"/>
        <v>#ERROR!</v>
      </c>
      <c r="BV946" s="413" t="str">
        <f t="shared" si="4973"/>
        <v>#ERROR!</v>
      </c>
      <c r="BW946" s="413" t="str">
        <f t="shared" si="4973"/>
        <v>#ERROR!</v>
      </c>
      <c r="BX946" s="413" t="str">
        <f t="shared" si="4973"/>
        <v>#ERROR!</v>
      </c>
      <c r="BY946" s="413" t="str">
        <f t="shared" si="4973"/>
        <v>#ERROR!</v>
      </c>
      <c r="BZ946" s="305" t="str">
        <f t="shared" si="4973"/>
        <v>#ERROR!</v>
      </c>
      <c r="CA946" s="413" t="str">
        <f t="shared" si="4973"/>
        <v>#ERROR!</v>
      </c>
      <c r="CB946" s="413" t="str">
        <f t="shared" si="4973"/>
        <v>#ERROR!</v>
      </c>
      <c r="CC946" s="413" t="str">
        <f t="shared" si="4973"/>
        <v>#ERROR!</v>
      </c>
      <c r="CD946" s="413" t="str">
        <f t="shared" si="4973"/>
        <v>#ERROR!</v>
      </c>
      <c r="CE946" s="305" t="str">
        <f t="shared" si="4973"/>
        <v>#ERROR!</v>
      </c>
      <c r="CF946" s="413" t="str">
        <f t="shared" si="4973"/>
        <v>#ERROR!</v>
      </c>
      <c r="CG946" s="413" t="str">
        <f t="shared" si="4973"/>
        <v>#ERROR!</v>
      </c>
      <c r="CH946" s="413" t="str">
        <f t="shared" si="4973"/>
        <v>#ERROR!</v>
      </c>
      <c r="CI946" s="413" t="str">
        <f t="shared" si="4973"/>
        <v>#ERROR!</v>
      </c>
      <c r="CJ946" s="305" t="str">
        <f t="shared" si="4973"/>
        <v>#ERROR!</v>
      </c>
      <c r="CK946" s="413" t="str">
        <f t="shared" si="4973"/>
        <v>#ERROR!</v>
      </c>
      <c r="CL946" s="413" t="str">
        <f t="shared" si="4973"/>
        <v>#ERROR!</v>
      </c>
      <c r="CM946" s="413" t="str">
        <f t="shared" si="4973"/>
        <v>#ERROR!</v>
      </c>
      <c r="CN946" s="416" t="str">
        <f t="shared" si="4973"/>
        <v>#ERROR!</v>
      </c>
      <c r="CO946" s="305" t="str">
        <f t="shared" si="4973"/>
        <v>#ERROR!</v>
      </c>
      <c r="CP946" s="416" t="str">
        <f t="shared" si="4973"/>
        <v>#ERROR!</v>
      </c>
      <c r="CQ946" s="413" t="str">
        <f t="shared" si="4973"/>
        <v>#ERROR!</v>
      </c>
      <c r="CR946" s="413" t="str">
        <f t="shared" si="4973"/>
        <v>#ERROR!</v>
      </c>
      <c r="CS946" s="413" t="str">
        <f t="shared" si="4973"/>
        <v>#ERROR!</v>
      </c>
      <c r="CT946" s="305" t="str">
        <f t="shared" si="4973"/>
        <v>#ERROR!</v>
      </c>
      <c r="CU946" s="413" t="str">
        <f t="shared" si="4973"/>
        <v>#ERROR!</v>
      </c>
      <c r="CV946" s="413" t="str">
        <f t="shared" si="4973"/>
        <v>#ERROR!</v>
      </c>
      <c r="CW946" s="413" t="str">
        <f t="shared" si="4973"/>
        <v>#ERROR!</v>
      </c>
      <c r="CX946" s="413" t="str">
        <f t="shared" si="4973"/>
        <v>#ERROR!</v>
      </c>
      <c r="CY946" s="305" t="str">
        <f t="shared" si="4973"/>
        <v>#ERROR!</v>
      </c>
      <c r="CZ946" s="413" t="str">
        <f t="shared" si="4973"/>
        <v>#ERROR!</v>
      </c>
      <c r="DA946" s="413" t="str">
        <f t="shared" si="4973"/>
        <v>#ERROR!</v>
      </c>
      <c r="DB946" s="413" t="str">
        <f t="shared" si="4973"/>
        <v>#ERROR!</v>
      </c>
      <c r="DC946" s="413" t="str">
        <f t="shared" si="4973"/>
        <v>#ERROR!</v>
      </c>
      <c r="DD946" s="305" t="str">
        <f t="shared" si="4973"/>
        <v>#ERROR!</v>
      </c>
      <c r="DE946" s="413" t="str">
        <f t="shared" si="4973"/>
        <v>#ERROR!</v>
      </c>
      <c r="DF946" s="413" t="str">
        <f t="shared" si="4973"/>
        <v>#ERROR!</v>
      </c>
      <c r="DG946" s="40" t="str">
        <f t="shared" si="4973"/>
        <v>#ERROR!</v>
      </c>
      <c r="DH946" s="413" t="str">
        <f t="shared" si="4973"/>
        <v>#ERROR!</v>
      </c>
      <c r="DI946" s="305" t="str">
        <f t="shared" si="4973"/>
        <v>#ERROR!</v>
      </c>
      <c r="DJ946" s="416" t="str">
        <f t="shared" si="4973"/>
        <v>#ERROR!</v>
      </c>
      <c r="DK946" s="416" t="str">
        <f t="shared" si="4973"/>
        <v>#ERROR!</v>
      </c>
      <c r="DL946" s="416" t="str">
        <f t="shared" si="4973"/>
        <v>#ERROR!</v>
      </c>
      <c r="DM946" s="413" t="str">
        <f t="shared" si="4973"/>
        <v>#ERROR!</v>
      </c>
      <c r="DN946" s="305" t="str">
        <f t="shared" si="4973"/>
        <v>#ERROR!</v>
      </c>
      <c r="DO946" s="413" t="str">
        <f t="shared" si="4973"/>
        <v>#ERROR!</v>
      </c>
      <c r="DP946" s="413" t="str">
        <f t="shared" si="4973"/>
        <v>#ERROR!</v>
      </c>
      <c r="DQ946" s="413" t="str">
        <f t="shared" si="4973"/>
        <v>#ERROR!</v>
      </c>
      <c r="DR946" s="413" t="str">
        <f t="shared" si="4973"/>
        <v>#ERROR!</v>
      </c>
      <c r="DS946" s="305" t="str">
        <f t="shared" si="4973"/>
        <v>#ERROR!</v>
      </c>
      <c r="DT946" s="413" t="str">
        <f t="shared" si="4973"/>
        <v>#ERROR!</v>
      </c>
      <c r="DU946" s="413" t="str">
        <f t="shared" si="4973"/>
        <v>#ERROR!</v>
      </c>
      <c r="DV946" s="413" t="str">
        <f t="shared" si="4973"/>
        <v>#ERROR!</v>
      </c>
      <c r="DW946" s="413" t="str">
        <f t="shared" si="4973"/>
        <v>#ERROR!</v>
      </c>
      <c r="DX946" s="305" t="str">
        <f t="shared" si="4973"/>
        <v>#ERROR!</v>
      </c>
      <c r="DY946" s="413" t="str">
        <f t="shared" si="4973"/>
        <v>#ERROR!</v>
      </c>
      <c r="DZ946" s="413" t="str">
        <f t="shared" si="4973"/>
        <v>#ERROR!</v>
      </c>
      <c r="EA946" s="413" t="str">
        <f t="shared" si="4973"/>
        <v>#ERROR!</v>
      </c>
      <c r="EB946" s="413" t="str">
        <f t="shared" si="4973"/>
        <v>#ERROR!</v>
      </c>
      <c r="EC946" s="305" t="str">
        <f t="shared" si="4973"/>
        <v>#ERROR!</v>
      </c>
      <c r="ED946" s="413" t="str">
        <f t="shared" si="4973"/>
        <v>#ERROR!</v>
      </c>
      <c r="EE946" s="413" t="str">
        <f t="shared" si="4973"/>
        <v>#ERROR!</v>
      </c>
      <c r="EF946" s="413" t="str">
        <f t="shared" si="4973"/>
        <v>#ERROR!</v>
      </c>
      <c r="EG946" s="413" t="str">
        <f t="shared" si="4973"/>
        <v>#ERROR!</v>
      </c>
      <c r="EH946" s="305" t="str">
        <f t="shared" si="4973"/>
        <v>#ERROR!</v>
      </c>
      <c r="EI946" s="420" t="str">
        <f t="shared" si="4973"/>
        <v>#ERROR!</v>
      </c>
      <c r="EJ946" s="413" t="str">
        <f t="shared" si="4973"/>
        <v>#ERROR!</v>
      </c>
      <c r="EK946" s="413" t="str">
        <f t="shared" si="4973"/>
        <v>#ERROR!</v>
      </c>
      <c r="EL946" s="413" t="str">
        <f t="shared" si="4973"/>
        <v>#ERROR!</v>
      </c>
      <c r="EM946" s="305" t="str">
        <f t="shared" si="4973"/>
        <v>#ERROR!</v>
      </c>
      <c r="EN946" s="413" t="str">
        <f t="shared" si="4973"/>
        <v>#ERROR!</v>
      </c>
      <c r="EO946" s="413" t="str">
        <f t="shared" si="4973"/>
        <v>#ERROR!</v>
      </c>
      <c r="EP946" s="413" t="str">
        <f t="shared" si="4973"/>
        <v>#ERROR!</v>
      </c>
      <c r="EQ946" s="413" t="str">
        <f t="shared" si="4973"/>
        <v>#ERROR!</v>
      </c>
      <c r="ER946" s="305" t="str">
        <f t="shared" si="4973"/>
        <v>#ERROR!</v>
      </c>
      <c r="ES946" s="413" t="str">
        <f t="shared" si="4973"/>
        <v>#ERROR!</v>
      </c>
      <c r="ET946" s="413" t="str">
        <f t="shared" si="4973"/>
        <v>#ERROR!</v>
      </c>
      <c r="EU946" s="413" t="str">
        <f t="shared" si="4973"/>
        <v>#ERROR!</v>
      </c>
      <c r="EV946" s="413" t="str">
        <f t="shared" si="4973"/>
        <v>#ERROR!</v>
      </c>
      <c r="EW946" s="305" t="str">
        <f t="shared" si="4973"/>
        <v>#ERROR!</v>
      </c>
      <c r="EX946" s="413" t="str">
        <f t="shared" si="4973"/>
        <v>#ERROR!</v>
      </c>
      <c r="EY946" s="413" t="str">
        <f t="shared" si="4973"/>
        <v>#ERROR!</v>
      </c>
      <c r="EZ946" s="413" t="str">
        <f t="shared" si="4973"/>
        <v>#ERROR!</v>
      </c>
      <c r="FA946" s="413" t="str">
        <f t="shared" si="4973"/>
        <v>#ERROR!</v>
      </c>
      <c r="FB946" s="305" t="str">
        <f t="shared" si="4973"/>
        <v>#ERROR!</v>
      </c>
      <c r="FC946" s="413" t="str">
        <f t="shared" si="4973"/>
        <v>#ERROR!</v>
      </c>
      <c r="FD946" s="413" t="str">
        <f t="shared" si="4973"/>
        <v>#ERROR!</v>
      </c>
      <c r="FE946" s="413" t="str">
        <f t="shared" si="4973"/>
        <v>#ERROR!</v>
      </c>
      <c r="FF946" s="413" t="str">
        <f t="shared" si="4973"/>
        <v>#ERROR!</v>
      </c>
      <c r="FG946" s="305" t="str">
        <f t="shared" si="4973"/>
        <v>#ERROR!</v>
      </c>
      <c r="FH946" s="680"/>
      <c r="FI946" s="413"/>
      <c r="FJ946" s="413"/>
      <c r="FK946" s="679"/>
      <c r="FL946" s="413"/>
    </row>
    <row r="947" ht="12.75" hidden="1" customHeight="1" outlineLevel="1">
      <c r="A947" s="670"/>
      <c r="B947" s="681" t="str">
        <f>[2]MPU!B59</f>
        <v>#ERROR!</v>
      </c>
      <c r="C947" s="681"/>
      <c r="D947" s="681"/>
      <c r="E947" s="681"/>
      <c r="F947" s="681"/>
      <c r="G947" s="681"/>
      <c r="H947" s="682"/>
      <c r="I947" s="681" t="str">
        <f>[2]MPU!I59</f>
        <v>#ERROR!</v>
      </c>
      <c r="J947" s="681" t="str">
        <f>[2]MPU!J59</f>
        <v>#ERROR!</v>
      </c>
      <c r="K947" s="681" t="str">
        <f>[2]MPU!K59</f>
        <v>#ERROR!</v>
      </c>
      <c r="L947" s="681" t="str">
        <f>[2]MPU!L59</f>
        <v>#ERROR!</v>
      </c>
      <c r="M947" s="682" t="str">
        <f>SUM(I947:L947)</f>
        <v>#ERROR!</v>
      </c>
      <c r="N947" s="681" t="str">
        <f>[2]MPU!N59</f>
        <v>#ERROR!</v>
      </c>
      <c r="O947" s="681" t="str">
        <f>[2]MPU!O59</f>
        <v>#ERROR!</v>
      </c>
      <c r="P947" s="681" t="str">
        <f>[2]MPU!P59</f>
        <v>#ERROR!</v>
      </c>
      <c r="Q947" s="681" t="str">
        <f>[2]MPU!Q59</f>
        <v>#ERROR!</v>
      </c>
      <c r="R947" s="682" t="str">
        <f>SUM(N947:Q947)</f>
        <v>#ERROR!</v>
      </c>
      <c r="S947" s="681" t="str">
        <f>[2]MPU!S59</f>
        <v>#ERROR!</v>
      </c>
      <c r="T947" s="681" t="str">
        <f>[2]MPU!T59</f>
        <v>#ERROR!</v>
      </c>
      <c r="U947" s="681" t="str">
        <f>[2]MPU!U59</f>
        <v>#ERROR!</v>
      </c>
      <c r="V947" s="681" t="str">
        <f>[2]MPU!V59</f>
        <v>#ERROR!</v>
      </c>
      <c r="W947" s="682" t="str">
        <f>SUM(S947:V947)</f>
        <v>#ERROR!</v>
      </c>
      <c r="X947" s="681" t="str">
        <f>[2]MPU!X59</f>
        <v>#ERROR!</v>
      </c>
      <c r="Y947" s="681" t="str">
        <f>[2]MPU!Y59</f>
        <v>#ERROR!</v>
      </c>
      <c r="Z947" s="681" t="str">
        <f>[2]MPU!Z59</f>
        <v>#ERROR!</v>
      </c>
      <c r="AA947" s="681" t="str">
        <f>[2]MPU!AA59</f>
        <v>#ERROR!</v>
      </c>
      <c r="AB947" s="682" t="str">
        <f>SUM(X947:AA947)</f>
        <v>#ERROR!</v>
      </c>
      <c r="AC947" s="681" t="str">
        <f>[2]MPU!AC59</f>
        <v>#ERROR!</v>
      </c>
      <c r="AD947" s="681" t="str">
        <f>[2]MPU!AD59</f>
        <v>#ERROR!</v>
      </c>
      <c r="AE947" s="681" t="str">
        <f>[2]MPU!AE59</f>
        <v>#ERROR!</v>
      </c>
      <c r="AF947" s="681" t="str">
        <f>[2]MPU!AF59</f>
        <v>#ERROR!</v>
      </c>
      <c r="AG947" s="682" t="str">
        <f>SUM(AC947:AF947)</f>
        <v>#ERROR!</v>
      </c>
      <c r="AH947" s="681" t="str">
        <f>[2]MPU!AH59</f>
        <v>#ERROR!</v>
      </c>
      <c r="AI947" s="681" t="str">
        <f>[2]MPU!AI59</f>
        <v>#ERROR!</v>
      </c>
      <c r="AJ947" s="681" t="str">
        <f>[2]MPU!AJ59</f>
        <v>#ERROR!</v>
      </c>
      <c r="AK947" s="681" t="str">
        <f>[2]MPU!AK59</f>
        <v>#ERROR!</v>
      </c>
      <c r="AL947" s="682" t="str">
        <f>SUM(AH947:AK947)</f>
        <v>#ERROR!</v>
      </c>
      <c r="AM947" s="681" t="str">
        <f>[2]MPU!AM59</f>
        <v>#ERROR!</v>
      </c>
      <c r="AN947" s="681" t="str">
        <f>[2]MPU!AN59</f>
        <v>#ERROR!</v>
      </c>
      <c r="AO947" s="681" t="str">
        <f>[2]MPU!AO59</f>
        <v>#ERROR!</v>
      </c>
      <c r="AP947" s="681" t="str">
        <f>[2]MPU!AP59</f>
        <v>#ERROR!</v>
      </c>
      <c r="AQ947" s="682" t="str">
        <f>SUM(AM947:AP947)</f>
        <v>#ERROR!</v>
      </c>
      <c r="AR947" s="681" t="str">
        <f>[2]MPU!AR59</f>
        <v>#ERROR!</v>
      </c>
      <c r="AS947" s="681" t="str">
        <f>[2]MPU!AS59</f>
        <v>#ERROR!</v>
      </c>
      <c r="AT947" s="681" t="str">
        <f>[2]MPU!AT59</f>
        <v>#ERROR!</v>
      </c>
      <c r="AU947" s="681" t="str">
        <f>[2]MPU!AU59</f>
        <v>#ERROR!</v>
      </c>
      <c r="AV947" s="682" t="str">
        <f>SUM(AR947:AU947)</f>
        <v>#ERROR!</v>
      </c>
      <c r="AW947" s="681" t="str">
        <f>[2]MPU!AW59</f>
        <v>#ERROR!</v>
      </c>
      <c r="AX947" s="681" t="str">
        <f>[2]MPU!AX59</f>
        <v>#ERROR!</v>
      </c>
      <c r="AY947" s="681" t="str">
        <f>[2]MPU!AY59</f>
        <v>#ERROR!</v>
      </c>
      <c r="AZ947" s="681" t="str">
        <f>[2]MPU!AZ59</f>
        <v>#ERROR!</v>
      </c>
      <c r="BA947" s="682" t="str">
        <f>SUM(AW947:AZ947)</f>
        <v>#ERROR!</v>
      </c>
      <c r="BB947" s="681" t="str">
        <f>[2]MPU!BB59</f>
        <v>#ERROR!</v>
      </c>
      <c r="BC947" s="681" t="str">
        <f>[2]MPU!BC59</f>
        <v>#ERROR!</v>
      </c>
      <c r="BD947" s="681" t="str">
        <f>[2]MPU!BD59</f>
        <v>#ERROR!</v>
      </c>
      <c r="BE947" s="681" t="str">
        <f>[2]MPU!BE59</f>
        <v>#ERROR!</v>
      </c>
      <c r="BF947" s="682" t="str">
        <f>SUM(BB947:BE947)</f>
        <v>#ERROR!</v>
      </c>
      <c r="BG947" s="681" t="str">
        <f>[2]MPU!BG59</f>
        <v>#ERROR!</v>
      </c>
      <c r="BH947" s="681" t="str">
        <f>[2]MPU!BH59</f>
        <v>#ERROR!</v>
      </c>
      <c r="BI947" s="681" t="str">
        <f>[2]MPU!BI59</f>
        <v>#ERROR!</v>
      </c>
      <c r="BJ947" s="681" t="str">
        <f>[2]MPU!BJ59</f>
        <v>#ERROR!</v>
      </c>
      <c r="BK947" s="682" t="str">
        <f>SUM(BG947:BJ947)</f>
        <v>#ERROR!</v>
      </c>
      <c r="BL947" s="681" t="str">
        <f>[2]MPU!BL59</f>
        <v>#ERROR!</v>
      </c>
      <c r="BM947" s="681" t="str">
        <f>[2]MPU!BM59</f>
        <v>#ERROR!</v>
      </c>
      <c r="BN947" s="681" t="str">
        <f>[2]MPU!BN59</f>
        <v>#ERROR!</v>
      </c>
      <c r="BO947" s="681" t="str">
        <f>[2]MPU!BO59</f>
        <v>#ERROR!</v>
      </c>
      <c r="BP947" s="682" t="str">
        <f>SUM(BL947:BO947)</f>
        <v>#ERROR!</v>
      </c>
      <c r="BQ947" s="681" t="str">
        <f>[2]MPU!BQ59</f>
        <v>#ERROR!</v>
      </c>
      <c r="BR947" s="681" t="str">
        <f>[2]MPU!BR59</f>
        <v>#ERROR!</v>
      </c>
      <c r="BS947" s="681" t="str">
        <f>[2]MPU!BS59</f>
        <v>#ERROR!</v>
      </c>
      <c r="BT947" s="681" t="str">
        <f>[2]MPU!BT59</f>
        <v>#ERROR!</v>
      </c>
      <c r="BU947" s="682" t="str">
        <f>SUM(BQ947:BT947)</f>
        <v>#ERROR!</v>
      </c>
      <c r="BV947" s="681" t="str">
        <f>[2]MPU!BV59</f>
        <v>#ERROR!</v>
      </c>
      <c r="BW947" s="681" t="str">
        <f>[2]MPU!BW59</f>
        <v>#ERROR!</v>
      </c>
      <c r="BX947" s="681" t="str">
        <f>[2]MPU!BX59</f>
        <v>#ERROR!</v>
      </c>
      <c r="BY947" s="681" t="str">
        <f>[2]MPU!BY59</f>
        <v>#ERROR!</v>
      </c>
      <c r="BZ947" s="683" t="str">
        <f>SUM(BV947:BY947)</f>
        <v>#ERROR!</v>
      </c>
      <c r="CA947" s="681" t="str">
        <f>[2]MPU!CA59</f>
        <v>#ERROR!</v>
      </c>
      <c r="CB947" s="681" t="str">
        <f>[2]MPU!CB59</f>
        <v>#ERROR!</v>
      </c>
      <c r="CC947" s="681" t="str">
        <f>[2]MPU!CC59</f>
        <v>#ERROR!</v>
      </c>
      <c r="CD947" s="681" t="str">
        <f>[2]MPU!CD59</f>
        <v>#ERROR!</v>
      </c>
      <c r="CE947" s="683" t="str">
        <f>SUM(CA947:CD947)</f>
        <v>#ERROR!</v>
      </c>
      <c r="CF947" s="681" t="str">
        <f>[2]MPU!CF59</f>
        <v>#ERROR!</v>
      </c>
      <c r="CG947" s="681" t="str">
        <f>[2]MPU!CG59</f>
        <v>#ERROR!</v>
      </c>
      <c r="CH947" s="681" t="str">
        <f>[2]MPU!CH59</f>
        <v>#ERROR!</v>
      </c>
      <c r="CI947" s="681" t="str">
        <f>[2]MPU!CI59</f>
        <v>#ERROR!</v>
      </c>
      <c r="CJ947" s="683" t="str">
        <f>SUM(CF947:CI947)</f>
        <v>#ERROR!</v>
      </c>
      <c r="CK947" s="681" t="str">
        <f>[2]MPU!CK59</f>
        <v>#ERROR!</v>
      </c>
      <c r="CL947" s="681" t="str">
        <f>[2]MPU!CL59</f>
        <v>#ERROR!</v>
      </c>
      <c r="CM947" s="681" t="str">
        <f>[2]MPU!CM59</f>
        <v>#ERROR!</v>
      </c>
      <c r="CN947" s="684" t="str">
        <f>[2]MPU!CN59</f>
        <v>#ERROR!</v>
      </c>
      <c r="CO947" s="683" t="str">
        <f>SUM(CK947:CN947)</f>
        <v>#ERROR!</v>
      </c>
      <c r="CP947" s="684" t="str">
        <f>[2]MPU!CP59</f>
        <v>#ERROR!</v>
      </c>
      <c r="CQ947" s="681" t="str">
        <f>[2]MPU!CQ59</f>
        <v>#ERROR!</v>
      </c>
      <c r="CR947" s="681" t="str">
        <f>[2]MPU!CR59</f>
        <v>#ERROR!</v>
      </c>
      <c r="CS947" s="681" t="str">
        <f>[2]MPU!CS59</f>
        <v>#ERROR!</v>
      </c>
      <c r="CT947" s="683" t="str">
        <f>SUM(CP947:CS947)</f>
        <v>#ERROR!</v>
      </c>
      <c r="CU947" s="681" t="str">
        <f>[2]MPU!CU59</f>
        <v>#ERROR!</v>
      </c>
      <c r="CV947" s="681" t="str">
        <f>[2]MPU!CV59</f>
        <v>#ERROR!</v>
      </c>
      <c r="CW947" s="681" t="str">
        <f>[2]MPU!CW59</f>
        <v>#ERROR!</v>
      </c>
      <c r="CX947" s="681" t="str">
        <f>[2]MPU!CX59</f>
        <v>#ERROR!</v>
      </c>
      <c r="CY947" s="683" t="str">
        <f>SUM(CU947:CX947)</f>
        <v>#ERROR!</v>
      </c>
      <c r="CZ947" s="681" t="str">
        <f>[2]MPU!CZ59</f>
        <v>#ERROR!</v>
      </c>
      <c r="DA947" s="681" t="str">
        <f>[2]MPU!DA59</f>
        <v>#ERROR!</v>
      </c>
      <c r="DB947" s="681" t="str">
        <f>[2]MPU!DB59</f>
        <v>#ERROR!</v>
      </c>
      <c r="DC947" s="681" t="str">
        <f>[2]MPU!DC59</f>
        <v>#ERROR!</v>
      </c>
      <c r="DD947" s="683" t="str">
        <f>SUM(CZ947:DC947)</f>
        <v>#ERROR!</v>
      </c>
      <c r="DE947" s="681" t="str">
        <f>[2]MPU!DE59</f>
        <v>#ERROR!</v>
      </c>
      <c r="DF947" s="681" t="str">
        <f>[2]MPU!DF59</f>
        <v>#ERROR!</v>
      </c>
      <c r="DG947" s="19" t="str">
        <f>[2]MPU!DG59</f>
        <v>#ERROR!</v>
      </c>
      <c r="DH947" s="681" t="str">
        <f>[2]MPU!DH59</f>
        <v>#ERROR!</v>
      </c>
      <c r="DI947" s="683" t="str">
        <f>SUM(DE947:DH947)</f>
        <v>#ERROR!</v>
      </c>
      <c r="DJ947" s="684" t="str">
        <f>[2]MPU!DJ59</f>
        <v>#ERROR!</v>
      </c>
      <c r="DK947" s="684" t="str">
        <f>[2]MPU!DK59</f>
        <v>#ERROR!</v>
      </c>
      <c r="DL947" s="684" t="str">
        <f>[2]MPU!DL59</f>
        <v>#ERROR!</v>
      </c>
      <c r="DM947" s="681" t="str">
        <f>[2]MPU!DM59</f>
        <v>#ERROR!</v>
      </c>
      <c r="DN947" s="683" t="str">
        <f>SUM(DJ947:DM947)</f>
        <v>#ERROR!</v>
      </c>
      <c r="DO947" s="681" t="str">
        <f>[2]MPU!DT59</f>
        <v>#ERROR!</v>
      </c>
      <c r="DP947" s="681" t="str">
        <f>[2]MPU!DU59</f>
        <v>#ERROR!</v>
      </c>
      <c r="DQ947" s="681" t="str">
        <f>[2]MPU!DV59</f>
        <v>#ERROR!</v>
      </c>
      <c r="DR947" s="681" t="str">
        <f>[2]MPU!DW59</f>
        <v>#ERROR!</v>
      </c>
      <c r="DS947" s="683" t="str">
        <f>SUM(DO947:DR947)</f>
        <v>#ERROR!</v>
      </c>
      <c r="DT947" s="681" t="str">
        <f>[2]MPU!DY59</f>
        <v>#ERROR!</v>
      </c>
      <c r="DU947" s="681" t="str">
        <f>[2]MPU!DZ59</f>
        <v>#ERROR!</v>
      </c>
      <c r="DV947" s="681" t="str">
        <f>[2]MPU!EA59</f>
        <v>#ERROR!</v>
      </c>
      <c r="DW947" s="681" t="str">
        <f>[2]MPU!EB59</f>
        <v>#ERROR!</v>
      </c>
      <c r="DX947" s="683" t="str">
        <f>SUM(DT947:DW947)</f>
        <v>#ERROR!</v>
      </c>
      <c r="DY947" s="681" t="str">
        <f>[2]MPU!ED59</f>
        <v>#ERROR!</v>
      </c>
      <c r="DZ947" s="681" t="str">
        <f>[2]MPU!EE59</f>
        <v>#ERROR!</v>
      </c>
      <c r="EA947" s="681" t="str">
        <f>[2]MPU!EF59</f>
        <v>#ERROR!</v>
      </c>
      <c r="EB947" s="681" t="str">
        <f>[2]MPU!EG59</f>
        <v>#ERROR!</v>
      </c>
      <c r="EC947" s="683" t="str">
        <f>SUM(DY947:EB947)</f>
        <v>#ERROR!</v>
      </c>
      <c r="ED947" s="681" t="str">
        <f>[2]MPU!EI59</f>
        <v>#ERROR!</v>
      </c>
      <c r="EE947" s="681" t="str">
        <f>[2]MPU!EJ59</f>
        <v>#ERROR!</v>
      </c>
      <c r="EF947" s="681" t="str">
        <f>[2]MPU!#REF!</f>
        <v>#ERROR!</v>
      </c>
      <c r="EG947" s="681" t="str">
        <f>[2]MPU!#REF!</f>
        <v>#ERROR!</v>
      </c>
      <c r="EH947" s="683" t="str">
        <f>SUM(ED947:EG947)</f>
        <v>#ERROR!</v>
      </c>
      <c r="EI947" s="685" t="str">
        <f>[2]MPU!#REF!</f>
        <v>#ERROR!</v>
      </c>
      <c r="EJ947" s="681" t="str">
        <f>[2]MPU!#REF!</f>
        <v>#ERROR!</v>
      </c>
      <c r="EK947" s="681" t="str">
        <f>[2]MPU!#REF!</f>
        <v>#ERROR!</v>
      </c>
      <c r="EL947" s="681" t="str">
        <f>[2]MPU!#REF!</f>
        <v>#ERROR!</v>
      </c>
      <c r="EM947" s="683" t="str">
        <f>SUM(EI947:EL947)</f>
        <v>#ERROR!</v>
      </c>
      <c r="EN947" s="681" t="str">
        <f>[2]MPU!#REF!</f>
        <v>#ERROR!</v>
      </c>
      <c r="EO947" s="681" t="str">
        <f>[2]MPU!#REF!</f>
        <v>#ERROR!</v>
      </c>
      <c r="EP947" s="681" t="str">
        <f>[2]MPU!#REF!</f>
        <v>#ERROR!</v>
      </c>
      <c r="EQ947" s="681" t="str">
        <f>[2]MPU!#REF!</f>
        <v>#ERROR!</v>
      </c>
      <c r="ER947" s="683" t="str">
        <f>SUM(EN947:EQ947)</f>
        <v>#ERROR!</v>
      </c>
      <c r="ES947" s="681" t="str">
        <f>[2]MPU!#REF!</f>
        <v>#ERROR!</v>
      </c>
      <c r="ET947" s="681" t="str">
        <f>[2]MPU!#REF!</f>
        <v>#ERROR!</v>
      </c>
      <c r="EU947" s="681" t="str">
        <f>[2]MPU!#REF!</f>
        <v>#ERROR!</v>
      </c>
      <c r="EV947" s="681" t="str">
        <f>[2]MPU!#REF!</f>
        <v>#ERROR!</v>
      </c>
      <c r="EW947" s="683" t="str">
        <f>SUM(ES947:EV947)</f>
        <v>#ERROR!</v>
      </c>
      <c r="EX947" s="681" t="str">
        <f>[2]MPU!#REF!</f>
        <v>#ERROR!</v>
      </c>
      <c r="EY947" s="681" t="str">
        <f>[2]MPU!#REF!</f>
        <v>#ERROR!</v>
      </c>
      <c r="EZ947" s="681" t="str">
        <f>[2]MPU!#REF!</f>
        <v>#ERROR!</v>
      </c>
      <c r="FA947" s="681" t="str">
        <f>[2]MPU!#REF!</f>
        <v>#ERROR!</v>
      </c>
      <c r="FB947" s="683" t="str">
        <f>SUM(EX947:FA947)</f>
        <v>#ERROR!</v>
      </c>
      <c r="FC947" s="681" t="str">
        <f>[2]MPU!#REF!</f>
        <v>#ERROR!</v>
      </c>
      <c r="FD947" s="681" t="str">
        <f>[2]MPU!#REF!</f>
        <v>#ERROR!</v>
      </c>
      <c r="FE947" s="681" t="str">
        <f>[2]MPU!#REF!</f>
        <v>#ERROR!</v>
      </c>
      <c r="FF947" s="681" t="str">
        <f>[2]MPU!#REF!</f>
        <v>#ERROR!</v>
      </c>
      <c r="FG947" s="683" t="str">
        <f>SUM(FC947:FF947)</f>
        <v>#ERROR!</v>
      </c>
      <c r="FH947" s="686"/>
      <c r="FI947" s="681"/>
      <c r="FJ947" s="681"/>
      <c r="FK947" s="682"/>
      <c r="FL947" s="681"/>
    </row>
    <row r="948" ht="12.75" hidden="1" customHeight="1" outlineLevel="1">
      <c r="A948" s="17"/>
      <c r="B948" s="17" t="s">
        <v>345</v>
      </c>
      <c r="C948" s="17"/>
      <c r="D948" s="15"/>
      <c r="E948" s="15"/>
      <c r="F948" s="15"/>
      <c r="G948" s="15"/>
      <c r="H948" s="410"/>
      <c r="I948" s="15"/>
      <c r="J948" s="15" t="str">
        <f t="shared" ref="J948:L948" si="4974">J947/I947-1</f>
        <v>#ERROR!</v>
      </c>
      <c r="K948" s="15" t="str">
        <f t="shared" si="4974"/>
        <v>#ERROR!</v>
      </c>
      <c r="L948" s="15" t="str">
        <f t="shared" si="4974"/>
        <v>#ERROR!</v>
      </c>
      <c r="M948" s="410"/>
      <c r="N948" s="15"/>
      <c r="O948" s="15" t="str">
        <f t="shared" ref="O948:Q948" si="4975">O947/N947-1</f>
        <v>#ERROR!</v>
      </c>
      <c r="P948" s="15" t="str">
        <f t="shared" si="4975"/>
        <v>#ERROR!</v>
      </c>
      <c r="Q948" s="15" t="str">
        <f t="shared" si="4975"/>
        <v>#ERROR!</v>
      </c>
      <c r="R948" s="410"/>
      <c r="S948" s="15"/>
      <c r="T948" s="15" t="str">
        <f t="shared" ref="T948:V948" si="4976">T947/S947-1</f>
        <v>#ERROR!</v>
      </c>
      <c r="U948" s="15" t="str">
        <f t="shared" si="4976"/>
        <v>#ERROR!</v>
      </c>
      <c r="V948" s="15" t="str">
        <f t="shared" si="4976"/>
        <v>#ERROR!</v>
      </c>
      <c r="W948" s="410"/>
      <c r="X948" s="15"/>
      <c r="Y948" s="15" t="str">
        <f t="shared" ref="Y948:AA948" si="4977">Y947/X947-1</f>
        <v>#ERROR!</v>
      </c>
      <c r="Z948" s="15" t="str">
        <f t="shared" si="4977"/>
        <v>#ERROR!</v>
      </c>
      <c r="AA948" s="15" t="str">
        <f t="shared" si="4977"/>
        <v>#ERROR!</v>
      </c>
      <c r="AB948" s="410"/>
      <c r="AC948" s="15" t="str">
        <f>AC947/AA947-1</f>
        <v>#ERROR!</v>
      </c>
      <c r="AD948" s="15" t="str">
        <f t="shared" ref="AD948:AF948" si="4978">AD947/AC947-1</f>
        <v>#ERROR!</v>
      </c>
      <c r="AE948" s="15" t="str">
        <f t="shared" si="4978"/>
        <v>#ERROR!</v>
      </c>
      <c r="AF948" s="15" t="str">
        <f t="shared" si="4978"/>
        <v>#ERROR!</v>
      </c>
      <c r="AG948" s="410"/>
      <c r="AH948" s="15" t="str">
        <f>AH947/AF947-1</f>
        <v>#ERROR!</v>
      </c>
      <c r="AI948" s="15" t="str">
        <f t="shared" ref="AI948:AK948" si="4979">AI947/AH947-1</f>
        <v>#ERROR!</v>
      </c>
      <c r="AJ948" s="15" t="str">
        <f t="shared" si="4979"/>
        <v>#ERROR!</v>
      </c>
      <c r="AK948" s="15" t="str">
        <f t="shared" si="4979"/>
        <v>#ERROR!</v>
      </c>
      <c r="AL948" s="410"/>
      <c r="AM948" s="15" t="str">
        <f>AM947/AK947-1</f>
        <v>#ERROR!</v>
      </c>
      <c r="AN948" s="15" t="str">
        <f t="shared" ref="AN948:AP948" si="4980">AN947/AM947-1</f>
        <v>#ERROR!</v>
      </c>
      <c r="AO948" s="15" t="str">
        <f t="shared" si="4980"/>
        <v>#ERROR!</v>
      </c>
      <c r="AP948" s="15" t="str">
        <f t="shared" si="4980"/>
        <v>#ERROR!</v>
      </c>
      <c r="AQ948" s="410"/>
      <c r="AR948" s="15" t="str">
        <f>AR947/AP947-1</f>
        <v>#ERROR!</v>
      </c>
      <c r="AS948" s="15" t="str">
        <f t="shared" ref="AS948:AU948" si="4981">AS947/AR947-1</f>
        <v>#ERROR!</v>
      </c>
      <c r="AT948" s="15" t="str">
        <f t="shared" si="4981"/>
        <v>#ERROR!</v>
      </c>
      <c r="AU948" s="15" t="str">
        <f t="shared" si="4981"/>
        <v>#ERROR!</v>
      </c>
      <c r="AV948" s="410"/>
      <c r="AW948" s="15" t="str">
        <f>AW947/AU947-1</f>
        <v>#ERROR!</v>
      </c>
      <c r="AX948" s="15" t="str">
        <f t="shared" ref="AX948:AZ948" si="4982">AX947/AW947-1</f>
        <v>#ERROR!</v>
      </c>
      <c r="AY948" s="15" t="str">
        <f t="shared" si="4982"/>
        <v>#ERROR!</v>
      </c>
      <c r="AZ948" s="15" t="str">
        <f t="shared" si="4982"/>
        <v>#ERROR!</v>
      </c>
      <c r="BA948" s="410"/>
      <c r="BB948" s="15" t="str">
        <f>BB947/AZ947-1</f>
        <v>#ERROR!</v>
      </c>
      <c r="BC948" s="15" t="str">
        <f t="shared" ref="BC948:BE948" si="4983">BC947/BB947-1</f>
        <v>#ERROR!</v>
      </c>
      <c r="BD948" s="15" t="str">
        <f t="shared" si="4983"/>
        <v>#ERROR!</v>
      </c>
      <c r="BE948" s="15" t="str">
        <f t="shared" si="4983"/>
        <v>#ERROR!</v>
      </c>
      <c r="BF948" s="410"/>
      <c r="BG948" s="15" t="str">
        <f>BG947/BE947-1</f>
        <v>#ERROR!</v>
      </c>
      <c r="BH948" s="15" t="str">
        <f t="shared" ref="BH948:BJ948" si="4984">BH947/BG947-1</f>
        <v>#ERROR!</v>
      </c>
      <c r="BI948" s="15" t="str">
        <f t="shared" si="4984"/>
        <v>#ERROR!</v>
      </c>
      <c r="BJ948" s="15" t="str">
        <f t="shared" si="4984"/>
        <v>#ERROR!</v>
      </c>
      <c r="BK948" s="410"/>
      <c r="BL948" s="15" t="str">
        <f>BL947/BJ947-1</f>
        <v>#ERROR!</v>
      </c>
      <c r="BM948" s="15" t="str">
        <f t="shared" ref="BM948:BO948" si="4985">BM947/BL947-1</f>
        <v>#ERROR!</v>
      </c>
      <c r="BN948" s="15" t="str">
        <f t="shared" si="4985"/>
        <v>#ERROR!</v>
      </c>
      <c r="BO948" s="15" t="str">
        <f t="shared" si="4985"/>
        <v>#ERROR!</v>
      </c>
      <c r="BP948" s="410"/>
      <c r="BQ948" s="15" t="str">
        <f>BQ947/BO947-1</f>
        <v>#ERROR!</v>
      </c>
      <c r="BR948" s="15" t="str">
        <f t="shared" ref="BR948:BT948" si="4986">BR947/BQ947-1</f>
        <v>#ERROR!</v>
      </c>
      <c r="BS948" s="15" t="str">
        <f t="shared" si="4986"/>
        <v>#ERROR!</v>
      </c>
      <c r="BT948" s="15" t="str">
        <f t="shared" si="4986"/>
        <v>#ERROR!</v>
      </c>
      <c r="BU948" s="410"/>
      <c r="BV948" s="15" t="str">
        <f>BV947/BT947-1</f>
        <v>#ERROR!</v>
      </c>
      <c r="BW948" s="15" t="str">
        <f t="shared" ref="BW948:BY948" si="4987">BW947/BV947-1</f>
        <v>#ERROR!</v>
      </c>
      <c r="BX948" s="15" t="str">
        <f t="shared" si="4987"/>
        <v>#ERROR!</v>
      </c>
      <c r="BY948" s="15" t="str">
        <f t="shared" si="4987"/>
        <v>#ERROR!</v>
      </c>
      <c r="BZ948" s="24"/>
      <c r="CA948" s="15" t="str">
        <f>CA947/BY947-1</f>
        <v>#ERROR!</v>
      </c>
      <c r="CB948" s="15" t="str">
        <f t="shared" ref="CB948:CD948" si="4988">CB947/CA947-1</f>
        <v>#ERROR!</v>
      </c>
      <c r="CC948" s="15" t="str">
        <f t="shared" si="4988"/>
        <v>#ERROR!</v>
      </c>
      <c r="CD948" s="15" t="str">
        <f t="shared" si="4988"/>
        <v>#ERROR!</v>
      </c>
      <c r="CE948" s="24"/>
      <c r="CF948" s="15" t="str">
        <f>CF947/CD947-1</f>
        <v>#ERROR!</v>
      </c>
      <c r="CG948" s="15" t="str">
        <f t="shared" ref="CG948:CI948" si="4989">CG947/CF947-1</f>
        <v>#ERROR!</v>
      </c>
      <c r="CH948" s="15" t="str">
        <f t="shared" si="4989"/>
        <v>#ERROR!</v>
      </c>
      <c r="CI948" s="15" t="str">
        <f t="shared" si="4989"/>
        <v>#ERROR!</v>
      </c>
      <c r="CJ948" s="24"/>
      <c r="CK948" s="15" t="str">
        <f>CK947/CI947-1</f>
        <v>#ERROR!</v>
      </c>
      <c r="CL948" s="15" t="str">
        <f t="shared" ref="CL948:CN948" si="4990">CL947/CK947-1</f>
        <v>#ERROR!</v>
      </c>
      <c r="CM948" s="15" t="str">
        <f t="shared" si="4990"/>
        <v>#ERROR!</v>
      </c>
      <c r="CN948" s="40" t="str">
        <f t="shared" si="4990"/>
        <v>#ERROR!</v>
      </c>
      <c r="CO948" s="24"/>
      <c r="CP948" s="40" t="str">
        <f>CP947/CN947-1</f>
        <v>#ERROR!</v>
      </c>
      <c r="CQ948" s="15" t="str">
        <f t="shared" ref="CQ948:CS948" si="4991">CQ947/CP947-1</f>
        <v>#ERROR!</v>
      </c>
      <c r="CR948" s="15" t="str">
        <f t="shared" si="4991"/>
        <v>#ERROR!</v>
      </c>
      <c r="CS948" s="15" t="str">
        <f t="shared" si="4991"/>
        <v>#ERROR!</v>
      </c>
      <c r="CT948" s="24"/>
      <c r="CU948" s="15" t="str">
        <f>CU947/CS947-1</f>
        <v>#ERROR!</v>
      </c>
      <c r="CV948" s="15" t="str">
        <f t="shared" ref="CV948:CX948" si="4992">CV947/CU947-1</f>
        <v>#ERROR!</v>
      </c>
      <c r="CW948" s="15" t="str">
        <f t="shared" si="4992"/>
        <v>#ERROR!</v>
      </c>
      <c r="CX948" s="15" t="str">
        <f t="shared" si="4992"/>
        <v>#ERROR!</v>
      </c>
      <c r="CY948" s="24"/>
      <c r="CZ948" s="15" t="str">
        <f>CZ947/CX947-1</f>
        <v>#ERROR!</v>
      </c>
      <c r="DA948" s="15" t="str">
        <f t="shared" ref="DA948:DC948" si="4993">DA947/CZ947-1</f>
        <v>#ERROR!</v>
      </c>
      <c r="DB948" s="15" t="str">
        <f t="shared" si="4993"/>
        <v>#ERROR!</v>
      </c>
      <c r="DC948" s="15" t="str">
        <f t="shared" si="4993"/>
        <v>#ERROR!</v>
      </c>
      <c r="DD948" s="24"/>
      <c r="DE948" s="15" t="str">
        <f>DE947/DC947-1</f>
        <v>#ERROR!</v>
      </c>
      <c r="DF948" s="15" t="str">
        <f t="shared" ref="DF948:DH948" si="4994">DF947/DE947-1</f>
        <v>#ERROR!</v>
      </c>
      <c r="DG948" s="40" t="str">
        <f t="shared" si="4994"/>
        <v>#ERROR!</v>
      </c>
      <c r="DH948" s="15" t="str">
        <f t="shared" si="4994"/>
        <v>#ERROR!</v>
      </c>
      <c r="DI948" s="24"/>
      <c r="DJ948" s="40" t="str">
        <f>DJ947/DH947-1</f>
        <v>#ERROR!</v>
      </c>
      <c r="DK948" s="40" t="str">
        <f t="shared" ref="DK948:DM948" si="4995">DK947/DJ947-1</f>
        <v>#ERROR!</v>
      </c>
      <c r="DL948" s="40" t="str">
        <f t="shared" si="4995"/>
        <v>#ERROR!</v>
      </c>
      <c r="DM948" s="15" t="str">
        <f t="shared" si="4995"/>
        <v>#ERROR!</v>
      </c>
      <c r="DN948" s="24"/>
      <c r="DO948" s="15" t="str">
        <f>DO947/DM947-1</f>
        <v>#ERROR!</v>
      </c>
      <c r="DP948" s="15" t="str">
        <f t="shared" ref="DP948:DR948" si="4996">DP947/DO947-1</f>
        <v>#ERROR!</v>
      </c>
      <c r="DQ948" s="15" t="str">
        <f t="shared" si="4996"/>
        <v>#ERROR!</v>
      </c>
      <c r="DR948" s="15" t="str">
        <f t="shared" si="4996"/>
        <v>#ERROR!</v>
      </c>
      <c r="DS948" s="24"/>
      <c r="DT948" s="15" t="str">
        <f>DT947/DR947-1</f>
        <v>#ERROR!</v>
      </c>
      <c r="DU948" s="15" t="str">
        <f t="shared" ref="DU948:DW948" si="4997">DU947/DT947-1</f>
        <v>#ERROR!</v>
      </c>
      <c r="DV948" s="15" t="str">
        <f t="shared" si="4997"/>
        <v>#ERROR!</v>
      </c>
      <c r="DW948" s="15" t="str">
        <f t="shared" si="4997"/>
        <v>#ERROR!</v>
      </c>
      <c r="DX948" s="24"/>
      <c r="DY948" s="15" t="str">
        <f>DY947/DW947-1</f>
        <v>#ERROR!</v>
      </c>
      <c r="DZ948" s="15" t="str">
        <f t="shared" ref="DZ948:EB948" si="4998">DZ947/DY947-1</f>
        <v>#ERROR!</v>
      </c>
      <c r="EA948" s="15" t="str">
        <f t="shared" si="4998"/>
        <v>#ERROR!</v>
      </c>
      <c r="EB948" s="15" t="str">
        <f t="shared" si="4998"/>
        <v>#ERROR!</v>
      </c>
      <c r="EC948" s="24"/>
      <c r="ED948" s="15" t="str">
        <f>ED947/EB947-1</f>
        <v>#ERROR!</v>
      </c>
      <c r="EE948" s="15" t="str">
        <f t="shared" ref="EE948:EG948" si="4999">EE947/ED947-1</f>
        <v>#ERROR!</v>
      </c>
      <c r="EF948" s="15" t="str">
        <f t="shared" si="4999"/>
        <v>#ERROR!</v>
      </c>
      <c r="EG948" s="15" t="str">
        <f t="shared" si="4999"/>
        <v>#ERROR!</v>
      </c>
      <c r="EH948" s="24"/>
      <c r="EI948" s="82" t="str">
        <f>EI947/EG947-1</f>
        <v>#ERROR!</v>
      </c>
      <c r="EJ948" s="15" t="str">
        <f t="shared" ref="EJ948:EL948" si="5000">EJ947/EI947-1</f>
        <v>#ERROR!</v>
      </c>
      <c r="EK948" s="15" t="str">
        <f t="shared" si="5000"/>
        <v>#ERROR!</v>
      </c>
      <c r="EL948" s="15" t="str">
        <f t="shared" si="5000"/>
        <v>#ERROR!</v>
      </c>
      <c r="EM948" s="24"/>
      <c r="EN948" s="15" t="str">
        <f>EN947/EL947-1</f>
        <v>#ERROR!</v>
      </c>
      <c r="EO948" s="15" t="str">
        <f t="shared" ref="EO948:EQ948" si="5001">EO947/EN947-1</f>
        <v>#ERROR!</v>
      </c>
      <c r="EP948" s="15" t="str">
        <f t="shared" si="5001"/>
        <v>#ERROR!</v>
      </c>
      <c r="EQ948" s="15" t="str">
        <f t="shared" si="5001"/>
        <v>#ERROR!</v>
      </c>
      <c r="ER948" s="24"/>
      <c r="ES948" s="15" t="str">
        <f>ES947/EQ947-1</f>
        <v>#ERROR!</v>
      </c>
      <c r="ET948" s="15" t="str">
        <f t="shared" ref="ET948:EV948" si="5002">ET947/ES947-1</f>
        <v>#ERROR!</v>
      </c>
      <c r="EU948" s="15" t="str">
        <f t="shared" si="5002"/>
        <v>#ERROR!</v>
      </c>
      <c r="EV948" s="15" t="str">
        <f t="shared" si="5002"/>
        <v>#ERROR!</v>
      </c>
      <c r="EW948" s="24"/>
      <c r="EX948" s="15" t="str">
        <f>EX947/EV947-1</f>
        <v>#ERROR!</v>
      </c>
      <c r="EY948" s="15" t="str">
        <f t="shared" ref="EY948:FA948" si="5003">EY947/EX947-1</f>
        <v>#ERROR!</v>
      </c>
      <c r="EZ948" s="15" t="str">
        <f t="shared" si="5003"/>
        <v>#ERROR!</v>
      </c>
      <c r="FA948" s="15" t="str">
        <f t="shared" si="5003"/>
        <v>#ERROR!</v>
      </c>
      <c r="FB948" s="24"/>
      <c r="FC948" s="15" t="str">
        <f>FC947/FA947-1</f>
        <v>#ERROR!</v>
      </c>
      <c r="FD948" s="15" t="str">
        <f t="shared" ref="FD948:FF948" si="5004">FD947/FC947-1</f>
        <v>#ERROR!</v>
      </c>
      <c r="FE948" s="15" t="str">
        <f t="shared" si="5004"/>
        <v>#ERROR!</v>
      </c>
      <c r="FF948" s="15" t="str">
        <f t="shared" si="5004"/>
        <v>#ERROR!</v>
      </c>
      <c r="FG948" s="24"/>
      <c r="FH948" s="104"/>
      <c r="FI948" s="15"/>
      <c r="FJ948" s="15"/>
      <c r="FK948" s="410"/>
      <c r="FL948" s="15"/>
    </row>
    <row r="949" ht="12.75" hidden="1" customHeight="1" outlineLevel="1">
      <c r="A949" s="17"/>
      <c r="B949" s="75" t="s">
        <v>346</v>
      </c>
      <c r="C949" s="75"/>
      <c r="D949" s="687"/>
      <c r="E949" s="687"/>
      <c r="F949" s="687"/>
      <c r="G949" s="687"/>
      <c r="H949" s="688"/>
      <c r="I949" s="687"/>
      <c r="J949" s="687"/>
      <c r="K949" s="687"/>
      <c r="L949" s="687"/>
      <c r="M949" s="688"/>
      <c r="N949" s="687"/>
      <c r="O949" s="687"/>
      <c r="P949" s="687"/>
      <c r="Q949" s="687"/>
      <c r="R949" s="688"/>
      <c r="S949" s="687"/>
      <c r="T949" s="687"/>
      <c r="U949" s="687"/>
      <c r="V949" s="687"/>
      <c r="W949" s="688"/>
      <c r="X949" s="687"/>
      <c r="Y949" s="687"/>
      <c r="Z949" s="687"/>
      <c r="AA949" s="687"/>
      <c r="AB949" s="688"/>
      <c r="AC949" s="687" t="str">
        <f t="shared" ref="AC949:FG949" si="5005">AC947/X947-1</f>
        <v>#ERROR!</v>
      </c>
      <c r="AD949" s="687" t="str">
        <f t="shared" si="5005"/>
        <v>#ERROR!</v>
      </c>
      <c r="AE949" s="687" t="str">
        <f t="shared" si="5005"/>
        <v>#ERROR!</v>
      </c>
      <c r="AF949" s="687" t="str">
        <f t="shared" si="5005"/>
        <v>#ERROR!</v>
      </c>
      <c r="AG949" s="688" t="str">
        <f t="shared" si="5005"/>
        <v>#ERROR!</v>
      </c>
      <c r="AH949" s="687" t="str">
        <f t="shared" si="5005"/>
        <v>#ERROR!</v>
      </c>
      <c r="AI949" s="687" t="str">
        <f t="shared" si="5005"/>
        <v>#ERROR!</v>
      </c>
      <c r="AJ949" s="687" t="str">
        <f t="shared" si="5005"/>
        <v>#ERROR!</v>
      </c>
      <c r="AK949" s="687" t="str">
        <f t="shared" si="5005"/>
        <v>#ERROR!</v>
      </c>
      <c r="AL949" s="688" t="str">
        <f t="shared" si="5005"/>
        <v>#ERROR!</v>
      </c>
      <c r="AM949" s="687" t="str">
        <f t="shared" si="5005"/>
        <v>#ERROR!</v>
      </c>
      <c r="AN949" s="687" t="str">
        <f t="shared" si="5005"/>
        <v>#ERROR!</v>
      </c>
      <c r="AO949" s="687" t="str">
        <f t="shared" si="5005"/>
        <v>#ERROR!</v>
      </c>
      <c r="AP949" s="687" t="str">
        <f t="shared" si="5005"/>
        <v>#ERROR!</v>
      </c>
      <c r="AQ949" s="688" t="str">
        <f t="shared" si="5005"/>
        <v>#ERROR!</v>
      </c>
      <c r="AR949" s="687" t="str">
        <f t="shared" si="5005"/>
        <v>#ERROR!</v>
      </c>
      <c r="AS949" s="687" t="str">
        <f t="shared" si="5005"/>
        <v>#ERROR!</v>
      </c>
      <c r="AT949" s="687" t="str">
        <f t="shared" si="5005"/>
        <v>#ERROR!</v>
      </c>
      <c r="AU949" s="687" t="str">
        <f t="shared" si="5005"/>
        <v>#ERROR!</v>
      </c>
      <c r="AV949" s="688" t="str">
        <f t="shared" si="5005"/>
        <v>#ERROR!</v>
      </c>
      <c r="AW949" s="687" t="str">
        <f t="shared" si="5005"/>
        <v>#ERROR!</v>
      </c>
      <c r="AX949" s="687" t="str">
        <f t="shared" si="5005"/>
        <v>#ERROR!</v>
      </c>
      <c r="AY949" s="687" t="str">
        <f t="shared" si="5005"/>
        <v>#ERROR!</v>
      </c>
      <c r="AZ949" s="687" t="str">
        <f t="shared" si="5005"/>
        <v>#ERROR!</v>
      </c>
      <c r="BA949" s="688" t="str">
        <f t="shared" si="5005"/>
        <v>#ERROR!</v>
      </c>
      <c r="BB949" s="687" t="str">
        <f t="shared" si="5005"/>
        <v>#ERROR!</v>
      </c>
      <c r="BC949" s="687" t="str">
        <f t="shared" si="5005"/>
        <v>#ERROR!</v>
      </c>
      <c r="BD949" s="687" t="str">
        <f t="shared" si="5005"/>
        <v>#ERROR!</v>
      </c>
      <c r="BE949" s="687" t="str">
        <f t="shared" si="5005"/>
        <v>#ERROR!</v>
      </c>
      <c r="BF949" s="688" t="str">
        <f t="shared" si="5005"/>
        <v>#ERROR!</v>
      </c>
      <c r="BG949" s="687" t="str">
        <f t="shared" si="5005"/>
        <v>#ERROR!</v>
      </c>
      <c r="BH949" s="687" t="str">
        <f t="shared" si="5005"/>
        <v>#ERROR!</v>
      </c>
      <c r="BI949" s="687" t="str">
        <f t="shared" si="5005"/>
        <v>#ERROR!</v>
      </c>
      <c r="BJ949" s="687" t="str">
        <f t="shared" si="5005"/>
        <v>#ERROR!</v>
      </c>
      <c r="BK949" s="688" t="str">
        <f t="shared" si="5005"/>
        <v>#ERROR!</v>
      </c>
      <c r="BL949" s="687" t="str">
        <f t="shared" si="5005"/>
        <v>#ERROR!</v>
      </c>
      <c r="BM949" s="687" t="str">
        <f t="shared" si="5005"/>
        <v>#ERROR!</v>
      </c>
      <c r="BN949" s="687" t="str">
        <f t="shared" si="5005"/>
        <v>#ERROR!</v>
      </c>
      <c r="BO949" s="687" t="str">
        <f t="shared" si="5005"/>
        <v>#ERROR!</v>
      </c>
      <c r="BP949" s="688" t="str">
        <f t="shared" si="5005"/>
        <v>#ERROR!</v>
      </c>
      <c r="BQ949" s="687" t="str">
        <f t="shared" si="5005"/>
        <v>#ERROR!</v>
      </c>
      <c r="BR949" s="687" t="str">
        <f t="shared" si="5005"/>
        <v>#ERROR!</v>
      </c>
      <c r="BS949" s="687" t="str">
        <f t="shared" si="5005"/>
        <v>#ERROR!</v>
      </c>
      <c r="BT949" s="687" t="str">
        <f t="shared" si="5005"/>
        <v>#ERROR!</v>
      </c>
      <c r="BU949" s="688" t="str">
        <f t="shared" si="5005"/>
        <v>#ERROR!</v>
      </c>
      <c r="BV949" s="687" t="str">
        <f t="shared" si="5005"/>
        <v>#ERROR!</v>
      </c>
      <c r="BW949" s="687" t="str">
        <f t="shared" si="5005"/>
        <v>#ERROR!</v>
      </c>
      <c r="BX949" s="687" t="str">
        <f t="shared" si="5005"/>
        <v>#ERROR!</v>
      </c>
      <c r="BY949" s="687" t="str">
        <f t="shared" si="5005"/>
        <v>#ERROR!</v>
      </c>
      <c r="BZ949" s="689" t="str">
        <f t="shared" si="5005"/>
        <v>#ERROR!</v>
      </c>
      <c r="CA949" s="687" t="str">
        <f t="shared" si="5005"/>
        <v>#ERROR!</v>
      </c>
      <c r="CB949" s="687" t="str">
        <f t="shared" si="5005"/>
        <v>#ERROR!</v>
      </c>
      <c r="CC949" s="687" t="str">
        <f t="shared" si="5005"/>
        <v>#ERROR!</v>
      </c>
      <c r="CD949" s="687" t="str">
        <f t="shared" si="5005"/>
        <v>#ERROR!</v>
      </c>
      <c r="CE949" s="689" t="str">
        <f t="shared" si="5005"/>
        <v>#ERROR!</v>
      </c>
      <c r="CF949" s="687" t="str">
        <f t="shared" si="5005"/>
        <v>#ERROR!</v>
      </c>
      <c r="CG949" s="687" t="str">
        <f t="shared" si="5005"/>
        <v>#ERROR!</v>
      </c>
      <c r="CH949" s="687" t="str">
        <f t="shared" si="5005"/>
        <v>#ERROR!</v>
      </c>
      <c r="CI949" s="687" t="str">
        <f t="shared" si="5005"/>
        <v>#ERROR!</v>
      </c>
      <c r="CJ949" s="689" t="str">
        <f t="shared" si="5005"/>
        <v>#ERROR!</v>
      </c>
      <c r="CK949" s="687" t="str">
        <f t="shared" si="5005"/>
        <v>#ERROR!</v>
      </c>
      <c r="CL949" s="687" t="str">
        <f t="shared" si="5005"/>
        <v>#ERROR!</v>
      </c>
      <c r="CM949" s="687" t="str">
        <f t="shared" si="5005"/>
        <v>#ERROR!</v>
      </c>
      <c r="CN949" s="690" t="str">
        <f t="shared" si="5005"/>
        <v>#ERROR!</v>
      </c>
      <c r="CO949" s="689" t="str">
        <f t="shared" si="5005"/>
        <v>#ERROR!</v>
      </c>
      <c r="CP949" s="690" t="str">
        <f t="shared" si="5005"/>
        <v>#ERROR!</v>
      </c>
      <c r="CQ949" s="687" t="str">
        <f t="shared" si="5005"/>
        <v>#ERROR!</v>
      </c>
      <c r="CR949" s="687" t="str">
        <f t="shared" si="5005"/>
        <v>#ERROR!</v>
      </c>
      <c r="CS949" s="687" t="str">
        <f t="shared" si="5005"/>
        <v>#ERROR!</v>
      </c>
      <c r="CT949" s="689" t="str">
        <f t="shared" si="5005"/>
        <v>#ERROR!</v>
      </c>
      <c r="CU949" s="687" t="str">
        <f t="shared" si="5005"/>
        <v>#ERROR!</v>
      </c>
      <c r="CV949" s="687" t="str">
        <f t="shared" si="5005"/>
        <v>#ERROR!</v>
      </c>
      <c r="CW949" s="687" t="str">
        <f t="shared" si="5005"/>
        <v>#ERROR!</v>
      </c>
      <c r="CX949" s="687" t="str">
        <f t="shared" si="5005"/>
        <v>#ERROR!</v>
      </c>
      <c r="CY949" s="689" t="str">
        <f t="shared" si="5005"/>
        <v>#ERROR!</v>
      </c>
      <c r="CZ949" s="687" t="str">
        <f t="shared" si="5005"/>
        <v>#ERROR!</v>
      </c>
      <c r="DA949" s="687" t="str">
        <f t="shared" si="5005"/>
        <v>#ERROR!</v>
      </c>
      <c r="DB949" s="687" t="str">
        <f t="shared" si="5005"/>
        <v>#ERROR!</v>
      </c>
      <c r="DC949" s="687" t="str">
        <f t="shared" si="5005"/>
        <v>#ERROR!</v>
      </c>
      <c r="DD949" s="689" t="str">
        <f t="shared" si="5005"/>
        <v>#ERROR!</v>
      </c>
      <c r="DE949" s="687" t="str">
        <f t="shared" si="5005"/>
        <v>#ERROR!</v>
      </c>
      <c r="DF949" s="687" t="str">
        <f t="shared" si="5005"/>
        <v>#ERROR!</v>
      </c>
      <c r="DG949" s="40" t="str">
        <f t="shared" si="5005"/>
        <v>#ERROR!</v>
      </c>
      <c r="DH949" s="687" t="str">
        <f t="shared" si="5005"/>
        <v>#ERROR!</v>
      </c>
      <c r="DI949" s="689" t="str">
        <f t="shared" si="5005"/>
        <v>#ERROR!</v>
      </c>
      <c r="DJ949" s="690" t="str">
        <f t="shared" si="5005"/>
        <v>#ERROR!</v>
      </c>
      <c r="DK949" s="690" t="str">
        <f t="shared" si="5005"/>
        <v>#ERROR!</v>
      </c>
      <c r="DL949" s="690" t="str">
        <f t="shared" si="5005"/>
        <v>#ERROR!</v>
      </c>
      <c r="DM949" s="687" t="str">
        <f t="shared" si="5005"/>
        <v>#ERROR!</v>
      </c>
      <c r="DN949" s="689" t="str">
        <f t="shared" si="5005"/>
        <v>#ERROR!</v>
      </c>
      <c r="DO949" s="687" t="str">
        <f t="shared" si="5005"/>
        <v>#ERROR!</v>
      </c>
      <c r="DP949" s="687" t="str">
        <f t="shared" si="5005"/>
        <v>#ERROR!</v>
      </c>
      <c r="DQ949" s="687" t="str">
        <f t="shared" si="5005"/>
        <v>#ERROR!</v>
      </c>
      <c r="DR949" s="687" t="str">
        <f t="shared" si="5005"/>
        <v>#ERROR!</v>
      </c>
      <c r="DS949" s="689" t="str">
        <f t="shared" si="5005"/>
        <v>#ERROR!</v>
      </c>
      <c r="DT949" s="687" t="str">
        <f t="shared" si="5005"/>
        <v>#ERROR!</v>
      </c>
      <c r="DU949" s="687" t="str">
        <f t="shared" si="5005"/>
        <v>#ERROR!</v>
      </c>
      <c r="DV949" s="687" t="str">
        <f t="shared" si="5005"/>
        <v>#ERROR!</v>
      </c>
      <c r="DW949" s="687" t="str">
        <f t="shared" si="5005"/>
        <v>#ERROR!</v>
      </c>
      <c r="DX949" s="689" t="str">
        <f t="shared" si="5005"/>
        <v>#ERROR!</v>
      </c>
      <c r="DY949" s="687" t="str">
        <f t="shared" si="5005"/>
        <v>#ERROR!</v>
      </c>
      <c r="DZ949" s="687" t="str">
        <f t="shared" si="5005"/>
        <v>#ERROR!</v>
      </c>
      <c r="EA949" s="687" t="str">
        <f t="shared" si="5005"/>
        <v>#ERROR!</v>
      </c>
      <c r="EB949" s="687" t="str">
        <f t="shared" si="5005"/>
        <v>#ERROR!</v>
      </c>
      <c r="EC949" s="689" t="str">
        <f t="shared" si="5005"/>
        <v>#ERROR!</v>
      </c>
      <c r="ED949" s="687" t="str">
        <f t="shared" si="5005"/>
        <v>#ERROR!</v>
      </c>
      <c r="EE949" s="687" t="str">
        <f t="shared" si="5005"/>
        <v>#ERROR!</v>
      </c>
      <c r="EF949" s="687" t="str">
        <f t="shared" si="5005"/>
        <v>#ERROR!</v>
      </c>
      <c r="EG949" s="687" t="str">
        <f t="shared" si="5005"/>
        <v>#ERROR!</v>
      </c>
      <c r="EH949" s="689" t="str">
        <f t="shared" si="5005"/>
        <v>#ERROR!</v>
      </c>
      <c r="EI949" s="691" t="str">
        <f t="shared" si="5005"/>
        <v>#ERROR!</v>
      </c>
      <c r="EJ949" s="687" t="str">
        <f t="shared" si="5005"/>
        <v>#ERROR!</v>
      </c>
      <c r="EK949" s="687" t="str">
        <f t="shared" si="5005"/>
        <v>#ERROR!</v>
      </c>
      <c r="EL949" s="687" t="str">
        <f t="shared" si="5005"/>
        <v>#ERROR!</v>
      </c>
      <c r="EM949" s="689" t="str">
        <f t="shared" si="5005"/>
        <v>#ERROR!</v>
      </c>
      <c r="EN949" s="687" t="str">
        <f t="shared" si="5005"/>
        <v>#ERROR!</v>
      </c>
      <c r="EO949" s="687" t="str">
        <f t="shared" si="5005"/>
        <v>#ERROR!</v>
      </c>
      <c r="EP949" s="687" t="str">
        <f t="shared" si="5005"/>
        <v>#ERROR!</v>
      </c>
      <c r="EQ949" s="687" t="str">
        <f t="shared" si="5005"/>
        <v>#ERROR!</v>
      </c>
      <c r="ER949" s="689" t="str">
        <f t="shared" si="5005"/>
        <v>#ERROR!</v>
      </c>
      <c r="ES949" s="687" t="str">
        <f t="shared" si="5005"/>
        <v>#ERROR!</v>
      </c>
      <c r="ET949" s="687" t="str">
        <f t="shared" si="5005"/>
        <v>#ERROR!</v>
      </c>
      <c r="EU949" s="687" t="str">
        <f t="shared" si="5005"/>
        <v>#ERROR!</v>
      </c>
      <c r="EV949" s="687" t="str">
        <f t="shared" si="5005"/>
        <v>#ERROR!</v>
      </c>
      <c r="EW949" s="689" t="str">
        <f t="shared" si="5005"/>
        <v>#ERROR!</v>
      </c>
      <c r="EX949" s="687" t="str">
        <f t="shared" si="5005"/>
        <v>#ERROR!</v>
      </c>
      <c r="EY949" s="687" t="str">
        <f t="shared" si="5005"/>
        <v>#ERROR!</v>
      </c>
      <c r="EZ949" s="687" t="str">
        <f t="shared" si="5005"/>
        <v>#ERROR!</v>
      </c>
      <c r="FA949" s="687" t="str">
        <f t="shared" si="5005"/>
        <v>#ERROR!</v>
      </c>
      <c r="FB949" s="689" t="str">
        <f t="shared" si="5005"/>
        <v>#ERROR!</v>
      </c>
      <c r="FC949" s="687" t="str">
        <f t="shared" si="5005"/>
        <v>#ERROR!</v>
      </c>
      <c r="FD949" s="687" t="str">
        <f t="shared" si="5005"/>
        <v>#ERROR!</v>
      </c>
      <c r="FE949" s="687" t="str">
        <f t="shared" si="5005"/>
        <v>#ERROR!</v>
      </c>
      <c r="FF949" s="687" t="str">
        <f t="shared" si="5005"/>
        <v>#ERROR!</v>
      </c>
      <c r="FG949" s="689" t="str">
        <f t="shared" si="5005"/>
        <v>#ERROR!</v>
      </c>
      <c r="FH949" s="692"/>
      <c r="FI949" s="687"/>
      <c r="FJ949" s="687"/>
      <c r="FK949" s="688"/>
      <c r="FL949" s="687"/>
    </row>
    <row r="950" ht="12.75" hidden="1" customHeight="1" outlineLevel="1">
      <c r="A950" s="670"/>
      <c r="B950" s="17" t="str">
        <f>[2]MPU!B63</f>
        <v>#ERROR!</v>
      </c>
      <c r="C950" s="17"/>
      <c r="D950" s="17"/>
      <c r="E950" s="17"/>
      <c r="F950" s="17"/>
      <c r="G950" s="17"/>
      <c r="H950" s="112"/>
      <c r="I950" s="17" t="str">
        <f>[2]MPU!I63</f>
        <v>#ERROR!</v>
      </c>
      <c r="J950" s="17" t="str">
        <f>[2]MPU!J63</f>
        <v>#ERROR!</v>
      </c>
      <c r="K950" s="17" t="str">
        <f>[2]MPU!K63</f>
        <v>#ERROR!</v>
      </c>
      <c r="L950" s="17" t="str">
        <f>[2]MPU!L63</f>
        <v>#ERROR!</v>
      </c>
      <c r="M950" s="112" t="str">
        <f>SUM(I950:L950)</f>
        <v>#ERROR!</v>
      </c>
      <c r="N950" s="17" t="str">
        <f>[2]MPU!N63</f>
        <v>#ERROR!</v>
      </c>
      <c r="O950" s="17" t="str">
        <f>[2]MPU!O63</f>
        <v>#ERROR!</v>
      </c>
      <c r="P950" s="17" t="str">
        <f>[2]MPU!P63</f>
        <v>#ERROR!</v>
      </c>
      <c r="Q950" s="17" t="str">
        <f>[2]MPU!Q63</f>
        <v>#ERROR!</v>
      </c>
      <c r="R950" s="112" t="str">
        <f>SUM(N950:Q950)</f>
        <v>#ERROR!</v>
      </c>
      <c r="S950" s="17" t="str">
        <f>[2]MPU!S63</f>
        <v>#ERROR!</v>
      </c>
      <c r="T950" s="17" t="str">
        <f>[2]MPU!T63</f>
        <v>#ERROR!</v>
      </c>
      <c r="U950" s="17" t="str">
        <f>[2]MPU!U63</f>
        <v>#ERROR!</v>
      </c>
      <c r="V950" s="17" t="str">
        <f>[2]MPU!V63</f>
        <v>#ERROR!</v>
      </c>
      <c r="W950" s="112" t="str">
        <f>SUM(S950:V950)</f>
        <v>#ERROR!</v>
      </c>
      <c r="X950" s="17" t="str">
        <f>[2]MPU!X63</f>
        <v>#ERROR!</v>
      </c>
      <c r="Y950" s="17" t="str">
        <f>[2]MPU!Y63</f>
        <v>#ERROR!</v>
      </c>
      <c r="Z950" s="17" t="str">
        <f>[2]MPU!Z63</f>
        <v>#ERROR!</v>
      </c>
      <c r="AA950" s="17" t="str">
        <f>[2]MPU!AA63</f>
        <v>#ERROR!</v>
      </c>
      <c r="AB950" s="112" t="str">
        <f>SUM(X950:AA950)</f>
        <v>#ERROR!</v>
      </c>
      <c r="AC950" s="17" t="str">
        <f>[2]MPU!AC63</f>
        <v>#ERROR!</v>
      </c>
      <c r="AD950" s="17" t="str">
        <f>[2]MPU!AD63</f>
        <v>#ERROR!</v>
      </c>
      <c r="AE950" s="17" t="str">
        <f>[2]MPU!AE63</f>
        <v>#ERROR!</v>
      </c>
      <c r="AF950" s="17" t="str">
        <f>[2]MPU!AF63</f>
        <v>#ERROR!</v>
      </c>
      <c r="AG950" s="112" t="str">
        <f>SUM(AC950:AF950)</f>
        <v>#ERROR!</v>
      </c>
      <c r="AH950" s="17" t="str">
        <f>[2]MPU!AH63</f>
        <v>#ERROR!</v>
      </c>
      <c r="AI950" s="17" t="str">
        <f>[2]MPU!AI63</f>
        <v>#ERROR!</v>
      </c>
      <c r="AJ950" s="17" t="str">
        <f>[2]MPU!AJ63</f>
        <v>#ERROR!</v>
      </c>
      <c r="AK950" s="17" t="str">
        <f>[2]MPU!AK63</f>
        <v>#ERROR!</v>
      </c>
      <c r="AL950" s="112" t="str">
        <f>SUM(AH950:AK950)</f>
        <v>#ERROR!</v>
      </c>
      <c r="AM950" s="17" t="str">
        <f>[2]MPU!AM63</f>
        <v>#ERROR!</v>
      </c>
      <c r="AN950" s="17" t="str">
        <f>[2]MPU!AN63</f>
        <v>#ERROR!</v>
      </c>
      <c r="AO950" s="17" t="str">
        <f>[2]MPU!AO63</f>
        <v>#ERROR!</v>
      </c>
      <c r="AP950" s="17" t="str">
        <f>[2]MPU!AP63</f>
        <v>#ERROR!</v>
      </c>
      <c r="AQ950" s="112" t="str">
        <f>SUM(AM950:AP950)</f>
        <v>#ERROR!</v>
      </c>
      <c r="AR950" s="17" t="str">
        <f>[2]MPU!AR63</f>
        <v>#ERROR!</v>
      </c>
      <c r="AS950" s="17" t="str">
        <f>[2]MPU!AS63</f>
        <v>#ERROR!</v>
      </c>
      <c r="AT950" s="17" t="str">
        <f>[2]MPU!AT63</f>
        <v>#ERROR!</v>
      </c>
      <c r="AU950" s="17" t="str">
        <f>[2]MPU!AU63</f>
        <v>#ERROR!</v>
      </c>
      <c r="AV950" s="112" t="str">
        <f>SUM(AR950:AU950)</f>
        <v>#ERROR!</v>
      </c>
      <c r="AW950" s="17" t="str">
        <f>[2]MPU!AW63</f>
        <v>#ERROR!</v>
      </c>
      <c r="AX950" s="17" t="str">
        <f>[2]MPU!AX63</f>
        <v>#ERROR!</v>
      </c>
      <c r="AY950" s="17" t="str">
        <f>[2]MPU!AY63</f>
        <v>#ERROR!</v>
      </c>
      <c r="AZ950" s="17" t="str">
        <f>[2]MPU!AZ63</f>
        <v>#ERROR!</v>
      </c>
      <c r="BA950" s="112" t="str">
        <f>SUM(AW950:AZ950)</f>
        <v>#ERROR!</v>
      </c>
      <c r="BB950" s="17" t="str">
        <f>[2]MPU!BB63</f>
        <v>#ERROR!</v>
      </c>
      <c r="BC950" s="17" t="str">
        <f>[2]MPU!BC63</f>
        <v>#ERROR!</v>
      </c>
      <c r="BD950" s="17" t="str">
        <f>[2]MPU!BD63</f>
        <v>#ERROR!</v>
      </c>
      <c r="BE950" s="17" t="str">
        <f>[2]MPU!BE63</f>
        <v>#ERROR!</v>
      </c>
      <c r="BF950" s="112" t="str">
        <f>SUM(BB950:BE950)</f>
        <v>#ERROR!</v>
      </c>
      <c r="BG950" s="17" t="str">
        <f>[2]MPU!BG63</f>
        <v>#ERROR!</v>
      </c>
      <c r="BH950" s="17" t="str">
        <f>[2]MPU!BH63</f>
        <v>#ERROR!</v>
      </c>
      <c r="BI950" s="17" t="str">
        <f>[2]MPU!BI63</f>
        <v>#ERROR!</v>
      </c>
      <c r="BJ950" s="17" t="str">
        <f>[2]MPU!BJ63</f>
        <v>#ERROR!</v>
      </c>
      <c r="BK950" s="112" t="str">
        <f>SUM(BG950:BJ950)</f>
        <v>#ERROR!</v>
      </c>
      <c r="BL950" s="17" t="str">
        <f>[2]MPU!BL63</f>
        <v>#ERROR!</v>
      </c>
      <c r="BM950" s="17" t="str">
        <f>[2]MPU!BM63</f>
        <v>#ERROR!</v>
      </c>
      <c r="BN950" s="17" t="str">
        <f>[2]MPU!BN63</f>
        <v>#ERROR!</v>
      </c>
      <c r="BO950" s="17" t="str">
        <f>[2]MPU!BO63</f>
        <v>#ERROR!</v>
      </c>
      <c r="BP950" s="112" t="str">
        <f>SUM(BL950:BO950)</f>
        <v>#ERROR!</v>
      </c>
      <c r="BQ950" s="17" t="str">
        <f>[2]MPU!BQ63</f>
        <v>#ERROR!</v>
      </c>
      <c r="BR950" s="17" t="str">
        <f>[2]MPU!BR63</f>
        <v>#ERROR!</v>
      </c>
      <c r="BS950" s="17" t="str">
        <f>[2]MPU!BS63</f>
        <v>#ERROR!</v>
      </c>
      <c r="BT950" s="17" t="str">
        <f>[2]MPU!BT63</f>
        <v>#ERROR!</v>
      </c>
      <c r="BU950" s="112" t="str">
        <f>SUM(BQ950:BT950)</f>
        <v>#ERROR!</v>
      </c>
      <c r="BV950" s="17" t="str">
        <f>[2]MPU!BV63</f>
        <v>#ERROR!</v>
      </c>
      <c r="BW950" s="17" t="str">
        <f>[2]MPU!BW63</f>
        <v>#ERROR!</v>
      </c>
      <c r="BX950" s="17" t="str">
        <f>[2]MPU!BX63</f>
        <v>#ERROR!</v>
      </c>
      <c r="BY950" s="17" t="str">
        <f>[2]MPU!BY63</f>
        <v>#ERROR!</v>
      </c>
      <c r="BZ950" s="80" t="str">
        <f>SUM(BV950:BY950)</f>
        <v>#ERROR!</v>
      </c>
      <c r="CA950" s="17" t="str">
        <f>[2]MPU!CA63</f>
        <v>#ERROR!</v>
      </c>
      <c r="CB950" s="17" t="str">
        <f>[2]MPU!CB63</f>
        <v>#ERROR!</v>
      </c>
      <c r="CC950" s="17" t="str">
        <f>[2]MPU!CC63</f>
        <v>#ERROR!</v>
      </c>
      <c r="CD950" s="17" t="str">
        <f>[2]MPU!CD63</f>
        <v>#ERROR!</v>
      </c>
      <c r="CE950" s="80" t="str">
        <f>SUM(CA950:CD950)</f>
        <v>#ERROR!</v>
      </c>
      <c r="CF950" s="17" t="str">
        <f>[2]MPU!CF63</f>
        <v>#ERROR!</v>
      </c>
      <c r="CG950" s="17" t="str">
        <f>[2]MPU!CG63</f>
        <v>#ERROR!</v>
      </c>
      <c r="CH950" s="17" t="str">
        <f>[2]MPU!CH63</f>
        <v>#ERROR!</v>
      </c>
      <c r="CI950" s="17" t="str">
        <f>[2]MPU!CI63</f>
        <v>#ERROR!</v>
      </c>
      <c r="CJ950" s="80" t="str">
        <f>SUM(CF950:CI950)</f>
        <v>#ERROR!</v>
      </c>
      <c r="CK950" s="17" t="str">
        <f>[2]MPU!CK63</f>
        <v>#ERROR!</v>
      </c>
      <c r="CL950" s="17" t="str">
        <f>[2]MPU!CL63</f>
        <v>#ERROR!</v>
      </c>
      <c r="CM950" s="17" t="str">
        <f>[2]MPU!CM63</f>
        <v>#ERROR!</v>
      </c>
      <c r="CN950" s="19" t="str">
        <f>[2]MPU!CN63</f>
        <v>#ERROR!</v>
      </c>
      <c r="CO950" s="80" t="str">
        <f>SUM(CK950:CN950)</f>
        <v>#ERROR!</v>
      </c>
      <c r="CP950" s="19" t="str">
        <f>[2]MPU!CP63</f>
        <v>#ERROR!</v>
      </c>
      <c r="CQ950" s="17" t="str">
        <f>[2]MPU!CQ63</f>
        <v>#ERROR!</v>
      </c>
      <c r="CR950" s="17" t="str">
        <f>[2]MPU!CR63</f>
        <v>#ERROR!</v>
      </c>
      <c r="CS950" s="17" t="str">
        <f>[2]MPU!CS63</f>
        <v>#ERROR!</v>
      </c>
      <c r="CT950" s="80" t="str">
        <f>SUM(CP950:CS950)</f>
        <v>#ERROR!</v>
      </c>
      <c r="CU950" s="17" t="str">
        <f>[2]MPU!CU63</f>
        <v>#ERROR!</v>
      </c>
      <c r="CV950" s="17" t="str">
        <f>[2]MPU!CV63</f>
        <v>#ERROR!</v>
      </c>
      <c r="CW950" s="17" t="str">
        <f>[2]MPU!CW63</f>
        <v>#ERROR!</v>
      </c>
      <c r="CX950" s="17" t="str">
        <f>[2]MPU!CX63</f>
        <v>#ERROR!</v>
      </c>
      <c r="CY950" s="80" t="str">
        <f>SUM(CU950:CX950)</f>
        <v>#ERROR!</v>
      </c>
      <c r="CZ950" s="17" t="str">
        <f>[2]MPU!CZ63</f>
        <v>#ERROR!</v>
      </c>
      <c r="DA950" s="17" t="str">
        <f>[2]MPU!DA63</f>
        <v>#ERROR!</v>
      </c>
      <c r="DB950" s="17" t="str">
        <f>[2]MPU!DB63</f>
        <v>#ERROR!</v>
      </c>
      <c r="DC950" s="17" t="str">
        <f>[2]MPU!DC63</f>
        <v>#ERROR!</v>
      </c>
      <c r="DD950" s="80" t="str">
        <f>SUM(CZ950:DC950)</f>
        <v>#ERROR!</v>
      </c>
      <c r="DE950" s="17" t="str">
        <f>[2]MPU!DE63</f>
        <v>#ERROR!</v>
      </c>
      <c r="DF950" s="17" t="str">
        <f>[2]MPU!DF63</f>
        <v>#ERROR!</v>
      </c>
      <c r="DG950" s="19" t="str">
        <f>[2]MPU!DG63</f>
        <v>#ERROR!</v>
      </c>
      <c r="DH950" s="17" t="str">
        <f>[2]MPU!DH63</f>
        <v>#ERROR!</v>
      </c>
      <c r="DI950" s="80" t="str">
        <f>SUM(DE950:DH950)</f>
        <v>#ERROR!</v>
      </c>
      <c r="DJ950" s="19" t="str">
        <f>[2]MPU!DJ63</f>
        <v>#ERROR!</v>
      </c>
      <c r="DK950" s="19" t="str">
        <f>[2]MPU!DK63</f>
        <v>#ERROR!</v>
      </c>
      <c r="DL950" s="19" t="str">
        <f>[2]MPU!DL63</f>
        <v>#ERROR!</v>
      </c>
      <c r="DM950" s="17" t="str">
        <f>[2]MPU!DM63</f>
        <v>#ERROR!</v>
      </c>
      <c r="DN950" s="80" t="str">
        <f>SUM(DJ950:DM950)</f>
        <v>#ERROR!</v>
      </c>
      <c r="DO950" s="17" t="str">
        <f>[2]MPU!DT63</f>
        <v>#ERROR!</v>
      </c>
      <c r="DP950" s="17" t="str">
        <f>[2]MPU!DU63</f>
        <v>#ERROR!</v>
      </c>
      <c r="DQ950" s="17" t="str">
        <f>[2]MPU!DV63</f>
        <v>#ERROR!</v>
      </c>
      <c r="DR950" s="17" t="str">
        <f>[2]MPU!DW63</f>
        <v>#ERROR!</v>
      </c>
      <c r="DS950" s="80" t="str">
        <f>SUM(DO950:DR950)</f>
        <v>#ERROR!</v>
      </c>
      <c r="DT950" s="17" t="str">
        <f>[2]MPU!DY63</f>
        <v>#ERROR!</v>
      </c>
      <c r="DU950" s="17" t="str">
        <f>[2]MPU!DZ63</f>
        <v>#ERROR!</v>
      </c>
      <c r="DV950" s="17" t="str">
        <f>[2]MPU!EA63</f>
        <v>#ERROR!</v>
      </c>
      <c r="DW950" s="17" t="str">
        <f>[2]MPU!EB63</f>
        <v>#ERROR!</v>
      </c>
      <c r="DX950" s="80" t="str">
        <f>SUM(DT950:DW950)</f>
        <v>#ERROR!</v>
      </c>
      <c r="DY950" s="17" t="str">
        <f>[2]MPU!ED63</f>
        <v>#ERROR!</v>
      </c>
      <c r="DZ950" s="17" t="str">
        <f>[2]MPU!EE63</f>
        <v>#ERROR!</v>
      </c>
      <c r="EA950" s="17" t="str">
        <f>[2]MPU!EF63</f>
        <v>#ERROR!</v>
      </c>
      <c r="EB950" s="17" t="str">
        <f>[2]MPU!EG63</f>
        <v>#ERROR!</v>
      </c>
      <c r="EC950" s="80" t="str">
        <f>SUM(DY950:EB950)</f>
        <v>#ERROR!</v>
      </c>
      <c r="ED950" s="17" t="str">
        <f>[2]MPU!EI63</f>
        <v>#ERROR!</v>
      </c>
      <c r="EE950" s="17" t="str">
        <f>[2]MPU!EJ63</f>
        <v>#ERROR!</v>
      </c>
      <c r="EF950" s="17" t="str">
        <f>[2]MPU!#REF!</f>
        <v>#ERROR!</v>
      </c>
      <c r="EG950" s="17" t="str">
        <f>[2]MPU!#REF!</f>
        <v>#ERROR!</v>
      </c>
      <c r="EH950" s="80" t="str">
        <f>SUM(ED950:EG950)</f>
        <v>#ERROR!</v>
      </c>
      <c r="EI950" s="25" t="str">
        <f>[2]MPU!#REF!</f>
        <v>#ERROR!</v>
      </c>
      <c r="EJ950" s="17" t="str">
        <f>[2]MPU!#REF!</f>
        <v>#ERROR!</v>
      </c>
      <c r="EK950" s="17" t="str">
        <f>[2]MPU!#REF!</f>
        <v>#ERROR!</v>
      </c>
      <c r="EL950" s="17" t="str">
        <f>[2]MPU!#REF!</f>
        <v>#ERROR!</v>
      </c>
      <c r="EM950" s="80" t="str">
        <f>SUM(EI950:EL950)</f>
        <v>#ERROR!</v>
      </c>
      <c r="EN950" s="17" t="str">
        <f>[2]MPU!#REF!</f>
        <v>#ERROR!</v>
      </c>
      <c r="EO950" s="17" t="str">
        <f>[2]MPU!#REF!</f>
        <v>#ERROR!</v>
      </c>
      <c r="EP950" s="17" t="str">
        <f>[2]MPU!#REF!</f>
        <v>#ERROR!</v>
      </c>
      <c r="EQ950" s="17" t="str">
        <f>[2]MPU!#REF!</f>
        <v>#ERROR!</v>
      </c>
      <c r="ER950" s="80" t="str">
        <f>SUM(EN950:EQ950)</f>
        <v>#ERROR!</v>
      </c>
      <c r="ES950" s="17" t="str">
        <f>[2]MPU!#REF!</f>
        <v>#ERROR!</v>
      </c>
      <c r="ET950" s="17" t="str">
        <f>[2]MPU!#REF!</f>
        <v>#ERROR!</v>
      </c>
      <c r="EU950" s="17" t="str">
        <f>[2]MPU!#REF!</f>
        <v>#ERROR!</v>
      </c>
      <c r="EV950" s="17" t="str">
        <f>[2]MPU!#REF!</f>
        <v>#ERROR!</v>
      </c>
      <c r="EW950" s="80" t="str">
        <f>SUM(ES950:EV950)</f>
        <v>#ERROR!</v>
      </c>
      <c r="EX950" s="17" t="str">
        <f>[2]MPU!#REF!</f>
        <v>#ERROR!</v>
      </c>
      <c r="EY950" s="17" t="str">
        <f>[2]MPU!#REF!</f>
        <v>#ERROR!</v>
      </c>
      <c r="EZ950" s="17" t="str">
        <f>[2]MPU!#REF!</f>
        <v>#ERROR!</v>
      </c>
      <c r="FA950" s="17" t="str">
        <f>[2]MPU!#REF!</f>
        <v>#ERROR!</v>
      </c>
      <c r="FB950" s="80" t="str">
        <f>SUM(EX950:FA950)</f>
        <v>#ERROR!</v>
      </c>
      <c r="FC950" s="17" t="str">
        <f>[2]MPU!#REF!</f>
        <v>#ERROR!</v>
      </c>
      <c r="FD950" s="17" t="str">
        <f>[2]MPU!#REF!</f>
        <v>#ERROR!</v>
      </c>
      <c r="FE950" s="17" t="str">
        <f>[2]MPU!#REF!</f>
        <v>#ERROR!</v>
      </c>
      <c r="FF950" s="17" t="str">
        <f>[2]MPU!#REF!</f>
        <v>#ERROR!</v>
      </c>
      <c r="FG950" s="80" t="str">
        <f>SUM(FC950:FF950)</f>
        <v>#ERROR!</v>
      </c>
      <c r="FH950" s="146"/>
      <c r="FI950" s="17"/>
      <c r="FJ950" s="17"/>
      <c r="FK950" s="112"/>
      <c r="FL950" s="17"/>
    </row>
    <row r="951" ht="12.75" hidden="1" customHeight="1" outlineLevel="1">
      <c r="A951" s="17"/>
      <c r="B951" s="17" t="s">
        <v>345</v>
      </c>
      <c r="C951" s="17"/>
      <c r="D951" s="15"/>
      <c r="E951" s="15"/>
      <c r="F951" s="15"/>
      <c r="G951" s="15"/>
      <c r="H951" s="410"/>
      <c r="I951" s="15"/>
      <c r="J951" s="15" t="str">
        <f t="shared" ref="J951:L951" si="5006">J950/I950-1</f>
        <v>#ERROR!</v>
      </c>
      <c r="K951" s="15" t="str">
        <f t="shared" si="5006"/>
        <v>#ERROR!</v>
      </c>
      <c r="L951" s="15" t="str">
        <f t="shared" si="5006"/>
        <v>#ERROR!</v>
      </c>
      <c r="M951" s="410"/>
      <c r="N951" s="15"/>
      <c r="O951" s="15" t="str">
        <f t="shared" ref="O951:Q951" si="5007">O950/N950-1</f>
        <v>#ERROR!</v>
      </c>
      <c r="P951" s="15" t="str">
        <f t="shared" si="5007"/>
        <v>#ERROR!</v>
      </c>
      <c r="Q951" s="15" t="str">
        <f t="shared" si="5007"/>
        <v>#ERROR!</v>
      </c>
      <c r="R951" s="410"/>
      <c r="S951" s="15"/>
      <c r="T951" s="15" t="str">
        <f t="shared" ref="T951:V951" si="5008">T950/S950-1</f>
        <v>#ERROR!</v>
      </c>
      <c r="U951" s="15" t="str">
        <f t="shared" si="5008"/>
        <v>#ERROR!</v>
      </c>
      <c r="V951" s="15" t="str">
        <f t="shared" si="5008"/>
        <v>#ERROR!</v>
      </c>
      <c r="W951" s="410"/>
      <c r="X951" s="15"/>
      <c r="Y951" s="15" t="str">
        <f t="shared" ref="Y951:AA951" si="5009">Y950/X950-1</f>
        <v>#ERROR!</v>
      </c>
      <c r="Z951" s="15" t="str">
        <f t="shared" si="5009"/>
        <v>#ERROR!</v>
      </c>
      <c r="AA951" s="15" t="str">
        <f t="shared" si="5009"/>
        <v>#ERROR!</v>
      </c>
      <c r="AB951" s="410"/>
      <c r="AC951" s="15" t="str">
        <f>AC950/AA950-1</f>
        <v>#ERROR!</v>
      </c>
      <c r="AD951" s="15" t="str">
        <f t="shared" ref="AD951:AF951" si="5010">AD950/AC950-1</f>
        <v>#ERROR!</v>
      </c>
      <c r="AE951" s="15" t="str">
        <f t="shared" si="5010"/>
        <v>#ERROR!</v>
      </c>
      <c r="AF951" s="15" t="str">
        <f t="shared" si="5010"/>
        <v>#ERROR!</v>
      </c>
      <c r="AG951" s="410"/>
      <c r="AH951" s="15" t="str">
        <f>AH950/AF950-1</f>
        <v>#ERROR!</v>
      </c>
      <c r="AI951" s="15" t="str">
        <f t="shared" ref="AI951:AK951" si="5011">AI950/AH950-1</f>
        <v>#ERROR!</v>
      </c>
      <c r="AJ951" s="15" t="str">
        <f t="shared" si="5011"/>
        <v>#ERROR!</v>
      </c>
      <c r="AK951" s="15" t="str">
        <f t="shared" si="5011"/>
        <v>#ERROR!</v>
      </c>
      <c r="AL951" s="410"/>
      <c r="AM951" s="15" t="str">
        <f>AM950/AK950-1</f>
        <v>#ERROR!</v>
      </c>
      <c r="AN951" s="15" t="str">
        <f t="shared" ref="AN951:AP951" si="5012">AN950/AM950-1</f>
        <v>#ERROR!</v>
      </c>
      <c r="AO951" s="15" t="str">
        <f t="shared" si="5012"/>
        <v>#ERROR!</v>
      </c>
      <c r="AP951" s="15" t="str">
        <f t="shared" si="5012"/>
        <v>#ERROR!</v>
      </c>
      <c r="AQ951" s="410"/>
      <c r="AR951" s="15" t="str">
        <f>AR950/AP950-1</f>
        <v>#ERROR!</v>
      </c>
      <c r="AS951" s="15" t="str">
        <f t="shared" ref="AS951:AU951" si="5013">AS950/AR950-1</f>
        <v>#ERROR!</v>
      </c>
      <c r="AT951" s="15" t="str">
        <f t="shared" si="5013"/>
        <v>#ERROR!</v>
      </c>
      <c r="AU951" s="15" t="str">
        <f t="shared" si="5013"/>
        <v>#ERROR!</v>
      </c>
      <c r="AV951" s="410"/>
      <c r="AW951" s="15" t="str">
        <f>AW950/AU950-1</f>
        <v>#ERROR!</v>
      </c>
      <c r="AX951" s="15" t="str">
        <f t="shared" ref="AX951:AZ951" si="5014">AX950/AW950-1</f>
        <v>#ERROR!</v>
      </c>
      <c r="AY951" s="15" t="str">
        <f t="shared" si="5014"/>
        <v>#ERROR!</v>
      </c>
      <c r="AZ951" s="15" t="str">
        <f t="shared" si="5014"/>
        <v>#ERROR!</v>
      </c>
      <c r="BA951" s="410"/>
      <c r="BB951" s="15" t="str">
        <f>BB950/AZ950-1</f>
        <v>#ERROR!</v>
      </c>
      <c r="BC951" s="15" t="str">
        <f t="shared" ref="BC951:BE951" si="5015">BC950/BB950-1</f>
        <v>#ERROR!</v>
      </c>
      <c r="BD951" s="15" t="str">
        <f t="shared" si="5015"/>
        <v>#ERROR!</v>
      </c>
      <c r="BE951" s="15" t="str">
        <f t="shared" si="5015"/>
        <v>#ERROR!</v>
      </c>
      <c r="BF951" s="410"/>
      <c r="BG951" s="15" t="str">
        <f>BG950/BE950-1</f>
        <v>#ERROR!</v>
      </c>
      <c r="BH951" s="15" t="str">
        <f t="shared" ref="BH951:BJ951" si="5016">BH950/BG950-1</f>
        <v>#ERROR!</v>
      </c>
      <c r="BI951" s="15" t="str">
        <f t="shared" si="5016"/>
        <v>#ERROR!</v>
      </c>
      <c r="BJ951" s="15" t="str">
        <f t="shared" si="5016"/>
        <v>#ERROR!</v>
      </c>
      <c r="BK951" s="410"/>
      <c r="BL951" s="15" t="str">
        <f>BL950/BJ950-1</f>
        <v>#ERROR!</v>
      </c>
      <c r="BM951" s="15" t="str">
        <f t="shared" ref="BM951:BO951" si="5017">BM950/BL950-1</f>
        <v>#ERROR!</v>
      </c>
      <c r="BN951" s="15" t="str">
        <f t="shared" si="5017"/>
        <v>#ERROR!</v>
      </c>
      <c r="BO951" s="15" t="str">
        <f t="shared" si="5017"/>
        <v>#ERROR!</v>
      </c>
      <c r="BP951" s="410"/>
      <c r="BQ951" s="15" t="str">
        <f>BQ950/BO950-1</f>
        <v>#ERROR!</v>
      </c>
      <c r="BR951" s="15" t="str">
        <f t="shared" ref="BR951:BT951" si="5018">BR950/BQ950-1</f>
        <v>#ERROR!</v>
      </c>
      <c r="BS951" s="15" t="str">
        <f t="shared" si="5018"/>
        <v>#ERROR!</v>
      </c>
      <c r="BT951" s="15" t="str">
        <f t="shared" si="5018"/>
        <v>#ERROR!</v>
      </c>
      <c r="BU951" s="410"/>
      <c r="BV951" s="15" t="str">
        <f>BV950/BT950-1</f>
        <v>#ERROR!</v>
      </c>
      <c r="BW951" s="15" t="str">
        <f t="shared" ref="BW951:BY951" si="5019">BW950/BV950-1</f>
        <v>#ERROR!</v>
      </c>
      <c r="BX951" s="15" t="str">
        <f t="shared" si="5019"/>
        <v>#ERROR!</v>
      </c>
      <c r="BY951" s="15" t="str">
        <f t="shared" si="5019"/>
        <v>#ERROR!</v>
      </c>
      <c r="BZ951" s="24"/>
      <c r="CA951" s="15" t="str">
        <f>CA950/BY950-1</f>
        <v>#ERROR!</v>
      </c>
      <c r="CB951" s="15" t="str">
        <f t="shared" ref="CB951:CD951" si="5020">CB950/CA950-1</f>
        <v>#ERROR!</v>
      </c>
      <c r="CC951" s="15" t="str">
        <f t="shared" si="5020"/>
        <v>#ERROR!</v>
      </c>
      <c r="CD951" s="15" t="str">
        <f t="shared" si="5020"/>
        <v>#ERROR!</v>
      </c>
      <c r="CE951" s="24"/>
      <c r="CF951" s="15" t="str">
        <f>CF950/CD950-1</f>
        <v>#ERROR!</v>
      </c>
      <c r="CG951" s="15" t="str">
        <f t="shared" ref="CG951:CI951" si="5021">CG950/CF950-1</f>
        <v>#ERROR!</v>
      </c>
      <c r="CH951" s="15" t="str">
        <f t="shared" si="5021"/>
        <v>#ERROR!</v>
      </c>
      <c r="CI951" s="15" t="str">
        <f t="shared" si="5021"/>
        <v>#ERROR!</v>
      </c>
      <c r="CJ951" s="24"/>
      <c r="CK951" s="15" t="str">
        <f>CK950/CI950-1</f>
        <v>#ERROR!</v>
      </c>
      <c r="CL951" s="15" t="str">
        <f t="shared" ref="CL951:CN951" si="5022">CL950/CK950-1</f>
        <v>#ERROR!</v>
      </c>
      <c r="CM951" s="15" t="str">
        <f t="shared" si="5022"/>
        <v>#ERROR!</v>
      </c>
      <c r="CN951" s="40" t="str">
        <f t="shared" si="5022"/>
        <v>#ERROR!</v>
      </c>
      <c r="CO951" s="24"/>
      <c r="CP951" s="40" t="str">
        <f>CP950/CN950-1</f>
        <v>#ERROR!</v>
      </c>
      <c r="CQ951" s="15" t="str">
        <f t="shared" ref="CQ951:CS951" si="5023">CQ950/CP950-1</f>
        <v>#ERROR!</v>
      </c>
      <c r="CR951" s="15" t="str">
        <f t="shared" si="5023"/>
        <v>#ERROR!</v>
      </c>
      <c r="CS951" s="15" t="str">
        <f t="shared" si="5023"/>
        <v>#ERROR!</v>
      </c>
      <c r="CT951" s="24"/>
      <c r="CU951" s="15" t="str">
        <f>CU950/CS950-1</f>
        <v>#ERROR!</v>
      </c>
      <c r="CV951" s="15" t="str">
        <f t="shared" ref="CV951:CX951" si="5024">CV950/CU950-1</f>
        <v>#ERROR!</v>
      </c>
      <c r="CW951" s="15" t="str">
        <f t="shared" si="5024"/>
        <v>#ERROR!</v>
      </c>
      <c r="CX951" s="15" t="str">
        <f t="shared" si="5024"/>
        <v>#ERROR!</v>
      </c>
      <c r="CY951" s="24"/>
      <c r="CZ951" s="15" t="str">
        <f>CZ950/CX950-1</f>
        <v>#ERROR!</v>
      </c>
      <c r="DA951" s="15" t="str">
        <f t="shared" ref="DA951:DC951" si="5025">DA950/CZ950-1</f>
        <v>#ERROR!</v>
      </c>
      <c r="DB951" s="15" t="str">
        <f t="shared" si="5025"/>
        <v>#ERROR!</v>
      </c>
      <c r="DC951" s="15" t="str">
        <f t="shared" si="5025"/>
        <v>#ERROR!</v>
      </c>
      <c r="DD951" s="24"/>
      <c r="DE951" s="15" t="str">
        <f>DE950/DC950-1</f>
        <v>#ERROR!</v>
      </c>
      <c r="DF951" s="15" t="str">
        <f t="shared" ref="DF951:DH951" si="5026">DF950/DE950-1</f>
        <v>#ERROR!</v>
      </c>
      <c r="DG951" s="40" t="str">
        <f t="shared" si="5026"/>
        <v>#ERROR!</v>
      </c>
      <c r="DH951" s="15" t="str">
        <f t="shared" si="5026"/>
        <v>#ERROR!</v>
      </c>
      <c r="DI951" s="24"/>
      <c r="DJ951" s="40" t="str">
        <f>DJ950/DH950-1</f>
        <v>#ERROR!</v>
      </c>
      <c r="DK951" s="40" t="str">
        <f t="shared" ref="DK951:DM951" si="5027">DK950/DJ950-1</f>
        <v>#ERROR!</v>
      </c>
      <c r="DL951" s="40" t="str">
        <f t="shared" si="5027"/>
        <v>#ERROR!</v>
      </c>
      <c r="DM951" s="15" t="str">
        <f t="shared" si="5027"/>
        <v>#ERROR!</v>
      </c>
      <c r="DN951" s="24"/>
      <c r="DO951" s="15" t="str">
        <f>DO950/DM950-1</f>
        <v>#ERROR!</v>
      </c>
      <c r="DP951" s="15" t="str">
        <f t="shared" ref="DP951:DR951" si="5028">DP950/DO950-1</f>
        <v>#ERROR!</v>
      </c>
      <c r="DQ951" s="15" t="str">
        <f t="shared" si="5028"/>
        <v>#ERROR!</v>
      </c>
      <c r="DR951" s="15" t="str">
        <f t="shared" si="5028"/>
        <v>#ERROR!</v>
      </c>
      <c r="DS951" s="24"/>
      <c r="DT951" s="15" t="str">
        <f>DT950/DR950-1</f>
        <v>#ERROR!</v>
      </c>
      <c r="DU951" s="15" t="str">
        <f t="shared" ref="DU951:DW951" si="5029">DU950/DT950-1</f>
        <v>#ERROR!</v>
      </c>
      <c r="DV951" s="15" t="str">
        <f t="shared" si="5029"/>
        <v>#ERROR!</v>
      </c>
      <c r="DW951" s="15" t="str">
        <f t="shared" si="5029"/>
        <v>#ERROR!</v>
      </c>
      <c r="DX951" s="24"/>
      <c r="DY951" s="15" t="str">
        <f>DY950/DW950-1</f>
        <v>#ERROR!</v>
      </c>
      <c r="DZ951" s="15" t="str">
        <f t="shared" ref="DZ951:EB951" si="5030">DZ950/DY950-1</f>
        <v>#ERROR!</v>
      </c>
      <c r="EA951" s="15" t="str">
        <f t="shared" si="5030"/>
        <v>#ERROR!</v>
      </c>
      <c r="EB951" s="15" t="str">
        <f t="shared" si="5030"/>
        <v>#ERROR!</v>
      </c>
      <c r="EC951" s="24"/>
      <c r="ED951" s="15" t="str">
        <f>ED950/EB950-1</f>
        <v>#ERROR!</v>
      </c>
      <c r="EE951" s="15" t="str">
        <f t="shared" ref="EE951:EG951" si="5031">EE950/ED950-1</f>
        <v>#ERROR!</v>
      </c>
      <c r="EF951" s="15" t="str">
        <f t="shared" si="5031"/>
        <v>#ERROR!</v>
      </c>
      <c r="EG951" s="15" t="str">
        <f t="shared" si="5031"/>
        <v>#ERROR!</v>
      </c>
      <c r="EH951" s="24"/>
      <c r="EI951" s="82" t="str">
        <f>EI950/EG950-1</f>
        <v>#ERROR!</v>
      </c>
      <c r="EJ951" s="15" t="str">
        <f t="shared" ref="EJ951:EL951" si="5032">EJ950/EI950-1</f>
        <v>#ERROR!</v>
      </c>
      <c r="EK951" s="15" t="str">
        <f t="shared" si="5032"/>
        <v>#ERROR!</v>
      </c>
      <c r="EL951" s="15" t="str">
        <f t="shared" si="5032"/>
        <v>#ERROR!</v>
      </c>
      <c r="EM951" s="24"/>
      <c r="EN951" s="15" t="str">
        <f>EN950/EL950-1</f>
        <v>#ERROR!</v>
      </c>
      <c r="EO951" s="15" t="str">
        <f t="shared" ref="EO951:EQ951" si="5033">EO950/EN950-1</f>
        <v>#ERROR!</v>
      </c>
      <c r="EP951" s="15" t="str">
        <f t="shared" si="5033"/>
        <v>#ERROR!</v>
      </c>
      <c r="EQ951" s="15" t="str">
        <f t="shared" si="5033"/>
        <v>#ERROR!</v>
      </c>
      <c r="ER951" s="24"/>
      <c r="ES951" s="15" t="str">
        <f>ES950/EQ950-1</f>
        <v>#ERROR!</v>
      </c>
      <c r="ET951" s="15" t="str">
        <f t="shared" ref="ET951:EV951" si="5034">ET950/ES950-1</f>
        <v>#ERROR!</v>
      </c>
      <c r="EU951" s="15" t="str">
        <f t="shared" si="5034"/>
        <v>#ERROR!</v>
      </c>
      <c r="EV951" s="15" t="str">
        <f t="shared" si="5034"/>
        <v>#ERROR!</v>
      </c>
      <c r="EW951" s="24"/>
      <c r="EX951" s="15" t="str">
        <f>EX950/EV950-1</f>
        <v>#ERROR!</v>
      </c>
      <c r="EY951" s="15" t="str">
        <f t="shared" ref="EY951:FA951" si="5035">EY950/EX950-1</f>
        <v>#ERROR!</v>
      </c>
      <c r="EZ951" s="15" t="str">
        <f t="shared" si="5035"/>
        <v>#ERROR!</v>
      </c>
      <c r="FA951" s="15" t="str">
        <f t="shared" si="5035"/>
        <v>#ERROR!</v>
      </c>
      <c r="FB951" s="24"/>
      <c r="FC951" s="15" t="str">
        <f>FC950/FA950-1</f>
        <v>#ERROR!</v>
      </c>
      <c r="FD951" s="15" t="str">
        <f t="shared" ref="FD951:FF951" si="5036">FD950/FC950-1</f>
        <v>#ERROR!</v>
      </c>
      <c r="FE951" s="15" t="str">
        <f t="shared" si="5036"/>
        <v>#ERROR!</v>
      </c>
      <c r="FF951" s="15" t="str">
        <f t="shared" si="5036"/>
        <v>#ERROR!</v>
      </c>
      <c r="FG951" s="24"/>
      <c r="FH951" s="104"/>
      <c r="FI951" s="15"/>
      <c r="FJ951" s="15"/>
      <c r="FK951" s="410"/>
      <c r="FL951" s="15"/>
    </row>
    <row r="952" ht="12.75" hidden="1" customHeight="1" outlineLevel="1">
      <c r="A952" s="17"/>
      <c r="B952" s="92" t="s">
        <v>346</v>
      </c>
      <c r="C952" s="92"/>
      <c r="D952" s="413"/>
      <c r="E952" s="413"/>
      <c r="F952" s="413"/>
      <c r="G952" s="413"/>
      <c r="H952" s="679"/>
      <c r="I952" s="413"/>
      <c r="J952" s="413"/>
      <c r="K952" s="413"/>
      <c r="L952" s="413"/>
      <c r="M952" s="679"/>
      <c r="N952" s="413"/>
      <c r="O952" s="413"/>
      <c r="P952" s="413"/>
      <c r="Q952" s="413"/>
      <c r="R952" s="679"/>
      <c r="S952" s="413"/>
      <c r="T952" s="413"/>
      <c r="U952" s="413"/>
      <c r="V952" s="413"/>
      <c r="W952" s="679"/>
      <c r="X952" s="413"/>
      <c r="Y952" s="413"/>
      <c r="Z952" s="413"/>
      <c r="AA952" s="413"/>
      <c r="AB952" s="679"/>
      <c r="AC952" s="413" t="str">
        <f t="shared" ref="AC952:FG952" si="5037">AC950/X950-1</f>
        <v>#ERROR!</v>
      </c>
      <c r="AD952" s="413" t="str">
        <f t="shared" si="5037"/>
        <v>#ERROR!</v>
      </c>
      <c r="AE952" s="413" t="str">
        <f t="shared" si="5037"/>
        <v>#ERROR!</v>
      </c>
      <c r="AF952" s="413" t="str">
        <f t="shared" si="5037"/>
        <v>#ERROR!</v>
      </c>
      <c r="AG952" s="679" t="str">
        <f t="shared" si="5037"/>
        <v>#ERROR!</v>
      </c>
      <c r="AH952" s="413" t="str">
        <f t="shared" si="5037"/>
        <v>#ERROR!</v>
      </c>
      <c r="AI952" s="413" t="str">
        <f t="shared" si="5037"/>
        <v>#ERROR!</v>
      </c>
      <c r="AJ952" s="413" t="str">
        <f t="shared" si="5037"/>
        <v>#ERROR!</v>
      </c>
      <c r="AK952" s="413" t="str">
        <f t="shared" si="5037"/>
        <v>#ERROR!</v>
      </c>
      <c r="AL952" s="679" t="str">
        <f t="shared" si="5037"/>
        <v>#ERROR!</v>
      </c>
      <c r="AM952" s="413" t="str">
        <f t="shared" si="5037"/>
        <v>#ERROR!</v>
      </c>
      <c r="AN952" s="413" t="str">
        <f t="shared" si="5037"/>
        <v>#ERROR!</v>
      </c>
      <c r="AO952" s="413" t="str">
        <f t="shared" si="5037"/>
        <v>#ERROR!</v>
      </c>
      <c r="AP952" s="413" t="str">
        <f t="shared" si="5037"/>
        <v>#ERROR!</v>
      </c>
      <c r="AQ952" s="679" t="str">
        <f t="shared" si="5037"/>
        <v>#ERROR!</v>
      </c>
      <c r="AR952" s="413" t="str">
        <f t="shared" si="5037"/>
        <v>#ERROR!</v>
      </c>
      <c r="AS952" s="413" t="str">
        <f t="shared" si="5037"/>
        <v>#ERROR!</v>
      </c>
      <c r="AT952" s="413" t="str">
        <f t="shared" si="5037"/>
        <v>#ERROR!</v>
      </c>
      <c r="AU952" s="413" t="str">
        <f t="shared" si="5037"/>
        <v>#ERROR!</v>
      </c>
      <c r="AV952" s="679" t="str">
        <f t="shared" si="5037"/>
        <v>#ERROR!</v>
      </c>
      <c r="AW952" s="413" t="str">
        <f t="shared" si="5037"/>
        <v>#ERROR!</v>
      </c>
      <c r="AX952" s="413" t="str">
        <f t="shared" si="5037"/>
        <v>#ERROR!</v>
      </c>
      <c r="AY952" s="413" t="str">
        <f t="shared" si="5037"/>
        <v>#ERROR!</v>
      </c>
      <c r="AZ952" s="413" t="str">
        <f t="shared" si="5037"/>
        <v>#ERROR!</v>
      </c>
      <c r="BA952" s="679" t="str">
        <f t="shared" si="5037"/>
        <v>#ERROR!</v>
      </c>
      <c r="BB952" s="413" t="str">
        <f t="shared" si="5037"/>
        <v>#ERROR!</v>
      </c>
      <c r="BC952" s="413" t="str">
        <f t="shared" si="5037"/>
        <v>#ERROR!</v>
      </c>
      <c r="BD952" s="413" t="str">
        <f t="shared" si="5037"/>
        <v>#ERROR!</v>
      </c>
      <c r="BE952" s="413" t="str">
        <f t="shared" si="5037"/>
        <v>#ERROR!</v>
      </c>
      <c r="BF952" s="679" t="str">
        <f t="shared" si="5037"/>
        <v>#ERROR!</v>
      </c>
      <c r="BG952" s="413" t="str">
        <f t="shared" si="5037"/>
        <v>#ERROR!</v>
      </c>
      <c r="BH952" s="413" t="str">
        <f t="shared" si="5037"/>
        <v>#ERROR!</v>
      </c>
      <c r="BI952" s="413" t="str">
        <f t="shared" si="5037"/>
        <v>#ERROR!</v>
      </c>
      <c r="BJ952" s="413" t="str">
        <f t="shared" si="5037"/>
        <v>#ERROR!</v>
      </c>
      <c r="BK952" s="679" t="str">
        <f t="shared" si="5037"/>
        <v>#ERROR!</v>
      </c>
      <c r="BL952" s="413" t="str">
        <f t="shared" si="5037"/>
        <v>#ERROR!</v>
      </c>
      <c r="BM952" s="413" t="str">
        <f t="shared" si="5037"/>
        <v>#ERROR!</v>
      </c>
      <c r="BN952" s="413" t="str">
        <f t="shared" si="5037"/>
        <v>#ERROR!</v>
      </c>
      <c r="BO952" s="413" t="str">
        <f t="shared" si="5037"/>
        <v>#ERROR!</v>
      </c>
      <c r="BP952" s="679" t="str">
        <f t="shared" si="5037"/>
        <v>#ERROR!</v>
      </c>
      <c r="BQ952" s="413" t="str">
        <f t="shared" si="5037"/>
        <v>#ERROR!</v>
      </c>
      <c r="BR952" s="413" t="str">
        <f t="shared" si="5037"/>
        <v>#ERROR!</v>
      </c>
      <c r="BS952" s="413" t="str">
        <f t="shared" si="5037"/>
        <v>#ERROR!</v>
      </c>
      <c r="BT952" s="413" t="str">
        <f t="shared" si="5037"/>
        <v>#ERROR!</v>
      </c>
      <c r="BU952" s="679" t="str">
        <f t="shared" si="5037"/>
        <v>#ERROR!</v>
      </c>
      <c r="BV952" s="413" t="str">
        <f t="shared" si="5037"/>
        <v>#ERROR!</v>
      </c>
      <c r="BW952" s="413" t="str">
        <f t="shared" si="5037"/>
        <v>#ERROR!</v>
      </c>
      <c r="BX952" s="413" t="str">
        <f t="shared" si="5037"/>
        <v>#ERROR!</v>
      </c>
      <c r="BY952" s="413" t="str">
        <f t="shared" si="5037"/>
        <v>#ERROR!</v>
      </c>
      <c r="BZ952" s="305" t="str">
        <f t="shared" si="5037"/>
        <v>#ERROR!</v>
      </c>
      <c r="CA952" s="413" t="str">
        <f t="shared" si="5037"/>
        <v>#ERROR!</v>
      </c>
      <c r="CB952" s="413" t="str">
        <f t="shared" si="5037"/>
        <v>#ERROR!</v>
      </c>
      <c r="CC952" s="413" t="str">
        <f t="shared" si="5037"/>
        <v>#ERROR!</v>
      </c>
      <c r="CD952" s="413" t="str">
        <f t="shared" si="5037"/>
        <v>#ERROR!</v>
      </c>
      <c r="CE952" s="305" t="str">
        <f t="shared" si="5037"/>
        <v>#ERROR!</v>
      </c>
      <c r="CF952" s="413" t="str">
        <f t="shared" si="5037"/>
        <v>#ERROR!</v>
      </c>
      <c r="CG952" s="413" t="str">
        <f t="shared" si="5037"/>
        <v>#ERROR!</v>
      </c>
      <c r="CH952" s="413" t="str">
        <f t="shared" si="5037"/>
        <v>#ERROR!</v>
      </c>
      <c r="CI952" s="413" t="str">
        <f t="shared" si="5037"/>
        <v>#ERROR!</v>
      </c>
      <c r="CJ952" s="305" t="str">
        <f t="shared" si="5037"/>
        <v>#ERROR!</v>
      </c>
      <c r="CK952" s="413" t="str">
        <f t="shared" si="5037"/>
        <v>#ERROR!</v>
      </c>
      <c r="CL952" s="413" t="str">
        <f t="shared" si="5037"/>
        <v>#ERROR!</v>
      </c>
      <c r="CM952" s="413" t="str">
        <f t="shared" si="5037"/>
        <v>#ERROR!</v>
      </c>
      <c r="CN952" s="416" t="str">
        <f t="shared" si="5037"/>
        <v>#ERROR!</v>
      </c>
      <c r="CO952" s="305" t="str">
        <f t="shared" si="5037"/>
        <v>#ERROR!</v>
      </c>
      <c r="CP952" s="416" t="str">
        <f t="shared" si="5037"/>
        <v>#ERROR!</v>
      </c>
      <c r="CQ952" s="413" t="str">
        <f t="shared" si="5037"/>
        <v>#ERROR!</v>
      </c>
      <c r="CR952" s="413" t="str">
        <f t="shared" si="5037"/>
        <v>#ERROR!</v>
      </c>
      <c r="CS952" s="413" t="str">
        <f t="shared" si="5037"/>
        <v>#ERROR!</v>
      </c>
      <c r="CT952" s="305" t="str">
        <f t="shared" si="5037"/>
        <v>#ERROR!</v>
      </c>
      <c r="CU952" s="413" t="str">
        <f t="shared" si="5037"/>
        <v>#ERROR!</v>
      </c>
      <c r="CV952" s="413" t="str">
        <f t="shared" si="5037"/>
        <v>#ERROR!</v>
      </c>
      <c r="CW952" s="413" t="str">
        <f t="shared" si="5037"/>
        <v>#ERROR!</v>
      </c>
      <c r="CX952" s="413" t="str">
        <f t="shared" si="5037"/>
        <v>#ERROR!</v>
      </c>
      <c r="CY952" s="305" t="str">
        <f t="shared" si="5037"/>
        <v>#ERROR!</v>
      </c>
      <c r="CZ952" s="413" t="str">
        <f t="shared" si="5037"/>
        <v>#ERROR!</v>
      </c>
      <c r="DA952" s="413" t="str">
        <f t="shared" si="5037"/>
        <v>#ERROR!</v>
      </c>
      <c r="DB952" s="413" t="str">
        <f t="shared" si="5037"/>
        <v>#ERROR!</v>
      </c>
      <c r="DC952" s="413" t="str">
        <f t="shared" si="5037"/>
        <v>#ERROR!</v>
      </c>
      <c r="DD952" s="305" t="str">
        <f t="shared" si="5037"/>
        <v>#ERROR!</v>
      </c>
      <c r="DE952" s="413" t="str">
        <f t="shared" si="5037"/>
        <v>#ERROR!</v>
      </c>
      <c r="DF952" s="413" t="str">
        <f t="shared" si="5037"/>
        <v>#ERROR!</v>
      </c>
      <c r="DG952" s="40" t="str">
        <f t="shared" si="5037"/>
        <v>#ERROR!</v>
      </c>
      <c r="DH952" s="413" t="str">
        <f t="shared" si="5037"/>
        <v>#ERROR!</v>
      </c>
      <c r="DI952" s="305" t="str">
        <f t="shared" si="5037"/>
        <v>#ERROR!</v>
      </c>
      <c r="DJ952" s="416" t="str">
        <f t="shared" si="5037"/>
        <v>#ERROR!</v>
      </c>
      <c r="DK952" s="416" t="str">
        <f t="shared" si="5037"/>
        <v>#ERROR!</v>
      </c>
      <c r="DL952" s="416" t="str">
        <f t="shared" si="5037"/>
        <v>#ERROR!</v>
      </c>
      <c r="DM952" s="413" t="str">
        <f t="shared" si="5037"/>
        <v>#ERROR!</v>
      </c>
      <c r="DN952" s="305" t="str">
        <f t="shared" si="5037"/>
        <v>#ERROR!</v>
      </c>
      <c r="DO952" s="413" t="str">
        <f t="shared" si="5037"/>
        <v>#ERROR!</v>
      </c>
      <c r="DP952" s="413" t="str">
        <f t="shared" si="5037"/>
        <v>#ERROR!</v>
      </c>
      <c r="DQ952" s="413" t="str">
        <f t="shared" si="5037"/>
        <v>#ERROR!</v>
      </c>
      <c r="DR952" s="413" t="str">
        <f t="shared" si="5037"/>
        <v>#ERROR!</v>
      </c>
      <c r="DS952" s="305" t="str">
        <f t="shared" si="5037"/>
        <v>#ERROR!</v>
      </c>
      <c r="DT952" s="413" t="str">
        <f t="shared" si="5037"/>
        <v>#ERROR!</v>
      </c>
      <c r="DU952" s="413" t="str">
        <f t="shared" si="5037"/>
        <v>#ERROR!</v>
      </c>
      <c r="DV952" s="413" t="str">
        <f t="shared" si="5037"/>
        <v>#ERROR!</v>
      </c>
      <c r="DW952" s="413" t="str">
        <f t="shared" si="5037"/>
        <v>#ERROR!</v>
      </c>
      <c r="DX952" s="305" t="str">
        <f t="shared" si="5037"/>
        <v>#ERROR!</v>
      </c>
      <c r="DY952" s="413" t="str">
        <f t="shared" si="5037"/>
        <v>#ERROR!</v>
      </c>
      <c r="DZ952" s="413" t="str">
        <f t="shared" si="5037"/>
        <v>#ERROR!</v>
      </c>
      <c r="EA952" s="413" t="str">
        <f t="shared" si="5037"/>
        <v>#ERROR!</v>
      </c>
      <c r="EB952" s="413" t="str">
        <f t="shared" si="5037"/>
        <v>#ERROR!</v>
      </c>
      <c r="EC952" s="305" t="str">
        <f t="shared" si="5037"/>
        <v>#ERROR!</v>
      </c>
      <c r="ED952" s="413" t="str">
        <f t="shared" si="5037"/>
        <v>#ERROR!</v>
      </c>
      <c r="EE952" s="413" t="str">
        <f t="shared" si="5037"/>
        <v>#ERROR!</v>
      </c>
      <c r="EF952" s="413" t="str">
        <f t="shared" si="5037"/>
        <v>#ERROR!</v>
      </c>
      <c r="EG952" s="413" t="str">
        <f t="shared" si="5037"/>
        <v>#ERROR!</v>
      </c>
      <c r="EH952" s="305" t="str">
        <f t="shared" si="5037"/>
        <v>#ERROR!</v>
      </c>
      <c r="EI952" s="420" t="str">
        <f t="shared" si="5037"/>
        <v>#ERROR!</v>
      </c>
      <c r="EJ952" s="413" t="str">
        <f t="shared" si="5037"/>
        <v>#ERROR!</v>
      </c>
      <c r="EK952" s="413" t="str">
        <f t="shared" si="5037"/>
        <v>#ERROR!</v>
      </c>
      <c r="EL952" s="413" t="str">
        <f t="shared" si="5037"/>
        <v>#ERROR!</v>
      </c>
      <c r="EM952" s="305" t="str">
        <f t="shared" si="5037"/>
        <v>#ERROR!</v>
      </c>
      <c r="EN952" s="413" t="str">
        <f t="shared" si="5037"/>
        <v>#ERROR!</v>
      </c>
      <c r="EO952" s="413" t="str">
        <f t="shared" si="5037"/>
        <v>#ERROR!</v>
      </c>
      <c r="EP952" s="413" t="str">
        <f t="shared" si="5037"/>
        <v>#ERROR!</v>
      </c>
      <c r="EQ952" s="413" t="str">
        <f t="shared" si="5037"/>
        <v>#ERROR!</v>
      </c>
      <c r="ER952" s="305" t="str">
        <f t="shared" si="5037"/>
        <v>#ERROR!</v>
      </c>
      <c r="ES952" s="413" t="str">
        <f t="shared" si="5037"/>
        <v>#ERROR!</v>
      </c>
      <c r="ET952" s="413" t="str">
        <f t="shared" si="5037"/>
        <v>#ERROR!</v>
      </c>
      <c r="EU952" s="413" t="str">
        <f t="shared" si="5037"/>
        <v>#ERROR!</v>
      </c>
      <c r="EV952" s="413" t="str">
        <f t="shared" si="5037"/>
        <v>#ERROR!</v>
      </c>
      <c r="EW952" s="305" t="str">
        <f t="shared" si="5037"/>
        <v>#ERROR!</v>
      </c>
      <c r="EX952" s="413" t="str">
        <f t="shared" si="5037"/>
        <v>#ERROR!</v>
      </c>
      <c r="EY952" s="413" t="str">
        <f t="shared" si="5037"/>
        <v>#ERROR!</v>
      </c>
      <c r="EZ952" s="413" t="str">
        <f t="shared" si="5037"/>
        <v>#ERROR!</v>
      </c>
      <c r="FA952" s="413" t="str">
        <f t="shared" si="5037"/>
        <v>#ERROR!</v>
      </c>
      <c r="FB952" s="305" t="str">
        <f t="shared" si="5037"/>
        <v>#ERROR!</v>
      </c>
      <c r="FC952" s="413" t="str">
        <f t="shared" si="5037"/>
        <v>#ERROR!</v>
      </c>
      <c r="FD952" s="413" t="str">
        <f t="shared" si="5037"/>
        <v>#ERROR!</v>
      </c>
      <c r="FE952" s="413" t="str">
        <f t="shared" si="5037"/>
        <v>#ERROR!</v>
      </c>
      <c r="FF952" s="413" t="str">
        <f t="shared" si="5037"/>
        <v>#ERROR!</v>
      </c>
      <c r="FG952" s="305" t="str">
        <f t="shared" si="5037"/>
        <v>#ERROR!</v>
      </c>
      <c r="FH952" s="680"/>
      <c r="FI952" s="413"/>
      <c r="FJ952" s="413"/>
      <c r="FK952" s="679"/>
      <c r="FL952" s="413"/>
    </row>
    <row r="953" ht="12.75" hidden="1" customHeight="1" outlineLevel="1">
      <c r="A953" s="670"/>
      <c r="B953" s="17" t="str">
        <f>[2]MPU!B75</f>
        <v>#ERROR!</v>
      </c>
      <c r="C953" s="17"/>
      <c r="D953" s="17"/>
      <c r="E953" s="17"/>
      <c r="F953" s="17"/>
      <c r="G953" s="17"/>
      <c r="H953" s="112"/>
      <c r="I953" s="17" t="str">
        <f>[2]MPU!I75</f>
        <v>#ERROR!</v>
      </c>
      <c r="J953" s="17" t="str">
        <f>[2]MPU!J75</f>
        <v>#ERROR!</v>
      </c>
      <c r="K953" s="17" t="str">
        <f>[2]MPU!K75</f>
        <v>#ERROR!</v>
      </c>
      <c r="L953" s="17" t="str">
        <f>[2]MPU!L75</f>
        <v>#ERROR!</v>
      </c>
      <c r="M953" s="112" t="str">
        <f>SUM(I953:L953)</f>
        <v>#ERROR!</v>
      </c>
      <c r="N953" s="17" t="str">
        <f>[2]MPU!N75</f>
        <v>#ERROR!</v>
      </c>
      <c r="O953" s="17" t="str">
        <f>[2]MPU!O75</f>
        <v>#ERROR!</v>
      </c>
      <c r="P953" s="17" t="str">
        <f>[2]MPU!P75</f>
        <v>#ERROR!</v>
      </c>
      <c r="Q953" s="17" t="str">
        <f>[2]MPU!Q75</f>
        <v>#ERROR!</v>
      </c>
      <c r="R953" s="112" t="str">
        <f>SUM(N953:Q953)</f>
        <v>#ERROR!</v>
      </c>
      <c r="S953" s="17" t="str">
        <f>[2]MPU!S75</f>
        <v>#ERROR!</v>
      </c>
      <c r="T953" s="17" t="str">
        <f>[2]MPU!T75</f>
        <v>#ERROR!</v>
      </c>
      <c r="U953" s="17" t="str">
        <f>[2]MPU!U75</f>
        <v>#ERROR!</v>
      </c>
      <c r="V953" s="17" t="str">
        <f>[2]MPU!V75</f>
        <v>#ERROR!</v>
      </c>
      <c r="W953" s="112" t="str">
        <f>SUM(S953:V953)</f>
        <v>#ERROR!</v>
      </c>
      <c r="X953" s="17" t="str">
        <f>[2]MPU!X75</f>
        <v>#ERROR!</v>
      </c>
      <c r="Y953" s="17" t="str">
        <f>[2]MPU!Y75</f>
        <v>#ERROR!</v>
      </c>
      <c r="Z953" s="17" t="str">
        <f>[2]MPU!Z75</f>
        <v>#ERROR!</v>
      </c>
      <c r="AA953" s="17" t="str">
        <f>[2]MPU!AA75</f>
        <v>#ERROR!</v>
      </c>
      <c r="AB953" s="112" t="str">
        <f>SUM(X953:AA953)</f>
        <v>#ERROR!</v>
      </c>
      <c r="AC953" s="17" t="str">
        <f>[2]MPU!AC75</f>
        <v>#ERROR!</v>
      </c>
      <c r="AD953" s="17" t="str">
        <f>[2]MPU!AD75</f>
        <v>#ERROR!</v>
      </c>
      <c r="AE953" s="17" t="str">
        <f>[2]MPU!AE75</f>
        <v>#ERROR!</v>
      </c>
      <c r="AF953" s="17" t="str">
        <f>[2]MPU!AF75</f>
        <v>#ERROR!</v>
      </c>
      <c r="AG953" s="112" t="str">
        <f>SUM(AC953:AF953)</f>
        <v>#ERROR!</v>
      </c>
      <c r="AH953" s="17" t="str">
        <f>[2]MPU!AH75</f>
        <v>#ERROR!</v>
      </c>
      <c r="AI953" s="17" t="str">
        <f>[2]MPU!AI75</f>
        <v>#ERROR!</v>
      </c>
      <c r="AJ953" s="17" t="str">
        <f>[2]MPU!AJ75</f>
        <v>#ERROR!</v>
      </c>
      <c r="AK953" s="17" t="str">
        <f>[2]MPU!AK75</f>
        <v>#ERROR!</v>
      </c>
      <c r="AL953" s="112" t="str">
        <f>SUM(AH953:AK953)</f>
        <v>#ERROR!</v>
      </c>
      <c r="AM953" s="17" t="str">
        <f>[2]MPU!AM75</f>
        <v>#ERROR!</v>
      </c>
      <c r="AN953" s="17" t="str">
        <f>[2]MPU!AN75</f>
        <v>#ERROR!</v>
      </c>
      <c r="AO953" s="17" t="str">
        <f>[2]MPU!AO75</f>
        <v>#ERROR!</v>
      </c>
      <c r="AP953" s="17" t="str">
        <f>[2]MPU!AP75</f>
        <v>#ERROR!</v>
      </c>
      <c r="AQ953" s="112" t="str">
        <f>SUM(AM953:AP953)</f>
        <v>#ERROR!</v>
      </c>
      <c r="AR953" s="17" t="str">
        <f>[2]MPU!AR75</f>
        <v>#ERROR!</v>
      </c>
      <c r="AS953" s="17" t="str">
        <f>[2]MPU!AS75</f>
        <v>#ERROR!</v>
      </c>
      <c r="AT953" s="17" t="str">
        <f>[2]MPU!AT75</f>
        <v>#ERROR!</v>
      </c>
      <c r="AU953" s="17" t="str">
        <f>[2]MPU!AU75</f>
        <v>#ERROR!</v>
      </c>
      <c r="AV953" s="112" t="str">
        <f>SUM(AR953:AU953)</f>
        <v>#ERROR!</v>
      </c>
      <c r="AW953" s="17" t="str">
        <f>[2]MPU!AW75</f>
        <v>#ERROR!</v>
      </c>
      <c r="AX953" s="17" t="str">
        <f>[2]MPU!AX75</f>
        <v>#ERROR!</v>
      </c>
      <c r="AY953" s="17" t="str">
        <f>[2]MPU!AY75</f>
        <v>#ERROR!</v>
      </c>
      <c r="AZ953" s="17" t="str">
        <f>[2]MPU!AZ75</f>
        <v>#ERROR!</v>
      </c>
      <c r="BA953" s="112" t="str">
        <f>SUM(AW953:AZ953)</f>
        <v>#ERROR!</v>
      </c>
      <c r="BB953" s="17" t="str">
        <f>[2]MPU!BB75</f>
        <v>#ERROR!</v>
      </c>
      <c r="BC953" s="17" t="str">
        <f>[2]MPU!BC75</f>
        <v>#ERROR!</v>
      </c>
      <c r="BD953" s="17" t="str">
        <f>[2]MPU!BD75</f>
        <v>#ERROR!</v>
      </c>
      <c r="BE953" s="17" t="str">
        <f>[2]MPU!BE75</f>
        <v>#ERROR!</v>
      </c>
      <c r="BF953" s="112" t="str">
        <f>SUM(BB953:BE953)</f>
        <v>#ERROR!</v>
      </c>
      <c r="BG953" s="17" t="str">
        <f>[2]MPU!BG75</f>
        <v>#ERROR!</v>
      </c>
      <c r="BH953" s="17" t="str">
        <f>[2]MPU!BH75</f>
        <v>#ERROR!</v>
      </c>
      <c r="BI953" s="17" t="str">
        <f>[2]MPU!BI75</f>
        <v>#ERROR!</v>
      </c>
      <c r="BJ953" s="17" t="str">
        <f>[2]MPU!BJ75</f>
        <v>#ERROR!</v>
      </c>
      <c r="BK953" s="112" t="str">
        <f>SUM(BG953:BJ953)</f>
        <v>#ERROR!</v>
      </c>
      <c r="BL953" s="17" t="str">
        <f>[2]MPU!BL75</f>
        <v>#ERROR!</v>
      </c>
      <c r="BM953" s="17" t="str">
        <f>[2]MPU!BM75</f>
        <v>#ERROR!</v>
      </c>
      <c r="BN953" s="17" t="str">
        <f>[2]MPU!BN75</f>
        <v>#ERROR!</v>
      </c>
      <c r="BO953" s="17" t="str">
        <f>[2]MPU!BO75</f>
        <v>#ERROR!</v>
      </c>
      <c r="BP953" s="112" t="str">
        <f>SUM(BL953:BO953)</f>
        <v>#ERROR!</v>
      </c>
      <c r="BQ953" s="17" t="str">
        <f>[2]MPU!BQ75</f>
        <v>#ERROR!</v>
      </c>
      <c r="BR953" s="17" t="str">
        <f>[2]MPU!BR75</f>
        <v>#ERROR!</v>
      </c>
      <c r="BS953" s="17" t="str">
        <f>[2]MPU!BS75</f>
        <v>#ERROR!</v>
      </c>
      <c r="BT953" s="17" t="str">
        <f>[2]MPU!BT75</f>
        <v>#ERROR!</v>
      </c>
      <c r="BU953" s="112" t="str">
        <f>SUM(BQ953:BT953)</f>
        <v>#ERROR!</v>
      </c>
      <c r="BV953" s="17" t="str">
        <f>[2]MPU!BV75</f>
        <v>#ERROR!</v>
      </c>
      <c r="BW953" s="17" t="str">
        <f>[2]MPU!BW75</f>
        <v>#ERROR!</v>
      </c>
      <c r="BX953" s="17" t="str">
        <f>[2]MPU!BX75</f>
        <v>#ERROR!</v>
      </c>
      <c r="BY953" s="17" t="str">
        <f>[2]MPU!BY75</f>
        <v>#ERROR!</v>
      </c>
      <c r="BZ953" s="80" t="str">
        <f>SUM(BV953:BY953)</f>
        <v>#ERROR!</v>
      </c>
      <c r="CA953" s="17" t="str">
        <f>[2]MPU!CA75</f>
        <v>#ERROR!</v>
      </c>
      <c r="CB953" s="17" t="str">
        <f>[2]MPU!CB75</f>
        <v>#ERROR!</v>
      </c>
      <c r="CC953" s="17" t="str">
        <f>[2]MPU!CC75</f>
        <v>#ERROR!</v>
      </c>
      <c r="CD953" s="17" t="str">
        <f>[2]MPU!CD75</f>
        <v>#ERROR!</v>
      </c>
      <c r="CE953" s="80" t="str">
        <f>SUM(CA953:CD953)</f>
        <v>#ERROR!</v>
      </c>
      <c r="CF953" s="17" t="str">
        <f>[2]MPU!CF75</f>
        <v>#ERROR!</v>
      </c>
      <c r="CG953" s="17" t="str">
        <f>[2]MPU!CG75</f>
        <v>#ERROR!</v>
      </c>
      <c r="CH953" s="17" t="str">
        <f>[2]MPU!CH75</f>
        <v>#ERROR!</v>
      </c>
      <c r="CI953" s="17" t="str">
        <f>[2]MPU!CI75</f>
        <v>#ERROR!</v>
      </c>
      <c r="CJ953" s="80" t="str">
        <f>SUM(CF953:CI953)</f>
        <v>#ERROR!</v>
      </c>
      <c r="CK953" s="17" t="str">
        <f>[2]MPU!CK75</f>
        <v>#ERROR!</v>
      </c>
      <c r="CL953" s="17" t="str">
        <f>[2]MPU!CL75</f>
        <v>#ERROR!</v>
      </c>
      <c r="CM953" s="17" t="str">
        <f>[2]MPU!CM75</f>
        <v>#ERROR!</v>
      </c>
      <c r="CN953" s="19" t="str">
        <f>[2]MPU!CN75</f>
        <v>#ERROR!</v>
      </c>
      <c r="CO953" s="80" t="str">
        <f>SUM(CK953:CN953)</f>
        <v>#ERROR!</v>
      </c>
      <c r="CP953" s="19" t="str">
        <f>[2]MPU!CP75</f>
        <v>#ERROR!</v>
      </c>
      <c r="CQ953" s="17" t="str">
        <f>[2]MPU!CQ75</f>
        <v>#ERROR!</v>
      </c>
      <c r="CR953" s="17" t="str">
        <f>[2]MPU!CR75</f>
        <v>#ERROR!</v>
      </c>
      <c r="CS953" s="17" t="str">
        <f>[2]MPU!CS75</f>
        <v>#ERROR!</v>
      </c>
      <c r="CT953" s="80" t="str">
        <f>SUM(CP953:CS953)</f>
        <v>#ERROR!</v>
      </c>
      <c r="CU953" s="17" t="str">
        <f>[2]MPU!CU75</f>
        <v>#ERROR!</v>
      </c>
      <c r="CV953" s="17" t="str">
        <f>[2]MPU!CV75</f>
        <v>#ERROR!</v>
      </c>
      <c r="CW953" s="17" t="str">
        <f>[2]MPU!CW75</f>
        <v>#ERROR!</v>
      </c>
      <c r="CX953" s="17" t="str">
        <f>[2]MPU!CX75</f>
        <v>#ERROR!</v>
      </c>
      <c r="CY953" s="80" t="str">
        <f>SUM(CU953:CX953)</f>
        <v>#ERROR!</v>
      </c>
      <c r="CZ953" s="17" t="str">
        <f>[2]MPU!CZ75</f>
        <v>#ERROR!</v>
      </c>
      <c r="DA953" s="17" t="str">
        <f>[2]MPU!DA75</f>
        <v>#ERROR!</v>
      </c>
      <c r="DB953" s="17" t="str">
        <f>[2]MPU!DB75</f>
        <v>#ERROR!</v>
      </c>
      <c r="DC953" s="17" t="str">
        <f>[2]MPU!DC75</f>
        <v>#ERROR!</v>
      </c>
      <c r="DD953" s="80" t="str">
        <f>SUM(CZ953:DC953)</f>
        <v>#ERROR!</v>
      </c>
      <c r="DE953" s="17" t="str">
        <f>[2]MPU!DE75</f>
        <v>#ERROR!</v>
      </c>
      <c r="DF953" s="17" t="str">
        <f>[2]MPU!DF75</f>
        <v>#ERROR!</v>
      </c>
      <c r="DG953" s="19" t="str">
        <f>[2]MPU!DG75</f>
        <v>#ERROR!</v>
      </c>
      <c r="DH953" s="17" t="str">
        <f>[2]MPU!DH75</f>
        <v>#ERROR!</v>
      </c>
      <c r="DI953" s="80" t="str">
        <f>SUM(DE953:DH953)</f>
        <v>#ERROR!</v>
      </c>
      <c r="DJ953" s="19" t="str">
        <f>[2]MPU!DJ75</f>
        <v>#ERROR!</v>
      </c>
      <c r="DK953" s="19" t="str">
        <f>[2]MPU!DK75</f>
        <v>#ERROR!</v>
      </c>
      <c r="DL953" s="19" t="str">
        <f>[2]MPU!DL75</f>
        <v>#ERROR!</v>
      </c>
      <c r="DM953" s="17" t="str">
        <f>[2]MPU!DM75</f>
        <v>#ERROR!</v>
      </c>
      <c r="DN953" s="80" t="str">
        <f>SUM(DJ953:DM953)</f>
        <v>#ERROR!</v>
      </c>
      <c r="DO953" s="17" t="str">
        <f>[2]MPU!DT75</f>
        <v>#ERROR!</v>
      </c>
      <c r="DP953" s="17" t="str">
        <f>[2]MPU!DU75</f>
        <v>#ERROR!</v>
      </c>
      <c r="DQ953" s="17" t="str">
        <f>[2]MPU!DV75</f>
        <v>#ERROR!</v>
      </c>
      <c r="DR953" s="17" t="str">
        <f>[2]MPU!DW75</f>
        <v>#ERROR!</v>
      </c>
      <c r="DS953" s="80" t="str">
        <f>SUM(DO953:DR953)</f>
        <v>#ERROR!</v>
      </c>
      <c r="DT953" s="17" t="str">
        <f>[2]MPU!DY75</f>
        <v>#ERROR!</v>
      </c>
      <c r="DU953" s="17" t="str">
        <f>[2]MPU!DZ75</f>
        <v>#ERROR!</v>
      </c>
      <c r="DV953" s="17" t="str">
        <f>[2]MPU!EA75</f>
        <v>#ERROR!</v>
      </c>
      <c r="DW953" s="17" t="str">
        <f>[2]MPU!EB75</f>
        <v>#ERROR!</v>
      </c>
      <c r="DX953" s="80" t="str">
        <f>SUM(DT953:DW953)</f>
        <v>#ERROR!</v>
      </c>
      <c r="DY953" s="17" t="str">
        <f>[2]MPU!ED75</f>
        <v>#ERROR!</v>
      </c>
      <c r="DZ953" s="17" t="str">
        <f>[2]MPU!EE75</f>
        <v>#ERROR!</v>
      </c>
      <c r="EA953" s="17" t="str">
        <f>[2]MPU!EF75</f>
        <v>#ERROR!</v>
      </c>
      <c r="EB953" s="17" t="str">
        <f>[2]MPU!EG75</f>
        <v>#ERROR!</v>
      </c>
      <c r="EC953" s="80" t="str">
        <f>SUM(DY953:EB953)</f>
        <v>#ERROR!</v>
      </c>
      <c r="ED953" s="17" t="str">
        <f>[2]MPU!EI75</f>
        <v>#ERROR!</v>
      </c>
      <c r="EE953" s="17" t="str">
        <f>[2]MPU!EJ75</f>
        <v>#ERROR!</v>
      </c>
      <c r="EF953" s="17" t="str">
        <f>[2]MPU!#REF!</f>
        <v>#ERROR!</v>
      </c>
      <c r="EG953" s="17" t="str">
        <f>[2]MPU!#REF!</f>
        <v>#ERROR!</v>
      </c>
      <c r="EH953" s="80" t="str">
        <f>SUM(ED953:EG953)</f>
        <v>#ERROR!</v>
      </c>
      <c r="EI953" s="25" t="str">
        <f>[2]MPU!#REF!</f>
        <v>#ERROR!</v>
      </c>
      <c r="EJ953" s="17" t="str">
        <f>[2]MPU!#REF!</f>
        <v>#ERROR!</v>
      </c>
      <c r="EK953" s="17" t="str">
        <f>[2]MPU!#REF!</f>
        <v>#ERROR!</v>
      </c>
      <c r="EL953" s="17" t="str">
        <f>[2]MPU!#REF!</f>
        <v>#ERROR!</v>
      </c>
      <c r="EM953" s="80" t="str">
        <f>SUM(EI953:EL953)</f>
        <v>#ERROR!</v>
      </c>
      <c r="EN953" s="17" t="str">
        <f>[2]MPU!#REF!</f>
        <v>#ERROR!</v>
      </c>
      <c r="EO953" s="17" t="str">
        <f>[2]MPU!#REF!</f>
        <v>#ERROR!</v>
      </c>
      <c r="EP953" s="17" t="str">
        <f>[2]MPU!#REF!</f>
        <v>#ERROR!</v>
      </c>
      <c r="EQ953" s="17" t="str">
        <f>[2]MPU!#REF!</f>
        <v>#ERROR!</v>
      </c>
      <c r="ER953" s="80" t="str">
        <f>SUM(EN953:EQ953)</f>
        <v>#ERROR!</v>
      </c>
      <c r="ES953" s="17" t="str">
        <f>[2]MPU!#REF!</f>
        <v>#ERROR!</v>
      </c>
      <c r="ET953" s="17" t="str">
        <f>[2]MPU!#REF!</f>
        <v>#ERROR!</v>
      </c>
      <c r="EU953" s="17" t="str">
        <f>[2]MPU!#REF!</f>
        <v>#ERROR!</v>
      </c>
      <c r="EV953" s="17" t="str">
        <f>[2]MPU!#REF!</f>
        <v>#ERROR!</v>
      </c>
      <c r="EW953" s="80" t="str">
        <f>SUM(ES953:EV953)</f>
        <v>#ERROR!</v>
      </c>
      <c r="EX953" s="17" t="str">
        <f>[2]MPU!#REF!</f>
        <v>#ERROR!</v>
      </c>
      <c r="EY953" s="17" t="str">
        <f>[2]MPU!#REF!</f>
        <v>#ERROR!</v>
      </c>
      <c r="EZ953" s="17" t="str">
        <f>[2]MPU!#REF!</f>
        <v>#ERROR!</v>
      </c>
      <c r="FA953" s="17" t="str">
        <f>[2]MPU!#REF!</f>
        <v>#ERROR!</v>
      </c>
      <c r="FB953" s="80" t="str">
        <f>SUM(EX953:FA953)</f>
        <v>#ERROR!</v>
      </c>
      <c r="FC953" s="17" t="str">
        <f>[2]MPU!#REF!</f>
        <v>#ERROR!</v>
      </c>
      <c r="FD953" s="17" t="str">
        <f>[2]MPU!#REF!</f>
        <v>#ERROR!</v>
      </c>
      <c r="FE953" s="17" t="str">
        <f>[2]MPU!#REF!</f>
        <v>#ERROR!</v>
      </c>
      <c r="FF953" s="17" t="str">
        <f>[2]MPU!#REF!</f>
        <v>#ERROR!</v>
      </c>
      <c r="FG953" s="80" t="str">
        <f>SUM(FC953:FF953)</f>
        <v>#ERROR!</v>
      </c>
      <c r="FH953" s="146"/>
      <c r="FI953" s="17"/>
      <c r="FJ953" s="17"/>
      <c r="FK953" s="112"/>
      <c r="FL953" s="17"/>
    </row>
    <row r="954" ht="12.75" hidden="1" customHeight="1" outlineLevel="1">
      <c r="A954" s="17"/>
      <c r="B954" s="17" t="s">
        <v>345</v>
      </c>
      <c r="C954" s="17"/>
      <c r="D954" s="15"/>
      <c r="E954" s="15"/>
      <c r="F954" s="15"/>
      <c r="G954" s="15"/>
      <c r="H954" s="410"/>
      <c r="I954" s="15"/>
      <c r="J954" s="15" t="str">
        <f t="shared" ref="J954:L954" si="5038">J953/I953-1</f>
        <v>#ERROR!</v>
      </c>
      <c r="K954" s="15" t="str">
        <f t="shared" si="5038"/>
        <v>#ERROR!</v>
      </c>
      <c r="L954" s="15" t="str">
        <f t="shared" si="5038"/>
        <v>#ERROR!</v>
      </c>
      <c r="M954" s="410"/>
      <c r="N954" s="15"/>
      <c r="O954" s="15" t="str">
        <f t="shared" ref="O954:Q954" si="5039">O953/N953-1</f>
        <v>#ERROR!</v>
      </c>
      <c r="P954" s="15" t="str">
        <f t="shared" si="5039"/>
        <v>#ERROR!</v>
      </c>
      <c r="Q954" s="15" t="str">
        <f t="shared" si="5039"/>
        <v>#ERROR!</v>
      </c>
      <c r="R954" s="410"/>
      <c r="S954" s="15"/>
      <c r="T954" s="15" t="str">
        <f t="shared" ref="T954:V954" si="5040">T953/S953-1</f>
        <v>#ERROR!</v>
      </c>
      <c r="U954" s="15" t="str">
        <f t="shared" si="5040"/>
        <v>#ERROR!</v>
      </c>
      <c r="V954" s="15" t="str">
        <f t="shared" si="5040"/>
        <v>#ERROR!</v>
      </c>
      <c r="W954" s="410"/>
      <c r="X954" s="15"/>
      <c r="Y954" s="15" t="str">
        <f t="shared" ref="Y954:AA954" si="5041">Y953/X953-1</f>
        <v>#ERROR!</v>
      </c>
      <c r="Z954" s="15" t="str">
        <f t="shared" si="5041"/>
        <v>#ERROR!</v>
      </c>
      <c r="AA954" s="15" t="str">
        <f t="shared" si="5041"/>
        <v>#ERROR!</v>
      </c>
      <c r="AB954" s="410"/>
      <c r="AC954" s="15" t="str">
        <f>AC953/AA953-1</f>
        <v>#ERROR!</v>
      </c>
      <c r="AD954" s="15" t="str">
        <f t="shared" ref="AD954:AF954" si="5042">AD953/AC953-1</f>
        <v>#ERROR!</v>
      </c>
      <c r="AE954" s="15" t="str">
        <f t="shared" si="5042"/>
        <v>#ERROR!</v>
      </c>
      <c r="AF954" s="15" t="str">
        <f t="shared" si="5042"/>
        <v>#ERROR!</v>
      </c>
      <c r="AG954" s="410"/>
      <c r="AH954" s="15" t="str">
        <f>AH953/AF953-1</f>
        <v>#ERROR!</v>
      </c>
      <c r="AI954" s="15" t="str">
        <f t="shared" ref="AI954:AK954" si="5043">AI953/AH953-1</f>
        <v>#ERROR!</v>
      </c>
      <c r="AJ954" s="15" t="str">
        <f t="shared" si="5043"/>
        <v>#ERROR!</v>
      </c>
      <c r="AK954" s="15" t="str">
        <f t="shared" si="5043"/>
        <v>#ERROR!</v>
      </c>
      <c r="AL954" s="410"/>
      <c r="AM954" s="15" t="str">
        <f>AM953/AK953-1</f>
        <v>#ERROR!</v>
      </c>
      <c r="AN954" s="15" t="str">
        <f t="shared" ref="AN954:AP954" si="5044">AN953/AM953-1</f>
        <v>#ERROR!</v>
      </c>
      <c r="AO954" s="15" t="str">
        <f t="shared" si="5044"/>
        <v>#ERROR!</v>
      </c>
      <c r="AP954" s="15" t="str">
        <f t="shared" si="5044"/>
        <v>#ERROR!</v>
      </c>
      <c r="AQ954" s="410"/>
      <c r="AR954" s="15" t="str">
        <f>AR953/AP953-1</f>
        <v>#ERROR!</v>
      </c>
      <c r="AS954" s="15" t="str">
        <f t="shared" ref="AS954:AU954" si="5045">AS953/AR953-1</f>
        <v>#ERROR!</v>
      </c>
      <c r="AT954" s="15" t="str">
        <f t="shared" si="5045"/>
        <v>#ERROR!</v>
      </c>
      <c r="AU954" s="15" t="str">
        <f t="shared" si="5045"/>
        <v>#ERROR!</v>
      </c>
      <c r="AV954" s="410"/>
      <c r="AW954" s="15" t="str">
        <f>AW953/AU953-1</f>
        <v>#ERROR!</v>
      </c>
      <c r="AX954" s="15" t="str">
        <f t="shared" ref="AX954:AZ954" si="5046">AX953/AW953-1</f>
        <v>#ERROR!</v>
      </c>
      <c r="AY954" s="15" t="str">
        <f t="shared" si="5046"/>
        <v>#ERROR!</v>
      </c>
      <c r="AZ954" s="15" t="str">
        <f t="shared" si="5046"/>
        <v>#ERROR!</v>
      </c>
      <c r="BA954" s="410"/>
      <c r="BB954" s="15" t="str">
        <f>BB953/AZ953-1</f>
        <v>#ERROR!</v>
      </c>
      <c r="BC954" s="15" t="str">
        <f t="shared" ref="BC954:BE954" si="5047">BC953/BB953-1</f>
        <v>#ERROR!</v>
      </c>
      <c r="BD954" s="15" t="str">
        <f t="shared" si="5047"/>
        <v>#ERROR!</v>
      </c>
      <c r="BE954" s="15" t="str">
        <f t="shared" si="5047"/>
        <v>#ERROR!</v>
      </c>
      <c r="BF954" s="410"/>
      <c r="BG954" s="15" t="str">
        <f>BG953/BE953-1</f>
        <v>#ERROR!</v>
      </c>
      <c r="BH954" s="15" t="str">
        <f t="shared" ref="BH954:BJ954" si="5048">BH953/BG953-1</f>
        <v>#ERROR!</v>
      </c>
      <c r="BI954" s="15" t="str">
        <f t="shared" si="5048"/>
        <v>#ERROR!</v>
      </c>
      <c r="BJ954" s="15" t="str">
        <f t="shared" si="5048"/>
        <v>#ERROR!</v>
      </c>
      <c r="BK954" s="410"/>
      <c r="BL954" s="15" t="str">
        <f>BL953/BJ953-1</f>
        <v>#ERROR!</v>
      </c>
      <c r="BM954" s="15" t="str">
        <f t="shared" ref="BM954:BO954" si="5049">BM953/BL953-1</f>
        <v>#ERROR!</v>
      </c>
      <c r="BN954" s="15" t="str">
        <f t="shared" si="5049"/>
        <v>#ERROR!</v>
      </c>
      <c r="BO954" s="15" t="str">
        <f t="shared" si="5049"/>
        <v>#ERROR!</v>
      </c>
      <c r="BP954" s="410"/>
      <c r="BQ954" s="15" t="str">
        <f>BQ953/BO953-1</f>
        <v>#ERROR!</v>
      </c>
      <c r="BR954" s="15" t="str">
        <f t="shared" ref="BR954:BT954" si="5050">BR953/BQ953-1</f>
        <v>#ERROR!</v>
      </c>
      <c r="BS954" s="15" t="str">
        <f t="shared" si="5050"/>
        <v>#ERROR!</v>
      </c>
      <c r="BT954" s="15" t="str">
        <f t="shared" si="5050"/>
        <v>#ERROR!</v>
      </c>
      <c r="BU954" s="410"/>
      <c r="BV954" s="15" t="str">
        <f>BV953/BT953-1</f>
        <v>#ERROR!</v>
      </c>
      <c r="BW954" s="15" t="str">
        <f t="shared" ref="BW954:BY954" si="5051">BW953/BV953-1</f>
        <v>#ERROR!</v>
      </c>
      <c r="BX954" s="15" t="str">
        <f t="shared" si="5051"/>
        <v>#ERROR!</v>
      </c>
      <c r="BY954" s="15" t="str">
        <f t="shared" si="5051"/>
        <v>#ERROR!</v>
      </c>
      <c r="BZ954" s="24"/>
      <c r="CA954" s="15" t="str">
        <f>CA953/BY953-1</f>
        <v>#ERROR!</v>
      </c>
      <c r="CB954" s="15" t="str">
        <f t="shared" ref="CB954:CD954" si="5052">CB953/CA953-1</f>
        <v>#ERROR!</v>
      </c>
      <c r="CC954" s="15" t="str">
        <f t="shared" si="5052"/>
        <v>#ERROR!</v>
      </c>
      <c r="CD954" s="15" t="str">
        <f t="shared" si="5052"/>
        <v>#ERROR!</v>
      </c>
      <c r="CE954" s="24"/>
      <c r="CF954" s="15" t="str">
        <f>CF953/CD953-1</f>
        <v>#ERROR!</v>
      </c>
      <c r="CG954" s="15" t="str">
        <f t="shared" ref="CG954:CI954" si="5053">CG953/CF953-1</f>
        <v>#ERROR!</v>
      </c>
      <c r="CH954" s="15" t="str">
        <f t="shared" si="5053"/>
        <v>#ERROR!</v>
      </c>
      <c r="CI954" s="15" t="str">
        <f t="shared" si="5053"/>
        <v>#ERROR!</v>
      </c>
      <c r="CJ954" s="24"/>
      <c r="CK954" s="15" t="str">
        <f>CK953/CI953-1</f>
        <v>#ERROR!</v>
      </c>
      <c r="CL954" s="15" t="str">
        <f t="shared" ref="CL954:CN954" si="5054">CL953/CK953-1</f>
        <v>#ERROR!</v>
      </c>
      <c r="CM954" s="15" t="str">
        <f t="shared" si="5054"/>
        <v>#ERROR!</v>
      </c>
      <c r="CN954" s="40" t="str">
        <f t="shared" si="5054"/>
        <v>#ERROR!</v>
      </c>
      <c r="CO954" s="24"/>
      <c r="CP954" s="40" t="str">
        <f>CP953/CN953-1</f>
        <v>#ERROR!</v>
      </c>
      <c r="CQ954" s="15" t="str">
        <f t="shared" ref="CQ954:CS954" si="5055">CQ953/CP953-1</f>
        <v>#ERROR!</v>
      </c>
      <c r="CR954" s="15" t="str">
        <f t="shared" si="5055"/>
        <v>#ERROR!</v>
      </c>
      <c r="CS954" s="15" t="str">
        <f t="shared" si="5055"/>
        <v>#ERROR!</v>
      </c>
      <c r="CT954" s="24"/>
      <c r="CU954" s="15" t="str">
        <f>CU953/CS953-1</f>
        <v>#ERROR!</v>
      </c>
      <c r="CV954" s="15" t="str">
        <f t="shared" ref="CV954:CX954" si="5056">CV953/CU953-1</f>
        <v>#ERROR!</v>
      </c>
      <c r="CW954" s="15" t="str">
        <f t="shared" si="5056"/>
        <v>#ERROR!</v>
      </c>
      <c r="CX954" s="15" t="str">
        <f t="shared" si="5056"/>
        <v>#ERROR!</v>
      </c>
      <c r="CY954" s="24"/>
      <c r="CZ954" s="15" t="str">
        <f>CZ953/CX953-1</f>
        <v>#ERROR!</v>
      </c>
      <c r="DA954" s="15" t="str">
        <f t="shared" ref="DA954:DC954" si="5057">DA953/CZ953-1</f>
        <v>#ERROR!</v>
      </c>
      <c r="DB954" s="15" t="str">
        <f t="shared" si="5057"/>
        <v>#ERROR!</v>
      </c>
      <c r="DC954" s="15" t="str">
        <f t="shared" si="5057"/>
        <v>#ERROR!</v>
      </c>
      <c r="DD954" s="24"/>
      <c r="DE954" s="15" t="str">
        <f>DE953/DC953-1</f>
        <v>#ERROR!</v>
      </c>
      <c r="DF954" s="15" t="str">
        <f t="shared" ref="DF954:DH954" si="5058">DF953/DE953-1</f>
        <v>#ERROR!</v>
      </c>
      <c r="DG954" s="40" t="str">
        <f t="shared" si="5058"/>
        <v>#ERROR!</v>
      </c>
      <c r="DH954" s="15" t="str">
        <f t="shared" si="5058"/>
        <v>#ERROR!</v>
      </c>
      <c r="DI954" s="24"/>
      <c r="DJ954" s="40" t="str">
        <f>DJ953/DH953-1</f>
        <v>#ERROR!</v>
      </c>
      <c r="DK954" s="40" t="str">
        <f t="shared" ref="DK954:DM954" si="5059">DK953/DJ953-1</f>
        <v>#ERROR!</v>
      </c>
      <c r="DL954" s="40" t="str">
        <f t="shared" si="5059"/>
        <v>#ERROR!</v>
      </c>
      <c r="DM954" s="15" t="str">
        <f t="shared" si="5059"/>
        <v>#ERROR!</v>
      </c>
      <c r="DN954" s="24"/>
      <c r="DO954" s="15" t="str">
        <f>DO953/DM953-1</f>
        <v>#ERROR!</v>
      </c>
      <c r="DP954" s="15" t="str">
        <f t="shared" ref="DP954:DR954" si="5060">DP953/DO953-1</f>
        <v>#ERROR!</v>
      </c>
      <c r="DQ954" s="15" t="str">
        <f t="shared" si="5060"/>
        <v>#ERROR!</v>
      </c>
      <c r="DR954" s="15" t="str">
        <f t="shared" si="5060"/>
        <v>#ERROR!</v>
      </c>
      <c r="DS954" s="24"/>
      <c r="DT954" s="15" t="str">
        <f>DT953/DR953-1</f>
        <v>#ERROR!</v>
      </c>
      <c r="DU954" s="15" t="str">
        <f t="shared" ref="DU954:DW954" si="5061">DU953/DT953-1</f>
        <v>#ERROR!</v>
      </c>
      <c r="DV954" s="15" t="str">
        <f t="shared" si="5061"/>
        <v>#ERROR!</v>
      </c>
      <c r="DW954" s="15" t="str">
        <f t="shared" si="5061"/>
        <v>#ERROR!</v>
      </c>
      <c r="DX954" s="24"/>
      <c r="DY954" s="15" t="str">
        <f>DY953/DW953-1</f>
        <v>#ERROR!</v>
      </c>
      <c r="DZ954" s="15" t="str">
        <f t="shared" ref="DZ954:EB954" si="5062">DZ953/DY953-1</f>
        <v>#ERROR!</v>
      </c>
      <c r="EA954" s="15" t="str">
        <f t="shared" si="5062"/>
        <v>#ERROR!</v>
      </c>
      <c r="EB954" s="15" t="str">
        <f t="shared" si="5062"/>
        <v>#ERROR!</v>
      </c>
      <c r="EC954" s="24"/>
      <c r="ED954" s="15" t="str">
        <f>ED953/EB953-1</f>
        <v>#ERROR!</v>
      </c>
      <c r="EE954" s="15" t="str">
        <f t="shared" ref="EE954:EG954" si="5063">EE953/ED953-1</f>
        <v>#ERROR!</v>
      </c>
      <c r="EF954" s="15" t="str">
        <f t="shared" si="5063"/>
        <v>#ERROR!</v>
      </c>
      <c r="EG954" s="15" t="str">
        <f t="shared" si="5063"/>
        <v>#ERROR!</v>
      </c>
      <c r="EH954" s="24"/>
      <c r="EI954" s="82" t="str">
        <f>EI953/EG953-1</f>
        <v>#ERROR!</v>
      </c>
      <c r="EJ954" s="15" t="str">
        <f t="shared" ref="EJ954:EL954" si="5064">EJ953/EI953-1</f>
        <v>#ERROR!</v>
      </c>
      <c r="EK954" s="15" t="str">
        <f t="shared" si="5064"/>
        <v>#ERROR!</v>
      </c>
      <c r="EL954" s="15" t="str">
        <f t="shared" si="5064"/>
        <v>#ERROR!</v>
      </c>
      <c r="EM954" s="24"/>
      <c r="EN954" s="15" t="str">
        <f>EN953/EL953-1</f>
        <v>#ERROR!</v>
      </c>
      <c r="EO954" s="15" t="str">
        <f t="shared" ref="EO954:EQ954" si="5065">EO953/EN953-1</f>
        <v>#ERROR!</v>
      </c>
      <c r="EP954" s="15" t="str">
        <f t="shared" si="5065"/>
        <v>#ERROR!</v>
      </c>
      <c r="EQ954" s="15" t="str">
        <f t="shared" si="5065"/>
        <v>#ERROR!</v>
      </c>
      <c r="ER954" s="24"/>
      <c r="ES954" s="15" t="str">
        <f>ES953/EQ953-1</f>
        <v>#ERROR!</v>
      </c>
      <c r="ET954" s="15" t="str">
        <f t="shared" ref="ET954:EV954" si="5066">ET953/ES953-1</f>
        <v>#ERROR!</v>
      </c>
      <c r="EU954" s="15" t="str">
        <f t="shared" si="5066"/>
        <v>#ERROR!</v>
      </c>
      <c r="EV954" s="15" t="str">
        <f t="shared" si="5066"/>
        <v>#ERROR!</v>
      </c>
      <c r="EW954" s="24"/>
      <c r="EX954" s="15" t="str">
        <f>EX953/EV953-1</f>
        <v>#ERROR!</v>
      </c>
      <c r="EY954" s="15" t="str">
        <f t="shared" ref="EY954:FA954" si="5067">EY953/EX953-1</f>
        <v>#ERROR!</v>
      </c>
      <c r="EZ954" s="15" t="str">
        <f t="shared" si="5067"/>
        <v>#ERROR!</v>
      </c>
      <c r="FA954" s="15" t="str">
        <f t="shared" si="5067"/>
        <v>#ERROR!</v>
      </c>
      <c r="FB954" s="24"/>
      <c r="FC954" s="15" t="str">
        <f>FC953/FA953-1</f>
        <v>#ERROR!</v>
      </c>
      <c r="FD954" s="15" t="str">
        <f t="shared" ref="FD954:FF954" si="5068">FD953/FC953-1</f>
        <v>#ERROR!</v>
      </c>
      <c r="FE954" s="15" t="str">
        <f t="shared" si="5068"/>
        <v>#ERROR!</v>
      </c>
      <c r="FF954" s="15" t="str">
        <f t="shared" si="5068"/>
        <v>#ERROR!</v>
      </c>
      <c r="FG954" s="24"/>
      <c r="FH954" s="104"/>
      <c r="FI954" s="15"/>
      <c r="FJ954" s="15"/>
      <c r="FK954" s="410"/>
      <c r="FL954" s="15"/>
    </row>
    <row r="955" ht="12.75" hidden="1" customHeight="1" outlineLevel="1">
      <c r="A955" s="17"/>
      <c r="B955" s="92" t="s">
        <v>346</v>
      </c>
      <c r="C955" s="92"/>
      <c r="D955" s="413"/>
      <c r="E955" s="413"/>
      <c r="F955" s="413"/>
      <c r="G955" s="413"/>
      <c r="H955" s="679"/>
      <c r="I955" s="413"/>
      <c r="J955" s="413"/>
      <c r="K955" s="413"/>
      <c r="L955" s="413"/>
      <c r="M955" s="679"/>
      <c r="N955" s="413"/>
      <c r="O955" s="413"/>
      <c r="P955" s="413"/>
      <c r="Q955" s="413"/>
      <c r="R955" s="679"/>
      <c r="S955" s="413"/>
      <c r="T955" s="413"/>
      <c r="U955" s="413"/>
      <c r="V955" s="413"/>
      <c r="W955" s="679"/>
      <c r="X955" s="413"/>
      <c r="Y955" s="413"/>
      <c r="Z955" s="413"/>
      <c r="AA955" s="413"/>
      <c r="AB955" s="679"/>
      <c r="AC955" s="413" t="str">
        <f t="shared" ref="AC955:FG955" si="5069">AC953/X953-1</f>
        <v>#ERROR!</v>
      </c>
      <c r="AD955" s="413" t="str">
        <f t="shared" si="5069"/>
        <v>#ERROR!</v>
      </c>
      <c r="AE955" s="413" t="str">
        <f t="shared" si="5069"/>
        <v>#ERROR!</v>
      </c>
      <c r="AF955" s="413" t="str">
        <f t="shared" si="5069"/>
        <v>#ERROR!</v>
      </c>
      <c r="AG955" s="679" t="str">
        <f t="shared" si="5069"/>
        <v>#ERROR!</v>
      </c>
      <c r="AH955" s="413" t="str">
        <f t="shared" si="5069"/>
        <v>#ERROR!</v>
      </c>
      <c r="AI955" s="413" t="str">
        <f t="shared" si="5069"/>
        <v>#ERROR!</v>
      </c>
      <c r="AJ955" s="413" t="str">
        <f t="shared" si="5069"/>
        <v>#ERROR!</v>
      </c>
      <c r="AK955" s="413" t="str">
        <f t="shared" si="5069"/>
        <v>#ERROR!</v>
      </c>
      <c r="AL955" s="679" t="str">
        <f t="shared" si="5069"/>
        <v>#ERROR!</v>
      </c>
      <c r="AM955" s="413" t="str">
        <f t="shared" si="5069"/>
        <v>#ERROR!</v>
      </c>
      <c r="AN955" s="413" t="str">
        <f t="shared" si="5069"/>
        <v>#ERROR!</v>
      </c>
      <c r="AO955" s="413" t="str">
        <f t="shared" si="5069"/>
        <v>#ERROR!</v>
      </c>
      <c r="AP955" s="413" t="str">
        <f t="shared" si="5069"/>
        <v>#ERROR!</v>
      </c>
      <c r="AQ955" s="679" t="str">
        <f t="shared" si="5069"/>
        <v>#ERROR!</v>
      </c>
      <c r="AR955" s="413" t="str">
        <f t="shared" si="5069"/>
        <v>#ERROR!</v>
      </c>
      <c r="AS955" s="413" t="str">
        <f t="shared" si="5069"/>
        <v>#ERROR!</v>
      </c>
      <c r="AT955" s="413" t="str">
        <f t="shared" si="5069"/>
        <v>#ERROR!</v>
      </c>
      <c r="AU955" s="413" t="str">
        <f t="shared" si="5069"/>
        <v>#ERROR!</v>
      </c>
      <c r="AV955" s="679" t="str">
        <f t="shared" si="5069"/>
        <v>#ERROR!</v>
      </c>
      <c r="AW955" s="413" t="str">
        <f t="shared" si="5069"/>
        <v>#ERROR!</v>
      </c>
      <c r="AX955" s="413" t="str">
        <f t="shared" si="5069"/>
        <v>#ERROR!</v>
      </c>
      <c r="AY955" s="413" t="str">
        <f t="shared" si="5069"/>
        <v>#ERROR!</v>
      </c>
      <c r="AZ955" s="413" t="str">
        <f t="shared" si="5069"/>
        <v>#ERROR!</v>
      </c>
      <c r="BA955" s="679" t="str">
        <f t="shared" si="5069"/>
        <v>#ERROR!</v>
      </c>
      <c r="BB955" s="413" t="str">
        <f t="shared" si="5069"/>
        <v>#ERROR!</v>
      </c>
      <c r="BC955" s="413" t="str">
        <f t="shared" si="5069"/>
        <v>#ERROR!</v>
      </c>
      <c r="BD955" s="413" t="str">
        <f t="shared" si="5069"/>
        <v>#ERROR!</v>
      </c>
      <c r="BE955" s="413" t="str">
        <f t="shared" si="5069"/>
        <v>#ERROR!</v>
      </c>
      <c r="BF955" s="679" t="str">
        <f t="shared" si="5069"/>
        <v>#ERROR!</v>
      </c>
      <c r="BG955" s="413" t="str">
        <f t="shared" si="5069"/>
        <v>#ERROR!</v>
      </c>
      <c r="BH955" s="413" t="str">
        <f t="shared" si="5069"/>
        <v>#ERROR!</v>
      </c>
      <c r="BI955" s="413" t="str">
        <f t="shared" si="5069"/>
        <v>#ERROR!</v>
      </c>
      <c r="BJ955" s="413" t="str">
        <f t="shared" si="5069"/>
        <v>#ERROR!</v>
      </c>
      <c r="BK955" s="679" t="str">
        <f t="shared" si="5069"/>
        <v>#ERROR!</v>
      </c>
      <c r="BL955" s="413" t="str">
        <f t="shared" si="5069"/>
        <v>#ERROR!</v>
      </c>
      <c r="BM955" s="413" t="str">
        <f t="shared" si="5069"/>
        <v>#ERROR!</v>
      </c>
      <c r="BN955" s="413" t="str">
        <f t="shared" si="5069"/>
        <v>#ERROR!</v>
      </c>
      <c r="BO955" s="413" t="str">
        <f t="shared" si="5069"/>
        <v>#ERROR!</v>
      </c>
      <c r="BP955" s="679" t="str">
        <f t="shared" si="5069"/>
        <v>#ERROR!</v>
      </c>
      <c r="BQ955" s="413" t="str">
        <f t="shared" si="5069"/>
        <v>#ERROR!</v>
      </c>
      <c r="BR955" s="413" t="str">
        <f t="shared" si="5069"/>
        <v>#ERROR!</v>
      </c>
      <c r="BS955" s="413" t="str">
        <f t="shared" si="5069"/>
        <v>#ERROR!</v>
      </c>
      <c r="BT955" s="413" t="str">
        <f t="shared" si="5069"/>
        <v>#ERROR!</v>
      </c>
      <c r="BU955" s="679" t="str">
        <f t="shared" si="5069"/>
        <v>#ERROR!</v>
      </c>
      <c r="BV955" s="413" t="str">
        <f t="shared" si="5069"/>
        <v>#ERROR!</v>
      </c>
      <c r="BW955" s="413" t="str">
        <f t="shared" si="5069"/>
        <v>#ERROR!</v>
      </c>
      <c r="BX955" s="413" t="str">
        <f t="shared" si="5069"/>
        <v>#ERROR!</v>
      </c>
      <c r="BY955" s="413" t="str">
        <f t="shared" si="5069"/>
        <v>#ERROR!</v>
      </c>
      <c r="BZ955" s="305" t="str">
        <f t="shared" si="5069"/>
        <v>#ERROR!</v>
      </c>
      <c r="CA955" s="413" t="str">
        <f t="shared" si="5069"/>
        <v>#ERROR!</v>
      </c>
      <c r="CB955" s="413" t="str">
        <f t="shared" si="5069"/>
        <v>#ERROR!</v>
      </c>
      <c r="CC955" s="413" t="str">
        <f t="shared" si="5069"/>
        <v>#ERROR!</v>
      </c>
      <c r="CD955" s="413" t="str">
        <f t="shared" si="5069"/>
        <v>#ERROR!</v>
      </c>
      <c r="CE955" s="305" t="str">
        <f t="shared" si="5069"/>
        <v>#ERROR!</v>
      </c>
      <c r="CF955" s="413" t="str">
        <f t="shared" si="5069"/>
        <v>#ERROR!</v>
      </c>
      <c r="CG955" s="413" t="str">
        <f t="shared" si="5069"/>
        <v>#ERROR!</v>
      </c>
      <c r="CH955" s="413" t="str">
        <f t="shared" si="5069"/>
        <v>#ERROR!</v>
      </c>
      <c r="CI955" s="413" t="str">
        <f t="shared" si="5069"/>
        <v>#ERROR!</v>
      </c>
      <c r="CJ955" s="305" t="str">
        <f t="shared" si="5069"/>
        <v>#ERROR!</v>
      </c>
      <c r="CK955" s="413" t="str">
        <f t="shared" si="5069"/>
        <v>#ERROR!</v>
      </c>
      <c r="CL955" s="413" t="str">
        <f t="shared" si="5069"/>
        <v>#ERROR!</v>
      </c>
      <c r="CM955" s="413" t="str">
        <f t="shared" si="5069"/>
        <v>#ERROR!</v>
      </c>
      <c r="CN955" s="416" t="str">
        <f t="shared" si="5069"/>
        <v>#ERROR!</v>
      </c>
      <c r="CO955" s="305" t="str">
        <f t="shared" si="5069"/>
        <v>#ERROR!</v>
      </c>
      <c r="CP955" s="416" t="str">
        <f t="shared" si="5069"/>
        <v>#ERROR!</v>
      </c>
      <c r="CQ955" s="413" t="str">
        <f t="shared" si="5069"/>
        <v>#ERROR!</v>
      </c>
      <c r="CR955" s="413" t="str">
        <f t="shared" si="5069"/>
        <v>#ERROR!</v>
      </c>
      <c r="CS955" s="413" t="str">
        <f t="shared" si="5069"/>
        <v>#ERROR!</v>
      </c>
      <c r="CT955" s="305" t="str">
        <f t="shared" si="5069"/>
        <v>#ERROR!</v>
      </c>
      <c r="CU955" s="413" t="str">
        <f t="shared" si="5069"/>
        <v>#ERROR!</v>
      </c>
      <c r="CV955" s="413" t="str">
        <f t="shared" si="5069"/>
        <v>#ERROR!</v>
      </c>
      <c r="CW955" s="413" t="str">
        <f t="shared" si="5069"/>
        <v>#ERROR!</v>
      </c>
      <c r="CX955" s="413" t="str">
        <f t="shared" si="5069"/>
        <v>#ERROR!</v>
      </c>
      <c r="CY955" s="305" t="str">
        <f t="shared" si="5069"/>
        <v>#ERROR!</v>
      </c>
      <c r="CZ955" s="413" t="str">
        <f t="shared" si="5069"/>
        <v>#ERROR!</v>
      </c>
      <c r="DA955" s="413" t="str">
        <f t="shared" si="5069"/>
        <v>#ERROR!</v>
      </c>
      <c r="DB955" s="413" t="str">
        <f t="shared" si="5069"/>
        <v>#ERROR!</v>
      </c>
      <c r="DC955" s="413" t="str">
        <f t="shared" si="5069"/>
        <v>#ERROR!</v>
      </c>
      <c r="DD955" s="305" t="str">
        <f t="shared" si="5069"/>
        <v>#ERROR!</v>
      </c>
      <c r="DE955" s="413" t="str">
        <f t="shared" si="5069"/>
        <v>#ERROR!</v>
      </c>
      <c r="DF955" s="413" t="str">
        <f t="shared" si="5069"/>
        <v>#ERROR!</v>
      </c>
      <c r="DG955" s="40" t="str">
        <f t="shared" si="5069"/>
        <v>#ERROR!</v>
      </c>
      <c r="DH955" s="413" t="str">
        <f t="shared" si="5069"/>
        <v>#ERROR!</v>
      </c>
      <c r="DI955" s="305" t="str">
        <f t="shared" si="5069"/>
        <v>#ERROR!</v>
      </c>
      <c r="DJ955" s="416" t="str">
        <f t="shared" si="5069"/>
        <v>#ERROR!</v>
      </c>
      <c r="DK955" s="416" t="str">
        <f t="shared" si="5069"/>
        <v>#ERROR!</v>
      </c>
      <c r="DL955" s="416" t="str">
        <f t="shared" si="5069"/>
        <v>#ERROR!</v>
      </c>
      <c r="DM955" s="413" t="str">
        <f t="shared" si="5069"/>
        <v>#ERROR!</v>
      </c>
      <c r="DN955" s="305" t="str">
        <f t="shared" si="5069"/>
        <v>#ERROR!</v>
      </c>
      <c r="DO955" s="413" t="str">
        <f t="shared" si="5069"/>
        <v>#ERROR!</v>
      </c>
      <c r="DP955" s="413" t="str">
        <f t="shared" si="5069"/>
        <v>#ERROR!</v>
      </c>
      <c r="DQ955" s="413" t="str">
        <f t="shared" si="5069"/>
        <v>#ERROR!</v>
      </c>
      <c r="DR955" s="413" t="str">
        <f t="shared" si="5069"/>
        <v>#ERROR!</v>
      </c>
      <c r="DS955" s="305" t="str">
        <f t="shared" si="5069"/>
        <v>#ERROR!</v>
      </c>
      <c r="DT955" s="413" t="str">
        <f t="shared" si="5069"/>
        <v>#ERROR!</v>
      </c>
      <c r="DU955" s="413" t="str">
        <f t="shared" si="5069"/>
        <v>#ERROR!</v>
      </c>
      <c r="DV955" s="413" t="str">
        <f t="shared" si="5069"/>
        <v>#ERROR!</v>
      </c>
      <c r="DW955" s="413" t="str">
        <f t="shared" si="5069"/>
        <v>#ERROR!</v>
      </c>
      <c r="DX955" s="305" t="str">
        <f t="shared" si="5069"/>
        <v>#ERROR!</v>
      </c>
      <c r="DY955" s="413" t="str">
        <f t="shared" si="5069"/>
        <v>#ERROR!</v>
      </c>
      <c r="DZ955" s="413" t="str">
        <f t="shared" si="5069"/>
        <v>#ERROR!</v>
      </c>
      <c r="EA955" s="413" t="str">
        <f t="shared" si="5069"/>
        <v>#ERROR!</v>
      </c>
      <c r="EB955" s="413" t="str">
        <f t="shared" si="5069"/>
        <v>#ERROR!</v>
      </c>
      <c r="EC955" s="305" t="str">
        <f t="shared" si="5069"/>
        <v>#ERROR!</v>
      </c>
      <c r="ED955" s="413" t="str">
        <f t="shared" si="5069"/>
        <v>#ERROR!</v>
      </c>
      <c r="EE955" s="413" t="str">
        <f t="shared" si="5069"/>
        <v>#ERROR!</v>
      </c>
      <c r="EF955" s="413" t="str">
        <f t="shared" si="5069"/>
        <v>#ERROR!</v>
      </c>
      <c r="EG955" s="413" t="str">
        <f t="shared" si="5069"/>
        <v>#ERROR!</v>
      </c>
      <c r="EH955" s="305" t="str">
        <f t="shared" si="5069"/>
        <v>#ERROR!</v>
      </c>
      <c r="EI955" s="420" t="str">
        <f t="shared" si="5069"/>
        <v>#ERROR!</v>
      </c>
      <c r="EJ955" s="413" t="str">
        <f t="shared" si="5069"/>
        <v>#ERROR!</v>
      </c>
      <c r="EK955" s="413" t="str">
        <f t="shared" si="5069"/>
        <v>#ERROR!</v>
      </c>
      <c r="EL955" s="413" t="str">
        <f t="shared" si="5069"/>
        <v>#ERROR!</v>
      </c>
      <c r="EM955" s="305" t="str">
        <f t="shared" si="5069"/>
        <v>#ERROR!</v>
      </c>
      <c r="EN955" s="413" t="str">
        <f t="shared" si="5069"/>
        <v>#ERROR!</v>
      </c>
      <c r="EO955" s="413" t="str">
        <f t="shared" si="5069"/>
        <v>#ERROR!</v>
      </c>
      <c r="EP955" s="413" t="str">
        <f t="shared" si="5069"/>
        <v>#ERROR!</v>
      </c>
      <c r="EQ955" s="413" t="str">
        <f t="shared" si="5069"/>
        <v>#ERROR!</v>
      </c>
      <c r="ER955" s="305" t="str">
        <f t="shared" si="5069"/>
        <v>#ERROR!</v>
      </c>
      <c r="ES955" s="413" t="str">
        <f t="shared" si="5069"/>
        <v>#ERROR!</v>
      </c>
      <c r="ET955" s="413" t="str">
        <f t="shared" si="5069"/>
        <v>#ERROR!</v>
      </c>
      <c r="EU955" s="413" t="str">
        <f t="shared" si="5069"/>
        <v>#ERROR!</v>
      </c>
      <c r="EV955" s="413" t="str">
        <f t="shared" si="5069"/>
        <v>#ERROR!</v>
      </c>
      <c r="EW955" s="305" t="str">
        <f t="shared" si="5069"/>
        <v>#ERROR!</v>
      </c>
      <c r="EX955" s="413" t="str">
        <f t="shared" si="5069"/>
        <v>#ERROR!</v>
      </c>
      <c r="EY955" s="413" t="str">
        <f t="shared" si="5069"/>
        <v>#ERROR!</v>
      </c>
      <c r="EZ955" s="413" t="str">
        <f t="shared" si="5069"/>
        <v>#ERROR!</v>
      </c>
      <c r="FA955" s="413" t="str">
        <f t="shared" si="5069"/>
        <v>#ERROR!</v>
      </c>
      <c r="FB955" s="305" t="str">
        <f t="shared" si="5069"/>
        <v>#ERROR!</v>
      </c>
      <c r="FC955" s="413" t="str">
        <f t="shared" si="5069"/>
        <v>#ERROR!</v>
      </c>
      <c r="FD955" s="413" t="str">
        <f t="shared" si="5069"/>
        <v>#ERROR!</v>
      </c>
      <c r="FE955" s="413" t="str">
        <f t="shared" si="5069"/>
        <v>#ERROR!</v>
      </c>
      <c r="FF955" s="413" t="str">
        <f t="shared" si="5069"/>
        <v>#ERROR!</v>
      </c>
      <c r="FG955" s="305" t="str">
        <f t="shared" si="5069"/>
        <v>#ERROR!</v>
      </c>
      <c r="FH955" s="680"/>
      <c r="FI955" s="413"/>
      <c r="FJ955" s="413"/>
      <c r="FK955" s="679"/>
      <c r="FL955" s="413"/>
    </row>
    <row r="956" ht="12.75" hidden="1" customHeight="1" outlineLevel="1">
      <c r="A956" s="670"/>
      <c r="B956" s="17" t="str">
        <f>[2]MPU!B79</f>
        <v>#ERROR!</v>
      </c>
      <c r="C956" s="17"/>
      <c r="D956" s="17"/>
      <c r="E956" s="17"/>
      <c r="F956" s="17"/>
      <c r="G956" s="17"/>
      <c r="H956" s="112"/>
      <c r="I956" s="17" t="str">
        <f>[2]MPU!I79</f>
        <v>#ERROR!</v>
      </c>
      <c r="J956" s="17" t="str">
        <f>[2]MPU!J79</f>
        <v>#ERROR!</v>
      </c>
      <c r="K956" s="17" t="str">
        <f>[2]MPU!K79</f>
        <v>#ERROR!</v>
      </c>
      <c r="L956" s="17" t="str">
        <f>[2]MPU!L79</f>
        <v>#ERROR!</v>
      </c>
      <c r="M956" s="112" t="str">
        <f>SUM(I956:L956)</f>
        <v>#ERROR!</v>
      </c>
      <c r="N956" s="17" t="str">
        <f>[2]MPU!N79</f>
        <v>#ERROR!</v>
      </c>
      <c r="O956" s="17" t="str">
        <f>[2]MPU!O79</f>
        <v>#ERROR!</v>
      </c>
      <c r="P956" s="17" t="str">
        <f>[2]MPU!P79</f>
        <v>#ERROR!</v>
      </c>
      <c r="Q956" s="17" t="str">
        <f>[2]MPU!Q79</f>
        <v>#ERROR!</v>
      </c>
      <c r="R956" s="112" t="str">
        <f>SUM(N956:Q956)</f>
        <v>#ERROR!</v>
      </c>
      <c r="S956" s="17" t="str">
        <f>[2]MPU!S79</f>
        <v>#ERROR!</v>
      </c>
      <c r="T956" s="17" t="str">
        <f>[2]MPU!T79</f>
        <v>#ERROR!</v>
      </c>
      <c r="U956" s="17" t="str">
        <f>[2]MPU!U79</f>
        <v>#ERROR!</v>
      </c>
      <c r="V956" s="17" t="str">
        <f>[2]MPU!V79</f>
        <v>#ERROR!</v>
      </c>
      <c r="W956" s="112" t="str">
        <f>SUM(S956:V956)</f>
        <v>#ERROR!</v>
      </c>
      <c r="X956" s="17" t="str">
        <f>[2]MPU!X79</f>
        <v>#ERROR!</v>
      </c>
      <c r="Y956" s="17" t="str">
        <f>[2]MPU!Y79</f>
        <v>#ERROR!</v>
      </c>
      <c r="Z956" s="17" t="str">
        <f>[2]MPU!Z79</f>
        <v>#ERROR!</v>
      </c>
      <c r="AA956" s="17" t="str">
        <f>[2]MPU!AA79</f>
        <v>#ERROR!</v>
      </c>
      <c r="AB956" s="112" t="str">
        <f>SUM(X956:AA956)</f>
        <v>#ERROR!</v>
      </c>
      <c r="AC956" s="17" t="str">
        <f>[2]MPU!AC79</f>
        <v>#ERROR!</v>
      </c>
      <c r="AD956" s="17" t="str">
        <f>[2]MPU!AD79</f>
        <v>#ERROR!</v>
      </c>
      <c r="AE956" s="17" t="str">
        <f>[2]MPU!AE79</f>
        <v>#ERROR!</v>
      </c>
      <c r="AF956" s="17" t="str">
        <f>[2]MPU!AF79</f>
        <v>#ERROR!</v>
      </c>
      <c r="AG956" s="112" t="str">
        <f>SUM(AC956:AF956)</f>
        <v>#ERROR!</v>
      </c>
      <c r="AH956" s="17" t="str">
        <f>[2]MPU!AH79</f>
        <v>#ERROR!</v>
      </c>
      <c r="AI956" s="17" t="str">
        <f>[2]MPU!AI79</f>
        <v>#ERROR!</v>
      </c>
      <c r="AJ956" s="17" t="str">
        <f>[2]MPU!AJ79</f>
        <v>#ERROR!</v>
      </c>
      <c r="AK956" s="17" t="str">
        <f>[2]MPU!AK79</f>
        <v>#ERROR!</v>
      </c>
      <c r="AL956" s="112" t="str">
        <f>SUM(AH956:AK956)</f>
        <v>#ERROR!</v>
      </c>
      <c r="AM956" s="17" t="str">
        <f>[2]MPU!AM79</f>
        <v>#ERROR!</v>
      </c>
      <c r="AN956" s="17" t="str">
        <f>[2]MPU!AN79</f>
        <v>#ERROR!</v>
      </c>
      <c r="AO956" s="17" t="str">
        <f>[2]MPU!AO79</f>
        <v>#ERROR!</v>
      </c>
      <c r="AP956" s="17" t="str">
        <f>[2]MPU!AP79</f>
        <v>#ERROR!</v>
      </c>
      <c r="AQ956" s="112" t="str">
        <f>SUM(AM956:AP956)</f>
        <v>#ERROR!</v>
      </c>
      <c r="AR956" s="17" t="str">
        <f>[2]MPU!AR79</f>
        <v>#ERROR!</v>
      </c>
      <c r="AS956" s="17" t="str">
        <f>[2]MPU!AS79</f>
        <v>#ERROR!</v>
      </c>
      <c r="AT956" s="17" t="str">
        <f>[2]MPU!AT79</f>
        <v>#ERROR!</v>
      </c>
      <c r="AU956" s="17" t="str">
        <f>[2]MPU!AU79</f>
        <v>#ERROR!</v>
      </c>
      <c r="AV956" s="112" t="str">
        <f>SUM(AR956:AU956)</f>
        <v>#ERROR!</v>
      </c>
      <c r="AW956" s="17" t="str">
        <f>[2]MPU!AW79</f>
        <v>#ERROR!</v>
      </c>
      <c r="AX956" s="17" t="str">
        <f>[2]MPU!AX79</f>
        <v>#ERROR!</v>
      </c>
      <c r="AY956" s="17" t="str">
        <f>[2]MPU!AY79</f>
        <v>#ERROR!</v>
      </c>
      <c r="AZ956" s="17" t="str">
        <f>[2]MPU!AZ79</f>
        <v>#ERROR!</v>
      </c>
      <c r="BA956" s="112" t="str">
        <f>SUM(AW956:AZ956)</f>
        <v>#ERROR!</v>
      </c>
      <c r="BB956" s="17" t="str">
        <f>[2]MPU!BB79</f>
        <v>#ERROR!</v>
      </c>
      <c r="BC956" s="17" t="str">
        <f>[2]MPU!BC79</f>
        <v>#ERROR!</v>
      </c>
      <c r="BD956" s="17" t="str">
        <f>[2]MPU!BD79</f>
        <v>#ERROR!</v>
      </c>
      <c r="BE956" s="17" t="str">
        <f>[2]MPU!BE79</f>
        <v>#ERROR!</v>
      </c>
      <c r="BF956" s="112" t="str">
        <f>SUM(BB956:BE956)</f>
        <v>#ERROR!</v>
      </c>
      <c r="BG956" s="17" t="str">
        <f>[2]MPU!BG79</f>
        <v>#ERROR!</v>
      </c>
      <c r="BH956" s="17" t="str">
        <f>[2]MPU!BH79</f>
        <v>#ERROR!</v>
      </c>
      <c r="BI956" s="17" t="str">
        <f>[2]MPU!BI79</f>
        <v>#ERROR!</v>
      </c>
      <c r="BJ956" s="17" t="str">
        <f>[2]MPU!BJ79</f>
        <v>#ERROR!</v>
      </c>
      <c r="BK956" s="112" t="str">
        <f>SUM(BG956:BJ956)</f>
        <v>#ERROR!</v>
      </c>
      <c r="BL956" s="17" t="str">
        <f>[2]MPU!BL79</f>
        <v>#ERROR!</v>
      </c>
      <c r="BM956" s="17" t="str">
        <f>[2]MPU!BM79</f>
        <v>#ERROR!</v>
      </c>
      <c r="BN956" s="17" t="str">
        <f>[2]MPU!BN79</f>
        <v>#ERROR!</v>
      </c>
      <c r="BO956" s="17" t="str">
        <f>[2]MPU!BO79</f>
        <v>#ERROR!</v>
      </c>
      <c r="BP956" s="112" t="str">
        <f>SUM(BL956:BO956)</f>
        <v>#ERROR!</v>
      </c>
      <c r="BQ956" s="17" t="str">
        <f>[2]MPU!BQ79</f>
        <v>#ERROR!</v>
      </c>
      <c r="BR956" s="17" t="str">
        <f>[2]MPU!BR79</f>
        <v>#ERROR!</v>
      </c>
      <c r="BS956" s="17" t="str">
        <f>[2]MPU!BS79</f>
        <v>#ERROR!</v>
      </c>
      <c r="BT956" s="17" t="str">
        <f>[2]MPU!BT79</f>
        <v>#ERROR!</v>
      </c>
      <c r="BU956" s="112" t="str">
        <f>SUM(BQ956:BT956)</f>
        <v>#ERROR!</v>
      </c>
      <c r="BV956" s="17" t="str">
        <f>[2]MPU!BV79</f>
        <v>#ERROR!</v>
      </c>
      <c r="BW956" s="17" t="str">
        <f>[2]MPU!BW79</f>
        <v>#ERROR!</v>
      </c>
      <c r="BX956" s="17" t="str">
        <f>[2]MPU!BX79</f>
        <v>#ERROR!</v>
      </c>
      <c r="BY956" s="17" t="str">
        <f>[2]MPU!BY79</f>
        <v>#ERROR!</v>
      </c>
      <c r="BZ956" s="80" t="str">
        <f>SUM(BV956:BY956)</f>
        <v>#ERROR!</v>
      </c>
      <c r="CA956" s="17" t="str">
        <f>[2]MPU!CA79</f>
        <v>#ERROR!</v>
      </c>
      <c r="CB956" s="17" t="str">
        <f>[2]MPU!CB79</f>
        <v>#ERROR!</v>
      </c>
      <c r="CC956" s="17" t="str">
        <f>[2]MPU!CC79</f>
        <v>#ERROR!</v>
      </c>
      <c r="CD956" s="17" t="str">
        <f>[2]MPU!CD79</f>
        <v>#ERROR!</v>
      </c>
      <c r="CE956" s="80" t="str">
        <f>SUM(CA956:CD956)</f>
        <v>#ERROR!</v>
      </c>
      <c r="CF956" s="17" t="str">
        <f>[2]MPU!CF79</f>
        <v>#ERROR!</v>
      </c>
      <c r="CG956" s="17" t="str">
        <f>[2]MPU!CG79</f>
        <v>#ERROR!</v>
      </c>
      <c r="CH956" s="17" t="str">
        <f>[2]MPU!CH79</f>
        <v>#ERROR!</v>
      </c>
      <c r="CI956" s="17" t="str">
        <f>[2]MPU!CI79</f>
        <v>#ERROR!</v>
      </c>
      <c r="CJ956" s="80" t="str">
        <f>SUM(CF956:CI956)</f>
        <v>#ERROR!</v>
      </c>
      <c r="CK956" s="17" t="str">
        <f>[2]MPU!CK79</f>
        <v>#ERROR!</v>
      </c>
      <c r="CL956" s="17" t="str">
        <f>[2]MPU!CL79</f>
        <v>#ERROR!</v>
      </c>
      <c r="CM956" s="17" t="str">
        <f>[2]MPU!CM79</f>
        <v>#ERROR!</v>
      </c>
      <c r="CN956" s="19" t="str">
        <f>[2]MPU!CN79</f>
        <v>#ERROR!</v>
      </c>
      <c r="CO956" s="80" t="str">
        <f>SUM(CK956:CN956)</f>
        <v>#ERROR!</v>
      </c>
      <c r="CP956" s="19" t="str">
        <f>[2]MPU!CP79</f>
        <v>#ERROR!</v>
      </c>
      <c r="CQ956" s="17" t="str">
        <f>[2]MPU!CQ79</f>
        <v>#ERROR!</v>
      </c>
      <c r="CR956" s="17" t="str">
        <f>[2]MPU!CR79</f>
        <v>#ERROR!</v>
      </c>
      <c r="CS956" s="17" t="str">
        <f>[2]MPU!CS79</f>
        <v>#ERROR!</v>
      </c>
      <c r="CT956" s="80" t="str">
        <f>SUM(CP956:CS956)</f>
        <v>#ERROR!</v>
      </c>
      <c r="CU956" s="17" t="str">
        <f>[2]MPU!CU79</f>
        <v>#ERROR!</v>
      </c>
      <c r="CV956" s="17" t="str">
        <f>[2]MPU!CV79</f>
        <v>#ERROR!</v>
      </c>
      <c r="CW956" s="17" t="str">
        <f>[2]MPU!CW79</f>
        <v>#ERROR!</v>
      </c>
      <c r="CX956" s="17" t="str">
        <f>[2]MPU!CX79</f>
        <v>#ERROR!</v>
      </c>
      <c r="CY956" s="80" t="str">
        <f>SUM(CU956:CX956)</f>
        <v>#ERROR!</v>
      </c>
      <c r="CZ956" s="17" t="str">
        <f>[2]MPU!CZ79</f>
        <v>#ERROR!</v>
      </c>
      <c r="DA956" s="17" t="str">
        <f>[2]MPU!DA79</f>
        <v>#ERROR!</v>
      </c>
      <c r="DB956" s="17" t="str">
        <f>[2]MPU!DB79</f>
        <v>#ERROR!</v>
      </c>
      <c r="DC956" s="17" t="str">
        <f>[2]MPU!DC79</f>
        <v>#ERROR!</v>
      </c>
      <c r="DD956" s="80" t="str">
        <f>SUM(CZ956:DC956)</f>
        <v>#ERROR!</v>
      </c>
      <c r="DE956" s="17" t="str">
        <f>[2]MPU!DE79</f>
        <v>#ERROR!</v>
      </c>
      <c r="DF956" s="17" t="str">
        <f>[2]MPU!DF79</f>
        <v>#ERROR!</v>
      </c>
      <c r="DG956" s="19" t="str">
        <f>[2]MPU!DG79</f>
        <v>#ERROR!</v>
      </c>
      <c r="DH956" s="17" t="str">
        <f>[2]MPU!DH79</f>
        <v>#ERROR!</v>
      </c>
      <c r="DI956" s="80" t="str">
        <f>SUM(DE956:DH956)</f>
        <v>#ERROR!</v>
      </c>
      <c r="DJ956" s="19" t="str">
        <f>[2]MPU!DJ79</f>
        <v>#ERROR!</v>
      </c>
      <c r="DK956" s="19" t="str">
        <f>[2]MPU!DK79</f>
        <v>#ERROR!</v>
      </c>
      <c r="DL956" s="19" t="str">
        <f>[2]MPU!DL79</f>
        <v>#ERROR!</v>
      </c>
      <c r="DM956" s="17" t="str">
        <f>[2]MPU!DM79</f>
        <v>#ERROR!</v>
      </c>
      <c r="DN956" s="80" t="str">
        <f>SUM(DJ956:DM956)</f>
        <v>#ERROR!</v>
      </c>
      <c r="DO956" s="17" t="str">
        <f>[2]MPU!DT79</f>
        <v>#ERROR!</v>
      </c>
      <c r="DP956" s="17" t="str">
        <f>[2]MPU!DU79</f>
        <v>#ERROR!</v>
      </c>
      <c r="DQ956" s="17" t="str">
        <f>[2]MPU!DV79</f>
        <v>#ERROR!</v>
      </c>
      <c r="DR956" s="17" t="str">
        <f>[2]MPU!DW79</f>
        <v>#ERROR!</v>
      </c>
      <c r="DS956" s="80" t="str">
        <f>SUM(DO956:DR956)</f>
        <v>#ERROR!</v>
      </c>
      <c r="DT956" s="17" t="str">
        <f>[2]MPU!DY79</f>
        <v>#ERROR!</v>
      </c>
      <c r="DU956" s="17" t="str">
        <f>[2]MPU!DZ79</f>
        <v>#ERROR!</v>
      </c>
      <c r="DV956" s="17" t="str">
        <f>[2]MPU!EA79</f>
        <v>#ERROR!</v>
      </c>
      <c r="DW956" s="17" t="str">
        <f>[2]MPU!EB79</f>
        <v>#ERROR!</v>
      </c>
      <c r="DX956" s="80" t="str">
        <f>SUM(DT956:DW956)</f>
        <v>#ERROR!</v>
      </c>
      <c r="DY956" s="17" t="str">
        <f>[2]MPU!ED79</f>
        <v>#ERROR!</v>
      </c>
      <c r="DZ956" s="17" t="str">
        <f>[2]MPU!EE79</f>
        <v>#ERROR!</v>
      </c>
      <c r="EA956" s="17" t="str">
        <f>[2]MPU!EF79</f>
        <v>#ERROR!</v>
      </c>
      <c r="EB956" s="17" t="str">
        <f>[2]MPU!EG79</f>
        <v>#ERROR!</v>
      </c>
      <c r="EC956" s="80" t="str">
        <f>SUM(DY956:EB956)</f>
        <v>#ERROR!</v>
      </c>
      <c r="ED956" s="17" t="str">
        <f>[2]MPU!EI79</f>
        <v>#ERROR!</v>
      </c>
      <c r="EE956" s="17" t="str">
        <f>[2]MPU!EJ79</f>
        <v>#ERROR!</v>
      </c>
      <c r="EF956" s="17" t="str">
        <f>[2]MPU!#REF!</f>
        <v>#ERROR!</v>
      </c>
      <c r="EG956" s="17" t="str">
        <f>[2]MPU!#REF!</f>
        <v>#ERROR!</v>
      </c>
      <c r="EH956" s="80" t="str">
        <f>SUM(ED956:EG956)</f>
        <v>#ERROR!</v>
      </c>
      <c r="EI956" s="25" t="str">
        <f>[2]MPU!#REF!</f>
        <v>#ERROR!</v>
      </c>
      <c r="EJ956" s="17" t="str">
        <f>[2]MPU!#REF!</f>
        <v>#ERROR!</v>
      </c>
      <c r="EK956" s="17" t="str">
        <f>[2]MPU!#REF!</f>
        <v>#ERROR!</v>
      </c>
      <c r="EL956" s="17" t="str">
        <f>[2]MPU!#REF!</f>
        <v>#ERROR!</v>
      </c>
      <c r="EM956" s="80" t="str">
        <f>SUM(EI956:EL956)</f>
        <v>#ERROR!</v>
      </c>
      <c r="EN956" s="17" t="str">
        <f>[2]MPU!#REF!</f>
        <v>#ERROR!</v>
      </c>
      <c r="EO956" s="17" t="str">
        <f>[2]MPU!#REF!</f>
        <v>#ERROR!</v>
      </c>
      <c r="EP956" s="17" t="str">
        <f>[2]MPU!#REF!</f>
        <v>#ERROR!</v>
      </c>
      <c r="EQ956" s="17" t="str">
        <f>[2]MPU!#REF!</f>
        <v>#ERROR!</v>
      </c>
      <c r="ER956" s="80" t="str">
        <f>SUM(EN956:EQ956)</f>
        <v>#ERROR!</v>
      </c>
      <c r="ES956" s="17" t="str">
        <f>[2]MPU!#REF!</f>
        <v>#ERROR!</v>
      </c>
      <c r="ET956" s="17" t="str">
        <f>[2]MPU!#REF!</f>
        <v>#ERROR!</v>
      </c>
      <c r="EU956" s="17" t="str">
        <f>[2]MPU!#REF!</f>
        <v>#ERROR!</v>
      </c>
      <c r="EV956" s="17" t="str">
        <f>[2]MPU!#REF!</f>
        <v>#ERROR!</v>
      </c>
      <c r="EW956" s="80" t="str">
        <f>SUM(ES956:EV956)</f>
        <v>#ERROR!</v>
      </c>
      <c r="EX956" s="17" t="str">
        <f>[2]MPU!#REF!</f>
        <v>#ERROR!</v>
      </c>
      <c r="EY956" s="17" t="str">
        <f>[2]MPU!#REF!</f>
        <v>#ERROR!</v>
      </c>
      <c r="EZ956" s="17" t="str">
        <f>[2]MPU!#REF!</f>
        <v>#ERROR!</v>
      </c>
      <c r="FA956" s="17" t="str">
        <f>[2]MPU!#REF!</f>
        <v>#ERROR!</v>
      </c>
      <c r="FB956" s="80" t="str">
        <f>SUM(EX956:FA956)</f>
        <v>#ERROR!</v>
      </c>
      <c r="FC956" s="17" t="str">
        <f>[2]MPU!#REF!</f>
        <v>#ERROR!</v>
      </c>
      <c r="FD956" s="17" t="str">
        <f>[2]MPU!#REF!</f>
        <v>#ERROR!</v>
      </c>
      <c r="FE956" s="17" t="str">
        <f>[2]MPU!#REF!</f>
        <v>#ERROR!</v>
      </c>
      <c r="FF956" s="17" t="str">
        <f>[2]MPU!#REF!</f>
        <v>#ERROR!</v>
      </c>
      <c r="FG956" s="80" t="str">
        <f>SUM(FC956:FF956)</f>
        <v>#ERROR!</v>
      </c>
      <c r="FH956" s="146"/>
      <c r="FI956" s="17"/>
      <c r="FJ956" s="17"/>
      <c r="FK956" s="112"/>
      <c r="FL956" s="17"/>
    </row>
    <row r="957" ht="12.75" hidden="1" customHeight="1" outlineLevel="1">
      <c r="A957" s="17"/>
      <c r="B957" s="17" t="s">
        <v>345</v>
      </c>
      <c r="C957" s="17"/>
      <c r="D957" s="15"/>
      <c r="E957" s="15"/>
      <c r="F957" s="15"/>
      <c r="G957" s="15"/>
      <c r="H957" s="410"/>
      <c r="I957" s="15"/>
      <c r="J957" s="15" t="str">
        <f t="shared" ref="J957:L957" si="5070">J956/I956-1</f>
        <v>#ERROR!</v>
      </c>
      <c r="K957" s="15" t="str">
        <f t="shared" si="5070"/>
        <v>#ERROR!</v>
      </c>
      <c r="L957" s="15" t="str">
        <f t="shared" si="5070"/>
        <v>#ERROR!</v>
      </c>
      <c r="M957" s="410"/>
      <c r="N957" s="15"/>
      <c r="O957" s="15" t="str">
        <f t="shared" ref="O957:Q957" si="5071">O956/N956-1</f>
        <v>#ERROR!</v>
      </c>
      <c r="P957" s="15" t="str">
        <f t="shared" si="5071"/>
        <v>#ERROR!</v>
      </c>
      <c r="Q957" s="15" t="str">
        <f t="shared" si="5071"/>
        <v>#ERROR!</v>
      </c>
      <c r="R957" s="410"/>
      <c r="S957" s="15"/>
      <c r="T957" s="15" t="str">
        <f t="shared" ref="T957:V957" si="5072">T956/S956-1</f>
        <v>#ERROR!</v>
      </c>
      <c r="U957" s="15" t="str">
        <f t="shared" si="5072"/>
        <v>#ERROR!</v>
      </c>
      <c r="V957" s="15" t="str">
        <f t="shared" si="5072"/>
        <v>#ERROR!</v>
      </c>
      <c r="W957" s="410"/>
      <c r="X957" s="15"/>
      <c r="Y957" s="15" t="str">
        <f t="shared" ref="Y957:AA957" si="5073">Y956/X956-1</f>
        <v>#ERROR!</v>
      </c>
      <c r="Z957" s="15" t="str">
        <f t="shared" si="5073"/>
        <v>#ERROR!</v>
      </c>
      <c r="AA957" s="15" t="str">
        <f t="shared" si="5073"/>
        <v>#ERROR!</v>
      </c>
      <c r="AB957" s="410"/>
      <c r="AC957" s="15" t="str">
        <f>AC956/AA956-1</f>
        <v>#ERROR!</v>
      </c>
      <c r="AD957" s="15" t="str">
        <f t="shared" ref="AD957:AF957" si="5074">AD956/AC956-1</f>
        <v>#ERROR!</v>
      </c>
      <c r="AE957" s="15" t="str">
        <f t="shared" si="5074"/>
        <v>#ERROR!</v>
      </c>
      <c r="AF957" s="15" t="str">
        <f t="shared" si="5074"/>
        <v>#ERROR!</v>
      </c>
      <c r="AG957" s="410"/>
      <c r="AH957" s="15" t="str">
        <f>AH956/AF956-1</f>
        <v>#ERROR!</v>
      </c>
      <c r="AI957" s="15" t="str">
        <f t="shared" ref="AI957:AK957" si="5075">AI956/AH956-1</f>
        <v>#ERROR!</v>
      </c>
      <c r="AJ957" s="15" t="str">
        <f t="shared" si="5075"/>
        <v>#ERROR!</v>
      </c>
      <c r="AK957" s="15" t="str">
        <f t="shared" si="5075"/>
        <v>#ERROR!</v>
      </c>
      <c r="AL957" s="410"/>
      <c r="AM957" s="15" t="str">
        <f>AM956/AK956-1</f>
        <v>#ERROR!</v>
      </c>
      <c r="AN957" s="15" t="str">
        <f t="shared" ref="AN957:AP957" si="5076">AN956/AM956-1</f>
        <v>#ERROR!</v>
      </c>
      <c r="AO957" s="15" t="str">
        <f t="shared" si="5076"/>
        <v>#ERROR!</v>
      </c>
      <c r="AP957" s="15" t="str">
        <f t="shared" si="5076"/>
        <v>#ERROR!</v>
      </c>
      <c r="AQ957" s="410"/>
      <c r="AR957" s="15" t="str">
        <f>AR956/AP956-1</f>
        <v>#ERROR!</v>
      </c>
      <c r="AS957" s="15" t="str">
        <f t="shared" ref="AS957:AU957" si="5077">AS956/AR956-1</f>
        <v>#ERROR!</v>
      </c>
      <c r="AT957" s="15" t="str">
        <f t="shared" si="5077"/>
        <v>#ERROR!</v>
      </c>
      <c r="AU957" s="15" t="str">
        <f t="shared" si="5077"/>
        <v>#ERROR!</v>
      </c>
      <c r="AV957" s="410"/>
      <c r="AW957" s="15" t="str">
        <f>AW956/AU956-1</f>
        <v>#ERROR!</v>
      </c>
      <c r="AX957" s="15" t="str">
        <f t="shared" ref="AX957:AZ957" si="5078">AX956/AW956-1</f>
        <v>#ERROR!</v>
      </c>
      <c r="AY957" s="15" t="str">
        <f t="shared" si="5078"/>
        <v>#ERROR!</v>
      </c>
      <c r="AZ957" s="15" t="str">
        <f t="shared" si="5078"/>
        <v>#ERROR!</v>
      </c>
      <c r="BA957" s="410"/>
      <c r="BB957" s="15" t="str">
        <f>BB956/AZ956-1</f>
        <v>#ERROR!</v>
      </c>
      <c r="BC957" s="15" t="str">
        <f t="shared" ref="BC957:BE957" si="5079">BC956/BB956-1</f>
        <v>#ERROR!</v>
      </c>
      <c r="BD957" s="15" t="str">
        <f t="shared" si="5079"/>
        <v>#ERROR!</v>
      </c>
      <c r="BE957" s="15" t="str">
        <f t="shared" si="5079"/>
        <v>#ERROR!</v>
      </c>
      <c r="BF957" s="410"/>
      <c r="BG957" s="15" t="str">
        <f>BG956/BE956-1</f>
        <v>#ERROR!</v>
      </c>
      <c r="BH957" s="15" t="str">
        <f t="shared" ref="BH957:BJ957" si="5080">BH956/BG956-1</f>
        <v>#ERROR!</v>
      </c>
      <c r="BI957" s="15" t="str">
        <f t="shared" si="5080"/>
        <v>#ERROR!</v>
      </c>
      <c r="BJ957" s="15" t="str">
        <f t="shared" si="5080"/>
        <v>#ERROR!</v>
      </c>
      <c r="BK957" s="410"/>
      <c r="BL957" s="15" t="str">
        <f>BL956/BJ956-1</f>
        <v>#ERROR!</v>
      </c>
      <c r="BM957" s="15" t="str">
        <f t="shared" ref="BM957:BO957" si="5081">BM956/BL956-1</f>
        <v>#ERROR!</v>
      </c>
      <c r="BN957" s="15" t="str">
        <f t="shared" si="5081"/>
        <v>#ERROR!</v>
      </c>
      <c r="BO957" s="15" t="str">
        <f t="shared" si="5081"/>
        <v>#ERROR!</v>
      </c>
      <c r="BP957" s="410"/>
      <c r="BQ957" s="15" t="str">
        <f>BQ956/BO956-1</f>
        <v>#ERROR!</v>
      </c>
      <c r="BR957" s="15" t="str">
        <f t="shared" ref="BR957:BT957" si="5082">BR956/BQ956-1</f>
        <v>#ERROR!</v>
      </c>
      <c r="BS957" s="15" t="str">
        <f t="shared" si="5082"/>
        <v>#ERROR!</v>
      </c>
      <c r="BT957" s="15" t="str">
        <f t="shared" si="5082"/>
        <v>#ERROR!</v>
      </c>
      <c r="BU957" s="410"/>
      <c r="BV957" s="15" t="str">
        <f>BV956/BT956-1</f>
        <v>#ERROR!</v>
      </c>
      <c r="BW957" s="15" t="str">
        <f t="shared" ref="BW957:BY957" si="5083">BW956/BV956-1</f>
        <v>#ERROR!</v>
      </c>
      <c r="BX957" s="15" t="str">
        <f t="shared" si="5083"/>
        <v>#ERROR!</v>
      </c>
      <c r="BY957" s="15" t="str">
        <f t="shared" si="5083"/>
        <v>#ERROR!</v>
      </c>
      <c r="BZ957" s="24"/>
      <c r="CA957" s="15" t="str">
        <f>CA956/BY956-1</f>
        <v>#ERROR!</v>
      </c>
      <c r="CB957" s="15" t="str">
        <f t="shared" ref="CB957:CD957" si="5084">CB956/CA956-1</f>
        <v>#ERROR!</v>
      </c>
      <c r="CC957" s="15" t="str">
        <f t="shared" si="5084"/>
        <v>#ERROR!</v>
      </c>
      <c r="CD957" s="15" t="str">
        <f t="shared" si="5084"/>
        <v>#ERROR!</v>
      </c>
      <c r="CE957" s="24"/>
      <c r="CF957" s="15" t="str">
        <f>CF956/CD956-1</f>
        <v>#ERROR!</v>
      </c>
      <c r="CG957" s="15" t="str">
        <f t="shared" ref="CG957:CI957" si="5085">CG956/CF956-1</f>
        <v>#ERROR!</v>
      </c>
      <c r="CH957" s="15" t="str">
        <f t="shared" si="5085"/>
        <v>#ERROR!</v>
      </c>
      <c r="CI957" s="15" t="str">
        <f t="shared" si="5085"/>
        <v>#ERROR!</v>
      </c>
      <c r="CJ957" s="24"/>
      <c r="CK957" s="15" t="str">
        <f>CK956/CI956-1</f>
        <v>#ERROR!</v>
      </c>
      <c r="CL957" s="15" t="str">
        <f t="shared" ref="CL957:CN957" si="5086">CL956/CK956-1</f>
        <v>#ERROR!</v>
      </c>
      <c r="CM957" s="15" t="str">
        <f t="shared" si="5086"/>
        <v>#ERROR!</v>
      </c>
      <c r="CN957" s="40" t="str">
        <f t="shared" si="5086"/>
        <v>#ERROR!</v>
      </c>
      <c r="CO957" s="24"/>
      <c r="CP957" s="40" t="str">
        <f>CP956/CN956-1</f>
        <v>#ERROR!</v>
      </c>
      <c r="CQ957" s="15" t="str">
        <f t="shared" ref="CQ957:CS957" si="5087">CQ956/CP956-1</f>
        <v>#ERROR!</v>
      </c>
      <c r="CR957" s="15" t="str">
        <f t="shared" si="5087"/>
        <v>#ERROR!</v>
      </c>
      <c r="CS957" s="15" t="str">
        <f t="shared" si="5087"/>
        <v>#ERROR!</v>
      </c>
      <c r="CT957" s="24"/>
      <c r="CU957" s="15" t="str">
        <f>CU956/CS956-1</f>
        <v>#ERROR!</v>
      </c>
      <c r="CV957" s="15" t="str">
        <f t="shared" ref="CV957:CX957" si="5088">CV956/CU956-1</f>
        <v>#ERROR!</v>
      </c>
      <c r="CW957" s="15" t="str">
        <f t="shared" si="5088"/>
        <v>#ERROR!</v>
      </c>
      <c r="CX957" s="15" t="str">
        <f t="shared" si="5088"/>
        <v>#ERROR!</v>
      </c>
      <c r="CY957" s="24"/>
      <c r="CZ957" s="15" t="str">
        <f>CZ956/CX956-1</f>
        <v>#ERROR!</v>
      </c>
      <c r="DA957" s="15" t="str">
        <f t="shared" ref="DA957:DC957" si="5089">DA956/CZ956-1</f>
        <v>#ERROR!</v>
      </c>
      <c r="DB957" s="15" t="str">
        <f t="shared" si="5089"/>
        <v>#ERROR!</v>
      </c>
      <c r="DC957" s="15" t="str">
        <f t="shared" si="5089"/>
        <v>#ERROR!</v>
      </c>
      <c r="DD957" s="24"/>
      <c r="DE957" s="15" t="str">
        <f>DE956/DC956-1</f>
        <v>#ERROR!</v>
      </c>
      <c r="DF957" s="15" t="str">
        <f t="shared" ref="DF957:DH957" si="5090">DF956/DE956-1</f>
        <v>#ERROR!</v>
      </c>
      <c r="DG957" s="40" t="str">
        <f t="shared" si="5090"/>
        <v>#ERROR!</v>
      </c>
      <c r="DH957" s="15" t="str">
        <f t="shared" si="5090"/>
        <v>#ERROR!</v>
      </c>
      <c r="DI957" s="24"/>
      <c r="DJ957" s="40" t="str">
        <f>DJ956/DH956-1</f>
        <v>#ERROR!</v>
      </c>
      <c r="DK957" s="40" t="str">
        <f t="shared" ref="DK957:DM957" si="5091">DK956/DJ956-1</f>
        <v>#ERROR!</v>
      </c>
      <c r="DL957" s="40" t="str">
        <f t="shared" si="5091"/>
        <v>#ERROR!</v>
      </c>
      <c r="DM957" s="15" t="str">
        <f t="shared" si="5091"/>
        <v>#ERROR!</v>
      </c>
      <c r="DN957" s="24"/>
      <c r="DO957" s="15" t="str">
        <f>DO956/DM956-1</f>
        <v>#ERROR!</v>
      </c>
      <c r="DP957" s="15" t="str">
        <f t="shared" ref="DP957:DR957" si="5092">DP956/DO956-1</f>
        <v>#ERROR!</v>
      </c>
      <c r="DQ957" s="15" t="str">
        <f t="shared" si="5092"/>
        <v>#ERROR!</v>
      </c>
      <c r="DR957" s="15" t="str">
        <f t="shared" si="5092"/>
        <v>#ERROR!</v>
      </c>
      <c r="DS957" s="24"/>
      <c r="DT957" s="15" t="str">
        <f>DT956/DR956-1</f>
        <v>#ERROR!</v>
      </c>
      <c r="DU957" s="15" t="str">
        <f t="shared" ref="DU957:DW957" si="5093">DU956/DT956-1</f>
        <v>#ERROR!</v>
      </c>
      <c r="DV957" s="15" t="str">
        <f t="shared" si="5093"/>
        <v>#ERROR!</v>
      </c>
      <c r="DW957" s="15" t="str">
        <f t="shared" si="5093"/>
        <v>#ERROR!</v>
      </c>
      <c r="DX957" s="24"/>
      <c r="DY957" s="15" t="str">
        <f>DY956/DW956-1</f>
        <v>#ERROR!</v>
      </c>
      <c r="DZ957" s="15" t="str">
        <f t="shared" ref="DZ957:EB957" si="5094">DZ956/DY956-1</f>
        <v>#ERROR!</v>
      </c>
      <c r="EA957" s="15" t="str">
        <f t="shared" si="5094"/>
        <v>#ERROR!</v>
      </c>
      <c r="EB957" s="15" t="str">
        <f t="shared" si="5094"/>
        <v>#ERROR!</v>
      </c>
      <c r="EC957" s="24"/>
      <c r="ED957" s="15" t="str">
        <f>ED956/EB956-1</f>
        <v>#ERROR!</v>
      </c>
      <c r="EE957" s="15" t="str">
        <f t="shared" ref="EE957:EG957" si="5095">EE956/ED956-1</f>
        <v>#ERROR!</v>
      </c>
      <c r="EF957" s="15" t="str">
        <f t="shared" si="5095"/>
        <v>#ERROR!</v>
      </c>
      <c r="EG957" s="15" t="str">
        <f t="shared" si="5095"/>
        <v>#ERROR!</v>
      </c>
      <c r="EH957" s="24"/>
      <c r="EI957" s="82" t="str">
        <f>EI956/EG956-1</f>
        <v>#ERROR!</v>
      </c>
      <c r="EJ957" s="15" t="str">
        <f t="shared" ref="EJ957:EL957" si="5096">EJ956/EI956-1</f>
        <v>#ERROR!</v>
      </c>
      <c r="EK957" s="15" t="str">
        <f t="shared" si="5096"/>
        <v>#ERROR!</v>
      </c>
      <c r="EL957" s="15" t="str">
        <f t="shared" si="5096"/>
        <v>#ERROR!</v>
      </c>
      <c r="EM957" s="24"/>
      <c r="EN957" s="15" t="str">
        <f>EN956/EL956-1</f>
        <v>#ERROR!</v>
      </c>
      <c r="EO957" s="15" t="str">
        <f t="shared" ref="EO957:EQ957" si="5097">EO956/EN956-1</f>
        <v>#ERROR!</v>
      </c>
      <c r="EP957" s="15" t="str">
        <f t="shared" si="5097"/>
        <v>#ERROR!</v>
      </c>
      <c r="EQ957" s="15" t="str">
        <f t="shared" si="5097"/>
        <v>#ERROR!</v>
      </c>
      <c r="ER957" s="24"/>
      <c r="ES957" s="15" t="str">
        <f>ES956/EQ956-1</f>
        <v>#ERROR!</v>
      </c>
      <c r="ET957" s="15" t="str">
        <f t="shared" ref="ET957:EV957" si="5098">ET956/ES956-1</f>
        <v>#ERROR!</v>
      </c>
      <c r="EU957" s="15" t="str">
        <f t="shared" si="5098"/>
        <v>#ERROR!</v>
      </c>
      <c r="EV957" s="15" t="str">
        <f t="shared" si="5098"/>
        <v>#ERROR!</v>
      </c>
      <c r="EW957" s="24"/>
      <c r="EX957" s="15" t="str">
        <f>EX956/EV956-1</f>
        <v>#ERROR!</v>
      </c>
      <c r="EY957" s="15" t="str">
        <f t="shared" ref="EY957:FA957" si="5099">EY956/EX956-1</f>
        <v>#ERROR!</v>
      </c>
      <c r="EZ957" s="15" t="str">
        <f t="shared" si="5099"/>
        <v>#ERROR!</v>
      </c>
      <c r="FA957" s="15" t="str">
        <f t="shared" si="5099"/>
        <v>#ERROR!</v>
      </c>
      <c r="FB957" s="24"/>
      <c r="FC957" s="15" t="str">
        <f>FC956/FA956-1</f>
        <v>#ERROR!</v>
      </c>
      <c r="FD957" s="15" t="str">
        <f t="shared" ref="FD957:FF957" si="5100">FD956/FC956-1</f>
        <v>#ERROR!</v>
      </c>
      <c r="FE957" s="15" t="str">
        <f t="shared" si="5100"/>
        <v>#ERROR!</v>
      </c>
      <c r="FF957" s="15" t="str">
        <f t="shared" si="5100"/>
        <v>#ERROR!</v>
      </c>
      <c r="FG957" s="24"/>
      <c r="FH957" s="104"/>
      <c r="FI957" s="15"/>
      <c r="FJ957" s="15"/>
      <c r="FK957" s="410"/>
      <c r="FL957" s="15"/>
    </row>
    <row r="958" ht="12.75" hidden="1" customHeight="1" outlineLevel="1">
      <c r="A958" s="17"/>
      <c r="B958" s="92" t="s">
        <v>346</v>
      </c>
      <c r="C958" s="92"/>
      <c r="D958" s="413"/>
      <c r="E958" s="413"/>
      <c r="F958" s="413"/>
      <c r="G958" s="413"/>
      <c r="H958" s="679"/>
      <c r="I958" s="413"/>
      <c r="J958" s="413"/>
      <c r="K958" s="413"/>
      <c r="L958" s="413"/>
      <c r="M958" s="679"/>
      <c r="N958" s="413"/>
      <c r="O958" s="413"/>
      <c r="P958" s="413"/>
      <c r="Q958" s="413"/>
      <c r="R958" s="679"/>
      <c r="S958" s="413"/>
      <c r="T958" s="413"/>
      <c r="U958" s="413"/>
      <c r="V958" s="413"/>
      <c r="W958" s="679"/>
      <c r="X958" s="413"/>
      <c r="Y958" s="413"/>
      <c r="Z958" s="413"/>
      <c r="AA958" s="413"/>
      <c r="AB958" s="679"/>
      <c r="AC958" s="413" t="str">
        <f t="shared" ref="AC958:FG958" si="5101">AC956/X956-1</f>
        <v>#ERROR!</v>
      </c>
      <c r="AD958" s="413" t="str">
        <f t="shared" si="5101"/>
        <v>#ERROR!</v>
      </c>
      <c r="AE958" s="413" t="str">
        <f t="shared" si="5101"/>
        <v>#ERROR!</v>
      </c>
      <c r="AF958" s="413" t="str">
        <f t="shared" si="5101"/>
        <v>#ERROR!</v>
      </c>
      <c r="AG958" s="679" t="str">
        <f t="shared" si="5101"/>
        <v>#ERROR!</v>
      </c>
      <c r="AH958" s="413" t="str">
        <f t="shared" si="5101"/>
        <v>#ERROR!</v>
      </c>
      <c r="AI958" s="413" t="str">
        <f t="shared" si="5101"/>
        <v>#ERROR!</v>
      </c>
      <c r="AJ958" s="413" t="str">
        <f t="shared" si="5101"/>
        <v>#ERROR!</v>
      </c>
      <c r="AK958" s="413" t="str">
        <f t="shared" si="5101"/>
        <v>#ERROR!</v>
      </c>
      <c r="AL958" s="679" t="str">
        <f t="shared" si="5101"/>
        <v>#ERROR!</v>
      </c>
      <c r="AM958" s="413" t="str">
        <f t="shared" si="5101"/>
        <v>#ERROR!</v>
      </c>
      <c r="AN958" s="413" t="str">
        <f t="shared" si="5101"/>
        <v>#ERROR!</v>
      </c>
      <c r="AO958" s="413" t="str">
        <f t="shared" si="5101"/>
        <v>#ERROR!</v>
      </c>
      <c r="AP958" s="413" t="str">
        <f t="shared" si="5101"/>
        <v>#ERROR!</v>
      </c>
      <c r="AQ958" s="679" t="str">
        <f t="shared" si="5101"/>
        <v>#ERROR!</v>
      </c>
      <c r="AR958" s="413" t="str">
        <f t="shared" si="5101"/>
        <v>#ERROR!</v>
      </c>
      <c r="AS958" s="413" t="str">
        <f t="shared" si="5101"/>
        <v>#ERROR!</v>
      </c>
      <c r="AT958" s="413" t="str">
        <f t="shared" si="5101"/>
        <v>#ERROR!</v>
      </c>
      <c r="AU958" s="413" t="str">
        <f t="shared" si="5101"/>
        <v>#ERROR!</v>
      </c>
      <c r="AV958" s="679" t="str">
        <f t="shared" si="5101"/>
        <v>#ERROR!</v>
      </c>
      <c r="AW958" s="413" t="str">
        <f t="shared" si="5101"/>
        <v>#ERROR!</v>
      </c>
      <c r="AX958" s="413" t="str">
        <f t="shared" si="5101"/>
        <v>#ERROR!</v>
      </c>
      <c r="AY958" s="413" t="str">
        <f t="shared" si="5101"/>
        <v>#ERROR!</v>
      </c>
      <c r="AZ958" s="413" t="str">
        <f t="shared" si="5101"/>
        <v>#ERROR!</v>
      </c>
      <c r="BA958" s="679" t="str">
        <f t="shared" si="5101"/>
        <v>#ERROR!</v>
      </c>
      <c r="BB958" s="413" t="str">
        <f t="shared" si="5101"/>
        <v>#ERROR!</v>
      </c>
      <c r="BC958" s="413" t="str">
        <f t="shared" si="5101"/>
        <v>#ERROR!</v>
      </c>
      <c r="BD958" s="413" t="str">
        <f t="shared" si="5101"/>
        <v>#ERROR!</v>
      </c>
      <c r="BE958" s="413" t="str">
        <f t="shared" si="5101"/>
        <v>#ERROR!</v>
      </c>
      <c r="BF958" s="679" t="str">
        <f t="shared" si="5101"/>
        <v>#ERROR!</v>
      </c>
      <c r="BG958" s="413" t="str">
        <f t="shared" si="5101"/>
        <v>#ERROR!</v>
      </c>
      <c r="BH958" s="413" t="str">
        <f t="shared" si="5101"/>
        <v>#ERROR!</v>
      </c>
      <c r="BI958" s="413" t="str">
        <f t="shared" si="5101"/>
        <v>#ERROR!</v>
      </c>
      <c r="BJ958" s="413" t="str">
        <f t="shared" si="5101"/>
        <v>#ERROR!</v>
      </c>
      <c r="BK958" s="679" t="str">
        <f t="shared" si="5101"/>
        <v>#ERROR!</v>
      </c>
      <c r="BL958" s="413" t="str">
        <f t="shared" si="5101"/>
        <v>#ERROR!</v>
      </c>
      <c r="BM958" s="413" t="str">
        <f t="shared" si="5101"/>
        <v>#ERROR!</v>
      </c>
      <c r="BN958" s="413" t="str">
        <f t="shared" si="5101"/>
        <v>#ERROR!</v>
      </c>
      <c r="BO958" s="413" t="str">
        <f t="shared" si="5101"/>
        <v>#ERROR!</v>
      </c>
      <c r="BP958" s="679" t="str">
        <f t="shared" si="5101"/>
        <v>#ERROR!</v>
      </c>
      <c r="BQ958" s="413" t="str">
        <f t="shared" si="5101"/>
        <v>#ERROR!</v>
      </c>
      <c r="BR958" s="413" t="str">
        <f t="shared" si="5101"/>
        <v>#ERROR!</v>
      </c>
      <c r="BS958" s="413" t="str">
        <f t="shared" si="5101"/>
        <v>#ERROR!</v>
      </c>
      <c r="BT958" s="413" t="str">
        <f t="shared" si="5101"/>
        <v>#ERROR!</v>
      </c>
      <c r="BU958" s="679" t="str">
        <f t="shared" si="5101"/>
        <v>#ERROR!</v>
      </c>
      <c r="BV958" s="413" t="str">
        <f t="shared" si="5101"/>
        <v>#ERROR!</v>
      </c>
      <c r="BW958" s="413" t="str">
        <f t="shared" si="5101"/>
        <v>#ERROR!</v>
      </c>
      <c r="BX958" s="413" t="str">
        <f t="shared" si="5101"/>
        <v>#ERROR!</v>
      </c>
      <c r="BY958" s="413" t="str">
        <f t="shared" si="5101"/>
        <v>#ERROR!</v>
      </c>
      <c r="BZ958" s="305" t="str">
        <f t="shared" si="5101"/>
        <v>#ERROR!</v>
      </c>
      <c r="CA958" s="413" t="str">
        <f t="shared" si="5101"/>
        <v>#ERROR!</v>
      </c>
      <c r="CB958" s="413" t="str">
        <f t="shared" si="5101"/>
        <v>#ERROR!</v>
      </c>
      <c r="CC958" s="413" t="str">
        <f t="shared" si="5101"/>
        <v>#ERROR!</v>
      </c>
      <c r="CD958" s="413" t="str">
        <f t="shared" si="5101"/>
        <v>#ERROR!</v>
      </c>
      <c r="CE958" s="305" t="str">
        <f t="shared" si="5101"/>
        <v>#ERROR!</v>
      </c>
      <c r="CF958" s="413" t="str">
        <f t="shared" si="5101"/>
        <v>#ERROR!</v>
      </c>
      <c r="CG958" s="413" t="str">
        <f t="shared" si="5101"/>
        <v>#ERROR!</v>
      </c>
      <c r="CH958" s="413" t="str">
        <f t="shared" si="5101"/>
        <v>#ERROR!</v>
      </c>
      <c r="CI958" s="413" t="str">
        <f t="shared" si="5101"/>
        <v>#ERROR!</v>
      </c>
      <c r="CJ958" s="305" t="str">
        <f t="shared" si="5101"/>
        <v>#ERROR!</v>
      </c>
      <c r="CK958" s="413" t="str">
        <f t="shared" si="5101"/>
        <v>#ERROR!</v>
      </c>
      <c r="CL958" s="413" t="str">
        <f t="shared" si="5101"/>
        <v>#ERROR!</v>
      </c>
      <c r="CM958" s="413" t="str">
        <f t="shared" si="5101"/>
        <v>#ERROR!</v>
      </c>
      <c r="CN958" s="416" t="str">
        <f t="shared" si="5101"/>
        <v>#ERROR!</v>
      </c>
      <c r="CO958" s="305" t="str">
        <f t="shared" si="5101"/>
        <v>#ERROR!</v>
      </c>
      <c r="CP958" s="416" t="str">
        <f t="shared" si="5101"/>
        <v>#ERROR!</v>
      </c>
      <c r="CQ958" s="413" t="str">
        <f t="shared" si="5101"/>
        <v>#ERROR!</v>
      </c>
      <c r="CR958" s="413" t="str">
        <f t="shared" si="5101"/>
        <v>#ERROR!</v>
      </c>
      <c r="CS958" s="413" t="str">
        <f t="shared" si="5101"/>
        <v>#ERROR!</v>
      </c>
      <c r="CT958" s="305" t="str">
        <f t="shared" si="5101"/>
        <v>#ERROR!</v>
      </c>
      <c r="CU958" s="413" t="str">
        <f t="shared" si="5101"/>
        <v>#ERROR!</v>
      </c>
      <c r="CV958" s="413" t="str">
        <f t="shared" si="5101"/>
        <v>#ERROR!</v>
      </c>
      <c r="CW958" s="413" t="str">
        <f t="shared" si="5101"/>
        <v>#ERROR!</v>
      </c>
      <c r="CX958" s="413" t="str">
        <f t="shared" si="5101"/>
        <v>#ERROR!</v>
      </c>
      <c r="CY958" s="305" t="str">
        <f t="shared" si="5101"/>
        <v>#ERROR!</v>
      </c>
      <c r="CZ958" s="413" t="str">
        <f t="shared" si="5101"/>
        <v>#ERROR!</v>
      </c>
      <c r="DA958" s="413" t="str">
        <f t="shared" si="5101"/>
        <v>#ERROR!</v>
      </c>
      <c r="DB958" s="413" t="str">
        <f t="shared" si="5101"/>
        <v>#ERROR!</v>
      </c>
      <c r="DC958" s="413" t="str">
        <f t="shared" si="5101"/>
        <v>#ERROR!</v>
      </c>
      <c r="DD958" s="305" t="str">
        <f t="shared" si="5101"/>
        <v>#ERROR!</v>
      </c>
      <c r="DE958" s="413" t="str">
        <f t="shared" si="5101"/>
        <v>#ERROR!</v>
      </c>
      <c r="DF958" s="413" t="str">
        <f t="shared" si="5101"/>
        <v>#ERROR!</v>
      </c>
      <c r="DG958" s="40" t="str">
        <f t="shared" si="5101"/>
        <v>#ERROR!</v>
      </c>
      <c r="DH958" s="413" t="str">
        <f t="shared" si="5101"/>
        <v>#ERROR!</v>
      </c>
      <c r="DI958" s="305" t="str">
        <f t="shared" si="5101"/>
        <v>#ERROR!</v>
      </c>
      <c r="DJ958" s="416" t="str">
        <f t="shared" si="5101"/>
        <v>#ERROR!</v>
      </c>
      <c r="DK958" s="416" t="str">
        <f t="shared" si="5101"/>
        <v>#ERROR!</v>
      </c>
      <c r="DL958" s="416" t="str">
        <f t="shared" si="5101"/>
        <v>#ERROR!</v>
      </c>
      <c r="DM958" s="413" t="str">
        <f t="shared" si="5101"/>
        <v>#ERROR!</v>
      </c>
      <c r="DN958" s="305" t="str">
        <f t="shared" si="5101"/>
        <v>#ERROR!</v>
      </c>
      <c r="DO958" s="413" t="str">
        <f t="shared" si="5101"/>
        <v>#ERROR!</v>
      </c>
      <c r="DP958" s="413" t="str">
        <f t="shared" si="5101"/>
        <v>#ERROR!</v>
      </c>
      <c r="DQ958" s="413" t="str">
        <f t="shared" si="5101"/>
        <v>#ERROR!</v>
      </c>
      <c r="DR958" s="413" t="str">
        <f t="shared" si="5101"/>
        <v>#ERROR!</v>
      </c>
      <c r="DS958" s="305" t="str">
        <f t="shared" si="5101"/>
        <v>#ERROR!</v>
      </c>
      <c r="DT958" s="413" t="str">
        <f t="shared" si="5101"/>
        <v>#ERROR!</v>
      </c>
      <c r="DU958" s="413" t="str">
        <f t="shared" si="5101"/>
        <v>#ERROR!</v>
      </c>
      <c r="DV958" s="413" t="str">
        <f t="shared" si="5101"/>
        <v>#ERROR!</v>
      </c>
      <c r="DW958" s="413" t="str">
        <f t="shared" si="5101"/>
        <v>#ERROR!</v>
      </c>
      <c r="DX958" s="305" t="str">
        <f t="shared" si="5101"/>
        <v>#ERROR!</v>
      </c>
      <c r="DY958" s="413" t="str">
        <f t="shared" si="5101"/>
        <v>#ERROR!</v>
      </c>
      <c r="DZ958" s="413" t="str">
        <f t="shared" si="5101"/>
        <v>#ERROR!</v>
      </c>
      <c r="EA958" s="413" t="str">
        <f t="shared" si="5101"/>
        <v>#ERROR!</v>
      </c>
      <c r="EB958" s="413" t="str">
        <f t="shared" si="5101"/>
        <v>#ERROR!</v>
      </c>
      <c r="EC958" s="305" t="str">
        <f t="shared" si="5101"/>
        <v>#ERROR!</v>
      </c>
      <c r="ED958" s="413" t="str">
        <f t="shared" si="5101"/>
        <v>#ERROR!</v>
      </c>
      <c r="EE958" s="413" t="str">
        <f t="shared" si="5101"/>
        <v>#ERROR!</v>
      </c>
      <c r="EF958" s="413" t="str">
        <f t="shared" si="5101"/>
        <v>#ERROR!</v>
      </c>
      <c r="EG958" s="413" t="str">
        <f t="shared" si="5101"/>
        <v>#ERROR!</v>
      </c>
      <c r="EH958" s="305" t="str">
        <f t="shared" si="5101"/>
        <v>#ERROR!</v>
      </c>
      <c r="EI958" s="420" t="str">
        <f t="shared" si="5101"/>
        <v>#ERROR!</v>
      </c>
      <c r="EJ958" s="413" t="str">
        <f t="shared" si="5101"/>
        <v>#ERROR!</v>
      </c>
      <c r="EK958" s="413" t="str">
        <f t="shared" si="5101"/>
        <v>#ERROR!</v>
      </c>
      <c r="EL958" s="413" t="str">
        <f t="shared" si="5101"/>
        <v>#ERROR!</v>
      </c>
      <c r="EM958" s="305" t="str">
        <f t="shared" si="5101"/>
        <v>#ERROR!</v>
      </c>
      <c r="EN958" s="413" t="str">
        <f t="shared" si="5101"/>
        <v>#ERROR!</v>
      </c>
      <c r="EO958" s="413" t="str">
        <f t="shared" si="5101"/>
        <v>#ERROR!</v>
      </c>
      <c r="EP958" s="413" t="str">
        <f t="shared" si="5101"/>
        <v>#ERROR!</v>
      </c>
      <c r="EQ958" s="413" t="str">
        <f t="shared" si="5101"/>
        <v>#ERROR!</v>
      </c>
      <c r="ER958" s="305" t="str">
        <f t="shared" si="5101"/>
        <v>#ERROR!</v>
      </c>
      <c r="ES958" s="413" t="str">
        <f t="shared" si="5101"/>
        <v>#ERROR!</v>
      </c>
      <c r="ET958" s="413" t="str">
        <f t="shared" si="5101"/>
        <v>#ERROR!</v>
      </c>
      <c r="EU958" s="413" t="str">
        <f t="shared" si="5101"/>
        <v>#ERROR!</v>
      </c>
      <c r="EV958" s="413" t="str">
        <f t="shared" si="5101"/>
        <v>#ERROR!</v>
      </c>
      <c r="EW958" s="305" t="str">
        <f t="shared" si="5101"/>
        <v>#ERROR!</v>
      </c>
      <c r="EX958" s="413" t="str">
        <f t="shared" si="5101"/>
        <v>#ERROR!</v>
      </c>
      <c r="EY958" s="413" t="str">
        <f t="shared" si="5101"/>
        <v>#ERROR!</v>
      </c>
      <c r="EZ958" s="413" t="str">
        <f t="shared" si="5101"/>
        <v>#ERROR!</v>
      </c>
      <c r="FA958" s="413" t="str">
        <f t="shared" si="5101"/>
        <v>#ERROR!</v>
      </c>
      <c r="FB958" s="305" t="str">
        <f t="shared" si="5101"/>
        <v>#ERROR!</v>
      </c>
      <c r="FC958" s="413" t="str">
        <f t="shared" si="5101"/>
        <v>#ERROR!</v>
      </c>
      <c r="FD958" s="413" t="str">
        <f t="shared" si="5101"/>
        <v>#ERROR!</v>
      </c>
      <c r="FE958" s="413" t="str">
        <f t="shared" si="5101"/>
        <v>#ERROR!</v>
      </c>
      <c r="FF958" s="413" t="str">
        <f t="shared" si="5101"/>
        <v>#ERROR!</v>
      </c>
      <c r="FG958" s="305" t="str">
        <f t="shared" si="5101"/>
        <v>#ERROR!</v>
      </c>
      <c r="FH958" s="680"/>
      <c r="FI958" s="413"/>
      <c r="FJ958" s="413"/>
      <c r="FK958" s="679"/>
      <c r="FL958" s="413"/>
    </row>
    <row r="959" ht="12.75" hidden="1" customHeight="1" outlineLevel="1">
      <c r="A959" s="17"/>
      <c r="B959" s="17"/>
      <c r="C959" s="17"/>
      <c r="D959" s="15"/>
      <c r="E959" s="15"/>
      <c r="F959" s="15"/>
      <c r="G959" s="15"/>
      <c r="H959" s="410"/>
      <c r="I959" s="15"/>
      <c r="J959" s="15"/>
      <c r="K959" s="15"/>
      <c r="L959" s="15"/>
      <c r="M959" s="410"/>
      <c r="N959" s="15"/>
      <c r="O959" s="15"/>
      <c r="P959" s="15"/>
      <c r="Q959" s="15"/>
      <c r="R959" s="410"/>
      <c r="S959" s="15"/>
      <c r="T959" s="15"/>
      <c r="U959" s="15"/>
      <c r="V959" s="15"/>
      <c r="W959" s="410"/>
      <c r="X959" s="15"/>
      <c r="Y959" s="15"/>
      <c r="Z959" s="15"/>
      <c r="AA959" s="15"/>
      <c r="AB959" s="410"/>
      <c r="AC959" s="15"/>
      <c r="AD959" s="15"/>
      <c r="AE959" s="15"/>
      <c r="AF959" s="15"/>
      <c r="AG959" s="410"/>
      <c r="AH959" s="15"/>
      <c r="AI959" s="15"/>
      <c r="AJ959" s="15"/>
      <c r="AK959" s="15"/>
      <c r="AL959" s="410"/>
      <c r="AM959" s="15"/>
      <c r="AN959" s="15"/>
      <c r="AO959" s="15"/>
      <c r="AP959" s="15"/>
      <c r="AQ959" s="410"/>
      <c r="AR959" s="15"/>
      <c r="AS959" s="15"/>
      <c r="AT959" s="15"/>
      <c r="AU959" s="15"/>
      <c r="AV959" s="410"/>
      <c r="AW959" s="15"/>
      <c r="AX959" s="15"/>
      <c r="AY959" s="15"/>
      <c r="AZ959" s="15"/>
      <c r="BA959" s="410"/>
      <c r="BB959" s="15"/>
      <c r="BC959" s="15"/>
      <c r="BD959" s="15"/>
      <c r="BE959" s="15"/>
      <c r="BF959" s="410"/>
      <c r="BG959" s="15"/>
      <c r="BH959" s="15"/>
      <c r="BI959" s="15"/>
      <c r="BJ959" s="15"/>
      <c r="BK959" s="410"/>
      <c r="BL959" s="15"/>
      <c r="BM959" s="15"/>
      <c r="BN959" s="15"/>
      <c r="BO959" s="15"/>
      <c r="BP959" s="410"/>
      <c r="BQ959" s="15"/>
      <c r="BR959" s="15"/>
      <c r="BS959" s="15"/>
      <c r="BT959" s="15"/>
      <c r="BU959" s="410"/>
      <c r="BV959" s="15"/>
      <c r="BW959" s="15"/>
      <c r="BX959" s="15"/>
      <c r="BY959" s="15"/>
      <c r="BZ959" s="24"/>
      <c r="CA959" s="15"/>
      <c r="CB959" s="15"/>
      <c r="CC959" s="15"/>
      <c r="CD959" s="15"/>
      <c r="CE959" s="24"/>
      <c r="CF959" s="15"/>
      <c r="CG959" s="15"/>
      <c r="CH959" s="15"/>
      <c r="CI959" s="15"/>
      <c r="CJ959" s="24"/>
      <c r="CK959" s="15"/>
      <c r="CL959" s="15"/>
      <c r="CM959" s="15"/>
      <c r="CN959" s="40"/>
      <c r="CO959" s="24"/>
      <c r="CP959" s="40"/>
      <c r="CQ959" s="15"/>
      <c r="CR959" s="15"/>
      <c r="CS959" s="15"/>
      <c r="CT959" s="24"/>
      <c r="CU959" s="15"/>
      <c r="CV959" s="15"/>
      <c r="CW959" s="15"/>
      <c r="CX959" s="15"/>
      <c r="CY959" s="24"/>
      <c r="CZ959" s="15"/>
      <c r="DA959" s="15"/>
      <c r="DB959" s="15"/>
      <c r="DC959" s="15"/>
      <c r="DD959" s="24"/>
      <c r="DE959" s="15"/>
      <c r="DF959" s="15"/>
      <c r="DG959" s="40"/>
      <c r="DH959" s="15"/>
      <c r="DI959" s="24"/>
      <c r="DJ959" s="40"/>
      <c r="DK959" s="40"/>
      <c r="DL959" s="40"/>
      <c r="DM959" s="15"/>
      <c r="DN959" s="24"/>
      <c r="DO959" s="15"/>
      <c r="DP959" s="15"/>
      <c r="DQ959" s="15"/>
      <c r="DR959" s="15"/>
      <c r="DS959" s="24"/>
      <c r="DT959" s="15"/>
      <c r="DU959" s="15"/>
      <c r="DV959" s="15"/>
      <c r="DW959" s="15"/>
      <c r="DX959" s="24"/>
      <c r="DY959" s="15"/>
      <c r="DZ959" s="15"/>
      <c r="EA959" s="15"/>
      <c r="EB959" s="15"/>
      <c r="EC959" s="24"/>
      <c r="ED959" s="15"/>
      <c r="EE959" s="15"/>
      <c r="EF959" s="15"/>
      <c r="EG959" s="15"/>
      <c r="EH959" s="24"/>
      <c r="EI959" s="82"/>
      <c r="EJ959" s="15"/>
      <c r="EK959" s="15"/>
      <c r="EL959" s="15"/>
      <c r="EM959" s="24"/>
      <c r="EN959" s="15"/>
      <c r="EO959" s="15"/>
      <c r="EP959" s="15"/>
      <c r="EQ959" s="15"/>
      <c r="ER959" s="24"/>
      <c r="ES959" s="15"/>
      <c r="ET959" s="15"/>
      <c r="EU959" s="15"/>
      <c r="EV959" s="15"/>
      <c r="EW959" s="24"/>
      <c r="EX959" s="15"/>
      <c r="EY959" s="15"/>
      <c r="EZ959" s="15"/>
      <c r="FA959" s="15"/>
      <c r="FB959" s="24"/>
      <c r="FC959" s="15"/>
      <c r="FD959" s="15"/>
      <c r="FE959" s="15"/>
      <c r="FF959" s="15"/>
      <c r="FG959" s="24"/>
      <c r="FH959" s="104"/>
      <c r="FI959" s="15"/>
      <c r="FJ959" s="15"/>
      <c r="FK959" s="410"/>
      <c r="FL959" s="15"/>
    </row>
    <row r="960" ht="12.75" hidden="1" customHeight="1" outlineLevel="1">
      <c r="A960" s="670"/>
      <c r="B960" s="672" t="s">
        <v>347</v>
      </c>
      <c r="C960" s="672"/>
      <c r="D960" s="672"/>
      <c r="E960" s="672"/>
      <c r="F960" s="672"/>
      <c r="G960" s="672"/>
      <c r="H960" s="673"/>
      <c r="I960" s="672" t="str">
        <f t="shared" ref="I960:BB960" si="5102">I944+I947+I953</f>
        <v>#ERROR!</v>
      </c>
      <c r="J960" s="672" t="str">
        <f t="shared" si="5102"/>
        <v>#ERROR!</v>
      </c>
      <c r="K960" s="672" t="str">
        <f t="shared" si="5102"/>
        <v>#ERROR!</v>
      </c>
      <c r="L960" s="672" t="str">
        <f t="shared" si="5102"/>
        <v>#ERROR!</v>
      </c>
      <c r="M960" s="673" t="str">
        <f t="shared" si="5102"/>
        <v>#ERROR!</v>
      </c>
      <c r="N960" s="672" t="str">
        <f t="shared" si="5102"/>
        <v>#ERROR!</v>
      </c>
      <c r="O960" s="672" t="str">
        <f t="shared" si="5102"/>
        <v>#ERROR!</v>
      </c>
      <c r="P960" s="672" t="str">
        <f t="shared" si="5102"/>
        <v>#ERROR!</v>
      </c>
      <c r="Q960" s="672" t="str">
        <f t="shared" si="5102"/>
        <v>#ERROR!</v>
      </c>
      <c r="R960" s="673" t="str">
        <f t="shared" si="5102"/>
        <v>#ERROR!</v>
      </c>
      <c r="S960" s="672" t="str">
        <f t="shared" si="5102"/>
        <v>#ERROR!</v>
      </c>
      <c r="T960" s="672" t="str">
        <f t="shared" si="5102"/>
        <v>#ERROR!</v>
      </c>
      <c r="U960" s="672" t="str">
        <f t="shared" si="5102"/>
        <v>#ERROR!</v>
      </c>
      <c r="V960" s="672" t="str">
        <f t="shared" si="5102"/>
        <v>#ERROR!</v>
      </c>
      <c r="W960" s="673" t="str">
        <f t="shared" si="5102"/>
        <v>#ERROR!</v>
      </c>
      <c r="X960" s="672" t="str">
        <f t="shared" si="5102"/>
        <v>#ERROR!</v>
      </c>
      <c r="Y960" s="672" t="str">
        <f t="shared" si="5102"/>
        <v>#ERROR!</v>
      </c>
      <c r="Z960" s="672" t="str">
        <f t="shared" si="5102"/>
        <v>#ERROR!</v>
      </c>
      <c r="AA960" s="672" t="str">
        <f t="shared" si="5102"/>
        <v>#ERROR!</v>
      </c>
      <c r="AB960" s="673" t="str">
        <f t="shared" si="5102"/>
        <v>#ERROR!</v>
      </c>
      <c r="AC960" s="672" t="str">
        <f t="shared" si="5102"/>
        <v>#ERROR!</v>
      </c>
      <c r="AD960" s="672" t="str">
        <f t="shared" si="5102"/>
        <v>#ERROR!</v>
      </c>
      <c r="AE960" s="672" t="str">
        <f t="shared" si="5102"/>
        <v>#ERROR!</v>
      </c>
      <c r="AF960" s="672" t="str">
        <f t="shared" si="5102"/>
        <v>#ERROR!</v>
      </c>
      <c r="AG960" s="673" t="str">
        <f t="shared" si="5102"/>
        <v>#ERROR!</v>
      </c>
      <c r="AH960" s="672" t="str">
        <f t="shared" si="5102"/>
        <v>#ERROR!</v>
      </c>
      <c r="AI960" s="672" t="str">
        <f t="shared" si="5102"/>
        <v>#ERROR!</v>
      </c>
      <c r="AJ960" s="672" t="str">
        <f t="shared" si="5102"/>
        <v>#ERROR!</v>
      </c>
      <c r="AK960" s="672" t="str">
        <f t="shared" si="5102"/>
        <v>#ERROR!</v>
      </c>
      <c r="AL960" s="673" t="str">
        <f t="shared" si="5102"/>
        <v>#ERROR!</v>
      </c>
      <c r="AM960" s="672" t="str">
        <f t="shared" si="5102"/>
        <v>#ERROR!</v>
      </c>
      <c r="AN960" s="672" t="str">
        <f t="shared" si="5102"/>
        <v>#ERROR!</v>
      </c>
      <c r="AO960" s="672" t="str">
        <f t="shared" si="5102"/>
        <v>#ERROR!</v>
      </c>
      <c r="AP960" s="672" t="str">
        <f t="shared" si="5102"/>
        <v>#ERROR!</v>
      </c>
      <c r="AQ960" s="673" t="str">
        <f t="shared" si="5102"/>
        <v>#ERROR!</v>
      </c>
      <c r="AR960" s="672" t="str">
        <f t="shared" si="5102"/>
        <v>#ERROR!</v>
      </c>
      <c r="AS960" s="672" t="str">
        <f t="shared" si="5102"/>
        <v>#ERROR!</v>
      </c>
      <c r="AT960" s="672" t="str">
        <f t="shared" si="5102"/>
        <v>#ERROR!</v>
      </c>
      <c r="AU960" s="672" t="str">
        <f t="shared" si="5102"/>
        <v>#ERROR!</v>
      </c>
      <c r="AV960" s="673" t="str">
        <f t="shared" si="5102"/>
        <v>#ERROR!</v>
      </c>
      <c r="AW960" s="672" t="str">
        <f t="shared" si="5102"/>
        <v>#ERROR!</v>
      </c>
      <c r="AX960" s="672" t="str">
        <f t="shared" si="5102"/>
        <v>#ERROR!</v>
      </c>
      <c r="AY960" s="672" t="str">
        <f t="shared" si="5102"/>
        <v>#ERROR!</v>
      </c>
      <c r="AZ960" s="672" t="str">
        <f t="shared" si="5102"/>
        <v>#ERROR!</v>
      </c>
      <c r="BA960" s="673" t="str">
        <f t="shared" si="5102"/>
        <v>#ERROR!</v>
      </c>
      <c r="BB960" s="672" t="str">
        <f t="shared" si="5102"/>
        <v>#ERROR!</v>
      </c>
      <c r="BC960" s="672" t="str">
        <f>serverUnitsTotal+desktopUnits+mobileUnitsTotal</f>
        <v>#ERROR!</v>
      </c>
      <c r="BD960" s="672" t="str">
        <f>serverUnitsTotal+desktopUnits+mobileUnitsTotal</f>
        <v>#ERROR!</v>
      </c>
      <c r="BE960" s="672" t="str">
        <f>serverUnitsTotal+desktopUnits+mobileUnitsTotal</f>
        <v>#ERROR!</v>
      </c>
      <c r="BF960" s="673" t="str">
        <f>serverUnitsTotal+desktopUnits+mobileUnitsTotal</f>
        <v>#ERROR!</v>
      </c>
      <c r="BG960" s="672" t="str">
        <f>serverUnitsTotal+desktopUnits+mobileUnitsTotal</f>
        <v>#ERROR!</v>
      </c>
      <c r="BH960" s="672" t="str">
        <f>serverUnitsTotal+desktopUnits+mobileUnitsTotal</f>
        <v>#ERROR!</v>
      </c>
      <c r="BI960" s="672" t="str">
        <f>serverUnitsTotal+desktopUnits+mobileUnitsTotal</f>
        <v>#ERROR!</v>
      </c>
      <c r="BJ960" s="672" t="str">
        <f>serverUnitsTotal+desktopUnits+mobileUnitsTotal</f>
        <v>#ERROR!</v>
      </c>
      <c r="BK960" s="673" t="str">
        <f>serverUnitsTotal+desktopUnits+mobileUnitsTotal</f>
        <v>#ERROR!</v>
      </c>
      <c r="BL960" s="672" t="str">
        <f>serverUnitsTotal+desktopUnits+mobileUnitsTotal</f>
        <v>#ERROR!</v>
      </c>
      <c r="BM960" s="672" t="str">
        <f>serverUnitsTotal+desktopUnits+mobileUnitsTotal</f>
        <v>#ERROR!</v>
      </c>
      <c r="BN960" s="672" t="str">
        <f>serverUnitsTotal+desktopUnits+mobileUnitsTotal</f>
        <v>#ERROR!</v>
      </c>
      <c r="BO960" s="672" t="str">
        <f>serverUnitsTotal+desktopUnits+mobileUnitsTotal</f>
        <v>#ERROR!</v>
      </c>
      <c r="BP960" s="673" t="str">
        <f>serverUnitsTotal+desktopUnits+mobileUnitsTotal</f>
        <v>#ERROR!</v>
      </c>
      <c r="BQ960" s="672" t="str">
        <f>serverUnitsTotal+desktopUnits+mobileUnitsTotal</f>
        <v>#ERROR!</v>
      </c>
      <c r="BR960" s="672" t="str">
        <f>serverUnitsTotal+desktopUnits+mobileUnitsTotal</f>
        <v>#ERROR!</v>
      </c>
      <c r="BS960" s="672" t="str">
        <f>serverUnitsTotal+desktopUnits+mobileUnitsTotal</f>
        <v>#ERROR!</v>
      </c>
      <c r="BT960" s="672" t="str">
        <f>serverUnitsTotal+desktopUnits+mobileUnitsTotal</f>
        <v>#ERROR!</v>
      </c>
      <c r="BU960" s="673" t="str">
        <f>serverUnitsTotal+desktopUnits+mobileUnitsTotal</f>
        <v>#ERROR!</v>
      </c>
      <c r="BV960" s="672" t="str">
        <f>serverUnitsTotal+desktopUnits+mobileUnitsTotal</f>
        <v>#ERROR!</v>
      </c>
      <c r="BW960" s="672" t="str">
        <f>serverUnitsTotal+desktopUnits+mobileUnitsTotal</f>
        <v>#ERROR!</v>
      </c>
      <c r="BX960" s="672" t="str">
        <f>serverUnitsTotal+desktopUnits+mobileUnitsTotal</f>
        <v>#ERROR!</v>
      </c>
      <c r="BY960" s="672" t="str">
        <f>serverUnitsTotal+desktopUnits+mobileUnitsTotal</f>
        <v>#ERROR!</v>
      </c>
      <c r="BZ960" s="674" t="str">
        <f>serverUnitsTotal+desktopUnits+mobileUnitsTotal</f>
        <v>#ERROR!</v>
      </c>
      <c r="CA960" s="672" t="str">
        <f>serverUnitsTotal+desktopUnits+mobileUnitsTotal</f>
        <v>#ERROR!</v>
      </c>
      <c r="CB960" s="672" t="str">
        <f>serverUnitsTotal+desktopUnits+mobileUnitsTotal</f>
        <v>#ERROR!</v>
      </c>
      <c r="CC960" s="672" t="str">
        <f>serverUnitsTotal+desktopUnits+mobileUnitsTotal</f>
        <v>#ERROR!</v>
      </c>
      <c r="CD960" s="672" t="str">
        <f>serverUnitsTotal+desktopUnits+mobileUnitsTotal</f>
        <v>#ERROR!</v>
      </c>
      <c r="CE960" s="674" t="str">
        <f>serverUnitsTotal+desktopUnits+mobileUnitsTotal</f>
        <v>#ERROR!</v>
      </c>
      <c r="CF960" s="672" t="str">
        <f>serverUnitsTotal+desktopUnits+mobileUnitsTotal</f>
        <v>#ERROR!</v>
      </c>
      <c r="CG960" s="672" t="str">
        <f>serverUnitsTotal+desktopUnits+mobileUnitsTotal</f>
        <v>#ERROR!</v>
      </c>
      <c r="CH960" s="672" t="str">
        <f>serverUnitsTotal+desktopUnits+mobileUnitsTotal</f>
        <v>#ERROR!</v>
      </c>
      <c r="CI960" s="672" t="str">
        <f>serverUnitsTotal+desktopUnits+mobileUnitsTotal</f>
        <v>#ERROR!</v>
      </c>
      <c r="CJ960" s="674" t="str">
        <f>serverUnitsTotal+desktopUnits+mobileUnitsTotal</f>
        <v>#ERROR!</v>
      </c>
      <c r="CK960" s="672" t="str">
        <f>serverUnitsTotal+desktopUnits+mobileUnitsTotal</f>
        <v>#ERROR!</v>
      </c>
      <c r="CL960" s="672" t="str">
        <f>serverUnitsTotal+desktopUnits+mobileUnitsTotal</f>
        <v>#ERROR!</v>
      </c>
      <c r="CM960" s="672" t="str">
        <f>serverUnitsTotal+desktopUnits+mobileUnitsTotal</f>
        <v>#ERROR!</v>
      </c>
      <c r="CN960" s="675" t="str">
        <f>serverUnitsTotal+desktopUnits+mobileUnitsTotal</f>
        <v>#ERROR!</v>
      </c>
      <c r="CO960" s="674" t="str">
        <f>serverUnitsTotal+desktopUnits+mobileUnitsTotal</f>
        <v>#ERROR!</v>
      </c>
      <c r="CP960" s="675" t="str">
        <f>serverUnitsTotal+desktopUnits+mobileUnitsTotal</f>
        <v>#ERROR!</v>
      </c>
      <c r="CQ960" s="672" t="str">
        <f>serverUnitsTotal+desktopUnits+mobileUnitsTotal</f>
        <v>#ERROR!</v>
      </c>
      <c r="CR960" s="672" t="str">
        <f>serverUnitsTotal+desktopUnits+mobileUnitsTotal</f>
        <v>#ERROR!</v>
      </c>
      <c r="CS960" s="672" t="str">
        <f>serverUnitsTotal+desktopUnits+mobileUnitsTotal</f>
        <v>#ERROR!</v>
      </c>
      <c r="CT960" s="674" t="str">
        <f>serverUnitsTotal+desktopUnits+mobileUnitsTotal</f>
        <v>#ERROR!</v>
      </c>
      <c r="CU960" s="672" t="str">
        <f>serverUnitsTotal+desktopUnits+mobileUnitsTotal</f>
        <v>#ERROR!</v>
      </c>
      <c r="CV960" s="672" t="str">
        <f>serverUnitsTotal+desktopUnits+mobileUnitsTotal</f>
        <v>#ERROR!</v>
      </c>
      <c r="CW960" s="672" t="str">
        <f>serverUnitsTotal+desktopUnits+mobileUnitsTotal</f>
        <v>#ERROR!</v>
      </c>
      <c r="CX960" s="672" t="str">
        <f>serverUnitsTotal+desktopUnits+mobileUnitsTotal</f>
        <v>#ERROR!</v>
      </c>
      <c r="CY960" s="674" t="str">
        <f>serverUnitsTotal+desktopUnits+mobileUnitsTotal</f>
        <v>#ERROR!</v>
      </c>
      <c r="CZ960" s="672" t="str">
        <f>serverUnitsTotal+desktopUnits+mobileUnitsTotal</f>
        <v>#ERROR!</v>
      </c>
      <c r="DA960" s="672" t="str">
        <f>serverUnitsTotal+desktopUnits+mobileUnitsTotal</f>
        <v>#ERROR!</v>
      </c>
      <c r="DB960" s="672" t="str">
        <f>serverUnitsTotal+desktopUnits+mobileUnitsTotal</f>
        <v>#ERROR!</v>
      </c>
      <c r="DC960" s="672" t="str">
        <f>serverUnitsTotal+desktopUnits+mobileUnitsTotal</f>
        <v>#ERROR!</v>
      </c>
      <c r="DD960" s="674" t="str">
        <f>serverUnitsTotal+desktopUnits+mobileUnitsTotal</f>
        <v>#ERROR!</v>
      </c>
      <c r="DE960" s="672" t="str">
        <f>serverUnitsTotal+desktopUnits+mobileUnitsTotal</f>
        <v>#ERROR!</v>
      </c>
      <c r="DF960" s="672" t="str">
        <f>serverUnitsTotal+desktopUnits+mobileUnitsTotal</f>
        <v>#ERROR!</v>
      </c>
      <c r="DG960" s="19" t="str">
        <f>serverUnitsTotal+desktopUnits+mobileUnitsTotal</f>
        <v>#ERROR!</v>
      </c>
      <c r="DH960" s="672" t="str">
        <f>serverUnitsTotal+desktopUnits+mobileUnitsTotal</f>
        <v>#ERROR!</v>
      </c>
      <c r="DI960" s="674" t="str">
        <f>serverUnitsTotal+desktopUnits+mobileUnitsTotal</f>
        <v>#ERROR!</v>
      </c>
      <c r="DJ960" s="675" t="str">
        <f>serverUnitsTotal+desktopUnits+mobileUnitsTotal</f>
        <v>#ERROR!</v>
      </c>
      <c r="DK960" s="675" t="str">
        <f>serverUnitsTotal+desktopUnits+mobileUnitsTotal</f>
        <v>#ERROR!</v>
      </c>
      <c r="DL960" s="675" t="str">
        <f>serverUnitsTotal+desktopUnits+mobileUnitsTotal</f>
        <v>#ERROR!</v>
      </c>
      <c r="DM960" s="672" t="str">
        <f>serverUnitsTotal+desktopUnits+mobileUnitsTotal</f>
        <v>#ERROR!</v>
      </c>
      <c r="DN960" s="674" t="str">
        <f>serverUnitsTotal+desktopUnits+mobileUnitsTotal</f>
        <v>#ERROR!</v>
      </c>
      <c r="DO960" s="672" t="str">
        <f>serverUnitsTotal+desktopUnits+mobileUnitsTotal</f>
        <v>#ERROR!</v>
      </c>
      <c r="DP960" s="672" t="str">
        <f>serverUnitsTotal+desktopUnits+mobileUnitsTotal</f>
        <v>#ERROR!</v>
      </c>
      <c r="DQ960" s="672" t="str">
        <f>serverUnitsTotal+desktopUnits+mobileUnitsTotal</f>
        <v>#ERROR!</v>
      </c>
      <c r="DR960" s="672" t="str">
        <f>serverUnitsTotal+desktopUnits+mobileUnitsTotal</f>
        <v>#ERROR!</v>
      </c>
      <c r="DS960" s="674" t="str">
        <f>serverUnitsTotal+desktopUnits+mobileUnitsTotal</f>
        <v>#ERROR!</v>
      </c>
      <c r="DT960" s="672" t="str">
        <f>serverUnitsTotal+desktopUnits+mobileUnitsTotal</f>
        <v>#ERROR!</v>
      </c>
      <c r="DU960" s="672" t="str">
        <f>serverUnitsTotal+desktopUnits+mobileUnitsTotal</f>
        <v>#ERROR!</v>
      </c>
      <c r="DV960" s="672" t="str">
        <f>serverUnitsTotal+desktopUnits+mobileUnitsTotal</f>
        <v>#ERROR!</v>
      </c>
      <c r="DW960" s="672" t="str">
        <f>serverUnitsTotal+desktopUnits+mobileUnitsTotal</f>
        <v>#ERROR!</v>
      </c>
      <c r="DX960" s="674" t="str">
        <f>serverUnitsTotal+desktopUnits+mobileUnitsTotal</f>
        <v>#ERROR!</v>
      </c>
      <c r="DY960" s="672" t="str">
        <f>serverUnitsTotal+desktopUnits+mobileUnitsTotal</f>
        <v>#ERROR!</v>
      </c>
      <c r="DZ960" s="672" t="str">
        <f>serverUnitsTotal+desktopUnits+mobileUnitsTotal</f>
        <v>#ERROR!</v>
      </c>
      <c r="EA960" s="672" t="str">
        <f>serverUnitsTotal+desktopUnits+mobileUnitsTotal</f>
        <v>#ERROR!</v>
      </c>
      <c r="EB960" s="672" t="str">
        <f>serverUnitsTotal+desktopUnits+mobileUnitsTotal</f>
        <v>#ERROR!</v>
      </c>
      <c r="EC960" s="674" t="str">
        <f>serverUnitsTotal+desktopUnits+mobileUnitsTotal</f>
        <v>#ERROR!</v>
      </c>
      <c r="ED960" s="672" t="str">
        <f>serverUnitsTotal+desktopUnits+mobileUnitsTotal</f>
        <v>#ERROR!</v>
      </c>
      <c r="EE960" s="672" t="str">
        <f>serverUnitsTotal+desktopUnits+mobileUnitsTotal</f>
        <v>#ERROR!</v>
      </c>
      <c r="EF960" s="672" t="str">
        <f>serverUnitsTotal+desktopUnits+mobileUnitsTotal</f>
        <v>#ERROR!</v>
      </c>
      <c r="EG960" s="672" t="str">
        <f>serverUnitsTotal+desktopUnits+mobileUnitsTotal</f>
        <v>#ERROR!</v>
      </c>
      <c r="EH960" s="674" t="str">
        <f>serverUnitsTotal+desktopUnits+mobileUnitsTotal</f>
        <v>#ERROR!</v>
      </c>
      <c r="EI960" s="676" t="str">
        <f>serverUnitsTotal+desktopUnits+mobileUnitsTotal</f>
        <v>#ERROR!</v>
      </c>
      <c r="EJ960" s="672" t="str">
        <f>serverUnitsTotal+desktopUnits+mobileUnitsTotal</f>
        <v>#ERROR!</v>
      </c>
      <c r="EK960" s="672" t="str">
        <f>serverUnitsTotal+desktopUnits+mobileUnitsTotal</f>
        <v>#ERROR!</v>
      </c>
      <c r="EL960" s="672" t="str">
        <f>serverUnitsTotal+desktopUnits+mobileUnitsTotal</f>
        <v>#ERROR!</v>
      </c>
      <c r="EM960" s="674" t="str">
        <f>serverUnitsTotal+desktopUnits+mobileUnitsTotal</f>
        <v>#ERROR!</v>
      </c>
      <c r="EN960" s="672" t="str">
        <f>serverUnitsTotal+desktopUnits+mobileUnitsTotal</f>
        <v>#ERROR!</v>
      </c>
      <c r="EO960" s="672" t="str">
        <f>serverUnitsTotal+desktopUnits+mobileUnitsTotal</f>
        <v>#ERROR!</v>
      </c>
      <c r="EP960" s="672" t="str">
        <f>serverUnitsTotal+desktopUnits+mobileUnitsTotal</f>
        <v>#ERROR!</v>
      </c>
      <c r="EQ960" s="672" t="str">
        <f>serverUnitsTotal+desktopUnits+mobileUnitsTotal</f>
        <v>#ERROR!</v>
      </c>
      <c r="ER960" s="674" t="str">
        <f>serverUnitsTotal+desktopUnits+mobileUnitsTotal</f>
        <v>#ERROR!</v>
      </c>
      <c r="ES960" s="672" t="str">
        <f>serverUnitsTotal+desktopUnits+mobileUnitsTotal</f>
        <v>#ERROR!</v>
      </c>
      <c r="ET960" s="672" t="str">
        <f>serverUnitsTotal+desktopUnits+mobileUnitsTotal</f>
        <v>#ERROR!</v>
      </c>
      <c r="EU960" s="672" t="str">
        <f>serverUnitsTotal+desktopUnits+mobileUnitsTotal</f>
        <v>#ERROR!</v>
      </c>
      <c r="EV960" s="672" t="str">
        <f>serverUnitsTotal+desktopUnits+mobileUnitsTotal</f>
        <v>#ERROR!</v>
      </c>
      <c r="EW960" s="674" t="str">
        <f>serverUnitsTotal+desktopUnits+mobileUnitsTotal</f>
        <v>#ERROR!</v>
      </c>
      <c r="EX960" s="672" t="str">
        <f>serverUnitsTotal+desktopUnits+mobileUnitsTotal</f>
        <v>#ERROR!</v>
      </c>
      <c r="EY960" s="672" t="str">
        <f>serverUnitsTotal+desktopUnits+mobileUnitsTotal</f>
        <v>#ERROR!</v>
      </c>
      <c r="EZ960" s="672" t="str">
        <f>serverUnitsTotal+desktopUnits+mobileUnitsTotal</f>
        <v>#ERROR!</v>
      </c>
      <c r="FA960" s="672" t="str">
        <f>serverUnitsTotal+desktopUnits+mobileUnitsTotal</f>
        <v>#ERROR!</v>
      </c>
      <c r="FB960" s="674" t="str">
        <f>serverUnitsTotal+desktopUnits+mobileUnitsTotal</f>
        <v>#ERROR!</v>
      </c>
      <c r="FC960" s="672" t="str">
        <f>serverUnitsTotal+desktopUnits+mobileUnitsTotal</f>
        <v>#ERROR!</v>
      </c>
      <c r="FD960" s="672" t="str">
        <f>serverUnitsTotal+desktopUnits+mobileUnitsTotal</f>
        <v>#ERROR!</v>
      </c>
      <c r="FE960" s="672" t="str">
        <f>serverUnitsTotal+desktopUnits+mobileUnitsTotal</f>
        <v>#ERROR!</v>
      </c>
      <c r="FF960" s="672" t="str">
        <f>serverUnitsTotal+desktopUnits+mobileUnitsTotal</f>
        <v>#ERROR!</v>
      </c>
      <c r="FG960" s="674" t="str">
        <f>serverUnitsTotal+desktopUnits+mobileUnitsTotal</f>
        <v>#ERROR!</v>
      </c>
      <c r="FH960" s="677"/>
      <c r="FI960" s="672"/>
      <c r="FJ960" s="672"/>
      <c r="FK960" s="673"/>
      <c r="FL960" s="672"/>
    </row>
    <row r="961" ht="12.75" hidden="1" customHeight="1" outlineLevel="1">
      <c r="A961" s="162"/>
      <c r="B961" s="162" t="s">
        <v>345</v>
      </c>
      <c r="C961" s="162"/>
      <c r="D961" s="15"/>
      <c r="E961" s="15"/>
      <c r="F961" s="15"/>
      <c r="G961" s="15"/>
      <c r="H961" s="693"/>
      <c r="I961" s="15"/>
      <c r="J961" s="15" t="str">
        <f t="shared" ref="J961:L961" si="5103">J960/I960-1</f>
        <v>#ERROR!</v>
      </c>
      <c r="K961" s="15" t="str">
        <f t="shared" si="5103"/>
        <v>#ERROR!</v>
      </c>
      <c r="L961" s="15" t="str">
        <f t="shared" si="5103"/>
        <v>#ERROR!</v>
      </c>
      <c r="M961" s="693"/>
      <c r="N961" s="15"/>
      <c r="O961" s="15" t="str">
        <f t="shared" ref="O961:Q961" si="5104">O960/N960-1</f>
        <v>#ERROR!</v>
      </c>
      <c r="P961" s="15" t="str">
        <f t="shared" si="5104"/>
        <v>#ERROR!</v>
      </c>
      <c r="Q961" s="15" t="str">
        <f t="shared" si="5104"/>
        <v>#ERROR!</v>
      </c>
      <c r="R961" s="693"/>
      <c r="S961" s="15"/>
      <c r="T961" s="15" t="str">
        <f t="shared" ref="T961:V961" si="5105">T960/S960-1</f>
        <v>#ERROR!</v>
      </c>
      <c r="U961" s="15" t="str">
        <f t="shared" si="5105"/>
        <v>#ERROR!</v>
      </c>
      <c r="V961" s="15" t="str">
        <f t="shared" si="5105"/>
        <v>#ERROR!</v>
      </c>
      <c r="W961" s="693"/>
      <c r="X961" s="15"/>
      <c r="Y961" s="15" t="str">
        <f t="shared" ref="Y961:AA961" si="5106">Y960/X960-1</f>
        <v>#ERROR!</v>
      </c>
      <c r="Z961" s="15" t="str">
        <f t="shared" si="5106"/>
        <v>#ERROR!</v>
      </c>
      <c r="AA961" s="15" t="str">
        <f t="shared" si="5106"/>
        <v>#ERROR!</v>
      </c>
      <c r="AB961" s="693"/>
      <c r="AC961" s="15" t="str">
        <f>AC960/AA960-1</f>
        <v>#ERROR!</v>
      </c>
      <c r="AD961" s="15" t="str">
        <f t="shared" ref="AD961:AF961" si="5107">AD960/AC960-1</f>
        <v>#ERROR!</v>
      </c>
      <c r="AE961" s="15" t="str">
        <f t="shared" si="5107"/>
        <v>#ERROR!</v>
      </c>
      <c r="AF961" s="15" t="str">
        <f t="shared" si="5107"/>
        <v>#ERROR!</v>
      </c>
      <c r="AG961" s="693"/>
      <c r="AH961" s="15" t="str">
        <f>AH960/AF960-1</f>
        <v>#ERROR!</v>
      </c>
      <c r="AI961" s="15" t="str">
        <f t="shared" ref="AI961:AK961" si="5108">AI960/AH960-1</f>
        <v>#ERROR!</v>
      </c>
      <c r="AJ961" s="15" t="str">
        <f t="shared" si="5108"/>
        <v>#ERROR!</v>
      </c>
      <c r="AK961" s="15" t="str">
        <f t="shared" si="5108"/>
        <v>#ERROR!</v>
      </c>
      <c r="AL961" s="693"/>
      <c r="AM961" s="15" t="str">
        <f>AM960/AK960-1</f>
        <v>#ERROR!</v>
      </c>
      <c r="AN961" s="15" t="str">
        <f t="shared" ref="AN961:AP961" si="5109">AN960/AM960-1</f>
        <v>#ERROR!</v>
      </c>
      <c r="AO961" s="15" t="str">
        <f t="shared" si="5109"/>
        <v>#ERROR!</v>
      </c>
      <c r="AP961" s="15" t="str">
        <f t="shared" si="5109"/>
        <v>#ERROR!</v>
      </c>
      <c r="AQ961" s="693"/>
      <c r="AR961" s="15" t="str">
        <f>AR960/AP960-1</f>
        <v>#ERROR!</v>
      </c>
      <c r="AS961" s="15" t="str">
        <f t="shared" ref="AS961:AU961" si="5110">AS960/AR960-1</f>
        <v>#ERROR!</v>
      </c>
      <c r="AT961" s="15" t="str">
        <f t="shared" si="5110"/>
        <v>#ERROR!</v>
      </c>
      <c r="AU961" s="15" t="str">
        <f t="shared" si="5110"/>
        <v>#ERROR!</v>
      </c>
      <c r="AV961" s="693"/>
      <c r="AW961" s="15" t="str">
        <f>AW960/AU960-1</f>
        <v>#ERROR!</v>
      </c>
      <c r="AX961" s="15" t="str">
        <f t="shared" ref="AX961:AZ961" si="5111">AX960/AW960-1</f>
        <v>#ERROR!</v>
      </c>
      <c r="AY961" s="15" t="str">
        <f t="shared" si="5111"/>
        <v>#ERROR!</v>
      </c>
      <c r="AZ961" s="15" t="str">
        <f t="shared" si="5111"/>
        <v>#ERROR!</v>
      </c>
      <c r="BA961" s="693"/>
      <c r="BB961" s="15" t="str">
        <f>BB960/AZ960-1</f>
        <v>#ERROR!</v>
      </c>
      <c r="BC961" s="15" t="str">
        <f t="shared" ref="BC961:BE961" si="5112">BC960/BB960-1</f>
        <v>#ERROR!</v>
      </c>
      <c r="BD961" s="15" t="str">
        <f t="shared" si="5112"/>
        <v>#ERROR!</v>
      </c>
      <c r="BE961" s="15" t="str">
        <f t="shared" si="5112"/>
        <v>#ERROR!</v>
      </c>
      <c r="BF961" s="693"/>
      <c r="BG961" s="15" t="str">
        <f>BG960/BE960-1</f>
        <v>#ERROR!</v>
      </c>
      <c r="BH961" s="15" t="str">
        <f t="shared" ref="BH961:BJ961" si="5113">BH960/BG960-1</f>
        <v>#ERROR!</v>
      </c>
      <c r="BI961" s="15" t="str">
        <f t="shared" si="5113"/>
        <v>#ERROR!</v>
      </c>
      <c r="BJ961" s="15" t="str">
        <f t="shared" si="5113"/>
        <v>#ERROR!</v>
      </c>
      <c r="BK961" s="693"/>
      <c r="BL961" s="15" t="str">
        <f>BL960/BJ960-1</f>
        <v>#ERROR!</v>
      </c>
      <c r="BM961" s="15" t="str">
        <f t="shared" ref="BM961:BO961" si="5114">BM960/BL960-1</f>
        <v>#ERROR!</v>
      </c>
      <c r="BN961" s="15" t="str">
        <f t="shared" si="5114"/>
        <v>#ERROR!</v>
      </c>
      <c r="BO961" s="15" t="str">
        <f t="shared" si="5114"/>
        <v>#ERROR!</v>
      </c>
      <c r="BP961" s="693"/>
      <c r="BQ961" s="15" t="str">
        <f>BQ960/BO960-1</f>
        <v>#ERROR!</v>
      </c>
      <c r="BR961" s="15" t="str">
        <f t="shared" ref="BR961:BT961" si="5115">BR960/BQ960-1</f>
        <v>#ERROR!</v>
      </c>
      <c r="BS961" s="15" t="str">
        <f t="shared" si="5115"/>
        <v>#ERROR!</v>
      </c>
      <c r="BT961" s="15" t="str">
        <f t="shared" si="5115"/>
        <v>#ERROR!</v>
      </c>
      <c r="BU961" s="693"/>
      <c r="BV961" s="15" t="str">
        <f>BV960/BT960-1</f>
        <v>#ERROR!</v>
      </c>
      <c r="BW961" s="15" t="str">
        <f t="shared" ref="BW961:BY961" si="5116">BW960/BV960-1</f>
        <v>#ERROR!</v>
      </c>
      <c r="BX961" s="15" t="str">
        <f t="shared" si="5116"/>
        <v>#ERROR!</v>
      </c>
      <c r="BY961" s="15" t="str">
        <f t="shared" si="5116"/>
        <v>#ERROR!</v>
      </c>
      <c r="BZ961" s="694"/>
      <c r="CA961" s="15" t="str">
        <f>CA960/BY960-1</f>
        <v>#ERROR!</v>
      </c>
      <c r="CB961" s="15" t="str">
        <f t="shared" ref="CB961:CD961" si="5117">CB960/CA960-1</f>
        <v>#ERROR!</v>
      </c>
      <c r="CC961" s="15" t="str">
        <f t="shared" si="5117"/>
        <v>#ERROR!</v>
      </c>
      <c r="CD961" s="15" t="str">
        <f t="shared" si="5117"/>
        <v>#ERROR!</v>
      </c>
      <c r="CE961" s="694"/>
      <c r="CF961" s="15" t="str">
        <f>CF960/CD960-1</f>
        <v>#ERROR!</v>
      </c>
      <c r="CG961" s="15" t="str">
        <f t="shared" ref="CG961:CI961" si="5118">CG960/CF960-1</f>
        <v>#ERROR!</v>
      </c>
      <c r="CH961" s="15" t="str">
        <f t="shared" si="5118"/>
        <v>#ERROR!</v>
      </c>
      <c r="CI961" s="15" t="str">
        <f t="shared" si="5118"/>
        <v>#ERROR!</v>
      </c>
      <c r="CJ961" s="694"/>
      <c r="CK961" s="15" t="str">
        <f>CK960/CI960-1</f>
        <v>#ERROR!</v>
      </c>
      <c r="CL961" s="15" t="str">
        <f t="shared" ref="CL961:CN961" si="5119">CL960/CK960-1</f>
        <v>#ERROR!</v>
      </c>
      <c r="CM961" s="15" t="str">
        <f t="shared" si="5119"/>
        <v>#ERROR!</v>
      </c>
      <c r="CN961" s="40" t="str">
        <f t="shared" si="5119"/>
        <v>#ERROR!</v>
      </c>
      <c r="CO961" s="694"/>
      <c r="CP961" s="40" t="str">
        <f>CP960/CN960-1</f>
        <v>#ERROR!</v>
      </c>
      <c r="CQ961" s="15" t="str">
        <f t="shared" ref="CQ961:CS961" si="5120">CQ960/CP960-1</f>
        <v>#ERROR!</v>
      </c>
      <c r="CR961" s="15" t="str">
        <f t="shared" si="5120"/>
        <v>#ERROR!</v>
      </c>
      <c r="CS961" s="15" t="str">
        <f t="shared" si="5120"/>
        <v>#ERROR!</v>
      </c>
      <c r="CT961" s="694"/>
      <c r="CU961" s="15" t="str">
        <f>CU960/CS960-1</f>
        <v>#ERROR!</v>
      </c>
      <c r="CV961" s="15" t="str">
        <f t="shared" ref="CV961:CX961" si="5121">CV960/CU960-1</f>
        <v>#ERROR!</v>
      </c>
      <c r="CW961" s="15" t="str">
        <f t="shared" si="5121"/>
        <v>#ERROR!</v>
      </c>
      <c r="CX961" s="15" t="str">
        <f t="shared" si="5121"/>
        <v>#ERROR!</v>
      </c>
      <c r="CY961" s="694"/>
      <c r="CZ961" s="15" t="str">
        <f>CZ960/CX960-1</f>
        <v>#ERROR!</v>
      </c>
      <c r="DA961" s="15" t="str">
        <f t="shared" ref="DA961:DC961" si="5122">DA960/CZ960-1</f>
        <v>#ERROR!</v>
      </c>
      <c r="DB961" s="15" t="str">
        <f t="shared" si="5122"/>
        <v>#ERROR!</v>
      </c>
      <c r="DC961" s="15" t="str">
        <f t="shared" si="5122"/>
        <v>#ERROR!</v>
      </c>
      <c r="DD961" s="694"/>
      <c r="DE961" s="15" t="str">
        <f>DE960/DC960-1</f>
        <v>#ERROR!</v>
      </c>
      <c r="DF961" s="15" t="str">
        <f t="shared" ref="DF961:DH961" si="5123">DF960/DE960-1</f>
        <v>#ERROR!</v>
      </c>
      <c r="DG961" s="40" t="str">
        <f t="shared" si="5123"/>
        <v>#ERROR!</v>
      </c>
      <c r="DH961" s="15" t="str">
        <f t="shared" si="5123"/>
        <v>#ERROR!</v>
      </c>
      <c r="DI961" s="694"/>
      <c r="DJ961" s="40" t="str">
        <f>DJ960/DH960-1</f>
        <v>#ERROR!</v>
      </c>
      <c r="DK961" s="40" t="str">
        <f t="shared" ref="DK961:DM961" si="5124">DK960/DJ960-1</f>
        <v>#ERROR!</v>
      </c>
      <c r="DL961" s="40" t="str">
        <f t="shared" si="5124"/>
        <v>#ERROR!</v>
      </c>
      <c r="DM961" s="15" t="str">
        <f t="shared" si="5124"/>
        <v>#ERROR!</v>
      </c>
      <c r="DN961" s="694"/>
      <c r="DO961" s="15" t="str">
        <f>DO960/DM960-1</f>
        <v>#ERROR!</v>
      </c>
      <c r="DP961" s="15" t="str">
        <f t="shared" ref="DP961:DR961" si="5125">DP960/DO960-1</f>
        <v>#ERROR!</v>
      </c>
      <c r="DQ961" s="15" t="str">
        <f t="shared" si="5125"/>
        <v>#ERROR!</v>
      </c>
      <c r="DR961" s="15" t="str">
        <f t="shared" si="5125"/>
        <v>#ERROR!</v>
      </c>
      <c r="DS961" s="694"/>
      <c r="DT961" s="15" t="str">
        <f>DT960/DR960-1</f>
        <v>#ERROR!</v>
      </c>
      <c r="DU961" s="15" t="str">
        <f t="shared" ref="DU961:DW961" si="5126">DU960/DT960-1</f>
        <v>#ERROR!</v>
      </c>
      <c r="DV961" s="15" t="str">
        <f t="shared" si="5126"/>
        <v>#ERROR!</v>
      </c>
      <c r="DW961" s="15" t="str">
        <f t="shared" si="5126"/>
        <v>#ERROR!</v>
      </c>
      <c r="DX961" s="694"/>
      <c r="DY961" s="15" t="str">
        <f>DY960/DW960-1</f>
        <v>#ERROR!</v>
      </c>
      <c r="DZ961" s="15" t="str">
        <f t="shared" ref="DZ961:EB961" si="5127">DZ960/DY960-1</f>
        <v>#ERROR!</v>
      </c>
      <c r="EA961" s="15" t="str">
        <f t="shared" si="5127"/>
        <v>#ERROR!</v>
      </c>
      <c r="EB961" s="15" t="str">
        <f t="shared" si="5127"/>
        <v>#ERROR!</v>
      </c>
      <c r="EC961" s="694"/>
      <c r="ED961" s="15" t="str">
        <f>ED960/EB960-1</f>
        <v>#ERROR!</v>
      </c>
      <c r="EE961" s="15" t="str">
        <f t="shared" ref="EE961:EG961" si="5128">EE960/ED960-1</f>
        <v>#ERROR!</v>
      </c>
      <c r="EF961" s="15" t="str">
        <f t="shared" si="5128"/>
        <v>#ERROR!</v>
      </c>
      <c r="EG961" s="15" t="str">
        <f t="shared" si="5128"/>
        <v>#ERROR!</v>
      </c>
      <c r="EH961" s="694"/>
      <c r="EI961" s="82" t="str">
        <f>EI960/EG960-1</f>
        <v>#ERROR!</v>
      </c>
      <c r="EJ961" s="15" t="str">
        <f t="shared" ref="EJ961:EL961" si="5129">EJ960/EI960-1</f>
        <v>#ERROR!</v>
      </c>
      <c r="EK961" s="15" t="str">
        <f t="shared" si="5129"/>
        <v>#ERROR!</v>
      </c>
      <c r="EL961" s="15" t="str">
        <f t="shared" si="5129"/>
        <v>#ERROR!</v>
      </c>
      <c r="EM961" s="694"/>
      <c r="EN961" s="15" t="str">
        <f>EN960/EL960-1</f>
        <v>#ERROR!</v>
      </c>
      <c r="EO961" s="15" t="str">
        <f t="shared" ref="EO961:EQ961" si="5130">EO960/EN960-1</f>
        <v>#ERROR!</v>
      </c>
      <c r="EP961" s="15" t="str">
        <f t="shared" si="5130"/>
        <v>#ERROR!</v>
      </c>
      <c r="EQ961" s="15" t="str">
        <f t="shared" si="5130"/>
        <v>#ERROR!</v>
      </c>
      <c r="ER961" s="694"/>
      <c r="ES961" s="15" t="str">
        <f>ES960/EQ960-1</f>
        <v>#ERROR!</v>
      </c>
      <c r="ET961" s="15" t="str">
        <f t="shared" ref="ET961:EV961" si="5131">ET960/ES960-1</f>
        <v>#ERROR!</v>
      </c>
      <c r="EU961" s="15" t="str">
        <f t="shared" si="5131"/>
        <v>#ERROR!</v>
      </c>
      <c r="EV961" s="15" t="str">
        <f t="shared" si="5131"/>
        <v>#ERROR!</v>
      </c>
      <c r="EW961" s="694"/>
      <c r="EX961" s="15" t="str">
        <f>EX960/EV960-1</f>
        <v>#ERROR!</v>
      </c>
      <c r="EY961" s="15" t="str">
        <f t="shared" ref="EY961:FA961" si="5132">EY960/EX960-1</f>
        <v>#ERROR!</v>
      </c>
      <c r="EZ961" s="15" t="str">
        <f t="shared" si="5132"/>
        <v>#ERROR!</v>
      </c>
      <c r="FA961" s="15" t="str">
        <f t="shared" si="5132"/>
        <v>#ERROR!</v>
      </c>
      <c r="FB961" s="694"/>
      <c r="FC961" s="15" t="str">
        <f>FC960/FA960-1</f>
        <v>#ERROR!</v>
      </c>
      <c r="FD961" s="15" t="str">
        <f t="shared" ref="FD961:FF961" si="5133">FD960/FC960-1</f>
        <v>#ERROR!</v>
      </c>
      <c r="FE961" s="15" t="str">
        <f t="shared" si="5133"/>
        <v>#ERROR!</v>
      </c>
      <c r="FF961" s="15" t="str">
        <f t="shared" si="5133"/>
        <v>#ERROR!</v>
      </c>
      <c r="FG961" s="694"/>
      <c r="FH961" s="695"/>
      <c r="FI961" s="15"/>
      <c r="FJ961" s="15"/>
      <c r="FK961" s="693"/>
      <c r="FL961" s="15"/>
    </row>
    <row r="962" ht="12.75" hidden="1" customHeight="1" outlineLevel="1">
      <c r="A962" s="162"/>
      <c r="B962" s="162" t="s">
        <v>346</v>
      </c>
      <c r="C962" s="162"/>
      <c r="D962" s="15"/>
      <c r="E962" s="15"/>
      <c r="F962" s="15"/>
      <c r="G962" s="15"/>
      <c r="H962" s="410"/>
      <c r="I962" s="15"/>
      <c r="J962" s="15"/>
      <c r="K962" s="15"/>
      <c r="L962" s="15"/>
      <c r="M962" s="410"/>
      <c r="N962" s="15"/>
      <c r="O962" s="15"/>
      <c r="P962" s="15"/>
      <c r="Q962" s="15"/>
      <c r="R962" s="410"/>
      <c r="S962" s="15"/>
      <c r="T962" s="15"/>
      <c r="U962" s="15"/>
      <c r="V962" s="15"/>
      <c r="W962" s="410"/>
      <c r="X962" s="15"/>
      <c r="Y962" s="15"/>
      <c r="Z962" s="15"/>
      <c r="AA962" s="15"/>
      <c r="AB962" s="410"/>
      <c r="AC962" s="15" t="str">
        <f t="shared" ref="AC962:FG962" si="5134">AC960/X960-1</f>
        <v>#ERROR!</v>
      </c>
      <c r="AD962" s="15" t="str">
        <f t="shared" si="5134"/>
        <v>#ERROR!</v>
      </c>
      <c r="AE962" s="15" t="str">
        <f t="shared" si="5134"/>
        <v>#ERROR!</v>
      </c>
      <c r="AF962" s="15" t="str">
        <f t="shared" si="5134"/>
        <v>#ERROR!</v>
      </c>
      <c r="AG962" s="410" t="str">
        <f t="shared" si="5134"/>
        <v>#ERROR!</v>
      </c>
      <c r="AH962" s="15" t="str">
        <f t="shared" si="5134"/>
        <v>#ERROR!</v>
      </c>
      <c r="AI962" s="15" t="str">
        <f t="shared" si="5134"/>
        <v>#ERROR!</v>
      </c>
      <c r="AJ962" s="15" t="str">
        <f t="shared" si="5134"/>
        <v>#ERROR!</v>
      </c>
      <c r="AK962" s="15" t="str">
        <f t="shared" si="5134"/>
        <v>#ERROR!</v>
      </c>
      <c r="AL962" s="410" t="str">
        <f t="shared" si="5134"/>
        <v>#ERROR!</v>
      </c>
      <c r="AM962" s="15" t="str">
        <f t="shared" si="5134"/>
        <v>#ERROR!</v>
      </c>
      <c r="AN962" s="15" t="str">
        <f t="shared" si="5134"/>
        <v>#ERROR!</v>
      </c>
      <c r="AO962" s="15" t="str">
        <f t="shared" si="5134"/>
        <v>#ERROR!</v>
      </c>
      <c r="AP962" s="15" t="str">
        <f t="shared" si="5134"/>
        <v>#ERROR!</v>
      </c>
      <c r="AQ962" s="410" t="str">
        <f t="shared" si="5134"/>
        <v>#ERROR!</v>
      </c>
      <c r="AR962" s="15" t="str">
        <f t="shared" si="5134"/>
        <v>#ERROR!</v>
      </c>
      <c r="AS962" s="15" t="str">
        <f t="shared" si="5134"/>
        <v>#ERROR!</v>
      </c>
      <c r="AT962" s="15" t="str">
        <f t="shared" si="5134"/>
        <v>#ERROR!</v>
      </c>
      <c r="AU962" s="15" t="str">
        <f t="shared" si="5134"/>
        <v>#ERROR!</v>
      </c>
      <c r="AV962" s="410" t="str">
        <f t="shared" si="5134"/>
        <v>#ERROR!</v>
      </c>
      <c r="AW962" s="15" t="str">
        <f t="shared" si="5134"/>
        <v>#ERROR!</v>
      </c>
      <c r="AX962" s="15" t="str">
        <f t="shared" si="5134"/>
        <v>#ERROR!</v>
      </c>
      <c r="AY962" s="15" t="str">
        <f t="shared" si="5134"/>
        <v>#ERROR!</v>
      </c>
      <c r="AZ962" s="15" t="str">
        <f t="shared" si="5134"/>
        <v>#ERROR!</v>
      </c>
      <c r="BA962" s="410" t="str">
        <f t="shared" si="5134"/>
        <v>#ERROR!</v>
      </c>
      <c r="BB962" s="15" t="str">
        <f t="shared" si="5134"/>
        <v>#ERROR!</v>
      </c>
      <c r="BC962" s="15" t="str">
        <f t="shared" si="5134"/>
        <v>#ERROR!</v>
      </c>
      <c r="BD962" s="15" t="str">
        <f t="shared" si="5134"/>
        <v>#ERROR!</v>
      </c>
      <c r="BE962" s="15" t="str">
        <f t="shared" si="5134"/>
        <v>#ERROR!</v>
      </c>
      <c r="BF962" s="410" t="str">
        <f t="shared" si="5134"/>
        <v>#ERROR!</v>
      </c>
      <c r="BG962" s="15" t="str">
        <f t="shared" si="5134"/>
        <v>#ERROR!</v>
      </c>
      <c r="BH962" s="15" t="str">
        <f t="shared" si="5134"/>
        <v>#ERROR!</v>
      </c>
      <c r="BI962" s="15" t="str">
        <f t="shared" si="5134"/>
        <v>#ERROR!</v>
      </c>
      <c r="BJ962" s="15" t="str">
        <f t="shared" si="5134"/>
        <v>#ERROR!</v>
      </c>
      <c r="BK962" s="410" t="str">
        <f t="shared" si="5134"/>
        <v>#ERROR!</v>
      </c>
      <c r="BL962" s="15" t="str">
        <f t="shared" si="5134"/>
        <v>#ERROR!</v>
      </c>
      <c r="BM962" s="15" t="str">
        <f t="shared" si="5134"/>
        <v>#ERROR!</v>
      </c>
      <c r="BN962" s="15" t="str">
        <f t="shared" si="5134"/>
        <v>#ERROR!</v>
      </c>
      <c r="BO962" s="15" t="str">
        <f t="shared" si="5134"/>
        <v>#ERROR!</v>
      </c>
      <c r="BP962" s="410" t="str">
        <f t="shared" si="5134"/>
        <v>#ERROR!</v>
      </c>
      <c r="BQ962" s="15" t="str">
        <f t="shared" si="5134"/>
        <v>#ERROR!</v>
      </c>
      <c r="BR962" s="15" t="str">
        <f t="shared" si="5134"/>
        <v>#ERROR!</v>
      </c>
      <c r="BS962" s="15" t="str">
        <f t="shared" si="5134"/>
        <v>#ERROR!</v>
      </c>
      <c r="BT962" s="15" t="str">
        <f t="shared" si="5134"/>
        <v>#ERROR!</v>
      </c>
      <c r="BU962" s="410" t="str">
        <f t="shared" si="5134"/>
        <v>#ERROR!</v>
      </c>
      <c r="BV962" s="15" t="str">
        <f t="shared" si="5134"/>
        <v>#ERROR!</v>
      </c>
      <c r="BW962" s="15" t="str">
        <f t="shared" si="5134"/>
        <v>#ERROR!</v>
      </c>
      <c r="BX962" s="15" t="str">
        <f t="shared" si="5134"/>
        <v>#ERROR!</v>
      </c>
      <c r="BY962" s="15" t="str">
        <f t="shared" si="5134"/>
        <v>#ERROR!</v>
      </c>
      <c r="BZ962" s="24" t="str">
        <f t="shared" si="5134"/>
        <v>#ERROR!</v>
      </c>
      <c r="CA962" s="15" t="str">
        <f t="shared" si="5134"/>
        <v>#ERROR!</v>
      </c>
      <c r="CB962" s="15" t="str">
        <f t="shared" si="5134"/>
        <v>#ERROR!</v>
      </c>
      <c r="CC962" s="15" t="str">
        <f t="shared" si="5134"/>
        <v>#ERROR!</v>
      </c>
      <c r="CD962" s="15" t="str">
        <f t="shared" si="5134"/>
        <v>#ERROR!</v>
      </c>
      <c r="CE962" s="24" t="str">
        <f t="shared" si="5134"/>
        <v>#ERROR!</v>
      </c>
      <c r="CF962" s="15" t="str">
        <f t="shared" si="5134"/>
        <v>#ERROR!</v>
      </c>
      <c r="CG962" s="15" t="str">
        <f t="shared" si="5134"/>
        <v>#ERROR!</v>
      </c>
      <c r="CH962" s="15" t="str">
        <f t="shared" si="5134"/>
        <v>#ERROR!</v>
      </c>
      <c r="CI962" s="15" t="str">
        <f t="shared" si="5134"/>
        <v>#ERROR!</v>
      </c>
      <c r="CJ962" s="24" t="str">
        <f t="shared" si="5134"/>
        <v>#ERROR!</v>
      </c>
      <c r="CK962" s="15" t="str">
        <f t="shared" si="5134"/>
        <v>#ERROR!</v>
      </c>
      <c r="CL962" s="15" t="str">
        <f t="shared" si="5134"/>
        <v>#ERROR!</v>
      </c>
      <c r="CM962" s="15" t="str">
        <f t="shared" si="5134"/>
        <v>#ERROR!</v>
      </c>
      <c r="CN962" s="40" t="str">
        <f t="shared" si="5134"/>
        <v>#ERROR!</v>
      </c>
      <c r="CO962" s="24" t="str">
        <f t="shared" si="5134"/>
        <v>#ERROR!</v>
      </c>
      <c r="CP962" s="40" t="str">
        <f t="shared" si="5134"/>
        <v>#ERROR!</v>
      </c>
      <c r="CQ962" s="15" t="str">
        <f t="shared" si="5134"/>
        <v>#ERROR!</v>
      </c>
      <c r="CR962" s="15" t="str">
        <f t="shared" si="5134"/>
        <v>#ERROR!</v>
      </c>
      <c r="CS962" s="15" t="str">
        <f t="shared" si="5134"/>
        <v>#ERROR!</v>
      </c>
      <c r="CT962" s="24" t="str">
        <f t="shared" si="5134"/>
        <v>#ERROR!</v>
      </c>
      <c r="CU962" s="15" t="str">
        <f t="shared" si="5134"/>
        <v>#ERROR!</v>
      </c>
      <c r="CV962" s="15" t="str">
        <f t="shared" si="5134"/>
        <v>#ERROR!</v>
      </c>
      <c r="CW962" s="15" t="str">
        <f t="shared" si="5134"/>
        <v>#ERROR!</v>
      </c>
      <c r="CX962" s="15" t="str">
        <f t="shared" si="5134"/>
        <v>#ERROR!</v>
      </c>
      <c r="CY962" s="24" t="str">
        <f t="shared" si="5134"/>
        <v>#ERROR!</v>
      </c>
      <c r="CZ962" s="15" t="str">
        <f t="shared" si="5134"/>
        <v>#ERROR!</v>
      </c>
      <c r="DA962" s="15" t="str">
        <f t="shared" si="5134"/>
        <v>#ERROR!</v>
      </c>
      <c r="DB962" s="15" t="str">
        <f t="shared" si="5134"/>
        <v>#ERROR!</v>
      </c>
      <c r="DC962" s="15" t="str">
        <f t="shared" si="5134"/>
        <v>#ERROR!</v>
      </c>
      <c r="DD962" s="24" t="str">
        <f t="shared" si="5134"/>
        <v>#ERROR!</v>
      </c>
      <c r="DE962" s="15" t="str">
        <f t="shared" si="5134"/>
        <v>#ERROR!</v>
      </c>
      <c r="DF962" s="15" t="str">
        <f t="shared" si="5134"/>
        <v>#ERROR!</v>
      </c>
      <c r="DG962" s="40" t="str">
        <f t="shared" si="5134"/>
        <v>#ERROR!</v>
      </c>
      <c r="DH962" s="15" t="str">
        <f t="shared" si="5134"/>
        <v>#ERROR!</v>
      </c>
      <c r="DI962" s="24" t="str">
        <f t="shared" si="5134"/>
        <v>#ERROR!</v>
      </c>
      <c r="DJ962" s="40" t="str">
        <f t="shared" si="5134"/>
        <v>#ERROR!</v>
      </c>
      <c r="DK962" s="40" t="str">
        <f t="shared" si="5134"/>
        <v>#ERROR!</v>
      </c>
      <c r="DL962" s="40" t="str">
        <f t="shared" si="5134"/>
        <v>#ERROR!</v>
      </c>
      <c r="DM962" s="15" t="str">
        <f t="shared" si="5134"/>
        <v>#ERROR!</v>
      </c>
      <c r="DN962" s="24" t="str">
        <f t="shared" si="5134"/>
        <v>#ERROR!</v>
      </c>
      <c r="DO962" s="15" t="str">
        <f t="shared" si="5134"/>
        <v>#ERROR!</v>
      </c>
      <c r="DP962" s="15" t="str">
        <f t="shared" si="5134"/>
        <v>#ERROR!</v>
      </c>
      <c r="DQ962" s="15" t="str">
        <f t="shared" si="5134"/>
        <v>#ERROR!</v>
      </c>
      <c r="DR962" s="15" t="str">
        <f t="shared" si="5134"/>
        <v>#ERROR!</v>
      </c>
      <c r="DS962" s="24" t="str">
        <f t="shared" si="5134"/>
        <v>#ERROR!</v>
      </c>
      <c r="DT962" s="15" t="str">
        <f t="shared" si="5134"/>
        <v>#ERROR!</v>
      </c>
      <c r="DU962" s="15" t="str">
        <f t="shared" si="5134"/>
        <v>#ERROR!</v>
      </c>
      <c r="DV962" s="15" t="str">
        <f t="shared" si="5134"/>
        <v>#ERROR!</v>
      </c>
      <c r="DW962" s="15" t="str">
        <f t="shared" si="5134"/>
        <v>#ERROR!</v>
      </c>
      <c r="DX962" s="24" t="str">
        <f t="shared" si="5134"/>
        <v>#ERROR!</v>
      </c>
      <c r="DY962" s="15" t="str">
        <f t="shared" si="5134"/>
        <v>#ERROR!</v>
      </c>
      <c r="DZ962" s="15" t="str">
        <f t="shared" si="5134"/>
        <v>#ERROR!</v>
      </c>
      <c r="EA962" s="15" t="str">
        <f t="shared" si="5134"/>
        <v>#ERROR!</v>
      </c>
      <c r="EB962" s="15" t="str">
        <f t="shared" si="5134"/>
        <v>#ERROR!</v>
      </c>
      <c r="EC962" s="24" t="str">
        <f t="shared" si="5134"/>
        <v>#ERROR!</v>
      </c>
      <c r="ED962" s="15" t="str">
        <f t="shared" si="5134"/>
        <v>#ERROR!</v>
      </c>
      <c r="EE962" s="15" t="str">
        <f t="shared" si="5134"/>
        <v>#ERROR!</v>
      </c>
      <c r="EF962" s="15" t="str">
        <f t="shared" si="5134"/>
        <v>#ERROR!</v>
      </c>
      <c r="EG962" s="15" t="str">
        <f t="shared" si="5134"/>
        <v>#ERROR!</v>
      </c>
      <c r="EH962" s="24" t="str">
        <f t="shared" si="5134"/>
        <v>#ERROR!</v>
      </c>
      <c r="EI962" s="82" t="str">
        <f t="shared" si="5134"/>
        <v>#ERROR!</v>
      </c>
      <c r="EJ962" s="15" t="str">
        <f t="shared" si="5134"/>
        <v>#ERROR!</v>
      </c>
      <c r="EK962" s="15" t="str">
        <f t="shared" si="5134"/>
        <v>#ERROR!</v>
      </c>
      <c r="EL962" s="15" t="str">
        <f t="shared" si="5134"/>
        <v>#ERROR!</v>
      </c>
      <c r="EM962" s="24" t="str">
        <f t="shared" si="5134"/>
        <v>#ERROR!</v>
      </c>
      <c r="EN962" s="15" t="str">
        <f t="shared" si="5134"/>
        <v>#ERROR!</v>
      </c>
      <c r="EO962" s="15" t="str">
        <f t="shared" si="5134"/>
        <v>#ERROR!</v>
      </c>
      <c r="EP962" s="15" t="str">
        <f t="shared" si="5134"/>
        <v>#ERROR!</v>
      </c>
      <c r="EQ962" s="15" t="str">
        <f t="shared" si="5134"/>
        <v>#ERROR!</v>
      </c>
      <c r="ER962" s="24" t="str">
        <f t="shared" si="5134"/>
        <v>#ERROR!</v>
      </c>
      <c r="ES962" s="15" t="str">
        <f t="shared" si="5134"/>
        <v>#ERROR!</v>
      </c>
      <c r="ET962" s="15" t="str">
        <f t="shared" si="5134"/>
        <v>#ERROR!</v>
      </c>
      <c r="EU962" s="15" t="str">
        <f t="shared" si="5134"/>
        <v>#ERROR!</v>
      </c>
      <c r="EV962" s="15" t="str">
        <f t="shared" si="5134"/>
        <v>#ERROR!</v>
      </c>
      <c r="EW962" s="24" t="str">
        <f t="shared" si="5134"/>
        <v>#ERROR!</v>
      </c>
      <c r="EX962" s="15" t="str">
        <f t="shared" si="5134"/>
        <v>#ERROR!</v>
      </c>
      <c r="EY962" s="15" t="str">
        <f t="shared" si="5134"/>
        <v>#ERROR!</v>
      </c>
      <c r="EZ962" s="15" t="str">
        <f t="shared" si="5134"/>
        <v>#ERROR!</v>
      </c>
      <c r="FA962" s="15" t="str">
        <f t="shared" si="5134"/>
        <v>#ERROR!</v>
      </c>
      <c r="FB962" s="24" t="str">
        <f t="shared" si="5134"/>
        <v>#ERROR!</v>
      </c>
      <c r="FC962" s="15" t="str">
        <f t="shared" si="5134"/>
        <v>#ERROR!</v>
      </c>
      <c r="FD962" s="15" t="str">
        <f t="shared" si="5134"/>
        <v>#ERROR!</v>
      </c>
      <c r="FE962" s="15" t="str">
        <f t="shared" si="5134"/>
        <v>#ERROR!</v>
      </c>
      <c r="FF962" s="15" t="str">
        <f t="shared" si="5134"/>
        <v>#ERROR!</v>
      </c>
      <c r="FG962" s="24" t="str">
        <f t="shared" si="5134"/>
        <v>#ERROR!</v>
      </c>
      <c r="FH962" s="104"/>
      <c r="FI962" s="15"/>
      <c r="FJ962" s="15"/>
      <c r="FK962" s="410"/>
      <c r="FL962" s="15"/>
    </row>
    <row r="963" ht="12.75" hidden="1" customHeight="1" outlineLevel="1">
      <c r="A963" s="17"/>
      <c r="B963" s="672" t="s">
        <v>348</v>
      </c>
      <c r="C963" s="672"/>
      <c r="D963" s="672"/>
      <c r="E963" s="672"/>
      <c r="F963" s="672"/>
      <c r="G963" s="672"/>
      <c r="H963" s="673"/>
      <c r="I963" s="672" t="str">
        <f t="shared" ref="I963:BF963" si="5135">I944+I950+I953</f>
        <v>#ERROR!</v>
      </c>
      <c r="J963" s="672" t="str">
        <f t="shared" si="5135"/>
        <v>#ERROR!</v>
      </c>
      <c r="K963" s="672" t="str">
        <f t="shared" si="5135"/>
        <v>#ERROR!</v>
      </c>
      <c r="L963" s="672" t="str">
        <f t="shared" si="5135"/>
        <v>#ERROR!</v>
      </c>
      <c r="M963" s="673" t="str">
        <f t="shared" si="5135"/>
        <v>#ERROR!</v>
      </c>
      <c r="N963" s="672" t="str">
        <f t="shared" si="5135"/>
        <v>#ERROR!</v>
      </c>
      <c r="O963" s="672" t="str">
        <f t="shared" si="5135"/>
        <v>#ERROR!</v>
      </c>
      <c r="P963" s="672" t="str">
        <f t="shared" si="5135"/>
        <v>#ERROR!</v>
      </c>
      <c r="Q963" s="672" t="str">
        <f t="shared" si="5135"/>
        <v>#ERROR!</v>
      </c>
      <c r="R963" s="673" t="str">
        <f t="shared" si="5135"/>
        <v>#ERROR!</v>
      </c>
      <c r="S963" s="672" t="str">
        <f t="shared" si="5135"/>
        <v>#ERROR!</v>
      </c>
      <c r="T963" s="672" t="str">
        <f t="shared" si="5135"/>
        <v>#ERROR!</v>
      </c>
      <c r="U963" s="672" t="str">
        <f t="shared" si="5135"/>
        <v>#ERROR!</v>
      </c>
      <c r="V963" s="672" t="str">
        <f t="shared" si="5135"/>
        <v>#ERROR!</v>
      </c>
      <c r="W963" s="673" t="str">
        <f t="shared" si="5135"/>
        <v>#ERROR!</v>
      </c>
      <c r="X963" s="672" t="str">
        <f t="shared" si="5135"/>
        <v>#ERROR!</v>
      </c>
      <c r="Y963" s="672" t="str">
        <f t="shared" si="5135"/>
        <v>#ERROR!</v>
      </c>
      <c r="Z963" s="672" t="str">
        <f t="shared" si="5135"/>
        <v>#ERROR!</v>
      </c>
      <c r="AA963" s="672" t="str">
        <f t="shared" si="5135"/>
        <v>#ERROR!</v>
      </c>
      <c r="AB963" s="673" t="str">
        <f t="shared" si="5135"/>
        <v>#ERROR!</v>
      </c>
      <c r="AC963" s="672" t="str">
        <f t="shared" si="5135"/>
        <v>#ERROR!</v>
      </c>
      <c r="AD963" s="672" t="str">
        <f t="shared" si="5135"/>
        <v>#ERROR!</v>
      </c>
      <c r="AE963" s="672" t="str">
        <f t="shared" si="5135"/>
        <v>#ERROR!</v>
      </c>
      <c r="AF963" s="672" t="str">
        <f t="shared" si="5135"/>
        <v>#ERROR!</v>
      </c>
      <c r="AG963" s="673" t="str">
        <f t="shared" si="5135"/>
        <v>#ERROR!</v>
      </c>
      <c r="AH963" s="672" t="str">
        <f t="shared" si="5135"/>
        <v>#ERROR!</v>
      </c>
      <c r="AI963" s="672" t="str">
        <f t="shared" si="5135"/>
        <v>#ERROR!</v>
      </c>
      <c r="AJ963" s="672" t="str">
        <f t="shared" si="5135"/>
        <v>#ERROR!</v>
      </c>
      <c r="AK963" s="672" t="str">
        <f t="shared" si="5135"/>
        <v>#ERROR!</v>
      </c>
      <c r="AL963" s="673" t="str">
        <f t="shared" si="5135"/>
        <v>#ERROR!</v>
      </c>
      <c r="AM963" s="672" t="str">
        <f t="shared" si="5135"/>
        <v>#ERROR!</v>
      </c>
      <c r="AN963" s="672" t="str">
        <f t="shared" si="5135"/>
        <v>#ERROR!</v>
      </c>
      <c r="AO963" s="672" t="str">
        <f t="shared" si="5135"/>
        <v>#ERROR!</v>
      </c>
      <c r="AP963" s="672" t="str">
        <f t="shared" si="5135"/>
        <v>#ERROR!</v>
      </c>
      <c r="AQ963" s="673" t="str">
        <f t="shared" si="5135"/>
        <v>#ERROR!</v>
      </c>
      <c r="AR963" s="672" t="str">
        <f t="shared" si="5135"/>
        <v>#ERROR!</v>
      </c>
      <c r="AS963" s="672" t="str">
        <f t="shared" si="5135"/>
        <v>#ERROR!</v>
      </c>
      <c r="AT963" s="672" t="str">
        <f t="shared" si="5135"/>
        <v>#ERROR!</v>
      </c>
      <c r="AU963" s="672" t="str">
        <f t="shared" si="5135"/>
        <v>#ERROR!</v>
      </c>
      <c r="AV963" s="673" t="str">
        <f t="shared" si="5135"/>
        <v>#ERROR!</v>
      </c>
      <c r="AW963" s="672" t="str">
        <f t="shared" si="5135"/>
        <v>#ERROR!</v>
      </c>
      <c r="AX963" s="672" t="str">
        <f t="shared" si="5135"/>
        <v>#ERROR!</v>
      </c>
      <c r="AY963" s="672" t="str">
        <f t="shared" si="5135"/>
        <v>#ERROR!</v>
      </c>
      <c r="AZ963" s="672" t="str">
        <f t="shared" si="5135"/>
        <v>#ERROR!</v>
      </c>
      <c r="BA963" s="673" t="str">
        <f t="shared" si="5135"/>
        <v>#ERROR!</v>
      </c>
      <c r="BB963" s="672" t="str">
        <f t="shared" si="5135"/>
        <v>#ERROR!</v>
      </c>
      <c r="BC963" s="672" t="str">
        <f t="shared" si="5135"/>
        <v>#ERROR!</v>
      </c>
      <c r="BD963" s="672" t="str">
        <f t="shared" si="5135"/>
        <v>#ERROR!</v>
      </c>
      <c r="BE963" s="672" t="str">
        <f t="shared" si="5135"/>
        <v>#ERROR!</v>
      </c>
      <c r="BF963" s="673" t="str">
        <f t="shared" si="5135"/>
        <v>#ERROR!</v>
      </c>
      <c r="BG963" s="672" t="str">
        <f>serverUnitsTotal+desktopUnitsTotalexAtom+mobileUnitsTotalexAtom</f>
        <v>#ERROR!</v>
      </c>
      <c r="BH963" s="672" t="str">
        <f>serverUnitsTotal+desktopUnitsTotalexAtom+mobileUnitsTotalexAtom</f>
        <v>#ERROR!</v>
      </c>
      <c r="BI963" s="672" t="str">
        <f>serverUnitsTotal+desktopUnitsTotalexAtom+mobileUnitsTotalexAtom</f>
        <v>#ERROR!</v>
      </c>
      <c r="BJ963" s="672" t="str">
        <f>serverUnitsTotal+desktopUnitsTotalexAtom+mobileUnitsTotalexAtom</f>
        <v>#ERROR!</v>
      </c>
      <c r="BK963" s="673" t="str">
        <f>serverUnitsTotal+desktopUnitsTotalexAtom+mobileUnitsTotalexAtom</f>
        <v>#ERROR!</v>
      </c>
      <c r="BL963" s="672" t="str">
        <f>serverUnitsTotal+desktopUnitsTotalexAtom+mobileUnitsTotalexAtom</f>
        <v>#ERROR!</v>
      </c>
      <c r="BM963" s="672" t="str">
        <f>serverUnitsTotal+desktopUnitsTotalexAtom+mobileUnitsTotalexAtom</f>
        <v>#ERROR!</v>
      </c>
      <c r="BN963" s="672" t="str">
        <f>serverUnitsTotal+desktopUnitsTotalexAtom+mobileUnitsTotalexAtom</f>
        <v>#ERROR!</v>
      </c>
      <c r="BO963" s="672" t="str">
        <f>serverUnitsTotal+desktopUnitsTotalexAtom+mobileUnitsTotalexAtom</f>
        <v>#ERROR!</v>
      </c>
      <c r="BP963" s="673" t="str">
        <f>serverUnitsTotal+desktopUnitsTotalexAtom+mobileUnitsTotalexAtom</f>
        <v>#ERROR!</v>
      </c>
      <c r="BQ963" s="672" t="str">
        <f>serverUnitsTotal+desktopUnitsTotalexAtom+mobileUnitsTotalexAtom</f>
        <v>#ERROR!</v>
      </c>
      <c r="BR963" s="672" t="str">
        <f>serverUnitsTotal+desktopUnitsTotalexAtom+mobileUnitsTotalexAtom</f>
        <v>#ERROR!</v>
      </c>
      <c r="BS963" s="672" t="str">
        <f>serverUnitsTotal+desktopUnitsTotalexAtom+mobileUnitsTotalexAtom</f>
        <v>#ERROR!</v>
      </c>
      <c r="BT963" s="672" t="str">
        <f>serverUnitsTotal+desktopUnitsTotalexAtom+mobileUnitsTotalexAtom</f>
        <v>#ERROR!</v>
      </c>
      <c r="BU963" s="673" t="str">
        <f>serverUnitsTotal+desktopUnitsTotalexAtom+mobileUnitsTotalexAtom</f>
        <v>#ERROR!</v>
      </c>
      <c r="BV963" s="672" t="str">
        <f>serverUnitsTotal+desktopUnitsTotalexAtom+mobileUnitsTotalexAtom</f>
        <v>#ERROR!</v>
      </c>
      <c r="BW963" s="672" t="str">
        <f>serverUnitsTotal+desktopUnitsTotalexAtom+mobileUnitsTotalexAtom</f>
        <v>#ERROR!</v>
      </c>
      <c r="BX963" s="672" t="str">
        <f>serverUnitsTotal+desktopUnitsTotalexAtom+mobileUnitsTotalexAtom</f>
        <v>#ERROR!</v>
      </c>
      <c r="BY963" s="672" t="str">
        <f>serverUnitsTotal+desktopUnitsTotalexAtom+mobileUnitsTotalexAtom</f>
        <v>#ERROR!</v>
      </c>
      <c r="BZ963" s="674" t="str">
        <f>serverUnitsTotal+desktopUnitsTotalexAtom+mobileUnitsTotalexAtom</f>
        <v>#ERROR!</v>
      </c>
      <c r="CA963" s="672" t="str">
        <f>serverUnitsTotal+desktopUnitsTotalexAtom+mobileUnitsTotalexAtom</f>
        <v>#ERROR!</v>
      </c>
      <c r="CB963" s="672" t="str">
        <f>serverUnitsTotal+desktopUnitsTotalexAtom+mobileUnitsTotalexAtom</f>
        <v>#ERROR!</v>
      </c>
      <c r="CC963" s="672" t="str">
        <f>serverUnitsTotal+desktopUnitsTotalexAtom+mobileUnitsTotalexAtom</f>
        <v>#ERROR!</v>
      </c>
      <c r="CD963" s="672" t="str">
        <f>serverUnitsTotal+desktopUnitsTotalexAtom+mobileUnitsTotalexAtom</f>
        <v>#ERROR!</v>
      </c>
      <c r="CE963" s="674" t="str">
        <f>serverUnitsTotal+desktopUnitsTotalexAtom+mobileUnitsTotalexAtom</f>
        <v>#ERROR!</v>
      </c>
      <c r="CF963" s="672" t="str">
        <f>serverUnitsTotal+desktopUnitsTotalexAtom+mobileUnitsTotalexAtom</f>
        <v>#ERROR!</v>
      </c>
      <c r="CG963" s="672" t="str">
        <f>serverUnitsTotal+desktopUnitsTotalexAtom+mobileUnitsTotalexAtom</f>
        <v>#ERROR!</v>
      </c>
      <c r="CH963" s="672" t="str">
        <f>serverUnitsTotal+desktopUnitsTotalexAtom+mobileUnitsTotalexAtom</f>
        <v>#ERROR!</v>
      </c>
      <c r="CI963" s="672" t="str">
        <f>serverUnitsTotal+desktopUnitsTotalexAtom+mobileUnitsTotalexAtom</f>
        <v>#ERROR!</v>
      </c>
      <c r="CJ963" s="674" t="str">
        <f>serverUnitsTotal+desktopUnitsTotalexAtom+mobileUnitsTotalexAtom</f>
        <v>#ERROR!</v>
      </c>
      <c r="CK963" s="672" t="str">
        <f>serverUnitsTotal+desktopUnitsTotalexAtom+mobileUnitsTotalexAtom</f>
        <v>#ERROR!</v>
      </c>
      <c r="CL963" s="672" t="str">
        <f>serverUnitsTotal+desktopUnitsTotalexAtom+mobileUnitsTotalexAtom</f>
        <v>#ERROR!</v>
      </c>
      <c r="CM963" s="672" t="str">
        <f>serverUnitsTotal+desktopUnitsTotalexAtom+mobileUnitsTotalexAtom</f>
        <v>#ERROR!</v>
      </c>
      <c r="CN963" s="675" t="str">
        <f>serverUnitsTotal+desktopUnitsTotalexAtom+mobileUnitsTotalexAtom</f>
        <v>#ERROR!</v>
      </c>
      <c r="CO963" s="674" t="str">
        <f>serverUnitsTotal+desktopUnitsTotalexAtom+mobileUnitsTotalexAtom</f>
        <v>#ERROR!</v>
      </c>
      <c r="CP963" s="675" t="str">
        <f>serverUnitsTotal+desktopUnitsTotalexAtom+mobileUnitsTotalexAtom</f>
        <v>#ERROR!</v>
      </c>
      <c r="CQ963" s="672" t="str">
        <f>serverUnitsTotal+desktopUnitsTotalexAtom+mobileUnitsTotalexAtom</f>
        <v>#ERROR!</v>
      </c>
      <c r="CR963" s="672" t="str">
        <f>serverUnitsTotal+desktopUnitsTotalexAtom+mobileUnitsTotalexAtom</f>
        <v>#ERROR!</v>
      </c>
      <c r="CS963" s="672" t="str">
        <f>serverUnitsTotal+desktopUnitsTotalexAtom+mobileUnitsTotalexAtom</f>
        <v>#ERROR!</v>
      </c>
      <c r="CT963" s="674" t="str">
        <f>serverUnitsTotal+desktopUnitsTotalexAtom+mobileUnitsTotalexAtom</f>
        <v>#ERROR!</v>
      </c>
      <c r="CU963" s="672" t="str">
        <f>serverUnitsTotal+desktopUnitsTotalexAtom+mobileUnitsTotalexAtom</f>
        <v>#ERROR!</v>
      </c>
      <c r="CV963" s="672" t="str">
        <f>serverUnitsTotal+desktopUnitsTotalexAtom+mobileUnitsTotalexAtom</f>
        <v>#ERROR!</v>
      </c>
      <c r="CW963" s="672" t="str">
        <f>serverUnitsTotal+desktopUnitsTotalexAtom+mobileUnitsTotalexAtom</f>
        <v>#ERROR!</v>
      </c>
      <c r="CX963" s="672" t="str">
        <f>serverUnitsTotal+desktopUnitsTotalexAtom+mobileUnitsTotalexAtom</f>
        <v>#ERROR!</v>
      </c>
      <c r="CY963" s="674" t="str">
        <f>serverUnitsTotal+desktopUnitsTotalexAtom+mobileUnitsTotalexAtom</f>
        <v>#ERROR!</v>
      </c>
      <c r="CZ963" s="672" t="str">
        <f>serverUnitsTotal+desktopUnitsTotalexAtom+mobileUnitsTotalexAtom</f>
        <v>#ERROR!</v>
      </c>
      <c r="DA963" s="672" t="str">
        <f>serverUnitsTotal+desktopUnitsTotalexAtom+mobileUnitsTotalexAtom</f>
        <v>#ERROR!</v>
      </c>
      <c r="DB963" s="672" t="str">
        <f>serverUnitsTotal+desktopUnitsTotalexAtom+mobileUnitsTotalexAtom</f>
        <v>#ERROR!</v>
      </c>
      <c r="DC963" s="672" t="str">
        <f>serverUnitsTotal+desktopUnitsTotalexAtom+mobileUnitsTotalexAtom</f>
        <v>#ERROR!</v>
      </c>
      <c r="DD963" s="674" t="str">
        <f>serverUnitsTotal+desktopUnitsTotalexAtom+mobileUnitsTotalexAtom</f>
        <v>#ERROR!</v>
      </c>
      <c r="DE963" s="672" t="str">
        <f>serverUnitsTotal+desktopUnitsTotalexAtom+mobileUnitsTotalexAtom</f>
        <v>#ERROR!</v>
      </c>
      <c r="DF963" s="672" t="str">
        <f>serverUnitsTotal+desktopUnitsTotalexAtom+mobileUnitsTotalexAtom</f>
        <v>#ERROR!</v>
      </c>
      <c r="DG963" s="19" t="str">
        <f>serverUnitsTotal+desktopUnitsTotalexAtom+mobileUnitsTotalexAtom</f>
        <v>#ERROR!</v>
      </c>
      <c r="DH963" s="672" t="str">
        <f>serverUnitsTotal+desktopUnitsTotalexAtom+mobileUnitsTotalexAtom</f>
        <v>#ERROR!</v>
      </c>
      <c r="DI963" s="674" t="str">
        <f>serverUnitsTotal+desktopUnitsTotalexAtom+mobileUnitsTotalexAtom</f>
        <v>#ERROR!</v>
      </c>
      <c r="DJ963" s="675" t="str">
        <f>serverUnitsTotal+desktopUnitsTotalexAtom+mobileUnitsTotalexAtom</f>
        <v>#ERROR!</v>
      </c>
      <c r="DK963" s="675" t="str">
        <f>serverUnitsTotal+desktopUnitsTotalexAtom+mobileUnitsTotalexAtom</f>
        <v>#ERROR!</v>
      </c>
      <c r="DL963" s="675" t="str">
        <f>serverUnitsTotal+desktopUnitsTotalexAtom+mobileUnitsTotalexAtom</f>
        <v>#ERROR!</v>
      </c>
      <c r="DM963" s="672" t="str">
        <f>serverUnitsTotal+desktopUnitsTotalexAtom+mobileUnitsTotalexAtom</f>
        <v>#ERROR!</v>
      </c>
      <c r="DN963" s="674" t="str">
        <f>serverUnitsTotal+desktopUnitsTotalexAtom+mobileUnitsTotalexAtom</f>
        <v>#ERROR!</v>
      </c>
      <c r="DO963" s="672" t="str">
        <f>serverUnitsTotal+desktopUnitsTotalexAtom+mobileUnitsTotalexAtom</f>
        <v>#ERROR!</v>
      </c>
      <c r="DP963" s="672" t="str">
        <f>serverUnitsTotal+desktopUnitsTotalexAtom+mobileUnitsTotalexAtom</f>
        <v>#ERROR!</v>
      </c>
      <c r="DQ963" s="672" t="str">
        <f>serverUnitsTotal+desktopUnitsTotalexAtom+mobileUnitsTotalexAtom</f>
        <v>#ERROR!</v>
      </c>
      <c r="DR963" s="672" t="str">
        <f>serverUnitsTotal+desktopUnitsTotalexAtom+mobileUnitsTotalexAtom</f>
        <v>#ERROR!</v>
      </c>
      <c r="DS963" s="674" t="str">
        <f>serverUnitsTotal+desktopUnitsTotalexAtom+mobileUnitsTotalexAtom</f>
        <v>#ERROR!</v>
      </c>
      <c r="DT963" s="672" t="str">
        <f>serverUnitsTotal+desktopUnitsTotalexAtom+mobileUnitsTotalexAtom</f>
        <v>#ERROR!</v>
      </c>
      <c r="DU963" s="672" t="str">
        <f>serverUnitsTotal+desktopUnitsTotalexAtom+mobileUnitsTotalexAtom</f>
        <v>#ERROR!</v>
      </c>
      <c r="DV963" s="672" t="str">
        <f>serverUnitsTotal+desktopUnitsTotalexAtom+mobileUnitsTotalexAtom</f>
        <v>#ERROR!</v>
      </c>
      <c r="DW963" s="672" t="str">
        <f>serverUnitsTotal+desktopUnitsTotalexAtom+mobileUnitsTotalexAtom</f>
        <v>#ERROR!</v>
      </c>
      <c r="DX963" s="674" t="str">
        <f>serverUnitsTotal+desktopUnitsTotalexAtom+mobileUnitsTotalexAtom</f>
        <v>#ERROR!</v>
      </c>
      <c r="DY963" s="672" t="str">
        <f>serverUnitsTotal+desktopUnitsTotalexAtom+mobileUnitsTotalexAtom</f>
        <v>#ERROR!</v>
      </c>
      <c r="DZ963" s="672" t="str">
        <f>serverUnitsTotal+desktopUnitsTotalexAtom+mobileUnitsTotalexAtom</f>
        <v>#ERROR!</v>
      </c>
      <c r="EA963" s="672" t="str">
        <f>serverUnitsTotal+desktopUnitsTotalexAtom+mobileUnitsTotalexAtom</f>
        <v>#ERROR!</v>
      </c>
      <c r="EB963" s="672" t="str">
        <f>serverUnitsTotal+desktopUnitsTotalexAtom+mobileUnitsTotalexAtom</f>
        <v>#ERROR!</v>
      </c>
      <c r="EC963" s="674" t="str">
        <f>serverUnitsTotal+desktopUnitsTotalexAtom+mobileUnitsTotalexAtom</f>
        <v>#ERROR!</v>
      </c>
      <c r="ED963" s="672" t="str">
        <f>serverUnitsTotal+desktopUnitsTotalexAtom+mobileUnitsTotalexAtom</f>
        <v>#ERROR!</v>
      </c>
      <c r="EE963" s="672" t="str">
        <f>serverUnitsTotal+desktopUnitsTotalexAtom+mobileUnitsTotalexAtom</f>
        <v>#ERROR!</v>
      </c>
      <c r="EF963" s="672" t="str">
        <f>serverUnitsTotal+desktopUnitsTotalexAtom+mobileUnitsTotalexAtom</f>
        <v>#ERROR!</v>
      </c>
      <c r="EG963" s="672" t="str">
        <f>serverUnitsTotal+desktopUnitsTotalexAtom+mobileUnitsTotalexAtom</f>
        <v>#ERROR!</v>
      </c>
      <c r="EH963" s="674" t="str">
        <f>serverUnitsTotal+desktopUnitsTotalexAtom+mobileUnitsTotalexAtom</f>
        <v>#ERROR!</v>
      </c>
      <c r="EI963" s="676" t="str">
        <f>serverUnitsTotal+desktopUnitsTotalexAtom+mobileUnitsTotalexAtom</f>
        <v>#ERROR!</v>
      </c>
      <c r="EJ963" s="672" t="str">
        <f>serverUnitsTotal+desktopUnitsTotalexAtom+mobileUnitsTotalexAtom</f>
        <v>#ERROR!</v>
      </c>
      <c r="EK963" s="672" t="str">
        <f>serverUnitsTotal+desktopUnitsTotalexAtom+mobileUnitsTotalexAtom</f>
        <v>#ERROR!</v>
      </c>
      <c r="EL963" s="672" t="str">
        <f>serverUnitsTotal+desktopUnitsTotalexAtom+mobileUnitsTotalexAtom</f>
        <v>#ERROR!</v>
      </c>
      <c r="EM963" s="674" t="str">
        <f>serverUnitsTotal+desktopUnitsTotalexAtom+mobileUnitsTotalexAtom</f>
        <v>#ERROR!</v>
      </c>
      <c r="EN963" s="672" t="str">
        <f>serverUnitsTotal+desktopUnitsTotalexAtom+mobileUnitsTotalexAtom</f>
        <v>#ERROR!</v>
      </c>
      <c r="EO963" s="672" t="str">
        <f>serverUnitsTotal+desktopUnitsTotalexAtom+mobileUnitsTotalexAtom</f>
        <v>#ERROR!</v>
      </c>
      <c r="EP963" s="672" t="str">
        <f>serverUnitsTotal+desktopUnitsTotalexAtom+mobileUnitsTotalexAtom</f>
        <v>#ERROR!</v>
      </c>
      <c r="EQ963" s="672" t="str">
        <f>serverUnitsTotal+desktopUnitsTotalexAtom+mobileUnitsTotalexAtom</f>
        <v>#ERROR!</v>
      </c>
      <c r="ER963" s="674" t="str">
        <f>serverUnitsTotal+desktopUnitsTotalexAtom+mobileUnitsTotalexAtom</f>
        <v>#ERROR!</v>
      </c>
      <c r="ES963" s="672" t="str">
        <f>serverUnitsTotal+desktopUnitsTotalexAtom+mobileUnitsTotalexAtom</f>
        <v>#ERROR!</v>
      </c>
      <c r="ET963" s="672" t="str">
        <f>serverUnitsTotal+desktopUnitsTotalexAtom+mobileUnitsTotalexAtom</f>
        <v>#ERROR!</v>
      </c>
      <c r="EU963" s="672" t="str">
        <f>serverUnitsTotal+desktopUnitsTotalexAtom+mobileUnitsTotalexAtom</f>
        <v>#ERROR!</v>
      </c>
      <c r="EV963" s="672" t="str">
        <f>serverUnitsTotal+desktopUnitsTotalexAtom+mobileUnitsTotalexAtom</f>
        <v>#ERROR!</v>
      </c>
      <c r="EW963" s="674" t="str">
        <f>serverUnitsTotal+desktopUnitsTotalexAtom+mobileUnitsTotalexAtom</f>
        <v>#ERROR!</v>
      </c>
      <c r="EX963" s="672" t="str">
        <f>serverUnitsTotal+desktopUnitsTotalexAtom+mobileUnitsTotalexAtom</f>
        <v>#ERROR!</v>
      </c>
      <c r="EY963" s="672" t="str">
        <f>serverUnitsTotal+desktopUnitsTotalexAtom+mobileUnitsTotalexAtom</f>
        <v>#ERROR!</v>
      </c>
      <c r="EZ963" s="672" t="str">
        <f>serverUnitsTotal+desktopUnitsTotalexAtom+mobileUnitsTotalexAtom</f>
        <v>#ERROR!</v>
      </c>
      <c r="FA963" s="672" t="str">
        <f>serverUnitsTotal+desktopUnitsTotalexAtom+mobileUnitsTotalexAtom</f>
        <v>#ERROR!</v>
      </c>
      <c r="FB963" s="674" t="str">
        <f>serverUnitsTotal+desktopUnitsTotalexAtom+mobileUnitsTotalexAtom</f>
        <v>#ERROR!</v>
      </c>
      <c r="FC963" s="672" t="str">
        <f>serverUnitsTotal+desktopUnitsTotalexAtom+mobileUnitsTotalexAtom</f>
        <v>#ERROR!</v>
      </c>
      <c r="FD963" s="672" t="str">
        <f>serverUnitsTotal+desktopUnitsTotalexAtom+mobileUnitsTotalexAtom</f>
        <v>#ERROR!</v>
      </c>
      <c r="FE963" s="672" t="str">
        <f>serverUnitsTotal+desktopUnitsTotalexAtom+mobileUnitsTotalexAtom</f>
        <v>#ERROR!</v>
      </c>
      <c r="FF963" s="672" t="str">
        <f>serverUnitsTotal+desktopUnitsTotalexAtom+mobileUnitsTotalexAtom</f>
        <v>#ERROR!</v>
      </c>
      <c r="FG963" s="674" t="str">
        <f>serverUnitsTotal+desktopUnitsTotalexAtom+mobileUnitsTotalexAtom</f>
        <v>#ERROR!</v>
      </c>
      <c r="FH963" s="677"/>
      <c r="FI963" s="672"/>
      <c r="FJ963" s="672"/>
      <c r="FK963" s="673"/>
      <c r="FL963" s="672"/>
    </row>
    <row r="964" ht="12.75" hidden="1" customHeight="1" outlineLevel="1">
      <c r="A964" s="162"/>
      <c r="B964" s="162" t="s">
        <v>345</v>
      </c>
      <c r="C964" s="162"/>
      <c r="D964" s="15"/>
      <c r="E964" s="15"/>
      <c r="F964" s="15"/>
      <c r="G964" s="15"/>
      <c r="H964" s="693"/>
      <c r="I964" s="15"/>
      <c r="J964" s="15" t="str">
        <f t="shared" ref="J964:L964" si="5136">J963/I963-1</f>
        <v>#ERROR!</v>
      </c>
      <c r="K964" s="15" t="str">
        <f t="shared" si="5136"/>
        <v>#ERROR!</v>
      </c>
      <c r="L964" s="15" t="str">
        <f t="shared" si="5136"/>
        <v>#ERROR!</v>
      </c>
      <c r="M964" s="693"/>
      <c r="N964" s="15"/>
      <c r="O964" s="15" t="str">
        <f t="shared" ref="O964:Q964" si="5137">O963/N963-1</f>
        <v>#ERROR!</v>
      </c>
      <c r="P964" s="15" t="str">
        <f t="shared" si="5137"/>
        <v>#ERROR!</v>
      </c>
      <c r="Q964" s="15" t="str">
        <f t="shared" si="5137"/>
        <v>#ERROR!</v>
      </c>
      <c r="R964" s="693"/>
      <c r="S964" s="15"/>
      <c r="T964" s="15" t="str">
        <f t="shared" ref="T964:V964" si="5138">T963/S963-1</f>
        <v>#ERROR!</v>
      </c>
      <c r="U964" s="15" t="str">
        <f t="shared" si="5138"/>
        <v>#ERROR!</v>
      </c>
      <c r="V964" s="15" t="str">
        <f t="shared" si="5138"/>
        <v>#ERROR!</v>
      </c>
      <c r="W964" s="693"/>
      <c r="X964" s="15"/>
      <c r="Y964" s="15" t="str">
        <f t="shared" ref="Y964:AA964" si="5139">Y963/X963-1</f>
        <v>#ERROR!</v>
      </c>
      <c r="Z964" s="15" t="str">
        <f t="shared" si="5139"/>
        <v>#ERROR!</v>
      </c>
      <c r="AA964" s="15" t="str">
        <f t="shared" si="5139"/>
        <v>#ERROR!</v>
      </c>
      <c r="AB964" s="693"/>
      <c r="AC964" s="15" t="str">
        <f>AC963/AA963-1</f>
        <v>#ERROR!</v>
      </c>
      <c r="AD964" s="15" t="str">
        <f t="shared" ref="AD964:AF964" si="5140">AD963/AC963-1</f>
        <v>#ERROR!</v>
      </c>
      <c r="AE964" s="15" t="str">
        <f t="shared" si="5140"/>
        <v>#ERROR!</v>
      </c>
      <c r="AF964" s="15" t="str">
        <f t="shared" si="5140"/>
        <v>#ERROR!</v>
      </c>
      <c r="AG964" s="693"/>
      <c r="AH964" s="15" t="str">
        <f>AH963/AF963-1</f>
        <v>#ERROR!</v>
      </c>
      <c r="AI964" s="15" t="str">
        <f t="shared" ref="AI964:AK964" si="5141">AI963/AH963-1</f>
        <v>#ERROR!</v>
      </c>
      <c r="AJ964" s="15" t="str">
        <f t="shared" si="5141"/>
        <v>#ERROR!</v>
      </c>
      <c r="AK964" s="15" t="str">
        <f t="shared" si="5141"/>
        <v>#ERROR!</v>
      </c>
      <c r="AL964" s="693"/>
      <c r="AM964" s="15" t="str">
        <f>AM963/AK963-1</f>
        <v>#ERROR!</v>
      </c>
      <c r="AN964" s="15" t="str">
        <f t="shared" ref="AN964:AP964" si="5142">AN963/AM963-1</f>
        <v>#ERROR!</v>
      </c>
      <c r="AO964" s="15" t="str">
        <f t="shared" si="5142"/>
        <v>#ERROR!</v>
      </c>
      <c r="AP964" s="15" t="str">
        <f t="shared" si="5142"/>
        <v>#ERROR!</v>
      </c>
      <c r="AQ964" s="693"/>
      <c r="AR964" s="15" t="str">
        <f>AR963/AP963-1</f>
        <v>#ERROR!</v>
      </c>
      <c r="AS964" s="15" t="str">
        <f t="shared" ref="AS964:AU964" si="5143">AS963/AR963-1</f>
        <v>#ERROR!</v>
      </c>
      <c r="AT964" s="15" t="str">
        <f t="shared" si="5143"/>
        <v>#ERROR!</v>
      </c>
      <c r="AU964" s="15" t="str">
        <f t="shared" si="5143"/>
        <v>#ERROR!</v>
      </c>
      <c r="AV964" s="693"/>
      <c r="AW964" s="15" t="str">
        <f>AW963/AU963-1</f>
        <v>#ERROR!</v>
      </c>
      <c r="AX964" s="15" t="str">
        <f t="shared" ref="AX964:AZ964" si="5144">AX963/AW963-1</f>
        <v>#ERROR!</v>
      </c>
      <c r="AY964" s="15" t="str">
        <f t="shared" si="5144"/>
        <v>#ERROR!</v>
      </c>
      <c r="AZ964" s="15" t="str">
        <f t="shared" si="5144"/>
        <v>#ERROR!</v>
      </c>
      <c r="BA964" s="693"/>
      <c r="BB964" s="15" t="str">
        <f>BB963/AZ963-1</f>
        <v>#ERROR!</v>
      </c>
      <c r="BC964" s="15" t="str">
        <f t="shared" ref="BC964:BE964" si="5145">BC963/BB963-1</f>
        <v>#ERROR!</v>
      </c>
      <c r="BD964" s="15" t="str">
        <f t="shared" si="5145"/>
        <v>#ERROR!</v>
      </c>
      <c r="BE964" s="15" t="str">
        <f t="shared" si="5145"/>
        <v>#ERROR!</v>
      </c>
      <c r="BF964" s="693"/>
      <c r="BG964" s="15" t="str">
        <f>BG963/BE963-1</f>
        <v>#ERROR!</v>
      </c>
      <c r="BH964" s="15" t="str">
        <f t="shared" ref="BH964:BJ964" si="5146">BH963/BG963-1</f>
        <v>#ERROR!</v>
      </c>
      <c r="BI964" s="15" t="str">
        <f t="shared" si="5146"/>
        <v>#ERROR!</v>
      </c>
      <c r="BJ964" s="15" t="str">
        <f t="shared" si="5146"/>
        <v>#ERROR!</v>
      </c>
      <c r="BK964" s="693"/>
      <c r="BL964" s="15" t="str">
        <f>BL963/BJ963-1</f>
        <v>#ERROR!</v>
      </c>
      <c r="BM964" s="15" t="str">
        <f t="shared" ref="BM964:BO964" si="5147">BM963/BL963-1</f>
        <v>#ERROR!</v>
      </c>
      <c r="BN964" s="15" t="str">
        <f t="shared" si="5147"/>
        <v>#ERROR!</v>
      </c>
      <c r="BO964" s="15" t="str">
        <f t="shared" si="5147"/>
        <v>#ERROR!</v>
      </c>
      <c r="BP964" s="693"/>
      <c r="BQ964" s="15" t="str">
        <f>BQ963/BO963-1</f>
        <v>#ERROR!</v>
      </c>
      <c r="BR964" s="15" t="str">
        <f t="shared" ref="BR964:BT964" si="5148">BR963/BQ963-1</f>
        <v>#ERROR!</v>
      </c>
      <c r="BS964" s="15" t="str">
        <f t="shared" si="5148"/>
        <v>#ERROR!</v>
      </c>
      <c r="BT964" s="15" t="str">
        <f t="shared" si="5148"/>
        <v>#ERROR!</v>
      </c>
      <c r="BU964" s="693"/>
      <c r="BV964" s="15" t="str">
        <f>BV963/BT963-1</f>
        <v>#ERROR!</v>
      </c>
      <c r="BW964" s="15" t="str">
        <f t="shared" ref="BW964:BY964" si="5149">BW963/BV963-1</f>
        <v>#ERROR!</v>
      </c>
      <c r="BX964" s="15" t="str">
        <f t="shared" si="5149"/>
        <v>#ERROR!</v>
      </c>
      <c r="BY964" s="15" t="str">
        <f t="shared" si="5149"/>
        <v>#ERROR!</v>
      </c>
      <c r="BZ964" s="694"/>
      <c r="CA964" s="15" t="str">
        <f>CA963/BY963-1</f>
        <v>#ERROR!</v>
      </c>
      <c r="CB964" s="15" t="str">
        <f t="shared" ref="CB964:CD964" si="5150">CB963/CA963-1</f>
        <v>#ERROR!</v>
      </c>
      <c r="CC964" s="15" t="str">
        <f t="shared" si="5150"/>
        <v>#ERROR!</v>
      </c>
      <c r="CD964" s="15" t="str">
        <f t="shared" si="5150"/>
        <v>#ERROR!</v>
      </c>
      <c r="CE964" s="694"/>
      <c r="CF964" s="15" t="str">
        <f>CF963/CD963-1</f>
        <v>#ERROR!</v>
      </c>
      <c r="CG964" s="15" t="str">
        <f t="shared" ref="CG964:CI964" si="5151">CG963/CF963-1</f>
        <v>#ERROR!</v>
      </c>
      <c r="CH964" s="15" t="str">
        <f t="shared" si="5151"/>
        <v>#ERROR!</v>
      </c>
      <c r="CI964" s="15" t="str">
        <f t="shared" si="5151"/>
        <v>#ERROR!</v>
      </c>
      <c r="CJ964" s="694"/>
      <c r="CK964" s="15" t="str">
        <f>CK963/CI963-1</f>
        <v>#ERROR!</v>
      </c>
      <c r="CL964" s="15" t="str">
        <f t="shared" ref="CL964:CN964" si="5152">CL963/CK963-1</f>
        <v>#ERROR!</v>
      </c>
      <c r="CM964" s="15" t="str">
        <f t="shared" si="5152"/>
        <v>#ERROR!</v>
      </c>
      <c r="CN964" s="40" t="str">
        <f t="shared" si="5152"/>
        <v>#ERROR!</v>
      </c>
      <c r="CO964" s="694"/>
      <c r="CP964" s="40" t="str">
        <f>CP963/CN963-1</f>
        <v>#ERROR!</v>
      </c>
      <c r="CQ964" s="15" t="str">
        <f t="shared" ref="CQ964:CS964" si="5153">CQ963/CP963-1</f>
        <v>#ERROR!</v>
      </c>
      <c r="CR964" s="15" t="str">
        <f t="shared" si="5153"/>
        <v>#ERROR!</v>
      </c>
      <c r="CS964" s="15" t="str">
        <f t="shared" si="5153"/>
        <v>#ERROR!</v>
      </c>
      <c r="CT964" s="694"/>
      <c r="CU964" s="15" t="str">
        <f>CU963/CS963-1</f>
        <v>#ERROR!</v>
      </c>
      <c r="CV964" s="15" t="str">
        <f t="shared" ref="CV964:CX964" si="5154">CV963/CU963-1</f>
        <v>#ERROR!</v>
      </c>
      <c r="CW964" s="15" t="str">
        <f t="shared" si="5154"/>
        <v>#ERROR!</v>
      </c>
      <c r="CX964" s="15" t="str">
        <f t="shared" si="5154"/>
        <v>#ERROR!</v>
      </c>
      <c r="CY964" s="694"/>
      <c r="CZ964" s="15" t="str">
        <f>CZ963/CX963-1</f>
        <v>#ERROR!</v>
      </c>
      <c r="DA964" s="15" t="str">
        <f t="shared" ref="DA964:DC964" si="5155">DA963/CZ963-1</f>
        <v>#ERROR!</v>
      </c>
      <c r="DB964" s="15" t="str">
        <f t="shared" si="5155"/>
        <v>#ERROR!</v>
      </c>
      <c r="DC964" s="15" t="str">
        <f t="shared" si="5155"/>
        <v>#ERROR!</v>
      </c>
      <c r="DD964" s="694"/>
      <c r="DE964" s="15" t="str">
        <f>DE963/DC963-1</f>
        <v>#ERROR!</v>
      </c>
      <c r="DF964" s="15" t="str">
        <f t="shared" ref="DF964:DH964" si="5156">DF963/DE963-1</f>
        <v>#ERROR!</v>
      </c>
      <c r="DG964" s="40" t="str">
        <f t="shared" si="5156"/>
        <v>#ERROR!</v>
      </c>
      <c r="DH964" s="15" t="str">
        <f t="shared" si="5156"/>
        <v>#ERROR!</v>
      </c>
      <c r="DI964" s="694"/>
      <c r="DJ964" s="40" t="str">
        <f>DJ963/DH963-1</f>
        <v>#ERROR!</v>
      </c>
      <c r="DK964" s="40" t="str">
        <f t="shared" ref="DK964:DM964" si="5157">DK963/DJ963-1</f>
        <v>#ERROR!</v>
      </c>
      <c r="DL964" s="40" t="str">
        <f t="shared" si="5157"/>
        <v>#ERROR!</v>
      </c>
      <c r="DM964" s="15" t="str">
        <f t="shared" si="5157"/>
        <v>#ERROR!</v>
      </c>
      <c r="DN964" s="694"/>
      <c r="DO964" s="15" t="str">
        <f>DO963/DM963-1</f>
        <v>#ERROR!</v>
      </c>
      <c r="DP964" s="15" t="str">
        <f t="shared" ref="DP964:DR964" si="5158">DP963/DO963-1</f>
        <v>#ERROR!</v>
      </c>
      <c r="DQ964" s="15" t="str">
        <f t="shared" si="5158"/>
        <v>#ERROR!</v>
      </c>
      <c r="DR964" s="15" t="str">
        <f t="shared" si="5158"/>
        <v>#ERROR!</v>
      </c>
      <c r="DS964" s="694"/>
      <c r="DT964" s="15" t="str">
        <f>DT963/DR963-1</f>
        <v>#ERROR!</v>
      </c>
      <c r="DU964" s="15" t="str">
        <f t="shared" ref="DU964:DW964" si="5159">DU963/DT963-1</f>
        <v>#ERROR!</v>
      </c>
      <c r="DV964" s="15" t="str">
        <f t="shared" si="5159"/>
        <v>#ERROR!</v>
      </c>
      <c r="DW964" s="15" t="str">
        <f t="shared" si="5159"/>
        <v>#ERROR!</v>
      </c>
      <c r="DX964" s="694"/>
      <c r="DY964" s="15" t="str">
        <f>DY963/DW963-1</f>
        <v>#ERROR!</v>
      </c>
      <c r="DZ964" s="15" t="str">
        <f t="shared" ref="DZ964:EB964" si="5160">DZ963/DY963-1</f>
        <v>#ERROR!</v>
      </c>
      <c r="EA964" s="15" t="str">
        <f t="shared" si="5160"/>
        <v>#ERROR!</v>
      </c>
      <c r="EB964" s="15" t="str">
        <f t="shared" si="5160"/>
        <v>#ERROR!</v>
      </c>
      <c r="EC964" s="694"/>
      <c r="ED964" s="15" t="str">
        <f>ED963/EB963-1</f>
        <v>#ERROR!</v>
      </c>
      <c r="EE964" s="15" t="str">
        <f t="shared" ref="EE964:EG964" si="5161">EE963/ED963-1</f>
        <v>#ERROR!</v>
      </c>
      <c r="EF964" s="15" t="str">
        <f t="shared" si="5161"/>
        <v>#ERROR!</v>
      </c>
      <c r="EG964" s="15" t="str">
        <f t="shared" si="5161"/>
        <v>#ERROR!</v>
      </c>
      <c r="EH964" s="694"/>
      <c r="EI964" s="82" t="str">
        <f>EI963/EG963-1</f>
        <v>#ERROR!</v>
      </c>
      <c r="EJ964" s="15" t="str">
        <f t="shared" ref="EJ964:EL964" si="5162">EJ963/EI963-1</f>
        <v>#ERROR!</v>
      </c>
      <c r="EK964" s="15" t="str">
        <f t="shared" si="5162"/>
        <v>#ERROR!</v>
      </c>
      <c r="EL964" s="15" t="str">
        <f t="shared" si="5162"/>
        <v>#ERROR!</v>
      </c>
      <c r="EM964" s="694"/>
      <c r="EN964" s="15" t="str">
        <f>EN963/EL963-1</f>
        <v>#ERROR!</v>
      </c>
      <c r="EO964" s="15" t="str">
        <f t="shared" ref="EO964:EQ964" si="5163">EO963/EN963-1</f>
        <v>#ERROR!</v>
      </c>
      <c r="EP964" s="15" t="str">
        <f t="shared" si="5163"/>
        <v>#ERROR!</v>
      </c>
      <c r="EQ964" s="15" t="str">
        <f t="shared" si="5163"/>
        <v>#ERROR!</v>
      </c>
      <c r="ER964" s="694"/>
      <c r="ES964" s="15" t="str">
        <f>ES963/EQ963-1</f>
        <v>#ERROR!</v>
      </c>
      <c r="ET964" s="15" t="str">
        <f t="shared" ref="ET964:EV964" si="5164">ET963/ES963-1</f>
        <v>#ERROR!</v>
      </c>
      <c r="EU964" s="15" t="str">
        <f t="shared" si="5164"/>
        <v>#ERROR!</v>
      </c>
      <c r="EV964" s="15" t="str">
        <f t="shared" si="5164"/>
        <v>#ERROR!</v>
      </c>
      <c r="EW964" s="694"/>
      <c r="EX964" s="15" t="str">
        <f>EX963/EV963-1</f>
        <v>#ERROR!</v>
      </c>
      <c r="EY964" s="15" t="str">
        <f t="shared" ref="EY964:FA964" si="5165">EY963/EX963-1</f>
        <v>#ERROR!</v>
      </c>
      <c r="EZ964" s="15" t="str">
        <f t="shared" si="5165"/>
        <v>#ERROR!</v>
      </c>
      <c r="FA964" s="15" t="str">
        <f t="shared" si="5165"/>
        <v>#ERROR!</v>
      </c>
      <c r="FB964" s="694"/>
      <c r="FC964" s="15" t="str">
        <f>FC963/FA963-1</f>
        <v>#ERROR!</v>
      </c>
      <c r="FD964" s="15" t="str">
        <f t="shared" ref="FD964:FF964" si="5166">FD963/FC963-1</f>
        <v>#ERROR!</v>
      </c>
      <c r="FE964" s="15" t="str">
        <f t="shared" si="5166"/>
        <v>#ERROR!</v>
      </c>
      <c r="FF964" s="15" t="str">
        <f t="shared" si="5166"/>
        <v>#ERROR!</v>
      </c>
      <c r="FG964" s="694"/>
      <c r="FH964" s="695"/>
      <c r="FI964" s="15"/>
      <c r="FJ964" s="15"/>
      <c r="FK964" s="693"/>
      <c r="FL964" s="15"/>
    </row>
    <row r="965" ht="12.75" hidden="1" customHeight="1" outlineLevel="1">
      <c r="A965" s="162"/>
      <c r="B965" s="162" t="s">
        <v>346</v>
      </c>
      <c r="C965" s="162"/>
      <c r="D965" s="15"/>
      <c r="E965" s="15"/>
      <c r="F965" s="15"/>
      <c r="G965" s="15"/>
      <c r="H965" s="410"/>
      <c r="I965" s="15"/>
      <c r="J965" s="15"/>
      <c r="K965" s="15"/>
      <c r="L965" s="15"/>
      <c r="M965" s="410"/>
      <c r="N965" s="15"/>
      <c r="O965" s="15"/>
      <c r="P965" s="15"/>
      <c r="Q965" s="15"/>
      <c r="R965" s="410"/>
      <c r="S965" s="15"/>
      <c r="T965" s="15"/>
      <c r="U965" s="15"/>
      <c r="V965" s="15"/>
      <c r="W965" s="410"/>
      <c r="X965" s="15"/>
      <c r="Y965" s="15"/>
      <c r="Z965" s="15"/>
      <c r="AA965" s="15"/>
      <c r="AB965" s="410"/>
      <c r="AC965" s="15" t="str">
        <f t="shared" ref="AC965:FG965" si="5167">AC963/X963-1</f>
        <v>#ERROR!</v>
      </c>
      <c r="AD965" s="15" t="str">
        <f t="shared" si="5167"/>
        <v>#ERROR!</v>
      </c>
      <c r="AE965" s="15" t="str">
        <f t="shared" si="5167"/>
        <v>#ERROR!</v>
      </c>
      <c r="AF965" s="15" t="str">
        <f t="shared" si="5167"/>
        <v>#ERROR!</v>
      </c>
      <c r="AG965" s="410" t="str">
        <f t="shared" si="5167"/>
        <v>#ERROR!</v>
      </c>
      <c r="AH965" s="15" t="str">
        <f t="shared" si="5167"/>
        <v>#ERROR!</v>
      </c>
      <c r="AI965" s="15" t="str">
        <f t="shared" si="5167"/>
        <v>#ERROR!</v>
      </c>
      <c r="AJ965" s="15" t="str">
        <f t="shared" si="5167"/>
        <v>#ERROR!</v>
      </c>
      <c r="AK965" s="15" t="str">
        <f t="shared" si="5167"/>
        <v>#ERROR!</v>
      </c>
      <c r="AL965" s="410" t="str">
        <f t="shared" si="5167"/>
        <v>#ERROR!</v>
      </c>
      <c r="AM965" s="15" t="str">
        <f t="shared" si="5167"/>
        <v>#ERROR!</v>
      </c>
      <c r="AN965" s="15" t="str">
        <f t="shared" si="5167"/>
        <v>#ERROR!</v>
      </c>
      <c r="AO965" s="15" t="str">
        <f t="shared" si="5167"/>
        <v>#ERROR!</v>
      </c>
      <c r="AP965" s="15" t="str">
        <f t="shared" si="5167"/>
        <v>#ERROR!</v>
      </c>
      <c r="AQ965" s="410" t="str">
        <f t="shared" si="5167"/>
        <v>#ERROR!</v>
      </c>
      <c r="AR965" s="15" t="str">
        <f t="shared" si="5167"/>
        <v>#ERROR!</v>
      </c>
      <c r="AS965" s="15" t="str">
        <f t="shared" si="5167"/>
        <v>#ERROR!</v>
      </c>
      <c r="AT965" s="15" t="str">
        <f t="shared" si="5167"/>
        <v>#ERROR!</v>
      </c>
      <c r="AU965" s="15" t="str">
        <f t="shared" si="5167"/>
        <v>#ERROR!</v>
      </c>
      <c r="AV965" s="410" t="str">
        <f t="shared" si="5167"/>
        <v>#ERROR!</v>
      </c>
      <c r="AW965" s="15" t="str">
        <f t="shared" si="5167"/>
        <v>#ERROR!</v>
      </c>
      <c r="AX965" s="15" t="str">
        <f t="shared" si="5167"/>
        <v>#ERROR!</v>
      </c>
      <c r="AY965" s="15" t="str">
        <f t="shared" si="5167"/>
        <v>#ERROR!</v>
      </c>
      <c r="AZ965" s="15" t="str">
        <f t="shared" si="5167"/>
        <v>#ERROR!</v>
      </c>
      <c r="BA965" s="410" t="str">
        <f t="shared" si="5167"/>
        <v>#ERROR!</v>
      </c>
      <c r="BB965" s="15" t="str">
        <f t="shared" si="5167"/>
        <v>#ERROR!</v>
      </c>
      <c r="BC965" s="15" t="str">
        <f t="shared" si="5167"/>
        <v>#ERROR!</v>
      </c>
      <c r="BD965" s="15" t="str">
        <f t="shared" si="5167"/>
        <v>#ERROR!</v>
      </c>
      <c r="BE965" s="15" t="str">
        <f t="shared" si="5167"/>
        <v>#ERROR!</v>
      </c>
      <c r="BF965" s="410" t="str">
        <f t="shared" si="5167"/>
        <v>#ERROR!</v>
      </c>
      <c r="BG965" s="15" t="str">
        <f t="shared" si="5167"/>
        <v>#ERROR!</v>
      </c>
      <c r="BH965" s="15" t="str">
        <f t="shared" si="5167"/>
        <v>#ERROR!</v>
      </c>
      <c r="BI965" s="15" t="str">
        <f t="shared" si="5167"/>
        <v>#ERROR!</v>
      </c>
      <c r="BJ965" s="15" t="str">
        <f t="shared" si="5167"/>
        <v>#ERROR!</v>
      </c>
      <c r="BK965" s="410" t="str">
        <f t="shared" si="5167"/>
        <v>#ERROR!</v>
      </c>
      <c r="BL965" s="15" t="str">
        <f t="shared" si="5167"/>
        <v>#ERROR!</v>
      </c>
      <c r="BM965" s="15" t="str">
        <f t="shared" si="5167"/>
        <v>#ERROR!</v>
      </c>
      <c r="BN965" s="15" t="str">
        <f t="shared" si="5167"/>
        <v>#ERROR!</v>
      </c>
      <c r="BO965" s="15" t="str">
        <f t="shared" si="5167"/>
        <v>#ERROR!</v>
      </c>
      <c r="BP965" s="410" t="str">
        <f t="shared" si="5167"/>
        <v>#ERROR!</v>
      </c>
      <c r="BQ965" s="15" t="str">
        <f t="shared" si="5167"/>
        <v>#ERROR!</v>
      </c>
      <c r="BR965" s="15" t="str">
        <f t="shared" si="5167"/>
        <v>#ERROR!</v>
      </c>
      <c r="BS965" s="15" t="str">
        <f t="shared" si="5167"/>
        <v>#ERROR!</v>
      </c>
      <c r="BT965" s="15" t="str">
        <f t="shared" si="5167"/>
        <v>#ERROR!</v>
      </c>
      <c r="BU965" s="410" t="str">
        <f t="shared" si="5167"/>
        <v>#ERROR!</v>
      </c>
      <c r="BV965" s="15" t="str">
        <f t="shared" si="5167"/>
        <v>#ERROR!</v>
      </c>
      <c r="BW965" s="15" t="str">
        <f t="shared" si="5167"/>
        <v>#ERROR!</v>
      </c>
      <c r="BX965" s="15" t="str">
        <f t="shared" si="5167"/>
        <v>#ERROR!</v>
      </c>
      <c r="BY965" s="15" t="str">
        <f t="shared" si="5167"/>
        <v>#ERROR!</v>
      </c>
      <c r="BZ965" s="24" t="str">
        <f t="shared" si="5167"/>
        <v>#ERROR!</v>
      </c>
      <c r="CA965" s="15" t="str">
        <f t="shared" si="5167"/>
        <v>#ERROR!</v>
      </c>
      <c r="CB965" s="15" t="str">
        <f t="shared" si="5167"/>
        <v>#ERROR!</v>
      </c>
      <c r="CC965" s="15" t="str">
        <f t="shared" si="5167"/>
        <v>#ERROR!</v>
      </c>
      <c r="CD965" s="15" t="str">
        <f t="shared" si="5167"/>
        <v>#ERROR!</v>
      </c>
      <c r="CE965" s="24" t="str">
        <f t="shared" si="5167"/>
        <v>#ERROR!</v>
      </c>
      <c r="CF965" s="15" t="str">
        <f t="shared" si="5167"/>
        <v>#ERROR!</v>
      </c>
      <c r="CG965" s="15" t="str">
        <f t="shared" si="5167"/>
        <v>#ERROR!</v>
      </c>
      <c r="CH965" s="15" t="str">
        <f t="shared" si="5167"/>
        <v>#ERROR!</v>
      </c>
      <c r="CI965" s="15" t="str">
        <f t="shared" si="5167"/>
        <v>#ERROR!</v>
      </c>
      <c r="CJ965" s="24" t="str">
        <f t="shared" si="5167"/>
        <v>#ERROR!</v>
      </c>
      <c r="CK965" s="15" t="str">
        <f t="shared" si="5167"/>
        <v>#ERROR!</v>
      </c>
      <c r="CL965" s="15" t="str">
        <f t="shared" si="5167"/>
        <v>#ERROR!</v>
      </c>
      <c r="CM965" s="15" t="str">
        <f t="shared" si="5167"/>
        <v>#ERROR!</v>
      </c>
      <c r="CN965" s="40" t="str">
        <f t="shared" si="5167"/>
        <v>#ERROR!</v>
      </c>
      <c r="CO965" s="24" t="str">
        <f t="shared" si="5167"/>
        <v>#ERROR!</v>
      </c>
      <c r="CP965" s="40" t="str">
        <f t="shared" si="5167"/>
        <v>#ERROR!</v>
      </c>
      <c r="CQ965" s="15" t="str">
        <f t="shared" si="5167"/>
        <v>#ERROR!</v>
      </c>
      <c r="CR965" s="15" t="str">
        <f t="shared" si="5167"/>
        <v>#ERROR!</v>
      </c>
      <c r="CS965" s="15" t="str">
        <f t="shared" si="5167"/>
        <v>#ERROR!</v>
      </c>
      <c r="CT965" s="24" t="str">
        <f t="shared" si="5167"/>
        <v>#ERROR!</v>
      </c>
      <c r="CU965" s="15" t="str">
        <f t="shared" si="5167"/>
        <v>#ERROR!</v>
      </c>
      <c r="CV965" s="15" t="str">
        <f t="shared" si="5167"/>
        <v>#ERROR!</v>
      </c>
      <c r="CW965" s="15" t="str">
        <f t="shared" si="5167"/>
        <v>#ERROR!</v>
      </c>
      <c r="CX965" s="15" t="str">
        <f t="shared" si="5167"/>
        <v>#ERROR!</v>
      </c>
      <c r="CY965" s="24" t="str">
        <f t="shared" si="5167"/>
        <v>#ERROR!</v>
      </c>
      <c r="CZ965" s="15" t="str">
        <f t="shared" si="5167"/>
        <v>#ERROR!</v>
      </c>
      <c r="DA965" s="15" t="str">
        <f t="shared" si="5167"/>
        <v>#ERROR!</v>
      </c>
      <c r="DB965" s="15" t="str">
        <f t="shared" si="5167"/>
        <v>#ERROR!</v>
      </c>
      <c r="DC965" s="15" t="str">
        <f t="shared" si="5167"/>
        <v>#ERROR!</v>
      </c>
      <c r="DD965" s="24" t="str">
        <f t="shared" si="5167"/>
        <v>#ERROR!</v>
      </c>
      <c r="DE965" s="15" t="str">
        <f t="shared" si="5167"/>
        <v>#ERROR!</v>
      </c>
      <c r="DF965" s="15" t="str">
        <f t="shared" si="5167"/>
        <v>#ERROR!</v>
      </c>
      <c r="DG965" s="40" t="str">
        <f t="shared" si="5167"/>
        <v>#ERROR!</v>
      </c>
      <c r="DH965" s="15" t="str">
        <f t="shared" si="5167"/>
        <v>#ERROR!</v>
      </c>
      <c r="DI965" s="24" t="str">
        <f t="shared" si="5167"/>
        <v>#ERROR!</v>
      </c>
      <c r="DJ965" s="40" t="str">
        <f t="shared" si="5167"/>
        <v>#ERROR!</v>
      </c>
      <c r="DK965" s="40" t="str">
        <f t="shared" si="5167"/>
        <v>#ERROR!</v>
      </c>
      <c r="DL965" s="40" t="str">
        <f t="shared" si="5167"/>
        <v>#ERROR!</v>
      </c>
      <c r="DM965" s="15" t="str">
        <f t="shared" si="5167"/>
        <v>#ERROR!</v>
      </c>
      <c r="DN965" s="24" t="str">
        <f t="shared" si="5167"/>
        <v>#ERROR!</v>
      </c>
      <c r="DO965" s="15" t="str">
        <f t="shared" si="5167"/>
        <v>#ERROR!</v>
      </c>
      <c r="DP965" s="15" t="str">
        <f t="shared" si="5167"/>
        <v>#ERROR!</v>
      </c>
      <c r="DQ965" s="15" t="str">
        <f t="shared" si="5167"/>
        <v>#ERROR!</v>
      </c>
      <c r="DR965" s="15" t="str">
        <f t="shared" si="5167"/>
        <v>#ERROR!</v>
      </c>
      <c r="DS965" s="24" t="str">
        <f t="shared" si="5167"/>
        <v>#ERROR!</v>
      </c>
      <c r="DT965" s="15" t="str">
        <f t="shared" si="5167"/>
        <v>#ERROR!</v>
      </c>
      <c r="DU965" s="15" t="str">
        <f t="shared" si="5167"/>
        <v>#ERROR!</v>
      </c>
      <c r="DV965" s="15" t="str">
        <f t="shared" si="5167"/>
        <v>#ERROR!</v>
      </c>
      <c r="DW965" s="15" t="str">
        <f t="shared" si="5167"/>
        <v>#ERROR!</v>
      </c>
      <c r="DX965" s="24" t="str">
        <f t="shared" si="5167"/>
        <v>#ERROR!</v>
      </c>
      <c r="DY965" s="15" t="str">
        <f t="shared" si="5167"/>
        <v>#ERROR!</v>
      </c>
      <c r="DZ965" s="15" t="str">
        <f t="shared" si="5167"/>
        <v>#ERROR!</v>
      </c>
      <c r="EA965" s="15" t="str">
        <f t="shared" si="5167"/>
        <v>#ERROR!</v>
      </c>
      <c r="EB965" s="15" t="str">
        <f t="shared" si="5167"/>
        <v>#ERROR!</v>
      </c>
      <c r="EC965" s="24" t="str">
        <f t="shared" si="5167"/>
        <v>#ERROR!</v>
      </c>
      <c r="ED965" s="15" t="str">
        <f t="shared" si="5167"/>
        <v>#ERROR!</v>
      </c>
      <c r="EE965" s="15" t="str">
        <f t="shared" si="5167"/>
        <v>#ERROR!</v>
      </c>
      <c r="EF965" s="15" t="str">
        <f t="shared" si="5167"/>
        <v>#ERROR!</v>
      </c>
      <c r="EG965" s="15" t="str">
        <f t="shared" si="5167"/>
        <v>#ERROR!</v>
      </c>
      <c r="EH965" s="24" t="str">
        <f t="shared" si="5167"/>
        <v>#ERROR!</v>
      </c>
      <c r="EI965" s="82" t="str">
        <f t="shared" si="5167"/>
        <v>#ERROR!</v>
      </c>
      <c r="EJ965" s="15" t="str">
        <f t="shared" si="5167"/>
        <v>#ERROR!</v>
      </c>
      <c r="EK965" s="15" t="str">
        <f t="shared" si="5167"/>
        <v>#ERROR!</v>
      </c>
      <c r="EL965" s="15" t="str">
        <f t="shared" si="5167"/>
        <v>#ERROR!</v>
      </c>
      <c r="EM965" s="24" t="str">
        <f t="shared" si="5167"/>
        <v>#ERROR!</v>
      </c>
      <c r="EN965" s="15" t="str">
        <f t="shared" si="5167"/>
        <v>#ERROR!</v>
      </c>
      <c r="EO965" s="15" t="str">
        <f t="shared" si="5167"/>
        <v>#ERROR!</v>
      </c>
      <c r="EP965" s="15" t="str">
        <f t="shared" si="5167"/>
        <v>#ERROR!</v>
      </c>
      <c r="EQ965" s="15" t="str">
        <f t="shared" si="5167"/>
        <v>#ERROR!</v>
      </c>
      <c r="ER965" s="24" t="str">
        <f t="shared" si="5167"/>
        <v>#ERROR!</v>
      </c>
      <c r="ES965" s="15" t="str">
        <f t="shared" si="5167"/>
        <v>#ERROR!</v>
      </c>
      <c r="ET965" s="15" t="str">
        <f t="shared" si="5167"/>
        <v>#ERROR!</v>
      </c>
      <c r="EU965" s="15" t="str">
        <f t="shared" si="5167"/>
        <v>#ERROR!</v>
      </c>
      <c r="EV965" s="15" t="str">
        <f t="shared" si="5167"/>
        <v>#ERROR!</v>
      </c>
      <c r="EW965" s="24" t="str">
        <f t="shared" si="5167"/>
        <v>#ERROR!</v>
      </c>
      <c r="EX965" s="15" t="str">
        <f t="shared" si="5167"/>
        <v>#ERROR!</v>
      </c>
      <c r="EY965" s="15" t="str">
        <f t="shared" si="5167"/>
        <v>#ERROR!</v>
      </c>
      <c r="EZ965" s="15" t="str">
        <f t="shared" si="5167"/>
        <v>#ERROR!</v>
      </c>
      <c r="FA965" s="15" t="str">
        <f t="shared" si="5167"/>
        <v>#ERROR!</v>
      </c>
      <c r="FB965" s="24" t="str">
        <f t="shared" si="5167"/>
        <v>#ERROR!</v>
      </c>
      <c r="FC965" s="15" t="str">
        <f t="shared" si="5167"/>
        <v>#ERROR!</v>
      </c>
      <c r="FD965" s="15" t="str">
        <f t="shared" si="5167"/>
        <v>#ERROR!</v>
      </c>
      <c r="FE965" s="15" t="str">
        <f t="shared" si="5167"/>
        <v>#ERROR!</v>
      </c>
      <c r="FF965" s="15" t="str">
        <f t="shared" si="5167"/>
        <v>#ERROR!</v>
      </c>
      <c r="FG965" s="24" t="str">
        <f t="shared" si="5167"/>
        <v>#ERROR!</v>
      </c>
      <c r="FH965" s="104"/>
      <c r="FI965" s="15"/>
      <c r="FJ965" s="15"/>
      <c r="FK965" s="410"/>
      <c r="FL965" s="15"/>
    </row>
    <row r="966" ht="12.75" hidden="1" customHeight="1" outlineLevel="1">
      <c r="A966" s="162"/>
      <c r="B966" s="696"/>
      <c r="C966" s="696"/>
      <c r="D966" s="413"/>
      <c r="E966" s="413"/>
      <c r="F966" s="413"/>
      <c r="G966" s="413"/>
      <c r="H966" s="414"/>
      <c r="I966" s="413"/>
      <c r="J966" s="413"/>
      <c r="K966" s="413"/>
      <c r="L966" s="413"/>
      <c r="M966" s="414"/>
      <c r="N966" s="413"/>
      <c r="O966" s="413"/>
      <c r="P966" s="413"/>
      <c r="Q966" s="413"/>
      <c r="R966" s="414"/>
      <c r="S966" s="413"/>
      <c r="T966" s="413"/>
      <c r="U966" s="413"/>
      <c r="V966" s="413"/>
      <c r="W966" s="414"/>
      <c r="X966" s="413"/>
      <c r="Y966" s="413"/>
      <c r="Z966" s="413"/>
      <c r="AA966" s="413"/>
      <c r="AB966" s="414"/>
      <c r="AC966" s="413"/>
      <c r="AD966" s="413"/>
      <c r="AE966" s="413"/>
      <c r="AF966" s="413"/>
      <c r="AG966" s="414"/>
      <c r="AH966" s="413"/>
      <c r="AI966" s="413"/>
      <c r="AJ966" s="413"/>
      <c r="AK966" s="413"/>
      <c r="AL966" s="414"/>
      <c r="AM966" s="413"/>
      <c r="AN966" s="413"/>
      <c r="AO966" s="413"/>
      <c r="AP966" s="413"/>
      <c r="AQ966" s="414"/>
      <c r="AR966" s="413"/>
      <c r="AS966" s="413"/>
      <c r="AT966" s="413"/>
      <c r="AU966" s="413"/>
      <c r="AV966" s="414"/>
      <c r="AW966" s="413"/>
      <c r="AX966" s="413"/>
      <c r="AY966" s="413"/>
      <c r="AZ966" s="413"/>
      <c r="BA966" s="414"/>
      <c r="BB966" s="413"/>
      <c r="BC966" s="413"/>
      <c r="BD966" s="413"/>
      <c r="BE966" s="413"/>
      <c r="BF966" s="414"/>
      <c r="BG966" s="413"/>
      <c r="BH966" s="413"/>
      <c r="BI966" s="413"/>
      <c r="BJ966" s="413"/>
      <c r="BK966" s="414"/>
      <c r="BL966" s="413"/>
      <c r="BM966" s="413"/>
      <c r="BN966" s="413"/>
      <c r="BO966" s="413"/>
      <c r="BP966" s="414"/>
      <c r="BQ966" s="413"/>
      <c r="BR966" s="413"/>
      <c r="BS966" s="413"/>
      <c r="BT966" s="413"/>
      <c r="BU966" s="414"/>
      <c r="BV966" s="413"/>
      <c r="BW966" s="413"/>
      <c r="BX966" s="413"/>
      <c r="BY966" s="413"/>
      <c r="BZ966" s="415"/>
      <c r="CA966" s="413"/>
      <c r="CB966" s="413"/>
      <c r="CC966" s="413"/>
      <c r="CD966" s="413"/>
      <c r="CE966" s="415"/>
      <c r="CF966" s="413"/>
      <c r="CG966" s="413"/>
      <c r="CH966" s="413"/>
      <c r="CI966" s="413"/>
      <c r="CJ966" s="415"/>
      <c r="CK966" s="413"/>
      <c r="CL966" s="413"/>
      <c r="CM966" s="413"/>
      <c r="CN966" s="416"/>
      <c r="CO966" s="415"/>
      <c r="CP966" s="416"/>
      <c r="CQ966" s="413"/>
      <c r="CR966" s="413"/>
      <c r="CS966" s="413"/>
      <c r="CT966" s="415"/>
      <c r="CU966" s="413"/>
      <c r="CV966" s="413"/>
      <c r="CW966" s="413"/>
      <c r="CX966" s="413"/>
      <c r="CY966" s="415"/>
      <c r="CZ966" s="413"/>
      <c r="DA966" s="413"/>
      <c r="DB966" s="413"/>
      <c r="DC966" s="413"/>
      <c r="DD966" s="415"/>
      <c r="DE966" s="413"/>
      <c r="DF966" s="413"/>
      <c r="DG966" s="40"/>
      <c r="DH966" s="413"/>
      <c r="DI966" s="415"/>
      <c r="DJ966" s="416"/>
      <c r="DK966" s="416"/>
      <c r="DL966" s="416"/>
      <c r="DM966" s="413"/>
      <c r="DN966" s="415"/>
      <c r="DO966" s="413"/>
      <c r="DP966" s="413"/>
      <c r="DQ966" s="413"/>
      <c r="DR966" s="413"/>
      <c r="DS966" s="415"/>
      <c r="DT966" s="413"/>
      <c r="DU966" s="413"/>
      <c r="DV966" s="413"/>
      <c r="DW966" s="413"/>
      <c r="DX966" s="415"/>
      <c r="DY966" s="413"/>
      <c r="DZ966" s="413"/>
      <c r="EA966" s="413"/>
      <c r="EB966" s="413"/>
      <c r="EC966" s="415"/>
      <c r="ED966" s="413"/>
      <c r="EE966" s="413"/>
      <c r="EF966" s="413"/>
      <c r="EG966" s="413"/>
      <c r="EH966" s="415"/>
      <c r="EI966" s="420"/>
      <c r="EJ966" s="413"/>
      <c r="EK966" s="413"/>
      <c r="EL966" s="413"/>
      <c r="EM966" s="415"/>
      <c r="EN966" s="413"/>
      <c r="EO966" s="413"/>
      <c r="EP966" s="413"/>
      <c r="EQ966" s="413"/>
      <c r="ER966" s="415"/>
      <c r="ES966" s="413"/>
      <c r="ET966" s="413"/>
      <c r="EU966" s="413"/>
      <c r="EV966" s="413"/>
      <c r="EW966" s="415"/>
      <c r="EX966" s="413"/>
      <c r="EY966" s="413"/>
      <c r="EZ966" s="413"/>
      <c r="FA966" s="413"/>
      <c r="FB966" s="415"/>
      <c r="FC966" s="413"/>
      <c r="FD966" s="413"/>
      <c r="FE966" s="413"/>
      <c r="FF966" s="413"/>
      <c r="FG966" s="415"/>
      <c r="FH966" s="388"/>
      <c r="FI966" s="413"/>
      <c r="FJ966" s="413"/>
      <c r="FK966" s="414"/>
      <c r="FL966" s="413"/>
    </row>
    <row r="967" ht="12.75" hidden="1" customHeight="1" outlineLevel="1">
      <c r="A967" s="670"/>
      <c r="B967" s="92" t="str">
        <f>[2]MPU!B94</f>
        <v>#ERROR!</v>
      </c>
      <c r="C967" s="92" t="str">
        <f>[2]MPU!C94</f>
        <v>#ERROR!</v>
      </c>
      <c r="D967" s="413" t="str">
        <f>[2]MPU!D94</f>
        <v>#ERROR!</v>
      </c>
      <c r="E967" s="413" t="str">
        <f>[2]MPU!E94</f>
        <v>#ERROR!</v>
      </c>
      <c r="F967" s="413" t="str">
        <f>[2]MPU!F94</f>
        <v>#ERROR!</v>
      </c>
      <c r="G967" s="413" t="str">
        <f>[2]MPU!G94</f>
        <v>#ERROR!</v>
      </c>
      <c r="H967" s="679" t="str">
        <f>[2]MPU!H94</f>
        <v>#ERROR!</v>
      </c>
      <c r="I967" s="413" t="str">
        <f>[2]MPU!I94</f>
        <v>#ERROR!</v>
      </c>
      <c r="J967" s="413" t="str">
        <f>[2]MPU!J94</f>
        <v>#ERROR!</v>
      </c>
      <c r="K967" s="413" t="str">
        <f>[2]MPU!K94</f>
        <v>#ERROR!</v>
      </c>
      <c r="L967" s="413" t="str">
        <f>[2]MPU!L94</f>
        <v>#ERROR!</v>
      </c>
      <c r="M967" s="679" t="str">
        <f>[2]MPU!M94</f>
        <v>#ERROR!</v>
      </c>
      <c r="N967" s="413" t="str">
        <f>[2]MPU!N94</f>
        <v>#ERROR!</v>
      </c>
      <c r="O967" s="413" t="str">
        <f>[2]MPU!O94</f>
        <v>#ERROR!</v>
      </c>
      <c r="P967" s="413" t="str">
        <f>[2]MPU!P94</f>
        <v>#ERROR!</v>
      </c>
      <c r="Q967" s="413" t="str">
        <f>[2]MPU!Q94</f>
        <v>#ERROR!</v>
      </c>
      <c r="R967" s="679" t="str">
        <f>[2]MPU!R94</f>
        <v>#ERROR!</v>
      </c>
      <c r="S967" s="413" t="str">
        <f>[2]MPU!S94</f>
        <v>#ERROR!</v>
      </c>
      <c r="T967" s="413" t="str">
        <f>[2]MPU!T94</f>
        <v>#ERROR!</v>
      </c>
      <c r="U967" s="413" t="str">
        <f>[2]MPU!U94</f>
        <v>#ERROR!</v>
      </c>
      <c r="V967" s="413" t="str">
        <f>[2]MPU!V94</f>
        <v>#ERROR!</v>
      </c>
      <c r="W967" s="679" t="str">
        <f>[2]MPU!W94</f>
        <v>#ERROR!</v>
      </c>
      <c r="X967" s="413" t="str">
        <f>[2]MPU!X94</f>
        <v>#ERROR!</v>
      </c>
      <c r="Y967" s="413" t="str">
        <f>[2]MPU!Y94</f>
        <v>#ERROR!</v>
      </c>
      <c r="Z967" s="413" t="str">
        <f>[2]MPU!Z94</f>
        <v>#ERROR!</v>
      </c>
      <c r="AA967" s="413" t="str">
        <f>[2]MPU!AA94</f>
        <v>#ERROR!</v>
      </c>
      <c r="AB967" s="679" t="str">
        <f>[2]MPU!AB94</f>
        <v>#ERROR!</v>
      </c>
      <c r="AC967" s="413" t="str">
        <f>[2]MPU!AC94</f>
        <v>#ERROR!</v>
      </c>
      <c r="AD967" s="413" t="str">
        <f>[2]MPU!AD94</f>
        <v>#ERROR!</v>
      </c>
      <c r="AE967" s="413" t="str">
        <f>[2]MPU!AE94</f>
        <v>#ERROR!</v>
      </c>
      <c r="AF967" s="413" t="str">
        <f>[2]MPU!AF94</f>
        <v>#ERROR!</v>
      </c>
      <c r="AG967" s="679" t="str">
        <f>[2]MPU!AG94</f>
        <v>#ERROR!</v>
      </c>
      <c r="AH967" s="413" t="str">
        <f>[2]MPU!AH94</f>
        <v>#ERROR!</v>
      </c>
      <c r="AI967" s="413" t="str">
        <f>[2]MPU!AI94</f>
        <v>#ERROR!</v>
      </c>
      <c r="AJ967" s="413" t="str">
        <f>[2]MPU!AJ94</f>
        <v>#ERROR!</v>
      </c>
      <c r="AK967" s="413" t="str">
        <f>[2]MPU!AK94</f>
        <v>#ERROR!</v>
      </c>
      <c r="AL967" s="679" t="str">
        <f>[2]MPU!AL94</f>
        <v>#ERROR!</v>
      </c>
      <c r="AM967" s="413" t="str">
        <f>[2]MPU!AM94</f>
        <v>#ERROR!</v>
      </c>
      <c r="AN967" s="413" t="str">
        <f>[2]MPU!AN94</f>
        <v>#ERROR!</v>
      </c>
      <c r="AO967" s="413" t="str">
        <f>[2]MPU!AO94</f>
        <v>#ERROR!</v>
      </c>
      <c r="AP967" s="413" t="str">
        <f>[2]MPU!AP94</f>
        <v>#ERROR!</v>
      </c>
      <c r="AQ967" s="679" t="str">
        <f>[2]MPU!AQ94</f>
        <v>#ERROR!</v>
      </c>
      <c r="AR967" s="413" t="str">
        <f>[2]MPU!AR94</f>
        <v>#ERROR!</v>
      </c>
      <c r="AS967" s="413" t="str">
        <f>[2]MPU!AS94</f>
        <v>#ERROR!</v>
      </c>
      <c r="AT967" s="413" t="str">
        <f>[2]MPU!AT94</f>
        <v>#ERROR!</v>
      </c>
      <c r="AU967" s="413" t="str">
        <f>[2]MPU!AU94</f>
        <v>#ERROR!</v>
      </c>
      <c r="AV967" s="679" t="str">
        <f>[2]MPU!AV94</f>
        <v>#ERROR!</v>
      </c>
      <c r="AW967" s="413" t="str">
        <f>[2]MPU!AW94</f>
        <v>#ERROR!</v>
      </c>
      <c r="AX967" s="413" t="str">
        <f>[2]MPU!AX94</f>
        <v>#ERROR!</v>
      </c>
      <c r="AY967" s="413" t="str">
        <f>[2]MPU!AY94</f>
        <v>#ERROR!</v>
      </c>
      <c r="AZ967" s="413" t="str">
        <f>[2]MPU!AZ94</f>
        <v>#ERROR!</v>
      </c>
      <c r="BA967" s="679" t="str">
        <f>[2]MPU!BA94</f>
        <v>#ERROR!</v>
      </c>
      <c r="BB967" s="413" t="str">
        <f>[2]MPU!BB94</f>
        <v>#ERROR!</v>
      </c>
      <c r="BC967" s="413" t="str">
        <f>[2]MPU!BC94</f>
        <v>#ERROR!</v>
      </c>
      <c r="BD967" s="413" t="str">
        <f>[2]MPU!BD94</f>
        <v>#ERROR!</v>
      </c>
      <c r="BE967" s="413" t="str">
        <f>[2]MPU!BE94</f>
        <v>#ERROR!</v>
      </c>
      <c r="BF967" s="679" t="str">
        <f>[2]MPU!BF94</f>
        <v>#ERROR!</v>
      </c>
      <c r="BG967" s="413" t="str">
        <f>[2]MPU!BG94</f>
        <v>#ERROR!</v>
      </c>
      <c r="BH967" s="413" t="str">
        <f>[2]MPU!BH94</f>
        <v>#ERROR!</v>
      </c>
      <c r="BI967" s="413" t="str">
        <f>[2]MPU!BI94</f>
        <v>#ERROR!</v>
      </c>
      <c r="BJ967" s="413" t="str">
        <f>[2]MPU!BJ94</f>
        <v>#ERROR!</v>
      </c>
      <c r="BK967" s="679" t="str">
        <f>[2]MPU!BK94</f>
        <v>#ERROR!</v>
      </c>
      <c r="BL967" s="413" t="str">
        <f>[2]MPU!BL94</f>
        <v>#ERROR!</v>
      </c>
      <c r="BM967" s="413" t="str">
        <f>[2]MPU!BM94</f>
        <v>#ERROR!</v>
      </c>
      <c r="BN967" s="413" t="str">
        <f>[2]MPU!BN94</f>
        <v>#ERROR!</v>
      </c>
      <c r="BO967" s="413" t="str">
        <f>[2]MPU!BO94</f>
        <v>#ERROR!</v>
      </c>
      <c r="BP967" s="679" t="str">
        <f>[2]MPU!BP94</f>
        <v>#ERROR!</v>
      </c>
      <c r="BQ967" s="413" t="str">
        <f>[2]MPU!BQ94</f>
        <v>#ERROR!</v>
      </c>
      <c r="BR967" s="413" t="str">
        <f>[2]MPU!BR94</f>
        <v>#ERROR!</v>
      </c>
      <c r="BS967" s="413" t="str">
        <f>[2]MPU!BS94</f>
        <v>#ERROR!</v>
      </c>
      <c r="BT967" s="413" t="str">
        <f>[2]MPU!BT94</f>
        <v>#ERROR!</v>
      </c>
      <c r="BU967" s="679" t="str">
        <f>[2]MPU!BU94</f>
        <v>#ERROR!</v>
      </c>
      <c r="BV967" s="413" t="str">
        <f>[2]MPU!BV94</f>
        <v>#ERROR!</v>
      </c>
      <c r="BW967" s="413" t="str">
        <f>[2]MPU!BW94</f>
        <v>#ERROR!</v>
      </c>
      <c r="BX967" s="413" t="str">
        <f>[2]MPU!BX94</f>
        <v>#ERROR!</v>
      </c>
      <c r="BY967" s="413" t="str">
        <f>[2]MPU!BY94</f>
        <v>#ERROR!</v>
      </c>
      <c r="BZ967" s="305" t="str">
        <f>[2]MPU!BZ94</f>
        <v>#ERROR!</v>
      </c>
      <c r="CA967" s="413" t="str">
        <f>[2]MPU!CA94</f>
        <v>#ERROR!</v>
      </c>
      <c r="CB967" s="413" t="str">
        <f>[2]MPU!CB94</f>
        <v>#ERROR!</v>
      </c>
      <c r="CC967" s="413" t="str">
        <f>[2]MPU!CC94</f>
        <v>#ERROR!</v>
      </c>
      <c r="CD967" s="413" t="str">
        <f>[2]MPU!CD94</f>
        <v>#ERROR!</v>
      </c>
      <c r="CE967" s="305" t="str">
        <f>[2]MPU!CE94</f>
        <v>#ERROR!</v>
      </c>
      <c r="CF967" s="413" t="str">
        <f>[2]MPU!CF94</f>
        <v>#ERROR!</v>
      </c>
      <c r="CG967" s="413" t="str">
        <f>[2]MPU!CG94</f>
        <v>#ERROR!</v>
      </c>
      <c r="CH967" s="413" t="str">
        <f>[2]MPU!CH94</f>
        <v>#ERROR!</v>
      </c>
      <c r="CI967" s="413" t="str">
        <f>[2]MPU!CI94</f>
        <v>#ERROR!</v>
      </c>
      <c r="CJ967" s="305" t="str">
        <f>[2]MPU!CJ94</f>
        <v>#ERROR!</v>
      </c>
      <c r="CK967" s="413" t="str">
        <f>[2]MPU!CK94</f>
        <v>#ERROR!</v>
      </c>
      <c r="CL967" s="413" t="str">
        <f>[2]MPU!CL94</f>
        <v>#ERROR!</v>
      </c>
      <c r="CM967" s="413" t="str">
        <f>[2]MPU!CM94</f>
        <v>#ERROR!</v>
      </c>
      <c r="CN967" s="416" t="str">
        <f>[2]MPU!CN94</f>
        <v>#ERROR!</v>
      </c>
      <c r="CO967" s="305" t="str">
        <f>[2]MPU!CO94</f>
        <v>#ERROR!</v>
      </c>
      <c r="CP967" s="416" t="str">
        <f>[2]MPU!CP94</f>
        <v>#ERROR!</v>
      </c>
      <c r="CQ967" s="413" t="str">
        <f>[2]MPU!CQ94</f>
        <v>#ERROR!</v>
      </c>
      <c r="CR967" s="413" t="str">
        <f>[2]MPU!CR94</f>
        <v>#ERROR!</v>
      </c>
      <c r="CS967" s="413" t="str">
        <f>[2]MPU!CS94</f>
        <v>#ERROR!</v>
      </c>
      <c r="CT967" s="305" t="str">
        <f>[2]MPU!CT94</f>
        <v>#ERROR!</v>
      </c>
      <c r="CU967" s="413" t="str">
        <f>[2]MPU!CU94</f>
        <v>#ERROR!</v>
      </c>
      <c r="CV967" s="413" t="str">
        <f>[2]MPU!CV94</f>
        <v>#ERROR!</v>
      </c>
      <c r="CW967" s="413" t="str">
        <f>[2]MPU!CW94</f>
        <v>#ERROR!</v>
      </c>
      <c r="CX967" s="413" t="str">
        <f>[2]MPU!CX94</f>
        <v>#ERROR!</v>
      </c>
      <c r="CY967" s="305" t="str">
        <f>[2]MPU!CY94</f>
        <v>#ERROR!</v>
      </c>
      <c r="CZ967" s="413" t="str">
        <f>[2]MPU!CZ94</f>
        <v>#ERROR!</v>
      </c>
      <c r="DA967" s="413" t="str">
        <f>[2]MPU!DA94</f>
        <v>#ERROR!</v>
      </c>
      <c r="DB967" s="413" t="str">
        <f>[2]MPU!DB94</f>
        <v>#ERROR!</v>
      </c>
      <c r="DC967" s="413" t="str">
        <f>[2]MPU!DC94</f>
        <v>#ERROR!</v>
      </c>
      <c r="DD967" s="305" t="str">
        <f>[2]MPU!DD94</f>
        <v>#ERROR!</v>
      </c>
      <c r="DE967" s="413" t="str">
        <f>[2]MPU!DE94</f>
        <v>#ERROR!</v>
      </c>
      <c r="DF967" s="413" t="str">
        <f>[2]MPU!DF94</f>
        <v>#ERROR!</v>
      </c>
      <c r="DG967" s="40" t="str">
        <f>[2]MPU!DG94</f>
        <v>#ERROR!</v>
      </c>
      <c r="DH967" s="413" t="str">
        <f>[2]MPU!DH94</f>
        <v>#ERROR!</v>
      </c>
      <c r="DI967" s="305" t="str">
        <f>[2]MPU!DI94</f>
        <v>#ERROR!</v>
      </c>
      <c r="DJ967" s="416" t="str">
        <f>[2]MPU!DJ94</f>
        <v>#ERROR!</v>
      </c>
      <c r="DK967" s="416" t="str">
        <f>[2]MPU!DK94</f>
        <v>#ERROR!</v>
      </c>
      <c r="DL967" s="416" t="str">
        <f>[2]MPU!DL94</f>
        <v>#ERROR!</v>
      </c>
      <c r="DM967" s="413" t="str">
        <f>[2]MPU!DM94</f>
        <v>#ERROR!</v>
      </c>
      <c r="DN967" s="305" t="str">
        <f>[2]MPU!DN94</f>
        <v>#ERROR!</v>
      </c>
      <c r="DO967" s="413" t="str">
        <f>[2]MPU!DT94</f>
        <v>#ERROR!</v>
      </c>
      <c r="DP967" s="413" t="str">
        <f>[2]MPU!DU94</f>
        <v>#ERROR!</v>
      </c>
      <c r="DQ967" s="413" t="str">
        <f>[2]MPU!DV94</f>
        <v>#ERROR!</v>
      </c>
      <c r="DR967" s="413" t="str">
        <f>[2]MPU!DW94</f>
        <v>#ERROR!</v>
      </c>
      <c r="DS967" s="305" t="str">
        <f>[2]MPU!DX94</f>
        <v>#ERROR!</v>
      </c>
      <c r="DT967" s="413" t="str">
        <f>[2]MPU!DY94</f>
        <v>#ERROR!</v>
      </c>
      <c r="DU967" s="413" t="str">
        <f>[2]MPU!DZ94</f>
        <v>#ERROR!</v>
      </c>
      <c r="DV967" s="413" t="str">
        <f>[2]MPU!EA94</f>
        <v>#ERROR!</v>
      </c>
      <c r="DW967" s="413" t="str">
        <f>[2]MPU!EB94</f>
        <v>#ERROR!</v>
      </c>
      <c r="DX967" s="305" t="str">
        <f>[2]MPU!EC94</f>
        <v>#ERROR!</v>
      </c>
      <c r="DY967" s="413" t="str">
        <f>[2]MPU!ED94</f>
        <v>#ERROR!</v>
      </c>
      <c r="DZ967" s="413" t="str">
        <f>[2]MPU!EE94</f>
        <v>#ERROR!</v>
      </c>
      <c r="EA967" s="413" t="str">
        <f>[2]MPU!EF94</f>
        <v>#ERROR!</v>
      </c>
      <c r="EB967" s="413" t="str">
        <f>[2]MPU!EG94</f>
        <v>#ERROR!</v>
      </c>
      <c r="EC967" s="305" t="str">
        <f>[2]MPU!EH94</f>
        <v>#ERROR!</v>
      </c>
      <c r="ED967" s="413" t="str">
        <f>[2]MPU!EI94</f>
        <v>#ERROR!</v>
      </c>
      <c r="EE967" s="413" t="str">
        <f>[2]MPU!EJ94</f>
        <v>#ERROR!</v>
      </c>
      <c r="EF967" s="413" t="str">
        <f>[2]MPU!#REF!</f>
        <v>#ERROR!</v>
      </c>
      <c r="EG967" s="413" t="str">
        <f>[2]MPU!#REF!</f>
        <v>#ERROR!</v>
      </c>
      <c r="EH967" s="305" t="str">
        <f>[2]MPU!#REF!</f>
        <v>#ERROR!</v>
      </c>
      <c r="EI967" s="420" t="str">
        <f>[2]MPU!#REF!</f>
        <v>#ERROR!</v>
      </c>
      <c r="EJ967" s="413" t="str">
        <f>[2]MPU!#REF!</f>
        <v>#ERROR!</v>
      </c>
      <c r="EK967" s="413" t="str">
        <f>[2]MPU!#REF!</f>
        <v>#ERROR!</v>
      </c>
      <c r="EL967" s="413" t="str">
        <f>[2]MPU!#REF!</f>
        <v>#ERROR!</v>
      </c>
      <c r="EM967" s="305" t="str">
        <f>[2]MPU!#REF!</f>
        <v>#ERROR!</v>
      </c>
      <c r="EN967" s="413" t="str">
        <f>[2]MPU!#REF!</f>
        <v>#ERROR!</v>
      </c>
      <c r="EO967" s="413" t="str">
        <f>[2]MPU!#REF!</f>
        <v>#ERROR!</v>
      </c>
      <c r="EP967" s="413" t="str">
        <f>[2]MPU!#REF!</f>
        <v>#ERROR!</v>
      </c>
      <c r="EQ967" s="413" t="str">
        <f>[2]MPU!#REF!</f>
        <v>#ERROR!</v>
      </c>
      <c r="ER967" s="305" t="str">
        <f>[2]MPU!#REF!</f>
        <v>#ERROR!</v>
      </c>
      <c r="ES967" s="413" t="str">
        <f>[2]MPU!#REF!</f>
        <v>#ERROR!</v>
      </c>
      <c r="ET967" s="413" t="str">
        <f>[2]MPU!#REF!</f>
        <v>#ERROR!</v>
      </c>
      <c r="EU967" s="413" t="str">
        <f>[2]MPU!#REF!</f>
        <v>#ERROR!</v>
      </c>
      <c r="EV967" s="413" t="str">
        <f>[2]MPU!#REF!</f>
        <v>#ERROR!</v>
      </c>
      <c r="EW967" s="305" t="str">
        <f>[2]MPU!#REF!</f>
        <v>#ERROR!</v>
      </c>
      <c r="EX967" s="413" t="str">
        <f>[2]MPU!#REF!</f>
        <v>#ERROR!</v>
      </c>
      <c r="EY967" s="413" t="str">
        <f>[2]MPU!#REF!</f>
        <v>#ERROR!</v>
      </c>
      <c r="EZ967" s="413" t="str">
        <f>[2]MPU!#REF!</f>
        <v>#ERROR!</v>
      </c>
      <c r="FA967" s="413" t="str">
        <f>[2]MPU!#REF!</f>
        <v>#ERROR!</v>
      </c>
      <c r="FB967" s="305" t="str">
        <f>[2]MPU!#REF!</f>
        <v>#ERROR!</v>
      </c>
      <c r="FC967" s="413" t="str">
        <f>[2]MPU!#REF!</f>
        <v>#ERROR!</v>
      </c>
      <c r="FD967" s="413" t="str">
        <f>[2]MPU!#REF!</f>
        <v>#ERROR!</v>
      </c>
      <c r="FE967" s="413" t="str">
        <f>[2]MPU!#REF!</f>
        <v>#ERROR!</v>
      </c>
      <c r="FF967" s="413" t="str">
        <f>[2]MPU!#REF!</f>
        <v>#ERROR!</v>
      </c>
      <c r="FG967" s="305" t="str">
        <f>[2]MPU!#REF!</f>
        <v>#ERROR!</v>
      </c>
      <c r="FH967" s="680"/>
      <c r="FI967" s="413"/>
      <c r="FJ967" s="413"/>
      <c r="FK967" s="679"/>
      <c r="FL967" s="413"/>
    </row>
    <row r="968" ht="12.75" hidden="1" customHeight="1" outlineLevel="1">
      <c r="A968" s="670"/>
      <c r="B968" s="92" t="str">
        <f>[2]MPU!B95</f>
        <v>#ERROR!</v>
      </c>
      <c r="C968" s="92" t="str">
        <f>[2]MPU!C95</f>
        <v>#ERROR!</v>
      </c>
      <c r="D968" s="413" t="str">
        <f>[2]MPU!D95</f>
        <v>#ERROR!</v>
      </c>
      <c r="E968" s="413" t="str">
        <f>[2]MPU!E95</f>
        <v>#ERROR!</v>
      </c>
      <c r="F968" s="413" t="str">
        <f>[2]MPU!F95</f>
        <v>#ERROR!</v>
      </c>
      <c r="G968" s="413" t="str">
        <f>[2]MPU!G95</f>
        <v>#ERROR!</v>
      </c>
      <c r="H968" s="679" t="str">
        <f>[2]MPU!H95</f>
        <v>#ERROR!</v>
      </c>
      <c r="I968" s="413" t="str">
        <f>[2]MPU!I95</f>
        <v>#ERROR!</v>
      </c>
      <c r="J968" s="413" t="str">
        <f>[2]MPU!J95</f>
        <v>#ERROR!</v>
      </c>
      <c r="K968" s="413" t="str">
        <f>[2]MPU!K95</f>
        <v>#ERROR!</v>
      </c>
      <c r="L968" s="413" t="str">
        <f>[2]MPU!L95</f>
        <v>#ERROR!</v>
      </c>
      <c r="M968" s="679" t="str">
        <f>[2]MPU!M95</f>
        <v>#ERROR!</v>
      </c>
      <c r="N968" s="413" t="str">
        <f>[2]MPU!N95</f>
        <v>#ERROR!</v>
      </c>
      <c r="O968" s="413" t="str">
        <f>[2]MPU!O95</f>
        <v>#ERROR!</v>
      </c>
      <c r="P968" s="413" t="str">
        <f>[2]MPU!P95</f>
        <v>#ERROR!</v>
      </c>
      <c r="Q968" s="413" t="str">
        <f>[2]MPU!Q95</f>
        <v>#ERROR!</v>
      </c>
      <c r="R968" s="679" t="str">
        <f>[2]MPU!R95</f>
        <v>#ERROR!</v>
      </c>
      <c r="S968" s="413" t="str">
        <f>[2]MPU!S95</f>
        <v>#ERROR!</v>
      </c>
      <c r="T968" s="413" t="str">
        <f>[2]MPU!T95</f>
        <v>#ERROR!</v>
      </c>
      <c r="U968" s="413" t="str">
        <f>[2]MPU!U95</f>
        <v>#ERROR!</v>
      </c>
      <c r="V968" s="413" t="str">
        <f>[2]MPU!V95</f>
        <v>#ERROR!</v>
      </c>
      <c r="W968" s="679" t="str">
        <f>[2]MPU!W95</f>
        <v>#ERROR!</v>
      </c>
      <c r="X968" s="413" t="str">
        <f>[2]MPU!X95</f>
        <v>#ERROR!</v>
      </c>
      <c r="Y968" s="413" t="str">
        <f>[2]MPU!Y95</f>
        <v>#ERROR!</v>
      </c>
      <c r="Z968" s="413" t="str">
        <f>[2]MPU!Z95</f>
        <v>#ERROR!</v>
      </c>
      <c r="AA968" s="413" t="str">
        <f>[2]MPU!AA95</f>
        <v>#ERROR!</v>
      </c>
      <c r="AB968" s="679" t="str">
        <f>[2]MPU!AB95</f>
        <v>#ERROR!</v>
      </c>
      <c r="AC968" s="413" t="str">
        <f>[2]MPU!AC95</f>
        <v>#ERROR!</v>
      </c>
      <c r="AD968" s="413" t="str">
        <f>[2]MPU!AD95</f>
        <v>#ERROR!</v>
      </c>
      <c r="AE968" s="413" t="str">
        <f>[2]MPU!AE95</f>
        <v>#ERROR!</v>
      </c>
      <c r="AF968" s="413" t="str">
        <f>[2]MPU!AF95</f>
        <v>#ERROR!</v>
      </c>
      <c r="AG968" s="679" t="str">
        <f>[2]MPU!AG95</f>
        <v>#ERROR!</v>
      </c>
      <c r="AH968" s="413" t="str">
        <f>[2]MPU!AH95</f>
        <v>#ERROR!</v>
      </c>
      <c r="AI968" s="413" t="str">
        <f>[2]MPU!AI95</f>
        <v>#ERROR!</v>
      </c>
      <c r="AJ968" s="413" t="str">
        <f>[2]MPU!AJ95</f>
        <v>#ERROR!</v>
      </c>
      <c r="AK968" s="413" t="str">
        <f>[2]MPU!AK95</f>
        <v>#ERROR!</v>
      </c>
      <c r="AL968" s="679" t="str">
        <f>[2]MPU!AL95</f>
        <v>#ERROR!</v>
      </c>
      <c r="AM968" s="413" t="str">
        <f>[2]MPU!AM95</f>
        <v>#ERROR!</v>
      </c>
      <c r="AN968" s="413" t="str">
        <f>[2]MPU!AN95</f>
        <v>#ERROR!</v>
      </c>
      <c r="AO968" s="413" t="str">
        <f>[2]MPU!AO95</f>
        <v>#ERROR!</v>
      </c>
      <c r="AP968" s="413" t="str">
        <f>[2]MPU!AP95</f>
        <v>#ERROR!</v>
      </c>
      <c r="AQ968" s="679" t="str">
        <f>[2]MPU!AQ95</f>
        <v>#ERROR!</v>
      </c>
      <c r="AR968" s="413" t="str">
        <f>[2]MPU!AR95</f>
        <v>#ERROR!</v>
      </c>
      <c r="AS968" s="413" t="str">
        <f>[2]MPU!AS95</f>
        <v>#ERROR!</v>
      </c>
      <c r="AT968" s="413" t="str">
        <f>[2]MPU!AT95</f>
        <v>#ERROR!</v>
      </c>
      <c r="AU968" s="413" t="str">
        <f>[2]MPU!AU95</f>
        <v>#ERROR!</v>
      </c>
      <c r="AV968" s="679" t="str">
        <f>[2]MPU!AV95</f>
        <v>#ERROR!</v>
      </c>
      <c r="AW968" s="413" t="str">
        <f>[2]MPU!AW95</f>
        <v>#ERROR!</v>
      </c>
      <c r="AX968" s="413" t="str">
        <f>[2]MPU!AX95</f>
        <v>#ERROR!</v>
      </c>
      <c r="AY968" s="413" t="str">
        <f>[2]MPU!AY95</f>
        <v>#ERROR!</v>
      </c>
      <c r="AZ968" s="413" t="str">
        <f>[2]MPU!AZ95</f>
        <v>#ERROR!</v>
      </c>
      <c r="BA968" s="679" t="str">
        <f>[2]MPU!BA95</f>
        <v>#ERROR!</v>
      </c>
      <c r="BB968" s="413" t="str">
        <f>[2]MPU!BB95</f>
        <v>#ERROR!</v>
      </c>
      <c r="BC968" s="413" t="str">
        <f>[2]MPU!BC95</f>
        <v>#ERROR!</v>
      </c>
      <c r="BD968" s="413" t="str">
        <f>[2]MPU!BD95</f>
        <v>#ERROR!</v>
      </c>
      <c r="BE968" s="413" t="str">
        <f>[2]MPU!BE95</f>
        <v>#ERROR!</v>
      </c>
      <c r="BF968" s="679" t="str">
        <f>[2]MPU!BF95</f>
        <v>#ERROR!</v>
      </c>
      <c r="BG968" s="413" t="str">
        <f>[2]MPU!BG95</f>
        <v>#ERROR!</v>
      </c>
      <c r="BH968" s="413" t="str">
        <f>[2]MPU!BH95</f>
        <v>#ERROR!</v>
      </c>
      <c r="BI968" s="413" t="str">
        <f>[2]MPU!BI95</f>
        <v>#ERROR!</v>
      </c>
      <c r="BJ968" s="413" t="str">
        <f>[2]MPU!BJ95</f>
        <v>#ERROR!</v>
      </c>
      <c r="BK968" s="679" t="str">
        <f>[2]MPU!BK95</f>
        <v>#ERROR!</v>
      </c>
      <c r="BL968" s="413" t="str">
        <f>[2]MPU!BL95</f>
        <v>#ERROR!</v>
      </c>
      <c r="BM968" s="413" t="str">
        <f>[2]MPU!BM95</f>
        <v>#ERROR!</v>
      </c>
      <c r="BN968" s="413" t="str">
        <f>[2]MPU!BN95</f>
        <v>#ERROR!</v>
      </c>
      <c r="BO968" s="413" t="str">
        <f>[2]MPU!BO95</f>
        <v>#ERROR!</v>
      </c>
      <c r="BP968" s="679" t="str">
        <f>[2]MPU!BP95</f>
        <v>#ERROR!</v>
      </c>
      <c r="BQ968" s="413" t="str">
        <f>[2]MPU!BQ95</f>
        <v>#ERROR!</v>
      </c>
      <c r="BR968" s="413" t="str">
        <f>[2]MPU!BR95</f>
        <v>#ERROR!</v>
      </c>
      <c r="BS968" s="413" t="str">
        <f>[2]MPU!BS95</f>
        <v>#ERROR!</v>
      </c>
      <c r="BT968" s="413" t="str">
        <f>[2]MPU!BT95</f>
        <v>#ERROR!</v>
      </c>
      <c r="BU968" s="679" t="str">
        <f>[2]MPU!BU95</f>
        <v>#ERROR!</v>
      </c>
      <c r="BV968" s="413" t="str">
        <f>[2]MPU!BV95</f>
        <v>#ERROR!</v>
      </c>
      <c r="BW968" s="413" t="str">
        <f>[2]MPU!BW95</f>
        <v>#ERROR!</v>
      </c>
      <c r="BX968" s="413" t="str">
        <f>[2]MPU!BX95</f>
        <v>#ERROR!</v>
      </c>
      <c r="BY968" s="413" t="str">
        <f>[2]MPU!BY95</f>
        <v>#ERROR!</v>
      </c>
      <c r="BZ968" s="305" t="str">
        <f>[2]MPU!BZ95</f>
        <v>#ERROR!</v>
      </c>
      <c r="CA968" s="413" t="str">
        <f>[2]MPU!CA95</f>
        <v>#ERROR!</v>
      </c>
      <c r="CB968" s="413" t="str">
        <f>[2]MPU!CB95</f>
        <v>#ERROR!</v>
      </c>
      <c r="CC968" s="413" t="str">
        <f>[2]MPU!CC95</f>
        <v>#ERROR!</v>
      </c>
      <c r="CD968" s="413" t="str">
        <f>[2]MPU!CD95</f>
        <v>#ERROR!</v>
      </c>
      <c r="CE968" s="305" t="str">
        <f>[2]MPU!CE95</f>
        <v>#ERROR!</v>
      </c>
      <c r="CF968" s="413" t="str">
        <f>[2]MPU!CF95</f>
        <v>#ERROR!</v>
      </c>
      <c r="CG968" s="413" t="str">
        <f>[2]MPU!CG95</f>
        <v>#ERROR!</v>
      </c>
      <c r="CH968" s="413" t="str">
        <f>[2]MPU!CH95</f>
        <v>#ERROR!</v>
      </c>
      <c r="CI968" s="413" t="str">
        <f>[2]MPU!CI95</f>
        <v>#ERROR!</v>
      </c>
      <c r="CJ968" s="305" t="str">
        <f>[2]MPU!CJ95</f>
        <v>#ERROR!</v>
      </c>
      <c r="CK968" s="413" t="str">
        <f>[2]MPU!CK95</f>
        <v>#ERROR!</v>
      </c>
      <c r="CL968" s="413" t="str">
        <f>[2]MPU!CL95</f>
        <v>#ERROR!</v>
      </c>
      <c r="CM968" s="413" t="str">
        <f>[2]MPU!CM95</f>
        <v>#ERROR!</v>
      </c>
      <c r="CN968" s="416" t="str">
        <f>[2]MPU!CN95</f>
        <v>#ERROR!</v>
      </c>
      <c r="CO968" s="305" t="str">
        <f>[2]MPU!CO95</f>
        <v>#ERROR!</v>
      </c>
      <c r="CP968" s="416" t="str">
        <f>[2]MPU!CP95</f>
        <v>#ERROR!</v>
      </c>
      <c r="CQ968" s="413" t="str">
        <f>[2]MPU!CQ95</f>
        <v>#ERROR!</v>
      </c>
      <c r="CR968" s="413" t="str">
        <f>[2]MPU!CR95</f>
        <v>#ERROR!</v>
      </c>
      <c r="CS968" s="413" t="str">
        <f>[2]MPU!CS95</f>
        <v>#ERROR!</v>
      </c>
      <c r="CT968" s="305" t="str">
        <f>[2]MPU!CT95</f>
        <v>#ERROR!</v>
      </c>
      <c r="CU968" s="413" t="str">
        <f>[2]MPU!CU95</f>
        <v>#ERROR!</v>
      </c>
      <c r="CV968" s="413" t="str">
        <f>[2]MPU!CV95</f>
        <v>#ERROR!</v>
      </c>
      <c r="CW968" s="413" t="str">
        <f>[2]MPU!CW95</f>
        <v>#ERROR!</v>
      </c>
      <c r="CX968" s="413" t="str">
        <f>[2]MPU!CX95</f>
        <v>#ERROR!</v>
      </c>
      <c r="CY968" s="305" t="str">
        <f>[2]MPU!CY95</f>
        <v>#ERROR!</v>
      </c>
      <c r="CZ968" s="413" t="str">
        <f>[2]MPU!CZ95</f>
        <v>#ERROR!</v>
      </c>
      <c r="DA968" s="413" t="str">
        <f>[2]MPU!DA95</f>
        <v>#ERROR!</v>
      </c>
      <c r="DB968" s="413" t="str">
        <f>[2]MPU!DB95</f>
        <v>#ERROR!</v>
      </c>
      <c r="DC968" s="413" t="str">
        <f>[2]MPU!DC95</f>
        <v>#ERROR!</v>
      </c>
      <c r="DD968" s="305" t="str">
        <f>[2]MPU!DD95</f>
        <v>#ERROR!</v>
      </c>
      <c r="DE968" s="413" t="str">
        <f>[2]MPU!DE95</f>
        <v>#ERROR!</v>
      </c>
      <c r="DF968" s="413" t="str">
        <f>[2]MPU!DF95</f>
        <v>#ERROR!</v>
      </c>
      <c r="DG968" s="40" t="str">
        <f>[2]MPU!DG95</f>
        <v>#ERROR!</v>
      </c>
      <c r="DH968" s="413" t="str">
        <f>[2]MPU!DH95</f>
        <v>#ERROR!</v>
      </c>
      <c r="DI968" s="305" t="str">
        <f>[2]MPU!DI95</f>
        <v>#ERROR!</v>
      </c>
      <c r="DJ968" s="416" t="str">
        <f>[2]MPU!DJ95</f>
        <v>#ERROR!</v>
      </c>
      <c r="DK968" s="416" t="str">
        <f>[2]MPU!DK95</f>
        <v>#ERROR!</v>
      </c>
      <c r="DL968" s="416" t="str">
        <f>[2]MPU!DL95</f>
        <v>#ERROR!</v>
      </c>
      <c r="DM968" s="413" t="str">
        <f>[2]MPU!DM95</f>
        <v>#ERROR!</v>
      </c>
      <c r="DN968" s="305" t="str">
        <f>[2]MPU!DN95</f>
        <v>#ERROR!</v>
      </c>
      <c r="DO968" s="413" t="str">
        <f>[2]MPU!DT95</f>
        <v>#ERROR!</v>
      </c>
      <c r="DP968" s="413" t="str">
        <f>[2]MPU!DU95</f>
        <v>#ERROR!</v>
      </c>
      <c r="DQ968" s="413" t="str">
        <f>[2]MPU!DV95</f>
        <v>#ERROR!</v>
      </c>
      <c r="DR968" s="413" t="str">
        <f>[2]MPU!DW95</f>
        <v>#ERROR!</v>
      </c>
      <c r="DS968" s="305" t="str">
        <f>[2]MPU!DX95</f>
        <v>#ERROR!</v>
      </c>
      <c r="DT968" s="413" t="str">
        <f>[2]MPU!DY95</f>
        <v>#ERROR!</v>
      </c>
      <c r="DU968" s="413" t="str">
        <f>[2]MPU!DZ95</f>
        <v>#ERROR!</v>
      </c>
      <c r="DV968" s="413" t="str">
        <f>[2]MPU!EA95</f>
        <v>#ERROR!</v>
      </c>
      <c r="DW968" s="413" t="str">
        <f>[2]MPU!EB95</f>
        <v>#ERROR!</v>
      </c>
      <c r="DX968" s="305" t="str">
        <f>[2]MPU!EC95</f>
        <v>#ERROR!</v>
      </c>
      <c r="DY968" s="413" t="str">
        <f>[2]MPU!ED95</f>
        <v>#ERROR!</v>
      </c>
      <c r="DZ968" s="413" t="str">
        <f>[2]MPU!EE95</f>
        <v>#ERROR!</v>
      </c>
      <c r="EA968" s="413" t="str">
        <f>[2]MPU!EF95</f>
        <v>#ERROR!</v>
      </c>
      <c r="EB968" s="413" t="str">
        <f>[2]MPU!EG95</f>
        <v>#ERROR!</v>
      </c>
      <c r="EC968" s="305" t="str">
        <f>[2]MPU!EH95</f>
        <v>#ERROR!</v>
      </c>
      <c r="ED968" s="413" t="str">
        <f>[2]MPU!EI95</f>
        <v>#ERROR!</v>
      </c>
      <c r="EE968" s="413" t="str">
        <f>[2]MPU!EJ95</f>
        <v>#ERROR!</v>
      </c>
      <c r="EF968" s="413" t="str">
        <f>[2]MPU!#REF!</f>
        <v>#ERROR!</v>
      </c>
      <c r="EG968" s="413" t="str">
        <f>[2]MPU!#REF!</f>
        <v>#ERROR!</v>
      </c>
      <c r="EH968" s="305" t="str">
        <f>[2]MPU!#REF!</f>
        <v>#ERROR!</v>
      </c>
      <c r="EI968" s="420" t="str">
        <f>[2]MPU!#REF!</f>
        <v>#ERROR!</v>
      </c>
      <c r="EJ968" s="413" t="str">
        <f>[2]MPU!#REF!</f>
        <v>#ERROR!</v>
      </c>
      <c r="EK968" s="413" t="str">
        <f>[2]MPU!#REF!</f>
        <v>#ERROR!</v>
      </c>
      <c r="EL968" s="413" t="str">
        <f>[2]MPU!#REF!</f>
        <v>#ERROR!</v>
      </c>
      <c r="EM968" s="305" t="str">
        <f>[2]MPU!#REF!</f>
        <v>#ERROR!</v>
      </c>
      <c r="EN968" s="413" t="str">
        <f>[2]MPU!#REF!</f>
        <v>#ERROR!</v>
      </c>
      <c r="EO968" s="413" t="str">
        <f>[2]MPU!#REF!</f>
        <v>#ERROR!</v>
      </c>
      <c r="EP968" s="413" t="str">
        <f>[2]MPU!#REF!</f>
        <v>#ERROR!</v>
      </c>
      <c r="EQ968" s="413" t="str">
        <f>[2]MPU!#REF!</f>
        <v>#ERROR!</v>
      </c>
      <c r="ER968" s="305" t="str">
        <f>[2]MPU!#REF!</f>
        <v>#ERROR!</v>
      </c>
      <c r="ES968" s="413" t="str">
        <f>[2]MPU!#REF!</f>
        <v>#ERROR!</v>
      </c>
      <c r="ET968" s="413" t="str">
        <f>[2]MPU!#REF!</f>
        <v>#ERROR!</v>
      </c>
      <c r="EU968" s="413" t="str">
        <f>[2]MPU!#REF!</f>
        <v>#ERROR!</v>
      </c>
      <c r="EV968" s="413" t="str">
        <f>[2]MPU!#REF!</f>
        <v>#ERROR!</v>
      </c>
      <c r="EW968" s="305" t="str">
        <f>[2]MPU!#REF!</f>
        <v>#ERROR!</v>
      </c>
      <c r="EX968" s="413" t="str">
        <f>[2]MPU!#REF!</f>
        <v>#ERROR!</v>
      </c>
      <c r="EY968" s="413" t="str">
        <f>[2]MPU!#REF!</f>
        <v>#ERROR!</v>
      </c>
      <c r="EZ968" s="413" t="str">
        <f>[2]MPU!#REF!</f>
        <v>#ERROR!</v>
      </c>
      <c r="FA968" s="413" t="str">
        <f>[2]MPU!#REF!</f>
        <v>#ERROR!</v>
      </c>
      <c r="FB968" s="305" t="str">
        <f>[2]MPU!#REF!</f>
        <v>#ERROR!</v>
      </c>
      <c r="FC968" s="413" t="str">
        <f>[2]MPU!#REF!</f>
        <v>#ERROR!</v>
      </c>
      <c r="FD968" s="413" t="str">
        <f>[2]MPU!#REF!</f>
        <v>#ERROR!</v>
      </c>
      <c r="FE968" s="413" t="str">
        <f>[2]MPU!#REF!</f>
        <v>#ERROR!</v>
      </c>
      <c r="FF968" s="413" t="str">
        <f>[2]MPU!#REF!</f>
        <v>#ERROR!</v>
      </c>
      <c r="FG968" s="305" t="str">
        <f>[2]MPU!#REF!</f>
        <v>#ERROR!</v>
      </c>
      <c r="FH968" s="680"/>
      <c r="FI968" s="413"/>
      <c r="FJ968" s="413"/>
      <c r="FK968" s="679"/>
      <c r="FL968" s="413"/>
    </row>
    <row r="969" ht="12.75" hidden="1" customHeight="1" outlineLevel="1">
      <c r="A969" s="670"/>
      <c r="B969" s="92" t="str">
        <f>[2]MPU!B96</f>
        <v>#ERROR!</v>
      </c>
      <c r="C969" s="92" t="str">
        <f>[2]MPU!C96</f>
        <v>#ERROR!</v>
      </c>
      <c r="D969" s="413" t="str">
        <f>[2]MPU!D96</f>
        <v>#ERROR!</v>
      </c>
      <c r="E969" s="413" t="str">
        <f>[2]MPU!E96</f>
        <v>#ERROR!</v>
      </c>
      <c r="F969" s="413" t="str">
        <f>[2]MPU!F96</f>
        <v>#ERROR!</v>
      </c>
      <c r="G969" s="413" t="str">
        <f>[2]MPU!G96</f>
        <v>#ERROR!</v>
      </c>
      <c r="H969" s="679" t="str">
        <f>[2]MPU!H96</f>
        <v>#ERROR!</v>
      </c>
      <c r="I969" s="413" t="str">
        <f>[2]MPU!I96</f>
        <v>#ERROR!</v>
      </c>
      <c r="J969" s="413" t="str">
        <f>[2]MPU!J96</f>
        <v>#ERROR!</v>
      </c>
      <c r="K969" s="413" t="str">
        <f>[2]MPU!K96</f>
        <v>#ERROR!</v>
      </c>
      <c r="L969" s="413" t="str">
        <f>[2]MPU!L96</f>
        <v>#ERROR!</v>
      </c>
      <c r="M969" s="679" t="str">
        <f>[2]MPU!M96</f>
        <v>#ERROR!</v>
      </c>
      <c r="N969" s="413" t="str">
        <f>[2]MPU!N96</f>
        <v>#ERROR!</v>
      </c>
      <c r="O969" s="413" t="str">
        <f>[2]MPU!O96</f>
        <v>#ERROR!</v>
      </c>
      <c r="P969" s="413" t="str">
        <f>[2]MPU!P96</f>
        <v>#ERROR!</v>
      </c>
      <c r="Q969" s="413" t="str">
        <f>[2]MPU!Q96</f>
        <v>#ERROR!</v>
      </c>
      <c r="R969" s="679" t="str">
        <f>[2]MPU!R96</f>
        <v>#ERROR!</v>
      </c>
      <c r="S969" s="413" t="str">
        <f>[2]MPU!S96</f>
        <v>#ERROR!</v>
      </c>
      <c r="T969" s="413" t="str">
        <f>[2]MPU!T96</f>
        <v>#ERROR!</v>
      </c>
      <c r="U969" s="413" t="str">
        <f>[2]MPU!U96</f>
        <v>#ERROR!</v>
      </c>
      <c r="V969" s="413" t="str">
        <f>[2]MPU!V96</f>
        <v>#ERROR!</v>
      </c>
      <c r="W969" s="679" t="str">
        <f>[2]MPU!W96</f>
        <v>#ERROR!</v>
      </c>
      <c r="X969" s="413" t="str">
        <f>[2]MPU!X96</f>
        <v>#ERROR!</v>
      </c>
      <c r="Y969" s="413" t="str">
        <f>[2]MPU!Y96</f>
        <v>#ERROR!</v>
      </c>
      <c r="Z969" s="413" t="str">
        <f>[2]MPU!Z96</f>
        <v>#ERROR!</v>
      </c>
      <c r="AA969" s="413" t="str">
        <f>[2]MPU!AA96</f>
        <v>#ERROR!</v>
      </c>
      <c r="AB969" s="679" t="str">
        <f>[2]MPU!AB96</f>
        <v>#ERROR!</v>
      </c>
      <c r="AC969" s="413" t="str">
        <f>[2]MPU!AC96</f>
        <v>#ERROR!</v>
      </c>
      <c r="AD969" s="413" t="str">
        <f>[2]MPU!AD96</f>
        <v>#ERROR!</v>
      </c>
      <c r="AE969" s="413" t="str">
        <f>[2]MPU!AE96</f>
        <v>#ERROR!</v>
      </c>
      <c r="AF969" s="413" t="str">
        <f>[2]MPU!AF96</f>
        <v>#ERROR!</v>
      </c>
      <c r="AG969" s="679" t="str">
        <f>[2]MPU!AG96</f>
        <v>#ERROR!</v>
      </c>
      <c r="AH969" s="413" t="str">
        <f>[2]MPU!AH96</f>
        <v>#ERROR!</v>
      </c>
      <c r="AI969" s="413" t="str">
        <f>[2]MPU!AI96</f>
        <v>#ERROR!</v>
      </c>
      <c r="AJ969" s="413" t="str">
        <f>[2]MPU!AJ96</f>
        <v>#ERROR!</v>
      </c>
      <c r="AK969" s="413" t="str">
        <f>[2]MPU!AK96</f>
        <v>#ERROR!</v>
      </c>
      <c r="AL969" s="679" t="str">
        <f>[2]MPU!AL96</f>
        <v>#ERROR!</v>
      </c>
      <c r="AM969" s="413" t="str">
        <f>[2]MPU!AM96</f>
        <v>#ERROR!</v>
      </c>
      <c r="AN969" s="413" t="str">
        <f>[2]MPU!AN96</f>
        <v>#ERROR!</v>
      </c>
      <c r="AO969" s="413" t="str">
        <f>[2]MPU!AO96</f>
        <v>#ERROR!</v>
      </c>
      <c r="AP969" s="413" t="str">
        <f>[2]MPU!AP96</f>
        <v>#ERROR!</v>
      </c>
      <c r="AQ969" s="679" t="str">
        <f>[2]MPU!AQ96</f>
        <v>#ERROR!</v>
      </c>
      <c r="AR969" s="413" t="str">
        <f>[2]MPU!AR96</f>
        <v>#ERROR!</v>
      </c>
      <c r="AS969" s="413" t="str">
        <f>[2]MPU!AS96</f>
        <v>#ERROR!</v>
      </c>
      <c r="AT969" s="413" t="str">
        <f>[2]MPU!AT96</f>
        <v>#ERROR!</v>
      </c>
      <c r="AU969" s="413" t="str">
        <f>[2]MPU!AU96</f>
        <v>#ERROR!</v>
      </c>
      <c r="AV969" s="679" t="str">
        <f>[2]MPU!AV96</f>
        <v>#ERROR!</v>
      </c>
      <c r="AW969" s="413" t="str">
        <f>[2]MPU!AW96</f>
        <v>#ERROR!</v>
      </c>
      <c r="AX969" s="413" t="str">
        <f>[2]MPU!AX96</f>
        <v>#ERROR!</v>
      </c>
      <c r="AY969" s="413" t="str">
        <f>[2]MPU!AY96</f>
        <v>#ERROR!</v>
      </c>
      <c r="AZ969" s="413" t="str">
        <f>[2]MPU!AZ96</f>
        <v>#ERROR!</v>
      </c>
      <c r="BA969" s="679" t="str">
        <f>[2]MPU!BA96</f>
        <v>#ERROR!</v>
      </c>
      <c r="BB969" s="413" t="str">
        <f>[2]MPU!BB96</f>
        <v>#ERROR!</v>
      </c>
      <c r="BC969" s="413" t="str">
        <f>[2]MPU!BC96</f>
        <v>#ERROR!</v>
      </c>
      <c r="BD969" s="413" t="str">
        <f>[2]MPU!BD96</f>
        <v>#ERROR!</v>
      </c>
      <c r="BE969" s="413" t="str">
        <f>[2]MPU!BE96</f>
        <v>#ERROR!</v>
      </c>
      <c r="BF969" s="679" t="str">
        <f>[2]MPU!BF96</f>
        <v>#ERROR!</v>
      </c>
      <c r="BG969" s="413" t="str">
        <f>[2]MPU!BG96</f>
        <v>#ERROR!</v>
      </c>
      <c r="BH969" s="413" t="str">
        <f>[2]MPU!BH96</f>
        <v>#ERROR!</v>
      </c>
      <c r="BI969" s="413" t="str">
        <f>[2]MPU!BI96</f>
        <v>#ERROR!</v>
      </c>
      <c r="BJ969" s="413" t="str">
        <f>[2]MPU!BJ96</f>
        <v>#ERROR!</v>
      </c>
      <c r="BK969" s="679" t="str">
        <f>[2]MPU!BK96</f>
        <v>#ERROR!</v>
      </c>
      <c r="BL969" s="413" t="str">
        <f>[2]MPU!BL96</f>
        <v>#ERROR!</v>
      </c>
      <c r="BM969" s="413" t="str">
        <f>[2]MPU!BM96</f>
        <v>#ERROR!</v>
      </c>
      <c r="BN969" s="413" t="str">
        <f>[2]MPU!BN96</f>
        <v>#ERROR!</v>
      </c>
      <c r="BO969" s="413" t="str">
        <f>[2]MPU!BO96</f>
        <v>#ERROR!</v>
      </c>
      <c r="BP969" s="679" t="str">
        <f>[2]MPU!BP96</f>
        <v>#ERROR!</v>
      </c>
      <c r="BQ969" s="413" t="str">
        <f>[2]MPU!BQ96</f>
        <v>#ERROR!</v>
      </c>
      <c r="BR969" s="413" t="str">
        <f>[2]MPU!BR96</f>
        <v>#ERROR!</v>
      </c>
      <c r="BS969" s="413" t="str">
        <f>[2]MPU!BS96</f>
        <v>#ERROR!</v>
      </c>
      <c r="BT969" s="413" t="str">
        <f>[2]MPU!BT96</f>
        <v>#ERROR!</v>
      </c>
      <c r="BU969" s="679" t="str">
        <f>[2]MPU!BU96</f>
        <v>#ERROR!</v>
      </c>
      <c r="BV969" s="413" t="str">
        <f>[2]MPU!BV96</f>
        <v>#ERROR!</v>
      </c>
      <c r="BW969" s="413" t="str">
        <f>[2]MPU!BW96</f>
        <v>#ERROR!</v>
      </c>
      <c r="BX969" s="413" t="str">
        <f>[2]MPU!BX96</f>
        <v>#ERROR!</v>
      </c>
      <c r="BY969" s="413" t="str">
        <f>[2]MPU!BY96</f>
        <v>#ERROR!</v>
      </c>
      <c r="BZ969" s="305" t="str">
        <f>[2]MPU!BZ96</f>
        <v>#ERROR!</v>
      </c>
      <c r="CA969" s="413" t="str">
        <f>[2]MPU!CA96</f>
        <v>#ERROR!</v>
      </c>
      <c r="CB969" s="413" t="str">
        <f>[2]MPU!CB96</f>
        <v>#ERROR!</v>
      </c>
      <c r="CC969" s="413" t="str">
        <f>[2]MPU!CC96</f>
        <v>#ERROR!</v>
      </c>
      <c r="CD969" s="413" t="str">
        <f>[2]MPU!CD96</f>
        <v>#ERROR!</v>
      </c>
      <c r="CE969" s="305" t="str">
        <f>[2]MPU!CE96</f>
        <v>#ERROR!</v>
      </c>
      <c r="CF969" s="413" t="str">
        <f>[2]MPU!CF96</f>
        <v>#ERROR!</v>
      </c>
      <c r="CG969" s="413" t="str">
        <f>[2]MPU!CG96</f>
        <v>#ERROR!</v>
      </c>
      <c r="CH969" s="413" t="str">
        <f>[2]MPU!CH96</f>
        <v>#ERROR!</v>
      </c>
      <c r="CI969" s="413" t="str">
        <f>[2]MPU!CI96</f>
        <v>#ERROR!</v>
      </c>
      <c r="CJ969" s="305" t="str">
        <f>[2]MPU!CJ96</f>
        <v>#ERROR!</v>
      </c>
      <c r="CK969" s="413" t="str">
        <f>[2]MPU!CK96</f>
        <v>#ERROR!</v>
      </c>
      <c r="CL969" s="413" t="str">
        <f>[2]MPU!CL96</f>
        <v>#ERROR!</v>
      </c>
      <c r="CM969" s="413" t="str">
        <f>[2]MPU!CM96</f>
        <v>#ERROR!</v>
      </c>
      <c r="CN969" s="416" t="str">
        <f>[2]MPU!CN96</f>
        <v>#ERROR!</v>
      </c>
      <c r="CO969" s="305" t="str">
        <f>[2]MPU!CO96</f>
        <v>#ERROR!</v>
      </c>
      <c r="CP969" s="416" t="str">
        <f>[2]MPU!CP96</f>
        <v>#ERROR!</v>
      </c>
      <c r="CQ969" s="413" t="str">
        <f>[2]MPU!CQ96</f>
        <v>#ERROR!</v>
      </c>
      <c r="CR969" s="413" t="str">
        <f>[2]MPU!CR96</f>
        <v>#ERROR!</v>
      </c>
      <c r="CS969" s="413" t="str">
        <f>[2]MPU!CS96</f>
        <v>#ERROR!</v>
      </c>
      <c r="CT969" s="305" t="str">
        <f>[2]MPU!CT96</f>
        <v>#ERROR!</v>
      </c>
      <c r="CU969" s="413" t="str">
        <f>[2]MPU!CU96</f>
        <v>#ERROR!</v>
      </c>
      <c r="CV969" s="413" t="str">
        <f>[2]MPU!CV96</f>
        <v>#ERROR!</v>
      </c>
      <c r="CW969" s="413" t="str">
        <f>[2]MPU!CW96</f>
        <v>#ERROR!</v>
      </c>
      <c r="CX969" s="413" t="str">
        <f>[2]MPU!CX96</f>
        <v>#ERROR!</v>
      </c>
      <c r="CY969" s="305" t="str">
        <f>[2]MPU!CY96</f>
        <v>#ERROR!</v>
      </c>
      <c r="CZ969" s="413" t="str">
        <f>[2]MPU!CZ96</f>
        <v>#ERROR!</v>
      </c>
      <c r="DA969" s="413" t="str">
        <f>[2]MPU!DA96</f>
        <v>#ERROR!</v>
      </c>
      <c r="DB969" s="413" t="str">
        <f>[2]MPU!DB96</f>
        <v>#ERROR!</v>
      </c>
      <c r="DC969" s="413" t="str">
        <f>[2]MPU!DC96</f>
        <v>#ERROR!</v>
      </c>
      <c r="DD969" s="305" t="str">
        <f>[2]MPU!DD96</f>
        <v>#ERROR!</v>
      </c>
      <c r="DE969" s="413" t="str">
        <f>[2]MPU!DE96</f>
        <v>#ERROR!</v>
      </c>
      <c r="DF969" s="413" t="str">
        <f>[2]MPU!DF96</f>
        <v>#ERROR!</v>
      </c>
      <c r="DG969" s="40" t="str">
        <f>[2]MPU!DG96</f>
        <v>#ERROR!</v>
      </c>
      <c r="DH969" s="413" t="str">
        <f>[2]MPU!DH96</f>
        <v>#ERROR!</v>
      </c>
      <c r="DI969" s="305" t="str">
        <f>[2]MPU!DI96</f>
        <v>#ERROR!</v>
      </c>
      <c r="DJ969" s="416" t="str">
        <f>[2]MPU!DJ96</f>
        <v>#ERROR!</v>
      </c>
      <c r="DK969" s="416" t="str">
        <f>[2]MPU!DK96</f>
        <v>#ERROR!</v>
      </c>
      <c r="DL969" s="416" t="str">
        <f>[2]MPU!DL96</f>
        <v>#ERROR!</v>
      </c>
      <c r="DM969" s="413" t="str">
        <f>[2]MPU!DM96</f>
        <v>#ERROR!</v>
      </c>
      <c r="DN969" s="305" t="str">
        <f>[2]MPU!DN96</f>
        <v>#ERROR!</v>
      </c>
      <c r="DO969" s="413" t="str">
        <f>[2]MPU!DT96</f>
        <v>#ERROR!</v>
      </c>
      <c r="DP969" s="413" t="str">
        <f>[2]MPU!DU96</f>
        <v>#ERROR!</v>
      </c>
      <c r="DQ969" s="413" t="str">
        <f>[2]MPU!DV96</f>
        <v>#ERROR!</v>
      </c>
      <c r="DR969" s="413" t="str">
        <f>[2]MPU!DW96</f>
        <v>#ERROR!</v>
      </c>
      <c r="DS969" s="305" t="str">
        <f>[2]MPU!DX96</f>
        <v>#ERROR!</v>
      </c>
      <c r="DT969" s="413" t="str">
        <f>[2]MPU!DY96</f>
        <v>#ERROR!</v>
      </c>
      <c r="DU969" s="413" t="str">
        <f>[2]MPU!DZ96</f>
        <v>#ERROR!</v>
      </c>
      <c r="DV969" s="413" t="str">
        <f>[2]MPU!EA96</f>
        <v>#ERROR!</v>
      </c>
      <c r="DW969" s="413" t="str">
        <f>[2]MPU!EB96</f>
        <v>#ERROR!</v>
      </c>
      <c r="DX969" s="305" t="str">
        <f>[2]MPU!EC96</f>
        <v>#ERROR!</v>
      </c>
      <c r="DY969" s="413" t="str">
        <f>[2]MPU!ED96</f>
        <v>#ERROR!</v>
      </c>
      <c r="DZ969" s="413" t="str">
        <f>[2]MPU!EE96</f>
        <v>#ERROR!</v>
      </c>
      <c r="EA969" s="413" t="str">
        <f>[2]MPU!EF96</f>
        <v>#ERROR!</v>
      </c>
      <c r="EB969" s="413" t="str">
        <f>[2]MPU!EG96</f>
        <v>#ERROR!</v>
      </c>
      <c r="EC969" s="305" t="str">
        <f>[2]MPU!EH96</f>
        <v>#ERROR!</v>
      </c>
      <c r="ED969" s="413" t="str">
        <f>[2]MPU!EI96</f>
        <v>#ERROR!</v>
      </c>
      <c r="EE969" s="413" t="str">
        <f>[2]MPU!EJ96</f>
        <v>#ERROR!</v>
      </c>
      <c r="EF969" s="413" t="str">
        <f>[2]MPU!#REF!</f>
        <v>#ERROR!</v>
      </c>
      <c r="EG969" s="413" t="str">
        <f>[2]MPU!#REF!</f>
        <v>#ERROR!</v>
      </c>
      <c r="EH969" s="305" t="str">
        <f>[2]MPU!#REF!</f>
        <v>#ERROR!</v>
      </c>
      <c r="EI969" s="420" t="str">
        <f>[2]MPU!#REF!</f>
        <v>#ERROR!</v>
      </c>
      <c r="EJ969" s="413" t="str">
        <f>[2]MPU!#REF!</f>
        <v>#ERROR!</v>
      </c>
      <c r="EK969" s="413" t="str">
        <f>[2]MPU!#REF!</f>
        <v>#ERROR!</v>
      </c>
      <c r="EL969" s="413" t="str">
        <f>[2]MPU!#REF!</f>
        <v>#ERROR!</v>
      </c>
      <c r="EM969" s="305" t="str">
        <f>[2]MPU!#REF!</f>
        <v>#ERROR!</v>
      </c>
      <c r="EN969" s="413" t="str">
        <f>[2]MPU!#REF!</f>
        <v>#ERROR!</v>
      </c>
      <c r="EO969" s="413" t="str">
        <f>[2]MPU!#REF!</f>
        <v>#ERROR!</v>
      </c>
      <c r="EP969" s="413" t="str">
        <f>[2]MPU!#REF!</f>
        <v>#ERROR!</v>
      </c>
      <c r="EQ969" s="413" t="str">
        <f>[2]MPU!#REF!</f>
        <v>#ERROR!</v>
      </c>
      <c r="ER969" s="305" t="str">
        <f>[2]MPU!#REF!</f>
        <v>#ERROR!</v>
      </c>
      <c r="ES969" s="413" t="str">
        <f>[2]MPU!#REF!</f>
        <v>#ERROR!</v>
      </c>
      <c r="ET969" s="413" t="str">
        <f>[2]MPU!#REF!</f>
        <v>#ERROR!</v>
      </c>
      <c r="EU969" s="413" t="str">
        <f>[2]MPU!#REF!</f>
        <v>#ERROR!</v>
      </c>
      <c r="EV969" s="413" t="str">
        <f>[2]MPU!#REF!</f>
        <v>#ERROR!</v>
      </c>
      <c r="EW969" s="305" t="str">
        <f>[2]MPU!#REF!</f>
        <v>#ERROR!</v>
      </c>
      <c r="EX969" s="413" t="str">
        <f>[2]MPU!#REF!</f>
        <v>#ERROR!</v>
      </c>
      <c r="EY969" s="413" t="str">
        <f>[2]MPU!#REF!</f>
        <v>#ERROR!</v>
      </c>
      <c r="EZ969" s="413" t="str">
        <f>[2]MPU!#REF!</f>
        <v>#ERROR!</v>
      </c>
      <c r="FA969" s="413" t="str">
        <f>[2]MPU!#REF!</f>
        <v>#ERROR!</v>
      </c>
      <c r="FB969" s="305" t="str">
        <f>[2]MPU!#REF!</f>
        <v>#ERROR!</v>
      </c>
      <c r="FC969" s="413" t="str">
        <f>[2]MPU!#REF!</f>
        <v>#ERROR!</v>
      </c>
      <c r="FD969" s="413" t="str">
        <f>[2]MPU!#REF!</f>
        <v>#ERROR!</v>
      </c>
      <c r="FE969" s="413" t="str">
        <f>[2]MPU!#REF!</f>
        <v>#ERROR!</v>
      </c>
      <c r="FF969" s="413" t="str">
        <f>[2]MPU!#REF!</f>
        <v>#ERROR!</v>
      </c>
      <c r="FG969" s="305" t="str">
        <f>[2]MPU!#REF!</f>
        <v>#ERROR!</v>
      </c>
      <c r="FH969" s="680"/>
      <c r="FI969" s="413"/>
      <c r="FJ969" s="413"/>
      <c r="FK969" s="679"/>
      <c r="FL969" s="413"/>
    </row>
    <row r="970" ht="12.75" hidden="1" customHeight="1" outlineLevel="1">
      <c r="A970" s="162"/>
      <c r="B970" s="162"/>
      <c r="C970" s="162"/>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38"/>
      <c r="CA970" s="17"/>
      <c r="CB970" s="17"/>
      <c r="CC970" s="17"/>
      <c r="CD970" s="17"/>
      <c r="CE970" s="38"/>
      <c r="CF970" s="17"/>
      <c r="CG970" s="17"/>
      <c r="CH970" s="17"/>
      <c r="CI970" s="17"/>
      <c r="CJ970" s="38"/>
      <c r="CK970" s="17"/>
      <c r="CL970" s="17"/>
      <c r="CM970" s="17"/>
      <c r="CN970" s="19"/>
      <c r="CO970" s="38"/>
      <c r="CP970" s="19"/>
      <c r="CQ970" s="17"/>
      <c r="CR970" s="17"/>
      <c r="CS970" s="17"/>
      <c r="CT970" s="38"/>
      <c r="CU970" s="17"/>
      <c r="CV970" s="17"/>
      <c r="CW970" s="17"/>
      <c r="CX970" s="17"/>
      <c r="CY970" s="38"/>
      <c r="CZ970" s="17"/>
      <c r="DA970" s="17"/>
      <c r="DB970" s="17"/>
      <c r="DC970" s="17"/>
      <c r="DD970" s="38"/>
      <c r="DE970" s="17"/>
      <c r="DF970" s="17"/>
      <c r="DG970" s="19"/>
      <c r="DH970" s="17"/>
      <c r="DI970" s="38"/>
      <c r="DJ970" s="19"/>
      <c r="DK970" s="19"/>
      <c r="DL970" s="19"/>
      <c r="DM970" s="17"/>
      <c r="DN970" s="38"/>
      <c r="DO970" s="17"/>
      <c r="DP970" s="17"/>
      <c r="DQ970" s="17"/>
      <c r="DR970" s="17"/>
      <c r="DS970" s="38"/>
      <c r="DT970" s="17"/>
      <c r="DU970" s="17"/>
      <c r="DV970" s="17"/>
      <c r="DW970" s="17"/>
      <c r="DX970" s="38"/>
      <c r="DY970" s="17"/>
      <c r="DZ970" s="17"/>
      <c r="EA970" s="17"/>
      <c r="EB970" s="17"/>
      <c r="EC970" s="38"/>
      <c r="ED970" s="17"/>
      <c r="EE970" s="17"/>
      <c r="EF970" s="17"/>
      <c r="EG970" s="17"/>
      <c r="EH970" s="38"/>
      <c r="EI970" s="25"/>
      <c r="EJ970" s="17"/>
      <c r="EK970" s="17"/>
      <c r="EL970" s="17"/>
      <c r="EM970" s="38"/>
      <c r="EN970" s="17"/>
      <c r="EO970" s="17"/>
      <c r="EP970" s="17"/>
      <c r="EQ970" s="17"/>
      <c r="ER970" s="38"/>
      <c r="ES970" s="17"/>
      <c r="ET970" s="17"/>
      <c r="EU970" s="17"/>
      <c r="EV970" s="17"/>
      <c r="EW970" s="38"/>
      <c r="EX970" s="17"/>
      <c r="EY970" s="17"/>
      <c r="EZ970" s="17"/>
      <c r="FA970" s="17"/>
      <c r="FB970" s="38"/>
      <c r="FC970" s="17"/>
      <c r="FD970" s="17"/>
      <c r="FE970" s="17"/>
      <c r="FF970" s="17"/>
      <c r="FG970" s="38"/>
      <c r="FH970" s="19"/>
      <c r="FI970" s="17"/>
      <c r="FJ970" s="17"/>
      <c r="FK970" s="17"/>
      <c r="FL970" s="17"/>
    </row>
    <row r="971" ht="12.75" hidden="1" customHeight="1" outlineLevel="1">
      <c r="A971" s="4"/>
      <c r="B971" s="299" t="s">
        <v>349</v>
      </c>
      <c r="C971" s="90"/>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11"/>
      <c r="CA971" s="4"/>
      <c r="CB971" s="4"/>
      <c r="CC971" s="4"/>
      <c r="CD971" s="4"/>
      <c r="CE971" s="411"/>
      <c r="CF971" s="4"/>
      <c r="CG971" s="4"/>
      <c r="CH971" s="4"/>
      <c r="CI971" s="4"/>
      <c r="CJ971" s="411"/>
      <c r="CK971" s="4"/>
      <c r="CL971" s="4"/>
      <c r="CM971" s="4"/>
      <c r="CN971" s="16"/>
      <c r="CO971" s="411"/>
      <c r="CP971" s="16"/>
      <c r="CQ971" s="4"/>
      <c r="CR971" s="4"/>
      <c r="CS971" s="4"/>
      <c r="CT971" s="411"/>
      <c r="CU971" s="4"/>
      <c r="CV971" s="4"/>
      <c r="CW971" s="4"/>
      <c r="CX971" s="4"/>
      <c r="CY971" s="411"/>
      <c r="CZ971" s="4"/>
      <c r="DA971" s="4"/>
      <c r="DB971" s="4"/>
      <c r="DC971" s="4"/>
      <c r="DD971" s="411"/>
      <c r="DE971" s="4"/>
      <c r="DF971" s="4"/>
      <c r="DG971" s="16"/>
      <c r="DH971" s="4"/>
      <c r="DI971" s="411"/>
      <c r="DJ971" s="16"/>
      <c r="DK971" s="16"/>
      <c r="DL971" s="16"/>
      <c r="DM971" s="4"/>
      <c r="DN971" s="411"/>
      <c r="DO971" s="4"/>
      <c r="DP971" s="4"/>
      <c r="DQ971" s="4"/>
      <c r="DR971" s="4"/>
      <c r="DS971" s="411"/>
      <c r="DT971" s="4"/>
      <c r="DU971" s="4"/>
      <c r="DV971" s="4"/>
      <c r="DW971" s="4"/>
      <c r="DX971" s="411"/>
      <c r="DY971" s="4"/>
      <c r="DZ971" s="4"/>
      <c r="EA971" s="4"/>
      <c r="EB971" s="4"/>
      <c r="EC971" s="411"/>
      <c r="ED971" s="4"/>
      <c r="EE971" s="4"/>
      <c r="EF971" s="4"/>
      <c r="EG971" s="4"/>
      <c r="EH971" s="411"/>
      <c r="EI971" s="214"/>
      <c r="EJ971" s="4"/>
      <c r="EK971" s="4"/>
      <c r="EL971" s="4"/>
      <c r="EM971" s="411"/>
      <c r="EN971" s="4"/>
      <c r="EO971" s="4"/>
      <c r="EP971" s="4"/>
      <c r="EQ971" s="4"/>
      <c r="ER971" s="411"/>
      <c r="ES971" s="4"/>
      <c r="ET971" s="4"/>
      <c r="EU971" s="4"/>
      <c r="EV971" s="4"/>
      <c r="EW971" s="411"/>
      <c r="EX971" s="4"/>
      <c r="EY971" s="4"/>
      <c r="EZ971" s="4"/>
      <c r="FA971" s="4"/>
      <c r="FB971" s="411"/>
      <c r="FC971" s="4"/>
      <c r="FD971" s="4"/>
      <c r="FE971" s="4"/>
      <c r="FF971" s="4"/>
      <c r="FG971" s="411"/>
      <c r="FH971" s="16"/>
      <c r="FI971" s="4"/>
      <c r="FJ971" s="4"/>
      <c r="FK971" s="4"/>
      <c r="FL971" s="4"/>
    </row>
    <row r="972" ht="12.75" hidden="1" customHeight="1" outlineLevel="1">
      <c r="A972" s="670"/>
      <c r="B972" s="697" t="str">
        <f>[2]MPU!B111</f>
        <v>#ERROR!</v>
      </c>
      <c r="C972" s="611"/>
      <c r="D972" s="697"/>
      <c r="E972" s="697"/>
      <c r="F972" s="697"/>
      <c r="G972" s="697"/>
      <c r="H972" s="612"/>
      <c r="I972" s="697" t="str">
        <f>[2]MPU!I111</f>
        <v>#ERROR!</v>
      </c>
      <c r="J972" s="697" t="str">
        <f>[2]MPU!J111</f>
        <v>#ERROR!</v>
      </c>
      <c r="K972" s="697" t="str">
        <f>[2]MPU!K111</f>
        <v>#ERROR!</v>
      </c>
      <c r="L972" s="697" t="str">
        <f>[2]MPU!L111</f>
        <v>#ERROR!</v>
      </c>
      <c r="M972" s="612" t="str">
        <f>[2]MPU!M111</f>
        <v>#ERROR!</v>
      </c>
      <c r="N972" s="697" t="str">
        <f>[2]MPU!N111</f>
        <v>#ERROR!</v>
      </c>
      <c r="O972" s="697" t="str">
        <f>[2]MPU!O111</f>
        <v>#ERROR!</v>
      </c>
      <c r="P972" s="697" t="str">
        <f>[2]MPU!P111</f>
        <v>#ERROR!</v>
      </c>
      <c r="Q972" s="697" t="str">
        <f>[2]MPU!Q111</f>
        <v>#ERROR!</v>
      </c>
      <c r="R972" s="612" t="str">
        <f>[2]MPU!R111</f>
        <v>#ERROR!</v>
      </c>
      <c r="S972" s="697" t="str">
        <f>[2]MPU!S111</f>
        <v>#ERROR!</v>
      </c>
      <c r="T972" s="697" t="str">
        <f>[2]MPU!T111</f>
        <v>#ERROR!</v>
      </c>
      <c r="U972" s="697" t="str">
        <f>[2]MPU!U111</f>
        <v>#ERROR!</v>
      </c>
      <c r="V972" s="697" t="str">
        <f>[2]MPU!V111</f>
        <v>#ERROR!</v>
      </c>
      <c r="W972" s="612" t="str">
        <f>[2]MPU!W111</f>
        <v>#ERROR!</v>
      </c>
      <c r="X972" s="697" t="str">
        <f>[2]MPU!X111</f>
        <v>#ERROR!</v>
      </c>
      <c r="Y972" s="697" t="str">
        <f>[2]MPU!Y111</f>
        <v>#ERROR!</v>
      </c>
      <c r="Z972" s="697" t="str">
        <f>[2]MPU!Z111</f>
        <v>#ERROR!</v>
      </c>
      <c r="AA972" s="697" t="str">
        <f>[2]MPU!AA111</f>
        <v>#ERROR!</v>
      </c>
      <c r="AB972" s="612" t="str">
        <f>[2]MPU!AB111</f>
        <v>#ERROR!</v>
      </c>
      <c r="AC972" s="697" t="str">
        <f>[2]MPU!AC111</f>
        <v>#ERROR!</v>
      </c>
      <c r="AD972" s="697" t="str">
        <f>[2]MPU!AD111</f>
        <v>#ERROR!</v>
      </c>
      <c r="AE972" s="697" t="str">
        <f>[2]MPU!AE111</f>
        <v>#ERROR!</v>
      </c>
      <c r="AF972" s="697" t="str">
        <f>[2]MPU!AF111</f>
        <v>#ERROR!</v>
      </c>
      <c r="AG972" s="612" t="str">
        <f>[2]MPU!AG111</f>
        <v>#ERROR!</v>
      </c>
      <c r="AH972" s="697" t="str">
        <f>[2]MPU!AH111</f>
        <v>#ERROR!</v>
      </c>
      <c r="AI972" s="697" t="str">
        <f>[2]MPU!AI111</f>
        <v>#ERROR!</v>
      </c>
      <c r="AJ972" s="697" t="str">
        <f>[2]MPU!AJ111</f>
        <v>#ERROR!</v>
      </c>
      <c r="AK972" s="697" t="str">
        <f>[2]MPU!AK111</f>
        <v>#ERROR!</v>
      </c>
      <c r="AL972" s="612" t="str">
        <f>[2]MPU!AL111</f>
        <v>#ERROR!</v>
      </c>
      <c r="AM972" s="697" t="str">
        <f>[2]MPU!AM111</f>
        <v>#ERROR!</v>
      </c>
      <c r="AN972" s="697" t="str">
        <f>[2]MPU!AN111</f>
        <v>#ERROR!</v>
      </c>
      <c r="AO972" s="697" t="str">
        <f>[2]MPU!AO111</f>
        <v>#ERROR!</v>
      </c>
      <c r="AP972" s="697" t="str">
        <f>[2]MPU!AP111</f>
        <v>#ERROR!</v>
      </c>
      <c r="AQ972" s="612" t="str">
        <f>[2]MPU!AQ111</f>
        <v>#ERROR!</v>
      </c>
      <c r="AR972" s="697" t="str">
        <f>[2]MPU!AR111</f>
        <v>#ERROR!</v>
      </c>
      <c r="AS972" s="697" t="str">
        <f>[2]MPU!AS111</f>
        <v>#ERROR!</v>
      </c>
      <c r="AT972" s="697" t="str">
        <f>[2]MPU!AT111</f>
        <v>#ERROR!</v>
      </c>
      <c r="AU972" s="697" t="str">
        <f>[2]MPU!AU111</f>
        <v>#ERROR!</v>
      </c>
      <c r="AV972" s="612" t="str">
        <f>[2]MPU!AV111</f>
        <v>#ERROR!</v>
      </c>
      <c r="AW972" s="697" t="str">
        <f>[2]MPU!AW111</f>
        <v>#ERROR!</v>
      </c>
      <c r="AX972" s="697" t="str">
        <f>[2]MPU!AX111</f>
        <v>#ERROR!</v>
      </c>
      <c r="AY972" s="697" t="str">
        <f>[2]MPU!AY111</f>
        <v>#ERROR!</v>
      </c>
      <c r="AZ972" s="697" t="str">
        <f>[2]MPU!AZ111</f>
        <v>#ERROR!</v>
      </c>
      <c r="BA972" s="612" t="str">
        <f>[2]MPU!BA111</f>
        <v>#ERROR!</v>
      </c>
      <c r="BB972" s="697" t="str">
        <f>[2]MPU!BB111</f>
        <v>#ERROR!</v>
      </c>
      <c r="BC972" s="697" t="str">
        <f>[2]MPU!BC111</f>
        <v>#ERROR!</v>
      </c>
      <c r="BD972" s="697" t="str">
        <f>[2]MPU!BD111</f>
        <v>#ERROR!</v>
      </c>
      <c r="BE972" s="697" t="str">
        <f>[2]MPU!BE111</f>
        <v>#ERROR!</v>
      </c>
      <c r="BF972" s="612" t="str">
        <f>[2]MPU!BF111</f>
        <v>#ERROR!</v>
      </c>
      <c r="BG972" s="697" t="str">
        <f>[2]MPU!BG111</f>
        <v>#ERROR!</v>
      </c>
      <c r="BH972" s="697" t="str">
        <f>[2]MPU!BH111</f>
        <v>#ERROR!</v>
      </c>
      <c r="BI972" s="697" t="str">
        <f>[2]MPU!BI111</f>
        <v>#ERROR!</v>
      </c>
      <c r="BJ972" s="697" t="str">
        <f>[2]MPU!BJ111</f>
        <v>#ERROR!</v>
      </c>
      <c r="BK972" s="612" t="str">
        <f>[2]MPU!BK111</f>
        <v>#ERROR!</v>
      </c>
      <c r="BL972" s="697" t="str">
        <f>[2]MPU!BL111</f>
        <v>#ERROR!</v>
      </c>
      <c r="BM972" s="697" t="str">
        <f>[2]MPU!BM111</f>
        <v>#ERROR!</v>
      </c>
      <c r="BN972" s="697" t="str">
        <f>[2]MPU!BN111</f>
        <v>#ERROR!</v>
      </c>
      <c r="BO972" s="697" t="str">
        <f>[2]MPU!BO111</f>
        <v>#ERROR!</v>
      </c>
      <c r="BP972" s="612" t="str">
        <f>[2]MPU!BP111</f>
        <v>#ERROR!</v>
      </c>
      <c r="BQ972" s="697" t="str">
        <f>[2]MPU!BQ111</f>
        <v>#ERROR!</v>
      </c>
      <c r="BR972" s="697" t="str">
        <f>[2]MPU!BR111</f>
        <v>#ERROR!</v>
      </c>
      <c r="BS972" s="697" t="str">
        <f>[2]MPU!BS111</f>
        <v>#ERROR!</v>
      </c>
      <c r="BT972" s="697" t="str">
        <f>[2]MPU!BT111</f>
        <v>#ERROR!</v>
      </c>
      <c r="BU972" s="612" t="str">
        <f>[2]MPU!BU111</f>
        <v>#ERROR!</v>
      </c>
      <c r="BV972" s="697" t="str">
        <f>[2]MPU!BV111</f>
        <v>#ERROR!</v>
      </c>
      <c r="BW972" s="697" t="str">
        <f>[2]MPU!BW111</f>
        <v>#ERROR!</v>
      </c>
      <c r="BX972" s="697" t="str">
        <f>[2]MPU!BX111</f>
        <v>#ERROR!</v>
      </c>
      <c r="BY972" s="697" t="str">
        <f>[2]MPU!BY111</f>
        <v>#ERROR!</v>
      </c>
      <c r="BZ972" s="613" t="str">
        <f>[2]MPU!BZ111</f>
        <v>#ERROR!</v>
      </c>
      <c r="CA972" s="697" t="str">
        <f>[2]MPU!CA111</f>
        <v>#ERROR!</v>
      </c>
      <c r="CB972" s="697" t="str">
        <f>[2]MPU!CB111</f>
        <v>#ERROR!</v>
      </c>
      <c r="CC972" s="697" t="str">
        <f>[2]MPU!CC111</f>
        <v>#ERROR!</v>
      </c>
      <c r="CD972" s="697" t="str">
        <f>[2]MPU!CD111</f>
        <v>#ERROR!</v>
      </c>
      <c r="CE972" s="613" t="str">
        <f>[2]MPU!CE111</f>
        <v>#ERROR!</v>
      </c>
      <c r="CF972" s="697" t="str">
        <f>[2]MPU!CF111</f>
        <v>#ERROR!</v>
      </c>
      <c r="CG972" s="697" t="str">
        <f>[2]MPU!CG111</f>
        <v>#ERROR!</v>
      </c>
      <c r="CH972" s="697" t="str">
        <f>[2]MPU!CH111</f>
        <v>#ERROR!</v>
      </c>
      <c r="CI972" s="697" t="str">
        <f>[2]MPU!CI111</f>
        <v>#ERROR!</v>
      </c>
      <c r="CJ972" s="613" t="str">
        <f>[2]MPU!CJ111</f>
        <v>#ERROR!</v>
      </c>
      <c r="CK972" s="697" t="str">
        <f>[2]MPU!CK111</f>
        <v>#ERROR!</v>
      </c>
      <c r="CL972" s="697" t="str">
        <f>[2]MPU!CL111</f>
        <v>#ERROR!</v>
      </c>
      <c r="CM972" s="697" t="str">
        <f>[2]MPU!CM111</f>
        <v>#ERROR!</v>
      </c>
      <c r="CN972" s="698" t="str">
        <f>[2]MPU!CN111</f>
        <v>#ERROR!</v>
      </c>
      <c r="CO972" s="613" t="str">
        <f>[2]MPU!CO111</f>
        <v>#ERROR!</v>
      </c>
      <c r="CP972" s="698" t="str">
        <f>[2]MPU!CP111</f>
        <v>#ERROR!</v>
      </c>
      <c r="CQ972" s="697" t="str">
        <f>[2]MPU!CQ111</f>
        <v>#ERROR!</v>
      </c>
      <c r="CR972" s="697" t="str">
        <f>[2]MPU!CR111</f>
        <v>#ERROR!</v>
      </c>
      <c r="CS972" s="697" t="str">
        <f>[2]MPU!CS111</f>
        <v>#ERROR!</v>
      </c>
      <c r="CT972" s="613" t="str">
        <f>[2]MPU!CT111</f>
        <v>#ERROR!</v>
      </c>
      <c r="CU972" s="697" t="str">
        <f>[2]MPU!CU111</f>
        <v>#ERROR!</v>
      </c>
      <c r="CV972" s="697" t="str">
        <f>[2]MPU!CV111</f>
        <v>#ERROR!</v>
      </c>
      <c r="CW972" s="697" t="str">
        <f>[2]MPU!CW111</f>
        <v>#ERROR!</v>
      </c>
      <c r="CX972" s="697" t="str">
        <f>[2]MPU!CX111</f>
        <v>#ERROR!</v>
      </c>
      <c r="CY972" s="613" t="str">
        <f>[2]MPU!CY111</f>
        <v>#ERROR!</v>
      </c>
      <c r="CZ972" s="697" t="str">
        <f>[2]MPU!CZ111</f>
        <v>#ERROR!</v>
      </c>
      <c r="DA972" s="697" t="str">
        <f>[2]MPU!DA111</f>
        <v>#ERROR!</v>
      </c>
      <c r="DB972" s="697" t="str">
        <f>[2]MPU!DB111</f>
        <v>#ERROR!</v>
      </c>
      <c r="DC972" s="697" t="str">
        <f>[2]MPU!DC111</f>
        <v>#ERROR!</v>
      </c>
      <c r="DD972" s="613" t="str">
        <f>[2]MPU!DD111</f>
        <v>#ERROR!</v>
      </c>
      <c r="DE972" s="697" t="str">
        <f>[2]MPU!DE111</f>
        <v>#ERROR!</v>
      </c>
      <c r="DF972" s="697" t="str">
        <f>[2]MPU!DF111</f>
        <v>#ERROR!</v>
      </c>
      <c r="DG972" s="129" t="str">
        <f>[2]MPU!DG111</f>
        <v>#ERROR!</v>
      </c>
      <c r="DH972" s="697" t="str">
        <f>[2]MPU!DH111</f>
        <v>#ERROR!</v>
      </c>
      <c r="DI972" s="613" t="str">
        <f>[2]MPU!DI111</f>
        <v>#ERROR!</v>
      </c>
      <c r="DJ972" s="698" t="str">
        <f>[2]MPU!DJ111</f>
        <v>#ERROR!</v>
      </c>
      <c r="DK972" s="698" t="str">
        <f>[2]MPU!DK111</f>
        <v>#ERROR!</v>
      </c>
      <c r="DL972" s="698" t="str">
        <f>[2]MPU!DL111</f>
        <v>#ERROR!</v>
      </c>
      <c r="DM972" s="697" t="str">
        <f>[2]MPU!DM111</f>
        <v>#ERROR!</v>
      </c>
      <c r="DN972" s="613" t="str">
        <f>[2]MPU!DN111</f>
        <v>#ERROR!</v>
      </c>
      <c r="DO972" s="697" t="str">
        <f>[2]MPU!DT111</f>
        <v>#ERROR!</v>
      </c>
      <c r="DP972" s="697" t="str">
        <f>[2]MPU!DU111</f>
        <v>#ERROR!</v>
      </c>
      <c r="DQ972" s="697" t="str">
        <f>[2]MPU!DV111</f>
        <v>#ERROR!</v>
      </c>
      <c r="DR972" s="697" t="str">
        <f>[2]MPU!DW111</f>
        <v>#ERROR!</v>
      </c>
      <c r="DS972" s="613" t="str">
        <f>[2]MPU!DX111</f>
        <v>#ERROR!</v>
      </c>
      <c r="DT972" s="697" t="str">
        <f>[2]MPU!DY111</f>
        <v>#ERROR!</v>
      </c>
      <c r="DU972" s="697" t="str">
        <f>[2]MPU!DZ111</f>
        <v>#ERROR!</v>
      </c>
      <c r="DV972" s="697" t="str">
        <f>[2]MPU!EA111</f>
        <v>#ERROR!</v>
      </c>
      <c r="DW972" s="697" t="str">
        <f>[2]MPU!EB111</f>
        <v>#ERROR!</v>
      </c>
      <c r="DX972" s="613" t="str">
        <f>[2]MPU!EC111</f>
        <v>#ERROR!</v>
      </c>
      <c r="DY972" s="697" t="str">
        <f>[2]MPU!ED111</f>
        <v>#ERROR!</v>
      </c>
      <c r="DZ972" s="697" t="str">
        <f>[2]MPU!EE111</f>
        <v>#ERROR!</v>
      </c>
      <c r="EA972" s="697" t="str">
        <f>[2]MPU!EF111</f>
        <v>#ERROR!</v>
      </c>
      <c r="EB972" s="697" t="str">
        <f>[2]MPU!EG111</f>
        <v>#ERROR!</v>
      </c>
      <c r="EC972" s="613" t="str">
        <f>[2]MPU!EH111</f>
        <v>#ERROR!</v>
      </c>
      <c r="ED972" s="697" t="str">
        <f>[2]MPU!EI111</f>
        <v>#ERROR!</v>
      </c>
      <c r="EE972" s="697" t="str">
        <f>[2]MPU!EJ111</f>
        <v>#ERROR!</v>
      </c>
      <c r="EF972" s="697" t="str">
        <f>[2]MPU!#REF!</f>
        <v>#ERROR!</v>
      </c>
      <c r="EG972" s="697" t="str">
        <f>[2]MPU!#REF!</f>
        <v>#ERROR!</v>
      </c>
      <c r="EH972" s="613" t="str">
        <f>[2]MPU!#REF!</f>
        <v>#ERROR!</v>
      </c>
      <c r="EI972" s="699" t="str">
        <f>[2]MPU!#REF!</f>
        <v>#ERROR!</v>
      </c>
      <c r="EJ972" s="697" t="str">
        <f>[2]MPU!#REF!</f>
        <v>#ERROR!</v>
      </c>
      <c r="EK972" s="697" t="str">
        <f>[2]MPU!#REF!</f>
        <v>#ERROR!</v>
      </c>
      <c r="EL972" s="697" t="str">
        <f>[2]MPU!#REF!</f>
        <v>#ERROR!</v>
      </c>
      <c r="EM972" s="613" t="str">
        <f>[2]MPU!#REF!</f>
        <v>#ERROR!</v>
      </c>
      <c r="EN972" s="697" t="str">
        <f>[2]MPU!#REF!</f>
        <v>#ERROR!</v>
      </c>
      <c r="EO972" s="697" t="str">
        <f>[2]MPU!#REF!</f>
        <v>#ERROR!</v>
      </c>
      <c r="EP972" s="697" t="str">
        <f>[2]MPU!#REF!</f>
        <v>#ERROR!</v>
      </c>
      <c r="EQ972" s="697" t="str">
        <f>[2]MPU!#REF!</f>
        <v>#ERROR!</v>
      </c>
      <c r="ER972" s="613" t="str">
        <f>[2]MPU!#REF!</f>
        <v>#ERROR!</v>
      </c>
      <c r="ES972" s="697" t="str">
        <f>[2]MPU!#REF!</f>
        <v>#ERROR!</v>
      </c>
      <c r="ET972" s="697" t="str">
        <f>[2]MPU!#REF!</f>
        <v>#ERROR!</v>
      </c>
      <c r="EU972" s="697" t="str">
        <f>[2]MPU!#REF!</f>
        <v>#ERROR!</v>
      </c>
      <c r="EV972" s="697" t="str">
        <f>[2]MPU!#REF!</f>
        <v>#ERROR!</v>
      </c>
      <c r="EW972" s="613" t="str">
        <f>[2]MPU!#REF!</f>
        <v>#ERROR!</v>
      </c>
      <c r="EX972" s="697" t="str">
        <f>[2]MPU!#REF!</f>
        <v>#ERROR!</v>
      </c>
      <c r="EY972" s="697" t="str">
        <f>[2]MPU!#REF!</f>
        <v>#ERROR!</v>
      </c>
      <c r="EZ972" s="697" t="str">
        <f>[2]MPU!#REF!</f>
        <v>#ERROR!</v>
      </c>
      <c r="FA972" s="697" t="str">
        <f>[2]MPU!#REF!</f>
        <v>#ERROR!</v>
      </c>
      <c r="FB972" s="613" t="str">
        <f>[2]MPU!#REF!</f>
        <v>#ERROR!</v>
      </c>
      <c r="FC972" s="697" t="str">
        <f>[2]MPU!#REF!</f>
        <v>#ERROR!</v>
      </c>
      <c r="FD972" s="697" t="str">
        <f>[2]MPU!#REF!</f>
        <v>#ERROR!</v>
      </c>
      <c r="FE972" s="697" t="str">
        <f>[2]MPU!#REF!</f>
        <v>#ERROR!</v>
      </c>
      <c r="FF972" s="697" t="str">
        <f>[2]MPU!#REF!</f>
        <v>#ERROR!</v>
      </c>
      <c r="FG972" s="613" t="str">
        <f>[2]MPU!#REF!</f>
        <v>#ERROR!</v>
      </c>
      <c r="FH972" s="616"/>
      <c r="FI972" s="697"/>
      <c r="FJ972" s="697"/>
      <c r="FK972" s="612"/>
      <c r="FL972" s="697"/>
    </row>
    <row r="973" ht="12.75" hidden="1" customHeight="1" outlineLevel="1">
      <c r="A973" s="670"/>
      <c r="B973" s="155" t="str">
        <f>[2]MPU!B119</f>
        <v>#ERROR!</v>
      </c>
      <c r="C973" s="92"/>
      <c r="D973" s="155"/>
      <c r="E973" s="155"/>
      <c r="F973" s="155"/>
      <c r="G973" s="155"/>
      <c r="H973" s="93"/>
      <c r="I973" s="155" t="str">
        <f>[2]MPU!I119</f>
        <v>#ERROR!</v>
      </c>
      <c r="J973" s="155" t="str">
        <f>[2]MPU!J119</f>
        <v>#ERROR!</v>
      </c>
      <c r="K973" s="155" t="str">
        <f>[2]MPU!K119</f>
        <v>#ERROR!</v>
      </c>
      <c r="L973" s="155" t="str">
        <f>[2]MPU!L119</f>
        <v>#ERROR!</v>
      </c>
      <c r="M973" s="93" t="str">
        <f>[2]MPU!M119</f>
        <v>#ERROR!</v>
      </c>
      <c r="N973" s="155" t="str">
        <f>[2]MPU!N119</f>
        <v>#ERROR!</v>
      </c>
      <c r="O973" s="155" t="str">
        <f>[2]MPU!O119</f>
        <v>#ERROR!</v>
      </c>
      <c r="P973" s="155" t="str">
        <f>[2]MPU!P119</f>
        <v>#ERROR!</v>
      </c>
      <c r="Q973" s="155" t="str">
        <f>[2]MPU!Q119</f>
        <v>#ERROR!</v>
      </c>
      <c r="R973" s="93" t="str">
        <f>[2]MPU!R119</f>
        <v>#ERROR!</v>
      </c>
      <c r="S973" s="155" t="str">
        <f>[2]MPU!S119</f>
        <v>#ERROR!</v>
      </c>
      <c r="T973" s="155" t="str">
        <f>[2]MPU!T119</f>
        <v>#ERROR!</v>
      </c>
      <c r="U973" s="155" t="str">
        <f>[2]MPU!U119</f>
        <v>#ERROR!</v>
      </c>
      <c r="V973" s="155" t="str">
        <f>[2]MPU!V119</f>
        <v>#ERROR!</v>
      </c>
      <c r="W973" s="93" t="str">
        <f>[2]MPU!W119</f>
        <v>#ERROR!</v>
      </c>
      <c r="X973" s="155" t="str">
        <f>[2]MPU!X119</f>
        <v>#ERROR!</v>
      </c>
      <c r="Y973" s="155" t="str">
        <f>[2]MPU!Y119</f>
        <v>#ERROR!</v>
      </c>
      <c r="Z973" s="155" t="str">
        <f>[2]MPU!Z119</f>
        <v>#ERROR!</v>
      </c>
      <c r="AA973" s="155" t="str">
        <f>[2]MPU!AA119</f>
        <v>#ERROR!</v>
      </c>
      <c r="AB973" s="93" t="str">
        <f>[2]MPU!AB119</f>
        <v>#ERROR!</v>
      </c>
      <c r="AC973" s="155" t="str">
        <f>[2]MPU!AC119</f>
        <v>#ERROR!</v>
      </c>
      <c r="AD973" s="155" t="str">
        <f>[2]MPU!AD119</f>
        <v>#ERROR!</v>
      </c>
      <c r="AE973" s="155" t="str">
        <f>[2]MPU!AE119</f>
        <v>#ERROR!</v>
      </c>
      <c r="AF973" s="155" t="str">
        <f>[2]MPU!AF119</f>
        <v>#ERROR!</v>
      </c>
      <c r="AG973" s="93" t="str">
        <f>[2]MPU!AG119</f>
        <v>#ERROR!</v>
      </c>
      <c r="AH973" s="155" t="str">
        <f>[2]MPU!AH119</f>
        <v>#ERROR!</v>
      </c>
      <c r="AI973" s="155" t="str">
        <f>[2]MPU!AI119</f>
        <v>#ERROR!</v>
      </c>
      <c r="AJ973" s="155" t="str">
        <f>[2]MPU!AJ119</f>
        <v>#ERROR!</v>
      </c>
      <c r="AK973" s="155" t="str">
        <f>[2]MPU!AK119</f>
        <v>#ERROR!</v>
      </c>
      <c r="AL973" s="93" t="str">
        <f>[2]MPU!AL119</f>
        <v>#ERROR!</v>
      </c>
      <c r="AM973" s="155" t="str">
        <f>[2]MPU!AM119</f>
        <v>#ERROR!</v>
      </c>
      <c r="AN973" s="155" t="str">
        <f>[2]MPU!AN119</f>
        <v>#ERROR!</v>
      </c>
      <c r="AO973" s="155" t="str">
        <f>[2]MPU!AO119</f>
        <v>#ERROR!</v>
      </c>
      <c r="AP973" s="155" t="str">
        <f>[2]MPU!AP119</f>
        <v>#ERROR!</v>
      </c>
      <c r="AQ973" s="93" t="str">
        <f>[2]MPU!AQ119</f>
        <v>#ERROR!</v>
      </c>
      <c r="AR973" s="155" t="str">
        <f>[2]MPU!AR119</f>
        <v>#ERROR!</v>
      </c>
      <c r="AS973" s="155" t="str">
        <f>[2]MPU!AS119</f>
        <v>#ERROR!</v>
      </c>
      <c r="AT973" s="155" t="str">
        <f>[2]MPU!AT119</f>
        <v>#ERROR!</v>
      </c>
      <c r="AU973" s="155" t="str">
        <f>[2]MPU!AU119</f>
        <v>#ERROR!</v>
      </c>
      <c r="AV973" s="93" t="str">
        <f>[2]MPU!AV119</f>
        <v>#ERROR!</v>
      </c>
      <c r="AW973" s="155" t="str">
        <f>[2]MPU!AW119</f>
        <v>#ERROR!</v>
      </c>
      <c r="AX973" s="155" t="str">
        <f>[2]MPU!AX119</f>
        <v>#ERROR!</v>
      </c>
      <c r="AY973" s="155" t="str">
        <f>[2]MPU!AY119</f>
        <v>#ERROR!</v>
      </c>
      <c r="AZ973" s="155" t="str">
        <f>[2]MPU!AZ119</f>
        <v>#ERROR!</v>
      </c>
      <c r="BA973" s="93" t="str">
        <f>[2]MPU!BA119</f>
        <v>#ERROR!</v>
      </c>
      <c r="BB973" s="155" t="str">
        <f>[2]MPU!BB119</f>
        <v>#ERROR!</v>
      </c>
      <c r="BC973" s="155" t="str">
        <f>[2]MPU!BC119</f>
        <v>#ERROR!</v>
      </c>
      <c r="BD973" s="155" t="str">
        <f>[2]MPU!BD119</f>
        <v>#ERROR!</v>
      </c>
      <c r="BE973" s="155" t="str">
        <f>[2]MPU!BE119</f>
        <v>#ERROR!</v>
      </c>
      <c r="BF973" s="93" t="str">
        <f>[2]MPU!BF119</f>
        <v>#ERROR!</v>
      </c>
      <c r="BG973" s="155" t="str">
        <f>[2]MPU!BG119</f>
        <v>#ERROR!</v>
      </c>
      <c r="BH973" s="155" t="str">
        <f>[2]MPU!BH119</f>
        <v>#ERROR!</v>
      </c>
      <c r="BI973" s="155" t="str">
        <f>[2]MPU!BI119</f>
        <v>#ERROR!</v>
      </c>
      <c r="BJ973" s="155" t="str">
        <f>[2]MPU!BJ119</f>
        <v>#ERROR!</v>
      </c>
      <c r="BK973" s="93" t="str">
        <f>[2]MPU!BK119</f>
        <v>#ERROR!</v>
      </c>
      <c r="BL973" s="155" t="str">
        <f>[2]MPU!BL119</f>
        <v>#ERROR!</v>
      </c>
      <c r="BM973" s="155" t="str">
        <f>[2]MPU!BM119</f>
        <v>#ERROR!</v>
      </c>
      <c r="BN973" s="155" t="str">
        <f>[2]MPU!BN119</f>
        <v>#ERROR!</v>
      </c>
      <c r="BO973" s="155" t="str">
        <f>[2]MPU!BO119</f>
        <v>#ERROR!</v>
      </c>
      <c r="BP973" s="93" t="str">
        <f>[2]MPU!BP119</f>
        <v>#ERROR!</v>
      </c>
      <c r="BQ973" s="155" t="str">
        <f>[2]MPU!BQ119</f>
        <v>#ERROR!</v>
      </c>
      <c r="BR973" s="155" t="str">
        <f>[2]MPU!BR119</f>
        <v>#ERROR!</v>
      </c>
      <c r="BS973" s="155" t="str">
        <f>[2]MPU!BS119</f>
        <v>#ERROR!</v>
      </c>
      <c r="BT973" s="155" t="str">
        <f>[2]MPU!BT119</f>
        <v>#ERROR!</v>
      </c>
      <c r="BU973" s="93" t="str">
        <f>[2]MPU!BU119</f>
        <v>#ERROR!</v>
      </c>
      <c r="BV973" s="155" t="str">
        <f>[2]MPU!BV119</f>
        <v>#ERROR!</v>
      </c>
      <c r="BW973" s="155" t="str">
        <f>[2]MPU!BW119</f>
        <v>#ERROR!</v>
      </c>
      <c r="BX973" s="155" t="str">
        <f>[2]MPU!BX119</f>
        <v>#ERROR!</v>
      </c>
      <c r="BY973" s="155" t="str">
        <f>[2]MPU!BY119</f>
        <v>#ERROR!</v>
      </c>
      <c r="BZ973" s="94" t="str">
        <f>[2]MPU!BZ119</f>
        <v>#ERROR!</v>
      </c>
      <c r="CA973" s="155" t="str">
        <f>[2]MPU!CA119</f>
        <v>#ERROR!</v>
      </c>
      <c r="CB973" s="155" t="str">
        <f>[2]MPU!CB119</f>
        <v>#ERROR!</v>
      </c>
      <c r="CC973" s="155" t="str">
        <f>[2]MPU!CC119</f>
        <v>#ERROR!</v>
      </c>
      <c r="CD973" s="155" t="str">
        <f>[2]MPU!CD119</f>
        <v>#ERROR!</v>
      </c>
      <c r="CE973" s="94" t="str">
        <f>[2]MPU!CE119</f>
        <v>#ERROR!</v>
      </c>
      <c r="CF973" s="155" t="str">
        <f>[2]MPU!CF119</f>
        <v>#ERROR!</v>
      </c>
      <c r="CG973" s="155" t="str">
        <f>[2]MPU!CG119</f>
        <v>#ERROR!</v>
      </c>
      <c r="CH973" s="155" t="str">
        <f>[2]MPU!CH119</f>
        <v>#ERROR!</v>
      </c>
      <c r="CI973" s="155" t="str">
        <f>[2]MPU!CI119</f>
        <v>#ERROR!</v>
      </c>
      <c r="CJ973" s="94" t="str">
        <f>[2]MPU!CJ119</f>
        <v>#ERROR!</v>
      </c>
      <c r="CK973" s="155" t="str">
        <f>[2]MPU!CK119</f>
        <v>#ERROR!</v>
      </c>
      <c r="CL973" s="155" t="str">
        <f>[2]MPU!CL119</f>
        <v>#ERROR!</v>
      </c>
      <c r="CM973" s="155" t="str">
        <f>[2]MPU!CM119</f>
        <v>#ERROR!</v>
      </c>
      <c r="CN973" s="156" t="str">
        <f>[2]MPU!CN119</f>
        <v>#ERROR!</v>
      </c>
      <c r="CO973" s="94" t="str">
        <f>[2]MPU!CO119</f>
        <v>#ERROR!</v>
      </c>
      <c r="CP973" s="156" t="str">
        <f>[2]MPU!CP119</f>
        <v>#ERROR!</v>
      </c>
      <c r="CQ973" s="155" t="str">
        <f>[2]MPU!CQ119</f>
        <v>#ERROR!</v>
      </c>
      <c r="CR973" s="155" t="str">
        <f>[2]MPU!CR119</f>
        <v>#ERROR!</v>
      </c>
      <c r="CS973" s="155" t="str">
        <f>[2]MPU!CS119</f>
        <v>#ERROR!</v>
      </c>
      <c r="CT973" s="94" t="str">
        <f>[2]MPU!CT119</f>
        <v>#ERROR!</v>
      </c>
      <c r="CU973" s="155" t="str">
        <f>[2]MPU!CU119</f>
        <v>#ERROR!</v>
      </c>
      <c r="CV973" s="155" t="str">
        <f>[2]MPU!CV119</f>
        <v>#ERROR!</v>
      </c>
      <c r="CW973" s="155" t="str">
        <f>[2]MPU!CW119</f>
        <v>#ERROR!</v>
      </c>
      <c r="CX973" s="155" t="str">
        <f>[2]MPU!CX119</f>
        <v>#ERROR!</v>
      </c>
      <c r="CY973" s="94" t="str">
        <f>[2]MPU!CY119</f>
        <v>#ERROR!</v>
      </c>
      <c r="CZ973" s="155" t="str">
        <f>[2]MPU!CZ119</f>
        <v>#ERROR!</v>
      </c>
      <c r="DA973" s="155" t="str">
        <f>[2]MPU!DA119</f>
        <v>#ERROR!</v>
      </c>
      <c r="DB973" s="155" t="str">
        <f>[2]MPU!DB119</f>
        <v>#ERROR!</v>
      </c>
      <c r="DC973" s="155" t="str">
        <f>[2]MPU!DC119</f>
        <v>#ERROR!</v>
      </c>
      <c r="DD973" s="94" t="str">
        <f>[2]MPU!DD119</f>
        <v>#ERROR!</v>
      </c>
      <c r="DE973" s="155" t="str">
        <f>[2]MPU!DE119</f>
        <v>#ERROR!</v>
      </c>
      <c r="DF973" s="155" t="str">
        <f>[2]MPU!DF119</f>
        <v>#ERROR!</v>
      </c>
      <c r="DG973" s="129" t="str">
        <f>[2]MPU!DG119</f>
        <v>#ERROR!</v>
      </c>
      <c r="DH973" s="155" t="str">
        <f>[2]MPU!DH119</f>
        <v>#ERROR!</v>
      </c>
      <c r="DI973" s="94" t="str">
        <f>[2]MPU!DI119</f>
        <v>#ERROR!</v>
      </c>
      <c r="DJ973" s="156" t="str">
        <f>[2]MPU!DJ119</f>
        <v>#ERROR!</v>
      </c>
      <c r="DK973" s="156" t="str">
        <f>[2]MPU!DK119</f>
        <v>#ERROR!</v>
      </c>
      <c r="DL973" s="156" t="str">
        <f>[2]MPU!DL119</f>
        <v>#ERROR!</v>
      </c>
      <c r="DM973" s="155" t="str">
        <f>[2]MPU!DM119</f>
        <v>#ERROR!</v>
      </c>
      <c r="DN973" s="94" t="str">
        <f>[2]MPU!DN119</f>
        <v>#ERROR!</v>
      </c>
      <c r="DO973" s="155" t="str">
        <f>[2]MPU!DT119</f>
        <v>#ERROR!</v>
      </c>
      <c r="DP973" s="155" t="str">
        <f>[2]MPU!DU119</f>
        <v>#ERROR!</v>
      </c>
      <c r="DQ973" s="155" t="str">
        <f>[2]MPU!DV119</f>
        <v>#ERROR!</v>
      </c>
      <c r="DR973" s="155" t="str">
        <f>[2]MPU!DW119</f>
        <v>#ERROR!</v>
      </c>
      <c r="DS973" s="94" t="str">
        <f>[2]MPU!DX119</f>
        <v>#ERROR!</v>
      </c>
      <c r="DT973" s="155" t="str">
        <f>[2]MPU!DY119</f>
        <v>#ERROR!</v>
      </c>
      <c r="DU973" s="155" t="str">
        <f>[2]MPU!DZ119</f>
        <v>#ERROR!</v>
      </c>
      <c r="DV973" s="155" t="str">
        <f>[2]MPU!EA119</f>
        <v>#ERROR!</v>
      </c>
      <c r="DW973" s="155" t="str">
        <f>[2]MPU!EB119</f>
        <v>#ERROR!</v>
      </c>
      <c r="DX973" s="94" t="str">
        <f>[2]MPU!EC119</f>
        <v>#ERROR!</v>
      </c>
      <c r="DY973" s="155" t="str">
        <f>[2]MPU!ED119</f>
        <v>#ERROR!</v>
      </c>
      <c r="DZ973" s="155" t="str">
        <f>[2]MPU!EE119</f>
        <v>#ERROR!</v>
      </c>
      <c r="EA973" s="155" t="str">
        <f>[2]MPU!EF119</f>
        <v>#ERROR!</v>
      </c>
      <c r="EB973" s="155" t="str">
        <f>[2]MPU!EG119</f>
        <v>#ERROR!</v>
      </c>
      <c r="EC973" s="94" t="str">
        <f>[2]MPU!EH119</f>
        <v>#ERROR!</v>
      </c>
      <c r="ED973" s="155" t="str">
        <f>[2]MPU!EI119</f>
        <v>#ERROR!</v>
      </c>
      <c r="EE973" s="155" t="str">
        <f>[2]MPU!EJ119</f>
        <v>#ERROR!</v>
      </c>
      <c r="EF973" s="155" t="str">
        <f>[2]MPU!#REF!</f>
        <v>#ERROR!</v>
      </c>
      <c r="EG973" s="155" t="str">
        <f>[2]MPU!#REF!</f>
        <v>#ERROR!</v>
      </c>
      <c r="EH973" s="94" t="str">
        <f>[2]MPU!#REF!</f>
        <v>#ERROR!</v>
      </c>
      <c r="EI973" s="157" t="str">
        <f>[2]MPU!#REF!</f>
        <v>#ERROR!</v>
      </c>
      <c r="EJ973" s="155" t="str">
        <f>[2]MPU!#REF!</f>
        <v>#ERROR!</v>
      </c>
      <c r="EK973" s="155" t="str">
        <f>[2]MPU!#REF!</f>
        <v>#ERROR!</v>
      </c>
      <c r="EL973" s="155" t="str">
        <f>[2]MPU!#REF!</f>
        <v>#ERROR!</v>
      </c>
      <c r="EM973" s="94" t="str">
        <f>[2]MPU!#REF!</f>
        <v>#ERROR!</v>
      </c>
      <c r="EN973" s="155" t="str">
        <f>[2]MPU!#REF!</f>
        <v>#ERROR!</v>
      </c>
      <c r="EO973" s="155" t="str">
        <f>[2]MPU!#REF!</f>
        <v>#ERROR!</v>
      </c>
      <c r="EP973" s="155" t="str">
        <f>[2]MPU!#REF!</f>
        <v>#ERROR!</v>
      </c>
      <c r="EQ973" s="155" t="str">
        <f>[2]MPU!#REF!</f>
        <v>#ERROR!</v>
      </c>
      <c r="ER973" s="94" t="str">
        <f>[2]MPU!#REF!</f>
        <v>#ERROR!</v>
      </c>
      <c r="ES973" s="155" t="str">
        <f>[2]MPU!#REF!</f>
        <v>#ERROR!</v>
      </c>
      <c r="ET973" s="155" t="str">
        <f>[2]MPU!#REF!</f>
        <v>#ERROR!</v>
      </c>
      <c r="EU973" s="155" t="str">
        <f>[2]MPU!#REF!</f>
        <v>#ERROR!</v>
      </c>
      <c r="EV973" s="155" t="str">
        <f>[2]MPU!#REF!</f>
        <v>#ERROR!</v>
      </c>
      <c r="EW973" s="94" t="str">
        <f>[2]MPU!#REF!</f>
        <v>#ERROR!</v>
      </c>
      <c r="EX973" s="155" t="str">
        <f>[2]MPU!#REF!</f>
        <v>#ERROR!</v>
      </c>
      <c r="EY973" s="155" t="str">
        <f>[2]MPU!#REF!</f>
        <v>#ERROR!</v>
      </c>
      <c r="EZ973" s="155" t="str">
        <f>[2]MPU!#REF!</f>
        <v>#ERROR!</v>
      </c>
      <c r="FA973" s="155" t="str">
        <f>[2]MPU!#REF!</f>
        <v>#ERROR!</v>
      </c>
      <c r="FB973" s="94" t="str">
        <f>[2]MPU!#REF!</f>
        <v>#ERROR!</v>
      </c>
      <c r="FC973" s="155" t="str">
        <f>[2]MPU!#REF!</f>
        <v>#ERROR!</v>
      </c>
      <c r="FD973" s="155" t="str">
        <f>[2]MPU!#REF!</f>
        <v>#ERROR!</v>
      </c>
      <c r="FE973" s="155" t="str">
        <f>[2]MPU!#REF!</f>
        <v>#ERROR!</v>
      </c>
      <c r="FF973" s="155" t="str">
        <f>[2]MPU!#REF!</f>
        <v>#ERROR!</v>
      </c>
      <c r="FG973" s="94" t="str">
        <f>[2]MPU!#REF!</f>
        <v>#ERROR!</v>
      </c>
      <c r="FH973" s="98"/>
      <c r="FI973" s="155"/>
      <c r="FJ973" s="155"/>
      <c r="FK973" s="93"/>
      <c r="FL973" s="155"/>
    </row>
    <row r="974" ht="12.75" hidden="1" customHeight="1" outlineLevel="2">
      <c r="A974" s="670"/>
      <c r="B974" s="700" t="str">
        <f>+[2]MPU!B134</f>
        <v>#ERROR!</v>
      </c>
      <c r="C974" s="700" t="str">
        <f>+[2]MPU!C134</f>
        <v>#ERROR!</v>
      </c>
      <c r="D974" s="700" t="str">
        <f>+[2]MPU!D134</f>
        <v>#ERROR!</v>
      </c>
      <c r="E974" s="700" t="str">
        <f>+[2]MPU!E134</f>
        <v>#ERROR!</v>
      </c>
      <c r="F974" s="700" t="str">
        <f>+[2]MPU!F134</f>
        <v>#ERROR!</v>
      </c>
      <c r="G974" s="700" t="str">
        <f>+[2]MPU!G134</f>
        <v>#ERROR!</v>
      </c>
      <c r="H974" s="700" t="str">
        <f>+[2]MPU!H134</f>
        <v>#ERROR!</v>
      </c>
      <c r="I974" s="700" t="str">
        <f>+[2]MPU!I134</f>
        <v>#ERROR!</v>
      </c>
      <c r="J974" s="700" t="str">
        <f>+[2]MPU!J134</f>
        <v>#ERROR!</v>
      </c>
      <c r="K974" s="700" t="str">
        <f>+[2]MPU!K134</f>
        <v>#ERROR!</v>
      </c>
      <c r="L974" s="700" t="str">
        <f>+[2]MPU!L134</f>
        <v>#ERROR!</v>
      </c>
      <c r="M974" s="700" t="str">
        <f>+[2]MPU!M134</f>
        <v>#ERROR!</v>
      </c>
      <c r="N974" s="700" t="str">
        <f>+[2]MPU!N134</f>
        <v>#ERROR!</v>
      </c>
      <c r="O974" s="700" t="str">
        <f>+[2]MPU!O134</f>
        <v>#ERROR!</v>
      </c>
      <c r="P974" s="700" t="str">
        <f>+[2]MPU!P134</f>
        <v>#ERROR!</v>
      </c>
      <c r="Q974" s="700" t="str">
        <f>+[2]MPU!Q134</f>
        <v>#ERROR!</v>
      </c>
      <c r="R974" s="700" t="str">
        <f>+[2]MPU!R134</f>
        <v>#ERROR!</v>
      </c>
      <c r="S974" s="700" t="str">
        <f>+[2]MPU!S134</f>
        <v>#ERROR!</v>
      </c>
      <c r="T974" s="700" t="str">
        <f>+[2]MPU!T134</f>
        <v>#ERROR!</v>
      </c>
      <c r="U974" s="700" t="str">
        <f>+[2]MPU!U134</f>
        <v>#ERROR!</v>
      </c>
      <c r="V974" s="700" t="str">
        <f>+[2]MPU!V134</f>
        <v>#ERROR!</v>
      </c>
      <c r="W974" s="700" t="str">
        <f>+[2]MPU!W134</f>
        <v>#ERROR!</v>
      </c>
      <c r="X974" s="700" t="str">
        <f>+[2]MPU!X134</f>
        <v>#ERROR!</v>
      </c>
      <c r="Y974" s="700" t="str">
        <f>+[2]MPU!Y134</f>
        <v>#ERROR!</v>
      </c>
      <c r="Z974" s="700" t="str">
        <f>+[2]MPU!Z134</f>
        <v>#ERROR!</v>
      </c>
      <c r="AA974" s="700" t="str">
        <f>+[2]MPU!AA134</f>
        <v>#ERROR!</v>
      </c>
      <c r="AB974" s="700" t="str">
        <f>+[2]MPU!AB134</f>
        <v>#ERROR!</v>
      </c>
      <c r="AC974" s="700" t="str">
        <f>+[2]MPU!AC134</f>
        <v>#ERROR!</v>
      </c>
      <c r="AD974" s="700" t="str">
        <f>+[2]MPU!AD134</f>
        <v>#ERROR!</v>
      </c>
      <c r="AE974" s="700" t="str">
        <f>+[2]MPU!AE134</f>
        <v>#ERROR!</v>
      </c>
      <c r="AF974" s="700" t="str">
        <f>+[2]MPU!AF134</f>
        <v>#ERROR!</v>
      </c>
      <c r="AG974" s="700" t="str">
        <f>+[2]MPU!AG134</f>
        <v>#ERROR!</v>
      </c>
      <c r="AH974" s="700" t="str">
        <f>+[2]MPU!AH134</f>
        <v>#ERROR!</v>
      </c>
      <c r="AI974" s="700" t="str">
        <f>+[2]MPU!AI134</f>
        <v>#ERROR!</v>
      </c>
      <c r="AJ974" s="700" t="str">
        <f>+[2]MPU!AJ134</f>
        <v>#ERROR!</v>
      </c>
      <c r="AK974" s="700" t="str">
        <f>+[2]MPU!AK134</f>
        <v>#ERROR!</v>
      </c>
      <c r="AL974" s="700" t="str">
        <f>+[2]MPU!AL134</f>
        <v>#ERROR!</v>
      </c>
      <c r="AM974" s="700" t="str">
        <f>+[2]MPU!AM134</f>
        <v>#ERROR!</v>
      </c>
      <c r="AN974" s="700" t="str">
        <f>+[2]MPU!AN134</f>
        <v>#ERROR!</v>
      </c>
      <c r="AO974" s="700" t="str">
        <f>+[2]MPU!AO134</f>
        <v>#ERROR!</v>
      </c>
      <c r="AP974" s="700" t="str">
        <f>+[2]MPU!AP134</f>
        <v>#ERROR!</v>
      </c>
      <c r="AQ974" s="700" t="str">
        <f>+[2]MPU!AQ134</f>
        <v>#ERROR!</v>
      </c>
      <c r="AR974" s="700" t="str">
        <f>+[2]MPU!AR134</f>
        <v>#ERROR!</v>
      </c>
      <c r="AS974" s="700" t="str">
        <f>+[2]MPU!AS134</f>
        <v>#ERROR!</v>
      </c>
      <c r="AT974" s="700" t="str">
        <f>+[2]MPU!AT134</f>
        <v>#ERROR!</v>
      </c>
      <c r="AU974" s="700" t="str">
        <f>+[2]MPU!AU134</f>
        <v>#ERROR!</v>
      </c>
      <c r="AV974" s="700" t="str">
        <f>+[2]MPU!AV134</f>
        <v>#ERROR!</v>
      </c>
      <c r="AW974" s="700" t="str">
        <f>+[2]MPU!AW134</f>
        <v>#ERROR!</v>
      </c>
      <c r="AX974" s="700" t="str">
        <f>+[2]MPU!AX134</f>
        <v>#ERROR!</v>
      </c>
      <c r="AY974" s="700" t="str">
        <f>+[2]MPU!AY134</f>
        <v>#ERROR!</v>
      </c>
      <c r="AZ974" s="700" t="str">
        <f>+[2]MPU!AZ134</f>
        <v>#ERROR!</v>
      </c>
      <c r="BA974" s="700" t="str">
        <f>+[2]MPU!BA134</f>
        <v>#ERROR!</v>
      </c>
      <c r="BB974" s="700" t="str">
        <f>+[2]MPU!BB134</f>
        <v>#ERROR!</v>
      </c>
      <c r="BC974" s="700" t="str">
        <f>+[2]MPU!BC134</f>
        <v>#ERROR!</v>
      </c>
      <c r="BD974" s="700" t="str">
        <f>+[2]MPU!BD134</f>
        <v>#ERROR!</v>
      </c>
      <c r="BE974" s="700" t="str">
        <f>+[2]MPU!BE134</f>
        <v>#ERROR!</v>
      </c>
      <c r="BF974" s="700" t="str">
        <f>+[2]MPU!BF134</f>
        <v>#ERROR!</v>
      </c>
      <c r="BG974" s="700" t="str">
        <f>+[2]MPU!BG134</f>
        <v>#ERROR!</v>
      </c>
      <c r="BH974" s="700" t="str">
        <f>+[2]MPU!BH134</f>
        <v>#ERROR!</v>
      </c>
      <c r="BI974" s="700" t="str">
        <f>+[2]MPU!BI134</f>
        <v>#ERROR!</v>
      </c>
      <c r="BJ974" s="700" t="str">
        <f>+[2]MPU!BJ134</f>
        <v>#ERROR!</v>
      </c>
      <c r="BK974" s="700" t="str">
        <f>+[2]MPU!BK134</f>
        <v>#ERROR!</v>
      </c>
      <c r="BL974" s="700" t="str">
        <f>+[2]MPU!BL134</f>
        <v>#ERROR!</v>
      </c>
      <c r="BM974" s="700" t="str">
        <f>+[2]MPU!BM134</f>
        <v>#ERROR!</v>
      </c>
      <c r="BN974" s="700" t="str">
        <f>+[2]MPU!BN134</f>
        <v>#ERROR!</v>
      </c>
      <c r="BO974" s="700" t="str">
        <f>+[2]MPU!BO134</f>
        <v>#ERROR!</v>
      </c>
      <c r="BP974" s="700" t="str">
        <f>+[2]MPU!BP134</f>
        <v>#ERROR!</v>
      </c>
      <c r="BQ974" s="700" t="str">
        <f>+[2]MPU!BQ134</f>
        <v>#ERROR!</v>
      </c>
      <c r="BR974" s="700" t="str">
        <f>+[2]MPU!BR134</f>
        <v>#ERROR!</v>
      </c>
      <c r="BS974" s="700" t="str">
        <f>+[2]MPU!BS134</f>
        <v>#ERROR!</v>
      </c>
      <c r="BT974" s="700" t="str">
        <f>+[2]MPU!BT134</f>
        <v>#ERROR!</v>
      </c>
      <c r="BU974" s="700" t="str">
        <f>+[2]MPU!BU134</f>
        <v>#ERROR!</v>
      </c>
      <c r="BV974" s="700" t="str">
        <f>+[2]MPU!BV134</f>
        <v>#ERROR!</v>
      </c>
      <c r="BW974" s="700" t="str">
        <f>+[2]MPU!BW134</f>
        <v>#ERROR!</v>
      </c>
      <c r="BX974" s="700" t="str">
        <f>+[2]MPU!BX134</f>
        <v>#ERROR!</v>
      </c>
      <c r="BY974" s="700" t="str">
        <f>+[2]MPU!BY134</f>
        <v>#ERROR!</v>
      </c>
      <c r="BZ974" s="701" t="str">
        <f>+[2]MPU!BZ134</f>
        <v>#ERROR!</v>
      </c>
      <c r="CA974" s="700" t="str">
        <f>+[2]MPU!CA134</f>
        <v>#ERROR!</v>
      </c>
      <c r="CB974" s="700" t="str">
        <f>+[2]MPU!CB134</f>
        <v>#ERROR!</v>
      </c>
      <c r="CC974" s="700" t="str">
        <f>+[2]MPU!CC134</f>
        <v>#ERROR!</v>
      </c>
      <c r="CD974" s="700" t="str">
        <f>+[2]MPU!CD134</f>
        <v>#ERROR!</v>
      </c>
      <c r="CE974" s="701" t="str">
        <f>+[2]MPU!CE134</f>
        <v>#ERROR!</v>
      </c>
      <c r="CF974" s="700" t="str">
        <f>+[2]MPU!CF134</f>
        <v>#ERROR!</v>
      </c>
      <c r="CG974" s="700" t="str">
        <f>+[2]MPU!CG134</f>
        <v>#ERROR!</v>
      </c>
      <c r="CH974" s="700" t="str">
        <f>+[2]MPU!CH134</f>
        <v>#ERROR!</v>
      </c>
      <c r="CI974" s="700" t="str">
        <f>+[2]MPU!CI134</f>
        <v>#ERROR!</v>
      </c>
      <c r="CJ974" s="701" t="str">
        <f>+[2]MPU!CJ134</f>
        <v>#ERROR!</v>
      </c>
      <c r="CK974" s="700" t="str">
        <f>+[2]MPU!CK134</f>
        <v>#ERROR!</v>
      </c>
      <c r="CL974" s="700" t="str">
        <f>+[2]MPU!CL134</f>
        <v>#ERROR!</v>
      </c>
      <c r="CM974" s="700" t="str">
        <f>+[2]MPU!CM134</f>
        <v>#ERROR!</v>
      </c>
      <c r="CN974" s="702" t="str">
        <f>+[2]MPU!CN134</f>
        <v>#ERROR!</v>
      </c>
      <c r="CO974" s="701" t="str">
        <f>+[2]MPU!CO134</f>
        <v>#ERROR!</v>
      </c>
      <c r="CP974" s="702" t="str">
        <f>+[2]MPU!CP134</f>
        <v>#ERROR!</v>
      </c>
      <c r="CQ974" s="700" t="str">
        <f>+[2]MPU!CQ134</f>
        <v>#ERROR!</v>
      </c>
      <c r="CR974" s="700" t="str">
        <f>+[2]MPU!CR134</f>
        <v>#ERROR!</v>
      </c>
      <c r="CS974" s="700" t="str">
        <f>+[2]MPU!CS134</f>
        <v>#ERROR!</v>
      </c>
      <c r="CT974" s="701" t="str">
        <f>+[2]MPU!CT134</f>
        <v>#ERROR!</v>
      </c>
      <c r="CU974" s="700" t="str">
        <f>+[2]MPU!CU134</f>
        <v>#ERROR!</v>
      </c>
      <c r="CV974" s="700" t="str">
        <f>+[2]MPU!CV134</f>
        <v>#ERROR!</v>
      </c>
      <c r="CW974" s="700" t="str">
        <f>+[2]MPU!CW134</f>
        <v>#ERROR!</v>
      </c>
      <c r="CX974" s="700" t="str">
        <f>+[2]MPU!CX134</f>
        <v>#ERROR!</v>
      </c>
      <c r="CY974" s="701" t="str">
        <f>+[2]MPU!CY134</f>
        <v>#ERROR!</v>
      </c>
      <c r="CZ974" s="700" t="str">
        <f>+[2]MPU!CZ134</f>
        <v>#ERROR!</v>
      </c>
      <c r="DA974" s="700" t="str">
        <f>+[2]MPU!DA134</f>
        <v>#ERROR!</v>
      </c>
      <c r="DB974" s="700" t="str">
        <f>+[2]MPU!DB134</f>
        <v>#ERROR!</v>
      </c>
      <c r="DC974" s="700" t="str">
        <f>+[2]MPU!DC134</f>
        <v>#ERROR!</v>
      </c>
      <c r="DD974" s="701" t="str">
        <f>+[2]MPU!DD134</f>
        <v>#ERROR!</v>
      </c>
      <c r="DE974" s="700" t="str">
        <f>+[2]MPU!DE134</f>
        <v>#ERROR!</v>
      </c>
      <c r="DF974" s="700" t="str">
        <f>+[2]MPU!DF134</f>
        <v>#ERROR!</v>
      </c>
      <c r="DG974" s="129" t="str">
        <f>+[2]MPU!DG134</f>
        <v>#ERROR!</v>
      </c>
      <c r="DH974" s="700" t="str">
        <f>+[2]MPU!DH134</f>
        <v>#ERROR!</v>
      </c>
      <c r="DI974" s="701" t="str">
        <f>+[2]MPU!DI134</f>
        <v>#ERROR!</v>
      </c>
      <c r="DJ974" s="702" t="str">
        <f>+[2]MPU!DJ134</f>
        <v>#ERROR!</v>
      </c>
      <c r="DK974" s="702" t="str">
        <f>+[2]MPU!DK134</f>
        <v>#ERROR!</v>
      </c>
      <c r="DL974" s="702" t="str">
        <f>+[2]MPU!DL134</f>
        <v>#ERROR!</v>
      </c>
      <c r="DM974" s="700" t="str">
        <f>+[2]MPU!DM134</f>
        <v>#ERROR!</v>
      </c>
      <c r="DN974" s="701" t="str">
        <f>+[2]MPU!DN134</f>
        <v>#ERROR!</v>
      </c>
      <c r="DO974" s="700" t="str">
        <f>+[2]MPU!DT134</f>
        <v>#ERROR!</v>
      </c>
      <c r="DP974" s="700" t="str">
        <f>+[2]MPU!DU134</f>
        <v>#ERROR!</v>
      </c>
      <c r="DQ974" s="700" t="str">
        <f>+[2]MPU!DV134</f>
        <v>#ERROR!</v>
      </c>
      <c r="DR974" s="700" t="str">
        <f>+[2]MPU!DW134</f>
        <v>#ERROR!</v>
      </c>
      <c r="DS974" s="701" t="str">
        <f>+[2]MPU!DX134</f>
        <v>#ERROR!</v>
      </c>
      <c r="DT974" s="700" t="str">
        <f>+[2]MPU!DY134</f>
        <v>#ERROR!</v>
      </c>
      <c r="DU974" s="700" t="str">
        <f>+[2]MPU!DZ134</f>
        <v>#ERROR!</v>
      </c>
      <c r="DV974" s="700" t="str">
        <f>+[2]MPU!EA134</f>
        <v>#ERROR!</v>
      </c>
      <c r="DW974" s="700" t="str">
        <f>+[2]MPU!EB134</f>
        <v>#ERROR!</v>
      </c>
      <c r="DX974" s="701" t="str">
        <f>+[2]MPU!EC134</f>
        <v>#ERROR!</v>
      </c>
      <c r="DY974" s="700" t="str">
        <f>+[2]MPU!ED134</f>
        <v>#ERROR!</v>
      </c>
      <c r="DZ974" s="700" t="str">
        <f>+[2]MPU!EE134</f>
        <v>#ERROR!</v>
      </c>
      <c r="EA974" s="700" t="str">
        <f>+[2]MPU!EF134</f>
        <v>#ERROR!</v>
      </c>
      <c r="EB974" s="700" t="str">
        <f>+[2]MPU!EG134</f>
        <v>#ERROR!</v>
      </c>
      <c r="EC974" s="701" t="str">
        <f>+[2]MPU!EH134</f>
        <v>#ERROR!</v>
      </c>
      <c r="ED974" s="700" t="str">
        <f>+[2]MPU!EI134</f>
        <v>#ERROR!</v>
      </c>
      <c r="EE974" s="700" t="str">
        <f>+[2]MPU!EJ134</f>
        <v>#ERROR!</v>
      </c>
      <c r="EF974" s="700" t="str">
        <f>+[2]MPU!#REF!</f>
        <v>#ERROR!</v>
      </c>
      <c r="EG974" s="700" t="str">
        <f>+[2]MPU!#REF!</f>
        <v>#ERROR!</v>
      </c>
      <c r="EH974" s="701" t="str">
        <f>+[2]MPU!#REF!</f>
        <v>#ERROR!</v>
      </c>
      <c r="EI974" s="703" t="str">
        <f>+[2]MPU!#REF!</f>
        <v>#ERROR!</v>
      </c>
      <c r="EJ974" s="700" t="str">
        <f>+[2]MPU!#REF!</f>
        <v>#ERROR!</v>
      </c>
      <c r="EK974" s="700" t="str">
        <f>+[2]MPU!#REF!</f>
        <v>#ERROR!</v>
      </c>
      <c r="EL974" s="700" t="str">
        <f>+[2]MPU!#REF!</f>
        <v>#ERROR!</v>
      </c>
      <c r="EM974" s="701" t="str">
        <f>+[2]MPU!#REF!</f>
        <v>#ERROR!</v>
      </c>
      <c r="EN974" s="700" t="str">
        <f>+[2]MPU!#REF!</f>
        <v>#ERROR!</v>
      </c>
      <c r="EO974" s="700" t="str">
        <f>+[2]MPU!#REF!</f>
        <v>#ERROR!</v>
      </c>
      <c r="EP974" s="700" t="str">
        <f>+[2]MPU!#REF!</f>
        <v>#ERROR!</v>
      </c>
      <c r="EQ974" s="700" t="str">
        <f>+[2]MPU!#REF!</f>
        <v>#ERROR!</v>
      </c>
      <c r="ER974" s="701" t="str">
        <f>+[2]MPU!#REF!</f>
        <v>#ERROR!</v>
      </c>
      <c r="ES974" s="700" t="str">
        <f>+[2]MPU!#REF!</f>
        <v>#ERROR!</v>
      </c>
      <c r="ET974" s="700" t="str">
        <f>+[2]MPU!#REF!</f>
        <v>#ERROR!</v>
      </c>
      <c r="EU974" s="700" t="str">
        <f>+[2]MPU!#REF!</f>
        <v>#ERROR!</v>
      </c>
      <c r="EV974" s="700" t="str">
        <f>+[2]MPU!#REF!</f>
        <v>#ERROR!</v>
      </c>
      <c r="EW974" s="701" t="str">
        <f>+[2]MPU!#REF!</f>
        <v>#ERROR!</v>
      </c>
      <c r="EX974" s="700" t="str">
        <f>+[2]MPU!#REF!</f>
        <v>#ERROR!</v>
      </c>
      <c r="EY974" s="700" t="str">
        <f>+[2]MPU!#REF!</f>
        <v>#ERROR!</v>
      </c>
      <c r="EZ974" s="700" t="str">
        <f>+[2]MPU!#REF!</f>
        <v>#ERROR!</v>
      </c>
      <c r="FA974" s="700" t="str">
        <f>+[2]MPU!#REF!</f>
        <v>#ERROR!</v>
      </c>
      <c r="FB974" s="701" t="str">
        <f>+[2]MPU!#REF!</f>
        <v>#ERROR!</v>
      </c>
      <c r="FC974" s="700" t="str">
        <f>+[2]MPU!#REF!</f>
        <v>#ERROR!</v>
      </c>
      <c r="FD974" s="700" t="str">
        <f>+[2]MPU!#REF!</f>
        <v>#ERROR!</v>
      </c>
      <c r="FE974" s="700" t="str">
        <f>+[2]MPU!#REF!</f>
        <v>#ERROR!</v>
      </c>
      <c r="FF974" s="700" t="str">
        <f>+[2]MPU!#REF!</f>
        <v>#ERROR!</v>
      </c>
      <c r="FG974" s="701" t="str">
        <f>+[2]MPU!#REF!</f>
        <v>#ERROR!</v>
      </c>
      <c r="FH974" s="702"/>
      <c r="FI974" s="700"/>
      <c r="FJ974" s="700"/>
      <c r="FK974" s="76"/>
      <c r="FL974" s="700"/>
    </row>
    <row r="975" ht="12.75" hidden="1" customHeight="1" outlineLevel="1">
      <c r="A975" s="670"/>
      <c r="B975" s="155" t="str">
        <f>[2]MPU!B130</f>
        <v>#ERROR!</v>
      </c>
      <c r="C975" s="92"/>
      <c r="D975" s="155"/>
      <c r="E975" s="155"/>
      <c r="F975" s="155"/>
      <c r="G975" s="155"/>
      <c r="H975" s="93"/>
      <c r="I975" s="155" t="str">
        <f>[2]MPU!I130</f>
        <v>#ERROR!</v>
      </c>
      <c r="J975" s="155" t="str">
        <f>[2]MPU!J130</f>
        <v>#ERROR!</v>
      </c>
      <c r="K975" s="155" t="str">
        <f>[2]MPU!K130</f>
        <v>#ERROR!</v>
      </c>
      <c r="L975" s="155" t="str">
        <f>[2]MPU!L130</f>
        <v>#ERROR!</v>
      </c>
      <c r="M975" s="93" t="str">
        <f>[2]MPU!M130</f>
        <v>#ERROR!</v>
      </c>
      <c r="N975" s="155" t="str">
        <f>[2]MPU!N130</f>
        <v>#ERROR!</v>
      </c>
      <c r="O975" s="155" t="str">
        <f>[2]MPU!O130</f>
        <v>#ERROR!</v>
      </c>
      <c r="P975" s="155" t="str">
        <f>[2]MPU!P130</f>
        <v>#ERROR!</v>
      </c>
      <c r="Q975" s="155" t="str">
        <f>[2]MPU!Q130</f>
        <v>#ERROR!</v>
      </c>
      <c r="R975" s="93" t="str">
        <f>[2]MPU!R130</f>
        <v>#ERROR!</v>
      </c>
      <c r="S975" s="155" t="str">
        <f>[2]MPU!S130</f>
        <v>#ERROR!</v>
      </c>
      <c r="T975" s="155" t="str">
        <f>[2]MPU!T130</f>
        <v>#ERROR!</v>
      </c>
      <c r="U975" s="155" t="str">
        <f>[2]MPU!U130</f>
        <v>#ERROR!</v>
      </c>
      <c r="V975" s="155" t="str">
        <f>[2]MPU!V130</f>
        <v>#ERROR!</v>
      </c>
      <c r="W975" s="93" t="str">
        <f>[2]MPU!W130</f>
        <v>#ERROR!</v>
      </c>
      <c r="X975" s="155" t="str">
        <f>[2]MPU!X130</f>
        <v>#ERROR!</v>
      </c>
      <c r="Y975" s="155" t="str">
        <f>[2]MPU!Y130</f>
        <v>#ERROR!</v>
      </c>
      <c r="Z975" s="155" t="str">
        <f>[2]MPU!Z130</f>
        <v>#ERROR!</v>
      </c>
      <c r="AA975" s="155" t="str">
        <f>[2]MPU!AA130</f>
        <v>#ERROR!</v>
      </c>
      <c r="AB975" s="93" t="str">
        <f>[2]MPU!AB130</f>
        <v>#ERROR!</v>
      </c>
      <c r="AC975" s="155" t="str">
        <f>[2]MPU!AC130</f>
        <v>#ERROR!</v>
      </c>
      <c r="AD975" s="155" t="str">
        <f>[2]MPU!AD130</f>
        <v>#ERROR!</v>
      </c>
      <c r="AE975" s="155" t="str">
        <f>[2]MPU!AE130</f>
        <v>#ERROR!</v>
      </c>
      <c r="AF975" s="155" t="str">
        <f>[2]MPU!AF130</f>
        <v>#ERROR!</v>
      </c>
      <c r="AG975" s="93" t="str">
        <f>[2]MPU!AG130</f>
        <v>#ERROR!</v>
      </c>
      <c r="AH975" s="155" t="str">
        <f>[2]MPU!AH130</f>
        <v>#ERROR!</v>
      </c>
      <c r="AI975" s="155" t="str">
        <f>[2]MPU!AI130</f>
        <v>#ERROR!</v>
      </c>
      <c r="AJ975" s="155" t="str">
        <f>[2]MPU!AJ130</f>
        <v>#ERROR!</v>
      </c>
      <c r="AK975" s="155" t="str">
        <f>[2]MPU!AK130</f>
        <v>#ERROR!</v>
      </c>
      <c r="AL975" s="93" t="str">
        <f>[2]MPU!AL130</f>
        <v>#ERROR!</v>
      </c>
      <c r="AM975" s="155" t="str">
        <f>[2]MPU!AM130</f>
        <v>#ERROR!</v>
      </c>
      <c r="AN975" s="155" t="str">
        <f>[2]MPU!AN130</f>
        <v>#ERROR!</v>
      </c>
      <c r="AO975" s="155" t="str">
        <f>[2]MPU!AO130</f>
        <v>#ERROR!</v>
      </c>
      <c r="AP975" s="155" t="str">
        <f>[2]MPU!AP130</f>
        <v>#ERROR!</v>
      </c>
      <c r="AQ975" s="93" t="str">
        <f>[2]MPU!AQ130</f>
        <v>#ERROR!</v>
      </c>
      <c r="AR975" s="155" t="str">
        <f>[2]MPU!AR130</f>
        <v>#ERROR!</v>
      </c>
      <c r="AS975" s="155" t="str">
        <f>[2]MPU!AS130</f>
        <v>#ERROR!</v>
      </c>
      <c r="AT975" s="155" t="str">
        <f>[2]MPU!AT130</f>
        <v>#ERROR!</v>
      </c>
      <c r="AU975" s="155" t="str">
        <f>[2]MPU!AU130</f>
        <v>#ERROR!</v>
      </c>
      <c r="AV975" s="93" t="str">
        <f>[2]MPU!AV130</f>
        <v>#ERROR!</v>
      </c>
      <c r="AW975" s="155" t="str">
        <f>[2]MPU!AW130</f>
        <v>#ERROR!</v>
      </c>
      <c r="AX975" s="155" t="str">
        <f>[2]MPU!AX130</f>
        <v>#ERROR!</v>
      </c>
      <c r="AY975" s="155" t="str">
        <f>[2]MPU!AY130</f>
        <v>#ERROR!</v>
      </c>
      <c r="AZ975" s="155" t="str">
        <f>[2]MPU!AZ130</f>
        <v>#ERROR!</v>
      </c>
      <c r="BA975" s="93" t="str">
        <f>[2]MPU!BA130</f>
        <v>#ERROR!</v>
      </c>
      <c r="BB975" s="155" t="str">
        <f>[2]MPU!BB130</f>
        <v>#ERROR!</v>
      </c>
      <c r="BC975" s="155" t="str">
        <f>[2]MPU!BC130</f>
        <v>#ERROR!</v>
      </c>
      <c r="BD975" s="155" t="str">
        <f>[2]MPU!BD130</f>
        <v>#ERROR!</v>
      </c>
      <c r="BE975" s="155" t="str">
        <f>[2]MPU!BE130</f>
        <v>#ERROR!</v>
      </c>
      <c r="BF975" s="93" t="str">
        <f>[2]MPU!BF130</f>
        <v>#ERROR!</v>
      </c>
      <c r="BG975" s="155" t="str">
        <f>[2]MPU!BG130</f>
        <v>#ERROR!</v>
      </c>
      <c r="BH975" s="155" t="str">
        <f>[2]MPU!BH130</f>
        <v>#ERROR!</v>
      </c>
      <c r="BI975" s="155" t="str">
        <f>[2]MPU!BI130</f>
        <v>#ERROR!</v>
      </c>
      <c r="BJ975" s="155" t="str">
        <f>[2]MPU!BJ130</f>
        <v>#ERROR!</v>
      </c>
      <c r="BK975" s="93" t="str">
        <f>[2]MPU!BK130</f>
        <v>#ERROR!</v>
      </c>
      <c r="BL975" s="155" t="str">
        <f>[2]MPU!BL130</f>
        <v>#ERROR!</v>
      </c>
      <c r="BM975" s="155" t="str">
        <f>[2]MPU!BM130</f>
        <v>#ERROR!</v>
      </c>
      <c r="BN975" s="155" t="str">
        <f>[2]MPU!BN130</f>
        <v>#ERROR!</v>
      </c>
      <c r="BO975" s="155" t="str">
        <f>[2]MPU!BO130</f>
        <v>#ERROR!</v>
      </c>
      <c r="BP975" s="93" t="str">
        <f>[2]MPU!BP130</f>
        <v>#ERROR!</v>
      </c>
      <c r="BQ975" s="155" t="str">
        <f>[2]MPU!BQ130</f>
        <v>#ERROR!</v>
      </c>
      <c r="BR975" s="155" t="str">
        <f>[2]MPU!BR130</f>
        <v>#ERROR!</v>
      </c>
      <c r="BS975" s="155" t="str">
        <f>[2]MPU!BS130</f>
        <v>#ERROR!</v>
      </c>
      <c r="BT975" s="155" t="str">
        <f>[2]MPU!BT130</f>
        <v>#ERROR!</v>
      </c>
      <c r="BU975" s="93" t="str">
        <f>[2]MPU!BU130</f>
        <v>#ERROR!</v>
      </c>
      <c r="BV975" s="155" t="str">
        <f>[2]MPU!BV130</f>
        <v>#ERROR!</v>
      </c>
      <c r="BW975" s="155" t="str">
        <f>[2]MPU!BW130</f>
        <v>#ERROR!</v>
      </c>
      <c r="BX975" s="155" t="str">
        <f>[2]MPU!BX130</f>
        <v>#ERROR!</v>
      </c>
      <c r="BY975" s="155" t="str">
        <f>[2]MPU!BY130</f>
        <v>#ERROR!</v>
      </c>
      <c r="BZ975" s="94" t="str">
        <f>[2]MPU!BZ130</f>
        <v>#ERROR!</v>
      </c>
      <c r="CA975" s="155" t="str">
        <f>[2]MPU!CA130</f>
        <v>#ERROR!</v>
      </c>
      <c r="CB975" s="155" t="str">
        <f>[2]MPU!CB130</f>
        <v>#ERROR!</v>
      </c>
      <c r="CC975" s="155" t="str">
        <f>[2]MPU!CC130</f>
        <v>#ERROR!</v>
      </c>
      <c r="CD975" s="155" t="str">
        <f>[2]MPU!CD130</f>
        <v>#ERROR!</v>
      </c>
      <c r="CE975" s="94" t="str">
        <f>[2]MPU!CE130</f>
        <v>#ERROR!</v>
      </c>
      <c r="CF975" s="155" t="str">
        <f>[2]MPU!CF130</f>
        <v>#ERROR!</v>
      </c>
      <c r="CG975" s="155" t="str">
        <f>[2]MPU!CG130</f>
        <v>#ERROR!</v>
      </c>
      <c r="CH975" s="155" t="str">
        <f>[2]MPU!CH130</f>
        <v>#ERROR!</v>
      </c>
      <c r="CI975" s="155" t="str">
        <f>[2]MPU!CI130</f>
        <v>#ERROR!</v>
      </c>
      <c r="CJ975" s="94" t="str">
        <f>[2]MPU!CJ130</f>
        <v>#ERROR!</v>
      </c>
      <c r="CK975" s="155" t="str">
        <f>[2]MPU!CK130</f>
        <v>#ERROR!</v>
      </c>
      <c r="CL975" s="155" t="str">
        <f>[2]MPU!CL130</f>
        <v>#ERROR!</v>
      </c>
      <c r="CM975" s="155" t="str">
        <f>[2]MPU!CM130</f>
        <v>#ERROR!</v>
      </c>
      <c r="CN975" s="156" t="str">
        <f>[2]MPU!CN130</f>
        <v>#ERROR!</v>
      </c>
      <c r="CO975" s="94" t="str">
        <f>[2]MPU!CO130</f>
        <v>#ERROR!</v>
      </c>
      <c r="CP975" s="156" t="str">
        <f>[2]MPU!CP130</f>
        <v>#ERROR!</v>
      </c>
      <c r="CQ975" s="155" t="str">
        <f>[2]MPU!CQ130</f>
        <v>#ERROR!</v>
      </c>
      <c r="CR975" s="155" t="str">
        <f>[2]MPU!CR130</f>
        <v>#ERROR!</v>
      </c>
      <c r="CS975" s="155" t="str">
        <f>[2]MPU!CS130</f>
        <v>#ERROR!</v>
      </c>
      <c r="CT975" s="94" t="str">
        <f>[2]MPU!CT130</f>
        <v>#ERROR!</v>
      </c>
      <c r="CU975" s="155" t="str">
        <f>[2]MPU!CU130</f>
        <v>#ERROR!</v>
      </c>
      <c r="CV975" s="155" t="str">
        <f>[2]MPU!CV130</f>
        <v>#ERROR!</v>
      </c>
      <c r="CW975" s="155" t="str">
        <f>[2]MPU!CW130</f>
        <v>#ERROR!</v>
      </c>
      <c r="CX975" s="155" t="str">
        <f>[2]MPU!CX130</f>
        <v>#ERROR!</v>
      </c>
      <c r="CY975" s="94" t="str">
        <f>[2]MPU!CY130</f>
        <v>#ERROR!</v>
      </c>
      <c r="CZ975" s="155" t="str">
        <f>[2]MPU!CZ130</f>
        <v>#ERROR!</v>
      </c>
      <c r="DA975" s="155" t="str">
        <f>[2]MPU!DA130</f>
        <v>#ERROR!</v>
      </c>
      <c r="DB975" s="155" t="str">
        <f>[2]MPU!DB130</f>
        <v>#ERROR!</v>
      </c>
      <c r="DC975" s="155" t="str">
        <f>[2]MPU!DC130</f>
        <v>#ERROR!</v>
      </c>
      <c r="DD975" s="94" t="str">
        <f>[2]MPU!DD130</f>
        <v>#ERROR!</v>
      </c>
      <c r="DE975" s="155" t="str">
        <f>[2]MPU!DE130</f>
        <v>#ERROR!</v>
      </c>
      <c r="DF975" s="155" t="str">
        <f>[2]MPU!DF130</f>
        <v>#ERROR!</v>
      </c>
      <c r="DG975" s="129" t="str">
        <f>[2]MPU!DG130</f>
        <v>#ERROR!</v>
      </c>
      <c r="DH975" s="155" t="str">
        <f>[2]MPU!DH130</f>
        <v>#ERROR!</v>
      </c>
      <c r="DI975" s="94" t="str">
        <f>[2]MPU!DI130</f>
        <v>#ERROR!</v>
      </c>
      <c r="DJ975" s="156" t="str">
        <f>[2]MPU!DJ130</f>
        <v>#ERROR!</v>
      </c>
      <c r="DK975" s="156" t="str">
        <f>[2]MPU!DK130</f>
        <v>#ERROR!</v>
      </c>
      <c r="DL975" s="156" t="str">
        <f>[2]MPU!DL130</f>
        <v>#ERROR!</v>
      </c>
      <c r="DM975" s="155" t="str">
        <f>[2]MPU!DM130</f>
        <v>#ERROR!</v>
      </c>
      <c r="DN975" s="94" t="str">
        <f>[2]MPU!DN130</f>
        <v>#ERROR!</v>
      </c>
      <c r="DO975" s="155" t="str">
        <f>[2]MPU!DT130</f>
        <v>#ERROR!</v>
      </c>
      <c r="DP975" s="155" t="str">
        <f>[2]MPU!DU130</f>
        <v>#ERROR!</v>
      </c>
      <c r="DQ975" s="155" t="str">
        <f>[2]MPU!DV130</f>
        <v>#ERROR!</v>
      </c>
      <c r="DR975" s="155" t="str">
        <f>[2]MPU!DW130</f>
        <v>#ERROR!</v>
      </c>
      <c r="DS975" s="94" t="str">
        <f>[2]MPU!DX130</f>
        <v>#ERROR!</v>
      </c>
      <c r="DT975" s="155" t="str">
        <f>[2]MPU!DY130</f>
        <v>#ERROR!</v>
      </c>
      <c r="DU975" s="155" t="str">
        <f>[2]MPU!DZ130</f>
        <v>#ERROR!</v>
      </c>
      <c r="DV975" s="155" t="str">
        <f>[2]MPU!EA130</f>
        <v>#ERROR!</v>
      </c>
      <c r="DW975" s="155" t="str">
        <f>[2]MPU!EB130</f>
        <v>#ERROR!</v>
      </c>
      <c r="DX975" s="94" t="str">
        <f>[2]MPU!EC130</f>
        <v>#ERROR!</v>
      </c>
      <c r="DY975" s="155" t="str">
        <f>[2]MPU!ED130</f>
        <v>#ERROR!</v>
      </c>
      <c r="DZ975" s="155" t="str">
        <f>[2]MPU!EE130</f>
        <v>#ERROR!</v>
      </c>
      <c r="EA975" s="155" t="str">
        <f>[2]MPU!EF130</f>
        <v>#ERROR!</v>
      </c>
      <c r="EB975" s="155" t="str">
        <f>[2]MPU!EG130</f>
        <v>#ERROR!</v>
      </c>
      <c r="EC975" s="94" t="str">
        <f>[2]MPU!EH130</f>
        <v>#ERROR!</v>
      </c>
      <c r="ED975" s="155" t="str">
        <f>[2]MPU!EI130</f>
        <v>#ERROR!</v>
      </c>
      <c r="EE975" s="155" t="str">
        <f>[2]MPU!EJ130</f>
        <v>#ERROR!</v>
      </c>
      <c r="EF975" s="155" t="str">
        <f>[2]MPU!#REF!</f>
        <v>#ERROR!</v>
      </c>
      <c r="EG975" s="155" t="str">
        <f>[2]MPU!#REF!</f>
        <v>#ERROR!</v>
      </c>
      <c r="EH975" s="94" t="str">
        <f>[2]MPU!#REF!</f>
        <v>#ERROR!</v>
      </c>
      <c r="EI975" s="157" t="str">
        <f>[2]MPU!#REF!</f>
        <v>#ERROR!</v>
      </c>
      <c r="EJ975" s="155" t="str">
        <f>[2]MPU!#REF!</f>
        <v>#ERROR!</v>
      </c>
      <c r="EK975" s="155" t="str">
        <f>[2]MPU!#REF!</f>
        <v>#ERROR!</v>
      </c>
      <c r="EL975" s="155" t="str">
        <f>[2]MPU!#REF!</f>
        <v>#ERROR!</v>
      </c>
      <c r="EM975" s="94" t="str">
        <f>[2]MPU!#REF!</f>
        <v>#ERROR!</v>
      </c>
      <c r="EN975" s="155" t="str">
        <f>[2]MPU!#REF!</f>
        <v>#ERROR!</v>
      </c>
      <c r="EO975" s="155" t="str">
        <f>[2]MPU!#REF!</f>
        <v>#ERROR!</v>
      </c>
      <c r="EP975" s="155" t="str">
        <f>[2]MPU!#REF!</f>
        <v>#ERROR!</v>
      </c>
      <c r="EQ975" s="155" t="str">
        <f>[2]MPU!#REF!</f>
        <v>#ERROR!</v>
      </c>
      <c r="ER975" s="94" t="str">
        <f>[2]MPU!#REF!</f>
        <v>#ERROR!</v>
      </c>
      <c r="ES975" s="155" t="str">
        <f>[2]MPU!#REF!</f>
        <v>#ERROR!</v>
      </c>
      <c r="ET975" s="155" t="str">
        <f>[2]MPU!#REF!</f>
        <v>#ERROR!</v>
      </c>
      <c r="EU975" s="155" t="str">
        <f>[2]MPU!#REF!</f>
        <v>#ERROR!</v>
      </c>
      <c r="EV975" s="155" t="str">
        <f>[2]MPU!#REF!</f>
        <v>#ERROR!</v>
      </c>
      <c r="EW975" s="94" t="str">
        <f>[2]MPU!#REF!</f>
        <v>#ERROR!</v>
      </c>
      <c r="EX975" s="155" t="str">
        <f>[2]MPU!#REF!</f>
        <v>#ERROR!</v>
      </c>
      <c r="EY975" s="155" t="str">
        <f>[2]MPU!#REF!</f>
        <v>#ERROR!</v>
      </c>
      <c r="EZ975" s="155" t="str">
        <f>[2]MPU!#REF!</f>
        <v>#ERROR!</v>
      </c>
      <c r="FA975" s="155" t="str">
        <f>[2]MPU!#REF!</f>
        <v>#ERROR!</v>
      </c>
      <c r="FB975" s="94" t="str">
        <f>[2]MPU!#REF!</f>
        <v>#ERROR!</v>
      </c>
      <c r="FC975" s="155" t="str">
        <f>[2]MPU!#REF!</f>
        <v>#ERROR!</v>
      </c>
      <c r="FD975" s="155" t="str">
        <f>[2]MPU!#REF!</f>
        <v>#ERROR!</v>
      </c>
      <c r="FE975" s="155" t="str">
        <f>[2]MPU!#REF!</f>
        <v>#ERROR!</v>
      </c>
      <c r="FF975" s="155" t="str">
        <f>[2]MPU!#REF!</f>
        <v>#ERROR!</v>
      </c>
      <c r="FG975" s="94" t="str">
        <f>[2]MPU!#REF!</f>
        <v>#ERROR!</v>
      </c>
      <c r="FH975" s="98"/>
      <c r="FI975" s="155"/>
      <c r="FJ975" s="155"/>
      <c r="FK975" s="93"/>
      <c r="FL975" s="155"/>
    </row>
    <row r="976" ht="12.75" hidden="1" customHeight="1" outlineLevel="1">
      <c r="A976" s="17"/>
      <c r="B976" s="17"/>
      <c r="C976" s="17"/>
      <c r="D976" s="17"/>
      <c r="E976" s="17"/>
      <c r="F976" s="17"/>
      <c r="G976" s="17"/>
      <c r="H976" s="73"/>
      <c r="I976" s="17"/>
      <c r="J976" s="17"/>
      <c r="K976" s="17"/>
      <c r="L976" s="17"/>
      <c r="M976" s="73"/>
      <c r="N976" s="17"/>
      <c r="O976" s="17"/>
      <c r="P976" s="17"/>
      <c r="Q976" s="17"/>
      <c r="R976" s="73"/>
      <c r="S976" s="17"/>
      <c r="T976" s="17"/>
      <c r="U976" s="17"/>
      <c r="V976" s="17"/>
      <c r="W976" s="73"/>
      <c r="X976" s="17"/>
      <c r="Y976" s="17"/>
      <c r="Z976" s="17"/>
      <c r="AA976" s="17"/>
      <c r="AB976" s="73"/>
      <c r="AC976" s="17"/>
      <c r="AD976" s="17"/>
      <c r="AE976" s="17"/>
      <c r="AF976" s="17"/>
      <c r="AG976" s="73"/>
      <c r="AH976" s="17"/>
      <c r="AI976" s="17"/>
      <c r="AJ976" s="17"/>
      <c r="AK976" s="17"/>
      <c r="AL976" s="73"/>
      <c r="AM976" s="17"/>
      <c r="AN976" s="17"/>
      <c r="AO976" s="17"/>
      <c r="AP976" s="17"/>
      <c r="AQ976" s="73"/>
      <c r="AR976" s="17"/>
      <c r="AS976" s="17"/>
      <c r="AT976" s="17"/>
      <c r="AU976" s="17"/>
      <c r="AV976" s="73"/>
      <c r="AW976" s="17"/>
      <c r="AX976" s="17"/>
      <c r="AY976" s="17"/>
      <c r="AZ976" s="17"/>
      <c r="BA976" s="73"/>
      <c r="BB976" s="17"/>
      <c r="BC976" s="17"/>
      <c r="BD976" s="17"/>
      <c r="BE976" s="17"/>
      <c r="BF976" s="73"/>
      <c r="BG976" s="17"/>
      <c r="BH976" s="17"/>
      <c r="BI976" s="17"/>
      <c r="BJ976" s="17"/>
      <c r="BK976" s="73"/>
      <c r="BL976" s="17"/>
      <c r="BM976" s="17"/>
      <c r="BN976" s="17"/>
      <c r="BO976" s="17"/>
      <c r="BP976" s="73"/>
      <c r="BQ976" s="17"/>
      <c r="BR976" s="17"/>
      <c r="BS976" s="17"/>
      <c r="BT976" s="17"/>
      <c r="BU976" s="73"/>
      <c r="BV976" s="17"/>
      <c r="BW976" s="17"/>
      <c r="BX976" s="17"/>
      <c r="BY976" s="17"/>
      <c r="BZ976" s="18"/>
      <c r="CA976" s="17"/>
      <c r="CB976" s="17"/>
      <c r="CC976" s="17"/>
      <c r="CD976" s="17"/>
      <c r="CE976" s="18"/>
      <c r="CF976" s="17"/>
      <c r="CG976" s="17"/>
      <c r="CH976" s="17"/>
      <c r="CI976" s="17"/>
      <c r="CJ976" s="18"/>
      <c r="CK976" s="17"/>
      <c r="CL976" s="17"/>
      <c r="CM976" s="17"/>
      <c r="CN976" s="19"/>
      <c r="CO976" s="18"/>
      <c r="CP976" s="19"/>
      <c r="CQ976" s="17"/>
      <c r="CR976" s="17"/>
      <c r="CS976" s="17"/>
      <c r="CT976" s="18"/>
      <c r="CU976" s="17"/>
      <c r="CV976" s="17"/>
      <c r="CW976" s="17"/>
      <c r="CX976" s="17"/>
      <c r="CY976" s="18"/>
      <c r="CZ976" s="17"/>
      <c r="DA976" s="17"/>
      <c r="DB976" s="17"/>
      <c r="DC976" s="17"/>
      <c r="DD976" s="18"/>
      <c r="DE976" s="17"/>
      <c r="DF976" s="17"/>
      <c r="DG976" s="19"/>
      <c r="DH976" s="17"/>
      <c r="DI976" s="18"/>
      <c r="DJ976" s="19"/>
      <c r="DK976" s="19"/>
      <c r="DL976" s="19"/>
      <c r="DM976" s="17"/>
      <c r="DN976" s="18"/>
      <c r="DO976" s="17"/>
      <c r="DP976" s="17"/>
      <c r="DQ976" s="17"/>
      <c r="DR976" s="17"/>
      <c r="DS976" s="18"/>
      <c r="DT976" s="17"/>
      <c r="DU976" s="17"/>
      <c r="DV976" s="17"/>
      <c r="DW976" s="17"/>
      <c r="DX976" s="18"/>
      <c r="DY976" s="17"/>
      <c r="DZ976" s="17"/>
      <c r="EA976" s="17"/>
      <c r="EB976" s="17"/>
      <c r="EC976" s="18"/>
      <c r="ED976" s="17"/>
      <c r="EE976" s="17"/>
      <c r="EF976" s="17"/>
      <c r="EG976" s="17"/>
      <c r="EH976" s="18"/>
      <c r="EI976" s="25"/>
      <c r="EJ976" s="17"/>
      <c r="EK976" s="17"/>
      <c r="EL976" s="17"/>
      <c r="EM976" s="18"/>
      <c r="EN976" s="17"/>
      <c r="EO976" s="17"/>
      <c r="EP976" s="17"/>
      <c r="EQ976" s="17"/>
      <c r="ER976" s="18"/>
      <c r="ES976" s="17"/>
      <c r="ET976" s="17"/>
      <c r="EU976" s="17"/>
      <c r="EV976" s="17"/>
      <c r="EW976" s="18"/>
      <c r="EX976" s="17"/>
      <c r="EY976" s="17"/>
      <c r="EZ976" s="17"/>
      <c r="FA976" s="17"/>
      <c r="FB976" s="18"/>
      <c r="FC976" s="17"/>
      <c r="FD976" s="17"/>
      <c r="FE976" s="17"/>
      <c r="FF976" s="17"/>
      <c r="FG976" s="18"/>
      <c r="FH976" s="74"/>
      <c r="FI976" s="17"/>
      <c r="FJ976" s="17"/>
      <c r="FK976" s="73"/>
      <c r="FL976" s="17"/>
    </row>
    <row r="977" ht="12.75" hidden="1" customHeight="1" outlineLevel="1">
      <c r="A977" s="670"/>
      <c r="B977" s="611" t="str">
        <f>[2]MPU!B141</f>
        <v>#ERROR!</v>
      </c>
      <c r="C977" s="611"/>
      <c r="D977" s="611"/>
      <c r="E977" s="611"/>
      <c r="F977" s="611"/>
      <c r="G977" s="611"/>
      <c r="H977" s="704"/>
      <c r="I977" s="611" t="str">
        <f>[2]MPU!I141</f>
        <v>#ERROR!</v>
      </c>
      <c r="J977" s="611" t="str">
        <f>[2]MPU!J141</f>
        <v>#ERROR!</v>
      </c>
      <c r="K977" s="611" t="str">
        <f>[2]MPU!K141</f>
        <v>#ERROR!</v>
      </c>
      <c r="L977" s="611" t="str">
        <f>[2]MPU!L141</f>
        <v>#ERROR!</v>
      </c>
      <c r="M977" s="704" t="str">
        <f>[2]MPU!M141</f>
        <v>#ERROR!</v>
      </c>
      <c r="N977" s="611" t="str">
        <f>[2]MPU!N141</f>
        <v>#ERROR!</v>
      </c>
      <c r="O977" s="611" t="str">
        <f>[2]MPU!O141</f>
        <v>#ERROR!</v>
      </c>
      <c r="P977" s="611" t="str">
        <f>[2]MPU!P141</f>
        <v>#ERROR!</v>
      </c>
      <c r="Q977" s="611" t="str">
        <f>[2]MPU!Q141</f>
        <v>#ERROR!</v>
      </c>
      <c r="R977" s="704" t="str">
        <f>[2]MPU!R141</f>
        <v>#ERROR!</v>
      </c>
      <c r="S977" s="611" t="str">
        <f>[2]MPU!S141</f>
        <v>#ERROR!</v>
      </c>
      <c r="T977" s="611" t="str">
        <f>[2]MPU!T141</f>
        <v>#ERROR!</v>
      </c>
      <c r="U977" s="611" t="str">
        <f>[2]MPU!U141</f>
        <v>#ERROR!</v>
      </c>
      <c r="V977" s="611" t="str">
        <f>[2]MPU!V141</f>
        <v>#ERROR!</v>
      </c>
      <c r="W977" s="704" t="str">
        <f>[2]MPU!W141</f>
        <v>#ERROR!</v>
      </c>
      <c r="X977" s="611" t="str">
        <f>[2]MPU!X141</f>
        <v>#ERROR!</v>
      </c>
      <c r="Y977" s="611" t="str">
        <f>[2]MPU!Y141</f>
        <v>#ERROR!</v>
      </c>
      <c r="Z977" s="611" t="str">
        <f>[2]MPU!Z141</f>
        <v>#ERROR!</v>
      </c>
      <c r="AA977" s="611" t="str">
        <f>[2]MPU!AA141</f>
        <v>#ERROR!</v>
      </c>
      <c r="AB977" s="704" t="str">
        <f>[2]MPU!AB141</f>
        <v>#ERROR!</v>
      </c>
      <c r="AC977" s="611" t="str">
        <f>[2]MPU!AC141</f>
        <v>#ERROR!</v>
      </c>
      <c r="AD977" s="611" t="str">
        <f>[2]MPU!AD141</f>
        <v>#ERROR!</v>
      </c>
      <c r="AE977" s="611" t="str">
        <f>[2]MPU!AE141</f>
        <v>#ERROR!</v>
      </c>
      <c r="AF977" s="611" t="str">
        <f>[2]MPU!AF141</f>
        <v>#ERROR!</v>
      </c>
      <c r="AG977" s="704" t="str">
        <f>[2]MPU!AG141</f>
        <v>#ERROR!</v>
      </c>
      <c r="AH977" s="611" t="str">
        <f>[2]MPU!AH141</f>
        <v>#ERROR!</v>
      </c>
      <c r="AI977" s="611" t="str">
        <f>[2]MPU!AI141</f>
        <v>#ERROR!</v>
      </c>
      <c r="AJ977" s="611" t="str">
        <f>[2]MPU!AJ141</f>
        <v>#ERROR!</v>
      </c>
      <c r="AK977" s="611" t="str">
        <f>[2]MPU!AK141</f>
        <v>#ERROR!</v>
      </c>
      <c r="AL977" s="704" t="str">
        <f>[2]MPU!AL141</f>
        <v>#ERROR!</v>
      </c>
      <c r="AM977" s="611" t="str">
        <f>[2]MPU!AM141</f>
        <v>#ERROR!</v>
      </c>
      <c r="AN977" s="611" t="str">
        <f>[2]MPU!AN141</f>
        <v>#ERROR!</v>
      </c>
      <c r="AO977" s="611" t="str">
        <f>[2]MPU!AO141</f>
        <v>#ERROR!</v>
      </c>
      <c r="AP977" s="611" t="str">
        <f>[2]MPU!AP141</f>
        <v>#ERROR!</v>
      </c>
      <c r="AQ977" s="704" t="str">
        <f>[2]MPU!AQ141</f>
        <v>#ERROR!</v>
      </c>
      <c r="AR977" s="611" t="str">
        <f>[2]MPU!AR141</f>
        <v>#ERROR!</v>
      </c>
      <c r="AS977" s="611" t="str">
        <f>[2]MPU!AS141</f>
        <v>#ERROR!</v>
      </c>
      <c r="AT977" s="611" t="str">
        <f>[2]MPU!AT141</f>
        <v>#ERROR!</v>
      </c>
      <c r="AU977" s="611" t="str">
        <f>[2]MPU!AU141</f>
        <v>#ERROR!</v>
      </c>
      <c r="AV977" s="704" t="str">
        <f>[2]MPU!AV141</f>
        <v>#ERROR!</v>
      </c>
      <c r="AW977" s="611" t="str">
        <f>[2]MPU!AW141</f>
        <v>#ERROR!</v>
      </c>
      <c r="AX977" s="611" t="str">
        <f>[2]MPU!AX141</f>
        <v>#ERROR!</v>
      </c>
      <c r="AY977" s="611" t="str">
        <f>[2]MPU!AY141</f>
        <v>#ERROR!</v>
      </c>
      <c r="AZ977" s="611" t="str">
        <f>[2]MPU!AZ141</f>
        <v>#ERROR!</v>
      </c>
      <c r="BA977" s="704" t="str">
        <f>[2]MPU!BA141</f>
        <v>#ERROR!</v>
      </c>
      <c r="BB977" s="611" t="str">
        <f>[2]MPU!BB141</f>
        <v>#ERROR!</v>
      </c>
      <c r="BC977" s="611" t="str">
        <f>[2]MPU!BC141</f>
        <v>#ERROR!</v>
      </c>
      <c r="BD977" s="611" t="str">
        <f>[2]MPU!BD141</f>
        <v>#ERROR!</v>
      </c>
      <c r="BE977" s="611" t="str">
        <f>[2]MPU!BE141</f>
        <v>#ERROR!</v>
      </c>
      <c r="BF977" s="704" t="str">
        <f>[2]MPU!BF141</f>
        <v>#ERROR!</v>
      </c>
      <c r="BG977" s="611" t="str">
        <f>[2]MPU!BG141</f>
        <v>#ERROR!</v>
      </c>
      <c r="BH977" s="611" t="str">
        <f>[2]MPU!BH141</f>
        <v>#ERROR!</v>
      </c>
      <c r="BI977" s="611" t="str">
        <f>[2]MPU!BI141</f>
        <v>#ERROR!</v>
      </c>
      <c r="BJ977" s="611" t="str">
        <f>[2]MPU!BJ141</f>
        <v>#ERROR!</v>
      </c>
      <c r="BK977" s="704" t="str">
        <f>[2]MPU!BK141</f>
        <v>#ERROR!</v>
      </c>
      <c r="BL977" s="611" t="str">
        <f>[2]MPU!BL141</f>
        <v>#ERROR!</v>
      </c>
      <c r="BM977" s="611" t="str">
        <f>[2]MPU!BM141</f>
        <v>#ERROR!</v>
      </c>
      <c r="BN977" s="611" t="str">
        <f>[2]MPU!BN141</f>
        <v>#ERROR!</v>
      </c>
      <c r="BO977" s="611" t="str">
        <f>[2]MPU!BO141</f>
        <v>#ERROR!</v>
      </c>
      <c r="BP977" s="704" t="str">
        <f>[2]MPU!BP141</f>
        <v>#ERROR!</v>
      </c>
      <c r="BQ977" s="611" t="str">
        <f>[2]MPU!BQ141</f>
        <v>#ERROR!</v>
      </c>
      <c r="BR977" s="611" t="str">
        <f>[2]MPU!BR141</f>
        <v>#ERROR!</v>
      </c>
      <c r="BS977" s="611" t="str">
        <f>[2]MPU!BS141</f>
        <v>#ERROR!</v>
      </c>
      <c r="BT977" s="611" t="str">
        <f>[2]MPU!BT141</f>
        <v>#ERROR!</v>
      </c>
      <c r="BU977" s="704" t="str">
        <f>[2]MPU!BU141</f>
        <v>#ERROR!</v>
      </c>
      <c r="BV977" s="611" t="str">
        <f>[2]MPU!BV141</f>
        <v>#ERROR!</v>
      </c>
      <c r="BW977" s="611" t="str">
        <f>[2]MPU!BW141</f>
        <v>#ERROR!</v>
      </c>
      <c r="BX977" s="611" t="str">
        <f>[2]MPU!BX141</f>
        <v>#ERROR!</v>
      </c>
      <c r="BY977" s="611" t="str">
        <f>[2]MPU!BY141</f>
        <v>#ERROR!</v>
      </c>
      <c r="BZ977" s="705" t="str">
        <f>[2]MPU!BZ141</f>
        <v>#ERROR!</v>
      </c>
      <c r="CA977" s="611" t="str">
        <f>[2]MPU!CA141</f>
        <v>#ERROR!</v>
      </c>
      <c r="CB977" s="611" t="str">
        <f>[2]MPU!CB141</f>
        <v>#ERROR!</v>
      </c>
      <c r="CC977" s="611" t="str">
        <f>[2]MPU!CC141</f>
        <v>#ERROR!</v>
      </c>
      <c r="CD977" s="611" t="str">
        <f>[2]MPU!CD141</f>
        <v>#ERROR!</v>
      </c>
      <c r="CE977" s="705" t="str">
        <f>[2]MPU!CE141</f>
        <v>#ERROR!</v>
      </c>
      <c r="CF977" s="611" t="str">
        <f>[2]MPU!CF141</f>
        <v>#ERROR!</v>
      </c>
      <c r="CG977" s="611" t="str">
        <f>[2]MPU!CG141</f>
        <v>#ERROR!</v>
      </c>
      <c r="CH977" s="611" t="str">
        <f>[2]MPU!CH141</f>
        <v>#ERROR!</v>
      </c>
      <c r="CI977" s="611" t="str">
        <f>[2]MPU!CI141</f>
        <v>#ERROR!</v>
      </c>
      <c r="CJ977" s="705" t="str">
        <f>[2]MPU!CJ141</f>
        <v>#ERROR!</v>
      </c>
      <c r="CK977" s="611" t="str">
        <f>[2]MPU!CK141</f>
        <v>#ERROR!</v>
      </c>
      <c r="CL977" s="611" t="str">
        <f>[2]MPU!CL141</f>
        <v>#ERROR!</v>
      </c>
      <c r="CM977" s="611" t="str">
        <f>[2]MPU!CM141</f>
        <v>#ERROR!</v>
      </c>
      <c r="CN977" s="614" t="str">
        <f>[2]MPU!CN141</f>
        <v>#ERROR!</v>
      </c>
      <c r="CO977" s="705" t="str">
        <f>[2]MPU!CO141</f>
        <v>#ERROR!</v>
      </c>
      <c r="CP977" s="614" t="str">
        <f>[2]MPU!CP141</f>
        <v>#ERROR!</v>
      </c>
      <c r="CQ977" s="611" t="str">
        <f>[2]MPU!CQ141</f>
        <v>#ERROR!</v>
      </c>
      <c r="CR977" s="611" t="str">
        <f>[2]MPU!CR141</f>
        <v>#ERROR!</v>
      </c>
      <c r="CS977" s="611" t="str">
        <f>[2]MPU!CS141</f>
        <v>#ERROR!</v>
      </c>
      <c r="CT977" s="705" t="str">
        <f>[2]MPU!CT141</f>
        <v>#ERROR!</v>
      </c>
      <c r="CU977" s="611" t="str">
        <f>[2]MPU!CU141</f>
        <v>#ERROR!</v>
      </c>
      <c r="CV977" s="611" t="str">
        <f>[2]MPU!CV141</f>
        <v>#ERROR!</v>
      </c>
      <c r="CW977" s="611" t="str">
        <f>[2]MPU!CW141</f>
        <v>#ERROR!</v>
      </c>
      <c r="CX977" s="611" t="str">
        <f>[2]MPU!CX141</f>
        <v>#ERROR!</v>
      </c>
      <c r="CY977" s="705" t="str">
        <f>[2]MPU!CY141</f>
        <v>#ERROR!</v>
      </c>
      <c r="CZ977" s="611" t="str">
        <f>[2]MPU!CZ141</f>
        <v>#ERROR!</v>
      </c>
      <c r="DA977" s="611" t="str">
        <f>[2]MPU!DA141</f>
        <v>#ERROR!</v>
      </c>
      <c r="DB977" s="611" t="str">
        <f>[2]MPU!DB141</f>
        <v>#ERROR!</v>
      </c>
      <c r="DC977" s="611" t="str">
        <f>[2]MPU!DC141</f>
        <v>#ERROR!</v>
      </c>
      <c r="DD977" s="705" t="str">
        <f>[2]MPU!DD141</f>
        <v>#ERROR!</v>
      </c>
      <c r="DE977" s="611" t="str">
        <f>[2]MPU!DE141</f>
        <v>#ERROR!</v>
      </c>
      <c r="DF977" s="611" t="str">
        <f>[2]MPU!DF141</f>
        <v>#ERROR!</v>
      </c>
      <c r="DG977" s="19" t="str">
        <f>[2]MPU!DG141</f>
        <v>#ERROR!</v>
      </c>
      <c r="DH977" s="611" t="str">
        <f>[2]MPU!DH141</f>
        <v>#ERROR!</v>
      </c>
      <c r="DI977" s="705" t="str">
        <f>[2]MPU!DI141</f>
        <v>#ERROR!</v>
      </c>
      <c r="DJ977" s="614" t="str">
        <f>[2]MPU!DJ141</f>
        <v>#ERROR!</v>
      </c>
      <c r="DK977" s="614" t="str">
        <f>[2]MPU!DK141</f>
        <v>#ERROR!</v>
      </c>
      <c r="DL977" s="614" t="str">
        <f>[2]MPU!DL141</f>
        <v>#ERROR!</v>
      </c>
      <c r="DM977" s="611" t="str">
        <f>[2]MPU!DM141</f>
        <v>#ERROR!</v>
      </c>
      <c r="DN977" s="705" t="str">
        <f>[2]MPU!DN141</f>
        <v>#ERROR!</v>
      </c>
      <c r="DO977" s="611" t="str">
        <f>[2]MPU!DT141</f>
        <v>#ERROR!</v>
      </c>
      <c r="DP977" s="611" t="str">
        <f>[2]MPU!DU141</f>
        <v>#ERROR!</v>
      </c>
      <c r="DQ977" s="611" t="str">
        <f>[2]MPU!DV141</f>
        <v>#ERROR!</v>
      </c>
      <c r="DR977" s="611" t="str">
        <f>[2]MPU!DW141</f>
        <v>#ERROR!</v>
      </c>
      <c r="DS977" s="705" t="str">
        <f>[2]MPU!DX141</f>
        <v>#ERROR!</v>
      </c>
      <c r="DT977" s="611" t="str">
        <f>[2]MPU!DY141</f>
        <v>#ERROR!</v>
      </c>
      <c r="DU977" s="611" t="str">
        <f>[2]MPU!DZ141</f>
        <v>#ERROR!</v>
      </c>
      <c r="DV977" s="611" t="str">
        <f>[2]MPU!EA141</f>
        <v>#ERROR!</v>
      </c>
      <c r="DW977" s="611" t="str">
        <f>[2]MPU!EB141</f>
        <v>#ERROR!</v>
      </c>
      <c r="DX977" s="705" t="str">
        <f>[2]MPU!EC141</f>
        <v>#ERROR!</v>
      </c>
      <c r="DY977" s="611" t="str">
        <f>[2]MPU!ED141</f>
        <v>#ERROR!</v>
      </c>
      <c r="DZ977" s="611" t="str">
        <f>[2]MPU!EE141</f>
        <v>#ERROR!</v>
      </c>
      <c r="EA977" s="611" t="str">
        <f>[2]MPU!EF141</f>
        <v>#ERROR!</v>
      </c>
      <c r="EB977" s="611" t="str">
        <f>[2]MPU!EG141</f>
        <v>#ERROR!</v>
      </c>
      <c r="EC977" s="705" t="str">
        <f>[2]MPU!EH141</f>
        <v>#ERROR!</v>
      </c>
      <c r="ED977" s="611" t="str">
        <f>[2]MPU!EI141</f>
        <v>#ERROR!</v>
      </c>
      <c r="EE977" s="611" t="str">
        <f>[2]MPU!EJ141</f>
        <v>#ERROR!</v>
      </c>
      <c r="EF977" s="611" t="str">
        <f>[2]MPU!#REF!</f>
        <v>#ERROR!</v>
      </c>
      <c r="EG977" s="611" t="str">
        <f>[2]MPU!#REF!</f>
        <v>#ERROR!</v>
      </c>
      <c r="EH977" s="705" t="str">
        <f>[2]MPU!#REF!</f>
        <v>#ERROR!</v>
      </c>
      <c r="EI977" s="615" t="str">
        <f>[2]MPU!#REF!</f>
        <v>#ERROR!</v>
      </c>
      <c r="EJ977" s="611" t="str">
        <f>[2]MPU!#REF!</f>
        <v>#ERROR!</v>
      </c>
      <c r="EK977" s="611" t="str">
        <f>[2]MPU!#REF!</f>
        <v>#ERROR!</v>
      </c>
      <c r="EL977" s="611" t="str">
        <f>[2]MPU!#REF!</f>
        <v>#ERROR!</v>
      </c>
      <c r="EM977" s="705" t="str">
        <f>[2]MPU!#REF!</f>
        <v>#ERROR!</v>
      </c>
      <c r="EN977" s="611" t="str">
        <f>[2]MPU!#REF!</f>
        <v>#ERROR!</v>
      </c>
      <c r="EO977" s="611" t="str">
        <f>[2]MPU!#REF!</f>
        <v>#ERROR!</v>
      </c>
      <c r="EP977" s="611" t="str">
        <f>[2]MPU!#REF!</f>
        <v>#ERROR!</v>
      </c>
      <c r="EQ977" s="611" t="str">
        <f>[2]MPU!#REF!</f>
        <v>#ERROR!</v>
      </c>
      <c r="ER977" s="705" t="str">
        <f>[2]MPU!#REF!</f>
        <v>#ERROR!</v>
      </c>
      <c r="ES977" s="611" t="str">
        <f>[2]MPU!#REF!</f>
        <v>#ERROR!</v>
      </c>
      <c r="ET977" s="611" t="str">
        <f>[2]MPU!#REF!</f>
        <v>#ERROR!</v>
      </c>
      <c r="EU977" s="611" t="str">
        <f>[2]MPU!#REF!</f>
        <v>#ERROR!</v>
      </c>
      <c r="EV977" s="611" t="str">
        <f>[2]MPU!#REF!</f>
        <v>#ERROR!</v>
      </c>
      <c r="EW977" s="705" t="str">
        <f>[2]MPU!#REF!</f>
        <v>#ERROR!</v>
      </c>
      <c r="EX977" s="611" t="str">
        <f>[2]MPU!#REF!</f>
        <v>#ERROR!</v>
      </c>
      <c r="EY977" s="611" t="str">
        <f>[2]MPU!#REF!</f>
        <v>#ERROR!</v>
      </c>
      <c r="EZ977" s="611" t="str">
        <f>[2]MPU!#REF!</f>
        <v>#ERROR!</v>
      </c>
      <c r="FA977" s="611" t="str">
        <f>[2]MPU!#REF!</f>
        <v>#ERROR!</v>
      </c>
      <c r="FB977" s="705" t="str">
        <f>[2]MPU!#REF!</f>
        <v>#ERROR!</v>
      </c>
      <c r="FC977" s="611" t="str">
        <f>[2]MPU!#REF!</f>
        <v>#ERROR!</v>
      </c>
      <c r="FD977" s="611" t="str">
        <f>[2]MPU!#REF!</f>
        <v>#ERROR!</v>
      </c>
      <c r="FE977" s="611" t="str">
        <f>[2]MPU!#REF!</f>
        <v>#ERROR!</v>
      </c>
      <c r="FF977" s="611" t="str">
        <f>[2]MPU!#REF!</f>
        <v>#ERROR!</v>
      </c>
      <c r="FG977" s="705" t="str">
        <f>[2]MPU!#REF!</f>
        <v>#ERROR!</v>
      </c>
      <c r="FH977" s="706"/>
      <c r="FI977" s="611"/>
      <c r="FJ977" s="611"/>
      <c r="FK977" s="704"/>
      <c r="FL977" s="611"/>
    </row>
    <row r="978" ht="12.75" hidden="1" customHeight="1" outlineLevel="2">
      <c r="A978" s="670"/>
      <c r="B978" s="672" t="str">
        <f>+[2]MPU!B144</f>
        <v>#ERROR!</v>
      </c>
      <c r="C978" s="672" t="str">
        <f>+[2]MPU!C144</f>
        <v>#ERROR!</v>
      </c>
      <c r="D978" s="672" t="str">
        <f>+[2]MPU!D144</f>
        <v>#ERROR!</v>
      </c>
      <c r="E978" s="672" t="str">
        <f>+[2]MPU!E144</f>
        <v>#ERROR!</v>
      </c>
      <c r="F978" s="672" t="str">
        <f>+[2]MPU!F144</f>
        <v>#ERROR!</v>
      </c>
      <c r="G978" s="672" t="str">
        <f>+[2]MPU!G144</f>
        <v>#ERROR!</v>
      </c>
      <c r="H978" s="672" t="str">
        <f>+[2]MPU!H144</f>
        <v>#ERROR!</v>
      </c>
      <c r="I978" s="672" t="str">
        <f>+[2]MPU!I144</f>
        <v>#ERROR!</v>
      </c>
      <c r="J978" s="672" t="str">
        <f>+[2]MPU!J144</f>
        <v>#ERROR!</v>
      </c>
      <c r="K978" s="672" t="str">
        <f>+[2]MPU!K144</f>
        <v>#ERROR!</v>
      </c>
      <c r="L978" s="672" t="str">
        <f>+[2]MPU!L144</f>
        <v>#ERROR!</v>
      </c>
      <c r="M978" s="672" t="str">
        <f>+[2]MPU!M144</f>
        <v>#ERROR!</v>
      </c>
      <c r="N978" s="672" t="str">
        <f>+[2]MPU!N144</f>
        <v>#ERROR!</v>
      </c>
      <c r="O978" s="672" t="str">
        <f>+[2]MPU!O144</f>
        <v>#ERROR!</v>
      </c>
      <c r="P978" s="672" t="str">
        <f>+[2]MPU!P144</f>
        <v>#ERROR!</v>
      </c>
      <c r="Q978" s="672" t="str">
        <f>+[2]MPU!Q144</f>
        <v>#ERROR!</v>
      </c>
      <c r="R978" s="672" t="str">
        <f>+[2]MPU!R144</f>
        <v>#ERROR!</v>
      </c>
      <c r="S978" s="672" t="str">
        <f>+[2]MPU!S144</f>
        <v>#ERROR!</v>
      </c>
      <c r="T978" s="672" t="str">
        <f>+[2]MPU!T144</f>
        <v>#ERROR!</v>
      </c>
      <c r="U978" s="672" t="str">
        <f>+[2]MPU!U144</f>
        <v>#ERROR!</v>
      </c>
      <c r="V978" s="672" t="str">
        <f>+[2]MPU!V144</f>
        <v>#ERROR!</v>
      </c>
      <c r="W978" s="672" t="str">
        <f>+[2]MPU!W144</f>
        <v>#ERROR!</v>
      </c>
      <c r="X978" s="672" t="str">
        <f>+[2]MPU!X144</f>
        <v>#ERROR!</v>
      </c>
      <c r="Y978" s="672" t="str">
        <f>+[2]MPU!Y144</f>
        <v>#ERROR!</v>
      </c>
      <c r="Z978" s="672" t="str">
        <f>+[2]MPU!Z144</f>
        <v>#ERROR!</v>
      </c>
      <c r="AA978" s="672" t="str">
        <f>+[2]MPU!AA144</f>
        <v>#ERROR!</v>
      </c>
      <c r="AB978" s="672" t="str">
        <f>+[2]MPU!AB144</f>
        <v>#ERROR!</v>
      </c>
      <c r="AC978" s="672" t="str">
        <f>+[2]MPU!AC144</f>
        <v>#ERROR!</v>
      </c>
      <c r="AD978" s="672" t="str">
        <f>+[2]MPU!AD144</f>
        <v>#ERROR!</v>
      </c>
      <c r="AE978" s="672" t="str">
        <f>+[2]MPU!AE144</f>
        <v>#ERROR!</v>
      </c>
      <c r="AF978" s="672" t="str">
        <f>+[2]MPU!AF144</f>
        <v>#ERROR!</v>
      </c>
      <c r="AG978" s="672" t="str">
        <f>+[2]MPU!AG144</f>
        <v>#ERROR!</v>
      </c>
      <c r="AH978" s="672" t="str">
        <f>+[2]MPU!AH144</f>
        <v>#ERROR!</v>
      </c>
      <c r="AI978" s="672" t="str">
        <f>+[2]MPU!AI144</f>
        <v>#ERROR!</v>
      </c>
      <c r="AJ978" s="672" t="str">
        <f>+[2]MPU!AJ144</f>
        <v>#ERROR!</v>
      </c>
      <c r="AK978" s="672" t="str">
        <f>+[2]MPU!AK144</f>
        <v>#ERROR!</v>
      </c>
      <c r="AL978" s="672" t="str">
        <f>+[2]MPU!AL144</f>
        <v>#ERROR!</v>
      </c>
      <c r="AM978" s="672" t="str">
        <f>+[2]MPU!AM144</f>
        <v>#ERROR!</v>
      </c>
      <c r="AN978" s="672" t="str">
        <f>+[2]MPU!AN144</f>
        <v>#ERROR!</v>
      </c>
      <c r="AO978" s="672" t="str">
        <f>+[2]MPU!AO144</f>
        <v>#ERROR!</v>
      </c>
      <c r="AP978" s="672" t="str">
        <f>+[2]MPU!AP144</f>
        <v>#ERROR!</v>
      </c>
      <c r="AQ978" s="672" t="str">
        <f>+[2]MPU!AQ144</f>
        <v>#ERROR!</v>
      </c>
      <c r="AR978" s="672" t="str">
        <f>+[2]MPU!AR144</f>
        <v>#ERROR!</v>
      </c>
      <c r="AS978" s="672" t="str">
        <f>+[2]MPU!AS144</f>
        <v>#ERROR!</v>
      </c>
      <c r="AT978" s="672" t="str">
        <f>+[2]MPU!AT144</f>
        <v>#ERROR!</v>
      </c>
      <c r="AU978" s="672" t="str">
        <f>+[2]MPU!AU144</f>
        <v>#ERROR!</v>
      </c>
      <c r="AV978" s="672" t="str">
        <f>+[2]MPU!AV144</f>
        <v>#ERROR!</v>
      </c>
      <c r="AW978" s="672" t="str">
        <f>+[2]MPU!AW144</f>
        <v>#ERROR!</v>
      </c>
      <c r="AX978" s="672" t="str">
        <f>+[2]MPU!AX144</f>
        <v>#ERROR!</v>
      </c>
      <c r="AY978" s="672" t="str">
        <f>+[2]MPU!AY144</f>
        <v>#ERROR!</v>
      </c>
      <c r="AZ978" s="672" t="str">
        <f>+[2]MPU!AZ144</f>
        <v>#ERROR!</v>
      </c>
      <c r="BA978" s="672" t="str">
        <f>+[2]MPU!BA144</f>
        <v>#ERROR!</v>
      </c>
      <c r="BB978" s="672" t="str">
        <f>+[2]MPU!BB144</f>
        <v>#ERROR!</v>
      </c>
      <c r="BC978" s="672" t="str">
        <f>+[2]MPU!BC144</f>
        <v>#ERROR!</v>
      </c>
      <c r="BD978" s="672" t="str">
        <f>+[2]MPU!BD144</f>
        <v>#ERROR!</v>
      </c>
      <c r="BE978" s="672" t="str">
        <f>+[2]MPU!BE144</f>
        <v>#ERROR!</v>
      </c>
      <c r="BF978" s="672" t="str">
        <f>+[2]MPU!BF144</f>
        <v>#ERROR!</v>
      </c>
      <c r="BG978" s="672" t="str">
        <f>+[2]MPU!BG144</f>
        <v>#ERROR!</v>
      </c>
      <c r="BH978" s="672" t="str">
        <f>+[2]MPU!BH144</f>
        <v>#ERROR!</v>
      </c>
      <c r="BI978" s="672" t="str">
        <f>+[2]MPU!BI144</f>
        <v>#ERROR!</v>
      </c>
      <c r="BJ978" s="672" t="str">
        <f>+[2]MPU!BJ144</f>
        <v>#ERROR!</v>
      </c>
      <c r="BK978" s="672" t="str">
        <f>+[2]MPU!BK144</f>
        <v>#ERROR!</v>
      </c>
      <c r="BL978" s="672" t="str">
        <f>+[2]MPU!BL144</f>
        <v>#ERROR!</v>
      </c>
      <c r="BM978" s="672" t="str">
        <f>+[2]MPU!BM144</f>
        <v>#ERROR!</v>
      </c>
      <c r="BN978" s="672" t="str">
        <f>+[2]MPU!BN144</f>
        <v>#ERROR!</v>
      </c>
      <c r="BO978" s="672" t="str">
        <f>+[2]MPU!BO144</f>
        <v>#ERROR!</v>
      </c>
      <c r="BP978" s="672" t="str">
        <f>+[2]MPU!BP144</f>
        <v>#ERROR!</v>
      </c>
      <c r="BQ978" s="672" t="str">
        <f>+[2]MPU!BQ144</f>
        <v>#ERROR!</v>
      </c>
      <c r="BR978" s="672" t="str">
        <f>+[2]MPU!BR144</f>
        <v>#ERROR!</v>
      </c>
      <c r="BS978" s="672" t="str">
        <f>+[2]MPU!BS144</f>
        <v>#ERROR!</v>
      </c>
      <c r="BT978" s="672" t="str">
        <f>+[2]MPU!BT144</f>
        <v>#ERROR!</v>
      </c>
      <c r="BU978" s="672" t="str">
        <f>+[2]MPU!BU144</f>
        <v>#ERROR!</v>
      </c>
      <c r="BV978" s="672" t="str">
        <f>+[2]MPU!BV144</f>
        <v>#ERROR!</v>
      </c>
      <c r="BW978" s="672" t="str">
        <f>+[2]MPU!BW144</f>
        <v>#ERROR!</v>
      </c>
      <c r="BX978" s="672" t="str">
        <f>+[2]MPU!BX144</f>
        <v>#ERROR!</v>
      </c>
      <c r="BY978" s="672" t="str">
        <f>+[2]MPU!BY144</f>
        <v>#ERROR!</v>
      </c>
      <c r="BZ978" s="707" t="str">
        <f>+[2]MPU!BZ144</f>
        <v>#ERROR!</v>
      </c>
      <c r="CA978" s="672" t="str">
        <f>+[2]MPU!CA144</f>
        <v>#ERROR!</v>
      </c>
      <c r="CB978" s="672" t="str">
        <f>+[2]MPU!CB144</f>
        <v>#ERROR!</v>
      </c>
      <c r="CC978" s="672" t="str">
        <f>+[2]MPU!CC144</f>
        <v>#ERROR!</v>
      </c>
      <c r="CD978" s="672" t="str">
        <f>+[2]MPU!CD144</f>
        <v>#ERROR!</v>
      </c>
      <c r="CE978" s="707" t="str">
        <f>+[2]MPU!CE144</f>
        <v>#ERROR!</v>
      </c>
      <c r="CF978" s="672" t="str">
        <f>+[2]MPU!CF144</f>
        <v>#ERROR!</v>
      </c>
      <c r="CG978" s="672" t="str">
        <f>+[2]MPU!CG144</f>
        <v>#ERROR!</v>
      </c>
      <c r="CH978" s="672" t="str">
        <f>+[2]MPU!CH144</f>
        <v>#ERROR!</v>
      </c>
      <c r="CI978" s="672" t="str">
        <f>+[2]MPU!CI144</f>
        <v>#ERROR!</v>
      </c>
      <c r="CJ978" s="707" t="str">
        <f>+[2]MPU!CJ144</f>
        <v>#ERROR!</v>
      </c>
      <c r="CK978" s="672" t="str">
        <f>+[2]MPU!CK144</f>
        <v>#ERROR!</v>
      </c>
      <c r="CL978" s="672" t="str">
        <f>+[2]MPU!CL144</f>
        <v>#ERROR!</v>
      </c>
      <c r="CM978" s="672" t="str">
        <f>+[2]MPU!CM144</f>
        <v>#ERROR!</v>
      </c>
      <c r="CN978" s="675" t="str">
        <f>+[2]MPU!CN144</f>
        <v>#ERROR!</v>
      </c>
      <c r="CO978" s="707" t="str">
        <f>+[2]MPU!CO144</f>
        <v>#ERROR!</v>
      </c>
      <c r="CP978" s="675" t="str">
        <f>+[2]MPU!CP144</f>
        <v>#ERROR!</v>
      </c>
      <c r="CQ978" s="672" t="str">
        <f>+[2]MPU!CQ144</f>
        <v>#ERROR!</v>
      </c>
      <c r="CR978" s="672" t="str">
        <f>+[2]MPU!CR144</f>
        <v>#ERROR!</v>
      </c>
      <c r="CS978" s="672" t="str">
        <f>+[2]MPU!CS144</f>
        <v>#ERROR!</v>
      </c>
      <c r="CT978" s="707" t="str">
        <f>+[2]MPU!CT144</f>
        <v>#ERROR!</v>
      </c>
      <c r="CU978" s="672" t="str">
        <f>+[2]MPU!CU144</f>
        <v>#ERROR!</v>
      </c>
      <c r="CV978" s="672" t="str">
        <f>+[2]MPU!CV144</f>
        <v>#ERROR!</v>
      </c>
      <c r="CW978" s="672" t="str">
        <f>+[2]MPU!CW144</f>
        <v>#ERROR!</v>
      </c>
      <c r="CX978" s="672" t="str">
        <f>+[2]MPU!CX144</f>
        <v>#ERROR!</v>
      </c>
      <c r="CY978" s="707" t="str">
        <f>+[2]MPU!CY144</f>
        <v>#ERROR!</v>
      </c>
      <c r="CZ978" s="672" t="str">
        <f>+[2]MPU!CZ144</f>
        <v>#ERROR!</v>
      </c>
      <c r="DA978" s="672" t="str">
        <f>+[2]MPU!DA144</f>
        <v>#ERROR!</v>
      </c>
      <c r="DB978" s="672" t="str">
        <f>+[2]MPU!DB144</f>
        <v>#ERROR!</v>
      </c>
      <c r="DC978" s="672" t="str">
        <f>+[2]MPU!DC144</f>
        <v>#ERROR!</v>
      </c>
      <c r="DD978" s="707" t="str">
        <f>+[2]MPU!DD144</f>
        <v>#ERROR!</v>
      </c>
      <c r="DE978" s="672" t="str">
        <f>+[2]MPU!DE144</f>
        <v>#ERROR!</v>
      </c>
      <c r="DF978" s="672" t="str">
        <f>+[2]MPU!DF144</f>
        <v>#ERROR!</v>
      </c>
      <c r="DG978" s="19" t="str">
        <f>+[2]MPU!DG144</f>
        <v>#ERROR!</v>
      </c>
      <c r="DH978" s="672" t="str">
        <f>+[2]MPU!DH144</f>
        <v>#ERROR!</v>
      </c>
      <c r="DI978" s="707" t="str">
        <f>+[2]MPU!DI144</f>
        <v>#ERROR!</v>
      </c>
      <c r="DJ978" s="675" t="str">
        <f>+[2]MPU!DJ144</f>
        <v>#ERROR!</v>
      </c>
      <c r="DK978" s="675" t="str">
        <f>+[2]MPU!DK144</f>
        <v>#ERROR!</v>
      </c>
      <c r="DL978" s="675" t="str">
        <f>+[2]MPU!DL144</f>
        <v>#ERROR!</v>
      </c>
      <c r="DM978" s="672" t="str">
        <f>+[2]MPU!DM144</f>
        <v>#ERROR!</v>
      </c>
      <c r="DN978" s="707" t="str">
        <f>+[2]MPU!DN144</f>
        <v>#ERROR!</v>
      </c>
      <c r="DO978" s="672" t="str">
        <f>+[2]MPU!DT144</f>
        <v>#ERROR!</v>
      </c>
      <c r="DP978" s="672" t="str">
        <f>+[2]MPU!DU144</f>
        <v>#ERROR!</v>
      </c>
      <c r="DQ978" s="672" t="str">
        <f>+[2]MPU!DV144</f>
        <v>#ERROR!</v>
      </c>
      <c r="DR978" s="672" t="str">
        <f>+[2]MPU!DW144</f>
        <v>#ERROR!</v>
      </c>
      <c r="DS978" s="707" t="str">
        <f>+[2]MPU!DX144</f>
        <v>#ERROR!</v>
      </c>
      <c r="DT978" s="672" t="str">
        <f>+[2]MPU!DY144</f>
        <v>#ERROR!</v>
      </c>
      <c r="DU978" s="672" t="str">
        <f>+[2]MPU!DZ144</f>
        <v>#ERROR!</v>
      </c>
      <c r="DV978" s="672" t="str">
        <f>+[2]MPU!EA144</f>
        <v>#ERROR!</v>
      </c>
      <c r="DW978" s="672" t="str">
        <f>+[2]MPU!EB144</f>
        <v>#ERROR!</v>
      </c>
      <c r="DX978" s="707" t="str">
        <f>+[2]MPU!EC144</f>
        <v>#ERROR!</v>
      </c>
      <c r="DY978" s="672" t="str">
        <f>+[2]MPU!ED144</f>
        <v>#ERROR!</v>
      </c>
      <c r="DZ978" s="672" t="str">
        <f>+[2]MPU!EE144</f>
        <v>#ERROR!</v>
      </c>
      <c r="EA978" s="672" t="str">
        <f>+[2]MPU!EF144</f>
        <v>#ERROR!</v>
      </c>
      <c r="EB978" s="672" t="str">
        <f>+[2]MPU!EG144</f>
        <v>#ERROR!</v>
      </c>
      <c r="EC978" s="707" t="str">
        <f>+[2]MPU!EH144</f>
        <v>#ERROR!</v>
      </c>
      <c r="ED978" s="672" t="str">
        <f>+[2]MPU!EI144</f>
        <v>#ERROR!</v>
      </c>
      <c r="EE978" s="672" t="str">
        <f>+[2]MPU!EJ144</f>
        <v>#ERROR!</v>
      </c>
      <c r="EF978" s="672" t="str">
        <f>+[2]MPU!#REF!</f>
        <v>#ERROR!</v>
      </c>
      <c r="EG978" s="672" t="str">
        <f>+[2]MPU!#REF!</f>
        <v>#ERROR!</v>
      </c>
      <c r="EH978" s="707" t="str">
        <f>+[2]MPU!#REF!</f>
        <v>#ERROR!</v>
      </c>
      <c r="EI978" s="676" t="str">
        <f>+[2]MPU!#REF!</f>
        <v>#ERROR!</v>
      </c>
      <c r="EJ978" s="672" t="str">
        <f>+[2]MPU!#REF!</f>
        <v>#ERROR!</v>
      </c>
      <c r="EK978" s="672" t="str">
        <f>+[2]MPU!#REF!</f>
        <v>#ERROR!</v>
      </c>
      <c r="EL978" s="672" t="str">
        <f>+[2]MPU!#REF!</f>
        <v>#ERROR!</v>
      </c>
      <c r="EM978" s="707" t="str">
        <f>+[2]MPU!#REF!</f>
        <v>#ERROR!</v>
      </c>
      <c r="EN978" s="672" t="str">
        <f>+[2]MPU!#REF!</f>
        <v>#ERROR!</v>
      </c>
      <c r="EO978" s="672" t="str">
        <f>+[2]MPU!#REF!</f>
        <v>#ERROR!</v>
      </c>
      <c r="EP978" s="672" t="str">
        <f>+[2]MPU!#REF!</f>
        <v>#ERROR!</v>
      </c>
      <c r="EQ978" s="672" t="str">
        <f>+[2]MPU!#REF!</f>
        <v>#ERROR!</v>
      </c>
      <c r="ER978" s="707" t="str">
        <f>+[2]MPU!#REF!</f>
        <v>#ERROR!</v>
      </c>
      <c r="ES978" s="672" t="str">
        <f>+[2]MPU!#REF!</f>
        <v>#ERROR!</v>
      </c>
      <c r="ET978" s="672" t="str">
        <f>+[2]MPU!#REF!</f>
        <v>#ERROR!</v>
      </c>
      <c r="EU978" s="672" t="str">
        <f>+[2]MPU!#REF!</f>
        <v>#ERROR!</v>
      </c>
      <c r="EV978" s="672" t="str">
        <f>+[2]MPU!#REF!</f>
        <v>#ERROR!</v>
      </c>
      <c r="EW978" s="707" t="str">
        <f>+[2]MPU!#REF!</f>
        <v>#ERROR!</v>
      </c>
      <c r="EX978" s="672" t="str">
        <f>+[2]MPU!#REF!</f>
        <v>#ERROR!</v>
      </c>
      <c r="EY978" s="672" t="str">
        <f>+[2]MPU!#REF!</f>
        <v>#ERROR!</v>
      </c>
      <c r="EZ978" s="672" t="str">
        <f>+[2]MPU!#REF!</f>
        <v>#ERROR!</v>
      </c>
      <c r="FA978" s="672" t="str">
        <f>+[2]MPU!#REF!</f>
        <v>#ERROR!</v>
      </c>
      <c r="FB978" s="707" t="str">
        <f>+[2]MPU!#REF!</f>
        <v>#ERROR!</v>
      </c>
      <c r="FC978" s="672" t="str">
        <f>+[2]MPU!#REF!</f>
        <v>#ERROR!</v>
      </c>
      <c r="FD978" s="672" t="str">
        <f>+[2]MPU!#REF!</f>
        <v>#ERROR!</v>
      </c>
      <c r="FE978" s="672" t="str">
        <f>+[2]MPU!#REF!</f>
        <v>#ERROR!</v>
      </c>
      <c r="FF978" s="672" t="str">
        <f>+[2]MPU!#REF!</f>
        <v>#ERROR!</v>
      </c>
      <c r="FG978" s="707" t="str">
        <f>+[2]MPU!#REF!</f>
        <v>#ERROR!</v>
      </c>
      <c r="FH978" s="675"/>
      <c r="FI978" s="672"/>
      <c r="FJ978" s="672"/>
      <c r="FK978" s="673"/>
      <c r="FL978" s="672"/>
    </row>
    <row r="979" ht="12.75" hidden="1" customHeight="1" outlineLevel="2">
      <c r="A979" s="162"/>
      <c r="B979" s="162" t="s">
        <v>345</v>
      </c>
      <c r="C979" s="162"/>
      <c r="D979" s="15"/>
      <c r="E979" s="15"/>
      <c r="F979" s="15"/>
      <c r="G979" s="15"/>
      <c r="H979" s="693"/>
      <c r="I979" s="15"/>
      <c r="J979" s="15" t="str">
        <f t="shared" ref="J979:L979" si="5168">J978/I978-1</f>
        <v>#ERROR!</v>
      </c>
      <c r="K979" s="15" t="str">
        <f t="shared" si="5168"/>
        <v>#ERROR!</v>
      </c>
      <c r="L979" s="15" t="str">
        <f t="shared" si="5168"/>
        <v>#ERROR!</v>
      </c>
      <c r="M979" s="693"/>
      <c r="N979" s="15"/>
      <c r="O979" s="15" t="str">
        <f t="shared" ref="O979:Q979" si="5169">O978/N978-1</f>
        <v>#ERROR!</v>
      </c>
      <c r="P979" s="15" t="str">
        <f t="shared" si="5169"/>
        <v>#ERROR!</v>
      </c>
      <c r="Q979" s="15" t="str">
        <f t="shared" si="5169"/>
        <v>#ERROR!</v>
      </c>
      <c r="R979" s="693"/>
      <c r="S979" s="15"/>
      <c r="T979" s="15" t="str">
        <f t="shared" ref="T979:V979" si="5170">T978/S978-1</f>
        <v>#ERROR!</v>
      </c>
      <c r="U979" s="15" t="str">
        <f t="shared" si="5170"/>
        <v>#ERROR!</v>
      </c>
      <c r="V979" s="15" t="str">
        <f t="shared" si="5170"/>
        <v>#ERROR!</v>
      </c>
      <c r="W979" s="693"/>
      <c r="X979" s="15"/>
      <c r="Y979" s="15" t="str">
        <f t="shared" ref="Y979:AA979" si="5171">Y978/X978-1</f>
        <v>#ERROR!</v>
      </c>
      <c r="Z979" s="15" t="str">
        <f t="shared" si="5171"/>
        <v>#ERROR!</v>
      </c>
      <c r="AA979" s="15" t="str">
        <f t="shared" si="5171"/>
        <v>#ERROR!</v>
      </c>
      <c r="AB979" s="693"/>
      <c r="AC979" s="15" t="str">
        <f>AC978/AA978-1</f>
        <v>#ERROR!</v>
      </c>
      <c r="AD979" s="15" t="str">
        <f t="shared" ref="AD979:AF979" si="5172">AD978/AC978-1</f>
        <v>#ERROR!</v>
      </c>
      <c r="AE979" s="15" t="str">
        <f t="shared" si="5172"/>
        <v>#ERROR!</v>
      </c>
      <c r="AF979" s="15" t="str">
        <f t="shared" si="5172"/>
        <v>#ERROR!</v>
      </c>
      <c r="AG979" s="693"/>
      <c r="AH979" s="15" t="str">
        <f>AH978/AF978-1</f>
        <v>#ERROR!</v>
      </c>
      <c r="AI979" s="15" t="str">
        <f t="shared" ref="AI979:AK979" si="5173">AI978/AH978-1</f>
        <v>#ERROR!</v>
      </c>
      <c r="AJ979" s="15" t="str">
        <f t="shared" si="5173"/>
        <v>#ERROR!</v>
      </c>
      <c r="AK979" s="15" t="str">
        <f t="shared" si="5173"/>
        <v>#ERROR!</v>
      </c>
      <c r="AL979" s="693"/>
      <c r="AM979" s="15" t="str">
        <f>AM978/AK978-1</f>
        <v>#ERROR!</v>
      </c>
      <c r="AN979" s="15" t="str">
        <f t="shared" ref="AN979:AP979" si="5174">AN978/AM978-1</f>
        <v>#ERROR!</v>
      </c>
      <c r="AO979" s="15" t="str">
        <f t="shared" si="5174"/>
        <v>#ERROR!</v>
      </c>
      <c r="AP979" s="15" t="str">
        <f t="shared" si="5174"/>
        <v>#ERROR!</v>
      </c>
      <c r="AQ979" s="693"/>
      <c r="AR979" s="15" t="str">
        <f>AR978/AP978-1</f>
        <v>#ERROR!</v>
      </c>
      <c r="AS979" s="15" t="str">
        <f t="shared" ref="AS979:AU979" si="5175">AS978/AR978-1</f>
        <v>#ERROR!</v>
      </c>
      <c r="AT979" s="15" t="str">
        <f t="shared" si="5175"/>
        <v>#ERROR!</v>
      </c>
      <c r="AU979" s="15" t="str">
        <f t="shared" si="5175"/>
        <v>#ERROR!</v>
      </c>
      <c r="AV979" s="693"/>
      <c r="AW979" s="15" t="str">
        <f>AW978/AU978-1</f>
        <v>#ERROR!</v>
      </c>
      <c r="AX979" s="15" t="str">
        <f t="shared" ref="AX979:AZ979" si="5176">AX978/AW978-1</f>
        <v>#ERROR!</v>
      </c>
      <c r="AY979" s="15" t="str">
        <f t="shared" si="5176"/>
        <v>#ERROR!</v>
      </c>
      <c r="AZ979" s="15" t="str">
        <f t="shared" si="5176"/>
        <v>#ERROR!</v>
      </c>
      <c r="BA979" s="693"/>
      <c r="BB979" s="15" t="str">
        <f>BB978/AZ978-1</f>
        <v>#ERROR!</v>
      </c>
      <c r="BC979" s="15" t="str">
        <f t="shared" ref="BC979:BE979" si="5177">BC978/BB978-1</f>
        <v>#ERROR!</v>
      </c>
      <c r="BD979" s="15" t="str">
        <f t="shared" si="5177"/>
        <v>#ERROR!</v>
      </c>
      <c r="BE979" s="15" t="str">
        <f t="shared" si="5177"/>
        <v>#ERROR!</v>
      </c>
      <c r="BF979" s="693"/>
      <c r="BG979" s="15" t="str">
        <f>BG978/BE978-1</f>
        <v>#ERROR!</v>
      </c>
      <c r="BH979" s="15" t="str">
        <f t="shared" ref="BH979:BJ979" si="5178">BH978/BG978-1</f>
        <v>#ERROR!</v>
      </c>
      <c r="BI979" s="15" t="str">
        <f t="shared" si="5178"/>
        <v>#ERROR!</v>
      </c>
      <c r="BJ979" s="15" t="str">
        <f t="shared" si="5178"/>
        <v>#ERROR!</v>
      </c>
      <c r="BK979" s="693"/>
      <c r="BL979" s="15" t="str">
        <f>BL978/BJ978-1</f>
        <v>#ERROR!</v>
      </c>
      <c r="BM979" s="15" t="str">
        <f t="shared" ref="BM979:BO979" si="5179">BM978/BL978-1</f>
        <v>#ERROR!</v>
      </c>
      <c r="BN979" s="15" t="str">
        <f t="shared" si="5179"/>
        <v>#ERROR!</v>
      </c>
      <c r="BO979" s="15" t="str">
        <f t="shared" si="5179"/>
        <v>#ERROR!</v>
      </c>
      <c r="BP979" s="693"/>
      <c r="BQ979" s="15" t="str">
        <f>BQ978/BO978-1</f>
        <v>#ERROR!</v>
      </c>
      <c r="BR979" s="15" t="str">
        <f t="shared" ref="BR979:BT979" si="5180">BR978/BQ978-1</f>
        <v>#ERROR!</v>
      </c>
      <c r="BS979" s="15" t="str">
        <f t="shared" si="5180"/>
        <v>#ERROR!</v>
      </c>
      <c r="BT979" s="15" t="str">
        <f t="shared" si="5180"/>
        <v>#ERROR!</v>
      </c>
      <c r="BU979" s="693"/>
      <c r="BV979" s="15" t="str">
        <f>BV978/BT978-1</f>
        <v>#ERROR!</v>
      </c>
      <c r="BW979" s="15" t="str">
        <f t="shared" ref="BW979:BY979" si="5181">BW978/BV978-1</f>
        <v>#ERROR!</v>
      </c>
      <c r="BX979" s="15" t="str">
        <f t="shared" si="5181"/>
        <v>#ERROR!</v>
      </c>
      <c r="BY979" s="15" t="str">
        <f t="shared" si="5181"/>
        <v>#ERROR!</v>
      </c>
      <c r="BZ979" s="694"/>
      <c r="CA979" s="15" t="str">
        <f>CA978/BY978-1</f>
        <v>#ERROR!</v>
      </c>
      <c r="CB979" s="15" t="str">
        <f t="shared" ref="CB979:CD979" si="5182">CB978/CA978-1</f>
        <v>#ERROR!</v>
      </c>
      <c r="CC979" s="15" t="str">
        <f t="shared" si="5182"/>
        <v>#ERROR!</v>
      </c>
      <c r="CD979" s="15" t="str">
        <f t="shared" si="5182"/>
        <v>#ERROR!</v>
      </c>
      <c r="CE979" s="694"/>
      <c r="CF979" s="15" t="str">
        <f>CF978/CD978-1</f>
        <v>#ERROR!</v>
      </c>
      <c r="CG979" s="15" t="str">
        <f t="shared" ref="CG979:CI979" si="5183">CG978/CF978-1</f>
        <v>#ERROR!</v>
      </c>
      <c r="CH979" s="15" t="str">
        <f t="shared" si="5183"/>
        <v>#ERROR!</v>
      </c>
      <c r="CI979" s="15" t="str">
        <f t="shared" si="5183"/>
        <v>#ERROR!</v>
      </c>
      <c r="CJ979" s="694"/>
      <c r="CK979" s="15" t="str">
        <f>CK978/CI978-1</f>
        <v>#ERROR!</v>
      </c>
      <c r="CL979" s="15" t="str">
        <f t="shared" ref="CL979:CN979" si="5184">CL978/CK978-1</f>
        <v>#ERROR!</v>
      </c>
      <c r="CM979" s="15" t="str">
        <f t="shared" si="5184"/>
        <v>#ERROR!</v>
      </c>
      <c r="CN979" s="40" t="str">
        <f t="shared" si="5184"/>
        <v>#ERROR!</v>
      </c>
      <c r="CO979" s="694"/>
      <c r="CP979" s="40" t="str">
        <f>CP978/CN978-1</f>
        <v>#ERROR!</v>
      </c>
      <c r="CQ979" s="15" t="str">
        <f t="shared" ref="CQ979:CS979" si="5185">CQ978/CP978-1</f>
        <v>#ERROR!</v>
      </c>
      <c r="CR979" s="15" t="str">
        <f t="shared" si="5185"/>
        <v>#ERROR!</v>
      </c>
      <c r="CS979" s="15" t="str">
        <f t="shared" si="5185"/>
        <v>#ERROR!</v>
      </c>
      <c r="CT979" s="694"/>
      <c r="CU979" s="15" t="str">
        <f>CU978/CS978-1</f>
        <v>#ERROR!</v>
      </c>
      <c r="CV979" s="15" t="str">
        <f t="shared" ref="CV979:CX979" si="5186">CV978/CU978-1</f>
        <v>#ERROR!</v>
      </c>
      <c r="CW979" s="15" t="str">
        <f t="shared" si="5186"/>
        <v>#ERROR!</v>
      </c>
      <c r="CX979" s="15" t="str">
        <f t="shared" si="5186"/>
        <v>#ERROR!</v>
      </c>
      <c r="CY979" s="694"/>
      <c r="CZ979" s="15" t="str">
        <f>CZ978/CX978-1</f>
        <v>#ERROR!</v>
      </c>
      <c r="DA979" s="15" t="str">
        <f t="shared" ref="DA979:DC979" si="5187">DA978/CZ978-1</f>
        <v>#ERROR!</v>
      </c>
      <c r="DB979" s="15" t="str">
        <f t="shared" si="5187"/>
        <v>#ERROR!</v>
      </c>
      <c r="DC979" s="15" t="str">
        <f t="shared" si="5187"/>
        <v>#ERROR!</v>
      </c>
      <c r="DD979" s="694"/>
      <c r="DE979" s="15" t="str">
        <f>DE978/DC978-1</f>
        <v>#ERROR!</v>
      </c>
      <c r="DF979" s="15" t="str">
        <f t="shared" ref="DF979:DH979" si="5188">DF978/DE978-1</f>
        <v>#ERROR!</v>
      </c>
      <c r="DG979" s="40" t="str">
        <f t="shared" si="5188"/>
        <v>#ERROR!</v>
      </c>
      <c r="DH979" s="15" t="str">
        <f t="shared" si="5188"/>
        <v>#ERROR!</v>
      </c>
      <c r="DI979" s="694"/>
      <c r="DJ979" s="40" t="str">
        <f>DJ978/DH978-1</f>
        <v>#ERROR!</v>
      </c>
      <c r="DK979" s="40" t="str">
        <f t="shared" ref="DK979:DM979" si="5189">DK978/DJ978-1</f>
        <v>#ERROR!</v>
      </c>
      <c r="DL979" s="40" t="str">
        <f t="shared" si="5189"/>
        <v>#ERROR!</v>
      </c>
      <c r="DM979" s="15" t="str">
        <f t="shared" si="5189"/>
        <v>#ERROR!</v>
      </c>
      <c r="DN979" s="694"/>
      <c r="DO979" s="15" t="str">
        <f>DO978/DM978-1</f>
        <v>#ERROR!</v>
      </c>
      <c r="DP979" s="15" t="str">
        <f t="shared" ref="DP979:DR979" si="5190">DP978/DO978-1</f>
        <v>#ERROR!</v>
      </c>
      <c r="DQ979" s="15" t="str">
        <f t="shared" si="5190"/>
        <v>#ERROR!</v>
      </c>
      <c r="DR979" s="15" t="str">
        <f t="shared" si="5190"/>
        <v>#ERROR!</v>
      </c>
      <c r="DS979" s="694"/>
      <c r="DT979" s="15" t="str">
        <f>DT978/DR978-1</f>
        <v>#ERROR!</v>
      </c>
      <c r="DU979" s="15" t="str">
        <f t="shared" ref="DU979:DW979" si="5191">DU978/DT978-1</f>
        <v>#ERROR!</v>
      </c>
      <c r="DV979" s="15" t="str">
        <f t="shared" si="5191"/>
        <v>#ERROR!</v>
      </c>
      <c r="DW979" s="15" t="str">
        <f t="shared" si="5191"/>
        <v>#ERROR!</v>
      </c>
      <c r="DX979" s="694"/>
      <c r="DY979" s="15" t="str">
        <f>DY978/DW978-1</f>
        <v>#ERROR!</v>
      </c>
      <c r="DZ979" s="15" t="str">
        <f t="shared" ref="DZ979:EB979" si="5192">DZ978/DY978-1</f>
        <v>#ERROR!</v>
      </c>
      <c r="EA979" s="15" t="str">
        <f t="shared" si="5192"/>
        <v>#ERROR!</v>
      </c>
      <c r="EB979" s="15" t="str">
        <f t="shared" si="5192"/>
        <v>#ERROR!</v>
      </c>
      <c r="EC979" s="694"/>
      <c r="ED979" s="15" t="str">
        <f>ED978/EB978-1</f>
        <v>#ERROR!</v>
      </c>
      <c r="EE979" s="15" t="str">
        <f t="shared" ref="EE979:EG979" si="5193">EE978/ED978-1</f>
        <v>#ERROR!</v>
      </c>
      <c r="EF979" s="15" t="str">
        <f t="shared" si="5193"/>
        <v>#ERROR!</v>
      </c>
      <c r="EG979" s="15" t="str">
        <f t="shared" si="5193"/>
        <v>#ERROR!</v>
      </c>
      <c r="EH979" s="694"/>
      <c r="EI979" s="82" t="str">
        <f>EI978/EG978-1</f>
        <v>#ERROR!</v>
      </c>
      <c r="EJ979" s="15" t="str">
        <f t="shared" ref="EJ979:EL979" si="5194">EJ978/EI978-1</f>
        <v>#ERROR!</v>
      </c>
      <c r="EK979" s="15" t="str">
        <f t="shared" si="5194"/>
        <v>#ERROR!</v>
      </c>
      <c r="EL979" s="15" t="str">
        <f t="shared" si="5194"/>
        <v>#ERROR!</v>
      </c>
      <c r="EM979" s="694"/>
      <c r="EN979" s="15" t="str">
        <f>EN978/EL978-1</f>
        <v>#ERROR!</v>
      </c>
      <c r="EO979" s="15" t="str">
        <f t="shared" ref="EO979:EQ979" si="5195">EO978/EN978-1</f>
        <v>#ERROR!</v>
      </c>
      <c r="EP979" s="15" t="str">
        <f t="shared" si="5195"/>
        <v>#ERROR!</v>
      </c>
      <c r="EQ979" s="15" t="str">
        <f t="shared" si="5195"/>
        <v>#ERROR!</v>
      </c>
      <c r="ER979" s="694"/>
      <c r="ES979" s="15" t="str">
        <f>ES978/EQ978-1</f>
        <v>#ERROR!</v>
      </c>
      <c r="ET979" s="15" t="str">
        <f t="shared" ref="ET979:EV979" si="5196">ET978/ES978-1</f>
        <v>#ERROR!</v>
      </c>
      <c r="EU979" s="15" t="str">
        <f t="shared" si="5196"/>
        <v>#ERROR!</v>
      </c>
      <c r="EV979" s="15" t="str">
        <f t="shared" si="5196"/>
        <v>#ERROR!</v>
      </c>
      <c r="EW979" s="694"/>
      <c r="EX979" s="15" t="str">
        <f>EX978/EV978-1</f>
        <v>#ERROR!</v>
      </c>
      <c r="EY979" s="15" t="str">
        <f t="shared" ref="EY979:FA979" si="5197">EY978/EX978-1</f>
        <v>#ERROR!</v>
      </c>
      <c r="EZ979" s="15" t="str">
        <f t="shared" si="5197"/>
        <v>#ERROR!</v>
      </c>
      <c r="FA979" s="15" t="str">
        <f t="shared" si="5197"/>
        <v>#ERROR!</v>
      </c>
      <c r="FB979" s="694"/>
      <c r="FC979" s="15" t="str">
        <f>FC978/FA978-1</f>
        <v>#ERROR!</v>
      </c>
      <c r="FD979" s="15" t="str">
        <f t="shared" ref="FD979:FF979" si="5198">FD978/FC978-1</f>
        <v>#ERROR!</v>
      </c>
      <c r="FE979" s="15" t="str">
        <f t="shared" si="5198"/>
        <v>#ERROR!</v>
      </c>
      <c r="FF979" s="15" t="str">
        <f t="shared" si="5198"/>
        <v>#ERROR!</v>
      </c>
      <c r="FG979" s="694"/>
      <c r="FH979" s="695"/>
      <c r="FI979" s="15"/>
      <c r="FJ979" s="15"/>
      <c r="FK979" s="693"/>
      <c r="FL979" s="15"/>
    </row>
    <row r="980" ht="12.75" hidden="1" customHeight="1" outlineLevel="2">
      <c r="A980" s="162"/>
      <c r="B980" s="696" t="s">
        <v>346</v>
      </c>
      <c r="C980" s="696"/>
      <c r="D980" s="413"/>
      <c r="E980" s="413"/>
      <c r="F980" s="413"/>
      <c r="G980" s="413"/>
      <c r="H980" s="414"/>
      <c r="I980" s="413"/>
      <c r="J980" s="413"/>
      <c r="K980" s="413"/>
      <c r="L980" s="413"/>
      <c r="M980" s="414"/>
      <c r="N980" s="413"/>
      <c r="O980" s="413"/>
      <c r="P980" s="413"/>
      <c r="Q980" s="413"/>
      <c r="R980" s="414"/>
      <c r="S980" s="413"/>
      <c r="T980" s="413"/>
      <c r="U980" s="413"/>
      <c r="V980" s="413"/>
      <c r="W980" s="414"/>
      <c r="X980" s="413"/>
      <c r="Y980" s="413"/>
      <c r="Z980" s="413"/>
      <c r="AA980" s="413"/>
      <c r="AB980" s="414"/>
      <c r="AC980" s="413" t="str">
        <f t="shared" ref="AC980:FG980" si="5199">AC978/X978-1</f>
        <v>#ERROR!</v>
      </c>
      <c r="AD980" s="413" t="str">
        <f t="shared" si="5199"/>
        <v>#ERROR!</v>
      </c>
      <c r="AE980" s="413" t="str">
        <f t="shared" si="5199"/>
        <v>#ERROR!</v>
      </c>
      <c r="AF980" s="413" t="str">
        <f t="shared" si="5199"/>
        <v>#ERROR!</v>
      </c>
      <c r="AG980" s="414" t="str">
        <f t="shared" si="5199"/>
        <v>#ERROR!</v>
      </c>
      <c r="AH980" s="413" t="str">
        <f t="shared" si="5199"/>
        <v>#ERROR!</v>
      </c>
      <c r="AI980" s="413" t="str">
        <f t="shared" si="5199"/>
        <v>#ERROR!</v>
      </c>
      <c r="AJ980" s="413" t="str">
        <f t="shared" si="5199"/>
        <v>#ERROR!</v>
      </c>
      <c r="AK980" s="413" t="str">
        <f t="shared" si="5199"/>
        <v>#ERROR!</v>
      </c>
      <c r="AL980" s="414" t="str">
        <f t="shared" si="5199"/>
        <v>#ERROR!</v>
      </c>
      <c r="AM980" s="413" t="str">
        <f t="shared" si="5199"/>
        <v>#ERROR!</v>
      </c>
      <c r="AN980" s="413" t="str">
        <f t="shared" si="5199"/>
        <v>#ERROR!</v>
      </c>
      <c r="AO980" s="413" t="str">
        <f t="shared" si="5199"/>
        <v>#ERROR!</v>
      </c>
      <c r="AP980" s="413" t="str">
        <f t="shared" si="5199"/>
        <v>#ERROR!</v>
      </c>
      <c r="AQ980" s="414" t="str">
        <f t="shared" si="5199"/>
        <v>#ERROR!</v>
      </c>
      <c r="AR980" s="413" t="str">
        <f t="shared" si="5199"/>
        <v>#ERROR!</v>
      </c>
      <c r="AS980" s="413" t="str">
        <f t="shared" si="5199"/>
        <v>#ERROR!</v>
      </c>
      <c r="AT980" s="413" t="str">
        <f t="shared" si="5199"/>
        <v>#ERROR!</v>
      </c>
      <c r="AU980" s="413" t="str">
        <f t="shared" si="5199"/>
        <v>#ERROR!</v>
      </c>
      <c r="AV980" s="414" t="str">
        <f t="shared" si="5199"/>
        <v>#ERROR!</v>
      </c>
      <c r="AW980" s="413" t="str">
        <f t="shared" si="5199"/>
        <v>#ERROR!</v>
      </c>
      <c r="AX980" s="413" t="str">
        <f t="shared" si="5199"/>
        <v>#ERROR!</v>
      </c>
      <c r="AY980" s="413" t="str">
        <f t="shared" si="5199"/>
        <v>#ERROR!</v>
      </c>
      <c r="AZ980" s="413" t="str">
        <f t="shared" si="5199"/>
        <v>#ERROR!</v>
      </c>
      <c r="BA980" s="414" t="str">
        <f t="shared" si="5199"/>
        <v>#ERROR!</v>
      </c>
      <c r="BB980" s="413" t="str">
        <f t="shared" si="5199"/>
        <v>#ERROR!</v>
      </c>
      <c r="BC980" s="413" t="str">
        <f t="shared" si="5199"/>
        <v>#ERROR!</v>
      </c>
      <c r="BD980" s="413" t="str">
        <f t="shared" si="5199"/>
        <v>#ERROR!</v>
      </c>
      <c r="BE980" s="413" t="str">
        <f t="shared" si="5199"/>
        <v>#ERROR!</v>
      </c>
      <c r="BF980" s="414" t="str">
        <f t="shared" si="5199"/>
        <v>#ERROR!</v>
      </c>
      <c r="BG980" s="413" t="str">
        <f t="shared" si="5199"/>
        <v>#ERROR!</v>
      </c>
      <c r="BH980" s="413" t="str">
        <f t="shared" si="5199"/>
        <v>#ERROR!</v>
      </c>
      <c r="BI980" s="413" t="str">
        <f t="shared" si="5199"/>
        <v>#ERROR!</v>
      </c>
      <c r="BJ980" s="413" t="str">
        <f t="shared" si="5199"/>
        <v>#ERROR!</v>
      </c>
      <c r="BK980" s="414" t="str">
        <f t="shared" si="5199"/>
        <v>#ERROR!</v>
      </c>
      <c r="BL980" s="413" t="str">
        <f t="shared" si="5199"/>
        <v>#ERROR!</v>
      </c>
      <c r="BM980" s="413" t="str">
        <f t="shared" si="5199"/>
        <v>#ERROR!</v>
      </c>
      <c r="BN980" s="413" t="str">
        <f t="shared" si="5199"/>
        <v>#ERROR!</v>
      </c>
      <c r="BO980" s="413" t="str">
        <f t="shared" si="5199"/>
        <v>#ERROR!</v>
      </c>
      <c r="BP980" s="414" t="str">
        <f t="shared" si="5199"/>
        <v>#ERROR!</v>
      </c>
      <c r="BQ980" s="413" t="str">
        <f t="shared" si="5199"/>
        <v>#ERROR!</v>
      </c>
      <c r="BR980" s="413" t="str">
        <f t="shared" si="5199"/>
        <v>#ERROR!</v>
      </c>
      <c r="BS980" s="413" t="str">
        <f t="shared" si="5199"/>
        <v>#ERROR!</v>
      </c>
      <c r="BT980" s="413" t="str">
        <f t="shared" si="5199"/>
        <v>#ERROR!</v>
      </c>
      <c r="BU980" s="414" t="str">
        <f t="shared" si="5199"/>
        <v>#ERROR!</v>
      </c>
      <c r="BV980" s="413" t="str">
        <f t="shared" si="5199"/>
        <v>#ERROR!</v>
      </c>
      <c r="BW980" s="413" t="str">
        <f t="shared" si="5199"/>
        <v>#ERROR!</v>
      </c>
      <c r="BX980" s="413" t="str">
        <f t="shared" si="5199"/>
        <v>#ERROR!</v>
      </c>
      <c r="BY980" s="413" t="str">
        <f t="shared" si="5199"/>
        <v>#ERROR!</v>
      </c>
      <c r="BZ980" s="415" t="str">
        <f t="shared" si="5199"/>
        <v>#ERROR!</v>
      </c>
      <c r="CA980" s="413" t="str">
        <f t="shared" si="5199"/>
        <v>#ERROR!</v>
      </c>
      <c r="CB980" s="413" t="str">
        <f t="shared" si="5199"/>
        <v>#ERROR!</v>
      </c>
      <c r="CC980" s="413" t="str">
        <f t="shared" si="5199"/>
        <v>#ERROR!</v>
      </c>
      <c r="CD980" s="413" t="str">
        <f t="shared" si="5199"/>
        <v>#ERROR!</v>
      </c>
      <c r="CE980" s="415" t="str">
        <f t="shared" si="5199"/>
        <v>#ERROR!</v>
      </c>
      <c r="CF980" s="413" t="str">
        <f t="shared" si="5199"/>
        <v>#ERROR!</v>
      </c>
      <c r="CG980" s="413" t="str">
        <f t="shared" si="5199"/>
        <v>#ERROR!</v>
      </c>
      <c r="CH980" s="413" t="str">
        <f t="shared" si="5199"/>
        <v>#ERROR!</v>
      </c>
      <c r="CI980" s="413" t="str">
        <f t="shared" si="5199"/>
        <v>#ERROR!</v>
      </c>
      <c r="CJ980" s="415" t="str">
        <f t="shared" si="5199"/>
        <v>#ERROR!</v>
      </c>
      <c r="CK980" s="413" t="str">
        <f t="shared" si="5199"/>
        <v>#ERROR!</v>
      </c>
      <c r="CL980" s="413" t="str">
        <f t="shared" si="5199"/>
        <v>#ERROR!</v>
      </c>
      <c r="CM980" s="413" t="str">
        <f t="shared" si="5199"/>
        <v>#ERROR!</v>
      </c>
      <c r="CN980" s="416" t="str">
        <f t="shared" si="5199"/>
        <v>#ERROR!</v>
      </c>
      <c r="CO980" s="415" t="str">
        <f t="shared" si="5199"/>
        <v>#ERROR!</v>
      </c>
      <c r="CP980" s="416" t="str">
        <f t="shared" si="5199"/>
        <v>#ERROR!</v>
      </c>
      <c r="CQ980" s="413" t="str">
        <f t="shared" si="5199"/>
        <v>#ERROR!</v>
      </c>
      <c r="CR980" s="413" t="str">
        <f t="shared" si="5199"/>
        <v>#ERROR!</v>
      </c>
      <c r="CS980" s="413" t="str">
        <f t="shared" si="5199"/>
        <v>#ERROR!</v>
      </c>
      <c r="CT980" s="415" t="str">
        <f t="shared" si="5199"/>
        <v>#ERROR!</v>
      </c>
      <c r="CU980" s="413" t="str">
        <f t="shared" si="5199"/>
        <v>#ERROR!</v>
      </c>
      <c r="CV980" s="413" t="str">
        <f t="shared" si="5199"/>
        <v>#ERROR!</v>
      </c>
      <c r="CW980" s="413" t="str">
        <f t="shared" si="5199"/>
        <v>#ERROR!</v>
      </c>
      <c r="CX980" s="413" t="str">
        <f t="shared" si="5199"/>
        <v>#ERROR!</v>
      </c>
      <c r="CY980" s="415" t="str">
        <f t="shared" si="5199"/>
        <v>#ERROR!</v>
      </c>
      <c r="CZ980" s="413" t="str">
        <f t="shared" si="5199"/>
        <v>#ERROR!</v>
      </c>
      <c r="DA980" s="413" t="str">
        <f t="shared" si="5199"/>
        <v>#ERROR!</v>
      </c>
      <c r="DB980" s="413" t="str">
        <f t="shared" si="5199"/>
        <v>#ERROR!</v>
      </c>
      <c r="DC980" s="413" t="str">
        <f t="shared" si="5199"/>
        <v>#ERROR!</v>
      </c>
      <c r="DD980" s="415" t="str">
        <f t="shared" si="5199"/>
        <v>#ERROR!</v>
      </c>
      <c r="DE980" s="413" t="str">
        <f t="shared" si="5199"/>
        <v>#ERROR!</v>
      </c>
      <c r="DF980" s="413" t="str">
        <f t="shared" si="5199"/>
        <v>#ERROR!</v>
      </c>
      <c r="DG980" s="40" t="str">
        <f t="shared" si="5199"/>
        <v>#ERROR!</v>
      </c>
      <c r="DH980" s="413" t="str">
        <f t="shared" si="5199"/>
        <v>#ERROR!</v>
      </c>
      <c r="DI980" s="415" t="str">
        <f t="shared" si="5199"/>
        <v>#ERROR!</v>
      </c>
      <c r="DJ980" s="416" t="str">
        <f t="shared" si="5199"/>
        <v>#ERROR!</v>
      </c>
      <c r="DK980" s="416" t="str">
        <f t="shared" si="5199"/>
        <v>#ERROR!</v>
      </c>
      <c r="DL980" s="416" t="str">
        <f t="shared" si="5199"/>
        <v>#ERROR!</v>
      </c>
      <c r="DM980" s="413" t="str">
        <f t="shared" si="5199"/>
        <v>#ERROR!</v>
      </c>
      <c r="DN980" s="415" t="str">
        <f t="shared" si="5199"/>
        <v>#ERROR!</v>
      </c>
      <c r="DO980" s="413" t="str">
        <f t="shared" si="5199"/>
        <v>#ERROR!</v>
      </c>
      <c r="DP980" s="413" t="str">
        <f t="shared" si="5199"/>
        <v>#ERROR!</v>
      </c>
      <c r="DQ980" s="413" t="str">
        <f t="shared" si="5199"/>
        <v>#ERROR!</v>
      </c>
      <c r="DR980" s="413" t="str">
        <f t="shared" si="5199"/>
        <v>#ERROR!</v>
      </c>
      <c r="DS980" s="415" t="str">
        <f t="shared" si="5199"/>
        <v>#ERROR!</v>
      </c>
      <c r="DT980" s="413" t="str">
        <f t="shared" si="5199"/>
        <v>#ERROR!</v>
      </c>
      <c r="DU980" s="413" t="str">
        <f t="shared" si="5199"/>
        <v>#ERROR!</v>
      </c>
      <c r="DV980" s="413" t="str">
        <f t="shared" si="5199"/>
        <v>#ERROR!</v>
      </c>
      <c r="DW980" s="413" t="str">
        <f t="shared" si="5199"/>
        <v>#ERROR!</v>
      </c>
      <c r="DX980" s="415" t="str">
        <f t="shared" si="5199"/>
        <v>#ERROR!</v>
      </c>
      <c r="DY980" s="413" t="str">
        <f t="shared" si="5199"/>
        <v>#ERROR!</v>
      </c>
      <c r="DZ980" s="413" t="str">
        <f t="shared" si="5199"/>
        <v>#ERROR!</v>
      </c>
      <c r="EA980" s="413" t="str">
        <f t="shared" si="5199"/>
        <v>#ERROR!</v>
      </c>
      <c r="EB980" s="413" t="str">
        <f t="shared" si="5199"/>
        <v>#ERROR!</v>
      </c>
      <c r="EC980" s="415" t="str">
        <f t="shared" si="5199"/>
        <v>#ERROR!</v>
      </c>
      <c r="ED980" s="413" t="str">
        <f t="shared" si="5199"/>
        <v>#ERROR!</v>
      </c>
      <c r="EE980" s="413" t="str">
        <f t="shared" si="5199"/>
        <v>#ERROR!</v>
      </c>
      <c r="EF980" s="413" t="str">
        <f t="shared" si="5199"/>
        <v>#ERROR!</v>
      </c>
      <c r="EG980" s="413" t="str">
        <f t="shared" si="5199"/>
        <v>#ERROR!</v>
      </c>
      <c r="EH980" s="415" t="str">
        <f t="shared" si="5199"/>
        <v>#ERROR!</v>
      </c>
      <c r="EI980" s="420" t="str">
        <f t="shared" si="5199"/>
        <v>#ERROR!</v>
      </c>
      <c r="EJ980" s="413" t="str">
        <f t="shared" si="5199"/>
        <v>#ERROR!</v>
      </c>
      <c r="EK980" s="413" t="str">
        <f t="shared" si="5199"/>
        <v>#ERROR!</v>
      </c>
      <c r="EL980" s="413" t="str">
        <f t="shared" si="5199"/>
        <v>#ERROR!</v>
      </c>
      <c r="EM980" s="415" t="str">
        <f t="shared" si="5199"/>
        <v>#ERROR!</v>
      </c>
      <c r="EN980" s="413" t="str">
        <f t="shared" si="5199"/>
        <v>#ERROR!</v>
      </c>
      <c r="EO980" s="413" t="str">
        <f t="shared" si="5199"/>
        <v>#ERROR!</v>
      </c>
      <c r="EP980" s="413" t="str">
        <f t="shared" si="5199"/>
        <v>#ERROR!</v>
      </c>
      <c r="EQ980" s="413" t="str">
        <f t="shared" si="5199"/>
        <v>#ERROR!</v>
      </c>
      <c r="ER980" s="415" t="str">
        <f t="shared" si="5199"/>
        <v>#ERROR!</v>
      </c>
      <c r="ES980" s="413" t="str">
        <f t="shared" si="5199"/>
        <v>#ERROR!</v>
      </c>
      <c r="ET980" s="413" t="str">
        <f t="shared" si="5199"/>
        <v>#ERROR!</v>
      </c>
      <c r="EU980" s="413" t="str">
        <f t="shared" si="5199"/>
        <v>#ERROR!</v>
      </c>
      <c r="EV980" s="413" t="str">
        <f t="shared" si="5199"/>
        <v>#ERROR!</v>
      </c>
      <c r="EW980" s="415" t="str">
        <f t="shared" si="5199"/>
        <v>#ERROR!</v>
      </c>
      <c r="EX980" s="413" t="str">
        <f t="shared" si="5199"/>
        <v>#ERROR!</v>
      </c>
      <c r="EY980" s="413" t="str">
        <f t="shared" si="5199"/>
        <v>#ERROR!</v>
      </c>
      <c r="EZ980" s="413" t="str">
        <f t="shared" si="5199"/>
        <v>#ERROR!</v>
      </c>
      <c r="FA980" s="413" t="str">
        <f t="shared" si="5199"/>
        <v>#ERROR!</v>
      </c>
      <c r="FB980" s="415" t="str">
        <f t="shared" si="5199"/>
        <v>#ERROR!</v>
      </c>
      <c r="FC980" s="413" t="str">
        <f t="shared" si="5199"/>
        <v>#ERROR!</v>
      </c>
      <c r="FD980" s="413" t="str">
        <f t="shared" si="5199"/>
        <v>#ERROR!</v>
      </c>
      <c r="FE980" s="413" t="str">
        <f t="shared" si="5199"/>
        <v>#ERROR!</v>
      </c>
      <c r="FF980" s="413" t="str">
        <f t="shared" si="5199"/>
        <v>#ERROR!</v>
      </c>
      <c r="FG980" s="415" t="str">
        <f t="shared" si="5199"/>
        <v>#ERROR!</v>
      </c>
      <c r="FH980" s="388"/>
      <c r="FI980" s="413"/>
      <c r="FJ980" s="413"/>
      <c r="FK980" s="414"/>
      <c r="FL980" s="413"/>
    </row>
    <row r="981" ht="12.75" hidden="1" customHeight="1" outlineLevel="1">
      <c r="A981" s="162"/>
      <c r="B981" s="162"/>
      <c r="C981" s="162"/>
      <c r="D981" s="162"/>
      <c r="E981" s="162"/>
      <c r="F981" s="162"/>
      <c r="G981" s="162"/>
      <c r="H981" s="693"/>
      <c r="I981" s="162"/>
      <c r="J981" s="162"/>
      <c r="K981" s="162"/>
      <c r="L981" s="162"/>
      <c r="M981" s="693"/>
      <c r="N981" s="162"/>
      <c r="O981" s="162"/>
      <c r="P981" s="162"/>
      <c r="Q981" s="162"/>
      <c r="R981" s="693"/>
      <c r="S981" s="162"/>
      <c r="T981" s="162"/>
      <c r="U981" s="162"/>
      <c r="V981" s="162"/>
      <c r="W981" s="693"/>
      <c r="X981" s="162"/>
      <c r="Y981" s="162"/>
      <c r="Z981" s="162"/>
      <c r="AA981" s="162"/>
      <c r="AB981" s="693"/>
      <c r="AC981" s="162"/>
      <c r="AD981" s="162"/>
      <c r="AE981" s="162"/>
      <c r="AF981" s="162"/>
      <c r="AG981" s="693"/>
      <c r="AH981" s="162"/>
      <c r="AI981" s="162"/>
      <c r="AJ981" s="162"/>
      <c r="AK981" s="162"/>
      <c r="AL981" s="693"/>
      <c r="AM981" s="162"/>
      <c r="AN981" s="162"/>
      <c r="AO981" s="162"/>
      <c r="AP981" s="162"/>
      <c r="AQ981" s="693"/>
      <c r="AR981" s="162"/>
      <c r="AS981" s="162"/>
      <c r="AT981" s="162"/>
      <c r="AU981" s="162"/>
      <c r="AV981" s="693"/>
      <c r="AW981" s="162"/>
      <c r="AX981" s="162"/>
      <c r="AY981" s="162"/>
      <c r="AZ981" s="162"/>
      <c r="BA981" s="693"/>
      <c r="BB981" s="162"/>
      <c r="BC981" s="162"/>
      <c r="BD981" s="162"/>
      <c r="BE981" s="162"/>
      <c r="BF981" s="693"/>
      <c r="BG981" s="162"/>
      <c r="BH981" s="162"/>
      <c r="BI981" s="162"/>
      <c r="BJ981" s="162"/>
      <c r="BK981" s="693"/>
      <c r="BL981" s="162"/>
      <c r="BM981" s="162"/>
      <c r="BN981" s="162"/>
      <c r="BO981" s="162"/>
      <c r="BP981" s="693"/>
      <c r="BQ981" s="162"/>
      <c r="BR981" s="162"/>
      <c r="BS981" s="162"/>
      <c r="BT981" s="162"/>
      <c r="BU981" s="693"/>
      <c r="BV981" s="162"/>
      <c r="BW981" s="162"/>
      <c r="BX981" s="162"/>
      <c r="BY981" s="162"/>
      <c r="BZ981" s="694"/>
      <c r="CA981" s="162"/>
      <c r="CB981" s="162"/>
      <c r="CC981" s="162"/>
      <c r="CD981" s="162"/>
      <c r="CE981" s="694"/>
      <c r="CF981" s="162"/>
      <c r="CG981" s="162"/>
      <c r="CH981" s="162"/>
      <c r="CI981" s="162"/>
      <c r="CJ981" s="694"/>
      <c r="CK981" s="162"/>
      <c r="CL981" s="162"/>
      <c r="CM981" s="162"/>
      <c r="CN981" s="708"/>
      <c r="CO981" s="694"/>
      <c r="CP981" s="708"/>
      <c r="CQ981" s="162"/>
      <c r="CR981" s="162"/>
      <c r="CS981" s="162"/>
      <c r="CT981" s="694"/>
      <c r="CU981" s="162"/>
      <c r="CV981" s="162"/>
      <c r="CW981" s="162"/>
      <c r="CX981" s="162"/>
      <c r="CY981" s="694"/>
      <c r="CZ981" s="162"/>
      <c r="DA981" s="162"/>
      <c r="DB981" s="162"/>
      <c r="DC981" s="162"/>
      <c r="DD981" s="694"/>
      <c r="DE981" s="162"/>
      <c r="DF981" s="162"/>
      <c r="DG981" s="708"/>
      <c r="DH981" s="162"/>
      <c r="DI981" s="694"/>
      <c r="DJ981" s="708"/>
      <c r="DK981" s="708"/>
      <c r="DL981" s="708"/>
      <c r="DM981" s="162"/>
      <c r="DN981" s="694"/>
      <c r="DO981" s="162"/>
      <c r="DP981" s="162"/>
      <c r="DQ981" s="162"/>
      <c r="DR981" s="162"/>
      <c r="DS981" s="694"/>
      <c r="DT981" s="162"/>
      <c r="DU981" s="162"/>
      <c r="DV981" s="162"/>
      <c r="DW981" s="162"/>
      <c r="DX981" s="694"/>
      <c r="DY981" s="162"/>
      <c r="DZ981" s="162"/>
      <c r="EA981" s="162"/>
      <c r="EB981" s="162"/>
      <c r="EC981" s="694"/>
      <c r="ED981" s="162"/>
      <c r="EE981" s="162"/>
      <c r="EF981" s="162"/>
      <c r="EG981" s="162"/>
      <c r="EH981" s="694"/>
      <c r="EI981" s="709"/>
      <c r="EJ981" s="162"/>
      <c r="EK981" s="162"/>
      <c r="EL981" s="162"/>
      <c r="EM981" s="694"/>
      <c r="EN981" s="162"/>
      <c r="EO981" s="162"/>
      <c r="EP981" s="162"/>
      <c r="EQ981" s="162"/>
      <c r="ER981" s="694"/>
      <c r="ES981" s="162"/>
      <c r="ET981" s="162"/>
      <c r="EU981" s="162"/>
      <c r="EV981" s="162"/>
      <c r="EW981" s="694"/>
      <c r="EX981" s="162"/>
      <c r="EY981" s="162"/>
      <c r="EZ981" s="162"/>
      <c r="FA981" s="162"/>
      <c r="FB981" s="694"/>
      <c r="FC981" s="162"/>
      <c r="FD981" s="162"/>
      <c r="FE981" s="162"/>
      <c r="FF981" s="162"/>
      <c r="FG981" s="694"/>
      <c r="FH981" s="695"/>
      <c r="FI981" s="162"/>
      <c r="FJ981" s="162"/>
      <c r="FK981" s="693"/>
      <c r="FL981" s="162"/>
    </row>
    <row r="982" ht="12.75" hidden="1" customHeight="1" outlineLevel="1">
      <c r="A982" s="162"/>
      <c r="B982" s="710" t="s">
        <v>350</v>
      </c>
      <c r="C982" s="696"/>
      <c r="D982" s="696"/>
      <c r="E982" s="696"/>
      <c r="F982" s="696"/>
      <c r="G982" s="696"/>
      <c r="H982" s="710"/>
      <c r="I982" s="696"/>
      <c r="J982" s="696"/>
      <c r="K982" s="696"/>
      <c r="L982" s="696"/>
      <c r="M982" s="710"/>
      <c r="N982" s="696"/>
      <c r="O982" s="696"/>
      <c r="P982" s="696"/>
      <c r="Q982" s="696"/>
      <c r="R982" s="710"/>
      <c r="S982" s="696"/>
      <c r="T982" s="696"/>
      <c r="U982" s="696"/>
      <c r="V982" s="696"/>
      <c r="W982" s="710"/>
      <c r="X982" s="696"/>
      <c r="Y982" s="696"/>
      <c r="Z982" s="696"/>
      <c r="AA982" s="696"/>
      <c r="AB982" s="710"/>
      <c r="AC982" s="696"/>
      <c r="AD982" s="696"/>
      <c r="AE982" s="696"/>
      <c r="AF982" s="696"/>
      <c r="AG982" s="710"/>
      <c r="AH982" s="696"/>
      <c r="AI982" s="696"/>
      <c r="AJ982" s="696"/>
      <c r="AK982" s="696"/>
      <c r="AL982" s="710"/>
      <c r="AM982" s="696"/>
      <c r="AN982" s="696"/>
      <c r="AO982" s="696"/>
      <c r="AP982" s="696"/>
      <c r="AQ982" s="710"/>
      <c r="AR982" s="696"/>
      <c r="AS982" s="696"/>
      <c r="AT982" s="696"/>
      <c r="AU982" s="696"/>
      <c r="AV982" s="710"/>
      <c r="AW982" s="696"/>
      <c r="AX982" s="696"/>
      <c r="AY982" s="696"/>
      <c r="AZ982" s="696"/>
      <c r="BA982" s="710"/>
      <c r="BB982" s="696"/>
      <c r="BC982" s="696"/>
      <c r="BD982" s="696"/>
      <c r="BE982" s="696"/>
      <c r="BF982" s="710"/>
      <c r="BG982" s="696"/>
      <c r="BH982" s="696"/>
      <c r="BI982" s="696"/>
      <c r="BJ982" s="696"/>
      <c r="BK982" s="710"/>
      <c r="BL982" s="696"/>
      <c r="BM982" s="696"/>
      <c r="BN982" s="696"/>
      <c r="BO982" s="696"/>
      <c r="BP982" s="710"/>
      <c r="BQ982" s="696"/>
      <c r="BR982" s="696"/>
      <c r="BS982" s="696"/>
      <c r="BT982" s="696"/>
      <c r="BU982" s="710"/>
      <c r="BV982" s="696"/>
      <c r="BW982" s="696"/>
      <c r="BX982" s="696"/>
      <c r="BY982" s="696"/>
      <c r="BZ982" s="711"/>
      <c r="CA982" s="696"/>
      <c r="CB982" s="696"/>
      <c r="CC982" s="696"/>
      <c r="CD982" s="696"/>
      <c r="CE982" s="711"/>
      <c r="CF982" s="696"/>
      <c r="CG982" s="696"/>
      <c r="CH982" s="696"/>
      <c r="CI982" s="696"/>
      <c r="CJ982" s="711"/>
      <c r="CK982" s="696"/>
      <c r="CL982" s="696"/>
      <c r="CM982" s="696"/>
      <c r="CN982" s="712"/>
      <c r="CO982" s="711"/>
      <c r="CP982" s="712"/>
      <c r="CQ982" s="696"/>
      <c r="CR982" s="696"/>
      <c r="CS982" s="696"/>
      <c r="CT982" s="711"/>
      <c r="CU982" s="696"/>
      <c r="CV982" s="696"/>
      <c r="CW982" s="696"/>
      <c r="CX982" s="696"/>
      <c r="CY982" s="711"/>
      <c r="CZ982" s="696"/>
      <c r="DA982" s="696"/>
      <c r="DB982" s="696"/>
      <c r="DC982" s="696"/>
      <c r="DD982" s="711"/>
      <c r="DE982" s="696"/>
      <c r="DF982" s="696"/>
      <c r="DG982" s="708"/>
      <c r="DH982" s="696"/>
      <c r="DI982" s="711"/>
      <c r="DJ982" s="712"/>
      <c r="DK982" s="712"/>
      <c r="DL982" s="712"/>
      <c r="DM982" s="696"/>
      <c r="DN982" s="711"/>
      <c r="DO982" s="696"/>
      <c r="DP982" s="696"/>
      <c r="DQ982" s="696"/>
      <c r="DR982" s="696"/>
      <c r="DS982" s="711"/>
      <c r="DT982" s="696"/>
      <c r="DU982" s="696"/>
      <c r="DV982" s="696"/>
      <c r="DW982" s="696"/>
      <c r="DX982" s="711"/>
      <c r="DY982" s="696"/>
      <c r="DZ982" s="696"/>
      <c r="EA982" s="696"/>
      <c r="EB982" s="696"/>
      <c r="EC982" s="711"/>
      <c r="ED982" s="696"/>
      <c r="EE982" s="696"/>
      <c r="EF982" s="696"/>
      <c r="EG982" s="696"/>
      <c r="EH982" s="711"/>
      <c r="EI982" s="713"/>
      <c r="EJ982" s="696"/>
      <c r="EK982" s="696"/>
      <c r="EL982" s="696"/>
      <c r="EM982" s="711"/>
      <c r="EN982" s="696"/>
      <c r="EO982" s="696"/>
      <c r="EP982" s="696"/>
      <c r="EQ982" s="696"/>
      <c r="ER982" s="711"/>
      <c r="ES982" s="696"/>
      <c r="ET982" s="696"/>
      <c r="EU982" s="696"/>
      <c r="EV982" s="696"/>
      <c r="EW982" s="711"/>
      <c r="EX982" s="696"/>
      <c r="EY982" s="696"/>
      <c r="EZ982" s="696"/>
      <c r="FA982" s="696"/>
      <c r="FB982" s="711"/>
      <c r="FC982" s="696"/>
      <c r="FD982" s="696"/>
      <c r="FE982" s="696"/>
      <c r="FF982" s="696"/>
      <c r="FG982" s="711"/>
      <c r="FH982" s="714"/>
      <c r="FI982" s="696"/>
      <c r="FJ982" s="696"/>
      <c r="FK982" s="710"/>
      <c r="FL982" s="696"/>
    </row>
    <row r="983" ht="12.75" hidden="1" customHeight="1" outlineLevel="2">
      <c r="A983" s="715"/>
      <c r="B983" s="678" t="str">
        <f t="shared" ref="B983:B984" si="5200">B942</f>
        <v>    Server Itanium</v>
      </c>
      <c r="C983" s="162"/>
      <c r="D983" s="17"/>
      <c r="E983" s="17"/>
      <c r="F983" s="17"/>
      <c r="G983" s="17"/>
      <c r="H983" s="112"/>
      <c r="I983" s="17" t="str">
        <f>[2]MPU!I149</f>
        <v>#ERROR!</v>
      </c>
      <c r="J983" s="17" t="str">
        <f>[2]MPU!J149</f>
        <v>#ERROR!</v>
      </c>
      <c r="K983" s="17" t="str">
        <f>[2]MPU!K149</f>
        <v>#ERROR!</v>
      </c>
      <c r="L983" s="17" t="str">
        <f>[2]MPU!L149</f>
        <v>#ERROR!</v>
      </c>
      <c r="M983" s="112" t="str">
        <f>[2]MPU!M149</f>
        <v>#ERROR!</v>
      </c>
      <c r="N983" s="17" t="str">
        <f>[2]MPU!N149</f>
        <v>#ERROR!</v>
      </c>
      <c r="O983" s="17" t="str">
        <f>[2]MPU!O149</f>
        <v>#ERROR!</v>
      </c>
      <c r="P983" s="17" t="str">
        <f>[2]MPU!P149</f>
        <v>#ERROR!</v>
      </c>
      <c r="Q983" s="17" t="str">
        <f>[2]MPU!Q149</f>
        <v>#ERROR!</v>
      </c>
      <c r="R983" s="112" t="str">
        <f>[2]MPU!R149</f>
        <v>#ERROR!</v>
      </c>
      <c r="S983" s="17" t="str">
        <f>[2]MPU!S149</f>
        <v>#ERROR!</v>
      </c>
      <c r="T983" s="17" t="str">
        <f>[2]MPU!T149</f>
        <v>#ERROR!</v>
      </c>
      <c r="U983" s="17" t="str">
        <f>[2]MPU!U149</f>
        <v>#ERROR!</v>
      </c>
      <c r="V983" s="17" t="str">
        <f>[2]MPU!V149</f>
        <v>#ERROR!</v>
      </c>
      <c r="W983" s="112" t="str">
        <f>[2]MPU!W149</f>
        <v>#ERROR!</v>
      </c>
      <c r="X983" s="17" t="str">
        <f>[2]MPU!X149</f>
        <v>#ERROR!</v>
      </c>
      <c r="Y983" s="17" t="str">
        <f>[2]MPU!Y149</f>
        <v>#ERROR!</v>
      </c>
      <c r="Z983" s="17" t="str">
        <f>[2]MPU!Z149</f>
        <v>#ERROR!</v>
      </c>
      <c r="AA983" s="17" t="str">
        <f>[2]MPU!AA149</f>
        <v>#ERROR!</v>
      </c>
      <c r="AB983" s="112" t="str">
        <f>[2]MPU!AB149</f>
        <v>#ERROR!</v>
      </c>
      <c r="AC983" s="17" t="str">
        <f>[2]MPU!AC149</f>
        <v>#ERROR!</v>
      </c>
      <c r="AD983" s="17" t="str">
        <f>[2]MPU!AD149</f>
        <v>#ERROR!</v>
      </c>
      <c r="AE983" s="17" t="str">
        <f>[2]MPU!AE149</f>
        <v>#ERROR!</v>
      </c>
      <c r="AF983" s="17" t="str">
        <f>[2]MPU!AF149</f>
        <v>#ERROR!</v>
      </c>
      <c r="AG983" s="112" t="str">
        <f>[2]MPU!AG149</f>
        <v>#ERROR!</v>
      </c>
      <c r="AH983" s="17" t="str">
        <f>[2]MPU!AH149</f>
        <v>#ERROR!</v>
      </c>
      <c r="AI983" s="17" t="str">
        <f>[2]MPU!AI149</f>
        <v>#ERROR!</v>
      </c>
      <c r="AJ983" s="17" t="str">
        <f>[2]MPU!AJ149</f>
        <v>#ERROR!</v>
      </c>
      <c r="AK983" s="17" t="str">
        <f>[2]MPU!AK149</f>
        <v>#ERROR!</v>
      </c>
      <c r="AL983" s="112" t="str">
        <f>[2]MPU!AL149</f>
        <v>#ERROR!</v>
      </c>
      <c r="AM983" s="17" t="str">
        <f>[2]MPU!AM149</f>
        <v>#ERROR!</v>
      </c>
      <c r="AN983" s="17" t="str">
        <f>[2]MPU!AN149</f>
        <v>#ERROR!</v>
      </c>
      <c r="AO983" s="17" t="str">
        <f>[2]MPU!AO149</f>
        <v>#ERROR!</v>
      </c>
      <c r="AP983" s="17" t="str">
        <f>[2]MPU!AP149</f>
        <v>#ERROR!</v>
      </c>
      <c r="AQ983" s="112" t="str">
        <f>[2]MPU!AQ149</f>
        <v>#ERROR!</v>
      </c>
      <c r="AR983" s="17" t="str">
        <f>[2]MPU!AR149</f>
        <v>#ERROR!</v>
      </c>
      <c r="AS983" s="17" t="str">
        <f>[2]MPU!AS149</f>
        <v>#ERROR!</v>
      </c>
      <c r="AT983" s="17" t="str">
        <f>[2]MPU!AT149</f>
        <v>#ERROR!</v>
      </c>
      <c r="AU983" s="17" t="str">
        <f>[2]MPU!AU149</f>
        <v>#ERROR!</v>
      </c>
      <c r="AV983" s="112" t="str">
        <f>[2]MPU!AV149</f>
        <v>#ERROR!</v>
      </c>
      <c r="AW983" s="17" t="str">
        <f>[2]MPU!AW149</f>
        <v>#ERROR!</v>
      </c>
      <c r="AX983" s="17" t="str">
        <f>[2]MPU!AX149</f>
        <v>#ERROR!</v>
      </c>
      <c r="AY983" s="17" t="str">
        <f>[2]MPU!AY149</f>
        <v>#ERROR!</v>
      </c>
      <c r="AZ983" s="17" t="str">
        <f>[2]MPU!AZ149</f>
        <v>#ERROR!</v>
      </c>
      <c r="BA983" s="112" t="str">
        <f>[2]MPU!BA149</f>
        <v>#ERROR!</v>
      </c>
      <c r="BB983" s="17" t="str">
        <f>[2]MPU!BB149</f>
        <v>#ERROR!</v>
      </c>
      <c r="BC983" s="17" t="str">
        <f>[2]MPU!BC149</f>
        <v>#ERROR!</v>
      </c>
      <c r="BD983" s="17" t="str">
        <f>[2]MPU!BD149</f>
        <v>#ERROR!</v>
      </c>
      <c r="BE983" s="17" t="str">
        <f>[2]MPU!BE149</f>
        <v>#ERROR!</v>
      </c>
      <c r="BF983" s="112" t="str">
        <f>[2]MPU!BF149</f>
        <v>#ERROR!</v>
      </c>
      <c r="BG983" s="17" t="str">
        <f>[2]MPU!BG149</f>
        <v>#ERROR!</v>
      </c>
      <c r="BH983" s="17" t="str">
        <f>[2]MPU!BH149</f>
        <v>#ERROR!</v>
      </c>
      <c r="BI983" s="17" t="str">
        <f>[2]MPU!BI149</f>
        <v>#ERROR!</v>
      </c>
      <c r="BJ983" s="17" t="str">
        <f>[2]MPU!BJ149</f>
        <v>#ERROR!</v>
      </c>
      <c r="BK983" s="112" t="str">
        <f>[2]MPU!BK149</f>
        <v>#ERROR!</v>
      </c>
      <c r="BL983" s="17" t="str">
        <f>[2]MPU!BL149</f>
        <v>#ERROR!</v>
      </c>
      <c r="BM983" s="17" t="str">
        <f>[2]MPU!BM149</f>
        <v>#ERROR!</v>
      </c>
      <c r="BN983" s="17" t="str">
        <f>[2]MPU!BN149</f>
        <v>#ERROR!</v>
      </c>
      <c r="BO983" s="17" t="str">
        <f>[2]MPU!BO149</f>
        <v>#ERROR!</v>
      </c>
      <c r="BP983" s="112" t="str">
        <f>[2]MPU!BP149</f>
        <v>#ERROR!</v>
      </c>
      <c r="BQ983" s="17" t="str">
        <f>[2]MPU!BQ149</f>
        <v>#ERROR!</v>
      </c>
      <c r="BR983" s="17" t="str">
        <f>[2]MPU!BR149</f>
        <v>#ERROR!</v>
      </c>
      <c r="BS983" s="17" t="str">
        <f>[2]MPU!BS149</f>
        <v>#ERROR!</v>
      </c>
      <c r="BT983" s="17" t="str">
        <f>[2]MPU!BT149</f>
        <v>#ERROR!</v>
      </c>
      <c r="BU983" s="112" t="str">
        <f>[2]MPU!BU149</f>
        <v>#ERROR!</v>
      </c>
      <c r="BV983" s="17" t="str">
        <f>[2]MPU!BV149</f>
        <v>#ERROR!</v>
      </c>
      <c r="BW983" s="17" t="str">
        <f>[2]MPU!BW149</f>
        <v>#ERROR!</v>
      </c>
      <c r="BX983" s="17" t="str">
        <f>[2]MPU!BX149</f>
        <v>#ERROR!</v>
      </c>
      <c r="BY983" s="17" t="str">
        <f>[2]MPU!BY149</f>
        <v>#ERROR!</v>
      </c>
      <c r="BZ983" s="80" t="str">
        <f>[2]MPU!BZ149</f>
        <v>#ERROR!</v>
      </c>
      <c r="CA983" s="17" t="str">
        <f>[2]MPU!CA149</f>
        <v>#ERROR!</v>
      </c>
      <c r="CB983" s="17" t="str">
        <f>[2]MPU!CB149</f>
        <v>#ERROR!</v>
      </c>
      <c r="CC983" s="17" t="str">
        <f>[2]MPU!CC149</f>
        <v>#ERROR!</v>
      </c>
      <c r="CD983" s="17" t="str">
        <f>[2]MPU!CD149</f>
        <v>#ERROR!</v>
      </c>
      <c r="CE983" s="80" t="str">
        <f>[2]MPU!CE149</f>
        <v>#ERROR!</v>
      </c>
      <c r="CF983" s="17" t="str">
        <f>[2]MPU!CF149</f>
        <v>#ERROR!</v>
      </c>
      <c r="CG983" s="17" t="str">
        <f>[2]MPU!CG149</f>
        <v>#ERROR!</v>
      </c>
      <c r="CH983" s="17" t="str">
        <f>[2]MPU!CH149</f>
        <v>#ERROR!</v>
      </c>
      <c r="CI983" s="17" t="str">
        <f>[2]MPU!CI149</f>
        <v>#ERROR!</v>
      </c>
      <c r="CJ983" s="80" t="str">
        <f>[2]MPU!CJ149</f>
        <v>#ERROR!</v>
      </c>
      <c r="CK983" s="17" t="str">
        <f>[2]MPU!CK149</f>
        <v>#ERROR!</v>
      </c>
      <c r="CL983" s="17" t="str">
        <f>[2]MPU!CL149</f>
        <v>#ERROR!</v>
      </c>
      <c r="CM983" s="17" t="str">
        <f>[2]MPU!CM149</f>
        <v>#ERROR!</v>
      </c>
      <c r="CN983" s="19" t="str">
        <f>[2]MPU!CN149</f>
        <v>#ERROR!</v>
      </c>
      <c r="CO983" s="80" t="str">
        <f>[2]MPU!CO149</f>
        <v>#ERROR!</v>
      </c>
      <c r="CP983" s="19" t="str">
        <f>[2]MPU!CP149</f>
        <v>#ERROR!</v>
      </c>
      <c r="CQ983" s="17" t="str">
        <f>[2]MPU!CQ149</f>
        <v>#ERROR!</v>
      </c>
      <c r="CR983" s="17" t="str">
        <f>[2]MPU!CR149</f>
        <v>#ERROR!</v>
      </c>
      <c r="CS983" s="17" t="str">
        <f>[2]MPU!CS149</f>
        <v>#ERROR!</v>
      </c>
      <c r="CT983" s="80" t="str">
        <f>[2]MPU!CT149</f>
        <v>#ERROR!</v>
      </c>
      <c r="CU983" s="17" t="str">
        <f>[2]MPU!CU149</f>
        <v>#ERROR!</v>
      </c>
      <c r="CV983" s="17" t="str">
        <f>[2]MPU!CV149</f>
        <v>#ERROR!</v>
      </c>
      <c r="CW983" s="17" t="str">
        <f>[2]MPU!CW149</f>
        <v>#ERROR!</v>
      </c>
      <c r="CX983" s="17" t="str">
        <f>[2]MPU!CX149</f>
        <v>#ERROR!</v>
      </c>
      <c r="CY983" s="80" t="str">
        <f>[2]MPU!CY149</f>
        <v>#ERROR!</v>
      </c>
      <c r="CZ983" s="17" t="str">
        <f>[2]MPU!CZ149</f>
        <v>#ERROR!</v>
      </c>
      <c r="DA983" s="17" t="str">
        <f>[2]MPU!DA149</f>
        <v>#ERROR!</v>
      </c>
      <c r="DB983" s="17" t="str">
        <f>[2]MPU!DB149</f>
        <v>#ERROR!</v>
      </c>
      <c r="DC983" s="17" t="str">
        <f>[2]MPU!DC149</f>
        <v>#ERROR!</v>
      </c>
      <c r="DD983" s="80" t="str">
        <f>[2]MPU!DD149</f>
        <v>#ERROR!</v>
      </c>
      <c r="DE983" s="17" t="str">
        <f>[2]MPU!DE149</f>
        <v>#ERROR!</v>
      </c>
      <c r="DF983" s="17" t="str">
        <f>[2]MPU!DF149</f>
        <v>#ERROR!</v>
      </c>
      <c r="DG983" s="19" t="str">
        <f>[2]MPU!DG149</f>
        <v>#ERROR!</v>
      </c>
      <c r="DH983" s="17" t="str">
        <f>[2]MPU!DH149</f>
        <v>#ERROR!</v>
      </c>
      <c r="DI983" s="80" t="str">
        <f>[2]MPU!DI149</f>
        <v>#ERROR!</v>
      </c>
      <c r="DJ983" s="19" t="str">
        <f>[2]MPU!DJ149</f>
        <v>#ERROR!</v>
      </c>
      <c r="DK983" s="19" t="str">
        <f>[2]MPU!DK149</f>
        <v>#ERROR!</v>
      </c>
      <c r="DL983" s="19" t="str">
        <f>[2]MPU!DL149</f>
        <v>#ERROR!</v>
      </c>
      <c r="DM983" s="17" t="str">
        <f>[2]MPU!DM149</f>
        <v>#ERROR!</v>
      </c>
      <c r="DN983" s="80" t="str">
        <f>[2]MPU!DN149</f>
        <v>#ERROR!</v>
      </c>
      <c r="DO983" s="17" t="str">
        <f>[2]MPU!DT149</f>
        <v>#ERROR!</v>
      </c>
      <c r="DP983" s="17" t="str">
        <f>[2]MPU!DU149</f>
        <v>#ERROR!</v>
      </c>
      <c r="DQ983" s="17" t="str">
        <f>[2]MPU!DV149</f>
        <v>#ERROR!</v>
      </c>
      <c r="DR983" s="17" t="str">
        <f>[2]MPU!DW149</f>
        <v>#ERROR!</v>
      </c>
      <c r="DS983" s="80" t="str">
        <f>[2]MPU!DX149</f>
        <v>#ERROR!</v>
      </c>
      <c r="DT983" s="17" t="str">
        <f>[2]MPU!DY149</f>
        <v>#ERROR!</v>
      </c>
      <c r="DU983" s="17" t="str">
        <f>[2]MPU!DZ149</f>
        <v>#ERROR!</v>
      </c>
      <c r="DV983" s="17" t="str">
        <f>[2]MPU!EA149</f>
        <v>#ERROR!</v>
      </c>
      <c r="DW983" s="17" t="str">
        <f>[2]MPU!EB149</f>
        <v>#ERROR!</v>
      </c>
      <c r="DX983" s="80" t="str">
        <f>[2]MPU!EC149</f>
        <v>#ERROR!</v>
      </c>
      <c r="DY983" s="17" t="str">
        <f>[2]MPU!ED149</f>
        <v>#ERROR!</v>
      </c>
      <c r="DZ983" s="17" t="str">
        <f>[2]MPU!EE149</f>
        <v>#ERROR!</v>
      </c>
      <c r="EA983" s="17" t="str">
        <f>[2]MPU!EF149</f>
        <v>#ERROR!</v>
      </c>
      <c r="EB983" s="17" t="str">
        <f>[2]MPU!EG149</f>
        <v>#ERROR!</v>
      </c>
      <c r="EC983" s="80" t="str">
        <f>[2]MPU!EH149</f>
        <v>#ERROR!</v>
      </c>
      <c r="ED983" s="17" t="str">
        <f>[2]MPU!EI149</f>
        <v>#ERROR!</v>
      </c>
      <c r="EE983" s="17" t="str">
        <f>[2]MPU!EJ149</f>
        <v>#ERROR!</v>
      </c>
      <c r="EF983" s="17" t="str">
        <f>[2]MPU!#REF!</f>
        <v>#ERROR!</v>
      </c>
      <c r="EG983" s="17" t="str">
        <f>[2]MPU!#REF!</f>
        <v>#ERROR!</v>
      </c>
      <c r="EH983" s="80" t="str">
        <f>[2]MPU!#REF!</f>
        <v>#ERROR!</v>
      </c>
      <c r="EI983" s="25" t="str">
        <f>[2]MPU!#REF!</f>
        <v>#ERROR!</v>
      </c>
      <c r="EJ983" s="17" t="str">
        <f>[2]MPU!#REF!</f>
        <v>#ERROR!</v>
      </c>
      <c r="EK983" s="17" t="str">
        <f>[2]MPU!#REF!</f>
        <v>#ERROR!</v>
      </c>
      <c r="EL983" s="17" t="str">
        <f>[2]MPU!#REF!</f>
        <v>#ERROR!</v>
      </c>
      <c r="EM983" s="80" t="str">
        <f>[2]MPU!#REF!</f>
        <v>#ERROR!</v>
      </c>
      <c r="EN983" s="17" t="str">
        <f>[2]MPU!#REF!</f>
        <v>#ERROR!</v>
      </c>
      <c r="EO983" s="17" t="str">
        <f>[2]MPU!#REF!</f>
        <v>#ERROR!</v>
      </c>
      <c r="EP983" s="17" t="str">
        <f>[2]MPU!#REF!</f>
        <v>#ERROR!</v>
      </c>
      <c r="EQ983" s="17" t="str">
        <f>[2]MPU!#REF!</f>
        <v>#ERROR!</v>
      </c>
      <c r="ER983" s="80" t="str">
        <f>[2]MPU!#REF!</f>
        <v>#ERROR!</v>
      </c>
      <c r="ES983" s="17" t="str">
        <f>[2]MPU!#REF!</f>
        <v>#ERROR!</v>
      </c>
      <c r="ET983" s="17" t="str">
        <f>[2]MPU!#REF!</f>
        <v>#ERROR!</v>
      </c>
      <c r="EU983" s="17" t="str">
        <f>[2]MPU!#REF!</f>
        <v>#ERROR!</v>
      </c>
      <c r="EV983" s="17" t="str">
        <f>[2]MPU!#REF!</f>
        <v>#ERROR!</v>
      </c>
      <c r="EW983" s="80" t="str">
        <f>[2]MPU!#REF!</f>
        <v>#ERROR!</v>
      </c>
      <c r="EX983" s="17" t="str">
        <f>[2]MPU!#REF!</f>
        <v>#ERROR!</v>
      </c>
      <c r="EY983" s="17" t="str">
        <f>[2]MPU!#REF!</f>
        <v>#ERROR!</v>
      </c>
      <c r="EZ983" s="17" t="str">
        <f>[2]MPU!#REF!</f>
        <v>#ERROR!</v>
      </c>
      <c r="FA983" s="17" t="str">
        <f>[2]MPU!#REF!</f>
        <v>#ERROR!</v>
      </c>
      <c r="FB983" s="80" t="str">
        <f>[2]MPU!#REF!</f>
        <v>#ERROR!</v>
      </c>
      <c r="FC983" s="17" t="str">
        <f>[2]MPU!#REF!</f>
        <v>#ERROR!</v>
      </c>
      <c r="FD983" s="17" t="str">
        <f>[2]MPU!#REF!</f>
        <v>#ERROR!</v>
      </c>
      <c r="FE983" s="17" t="str">
        <f>[2]MPU!#REF!</f>
        <v>#ERROR!</v>
      </c>
      <c r="FF983" s="17" t="str">
        <f>[2]MPU!#REF!</f>
        <v>#ERROR!</v>
      </c>
      <c r="FG983" s="80" t="str">
        <f>[2]MPU!#REF!</f>
        <v>#ERROR!</v>
      </c>
      <c r="FH983" s="146"/>
      <c r="FI983" s="17"/>
      <c r="FJ983" s="17"/>
      <c r="FK983" s="112"/>
      <c r="FL983" s="17"/>
    </row>
    <row r="984" ht="12.75" hidden="1" customHeight="1" outlineLevel="2">
      <c r="A984" s="715"/>
      <c r="B984" s="678" t="str">
        <f t="shared" si="5200"/>
        <v>    Server Xeon</v>
      </c>
      <c r="C984" s="162"/>
      <c r="D984" s="17"/>
      <c r="E984" s="17"/>
      <c r="F984" s="17"/>
      <c r="G984" s="17"/>
      <c r="H984" s="112"/>
      <c r="I984" s="17" t="str">
        <f>[2]MPU!I156-I983</f>
        <v>#ERROR!</v>
      </c>
      <c r="J984" s="17" t="str">
        <f>[2]MPU!J156-J983</f>
        <v>#ERROR!</v>
      </c>
      <c r="K984" s="17" t="str">
        <f>[2]MPU!K156-K983</f>
        <v>#ERROR!</v>
      </c>
      <c r="L984" s="17" t="str">
        <f>[2]MPU!L156-L983</f>
        <v>#ERROR!</v>
      </c>
      <c r="M984" s="112" t="str">
        <f>[2]MPU!M156-M983</f>
        <v>#ERROR!</v>
      </c>
      <c r="N984" s="17" t="str">
        <f>[2]MPU!N156-N983</f>
        <v>#ERROR!</v>
      </c>
      <c r="O984" s="17" t="str">
        <f>[2]MPU!O156-O983</f>
        <v>#ERROR!</v>
      </c>
      <c r="P984" s="17" t="str">
        <f>[2]MPU!P156-P983</f>
        <v>#ERROR!</v>
      </c>
      <c r="Q984" s="17" t="str">
        <f>[2]MPU!Q156-Q983</f>
        <v>#ERROR!</v>
      </c>
      <c r="R984" s="112" t="str">
        <f>[2]MPU!R156-R983</f>
        <v>#ERROR!</v>
      </c>
      <c r="S984" s="17" t="str">
        <f>[2]MPU!S156-S983</f>
        <v>#ERROR!</v>
      </c>
      <c r="T984" s="17" t="str">
        <f>[2]MPU!T156-T983</f>
        <v>#ERROR!</v>
      </c>
      <c r="U984" s="17" t="str">
        <f>[2]MPU!U156-U983</f>
        <v>#ERROR!</v>
      </c>
      <c r="V984" s="17" t="str">
        <f>[2]MPU!V156-V983</f>
        <v>#ERROR!</v>
      </c>
      <c r="W984" s="112" t="str">
        <f>[2]MPU!W156-W983</f>
        <v>#ERROR!</v>
      </c>
      <c r="X984" s="17" t="str">
        <f>[2]MPU!X156-X983</f>
        <v>#ERROR!</v>
      </c>
      <c r="Y984" s="17" t="str">
        <f>[2]MPU!Y156-Y983</f>
        <v>#ERROR!</v>
      </c>
      <c r="Z984" s="17" t="str">
        <f>[2]MPU!Z156-Z983</f>
        <v>#ERROR!</v>
      </c>
      <c r="AA984" s="17" t="str">
        <f>[2]MPU!AA156-AA983</f>
        <v>#ERROR!</v>
      </c>
      <c r="AB984" s="112" t="str">
        <f>[2]MPU!AB156-AB983</f>
        <v>#ERROR!</v>
      </c>
      <c r="AC984" s="17" t="str">
        <f>[2]MPU!AC156-AC983</f>
        <v>#ERROR!</v>
      </c>
      <c r="AD984" s="17" t="str">
        <f>[2]MPU!AD156-AD983</f>
        <v>#ERROR!</v>
      </c>
      <c r="AE984" s="17" t="str">
        <f>[2]MPU!AE156-AE983</f>
        <v>#ERROR!</v>
      </c>
      <c r="AF984" s="17" t="str">
        <f>[2]MPU!AF156-AF983</f>
        <v>#ERROR!</v>
      </c>
      <c r="AG984" s="112" t="str">
        <f>[2]MPU!AG156-AG983</f>
        <v>#ERROR!</v>
      </c>
      <c r="AH984" s="17" t="str">
        <f>[2]MPU!AH156-AH983</f>
        <v>#ERROR!</v>
      </c>
      <c r="AI984" s="17" t="str">
        <f>[2]MPU!AI156-AI983</f>
        <v>#ERROR!</v>
      </c>
      <c r="AJ984" s="17" t="str">
        <f>[2]MPU!AJ156-AJ983</f>
        <v>#ERROR!</v>
      </c>
      <c r="AK984" s="17" t="str">
        <f>[2]MPU!AK156-AK983</f>
        <v>#ERROR!</v>
      </c>
      <c r="AL984" s="112" t="str">
        <f>[2]MPU!AL156-AL983</f>
        <v>#ERROR!</v>
      </c>
      <c r="AM984" s="17" t="str">
        <f>[2]MPU!AM156-AM983</f>
        <v>#ERROR!</v>
      </c>
      <c r="AN984" s="17" t="str">
        <f>[2]MPU!AN156-AN983</f>
        <v>#ERROR!</v>
      </c>
      <c r="AO984" s="17" t="str">
        <f>[2]MPU!AO156-AO983</f>
        <v>#ERROR!</v>
      </c>
      <c r="AP984" s="17" t="str">
        <f>[2]MPU!AP156-AP983</f>
        <v>#ERROR!</v>
      </c>
      <c r="AQ984" s="112" t="str">
        <f>[2]MPU!AQ156-AQ983</f>
        <v>#ERROR!</v>
      </c>
      <c r="AR984" s="17" t="str">
        <f>[2]MPU!AR156-AR983</f>
        <v>#ERROR!</v>
      </c>
      <c r="AS984" s="17" t="str">
        <f>[2]MPU!AS156-AS983</f>
        <v>#ERROR!</v>
      </c>
      <c r="AT984" s="17" t="str">
        <f>[2]MPU!AT156-AT983</f>
        <v>#ERROR!</v>
      </c>
      <c r="AU984" s="17" t="str">
        <f>[2]MPU!AU156-AU983</f>
        <v>#ERROR!</v>
      </c>
      <c r="AV984" s="112" t="str">
        <f>[2]MPU!AV156-AV983</f>
        <v>#ERROR!</v>
      </c>
      <c r="AW984" s="17" t="str">
        <f>[2]MPU!AW156-AW983</f>
        <v>#ERROR!</v>
      </c>
      <c r="AX984" s="17" t="str">
        <f>[2]MPU!AX156-AX983</f>
        <v>#ERROR!</v>
      </c>
      <c r="AY984" s="17" t="str">
        <f>[2]MPU!AY156-AY983</f>
        <v>#ERROR!</v>
      </c>
      <c r="AZ984" s="17" t="str">
        <f>[2]MPU!AZ156-AZ983</f>
        <v>#ERROR!</v>
      </c>
      <c r="BA984" s="112" t="str">
        <f>[2]MPU!BA156-BA983</f>
        <v>#ERROR!</v>
      </c>
      <c r="BB984" s="17" t="str">
        <f>[2]MPU!BB156-BB983</f>
        <v>#ERROR!</v>
      </c>
      <c r="BC984" s="17" t="str">
        <f>[2]MPU!BC156-BC983</f>
        <v>#ERROR!</v>
      </c>
      <c r="BD984" s="17" t="str">
        <f>[2]MPU!BD156-BD983</f>
        <v>#ERROR!</v>
      </c>
      <c r="BE984" s="17" t="str">
        <f>[2]MPU!BE156-BE983</f>
        <v>#ERROR!</v>
      </c>
      <c r="BF984" s="112" t="str">
        <f>[2]MPU!BF156-BF983</f>
        <v>#ERROR!</v>
      </c>
      <c r="BG984" s="17" t="str">
        <f>[2]MPU!BG156-BG983</f>
        <v>#ERROR!</v>
      </c>
      <c r="BH984" s="17" t="str">
        <f>[2]MPU!BH156-BH983</f>
        <v>#ERROR!</v>
      </c>
      <c r="BI984" s="17" t="str">
        <f>[2]MPU!BI156-BI983</f>
        <v>#ERROR!</v>
      </c>
      <c r="BJ984" s="17" t="str">
        <f>[2]MPU!BJ156-BJ983</f>
        <v>#ERROR!</v>
      </c>
      <c r="BK984" s="112" t="str">
        <f>[2]MPU!BK156-BK983</f>
        <v>#ERROR!</v>
      </c>
      <c r="BL984" s="17" t="str">
        <f>[2]MPU!BL156-BL983</f>
        <v>#ERROR!</v>
      </c>
      <c r="BM984" s="17" t="str">
        <f>[2]MPU!BM156-BM983</f>
        <v>#ERROR!</v>
      </c>
      <c r="BN984" s="17" t="str">
        <f>[2]MPU!BN156-BN983</f>
        <v>#ERROR!</v>
      </c>
      <c r="BO984" s="17" t="str">
        <f>[2]MPU!BO156-BO983</f>
        <v>#ERROR!</v>
      </c>
      <c r="BP984" s="112" t="str">
        <f>[2]MPU!BP156-BP983</f>
        <v>#ERROR!</v>
      </c>
      <c r="BQ984" s="17" t="str">
        <f>[2]MPU!BQ156-BQ983</f>
        <v>#ERROR!</v>
      </c>
      <c r="BR984" s="17" t="str">
        <f>[2]MPU!BR156-BR983</f>
        <v>#ERROR!</v>
      </c>
      <c r="BS984" s="17" t="str">
        <f>[2]MPU!BS156-BS983</f>
        <v>#ERROR!</v>
      </c>
      <c r="BT984" s="17" t="str">
        <f>[2]MPU!BT156-BT983</f>
        <v>#ERROR!</v>
      </c>
      <c r="BU984" s="112" t="str">
        <f>[2]MPU!BU156-BU983</f>
        <v>#ERROR!</v>
      </c>
      <c r="BV984" s="17" t="str">
        <f>[2]MPU!BV156-BV983</f>
        <v>#ERROR!</v>
      </c>
      <c r="BW984" s="17" t="str">
        <f>[2]MPU!BW156-BW983</f>
        <v>#ERROR!</v>
      </c>
      <c r="BX984" s="17" t="str">
        <f>[2]MPU!BX156-BX983</f>
        <v>#ERROR!</v>
      </c>
      <c r="BY984" s="17" t="str">
        <f>[2]MPU!BY156-BY983</f>
        <v>#ERROR!</v>
      </c>
      <c r="BZ984" s="80" t="str">
        <f>[2]MPU!BZ156-BZ983</f>
        <v>#ERROR!</v>
      </c>
      <c r="CA984" s="17" t="str">
        <f>[2]MPU!CA156-CA983</f>
        <v>#ERROR!</v>
      </c>
      <c r="CB984" s="17" t="str">
        <f>[2]MPU!CB156-CB983</f>
        <v>#ERROR!</v>
      </c>
      <c r="CC984" s="17" t="str">
        <f>[2]MPU!CC156-CC983</f>
        <v>#ERROR!</v>
      </c>
      <c r="CD984" s="17" t="str">
        <f>[2]MPU!CD156-CD983</f>
        <v>#ERROR!</v>
      </c>
      <c r="CE984" s="80" t="str">
        <f>[2]MPU!CE156-CE983</f>
        <v>#ERROR!</v>
      </c>
      <c r="CF984" s="17" t="str">
        <f>[2]MPU!CF156-CF983</f>
        <v>#ERROR!</v>
      </c>
      <c r="CG984" s="17" t="str">
        <f>[2]MPU!CG156-CG983</f>
        <v>#ERROR!</v>
      </c>
      <c r="CH984" s="17" t="str">
        <f>[2]MPU!CH156-CH983</f>
        <v>#ERROR!</v>
      </c>
      <c r="CI984" s="17" t="str">
        <f>[2]MPU!CI156-CI983</f>
        <v>#ERROR!</v>
      </c>
      <c r="CJ984" s="80" t="str">
        <f>[2]MPU!CJ156-CJ983</f>
        <v>#ERROR!</v>
      </c>
      <c r="CK984" s="17" t="str">
        <f>[2]MPU!CK156-CK983</f>
        <v>#ERROR!</v>
      </c>
      <c r="CL984" s="17" t="str">
        <f>[2]MPU!CL156-CL983</f>
        <v>#ERROR!</v>
      </c>
      <c r="CM984" s="17" t="str">
        <f>[2]MPU!CM156-CM983</f>
        <v>#ERROR!</v>
      </c>
      <c r="CN984" s="19" t="str">
        <f>[2]MPU!CN156-CN983</f>
        <v>#ERROR!</v>
      </c>
      <c r="CO984" s="80" t="str">
        <f>[2]MPU!CO156-CO983</f>
        <v>#ERROR!</v>
      </c>
      <c r="CP984" s="19" t="str">
        <f>[2]MPU!CP156-CP983</f>
        <v>#ERROR!</v>
      </c>
      <c r="CQ984" s="17" t="str">
        <f>[2]MPU!CQ156-CQ983</f>
        <v>#ERROR!</v>
      </c>
      <c r="CR984" s="17" t="str">
        <f>[2]MPU!CR156-CR983</f>
        <v>#ERROR!</v>
      </c>
      <c r="CS984" s="17" t="str">
        <f>[2]MPU!CS156-CS983</f>
        <v>#ERROR!</v>
      </c>
      <c r="CT984" s="80" t="str">
        <f>[2]MPU!CT156-CT983</f>
        <v>#ERROR!</v>
      </c>
      <c r="CU984" s="17" t="str">
        <f>[2]MPU!CU156-CU983</f>
        <v>#ERROR!</v>
      </c>
      <c r="CV984" s="17" t="str">
        <f>[2]MPU!CV156-CV983</f>
        <v>#ERROR!</v>
      </c>
      <c r="CW984" s="17" t="str">
        <f>[2]MPU!CW156-CW983</f>
        <v>#ERROR!</v>
      </c>
      <c r="CX984" s="17" t="str">
        <f>[2]MPU!CX156-CX983</f>
        <v>#ERROR!</v>
      </c>
      <c r="CY984" s="80" t="str">
        <f>[2]MPU!CY156-CY983</f>
        <v>#ERROR!</v>
      </c>
      <c r="CZ984" s="17" t="str">
        <f>[2]MPU!CZ156-CZ983</f>
        <v>#ERROR!</v>
      </c>
      <c r="DA984" s="17" t="str">
        <f>[2]MPU!DA156-DA983</f>
        <v>#ERROR!</v>
      </c>
      <c r="DB984" s="17" t="str">
        <f>[2]MPU!DB156-DB983</f>
        <v>#ERROR!</v>
      </c>
      <c r="DC984" s="17" t="str">
        <f>[2]MPU!DC156-DC983</f>
        <v>#ERROR!</v>
      </c>
      <c r="DD984" s="80" t="str">
        <f>[2]MPU!DD156-DD983</f>
        <v>#ERROR!</v>
      </c>
      <c r="DE984" s="17" t="str">
        <f>[2]MPU!DE156-DE983</f>
        <v>#ERROR!</v>
      </c>
      <c r="DF984" s="17" t="str">
        <f>[2]MPU!DF156-DF983</f>
        <v>#ERROR!</v>
      </c>
      <c r="DG984" s="19" t="str">
        <f>[2]MPU!DG156-DG983</f>
        <v>#ERROR!</v>
      </c>
      <c r="DH984" s="17" t="str">
        <f>[2]MPU!DH156-DH983</f>
        <v>#ERROR!</v>
      </c>
      <c r="DI984" s="80" t="str">
        <f>[2]MPU!DI156-DI983</f>
        <v>#ERROR!</v>
      </c>
      <c r="DJ984" s="19" t="str">
        <f>[2]MPU!DJ156-DJ983</f>
        <v>#ERROR!</v>
      </c>
      <c r="DK984" s="19" t="str">
        <f>[2]MPU!DK156-DK983</f>
        <v>#ERROR!</v>
      </c>
      <c r="DL984" s="19" t="str">
        <f>[2]MPU!DL156-DL983</f>
        <v>#ERROR!</v>
      </c>
      <c r="DM984" s="17" t="str">
        <f>[2]MPU!DM156-DM983</f>
        <v>#ERROR!</v>
      </c>
      <c r="DN984" s="80" t="str">
        <f>[2]MPU!DN156-DN983</f>
        <v>#ERROR!</v>
      </c>
      <c r="DO984" s="17" t="str">
        <f>[2]MPU!DT156-DO983</f>
        <v>#ERROR!</v>
      </c>
      <c r="DP984" s="17" t="str">
        <f>[2]MPU!DU156-DP983</f>
        <v>#ERROR!</v>
      </c>
      <c r="DQ984" s="17" t="str">
        <f>[2]MPU!DV156-DQ983</f>
        <v>#ERROR!</v>
      </c>
      <c r="DR984" s="17" t="str">
        <f>[2]MPU!DW156-DR983</f>
        <v>#ERROR!</v>
      </c>
      <c r="DS984" s="80" t="str">
        <f>[2]MPU!DX156-DS983</f>
        <v>#ERROR!</v>
      </c>
      <c r="DT984" s="17" t="str">
        <f>[2]MPU!DY156-DT983</f>
        <v>#ERROR!</v>
      </c>
      <c r="DU984" s="17" t="str">
        <f>[2]MPU!DZ156-DU983</f>
        <v>#ERROR!</v>
      </c>
      <c r="DV984" s="17" t="str">
        <f>[2]MPU!EA156-DV983</f>
        <v>#ERROR!</v>
      </c>
      <c r="DW984" s="17" t="str">
        <f>[2]MPU!EB156-DW983</f>
        <v>#ERROR!</v>
      </c>
      <c r="DX984" s="80" t="str">
        <f>[2]MPU!EC156-DX983</f>
        <v>#ERROR!</v>
      </c>
      <c r="DY984" s="17" t="str">
        <f>[2]MPU!ED156-DY983</f>
        <v>#ERROR!</v>
      </c>
      <c r="DZ984" s="17" t="str">
        <f>[2]MPU!EE156-DZ983</f>
        <v>#ERROR!</v>
      </c>
      <c r="EA984" s="17" t="str">
        <f>[2]MPU!EF156-EA983</f>
        <v>#ERROR!</v>
      </c>
      <c r="EB984" s="17" t="str">
        <f>[2]MPU!EG156-EB983</f>
        <v>#ERROR!</v>
      </c>
      <c r="EC984" s="80" t="str">
        <f>[2]MPU!EH156-EC983</f>
        <v>#ERROR!</v>
      </c>
      <c r="ED984" s="17" t="str">
        <f>[2]MPU!EI156-ED983</f>
        <v>#ERROR!</v>
      </c>
      <c r="EE984" s="17" t="str">
        <f>[2]MPU!EJ156-EE983</f>
        <v>#ERROR!</v>
      </c>
      <c r="EF984" s="17" t="str">
        <f>[2]MPU!#REF!-EF983</f>
        <v>#ERROR!</v>
      </c>
      <c r="EG984" s="17" t="str">
        <f>[2]MPU!#REF!-EG983</f>
        <v>#ERROR!</v>
      </c>
      <c r="EH984" s="80" t="str">
        <f>[2]MPU!#REF!-EH983</f>
        <v>#ERROR!</v>
      </c>
      <c r="EI984" s="25" t="str">
        <f>[2]MPU!#REF!-EI983</f>
        <v>#ERROR!</v>
      </c>
      <c r="EJ984" s="17" t="str">
        <f>[2]MPU!#REF!-EJ983</f>
        <v>#ERROR!</v>
      </c>
      <c r="EK984" s="17" t="str">
        <f>[2]MPU!#REF!-EK983</f>
        <v>#ERROR!</v>
      </c>
      <c r="EL984" s="17" t="str">
        <f>[2]MPU!#REF!-EL983</f>
        <v>#ERROR!</v>
      </c>
      <c r="EM984" s="80" t="str">
        <f>[2]MPU!#REF!-EM983</f>
        <v>#ERROR!</v>
      </c>
      <c r="EN984" s="17" t="str">
        <f>[2]MPU!#REF!-EN983</f>
        <v>#ERROR!</v>
      </c>
      <c r="EO984" s="17" t="str">
        <f>[2]MPU!#REF!-EO983</f>
        <v>#ERROR!</v>
      </c>
      <c r="EP984" s="17" t="str">
        <f>[2]MPU!#REF!-EP983</f>
        <v>#ERROR!</v>
      </c>
      <c r="EQ984" s="17" t="str">
        <f>[2]MPU!#REF!-EQ983</f>
        <v>#ERROR!</v>
      </c>
      <c r="ER984" s="80" t="str">
        <f>[2]MPU!#REF!-ER983</f>
        <v>#ERROR!</v>
      </c>
      <c r="ES984" s="17" t="str">
        <f>[2]MPU!#REF!-ES983</f>
        <v>#ERROR!</v>
      </c>
      <c r="ET984" s="17" t="str">
        <f>[2]MPU!#REF!-ET983</f>
        <v>#ERROR!</v>
      </c>
      <c r="EU984" s="17" t="str">
        <f>[2]MPU!#REF!-EU983</f>
        <v>#ERROR!</v>
      </c>
      <c r="EV984" s="17" t="str">
        <f>[2]MPU!#REF!-EV983</f>
        <v>#ERROR!</v>
      </c>
      <c r="EW984" s="80" t="str">
        <f>[2]MPU!#REF!-EW983</f>
        <v>#ERROR!</v>
      </c>
      <c r="EX984" s="17" t="str">
        <f>[2]MPU!#REF!-EX983</f>
        <v>#ERROR!</v>
      </c>
      <c r="EY984" s="17" t="str">
        <f>[2]MPU!#REF!-EY983</f>
        <v>#ERROR!</v>
      </c>
      <c r="EZ984" s="17" t="str">
        <f>[2]MPU!#REF!-EZ983</f>
        <v>#ERROR!</v>
      </c>
      <c r="FA984" s="17" t="str">
        <f>[2]MPU!#REF!-FA983</f>
        <v>#ERROR!</v>
      </c>
      <c r="FB984" s="80" t="str">
        <f>[2]MPU!#REF!-FB983</f>
        <v>#ERROR!</v>
      </c>
      <c r="FC984" s="17" t="str">
        <f>[2]MPU!#REF!-FC983</f>
        <v>#ERROR!</v>
      </c>
      <c r="FD984" s="17" t="str">
        <f>[2]MPU!#REF!-FD983</f>
        <v>#ERROR!</v>
      </c>
      <c r="FE984" s="17" t="str">
        <f>[2]MPU!#REF!-FE983</f>
        <v>#ERROR!</v>
      </c>
      <c r="FF984" s="17" t="str">
        <f>[2]MPU!#REF!-FF983</f>
        <v>#ERROR!</v>
      </c>
      <c r="FG984" s="80" t="str">
        <f>[2]MPU!#REF!-FG983</f>
        <v>#ERROR!</v>
      </c>
      <c r="FH984" s="146"/>
      <c r="FI984" s="17"/>
      <c r="FJ984" s="17"/>
      <c r="FK984" s="112"/>
      <c r="FL984" s="17"/>
    </row>
    <row r="985" ht="12.75" hidden="1" customHeight="1" outlineLevel="1">
      <c r="A985" s="715"/>
      <c r="B985" s="716" t="s">
        <v>344</v>
      </c>
      <c r="C985" s="716"/>
      <c r="D985" s="681"/>
      <c r="E985" s="681"/>
      <c r="F985" s="681"/>
      <c r="G985" s="681"/>
      <c r="H985" s="682"/>
      <c r="I985" s="681" t="str">
        <f>[2]MPU!I156</f>
        <v>#ERROR!</v>
      </c>
      <c r="J985" s="681" t="str">
        <f>[2]MPU!J156</f>
        <v>#ERROR!</v>
      </c>
      <c r="K985" s="681" t="str">
        <f>[2]MPU!K156</f>
        <v>#ERROR!</v>
      </c>
      <c r="L985" s="681" t="str">
        <f>[2]MPU!L156</f>
        <v>#ERROR!</v>
      </c>
      <c r="M985" s="682" t="str">
        <f>[2]MPU!M156</f>
        <v>#ERROR!</v>
      </c>
      <c r="N985" s="681" t="str">
        <f>[2]MPU!N156</f>
        <v>#ERROR!</v>
      </c>
      <c r="O985" s="681" t="str">
        <f>[2]MPU!O156</f>
        <v>#ERROR!</v>
      </c>
      <c r="P985" s="681" t="str">
        <f>[2]MPU!P156</f>
        <v>#ERROR!</v>
      </c>
      <c r="Q985" s="681" t="str">
        <f>[2]MPU!Q156</f>
        <v>#ERROR!</v>
      </c>
      <c r="R985" s="682" t="str">
        <f>[2]MPU!R156</f>
        <v>#ERROR!</v>
      </c>
      <c r="S985" s="681" t="str">
        <f>[2]MPU!S156</f>
        <v>#ERROR!</v>
      </c>
      <c r="T985" s="681" t="str">
        <f>[2]MPU!T156</f>
        <v>#ERROR!</v>
      </c>
      <c r="U985" s="681" t="str">
        <f>[2]MPU!U156</f>
        <v>#ERROR!</v>
      </c>
      <c r="V985" s="681" t="str">
        <f>[2]MPU!V156</f>
        <v>#ERROR!</v>
      </c>
      <c r="W985" s="682" t="str">
        <f>[2]MPU!W156</f>
        <v>#ERROR!</v>
      </c>
      <c r="X985" s="681" t="str">
        <f>[2]MPU!X156</f>
        <v>#ERROR!</v>
      </c>
      <c r="Y985" s="681" t="str">
        <f>[2]MPU!Y156</f>
        <v>#ERROR!</v>
      </c>
      <c r="Z985" s="681" t="str">
        <f>[2]MPU!Z156</f>
        <v>#ERROR!</v>
      </c>
      <c r="AA985" s="681" t="str">
        <f>[2]MPU!AA156</f>
        <v>#ERROR!</v>
      </c>
      <c r="AB985" s="682" t="str">
        <f>[2]MPU!AB156</f>
        <v>#ERROR!</v>
      </c>
      <c r="AC985" s="681" t="str">
        <f>[2]MPU!AC156</f>
        <v>#ERROR!</v>
      </c>
      <c r="AD985" s="681" t="str">
        <f>[2]MPU!AD156</f>
        <v>#ERROR!</v>
      </c>
      <c r="AE985" s="681" t="str">
        <f>[2]MPU!AE156</f>
        <v>#ERROR!</v>
      </c>
      <c r="AF985" s="681" t="str">
        <f>[2]MPU!AF156</f>
        <v>#ERROR!</v>
      </c>
      <c r="AG985" s="682" t="str">
        <f>[2]MPU!AG156</f>
        <v>#ERROR!</v>
      </c>
      <c r="AH985" s="681" t="str">
        <f>[2]MPU!AH156</f>
        <v>#ERROR!</v>
      </c>
      <c r="AI985" s="681" t="str">
        <f>[2]MPU!AI156</f>
        <v>#ERROR!</v>
      </c>
      <c r="AJ985" s="681" t="str">
        <f>[2]MPU!AJ156</f>
        <v>#ERROR!</v>
      </c>
      <c r="AK985" s="681" t="str">
        <f>[2]MPU!AK156</f>
        <v>#ERROR!</v>
      </c>
      <c r="AL985" s="682" t="str">
        <f>[2]MPU!AL156</f>
        <v>#ERROR!</v>
      </c>
      <c r="AM985" s="681" t="str">
        <f>[2]MPU!AM156</f>
        <v>#ERROR!</v>
      </c>
      <c r="AN985" s="681" t="str">
        <f>[2]MPU!AN156</f>
        <v>#ERROR!</v>
      </c>
      <c r="AO985" s="681" t="str">
        <f>[2]MPU!AO156</f>
        <v>#ERROR!</v>
      </c>
      <c r="AP985" s="681" t="str">
        <f>[2]MPU!AP156</f>
        <v>#ERROR!</v>
      </c>
      <c r="AQ985" s="682" t="str">
        <f>[2]MPU!AQ156</f>
        <v>#ERROR!</v>
      </c>
      <c r="AR985" s="681" t="str">
        <f>[2]MPU!AR156</f>
        <v>#ERROR!</v>
      </c>
      <c r="AS985" s="681" t="str">
        <f>[2]MPU!AS156</f>
        <v>#ERROR!</v>
      </c>
      <c r="AT985" s="681" t="str">
        <f>[2]MPU!AT156</f>
        <v>#ERROR!</v>
      </c>
      <c r="AU985" s="681" t="str">
        <f>[2]MPU!AU156</f>
        <v>#ERROR!</v>
      </c>
      <c r="AV985" s="682" t="str">
        <f>[2]MPU!AV156</f>
        <v>#ERROR!</v>
      </c>
      <c r="AW985" s="681" t="str">
        <f>[2]MPU!AW156</f>
        <v>#ERROR!</v>
      </c>
      <c r="AX985" s="681" t="str">
        <f>[2]MPU!AX156</f>
        <v>#ERROR!</v>
      </c>
      <c r="AY985" s="681" t="str">
        <f>[2]MPU!AY156</f>
        <v>#ERROR!</v>
      </c>
      <c r="AZ985" s="681" t="str">
        <f>[2]MPU!AZ156</f>
        <v>#ERROR!</v>
      </c>
      <c r="BA985" s="682" t="str">
        <f>[2]MPU!BA156</f>
        <v>#ERROR!</v>
      </c>
      <c r="BB985" s="681" t="str">
        <f>[2]MPU!BB156</f>
        <v>#ERROR!</v>
      </c>
      <c r="BC985" s="681" t="str">
        <f>[2]MPU!BC156</f>
        <v>#ERROR!</v>
      </c>
      <c r="BD985" s="681" t="str">
        <f>[2]MPU!BD156</f>
        <v>#ERROR!</v>
      </c>
      <c r="BE985" s="681" t="str">
        <f>[2]MPU!BE156</f>
        <v>#ERROR!</v>
      </c>
      <c r="BF985" s="682" t="str">
        <f>[2]MPU!BF156</f>
        <v>#ERROR!</v>
      </c>
      <c r="BG985" s="681" t="str">
        <f>[2]MPU!BG156</f>
        <v>#ERROR!</v>
      </c>
      <c r="BH985" s="681" t="str">
        <f>[2]MPU!BH156</f>
        <v>#ERROR!</v>
      </c>
      <c r="BI985" s="681" t="str">
        <f>[2]MPU!BI156</f>
        <v>#ERROR!</v>
      </c>
      <c r="BJ985" s="681" t="str">
        <f>[2]MPU!BJ156</f>
        <v>#ERROR!</v>
      </c>
      <c r="BK985" s="682" t="str">
        <f>[2]MPU!BK156</f>
        <v>#ERROR!</v>
      </c>
      <c r="BL985" s="681" t="str">
        <f>[2]MPU!BL156</f>
        <v>#ERROR!</v>
      </c>
      <c r="BM985" s="681" t="str">
        <f>[2]MPU!BM156</f>
        <v>#ERROR!</v>
      </c>
      <c r="BN985" s="681" t="str">
        <f>[2]MPU!BN156</f>
        <v>#ERROR!</v>
      </c>
      <c r="BO985" s="681" t="str">
        <f>[2]MPU!BO156</f>
        <v>#ERROR!</v>
      </c>
      <c r="BP985" s="682" t="str">
        <f>[2]MPU!BP156</f>
        <v>#ERROR!</v>
      </c>
      <c r="BQ985" s="681" t="str">
        <f>[2]MPU!BQ156</f>
        <v>#ERROR!</v>
      </c>
      <c r="BR985" s="681" t="str">
        <f>[2]MPU!BR156</f>
        <v>#ERROR!</v>
      </c>
      <c r="BS985" s="681" t="str">
        <f>[2]MPU!BS156</f>
        <v>#ERROR!</v>
      </c>
      <c r="BT985" s="681" t="str">
        <f>[2]MPU!BT156</f>
        <v>#ERROR!</v>
      </c>
      <c r="BU985" s="682" t="str">
        <f>[2]MPU!BU156</f>
        <v>#ERROR!</v>
      </c>
      <c r="BV985" s="681" t="str">
        <f>[2]MPU!BV156</f>
        <v>#ERROR!</v>
      </c>
      <c r="BW985" s="681" t="str">
        <f>[2]MPU!BW156</f>
        <v>#ERROR!</v>
      </c>
      <c r="BX985" s="681" t="str">
        <f>[2]MPU!BX156</f>
        <v>#ERROR!</v>
      </c>
      <c r="BY985" s="681" t="str">
        <f>[2]MPU!BY156</f>
        <v>#ERROR!</v>
      </c>
      <c r="BZ985" s="683" t="str">
        <f>[2]MPU!BZ156</f>
        <v>#ERROR!</v>
      </c>
      <c r="CA985" s="681" t="str">
        <f>[2]MPU!CA156</f>
        <v>#ERROR!</v>
      </c>
      <c r="CB985" s="681" t="str">
        <f>[2]MPU!CB156</f>
        <v>#ERROR!</v>
      </c>
      <c r="CC985" s="681" t="str">
        <f>[2]MPU!CC156</f>
        <v>#ERROR!</v>
      </c>
      <c r="CD985" s="681" t="str">
        <f>[2]MPU!CD156</f>
        <v>#ERROR!</v>
      </c>
      <c r="CE985" s="683" t="str">
        <f>[2]MPU!CE156</f>
        <v>#ERROR!</v>
      </c>
      <c r="CF985" s="681" t="str">
        <f>[2]MPU!CF156</f>
        <v>#ERROR!</v>
      </c>
      <c r="CG985" s="681" t="str">
        <f>[2]MPU!CG156</f>
        <v>#ERROR!</v>
      </c>
      <c r="CH985" s="681" t="str">
        <f>[2]MPU!CH156</f>
        <v>#ERROR!</v>
      </c>
      <c r="CI985" s="681" t="str">
        <f>[2]MPU!CI156</f>
        <v>#ERROR!</v>
      </c>
      <c r="CJ985" s="683" t="str">
        <f>[2]MPU!CJ156</f>
        <v>#ERROR!</v>
      </c>
      <c r="CK985" s="681" t="str">
        <f>[2]MPU!CK156</f>
        <v>#ERROR!</v>
      </c>
      <c r="CL985" s="681" t="str">
        <f>[2]MPU!CL156</f>
        <v>#ERROR!</v>
      </c>
      <c r="CM985" s="681" t="str">
        <f>[2]MPU!CM156</f>
        <v>#ERROR!</v>
      </c>
      <c r="CN985" s="684" t="str">
        <f>[2]MPU!CN156</f>
        <v>#ERROR!</v>
      </c>
      <c r="CO985" s="683" t="str">
        <f>[2]MPU!CO156</f>
        <v>#ERROR!</v>
      </c>
      <c r="CP985" s="684" t="str">
        <f>[2]MPU!CP156</f>
        <v>#ERROR!</v>
      </c>
      <c r="CQ985" s="681" t="str">
        <f>[2]MPU!CQ156</f>
        <v>#ERROR!</v>
      </c>
      <c r="CR985" s="681" t="str">
        <f>[2]MPU!CR156</f>
        <v>#ERROR!</v>
      </c>
      <c r="CS985" s="681" t="str">
        <f>[2]MPU!CS156</f>
        <v>#ERROR!</v>
      </c>
      <c r="CT985" s="683" t="str">
        <f>[2]MPU!CT156</f>
        <v>#ERROR!</v>
      </c>
      <c r="CU985" s="681" t="str">
        <f>[2]MPU!CU156</f>
        <v>#ERROR!</v>
      </c>
      <c r="CV985" s="681" t="str">
        <f>[2]MPU!CV156</f>
        <v>#ERROR!</v>
      </c>
      <c r="CW985" s="681" t="str">
        <f>[2]MPU!CW156</f>
        <v>#ERROR!</v>
      </c>
      <c r="CX985" s="681" t="str">
        <f>[2]MPU!CX156</f>
        <v>#ERROR!</v>
      </c>
      <c r="CY985" s="683" t="str">
        <f>[2]MPU!CY156</f>
        <v>#ERROR!</v>
      </c>
      <c r="CZ985" s="681" t="str">
        <f>[2]MPU!CZ156</f>
        <v>#ERROR!</v>
      </c>
      <c r="DA985" s="681" t="str">
        <f>[2]MPU!DA156</f>
        <v>#ERROR!</v>
      </c>
      <c r="DB985" s="681" t="str">
        <f>[2]MPU!DB156</f>
        <v>#ERROR!</v>
      </c>
      <c r="DC985" s="681" t="str">
        <f>[2]MPU!DC156</f>
        <v>#ERROR!</v>
      </c>
      <c r="DD985" s="683" t="str">
        <f>[2]MPU!DD156</f>
        <v>#ERROR!</v>
      </c>
      <c r="DE985" s="681" t="str">
        <f>[2]MPU!DE156</f>
        <v>#ERROR!</v>
      </c>
      <c r="DF985" s="681" t="str">
        <f>[2]MPU!DF156</f>
        <v>#ERROR!</v>
      </c>
      <c r="DG985" s="19" t="str">
        <f>[2]MPU!DG156</f>
        <v>#ERROR!</v>
      </c>
      <c r="DH985" s="681" t="str">
        <f>[2]MPU!DH156</f>
        <v>#ERROR!</v>
      </c>
      <c r="DI985" s="683" t="str">
        <f>[2]MPU!DI156</f>
        <v>#ERROR!</v>
      </c>
      <c r="DJ985" s="684" t="str">
        <f>[2]MPU!DJ156</f>
        <v>#ERROR!</v>
      </c>
      <c r="DK985" s="684" t="str">
        <f>[2]MPU!DK156</f>
        <v>#ERROR!</v>
      </c>
      <c r="DL985" s="684" t="str">
        <f>[2]MPU!DL156</f>
        <v>#ERROR!</v>
      </c>
      <c r="DM985" s="681" t="str">
        <f>[2]MPU!DM156</f>
        <v>#ERROR!</v>
      </c>
      <c r="DN985" s="683" t="str">
        <f>[2]MPU!DN156</f>
        <v>#ERROR!</v>
      </c>
      <c r="DO985" s="681" t="str">
        <f>[2]MPU!DT156</f>
        <v>#ERROR!</v>
      </c>
      <c r="DP985" s="681" t="str">
        <f>[2]MPU!DU156</f>
        <v>#ERROR!</v>
      </c>
      <c r="DQ985" s="681" t="str">
        <f>[2]MPU!DV156</f>
        <v>#ERROR!</v>
      </c>
      <c r="DR985" s="681" t="str">
        <f>[2]MPU!DW156</f>
        <v>#ERROR!</v>
      </c>
      <c r="DS985" s="683" t="str">
        <f>[2]MPU!DX156</f>
        <v>#ERROR!</v>
      </c>
      <c r="DT985" s="681" t="str">
        <f>[2]MPU!DY156</f>
        <v>#ERROR!</v>
      </c>
      <c r="DU985" s="681" t="str">
        <f>[2]MPU!DZ156</f>
        <v>#ERROR!</v>
      </c>
      <c r="DV985" s="681" t="str">
        <f>[2]MPU!EA156</f>
        <v>#ERROR!</v>
      </c>
      <c r="DW985" s="681" t="str">
        <f>[2]MPU!EB156</f>
        <v>#ERROR!</v>
      </c>
      <c r="DX985" s="683" t="str">
        <f>[2]MPU!EC156</f>
        <v>#ERROR!</v>
      </c>
      <c r="DY985" s="681" t="str">
        <f>[2]MPU!ED156</f>
        <v>#ERROR!</v>
      </c>
      <c r="DZ985" s="681" t="str">
        <f>[2]MPU!EE156</f>
        <v>#ERROR!</v>
      </c>
      <c r="EA985" s="681" t="str">
        <f>[2]MPU!EF156</f>
        <v>#ERROR!</v>
      </c>
      <c r="EB985" s="681" t="str">
        <f>[2]MPU!EG156</f>
        <v>#ERROR!</v>
      </c>
      <c r="EC985" s="683" t="str">
        <f>[2]MPU!EH156</f>
        <v>#ERROR!</v>
      </c>
      <c r="ED985" s="681" t="str">
        <f>[2]MPU!EI156</f>
        <v>#ERROR!</v>
      </c>
      <c r="EE985" s="681" t="str">
        <f>[2]MPU!EJ156</f>
        <v>#ERROR!</v>
      </c>
      <c r="EF985" s="681" t="str">
        <f>[2]MPU!#REF!</f>
        <v>#ERROR!</v>
      </c>
      <c r="EG985" s="681" t="str">
        <f>[2]MPU!#REF!</f>
        <v>#ERROR!</v>
      </c>
      <c r="EH985" s="683" t="str">
        <f>[2]MPU!#REF!</f>
        <v>#ERROR!</v>
      </c>
      <c r="EI985" s="685" t="str">
        <f>[2]MPU!#REF!</f>
        <v>#ERROR!</v>
      </c>
      <c r="EJ985" s="681" t="str">
        <f>[2]MPU!#REF!</f>
        <v>#ERROR!</v>
      </c>
      <c r="EK985" s="681" t="str">
        <f>[2]MPU!#REF!</f>
        <v>#ERROR!</v>
      </c>
      <c r="EL985" s="681" t="str">
        <f>[2]MPU!#REF!</f>
        <v>#ERROR!</v>
      </c>
      <c r="EM985" s="683" t="str">
        <f>[2]MPU!#REF!</f>
        <v>#ERROR!</v>
      </c>
      <c r="EN985" s="681" t="str">
        <f>[2]MPU!#REF!</f>
        <v>#ERROR!</v>
      </c>
      <c r="EO985" s="681" t="str">
        <f>[2]MPU!#REF!</f>
        <v>#ERROR!</v>
      </c>
      <c r="EP985" s="681" t="str">
        <f>[2]MPU!#REF!</f>
        <v>#ERROR!</v>
      </c>
      <c r="EQ985" s="681" t="str">
        <f>[2]MPU!#REF!</f>
        <v>#ERROR!</v>
      </c>
      <c r="ER985" s="683" t="str">
        <f>[2]MPU!#REF!</f>
        <v>#ERROR!</v>
      </c>
      <c r="ES985" s="681" t="str">
        <f>[2]MPU!#REF!</f>
        <v>#ERROR!</v>
      </c>
      <c r="ET985" s="681" t="str">
        <f>[2]MPU!#REF!</f>
        <v>#ERROR!</v>
      </c>
      <c r="EU985" s="681" t="str">
        <f>[2]MPU!#REF!</f>
        <v>#ERROR!</v>
      </c>
      <c r="EV985" s="681" t="str">
        <f>[2]MPU!#REF!</f>
        <v>#ERROR!</v>
      </c>
      <c r="EW985" s="683" t="str">
        <f>[2]MPU!#REF!</f>
        <v>#ERROR!</v>
      </c>
      <c r="EX985" s="681" t="str">
        <f>[2]MPU!#REF!</f>
        <v>#ERROR!</v>
      </c>
      <c r="EY985" s="681" t="str">
        <f>[2]MPU!#REF!</f>
        <v>#ERROR!</v>
      </c>
      <c r="EZ985" s="681" t="str">
        <f>[2]MPU!#REF!</f>
        <v>#ERROR!</v>
      </c>
      <c r="FA985" s="681" t="str">
        <f>[2]MPU!#REF!</f>
        <v>#ERROR!</v>
      </c>
      <c r="FB985" s="683" t="str">
        <f>[2]MPU!#REF!</f>
        <v>#ERROR!</v>
      </c>
      <c r="FC985" s="681" t="str">
        <f>[2]MPU!#REF!</f>
        <v>#ERROR!</v>
      </c>
      <c r="FD985" s="681" t="str">
        <f>[2]MPU!#REF!</f>
        <v>#ERROR!</v>
      </c>
      <c r="FE985" s="681" t="str">
        <f>[2]MPU!#REF!</f>
        <v>#ERROR!</v>
      </c>
      <c r="FF985" s="681" t="str">
        <f>[2]MPU!#REF!</f>
        <v>#ERROR!</v>
      </c>
      <c r="FG985" s="683" t="str">
        <f>[2]MPU!#REF!</f>
        <v>#ERROR!</v>
      </c>
      <c r="FH985" s="686"/>
      <c r="FI985" s="681"/>
      <c r="FJ985" s="681"/>
      <c r="FK985" s="682"/>
      <c r="FL985" s="681"/>
    </row>
    <row r="986" ht="12.75" hidden="1" customHeight="1" outlineLevel="1">
      <c r="A986" s="162"/>
      <c r="B986" s="162" t="s">
        <v>345</v>
      </c>
      <c r="C986" s="162"/>
      <c r="D986" s="15"/>
      <c r="E986" s="15"/>
      <c r="F986" s="15"/>
      <c r="G986" s="15"/>
      <c r="H986" s="112"/>
      <c r="I986" s="15"/>
      <c r="J986" s="15"/>
      <c r="K986" s="15"/>
      <c r="L986" s="15"/>
      <c r="M986" s="112"/>
      <c r="N986" s="15"/>
      <c r="O986" s="15"/>
      <c r="P986" s="15" t="str">
        <f t="shared" ref="P986:Q986" si="5201">P985/O985-1</f>
        <v>#ERROR!</v>
      </c>
      <c r="Q986" s="15" t="str">
        <f t="shared" si="5201"/>
        <v>#ERROR!</v>
      </c>
      <c r="R986" s="112"/>
      <c r="S986" s="15"/>
      <c r="T986" s="15" t="str">
        <f t="shared" ref="T986:V986" si="5202">T985/S985-1</f>
        <v>#ERROR!</v>
      </c>
      <c r="U986" s="15" t="str">
        <f t="shared" si="5202"/>
        <v>#ERROR!</v>
      </c>
      <c r="V986" s="15" t="str">
        <f t="shared" si="5202"/>
        <v>#ERROR!</v>
      </c>
      <c r="W986" s="112"/>
      <c r="X986" s="15"/>
      <c r="Y986" s="15" t="str">
        <f t="shared" ref="Y986:AA986" si="5203">Y985/X985-1</f>
        <v>#ERROR!</v>
      </c>
      <c r="Z986" s="15" t="str">
        <f t="shared" si="5203"/>
        <v>#ERROR!</v>
      </c>
      <c r="AA986" s="15" t="str">
        <f t="shared" si="5203"/>
        <v>#ERROR!</v>
      </c>
      <c r="AB986" s="112"/>
      <c r="AC986" s="15" t="str">
        <f>AC985/AA985-1</f>
        <v>#ERROR!</v>
      </c>
      <c r="AD986" s="15" t="str">
        <f t="shared" ref="AD986:AF986" si="5204">AD985/AC985-1</f>
        <v>#ERROR!</v>
      </c>
      <c r="AE986" s="15" t="str">
        <f t="shared" si="5204"/>
        <v>#ERROR!</v>
      </c>
      <c r="AF986" s="15" t="str">
        <f t="shared" si="5204"/>
        <v>#ERROR!</v>
      </c>
      <c r="AG986" s="112"/>
      <c r="AH986" s="15" t="str">
        <f>AH985/AF985-1</f>
        <v>#ERROR!</v>
      </c>
      <c r="AI986" s="15" t="str">
        <f t="shared" ref="AI986:AK986" si="5205">AI985/AH985-1</f>
        <v>#ERROR!</v>
      </c>
      <c r="AJ986" s="15" t="str">
        <f t="shared" si="5205"/>
        <v>#ERROR!</v>
      </c>
      <c r="AK986" s="15" t="str">
        <f t="shared" si="5205"/>
        <v>#ERROR!</v>
      </c>
      <c r="AL986" s="112"/>
      <c r="AM986" s="15" t="str">
        <f>AM985/AK985-1</f>
        <v>#ERROR!</v>
      </c>
      <c r="AN986" s="15" t="str">
        <f t="shared" ref="AN986:AP986" si="5206">AN985/AM985-1</f>
        <v>#ERROR!</v>
      </c>
      <c r="AO986" s="15" t="str">
        <f t="shared" si="5206"/>
        <v>#ERROR!</v>
      </c>
      <c r="AP986" s="15" t="str">
        <f t="shared" si="5206"/>
        <v>#ERROR!</v>
      </c>
      <c r="AQ986" s="112"/>
      <c r="AR986" s="15" t="str">
        <f>AR985/AP985-1</f>
        <v>#ERROR!</v>
      </c>
      <c r="AS986" s="15" t="str">
        <f t="shared" ref="AS986:AU986" si="5207">AS985/AR985-1</f>
        <v>#ERROR!</v>
      </c>
      <c r="AT986" s="15" t="str">
        <f t="shared" si="5207"/>
        <v>#ERROR!</v>
      </c>
      <c r="AU986" s="15" t="str">
        <f t="shared" si="5207"/>
        <v>#ERROR!</v>
      </c>
      <c r="AV986" s="112"/>
      <c r="AW986" s="15" t="str">
        <f>AW985/AU985-1</f>
        <v>#ERROR!</v>
      </c>
      <c r="AX986" s="15" t="str">
        <f t="shared" ref="AX986:AZ986" si="5208">AX985/AW985-1</f>
        <v>#ERROR!</v>
      </c>
      <c r="AY986" s="15" t="str">
        <f t="shared" si="5208"/>
        <v>#ERROR!</v>
      </c>
      <c r="AZ986" s="15" t="str">
        <f t="shared" si="5208"/>
        <v>#ERROR!</v>
      </c>
      <c r="BA986" s="112"/>
      <c r="BB986" s="15" t="str">
        <f>BB985/AZ985-1</f>
        <v>#ERROR!</v>
      </c>
      <c r="BC986" s="15" t="str">
        <f t="shared" ref="BC986:BE986" si="5209">BC985/BB985-1</f>
        <v>#ERROR!</v>
      </c>
      <c r="BD986" s="15" t="str">
        <f t="shared" si="5209"/>
        <v>#ERROR!</v>
      </c>
      <c r="BE986" s="15" t="str">
        <f t="shared" si="5209"/>
        <v>#ERROR!</v>
      </c>
      <c r="BF986" s="112"/>
      <c r="BG986" s="15" t="str">
        <f>BG985/BE985-1</f>
        <v>#ERROR!</v>
      </c>
      <c r="BH986" s="15" t="str">
        <f t="shared" ref="BH986:BJ986" si="5210">BH985/BG985-1</f>
        <v>#ERROR!</v>
      </c>
      <c r="BI986" s="15" t="str">
        <f t="shared" si="5210"/>
        <v>#ERROR!</v>
      </c>
      <c r="BJ986" s="15" t="str">
        <f t="shared" si="5210"/>
        <v>#ERROR!</v>
      </c>
      <c r="BK986" s="112"/>
      <c r="BL986" s="15" t="str">
        <f>BL985/BJ985-1</f>
        <v>#ERROR!</v>
      </c>
      <c r="BM986" s="15" t="str">
        <f t="shared" ref="BM986:BO986" si="5211">BM985/BL985-1</f>
        <v>#ERROR!</v>
      </c>
      <c r="BN986" s="15" t="str">
        <f t="shared" si="5211"/>
        <v>#ERROR!</v>
      </c>
      <c r="BO986" s="15" t="str">
        <f t="shared" si="5211"/>
        <v>#ERROR!</v>
      </c>
      <c r="BP986" s="112"/>
      <c r="BQ986" s="15" t="str">
        <f>BQ985/BO985-1</f>
        <v>#ERROR!</v>
      </c>
      <c r="BR986" s="15" t="str">
        <f t="shared" ref="BR986:BT986" si="5212">BR985/BQ985-1</f>
        <v>#ERROR!</v>
      </c>
      <c r="BS986" s="15" t="str">
        <f t="shared" si="5212"/>
        <v>#ERROR!</v>
      </c>
      <c r="BT986" s="15" t="str">
        <f t="shared" si="5212"/>
        <v>#ERROR!</v>
      </c>
      <c r="BU986" s="112"/>
      <c r="BV986" s="15" t="str">
        <f>BV985/BT985-1</f>
        <v>#ERROR!</v>
      </c>
      <c r="BW986" s="15" t="str">
        <f t="shared" ref="BW986:BY986" si="5213">BW985/BV985-1</f>
        <v>#ERROR!</v>
      </c>
      <c r="BX986" s="15" t="str">
        <f t="shared" si="5213"/>
        <v>#ERROR!</v>
      </c>
      <c r="BY986" s="15" t="str">
        <f t="shared" si="5213"/>
        <v>#ERROR!</v>
      </c>
      <c r="BZ986" s="80"/>
      <c r="CA986" s="15" t="str">
        <f>CA985/BY985-1</f>
        <v>#ERROR!</v>
      </c>
      <c r="CB986" s="15" t="str">
        <f t="shared" ref="CB986:CD986" si="5214">CB985/CA985-1</f>
        <v>#ERROR!</v>
      </c>
      <c r="CC986" s="15" t="str">
        <f t="shared" si="5214"/>
        <v>#ERROR!</v>
      </c>
      <c r="CD986" s="15" t="str">
        <f t="shared" si="5214"/>
        <v>#ERROR!</v>
      </c>
      <c r="CE986" s="80"/>
      <c r="CF986" s="15" t="str">
        <f>CF985/CD985-1</f>
        <v>#ERROR!</v>
      </c>
      <c r="CG986" s="15" t="str">
        <f t="shared" ref="CG986:CI986" si="5215">CG985/CF985-1</f>
        <v>#ERROR!</v>
      </c>
      <c r="CH986" s="15" t="str">
        <f t="shared" si="5215"/>
        <v>#ERROR!</v>
      </c>
      <c r="CI986" s="15" t="str">
        <f t="shared" si="5215"/>
        <v>#ERROR!</v>
      </c>
      <c r="CJ986" s="80"/>
      <c r="CK986" s="15" t="str">
        <f>CK985/CI985-1</f>
        <v>#ERROR!</v>
      </c>
      <c r="CL986" s="15" t="str">
        <f t="shared" ref="CL986:CN986" si="5216">CL985/CK985-1</f>
        <v>#ERROR!</v>
      </c>
      <c r="CM986" s="15" t="str">
        <f t="shared" si="5216"/>
        <v>#ERROR!</v>
      </c>
      <c r="CN986" s="40" t="str">
        <f t="shared" si="5216"/>
        <v>#ERROR!</v>
      </c>
      <c r="CO986" s="80"/>
      <c r="CP986" s="40" t="str">
        <f>CP985/CN985-1</f>
        <v>#ERROR!</v>
      </c>
      <c r="CQ986" s="15" t="str">
        <f t="shared" ref="CQ986:CS986" si="5217">CQ985/CP985-1</f>
        <v>#ERROR!</v>
      </c>
      <c r="CR986" s="15" t="str">
        <f t="shared" si="5217"/>
        <v>#ERROR!</v>
      </c>
      <c r="CS986" s="15" t="str">
        <f t="shared" si="5217"/>
        <v>#ERROR!</v>
      </c>
      <c r="CT986" s="80"/>
      <c r="CU986" s="15" t="str">
        <f>CU985/CS985-1</f>
        <v>#ERROR!</v>
      </c>
      <c r="CV986" s="15" t="str">
        <f t="shared" ref="CV986:CX986" si="5218">CV985/CU985-1</f>
        <v>#ERROR!</v>
      </c>
      <c r="CW986" s="15" t="str">
        <f t="shared" si="5218"/>
        <v>#ERROR!</v>
      </c>
      <c r="CX986" s="15" t="str">
        <f t="shared" si="5218"/>
        <v>#ERROR!</v>
      </c>
      <c r="CY986" s="80"/>
      <c r="CZ986" s="15" t="str">
        <f>CZ985/CX985-1</f>
        <v>#ERROR!</v>
      </c>
      <c r="DA986" s="15" t="str">
        <f t="shared" ref="DA986:DC986" si="5219">DA985/CZ985-1</f>
        <v>#ERROR!</v>
      </c>
      <c r="DB986" s="15" t="str">
        <f t="shared" si="5219"/>
        <v>#ERROR!</v>
      </c>
      <c r="DC986" s="15" t="str">
        <f t="shared" si="5219"/>
        <v>#ERROR!</v>
      </c>
      <c r="DD986" s="80"/>
      <c r="DE986" s="15" t="str">
        <f>DE985/DC985-1</f>
        <v>#ERROR!</v>
      </c>
      <c r="DF986" s="15" t="str">
        <f t="shared" ref="DF986:DH986" si="5220">DF985/DE985-1</f>
        <v>#ERROR!</v>
      </c>
      <c r="DG986" s="40" t="str">
        <f t="shared" si="5220"/>
        <v>#ERROR!</v>
      </c>
      <c r="DH986" s="15" t="str">
        <f t="shared" si="5220"/>
        <v>#ERROR!</v>
      </c>
      <c r="DI986" s="80"/>
      <c r="DJ986" s="40" t="str">
        <f>DJ985/DH985-1</f>
        <v>#ERROR!</v>
      </c>
      <c r="DK986" s="40" t="str">
        <f t="shared" ref="DK986:DM986" si="5221">DK985/DJ985-1</f>
        <v>#ERROR!</v>
      </c>
      <c r="DL986" s="40" t="str">
        <f t="shared" si="5221"/>
        <v>#ERROR!</v>
      </c>
      <c r="DM986" s="15" t="str">
        <f t="shared" si="5221"/>
        <v>#ERROR!</v>
      </c>
      <c r="DN986" s="80"/>
      <c r="DO986" s="15" t="str">
        <f>DO985/DM985-1</f>
        <v>#ERROR!</v>
      </c>
      <c r="DP986" s="15" t="str">
        <f t="shared" ref="DP986:DR986" si="5222">DP985/DO985-1</f>
        <v>#ERROR!</v>
      </c>
      <c r="DQ986" s="15" t="str">
        <f t="shared" si="5222"/>
        <v>#ERROR!</v>
      </c>
      <c r="DR986" s="15" t="str">
        <f t="shared" si="5222"/>
        <v>#ERROR!</v>
      </c>
      <c r="DS986" s="80"/>
      <c r="DT986" s="15" t="str">
        <f>DT985/DR985-1</f>
        <v>#ERROR!</v>
      </c>
      <c r="DU986" s="15" t="str">
        <f t="shared" ref="DU986:DW986" si="5223">DU985/DT985-1</f>
        <v>#ERROR!</v>
      </c>
      <c r="DV986" s="15" t="str">
        <f t="shared" si="5223"/>
        <v>#ERROR!</v>
      </c>
      <c r="DW986" s="15" t="str">
        <f t="shared" si="5223"/>
        <v>#ERROR!</v>
      </c>
      <c r="DX986" s="80"/>
      <c r="DY986" s="15" t="str">
        <f>DY985/DW985-1</f>
        <v>#ERROR!</v>
      </c>
      <c r="DZ986" s="15" t="str">
        <f t="shared" ref="DZ986:EB986" si="5224">DZ985/DY985-1</f>
        <v>#ERROR!</v>
      </c>
      <c r="EA986" s="15" t="str">
        <f t="shared" si="5224"/>
        <v>#ERROR!</v>
      </c>
      <c r="EB986" s="15" t="str">
        <f t="shared" si="5224"/>
        <v>#ERROR!</v>
      </c>
      <c r="EC986" s="80"/>
      <c r="ED986" s="15" t="str">
        <f>ED985/EB985-1</f>
        <v>#ERROR!</v>
      </c>
      <c r="EE986" s="15" t="str">
        <f t="shared" ref="EE986:EG986" si="5225">EE985/ED985-1</f>
        <v>#ERROR!</v>
      </c>
      <c r="EF986" s="15" t="str">
        <f t="shared" si="5225"/>
        <v>#ERROR!</v>
      </c>
      <c r="EG986" s="15" t="str">
        <f t="shared" si="5225"/>
        <v>#ERROR!</v>
      </c>
      <c r="EH986" s="80"/>
      <c r="EI986" s="82" t="str">
        <f>EI985/EG985-1</f>
        <v>#ERROR!</v>
      </c>
      <c r="EJ986" s="15" t="str">
        <f t="shared" ref="EJ986:EL986" si="5226">EJ985/EI985-1</f>
        <v>#ERROR!</v>
      </c>
      <c r="EK986" s="15" t="str">
        <f t="shared" si="5226"/>
        <v>#ERROR!</v>
      </c>
      <c r="EL986" s="15" t="str">
        <f t="shared" si="5226"/>
        <v>#ERROR!</v>
      </c>
      <c r="EM986" s="80"/>
      <c r="EN986" s="15" t="str">
        <f>EN985/EL985-1</f>
        <v>#ERROR!</v>
      </c>
      <c r="EO986" s="15" t="str">
        <f t="shared" ref="EO986:EQ986" si="5227">EO985/EN985-1</f>
        <v>#ERROR!</v>
      </c>
      <c r="EP986" s="15" t="str">
        <f t="shared" si="5227"/>
        <v>#ERROR!</v>
      </c>
      <c r="EQ986" s="15" t="str">
        <f t="shared" si="5227"/>
        <v>#ERROR!</v>
      </c>
      <c r="ER986" s="80"/>
      <c r="ES986" s="15" t="str">
        <f>ES985/EQ985-1</f>
        <v>#ERROR!</v>
      </c>
      <c r="ET986" s="15" t="str">
        <f t="shared" ref="ET986:EV986" si="5228">ET985/ES985-1</f>
        <v>#ERROR!</v>
      </c>
      <c r="EU986" s="15" t="str">
        <f t="shared" si="5228"/>
        <v>#ERROR!</v>
      </c>
      <c r="EV986" s="15" t="str">
        <f t="shared" si="5228"/>
        <v>#ERROR!</v>
      </c>
      <c r="EW986" s="80"/>
      <c r="EX986" s="15" t="str">
        <f>EX985/EV985-1</f>
        <v>#ERROR!</v>
      </c>
      <c r="EY986" s="15" t="str">
        <f t="shared" ref="EY986:FA986" si="5229">EY985/EX985-1</f>
        <v>#ERROR!</v>
      </c>
      <c r="EZ986" s="15" t="str">
        <f t="shared" si="5229"/>
        <v>#ERROR!</v>
      </c>
      <c r="FA986" s="15" t="str">
        <f t="shared" si="5229"/>
        <v>#ERROR!</v>
      </c>
      <c r="FB986" s="80"/>
      <c r="FC986" s="15" t="str">
        <f>FC985/FA985-1</f>
        <v>#ERROR!</v>
      </c>
      <c r="FD986" s="15" t="str">
        <f t="shared" ref="FD986:FF986" si="5230">FD985/FC985-1</f>
        <v>#ERROR!</v>
      </c>
      <c r="FE986" s="15" t="str">
        <f t="shared" si="5230"/>
        <v>#ERROR!</v>
      </c>
      <c r="FF986" s="15" t="str">
        <f t="shared" si="5230"/>
        <v>#ERROR!</v>
      </c>
      <c r="FG986" s="80"/>
      <c r="FH986" s="146"/>
      <c r="FI986" s="15"/>
      <c r="FJ986" s="15"/>
      <c r="FK986" s="112"/>
      <c r="FL986" s="15"/>
    </row>
    <row r="987" ht="12.75" hidden="1" customHeight="1" outlineLevel="1">
      <c r="A987" s="162"/>
      <c r="B987" s="696" t="s">
        <v>346</v>
      </c>
      <c r="C987" s="696"/>
      <c r="D987" s="413"/>
      <c r="E987" s="413"/>
      <c r="F987" s="413"/>
      <c r="G987" s="413"/>
      <c r="H987" s="679"/>
      <c r="I987" s="413"/>
      <c r="J987" s="413"/>
      <c r="K987" s="413"/>
      <c r="L987" s="413"/>
      <c r="M987" s="679"/>
      <c r="N987" s="413"/>
      <c r="O987" s="413"/>
      <c r="P987" s="413"/>
      <c r="Q987" s="413"/>
      <c r="R987" s="679"/>
      <c r="S987" s="413"/>
      <c r="T987" s="413"/>
      <c r="U987" s="413"/>
      <c r="V987" s="413"/>
      <c r="W987" s="679"/>
      <c r="X987" s="413"/>
      <c r="Y987" s="413"/>
      <c r="Z987" s="413"/>
      <c r="AA987" s="413"/>
      <c r="AB987" s="679"/>
      <c r="AC987" s="413" t="str">
        <f t="shared" ref="AC987:FG987" si="5231">AC985/X985-1</f>
        <v>#ERROR!</v>
      </c>
      <c r="AD987" s="413" t="str">
        <f t="shared" si="5231"/>
        <v>#ERROR!</v>
      </c>
      <c r="AE987" s="413" t="str">
        <f t="shared" si="5231"/>
        <v>#ERROR!</v>
      </c>
      <c r="AF987" s="413" t="str">
        <f t="shared" si="5231"/>
        <v>#ERROR!</v>
      </c>
      <c r="AG987" s="679" t="str">
        <f t="shared" si="5231"/>
        <v>#ERROR!</v>
      </c>
      <c r="AH987" s="413" t="str">
        <f t="shared" si="5231"/>
        <v>#ERROR!</v>
      </c>
      <c r="AI987" s="413" t="str">
        <f t="shared" si="5231"/>
        <v>#ERROR!</v>
      </c>
      <c r="AJ987" s="413" t="str">
        <f t="shared" si="5231"/>
        <v>#ERROR!</v>
      </c>
      <c r="AK987" s="413" t="str">
        <f t="shared" si="5231"/>
        <v>#ERROR!</v>
      </c>
      <c r="AL987" s="679" t="str">
        <f t="shared" si="5231"/>
        <v>#ERROR!</v>
      </c>
      <c r="AM987" s="413" t="str">
        <f t="shared" si="5231"/>
        <v>#ERROR!</v>
      </c>
      <c r="AN987" s="413" t="str">
        <f t="shared" si="5231"/>
        <v>#ERROR!</v>
      </c>
      <c r="AO987" s="413" t="str">
        <f t="shared" si="5231"/>
        <v>#ERROR!</v>
      </c>
      <c r="AP987" s="413" t="str">
        <f t="shared" si="5231"/>
        <v>#ERROR!</v>
      </c>
      <c r="AQ987" s="679" t="str">
        <f t="shared" si="5231"/>
        <v>#ERROR!</v>
      </c>
      <c r="AR987" s="413" t="str">
        <f t="shared" si="5231"/>
        <v>#ERROR!</v>
      </c>
      <c r="AS987" s="413" t="str">
        <f t="shared" si="5231"/>
        <v>#ERROR!</v>
      </c>
      <c r="AT987" s="413" t="str">
        <f t="shared" si="5231"/>
        <v>#ERROR!</v>
      </c>
      <c r="AU987" s="413" t="str">
        <f t="shared" si="5231"/>
        <v>#ERROR!</v>
      </c>
      <c r="AV987" s="679" t="str">
        <f t="shared" si="5231"/>
        <v>#ERROR!</v>
      </c>
      <c r="AW987" s="413" t="str">
        <f t="shared" si="5231"/>
        <v>#ERROR!</v>
      </c>
      <c r="AX987" s="413" t="str">
        <f t="shared" si="5231"/>
        <v>#ERROR!</v>
      </c>
      <c r="AY987" s="413" t="str">
        <f t="shared" si="5231"/>
        <v>#ERROR!</v>
      </c>
      <c r="AZ987" s="413" t="str">
        <f t="shared" si="5231"/>
        <v>#ERROR!</v>
      </c>
      <c r="BA987" s="679" t="str">
        <f t="shared" si="5231"/>
        <v>#ERROR!</v>
      </c>
      <c r="BB987" s="413" t="str">
        <f t="shared" si="5231"/>
        <v>#ERROR!</v>
      </c>
      <c r="BC987" s="413" t="str">
        <f t="shared" si="5231"/>
        <v>#ERROR!</v>
      </c>
      <c r="BD987" s="413" t="str">
        <f t="shared" si="5231"/>
        <v>#ERROR!</v>
      </c>
      <c r="BE987" s="413" t="str">
        <f t="shared" si="5231"/>
        <v>#ERROR!</v>
      </c>
      <c r="BF987" s="679" t="str">
        <f t="shared" si="5231"/>
        <v>#ERROR!</v>
      </c>
      <c r="BG987" s="413" t="str">
        <f t="shared" si="5231"/>
        <v>#ERROR!</v>
      </c>
      <c r="BH987" s="413" t="str">
        <f t="shared" si="5231"/>
        <v>#ERROR!</v>
      </c>
      <c r="BI987" s="413" t="str">
        <f t="shared" si="5231"/>
        <v>#ERROR!</v>
      </c>
      <c r="BJ987" s="413" t="str">
        <f t="shared" si="5231"/>
        <v>#ERROR!</v>
      </c>
      <c r="BK987" s="679" t="str">
        <f t="shared" si="5231"/>
        <v>#ERROR!</v>
      </c>
      <c r="BL987" s="413" t="str">
        <f t="shared" si="5231"/>
        <v>#ERROR!</v>
      </c>
      <c r="BM987" s="413" t="str">
        <f t="shared" si="5231"/>
        <v>#ERROR!</v>
      </c>
      <c r="BN987" s="413" t="str">
        <f t="shared" si="5231"/>
        <v>#ERROR!</v>
      </c>
      <c r="BO987" s="413" t="str">
        <f t="shared" si="5231"/>
        <v>#ERROR!</v>
      </c>
      <c r="BP987" s="679" t="str">
        <f t="shared" si="5231"/>
        <v>#ERROR!</v>
      </c>
      <c r="BQ987" s="413" t="str">
        <f t="shared" si="5231"/>
        <v>#ERROR!</v>
      </c>
      <c r="BR987" s="413" t="str">
        <f t="shared" si="5231"/>
        <v>#ERROR!</v>
      </c>
      <c r="BS987" s="413" t="str">
        <f t="shared" si="5231"/>
        <v>#ERROR!</v>
      </c>
      <c r="BT987" s="413" t="str">
        <f t="shared" si="5231"/>
        <v>#ERROR!</v>
      </c>
      <c r="BU987" s="679" t="str">
        <f t="shared" si="5231"/>
        <v>#ERROR!</v>
      </c>
      <c r="BV987" s="413" t="str">
        <f t="shared" si="5231"/>
        <v>#ERROR!</v>
      </c>
      <c r="BW987" s="413" t="str">
        <f t="shared" si="5231"/>
        <v>#ERROR!</v>
      </c>
      <c r="BX987" s="413" t="str">
        <f t="shared" si="5231"/>
        <v>#ERROR!</v>
      </c>
      <c r="BY987" s="413" t="str">
        <f t="shared" si="5231"/>
        <v>#ERROR!</v>
      </c>
      <c r="BZ987" s="305" t="str">
        <f t="shared" si="5231"/>
        <v>#ERROR!</v>
      </c>
      <c r="CA987" s="413" t="str">
        <f t="shared" si="5231"/>
        <v>#ERROR!</v>
      </c>
      <c r="CB987" s="413" t="str">
        <f t="shared" si="5231"/>
        <v>#ERROR!</v>
      </c>
      <c r="CC987" s="413" t="str">
        <f t="shared" si="5231"/>
        <v>#ERROR!</v>
      </c>
      <c r="CD987" s="413" t="str">
        <f t="shared" si="5231"/>
        <v>#ERROR!</v>
      </c>
      <c r="CE987" s="305" t="str">
        <f t="shared" si="5231"/>
        <v>#ERROR!</v>
      </c>
      <c r="CF987" s="413" t="str">
        <f t="shared" si="5231"/>
        <v>#ERROR!</v>
      </c>
      <c r="CG987" s="413" t="str">
        <f t="shared" si="5231"/>
        <v>#ERROR!</v>
      </c>
      <c r="CH987" s="413" t="str">
        <f t="shared" si="5231"/>
        <v>#ERROR!</v>
      </c>
      <c r="CI987" s="413" t="str">
        <f t="shared" si="5231"/>
        <v>#ERROR!</v>
      </c>
      <c r="CJ987" s="305" t="str">
        <f t="shared" si="5231"/>
        <v>#ERROR!</v>
      </c>
      <c r="CK987" s="413" t="str">
        <f t="shared" si="5231"/>
        <v>#ERROR!</v>
      </c>
      <c r="CL987" s="413" t="str">
        <f t="shared" si="5231"/>
        <v>#ERROR!</v>
      </c>
      <c r="CM987" s="413" t="str">
        <f t="shared" si="5231"/>
        <v>#ERROR!</v>
      </c>
      <c r="CN987" s="416" t="str">
        <f t="shared" si="5231"/>
        <v>#ERROR!</v>
      </c>
      <c r="CO987" s="305" t="str">
        <f t="shared" si="5231"/>
        <v>#ERROR!</v>
      </c>
      <c r="CP987" s="416" t="str">
        <f t="shared" si="5231"/>
        <v>#ERROR!</v>
      </c>
      <c r="CQ987" s="413" t="str">
        <f t="shared" si="5231"/>
        <v>#ERROR!</v>
      </c>
      <c r="CR987" s="413" t="str">
        <f t="shared" si="5231"/>
        <v>#ERROR!</v>
      </c>
      <c r="CS987" s="413" t="str">
        <f t="shared" si="5231"/>
        <v>#ERROR!</v>
      </c>
      <c r="CT987" s="305" t="str">
        <f t="shared" si="5231"/>
        <v>#ERROR!</v>
      </c>
      <c r="CU987" s="413" t="str">
        <f t="shared" si="5231"/>
        <v>#ERROR!</v>
      </c>
      <c r="CV987" s="413" t="str">
        <f t="shared" si="5231"/>
        <v>#ERROR!</v>
      </c>
      <c r="CW987" s="413" t="str">
        <f t="shared" si="5231"/>
        <v>#ERROR!</v>
      </c>
      <c r="CX987" s="413" t="str">
        <f t="shared" si="5231"/>
        <v>#ERROR!</v>
      </c>
      <c r="CY987" s="305" t="str">
        <f t="shared" si="5231"/>
        <v>#ERROR!</v>
      </c>
      <c r="CZ987" s="413" t="str">
        <f t="shared" si="5231"/>
        <v>#ERROR!</v>
      </c>
      <c r="DA987" s="413" t="str">
        <f t="shared" si="5231"/>
        <v>#ERROR!</v>
      </c>
      <c r="DB987" s="413" t="str">
        <f t="shared" si="5231"/>
        <v>#ERROR!</v>
      </c>
      <c r="DC987" s="413" t="str">
        <f t="shared" si="5231"/>
        <v>#ERROR!</v>
      </c>
      <c r="DD987" s="305" t="str">
        <f t="shared" si="5231"/>
        <v>#ERROR!</v>
      </c>
      <c r="DE987" s="413" t="str">
        <f t="shared" si="5231"/>
        <v>#ERROR!</v>
      </c>
      <c r="DF987" s="413" t="str">
        <f t="shared" si="5231"/>
        <v>#ERROR!</v>
      </c>
      <c r="DG987" s="40" t="str">
        <f t="shared" si="5231"/>
        <v>#ERROR!</v>
      </c>
      <c r="DH987" s="413" t="str">
        <f t="shared" si="5231"/>
        <v>#ERROR!</v>
      </c>
      <c r="DI987" s="305" t="str">
        <f t="shared" si="5231"/>
        <v>#ERROR!</v>
      </c>
      <c r="DJ987" s="416" t="str">
        <f t="shared" si="5231"/>
        <v>#ERROR!</v>
      </c>
      <c r="DK987" s="416" t="str">
        <f t="shared" si="5231"/>
        <v>#ERROR!</v>
      </c>
      <c r="DL987" s="416" t="str">
        <f t="shared" si="5231"/>
        <v>#ERROR!</v>
      </c>
      <c r="DM987" s="413" t="str">
        <f t="shared" si="5231"/>
        <v>#ERROR!</v>
      </c>
      <c r="DN987" s="305" t="str">
        <f t="shared" si="5231"/>
        <v>#ERROR!</v>
      </c>
      <c r="DO987" s="413" t="str">
        <f t="shared" si="5231"/>
        <v>#ERROR!</v>
      </c>
      <c r="DP987" s="413" t="str">
        <f t="shared" si="5231"/>
        <v>#ERROR!</v>
      </c>
      <c r="DQ987" s="413" t="str">
        <f t="shared" si="5231"/>
        <v>#ERROR!</v>
      </c>
      <c r="DR987" s="413" t="str">
        <f t="shared" si="5231"/>
        <v>#ERROR!</v>
      </c>
      <c r="DS987" s="305" t="str">
        <f t="shared" si="5231"/>
        <v>#ERROR!</v>
      </c>
      <c r="DT987" s="413" t="str">
        <f t="shared" si="5231"/>
        <v>#ERROR!</v>
      </c>
      <c r="DU987" s="413" t="str">
        <f t="shared" si="5231"/>
        <v>#ERROR!</v>
      </c>
      <c r="DV987" s="413" t="str">
        <f t="shared" si="5231"/>
        <v>#ERROR!</v>
      </c>
      <c r="DW987" s="413" t="str">
        <f t="shared" si="5231"/>
        <v>#ERROR!</v>
      </c>
      <c r="DX987" s="305" t="str">
        <f t="shared" si="5231"/>
        <v>#ERROR!</v>
      </c>
      <c r="DY987" s="413" t="str">
        <f t="shared" si="5231"/>
        <v>#ERROR!</v>
      </c>
      <c r="DZ987" s="413" t="str">
        <f t="shared" si="5231"/>
        <v>#ERROR!</v>
      </c>
      <c r="EA987" s="413" t="str">
        <f t="shared" si="5231"/>
        <v>#ERROR!</v>
      </c>
      <c r="EB987" s="413" t="str">
        <f t="shared" si="5231"/>
        <v>#ERROR!</v>
      </c>
      <c r="EC987" s="305" t="str">
        <f t="shared" si="5231"/>
        <v>#ERROR!</v>
      </c>
      <c r="ED987" s="413" t="str">
        <f t="shared" si="5231"/>
        <v>#ERROR!</v>
      </c>
      <c r="EE987" s="413" t="str">
        <f t="shared" si="5231"/>
        <v>#ERROR!</v>
      </c>
      <c r="EF987" s="413" t="str">
        <f t="shared" si="5231"/>
        <v>#ERROR!</v>
      </c>
      <c r="EG987" s="413" t="str">
        <f t="shared" si="5231"/>
        <v>#ERROR!</v>
      </c>
      <c r="EH987" s="305" t="str">
        <f t="shared" si="5231"/>
        <v>#ERROR!</v>
      </c>
      <c r="EI987" s="420" t="str">
        <f t="shared" si="5231"/>
        <v>#ERROR!</v>
      </c>
      <c r="EJ987" s="413" t="str">
        <f t="shared" si="5231"/>
        <v>#ERROR!</v>
      </c>
      <c r="EK987" s="413" t="str">
        <f t="shared" si="5231"/>
        <v>#ERROR!</v>
      </c>
      <c r="EL987" s="413" t="str">
        <f t="shared" si="5231"/>
        <v>#ERROR!</v>
      </c>
      <c r="EM987" s="305" t="str">
        <f t="shared" si="5231"/>
        <v>#ERROR!</v>
      </c>
      <c r="EN987" s="413" t="str">
        <f t="shared" si="5231"/>
        <v>#ERROR!</v>
      </c>
      <c r="EO987" s="413" t="str">
        <f t="shared" si="5231"/>
        <v>#ERROR!</v>
      </c>
      <c r="EP987" s="413" t="str">
        <f t="shared" si="5231"/>
        <v>#ERROR!</v>
      </c>
      <c r="EQ987" s="413" t="str">
        <f t="shared" si="5231"/>
        <v>#ERROR!</v>
      </c>
      <c r="ER987" s="305" t="str">
        <f t="shared" si="5231"/>
        <v>#ERROR!</v>
      </c>
      <c r="ES987" s="413" t="str">
        <f t="shared" si="5231"/>
        <v>#ERROR!</v>
      </c>
      <c r="ET987" s="413" t="str">
        <f t="shared" si="5231"/>
        <v>#ERROR!</v>
      </c>
      <c r="EU987" s="413" t="str">
        <f t="shared" si="5231"/>
        <v>#ERROR!</v>
      </c>
      <c r="EV987" s="413" t="str">
        <f t="shared" si="5231"/>
        <v>#ERROR!</v>
      </c>
      <c r="EW987" s="305" t="str">
        <f t="shared" si="5231"/>
        <v>#ERROR!</v>
      </c>
      <c r="EX987" s="413" t="str">
        <f t="shared" si="5231"/>
        <v>#ERROR!</v>
      </c>
      <c r="EY987" s="413" t="str">
        <f t="shared" si="5231"/>
        <v>#ERROR!</v>
      </c>
      <c r="EZ987" s="413" t="str">
        <f t="shared" si="5231"/>
        <v>#ERROR!</v>
      </c>
      <c r="FA987" s="413" t="str">
        <f t="shared" si="5231"/>
        <v>#ERROR!</v>
      </c>
      <c r="FB987" s="305" t="str">
        <f t="shared" si="5231"/>
        <v>#ERROR!</v>
      </c>
      <c r="FC987" s="413" t="str">
        <f t="shared" si="5231"/>
        <v>#ERROR!</v>
      </c>
      <c r="FD987" s="413" t="str">
        <f t="shared" si="5231"/>
        <v>#ERROR!</v>
      </c>
      <c r="FE987" s="413" t="str">
        <f t="shared" si="5231"/>
        <v>#ERROR!</v>
      </c>
      <c r="FF987" s="413" t="str">
        <f t="shared" si="5231"/>
        <v>#ERROR!</v>
      </c>
      <c r="FG987" s="305" t="str">
        <f t="shared" si="5231"/>
        <v>#ERROR!</v>
      </c>
      <c r="FH987" s="680"/>
      <c r="FI987" s="413"/>
      <c r="FJ987" s="413"/>
      <c r="FK987" s="679"/>
      <c r="FL987" s="413"/>
    </row>
    <row r="988" ht="12.75" hidden="1" customHeight="1" outlineLevel="1">
      <c r="A988" s="162"/>
      <c r="B988" s="611"/>
      <c r="C988" s="717"/>
      <c r="D988" s="611"/>
      <c r="E988" s="611"/>
      <c r="F988" s="611"/>
      <c r="G988" s="611"/>
      <c r="H988" s="704"/>
      <c r="I988" s="611"/>
      <c r="J988" s="611"/>
      <c r="K988" s="611"/>
      <c r="L988" s="611"/>
      <c r="M988" s="704"/>
      <c r="N988" s="611"/>
      <c r="O988" s="611"/>
      <c r="P988" s="611"/>
      <c r="Q988" s="611"/>
      <c r="R988" s="704"/>
      <c r="S988" s="611"/>
      <c r="T988" s="611"/>
      <c r="U988" s="611"/>
      <c r="V988" s="611"/>
      <c r="W988" s="704"/>
      <c r="X988" s="611"/>
      <c r="Y988" s="611"/>
      <c r="Z988" s="611"/>
      <c r="AA988" s="611"/>
      <c r="AB988" s="704"/>
      <c r="AC988" s="611"/>
      <c r="AD988" s="611"/>
      <c r="AE988" s="611"/>
      <c r="AF988" s="611"/>
      <c r="AG988" s="704"/>
      <c r="AH988" s="611"/>
      <c r="AI988" s="611"/>
      <c r="AJ988" s="611"/>
      <c r="AK988" s="611"/>
      <c r="AL988" s="704"/>
      <c r="AM988" s="611"/>
      <c r="AN988" s="611"/>
      <c r="AO988" s="611"/>
      <c r="AP988" s="611"/>
      <c r="AQ988" s="704"/>
      <c r="AR988" s="611"/>
      <c r="AS988" s="611"/>
      <c r="AT988" s="611"/>
      <c r="AU988" s="611"/>
      <c r="AV988" s="704"/>
      <c r="AW988" s="611"/>
      <c r="AX988" s="611"/>
      <c r="AY988" s="611"/>
      <c r="AZ988" s="611"/>
      <c r="BA988" s="704"/>
      <c r="BB988" s="611"/>
      <c r="BC988" s="611"/>
      <c r="BD988" s="611"/>
      <c r="BE988" s="611"/>
      <c r="BF988" s="704"/>
      <c r="BG988" s="611"/>
      <c r="BH988" s="611"/>
      <c r="BI988" s="611"/>
      <c r="BJ988" s="611"/>
      <c r="BK988" s="704"/>
      <c r="BL988" s="611"/>
      <c r="BM988" s="611"/>
      <c r="BN988" s="611"/>
      <c r="BO988" s="611"/>
      <c r="BP988" s="704"/>
      <c r="BQ988" s="611"/>
      <c r="BR988" s="611"/>
      <c r="BS988" s="611"/>
      <c r="BT988" s="611"/>
      <c r="BU988" s="704"/>
      <c r="BV988" s="611"/>
      <c r="BW988" s="611"/>
      <c r="BX988" s="611"/>
      <c r="BY988" s="611"/>
      <c r="BZ988" s="705"/>
      <c r="CA988" s="611"/>
      <c r="CB988" s="611"/>
      <c r="CC988" s="611"/>
      <c r="CD988" s="611"/>
      <c r="CE988" s="705"/>
      <c r="CF988" s="611"/>
      <c r="CG988" s="611"/>
      <c r="CH988" s="611"/>
      <c r="CI988" s="611"/>
      <c r="CJ988" s="705"/>
      <c r="CK988" s="611"/>
      <c r="CL988" s="611"/>
      <c r="CM988" s="611"/>
      <c r="CN988" s="614"/>
      <c r="CO988" s="705"/>
      <c r="CP988" s="614"/>
      <c r="CQ988" s="611"/>
      <c r="CR988" s="611"/>
      <c r="CS988" s="611"/>
      <c r="CT988" s="705"/>
      <c r="CU988" s="611"/>
      <c r="CV988" s="611"/>
      <c r="CW988" s="611"/>
      <c r="CX988" s="611"/>
      <c r="CY988" s="705"/>
      <c r="CZ988" s="611"/>
      <c r="DA988" s="611"/>
      <c r="DB988" s="611"/>
      <c r="DC988" s="611"/>
      <c r="DD988" s="705"/>
      <c r="DE988" s="611"/>
      <c r="DF988" s="611"/>
      <c r="DG988" s="19"/>
      <c r="DH988" s="611"/>
      <c r="DI988" s="705"/>
      <c r="DJ988" s="614"/>
      <c r="DK988" s="614"/>
      <c r="DL988" s="614"/>
      <c r="DM988" s="611"/>
      <c r="DN988" s="705"/>
      <c r="DO988" s="611"/>
      <c r="DP988" s="611"/>
      <c r="DQ988" s="611"/>
      <c r="DR988" s="611"/>
      <c r="DS988" s="705"/>
      <c r="DT988" s="611"/>
      <c r="DU988" s="611"/>
      <c r="DV988" s="611"/>
      <c r="DW988" s="611"/>
      <c r="DX988" s="705"/>
      <c r="DY988" s="611"/>
      <c r="DZ988" s="611"/>
      <c r="EA988" s="611"/>
      <c r="EB988" s="611"/>
      <c r="EC988" s="705"/>
      <c r="ED988" s="611"/>
      <c r="EE988" s="611"/>
      <c r="EF988" s="611"/>
      <c r="EG988" s="611"/>
      <c r="EH988" s="705"/>
      <c r="EI988" s="615"/>
      <c r="EJ988" s="611"/>
      <c r="EK988" s="611"/>
      <c r="EL988" s="611"/>
      <c r="EM988" s="705"/>
      <c r="EN988" s="611"/>
      <c r="EO988" s="611"/>
      <c r="EP988" s="611"/>
      <c r="EQ988" s="611"/>
      <c r="ER988" s="705"/>
      <c r="ES988" s="611"/>
      <c r="ET988" s="611"/>
      <c r="EU988" s="611"/>
      <c r="EV988" s="611"/>
      <c r="EW988" s="705"/>
      <c r="EX988" s="611"/>
      <c r="EY988" s="611"/>
      <c r="EZ988" s="611"/>
      <c r="FA988" s="611"/>
      <c r="FB988" s="705"/>
      <c r="FC988" s="611"/>
      <c r="FD988" s="611"/>
      <c r="FE988" s="611"/>
      <c r="FF988" s="611"/>
      <c r="FG988" s="705"/>
      <c r="FH988" s="706"/>
      <c r="FI988" s="611"/>
      <c r="FJ988" s="611"/>
      <c r="FK988" s="704"/>
      <c r="FL988" s="611"/>
    </row>
    <row r="989" ht="12.75" hidden="1" customHeight="1" outlineLevel="1">
      <c r="A989" s="715"/>
      <c r="B989" s="162" t="str">
        <f>[2]MPU!B166</f>
        <v>#ERROR!</v>
      </c>
      <c r="C989" s="162" t="str">
        <f>[2]MPU!C166</f>
        <v>#ERROR!</v>
      </c>
      <c r="D989" s="17" t="str">
        <f>[2]MPU!D166</f>
        <v>#ERROR!</v>
      </c>
      <c r="E989" s="17" t="str">
        <f>[2]MPU!E166</f>
        <v>#ERROR!</v>
      </c>
      <c r="F989" s="17" t="str">
        <f>[2]MPU!F166</f>
        <v>#ERROR!</v>
      </c>
      <c r="G989" s="17" t="str">
        <f>[2]MPU!G166</f>
        <v>#ERROR!</v>
      </c>
      <c r="H989" s="112" t="str">
        <f>[2]MPU!H166</f>
        <v>#ERROR!</v>
      </c>
      <c r="I989" s="17" t="str">
        <f>[2]MPU!I166</f>
        <v>#ERROR!</v>
      </c>
      <c r="J989" s="17" t="str">
        <f>[2]MPU!J166</f>
        <v>#ERROR!</v>
      </c>
      <c r="K989" s="17" t="str">
        <f>[2]MPU!K166</f>
        <v>#ERROR!</v>
      </c>
      <c r="L989" s="17" t="str">
        <f>[2]MPU!L166</f>
        <v>#ERROR!</v>
      </c>
      <c r="M989" s="112" t="str">
        <f>[2]MPU!M166</f>
        <v>#ERROR!</v>
      </c>
      <c r="N989" s="17" t="str">
        <f>[2]MPU!N166</f>
        <v>#ERROR!</v>
      </c>
      <c r="O989" s="17" t="str">
        <f>[2]MPU!O166</f>
        <v>#ERROR!</v>
      </c>
      <c r="P989" s="17" t="str">
        <f>[2]MPU!P166</f>
        <v>#ERROR!</v>
      </c>
      <c r="Q989" s="17" t="str">
        <f>[2]MPU!Q166</f>
        <v>#ERROR!</v>
      </c>
      <c r="R989" s="112" t="str">
        <f>[2]MPU!R166</f>
        <v>#ERROR!</v>
      </c>
      <c r="S989" s="17" t="str">
        <f>[2]MPU!S166</f>
        <v>#ERROR!</v>
      </c>
      <c r="T989" s="17" t="str">
        <f>[2]MPU!T166</f>
        <v>#ERROR!</v>
      </c>
      <c r="U989" s="17" t="str">
        <f>[2]MPU!U166</f>
        <v>#ERROR!</v>
      </c>
      <c r="V989" s="17" t="str">
        <f>[2]MPU!V166</f>
        <v>#ERROR!</v>
      </c>
      <c r="W989" s="112" t="str">
        <f>[2]MPU!W166</f>
        <v>#ERROR!</v>
      </c>
      <c r="X989" s="17" t="str">
        <f>[2]MPU!X166</f>
        <v>#ERROR!</v>
      </c>
      <c r="Y989" s="17" t="str">
        <f>[2]MPU!Y166</f>
        <v>#ERROR!</v>
      </c>
      <c r="Z989" s="17" t="str">
        <f>[2]MPU!Z166</f>
        <v>#ERROR!</v>
      </c>
      <c r="AA989" s="17" t="str">
        <f>[2]MPU!AA166</f>
        <v>#ERROR!</v>
      </c>
      <c r="AB989" s="112" t="str">
        <f>[2]MPU!AB166</f>
        <v>#ERROR!</v>
      </c>
      <c r="AC989" s="17" t="str">
        <f>[2]MPU!AC166</f>
        <v>#ERROR!</v>
      </c>
      <c r="AD989" s="17" t="str">
        <f>[2]MPU!AD166</f>
        <v>#ERROR!</v>
      </c>
      <c r="AE989" s="17" t="str">
        <f>[2]MPU!AE166</f>
        <v>#ERROR!</v>
      </c>
      <c r="AF989" s="17" t="str">
        <f>[2]MPU!AF166</f>
        <v>#ERROR!</v>
      </c>
      <c r="AG989" s="112" t="str">
        <f>[2]MPU!AG166</f>
        <v>#ERROR!</v>
      </c>
      <c r="AH989" s="17" t="str">
        <f>[2]MPU!AH166</f>
        <v>#ERROR!</v>
      </c>
      <c r="AI989" s="17" t="str">
        <f>[2]MPU!AI166</f>
        <v>#ERROR!</v>
      </c>
      <c r="AJ989" s="17" t="str">
        <f>[2]MPU!AJ166</f>
        <v>#ERROR!</v>
      </c>
      <c r="AK989" s="17" t="str">
        <f>[2]MPU!AK166</f>
        <v>#ERROR!</v>
      </c>
      <c r="AL989" s="112" t="str">
        <f>[2]MPU!AL166</f>
        <v>#ERROR!</v>
      </c>
      <c r="AM989" s="17" t="str">
        <f>[2]MPU!AM166</f>
        <v>#ERROR!</v>
      </c>
      <c r="AN989" s="17" t="str">
        <f>[2]MPU!AN166</f>
        <v>#ERROR!</v>
      </c>
      <c r="AO989" s="17" t="str">
        <f>[2]MPU!AO166</f>
        <v>#ERROR!</v>
      </c>
      <c r="AP989" s="17" t="str">
        <f>[2]MPU!AP166</f>
        <v>#ERROR!</v>
      </c>
      <c r="AQ989" s="112" t="str">
        <f>[2]MPU!AQ166</f>
        <v>#ERROR!</v>
      </c>
      <c r="AR989" s="17" t="str">
        <f>[2]MPU!AR166</f>
        <v>#ERROR!</v>
      </c>
      <c r="AS989" s="17" t="str">
        <f>[2]MPU!AS166</f>
        <v>#ERROR!</v>
      </c>
      <c r="AT989" s="17" t="str">
        <f>[2]MPU!AT166</f>
        <v>#ERROR!</v>
      </c>
      <c r="AU989" s="17" t="str">
        <f>[2]MPU!AU166</f>
        <v>#ERROR!</v>
      </c>
      <c r="AV989" s="112" t="str">
        <f>[2]MPU!AV166</f>
        <v>#ERROR!</v>
      </c>
      <c r="AW989" s="17" t="str">
        <f>[2]MPU!AW166</f>
        <v>#ERROR!</v>
      </c>
      <c r="AX989" s="17" t="str">
        <f>[2]MPU!AX166</f>
        <v>#ERROR!</v>
      </c>
      <c r="AY989" s="17" t="str">
        <f>[2]MPU!AY166</f>
        <v>#ERROR!</v>
      </c>
      <c r="AZ989" s="17" t="str">
        <f>[2]MPU!AZ166</f>
        <v>#ERROR!</v>
      </c>
      <c r="BA989" s="112" t="str">
        <f>[2]MPU!BA166</f>
        <v>#ERROR!</v>
      </c>
      <c r="BB989" s="17" t="str">
        <f>[2]MPU!BB166</f>
        <v>#ERROR!</v>
      </c>
      <c r="BC989" s="17" t="str">
        <f>[2]MPU!BC166</f>
        <v>#ERROR!</v>
      </c>
      <c r="BD989" s="17" t="str">
        <f>[2]MPU!BD166</f>
        <v>#ERROR!</v>
      </c>
      <c r="BE989" s="17" t="str">
        <f>[2]MPU!BE166</f>
        <v>#ERROR!</v>
      </c>
      <c r="BF989" s="112" t="str">
        <f>[2]MPU!BF166</f>
        <v>#ERROR!</v>
      </c>
      <c r="BG989" s="17" t="str">
        <f>[2]MPU!BG166</f>
        <v>#ERROR!</v>
      </c>
      <c r="BH989" s="17" t="str">
        <f>[2]MPU!BH166</f>
        <v>#ERROR!</v>
      </c>
      <c r="BI989" s="17" t="str">
        <f>[2]MPU!BI166</f>
        <v>#ERROR!</v>
      </c>
      <c r="BJ989" s="17" t="str">
        <f>[2]MPU!BJ166</f>
        <v>#ERROR!</v>
      </c>
      <c r="BK989" s="112" t="str">
        <f>[2]MPU!BK166</f>
        <v>#ERROR!</v>
      </c>
      <c r="BL989" s="17" t="str">
        <f>[2]MPU!BL166</f>
        <v>#ERROR!</v>
      </c>
      <c r="BM989" s="17" t="str">
        <f>[2]MPU!BM166</f>
        <v>#ERROR!</v>
      </c>
      <c r="BN989" s="17" t="str">
        <f>[2]MPU!BN166</f>
        <v>#ERROR!</v>
      </c>
      <c r="BO989" s="17" t="str">
        <f>[2]MPU!BO166</f>
        <v>#ERROR!</v>
      </c>
      <c r="BP989" s="112" t="str">
        <f>[2]MPU!BP166</f>
        <v>#ERROR!</v>
      </c>
      <c r="BQ989" s="17" t="str">
        <f>[2]MPU!BQ166</f>
        <v>#ERROR!</v>
      </c>
      <c r="BR989" s="17" t="str">
        <f>[2]MPU!BR166</f>
        <v>#ERROR!</v>
      </c>
      <c r="BS989" s="17" t="str">
        <f>[2]MPU!BS166</f>
        <v>#ERROR!</v>
      </c>
      <c r="BT989" s="17" t="str">
        <f>[2]MPU!BT166</f>
        <v>#ERROR!</v>
      </c>
      <c r="BU989" s="112" t="str">
        <f>[2]MPU!BU166</f>
        <v>#ERROR!</v>
      </c>
      <c r="BV989" s="17" t="str">
        <f>[2]MPU!BV166</f>
        <v>#ERROR!</v>
      </c>
      <c r="BW989" s="17" t="str">
        <f>[2]MPU!BW166</f>
        <v>#ERROR!</v>
      </c>
      <c r="BX989" s="17" t="str">
        <f>[2]MPU!BX166</f>
        <v>#ERROR!</v>
      </c>
      <c r="BY989" s="17" t="str">
        <f>[2]MPU!BY166</f>
        <v>#ERROR!</v>
      </c>
      <c r="BZ989" s="80" t="str">
        <f>[2]MPU!BZ166</f>
        <v>#ERROR!</v>
      </c>
      <c r="CA989" s="17" t="str">
        <f>[2]MPU!CA166</f>
        <v>#ERROR!</v>
      </c>
      <c r="CB989" s="17" t="str">
        <f>[2]MPU!CB166</f>
        <v>#ERROR!</v>
      </c>
      <c r="CC989" s="17" t="str">
        <f>[2]MPU!CC166</f>
        <v>#ERROR!</v>
      </c>
      <c r="CD989" s="17" t="str">
        <f>[2]MPU!CD166</f>
        <v>#ERROR!</v>
      </c>
      <c r="CE989" s="80" t="str">
        <f>[2]MPU!CE166</f>
        <v>#ERROR!</v>
      </c>
      <c r="CF989" s="17" t="str">
        <f>[2]MPU!CF166</f>
        <v>#ERROR!</v>
      </c>
      <c r="CG989" s="17" t="str">
        <f>[2]MPU!CG166</f>
        <v>#ERROR!</v>
      </c>
      <c r="CH989" s="17" t="str">
        <f>[2]MPU!CH166</f>
        <v>#ERROR!</v>
      </c>
      <c r="CI989" s="17" t="str">
        <f>[2]MPU!CI166</f>
        <v>#ERROR!</v>
      </c>
      <c r="CJ989" s="80" t="str">
        <f>[2]MPU!CJ166</f>
        <v>#ERROR!</v>
      </c>
      <c r="CK989" s="17" t="str">
        <f>[2]MPU!CK166</f>
        <v>#ERROR!</v>
      </c>
      <c r="CL989" s="17" t="str">
        <f>[2]MPU!CL166</f>
        <v>#ERROR!</v>
      </c>
      <c r="CM989" s="17" t="str">
        <f>[2]MPU!CM166</f>
        <v>#ERROR!</v>
      </c>
      <c r="CN989" s="19" t="str">
        <f>[2]MPU!CN166</f>
        <v>#ERROR!</v>
      </c>
      <c r="CO989" s="80" t="str">
        <f>[2]MPU!CO166</f>
        <v>#ERROR!</v>
      </c>
      <c r="CP989" s="19" t="str">
        <f>[2]MPU!CP166</f>
        <v>#ERROR!</v>
      </c>
      <c r="CQ989" s="17" t="str">
        <f>[2]MPU!CQ166</f>
        <v>#ERROR!</v>
      </c>
      <c r="CR989" s="17" t="str">
        <f>[2]MPU!CR166</f>
        <v>#ERROR!</v>
      </c>
      <c r="CS989" s="17" t="str">
        <f>[2]MPU!CS166</f>
        <v>#ERROR!</v>
      </c>
      <c r="CT989" s="80" t="str">
        <f>[2]MPU!CT166</f>
        <v>#ERROR!</v>
      </c>
      <c r="CU989" s="17" t="str">
        <f>[2]MPU!CU166</f>
        <v>#ERROR!</v>
      </c>
      <c r="CV989" s="17" t="str">
        <f>[2]MPU!CV166</f>
        <v>#ERROR!</v>
      </c>
      <c r="CW989" s="17" t="str">
        <f>[2]MPU!CW166</f>
        <v>#ERROR!</v>
      </c>
      <c r="CX989" s="17" t="str">
        <f>[2]MPU!CX166</f>
        <v>#ERROR!</v>
      </c>
      <c r="CY989" s="80" t="str">
        <f>[2]MPU!CY166</f>
        <v>#ERROR!</v>
      </c>
      <c r="CZ989" s="17" t="str">
        <f>[2]MPU!CZ166</f>
        <v>#ERROR!</v>
      </c>
      <c r="DA989" s="17" t="str">
        <f>[2]MPU!DA166</f>
        <v>#ERROR!</v>
      </c>
      <c r="DB989" s="17" t="str">
        <f>[2]MPU!DB166</f>
        <v>#ERROR!</v>
      </c>
      <c r="DC989" s="17" t="str">
        <f>[2]MPU!DC166</f>
        <v>#ERROR!</v>
      </c>
      <c r="DD989" s="80" t="str">
        <f>[2]MPU!DD166</f>
        <v>#ERROR!</v>
      </c>
      <c r="DE989" s="17" t="str">
        <f>[2]MPU!DE166</f>
        <v>#ERROR!</v>
      </c>
      <c r="DF989" s="17" t="str">
        <f>[2]MPU!DF166</f>
        <v>#ERROR!</v>
      </c>
      <c r="DG989" s="19" t="str">
        <f>[2]MPU!DG166</f>
        <v>#ERROR!</v>
      </c>
      <c r="DH989" s="17" t="str">
        <f>[2]MPU!DH166</f>
        <v>#ERROR!</v>
      </c>
      <c r="DI989" s="80" t="str">
        <f>[2]MPU!DI166</f>
        <v>#ERROR!</v>
      </c>
      <c r="DJ989" s="19" t="str">
        <f>[2]MPU!DJ166</f>
        <v>#ERROR!</v>
      </c>
      <c r="DK989" s="19" t="str">
        <f>[2]MPU!DK166</f>
        <v>#ERROR!</v>
      </c>
      <c r="DL989" s="19" t="str">
        <f>[2]MPU!DL166</f>
        <v>#ERROR!</v>
      </c>
      <c r="DM989" s="17" t="str">
        <f>[2]MPU!DM166</f>
        <v>#ERROR!</v>
      </c>
      <c r="DN989" s="80" t="str">
        <f>[2]MPU!DN166</f>
        <v>#ERROR!</v>
      </c>
      <c r="DO989" s="17" t="str">
        <f>[2]MPU!DT166</f>
        <v>#ERROR!</v>
      </c>
      <c r="DP989" s="17" t="str">
        <f>[2]MPU!DU166</f>
        <v>#ERROR!</v>
      </c>
      <c r="DQ989" s="17" t="str">
        <f>[2]MPU!DV166</f>
        <v>#ERROR!</v>
      </c>
      <c r="DR989" s="17" t="str">
        <f>[2]MPU!DW166</f>
        <v>#ERROR!</v>
      </c>
      <c r="DS989" s="80" t="str">
        <f>[2]MPU!DX166</f>
        <v>#ERROR!</v>
      </c>
      <c r="DT989" s="17" t="str">
        <f>[2]MPU!DY166</f>
        <v>#ERROR!</v>
      </c>
      <c r="DU989" s="17" t="str">
        <f>[2]MPU!DZ166</f>
        <v>#ERROR!</v>
      </c>
      <c r="DV989" s="17" t="str">
        <f>[2]MPU!EA166</f>
        <v>#ERROR!</v>
      </c>
      <c r="DW989" s="17" t="str">
        <f>[2]MPU!EB166</f>
        <v>#ERROR!</v>
      </c>
      <c r="DX989" s="80" t="str">
        <f>[2]MPU!EC166</f>
        <v>#ERROR!</v>
      </c>
      <c r="DY989" s="17" t="str">
        <f>[2]MPU!ED166</f>
        <v>#ERROR!</v>
      </c>
      <c r="DZ989" s="17" t="str">
        <f>[2]MPU!EE166</f>
        <v>#ERROR!</v>
      </c>
      <c r="EA989" s="17" t="str">
        <f>[2]MPU!EF166</f>
        <v>#ERROR!</v>
      </c>
      <c r="EB989" s="17" t="str">
        <f>[2]MPU!EG166</f>
        <v>#ERROR!</v>
      </c>
      <c r="EC989" s="80" t="str">
        <f>[2]MPU!EH166</f>
        <v>#ERROR!</v>
      </c>
      <c r="ED989" s="17" t="str">
        <f>[2]MPU!EI166</f>
        <v>#ERROR!</v>
      </c>
      <c r="EE989" s="17" t="str">
        <f>[2]MPU!EJ166</f>
        <v>#ERROR!</v>
      </c>
      <c r="EF989" s="17" t="str">
        <f>[2]MPU!#REF!</f>
        <v>#ERROR!</v>
      </c>
      <c r="EG989" s="17" t="str">
        <f>[2]MPU!#REF!</f>
        <v>#ERROR!</v>
      </c>
      <c r="EH989" s="80" t="str">
        <f>[2]MPU!#REF!</f>
        <v>#ERROR!</v>
      </c>
      <c r="EI989" s="25" t="str">
        <f>[2]MPU!#REF!</f>
        <v>#ERROR!</v>
      </c>
      <c r="EJ989" s="17" t="str">
        <f>[2]MPU!#REF!</f>
        <v>#ERROR!</v>
      </c>
      <c r="EK989" s="17" t="str">
        <f>[2]MPU!#REF!</f>
        <v>#ERROR!</v>
      </c>
      <c r="EL989" s="17" t="str">
        <f>[2]MPU!#REF!</f>
        <v>#ERROR!</v>
      </c>
      <c r="EM989" s="80" t="str">
        <f>[2]MPU!#REF!</f>
        <v>#ERROR!</v>
      </c>
      <c r="EN989" s="17" t="str">
        <f>[2]MPU!#REF!</f>
        <v>#ERROR!</v>
      </c>
      <c r="EO989" s="17" t="str">
        <f>[2]MPU!#REF!</f>
        <v>#ERROR!</v>
      </c>
      <c r="EP989" s="17" t="str">
        <f>[2]MPU!#REF!</f>
        <v>#ERROR!</v>
      </c>
      <c r="EQ989" s="17" t="str">
        <f>[2]MPU!#REF!</f>
        <v>#ERROR!</v>
      </c>
      <c r="ER989" s="80" t="str">
        <f>[2]MPU!#REF!</f>
        <v>#ERROR!</v>
      </c>
      <c r="ES989" s="17" t="str">
        <f>[2]MPU!#REF!</f>
        <v>#ERROR!</v>
      </c>
      <c r="ET989" s="17" t="str">
        <f>[2]MPU!#REF!</f>
        <v>#ERROR!</v>
      </c>
      <c r="EU989" s="17" t="str">
        <f>[2]MPU!#REF!</f>
        <v>#ERROR!</v>
      </c>
      <c r="EV989" s="17" t="str">
        <f>[2]MPU!#REF!</f>
        <v>#ERROR!</v>
      </c>
      <c r="EW989" s="80" t="str">
        <f>[2]MPU!#REF!</f>
        <v>#ERROR!</v>
      </c>
      <c r="EX989" s="17" t="str">
        <f>[2]MPU!#REF!</f>
        <v>#ERROR!</v>
      </c>
      <c r="EY989" s="17" t="str">
        <f>[2]MPU!#REF!</f>
        <v>#ERROR!</v>
      </c>
      <c r="EZ989" s="17" t="str">
        <f>[2]MPU!#REF!</f>
        <v>#ERROR!</v>
      </c>
      <c r="FA989" s="17" t="str">
        <f>[2]MPU!#REF!</f>
        <v>#ERROR!</v>
      </c>
      <c r="FB989" s="80" t="str">
        <f>[2]MPU!#REF!</f>
        <v>#ERROR!</v>
      </c>
      <c r="FC989" s="17" t="str">
        <f>[2]MPU!#REF!</f>
        <v>#ERROR!</v>
      </c>
      <c r="FD989" s="17" t="str">
        <f>[2]MPU!#REF!</f>
        <v>#ERROR!</v>
      </c>
      <c r="FE989" s="17" t="str">
        <f>[2]MPU!#REF!</f>
        <v>#ERROR!</v>
      </c>
      <c r="FF989" s="17" t="str">
        <f>[2]MPU!#REF!</f>
        <v>#ERROR!</v>
      </c>
      <c r="FG989" s="80" t="str">
        <f>[2]MPU!#REF!</f>
        <v>#ERROR!</v>
      </c>
      <c r="FH989" s="146"/>
      <c r="FI989" s="17"/>
      <c r="FJ989" s="17"/>
      <c r="FK989" s="112"/>
      <c r="FL989" s="17"/>
    </row>
    <row r="990" ht="12.75" hidden="1" customHeight="1" outlineLevel="1">
      <c r="A990" s="162"/>
      <c r="B990" s="162" t="str">
        <f>[2]MPU!B167</f>
        <v>#ERROR!</v>
      </c>
      <c r="C990" s="162"/>
      <c r="D990" s="15"/>
      <c r="E990" s="15"/>
      <c r="F990" s="15"/>
      <c r="G990" s="15"/>
      <c r="H990" s="112"/>
      <c r="I990" s="15"/>
      <c r="J990" s="15" t="str">
        <f t="shared" ref="J990:L990" si="5232">J989/I989-1</f>
        <v>#ERROR!</v>
      </c>
      <c r="K990" s="15" t="str">
        <f t="shared" si="5232"/>
        <v>#ERROR!</v>
      </c>
      <c r="L990" s="15" t="str">
        <f t="shared" si="5232"/>
        <v>#ERROR!</v>
      </c>
      <c r="M990" s="112"/>
      <c r="N990" s="15"/>
      <c r="O990" s="15" t="str">
        <f t="shared" ref="O990:Q990" si="5233">O989/N989-1</f>
        <v>#ERROR!</v>
      </c>
      <c r="P990" s="15" t="str">
        <f t="shared" si="5233"/>
        <v>#ERROR!</v>
      </c>
      <c r="Q990" s="15" t="str">
        <f t="shared" si="5233"/>
        <v>#ERROR!</v>
      </c>
      <c r="R990" s="112"/>
      <c r="S990" s="15"/>
      <c r="T990" s="15" t="str">
        <f t="shared" ref="T990:V990" si="5234">T989/S989-1</f>
        <v>#ERROR!</v>
      </c>
      <c r="U990" s="15" t="str">
        <f t="shared" si="5234"/>
        <v>#ERROR!</v>
      </c>
      <c r="V990" s="15" t="str">
        <f t="shared" si="5234"/>
        <v>#ERROR!</v>
      </c>
      <c r="W990" s="112"/>
      <c r="X990" s="15"/>
      <c r="Y990" s="15" t="str">
        <f t="shared" ref="Y990:AA990" si="5235">Y989/X989-1</f>
        <v>#ERROR!</v>
      </c>
      <c r="Z990" s="15" t="str">
        <f t="shared" si="5235"/>
        <v>#ERROR!</v>
      </c>
      <c r="AA990" s="15" t="str">
        <f t="shared" si="5235"/>
        <v>#ERROR!</v>
      </c>
      <c r="AB990" s="112"/>
      <c r="AC990" s="15" t="str">
        <f>AC989/AA989-1</f>
        <v>#ERROR!</v>
      </c>
      <c r="AD990" s="15" t="str">
        <f t="shared" ref="AD990:AF990" si="5236">AD989/AC989-1</f>
        <v>#ERROR!</v>
      </c>
      <c r="AE990" s="15" t="str">
        <f t="shared" si="5236"/>
        <v>#ERROR!</v>
      </c>
      <c r="AF990" s="15" t="str">
        <f t="shared" si="5236"/>
        <v>#ERROR!</v>
      </c>
      <c r="AG990" s="112"/>
      <c r="AH990" s="15" t="str">
        <f>AH989/AF989-1</f>
        <v>#ERROR!</v>
      </c>
      <c r="AI990" s="15" t="str">
        <f t="shared" ref="AI990:AK990" si="5237">AI989/AH989-1</f>
        <v>#ERROR!</v>
      </c>
      <c r="AJ990" s="15" t="str">
        <f t="shared" si="5237"/>
        <v>#ERROR!</v>
      </c>
      <c r="AK990" s="15" t="str">
        <f t="shared" si="5237"/>
        <v>#ERROR!</v>
      </c>
      <c r="AL990" s="112"/>
      <c r="AM990" s="15" t="str">
        <f>AM989/AK989-1</f>
        <v>#ERROR!</v>
      </c>
      <c r="AN990" s="15" t="str">
        <f t="shared" ref="AN990:AP990" si="5238">AN989/AM989-1</f>
        <v>#ERROR!</v>
      </c>
      <c r="AO990" s="15" t="str">
        <f t="shared" si="5238"/>
        <v>#ERROR!</v>
      </c>
      <c r="AP990" s="15" t="str">
        <f t="shared" si="5238"/>
        <v>#ERROR!</v>
      </c>
      <c r="AQ990" s="112"/>
      <c r="AR990" s="15" t="str">
        <f>AR989/AP989-1</f>
        <v>#ERROR!</v>
      </c>
      <c r="AS990" s="15" t="str">
        <f t="shared" ref="AS990:AU990" si="5239">AS989/AR989-1</f>
        <v>#ERROR!</v>
      </c>
      <c r="AT990" s="15" t="str">
        <f t="shared" si="5239"/>
        <v>#ERROR!</v>
      </c>
      <c r="AU990" s="15" t="str">
        <f t="shared" si="5239"/>
        <v>#ERROR!</v>
      </c>
      <c r="AV990" s="112"/>
      <c r="AW990" s="15" t="str">
        <f>AW989/AU989-1</f>
        <v>#ERROR!</v>
      </c>
      <c r="AX990" s="15" t="str">
        <f t="shared" ref="AX990:AZ990" si="5240">AX989/AW989-1</f>
        <v>#ERROR!</v>
      </c>
      <c r="AY990" s="15" t="str">
        <f t="shared" si="5240"/>
        <v>#ERROR!</v>
      </c>
      <c r="AZ990" s="15" t="str">
        <f t="shared" si="5240"/>
        <v>#ERROR!</v>
      </c>
      <c r="BA990" s="112"/>
      <c r="BB990" s="15" t="str">
        <f>BB989/AZ989-1</f>
        <v>#ERROR!</v>
      </c>
      <c r="BC990" s="15" t="str">
        <f t="shared" ref="BC990:BE990" si="5241">BC989/BB989-1</f>
        <v>#ERROR!</v>
      </c>
      <c r="BD990" s="15" t="str">
        <f t="shared" si="5241"/>
        <v>#ERROR!</v>
      </c>
      <c r="BE990" s="15" t="str">
        <f t="shared" si="5241"/>
        <v>#ERROR!</v>
      </c>
      <c r="BF990" s="112"/>
      <c r="BG990" s="15" t="str">
        <f>BG989/BE989-1</f>
        <v>#ERROR!</v>
      </c>
      <c r="BH990" s="15" t="str">
        <f t="shared" ref="BH990:BJ990" si="5242">BH989/BG989-1</f>
        <v>#ERROR!</v>
      </c>
      <c r="BI990" s="15" t="str">
        <f t="shared" si="5242"/>
        <v>#ERROR!</v>
      </c>
      <c r="BJ990" s="15" t="str">
        <f t="shared" si="5242"/>
        <v>#ERROR!</v>
      </c>
      <c r="BK990" s="112"/>
      <c r="BL990" s="15" t="str">
        <f>BL989/BJ989-1</f>
        <v>#ERROR!</v>
      </c>
      <c r="BM990" s="15" t="str">
        <f t="shared" ref="BM990:BO990" si="5243">BM989/BL989-1</f>
        <v>#ERROR!</v>
      </c>
      <c r="BN990" s="15" t="str">
        <f t="shared" si="5243"/>
        <v>#ERROR!</v>
      </c>
      <c r="BO990" s="15" t="str">
        <f t="shared" si="5243"/>
        <v>#ERROR!</v>
      </c>
      <c r="BP990" s="112"/>
      <c r="BQ990" s="15" t="str">
        <f>BQ989/BO989-1</f>
        <v>#ERROR!</v>
      </c>
      <c r="BR990" s="15" t="str">
        <f t="shared" ref="BR990:BT990" si="5244">BR989/BQ989-1</f>
        <v>#ERROR!</v>
      </c>
      <c r="BS990" s="15" t="str">
        <f t="shared" si="5244"/>
        <v>#ERROR!</v>
      </c>
      <c r="BT990" s="15" t="str">
        <f t="shared" si="5244"/>
        <v>#ERROR!</v>
      </c>
      <c r="BU990" s="112"/>
      <c r="BV990" s="15" t="str">
        <f>BV989/BT989-1</f>
        <v>#ERROR!</v>
      </c>
      <c r="BW990" s="15" t="str">
        <f t="shared" ref="BW990:BY990" si="5245">BW989/BV989-1</f>
        <v>#ERROR!</v>
      </c>
      <c r="BX990" s="15" t="str">
        <f t="shared" si="5245"/>
        <v>#ERROR!</v>
      </c>
      <c r="BY990" s="15" t="str">
        <f t="shared" si="5245"/>
        <v>#ERROR!</v>
      </c>
      <c r="BZ990" s="80"/>
      <c r="CA990" s="15" t="str">
        <f>CA989/BY989-1</f>
        <v>#ERROR!</v>
      </c>
      <c r="CB990" s="15" t="str">
        <f t="shared" ref="CB990:CD990" si="5246">CB989/CA989-1</f>
        <v>#ERROR!</v>
      </c>
      <c r="CC990" s="15" t="str">
        <f t="shared" si="5246"/>
        <v>#ERROR!</v>
      </c>
      <c r="CD990" s="15" t="str">
        <f t="shared" si="5246"/>
        <v>#ERROR!</v>
      </c>
      <c r="CE990" s="80"/>
      <c r="CF990" s="15" t="str">
        <f>CF989/CD989-1</f>
        <v>#ERROR!</v>
      </c>
      <c r="CG990" s="15" t="str">
        <f t="shared" ref="CG990:CI990" si="5247">CG989/CF989-1</f>
        <v>#ERROR!</v>
      </c>
      <c r="CH990" s="15" t="str">
        <f t="shared" si="5247"/>
        <v>#ERROR!</v>
      </c>
      <c r="CI990" s="15" t="str">
        <f t="shared" si="5247"/>
        <v>#ERROR!</v>
      </c>
      <c r="CJ990" s="80"/>
      <c r="CK990" s="15" t="str">
        <f>CK989/CI989-1</f>
        <v>#ERROR!</v>
      </c>
      <c r="CL990" s="15" t="str">
        <f t="shared" ref="CL990:CN990" si="5248">CL989/CK989-1</f>
        <v>#ERROR!</v>
      </c>
      <c r="CM990" s="15" t="str">
        <f t="shared" si="5248"/>
        <v>#ERROR!</v>
      </c>
      <c r="CN990" s="40" t="str">
        <f t="shared" si="5248"/>
        <v>#ERROR!</v>
      </c>
      <c r="CO990" s="80"/>
      <c r="CP990" s="40" t="str">
        <f>CP989/CN989-1</f>
        <v>#ERROR!</v>
      </c>
      <c r="CQ990" s="15" t="str">
        <f t="shared" ref="CQ990:CS990" si="5249">CQ989/CP989-1</f>
        <v>#ERROR!</v>
      </c>
      <c r="CR990" s="15" t="str">
        <f t="shared" si="5249"/>
        <v>#ERROR!</v>
      </c>
      <c r="CS990" s="15" t="str">
        <f t="shared" si="5249"/>
        <v>#ERROR!</v>
      </c>
      <c r="CT990" s="80"/>
      <c r="CU990" s="15" t="str">
        <f>CU989/CS989-1</f>
        <v>#ERROR!</v>
      </c>
      <c r="CV990" s="15" t="str">
        <f t="shared" ref="CV990:CX990" si="5250">CV989/CU989-1</f>
        <v>#ERROR!</v>
      </c>
      <c r="CW990" s="15" t="str">
        <f t="shared" si="5250"/>
        <v>#ERROR!</v>
      </c>
      <c r="CX990" s="15" t="str">
        <f t="shared" si="5250"/>
        <v>#ERROR!</v>
      </c>
      <c r="CY990" s="80"/>
      <c r="CZ990" s="15" t="str">
        <f>CZ989/CX989-1</f>
        <v>#ERROR!</v>
      </c>
      <c r="DA990" s="15" t="str">
        <f t="shared" ref="DA990:DC990" si="5251">DA989/CZ989-1</f>
        <v>#ERROR!</v>
      </c>
      <c r="DB990" s="15" t="str">
        <f t="shared" si="5251"/>
        <v>#ERROR!</v>
      </c>
      <c r="DC990" s="15" t="str">
        <f t="shared" si="5251"/>
        <v>#ERROR!</v>
      </c>
      <c r="DD990" s="80"/>
      <c r="DE990" s="15" t="str">
        <f>DE989/DC989-1</f>
        <v>#ERROR!</v>
      </c>
      <c r="DF990" s="15" t="str">
        <f t="shared" ref="DF990:DH990" si="5252">DF989/DE989-1</f>
        <v>#ERROR!</v>
      </c>
      <c r="DG990" s="40" t="str">
        <f t="shared" si="5252"/>
        <v>#ERROR!</v>
      </c>
      <c r="DH990" s="15" t="str">
        <f t="shared" si="5252"/>
        <v>#ERROR!</v>
      </c>
      <c r="DI990" s="80"/>
      <c r="DJ990" s="40" t="str">
        <f>DJ989/DH989-1</f>
        <v>#ERROR!</v>
      </c>
      <c r="DK990" s="40" t="str">
        <f t="shared" ref="DK990:DM990" si="5253">DK989/DJ989-1</f>
        <v>#ERROR!</v>
      </c>
      <c r="DL990" s="40" t="str">
        <f t="shared" si="5253"/>
        <v>#ERROR!</v>
      </c>
      <c r="DM990" s="15" t="str">
        <f t="shared" si="5253"/>
        <v>#ERROR!</v>
      </c>
      <c r="DN990" s="80"/>
      <c r="DO990" s="15" t="str">
        <f>DO989/DM989-1</f>
        <v>#ERROR!</v>
      </c>
      <c r="DP990" s="15" t="str">
        <f t="shared" ref="DP990:DR990" si="5254">DP989/DO989-1</f>
        <v>#ERROR!</v>
      </c>
      <c r="DQ990" s="15" t="str">
        <f t="shared" si="5254"/>
        <v>#ERROR!</v>
      </c>
      <c r="DR990" s="15" t="str">
        <f t="shared" si="5254"/>
        <v>#ERROR!</v>
      </c>
      <c r="DS990" s="80"/>
      <c r="DT990" s="15" t="str">
        <f>DT989/DR989-1</f>
        <v>#ERROR!</v>
      </c>
      <c r="DU990" s="15" t="str">
        <f t="shared" ref="DU990:DW990" si="5255">DU989/DT989-1</f>
        <v>#ERROR!</v>
      </c>
      <c r="DV990" s="15" t="str">
        <f t="shared" si="5255"/>
        <v>#ERROR!</v>
      </c>
      <c r="DW990" s="15" t="str">
        <f t="shared" si="5255"/>
        <v>#ERROR!</v>
      </c>
      <c r="DX990" s="80"/>
      <c r="DY990" s="15" t="str">
        <f>DY989/DW989-1</f>
        <v>#ERROR!</v>
      </c>
      <c r="DZ990" s="15" t="str">
        <f t="shared" ref="DZ990:EB990" si="5256">DZ989/DY989-1</f>
        <v>#ERROR!</v>
      </c>
      <c r="EA990" s="15" t="str">
        <f t="shared" si="5256"/>
        <v>#ERROR!</v>
      </c>
      <c r="EB990" s="15" t="str">
        <f t="shared" si="5256"/>
        <v>#ERROR!</v>
      </c>
      <c r="EC990" s="80"/>
      <c r="ED990" s="15" t="str">
        <f>ED989/EB989-1</f>
        <v>#ERROR!</v>
      </c>
      <c r="EE990" s="15" t="str">
        <f t="shared" ref="EE990:EG990" si="5257">EE989/ED989-1</f>
        <v>#ERROR!</v>
      </c>
      <c r="EF990" s="15" t="str">
        <f t="shared" si="5257"/>
        <v>#ERROR!</v>
      </c>
      <c r="EG990" s="15" t="str">
        <f t="shared" si="5257"/>
        <v>#ERROR!</v>
      </c>
      <c r="EH990" s="80"/>
      <c r="EI990" s="82" t="str">
        <f>EI989/EG989-1</f>
        <v>#ERROR!</v>
      </c>
      <c r="EJ990" s="15" t="str">
        <f t="shared" ref="EJ990:EL990" si="5258">EJ989/EI989-1</f>
        <v>#ERROR!</v>
      </c>
      <c r="EK990" s="15" t="str">
        <f t="shared" si="5258"/>
        <v>#ERROR!</v>
      </c>
      <c r="EL990" s="15" t="str">
        <f t="shared" si="5258"/>
        <v>#ERROR!</v>
      </c>
      <c r="EM990" s="80"/>
      <c r="EN990" s="15" t="str">
        <f>EN989/EL989-1</f>
        <v>#ERROR!</v>
      </c>
      <c r="EO990" s="15" t="str">
        <f t="shared" ref="EO990:EQ990" si="5259">EO989/EN989-1</f>
        <v>#ERROR!</v>
      </c>
      <c r="EP990" s="15" t="str">
        <f t="shared" si="5259"/>
        <v>#ERROR!</v>
      </c>
      <c r="EQ990" s="15" t="str">
        <f t="shared" si="5259"/>
        <v>#ERROR!</v>
      </c>
      <c r="ER990" s="80"/>
      <c r="ES990" s="15" t="str">
        <f>ES989/EQ989-1</f>
        <v>#ERROR!</v>
      </c>
      <c r="ET990" s="15" t="str">
        <f t="shared" ref="ET990:EV990" si="5260">ET989/ES989-1</f>
        <v>#ERROR!</v>
      </c>
      <c r="EU990" s="15" t="str">
        <f t="shared" si="5260"/>
        <v>#ERROR!</v>
      </c>
      <c r="EV990" s="15" t="str">
        <f t="shared" si="5260"/>
        <v>#ERROR!</v>
      </c>
      <c r="EW990" s="80"/>
      <c r="EX990" s="15" t="str">
        <f>EX989/EV989-1</f>
        <v>#ERROR!</v>
      </c>
      <c r="EY990" s="15" t="str">
        <f t="shared" ref="EY990:FA990" si="5261">EY989/EX989-1</f>
        <v>#ERROR!</v>
      </c>
      <c r="EZ990" s="15" t="str">
        <f t="shared" si="5261"/>
        <v>#ERROR!</v>
      </c>
      <c r="FA990" s="15" t="str">
        <f t="shared" si="5261"/>
        <v>#ERROR!</v>
      </c>
      <c r="FB990" s="80"/>
      <c r="FC990" s="15" t="str">
        <f>FC989/FA989-1</f>
        <v>#ERROR!</v>
      </c>
      <c r="FD990" s="15" t="str">
        <f t="shared" ref="FD990:FF990" si="5262">FD989/FC989-1</f>
        <v>#ERROR!</v>
      </c>
      <c r="FE990" s="15" t="str">
        <f t="shared" si="5262"/>
        <v>#ERROR!</v>
      </c>
      <c r="FF990" s="15" t="str">
        <f t="shared" si="5262"/>
        <v>#ERROR!</v>
      </c>
      <c r="FG990" s="80"/>
      <c r="FH990" s="146"/>
      <c r="FI990" s="15"/>
      <c r="FJ990" s="15"/>
      <c r="FK990" s="112"/>
      <c r="FL990" s="15"/>
    </row>
    <row r="991" ht="12.75" hidden="1" customHeight="1" outlineLevel="1">
      <c r="A991" s="162"/>
      <c r="B991" s="162" t="str">
        <f>[2]MPU!B168</f>
        <v>#ERROR!</v>
      </c>
      <c r="C991" s="696"/>
      <c r="D991" s="413"/>
      <c r="E991" s="413"/>
      <c r="F991" s="413"/>
      <c r="G991" s="413"/>
      <c r="H991" s="679"/>
      <c r="I991" s="413"/>
      <c r="J991" s="413"/>
      <c r="K991" s="413"/>
      <c r="L991" s="413"/>
      <c r="M991" s="679"/>
      <c r="N991" s="413"/>
      <c r="O991" s="413"/>
      <c r="P991" s="413"/>
      <c r="Q991" s="413"/>
      <c r="R991" s="679"/>
      <c r="S991" s="413"/>
      <c r="T991" s="413"/>
      <c r="U991" s="413"/>
      <c r="V991" s="413"/>
      <c r="W991" s="679"/>
      <c r="X991" s="413"/>
      <c r="Y991" s="413"/>
      <c r="Z991" s="413"/>
      <c r="AA991" s="413"/>
      <c r="AB991" s="679"/>
      <c r="AC991" s="413" t="str">
        <f t="shared" ref="AC991:FG991" si="5263">AC989/X989-1</f>
        <v>#ERROR!</v>
      </c>
      <c r="AD991" s="413" t="str">
        <f t="shared" si="5263"/>
        <v>#ERROR!</v>
      </c>
      <c r="AE991" s="413" t="str">
        <f t="shared" si="5263"/>
        <v>#ERROR!</v>
      </c>
      <c r="AF991" s="413" t="str">
        <f t="shared" si="5263"/>
        <v>#ERROR!</v>
      </c>
      <c r="AG991" s="679" t="str">
        <f t="shared" si="5263"/>
        <v>#ERROR!</v>
      </c>
      <c r="AH991" s="413" t="str">
        <f t="shared" si="5263"/>
        <v>#ERROR!</v>
      </c>
      <c r="AI991" s="413" t="str">
        <f t="shared" si="5263"/>
        <v>#ERROR!</v>
      </c>
      <c r="AJ991" s="413" t="str">
        <f t="shared" si="5263"/>
        <v>#ERROR!</v>
      </c>
      <c r="AK991" s="413" t="str">
        <f t="shared" si="5263"/>
        <v>#ERROR!</v>
      </c>
      <c r="AL991" s="679" t="str">
        <f t="shared" si="5263"/>
        <v>#ERROR!</v>
      </c>
      <c r="AM991" s="413" t="str">
        <f t="shared" si="5263"/>
        <v>#ERROR!</v>
      </c>
      <c r="AN991" s="413" t="str">
        <f t="shared" si="5263"/>
        <v>#ERROR!</v>
      </c>
      <c r="AO991" s="413" t="str">
        <f t="shared" si="5263"/>
        <v>#ERROR!</v>
      </c>
      <c r="AP991" s="413" t="str">
        <f t="shared" si="5263"/>
        <v>#ERROR!</v>
      </c>
      <c r="AQ991" s="679" t="str">
        <f t="shared" si="5263"/>
        <v>#ERROR!</v>
      </c>
      <c r="AR991" s="413" t="str">
        <f t="shared" si="5263"/>
        <v>#ERROR!</v>
      </c>
      <c r="AS991" s="413" t="str">
        <f t="shared" si="5263"/>
        <v>#ERROR!</v>
      </c>
      <c r="AT991" s="413" t="str">
        <f t="shared" si="5263"/>
        <v>#ERROR!</v>
      </c>
      <c r="AU991" s="413" t="str">
        <f t="shared" si="5263"/>
        <v>#ERROR!</v>
      </c>
      <c r="AV991" s="679" t="str">
        <f t="shared" si="5263"/>
        <v>#ERROR!</v>
      </c>
      <c r="AW991" s="413" t="str">
        <f t="shared" si="5263"/>
        <v>#ERROR!</v>
      </c>
      <c r="AX991" s="413" t="str">
        <f t="shared" si="5263"/>
        <v>#ERROR!</v>
      </c>
      <c r="AY991" s="413" t="str">
        <f t="shared" si="5263"/>
        <v>#ERROR!</v>
      </c>
      <c r="AZ991" s="413" t="str">
        <f t="shared" si="5263"/>
        <v>#ERROR!</v>
      </c>
      <c r="BA991" s="679" t="str">
        <f t="shared" si="5263"/>
        <v>#ERROR!</v>
      </c>
      <c r="BB991" s="413" t="str">
        <f t="shared" si="5263"/>
        <v>#ERROR!</v>
      </c>
      <c r="BC991" s="413" t="str">
        <f t="shared" si="5263"/>
        <v>#ERROR!</v>
      </c>
      <c r="BD991" s="413" t="str">
        <f t="shared" si="5263"/>
        <v>#ERROR!</v>
      </c>
      <c r="BE991" s="413" t="str">
        <f t="shared" si="5263"/>
        <v>#ERROR!</v>
      </c>
      <c r="BF991" s="679" t="str">
        <f t="shared" si="5263"/>
        <v>#ERROR!</v>
      </c>
      <c r="BG991" s="413" t="str">
        <f t="shared" si="5263"/>
        <v>#ERROR!</v>
      </c>
      <c r="BH991" s="413" t="str">
        <f t="shared" si="5263"/>
        <v>#ERROR!</v>
      </c>
      <c r="BI991" s="413" t="str">
        <f t="shared" si="5263"/>
        <v>#ERROR!</v>
      </c>
      <c r="BJ991" s="413" t="str">
        <f t="shared" si="5263"/>
        <v>#ERROR!</v>
      </c>
      <c r="BK991" s="679" t="str">
        <f t="shared" si="5263"/>
        <v>#ERROR!</v>
      </c>
      <c r="BL991" s="413" t="str">
        <f t="shared" si="5263"/>
        <v>#ERROR!</v>
      </c>
      <c r="BM991" s="413" t="str">
        <f t="shared" si="5263"/>
        <v>#ERROR!</v>
      </c>
      <c r="BN991" s="413" t="str">
        <f t="shared" si="5263"/>
        <v>#ERROR!</v>
      </c>
      <c r="BO991" s="413" t="str">
        <f t="shared" si="5263"/>
        <v>#ERROR!</v>
      </c>
      <c r="BP991" s="679" t="str">
        <f t="shared" si="5263"/>
        <v>#ERROR!</v>
      </c>
      <c r="BQ991" s="413" t="str">
        <f t="shared" si="5263"/>
        <v>#ERROR!</v>
      </c>
      <c r="BR991" s="413" t="str">
        <f t="shared" si="5263"/>
        <v>#ERROR!</v>
      </c>
      <c r="BS991" s="413" t="str">
        <f t="shared" si="5263"/>
        <v>#ERROR!</v>
      </c>
      <c r="BT991" s="413" t="str">
        <f t="shared" si="5263"/>
        <v>#ERROR!</v>
      </c>
      <c r="BU991" s="679" t="str">
        <f t="shared" si="5263"/>
        <v>#ERROR!</v>
      </c>
      <c r="BV991" s="413" t="str">
        <f t="shared" si="5263"/>
        <v>#ERROR!</v>
      </c>
      <c r="BW991" s="413" t="str">
        <f t="shared" si="5263"/>
        <v>#ERROR!</v>
      </c>
      <c r="BX991" s="413" t="str">
        <f t="shared" si="5263"/>
        <v>#ERROR!</v>
      </c>
      <c r="BY991" s="413" t="str">
        <f t="shared" si="5263"/>
        <v>#ERROR!</v>
      </c>
      <c r="BZ991" s="305" t="str">
        <f t="shared" si="5263"/>
        <v>#ERROR!</v>
      </c>
      <c r="CA991" s="413" t="str">
        <f t="shared" si="5263"/>
        <v>#ERROR!</v>
      </c>
      <c r="CB991" s="413" t="str">
        <f t="shared" si="5263"/>
        <v>#ERROR!</v>
      </c>
      <c r="CC991" s="413" t="str">
        <f t="shared" si="5263"/>
        <v>#ERROR!</v>
      </c>
      <c r="CD991" s="413" t="str">
        <f t="shared" si="5263"/>
        <v>#ERROR!</v>
      </c>
      <c r="CE991" s="305" t="str">
        <f t="shared" si="5263"/>
        <v>#ERROR!</v>
      </c>
      <c r="CF991" s="413" t="str">
        <f t="shared" si="5263"/>
        <v>#ERROR!</v>
      </c>
      <c r="CG991" s="413" t="str">
        <f t="shared" si="5263"/>
        <v>#ERROR!</v>
      </c>
      <c r="CH991" s="413" t="str">
        <f t="shared" si="5263"/>
        <v>#ERROR!</v>
      </c>
      <c r="CI991" s="413" t="str">
        <f t="shared" si="5263"/>
        <v>#ERROR!</v>
      </c>
      <c r="CJ991" s="305" t="str">
        <f t="shared" si="5263"/>
        <v>#ERROR!</v>
      </c>
      <c r="CK991" s="413" t="str">
        <f t="shared" si="5263"/>
        <v>#ERROR!</v>
      </c>
      <c r="CL991" s="413" t="str">
        <f t="shared" si="5263"/>
        <v>#ERROR!</v>
      </c>
      <c r="CM991" s="413" t="str">
        <f t="shared" si="5263"/>
        <v>#ERROR!</v>
      </c>
      <c r="CN991" s="416" t="str">
        <f t="shared" si="5263"/>
        <v>#ERROR!</v>
      </c>
      <c r="CO991" s="305" t="str">
        <f t="shared" si="5263"/>
        <v>#ERROR!</v>
      </c>
      <c r="CP991" s="416" t="str">
        <f t="shared" si="5263"/>
        <v>#ERROR!</v>
      </c>
      <c r="CQ991" s="413" t="str">
        <f t="shared" si="5263"/>
        <v>#ERROR!</v>
      </c>
      <c r="CR991" s="413" t="str">
        <f t="shared" si="5263"/>
        <v>#ERROR!</v>
      </c>
      <c r="CS991" s="413" t="str">
        <f t="shared" si="5263"/>
        <v>#ERROR!</v>
      </c>
      <c r="CT991" s="305" t="str">
        <f t="shared" si="5263"/>
        <v>#ERROR!</v>
      </c>
      <c r="CU991" s="413" t="str">
        <f t="shared" si="5263"/>
        <v>#ERROR!</v>
      </c>
      <c r="CV991" s="413" t="str">
        <f t="shared" si="5263"/>
        <v>#ERROR!</v>
      </c>
      <c r="CW991" s="413" t="str">
        <f t="shared" si="5263"/>
        <v>#ERROR!</v>
      </c>
      <c r="CX991" s="413" t="str">
        <f t="shared" si="5263"/>
        <v>#ERROR!</v>
      </c>
      <c r="CY991" s="305" t="str">
        <f t="shared" si="5263"/>
        <v>#ERROR!</v>
      </c>
      <c r="CZ991" s="413" t="str">
        <f t="shared" si="5263"/>
        <v>#ERROR!</v>
      </c>
      <c r="DA991" s="413" t="str">
        <f t="shared" si="5263"/>
        <v>#ERROR!</v>
      </c>
      <c r="DB991" s="413" t="str">
        <f t="shared" si="5263"/>
        <v>#ERROR!</v>
      </c>
      <c r="DC991" s="413" t="str">
        <f t="shared" si="5263"/>
        <v>#ERROR!</v>
      </c>
      <c r="DD991" s="305" t="str">
        <f t="shared" si="5263"/>
        <v>#ERROR!</v>
      </c>
      <c r="DE991" s="413" t="str">
        <f t="shared" si="5263"/>
        <v>#ERROR!</v>
      </c>
      <c r="DF991" s="413" t="str">
        <f t="shared" si="5263"/>
        <v>#ERROR!</v>
      </c>
      <c r="DG991" s="40" t="str">
        <f t="shared" si="5263"/>
        <v>#ERROR!</v>
      </c>
      <c r="DH991" s="413" t="str">
        <f t="shared" si="5263"/>
        <v>#ERROR!</v>
      </c>
      <c r="DI991" s="305" t="str">
        <f t="shared" si="5263"/>
        <v>#ERROR!</v>
      </c>
      <c r="DJ991" s="416" t="str">
        <f t="shared" si="5263"/>
        <v>#ERROR!</v>
      </c>
      <c r="DK991" s="416" t="str">
        <f t="shared" si="5263"/>
        <v>#ERROR!</v>
      </c>
      <c r="DL991" s="416" t="str">
        <f t="shared" si="5263"/>
        <v>#ERROR!</v>
      </c>
      <c r="DM991" s="413" t="str">
        <f t="shared" si="5263"/>
        <v>#ERROR!</v>
      </c>
      <c r="DN991" s="305" t="str">
        <f t="shared" si="5263"/>
        <v>#ERROR!</v>
      </c>
      <c r="DO991" s="413" t="str">
        <f t="shared" si="5263"/>
        <v>#ERROR!</v>
      </c>
      <c r="DP991" s="413" t="str">
        <f t="shared" si="5263"/>
        <v>#ERROR!</v>
      </c>
      <c r="DQ991" s="413" t="str">
        <f t="shared" si="5263"/>
        <v>#ERROR!</v>
      </c>
      <c r="DR991" s="413" t="str">
        <f t="shared" si="5263"/>
        <v>#ERROR!</v>
      </c>
      <c r="DS991" s="305" t="str">
        <f t="shared" si="5263"/>
        <v>#ERROR!</v>
      </c>
      <c r="DT991" s="413" t="str">
        <f t="shared" si="5263"/>
        <v>#ERROR!</v>
      </c>
      <c r="DU991" s="413" t="str">
        <f t="shared" si="5263"/>
        <v>#ERROR!</v>
      </c>
      <c r="DV991" s="413" t="str">
        <f t="shared" si="5263"/>
        <v>#ERROR!</v>
      </c>
      <c r="DW991" s="413" t="str">
        <f t="shared" si="5263"/>
        <v>#ERROR!</v>
      </c>
      <c r="DX991" s="305" t="str">
        <f t="shared" si="5263"/>
        <v>#ERROR!</v>
      </c>
      <c r="DY991" s="413" t="str">
        <f t="shared" si="5263"/>
        <v>#ERROR!</v>
      </c>
      <c r="DZ991" s="413" t="str">
        <f t="shared" si="5263"/>
        <v>#ERROR!</v>
      </c>
      <c r="EA991" s="413" t="str">
        <f t="shared" si="5263"/>
        <v>#ERROR!</v>
      </c>
      <c r="EB991" s="413" t="str">
        <f t="shared" si="5263"/>
        <v>#ERROR!</v>
      </c>
      <c r="EC991" s="305" t="str">
        <f t="shared" si="5263"/>
        <v>#ERROR!</v>
      </c>
      <c r="ED991" s="413" t="str">
        <f t="shared" si="5263"/>
        <v>#ERROR!</v>
      </c>
      <c r="EE991" s="413" t="str">
        <f t="shared" si="5263"/>
        <v>#ERROR!</v>
      </c>
      <c r="EF991" s="413" t="str">
        <f t="shared" si="5263"/>
        <v>#ERROR!</v>
      </c>
      <c r="EG991" s="413" t="str">
        <f t="shared" si="5263"/>
        <v>#ERROR!</v>
      </c>
      <c r="EH991" s="305" t="str">
        <f t="shared" si="5263"/>
        <v>#ERROR!</v>
      </c>
      <c r="EI991" s="420" t="str">
        <f t="shared" si="5263"/>
        <v>#ERROR!</v>
      </c>
      <c r="EJ991" s="413" t="str">
        <f t="shared" si="5263"/>
        <v>#ERROR!</v>
      </c>
      <c r="EK991" s="413" t="str">
        <f t="shared" si="5263"/>
        <v>#ERROR!</v>
      </c>
      <c r="EL991" s="413" t="str">
        <f t="shared" si="5263"/>
        <v>#ERROR!</v>
      </c>
      <c r="EM991" s="305" t="str">
        <f t="shared" si="5263"/>
        <v>#ERROR!</v>
      </c>
      <c r="EN991" s="413" t="str">
        <f t="shared" si="5263"/>
        <v>#ERROR!</v>
      </c>
      <c r="EO991" s="413" t="str">
        <f t="shared" si="5263"/>
        <v>#ERROR!</v>
      </c>
      <c r="EP991" s="413" t="str">
        <f t="shared" si="5263"/>
        <v>#ERROR!</v>
      </c>
      <c r="EQ991" s="413" t="str">
        <f t="shared" si="5263"/>
        <v>#ERROR!</v>
      </c>
      <c r="ER991" s="305" t="str">
        <f t="shared" si="5263"/>
        <v>#ERROR!</v>
      </c>
      <c r="ES991" s="413" t="str">
        <f t="shared" si="5263"/>
        <v>#ERROR!</v>
      </c>
      <c r="ET991" s="413" t="str">
        <f t="shared" si="5263"/>
        <v>#ERROR!</v>
      </c>
      <c r="EU991" s="413" t="str">
        <f t="shared" si="5263"/>
        <v>#ERROR!</v>
      </c>
      <c r="EV991" s="413" t="str">
        <f t="shared" si="5263"/>
        <v>#ERROR!</v>
      </c>
      <c r="EW991" s="305" t="str">
        <f t="shared" si="5263"/>
        <v>#ERROR!</v>
      </c>
      <c r="EX991" s="413" t="str">
        <f t="shared" si="5263"/>
        <v>#ERROR!</v>
      </c>
      <c r="EY991" s="413" t="str">
        <f t="shared" si="5263"/>
        <v>#ERROR!</v>
      </c>
      <c r="EZ991" s="413" t="str">
        <f t="shared" si="5263"/>
        <v>#ERROR!</v>
      </c>
      <c r="FA991" s="413" t="str">
        <f t="shared" si="5263"/>
        <v>#ERROR!</v>
      </c>
      <c r="FB991" s="305" t="str">
        <f t="shared" si="5263"/>
        <v>#ERROR!</v>
      </c>
      <c r="FC991" s="413" t="str">
        <f t="shared" si="5263"/>
        <v>#ERROR!</v>
      </c>
      <c r="FD991" s="413" t="str">
        <f t="shared" si="5263"/>
        <v>#ERROR!</v>
      </c>
      <c r="FE991" s="413" t="str">
        <f t="shared" si="5263"/>
        <v>#ERROR!</v>
      </c>
      <c r="FF991" s="413" t="str">
        <f t="shared" si="5263"/>
        <v>#ERROR!</v>
      </c>
      <c r="FG991" s="305" t="str">
        <f t="shared" si="5263"/>
        <v>#ERROR!</v>
      </c>
      <c r="FH991" s="680"/>
      <c r="FI991" s="413"/>
      <c r="FJ991" s="413"/>
      <c r="FK991" s="679"/>
      <c r="FL991" s="413"/>
    </row>
    <row r="992" ht="12.75" hidden="1" customHeight="1" outlineLevel="1">
      <c r="A992" s="162"/>
      <c r="B992" s="162"/>
      <c r="C992" s="162"/>
      <c r="D992" s="15"/>
      <c r="E992" s="15"/>
      <c r="F992" s="15"/>
      <c r="G992" s="15"/>
      <c r="H992" s="309"/>
      <c r="I992" s="15"/>
      <c r="J992" s="15"/>
      <c r="K992" s="15"/>
      <c r="L992" s="15"/>
      <c r="M992" s="309"/>
      <c r="N992" s="15"/>
      <c r="O992" s="15"/>
      <c r="P992" s="15"/>
      <c r="Q992" s="15"/>
      <c r="R992" s="309"/>
      <c r="S992" s="15"/>
      <c r="T992" s="15"/>
      <c r="U992" s="15"/>
      <c r="V992" s="15"/>
      <c r="W992" s="309"/>
      <c r="X992" s="15"/>
      <c r="Y992" s="15"/>
      <c r="Z992" s="15"/>
      <c r="AA992" s="15"/>
      <c r="AB992" s="309"/>
      <c r="AC992" s="15"/>
      <c r="AD992" s="15"/>
      <c r="AE992" s="15"/>
      <c r="AF992" s="15"/>
      <c r="AG992" s="309"/>
      <c r="AH992" s="15"/>
      <c r="AI992" s="15"/>
      <c r="AJ992" s="15"/>
      <c r="AK992" s="15"/>
      <c r="AL992" s="309"/>
      <c r="AM992" s="15"/>
      <c r="AN992" s="15"/>
      <c r="AO992" s="15"/>
      <c r="AP992" s="15"/>
      <c r="AQ992" s="309"/>
      <c r="AR992" s="15"/>
      <c r="AS992" s="15"/>
      <c r="AT992" s="15"/>
      <c r="AU992" s="15"/>
      <c r="AV992" s="309"/>
      <c r="AW992" s="15"/>
      <c r="AX992" s="15"/>
      <c r="AY992" s="15"/>
      <c r="AZ992" s="15"/>
      <c r="BA992" s="309"/>
      <c r="BB992" s="15"/>
      <c r="BC992" s="15"/>
      <c r="BD992" s="15"/>
      <c r="BE992" s="15"/>
      <c r="BF992" s="309"/>
      <c r="BG992" s="15"/>
      <c r="BH992" s="15"/>
      <c r="BI992" s="15"/>
      <c r="BJ992" s="15"/>
      <c r="BK992" s="309"/>
      <c r="BL992" s="15"/>
      <c r="BM992" s="15"/>
      <c r="BN992" s="15"/>
      <c r="BO992" s="15"/>
      <c r="BP992" s="309"/>
      <c r="BQ992" s="15"/>
      <c r="BR992" s="15"/>
      <c r="BS992" s="15"/>
      <c r="BT992" s="15"/>
      <c r="BU992" s="309"/>
      <c r="BV992" s="15"/>
      <c r="BW992" s="15"/>
      <c r="BX992" s="15"/>
      <c r="BY992" s="15"/>
      <c r="BZ992" s="37"/>
      <c r="CA992" s="15"/>
      <c r="CB992" s="15"/>
      <c r="CC992" s="15"/>
      <c r="CD992" s="15"/>
      <c r="CE992" s="37"/>
      <c r="CF992" s="15"/>
      <c r="CG992" s="15"/>
      <c r="CH992" s="15"/>
      <c r="CI992" s="15"/>
      <c r="CJ992" s="37"/>
      <c r="CK992" s="15"/>
      <c r="CL992" s="15"/>
      <c r="CM992" s="15"/>
      <c r="CN992" s="40"/>
      <c r="CO992" s="37"/>
      <c r="CP992" s="40"/>
      <c r="CQ992" s="15"/>
      <c r="CR992" s="15"/>
      <c r="CS992" s="15"/>
      <c r="CT992" s="37"/>
      <c r="CU992" s="15"/>
      <c r="CV992" s="15"/>
      <c r="CW992" s="15"/>
      <c r="CX992" s="15"/>
      <c r="CY992" s="37"/>
      <c r="CZ992" s="15"/>
      <c r="DA992" s="15"/>
      <c r="DB992" s="15"/>
      <c r="DC992" s="15"/>
      <c r="DD992" s="37"/>
      <c r="DE992" s="15"/>
      <c r="DF992" s="15"/>
      <c r="DG992" s="40"/>
      <c r="DH992" s="15"/>
      <c r="DI992" s="37"/>
      <c r="DJ992" s="40"/>
      <c r="DK992" s="40"/>
      <c r="DL992" s="40"/>
      <c r="DM992" s="15"/>
      <c r="DN992" s="37"/>
      <c r="DO992" s="15"/>
      <c r="DP992" s="15"/>
      <c r="DQ992" s="15"/>
      <c r="DR992" s="15"/>
      <c r="DS992" s="37"/>
      <c r="DT992" s="15"/>
      <c r="DU992" s="15"/>
      <c r="DV992" s="15"/>
      <c r="DW992" s="15"/>
      <c r="DX992" s="37"/>
      <c r="DY992" s="15"/>
      <c r="DZ992" s="15"/>
      <c r="EA992" s="15"/>
      <c r="EB992" s="15"/>
      <c r="EC992" s="37"/>
      <c r="ED992" s="15"/>
      <c r="EE992" s="15"/>
      <c r="EF992" s="15"/>
      <c r="EG992" s="15"/>
      <c r="EH992" s="37"/>
      <c r="EI992" s="82"/>
      <c r="EJ992" s="15"/>
      <c r="EK992" s="15"/>
      <c r="EL992" s="15"/>
      <c r="EM992" s="37"/>
      <c r="EN992" s="15"/>
      <c r="EO992" s="15"/>
      <c r="EP992" s="15"/>
      <c r="EQ992" s="15"/>
      <c r="ER992" s="37"/>
      <c r="ES992" s="15"/>
      <c r="ET992" s="15"/>
      <c r="EU992" s="15"/>
      <c r="EV992" s="15"/>
      <c r="EW992" s="37"/>
      <c r="EX992" s="15"/>
      <c r="EY992" s="15"/>
      <c r="EZ992" s="15"/>
      <c r="FA992" s="15"/>
      <c r="FB992" s="37"/>
      <c r="FC992" s="15"/>
      <c r="FD992" s="15"/>
      <c r="FE992" s="15"/>
      <c r="FF992" s="15"/>
      <c r="FG992" s="37"/>
      <c r="FH992" s="35"/>
      <c r="FI992" s="15"/>
      <c r="FJ992" s="15"/>
      <c r="FK992" s="309"/>
      <c r="FL992" s="15"/>
    </row>
    <row r="993" ht="12.75" hidden="1" customHeight="1" outlineLevel="1">
      <c r="A993" s="715"/>
      <c r="B993" s="718" t="s">
        <v>351</v>
      </c>
      <c r="C993" s="718"/>
      <c r="D993" s="672"/>
      <c r="E993" s="672"/>
      <c r="F993" s="672"/>
      <c r="G993" s="672"/>
      <c r="H993" s="673"/>
      <c r="I993" s="672" t="str">
        <f>[2]MPU!I178</f>
        <v>#ERROR!</v>
      </c>
      <c r="J993" s="672" t="str">
        <f>[2]MPU!J178</f>
        <v>#ERROR!</v>
      </c>
      <c r="K993" s="672" t="str">
        <f>[2]MPU!K178</f>
        <v>#ERROR!</v>
      </c>
      <c r="L993" s="672" t="str">
        <f>[2]MPU!L178</f>
        <v>#ERROR!</v>
      </c>
      <c r="M993" s="673" t="str">
        <f>[2]MPU!M178</f>
        <v>#ERROR!</v>
      </c>
      <c r="N993" s="672" t="str">
        <f>[2]MPU!N178</f>
        <v>#ERROR!</v>
      </c>
      <c r="O993" s="672" t="str">
        <f>[2]MPU!O178</f>
        <v>#ERROR!</v>
      </c>
      <c r="P993" s="672" t="str">
        <f>[2]MPU!P178</f>
        <v>#ERROR!</v>
      </c>
      <c r="Q993" s="672" t="str">
        <f>[2]MPU!Q178</f>
        <v>#ERROR!</v>
      </c>
      <c r="R993" s="673" t="str">
        <f>[2]MPU!R178</f>
        <v>#ERROR!</v>
      </c>
      <c r="S993" s="672" t="str">
        <f>[2]MPU!S178</f>
        <v>#ERROR!</v>
      </c>
      <c r="T993" s="672" t="str">
        <f>[2]MPU!T178</f>
        <v>#ERROR!</v>
      </c>
      <c r="U993" s="672" t="str">
        <f>[2]MPU!U178</f>
        <v>#ERROR!</v>
      </c>
      <c r="V993" s="672" t="str">
        <f>[2]MPU!V178</f>
        <v>#ERROR!</v>
      </c>
      <c r="W993" s="673" t="str">
        <f>[2]MPU!W178</f>
        <v>#ERROR!</v>
      </c>
      <c r="X993" s="672" t="str">
        <f>[2]MPU!X178</f>
        <v>#ERROR!</v>
      </c>
      <c r="Y993" s="672" t="str">
        <f>[2]MPU!Y178</f>
        <v>#ERROR!</v>
      </c>
      <c r="Z993" s="672" t="str">
        <f>[2]MPU!Z178</f>
        <v>#ERROR!</v>
      </c>
      <c r="AA993" s="672" t="str">
        <f>[2]MPU!AA178</f>
        <v>#ERROR!</v>
      </c>
      <c r="AB993" s="673" t="str">
        <f>[2]MPU!AB178</f>
        <v>#ERROR!</v>
      </c>
      <c r="AC993" s="672" t="str">
        <f>[2]MPU!AC178</f>
        <v>#ERROR!</v>
      </c>
      <c r="AD993" s="672" t="str">
        <f>[2]MPU!AD178</f>
        <v>#ERROR!</v>
      </c>
      <c r="AE993" s="672" t="str">
        <f>[2]MPU!AE178</f>
        <v>#ERROR!</v>
      </c>
      <c r="AF993" s="672" t="str">
        <f>[2]MPU!AF178</f>
        <v>#ERROR!</v>
      </c>
      <c r="AG993" s="673" t="str">
        <f>[2]MPU!AG178</f>
        <v>#ERROR!</v>
      </c>
      <c r="AH993" s="672" t="str">
        <f>[2]MPU!AH178</f>
        <v>#ERROR!</v>
      </c>
      <c r="AI993" s="672" t="str">
        <f>[2]MPU!AI178</f>
        <v>#ERROR!</v>
      </c>
      <c r="AJ993" s="672" t="str">
        <f>[2]MPU!AJ178</f>
        <v>#ERROR!</v>
      </c>
      <c r="AK993" s="672" t="str">
        <f>[2]MPU!AK178</f>
        <v>#ERROR!</v>
      </c>
      <c r="AL993" s="673" t="str">
        <f>[2]MPU!AL178</f>
        <v>#ERROR!</v>
      </c>
      <c r="AM993" s="672" t="str">
        <f>[2]MPU!AM178</f>
        <v>#ERROR!</v>
      </c>
      <c r="AN993" s="672" t="str">
        <f>[2]MPU!AN178</f>
        <v>#ERROR!</v>
      </c>
      <c r="AO993" s="672" t="str">
        <f>[2]MPU!AO178</f>
        <v>#ERROR!</v>
      </c>
      <c r="AP993" s="672" t="str">
        <f>[2]MPU!AP178</f>
        <v>#ERROR!</v>
      </c>
      <c r="AQ993" s="673" t="str">
        <f>[2]MPU!AQ178</f>
        <v>#ERROR!</v>
      </c>
      <c r="AR993" s="672" t="str">
        <f>[2]MPU!AR178</f>
        <v>#ERROR!</v>
      </c>
      <c r="AS993" s="672" t="str">
        <f>[2]MPU!AS178</f>
        <v>#ERROR!</v>
      </c>
      <c r="AT993" s="672" t="str">
        <f>[2]MPU!AT178</f>
        <v>#ERROR!</v>
      </c>
      <c r="AU993" s="672" t="str">
        <f>[2]MPU!AU178</f>
        <v>#ERROR!</v>
      </c>
      <c r="AV993" s="673" t="str">
        <f>[2]MPU!AV178</f>
        <v>#ERROR!</v>
      </c>
      <c r="AW993" s="672" t="str">
        <f>[2]MPU!AW178</f>
        <v>#ERROR!</v>
      </c>
      <c r="AX993" s="672" t="str">
        <f>[2]MPU!AX178</f>
        <v>#ERROR!</v>
      </c>
      <c r="AY993" s="672" t="str">
        <f>[2]MPU!AY178</f>
        <v>#ERROR!</v>
      </c>
      <c r="AZ993" s="672" t="str">
        <f>[2]MPU!AZ178</f>
        <v>#ERROR!</v>
      </c>
      <c r="BA993" s="673" t="str">
        <f>[2]MPU!BA178</f>
        <v>#ERROR!</v>
      </c>
      <c r="BB993" s="672" t="str">
        <f>[2]MPU!BB178</f>
        <v>#ERROR!</v>
      </c>
      <c r="BC993" s="672" t="str">
        <f>[2]MPU!BC178</f>
        <v>#ERROR!</v>
      </c>
      <c r="BD993" s="672" t="str">
        <f>[2]MPU!BD178</f>
        <v>#ERROR!</v>
      </c>
      <c r="BE993" s="672" t="str">
        <f>[2]MPU!BE178</f>
        <v>#ERROR!</v>
      </c>
      <c r="BF993" s="673" t="str">
        <f>[2]MPU!BF178</f>
        <v>#ERROR!</v>
      </c>
      <c r="BG993" s="672" t="str">
        <f>[2]MPU!BG178</f>
        <v>#ERROR!</v>
      </c>
      <c r="BH993" s="672" t="str">
        <f>[2]MPU!BH178</f>
        <v>#ERROR!</v>
      </c>
      <c r="BI993" s="672" t="str">
        <f>[2]MPU!BI178</f>
        <v>#ERROR!</v>
      </c>
      <c r="BJ993" s="672" t="str">
        <f>[2]MPU!BJ178</f>
        <v>#ERROR!</v>
      </c>
      <c r="BK993" s="673" t="str">
        <f>[2]MPU!BK178</f>
        <v>#ERROR!</v>
      </c>
      <c r="BL993" s="672" t="str">
        <f>[2]MPU!BL178</f>
        <v>#ERROR!</v>
      </c>
      <c r="BM993" s="672" t="str">
        <f>[2]MPU!BM178</f>
        <v>#ERROR!</v>
      </c>
      <c r="BN993" s="672" t="str">
        <f>[2]MPU!BN178</f>
        <v>#ERROR!</v>
      </c>
      <c r="BO993" s="672" t="str">
        <f>[2]MPU!BO178</f>
        <v>#ERROR!</v>
      </c>
      <c r="BP993" s="673" t="str">
        <f>[2]MPU!BP178</f>
        <v>#ERROR!</v>
      </c>
      <c r="BQ993" s="672" t="str">
        <f>[2]MPU!BQ178</f>
        <v>#ERROR!</v>
      </c>
      <c r="BR993" s="672" t="str">
        <f>[2]MPU!BR178</f>
        <v>#ERROR!</v>
      </c>
      <c r="BS993" s="672" t="str">
        <f>[2]MPU!BS178</f>
        <v>#ERROR!</v>
      </c>
      <c r="BT993" s="672" t="str">
        <f>[2]MPU!BT178</f>
        <v>#ERROR!</v>
      </c>
      <c r="BU993" s="673" t="str">
        <f>[2]MPU!BU178</f>
        <v>#ERROR!</v>
      </c>
      <c r="BV993" s="672" t="str">
        <f>[2]MPU!BV178</f>
        <v>#ERROR!</v>
      </c>
      <c r="BW993" s="672" t="str">
        <f>[2]MPU!BW178</f>
        <v>#ERROR!</v>
      </c>
      <c r="BX993" s="672" t="str">
        <f>[2]MPU!BX178</f>
        <v>#ERROR!</v>
      </c>
      <c r="BY993" s="672" t="str">
        <f>[2]MPU!BY178</f>
        <v>#ERROR!</v>
      </c>
      <c r="BZ993" s="674" t="str">
        <f>[2]MPU!BZ178</f>
        <v>#ERROR!</v>
      </c>
      <c r="CA993" s="672" t="str">
        <f>[2]MPU!CA178</f>
        <v>#ERROR!</v>
      </c>
      <c r="CB993" s="672" t="str">
        <f>[2]MPU!CB178</f>
        <v>#ERROR!</v>
      </c>
      <c r="CC993" s="672" t="str">
        <f>[2]MPU!CC178</f>
        <v>#ERROR!</v>
      </c>
      <c r="CD993" s="672" t="str">
        <f>[2]MPU!CD178</f>
        <v>#ERROR!</v>
      </c>
      <c r="CE993" s="674" t="str">
        <f>[2]MPU!CE178</f>
        <v>#ERROR!</v>
      </c>
      <c r="CF993" s="672" t="str">
        <f>[2]MPU!CF178</f>
        <v>#ERROR!</v>
      </c>
      <c r="CG993" s="672" t="str">
        <f>[2]MPU!CG178</f>
        <v>#ERROR!</v>
      </c>
      <c r="CH993" s="672" t="str">
        <f>[2]MPU!CH178</f>
        <v>#ERROR!</v>
      </c>
      <c r="CI993" s="672" t="str">
        <f>[2]MPU!CI178</f>
        <v>#ERROR!</v>
      </c>
      <c r="CJ993" s="674" t="str">
        <f>[2]MPU!CJ178</f>
        <v>#ERROR!</v>
      </c>
      <c r="CK993" s="672" t="str">
        <f>[2]MPU!CK178</f>
        <v>#ERROR!</v>
      </c>
      <c r="CL993" s="672" t="str">
        <f>[2]MPU!CL178</f>
        <v>#ERROR!</v>
      </c>
      <c r="CM993" s="672" t="str">
        <f>[2]MPU!CM178</f>
        <v>#ERROR!</v>
      </c>
      <c r="CN993" s="675" t="str">
        <f>[2]MPU!CN178</f>
        <v>#ERROR!</v>
      </c>
      <c r="CO993" s="674" t="str">
        <f>[2]MPU!CO178</f>
        <v>#ERROR!</v>
      </c>
      <c r="CP993" s="675" t="str">
        <f>[2]MPU!CP178</f>
        <v>#ERROR!</v>
      </c>
      <c r="CQ993" s="672" t="str">
        <f>[2]MPU!CQ178</f>
        <v>#ERROR!</v>
      </c>
      <c r="CR993" s="672" t="str">
        <f>[2]MPU!CR178</f>
        <v>#ERROR!</v>
      </c>
      <c r="CS993" s="672" t="str">
        <f>[2]MPU!CS178</f>
        <v>#ERROR!</v>
      </c>
      <c r="CT993" s="674" t="str">
        <f>[2]MPU!CT178</f>
        <v>#ERROR!</v>
      </c>
      <c r="CU993" s="672" t="str">
        <f>[2]MPU!CU178</f>
        <v>#ERROR!</v>
      </c>
      <c r="CV993" s="672" t="str">
        <f>[2]MPU!CV178</f>
        <v>#ERROR!</v>
      </c>
      <c r="CW993" s="672" t="str">
        <f>[2]MPU!CW178</f>
        <v>#ERROR!</v>
      </c>
      <c r="CX993" s="672" t="str">
        <f>[2]MPU!CX178</f>
        <v>#ERROR!</v>
      </c>
      <c r="CY993" s="674" t="str">
        <f>[2]MPU!CY178</f>
        <v>#ERROR!</v>
      </c>
      <c r="CZ993" s="672" t="str">
        <f>[2]MPU!CZ178</f>
        <v>#ERROR!</v>
      </c>
      <c r="DA993" s="672" t="str">
        <f>[2]MPU!DA178</f>
        <v>#ERROR!</v>
      </c>
      <c r="DB993" s="672" t="str">
        <f>[2]MPU!DB178</f>
        <v>#ERROR!</v>
      </c>
      <c r="DC993" s="672" t="str">
        <f>[2]MPU!DC178</f>
        <v>#ERROR!</v>
      </c>
      <c r="DD993" s="674" t="str">
        <f>[2]MPU!DD178</f>
        <v>#ERROR!</v>
      </c>
      <c r="DE993" s="672" t="str">
        <f>[2]MPU!DE178</f>
        <v>#ERROR!</v>
      </c>
      <c r="DF993" s="672" t="str">
        <f>[2]MPU!DF178</f>
        <v>#ERROR!</v>
      </c>
      <c r="DG993" s="19" t="str">
        <f>[2]MPU!DG178</f>
        <v>#ERROR!</v>
      </c>
      <c r="DH993" s="672" t="str">
        <f>[2]MPU!DH178</f>
        <v>#ERROR!</v>
      </c>
      <c r="DI993" s="674" t="str">
        <f>[2]MPU!DI178</f>
        <v>#ERROR!</v>
      </c>
      <c r="DJ993" s="675" t="str">
        <f>[2]MPU!DJ178</f>
        <v>#ERROR!</v>
      </c>
      <c r="DK993" s="675" t="str">
        <f>[2]MPU!DK178</f>
        <v>#ERROR!</v>
      </c>
      <c r="DL993" s="675" t="str">
        <f>[2]MPU!DL178</f>
        <v>#ERROR!</v>
      </c>
      <c r="DM993" s="672" t="str">
        <f>[2]MPU!DM178</f>
        <v>#ERROR!</v>
      </c>
      <c r="DN993" s="674" t="str">
        <f>[2]MPU!DN178</f>
        <v>#ERROR!</v>
      </c>
      <c r="DO993" s="672" t="str">
        <f>[2]MPU!DT178</f>
        <v>#ERROR!</v>
      </c>
      <c r="DP993" s="672" t="str">
        <f>[2]MPU!DU178</f>
        <v>#ERROR!</v>
      </c>
      <c r="DQ993" s="672" t="str">
        <f>[2]MPU!DV178</f>
        <v>#ERROR!</v>
      </c>
      <c r="DR993" s="672" t="str">
        <f>[2]MPU!DW178</f>
        <v>#ERROR!</v>
      </c>
      <c r="DS993" s="674" t="str">
        <f>[2]MPU!DX178</f>
        <v>#ERROR!</v>
      </c>
      <c r="DT993" s="672" t="str">
        <f>[2]MPU!DY178</f>
        <v>#ERROR!</v>
      </c>
      <c r="DU993" s="672" t="str">
        <f>[2]MPU!DZ178</f>
        <v>#ERROR!</v>
      </c>
      <c r="DV993" s="672" t="str">
        <f>[2]MPU!EA178</f>
        <v>#ERROR!</v>
      </c>
      <c r="DW993" s="672" t="str">
        <f>[2]MPU!EB178</f>
        <v>#ERROR!</v>
      </c>
      <c r="DX993" s="674" t="str">
        <f>[2]MPU!EC178</f>
        <v>#ERROR!</v>
      </c>
      <c r="DY993" s="672" t="str">
        <f>[2]MPU!ED178</f>
        <v>#ERROR!</v>
      </c>
      <c r="DZ993" s="672" t="str">
        <f>[2]MPU!EE178</f>
        <v>#ERROR!</v>
      </c>
      <c r="EA993" s="672" t="str">
        <f>[2]MPU!EF178</f>
        <v>#ERROR!</v>
      </c>
      <c r="EB993" s="672" t="str">
        <f>[2]MPU!EG178</f>
        <v>#ERROR!</v>
      </c>
      <c r="EC993" s="674" t="str">
        <f>[2]MPU!EH178</f>
        <v>#ERROR!</v>
      </c>
      <c r="ED993" s="672" t="str">
        <f>[2]MPU!EI178</f>
        <v>#ERROR!</v>
      </c>
      <c r="EE993" s="672" t="str">
        <f>[2]MPU!EJ178</f>
        <v>#ERROR!</v>
      </c>
      <c r="EF993" s="672" t="str">
        <f>[2]MPU!#REF!</f>
        <v>#ERROR!</v>
      </c>
      <c r="EG993" s="672" t="str">
        <f>[2]MPU!#REF!</f>
        <v>#ERROR!</v>
      </c>
      <c r="EH993" s="674" t="str">
        <f>[2]MPU!#REF!</f>
        <v>#ERROR!</v>
      </c>
      <c r="EI993" s="676" t="str">
        <f>[2]MPU!#REF!</f>
        <v>#ERROR!</v>
      </c>
      <c r="EJ993" s="672" t="str">
        <f>[2]MPU!#REF!</f>
        <v>#ERROR!</v>
      </c>
      <c r="EK993" s="672" t="str">
        <f>[2]MPU!#REF!</f>
        <v>#ERROR!</v>
      </c>
      <c r="EL993" s="672" t="str">
        <f>[2]MPU!#REF!</f>
        <v>#ERROR!</v>
      </c>
      <c r="EM993" s="674" t="str">
        <f>[2]MPU!#REF!</f>
        <v>#ERROR!</v>
      </c>
      <c r="EN993" s="672" t="str">
        <f>[2]MPU!#REF!</f>
        <v>#ERROR!</v>
      </c>
      <c r="EO993" s="672" t="str">
        <f>[2]MPU!#REF!</f>
        <v>#ERROR!</v>
      </c>
      <c r="EP993" s="672" t="str">
        <f>[2]MPU!#REF!</f>
        <v>#ERROR!</v>
      </c>
      <c r="EQ993" s="672" t="str">
        <f>[2]MPU!#REF!</f>
        <v>#ERROR!</v>
      </c>
      <c r="ER993" s="674" t="str">
        <f>[2]MPU!#REF!</f>
        <v>#ERROR!</v>
      </c>
      <c r="ES993" s="672" t="str">
        <f>[2]MPU!#REF!</f>
        <v>#ERROR!</v>
      </c>
      <c r="ET993" s="672" t="str">
        <f>[2]MPU!#REF!</f>
        <v>#ERROR!</v>
      </c>
      <c r="EU993" s="672" t="str">
        <f>[2]MPU!#REF!</f>
        <v>#ERROR!</v>
      </c>
      <c r="EV993" s="672" t="str">
        <f>[2]MPU!#REF!</f>
        <v>#ERROR!</v>
      </c>
      <c r="EW993" s="674" t="str">
        <f>[2]MPU!#REF!</f>
        <v>#ERROR!</v>
      </c>
      <c r="EX993" s="672" t="str">
        <f>[2]MPU!#REF!</f>
        <v>#ERROR!</v>
      </c>
      <c r="EY993" s="672" t="str">
        <f>[2]MPU!#REF!</f>
        <v>#ERROR!</v>
      </c>
      <c r="EZ993" s="672" t="str">
        <f>[2]MPU!#REF!</f>
        <v>#ERROR!</v>
      </c>
      <c r="FA993" s="672" t="str">
        <f>[2]MPU!#REF!</f>
        <v>#ERROR!</v>
      </c>
      <c r="FB993" s="674" t="str">
        <f>[2]MPU!#REF!</f>
        <v>#ERROR!</v>
      </c>
      <c r="FC993" s="672" t="str">
        <f>[2]MPU!#REF!</f>
        <v>#ERROR!</v>
      </c>
      <c r="FD993" s="672" t="str">
        <f>[2]MPU!#REF!</f>
        <v>#ERROR!</v>
      </c>
      <c r="FE993" s="672" t="str">
        <f>[2]MPU!#REF!</f>
        <v>#ERROR!</v>
      </c>
      <c r="FF993" s="672" t="str">
        <f>[2]MPU!#REF!</f>
        <v>#ERROR!</v>
      </c>
      <c r="FG993" s="674" t="str">
        <f>[2]MPU!#REF!</f>
        <v>#ERROR!</v>
      </c>
      <c r="FH993" s="677"/>
      <c r="FI993" s="672"/>
      <c r="FJ993" s="672"/>
      <c r="FK993" s="673"/>
      <c r="FL993" s="672"/>
    </row>
    <row r="994" ht="12.75" hidden="1" customHeight="1" outlineLevel="1">
      <c r="A994" s="162"/>
      <c r="B994" s="162" t="s">
        <v>345</v>
      </c>
      <c r="C994" s="162"/>
      <c r="D994" s="15"/>
      <c r="E994" s="15"/>
      <c r="F994" s="15"/>
      <c r="G994" s="15"/>
      <c r="H994" s="112"/>
      <c r="I994" s="15"/>
      <c r="J994" s="15" t="str">
        <f t="shared" ref="J994:L994" si="5264">J993/I993-1</f>
        <v>#ERROR!</v>
      </c>
      <c r="K994" s="15" t="str">
        <f t="shared" si="5264"/>
        <v>#ERROR!</v>
      </c>
      <c r="L994" s="15" t="str">
        <f t="shared" si="5264"/>
        <v>#ERROR!</v>
      </c>
      <c r="M994" s="112"/>
      <c r="N994" s="15"/>
      <c r="O994" s="15" t="str">
        <f t="shared" ref="O994:Q994" si="5265">O993/N993-1</f>
        <v>#ERROR!</v>
      </c>
      <c r="P994" s="15" t="str">
        <f t="shared" si="5265"/>
        <v>#ERROR!</v>
      </c>
      <c r="Q994" s="15" t="str">
        <f t="shared" si="5265"/>
        <v>#ERROR!</v>
      </c>
      <c r="R994" s="112"/>
      <c r="S994" s="15"/>
      <c r="T994" s="15" t="str">
        <f t="shared" ref="T994:V994" si="5266">T993/S993-1</f>
        <v>#ERROR!</v>
      </c>
      <c r="U994" s="15" t="str">
        <f t="shared" si="5266"/>
        <v>#ERROR!</v>
      </c>
      <c r="V994" s="15" t="str">
        <f t="shared" si="5266"/>
        <v>#ERROR!</v>
      </c>
      <c r="W994" s="112"/>
      <c r="X994" s="15"/>
      <c r="Y994" s="15" t="str">
        <f t="shared" ref="Y994:AA994" si="5267">Y993/X993-1</f>
        <v>#ERROR!</v>
      </c>
      <c r="Z994" s="15" t="str">
        <f t="shared" si="5267"/>
        <v>#ERROR!</v>
      </c>
      <c r="AA994" s="15" t="str">
        <f t="shared" si="5267"/>
        <v>#ERROR!</v>
      </c>
      <c r="AB994" s="112"/>
      <c r="AC994" s="15" t="str">
        <f>AC993/AA993-1</f>
        <v>#ERROR!</v>
      </c>
      <c r="AD994" s="15" t="str">
        <f t="shared" ref="AD994:AF994" si="5268">AD993/AC993-1</f>
        <v>#ERROR!</v>
      </c>
      <c r="AE994" s="15" t="str">
        <f t="shared" si="5268"/>
        <v>#ERROR!</v>
      </c>
      <c r="AF994" s="15" t="str">
        <f t="shared" si="5268"/>
        <v>#ERROR!</v>
      </c>
      <c r="AG994" s="112"/>
      <c r="AH994" s="15" t="str">
        <f>AH993/AF993-1</f>
        <v>#ERROR!</v>
      </c>
      <c r="AI994" s="15" t="str">
        <f t="shared" ref="AI994:AK994" si="5269">AI993/AH993-1</f>
        <v>#ERROR!</v>
      </c>
      <c r="AJ994" s="15" t="str">
        <f t="shared" si="5269"/>
        <v>#ERROR!</v>
      </c>
      <c r="AK994" s="15" t="str">
        <f t="shared" si="5269"/>
        <v>#ERROR!</v>
      </c>
      <c r="AL994" s="112"/>
      <c r="AM994" s="15" t="str">
        <f>AM993/AK993-1</f>
        <v>#ERROR!</v>
      </c>
      <c r="AN994" s="15" t="str">
        <f t="shared" ref="AN994:AP994" si="5270">AN993/AM993-1</f>
        <v>#ERROR!</v>
      </c>
      <c r="AO994" s="15" t="str">
        <f t="shared" si="5270"/>
        <v>#ERROR!</v>
      </c>
      <c r="AP994" s="15" t="str">
        <f t="shared" si="5270"/>
        <v>#ERROR!</v>
      </c>
      <c r="AQ994" s="112"/>
      <c r="AR994" s="15" t="str">
        <f>AR993/AP993-1</f>
        <v>#ERROR!</v>
      </c>
      <c r="AS994" s="15" t="str">
        <f t="shared" ref="AS994:AU994" si="5271">AS993/AR993-1</f>
        <v>#ERROR!</v>
      </c>
      <c r="AT994" s="15" t="str">
        <f t="shared" si="5271"/>
        <v>#ERROR!</v>
      </c>
      <c r="AU994" s="15" t="str">
        <f t="shared" si="5271"/>
        <v>#ERROR!</v>
      </c>
      <c r="AV994" s="112"/>
      <c r="AW994" s="15" t="str">
        <f>AW993/AU993-1</f>
        <v>#ERROR!</v>
      </c>
      <c r="AX994" s="15" t="str">
        <f t="shared" ref="AX994:AZ994" si="5272">AX993/AW993-1</f>
        <v>#ERROR!</v>
      </c>
      <c r="AY994" s="15" t="str">
        <f t="shared" si="5272"/>
        <v>#ERROR!</v>
      </c>
      <c r="AZ994" s="15" t="str">
        <f t="shared" si="5272"/>
        <v>#ERROR!</v>
      </c>
      <c r="BA994" s="112"/>
      <c r="BB994" s="15" t="str">
        <f>BB993/AZ993-1</f>
        <v>#ERROR!</v>
      </c>
      <c r="BC994" s="15" t="str">
        <f t="shared" ref="BC994:BE994" si="5273">BC993/BB993-1</f>
        <v>#ERROR!</v>
      </c>
      <c r="BD994" s="15" t="str">
        <f t="shared" si="5273"/>
        <v>#ERROR!</v>
      </c>
      <c r="BE994" s="15" t="str">
        <f t="shared" si="5273"/>
        <v>#ERROR!</v>
      </c>
      <c r="BF994" s="112"/>
      <c r="BG994" s="15" t="str">
        <f>BG993/BE993-1</f>
        <v>#ERROR!</v>
      </c>
      <c r="BH994" s="15" t="str">
        <f t="shared" ref="BH994:BJ994" si="5274">BH993/BG993-1</f>
        <v>#ERROR!</v>
      </c>
      <c r="BI994" s="15" t="str">
        <f t="shared" si="5274"/>
        <v>#ERROR!</v>
      </c>
      <c r="BJ994" s="15" t="str">
        <f t="shared" si="5274"/>
        <v>#ERROR!</v>
      </c>
      <c r="BK994" s="112"/>
      <c r="BL994" s="15" t="str">
        <f>BL993/BJ993-1</f>
        <v>#ERROR!</v>
      </c>
      <c r="BM994" s="15" t="str">
        <f t="shared" ref="BM994:BO994" si="5275">BM993/BL993-1</f>
        <v>#ERROR!</v>
      </c>
      <c r="BN994" s="15" t="str">
        <f t="shared" si="5275"/>
        <v>#ERROR!</v>
      </c>
      <c r="BO994" s="15" t="str">
        <f t="shared" si="5275"/>
        <v>#ERROR!</v>
      </c>
      <c r="BP994" s="112"/>
      <c r="BQ994" s="15" t="str">
        <f>BQ993/BO993-1</f>
        <v>#ERROR!</v>
      </c>
      <c r="BR994" s="15" t="str">
        <f t="shared" ref="BR994:BT994" si="5276">BR993/BQ993-1</f>
        <v>#ERROR!</v>
      </c>
      <c r="BS994" s="15" t="str">
        <f t="shared" si="5276"/>
        <v>#ERROR!</v>
      </c>
      <c r="BT994" s="15" t="str">
        <f t="shared" si="5276"/>
        <v>#ERROR!</v>
      </c>
      <c r="BU994" s="112"/>
      <c r="BV994" s="15" t="str">
        <f>BV993/BT993-1</f>
        <v>#ERROR!</v>
      </c>
      <c r="BW994" s="15" t="str">
        <f t="shared" ref="BW994:BY994" si="5277">BW993/BV993-1</f>
        <v>#ERROR!</v>
      </c>
      <c r="BX994" s="15" t="str">
        <f t="shared" si="5277"/>
        <v>#ERROR!</v>
      </c>
      <c r="BY994" s="15" t="str">
        <f t="shared" si="5277"/>
        <v>#ERROR!</v>
      </c>
      <c r="BZ994" s="80"/>
      <c r="CA994" s="15" t="str">
        <f>CA993/BY993-1</f>
        <v>#ERROR!</v>
      </c>
      <c r="CB994" s="15" t="str">
        <f t="shared" ref="CB994:CD994" si="5278">CB993/CA993-1</f>
        <v>#ERROR!</v>
      </c>
      <c r="CC994" s="15" t="str">
        <f t="shared" si="5278"/>
        <v>#ERROR!</v>
      </c>
      <c r="CD994" s="15" t="str">
        <f t="shared" si="5278"/>
        <v>#ERROR!</v>
      </c>
      <c r="CE994" s="80"/>
      <c r="CF994" s="15" t="str">
        <f>CF993/CD993-1</f>
        <v>#ERROR!</v>
      </c>
      <c r="CG994" s="15" t="str">
        <f t="shared" ref="CG994:CI994" si="5279">CG993/CF993-1</f>
        <v>#ERROR!</v>
      </c>
      <c r="CH994" s="15" t="str">
        <f t="shared" si="5279"/>
        <v>#ERROR!</v>
      </c>
      <c r="CI994" s="15" t="str">
        <f t="shared" si="5279"/>
        <v>#ERROR!</v>
      </c>
      <c r="CJ994" s="80"/>
      <c r="CK994" s="15" t="str">
        <f>CK993/CI993-1</f>
        <v>#ERROR!</v>
      </c>
      <c r="CL994" s="15" t="str">
        <f t="shared" ref="CL994:CN994" si="5280">CL993/CK993-1</f>
        <v>#ERROR!</v>
      </c>
      <c r="CM994" s="15" t="str">
        <f t="shared" si="5280"/>
        <v>#ERROR!</v>
      </c>
      <c r="CN994" s="40" t="str">
        <f t="shared" si="5280"/>
        <v>#ERROR!</v>
      </c>
      <c r="CO994" s="80"/>
      <c r="CP994" s="40" t="str">
        <f>CP993/CN993-1</f>
        <v>#ERROR!</v>
      </c>
      <c r="CQ994" s="15" t="str">
        <f t="shared" ref="CQ994:CS994" si="5281">CQ993/CP993-1</f>
        <v>#ERROR!</v>
      </c>
      <c r="CR994" s="15" t="str">
        <f t="shared" si="5281"/>
        <v>#ERROR!</v>
      </c>
      <c r="CS994" s="15" t="str">
        <f t="shared" si="5281"/>
        <v>#ERROR!</v>
      </c>
      <c r="CT994" s="80"/>
      <c r="CU994" s="15" t="str">
        <f>CU993/CS993-1</f>
        <v>#ERROR!</v>
      </c>
      <c r="CV994" s="15" t="str">
        <f t="shared" ref="CV994:CX994" si="5282">CV993/CU993-1</f>
        <v>#ERROR!</v>
      </c>
      <c r="CW994" s="15" t="str">
        <f t="shared" si="5282"/>
        <v>#ERROR!</v>
      </c>
      <c r="CX994" s="15" t="str">
        <f t="shared" si="5282"/>
        <v>#ERROR!</v>
      </c>
      <c r="CY994" s="80"/>
      <c r="CZ994" s="15" t="str">
        <f>CZ993/CX993-1</f>
        <v>#ERROR!</v>
      </c>
      <c r="DA994" s="15" t="str">
        <f t="shared" ref="DA994:DC994" si="5283">DA993/CZ993-1</f>
        <v>#ERROR!</v>
      </c>
      <c r="DB994" s="15" t="str">
        <f t="shared" si="5283"/>
        <v>#ERROR!</v>
      </c>
      <c r="DC994" s="15" t="str">
        <f t="shared" si="5283"/>
        <v>#ERROR!</v>
      </c>
      <c r="DD994" s="80"/>
      <c r="DE994" s="15" t="str">
        <f>DE993/DC993-1</f>
        <v>#ERROR!</v>
      </c>
      <c r="DF994" s="15" t="str">
        <f t="shared" ref="DF994:DH994" si="5284">DF993/DE993-1</f>
        <v>#ERROR!</v>
      </c>
      <c r="DG994" s="40" t="str">
        <f t="shared" si="5284"/>
        <v>#ERROR!</v>
      </c>
      <c r="DH994" s="15" t="str">
        <f t="shared" si="5284"/>
        <v>#ERROR!</v>
      </c>
      <c r="DI994" s="80"/>
      <c r="DJ994" s="40" t="str">
        <f>DJ993/DH993-1</f>
        <v>#ERROR!</v>
      </c>
      <c r="DK994" s="40" t="str">
        <f t="shared" ref="DK994:DM994" si="5285">DK993/DJ993-1</f>
        <v>#ERROR!</v>
      </c>
      <c r="DL994" s="40" t="str">
        <f t="shared" si="5285"/>
        <v>#ERROR!</v>
      </c>
      <c r="DM994" s="15" t="str">
        <f t="shared" si="5285"/>
        <v>#ERROR!</v>
      </c>
      <c r="DN994" s="80"/>
      <c r="DO994" s="15" t="str">
        <f>DO993/DM993-1</f>
        <v>#ERROR!</v>
      </c>
      <c r="DP994" s="15" t="str">
        <f t="shared" ref="DP994:DR994" si="5286">DP993/DO993-1</f>
        <v>#ERROR!</v>
      </c>
      <c r="DQ994" s="15" t="str">
        <f t="shared" si="5286"/>
        <v>#ERROR!</v>
      </c>
      <c r="DR994" s="15" t="str">
        <f t="shared" si="5286"/>
        <v>#ERROR!</v>
      </c>
      <c r="DS994" s="80"/>
      <c r="DT994" s="15" t="str">
        <f>DT993/DR993-1</f>
        <v>#ERROR!</v>
      </c>
      <c r="DU994" s="15" t="str">
        <f t="shared" ref="DU994:DW994" si="5287">DU993/DT993-1</f>
        <v>#ERROR!</v>
      </c>
      <c r="DV994" s="15" t="str">
        <f t="shared" si="5287"/>
        <v>#ERROR!</v>
      </c>
      <c r="DW994" s="15" t="str">
        <f t="shared" si="5287"/>
        <v>#ERROR!</v>
      </c>
      <c r="DX994" s="80"/>
      <c r="DY994" s="15" t="str">
        <f>DY993/DW993-1</f>
        <v>#ERROR!</v>
      </c>
      <c r="DZ994" s="15" t="str">
        <f t="shared" ref="DZ994:EB994" si="5288">DZ993/DY993-1</f>
        <v>#ERROR!</v>
      </c>
      <c r="EA994" s="15" t="str">
        <f t="shared" si="5288"/>
        <v>#ERROR!</v>
      </c>
      <c r="EB994" s="15" t="str">
        <f t="shared" si="5288"/>
        <v>#ERROR!</v>
      </c>
      <c r="EC994" s="80"/>
      <c r="ED994" s="15" t="str">
        <f>ED993/EB993-1</f>
        <v>#ERROR!</v>
      </c>
      <c r="EE994" s="15" t="str">
        <f t="shared" ref="EE994:EG994" si="5289">EE993/ED993-1</f>
        <v>#ERROR!</v>
      </c>
      <c r="EF994" s="15" t="str">
        <f t="shared" si="5289"/>
        <v>#ERROR!</v>
      </c>
      <c r="EG994" s="15" t="str">
        <f t="shared" si="5289"/>
        <v>#ERROR!</v>
      </c>
      <c r="EH994" s="80"/>
      <c r="EI994" s="82" t="str">
        <f>EI993/EG993-1</f>
        <v>#ERROR!</v>
      </c>
      <c r="EJ994" s="15" t="str">
        <f t="shared" ref="EJ994:EL994" si="5290">EJ993/EI993-1</f>
        <v>#ERROR!</v>
      </c>
      <c r="EK994" s="15" t="str">
        <f t="shared" si="5290"/>
        <v>#ERROR!</v>
      </c>
      <c r="EL994" s="15" t="str">
        <f t="shared" si="5290"/>
        <v>#ERROR!</v>
      </c>
      <c r="EM994" s="80"/>
      <c r="EN994" s="15" t="str">
        <f>EN993/EL993-1</f>
        <v>#ERROR!</v>
      </c>
      <c r="EO994" s="15" t="str">
        <f t="shared" ref="EO994:EQ994" si="5291">EO993/EN993-1</f>
        <v>#ERROR!</v>
      </c>
      <c r="EP994" s="15" t="str">
        <f t="shared" si="5291"/>
        <v>#ERROR!</v>
      </c>
      <c r="EQ994" s="15" t="str">
        <f t="shared" si="5291"/>
        <v>#ERROR!</v>
      </c>
      <c r="ER994" s="80"/>
      <c r="ES994" s="15" t="str">
        <f>ES993/EQ993-1</f>
        <v>#ERROR!</v>
      </c>
      <c r="ET994" s="15" t="str">
        <f t="shared" ref="ET994:EV994" si="5292">ET993/ES993-1</f>
        <v>#ERROR!</v>
      </c>
      <c r="EU994" s="15" t="str">
        <f t="shared" si="5292"/>
        <v>#ERROR!</v>
      </c>
      <c r="EV994" s="15" t="str">
        <f t="shared" si="5292"/>
        <v>#ERROR!</v>
      </c>
      <c r="EW994" s="80"/>
      <c r="EX994" s="15" t="str">
        <f>EX993/EV993-1</f>
        <v>#ERROR!</v>
      </c>
      <c r="EY994" s="15" t="str">
        <f t="shared" ref="EY994:FA994" si="5293">EY993/EX993-1</f>
        <v>#ERROR!</v>
      </c>
      <c r="EZ994" s="15" t="str">
        <f t="shared" si="5293"/>
        <v>#ERROR!</v>
      </c>
      <c r="FA994" s="15" t="str">
        <f t="shared" si="5293"/>
        <v>#ERROR!</v>
      </c>
      <c r="FB994" s="80"/>
      <c r="FC994" s="15" t="str">
        <f>FC993/FA993-1</f>
        <v>#ERROR!</v>
      </c>
      <c r="FD994" s="15" t="str">
        <f t="shared" ref="FD994:FF994" si="5294">FD993/FC993-1</f>
        <v>#ERROR!</v>
      </c>
      <c r="FE994" s="15" t="str">
        <f t="shared" si="5294"/>
        <v>#ERROR!</v>
      </c>
      <c r="FF994" s="15" t="str">
        <f t="shared" si="5294"/>
        <v>#ERROR!</v>
      </c>
      <c r="FG994" s="80"/>
      <c r="FH994" s="146"/>
      <c r="FI994" s="15"/>
      <c r="FJ994" s="15"/>
      <c r="FK994" s="112"/>
      <c r="FL994" s="15"/>
    </row>
    <row r="995" ht="12.75" hidden="1" customHeight="1" outlineLevel="1">
      <c r="A995" s="162"/>
      <c r="B995" s="696" t="s">
        <v>346</v>
      </c>
      <c r="C995" s="696"/>
      <c r="D995" s="413"/>
      <c r="E995" s="413"/>
      <c r="F995" s="413"/>
      <c r="G995" s="413"/>
      <c r="H995" s="679"/>
      <c r="I995" s="413"/>
      <c r="J995" s="413"/>
      <c r="K995" s="413"/>
      <c r="L995" s="413"/>
      <c r="M995" s="679"/>
      <c r="N995" s="413"/>
      <c r="O995" s="413"/>
      <c r="P995" s="413"/>
      <c r="Q995" s="413"/>
      <c r="R995" s="679"/>
      <c r="S995" s="413"/>
      <c r="T995" s="413"/>
      <c r="U995" s="413"/>
      <c r="V995" s="413"/>
      <c r="W995" s="679"/>
      <c r="X995" s="413"/>
      <c r="Y995" s="413"/>
      <c r="Z995" s="413"/>
      <c r="AA995" s="413"/>
      <c r="AB995" s="679"/>
      <c r="AC995" s="413" t="str">
        <f t="shared" ref="AC995:FG995" si="5295">AC993/X993-1</f>
        <v>#ERROR!</v>
      </c>
      <c r="AD995" s="413" t="str">
        <f t="shared" si="5295"/>
        <v>#ERROR!</v>
      </c>
      <c r="AE995" s="413" t="str">
        <f t="shared" si="5295"/>
        <v>#ERROR!</v>
      </c>
      <c r="AF995" s="413" t="str">
        <f t="shared" si="5295"/>
        <v>#ERROR!</v>
      </c>
      <c r="AG995" s="679" t="str">
        <f t="shared" si="5295"/>
        <v>#ERROR!</v>
      </c>
      <c r="AH995" s="413" t="str">
        <f t="shared" si="5295"/>
        <v>#ERROR!</v>
      </c>
      <c r="AI995" s="413" t="str">
        <f t="shared" si="5295"/>
        <v>#ERROR!</v>
      </c>
      <c r="AJ995" s="413" t="str">
        <f t="shared" si="5295"/>
        <v>#ERROR!</v>
      </c>
      <c r="AK995" s="413" t="str">
        <f t="shared" si="5295"/>
        <v>#ERROR!</v>
      </c>
      <c r="AL995" s="679" t="str">
        <f t="shared" si="5295"/>
        <v>#ERROR!</v>
      </c>
      <c r="AM995" s="413" t="str">
        <f t="shared" si="5295"/>
        <v>#ERROR!</v>
      </c>
      <c r="AN995" s="413" t="str">
        <f t="shared" si="5295"/>
        <v>#ERROR!</v>
      </c>
      <c r="AO995" s="413" t="str">
        <f t="shared" si="5295"/>
        <v>#ERROR!</v>
      </c>
      <c r="AP995" s="413" t="str">
        <f t="shared" si="5295"/>
        <v>#ERROR!</v>
      </c>
      <c r="AQ995" s="679" t="str">
        <f t="shared" si="5295"/>
        <v>#ERROR!</v>
      </c>
      <c r="AR995" s="413" t="str">
        <f t="shared" si="5295"/>
        <v>#ERROR!</v>
      </c>
      <c r="AS995" s="413" t="str">
        <f t="shared" si="5295"/>
        <v>#ERROR!</v>
      </c>
      <c r="AT995" s="413" t="str">
        <f t="shared" si="5295"/>
        <v>#ERROR!</v>
      </c>
      <c r="AU995" s="413" t="str">
        <f t="shared" si="5295"/>
        <v>#ERROR!</v>
      </c>
      <c r="AV995" s="679" t="str">
        <f t="shared" si="5295"/>
        <v>#ERROR!</v>
      </c>
      <c r="AW995" s="413" t="str">
        <f t="shared" si="5295"/>
        <v>#ERROR!</v>
      </c>
      <c r="AX995" s="413" t="str">
        <f t="shared" si="5295"/>
        <v>#ERROR!</v>
      </c>
      <c r="AY995" s="413" t="str">
        <f t="shared" si="5295"/>
        <v>#ERROR!</v>
      </c>
      <c r="AZ995" s="413" t="str">
        <f t="shared" si="5295"/>
        <v>#ERROR!</v>
      </c>
      <c r="BA995" s="679" t="str">
        <f t="shared" si="5295"/>
        <v>#ERROR!</v>
      </c>
      <c r="BB995" s="413" t="str">
        <f t="shared" si="5295"/>
        <v>#ERROR!</v>
      </c>
      <c r="BC995" s="413" t="str">
        <f t="shared" si="5295"/>
        <v>#ERROR!</v>
      </c>
      <c r="BD995" s="413" t="str">
        <f t="shared" si="5295"/>
        <v>#ERROR!</v>
      </c>
      <c r="BE995" s="413" t="str">
        <f t="shared" si="5295"/>
        <v>#ERROR!</v>
      </c>
      <c r="BF995" s="679" t="str">
        <f t="shared" si="5295"/>
        <v>#ERROR!</v>
      </c>
      <c r="BG995" s="413" t="str">
        <f t="shared" si="5295"/>
        <v>#ERROR!</v>
      </c>
      <c r="BH995" s="413" t="str">
        <f t="shared" si="5295"/>
        <v>#ERROR!</v>
      </c>
      <c r="BI995" s="413" t="str">
        <f t="shared" si="5295"/>
        <v>#ERROR!</v>
      </c>
      <c r="BJ995" s="413" t="str">
        <f t="shared" si="5295"/>
        <v>#ERROR!</v>
      </c>
      <c r="BK995" s="679" t="str">
        <f t="shared" si="5295"/>
        <v>#ERROR!</v>
      </c>
      <c r="BL995" s="413" t="str">
        <f t="shared" si="5295"/>
        <v>#ERROR!</v>
      </c>
      <c r="BM995" s="413" t="str">
        <f t="shared" si="5295"/>
        <v>#ERROR!</v>
      </c>
      <c r="BN995" s="413" t="str">
        <f t="shared" si="5295"/>
        <v>#ERROR!</v>
      </c>
      <c r="BO995" s="413" t="str">
        <f t="shared" si="5295"/>
        <v>#ERROR!</v>
      </c>
      <c r="BP995" s="679" t="str">
        <f t="shared" si="5295"/>
        <v>#ERROR!</v>
      </c>
      <c r="BQ995" s="413" t="str">
        <f t="shared" si="5295"/>
        <v>#ERROR!</v>
      </c>
      <c r="BR995" s="413" t="str">
        <f t="shared" si="5295"/>
        <v>#ERROR!</v>
      </c>
      <c r="BS995" s="413" t="str">
        <f t="shared" si="5295"/>
        <v>#ERROR!</v>
      </c>
      <c r="BT995" s="413" t="str">
        <f t="shared" si="5295"/>
        <v>#ERROR!</v>
      </c>
      <c r="BU995" s="679" t="str">
        <f t="shared" si="5295"/>
        <v>#ERROR!</v>
      </c>
      <c r="BV995" s="413" t="str">
        <f t="shared" si="5295"/>
        <v>#ERROR!</v>
      </c>
      <c r="BW995" s="413" t="str">
        <f t="shared" si="5295"/>
        <v>#ERROR!</v>
      </c>
      <c r="BX995" s="413" t="str">
        <f t="shared" si="5295"/>
        <v>#ERROR!</v>
      </c>
      <c r="BY995" s="413" t="str">
        <f t="shared" si="5295"/>
        <v>#ERROR!</v>
      </c>
      <c r="BZ995" s="305" t="str">
        <f t="shared" si="5295"/>
        <v>#ERROR!</v>
      </c>
      <c r="CA995" s="413" t="str">
        <f t="shared" si="5295"/>
        <v>#ERROR!</v>
      </c>
      <c r="CB995" s="413" t="str">
        <f t="shared" si="5295"/>
        <v>#ERROR!</v>
      </c>
      <c r="CC995" s="413" t="str">
        <f t="shared" si="5295"/>
        <v>#ERROR!</v>
      </c>
      <c r="CD995" s="413" t="str">
        <f t="shared" si="5295"/>
        <v>#ERROR!</v>
      </c>
      <c r="CE995" s="305" t="str">
        <f t="shared" si="5295"/>
        <v>#ERROR!</v>
      </c>
      <c r="CF995" s="413" t="str">
        <f t="shared" si="5295"/>
        <v>#ERROR!</v>
      </c>
      <c r="CG995" s="413" t="str">
        <f t="shared" si="5295"/>
        <v>#ERROR!</v>
      </c>
      <c r="CH995" s="413" t="str">
        <f t="shared" si="5295"/>
        <v>#ERROR!</v>
      </c>
      <c r="CI995" s="413" t="str">
        <f t="shared" si="5295"/>
        <v>#ERROR!</v>
      </c>
      <c r="CJ995" s="305" t="str">
        <f t="shared" si="5295"/>
        <v>#ERROR!</v>
      </c>
      <c r="CK995" s="413" t="str">
        <f t="shared" si="5295"/>
        <v>#ERROR!</v>
      </c>
      <c r="CL995" s="413" t="str">
        <f t="shared" si="5295"/>
        <v>#ERROR!</v>
      </c>
      <c r="CM995" s="413" t="str">
        <f t="shared" si="5295"/>
        <v>#ERROR!</v>
      </c>
      <c r="CN995" s="416" t="str">
        <f t="shared" si="5295"/>
        <v>#ERROR!</v>
      </c>
      <c r="CO995" s="305" t="str">
        <f t="shared" si="5295"/>
        <v>#ERROR!</v>
      </c>
      <c r="CP995" s="416" t="str">
        <f t="shared" si="5295"/>
        <v>#ERROR!</v>
      </c>
      <c r="CQ995" s="413" t="str">
        <f t="shared" si="5295"/>
        <v>#ERROR!</v>
      </c>
      <c r="CR995" s="413" t="str">
        <f t="shared" si="5295"/>
        <v>#ERROR!</v>
      </c>
      <c r="CS995" s="413" t="str">
        <f t="shared" si="5295"/>
        <v>#ERROR!</v>
      </c>
      <c r="CT995" s="305" t="str">
        <f t="shared" si="5295"/>
        <v>#ERROR!</v>
      </c>
      <c r="CU995" s="413" t="str">
        <f t="shared" si="5295"/>
        <v>#ERROR!</v>
      </c>
      <c r="CV995" s="413" t="str">
        <f t="shared" si="5295"/>
        <v>#ERROR!</v>
      </c>
      <c r="CW995" s="413" t="str">
        <f t="shared" si="5295"/>
        <v>#ERROR!</v>
      </c>
      <c r="CX995" s="413" t="str">
        <f t="shared" si="5295"/>
        <v>#ERROR!</v>
      </c>
      <c r="CY995" s="305" t="str">
        <f t="shared" si="5295"/>
        <v>#ERROR!</v>
      </c>
      <c r="CZ995" s="413" t="str">
        <f t="shared" si="5295"/>
        <v>#ERROR!</v>
      </c>
      <c r="DA995" s="413" t="str">
        <f t="shared" si="5295"/>
        <v>#ERROR!</v>
      </c>
      <c r="DB995" s="413" t="str">
        <f t="shared" si="5295"/>
        <v>#ERROR!</v>
      </c>
      <c r="DC995" s="413" t="str">
        <f t="shared" si="5295"/>
        <v>#ERROR!</v>
      </c>
      <c r="DD995" s="305" t="str">
        <f t="shared" si="5295"/>
        <v>#ERROR!</v>
      </c>
      <c r="DE995" s="413" t="str">
        <f t="shared" si="5295"/>
        <v>#ERROR!</v>
      </c>
      <c r="DF995" s="413" t="str">
        <f t="shared" si="5295"/>
        <v>#ERROR!</v>
      </c>
      <c r="DG995" s="40" t="str">
        <f t="shared" si="5295"/>
        <v>#ERROR!</v>
      </c>
      <c r="DH995" s="413" t="str">
        <f t="shared" si="5295"/>
        <v>#ERROR!</v>
      </c>
      <c r="DI995" s="305" t="str">
        <f t="shared" si="5295"/>
        <v>#ERROR!</v>
      </c>
      <c r="DJ995" s="416" t="str">
        <f t="shared" si="5295"/>
        <v>#ERROR!</v>
      </c>
      <c r="DK995" s="416" t="str">
        <f t="shared" si="5295"/>
        <v>#ERROR!</v>
      </c>
      <c r="DL995" s="416" t="str">
        <f t="shared" si="5295"/>
        <v>#ERROR!</v>
      </c>
      <c r="DM995" s="413" t="str">
        <f t="shared" si="5295"/>
        <v>#ERROR!</v>
      </c>
      <c r="DN995" s="305" t="str">
        <f t="shared" si="5295"/>
        <v>#ERROR!</v>
      </c>
      <c r="DO995" s="413" t="str">
        <f t="shared" si="5295"/>
        <v>#ERROR!</v>
      </c>
      <c r="DP995" s="413" t="str">
        <f t="shared" si="5295"/>
        <v>#ERROR!</v>
      </c>
      <c r="DQ995" s="413" t="str">
        <f t="shared" si="5295"/>
        <v>#ERROR!</v>
      </c>
      <c r="DR995" s="413" t="str">
        <f t="shared" si="5295"/>
        <v>#ERROR!</v>
      </c>
      <c r="DS995" s="305" t="str">
        <f t="shared" si="5295"/>
        <v>#ERROR!</v>
      </c>
      <c r="DT995" s="413" t="str">
        <f t="shared" si="5295"/>
        <v>#ERROR!</v>
      </c>
      <c r="DU995" s="413" t="str">
        <f t="shared" si="5295"/>
        <v>#ERROR!</v>
      </c>
      <c r="DV995" s="413" t="str">
        <f t="shared" si="5295"/>
        <v>#ERROR!</v>
      </c>
      <c r="DW995" s="413" t="str">
        <f t="shared" si="5295"/>
        <v>#ERROR!</v>
      </c>
      <c r="DX995" s="305" t="str">
        <f t="shared" si="5295"/>
        <v>#ERROR!</v>
      </c>
      <c r="DY995" s="413" t="str">
        <f t="shared" si="5295"/>
        <v>#ERROR!</v>
      </c>
      <c r="DZ995" s="413" t="str">
        <f t="shared" si="5295"/>
        <v>#ERROR!</v>
      </c>
      <c r="EA995" s="413" t="str">
        <f t="shared" si="5295"/>
        <v>#ERROR!</v>
      </c>
      <c r="EB995" s="413" t="str">
        <f t="shared" si="5295"/>
        <v>#ERROR!</v>
      </c>
      <c r="EC995" s="305" t="str">
        <f t="shared" si="5295"/>
        <v>#ERROR!</v>
      </c>
      <c r="ED995" s="413" t="str">
        <f t="shared" si="5295"/>
        <v>#ERROR!</v>
      </c>
      <c r="EE995" s="413" t="str">
        <f t="shared" si="5295"/>
        <v>#ERROR!</v>
      </c>
      <c r="EF995" s="413" t="str">
        <f t="shared" si="5295"/>
        <v>#ERROR!</v>
      </c>
      <c r="EG995" s="413" t="str">
        <f t="shared" si="5295"/>
        <v>#ERROR!</v>
      </c>
      <c r="EH995" s="305" t="str">
        <f t="shared" si="5295"/>
        <v>#ERROR!</v>
      </c>
      <c r="EI995" s="420" t="str">
        <f t="shared" si="5295"/>
        <v>#ERROR!</v>
      </c>
      <c r="EJ995" s="413" t="str">
        <f t="shared" si="5295"/>
        <v>#ERROR!</v>
      </c>
      <c r="EK995" s="413" t="str">
        <f t="shared" si="5295"/>
        <v>#ERROR!</v>
      </c>
      <c r="EL995" s="413" t="str">
        <f t="shared" si="5295"/>
        <v>#ERROR!</v>
      </c>
      <c r="EM995" s="305" t="str">
        <f t="shared" si="5295"/>
        <v>#ERROR!</v>
      </c>
      <c r="EN995" s="413" t="str">
        <f t="shared" si="5295"/>
        <v>#ERROR!</v>
      </c>
      <c r="EO995" s="413" t="str">
        <f t="shared" si="5295"/>
        <v>#ERROR!</v>
      </c>
      <c r="EP995" s="413" t="str">
        <f t="shared" si="5295"/>
        <v>#ERROR!</v>
      </c>
      <c r="EQ995" s="413" t="str">
        <f t="shared" si="5295"/>
        <v>#ERROR!</v>
      </c>
      <c r="ER995" s="305" t="str">
        <f t="shared" si="5295"/>
        <v>#ERROR!</v>
      </c>
      <c r="ES995" s="413" t="str">
        <f t="shared" si="5295"/>
        <v>#ERROR!</v>
      </c>
      <c r="ET995" s="413" t="str">
        <f t="shared" si="5295"/>
        <v>#ERROR!</v>
      </c>
      <c r="EU995" s="413" t="str">
        <f t="shared" si="5295"/>
        <v>#ERROR!</v>
      </c>
      <c r="EV995" s="413" t="str">
        <f t="shared" si="5295"/>
        <v>#ERROR!</v>
      </c>
      <c r="EW995" s="305" t="str">
        <f t="shared" si="5295"/>
        <v>#ERROR!</v>
      </c>
      <c r="EX995" s="413" t="str">
        <f t="shared" si="5295"/>
        <v>#ERROR!</v>
      </c>
      <c r="EY995" s="413" t="str">
        <f t="shared" si="5295"/>
        <v>#ERROR!</v>
      </c>
      <c r="EZ995" s="413" t="str">
        <f t="shared" si="5295"/>
        <v>#ERROR!</v>
      </c>
      <c r="FA995" s="413" t="str">
        <f t="shared" si="5295"/>
        <v>#ERROR!</v>
      </c>
      <c r="FB995" s="305" t="str">
        <f t="shared" si="5295"/>
        <v>#ERROR!</v>
      </c>
      <c r="FC995" s="413" t="str">
        <f t="shared" si="5295"/>
        <v>#ERROR!</v>
      </c>
      <c r="FD995" s="413" t="str">
        <f t="shared" si="5295"/>
        <v>#ERROR!</v>
      </c>
      <c r="FE995" s="413" t="str">
        <f t="shared" si="5295"/>
        <v>#ERROR!</v>
      </c>
      <c r="FF995" s="413" t="str">
        <f t="shared" si="5295"/>
        <v>#ERROR!</v>
      </c>
      <c r="FG995" s="305" t="str">
        <f t="shared" si="5295"/>
        <v>#ERROR!</v>
      </c>
      <c r="FH995" s="680"/>
      <c r="FI995" s="413"/>
      <c r="FJ995" s="413"/>
      <c r="FK995" s="679"/>
      <c r="FL995" s="413"/>
    </row>
    <row r="996" ht="12.75" hidden="1" customHeight="1" outlineLevel="1">
      <c r="A996" s="162"/>
      <c r="B996" s="162"/>
      <c r="C996" s="162"/>
      <c r="D996" s="377"/>
      <c r="E996" s="377"/>
      <c r="F996" s="377"/>
      <c r="G996" s="377"/>
      <c r="H996" s="377"/>
      <c r="I996" s="377"/>
      <c r="J996" s="377"/>
      <c r="K996" s="377"/>
      <c r="L996" s="377"/>
      <c r="M996" s="377"/>
      <c r="N996" s="377"/>
      <c r="O996" s="377"/>
      <c r="P996" s="377"/>
      <c r="Q996" s="377"/>
      <c r="R996" s="377"/>
      <c r="S996" s="377"/>
      <c r="T996" s="377"/>
      <c r="U996" s="377"/>
      <c r="V996" s="377"/>
      <c r="W996" s="377"/>
      <c r="X996" s="377"/>
      <c r="Y996" s="377"/>
      <c r="Z996" s="377"/>
      <c r="AA996" s="377"/>
      <c r="AB996" s="377"/>
      <c r="AC996" s="377"/>
      <c r="AD996" s="377"/>
      <c r="AE996" s="377"/>
      <c r="AF996" s="377"/>
      <c r="AG996" s="377"/>
      <c r="AH996" s="377"/>
      <c r="AI996" s="377"/>
      <c r="AJ996" s="377"/>
      <c r="AK996" s="377"/>
      <c r="AL996" s="377"/>
      <c r="AM996" s="377"/>
      <c r="AN996" s="377"/>
      <c r="AO996" s="377"/>
      <c r="AP996" s="377"/>
      <c r="AQ996" s="377"/>
      <c r="AR996" s="377"/>
      <c r="AS996" s="377"/>
      <c r="AT996" s="377"/>
      <c r="AU996" s="377"/>
      <c r="AV996" s="377"/>
      <c r="AW996" s="377"/>
      <c r="AX996" s="377"/>
      <c r="AY996" s="377"/>
      <c r="AZ996" s="377"/>
      <c r="BA996" s="377"/>
      <c r="BB996" s="377"/>
      <c r="BC996" s="377"/>
      <c r="BD996" s="377"/>
      <c r="BE996" s="377"/>
      <c r="BF996" s="377"/>
      <c r="BG996" s="377"/>
      <c r="BH996" s="377"/>
      <c r="BI996" s="377"/>
      <c r="BJ996" s="377"/>
      <c r="BK996" s="377"/>
      <c r="BL996" s="377"/>
      <c r="BM996" s="377"/>
      <c r="BN996" s="377"/>
      <c r="BO996" s="377"/>
      <c r="BP996" s="377"/>
      <c r="BQ996" s="377"/>
      <c r="BR996" s="377"/>
      <c r="BS996" s="377"/>
      <c r="BT996" s="377"/>
      <c r="BU996" s="377"/>
      <c r="BV996" s="377"/>
      <c r="BW996" s="377"/>
      <c r="BX996" s="377"/>
      <c r="BY996" s="377"/>
      <c r="BZ996" s="719"/>
      <c r="CA996" s="377"/>
      <c r="CB996" s="377"/>
      <c r="CC996" s="377"/>
      <c r="CD996" s="377"/>
      <c r="CE996" s="719"/>
      <c r="CF996" s="377"/>
      <c r="CG996" s="377"/>
      <c r="CH996" s="377"/>
      <c r="CI996" s="377"/>
      <c r="CJ996" s="719"/>
      <c r="CK996" s="377"/>
      <c r="CL996" s="377"/>
      <c r="CM996" s="377"/>
      <c r="CN996" s="440"/>
      <c r="CO996" s="719"/>
      <c r="CP996" s="440"/>
      <c r="CQ996" s="377"/>
      <c r="CR996" s="377"/>
      <c r="CS996" s="377"/>
      <c r="CT996" s="719"/>
      <c r="CU996" s="377"/>
      <c r="CV996" s="377"/>
      <c r="CW996" s="377"/>
      <c r="CX996" s="377"/>
      <c r="CY996" s="719"/>
      <c r="CZ996" s="377"/>
      <c r="DA996" s="377"/>
      <c r="DB996" s="377"/>
      <c r="DC996" s="377"/>
      <c r="DD996" s="719"/>
      <c r="DE996" s="377"/>
      <c r="DF996" s="377"/>
      <c r="DG996" s="440"/>
      <c r="DH996" s="377"/>
      <c r="DI996" s="719"/>
      <c r="DJ996" s="440"/>
      <c r="DK996" s="440"/>
      <c r="DL996" s="440"/>
      <c r="DM996" s="377"/>
      <c r="DN996" s="719"/>
      <c r="DO996" s="377"/>
      <c r="DP996" s="377"/>
      <c r="DQ996" s="377"/>
      <c r="DR996" s="377"/>
      <c r="DS996" s="719"/>
      <c r="DT996" s="377"/>
      <c r="DU996" s="377"/>
      <c r="DV996" s="377"/>
      <c r="DW996" s="377"/>
      <c r="DX996" s="719"/>
      <c r="DY996" s="377"/>
      <c r="DZ996" s="377"/>
      <c r="EA996" s="377"/>
      <c r="EB996" s="377"/>
      <c r="EC996" s="719"/>
      <c r="ED996" s="377"/>
      <c r="EE996" s="377"/>
      <c r="EF996" s="377"/>
      <c r="EG996" s="377"/>
      <c r="EH996" s="719"/>
      <c r="EI996" s="442"/>
      <c r="EJ996" s="377"/>
      <c r="EK996" s="377"/>
      <c r="EL996" s="377"/>
      <c r="EM996" s="719"/>
      <c r="EN996" s="377"/>
      <c r="EO996" s="377"/>
      <c r="EP996" s="377"/>
      <c r="EQ996" s="377"/>
      <c r="ER996" s="719"/>
      <c r="ES996" s="377"/>
      <c r="ET996" s="377"/>
      <c r="EU996" s="377"/>
      <c r="EV996" s="377"/>
      <c r="EW996" s="719"/>
      <c r="EX996" s="377"/>
      <c r="EY996" s="377"/>
      <c r="EZ996" s="377"/>
      <c r="FA996" s="377"/>
      <c r="FB996" s="719"/>
      <c r="FC996" s="377"/>
      <c r="FD996" s="377"/>
      <c r="FE996" s="377"/>
      <c r="FF996" s="377"/>
      <c r="FG996" s="719"/>
      <c r="FH996" s="440"/>
      <c r="FI996" s="377"/>
      <c r="FJ996" s="377"/>
      <c r="FK996" s="377"/>
      <c r="FL996" s="377"/>
    </row>
    <row r="997" ht="12.75" hidden="1" customHeight="1" outlineLevel="2">
      <c r="A997" s="162"/>
      <c r="B997" s="718" t="s">
        <v>352</v>
      </c>
      <c r="C997" s="718"/>
      <c r="D997" s="672"/>
      <c r="E997" s="672"/>
      <c r="F997" s="672"/>
      <c r="G997" s="672"/>
      <c r="H997" s="720"/>
      <c r="I997" s="672" t="str">
        <f t="shared" ref="I997:BF997" si="5296">I985+I989+I993</f>
        <v>#ERROR!</v>
      </c>
      <c r="J997" s="672" t="str">
        <f t="shared" si="5296"/>
        <v>#ERROR!</v>
      </c>
      <c r="K997" s="672" t="str">
        <f t="shared" si="5296"/>
        <v>#ERROR!</v>
      </c>
      <c r="L997" s="672" t="str">
        <f t="shared" si="5296"/>
        <v>#ERROR!</v>
      </c>
      <c r="M997" s="720" t="str">
        <f t="shared" si="5296"/>
        <v>#ERROR!</v>
      </c>
      <c r="N997" s="672" t="str">
        <f t="shared" si="5296"/>
        <v>#ERROR!</v>
      </c>
      <c r="O997" s="672" t="str">
        <f t="shared" si="5296"/>
        <v>#ERROR!</v>
      </c>
      <c r="P997" s="672" t="str">
        <f t="shared" si="5296"/>
        <v>#ERROR!</v>
      </c>
      <c r="Q997" s="672" t="str">
        <f t="shared" si="5296"/>
        <v>#ERROR!</v>
      </c>
      <c r="R997" s="720" t="str">
        <f t="shared" si="5296"/>
        <v>#ERROR!</v>
      </c>
      <c r="S997" s="672" t="str">
        <f t="shared" si="5296"/>
        <v>#ERROR!</v>
      </c>
      <c r="T997" s="672" t="str">
        <f t="shared" si="5296"/>
        <v>#ERROR!</v>
      </c>
      <c r="U997" s="672" t="str">
        <f t="shared" si="5296"/>
        <v>#ERROR!</v>
      </c>
      <c r="V997" s="672" t="str">
        <f t="shared" si="5296"/>
        <v>#ERROR!</v>
      </c>
      <c r="W997" s="720" t="str">
        <f t="shared" si="5296"/>
        <v>#ERROR!</v>
      </c>
      <c r="X997" s="672" t="str">
        <f t="shared" si="5296"/>
        <v>#ERROR!</v>
      </c>
      <c r="Y997" s="672" t="str">
        <f t="shared" si="5296"/>
        <v>#ERROR!</v>
      </c>
      <c r="Z997" s="672" t="str">
        <f t="shared" si="5296"/>
        <v>#ERROR!</v>
      </c>
      <c r="AA997" s="672" t="str">
        <f t="shared" si="5296"/>
        <v>#ERROR!</v>
      </c>
      <c r="AB997" s="720" t="str">
        <f t="shared" si="5296"/>
        <v>#ERROR!</v>
      </c>
      <c r="AC997" s="672" t="str">
        <f t="shared" si="5296"/>
        <v>#ERROR!</v>
      </c>
      <c r="AD997" s="672" t="str">
        <f t="shared" si="5296"/>
        <v>#ERROR!</v>
      </c>
      <c r="AE997" s="672" t="str">
        <f t="shared" si="5296"/>
        <v>#ERROR!</v>
      </c>
      <c r="AF997" s="672" t="str">
        <f t="shared" si="5296"/>
        <v>#ERROR!</v>
      </c>
      <c r="AG997" s="720" t="str">
        <f t="shared" si="5296"/>
        <v>#ERROR!</v>
      </c>
      <c r="AH997" s="672" t="str">
        <f t="shared" si="5296"/>
        <v>#ERROR!</v>
      </c>
      <c r="AI997" s="672" t="str">
        <f t="shared" si="5296"/>
        <v>#ERROR!</v>
      </c>
      <c r="AJ997" s="672" t="str">
        <f t="shared" si="5296"/>
        <v>#ERROR!</v>
      </c>
      <c r="AK997" s="672" t="str">
        <f t="shared" si="5296"/>
        <v>#ERROR!</v>
      </c>
      <c r="AL997" s="720" t="str">
        <f t="shared" si="5296"/>
        <v>#ERROR!</v>
      </c>
      <c r="AM997" s="672" t="str">
        <f t="shared" si="5296"/>
        <v>#ERROR!</v>
      </c>
      <c r="AN997" s="672" t="str">
        <f t="shared" si="5296"/>
        <v>#ERROR!</v>
      </c>
      <c r="AO997" s="672" t="str">
        <f t="shared" si="5296"/>
        <v>#ERROR!</v>
      </c>
      <c r="AP997" s="672" t="str">
        <f t="shared" si="5296"/>
        <v>#ERROR!</v>
      </c>
      <c r="AQ997" s="720" t="str">
        <f t="shared" si="5296"/>
        <v>#ERROR!</v>
      </c>
      <c r="AR997" s="672" t="str">
        <f t="shared" si="5296"/>
        <v>#ERROR!</v>
      </c>
      <c r="AS997" s="672" t="str">
        <f t="shared" si="5296"/>
        <v>#ERROR!</v>
      </c>
      <c r="AT997" s="672" t="str">
        <f t="shared" si="5296"/>
        <v>#ERROR!</v>
      </c>
      <c r="AU997" s="672" t="str">
        <f t="shared" si="5296"/>
        <v>#ERROR!</v>
      </c>
      <c r="AV997" s="720" t="str">
        <f t="shared" si="5296"/>
        <v>#ERROR!</v>
      </c>
      <c r="AW997" s="672" t="str">
        <f t="shared" si="5296"/>
        <v>#ERROR!</v>
      </c>
      <c r="AX997" s="672" t="str">
        <f t="shared" si="5296"/>
        <v>#ERROR!</v>
      </c>
      <c r="AY997" s="672" t="str">
        <f t="shared" si="5296"/>
        <v>#ERROR!</v>
      </c>
      <c r="AZ997" s="672" t="str">
        <f t="shared" si="5296"/>
        <v>#ERROR!</v>
      </c>
      <c r="BA997" s="720" t="str">
        <f t="shared" si="5296"/>
        <v>#ERROR!</v>
      </c>
      <c r="BB997" s="672" t="str">
        <f t="shared" si="5296"/>
        <v>#ERROR!</v>
      </c>
      <c r="BC997" s="672" t="str">
        <f t="shared" si="5296"/>
        <v>#ERROR!</v>
      </c>
      <c r="BD997" s="672" t="str">
        <f t="shared" si="5296"/>
        <v>#ERROR!</v>
      </c>
      <c r="BE997" s="672" t="str">
        <f t="shared" si="5296"/>
        <v>#ERROR!</v>
      </c>
      <c r="BF997" s="720" t="str">
        <f t="shared" si="5296"/>
        <v>#ERROR!</v>
      </c>
      <c r="BG997" s="672" t="str">
        <f>ServerSales+DesktopSales+MobileSales</f>
        <v>#ERROR!</v>
      </c>
      <c r="BH997" s="672" t="str">
        <f>ServerSales+DesktopSales+MobileSales</f>
        <v>#ERROR!</v>
      </c>
      <c r="BI997" s="672" t="str">
        <f>ServerSales+DesktopSales+MobileSales</f>
        <v>#ERROR!</v>
      </c>
      <c r="BJ997" s="672" t="str">
        <f>ServerSales+DesktopSales+MobileSales</f>
        <v>#ERROR!</v>
      </c>
      <c r="BK997" s="720" t="str">
        <f>ServerSales+DesktopSales+MobileSales</f>
        <v>#ERROR!</v>
      </c>
      <c r="BL997" s="672" t="str">
        <f>ServerSales+DesktopSales+MobileSales</f>
        <v>#ERROR!</v>
      </c>
      <c r="BM997" s="672" t="str">
        <f>ServerSales+DesktopSales+MobileSales</f>
        <v>#ERROR!</v>
      </c>
      <c r="BN997" s="672" t="str">
        <f>ServerSales+DesktopSales+MobileSales</f>
        <v>#ERROR!</v>
      </c>
      <c r="BO997" s="672" t="str">
        <f>ServerSales+DesktopSales+MobileSales</f>
        <v>#ERROR!</v>
      </c>
      <c r="BP997" s="720" t="str">
        <f>ServerSales+DesktopSales+MobileSales</f>
        <v>#ERROR!</v>
      </c>
      <c r="BQ997" s="672" t="str">
        <f>ServerSales+DesktopSales+MobileSales</f>
        <v>#ERROR!</v>
      </c>
      <c r="BR997" s="672" t="str">
        <f>ServerSales+DesktopSales+MobileSales</f>
        <v>#ERROR!</v>
      </c>
      <c r="BS997" s="672" t="str">
        <f>ServerSales+DesktopSales+MobileSales</f>
        <v>#ERROR!</v>
      </c>
      <c r="BT997" s="672" t="str">
        <f>ServerSales+DesktopSales+MobileSales</f>
        <v>#ERROR!</v>
      </c>
      <c r="BU997" s="720" t="str">
        <f>ServerSales+DesktopSales+MobileSales</f>
        <v>#ERROR!</v>
      </c>
      <c r="BV997" s="672" t="str">
        <f>ServerSales+DesktopSales+MobileSales</f>
        <v>#ERROR!</v>
      </c>
      <c r="BW997" s="672" t="str">
        <f>ServerSales+DesktopSales+MobileSales</f>
        <v>#ERROR!</v>
      </c>
      <c r="BX997" s="672" t="str">
        <f>ServerSales+DesktopSales+MobileSales</f>
        <v>#ERROR!</v>
      </c>
      <c r="BY997" s="672" t="str">
        <f>ServerSales+DesktopSales+MobileSales</f>
        <v>#ERROR!</v>
      </c>
      <c r="BZ997" s="721" t="str">
        <f>ServerSales+DesktopSales+MobileSales</f>
        <v>#ERROR!</v>
      </c>
      <c r="CA997" s="672" t="str">
        <f>ServerSales+DesktopSales+MobileSales</f>
        <v>#ERROR!</v>
      </c>
      <c r="CB997" s="672" t="str">
        <f>ServerSales+DesktopSales+MobileSales</f>
        <v>#ERROR!</v>
      </c>
      <c r="CC997" s="672" t="str">
        <f>ServerSales+DesktopSales+MobileSales</f>
        <v>#ERROR!</v>
      </c>
      <c r="CD997" s="672" t="str">
        <f>ServerSales+DesktopSales+MobileSales</f>
        <v>#ERROR!</v>
      </c>
      <c r="CE997" s="721" t="str">
        <f>ServerSales+DesktopSales+MobileSales</f>
        <v>#ERROR!</v>
      </c>
      <c r="CF997" s="672" t="str">
        <f>ServerSales+DesktopSales+MobileSales</f>
        <v>#ERROR!</v>
      </c>
      <c r="CG997" s="672" t="str">
        <f>ServerSales+DesktopSales+MobileSales</f>
        <v>#ERROR!</v>
      </c>
      <c r="CH997" s="672" t="str">
        <f>ServerSales+DesktopSales+MobileSales</f>
        <v>#ERROR!</v>
      </c>
      <c r="CI997" s="672" t="str">
        <f>ServerSales+DesktopSales+MobileSales</f>
        <v>#ERROR!</v>
      </c>
      <c r="CJ997" s="721" t="str">
        <f>ServerSales+DesktopSales+MobileSales</f>
        <v>#ERROR!</v>
      </c>
      <c r="CK997" s="672" t="str">
        <f>ServerSales+DesktopSales+MobileSales</f>
        <v>#ERROR!</v>
      </c>
      <c r="CL997" s="672" t="str">
        <f>ServerSales+DesktopSales+MobileSales</f>
        <v>#ERROR!</v>
      </c>
      <c r="CM997" s="672" t="str">
        <f>ServerSales+DesktopSales+MobileSales</f>
        <v>#ERROR!</v>
      </c>
      <c r="CN997" s="675" t="str">
        <f>ServerSales+DesktopSales+MobileSales</f>
        <v>#ERROR!</v>
      </c>
      <c r="CO997" s="721" t="str">
        <f>ServerSales+DesktopSales+MobileSales</f>
        <v>#ERROR!</v>
      </c>
      <c r="CP997" s="675" t="str">
        <f>ServerSales+DesktopSales+MobileSales</f>
        <v>#ERROR!</v>
      </c>
      <c r="CQ997" s="672" t="str">
        <f>ServerSales+DesktopSales+MobileSales</f>
        <v>#ERROR!</v>
      </c>
      <c r="CR997" s="672" t="str">
        <f>ServerSales+DesktopSales+MobileSales</f>
        <v>#ERROR!</v>
      </c>
      <c r="CS997" s="672" t="str">
        <f>ServerSales+DesktopSales+MobileSales</f>
        <v>#ERROR!</v>
      </c>
      <c r="CT997" s="721" t="str">
        <f>ServerSales+DesktopSales+MobileSales</f>
        <v>#ERROR!</v>
      </c>
      <c r="CU997" s="672" t="str">
        <f>ServerSales+DesktopSales+MobileSales</f>
        <v>#ERROR!</v>
      </c>
      <c r="CV997" s="672" t="str">
        <f>ServerSales+DesktopSales+MobileSales</f>
        <v>#ERROR!</v>
      </c>
      <c r="CW997" s="672" t="str">
        <f>ServerSales+DesktopSales+MobileSales</f>
        <v>#ERROR!</v>
      </c>
      <c r="CX997" s="672" t="str">
        <f>ServerSales+DesktopSales+MobileSales</f>
        <v>#ERROR!</v>
      </c>
      <c r="CY997" s="721" t="str">
        <f>ServerSales+DesktopSales+MobileSales</f>
        <v>#ERROR!</v>
      </c>
      <c r="CZ997" s="672" t="str">
        <f>ServerSales+DesktopSales+MobileSales</f>
        <v>#ERROR!</v>
      </c>
      <c r="DA997" s="672" t="str">
        <f>ServerSales+DesktopSales+MobileSales</f>
        <v>#ERROR!</v>
      </c>
      <c r="DB997" s="672" t="str">
        <f>ServerSales+DesktopSales+MobileSales</f>
        <v>#ERROR!</v>
      </c>
      <c r="DC997" s="672" t="str">
        <f>ServerSales+DesktopSales+MobileSales</f>
        <v>#ERROR!</v>
      </c>
      <c r="DD997" s="721" t="str">
        <f>ServerSales+DesktopSales+MobileSales</f>
        <v>#ERROR!</v>
      </c>
      <c r="DE997" s="672" t="str">
        <f>ServerSales+DesktopSales+MobileSales</f>
        <v>#ERROR!</v>
      </c>
      <c r="DF997" s="672" t="str">
        <f>ServerSales+DesktopSales+MobileSales</f>
        <v>#ERROR!</v>
      </c>
      <c r="DG997" s="19" t="str">
        <f>ServerSales+DesktopSales+MobileSales</f>
        <v>#ERROR!</v>
      </c>
      <c r="DH997" s="672" t="str">
        <f>ServerSales+DesktopSales+MobileSales</f>
        <v>#ERROR!</v>
      </c>
      <c r="DI997" s="721" t="str">
        <f>ServerSales+DesktopSales+MobileSales</f>
        <v>#ERROR!</v>
      </c>
      <c r="DJ997" s="675" t="str">
        <f>ServerSales+DesktopSales+MobileSales</f>
        <v>#ERROR!</v>
      </c>
      <c r="DK997" s="675" t="str">
        <f>ServerSales+DesktopSales+MobileSales</f>
        <v>#ERROR!</v>
      </c>
      <c r="DL997" s="675" t="str">
        <f>ServerSales+DesktopSales+MobileSales</f>
        <v>#ERROR!</v>
      </c>
      <c r="DM997" s="672" t="str">
        <f>ServerSales+DesktopSales+MobileSales</f>
        <v>#ERROR!</v>
      </c>
      <c r="DN997" s="721" t="str">
        <f>ServerSales+DesktopSales+MobileSales</f>
        <v>#ERROR!</v>
      </c>
      <c r="DO997" s="672" t="str">
        <f>ServerSales+DesktopSales+MobileSales</f>
        <v>#ERROR!</v>
      </c>
      <c r="DP997" s="672" t="str">
        <f>ServerSales+DesktopSales+MobileSales</f>
        <v>#ERROR!</v>
      </c>
      <c r="DQ997" s="672" t="str">
        <f>ServerSales+DesktopSales+MobileSales</f>
        <v>#ERROR!</v>
      </c>
      <c r="DR997" s="672" t="str">
        <f>ServerSales+DesktopSales+MobileSales</f>
        <v>#ERROR!</v>
      </c>
      <c r="DS997" s="721" t="str">
        <f>ServerSales+DesktopSales+MobileSales</f>
        <v>#ERROR!</v>
      </c>
      <c r="DT997" s="672" t="str">
        <f>ServerSales+DesktopSales+MobileSales</f>
        <v>#ERROR!</v>
      </c>
      <c r="DU997" s="672" t="str">
        <f>ServerSales+DesktopSales+MobileSales</f>
        <v>#ERROR!</v>
      </c>
      <c r="DV997" s="672" t="str">
        <f>ServerSales+DesktopSales+MobileSales</f>
        <v>#ERROR!</v>
      </c>
      <c r="DW997" s="672" t="str">
        <f>ServerSales+DesktopSales+MobileSales</f>
        <v>#ERROR!</v>
      </c>
      <c r="DX997" s="721" t="str">
        <f>ServerSales+DesktopSales+MobileSales</f>
        <v>#ERROR!</v>
      </c>
      <c r="DY997" s="672" t="str">
        <f>ServerSales+DesktopSales+MobileSales</f>
        <v>#ERROR!</v>
      </c>
      <c r="DZ997" s="672" t="str">
        <f>ServerSales+DesktopSales+MobileSales</f>
        <v>#ERROR!</v>
      </c>
      <c r="EA997" s="672" t="str">
        <f>ServerSales+DesktopSales+MobileSales</f>
        <v>#ERROR!</v>
      </c>
      <c r="EB997" s="672" t="str">
        <f>ServerSales+DesktopSales+MobileSales</f>
        <v>#ERROR!</v>
      </c>
      <c r="EC997" s="721" t="str">
        <f>ServerSales+DesktopSales+MobileSales</f>
        <v>#ERROR!</v>
      </c>
      <c r="ED997" s="672" t="str">
        <f>ServerSales+DesktopSales+MobileSales</f>
        <v>#ERROR!</v>
      </c>
      <c r="EE997" s="672" t="str">
        <f>ServerSales+DesktopSales+MobileSales</f>
        <v>#ERROR!</v>
      </c>
      <c r="EF997" s="672" t="str">
        <f>ServerSales+DesktopSales+MobileSales</f>
        <v>#ERROR!</v>
      </c>
      <c r="EG997" s="672" t="str">
        <f>ServerSales+DesktopSales+MobileSales</f>
        <v>#ERROR!</v>
      </c>
      <c r="EH997" s="721" t="str">
        <f>ServerSales+DesktopSales+MobileSales</f>
        <v>#ERROR!</v>
      </c>
      <c r="EI997" s="676" t="str">
        <f>ServerSales+DesktopSales+MobileSales</f>
        <v>#ERROR!</v>
      </c>
      <c r="EJ997" s="672" t="str">
        <f>ServerSales+DesktopSales+MobileSales</f>
        <v>#ERROR!</v>
      </c>
      <c r="EK997" s="672" t="str">
        <f>ServerSales+DesktopSales+MobileSales</f>
        <v>#ERROR!</v>
      </c>
      <c r="EL997" s="672" t="str">
        <f>ServerSales+DesktopSales+MobileSales</f>
        <v>#ERROR!</v>
      </c>
      <c r="EM997" s="721" t="str">
        <f>ServerSales+DesktopSales+MobileSales</f>
        <v>#ERROR!</v>
      </c>
      <c r="EN997" s="672" t="str">
        <f>ServerSales+DesktopSales+MobileSales</f>
        <v>#ERROR!</v>
      </c>
      <c r="EO997" s="672" t="str">
        <f>ServerSales+DesktopSales+MobileSales</f>
        <v>#ERROR!</v>
      </c>
      <c r="EP997" s="672" t="str">
        <f>ServerSales+DesktopSales+MobileSales</f>
        <v>#ERROR!</v>
      </c>
      <c r="EQ997" s="672" t="str">
        <f>ServerSales+DesktopSales+MobileSales</f>
        <v>#ERROR!</v>
      </c>
      <c r="ER997" s="721" t="str">
        <f>ServerSales+DesktopSales+MobileSales</f>
        <v>#ERROR!</v>
      </c>
      <c r="ES997" s="672" t="str">
        <f>ServerSales+DesktopSales+MobileSales</f>
        <v>#ERROR!</v>
      </c>
      <c r="ET997" s="672" t="str">
        <f>ServerSales+DesktopSales+MobileSales</f>
        <v>#ERROR!</v>
      </c>
      <c r="EU997" s="672" t="str">
        <f>ServerSales+DesktopSales+MobileSales</f>
        <v>#ERROR!</v>
      </c>
      <c r="EV997" s="672" t="str">
        <f>ServerSales+DesktopSales+MobileSales</f>
        <v>#ERROR!</v>
      </c>
      <c r="EW997" s="721" t="str">
        <f>ServerSales+DesktopSales+MobileSales</f>
        <v>#ERROR!</v>
      </c>
      <c r="EX997" s="672" t="str">
        <f>ServerSales+DesktopSales+MobileSales</f>
        <v>#ERROR!</v>
      </c>
      <c r="EY997" s="672" t="str">
        <f>ServerSales+DesktopSales+MobileSales</f>
        <v>#ERROR!</v>
      </c>
      <c r="EZ997" s="672" t="str">
        <f>ServerSales+DesktopSales+MobileSales</f>
        <v>#ERROR!</v>
      </c>
      <c r="FA997" s="672" t="str">
        <f>ServerSales+DesktopSales+MobileSales</f>
        <v>#ERROR!</v>
      </c>
      <c r="FB997" s="721" t="str">
        <f>ServerSales+DesktopSales+MobileSales</f>
        <v>#ERROR!</v>
      </c>
      <c r="FC997" s="672" t="str">
        <f>ServerSales+DesktopSales+MobileSales</f>
        <v>#ERROR!</v>
      </c>
      <c r="FD997" s="672" t="str">
        <f>ServerSales+DesktopSales+MobileSales</f>
        <v>#ERROR!</v>
      </c>
      <c r="FE997" s="672" t="str">
        <f>ServerSales+DesktopSales+MobileSales</f>
        <v>#ERROR!</v>
      </c>
      <c r="FF997" s="672" t="str">
        <f>ServerSales+DesktopSales+MobileSales</f>
        <v>#ERROR!</v>
      </c>
      <c r="FG997" s="721" t="str">
        <f>ServerSales+DesktopSales+MobileSales</f>
        <v>#ERROR!</v>
      </c>
      <c r="FH997" s="722"/>
      <c r="FI997" s="672"/>
      <c r="FJ997" s="672"/>
      <c r="FK997" s="720"/>
      <c r="FL997" s="672"/>
    </row>
    <row r="998" ht="12.75" hidden="1" customHeight="1" outlineLevel="2">
      <c r="A998" s="162"/>
      <c r="B998" s="162" t="s">
        <v>345</v>
      </c>
      <c r="C998" s="162"/>
      <c r="D998" s="15"/>
      <c r="E998" s="15"/>
      <c r="F998" s="15"/>
      <c r="G998" s="15"/>
      <c r="H998" s="410"/>
      <c r="I998" s="15"/>
      <c r="J998" s="15" t="str">
        <f t="shared" ref="J998:L998" si="5297">J997/I997-1</f>
        <v>#ERROR!</v>
      </c>
      <c r="K998" s="15" t="str">
        <f t="shared" si="5297"/>
        <v>#ERROR!</v>
      </c>
      <c r="L998" s="15" t="str">
        <f t="shared" si="5297"/>
        <v>#ERROR!</v>
      </c>
      <c r="M998" s="410"/>
      <c r="N998" s="15"/>
      <c r="O998" s="15" t="str">
        <f t="shared" ref="O998:Q998" si="5298">O997/N997-1</f>
        <v>#ERROR!</v>
      </c>
      <c r="P998" s="15" t="str">
        <f t="shared" si="5298"/>
        <v>#ERROR!</v>
      </c>
      <c r="Q998" s="15" t="str">
        <f t="shared" si="5298"/>
        <v>#ERROR!</v>
      </c>
      <c r="R998" s="410"/>
      <c r="S998" s="15"/>
      <c r="T998" s="15" t="str">
        <f t="shared" ref="T998:V998" si="5299">T997/S997-1</f>
        <v>#ERROR!</v>
      </c>
      <c r="U998" s="15" t="str">
        <f t="shared" si="5299"/>
        <v>#ERROR!</v>
      </c>
      <c r="V998" s="15" t="str">
        <f t="shared" si="5299"/>
        <v>#ERROR!</v>
      </c>
      <c r="W998" s="410"/>
      <c r="X998" s="15"/>
      <c r="Y998" s="15" t="str">
        <f t="shared" ref="Y998:AA998" si="5300">Y997/X997-1</f>
        <v>#ERROR!</v>
      </c>
      <c r="Z998" s="15" t="str">
        <f t="shared" si="5300"/>
        <v>#ERROR!</v>
      </c>
      <c r="AA998" s="15" t="str">
        <f t="shared" si="5300"/>
        <v>#ERROR!</v>
      </c>
      <c r="AB998" s="410"/>
      <c r="AC998" s="15" t="str">
        <f>AC997/AA997-1</f>
        <v>#ERROR!</v>
      </c>
      <c r="AD998" s="15" t="str">
        <f t="shared" ref="AD998:AF998" si="5301">AD997/AC997-1</f>
        <v>#ERROR!</v>
      </c>
      <c r="AE998" s="15" t="str">
        <f t="shared" si="5301"/>
        <v>#ERROR!</v>
      </c>
      <c r="AF998" s="15" t="str">
        <f t="shared" si="5301"/>
        <v>#ERROR!</v>
      </c>
      <c r="AG998" s="410"/>
      <c r="AH998" s="15" t="str">
        <f>AH997/AF997-1</f>
        <v>#ERROR!</v>
      </c>
      <c r="AI998" s="15" t="str">
        <f t="shared" ref="AI998:AK998" si="5302">AI997/AH997-1</f>
        <v>#ERROR!</v>
      </c>
      <c r="AJ998" s="15" t="str">
        <f t="shared" si="5302"/>
        <v>#ERROR!</v>
      </c>
      <c r="AK998" s="15" t="str">
        <f t="shared" si="5302"/>
        <v>#ERROR!</v>
      </c>
      <c r="AL998" s="410"/>
      <c r="AM998" s="15" t="str">
        <f>AM997/AK997-1</f>
        <v>#ERROR!</v>
      </c>
      <c r="AN998" s="15" t="str">
        <f t="shared" ref="AN998:AP998" si="5303">AN997/AM997-1</f>
        <v>#ERROR!</v>
      </c>
      <c r="AO998" s="15" t="str">
        <f t="shared" si="5303"/>
        <v>#ERROR!</v>
      </c>
      <c r="AP998" s="15" t="str">
        <f t="shared" si="5303"/>
        <v>#ERROR!</v>
      </c>
      <c r="AQ998" s="410"/>
      <c r="AR998" s="15" t="str">
        <f>AR997/AP997-1</f>
        <v>#ERROR!</v>
      </c>
      <c r="AS998" s="15" t="str">
        <f t="shared" ref="AS998:AU998" si="5304">AS997/AR997-1</f>
        <v>#ERROR!</v>
      </c>
      <c r="AT998" s="15" t="str">
        <f t="shared" si="5304"/>
        <v>#ERROR!</v>
      </c>
      <c r="AU998" s="15" t="str">
        <f t="shared" si="5304"/>
        <v>#ERROR!</v>
      </c>
      <c r="AV998" s="410"/>
      <c r="AW998" s="15" t="str">
        <f>AW997/AU997-1</f>
        <v>#ERROR!</v>
      </c>
      <c r="AX998" s="15" t="str">
        <f t="shared" ref="AX998:AZ998" si="5305">AX997/AW997-1</f>
        <v>#ERROR!</v>
      </c>
      <c r="AY998" s="15" t="str">
        <f t="shared" si="5305"/>
        <v>#ERROR!</v>
      </c>
      <c r="AZ998" s="15" t="str">
        <f t="shared" si="5305"/>
        <v>#ERROR!</v>
      </c>
      <c r="BA998" s="410"/>
      <c r="BB998" s="15" t="str">
        <f>BB997/AZ997-1</f>
        <v>#ERROR!</v>
      </c>
      <c r="BC998" s="15" t="str">
        <f t="shared" ref="BC998:BE998" si="5306">BC997/BB997-1</f>
        <v>#ERROR!</v>
      </c>
      <c r="BD998" s="15" t="str">
        <f t="shared" si="5306"/>
        <v>#ERROR!</v>
      </c>
      <c r="BE998" s="15" t="str">
        <f t="shared" si="5306"/>
        <v>#ERROR!</v>
      </c>
      <c r="BF998" s="410"/>
      <c r="BG998" s="15" t="str">
        <f>BG997/BE997-1</f>
        <v>#ERROR!</v>
      </c>
      <c r="BH998" s="15" t="str">
        <f t="shared" ref="BH998:BJ998" si="5307">BH997/BG997-1</f>
        <v>#ERROR!</v>
      </c>
      <c r="BI998" s="15" t="str">
        <f t="shared" si="5307"/>
        <v>#ERROR!</v>
      </c>
      <c r="BJ998" s="15" t="str">
        <f t="shared" si="5307"/>
        <v>#ERROR!</v>
      </c>
      <c r="BK998" s="410"/>
      <c r="BL998" s="15" t="str">
        <f>BL997/BJ997-1</f>
        <v>#ERROR!</v>
      </c>
      <c r="BM998" s="15" t="str">
        <f t="shared" ref="BM998:BO998" si="5308">BM997/BL997-1</f>
        <v>#ERROR!</v>
      </c>
      <c r="BN998" s="15" t="str">
        <f t="shared" si="5308"/>
        <v>#ERROR!</v>
      </c>
      <c r="BO998" s="15" t="str">
        <f t="shared" si="5308"/>
        <v>#ERROR!</v>
      </c>
      <c r="BP998" s="410"/>
      <c r="BQ998" s="15" t="str">
        <f>BQ997/BO997-1</f>
        <v>#ERROR!</v>
      </c>
      <c r="BR998" s="15" t="str">
        <f t="shared" ref="BR998:BT998" si="5309">BR997/BQ997-1</f>
        <v>#ERROR!</v>
      </c>
      <c r="BS998" s="15" t="str">
        <f t="shared" si="5309"/>
        <v>#ERROR!</v>
      </c>
      <c r="BT998" s="15" t="str">
        <f t="shared" si="5309"/>
        <v>#ERROR!</v>
      </c>
      <c r="BU998" s="410"/>
      <c r="BV998" s="15" t="str">
        <f>BV997/BT997-1</f>
        <v>#ERROR!</v>
      </c>
      <c r="BW998" s="15" t="str">
        <f t="shared" ref="BW998:BY998" si="5310">BW997/BV997-1</f>
        <v>#ERROR!</v>
      </c>
      <c r="BX998" s="15" t="str">
        <f t="shared" si="5310"/>
        <v>#ERROR!</v>
      </c>
      <c r="BY998" s="15" t="str">
        <f t="shared" si="5310"/>
        <v>#ERROR!</v>
      </c>
      <c r="BZ998" s="24"/>
      <c r="CA998" s="15" t="str">
        <f>CA997/BY997-1</f>
        <v>#ERROR!</v>
      </c>
      <c r="CB998" s="15" t="str">
        <f t="shared" ref="CB998:CD998" si="5311">CB997/CA997-1</f>
        <v>#ERROR!</v>
      </c>
      <c r="CC998" s="15" t="str">
        <f t="shared" si="5311"/>
        <v>#ERROR!</v>
      </c>
      <c r="CD998" s="15" t="str">
        <f t="shared" si="5311"/>
        <v>#ERROR!</v>
      </c>
      <c r="CE998" s="24"/>
      <c r="CF998" s="15" t="str">
        <f>CF997/CD997-1</f>
        <v>#ERROR!</v>
      </c>
      <c r="CG998" s="15" t="str">
        <f t="shared" ref="CG998:CI998" si="5312">CG997/CF997-1</f>
        <v>#ERROR!</v>
      </c>
      <c r="CH998" s="15" t="str">
        <f t="shared" si="5312"/>
        <v>#ERROR!</v>
      </c>
      <c r="CI998" s="15" t="str">
        <f t="shared" si="5312"/>
        <v>#ERROR!</v>
      </c>
      <c r="CJ998" s="24"/>
      <c r="CK998" s="15" t="str">
        <f>CK997/CI997-1</f>
        <v>#ERROR!</v>
      </c>
      <c r="CL998" s="15" t="str">
        <f t="shared" ref="CL998:CN998" si="5313">CL997/CK997-1</f>
        <v>#ERROR!</v>
      </c>
      <c r="CM998" s="15" t="str">
        <f t="shared" si="5313"/>
        <v>#ERROR!</v>
      </c>
      <c r="CN998" s="40" t="str">
        <f t="shared" si="5313"/>
        <v>#ERROR!</v>
      </c>
      <c r="CO998" s="24"/>
      <c r="CP998" s="40" t="str">
        <f>CP997/CN997-1</f>
        <v>#ERROR!</v>
      </c>
      <c r="CQ998" s="15" t="str">
        <f t="shared" ref="CQ998:CS998" si="5314">CQ997/CP997-1</f>
        <v>#ERROR!</v>
      </c>
      <c r="CR998" s="15" t="str">
        <f t="shared" si="5314"/>
        <v>#ERROR!</v>
      </c>
      <c r="CS998" s="15" t="str">
        <f t="shared" si="5314"/>
        <v>#ERROR!</v>
      </c>
      <c r="CT998" s="24"/>
      <c r="CU998" s="15" t="str">
        <f>CU997/CS997-1</f>
        <v>#ERROR!</v>
      </c>
      <c r="CV998" s="15" t="str">
        <f t="shared" ref="CV998:CX998" si="5315">CV997/CU997-1</f>
        <v>#ERROR!</v>
      </c>
      <c r="CW998" s="15" t="str">
        <f t="shared" si="5315"/>
        <v>#ERROR!</v>
      </c>
      <c r="CX998" s="15" t="str">
        <f t="shared" si="5315"/>
        <v>#ERROR!</v>
      </c>
      <c r="CY998" s="24"/>
      <c r="CZ998" s="15" t="str">
        <f>CZ997/CX997-1</f>
        <v>#ERROR!</v>
      </c>
      <c r="DA998" s="15" t="str">
        <f t="shared" ref="DA998:DC998" si="5316">DA997/CZ997-1</f>
        <v>#ERROR!</v>
      </c>
      <c r="DB998" s="15" t="str">
        <f t="shared" si="5316"/>
        <v>#ERROR!</v>
      </c>
      <c r="DC998" s="15" t="str">
        <f t="shared" si="5316"/>
        <v>#ERROR!</v>
      </c>
      <c r="DD998" s="24"/>
      <c r="DE998" s="15" t="str">
        <f>DE997/DC997-1</f>
        <v>#ERROR!</v>
      </c>
      <c r="DF998" s="15" t="str">
        <f t="shared" ref="DF998:DH998" si="5317">DF997/DE997-1</f>
        <v>#ERROR!</v>
      </c>
      <c r="DG998" s="40" t="str">
        <f t="shared" si="5317"/>
        <v>#ERROR!</v>
      </c>
      <c r="DH998" s="15" t="str">
        <f t="shared" si="5317"/>
        <v>#ERROR!</v>
      </c>
      <c r="DI998" s="24"/>
      <c r="DJ998" s="40" t="str">
        <f>DJ997/DH997-1</f>
        <v>#ERROR!</v>
      </c>
      <c r="DK998" s="40" t="str">
        <f t="shared" ref="DK998:DM998" si="5318">DK997/DJ997-1</f>
        <v>#ERROR!</v>
      </c>
      <c r="DL998" s="40" t="str">
        <f t="shared" si="5318"/>
        <v>#ERROR!</v>
      </c>
      <c r="DM998" s="15" t="str">
        <f t="shared" si="5318"/>
        <v>#ERROR!</v>
      </c>
      <c r="DN998" s="24"/>
      <c r="DO998" s="15" t="str">
        <f>DO997/DM997-1</f>
        <v>#ERROR!</v>
      </c>
      <c r="DP998" s="15" t="str">
        <f t="shared" ref="DP998:DR998" si="5319">DP997/DO997-1</f>
        <v>#ERROR!</v>
      </c>
      <c r="DQ998" s="15" t="str">
        <f t="shared" si="5319"/>
        <v>#ERROR!</v>
      </c>
      <c r="DR998" s="15" t="str">
        <f t="shared" si="5319"/>
        <v>#ERROR!</v>
      </c>
      <c r="DS998" s="24"/>
      <c r="DT998" s="15" t="str">
        <f>DT997/DR997-1</f>
        <v>#ERROR!</v>
      </c>
      <c r="DU998" s="15" t="str">
        <f t="shared" ref="DU998:DW998" si="5320">DU997/DT997-1</f>
        <v>#ERROR!</v>
      </c>
      <c r="DV998" s="15" t="str">
        <f t="shared" si="5320"/>
        <v>#ERROR!</v>
      </c>
      <c r="DW998" s="15" t="str">
        <f t="shared" si="5320"/>
        <v>#ERROR!</v>
      </c>
      <c r="DX998" s="24"/>
      <c r="DY998" s="15" t="str">
        <f>DY997/DW997-1</f>
        <v>#ERROR!</v>
      </c>
      <c r="DZ998" s="15" t="str">
        <f t="shared" ref="DZ998:EB998" si="5321">DZ997/DY997-1</f>
        <v>#ERROR!</v>
      </c>
      <c r="EA998" s="15" t="str">
        <f t="shared" si="5321"/>
        <v>#ERROR!</v>
      </c>
      <c r="EB998" s="15" t="str">
        <f t="shared" si="5321"/>
        <v>#ERROR!</v>
      </c>
      <c r="EC998" s="24"/>
      <c r="ED998" s="15" t="str">
        <f>ED997/EB997-1</f>
        <v>#ERROR!</v>
      </c>
      <c r="EE998" s="15" t="str">
        <f t="shared" ref="EE998:EG998" si="5322">EE997/ED997-1</f>
        <v>#ERROR!</v>
      </c>
      <c r="EF998" s="15" t="str">
        <f t="shared" si="5322"/>
        <v>#ERROR!</v>
      </c>
      <c r="EG998" s="15" t="str">
        <f t="shared" si="5322"/>
        <v>#ERROR!</v>
      </c>
      <c r="EH998" s="24"/>
      <c r="EI998" s="82" t="str">
        <f>EI997/EG997-1</f>
        <v>#ERROR!</v>
      </c>
      <c r="EJ998" s="15" t="str">
        <f t="shared" ref="EJ998:EL998" si="5323">EJ997/EI997-1</f>
        <v>#ERROR!</v>
      </c>
      <c r="EK998" s="15" t="str">
        <f t="shared" si="5323"/>
        <v>#ERROR!</v>
      </c>
      <c r="EL998" s="15" t="str">
        <f t="shared" si="5323"/>
        <v>#ERROR!</v>
      </c>
      <c r="EM998" s="24"/>
      <c r="EN998" s="15" t="str">
        <f>EN997/EL997-1</f>
        <v>#ERROR!</v>
      </c>
      <c r="EO998" s="15" t="str">
        <f t="shared" ref="EO998:EQ998" si="5324">EO997/EN997-1</f>
        <v>#ERROR!</v>
      </c>
      <c r="EP998" s="15" t="str">
        <f t="shared" si="5324"/>
        <v>#ERROR!</v>
      </c>
      <c r="EQ998" s="15" t="str">
        <f t="shared" si="5324"/>
        <v>#ERROR!</v>
      </c>
      <c r="ER998" s="24"/>
      <c r="ES998" s="15" t="str">
        <f>ES997/EQ997-1</f>
        <v>#ERROR!</v>
      </c>
      <c r="ET998" s="15" t="str">
        <f t="shared" ref="ET998:EV998" si="5325">ET997/ES997-1</f>
        <v>#ERROR!</v>
      </c>
      <c r="EU998" s="15" t="str">
        <f t="shared" si="5325"/>
        <v>#ERROR!</v>
      </c>
      <c r="EV998" s="15" t="str">
        <f t="shared" si="5325"/>
        <v>#ERROR!</v>
      </c>
      <c r="EW998" s="24"/>
      <c r="EX998" s="15" t="str">
        <f>EX997/EV997-1</f>
        <v>#ERROR!</v>
      </c>
      <c r="EY998" s="15" t="str">
        <f t="shared" ref="EY998:FA998" si="5326">EY997/EX997-1</f>
        <v>#ERROR!</v>
      </c>
      <c r="EZ998" s="15" t="str">
        <f t="shared" si="5326"/>
        <v>#ERROR!</v>
      </c>
      <c r="FA998" s="15" t="str">
        <f t="shared" si="5326"/>
        <v>#ERROR!</v>
      </c>
      <c r="FB998" s="24"/>
      <c r="FC998" s="15" t="str">
        <f>FC997/FA997-1</f>
        <v>#ERROR!</v>
      </c>
      <c r="FD998" s="15" t="str">
        <f t="shared" ref="FD998:FF998" si="5327">FD997/FC997-1</f>
        <v>#ERROR!</v>
      </c>
      <c r="FE998" s="15" t="str">
        <f t="shared" si="5327"/>
        <v>#ERROR!</v>
      </c>
      <c r="FF998" s="15" t="str">
        <f t="shared" si="5327"/>
        <v>#ERROR!</v>
      </c>
      <c r="FG998" s="24"/>
      <c r="FH998" s="104"/>
      <c r="FI998" s="15"/>
      <c r="FJ998" s="15"/>
      <c r="FK998" s="410"/>
      <c r="FL998" s="15"/>
    </row>
    <row r="999" ht="12.75" hidden="1" customHeight="1" outlineLevel="2">
      <c r="A999" s="162"/>
      <c r="B999" s="696" t="s">
        <v>346</v>
      </c>
      <c r="C999" s="696"/>
      <c r="D999" s="90"/>
      <c r="E999" s="90"/>
      <c r="F999" s="90"/>
      <c r="G999" s="90"/>
      <c r="H999" s="414"/>
      <c r="I999" s="90"/>
      <c r="J999" s="90"/>
      <c r="K999" s="90"/>
      <c r="L999" s="90"/>
      <c r="M999" s="414"/>
      <c r="N999" s="90"/>
      <c r="O999" s="90"/>
      <c r="P999" s="90"/>
      <c r="Q999" s="90"/>
      <c r="R999" s="414"/>
      <c r="S999" s="90"/>
      <c r="T999" s="90"/>
      <c r="U999" s="90"/>
      <c r="V999" s="90"/>
      <c r="W999" s="414"/>
      <c r="X999" s="90"/>
      <c r="Y999" s="90"/>
      <c r="Z999" s="90"/>
      <c r="AA999" s="90"/>
      <c r="AB999" s="414"/>
      <c r="AC999" s="90" t="str">
        <f t="shared" ref="AC999:FG999" si="5328">AC997/X997-1</f>
        <v>#ERROR!</v>
      </c>
      <c r="AD999" s="90" t="str">
        <f t="shared" si="5328"/>
        <v>#ERROR!</v>
      </c>
      <c r="AE999" s="90" t="str">
        <f t="shared" si="5328"/>
        <v>#ERROR!</v>
      </c>
      <c r="AF999" s="90" t="str">
        <f t="shared" si="5328"/>
        <v>#ERROR!</v>
      </c>
      <c r="AG999" s="414" t="str">
        <f t="shared" si="5328"/>
        <v>#ERROR!</v>
      </c>
      <c r="AH999" s="90" t="str">
        <f t="shared" si="5328"/>
        <v>#ERROR!</v>
      </c>
      <c r="AI999" s="90" t="str">
        <f t="shared" si="5328"/>
        <v>#ERROR!</v>
      </c>
      <c r="AJ999" s="90" t="str">
        <f t="shared" si="5328"/>
        <v>#ERROR!</v>
      </c>
      <c r="AK999" s="90" t="str">
        <f t="shared" si="5328"/>
        <v>#ERROR!</v>
      </c>
      <c r="AL999" s="414" t="str">
        <f t="shared" si="5328"/>
        <v>#ERROR!</v>
      </c>
      <c r="AM999" s="90" t="str">
        <f t="shared" si="5328"/>
        <v>#ERROR!</v>
      </c>
      <c r="AN999" s="90" t="str">
        <f t="shared" si="5328"/>
        <v>#ERROR!</v>
      </c>
      <c r="AO999" s="90" t="str">
        <f t="shared" si="5328"/>
        <v>#ERROR!</v>
      </c>
      <c r="AP999" s="90" t="str">
        <f t="shared" si="5328"/>
        <v>#ERROR!</v>
      </c>
      <c r="AQ999" s="414" t="str">
        <f t="shared" si="5328"/>
        <v>#ERROR!</v>
      </c>
      <c r="AR999" s="90" t="str">
        <f t="shared" si="5328"/>
        <v>#ERROR!</v>
      </c>
      <c r="AS999" s="90" t="str">
        <f t="shared" si="5328"/>
        <v>#ERROR!</v>
      </c>
      <c r="AT999" s="90" t="str">
        <f t="shared" si="5328"/>
        <v>#ERROR!</v>
      </c>
      <c r="AU999" s="90" t="str">
        <f t="shared" si="5328"/>
        <v>#ERROR!</v>
      </c>
      <c r="AV999" s="414" t="str">
        <f t="shared" si="5328"/>
        <v>#ERROR!</v>
      </c>
      <c r="AW999" s="90" t="str">
        <f t="shared" si="5328"/>
        <v>#ERROR!</v>
      </c>
      <c r="AX999" s="90" t="str">
        <f t="shared" si="5328"/>
        <v>#ERROR!</v>
      </c>
      <c r="AY999" s="90" t="str">
        <f t="shared" si="5328"/>
        <v>#ERROR!</v>
      </c>
      <c r="AZ999" s="90" t="str">
        <f t="shared" si="5328"/>
        <v>#ERROR!</v>
      </c>
      <c r="BA999" s="414" t="str">
        <f t="shared" si="5328"/>
        <v>#ERROR!</v>
      </c>
      <c r="BB999" s="90" t="str">
        <f t="shared" si="5328"/>
        <v>#ERROR!</v>
      </c>
      <c r="BC999" s="90" t="str">
        <f t="shared" si="5328"/>
        <v>#ERROR!</v>
      </c>
      <c r="BD999" s="90" t="str">
        <f t="shared" si="5328"/>
        <v>#ERROR!</v>
      </c>
      <c r="BE999" s="90" t="str">
        <f t="shared" si="5328"/>
        <v>#ERROR!</v>
      </c>
      <c r="BF999" s="414" t="str">
        <f t="shared" si="5328"/>
        <v>#ERROR!</v>
      </c>
      <c r="BG999" s="90" t="str">
        <f t="shared" si="5328"/>
        <v>#ERROR!</v>
      </c>
      <c r="BH999" s="90" t="str">
        <f t="shared" si="5328"/>
        <v>#ERROR!</v>
      </c>
      <c r="BI999" s="90" t="str">
        <f t="shared" si="5328"/>
        <v>#ERROR!</v>
      </c>
      <c r="BJ999" s="90" t="str">
        <f t="shared" si="5328"/>
        <v>#ERROR!</v>
      </c>
      <c r="BK999" s="414" t="str">
        <f t="shared" si="5328"/>
        <v>#ERROR!</v>
      </c>
      <c r="BL999" s="90" t="str">
        <f t="shared" si="5328"/>
        <v>#ERROR!</v>
      </c>
      <c r="BM999" s="90" t="str">
        <f t="shared" si="5328"/>
        <v>#ERROR!</v>
      </c>
      <c r="BN999" s="90" t="str">
        <f t="shared" si="5328"/>
        <v>#ERROR!</v>
      </c>
      <c r="BO999" s="90" t="str">
        <f t="shared" si="5328"/>
        <v>#ERROR!</v>
      </c>
      <c r="BP999" s="414" t="str">
        <f t="shared" si="5328"/>
        <v>#ERROR!</v>
      </c>
      <c r="BQ999" s="90" t="str">
        <f t="shared" si="5328"/>
        <v>#ERROR!</v>
      </c>
      <c r="BR999" s="90" t="str">
        <f t="shared" si="5328"/>
        <v>#ERROR!</v>
      </c>
      <c r="BS999" s="90" t="str">
        <f t="shared" si="5328"/>
        <v>#ERROR!</v>
      </c>
      <c r="BT999" s="90" t="str">
        <f t="shared" si="5328"/>
        <v>#ERROR!</v>
      </c>
      <c r="BU999" s="414" t="str">
        <f t="shared" si="5328"/>
        <v>#ERROR!</v>
      </c>
      <c r="BV999" s="90" t="str">
        <f t="shared" si="5328"/>
        <v>#ERROR!</v>
      </c>
      <c r="BW999" s="90" t="str">
        <f t="shared" si="5328"/>
        <v>#ERROR!</v>
      </c>
      <c r="BX999" s="90" t="str">
        <f t="shared" si="5328"/>
        <v>#ERROR!</v>
      </c>
      <c r="BY999" s="90" t="str">
        <f t="shared" si="5328"/>
        <v>#ERROR!</v>
      </c>
      <c r="BZ999" s="415" t="str">
        <f t="shared" si="5328"/>
        <v>#ERROR!</v>
      </c>
      <c r="CA999" s="90" t="str">
        <f t="shared" si="5328"/>
        <v>#ERROR!</v>
      </c>
      <c r="CB999" s="90" t="str">
        <f t="shared" si="5328"/>
        <v>#ERROR!</v>
      </c>
      <c r="CC999" s="90" t="str">
        <f t="shared" si="5328"/>
        <v>#ERROR!</v>
      </c>
      <c r="CD999" s="90" t="str">
        <f t="shared" si="5328"/>
        <v>#ERROR!</v>
      </c>
      <c r="CE999" s="415" t="str">
        <f t="shared" si="5328"/>
        <v>#ERROR!</v>
      </c>
      <c r="CF999" s="90" t="str">
        <f t="shared" si="5328"/>
        <v>#ERROR!</v>
      </c>
      <c r="CG999" s="90" t="str">
        <f t="shared" si="5328"/>
        <v>#ERROR!</v>
      </c>
      <c r="CH999" s="90" t="str">
        <f t="shared" si="5328"/>
        <v>#ERROR!</v>
      </c>
      <c r="CI999" s="90" t="str">
        <f t="shared" si="5328"/>
        <v>#ERROR!</v>
      </c>
      <c r="CJ999" s="415" t="str">
        <f t="shared" si="5328"/>
        <v>#ERROR!</v>
      </c>
      <c r="CK999" s="90" t="str">
        <f t="shared" si="5328"/>
        <v>#ERROR!</v>
      </c>
      <c r="CL999" s="90" t="str">
        <f t="shared" si="5328"/>
        <v>#ERROR!</v>
      </c>
      <c r="CM999" s="90" t="str">
        <f t="shared" si="5328"/>
        <v>#ERROR!</v>
      </c>
      <c r="CN999" s="135" t="str">
        <f t="shared" si="5328"/>
        <v>#ERROR!</v>
      </c>
      <c r="CO999" s="415" t="str">
        <f t="shared" si="5328"/>
        <v>#ERROR!</v>
      </c>
      <c r="CP999" s="135" t="str">
        <f t="shared" si="5328"/>
        <v>#ERROR!</v>
      </c>
      <c r="CQ999" s="90" t="str">
        <f t="shared" si="5328"/>
        <v>#ERROR!</v>
      </c>
      <c r="CR999" s="90" t="str">
        <f t="shared" si="5328"/>
        <v>#ERROR!</v>
      </c>
      <c r="CS999" s="90" t="str">
        <f t="shared" si="5328"/>
        <v>#ERROR!</v>
      </c>
      <c r="CT999" s="415" t="str">
        <f t="shared" si="5328"/>
        <v>#ERROR!</v>
      </c>
      <c r="CU999" s="90" t="str">
        <f t="shared" si="5328"/>
        <v>#ERROR!</v>
      </c>
      <c r="CV999" s="90" t="str">
        <f t="shared" si="5328"/>
        <v>#ERROR!</v>
      </c>
      <c r="CW999" s="90" t="str">
        <f t="shared" si="5328"/>
        <v>#ERROR!</v>
      </c>
      <c r="CX999" s="90" t="str">
        <f t="shared" si="5328"/>
        <v>#ERROR!</v>
      </c>
      <c r="CY999" s="415" t="str">
        <f t="shared" si="5328"/>
        <v>#ERROR!</v>
      </c>
      <c r="CZ999" s="90" t="str">
        <f t="shared" si="5328"/>
        <v>#ERROR!</v>
      </c>
      <c r="DA999" s="90" t="str">
        <f t="shared" si="5328"/>
        <v>#ERROR!</v>
      </c>
      <c r="DB999" s="90" t="str">
        <f t="shared" si="5328"/>
        <v>#ERROR!</v>
      </c>
      <c r="DC999" s="90" t="str">
        <f t="shared" si="5328"/>
        <v>#ERROR!</v>
      </c>
      <c r="DD999" s="415" t="str">
        <f t="shared" si="5328"/>
        <v>#ERROR!</v>
      </c>
      <c r="DE999" s="90" t="str">
        <f t="shared" si="5328"/>
        <v>#ERROR!</v>
      </c>
      <c r="DF999" s="90" t="str">
        <f t="shared" si="5328"/>
        <v>#ERROR!</v>
      </c>
      <c r="DG999" s="16" t="str">
        <f t="shared" si="5328"/>
        <v>#ERROR!</v>
      </c>
      <c r="DH999" s="90" t="str">
        <f t="shared" si="5328"/>
        <v>#ERROR!</v>
      </c>
      <c r="DI999" s="415" t="str">
        <f t="shared" si="5328"/>
        <v>#ERROR!</v>
      </c>
      <c r="DJ999" s="135" t="str">
        <f t="shared" si="5328"/>
        <v>#ERROR!</v>
      </c>
      <c r="DK999" s="135" t="str">
        <f t="shared" si="5328"/>
        <v>#ERROR!</v>
      </c>
      <c r="DL999" s="135" t="str">
        <f t="shared" si="5328"/>
        <v>#ERROR!</v>
      </c>
      <c r="DM999" s="90" t="str">
        <f t="shared" si="5328"/>
        <v>#ERROR!</v>
      </c>
      <c r="DN999" s="415" t="str">
        <f t="shared" si="5328"/>
        <v>#ERROR!</v>
      </c>
      <c r="DO999" s="90" t="str">
        <f t="shared" si="5328"/>
        <v>#ERROR!</v>
      </c>
      <c r="DP999" s="90" t="str">
        <f t="shared" si="5328"/>
        <v>#ERROR!</v>
      </c>
      <c r="DQ999" s="90" t="str">
        <f t="shared" si="5328"/>
        <v>#ERROR!</v>
      </c>
      <c r="DR999" s="90" t="str">
        <f t="shared" si="5328"/>
        <v>#ERROR!</v>
      </c>
      <c r="DS999" s="415" t="str">
        <f t="shared" si="5328"/>
        <v>#ERROR!</v>
      </c>
      <c r="DT999" s="90" t="str">
        <f t="shared" si="5328"/>
        <v>#ERROR!</v>
      </c>
      <c r="DU999" s="90" t="str">
        <f t="shared" si="5328"/>
        <v>#ERROR!</v>
      </c>
      <c r="DV999" s="90" t="str">
        <f t="shared" si="5328"/>
        <v>#ERROR!</v>
      </c>
      <c r="DW999" s="90" t="str">
        <f t="shared" si="5328"/>
        <v>#ERROR!</v>
      </c>
      <c r="DX999" s="415" t="str">
        <f t="shared" si="5328"/>
        <v>#ERROR!</v>
      </c>
      <c r="DY999" s="90" t="str">
        <f t="shared" si="5328"/>
        <v>#ERROR!</v>
      </c>
      <c r="DZ999" s="90" t="str">
        <f t="shared" si="5328"/>
        <v>#ERROR!</v>
      </c>
      <c r="EA999" s="90" t="str">
        <f t="shared" si="5328"/>
        <v>#ERROR!</v>
      </c>
      <c r="EB999" s="90" t="str">
        <f t="shared" si="5328"/>
        <v>#ERROR!</v>
      </c>
      <c r="EC999" s="415" t="str">
        <f t="shared" si="5328"/>
        <v>#ERROR!</v>
      </c>
      <c r="ED999" s="90" t="str">
        <f t="shared" si="5328"/>
        <v>#ERROR!</v>
      </c>
      <c r="EE999" s="90" t="str">
        <f t="shared" si="5328"/>
        <v>#ERROR!</v>
      </c>
      <c r="EF999" s="90" t="str">
        <f t="shared" si="5328"/>
        <v>#ERROR!</v>
      </c>
      <c r="EG999" s="90" t="str">
        <f t="shared" si="5328"/>
        <v>#ERROR!</v>
      </c>
      <c r="EH999" s="415" t="str">
        <f t="shared" si="5328"/>
        <v>#ERROR!</v>
      </c>
      <c r="EI999" s="389" t="str">
        <f t="shared" si="5328"/>
        <v>#ERROR!</v>
      </c>
      <c r="EJ999" s="90" t="str">
        <f t="shared" si="5328"/>
        <v>#ERROR!</v>
      </c>
      <c r="EK999" s="90" t="str">
        <f t="shared" si="5328"/>
        <v>#ERROR!</v>
      </c>
      <c r="EL999" s="90" t="str">
        <f t="shared" si="5328"/>
        <v>#ERROR!</v>
      </c>
      <c r="EM999" s="415" t="str">
        <f t="shared" si="5328"/>
        <v>#ERROR!</v>
      </c>
      <c r="EN999" s="90" t="str">
        <f t="shared" si="5328"/>
        <v>#ERROR!</v>
      </c>
      <c r="EO999" s="90" t="str">
        <f t="shared" si="5328"/>
        <v>#ERROR!</v>
      </c>
      <c r="EP999" s="90" t="str">
        <f t="shared" si="5328"/>
        <v>#ERROR!</v>
      </c>
      <c r="EQ999" s="90" t="str">
        <f t="shared" si="5328"/>
        <v>#ERROR!</v>
      </c>
      <c r="ER999" s="415" t="str">
        <f t="shared" si="5328"/>
        <v>#ERROR!</v>
      </c>
      <c r="ES999" s="90" t="str">
        <f t="shared" si="5328"/>
        <v>#ERROR!</v>
      </c>
      <c r="ET999" s="90" t="str">
        <f t="shared" si="5328"/>
        <v>#ERROR!</v>
      </c>
      <c r="EU999" s="90" t="str">
        <f t="shared" si="5328"/>
        <v>#ERROR!</v>
      </c>
      <c r="EV999" s="90" t="str">
        <f t="shared" si="5328"/>
        <v>#ERROR!</v>
      </c>
      <c r="EW999" s="415" t="str">
        <f t="shared" si="5328"/>
        <v>#ERROR!</v>
      </c>
      <c r="EX999" s="90" t="str">
        <f t="shared" si="5328"/>
        <v>#ERROR!</v>
      </c>
      <c r="EY999" s="90" t="str">
        <f t="shared" si="5328"/>
        <v>#ERROR!</v>
      </c>
      <c r="EZ999" s="90" t="str">
        <f t="shared" si="5328"/>
        <v>#ERROR!</v>
      </c>
      <c r="FA999" s="90" t="str">
        <f t="shared" si="5328"/>
        <v>#ERROR!</v>
      </c>
      <c r="FB999" s="415" t="str">
        <f t="shared" si="5328"/>
        <v>#ERROR!</v>
      </c>
      <c r="FC999" s="90" t="str">
        <f t="shared" si="5328"/>
        <v>#ERROR!</v>
      </c>
      <c r="FD999" s="90" t="str">
        <f t="shared" si="5328"/>
        <v>#ERROR!</v>
      </c>
      <c r="FE999" s="90" t="str">
        <f t="shared" si="5328"/>
        <v>#ERROR!</v>
      </c>
      <c r="FF999" s="90" t="str">
        <f t="shared" si="5328"/>
        <v>#ERROR!</v>
      </c>
      <c r="FG999" s="415" t="str">
        <f t="shared" si="5328"/>
        <v>#ERROR!</v>
      </c>
      <c r="FH999" s="388"/>
      <c r="FI999" s="90"/>
      <c r="FJ999" s="90"/>
      <c r="FK999" s="414"/>
      <c r="FL999" s="90"/>
    </row>
    <row r="1000" ht="12.75" hidden="1" customHeight="1" outlineLevel="1">
      <c r="A1000" s="715"/>
      <c r="B1000" s="718" t="s">
        <v>353</v>
      </c>
      <c r="C1000" s="718"/>
      <c r="D1000" s="672"/>
      <c r="E1000" s="672"/>
      <c r="F1000" s="672"/>
      <c r="G1000" s="672"/>
      <c r="H1000" s="720"/>
      <c r="I1000" s="672" t="str">
        <f>I985+[2]MPU!I166+I993</f>
        <v>#ERROR!</v>
      </c>
      <c r="J1000" s="672" t="str">
        <f>J985+[2]MPU!J166+J993</f>
        <v>#ERROR!</v>
      </c>
      <c r="K1000" s="672" t="str">
        <f>K985+[2]MPU!K166+K993</f>
        <v>#ERROR!</v>
      </c>
      <c r="L1000" s="672" t="str">
        <f>L985+[2]MPU!L166+L993</f>
        <v>#ERROR!</v>
      </c>
      <c r="M1000" s="720" t="str">
        <f>M985+[2]MPU!M166+M993</f>
        <v>#ERROR!</v>
      </c>
      <c r="N1000" s="672" t="str">
        <f>N985+[2]MPU!N166+N993</f>
        <v>#ERROR!</v>
      </c>
      <c r="O1000" s="672" t="str">
        <f>O985+[2]MPU!O166+O993</f>
        <v>#ERROR!</v>
      </c>
      <c r="P1000" s="672" t="str">
        <f>P985+[2]MPU!P166+P993</f>
        <v>#ERROR!</v>
      </c>
      <c r="Q1000" s="672" t="str">
        <f>Q985+[2]MPU!Q166+Q993</f>
        <v>#ERROR!</v>
      </c>
      <c r="R1000" s="720" t="str">
        <f>R985+[2]MPU!R166+R993</f>
        <v>#ERROR!</v>
      </c>
      <c r="S1000" s="672" t="str">
        <f>S985+[2]MPU!S166+S993</f>
        <v>#ERROR!</v>
      </c>
      <c r="T1000" s="672" t="str">
        <f>T985+[2]MPU!T166+T993</f>
        <v>#ERROR!</v>
      </c>
      <c r="U1000" s="672" t="str">
        <f>U985+[2]MPU!U166+U993</f>
        <v>#ERROR!</v>
      </c>
      <c r="V1000" s="672" t="str">
        <f>V985+[2]MPU!V166+V993</f>
        <v>#ERROR!</v>
      </c>
      <c r="W1000" s="720" t="str">
        <f>W985+[2]MPU!W166+W993</f>
        <v>#ERROR!</v>
      </c>
      <c r="X1000" s="672" t="str">
        <f>X985+[2]MPU!X166+X993</f>
        <v>#ERROR!</v>
      </c>
      <c r="Y1000" s="672" t="str">
        <f>Y985+[2]MPU!Y166+Y993</f>
        <v>#ERROR!</v>
      </c>
      <c r="Z1000" s="672" t="str">
        <f>Z985+[2]MPU!Z166+Z993</f>
        <v>#ERROR!</v>
      </c>
      <c r="AA1000" s="672" t="str">
        <f>AA985+[2]MPU!AA166+AA993</f>
        <v>#ERROR!</v>
      </c>
      <c r="AB1000" s="720" t="str">
        <f>AB985+[2]MPU!AB166+AB993</f>
        <v>#ERROR!</v>
      </c>
      <c r="AC1000" s="672" t="str">
        <f>AC985+[2]MPU!AC166+AC993</f>
        <v>#ERROR!</v>
      </c>
      <c r="AD1000" s="672" t="str">
        <f>AD985+[2]MPU!AD166+AD993</f>
        <v>#ERROR!</v>
      </c>
      <c r="AE1000" s="672" t="str">
        <f>AE985+[2]MPU!AE166+AE993</f>
        <v>#ERROR!</v>
      </c>
      <c r="AF1000" s="672" t="str">
        <f>AF985+[2]MPU!AF166+AF993</f>
        <v>#ERROR!</v>
      </c>
      <c r="AG1000" s="720" t="str">
        <f>AG985+[2]MPU!AG166+AG993</f>
        <v>#ERROR!</v>
      </c>
      <c r="AH1000" s="672" t="str">
        <f>AH985+[2]MPU!AH166+AH993</f>
        <v>#ERROR!</v>
      </c>
      <c r="AI1000" s="672" t="str">
        <f>AI985+[2]MPU!AI166+AI993</f>
        <v>#ERROR!</v>
      </c>
      <c r="AJ1000" s="672" t="str">
        <f>AJ985+[2]MPU!AJ166+AJ993</f>
        <v>#ERROR!</v>
      </c>
      <c r="AK1000" s="672" t="str">
        <f>AK985+[2]MPU!AK166+AK993</f>
        <v>#ERROR!</v>
      </c>
      <c r="AL1000" s="720" t="str">
        <f>AL985+[2]MPU!AL166+AL993</f>
        <v>#ERROR!</v>
      </c>
      <c r="AM1000" s="672" t="str">
        <f>AM985+[2]MPU!AM166+AM993</f>
        <v>#ERROR!</v>
      </c>
      <c r="AN1000" s="672" t="str">
        <f>AN985+[2]MPU!AN166+AN993</f>
        <v>#ERROR!</v>
      </c>
      <c r="AO1000" s="672" t="str">
        <f>AO985+[2]MPU!AO166+AO993</f>
        <v>#ERROR!</v>
      </c>
      <c r="AP1000" s="672" t="str">
        <f>AP985+[2]MPU!AP166+AP993</f>
        <v>#ERROR!</v>
      </c>
      <c r="AQ1000" s="720" t="str">
        <f>AQ985+[2]MPU!AQ166+AQ993</f>
        <v>#ERROR!</v>
      </c>
      <c r="AR1000" s="672" t="str">
        <f>AR985+[2]MPU!AR166+AR993</f>
        <v>#ERROR!</v>
      </c>
      <c r="AS1000" s="672" t="str">
        <f>AS985+[2]MPU!AS166+AS993</f>
        <v>#ERROR!</v>
      </c>
      <c r="AT1000" s="672" t="str">
        <f>AT985+[2]MPU!AT166+AT993</f>
        <v>#ERROR!</v>
      </c>
      <c r="AU1000" s="672" t="str">
        <f>AU985+[2]MPU!AU166+AU993</f>
        <v>#ERROR!</v>
      </c>
      <c r="AV1000" s="720" t="str">
        <f>AV985+[2]MPU!AV166+AV993</f>
        <v>#ERROR!</v>
      </c>
      <c r="AW1000" s="672" t="str">
        <f>AW985+[2]MPU!AW166+AW993</f>
        <v>#ERROR!</v>
      </c>
      <c r="AX1000" s="672" t="str">
        <f>AX985+[2]MPU!AX166+AX993</f>
        <v>#ERROR!</v>
      </c>
      <c r="AY1000" s="672" t="str">
        <f>AY985+[2]MPU!AY166+AY993</f>
        <v>#ERROR!</v>
      </c>
      <c r="AZ1000" s="672" t="str">
        <f>AZ985+[2]MPU!AZ166+AZ993</f>
        <v>#ERROR!</v>
      </c>
      <c r="BA1000" s="720" t="str">
        <f>BA985+[2]MPU!BA166+BA993</f>
        <v>#ERROR!</v>
      </c>
      <c r="BB1000" s="672" t="str">
        <f>BB985+[2]MPU!BB166+BB993</f>
        <v>#ERROR!</v>
      </c>
      <c r="BC1000" s="672" t="str">
        <f>BC985+[2]MPU!BC166+BC993</f>
        <v>#ERROR!</v>
      </c>
      <c r="BD1000" s="672" t="str">
        <f>BD985+[2]MPU!BD166+BD993</f>
        <v>#ERROR!</v>
      </c>
      <c r="BE1000" s="672" t="str">
        <f>BE985+[2]MPU!BE166+BE993</f>
        <v>#ERROR!</v>
      </c>
      <c r="BF1000" s="720" t="str">
        <f>BF985+[2]MPU!BF166+BF993</f>
        <v>#ERROR!</v>
      </c>
      <c r="BG1000" s="672" t="str">
        <f>ServerSales+DesktopSales+MobileSales</f>
        <v>#ERROR!</v>
      </c>
      <c r="BH1000" s="672" t="str">
        <f>ServerSales+DesktopSales+MobileSales</f>
        <v>#ERROR!</v>
      </c>
      <c r="BI1000" s="672" t="str">
        <f>ServerSales+DesktopSales+MobileSales</f>
        <v>#ERROR!</v>
      </c>
      <c r="BJ1000" s="672" t="str">
        <f>ServerSales+DesktopSales+MobileSales</f>
        <v>#ERROR!</v>
      </c>
      <c r="BK1000" s="720" t="str">
        <f>ServerSales+DesktopSales+MobileSales</f>
        <v>#ERROR!</v>
      </c>
      <c r="BL1000" s="672" t="str">
        <f>ServerSales+DesktopSales+MobileSales</f>
        <v>#ERROR!</v>
      </c>
      <c r="BM1000" s="672" t="str">
        <f>ServerSales+DesktopSales+MobileSales</f>
        <v>#ERROR!</v>
      </c>
      <c r="BN1000" s="672" t="str">
        <f>ServerSales+DesktopSales+MobileSales</f>
        <v>#ERROR!</v>
      </c>
      <c r="BO1000" s="672" t="str">
        <f>ServerSales+DesktopSales+MobileSales</f>
        <v>#ERROR!</v>
      </c>
      <c r="BP1000" s="720" t="str">
        <f>ServerSales+DesktopSales+MobileSales</f>
        <v>#ERROR!</v>
      </c>
      <c r="BQ1000" s="672" t="str">
        <f>ServerSales+DesktopSales+MobileSales</f>
        <v>#ERROR!</v>
      </c>
      <c r="BR1000" s="672" t="str">
        <f>ServerSales+DesktopSales+MobileSales</f>
        <v>#ERROR!</v>
      </c>
      <c r="BS1000" s="672" t="str">
        <f>ServerSales+DesktopSales+MobileSales</f>
        <v>#ERROR!</v>
      </c>
      <c r="BT1000" s="672" t="str">
        <f>ServerSales+DesktopSales+MobileSales</f>
        <v>#ERROR!</v>
      </c>
      <c r="BU1000" s="720" t="str">
        <f>ServerSales+DesktopSales+MobileSales</f>
        <v>#ERROR!</v>
      </c>
      <c r="BV1000" s="672" t="str">
        <f>ServerSales+DesktopSales+MobileSales</f>
        <v>#ERROR!</v>
      </c>
      <c r="BW1000" s="672" t="str">
        <f>ServerSales+DesktopSales+MobileSales</f>
        <v>#ERROR!</v>
      </c>
      <c r="BX1000" s="672" t="str">
        <f>ServerSales+DesktopSales+MobileSales</f>
        <v>#ERROR!</v>
      </c>
      <c r="BY1000" s="672" t="str">
        <f>ServerSales+DesktopSales+MobileSales</f>
        <v>#ERROR!</v>
      </c>
      <c r="BZ1000" s="721" t="str">
        <f>ServerSales+DesktopSales+MobileSales</f>
        <v>#ERROR!</v>
      </c>
      <c r="CA1000" s="672" t="str">
        <f>ServerSales+DesktopSales+MobileSales</f>
        <v>#ERROR!</v>
      </c>
      <c r="CB1000" s="672" t="str">
        <f>ServerSales+DesktopSales+MobileSales</f>
        <v>#ERROR!</v>
      </c>
      <c r="CC1000" s="672" t="str">
        <f>ServerSales+DesktopSales+MobileSales</f>
        <v>#ERROR!</v>
      </c>
      <c r="CD1000" s="672" t="str">
        <f>ServerSales+DesktopSales+MobileSales</f>
        <v>#ERROR!</v>
      </c>
      <c r="CE1000" s="721" t="str">
        <f>ServerSales+DesktopSales+MobileSales</f>
        <v>#ERROR!</v>
      </c>
      <c r="CF1000" s="672" t="str">
        <f>ServerSales+DesktopSales+MobileSales</f>
        <v>#ERROR!</v>
      </c>
      <c r="CG1000" s="672" t="str">
        <f>ServerSales+DesktopSales+MobileSales</f>
        <v>#ERROR!</v>
      </c>
      <c r="CH1000" s="672" t="str">
        <f>ServerSales+DesktopSales+MobileSales</f>
        <v>#ERROR!</v>
      </c>
      <c r="CI1000" s="672" t="str">
        <f>ServerSales+DesktopSales+MobileSales</f>
        <v>#ERROR!</v>
      </c>
      <c r="CJ1000" s="721" t="str">
        <f>ServerSales+DesktopSales+MobileSales</f>
        <v>#ERROR!</v>
      </c>
      <c r="CK1000" s="672" t="str">
        <f>ServerSales+DesktopSales+MobileSales</f>
        <v>#ERROR!</v>
      </c>
      <c r="CL1000" s="672" t="str">
        <f>ServerSales+DesktopSales+MobileSales</f>
        <v>#ERROR!</v>
      </c>
      <c r="CM1000" s="672" t="str">
        <f>ServerSales+DesktopSales+MobileSales</f>
        <v>#ERROR!</v>
      </c>
      <c r="CN1000" s="675" t="str">
        <f>ServerSales+DesktopSales+MobileSales</f>
        <v>#ERROR!</v>
      </c>
      <c r="CO1000" s="721" t="str">
        <f>ServerSales+DesktopSales+MobileSales</f>
        <v>#ERROR!</v>
      </c>
      <c r="CP1000" s="675" t="str">
        <f>ServerSales+DesktopSales+MobileSales</f>
        <v>#ERROR!</v>
      </c>
      <c r="CQ1000" s="672" t="str">
        <f>ServerSales+DesktopSales+MobileSales</f>
        <v>#ERROR!</v>
      </c>
      <c r="CR1000" s="672" t="str">
        <f>ServerSales+DesktopSales+MobileSales</f>
        <v>#ERROR!</v>
      </c>
      <c r="CS1000" s="672" t="str">
        <f>ServerSales+DesktopSales+MobileSales</f>
        <v>#ERROR!</v>
      </c>
      <c r="CT1000" s="721" t="str">
        <f>ServerSales+DesktopSales+MobileSales</f>
        <v>#ERROR!</v>
      </c>
      <c r="CU1000" s="672" t="str">
        <f>ServerSales+DesktopSales+MobileSales</f>
        <v>#ERROR!</v>
      </c>
      <c r="CV1000" s="672" t="str">
        <f>ServerSales+DesktopSales+MobileSales</f>
        <v>#ERROR!</v>
      </c>
      <c r="CW1000" s="672" t="str">
        <f>ServerSales+DesktopSales+MobileSales</f>
        <v>#ERROR!</v>
      </c>
      <c r="CX1000" s="672" t="str">
        <f>ServerSales+DesktopSales+MobileSales</f>
        <v>#ERROR!</v>
      </c>
      <c r="CY1000" s="721" t="str">
        <f>ServerSales+DesktopSales+MobileSales</f>
        <v>#ERROR!</v>
      </c>
      <c r="CZ1000" s="672" t="str">
        <f>ServerSales+DesktopSales+MobileSales</f>
        <v>#ERROR!</v>
      </c>
      <c r="DA1000" s="672" t="str">
        <f>ServerSales+DesktopSales+MobileSales</f>
        <v>#ERROR!</v>
      </c>
      <c r="DB1000" s="672" t="str">
        <f>ServerSales+DesktopSales+MobileSales</f>
        <v>#ERROR!</v>
      </c>
      <c r="DC1000" s="672" t="str">
        <f>ServerSales+DesktopSales+MobileSales</f>
        <v>#ERROR!</v>
      </c>
      <c r="DD1000" s="721" t="str">
        <f>ServerSales+DesktopSales+MobileSales</f>
        <v>#ERROR!</v>
      </c>
      <c r="DE1000" s="672" t="str">
        <f>ServerSales+DesktopSales+MobileSales</f>
        <v>#ERROR!</v>
      </c>
      <c r="DF1000" s="672" t="str">
        <f>ServerSales+DesktopSales+MobileSales</f>
        <v>#ERROR!</v>
      </c>
      <c r="DG1000" s="19" t="str">
        <f>ServerSales+DesktopSales+MobileSales</f>
        <v>#ERROR!</v>
      </c>
      <c r="DH1000" s="672" t="str">
        <f>ServerSales+DesktopSales+MobileSales</f>
        <v>#ERROR!</v>
      </c>
      <c r="DI1000" s="721" t="str">
        <f>ServerSales+DesktopSales+MobileSales</f>
        <v>#ERROR!</v>
      </c>
      <c r="DJ1000" s="675" t="str">
        <f>ServerSales+DesktopSales+MobileSales</f>
        <v>#ERROR!</v>
      </c>
      <c r="DK1000" s="675" t="str">
        <f>ServerSales+DesktopSales+MobileSales</f>
        <v>#ERROR!</v>
      </c>
      <c r="DL1000" s="675" t="str">
        <f>ServerSales+DesktopSales+MobileSales</f>
        <v>#ERROR!</v>
      </c>
      <c r="DM1000" s="672" t="str">
        <f>ServerSales+DesktopSales+MobileSales</f>
        <v>#ERROR!</v>
      </c>
      <c r="DN1000" s="721" t="str">
        <f>ServerSales+DesktopSales+MobileSales</f>
        <v>#ERROR!</v>
      </c>
      <c r="DO1000" s="672" t="str">
        <f>ServerSales+DesktopSales+MobileSales</f>
        <v>#ERROR!</v>
      </c>
      <c r="DP1000" s="672" t="str">
        <f>ServerSales+DesktopSales+MobileSales</f>
        <v>#ERROR!</v>
      </c>
      <c r="DQ1000" s="672" t="str">
        <f>ServerSales+DesktopSales+MobileSales</f>
        <v>#ERROR!</v>
      </c>
      <c r="DR1000" s="672" t="str">
        <f>ServerSales+DesktopSales+MobileSales</f>
        <v>#ERROR!</v>
      </c>
      <c r="DS1000" s="721" t="str">
        <f>ServerSales+DesktopSales+MobileSales</f>
        <v>#ERROR!</v>
      </c>
      <c r="DT1000" s="672" t="str">
        <f>ServerSales+DesktopSales+MobileSales</f>
        <v>#ERROR!</v>
      </c>
      <c r="DU1000" s="672" t="str">
        <f>ServerSales+DesktopSales+MobileSales</f>
        <v>#ERROR!</v>
      </c>
      <c r="DV1000" s="672" t="str">
        <f>ServerSales+DesktopSales+MobileSales</f>
        <v>#ERROR!</v>
      </c>
      <c r="DW1000" s="672" t="str">
        <f>ServerSales+DesktopSales+MobileSales</f>
        <v>#ERROR!</v>
      </c>
      <c r="DX1000" s="721" t="str">
        <f>ServerSales+DesktopSales+MobileSales</f>
        <v>#ERROR!</v>
      </c>
      <c r="DY1000" s="672" t="str">
        <f>ServerSales+DesktopSales+MobileSales</f>
        <v>#ERROR!</v>
      </c>
      <c r="DZ1000" s="672" t="str">
        <f>ServerSales+DesktopSales+MobileSales</f>
        <v>#ERROR!</v>
      </c>
      <c r="EA1000" s="672" t="str">
        <f>ServerSales+DesktopSales+MobileSales</f>
        <v>#ERROR!</v>
      </c>
      <c r="EB1000" s="672" t="str">
        <f>ServerSales+DesktopSales+MobileSales</f>
        <v>#ERROR!</v>
      </c>
      <c r="EC1000" s="721" t="str">
        <f>ServerSales+DesktopSales+MobileSales</f>
        <v>#ERROR!</v>
      </c>
      <c r="ED1000" s="672" t="str">
        <f>ServerSales+DesktopSales+MobileSales</f>
        <v>#ERROR!</v>
      </c>
      <c r="EE1000" s="672" t="str">
        <f>ServerSales+DesktopSales+MobileSales</f>
        <v>#ERROR!</v>
      </c>
      <c r="EF1000" s="672" t="str">
        <f>ServerSales+DesktopSales+MobileSales</f>
        <v>#ERROR!</v>
      </c>
      <c r="EG1000" s="672" t="str">
        <f>ServerSales+DesktopSales+MobileSales</f>
        <v>#ERROR!</v>
      </c>
      <c r="EH1000" s="721" t="str">
        <f>ServerSales+DesktopSales+MobileSales</f>
        <v>#ERROR!</v>
      </c>
      <c r="EI1000" s="676" t="str">
        <f>ServerSales+DesktopSales+MobileSales</f>
        <v>#ERROR!</v>
      </c>
      <c r="EJ1000" s="672" t="str">
        <f>ServerSales+DesktopSales+MobileSales</f>
        <v>#ERROR!</v>
      </c>
      <c r="EK1000" s="672" t="str">
        <f>ServerSales+DesktopSales+MobileSales</f>
        <v>#ERROR!</v>
      </c>
      <c r="EL1000" s="672" t="str">
        <f>ServerSales+DesktopSales+MobileSales</f>
        <v>#ERROR!</v>
      </c>
      <c r="EM1000" s="721" t="str">
        <f>ServerSales+DesktopSales+MobileSales</f>
        <v>#ERROR!</v>
      </c>
      <c r="EN1000" s="672" t="str">
        <f>ServerSales+DesktopSales+MobileSales</f>
        <v>#ERROR!</v>
      </c>
      <c r="EO1000" s="672" t="str">
        <f>ServerSales+DesktopSales+MobileSales</f>
        <v>#ERROR!</v>
      </c>
      <c r="EP1000" s="672" t="str">
        <f>ServerSales+DesktopSales+MobileSales</f>
        <v>#ERROR!</v>
      </c>
      <c r="EQ1000" s="672" t="str">
        <f>ServerSales+DesktopSales+MobileSales</f>
        <v>#ERROR!</v>
      </c>
      <c r="ER1000" s="721" t="str">
        <f>ServerSales+DesktopSales+MobileSales</f>
        <v>#ERROR!</v>
      </c>
      <c r="ES1000" s="672" t="str">
        <f>ServerSales+DesktopSales+MobileSales</f>
        <v>#ERROR!</v>
      </c>
      <c r="ET1000" s="672" t="str">
        <f>ServerSales+DesktopSales+MobileSales</f>
        <v>#ERROR!</v>
      </c>
      <c r="EU1000" s="672" t="str">
        <f>ServerSales+DesktopSales+MobileSales</f>
        <v>#ERROR!</v>
      </c>
      <c r="EV1000" s="672" t="str">
        <f>ServerSales+DesktopSales+MobileSales</f>
        <v>#ERROR!</v>
      </c>
      <c r="EW1000" s="721" t="str">
        <f>ServerSales+DesktopSales+MobileSales</f>
        <v>#ERROR!</v>
      </c>
      <c r="EX1000" s="672" t="str">
        <f>ServerSales+DesktopSales+MobileSales</f>
        <v>#ERROR!</v>
      </c>
      <c r="EY1000" s="672" t="str">
        <f>ServerSales+DesktopSales+MobileSales</f>
        <v>#ERROR!</v>
      </c>
      <c r="EZ1000" s="672" t="str">
        <f>ServerSales+DesktopSales+MobileSales</f>
        <v>#ERROR!</v>
      </c>
      <c r="FA1000" s="672" t="str">
        <f>ServerSales+DesktopSales+MobileSales</f>
        <v>#ERROR!</v>
      </c>
      <c r="FB1000" s="721" t="str">
        <f>ServerSales+DesktopSales+MobileSales</f>
        <v>#ERROR!</v>
      </c>
      <c r="FC1000" s="672" t="str">
        <f>ServerSales+DesktopSales+MobileSales</f>
        <v>#ERROR!</v>
      </c>
      <c r="FD1000" s="672" t="str">
        <f>ServerSales+DesktopSales+MobileSales</f>
        <v>#ERROR!</v>
      </c>
      <c r="FE1000" s="672" t="str">
        <f>ServerSales+DesktopSales+MobileSales</f>
        <v>#ERROR!</v>
      </c>
      <c r="FF1000" s="672" t="str">
        <f>ServerSales+DesktopSales+MobileSales</f>
        <v>#ERROR!</v>
      </c>
      <c r="FG1000" s="721" t="str">
        <f>ServerSales+DesktopSales+MobileSales</f>
        <v>#ERROR!</v>
      </c>
      <c r="FH1000" s="722"/>
      <c r="FI1000" s="672"/>
      <c r="FJ1000" s="672"/>
      <c r="FK1000" s="720"/>
      <c r="FL1000" s="672"/>
    </row>
    <row r="1001" ht="12.75" hidden="1" customHeight="1" outlineLevel="1">
      <c r="A1001" s="162"/>
      <c r="B1001" s="162" t="s">
        <v>345</v>
      </c>
      <c r="C1001" s="162"/>
      <c r="D1001" s="15"/>
      <c r="E1001" s="15"/>
      <c r="F1001" s="15"/>
      <c r="G1001" s="15"/>
      <c r="H1001" s="410"/>
      <c r="I1001" s="15"/>
      <c r="J1001" s="15" t="str">
        <f t="shared" ref="J1001:L1001" si="5329">J1000/I1000-1</f>
        <v>#ERROR!</v>
      </c>
      <c r="K1001" s="15" t="str">
        <f t="shared" si="5329"/>
        <v>#ERROR!</v>
      </c>
      <c r="L1001" s="15" t="str">
        <f t="shared" si="5329"/>
        <v>#ERROR!</v>
      </c>
      <c r="M1001" s="410"/>
      <c r="N1001" s="15"/>
      <c r="O1001" s="15" t="str">
        <f t="shared" ref="O1001:Q1001" si="5330">O1000/N1000-1</f>
        <v>#ERROR!</v>
      </c>
      <c r="P1001" s="15" t="str">
        <f t="shared" si="5330"/>
        <v>#ERROR!</v>
      </c>
      <c r="Q1001" s="15" t="str">
        <f t="shared" si="5330"/>
        <v>#ERROR!</v>
      </c>
      <c r="R1001" s="410"/>
      <c r="S1001" s="15"/>
      <c r="T1001" s="15" t="str">
        <f t="shared" ref="T1001:V1001" si="5331">T1000/S1000-1</f>
        <v>#ERROR!</v>
      </c>
      <c r="U1001" s="15" t="str">
        <f t="shared" si="5331"/>
        <v>#ERROR!</v>
      </c>
      <c r="V1001" s="15" t="str">
        <f t="shared" si="5331"/>
        <v>#ERROR!</v>
      </c>
      <c r="W1001" s="410"/>
      <c r="X1001" s="15"/>
      <c r="Y1001" s="15" t="str">
        <f t="shared" ref="Y1001:AA1001" si="5332">Y1000/X1000-1</f>
        <v>#ERROR!</v>
      </c>
      <c r="Z1001" s="15" t="str">
        <f t="shared" si="5332"/>
        <v>#ERROR!</v>
      </c>
      <c r="AA1001" s="15" t="str">
        <f t="shared" si="5332"/>
        <v>#ERROR!</v>
      </c>
      <c r="AB1001" s="410"/>
      <c r="AC1001" s="15" t="str">
        <f>AC1000/AA1000-1</f>
        <v>#ERROR!</v>
      </c>
      <c r="AD1001" s="15" t="str">
        <f t="shared" ref="AD1001:AF1001" si="5333">AD1000/AC1000-1</f>
        <v>#ERROR!</v>
      </c>
      <c r="AE1001" s="15" t="str">
        <f t="shared" si="5333"/>
        <v>#ERROR!</v>
      </c>
      <c r="AF1001" s="15" t="str">
        <f t="shared" si="5333"/>
        <v>#ERROR!</v>
      </c>
      <c r="AG1001" s="410"/>
      <c r="AH1001" s="15" t="str">
        <f>AH1000/AF1000-1</f>
        <v>#ERROR!</v>
      </c>
      <c r="AI1001" s="15" t="str">
        <f t="shared" ref="AI1001:AK1001" si="5334">AI1000/AH1000-1</f>
        <v>#ERROR!</v>
      </c>
      <c r="AJ1001" s="15" t="str">
        <f t="shared" si="5334"/>
        <v>#ERROR!</v>
      </c>
      <c r="AK1001" s="15" t="str">
        <f t="shared" si="5334"/>
        <v>#ERROR!</v>
      </c>
      <c r="AL1001" s="410"/>
      <c r="AM1001" s="15" t="str">
        <f>AM1000/AK1000-1</f>
        <v>#ERROR!</v>
      </c>
      <c r="AN1001" s="15" t="str">
        <f t="shared" ref="AN1001:AP1001" si="5335">AN1000/AM1000-1</f>
        <v>#ERROR!</v>
      </c>
      <c r="AO1001" s="15" t="str">
        <f t="shared" si="5335"/>
        <v>#ERROR!</v>
      </c>
      <c r="AP1001" s="15" t="str">
        <f t="shared" si="5335"/>
        <v>#ERROR!</v>
      </c>
      <c r="AQ1001" s="410"/>
      <c r="AR1001" s="15" t="str">
        <f>AR1000/AP1000-1</f>
        <v>#ERROR!</v>
      </c>
      <c r="AS1001" s="15" t="str">
        <f t="shared" ref="AS1001:AU1001" si="5336">AS1000/AR1000-1</f>
        <v>#ERROR!</v>
      </c>
      <c r="AT1001" s="15" t="str">
        <f t="shared" si="5336"/>
        <v>#ERROR!</v>
      </c>
      <c r="AU1001" s="15" t="str">
        <f t="shared" si="5336"/>
        <v>#ERROR!</v>
      </c>
      <c r="AV1001" s="410"/>
      <c r="AW1001" s="15" t="str">
        <f>AW1000/AU1000-1</f>
        <v>#ERROR!</v>
      </c>
      <c r="AX1001" s="15" t="str">
        <f t="shared" ref="AX1001:AZ1001" si="5337">AX1000/AW1000-1</f>
        <v>#ERROR!</v>
      </c>
      <c r="AY1001" s="15" t="str">
        <f t="shared" si="5337"/>
        <v>#ERROR!</v>
      </c>
      <c r="AZ1001" s="15" t="str">
        <f t="shared" si="5337"/>
        <v>#ERROR!</v>
      </c>
      <c r="BA1001" s="410"/>
      <c r="BB1001" s="15" t="str">
        <f>BB1000/AZ1000-1</f>
        <v>#ERROR!</v>
      </c>
      <c r="BC1001" s="15" t="str">
        <f t="shared" ref="BC1001:BE1001" si="5338">BC1000/BB1000-1</f>
        <v>#ERROR!</v>
      </c>
      <c r="BD1001" s="15" t="str">
        <f t="shared" si="5338"/>
        <v>#ERROR!</v>
      </c>
      <c r="BE1001" s="15" t="str">
        <f t="shared" si="5338"/>
        <v>#ERROR!</v>
      </c>
      <c r="BF1001" s="410"/>
      <c r="BG1001" s="15" t="str">
        <f>BG1000/BE1000-1</f>
        <v>#ERROR!</v>
      </c>
      <c r="BH1001" s="15" t="str">
        <f t="shared" ref="BH1001:BJ1001" si="5339">BH1000/BG1000-1</f>
        <v>#ERROR!</v>
      </c>
      <c r="BI1001" s="15" t="str">
        <f t="shared" si="5339"/>
        <v>#ERROR!</v>
      </c>
      <c r="BJ1001" s="15" t="str">
        <f t="shared" si="5339"/>
        <v>#ERROR!</v>
      </c>
      <c r="BK1001" s="410"/>
      <c r="BL1001" s="15" t="str">
        <f>BL1000/BJ1000-1</f>
        <v>#ERROR!</v>
      </c>
      <c r="BM1001" s="15" t="str">
        <f t="shared" ref="BM1001:BO1001" si="5340">BM1000/BL1000-1</f>
        <v>#ERROR!</v>
      </c>
      <c r="BN1001" s="15" t="str">
        <f t="shared" si="5340"/>
        <v>#ERROR!</v>
      </c>
      <c r="BO1001" s="15" t="str">
        <f t="shared" si="5340"/>
        <v>#ERROR!</v>
      </c>
      <c r="BP1001" s="410"/>
      <c r="BQ1001" s="15" t="str">
        <f>BQ1000/BO1000-1</f>
        <v>#ERROR!</v>
      </c>
      <c r="BR1001" s="15" t="str">
        <f t="shared" ref="BR1001:BT1001" si="5341">BR1000/BQ1000-1</f>
        <v>#ERROR!</v>
      </c>
      <c r="BS1001" s="15" t="str">
        <f t="shared" si="5341"/>
        <v>#ERROR!</v>
      </c>
      <c r="BT1001" s="15" t="str">
        <f t="shared" si="5341"/>
        <v>#ERROR!</v>
      </c>
      <c r="BU1001" s="410"/>
      <c r="BV1001" s="15" t="str">
        <f>BV1000/BT1000-1</f>
        <v>#ERROR!</v>
      </c>
      <c r="BW1001" s="15" t="str">
        <f t="shared" ref="BW1001:BY1001" si="5342">BW1000/BV1000-1</f>
        <v>#ERROR!</v>
      </c>
      <c r="BX1001" s="15" t="str">
        <f t="shared" si="5342"/>
        <v>#ERROR!</v>
      </c>
      <c r="BY1001" s="15" t="str">
        <f t="shared" si="5342"/>
        <v>#ERROR!</v>
      </c>
      <c r="BZ1001" s="24"/>
      <c r="CA1001" s="15" t="str">
        <f>CA1000/BY1000-1</f>
        <v>#ERROR!</v>
      </c>
      <c r="CB1001" s="15" t="str">
        <f t="shared" ref="CB1001:CD1001" si="5343">CB1000/CA1000-1</f>
        <v>#ERROR!</v>
      </c>
      <c r="CC1001" s="15" t="str">
        <f t="shared" si="5343"/>
        <v>#ERROR!</v>
      </c>
      <c r="CD1001" s="15" t="str">
        <f t="shared" si="5343"/>
        <v>#ERROR!</v>
      </c>
      <c r="CE1001" s="24"/>
      <c r="CF1001" s="15" t="str">
        <f>CF1000/CD1000-1</f>
        <v>#ERROR!</v>
      </c>
      <c r="CG1001" s="15" t="str">
        <f t="shared" ref="CG1001:CI1001" si="5344">CG1000/CF1000-1</f>
        <v>#ERROR!</v>
      </c>
      <c r="CH1001" s="15" t="str">
        <f t="shared" si="5344"/>
        <v>#ERROR!</v>
      </c>
      <c r="CI1001" s="15" t="str">
        <f t="shared" si="5344"/>
        <v>#ERROR!</v>
      </c>
      <c r="CJ1001" s="24"/>
      <c r="CK1001" s="15" t="str">
        <f>CK1000/CI1000-1</f>
        <v>#ERROR!</v>
      </c>
      <c r="CL1001" s="15" t="str">
        <f t="shared" ref="CL1001:CN1001" si="5345">CL1000/CK1000-1</f>
        <v>#ERROR!</v>
      </c>
      <c r="CM1001" s="15" t="str">
        <f t="shared" si="5345"/>
        <v>#ERROR!</v>
      </c>
      <c r="CN1001" s="40" t="str">
        <f t="shared" si="5345"/>
        <v>#ERROR!</v>
      </c>
      <c r="CO1001" s="24"/>
      <c r="CP1001" s="40" t="str">
        <f>CP1000/CN1000-1</f>
        <v>#ERROR!</v>
      </c>
      <c r="CQ1001" s="15" t="str">
        <f t="shared" ref="CQ1001:CS1001" si="5346">CQ1000/CP1000-1</f>
        <v>#ERROR!</v>
      </c>
      <c r="CR1001" s="15" t="str">
        <f t="shared" si="5346"/>
        <v>#ERROR!</v>
      </c>
      <c r="CS1001" s="15" t="str">
        <f t="shared" si="5346"/>
        <v>#ERROR!</v>
      </c>
      <c r="CT1001" s="24"/>
      <c r="CU1001" s="15" t="str">
        <f>CU1000/CS1000-1</f>
        <v>#ERROR!</v>
      </c>
      <c r="CV1001" s="15" t="str">
        <f t="shared" ref="CV1001:CX1001" si="5347">CV1000/CU1000-1</f>
        <v>#ERROR!</v>
      </c>
      <c r="CW1001" s="15" t="str">
        <f t="shared" si="5347"/>
        <v>#ERROR!</v>
      </c>
      <c r="CX1001" s="15" t="str">
        <f t="shared" si="5347"/>
        <v>#ERROR!</v>
      </c>
      <c r="CY1001" s="24"/>
      <c r="CZ1001" s="15" t="str">
        <f>CZ1000/CX1000-1</f>
        <v>#ERROR!</v>
      </c>
      <c r="DA1001" s="15" t="str">
        <f t="shared" ref="DA1001:DC1001" si="5348">DA1000/CZ1000-1</f>
        <v>#ERROR!</v>
      </c>
      <c r="DB1001" s="15" t="str">
        <f t="shared" si="5348"/>
        <v>#ERROR!</v>
      </c>
      <c r="DC1001" s="15" t="str">
        <f t="shared" si="5348"/>
        <v>#ERROR!</v>
      </c>
      <c r="DD1001" s="24"/>
      <c r="DE1001" s="15" t="str">
        <f>DE1000/DC1000-1</f>
        <v>#ERROR!</v>
      </c>
      <c r="DF1001" s="15" t="str">
        <f t="shared" ref="DF1001:DH1001" si="5349">DF1000/DE1000-1</f>
        <v>#ERROR!</v>
      </c>
      <c r="DG1001" s="40" t="str">
        <f t="shared" si="5349"/>
        <v>#ERROR!</v>
      </c>
      <c r="DH1001" s="15" t="str">
        <f t="shared" si="5349"/>
        <v>#ERROR!</v>
      </c>
      <c r="DI1001" s="24"/>
      <c r="DJ1001" s="40" t="str">
        <f>DJ1000/DH1000-1</f>
        <v>#ERROR!</v>
      </c>
      <c r="DK1001" s="40" t="str">
        <f t="shared" ref="DK1001:DM1001" si="5350">DK1000/DJ1000-1</f>
        <v>#ERROR!</v>
      </c>
      <c r="DL1001" s="40" t="str">
        <f t="shared" si="5350"/>
        <v>#ERROR!</v>
      </c>
      <c r="DM1001" s="15" t="str">
        <f t="shared" si="5350"/>
        <v>#ERROR!</v>
      </c>
      <c r="DN1001" s="24"/>
      <c r="DO1001" s="15" t="str">
        <f>DO1000/DM1000-1</f>
        <v>#ERROR!</v>
      </c>
      <c r="DP1001" s="15" t="str">
        <f t="shared" ref="DP1001:DR1001" si="5351">DP1000/DO1000-1</f>
        <v>#ERROR!</v>
      </c>
      <c r="DQ1001" s="15" t="str">
        <f t="shared" si="5351"/>
        <v>#ERROR!</v>
      </c>
      <c r="DR1001" s="15" t="str">
        <f t="shared" si="5351"/>
        <v>#ERROR!</v>
      </c>
      <c r="DS1001" s="24"/>
      <c r="DT1001" s="15" t="str">
        <f>DT1000/DR1000-1</f>
        <v>#ERROR!</v>
      </c>
      <c r="DU1001" s="15" t="str">
        <f t="shared" ref="DU1001:DW1001" si="5352">DU1000/DT1000-1</f>
        <v>#ERROR!</v>
      </c>
      <c r="DV1001" s="15" t="str">
        <f t="shared" si="5352"/>
        <v>#ERROR!</v>
      </c>
      <c r="DW1001" s="15" t="str">
        <f t="shared" si="5352"/>
        <v>#ERROR!</v>
      </c>
      <c r="DX1001" s="24"/>
      <c r="DY1001" s="15" t="str">
        <f>DY1000/DW1000-1</f>
        <v>#ERROR!</v>
      </c>
      <c r="DZ1001" s="15" t="str">
        <f t="shared" ref="DZ1001:EB1001" si="5353">DZ1000/DY1000-1</f>
        <v>#ERROR!</v>
      </c>
      <c r="EA1001" s="15" t="str">
        <f t="shared" si="5353"/>
        <v>#ERROR!</v>
      </c>
      <c r="EB1001" s="15" t="str">
        <f t="shared" si="5353"/>
        <v>#ERROR!</v>
      </c>
      <c r="EC1001" s="24"/>
      <c r="ED1001" s="15" t="str">
        <f>ED1000/EB1000-1</f>
        <v>#ERROR!</v>
      </c>
      <c r="EE1001" s="15" t="str">
        <f t="shared" ref="EE1001:EG1001" si="5354">EE1000/ED1000-1</f>
        <v>#ERROR!</v>
      </c>
      <c r="EF1001" s="15" t="str">
        <f t="shared" si="5354"/>
        <v>#ERROR!</v>
      </c>
      <c r="EG1001" s="15" t="str">
        <f t="shared" si="5354"/>
        <v>#ERROR!</v>
      </c>
      <c r="EH1001" s="24"/>
      <c r="EI1001" s="82" t="str">
        <f>EI1000/EG1000-1</f>
        <v>#ERROR!</v>
      </c>
      <c r="EJ1001" s="15" t="str">
        <f t="shared" ref="EJ1001:EL1001" si="5355">EJ1000/EI1000-1</f>
        <v>#ERROR!</v>
      </c>
      <c r="EK1001" s="15" t="str">
        <f t="shared" si="5355"/>
        <v>#ERROR!</v>
      </c>
      <c r="EL1001" s="15" t="str">
        <f t="shared" si="5355"/>
        <v>#ERROR!</v>
      </c>
      <c r="EM1001" s="24"/>
      <c r="EN1001" s="15" t="str">
        <f>EN1000/EL1000-1</f>
        <v>#ERROR!</v>
      </c>
      <c r="EO1001" s="15" t="str">
        <f t="shared" ref="EO1001:EQ1001" si="5356">EO1000/EN1000-1</f>
        <v>#ERROR!</v>
      </c>
      <c r="EP1001" s="15" t="str">
        <f t="shared" si="5356"/>
        <v>#ERROR!</v>
      </c>
      <c r="EQ1001" s="15" t="str">
        <f t="shared" si="5356"/>
        <v>#ERROR!</v>
      </c>
      <c r="ER1001" s="24"/>
      <c r="ES1001" s="15" t="str">
        <f>ES1000/EQ1000-1</f>
        <v>#ERROR!</v>
      </c>
      <c r="ET1001" s="15" t="str">
        <f t="shared" ref="ET1001:EV1001" si="5357">ET1000/ES1000-1</f>
        <v>#ERROR!</v>
      </c>
      <c r="EU1001" s="15" t="str">
        <f t="shared" si="5357"/>
        <v>#ERROR!</v>
      </c>
      <c r="EV1001" s="15" t="str">
        <f t="shared" si="5357"/>
        <v>#ERROR!</v>
      </c>
      <c r="EW1001" s="24"/>
      <c r="EX1001" s="15" t="str">
        <f>EX1000/EV1000-1</f>
        <v>#ERROR!</v>
      </c>
      <c r="EY1001" s="15" t="str">
        <f t="shared" ref="EY1001:FA1001" si="5358">EY1000/EX1000-1</f>
        <v>#ERROR!</v>
      </c>
      <c r="EZ1001" s="15" t="str">
        <f t="shared" si="5358"/>
        <v>#ERROR!</v>
      </c>
      <c r="FA1001" s="15" t="str">
        <f t="shared" si="5358"/>
        <v>#ERROR!</v>
      </c>
      <c r="FB1001" s="24"/>
      <c r="FC1001" s="15" t="str">
        <f>FC1000/FA1000-1</f>
        <v>#ERROR!</v>
      </c>
      <c r="FD1001" s="15" t="str">
        <f t="shared" ref="FD1001:FF1001" si="5359">FD1000/FC1000-1</f>
        <v>#ERROR!</v>
      </c>
      <c r="FE1001" s="15" t="str">
        <f t="shared" si="5359"/>
        <v>#ERROR!</v>
      </c>
      <c r="FF1001" s="15" t="str">
        <f t="shared" si="5359"/>
        <v>#ERROR!</v>
      </c>
      <c r="FG1001" s="24"/>
      <c r="FH1001" s="104"/>
      <c r="FI1001" s="15"/>
      <c r="FJ1001" s="15"/>
      <c r="FK1001" s="410"/>
      <c r="FL1001" s="15"/>
    </row>
    <row r="1002" ht="12.75" hidden="1" customHeight="1" outlineLevel="1">
      <c r="A1002" s="162"/>
      <c r="B1002" s="696" t="s">
        <v>346</v>
      </c>
      <c r="C1002" s="696"/>
      <c r="D1002" s="90"/>
      <c r="E1002" s="90"/>
      <c r="F1002" s="90"/>
      <c r="G1002" s="90"/>
      <c r="H1002" s="414"/>
      <c r="I1002" s="90"/>
      <c r="J1002" s="90"/>
      <c r="K1002" s="90"/>
      <c r="L1002" s="90"/>
      <c r="M1002" s="414"/>
      <c r="N1002" s="90"/>
      <c r="O1002" s="90"/>
      <c r="P1002" s="90"/>
      <c r="Q1002" s="90"/>
      <c r="R1002" s="414"/>
      <c r="S1002" s="90"/>
      <c r="T1002" s="90"/>
      <c r="U1002" s="90"/>
      <c r="V1002" s="90"/>
      <c r="W1002" s="414"/>
      <c r="X1002" s="90"/>
      <c r="Y1002" s="90"/>
      <c r="Z1002" s="90"/>
      <c r="AA1002" s="90"/>
      <c r="AB1002" s="414"/>
      <c r="AC1002" s="90" t="str">
        <f t="shared" ref="AC1002:FG1002" si="5360">AC1000/X1000-1</f>
        <v>#ERROR!</v>
      </c>
      <c r="AD1002" s="90" t="str">
        <f t="shared" si="5360"/>
        <v>#ERROR!</v>
      </c>
      <c r="AE1002" s="90" t="str">
        <f t="shared" si="5360"/>
        <v>#ERROR!</v>
      </c>
      <c r="AF1002" s="90" t="str">
        <f t="shared" si="5360"/>
        <v>#ERROR!</v>
      </c>
      <c r="AG1002" s="414" t="str">
        <f t="shared" si="5360"/>
        <v>#ERROR!</v>
      </c>
      <c r="AH1002" s="90" t="str">
        <f t="shared" si="5360"/>
        <v>#ERROR!</v>
      </c>
      <c r="AI1002" s="90" t="str">
        <f t="shared" si="5360"/>
        <v>#ERROR!</v>
      </c>
      <c r="AJ1002" s="90" t="str">
        <f t="shared" si="5360"/>
        <v>#ERROR!</v>
      </c>
      <c r="AK1002" s="90" t="str">
        <f t="shared" si="5360"/>
        <v>#ERROR!</v>
      </c>
      <c r="AL1002" s="414" t="str">
        <f t="shared" si="5360"/>
        <v>#ERROR!</v>
      </c>
      <c r="AM1002" s="90" t="str">
        <f t="shared" si="5360"/>
        <v>#ERROR!</v>
      </c>
      <c r="AN1002" s="90" t="str">
        <f t="shared" si="5360"/>
        <v>#ERROR!</v>
      </c>
      <c r="AO1002" s="90" t="str">
        <f t="shared" si="5360"/>
        <v>#ERROR!</v>
      </c>
      <c r="AP1002" s="90" t="str">
        <f t="shared" si="5360"/>
        <v>#ERROR!</v>
      </c>
      <c r="AQ1002" s="414" t="str">
        <f t="shared" si="5360"/>
        <v>#ERROR!</v>
      </c>
      <c r="AR1002" s="90" t="str">
        <f t="shared" si="5360"/>
        <v>#ERROR!</v>
      </c>
      <c r="AS1002" s="90" t="str">
        <f t="shared" si="5360"/>
        <v>#ERROR!</v>
      </c>
      <c r="AT1002" s="90" t="str">
        <f t="shared" si="5360"/>
        <v>#ERROR!</v>
      </c>
      <c r="AU1002" s="90" t="str">
        <f t="shared" si="5360"/>
        <v>#ERROR!</v>
      </c>
      <c r="AV1002" s="414" t="str">
        <f t="shared" si="5360"/>
        <v>#ERROR!</v>
      </c>
      <c r="AW1002" s="90" t="str">
        <f t="shared" si="5360"/>
        <v>#ERROR!</v>
      </c>
      <c r="AX1002" s="90" t="str">
        <f t="shared" si="5360"/>
        <v>#ERROR!</v>
      </c>
      <c r="AY1002" s="90" t="str">
        <f t="shared" si="5360"/>
        <v>#ERROR!</v>
      </c>
      <c r="AZ1002" s="90" t="str">
        <f t="shared" si="5360"/>
        <v>#ERROR!</v>
      </c>
      <c r="BA1002" s="414" t="str">
        <f t="shared" si="5360"/>
        <v>#ERROR!</v>
      </c>
      <c r="BB1002" s="90" t="str">
        <f t="shared" si="5360"/>
        <v>#ERROR!</v>
      </c>
      <c r="BC1002" s="90" t="str">
        <f t="shared" si="5360"/>
        <v>#ERROR!</v>
      </c>
      <c r="BD1002" s="90" t="str">
        <f t="shared" si="5360"/>
        <v>#ERROR!</v>
      </c>
      <c r="BE1002" s="90" t="str">
        <f t="shared" si="5360"/>
        <v>#ERROR!</v>
      </c>
      <c r="BF1002" s="414" t="str">
        <f t="shared" si="5360"/>
        <v>#ERROR!</v>
      </c>
      <c r="BG1002" s="90" t="str">
        <f t="shared" si="5360"/>
        <v>#ERROR!</v>
      </c>
      <c r="BH1002" s="90" t="str">
        <f t="shared" si="5360"/>
        <v>#ERROR!</v>
      </c>
      <c r="BI1002" s="90" t="str">
        <f t="shared" si="5360"/>
        <v>#ERROR!</v>
      </c>
      <c r="BJ1002" s="90" t="str">
        <f t="shared" si="5360"/>
        <v>#ERROR!</v>
      </c>
      <c r="BK1002" s="414" t="str">
        <f t="shared" si="5360"/>
        <v>#ERROR!</v>
      </c>
      <c r="BL1002" s="90" t="str">
        <f t="shared" si="5360"/>
        <v>#ERROR!</v>
      </c>
      <c r="BM1002" s="90" t="str">
        <f t="shared" si="5360"/>
        <v>#ERROR!</v>
      </c>
      <c r="BN1002" s="90" t="str">
        <f t="shared" si="5360"/>
        <v>#ERROR!</v>
      </c>
      <c r="BO1002" s="90" t="str">
        <f t="shared" si="5360"/>
        <v>#ERROR!</v>
      </c>
      <c r="BP1002" s="414" t="str">
        <f t="shared" si="5360"/>
        <v>#ERROR!</v>
      </c>
      <c r="BQ1002" s="90" t="str">
        <f t="shared" si="5360"/>
        <v>#ERROR!</v>
      </c>
      <c r="BR1002" s="90" t="str">
        <f t="shared" si="5360"/>
        <v>#ERROR!</v>
      </c>
      <c r="BS1002" s="90" t="str">
        <f t="shared" si="5360"/>
        <v>#ERROR!</v>
      </c>
      <c r="BT1002" s="90" t="str">
        <f t="shared" si="5360"/>
        <v>#ERROR!</v>
      </c>
      <c r="BU1002" s="414" t="str">
        <f t="shared" si="5360"/>
        <v>#ERROR!</v>
      </c>
      <c r="BV1002" s="90" t="str">
        <f t="shared" si="5360"/>
        <v>#ERROR!</v>
      </c>
      <c r="BW1002" s="90" t="str">
        <f t="shared" si="5360"/>
        <v>#ERROR!</v>
      </c>
      <c r="BX1002" s="90" t="str">
        <f t="shared" si="5360"/>
        <v>#ERROR!</v>
      </c>
      <c r="BY1002" s="90" t="str">
        <f t="shared" si="5360"/>
        <v>#ERROR!</v>
      </c>
      <c r="BZ1002" s="415" t="str">
        <f t="shared" si="5360"/>
        <v>#ERROR!</v>
      </c>
      <c r="CA1002" s="90" t="str">
        <f t="shared" si="5360"/>
        <v>#ERROR!</v>
      </c>
      <c r="CB1002" s="90" t="str">
        <f t="shared" si="5360"/>
        <v>#ERROR!</v>
      </c>
      <c r="CC1002" s="90" t="str">
        <f t="shared" si="5360"/>
        <v>#ERROR!</v>
      </c>
      <c r="CD1002" s="90" t="str">
        <f t="shared" si="5360"/>
        <v>#ERROR!</v>
      </c>
      <c r="CE1002" s="415" t="str">
        <f t="shared" si="5360"/>
        <v>#ERROR!</v>
      </c>
      <c r="CF1002" s="90" t="str">
        <f t="shared" si="5360"/>
        <v>#ERROR!</v>
      </c>
      <c r="CG1002" s="90" t="str">
        <f t="shared" si="5360"/>
        <v>#ERROR!</v>
      </c>
      <c r="CH1002" s="90" t="str">
        <f t="shared" si="5360"/>
        <v>#ERROR!</v>
      </c>
      <c r="CI1002" s="90" t="str">
        <f t="shared" si="5360"/>
        <v>#ERROR!</v>
      </c>
      <c r="CJ1002" s="415" t="str">
        <f t="shared" si="5360"/>
        <v>#ERROR!</v>
      </c>
      <c r="CK1002" s="90" t="str">
        <f t="shared" si="5360"/>
        <v>#ERROR!</v>
      </c>
      <c r="CL1002" s="90" t="str">
        <f t="shared" si="5360"/>
        <v>#ERROR!</v>
      </c>
      <c r="CM1002" s="90" t="str">
        <f t="shared" si="5360"/>
        <v>#ERROR!</v>
      </c>
      <c r="CN1002" s="135" t="str">
        <f t="shared" si="5360"/>
        <v>#ERROR!</v>
      </c>
      <c r="CO1002" s="415" t="str">
        <f t="shared" si="5360"/>
        <v>#ERROR!</v>
      </c>
      <c r="CP1002" s="135" t="str">
        <f t="shared" si="5360"/>
        <v>#ERROR!</v>
      </c>
      <c r="CQ1002" s="90" t="str">
        <f t="shared" si="5360"/>
        <v>#ERROR!</v>
      </c>
      <c r="CR1002" s="90" t="str">
        <f t="shared" si="5360"/>
        <v>#ERROR!</v>
      </c>
      <c r="CS1002" s="90" t="str">
        <f t="shared" si="5360"/>
        <v>#ERROR!</v>
      </c>
      <c r="CT1002" s="415" t="str">
        <f t="shared" si="5360"/>
        <v>#ERROR!</v>
      </c>
      <c r="CU1002" s="90" t="str">
        <f t="shared" si="5360"/>
        <v>#ERROR!</v>
      </c>
      <c r="CV1002" s="90" t="str">
        <f t="shared" si="5360"/>
        <v>#ERROR!</v>
      </c>
      <c r="CW1002" s="90" t="str">
        <f t="shared" si="5360"/>
        <v>#ERROR!</v>
      </c>
      <c r="CX1002" s="90" t="str">
        <f t="shared" si="5360"/>
        <v>#ERROR!</v>
      </c>
      <c r="CY1002" s="415" t="str">
        <f t="shared" si="5360"/>
        <v>#ERROR!</v>
      </c>
      <c r="CZ1002" s="90" t="str">
        <f t="shared" si="5360"/>
        <v>#ERROR!</v>
      </c>
      <c r="DA1002" s="90" t="str">
        <f t="shared" si="5360"/>
        <v>#ERROR!</v>
      </c>
      <c r="DB1002" s="90" t="str">
        <f t="shared" si="5360"/>
        <v>#ERROR!</v>
      </c>
      <c r="DC1002" s="90" t="str">
        <f t="shared" si="5360"/>
        <v>#ERROR!</v>
      </c>
      <c r="DD1002" s="415" t="str">
        <f t="shared" si="5360"/>
        <v>#ERROR!</v>
      </c>
      <c r="DE1002" s="90" t="str">
        <f t="shared" si="5360"/>
        <v>#ERROR!</v>
      </c>
      <c r="DF1002" s="90" t="str">
        <f t="shared" si="5360"/>
        <v>#ERROR!</v>
      </c>
      <c r="DG1002" s="16" t="str">
        <f t="shared" si="5360"/>
        <v>#ERROR!</v>
      </c>
      <c r="DH1002" s="90" t="str">
        <f t="shared" si="5360"/>
        <v>#ERROR!</v>
      </c>
      <c r="DI1002" s="415" t="str">
        <f t="shared" si="5360"/>
        <v>#ERROR!</v>
      </c>
      <c r="DJ1002" s="135" t="str">
        <f t="shared" si="5360"/>
        <v>#ERROR!</v>
      </c>
      <c r="DK1002" s="135" t="str">
        <f t="shared" si="5360"/>
        <v>#ERROR!</v>
      </c>
      <c r="DL1002" s="135" t="str">
        <f t="shared" si="5360"/>
        <v>#ERROR!</v>
      </c>
      <c r="DM1002" s="90" t="str">
        <f t="shared" si="5360"/>
        <v>#ERROR!</v>
      </c>
      <c r="DN1002" s="415" t="str">
        <f t="shared" si="5360"/>
        <v>#ERROR!</v>
      </c>
      <c r="DO1002" s="90" t="str">
        <f t="shared" si="5360"/>
        <v>#ERROR!</v>
      </c>
      <c r="DP1002" s="90" t="str">
        <f t="shared" si="5360"/>
        <v>#ERROR!</v>
      </c>
      <c r="DQ1002" s="90" t="str">
        <f t="shared" si="5360"/>
        <v>#ERROR!</v>
      </c>
      <c r="DR1002" s="90" t="str">
        <f t="shared" si="5360"/>
        <v>#ERROR!</v>
      </c>
      <c r="DS1002" s="415" t="str">
        <f t="shared" si="5360"/>
        <v>#ERROR!</v>
      </c>
      <c r="DT1002" s="90" t="str">
        <f t="shared" si="5360"/>
        <v>#ERROR!</v>
      </c>
      <c r="DU1002" s="90" t="str">
        <f t="shared" si="5360"/>
        <v>#ERROR!</v>
      </c>
      <c r="DV1002" s="90" t="str">
        <f t="shared" si="5360"/>
        <v>#ERROR!</v>
      </c>
      <c r="DW1002" s="90" t="str">
        <f t="shared" si="5360"/>
        <v>#ERROR!</v>
      </c>
      <c r="DX1002" s="415" t="str">
        <f t="shared" si="5360"/>
        <v>#ERROR!</v>
      </c>
      <c r="DY1002" s="90" t="str">
        <f t="shared" si="5360"/>
        <v>#ERROR!</v>
      </c>
      <c r="DZ1002" s="90" t="str">
        <f t="shared" si="5360"/>
        <v>#ERROR!</v>
      </c>
      <c r="EA1002" s="90" t="str">
        <f t="shared" si="5360"/>
        <v>#ERROR!</v>
      </c>
      <c r="EB1002" s="90" t="str">
        <f t="shared" si="5360"/>
        <v>#ERROR!</v>
      </c>
      <c r="EC1002" s="415" t="str">
        <f t="shared" si="5360"/>
        <v>#ERROR!</v>
      </c>
      <c r="ED1002" s="90" t="str">
        <f t="shared" si="5360"/>
        <v>#ERROR!</v>
      </c>
      <c r="EE1002" s="90" t="str">
        <f t="shared" si="5360"/>
        <v>#ERROR!</v>
      </c>
      <c r="EF1002" s="90" t="str">
        <f t="shared" si="5360"/>
        <v>#ERROR!</v>
      </c>
      <c r="EG1002" s="90" t="str">
        <f t="shared" si="5360"/>
        <v>#ERROR!</v>
      </c>
      <c r="EH1002" s="415" t="str">
        <f t="shared" si="5360"/>
        <v>#ERROR!</v>
      </c>
      <c r="EI1002" s="389" t="str">
        <f t="shared" si="5360"/>
        <v>#ERROR!</v>
      </c>
      <c r="EJ1002" s="90" t="str">
        <f t="shared" si="5360"/>
        <v>#ERROR!</v>
      </c>
      <c r="EK1002" s="90" t="str">
        <f t="shared" si="5360"/>
        <v>#ERROR!</v>
      </c>
      <c r="EL1002" s="90" t="str">
        <f t="shared" si="5360"/>
        <v>#ERROR!</v>
      </c>
      <c r="EM1002" s="415" t="str">
        <f t="shared" si="5360"/>
        <v>#ERROR!</v>
      </c>
      <c r="EN1002" s="90" t="str">
        <f t="shared" si="5360"/>
        <v>#ERROR!</v>
      </c>
      <c r="EO1002" s="90" t="str">
        <f t="shared" si="5360"/>
        <v>#ERROR!</v>
      </c>
      <c r="EP1002" s="90" t="str">
        <f t="shared" si="5360"/>
        <v>#ERROR!</v>
      </c>
      <c r="EQ1002" s="90" t="str">
        <f t="shared" si="5360"/>
        <v>#ERROR!</v>
      </c>
      <c r="ER1002" s="415" t="str">
        <f t="shared" si="5360"/>
        <v>#ERROR!</v>
      </c>
      <c r="ES1002" s="90" t="str">
        <f t="shared" si="5360"/>
        <v>#ERROR!</v>
      </c>
      <c r="ET1002" s="90" t="str">
        <f t="shared" si="5360"/>
        <v>#ERROR!</v>
      </c>
      <c r="EU1002" s="90" t="str">
        <f t="shared" si="5360"/>
        <v>#ERROR!</v>
      </c>
      <c r="EV1002" s="90" t="str">
        <f t="shared" si="5360"/>
        <v>#ERROR!</v>
      </c>
      <c r="EW1002" s="415" t="str">
        <f t="shared" si="5360"/>
        <v>#ERROR!</v>
      </c>
      <c r="EX1002" s="90" t="str">
        <f t="shared" si="5360"/>
        <v>#ERROR!</v>
      </c>
      <c r="EY1002" s="90" t="str">
        <f t="shared" si="5360"/>
        <v>#ERROR!</v>
      </c>
      <c r="EZ1002" s="90" t="str">
        <f t="shared" si="5360"/>
        <v>#ERROR!</v>
      </c>
      <c r="FA1002" s="90" t="str">
        <f t="shared" si="5360"/>
        <v>#ERROR!</v>
      </c>
      <c r="FB1002" s="415" t="str">
        <f t="shared" si="5360"/>
        <v>#ERROR!</v>
      </c>
      <c r="FC1002" s="90" t="str">
        <f t="shared" si="5360"/>
        <v>#ERROR!</v>
      </c>
      <c r="FD1002" s="90" t="str">
        <f t="shared" si="5360"/>
        <v>#ERROR!</v>
      </c>
      <c r="FE1002" s="90" t="str">
        <f t="shared" si="5360"/>
        <v>#ERROR!</v>
      </c>
      <c r="FF1002" s="90" t="str">
        <f t="shared" si="5360"/>
        <v>#ERROR!</v>
      </c>
      <c r="FG1002" s="415" t="str">
        <f t="shared" si="5360"/>
        <v>#ERROR!</v>
      </c>
      <c r="FH1002" s="388"/>
      <c r="FI1002" s="90"/>
      <c r="FJ1002" s="90"/>
      <c r="FK1002" s="414"/>
      <c r="FL1002" s="90"/>
    </row>
    <row r="1003" ht="12.75" hidden="1" customHeight="1" outlineLevel="1">
      <c r="A1003" s="162"/>
      <c r="B1003" s="162"/>
      <c r="C1003" s="162"/>
      <c r="D1003" s="4"/>
      <c r="E1003" s="4"/>
      <c r="F1003" s="4"/>
      <c r="G1003" s="4"/>
      <c r="H1003" s="410"/>
      <c r="I1003" s="4"/>
      <c r="J1003" s="4"/>
      <c r="K1003" s="4"/>
      <c r="L1003" s="4"/>
      <c r="M1003" s="410"/>
      <c r="N1003" s="4"/>
      <c r="O1003" s="4"/>
      <c r="P1003" s="4"/>
      <c r="Q1003" s="4"/>
      <c r="R1003" s="410"/>
      <c r="S1003" s="4"/>
      <c r="T1003" s="4"/>
      <c r="U1003" s="4"/>
      <c r="V1003" s="4"/>
      <c r="W1003" s="410"/>
      <c r="X1003" s="4"/>
      <c r="Y1003" s="4"/>
      <c r="Z1003" s="4"/>
      <c r="AA1003" s="4"/>
      <c r="AB1003" s="410"/>
      <c r="AC1003" s="4"/>
      <c r="AD1003" s="4"/>
      <c r="AE1003" s="4"/>
      <c r="AF1003" s="4"/>
      <c r="AG1003" s="410"/>
      <c r="AH1003" s="4"/>
      <c r="AI1003" s="4"/>
      <c r="AJ1003" s="4"/>
      <c r="AK1003" s="4"/>
      <c r="AL1003" s="410"/>
      <c r="AM1003" s="4"/>
      <c r="AN1003" s="4"/>
      <c r="AO1003" s="4"/>
      <c r="AP1003" s="4"/>
      <c r="AQ1003" s="410"/>
      <c r="AR1003" s="4"/>
      <c r="AS1003" s="4"/>
      <c r="AT1003" s="4"/>
      <c r="AU1003" s="4"/>
      <c r="AV1003" s="410"/>
      <c r="AW1003" s="4"/>
      <c r="AX1003" s="4"/>
      <c r="AY1003" s="4"/>
      <c r="AZ1003" s="4"/>
      <c r="BA1003" s="410"/>
      <c r="BB1003" s="4"/>
      <c r="BC1003" s="4"/>
      <c r="BD1003" s="4"/>
      <c r="BE1003" s="4"/>
      <c r="BF1003" s="410"/>
      <c r="BG1003" s="4"/>
      <c r="BH1003" s="4"/>
      <c r="BI1003" s="4"/>
      <c r="BJ1003" s="4"/>
      <c r="BK1003" s="410"/>
      <c r="BL1003" s="4"/>
      <c r="BM1003" s="4"/>
      <c r="BN1003" s="4"/>
      <c r="BO1003" s="4"/>
      <c r="BP1003" s="410"/>
      <c r="BQ1003" s="4"/>
      <c r="BR1003" s="4"/>
      <c r="BS1003" s="4"/>
      <c r="BT1003" s="4"/>
      <c r="BU1003" s="410"/>
      <c r="BV1003" s="4"/>
      <c r="BW1003" s="4"/>
      <c r="BX1003" s="4"/>
      <c r="BY1003" s="4"/>
      <c r="BZ1003" s="24"/>
      <c r="CA1003" s="4"/>
      <c r="CB1003" s="4"/>
      <c r="CC1003" s="4"/>
      <c r="CD1003" s="4"/>
      <c r="CE1003" s="24"/>
      <c r="CF1003" s="4"/>
      <c r="CG1003" s="4"/>
      <c r="CH1003" s="4"/>
      <c r="CI1003" s="4"/>
      <c r="CJ1003" s="24"/>
      <c r="CK1003" s="4"/>
      <c r="CL1003" s="4"/>
      <c r="CM1003" s="4"/>
      <c r="CN1003" s="16"/>
      <c r="CO1003" s="24"/>
      <c r="CP1003" s="16"/>
      <c r="CQ1003" s="4"/>
      <c r="CR1003" s="4"/>
      <c r="CS1003" s="4"/>
      <c r="CT1003" s="24"/>
      <c r="CU1003" s="4"/>
      <c r="CV1003" s="4"/>
      <c r="CW1003" s="4"/>
      <c r="CX1003" s="4"/>
      <c r="CY1003" s="24"/>
      <c r="CZ1003" s="4"/>
      <c r="DA1003" s="4"/>
      <c r="DB1003" s="4"/>
      <c r="DC1003" s="4"/>
      <c r="DD1003" s="24"/>
      <c r="DE1003" s="4"/>
      <c r="DF1003" s="4"/>
      <c r="DG1003" s="16"/>
      <c r="DH1003" s="4"/>
      <c r="DI1003" s="24"/>
      <c r="DJ1003" s="16"/>
      <c r="DK1003" s="16"/>
      <c r="DL1003" s="16"/>
      <c r="DM1003" s="4"/>
      <c r="DN1003" s="24"/>
      <c r="DO1003" s="4"/>
      <c r="DP1003" s="4"/>
      <c r="DQ1003" s="4"/>
      <c r="DR1003" s="4"/>
      <c r="DS1003" s="24"/>
      <c r="DT1003" s="4"/>
      <c r="DU1003" s="4"/>
      <c r="DV1003" s="4"/>
      <c r="DW1003" s="4"/>
      <c r="DX1003" s="24"/>
      <c r="DY1003" s="4"/>
      <c r="DZ1003" s="4"/>
      <c r="EA1003" s="4"/>
      <c r="EB1003" s="4"/>
      <c r="EC1003" s="24"/>
      <c r="ED1003" s="4"/>
      <c r="EE1003" s="4"/>
      <c r="EF1003" s="4"/>
      <c r="EG1003" s="4"/>
      <c r="EH1003" s="24"/>
      <c r="EI1003" s="214"/>
      <c r="EJ1003" s="4"/>
      <c r="EK1003" s="4"/>
      <c r="EL1003" s="4"/>
      <c r="EM1003" s="24"/>
      <c r="EN1003" s="4"/>
      <c r="EO1003" s="4"/>
      <c r="EP1003" s="4"/>
      <c r="EQ1003" s="4"/>
      <c r="ER1003" s="24"/>
      <c r="ES1003" s="4"/>
      <c r="ET1003" s="4"/>
      <c r="EU1003" s="4"/>
      <c r="EV1003" s="4"/>
      <c r="EW1003" s="24"/>
      <c r="EX1003" s="4"/>
      <c r="EY1003" s="4"/>
      <c r="EZ1003" s="4"/>
      <c r="FA1003" s="4"/>
      <c r="FB1003" s="24"/>
      <c r="FC1003" s="4"/>
      <c r="FD1003" s="4"/>
      <c r="FE1003" s="4"/>
      <c r="FF1003" s="4"/>
      <c r="FG1003" s="24"/>
      <c r="FH1003" s="104"/>
      <c r="FI1003" s="4"/>
      <c r="FJ1003" s="4"/>
      <c r="FK1003" s="410"/>
      <c r="FL1003" s="4"/>
    </row>
    <row r="1004" ht="12.75" hidden="1" customHeight="1" outlineLevel="1">
      <c r="A1004" s="162"/>
      <c r="B1004" s="723" t="s">
        <v>354</v>
      </c>
      <c r="C1004" s="696"/>
      <c r="D1004" s="90"/>
      <c r="E1004" s="90"/>
      <c r="F1004" s="90"/>
      <c r="G1004" s="90"/>
      <c r="H1004" s="414"/>
      <c r="I1004" s="90"/>
      <c r="J1004" s="90"/>
      <c r="K1004" s="90"/>
      <c r="L1004" s="90"/>
      <c r="M1004" s="414"/>
      <c r="N1004" s="90"/>
      <c r="O1004" s="90"/>
      <c r="P1004" s="90"/>
      <c r="Q1004" s="90"/>
      <c r="R1004" s="414"/>
      <c r="S1004" s="90"/>
      <c r="T1004" s="90"/>
      <c r="U1004" s="90"/>
      <c r="V1004" s="90"/>
      <c r="W1004" s="414"/>
      <c r="X1004" s="90"/>
      <c r="Y1004" s="90"/>
      <c r="Z1004" s="90"/>
      <c r="AA1004" s="90"/>
      <c r="AB1004" s="414"/>
      <c r="AC1004" s="90"/>
      <c r="AD1004" s="90"/>
      <c r="AE1004" s="90"/>
      <c r="AF1004" s="90"/>
      <c r="AG1004" s="414"/>
      <c r="AH1004" s="90"/>
      <c r="AI1004" s="90"/>
      <c r="AJ1004" s="90"/>
      <c r="AK1004" s="90"/>
      <c r="AL1004" s="414"/>
      <c r="AM1004" s="90"/>
      <c r="AN1004" s="90"/>
      <c r="AO1004" s="90"/>
      <c r="AP1004" s="90"/>
      <c r="AQ1004" s="414"/>
      <c r="AR1004" s="90"/>
      <c r="AS1004" s="90"/>
      <c r="AT1004" s="90"/>
      <c r="AU1004" s="90"/>
      <c r="AV1004" s="414"/>
      <c r="AW1004" s="90"/>
      <c r="AX1004" s="90"/>
      <c r="AY1004" s="90"/>
      <c r="AZ1004" s="90"/>
      <c r="BA1004" s="414"/>
      <c r="BB1004" s="90"/>
      <c r="BC1004" s="90"/>
      <c r="BD1004" s="90"/>
      <c r="BE1004" s="90"/>
      <c r="BF1004" s="414"/>
      <c r="BG1004" s="90"/>
      <c r="BH1004" s="90"/>
      <c r="BI1004" s="90"/>
      <c r="BJ1004" s="90"/>
      <c r="BK1004" s="414"/>
      <c r="BL1004" s="90"/>
      <c r="BM1004" s="90"/>
      <c r="BN1004" s="90"/>
      <c r="BO1004" s="90"/>
      <c r="BP1004" s="414"/>
      <c r="BQ1004" s="90"/>
      <c r="BR1004" s="90"/>
      <c r="BS1004" s="90"/>
      <c r="BT1004" s="90"/>
      <c r="BU1004" s="414"/>
      <c r="BV1004" s="90"/>
      <c r="BW1004" s="90"/>
      <c r="BX1004" s="90"/>
      <c r="BY1004" s="90"/>
      <c r="BZ1004" s="415"/>
      <c r="CA1004" s="90"/>
      <c r="CB1004" s="90"/>
      <c r="CC1004" s="90"/>
      <c r="CD1004" s="90"/>
      <c r="CE1004" s="415"/>
      <c r="CF1004" s="90"/>
      <c r="CG1004" s="90"/>
      <c r="CH1004" s="90"/>
      <c r="CI1004" s="90"/>
      <c r="CJ1004" s="415"/>
      <c r="CK1004" s="90"/>
      <c r="CL1004" s="90"/>
      <c r="CM1004" s="90"/>
      <c r="CN1004" s="135"/>
      <c r="CO1004" s="415"/>
      <c r="CP1004" s="135"/>
      <c r="CQ1004" s="90"/>
      <c r="CR1004" s="90"/>
      <c r="CS1004" s="90"/>
      <c r="CT1004" s="415"/>
      <c r="CU1004" s="90"/>
      <c r="CV1004" s="90"/>
      <c r="CW1004" s="90"/>
      <c r="CX1004" s="90"/>
      <c r="CY1004" s="415"/>
      <c r="CZ1004" s="90"/>
      <c r="DA1004" s="90"/>
      <c r="DB1004" s="90"/>
      <c r="DC1004" s="90"/>
      <c r="DD1004" s="415"/>
      <c r="DE1004" s="90"/>
      <c r="DF1004" s="90"/>
      <c r="DG1004" s="16"/>
      <c r="DH1004" s="90"/>
      <c r="DI1004" s="415"/>
      <c r="DJ1004" s="135"/>
      <c r="DK1004" s="135"/>
      <c r="DL1004" s="135"/>
      <c r="DM1004" s="90"/>
      <c r="DN1004" s="415"/>
      <c r="DO1004" s="90"/>
      <c r="DP1004" s="90"/>
      <c r="DQ1004" s="90"/>
      <c r="DR1004" s="90"/>
      <c r="DS1004" s="415"/>
      <c r="DT1004" s="90"/>
      <c r="DU1004" s="90"/>
      <c r="DV1004" s="90"/>
      <c r="DW1004" s="90"/>
      <c r="DX1004" s="415"/>
      <c r="DY1004" s="90"/>
      <c r="DZ1004" s="90"/>
      <c r="EA1004" s="90"/>
      <c r="EB1004" s="90"/>
      <c r="EC1004" s="415"/>
      <c r="ED1004" s="90"/>
      <c r="EE1004" s="90"/>
      <c r="EF1004" s="90"/>
      <c r="EG1004" s="90"/>
      <c r="EH1004" s="415"/>
      <c r="EI1004" s="389"/>
      <c r="EJ1004" s="90"/>
      <c r="EK1004" s="90"/>
      <c r="EL1004" s="90"/>
      <c r="EM1004" s="415"/>
      <c r="EN1004" s="90"/>
      <c r="EO1004" s="90"/>
      <c r="EP1004" s="90"/>
      <c r="EQ1004" s="90"/>
      <c r="ER1004" s="415"/>
      <c r="ES1004" s="90"/>
      <c r="ET1004" s="90"/>
      <c r="EU1004" s="90"/>
      <c r="EV1004" s="90"/>
      <c r="EW1004" s="415"/>
      <c r="EX1004" s="90"/>
      <c r="EY1004" s="90"/>
      <c r="EZ1004" s="90"/>
      <c r="FA1004" s="90"/>
      <c r="FB1004" s="415"/>
      <c r="FC1004" s="90"/>
      <c r="FD1004" s="90"/>
      <c r="FE1004" s="90"/>
      <c r="FF1004" s="90"/>
      <c r="FG1004" s="415"/>
      <c r="FH1004" s="388"/>
      <c r="FI1004" s="90"/>
      <c r="FJ1004" s="90"/>
      <c r="FK1004" s="414"/>
      <c r="FL1004" s="90"/>
    </row>
    <row r="1005" ht="12.75" hidden="1" customHeight="1" outlineLevel="1">
      <c r="A1005" s="162"/>
      <c r="B1005" s="162" t="s">
        <v>355</v>
      </c>
      <c r="C1005" s="162"/>
      <c r="D1005" s="15"/>
      <c r="E1005" s="15"/>
      <c r="F1005" s="15"/>
      <c r="G1005" s="15"/>
      <c r="H1005" s="410"/>
      <c r="I1005" s="15"/>
      <c r="J1005" s="15"/>
      <c r="K1005" s="15"/>
      <c r="L1005" s="15"/>
      <c r="M1005" s="410" t="str">
        <f>M$997/Sales</f>
        <v>#ERROR!</v>
      </c>
      <c r="N1005" s="15" t="str">
        <f>N$997/Sales</f>
        <v>#ERROR!</v>
      </c>
      <c r="O1005" s="15" t="str">
        <f>O$997/Sales</f>
        <v>#ERROR!</v>
      </c>
      <c r="P1005" s="15" t="str">
        <f>P$997/Sales</f>
        <v>#ERROR!</v>
      </c>
      <c r="Q1005" s="15" t="str">
        <f>Q$997/Sales</f>
        <v>#ERROR!</v>
      </c>
      <c r="R1005" s="410" t="str">
        <f>R$997/Sales</f>
        <v>#ERROR!</v>
      </c>
      <c r="S1005" s="15" t="str">
        <f>S$997/Sales</f>
        <v>#ERROR!</v>
      </c>
      <c r="T1005" s="15" t="str">
        <f>T$997/Sales</f>
        <v>#ERROR!</v>
      </c>
      <c r="U1005" s="15" t="str">
        <f>U$997/Sales</f>
        <v>#ERROR!</v>
      </c>
      <c r="V1005" s="15" t="str">
        <f>V$997/Sales</f>
        <v>#ERROR!</v>
      </c>
      <c r="W1005" s="410" t="str">
        <f>W$997/Sales</f>
        <v>#ERROR!</v>
      </c>
      <c r="X1005" s="15" t="str">
        <f>X$997/Sales</f>
        <v>#ERROR!</v>
      </c>
      <c r="Y1005" s="15" t="str">
        <f>Y$997/Sales</f>
        <v>#ERROR!</v>
      </c>
      <c r="Z1005" s="15" t="str">
        <f>Z$997/Sales</f>
        <v>#ERROR!</v>
      </c>
      <c r="AA1005" s="15" t="str">
        <f>AA$997/Sales</f>
        <v>#ERROR!</v>
      </c>
      <c r="AB1005" s="410" t="str">
        <f>AB$997/Sales</f>
        <v>#ERROR!</v>
      </c>
      <c r="AC1005" s="15" t="str">
        <f>AC$997/Sales</f>
        <v>#ERROR!</v>
      </c>
      <c r="AD1005" s="15" t="str">
        <f>AD$997/Sales</f>
        <v>#ERROR!</v>
      </c>
      <c r="AE1005" s="15" t="str">
        <f>AE$997/Sales</f>
        <v>#ERROR!</v>
      </c>
      <c r="AF1005" s="15" t="str">
        <f>AF$997/Sales</f>
        <v>#ERROR!</v>
      </c>
      <c r="AG1005" s="410" t="str">
        <f>AG$997/Sales</f>
        <v>#ERROR!</v>
      </c>
      <c r="AH1005" s="15" t="str">
        <f>AH$997/Sales</f>
        <v>#ERROR!</v>
      </c>
      <c r="AI1005" s="15" t="str">
        <f>AI$997/Sales</f>
        <v>#ERROR!</v>
      </c>
      <c r="AJ1005" s="15" t="str">
        <f>AJ$997/Sales</f>
        <v>#ERROR!</v>
      </c>
      <c r="AK1005" s="15" t="str">
        <f>AK$997/Sales</f>
        <v>#ERROR!</v>
      </c>
      <c r="AL1005" s="410" t="str">
        <f>AL$997/Sales</f>
        <v>#ERROR!</v>
      </c>
      <c r="AM1005" s="15" t="str">
        <f>AM$997/Sales</f>
        <v>#ERROR!</v>
      </c>
      <c r="AN1005" s="15" t="str">
        <f>AN$997/Sales</f>
        <v>#ERROR!</v>
      </c>
      <c r="AO1005" s="15" t="str">
        <f>AO$997/Sales</f>
        <v>#ERROR!</v>
      </c>
      <c r="AP1005" s="15" t="str">
        <f>AP$997/Sales</f>
        <v>#ERROR!</v>
      </c>
      <c r="AQ1005" s="410" t="str">
        <f>AQ$997/Sales</f>
        <v>#ERROR!</v>
      </c>
      <c r="AR1005" s="15" t="str">
        <f>AR$997/Sales</f>
        <v>#ERROR!</v>
      </c>
      <c r="AS1005" s="15" t="str">
        <f>AS$997/Sales</f>
        <v>#ERROR!</v>
      </c>
      <c r="AT1005" s="15" t="str">
        <f>AT$997/Sales</f>
        <v>#ERROR!</v>
      </c>
      <c r="AU1005" s="15" t="str">
        <f>AU$997/Sales</f>
        <v>#ERROR!</v>
      </c>
      <c r="AV1005" s="410" t="str">
        <f>AV$997/Sales</f>
        <v>#ERROR!</v>
      </c>
      <c r="AW1005" s="15" t="str">
        <f>AW$997/Sales</f>
        <v>#ERROR!</v>
      </c>
      <c r="AX1005" s="15" t="str">
        <f>AX$997/Sales</f>
        <v>#ERROR!</v>
      </c>
      <c r="AY1005" s="15" t="str">
        <f>AY$997/Sales</f>
        <v>#ERROR!</v>
      </c>
      <c r="AZ1005" s="15" t="str">
        <f>AZ$997/Sales</f>
        <v>#ERROR!</v>
      </c>
      <c r="BA1005" s="410" t="str">
        <f>BA$997/Sales</f>
        <v>#ERROR!</v>
      </c>
      <c r="BB1005" s="15" t="str">
        <f>BB$997/Sales</f>
        <v>#ERROR!</v>
      </c>
      <c r="BC1005" s="15" t="str">
        <f>BC$997/Sales</f>
        <v>#ERROR!</v>
      </c>
      <c r="BD1005" s="15" t="str">
        <f>BD$997/Sales</f>
        <v>#ERROR!</v>
      </c>
      <c r="BE1005" s="15" t="str">
        <f>BE$997/Sales</f>
        <v>#ERROR!</v>
      </c>
      <c r="BF1005" s="410" t="str">
        <f>BF$997/Sales</f>
        <v>#ERROR!</v>
      </c>
      <c r="BG1005" s="15" t="str">
        <f>BG$997/Sales</f>
        <v>#ERROR!</v>
      </c>
      <c r="BH1005" s="15" t="str">
        <f>BH$997/Sales</f>
        <v>#ERROR!</v>
      </c>
      <c r="BI1005" s="15" t="str">
        <f>BI$997/Sales</f>
        <v>#ERROR!</v>
      </c>
      <c r="BJ1005" s="15" t="str">
        <f>BJ$997/Sales</f>
        <v>#ERROR!</v>
      </c>
      <c r="BK1005" s="410" t="str">
        <f>BK$997/Sales</f>
        <v>#ERROR!</v>
      </c>
      <c r="BL1005" s="15" t="str">
        <f>BL$997/Sales</f>
        <v>#ERROR!</v>
      </c>
      <c r="BM1005" s="15" t="str">
        <f>BM$997/Sales</f>
        <v>#ERROR!</v>
      </c>
      <c r="BN1005" s="15" t="str">
        <f>BN$997/Sales</f>
        <v>#ERROR!</v>
      </c>
      <c r="BO1005" s="15" t="str">
        <f>BO$997/Sales</f>
        <v>#ERROR!</v>
      </c>
      <c r="BP1005" s="410" t="str">
        <f>BP$997/Sales</f>
        <v>#ERROR!</v>
      </c>
      <c r="BQ1005" s="15" t="str">
        <f>BQ$997/Sales</f>
        <v>#ERROR!</v>
      </c>
      <c r="BR1005" s="15" t="str">
        <f>BR$997/Sales</f>
        <v>#ERROR!</v>
      </c>
      <c r="BS1005" s="15" t="str">
        <f>BS$997/Sales</f>
        <v>#ERROR!</v>
      </c>
      <c r="BT1005" s="15" t="str">
        <f>BT$997/Sales</f>
        <v>#ERROR!</v>
      </c>
      <c r="BU1005" s="410" t="str">
        <f>BU$997/Sales</f>
        <v>#ERROR!</v>
      </c>
      <c r="BV1005" s="15" t="str">
        <f>BV$997/Sales</f>
        <v>#ERROR!</v>
      </c>
      <c r="BW1005" s="15" t="str">
        <f>BW$997/Sales</f>
        <v>#ERROR!</v>
      </c>
      <c r="BX1005" s="15" t="str">
        <f>BX$997/Sales</f>
        <v>#ERROR!</v>
      </c>
      <c r="BY1005" s="15" t="str">
        <f>BY$997/Sales</f>
        <v>#ERROR!</v>
      </c>
      <c r="BZ1005" s="24" t="str">
        <f>BZ$997/Sales</f>
        <v>#ERROR!</v>
      </c>
      <c r="CA1005" s="15" t="str">
        <f>CA$997/Sales</f>
        <v>#ERROR!</v>
      </c>
      <c r="CB1005" s="15" t="str">
        <f>CB$997/Sales</f>
        <v>#ERROR!</v>
      </c>
      <c r="CC1005" s="15" t="str">
        <f>CC$997/Sales</f>
        <v>#ERROR!</v>
      </c>
      <c r="CD1005" s="15" t="str">
        <f>CD$997/Sales</f>
        <v>#ERROR!</v>
      </c>
      <c r="CE1005" s="24" t="str">
        <f>CE$997/Sales</f>
        <v>#ERROR!</v>
      </c>
      <c r="CF1005" s="15" t="str">
        <f>CF$997/Sales</f>
        <v>#ERROR!</v>
      </c>
      <c r="CG1005" s="15" t="str">
        <f>CG$997/Sales</f>
        <v>#ERROR!</v>
      </c>
      <c r="CH1005" s="15" t="str">
        <f>CH$997/Sales</f>
        <v>#ERROR!</v>
      </c>
      <c r="CI1005" s="15" t="str">
        <f>CI$997/Sales</f>
        <v>#ERROR!</v>
      </c>
      <c r="CJ1005" s="24" t="str">
        <f>CJ$997/Sales</f>
        <v>#ERROR!</v>
      </c>
      <c r="CK1005" s="15" t="str">
        <f>CK$997/Sales</f>
        <v>#ERROR!</v>
      </c>
      <c r="CL1005" s="15" t="str">
        <f>CL$997/Sales</f>
        <v>#ERROR!</v>
      </c>
      <c r="CM1005" s="15" t="str">
        <f>CM$997/Sales</f>
        <v>#ERROR!</v>
      </c>
      <c r="CN1005" s="40" t="str">
        <f>CN$997/Sales</f>
        <v>#ERROR!</v>
      </c>
      <c r="CO1005" s="24" t="str">
        <f>CO$997/Sales</f>
        <v>#ERROR!</v>
      </c>
      <c r="CP1005" s="40" t="str">
        <f>CP$997/Sales</f>
        <v>#ERROR!</v>
      </c>
      <c r="CQ1005" s="15" t="str">
        <f>CQ$997/Sales</f>
        <v>#ERROR!</v>
      </c>
      <c r="CR1005" s="15" t="str">
        <f>CR$997/Sales</f>
        <v>#ERROR!</v>
      </c>
      <c r="CS1005" s="15" t="str">
        <f>CS$997/Sales</f>
        <v>#ERROR!</v>
      </c>
      <c r="CT1005" s="24" t="str">
        <f>CT$997/Sales</f>
        <v>#ERROR!</v>
      </c>
      <c r="CU1005" s="15" t="str">
        <f>CU$997/Sales</f>
        <v>#ERROR!</v>
      </c>
      <c r="CV1005" s="15" t="str">
        <f>CV$997/Sales</f>
        <v>#ERROR!</v>
      </c>
      <c r="CW1005" s="15" t="str">
        <f>CW$997/Sales</f>
        <v>#ERROR!</v>
      </c>
      <c r="CX1005" s="15" t="str">
        <f>CX$997/Sales</f>
        <v>#ERROR!</v>
      </c>
      <c r="CY1005" s="24" t="str">
        <f>CY$997/Sales</f>
        <v>#ERROR!</v>
      </c>
      <c r="CZ1005" s="15" t="str">
        <f>CZ$997/Sales</f>
        <v>#ERROR!</v>
      </c>
      <c r="DA1005" s="15" t="str">
        <f>DA$997/Sales</f>
        <v>#ERROR!</v>
      </c>
      <c r="DB1005" s="15" t="str">
        <f>DB$997/Sales</f>
        <v>#ERROR!</v>
      </c>
      <c r="DC1005" s="15" t="str">
        <f>DC$997/Sales</f>
        <v>#ERROR!</v>
      </c>
      <c r="DD1005" s="24" t="str">
        <f>DD$997/Sales</f>
        <v>#ERROR!</v>
      </c>
      <c r="DE1005" s="15" t="str">
        <f>DE$997/Sales</f>
        <v>#ERROR!</v>
      </c>
      <c r="DF1005" s="15" t="str">
        <f>DF$997/Sales</f>
        <v>#ERROR!</v>
      </c>
      <c r="DG1005" s="40" t="str">
        <f>DG$997/Sales</f>
        <v>#ERROR!</v>
      </c>
      <c r="DH1005" s="15" t="str">
        <f>DH$997/Sales</f>
        <v>#ERROR!</v>
      </c>
      <c r="DI1005" s="24" t="str">
        <f>DI$997/Sales</f>
        <v>#ERROR!</v>
      </c>
      <c r="DJ1005" s="40" t="str">
        <f>DJ$997/Sales</f>
        <v>#ERROR!</v>
      </c>
      <c r="DK1005" s="40" t="str">
        <f>DK$997/Sales</f>
        <v>#ERROR!</v>
      </c>
      <c r="DL1005" s="40" t="str">
        <f>DL$997/Sales</f>
        <v>#ERROR!</v>
      </c>
      <c r="DM1005" s="15" t="str">
        <f>DM$997/Sales</f>
        <v>#ERROR!</v>
      </c>
      <c r="DN1005" s="24" t="str">
        <f>DN$997/Sales</f>
        <v>#ERROR!</v>
      </c>
      <c r="DO1005" s="15" t="str">
        <f>DO$997/Sales</f>
        <v>#ERROR!</v>
      </c>
      <c r="DP1005" s="15" t="str">
        <f>DP$997/Sales</f>
        <v>#ERROR!</v>
      </c>
      <c r="DQ1005" s="15" t="str">
        <f>DQ$997/Sales</f>
        <v>#ERROR!</v>
      </c>
      <c r="DR1005" s="15" t="str">
        <f>DR$997/Sales</f>
        <v>#ERROR!</v>
      </c>
      <c r="DS1005" s="24" t="str">
        <f>DS$997/Sales</f>
        <v>#ERROR!</v>
      </c>
      <c r="DT1005" s="15" t="str">
        <f>DT$997/Sales</f>
        <v>#ERROR!</v>
      </c>
      <c r="DU1005" s="15" t="str">
        <f>DU$997/Sales</f>
        <v>#ERROR!</v>
      </c>
      <c r="DV1005" s="15" t="str">
        <f>DV$997/Sales</f>
        <v>#ERROR!</v>
      </c>
      <c r="DW1005" s="15" t="str">
        <f>DW$997/Sales</f>
        <v>#ERROR!</v>
      </c>
      <c r="DX1005" s="24" t="str">
        <f>DX$997/Sales</f>
        <v>#ERROR!</v>
      </c>
      <c r="DY1005" s="15" t="str">
        <f>DY$997/Sales</f>
        <v>#ERROR!</v>
      </c>
      <c r="DZ1005" s="15" t="str">
        <f>DZ$997/Sales</f>
        <v>#ERROR!</v>
      </c>
      <c r="EA1005" s="15" t="str">
        <f>EA$997/Sales</f>
        <v>#ERROR!</v>
      </c>
      <c r="EB1005" s="15" t="str">
        <f>EB$997/Sales</f>
        <v>#ERROR!</v>
      </c>
      <c r="EC1005" s="24" t="str">
        <f>EC$997/Sales</f>
        <v>#ERROR!</v>
      </c>
      <c r="ED1005" s="15" t="str">
        <f>ED$997/Sales</f>
        <v>#ERROR!</v>
      </c>
      <c r="EE1005" s="15" t="str">
        <f>EE$997/Sales</f>
        <v>#ERROR!</v>
      </c>
      <c r="EF1005" s="15" t="str">
        <f>EF$997/Sales</f>
        <v>#ERROR!</v>
      </c>
      <c r="EG1005" s="15" t="str">
        <f>EG$997/Sales</f>
        <v>#ERROR!</v>
      </c>
      <c r="EH1005" s="24" t="str">
        <f>EH$997/Sales</f>
        <v>#ERROR!</v>
      </c>
      <c r="EI1005" s="82" t="str">
        <f>EI$997/Sales</f>
        <v>#ERROR!</v>
      </c>
      <c r="EJ1005" s="15" t="str">
        <f>EJ$997/Sales</f>
        <v>#ERROR!</v>
      </c>
      <c r="EK1005" s="15" t="str">
        <f>EK$997/Sales</f>
        <v>#ERROR!</v>
      </c>
      <c r="EL1005" s="15" t="str">
        <f>EL$997/Sales</f>
        <v>#ERROR!</v>
      </c>
      <c r="EM1005" s="24" t="str">
        <f>EM$997/Sales</f>
        <v>#ERROR!</v>
      </c>
      <c r="EN1005" s="15" t="str">
        <f>EN$997/Sales</f>
        <v>#ERROR!</v>
      </c>
      <c r="EO1005" s="15" t="str">
        <f>EO$997/Sales</f>
        <v>#ERROR!</v>
      </c>
      <c r="EP1005" s="15" t="str">
        <f>EP$997/Sales</f>
        <v>#ERROR!</v>
      </c>
      <c r="EQ1005" s="15" t="str">
        <f>EQ$997/Sales</f>
        <v>#ERROR!</v>
      </c>
      <c r="ER1005" s="24" t="str">
        <f>ER$997/Sales</f>
        <v>#ERROR!</v>
      </c>
      <c r="ES1005" s="15" t="str">
        <f>ES$997/Sales</f>
        <v>#ERROR!</v>
      </c>
      <c r="ET1005" s="15" t="str">
        <f>ET$997/Sales</f>
        <v>#ERROR!</v>
      </c>
      <c r="EU1005" s="15" t="str">
        <f>EU$997/Sales</f>
        <v>#ERROR!</v>
      </c>
      <c r="EV1005" s="15" t="str">
        <f>EV$997/Sales</f>
        <v>#ERROR!</v>
      </c>
      <c r="EW1005" s="24" t="str">
        <f>EW$997/Sales</f>
        <v>#ERROR!</v>
      </c>
      <c r="EX1005" s="15" t="str">
        <f>EX$997/Sales</f>
        <v>#ERROR!</v>
      </c>
      <c r="EY1005" s="15" t="str">
        <f>EY$997/Sales</f>
        <v>#ERROR!</v>
      </c>
      <c r="EZ1005" s="15" t="str">
        <f>EZ$997/Sales</f>
        <v>#ERROR!</v>
      </c>
      <c r="FA1005" s="15" t="str">
        <f>FA$997/Sales</f>
        <v>#ERROR!</v>
      </c>
      <c r="FB1005" s="24" t="str">
        <f>FB$997/Sales</f>
        <v>#ERROR!</v>
      </c>
      <c r="FC1005" s="15" t="str">
        <f>FC$997/Sales</f>
        <v>#ERROR!</v>
      </c>
      <c r="FD1005" s="15" t="str">
        <f>FD$997/Sales</f>
        <v>#ERROR!</v>
      </c>
      <c r="FE1005" s="15" t="str">
        <f>FE$997/Sales</f>
        <v>#ERROR!</v>
      </c>
      <c r="FF1005" s="15" t="str">
        <f>FF$997/Sales</f>
        <v>#ERROR!</v>
      </c>
      <c r="FG1005" s="24" t="str">
        <f>FG$997/Sales</f>
        <v>#ERROR!</v>
      </c>
      <c r="FH1005" s="104"/>
      <c r="FI1005" s="15"/>
      <c r="FJ1005" s="15"/>
      <c r="FK1005" s="410"/>
      <c r="FL1005" s="15"/>
    </row>
    <row r="1006" ht="12.75" hidden="1" customHeight="1" outlineLevel="1">
      <c r="A1006" s="162"/>
      <c r="B1006" s="710"/>
      <c r="C1006" s="696"/>
      <c r="D1006" s="90"/>
      <c r="E1006" s="90"/>
      <c r="F1006" s="90"/>
      <c r="G1006" s="90"/>
      <c r="H1006" s="414"/>
      <c r="I1006" s="90"/>
      <c r="J1006" s="90"/>
      <c r="K1006" s="90"/>
      <c r="L1006" s="90"/>
      <c r="M1006" s="414"/>
      <c r="N1006" s="90"/>
      <c r="O1006" s="90"/>
      <c r="P1006" s="90"/>
      <c r="Q1006" s="90"/>
      <c r="R1006" s="414"/>
      <c r="S1006" s="90"/>
      <c r="T1006" s="90"/>
      <c r="U1006" s="90"/>
      <c r="V1006" s="90"/>
      <c r="W1006" s="414"/>
      <c r="X1006" s="90"/>
      <c r="Y1006" s="90"/>
      <c r="Z1006" s="90"/>
      <c r="AA1006" s="90"/>
      <c r="AB1006" s="414"/>
      <c r="AC1006" s="90"/>
      <c r="AD1006" s="90"/>
      <c r="AE1006" s="90"/>
      <c r="AF1006" s="90"/>
      <c r="AG1006" s="414"/>
      <c r="AH1006" s="90"/>
      <c r="AI1006" s="90"/>
      <c r="AJ1006" s="90"/>
      <c r="AK1006" s="90"/>
      <c r="AL1006" s="414"/>
      <c r="AM1006" s="90"/>
      <c r="AN1006" s="90"/>
      <c r="AO1006" s="90"/>
      <c r="AP1006" s="90"/>
      <c r="AQ1006" s="414"/>
      <c r="AR1006" s="90"/>
      <c r="AS1006" s="90"/>
      <c r="AT1006" s="90"/>
      <c r="AU1006" s="90"/>
      <c r="AV1006" s="414"/>
      <c r="AW1006" s="90"/>
      <c r="AX1006" s="90"/>
      <c r="AY1006" s="90"/>
      <c r="AZ1006" s="90"/>
      <c r="BA1006" s="414"/>
      <c r="BB1006" s="90"/>
      <c r="BC1006" s="90"/>
      <c r="BD1006" s="90"/>
      <c r="BE1006" s="90"/>
      <c r="BF1006" s="414"/>
      <c r="BG1006" s="90"/>
      <c r="BH1006" s="90"/>
      <c r="BI1006" s="90"/>
      <c r="BJ1006" s="90"/>
      <c r="BK1006" s="414"/>
      <c r="BL1006" s="90"/>
      <c r="BM1006" s="90"/>
      <c r="BN1006" s="90"/>
      <c r="BO1006" s="90"/>
      <c r="BP1006" s="414"/>
      <c r="BQ1006" s="90"/>
      <c r="BR1006" s="90"/>
      <c r="BS1006" s="90"/>
      <c r="BT1006" s="90"/>
      <c r="BU1006" s="414"/>
      <c r="BV1006" s="90"/>
      <c r="BW1006" s="90"/>
      <c r="BX1006" s="90"/>
      <c r="BY1006" s="90"/>
      <c r="BZ1006" s="415"/>
      <c r="CA1006" s="90"/>
      <c r="CB1006" s="90"/>
      <c r="CC1006" s="90"/>
      <c r="CD1006" s="90"/>
      <c r="CE1006" s="415"/>
      <c r="CF1006" s="90"/>
      <c r="CG1006" s="90"/>
      <c r="CH1006" s="90"/>
      <c r="CI1006" s="90"/>
      <c r="CJ1006" s="415"/>
      <c r="CK1006" s="90"/>
      <c r="CL1006" s="90"/>
      <c r="CM1006" s="90"/>
      <c r="CN1006" s="135"/>
      <c r="CO1006" s="415"/>
      <c r="CP1006" s="135"/>
      <c r="CQ1006" s="90"/>
      <c r="CR1006" s="90"/>
      <c r="CS1006" s="90"/>
      <c r="CT1006" s="415"/>
      <c r="CU1006" s="90"/>
      <c r="CV1006" s="90"/>
      <c r="CW1006" s="90"/>
      <c r="CX1006" s="90"/>
      <c r="CY1006" s="415"/>
      <c r="CZ1006" s="90"/>
      <c r="DA1006" s="90"/>
      <c r="DB1006" s="90"/>
      <c r="DC1006" s="90"/>
      <c r="DD1006" s="415"/>
      <c r="DE1006" s="90"/>
      <c r="DF1006" s="90"/>
      <c r="DG1006" s="16"/>
      <c r="DH1006" s="90"/>
      <c r="DI1006" s="415"/>
      <c r="DJ1006" s="135"/>
      <c r="DK1006" s="135"/>
      <c r="DL1006" s="135"/>
      <c r="DM1006" s="90"/>
      <c r="DN1006" s="415"/>
      <c r="DO1006" s="90"/>
      <c r="DP1006" s="90"/>
      <c r="DQ1006" s="90"/>
      <c r="DR1006" s="90"/>
      <c r="DS1006" s="415"/>
      <c r="DT1006" s="90"/>
      <c r="DU1006" s="90"/>
      <c r="DV1006" s="90"/>
      <c r="DW1006" s="90"/>
      <c r="DX1006" s="415"/>
      <c r="DY1006" s="90"/>
      <c r="DZ1006" s="90"/>
      <c r="EA1006" s="90"/>
      <c r="EB1006" s="90"/>
      <c r="EC1006" s="415"/>
      <c r="ED1006" s="90"/>
      <c r="EE1006" s="90"/>
      <c r="EF1006" s="90"/>
      <c r="EG1006" s="90"/>
      <c r="EH1006" s="415"/>
      <c r="EI1006" s="389"/>
      <c r="EJ1006" s="90"/>
      <c r="EK1006" s="90"/>
      <c r="EL1006" s="90"/>
      <c r="EM1006" s="415"/>
      <c r="EN1006" s="90"/>
      <c r="EO1006" s="90"/>
      <c r="EP1006" s="90"/>
      <c r="EQ1006" s="90"/>
      <c r="ER1006" s="415"/>
      <c r="ES1006" s="90"/>
      <c r="ET1006" s="90"/>
      <c r="EU1006" s="90"/>
      <c r="EV1006" s="90"/>
      <c r="EW1006" s="415"/>
      <c r="EX1006" s="90"/>
      <c r="EY1006" s="90"/>
      <c r="EZ1006" s="90"/>
      <c r="FA1006" s="90"/>
      <c r="FB1006" s="415"/>
      <c r="FC1006" s="90"/>
      <c r="FD1006" s="90"/>
      <c r="FE1006" s="90"/>
      <c r="FF1006" s="90"/>
      <c r="FG1006" s="415"/>
      <c r="FH1006" s="388"/>
      <c r="FI1006" s="90"/>
      <c r="FJ1006" s="90"/>
      <c r="FK1006" s="414"/>
      <c r="FL1006" s="90"/>
    </row>
    <row r="1007" ht="12.75" hidden="1" customHeight="1" outlineLevel="1">
      <c r="A1007" s="162"/>
      <c r="B1007" s="162" t="s">
        <v>356</v>
      </c>
      <c r="C1007" s="162"/>
      <c r="D1007" s="15"/>
      <c r="E1007" s="15"/>
      <c r="F1007" s="15"/>
      <c r="G1007" s="15"/>
      <c r="H1007" s="410"/>
      <c r="I1007" s="15"/>
      <c r="J1007" s="15"/>
      <c r="K1007" s="15"/>
      <c r="L1007" s="15"/>
      <c r="M1007" s="410" t="str">
        <f t="shared" ref="M1007:FG1007" si="5361">M985/M$997</f>
        <v>#ERROR!</v>
      </c>
      <c r="N1007" s="15" t="str">
        <f t="shared" si="5361"/>
        <v>#ERROR!</v>
      </c>
      <c r="O1007" s="15" t="str">
        <f t="shared" si="5361"/>
        <v>#ERROR!</v>
      </c>
      <c r="P1007" s="15" t="str">
        <f t="shared" si="5361"/>
        <v>#ERROR!</v>
      </c>
      <c r="Q1007" s="15" t="str">
        <f t="shared" si="5361"/>
        <v>#ERROR!</v>
      </c>
      <c r="R1007" s="410" t="str">
        <f t="shared" si="5361"/>
        <v>#ERROR!</v>
      </c>
      <c r="S1007" s="15" t="str">
        <f t="shared" si="5361"/>
        <v>#ERROR!</v>
      </c>
      <c r="T1007" s="15" t="str">
        <f t="shared" si="5361"/>
        <v>#ERROR!</v>
      </c>
      <c r="U1007" s="15" t="str">
        <f t="shared" si="5361"/>
        <v>#ERROR!</v>
      </c>
      <c r="V1007" s="15" t="str">
        <f t="shared" si="5361"/>
        <v>#ERROR!</v>
      </c>
      <c r="W1007" s="410" t="str">
        <f t="shared" si="5361"/>
        <v>#ERROR!</v>
      </c>
      <c r="X1007" s="15" t="str">
        <f t="shared" si="5361"/>
        <v>#ERROR!</v>
      </c>
      <c r="Y1007" s="15" t="str">
        <f t="shared" si="5361"/>
        <v>#ERROR!</v>
      </c>
      <c r="Z1007" s="15" t="str">
        <f t="shared" si="5361"/>
        <v>#ERROR!</v>
      </c>
      <c r="AA1007" s="15" t="str">
        <f t="shared" si="5361"/>
        <v>#ERROR!</v>
      </c>
      <c r="AB1007" s="410" t="str">
        <f t="shared" si="5361"/>
        <v>#ERROR!</v>
      </c>
      <c r="AC1007" s="15" t="str">
        <f t="shared" si="5361"/>
        <v>#ERROR!</v>
      </c>
      <c r="AD1007" s="15" t="str">
        <f t="shared" si="5361"/>
        <v>#ERROR!</v>
      </c>
      <c r="AE1007" s="15" t="str">
        <f t="shared" si="5361"/>
        <v>#ERROR!</v>
      </c>
      <c r="AF1007" s="15" t="str">
        <f t="shared" si="5361"/>
        <v>#ERROR!</v>
      </c>
      <c r="AG1007" s="410" t="str">
        <f t="shared" si="5361"/>
        <v>#ERROR!</v>
      </c>
      <c r="AH1007" s="15" t="str">
        <f t="shared" si="5361"/>
        <v>#ERROR!</v>
      </c>
      <c r="AI1007" s="15" t="str">
        <f t="shared" si="5361"/>
        <v>#ERROR!</v>
      </c>
      <c r="AJ1007" s="15" t="str">
        <f t="shared" si="5361"/>
        <v>#ERROR!</v>
      </c>
      <c r="AK1007" s="15" t="str">
        <f t="shared" si="5361"/>
        <v>#ERROR!</v>
      </c>
      <c r="AL1007" s="410" t="str">
        <f t="shared" si="5361"/>
        <v>#ERROR!</v>
      </c>
      <c r="AM1007" s="15" t="str">
        <f t="shared" si="5361"/>
        <v>#ERROR!</v>
      </c>
      <c r="AN1007" s="15" t="str">
        <f t="shared" si="5361"/>
        <v>#ERROR!</v>
      </c>
      <c r="AO1007" s="15" t="str">
        <f t="shared" si="5361"/>
        <v>#ERROR!</v>
      </c>
      <c r="AP1007" s="15" t="str">
        <f t="shared" si="5361"/>
        <v>#ERROR!</v>
      </c>
      <c r="AQ1007" s="410" t="str">
        <f t="shared" si="5361"/>
        <v>#ERROR!</v>
      </c>
      <c r="AR1007" s="15" t="str">
        <f t="shared" si="5361"/>
        <v>#ERROR!</v>
      </c>
      <c r="AS1007" s="15" t="str">
        <f t="shared" si="5361"/>
        <v>#ERROR!</v>
      </c>
      <c r="AT1007" s="15" t="str">
        <f t="shared" si="5361"/>
        <v>#ERROR!</v>
      </c>
      <c r="AU1007" s="15" t="str">
        <f t="shared" si="5361"/>
        <v>#ERROR!</v>
      </c>
      <c r="AV1007" s="410" t="str">
        <f t="shared" si="5361"/>
        <v>#ERROR!</v>
      </c>
      <c r="AW1007" s="15" t="str">
        <f t="shared" si="5361"/>
        <v>#ERROR!</v>
      </c>
      <c r="AX1007" s="15" t="str">
        <f t="shared" si="5361"/>
        <v>#ERROR!</v>
      </c>
      <c r="AY1007" s="15" t="str">
        <f t="shared" si="5361"/>
        <v>#ERROR!</v>
      </c>
      <c r="AZ1007" s="15" t="str">
        <f t="shared" si="5361"/>
        <v>#ERROR!</v>
      </c>
      <c r="BA1007" s="410" t="str">
        <f t="shared" si="5361"/>
        <v>#ERROR!</v>
      </c>
      <c r="BB1007" s="15" t="str">
        <f t="shared" si="5361"/>
        <v>#ERROR!</v>
      </c>
      <c r="BC1007" s="15" t="str">
        <f t="shared" si="5361"/>
        <v>#ERROR!</v>
      </c>
      <c r="BD1007" s="15" t="str">
        <f t="shared" si="5361"/>
        <v>#ERROR!</v>
      </c>
      <c r="BE1007" s="15" t="str">
        <f t="shared" si="5361"/>
        <v>#ERROR!</v>
      </c>
      <c r="BF1007" s="410" t="str">
        <f t="shared" si="5361"/>
        <v>#ERROR!</v>
      </c>
      <c r="BG1007" s="15" t="str">
        <f t="shared" si="5361"/>
        <v>#ERROR!</v>
      </c>
      <c r="BH1007" s="15" t="str">
        <f t="shared" si="5361"/>
        <v>#ERROR!</v>
      </c>
      <c r="BI1007" s="15" t="str">
        <f t="shared" si="5361"/>
        <v>#ERROR!</v>
      </c>
      <c r="BJ1007" s="15" t="str">
        <f t="shared" si="5361"/>
        <v>#ERROR!</v>
      </c>
      <c r="BK1007" s="410" t="str">
        <f t="shared" si="5361"/>
        <v>#ERROR!</v>
      </c>
      <c r="BL1007" s="15" t="str">
        <f t="shared" si="5361"/>
        <v>#ERROR!</v>
      </c>
      <c r="BM1007" s="15" t="str">
        <f t="shared" si="5361"/>
        <v>#ERROR!</v>
      </c>
      <c r="BN1007" s="15" t="str">
        <f t="shared" si="5361"/>
        <v>#ERROR!</v>
      </c>
      <c r="BO1007" s="15" t="str">
        <f t="shared" si="5361"/>
        <v>#ERROR!</v>
      </c>
      <c r="BP1007" s="410" t="str">
        <f t="shared" si="5361"/>
        <v>#ERROR!</v>
      </c>
      <c r="BQ1007" s="15" t="str">
        <f t="shared" si="5361"/>
        <v>#ERROR!</v>
      </c>
      <c r="BR1007" s="15" t="str">
        <f t="shared" si="5361"/>
        <v>#ERROR!</v>
      </c>
      <c r="BS1007" s="15" t="str">
        <f t="shared" si="5361"/>
        <v>#ERROR!</v>
      </c>
      <c r="BT1007" s="15" t="str">
        <f t="shared" si="5361"/>
        <v>#ERROR!</v>
      </c>
      <c r="BU1007" s="410" t="str">
        <f t="shared" si="5361"/>
        <v>#ERROR!</v>
      </c>
      <c r="BV1007" s="15" t="str">
        <f t="shared" si="5361"/>
        <v>#ERROR!</v>
      </c>
      <c r="BW1007" s="15" t="str">
        <f t="shared" si="5361"/>
        <v>#ERROR!</v>
      </c>
      <c r="BX1007" s="15" t="str">
        <f t="shared" si="5361"/>
        <v>#ERROR!</v>
      </c>
      <c r="BY1007" s="15" t="str">
        <f t="shared" si="5361"/>
        <v>#ERROR!</v>
      </c>
      <c r="BZ1007" s="24" t="str">
        <f t="shared" si="5361"/>
        <v>#ERROR!</v>
      </c>
      <c r="CA1007" s="15" t="str">
        <f t="shared" si="5361"/>
        <v>#ERROR!</v>
      </c>
      <c r="CB1007" s="15" t="str">
        <f t="shared" si="5361"/>
        <v>#ERROR!</v>
      </c>
      <c r="CC1007" s="15" t="str">
        <f t="shared" si="5361"/>
        <v>#ERROR!</v>
      </c>
      <c r="CD1007" s="15" t="str">
        <f t="shared" si="5361"/>
        <v>#ERROR!</v>
      </c>
      <c r="CE1007" s="24" t="str">
        <f t="shared" si="5361"/>
        <v>#ERROR!</v>
      </c>
      <c r="CF1007" s="15" t="str">
        <f t="shared" si="5361"/>
        <v>#ERROR!</v>
      </c>
      <c r="CG1007" s="15" t="str">
        <f t="shared" si="5361"/>
        <v>#ERROR!</v>
      </c>
      <c r="CH1007" s="15" t="str">
        <f t="shared" si="5361"/>
        <v>#ERROR!</v>
      </c>
      <c r="CI1007" s="15" t="str">
        <f t="shared" si="5361"/>
        <v>#ERROR!</v>
      </c>
      <c r="CJ1007" s="24" t="str">
        <f t="shared" si="5361"/>
        <v>#ERROR!</v>
      </c>
      <c r="CK1007" s="15" t="str">
        <f t="shared" si="5361"/>
        <v>#ERROR!</v>
      </c>
      <c r="CL1007" s="15" t="str">
        <f t="shared" si="5361"/>
        <v>#ERROR!</v>
      </c>
      <c r="CM1007" s="15" t="str">
        <f t="shared" si="5361"/>
        <v>#ERROR!</v>
      </c>
      <c r="CN1007" s="40" t="str">
        <f t="shared" si="5361"/>
        <v>#ERROR!</v>
      </c>
      <c r="CO1007" s="24" t="str">
        <f t="shared" si="5361"/>
        <v>#ERROR!</v>
      </c>
      <c r="CP1007" s="40" t="str">
        <f t="shared" si="5361"/>
        <v>#ERROR!</v>
      </c>
      <c r="CQ1007" s="15" t="str">
        <f t="shared" si="5361"/>
        <v>#ERROR!</v>
      </c>
      <c r="CR1007" s="15" t="str">
        <f t="shared" si="5361"/>
        <v>#ERROR!</v>
      </c>
      <c r="CS1007" s="15" t="str">
        <f t="shared" si="5361"/>
        <v>#ERROR!</v>
      </c>
      <c r="CT1007" s="24" t="str">
        <f t="shared" si="5361"/>
        <v>#ERROR!</v>
      </c>
      <c r="CU1007" s="15" t="str">
        <f t="shared" si="5361"/>
        <v>#ERROR!</v>
      </c>
      <c r="CV1007" s="15" t="str">
        <f t="shared" si="5361"/>
        <v>#ERROR!</v>
      </c>
      <c r="CW1007" s="15" t="str">
        <f t="shared" si="5361"/>
        <v>#ERROR!</v>
      </c>
      <c r="CX1007" s="15" t="str">
        <f t="shared" si="5361"/>
        <v>#ERROR!</v>
      </c>
      <c r="CY1007" s="24" t="str">
        <f t="shared" si="5361"/>
        <v>#ERROR!</v>
      </c>
      <c r="CZ1007" s="15" t="str">
        <f t="shared" si="5361"/>
        <v>#ERROR!</v>
      </c>
      <c r="DA1007" s="15" t="str">
        <f t="shared" si="5361"/>
        <v>#ERROR!</v>
      </c>
      <c r="DB1007" s="15" t="str">
        <f t="shared" si="5361"/>
        <v>#ERROR!</v>
      </c>
      <c r="DC1007" s="15" t="str">
        <f t="shared" si="5361"/>
        <v>#ERROR!</v>
      </c>
      <c r="DD1007" s="24" t="str">
        <f t="shared" si="5361"/>
        <v>#ERROR!</v>
      </c>
      <c r="DE1007" s="15" t="str">
        <f t="shared" si="5361"/>
        <v>#ERROR!</v>
      </c>
      <c r="DF1007" s="15" t="str">
        <f t="shared" si="5361"/>
        <v>#ERROR!</v>
      </c>
      <c r="DG1007" s="40" t="str">
        <f t="shared" si="5361"/>
        <v>#ERROR!</v>
      </c>
      <c r="DH1007" s="15" t="str">
        <f t="shared" si="5361"/>
        <v>#ERROR!</v>
      </c>
      <c r="DI1007" s="24" t="str">
        <f t="shared" si="5361"/>
        <v>#ERROR!</v>
      </c>
      <c r="DJ1007" s="40" t="str">
        <f t="shared" si="5361"/>
        <v>#ERROR!</v>
      </c>
      <c r="DK1007" s="40" t="str">
        <f t="shared" si="5361"/>
        <v>#ERROR!</v>
      </c>
      <c r="DL1007" s="40" t="str">
        <f t="shared" si="5361"/>
        <v>#ERROR!</v>
      </c>
      <c r="DM1007" s="15" t="str">
        <f t="shared" si="5361"/>
        <v>#ERROR!</v>
      </c>
      <c r="DN1007" s="24" t="str">
        <f t="shared" si="5361"/>
        <v>#ERROR!</v>
      </c>
      <c r="DO1007" s="15" t="str">
        <f t="shared" si="5361"/>
        <v>#ERROR!</v>
      </c>
      <c r="DP1007" s="15" t="str">
        <f t="shared" si="5361"/>
        <v>#ERROR!</v>
      </c>
      <c r="DQ1007" s="15" t="str">
        <f t="shared" si="5361"/>
        <v>#ERROR!</v>
      </c>
      <c r="DR1007" s="15" t="str">
        <f t="shared" si="5361"/>
        <v>#ERROR!</v>
      </c>
      <c r="DS1007" s="24" t="str">
        <f t="shared" si="5361"/>
        <v>#ERROR!</v>
      </c>
      <c r="DT1007" s="15" t="str">
        <f t="shared" si="5361"/>
        <v>#ERROR!</v>
      </c>
      <c r="DU1007" s="15" t="str">
        <f t="shared" si="5361"/>
        <v>#ERROR!</v>
      </c>
      <c r="DV1007" s="15" t="str">
        <f t="shared" si="5361"/>
        <v>#ERROR!</v>
      </c>
      <c r="DW1007" s="15" t="str">
        <f t="shared" si="5361"/>
        <v>#ERROR!</v>
      </c>
      <c r="DX1007" s="24" t="str">
        <f t="shared" si="5361"/>
        <v>#ERROR!</v>
      </c>
      <c r="DY1007" s="15" t="str">
        <f t="shared" si="5361"/>
        <v>#ERROR!</v>
      </c>
      <c r="DZ1007" s="15" t="str">
        <f t="shared" si="5361"/>
        <v>#ERROR!</v>
      </c>
      <c r="EA1007" s="15" t="str">
        <f t="shared" si="5361"/>
        <v>#ERROR!</v>
      </c>
      <c r="EB1007" s="15" t="str">
        <f t="shared" si="5361"/>
        <v>#ERROR!</v>
      </c>
      <c r="EC1007" s="24" t="str">
        <f t="shared" si="5361"/>
        <v>#ERROR!</v>
      </c>
      <c r="ED1007" s="15" t="str">
        <f t="shared" si="5361"/>
        <v>#ERROR!</v>
      </c>
      <c r="EE1007" s="15" t="str">
        <f t="shared" si="5361"/>
        <v>#ERROR!</v>
      </c>
      <c r="EF1007" s="15" t="str">
        <f t="shared" si="5361"/>
        <v>#ERROR!</v>
      </c>
      <c r="EG1007" s="15" t="str">
        <f t="shared" si="5361"/>
        <v>#ERROR!</v>
      </c>
      <c r="EH1007" s="24" t="str">
        <f t="shared" si="5361"/>
        <v>#ERROR!</v>
      </c>
      <c r="EI1007" s="82" t="str">
        <f t="shared" si="5361"/>
        <v>#ERROR!</v>
      </c>
      <c r="EJ1007" s="15" t="str">
        <f t="shared" si="5361"/>
        <v>#ERROR!</v>
      </c>
      <c r="EK1007" s="15" t="str">
        <f t="shared" si="5361"/>
        <v>#ERROR!</v>
      </c>
      <c r="EL1007" s="15" t="str">
        <f t="shared" si="5361"/>
        <v>#ERROR!</v>
      </c>
      <c r="EM1007" s="24" t="str">
        <f t="shared" si="5361"/>
        <v>#ERROR!</v>
      </c>
      <c r="EN1007" s="15" t="str">
        <f t="shared" si="5361"/>
        <v>#ERROR!</v>
      </c>
      <c r="EO1007" s="15" t="str">
        <f t="shared" si="5361"/>
        <v>#ERROR!</v>
      </c>
      <c r="EP1007" s="15" t="str">
        <f t="shared" si="5361"/>
        <v>#ERROR!</v>
      </c>
      <c r="EQ1007" s="15" t="str">
        <f t="shared" si="5361"/>
        <v>#ERROR!</v>
      </c>
      <c r="ER1007" s="24" t="str">
        <f t="shared" si="5361"/>
        <v>#ERROR!</v>
      </c>
      <c r="ES1007" s="15" t="str">
        <f t="shared" si="5361"/>
        <v>#ERROR!</v>
      </c>
      <c r="ET1007" s="15" t="str">
        <f t="shared" si="5361"/>
        <v>#ERROR!</v>
      </c>
      <c r="EU1007" s="15" t="str">
        <f t="shared" si="5361"/>
        <v>#ERROR!</v>
      </c>
      <c r="EV1007" s="15" t="str">
        <f t="shared" si="5361"/>
        <v>#ERROR!</v>
      </c>
      <c r="EW1007" s="24" t="str">
        <f t="shared" si="5361"/>
        <v>#ERROR!</v>
      </c>
      <c r="EX1007" s="15" t="str">
        <f t="shared" si="5361"/>
        <v>#ERROR!</v>
      </c>
      <c r="EY1007" s="15" t="str">
        <f t="shared" si="5361"/>
        <v>#ERROR!</v>
      </c>
      <c r="EZ1007" s="15" t="str">
        <f t="shared" si="5361"/>
        <v>#ERROR!</v>
      </c>
      <c r="FA1007" s="15" t="str">
        <f t="shared" si="5361"/>
        <v>#ERROR!</v>
      </c>
      <c r="FB1007" s="24" t="str">
        <f t="shared" si="5361"/>
        <v>#ERROR!</v>
      </c>
      <c r="FC1007" s="15" t="str">
        <f t="shared" si="5361"/>
        <v>#ERROR!</v>
      </c>
      <c r="FD1007" s="15" t="str">
        <f t="shared" si="5361"/>
        <v>#ERROR!</v>
      </c>
      <c r="FE1007" s="15" t="str">
        <f t="shared" si="5361"/>
        <v>#ERROR!</v>
      </c>
      <c r="FF1007" s="15" t="str">
        <f t="shared" si="5361"/>
        <v>#ERROR!</v>
      </c>
      <c r="FG1007" s="24" t="str">
        <f t="shared" si="5361"/>
        <v>#ERROR!</v>
      </c>
      <c r="FH1007" s="104"/>
      <c r="FI1007" s="15"/>
      <c r="FJ1007" s="15"/>
      <c r="FK1007" s="410"/>
      <c r="FL1007" s="15"/>
    </row>
    <row r="1008" ht="12.75" hidden="1" customHeight="1" outlineLevel="1">
      <c r="A1008" s="162"/>
      <c r="B1008" s="696" t="s">
        <v>357</v>
      </c>
      <c r="C1008" s="696"/>
      <c r="D1008" s="413"/>
      <c r="E1008" s="413"/>
      <c r="F1008" s="413"/>
      <c r="G1008" s="413"/>
      <c r="H1008" s="414"/>
      <c r="I1008" s="413"/>
      <c r="J1008" s="413"/>
      <c r="K1008" s="413"/>
      <c r="L1008" s="413"/>
      <c r="M1008" s="414" t="str">
        <f>M985/Sales</f>
        <v>#ERROR!</v>
      </c>
      <c r="N1008" s="413" t="str">
        <f>N985/Sales</f>
        <v>#ERROR!</v>
      </c>
      <c r="O1008" s="413" t="str">
        <f>O985/Sales</f>
        <v>#ERROR!</v>
      </c>
      <c r="P1008" s="413" t="str">
        <f>P985/Sales</f>
        <v>#ERROR!</v>
      </c>
      <c r="Q1008" s="413" t="str">
        <f>Q985/Sales</f>
        <v>#ERROR!</v>
      </c>
      <c r="R1008" s="414" t="str">
        <f>R985/Sales</f>
        <v>#ERROR!</v>
      </c>
      <c r="S1008" s="413" t="str">
        <f>S985/Sales</f>
        <v>#ERROR!</v>
      </c>
      <c r="T1008" s="413" t="str">
        <f>T985/Sales</f>
        <v>#ERROR!</v>
      </c>
      <c r="U1008" s="413" t="str">
        <f>U985/Sales</f>
        <v>#ERROR!</v>
      </c>
      <c r="V1008" s="413" t="str">
        <f>V985/Sales</f>
        <v>#ERROR!</v>
      </c>
      <c r="W1008" s="414" t="str">
        <f>W985/Sales</f>
        <v>#ERROR!</v>
      </c>
      <c r="X1008" s="413" t="str">
        <f>X985/Sales</f>
        <v>#ERROR!</v>
      </c>
      <c r="Y1008" s="413" t="str">
        <f>Y985/Sales</f>
        <v>#ERROR!</v>
      </c>
      <c r="Z1008" s="413" t="str">
        <f>Z985/Sales</f>
        <v>#ERROR!</v>
      </c>
      <c r="AA1008" s="413" t="str">
        <f>AA985/Sales</f>
        <v>#ERROR!</v>
      </c>
      <c r="AB1008" s="414" t="str">
        <f>AB985/Sales</f>
        <v>#ERROR!</v>
      </c>
      <c r="AC1008" s="413" t="str">
        <f>AC985/Sales</f>
        <v>#ERROR!</v>
      </c>
      <c r="AD1008" s="413" t="str">
        <f>AD985/Sales</f>
        <v>#ERROR!</v>
      </c>
      <c r="AE1008" s="413" t="str">
        <f>AE985/Sales</f>
        <v>#ERROR!</v>
      </c>
      <c r="AF1008" s="413" t="str">
        <f>AF985/Sales</f>
        <v>#ERROR!</v>
      </c>
      <c r="AG1008" s="414" t="str">
        <f>AG985/Sales</f>
        <v>#ERROR!</v>
      </c>
      <c r="AH1008" s="413" t="str">
        <f>AH985/Sales</f>
        <v>#ERROR!</v>
      </c>
      <c r="AI1008" s="413" t="str">
        <f>AI985/Sales</f>
        <v>#ERROR!</v>
      </c>
      <c r="AJ1008" s="413" t="str">
        <f>AJ985/Sales</f>
        <v>#ERROR!</v>
      </c>
      <c r="AK1008" s="413" t="str">
        <f>AK985/Sales</f>
        <v>#ERROR!</v>
      </c>
      <c r="AL1008" s="414" t="str">
        <f>AL985/Sales</f>
        <v>#ERROR!</v>
      </c>
      <c r="AM1008" s="413" t="str">
        <f>AM985/Sales</f>
        <v>#ERROR!</v>
      </c>
      <c r="AN1008" s="413" t="str">
        <f>AN985/Sales</f>
        <v>#ERROR!</v>
      </c>
      <c r="AO1008" s="413" t="str">
        <f>AO985/Sales</f>
        <v>#ERROR!</v>
      </c>
      <c r="AP1008" s="413" t="str">
        <f>AP985/Sales</f>
        <v>#ERROR!</v>
      </c>
      <c r="AQ1008" s="414" t="str">
        <f>AQ985/Sales</f>
        <v>#ERROR!</v>
      </c>
      <c r="AR1008" s="413" t="str">
        <f>AR985/Sales</f>
        <v>#ERROR!</v>
      </c>
      <c r="AS1008" s="413" t="str">
        <f>AS985/Sales</f>
        <v>#ERROR!</v>
      </c>
      <c r="AT1008" s="413" t="str">
        <f>AT985/Sales</f>
        <v>#ERROR!</v>
      </c>
      <c r="AU1008" s="413" t="str">
        <f>AU985/Sales</f>
        <v>#ERROR!</v>
      </c>
      <c r="AV1008" s="414" t="str">
        <f>AV985/Sales</f>
        <v>#ERROR!</v>
      </c>
      <c r="AW1008" s="413" t="str">
        <f>AW985/Sales</f>
        <v>#ERROR!</v>
      </c>
      <c r="AX1008" s="413" t="str">
        <f>AX985/Sales</f>
        <v>#ERROR!</v>
      </c>
      <c r="AY1008" s="413" t="str">
        <f>AY985/Sales</f>
        <v>#ERROR!</v>
      </c>
      <c r="AZ1008" s="413" t="str">
        <f>AZ985/Sales</f>
        <v>#ERROR!</v>
      </c>
      <c r="BA1008" s="414" t="str">
        <f>BA985/Sales</f>
        <v>#ERROR!</v>
      </c>
      <c r="BB1008" s="413" t="str">
        <f>BB985/Sales</f>
        <v>#ERROR!</v>
      </c>
      <c r="BC1008" s="413" t="str">
        <f>BC985/Sales</f>
        <v>#ERROR!</v>
      </c>
      <c r="BD1008" s="413" t="str">
        <f>BD985/Sales</f>
        <v>#ERROR!</v>
      </c>
      <c r="BE1008" s="413" t="str">
        <f>BE985/Sales</f>
        <v>#ERROR!</v>
      </c>
      <c r="BF1008" s="414" t="str">
        <f>BF985/Sales</f>
        <v>#ERROR!</v>
      </c>
      <c r="BG1008" s="413" t="str">
        <f>BG985/Sales</f>
        <v>#ERROR!</v>
      </c>
      <c r="BH1008" s="413" t="str">
        <f>BH985/Sales</f>
        <v>#ERROR!</v>
      </c>
      <c r="BI1008" s="413" t="str">
        <f>BI985/Sales</f>
        <v>#ERROR!</v>
      </c>
      <c r="BJ1008" s="413" t="str">
        <f>BJ985/Sales</f>
        <v>#ERROR!</v>
      </c>
      <c r="BK1008" s="414" t="str">
        <f>BK985/Sales</f>
        <v>#ERROR!</v>
      </c>
      <c r="BL1008" s="413" t="str">
        <f>BL985/Sales</f>
        <v>#ERROR!</v>
      </c>
      <c r="BM1008" s="413" t="str">
        <f>BM985/Sales</f>
        <v>#ERROR!</v>
      </c>
      <c r="BN1008" s="413" t="str">
        <f>BN985/Sales</f>
        <v>#ERROR!</v>
      </c>
      <c r="BO1008" s="413" t="str">
        <f>BO985/Sales</f>
        <v>#ERROR!</v>
      </c>
      <c r="BP1008" s="414" t="str">
        <f>BP985/Sales</f>
        <v>#ERROR!</v>
      </c>
      <c r="BQ1008" s="413" t="str">
        <f>BQ985/Sales</f>
        <v>#ERROR!</v>
      </c>
      <c r="BR1008" s="413" t="str">
        <f>BR985/Sales</f>
        <v>#ERROR!</v>
      </c>
      <c r="BS1008" s="413" t="str">
        <f>BS985/Sales</f>
        <v>#ERROR!</v>
      </c>
      <c r="BT1008" s="413" t="str">
        <f>BT985/Sales</f>
        <v>#ERROR!</v>
      </c>
      <c r="BU1008" s="414" t="str">
        <f>BU985/Sales</f>
        <v>#ERROR!</v>
      </c>
      <c r="BV1008" s="413" t="str">
        <f>BV985/Sales</f>
        <v>#ERROR!</v>
      </c>
      <c r="BW1008" s="413" t="str">
        <f>BW985/Sales</f>
        <v>#ERROR!</v>
      </c>
      <c r="BX1008" s="413" t="str">
        <f>BX985/Sales</f>
        <v>#ERROR!</v>
      </c>
      <c r="BY1008" s="413" t="str">
        <f>BY985/Sales</f>
        <v>#ERROR!</v>
      </c>
      <c r="BZ1008" s="415" t="str">
        <f>BZ985/Sales</f>
        <v>#ERROR!</v>
      </c>
      <c r="CA1008" s="413" t="str">
        <f>CA985/Sales</f>
        <v>#ERROR!</v>
      </c>
      <c r="CB1008" s="413" t="str">
        <f>CB985/Sales</f>
        <v>#ERROR!</v>
      </c>
      <c r="CC1008" s="413" t="str">
        <f>CC985/Sales</f>
        <v>#ERROR!</v>
      </c>
      <c r="CD1008" s="413" t="str">
        <f>CD985/Sales</f>
        <v>#ERROR!</v>
      </c>
      <c r="CE1008" s="415" t="str">
        <f>CE985/Sales</f>
        <v>#ERROR!</v>
      </c>
      <c r="CF1008" s="413" t="str">
        <f>CF985/Sales</f>
        <v>#ERROR!</v>
      </c>
      <c r="CG1008" s="413" t="str">
        <f>CG985/Sales</f>
        <v>#ERROR!</v>
      </c>
      <c r="CH1008" s="413" t="str">
        <f>CH985/Sales</f>
        <v>#ERROR!</v>
      </c>
      <c r="CI1008" s="413" t="str">
        <f>CI985/Sales</f>
        <v>#ERROR!</v>
      </c>
      <c r="CJ1008" s="415" t="str">
        <f>CJ985/Sales</f>
        <v>#ERROR!</v>
      </c>
      <c r="CK1008" s="413" t="str">
        <f>CK985/Sales</f>
        <v>#ERROR!</v>
      </c>
      <c r="CL1008" s="413" t="str">
        <f>CL985/Sales</f>
        <v>#ERROR!</v>
      </c>
      <c r="CM1008" s="413" t="str">
        <f>CM985/Sales</f>
        <v>#ERROR!</v>
      </c>
      <c r="CN1008" s="416" t="str">
        <f>CN985/Sales</f>
        <v>#ERROR!</v>
      </c>
      <c r="CO1008" s="415" t="str">
        <f>CO985/Sales</f>
        <v>#ERROR!</v>
      </c>
      <c r="CP1008" s="416" t="str">
        <f>CP985/Sales</f>
        <v>#ERROR!</v>
      </c>
      <c r="CQ1008" s="413" t="str">
        <f>CQ985/Sales</f>
        <v>#ERROR!</v>
      </c>
      <c r="CR1008" s="413" t="str">
        <f>CR985/Sales</f>
        <v>#ERROR!</v>
      </c>
      <c r="CS1008" s="413" t="str">
        <f>CS985/Sales</f>
        <v>#ERROR!</v>
      </c>
      <c r="CT1008" s="415" t="str">
        <f>CT985/Sales</f>
        <v>#ERROR!</v>
      </c>
      <c r="CU1008" s="413" t="str">
        <f>CU985/Sales</f>
        <v>#ERROR!</v>
      </c>
      <c r="CV1008" s="413" t="str">
        <f>CV985/Sales</f>
        <v>#ERROR!</v>
      </c>
      <c r="CW1008" s="413" t="str">
        <f>CW985/Sales</f>
        <v>#ERROR!</v>
      </c>
      <c r="CX1008" s="413" t="str">
        <f>CX985/Sales</f>
        <v>#ERROR!</v>
      </c>
      <c r="CY1008" s="415" t="str">
        <f>CY985/Sales</f>
        <v>#ERROR!</v>
      </c>
      <c r="CZ1008" s="413" t="str">
        <f>CZ985/Sales</f>
        <v>#ERROR!</v>
      </c>
      <c r="DA1008" s="413" t="str">
        <f>DA985/Sales</f>
        <v>#ERROR!</v>
      </c>
      <c r="DB1008" s="413" t="str">
        <f>DB985/Sales</f>
        <v>#ERROR!</v>
      </c>
      <c r="DC1008" s="413" t="str">
        <f>DC985/Sales</f>
        <v>#ERROR!</v>
      </c>
      <c r="DD1008" s="415" t="str">
        <f>DD985/Sales</f>
        <v>#ERROR!</v>
      </c>
      <c r="DE1008" s="413" t="str">
        <f>DE985/Sales</f>
        <v>#ERROR!</v>
      </c>
      <c r="DF1008" s="413" t="str">
        <f>DF985/Sales</f>
        <v>#ERROR!</v>
      </c>
      <c r="DG1008" s="40" t="str">
        <f>DG985/Sales</f>
        <v>#ERROR!</v>
      </c>
      <c r="DH1008" s="413" t="str">
        <f>DH985/Sales</f>
        <v>#ERROR!</v>
      </c>
      <c r="DI1008" s="415" t="str">
        <f>DI985/Sales</f>
        <v>#ERROR!</v>
      </c>
      <c r="DJ1008" s="416" t="str">
        <f>DJ985/Sales</f>
        <v>#ERROR!</v>
      </c>
      <c r="DK1008" s="416" t="str">
        <f>DK985/Sales</f>
        <v>#ERROR!</v>
      </c>
      <c r="DL1008" s="416" t="str">
        <f>DL985/Sales</f>
        <v>#ERROR!</v>
      </c>
      <c r="DM1008" s="413" t="str">
        <f>DM985/Sales</f>
        <v>#ERROR!</v>
      </c>
      <c r="DN1008" s="415" t="str">
        <f>DN985/Sales</f>
        <v>#ERROR!</v>
      </c>
      <c r="DO1008" s="413" t="str">
        <f>DO985/Sales</f>
        <v>#ERROR!</v>
      </c>
      <c r="DP1008" s="413" t="str">
        <f>DP985/Sales</f>
        <v>#ERROR!</v>
      </c>
      <c r="DQ1008" s="413" t="str">
        <f>DQ985/Sales</f>
        <v>#ERROR!</v>
      </c>
      <c r="DR1008" s="413" t="str">
        <f>DR985/Sales</f>
        <v>#ERROR!</v>
      </c>
      <c r="DS1008" s="415" t="str">
        <f>DS985/Sales</f>
        <v>#ERROR!</v>
      </c>
      <c r="DT1008" s="413" t="str">
        <f>DT985/Sales</f>
        <v>#ERROR!</v>
      </c>
      <c r="DU1008" s="413" t="str">
        <f>DU985/Sales</f>
        <v>#ERROR!</v>
      </c>
      <c r="DV1008" s="413" t="str">
        <f>DV985/Sales</f>
        <v>#ERROR!</v>
      </c>
      <c r="DW1008" s="413" t="str">
        <f>DW985/Sales</f>
        <v>#ERROR!</v>
      </c>
      <c r="DX1008" s="415" t="str">
        <f>DX985/Sales</f>
        <v>#ERROR!</v>
      </c>
      <c r="DY1008" s="413" t="str">
        <f>DY985/Sales</f>
        <v>#ERROR!</v>
      </c>
      <c r="DZ1008" s="413" t="str">
        <f>DZ985/Sales</f>
        <v>#ERROR!</v>
      </c>
      <c r="EA1008" s="413" t="str">
        <f>EA985/Sales</f>
        <v>#ERROR!</v>
      </c>
      <c r="EB1008" s="413" t="str">
        <f>EB985/Sales</f>
        <v>#ERROR!</v>
      </c>
      <c r="EC1008" s="415" t="str">
        <f>EC985/Sales</f>
        <v>#ERROR!</v>
      </c>
      <c r="ED1008" s="413" t="str">
        <f>ED985/Sales</f>
        <v>#ERROR!</v>
      </c>
      <c r="EE1008" s="413" t="str">
        <f>EE985/Sales</f>
        <v>#ERROR!</v>
      </c>
      <c r="EF1008" s="413" t="str">
        <f>EF985/Sales</f>
        <v>#ERROR!</v>
      </c>
      <c r="EG1008" s="413" t="str">
        <f>EG985/Sales</f>
        <v>#ERROR!</v>
      </c>
      <c r="EH1008" s="415" t="str">
        <f>EH985/Sales</f>
        <v>#ERROR!</v>
      </c>
      <c r="EI1008" s="420" t="str">
        <f>EI985/Sales</f>
        <v>#ERROR!</v>
      </c>
      <c r="EJ1008" s="413" t="str">
        <f>EJ985/Sales</f>
        <v>#ERROR!</v>
      </c>
      <c r="EK1008" s="413" t="str">
        <f>EK985/Sales</f>
        <v>#ERROR!</v>
      </c>
      <c r="EL1008" s="413" t="str">
        <f>EL985/Sales</f>
        <v>#ERROR!</v>
      </c>
      <c r="EM1008" s="415" t="str">
        <f>EM985/Sales</f>
        <v>#ERROR!</v>
      </c>
      <c r="EN1008" s="413" t="str">
        <f>EN985/Sales</f>
        <v>#ERROR!</v>
      </c>
      <c r="EO1008" s="413" t="str">
        <f>EO985/Sales</f>
        <v>#ERROR!</v>
      </c>
      <c r="EP1008" s="413" t="str">
        <f>EP985/Sales</f>
        <v>#ERROR!</v>
      </c>
      <c r="EQ1008" s="413" t="str">
        <f>EQ985/Sales</f>
        <v>#ERROR!</v>
      </c>
      <c r="ER1008" s="415" t="str">
        <f>ER985/Sales</f>
        <v>#ERROR!</v>
      </c>
      <c r="ES1008" s="413" t="str">
        <f>ES985/Sales</f>
        <v>#ERROR!</v>
      </c>
      <c r="ET1008" s="413" t="str">
        <f>ET985/Sales</f>
        <v>#ERROR!</v>
      </c>
      <c r="EU1008" s="413" t="str">
        <f>EU985/Sales</f>
        <v>#ERROR!</v>
      </c>
      <c r="EV1008" s="413" t="str">
        <f>EV985/Sales</f>
        <v>#ERROR!</v>
      </c>
      <c r="EW1008" s="415" t="str">
        <f>EW985/Sales</f>
        <v>#ERROR!</v>
      </c>
      <c r="EX1008" s="413" t="str">
        <f>EX985/Sales</f>
        <v>#ERROR!</v>
      </c>
      <c r="EY1008" s="413" t="str">
        <f>EY985/Sales</f>
        <v>#ERROR!</v>
      </c>
      <c r="EZ1008" s="413" t="str">
        <f>EZ985/Sales</f>
        <v>#ERROR!</v>
      </c>
      <c r="FA1008" s="413" t="str">
        <f>FA985/Sales</f>
        <v>#ERROR!</v>
      </c>
      <c r="FB1008" s="415" t="str">
        <f>FB985/Sales</f>
        <v>#ERROR!</v>
      </c>
      <c r="FC1008" s="413" t="str">
        <f>FC985/Sales</f>
        <v>#ERROR!</v>
      </c>
      <c r="FD1008" s="413" t="str">
        <f>FD985/Sales</f>
        <v>#ERROR!</v>
      </c>
      <c r="FE1008" s="413" t="str">
        <f>FE985/Sales</f>
        <v>#ERROR!</v>
      </c>
      <c r="FF1008" s="413" t="str">
        <f>FF985/Sales</f>
        <v>#ERROR!</v>
      </c>
      <c r="FG1008" s="415" t="str">
        <f>FG985/Sales</f>
        <v>#ERROR!</v>
      </c>
      <c r="FH1008" s="388"/>
      <c r="FI1008" s="413"/>
      <c r="FJ1008" s="413"/>
      <c r="FK1008" s="414"/>
      <c r="FL1008" s="413"/>
    </row>
    <row r="1009" ht="12.75" hidden="1" customHeight="1" outlineLevel="1">
      <c r="A1009" s="162"/>
      <c r="B1009" s="696"/>
      <c r="C1009" s="696"/>
      <c r="D1009" s="90"/>
      <c r="E1009" s="90"/>
      <c r="F1009" s="90"/>
      <c r="G1009" s="90"/>
      <c r="H1009" s="414"/>
      <c r="I1009" s="90"/>
      <c r="J1009" s="90"/>
      <c r="K1009" s="90"/>
      <c r="L1009" s="90"/>
      <c r="M1009" s="414"/>
      <c r="N1009" s="90"/>
      <c r="O1009" s="90"/>
      <c r="P1009" s="90"/>
      <c r="Q1009" s="90"/>
      <c r="R1009" s="414"/>
      <c r="S1009" s="90"/>
      <c r="T1009" s="90"/>
      <c r="U1009" s="90"/>
      <c r="V1009" s="90"/>
      <c r="W1009" s="414"/>
      <c r="X1009" s="90"/>
      <c r="Y1009" s="90"/>
      <c r="Z1009" s="90"/>
      <c r="AA1009" s="90"/>
      <c r="AB1009" s="414"/>
      <c r="AC1009" s="90"/>
      <c r="AD1009" s="90"/>
      <c r="AE1009" s="90"/>
      <c r="AF1009" s="90"/>
      <c r="AG1009" s="414"/>
      <c r="AH1009" s="90"/>
      <c r="AI1009" s="90"/>
      <c r="AJ1009" s="90"/>
      <c r="AK1009" s="90"/>
      <c r="AL1009" s="414"/>
      <c r="AM1009" s="90"/>
      <c r="AN1009" s="90"/>
      <c r="AO1009" s="90"/>
      <c r="AP1009" s="90"/>
      <c r="AQ1009" s="414"/>
      <c r="AR1009" s="90"/>
      <c r="AS1009" s="90"/>
      <c r="AT1009" s="90"/>
      <c r="AU1009" s="90"/>
      <c r="AV1009" s="414"/>
      <c r="AW1009" s="90"/>
      <c r="AX1009" s="90"/>
      <c r="AY1009" s="90"/>
      <c r="AZ1009" s="90"/>
      <c r="BA1009" s="414"/>
      <c r="BB1009" s="90"/>
      <c r="BC1009" s="90"/>
      <c r="BD1009" s="90"/>
      <c r="BE1009" s="90"/>
      <c r="BF1009" s="414"/>
      <c r="BG1009" s="90"/>
      <c r="BH1009" s="90"/>
      <c r="BI1009" s="90"/>
      <c r="BJ1009" s="90"/>
      <c r="BK1009" s="414"/>
      <c r="BL1009" s="90"/>
      <c r="BM1009" s="90"/>
      <c r="BN1009" s="90"/>
      <c r="BO1009" s="90"/>
      <c r="BP1009" s="414"/>
      <c r="BQ1009" s="90"/>
      <c r="BR1009" s="90"/>
      <c r="BS1009" s="90"/>
      <c r="BT1009" s="90"/>
      <c r="BU1009" s="414"/>
      <c r="BV1009" s="90"/>
      <c r="BW1009" s="90"/>
      <c r="BX1009" s="90"/>
      <c r="BY1009" s="90"/>
      <c r="BZ1009" s="415"/>
      <c r="CA1009" s="90"/>
      <c r="CB1009" s="90"/>
      <c r="CC1009" s="90"/>
      <c r="CD1009" s="90"/>
      <c r="CE1009" s="415"/>
      <c r="CF1009" s="90"/>
      <c r="CG1009" s="90"/>
      <c r="CH1009" s="90"/>
      <c r="CI1009" s="90"/>
      <c r="CJ1009" s="415"/>
      <c r="CK1009" s="90"/>
      <c r="CL1009" s="90"/>
      <c r="CM1009" s="90"/>
      <c r="CN1009" s="135"/>
      <c r="CO1009" s="415"/>
      <c r="CP1009" s="135"/>
      <c r="CQ1009" s="90"/>
      <c r="CR1009" s="90"/>
      <c r="CS1009" s="90"/>
      <c r="CT1009" s="415"/>
      <c r="CU1009" s="90"/>
      <c r="CV1009" s="90"/>
      <c r="CW1009" s="90"/>
      <c r="CX1009" s="90"/>
      <c r="CY1009" s="415"/>
      <c r="CZ1009" s="90"/>
      <c r="DA1009" s="90"/>
      <c r="DB1009" s="90"/>
      <c r="DC1009" s="90"/>
      <c r="DD1009" s="415"/>
      <c r="DE1009" s="90"/>
      <c r="DF1009" s="90"/>
      <c r="DG1009" s="16"/>
      <c r="DH1009" s="90"/>
      <c r="DI1009" s="415"/>
      <c r="DJ1009" s="135"/>
      <c r="DK1009" s="135"/>
      <c r="DL1009" s="135"/>
      <c r="DM1009" s="90"/>
      <c r="DN1009" s="415"/>
      <c r="DO1009" s="90"/>
      <c r="DP1009" s="90"/>
      <c r="DQ1009" s="90"/>
      <c r="DR1009" s="90"/>
      <c r="DS1009" s="415"/>
      <c r="DT1009" s="90"/>
      <c r="DU1009" s="90"/>
      <c r="DV1009" s="90"/>
      <c r="DW1009" s="90"/>
      <c r="DX1009" s="415"/>
      <c r="DY1009" s="90"/>
      <c r="DZ1009" s="90"/>
      <c r="EA1009" s="90"/>
      <c r="EB1009" s="90"/>
      <c r="EC1009" s="415"/>
      <c r="ED1009" s="90"/>
      <c r="EE1009" s="90"/>
      <c r="EF1009" s="90"/>
      <c r="EG1009" s="90"/>
      <c r="EH1009" s="415"/>
      <c r="EI1009" s="389"/>
      <c r="EJ1009" s="90"/>
      <c r="EK1009" s="90"/>
      <c r="EL1009" s="90"/>
      <c r="EM1009" s="415"/>
      <c r="EN1009" s="90"/>
      <c r="EO1009" s="90"/>
      <c r="EP1009" s="90"/>
      <c r="EQ1009" s="90"/>
      <c r="ER1009" s="415"/>
      <c r="ES1009" s="90"/>
      <c r="ET1009" s="90"/>
      <c r="EU1009" s="90"/>
      <c r="EV1009" s="90"/>
      <c r="EW1009" s="415"/>
      <c r="EX1009" s="90"/>
      <c r="EY1009" s="90"/>
      <c r="EZ1009" s="90"/>
      <c r="FA1009" s="90"/>
      <c r="FB1009" s="415"/>
      <c r="FC1009" s="90"/>
      <c r="FD1009" s="90"/>
      <c r="FE1009" s="90"/>
      <c r="FF1009" s="90"/>
      <c r="FG1009" s="415"/>
      <c r="FH1009" s="388"/>
      <c r="FI1009" s="90"/>
      <c r="FJ1009" s="90"/>
      <c r="FK1009" s="414"/>
      <c r="FL1009" s="90"/>
    </row>
    <row r="1010" ht="12.75" hidden="1" customHeight="1" outlineLevel="1">
      <c r="A1010" s="162"/>
      <c r="B1010" s="162" t="s">
        <v>358</v>
      </c>
      <c r="C1010" s="162"/>
      <c r="D1010" s="15"/>
      <c r="E1010" s="15"/>
      <c r="F1010" s="15"/>
      <c r="G1010" s="15"/>
      <c r="H1010" s="410"/>
      <c r="I1010" s="15" t="str">
        <f t="shared" ref="I1010:FG1010" si="5362">I989/I$997</f>
        <v>#ERROR!</v>
      </c>
      <c r="J1010" s="15" t="str">
        <f t="shared" si="5362"/>
        <v>#ERROR!</v>
      </c>
      <c r="K1010" s="15" t="str">
        <f t="shared" si="5362"/>
        <v>#ERROR!</v>
      </c>
      <c r="L1010" s="15" t="str">
        <f t="shared" si="5362"/>
        <v>#ERROR!</v>
      </c>
      <c r="M1010" s="410" t="str">
        <f t="shared" si="5362"/>
        <v>#ERROR!</v>
      </c>
      <c r="N1010" s="15" t="str">
        <f t="shared" si="5362"/>
        <v>#ERROR!</v>
      </c>
      <c r="O1010" s="15" t="str">
        <f t="shared" si="5362"/>
        <v>#ERROR!</v>
      </c>
      <c r="P1010" s="15" t="str">
        <f t="shared" si="5362"/>
        <v>#ERROR!</v>
      </c>
      <c r="Q1010" s="15" t="str">
        <f t="shared" si="5362"/>
        <v>#ERROR!</v>
      </c>
      <c r="R1010" s="410" t="str">
        <f t="shared" si="5362"/>
        <v>#ERROR!</v>
      </c>
      <c r="S1010" s="15" t="str">
        <f t="shared" si="5362"/>
        <v>#ERROR!</v>
      </c>
      <c r="T1010" s="15" t="str">
        <f t="shared" si="5362"/>
        <v>#ERROR!</v>
      </c>
      <c r="U1010" s="15" t="str">
        <f t="shared" si="5362"/>
        <v>#ERROR!</v>
      </c>
      <c r="V1010" s="15" t="str">
        <f t="shared" si="5362"/>
        <v>#ERROR!</v>
      </c>
      <c r="W1010" s="410" t="str">
        <f t="shared" si="5362"/>
        <v>#ERROR!</v>
      </c>
      <c r="X1010" s="15" t="str">
        <f t="shared" si="5362"/>
        <v>#ERROR!</v>
      </c>
      <c r="Y1010" s="15" t="str">
        <f t="shared" si="5362"/>
        <v>#ERROR!</v>
      </c>
      <c r="Z1010" s="15" t="str">
        <f t="shared" si="5362"/>
        <v>#ERROR!</v>
      </c>
      <c r="AA1010" s="15" t="str">
        <f t="shared" si="5362"/>
        <v>#ERROR!</v>
      </c>
      <c r="AB1010" s="410" t="str">
        <f t="shared" si="5362"/>
        <v>#ERROR!</v>
      </c>
      <c r="AC1010" s="15" t="str">
        <f t="shared" si="5362"/>
        <v>#ERROR!</v>
      </c>
      <c r="AD1010" s="15" t="str">
        <f t="shared" si="5362"/>
        <v>#ERROR!</v>
      </c>
      <c r="AE1010" s="15" t="str">
        <f t="shared" si="5362"/>
        <v>#ERROR!</v>
      </c>
      <c r="AF1010" s="15" t="str">
        <f t="shared" si="5362"/>
        <v>#ERROR!</v>
      </c>
      <c r="AG1010" s="410" t="str">
        <f t="shared" si="5362"/>
        <v>#ERROR!</v>
      </c>
      <c r="AH1010" s="15" t="str">
        <f t="shared" si="5362"/>
        <v>#ERROR!</v>
      </c>
      <c r="AI1010" s="15" t="str">
        <f t="shared" si="5362"/>
        <v>#ERROR!</v>
      </c>
      <c r="AJ1010" s="15" t="str">
        <f t="shared" si="5362"/>
        <v>#ERROR!</v>
      </c>
      <c r="AK1010" s="15" t="str">
        <f t="shared" si="5362"/>
        <v>#ERROR!</v>
      </c>
      <c r="AL1010" s="410" t="str">
        <f t="shared" si="5362"/>
        <v>#ERROR!</v>
      </c>
      <c r="AM1010" s="15" t="str">
        <f t="shared" si="5362"/>
        <v>#ERROR!</v>
      </c>
      <c r="AN1010" s="15" t="str">
        <f t="shared" si="5362"/>
        <v>#ERROR!</v>
      </c>
      <c r="AO1010" s="15" t="str">
        <f t="shared" si="5362"/>
        <v>#ERROR!</v>
      </c>
      <c r="AP1010" s="15" t="str">
        <f t="shared" si="5362"/>
        <v>#ERROR!</v>
      </c>
      <c r="AQ1010" s="410" t="str">
        <f t="shared" si="5362"/>
        <v>#ERROR!</v>
      </c>
      <c r="AR1010" s="15" t="str">
        <f t="shared" si="5362"/>
        <v>#ERROR!</v>
      </c>
      <c r="AS1010" s="15" t="str">
        <f t="shared" si="5362"/>
        <v>#ERROR!</v>
      </c>
      <c r="AT1010" s="15" t="str">
        <f t="shared" si="5362"/>
        <v>#ERROR!</v>
      </c>
      <c r="AU1010" s="15" t="str">
        <f t="shared" si="5362"/>
        <v>#ERROR!</v>
      </c>
      <c r="AV1010" s="410" t="str">
        <f t="shared" si="5362"/>
        <v>#ERROR!</v>
      </c>
      <c r="AW1010" s="15" t="str">
        <f t="shared" si="5362"/>
        <v>#ERROR!</v>
      </c>
      <c r="AX1010" s="15" t="str">
        <f t="shared" si="5362"/>
        <v>#ERROR!</v>
      </c>
      <c r="AY1010" s="15" t="str">
        <f t="shared" si="5362"/>
        <v>#ERROR!</v>
      </c>
      <c r="AZ1010" s="15" t="str">
        <f t="shared" si="5362"/>
        <v>#ERROR!</v>
      </c>
      <c r="BA1010" s="410" t="str">
        <f t="shared" si="5362"/>
        <v>#ERROR!</v>
      </c>
      <c r="BB1010" s="15" t="str">
        <f t="shared" si="5362"/>
        <v>#ERROR!</v>
      </c>
      <c r="BC1010" s="15" t="str">
        <f t="shared" si="5362"/>
        <v>#ERROR!</v>
      </c>
      <c r="BD1010" s="15" t="str">
        <f t="shared" si="5362"/>
        <v>#ERROR!</v>
      </c>
      <c r="BE1010" s="15" t="str">
        <f t="shared" si="5362"/>
        <v>#ERROR!</v>
      </c>
      <c r="BF1010" s="410" t="str">
        <f t="shared" si="5362"/>
        <v>#ERROR!</v>
      </c>
      <c r="BG1010" s="15" t="str">
        <f t="shared" si="5362"/>
        <v>#ERROR!</v>
      </c>
      <c r="BH1010" s="15" t="str">
        <f t="shared" si="5362"/>
        <v>#ERROR!</v>
      </c>
      <c r="BI1010" s="15" t="str">
        <f t="shared" si="5362"/>
        <v>#ERROR!</v>
      </c>
      <c r="BJ1010" s="15" t="str">
        <f t="shared" si="5362"/>
        <v>#ERROR!</v>
      </c>
      <c r="BK1010" s="410" t="str">
        <f t="shared" si="5362"/>
        <v>#ERROR!</v>
      </c>
      <c r="BL1010" s="15" t="str">
        <f t="shared" si="5362"/>
        <v>#ERROR!</v>
      </c>
      <c r="BM1010" s="15" t="str">
        <f t="shared" si="5362"/>
        <v>#ERROR!</v>
      </c>
      <c r="BN1010" s="15" t="str">
        <f t="shared" si="5362"/>
        <v>#ERROR!</v>
      </c>
      <c r="BO1010" s="15" t="str">
        <f t="shared" si="5362"/>
        <v>#ERROR!</v>
      </c>
      <c r="BP1010" s="410" t="str">
        <f t="shared" si="5362"/>
        <v>#ERROR!</v>
      </c>
      <c r="BQ1010" s="15" t="str">
        <f t="shared" si="5362"/>
        <v>#ERROR!</v>
      </c>
      <c r="BR1010" s="15" t="str">
        <f t="shared" si="5362"/>
        <v>#ERROR!</v>
      </c>
      <c r="BS1010" s="15" t="str">
        <f t="shared" si="5362"/>
        <v>#ERROR!</v>
      </c>
      <c r="BT1010" s="15" t="str">
        <f t="shared" si="5362"/>
        <v>#ERROR!</v>
      </c>
      <c r="BU1010" s="410" t="str">
        <f t="shared" si="5362"/>
        <v>#ERROR!</v>
      </c>
      <c r="BV1010" s="15" t="str">
        <f t="shared" si="5362"/>
        <v>#ERROR!</v>
      </c>
      <c r="BW1010" s="15" t="str">
        <f t="shared" si="5362"/>
        <v>#ERROR!</v>
      </c>
      <c r="BX1010" s="15" t="str">
        <f t="shared" si="5362"/>
        <v>#ERROR!</v>
      </c>
      <c r="BY1010" s="15" t="str">
        <f t="shared" si="5362"/>
        <v>#ERROR!</v>
      </c>
      <c r="BZ1010" s="24" t="str">
        <f t="shared" si="5362"/>
        <v>#ERROR!</v>
      </c>
      <c r="CA1010" s="15" t="str">
        <f t="shared" si="5362"/>
        <v>#ERROR!</v>
      </c>
      <c r="CB1010" s="15" t="str">
        <f t="shared" si="5362"/>
        <v>#ERROR!</v>
      </c>
      <c r="CC1010" s="15" t="str">
        <f t="shared" si="5362"/>
        <v>#ERROR!</v>
      </c>
      <c r="CD1010" s="15" t="str">
        <f t="shared" si="5362"/>
        <v>#ERROR!</v>
      </c>
      <c r="CE1010" s="24" t="str">
        <f t="shared" si="5362"/>
        <v>#ERROR!</v>
      </c>
      <c r="CF1010" s="15" t="str">
        <f t="shared" si="5362"/>
        <v>#ERROR!</v>
      </c>
      <c r="CG1010" s="15" t="str">
        <f t="shared" si="5362"/>
        <v>#ERROR!</v>
      </c>
      <c r="CH1010" s="15" t="str">
        <f t="shared" si="5362"/>
        <v>#ERROR!</v>
      </c>
      <c r="CI1010" s="15" t="str">
        <f t="shared" si="5362"/>
        <v>#ERROR!</v>
      </c>
      <c r="CJ1010" s="24" t="str">
        <f t="shared" si="5362"/>
        <v>#ERROR!</v>
      </c>
      <c r="CK1010" s="15" t="str">
        <f t="shared" si="5362"/>
        <v>#ERROR!</v>
      </c>
      <c r="CL1010" s="15" t="str">
        <f t="shared" si="5362"/>
        <v>#ERROR!</v>
      </c>
      <c r="CM1010" s="15" t="str">
        <f t="shared" si="5362"/>
        <v>#ERROR!</v>
      </c>
      <c r="CN1010" s="40" t="str">
        <f t="shared" si="5362"/>
        <v>#ERROR!</v>
      </c>
      <c r="CO1010" s="24" t="str">
        <f t="shared" si="5362"/>
        <v>#ERROR!</v>
      </c>
      <c r="CP1010" s="40" t="str">
        <f t="shared" si="5362"/>
        <v>#ERROR!</v>
      </c>
      <c r="CQ1010" s="15" t="str">
        <f t="shared" si="5362"/>
        <v>#ERROR!</v>
      </c>
      <c r="CR1010" s="15" t="str">
        <f t="shared" si="5362"/>
        <v>#ERROR!</v>
      </c>
      <c r="CS1010" s="15" t="str">
        <f t="shared" si="5362"/>
        <v>#ERROR!</v>
      </c>
      <c r="CT1010" s="24" t="str">
        <f t="shared" si="5362"/>
        <v>#ERROR!</v>
      </c>
      <c r="CU1010" s="15" t="str">
        <f t="shared" si="5362"/>
        <v>#ERROR!</v>
      </c>
      <c r="CV1010" s="15" t="str">
        <f t="shared" si="5362"/>
        <v>#ERROR!</v>
      </c>
      <c r="CW1010" s="15" t="str">
        <f t="shared" si="5362"/>
        <v>#ERROR!</v>
      </c>
      <c r="CX1010" s="15" t="str">
        <f t="shared" si="5362"/>
        <v>#ERROR!</v>
      </c>
      <c r="CY1010" s="24" t="str">
        <f t="shared" si="5362"/>
        <v>#ERROR!</v>
      </c>
      <c r="CZ1010" s="15" t="str">
        <f t="shared" si="5362"/>
        <v>#ERROR!</v>
      </c>
      <c r="DA1010" s="15" t="str">
        <f t="shared" si="5362"/>
        <v>#ERROR!</v>
      </c>
      <c r="DB1010" s="15" t="str">
        <f t="shared" si="5362"/>
        <v>#ERROR!</v>
      </c>
      <c r="DC1010" s="15" t="str">
        <f t="shared" si="5362"/>
        <v>#ERROR!</v>
      </c>
      <c r="DD1010" s="24" t="str">
        <f t="shared" si="5362"/>
        <v>#ERROR!</v>
      </c>
      <c r="DE1010" s="15" t="str">
        <f t="shared" si="5362"/>
        <v>#ERROR!</v>
      </c>
      <c r="DF1010" s="15" t="str">
        <f t="shared" si="5362"/>
        <v>#ERROR!</v>
      </c>
      <c r="DG1010" s="40" t="str">
        <f t="shared" si="5362"/>
        <v>#ERROR!</v>
      </c>
      <c r="DH1010" s="15" t="str">
        <f t="shared" si="5362"/>
        <v>#ERROR!</v>
      </c>
      <c r="DI1010" s="24" t="str">
        <f t="shared" si="5362"/>
        <v>#ERROR!</v>
      </c>
      <c r="DJ1010" s="40" t="str">
        <f t="shared" si="5362"/>
        <v>#ERROR!</v>
      </c>
      <c r="DK1010" s="40" t="str">
        <f t="shared" si="5362"/>
        <v>#ERROR!</v>
      </c>
      <c r="DL1010" s="40" t="str">
        <f t="shared" si="5362"/>
        <v>#ERROR!</v>
      </c>
      <c r="DM1010" s="15" t="str">
        <f t="shared" si="5362"/>
        <v>#ERROR!</v>
      </c>
      <c r="DN1010" s="24" t="str">
        <f t="shared" si="5362"/>
        <v>#ERROR!</v>
      </c>
      <c r="DO1010" s="15" t="str">
        <f t="shared" si="5362"/>
        <v>#ERROR!</v>
      </c>
      <c r="DP1010" s="15" t="str">
        <f t="shared" si="5362"/>
        <v>#ERROR!</v>
      </c>
      <c r="DQ1010" s="15" t="str">
        <f t="shared" si="5362"/>
        <v>#ERROR!</v>
      </c>
      <c r="DR1010" s="15" t="str">
        <f t="shared" si="5362"/>
        <v>#ERROR!</v>
      </c>
      <c r="DS1010" s="24" t="str">
        <f t="shared" si="5362"/>
        <v>#ERROR!</v>
      </c>
      <c r="DT1010" s="15" t="str">
        <f t="shared" si="5362"/>
        <v>#ERROR!</v>
      </c>
      <c r="DU1010" s="15" t="str">
        <f t="shared" si="5362"/>
        <v>#ERROR!</v>
      </c>
      <c r="DV1010" s="15" t="str">
        <f t="shared" si="5362"/>
        <v>#ERROR!</v>
      </c>
      <c r="DW1010" s="15" t="str">
        <f t="shared" si="5362"/>
        <v>#ERROR!</v>
      </c>
      <c r="DX1010" s="24" t="str">
        <f t="shared" si="5362"/>
        <v>#ERROR!</v>
      </c>
      <c r="DY1010" s="15" t="str">
        <f t="shared" si="5362"/>
        <v>#ERROR!</v>
      </c>
      <c r="DZ1010" s="15" t="str">
        <f t="shared" si="5362"/>
        <v>#ERROR!</v>
      </c>
      <c r="EA1010" s="15" t="str">
        <f t="shared" si="5362"/>
        <v>#ERROR!</v>
      </c>
      <c r="EB1010" s="15" t="str">
        <f t="shared" si="5362"/>
        <v>#ERROR!</v>
      </c>
      <c r="EC1010" s="24" t="str">
        <f t="shared" si="5362"/>
        <v>#ERROR!</v>
      </c>
      <c r="ED1010" s="15" t="str">
        <f t="shared" si="5362"/>
        <v>#ERROR!</v>
      </c>
      <c r="EE1010" s="15" t="str">
        <f t="shared" si="5362"/>
        <v>#ERROR!</v>
      </c>
      <c r="EF1010" s="15" t="str">
        <f t="shared" si="5362"/>
        <v>#ERROR!</v>
      </c>
      <c r="EG1010" s="15" t="str">
        <f t="shared" si="5362"/>
        <v>#ERROR!</v>
      </c>
      <c r="EH1010" s="24" t="str">
        <f t="shared" si="5362"/>
        <v>#ERROR!</v>
      </c>
      <c r="EI1010" s="82" t="str">
        <f t="shared" si="5362"/>
        <v>#ERROR!</v>
      </c>
      <c r="EJ1010" s="15" t="str">
        <f t="shared" si="5362"/>
        <v>#ERROR!</v>
      </c>
      <c r="EK1010" s="15" t="str">
        <f t="shared" si="5362"/>
        <v>#ERROR!</v>
      </c>
      <c r="EL1010" s="15" t="str">
        <f t="shared" si="5362"/>
        <v>#ERROR!</v>
      </c>
      <c r="EM1010" s="24" t="str">
        <f t="shared" si="5362"/>
        <v>#ERROR!</v>
      </c>
      <c r="EN1010" s="15" t="str">
        <f t="shared" si="5362"/>
        <v>#ERROR!</v>
      </c>
      <c r="EO1010" s="15" t="str">
        <f t="shared" si="5362"/>
        <v>#ERROR!</v>
      </c>
      <c r="EP1010" s="15" t="str">
        <f t="shared" si="5362"/>
        <v>#ERROR!</v>
      </c>
      <c r="EQ1010" s="15" t="str">
        <f t="shared" si="5362"/>
        <v>#ERROR!</v>
      </c>
      <c r="ER1010" s="24" t="str">
        <f t="shared" si="5362"/>
        <v>#ERROR!</v>
      </c>
      <c r="ES1010" s="15" t="str">
        <f t="shared" si="5362"/>
        <v>#ERROR!</v>
      </c>
      <c r="ET1010" s="15" t="str">
        <f t="shared" si="5362"/>
        <v>#ERROR!</v>
      </c>
      <c r="EU1010" s="15" t="str">
        <f t="shared" si="5362"/>
        <v>#ERROR!</v>
      </c>
      <c r="EV1010" s="15" t="str">
        <f t="shared" si="5362"/>
        <v>#ERROR!</v>
      </c>
      <c r="EW1010" s="24" t="str">
        <f t="shared" si="5362"/>
        <v>#ERROR!</v>
      </c>
      <c r="EX1010" s="15" t="str">
        <f t="shared" si="5362"/>
        <v>#ERROR!</v>
      </c>
      <c r="EY1010" s="15" t="str">
        <f t="shared" si="5362"/>
        <v>#ERROR!</v>
      </c>
      <c r="EZ1010" s="15" t="str">
        <f t="shared" si="5362"/>
        <v>#ERROR!</v>
      </c>
      <c r="FA1010" s="15" t="str">
        <f t="shared" si="5362"/>
        <v>#ERROR!</v>
      </c>
      <c r="FB1010" s="24" t="str">
        <f t="shared" si="5362"/>
        <v>#ERROR!</v>
      </c>
      <c r="FC1010" s="15" t="str">
        <f t="shared" si="5362"/>
        <v>#ERROR!</v>
      </c>
      <c r="FD1010" s="15" t="str">
        <f t="shared" si="5362"/>
        <v>#ERROR!</v>
      </c>
      <c r="FE1010" s="15" t="str">
        <f t="shared" si="5362"/>
        <v>#ERROR!</v>
      </c>
      <c r="FF1010" s="15" t="str">
        <f t="shared" si="5362"/>
        <v>#ERROR!</v>
      </c>
      <c r="FG1010" s="24" t="str">
        <f t="shared" si="5362"/>
        <v>#ERROR!</v>
      </c>
      <c r="FH1010" s="104"/>
      <c r="FI1010" s="15"/>
      <c r="FJ1010" s="15"/>
      <c r="FK1010" s="410"/>
      <c r="FL1010" s="15"/>
    </row>
    <row r="1011" ht="12.75" hidden="1" customHeight="1" outlineLevel="1">
      <c r="A1011" s="162"/>
      <c r="B1011" s="696" t="s">
        <v>359</v>
      </c>
      <c r="C1011" s="696"/>
      <c r="D1011" s="413"/>
      <c r="E1011" s="413"/>
      <c r="F1011" s="413"/>
      <c r="G1011" s="413"/>
      <c r="H1011" s="414"/>
      <c r="I1011" s="413"/>
      <c r="J1011" s="413"/>
      <c r="K1011" s="413"/>
      <c r="L1011" s="413"/>
      <c r="M1011" s="414" t="str">
        <f>M989/Sales</f>
        <v>#ERROR!</v>
      </c>
      <c r="N1011" s="413" t="str">
        <f>N989/Sales</f>
        <v>#ERROR!</v>
      </c>
      <c r="O1011" s="413" t="str">
        <f>O989/Sales</f>
        <v>#ERROR!</v>
      </c>
      <c r="P1011" s="413" t="str">
        <f>P989/Sales</f>
        <v>#ERROR!</v>
      </c>
      <c r="Q1011" s="413" t="str">
        <f>Q989/Sales</f>
        <v>#ERROR!</v>
      </c>
      <c r="R1011" s="414" t="str">
        <f>R989/Sales</f>
        <v>#ERROR!</v>
      </c>
      <c r="S1011" s="413" t="str">
        <f>S989/Sales</f>
        <v>#ERROR!</v>
      </c>
      <c r="T1011" s="413" t="str">
        <f>T989/Sales</f>
        <v>#ERROR!</v>
      </c>
      <c r="U1011" s="413" t="str">
        <f>U989/Sales</f>
        <v>#ERROR!</v>
      </c>
      <c r="V1011" s="413" t="str">
        <f>V989/Sales</f>
        <v>#ERROR!</v>
      </c>
      <c r="W1011" s="414" t="str">
        <f>W989/Sales</f>
        <v>#ERROR!</v>
      </c>
      <c r="X1011" s="413" t="str">
        <f>X989/Sales</f>
        <v>#ERROR!</v>
      </c>
      <c r="Y1011" s="413" t="str">
        <f>Y989/Sales</f>
        <v>#ERROR!</v>
      </c>
      <c r="Z1011" s="413" t="str">
        <f>Z989/Sales</f>
        <v>#ERROR!</v>
      </c>
      <c r="AA1011" s="413" t="str">
        <f>AA989/Sales</f>
        <v>#ERROR!</v>
      </c>
      <c r="AB1011" s="414" t="str">
        <f>AB989/Sales</f>
        <v>#ERROR!</v>
      </c>
      <c r="AC1011" s="413" t="str">
        <f>AC989/Sales</f>
        <v>#ERROR!</v>
      </c>
      <c r="AD1011" s="413" t="str">
        <f>AD989/Sales</f>
        <v>#ERROR!</v>
      </c>
      <c r="AE1011" s="413" t="str">
        <f>AE989/Sales</f>
        <v>#ERROR!</v>
      </c>
      <c r="AF1011" s="413" t="str">
        <f>AF989/Sales</f>
        <v>#ERROR!</v>
      </c>
      <c r="AG1011" s="414" t="str">
        <f>AG989/Sales</f>
        <v>#ERROR!</v>
      </c>
      <c r="AH1011" s="413" t="str">
        <f>AH989/Sales</f>
        <v>#ERROR!</v>
      </c>
      <c r="AI1011" s="413" t="str">
        <f>AI989/Sales</f>
        <v>#ERROR!</v>
      </c>
      <c r="AJ1011" s="413" t="str">
        <f>AJ989/Sales</f>
        <v>#ERROR!</v>
      </c>
      <c r="AK1011" s="413" t="str">
        <f>AK989/Sales</f>
        <v>#ERROR!</v>
      </c>
      <c r="AL1011" s="414" t="str">
        <f>AL989/Sales</f>
        <v>#ERROR!</v>
      </c>
      <c r="AM1011" s="413" t="str">
        <f>AM989/Sales</f>
        <v>#ERROR!</v>
      </c>
      <c r="AN1011" s="413" t="str">
        <f>AN989/Sales</f>
        <v>#ERROR!</v>
      </c>
      <c r="AO1011" s="413" t="str">
        <f>AO989/Sales</f>
        <v>#ERROR!</v>
      </c>
      <c r="AP1011" s="413" t="str">
        <f>AP989/Sales</f>
        <v>#ERROR!</v>
      </c>
      <c r="AQ1011" s="414" t="str">
        <f>AQ989/Sales</f>
        <v>#ERROR!</v>
      </c>
      <c r="AR1011" s="413" t="str">
        <f>AR989/Sales</f>
        <v>#ERROR!</v>
      </c>
      <c r="AS1011" s="413" t="str">
        <f>AS989/Sales</f>
        <v>#ERROR!</v>
      </c>
      <c r="AT1011" s="413" t="str">
        <f>AT989/Sales</f>
        <v>#ERROR!</v>
      </c>
      <c r="AU1011" s="413" t="str">
        <f>AU989/Sales</f>
        <v>#ERROR!</v>
      </c>
      <c r="AV1011" s="414" t="str">
        <f>AV989/Sales</f>
        <v>#ERROR!</v>
      </c>
      <c r="AW1011" s="413" t="str">
        <f>AW989/Sales</f>
        <v>#ERROR!</v>
      </c>
      <c r="AX1011" s="413" t="str">
        <f>AX989/Sales</f>
        <v>#ERROR!</v>
      </c>
      <c r="AY1011" s="413" t="str">
        <f>AY989/Sales</f>
        <v>#ERROR!</v>
      </c>
      <c r="AZ1011" s="413" t="str">
        <f>AZ989/Sales</f>
        <v>#ERROR!</v>
      </c>
      <c r="BA1011" s="414" t="str">
        <f>BA989/Sales</f>
        <v>#ERROR!</v>
      </c>
      <c r="BB1011" s="413" t="str">
        <f>BB989/Sales</f>
        <v>#ERROR!</v>
      </c>
      <c r="BC1011" s="413" t="str">
        <f>BC989/Sales</f>
        <v>#ERROR!</v>
      </c>
      <c r="BD1011" s="413" t="str">
        <f>BD989/Sales</f>
        <v>#ERROR!</v>
      </c>
      <c r="BE1011" s="413" t="str">
        <f>BE989/Sales</f>
        <v>#ERROR!</v>
      </c>
      <c r="BF1011" s="414" t="str">
        <f>BF989/Sales</f>
        <v>#ERROR!</v>
      </c>
      <c r="BG1011" s="413" t="str">
        <f>BG989/Sales</f>
        <v>#ERROR!</v>
      </c>
      <c r="BH1011" s="413" t="str">
        <f>BH989/Sales</f>
        <v>#ERROR!</v>
      </c>
      <c r="BI1011" s="413" t="str">
        <f>BI989/Sales</f>
        <v>#ERROR!</v>
      </c>
      <c r="BJ1011" s="413" t="str">
        <f>BJ989/Sales</f>
        <v>#ERROR!</v>
      </c>
      <c r="BK1011" s="414" t="str">
        <f>BK989/Sales</f>
        <v>#ERROR!</v>
      </c>
      <c r="BL1011" s="413" t="str">
        <f>BL989/Sales</f>
        <v>#ERROR!</v>
      </c>
      <c r="BM1011" s="413" t="str">
        <f>BM989/Sales</f>
        <v>#ERROR!</v>
      </c>
      <c r="BN1011" s="413" t="str">
        <f>BN989/Sales</f>
        <v>#ERROR!</v>
      </c>
      <c r="BO1011" s="413" t="str">
        <f>BO989/Sales</f>
        <v>#ERROR!</v>
      </c>
      <c r="BP1011" s="414" t="str">
        <f>BP989/Sales</f>
        <v>#ERROR!</v>
      </c>
      <c r="BQ1011" s="413" t="str">
        <f>BQ989/Sales</f>
        <v>#ERROR!</v>
      </c>
      <c r="BR1011" s="413" t="str">
        <f>BR989/Sales</f>
        <v>#ERROR!</v>
      </c>
      <c r="BS1011" s="413" t="str">
        <f>BS989/Sales</f>
        <v>#ERROR!</v>
      </c>
      <c r="BT1011" s="413" t="str">
        <f>BT989/Sales</f>
        <v>#ERROR!</v>
      </c>
      <c r="BU1011" s="414" t="str">
        <f>BU989/Sales</f>
        <v>#ERROR!</v>
      </c>
      <c r="BV1011" s="413" t="str">
        <f>BV989/Sales</f>
        <v>#ERROR!</v>
      </c>
      <c r="BW1011" s="413" t="str">
        <f>BW989/Sales</f>
        <v>#ERROR!</v>
      </c>
      <c r="BX1011" s="413" t="str">
        <f>BX989/Sales</f>
        <v>#ERROR!</v>
      </c>
      <c r="BY1011" s="413" t="str">
        <f>BY989/Sales</f>
        <v>#ERROR!</v>
      </c>
      <c r="BZ1011" s="415" t="str">
        <f>BZ989/Sales</f>
        <v>#ERROR!</v>
      </c>
      <c r="CA1011" s="413" t="str">
        <f>CA989/Sales</f>
        <v>#ERROR!</v>
      </c>
      <c r="CB1011" s="413" t="str">
        <f>CB989/Sales</f>
        <v>#ERROR!</v>
      </c>
      <c r="CC1011" s="413" t="str">
        <f>CC989/Sales</f>
        <v>#ERROR!</v>
      </c>
      <c r="CD1011" s="413" t="str">
        <f>CD989/Sales</f>
        <v>#ERROR!</v>
      </c>
      <c r="CE1011" s="415" t="str">
        <f>CE989/Sales</f>
        <v>#ERROR!</v>
      </c>
      <c r="CF1011" s="413" t="str">
        <f>CF989/Sales</f>
        <v>#ERROR!</v>
      </c>
      <c r="CG1011" s="413" t="str">
        <f>CG989/Sales</f>
        <v>#ERROR!</v>
      </c>
      <c r="CH1011" s="413" t="str">
        <f>CH989/Sales</f>
        <v>#ERROR!</v>
      </c>
      <c r="CI1011" s="413" t="str">
        <f>CI989/Sales</f>
        <v>#ERROR!</v>
      </c>
      <c r="CJ1011" s="415" t="str">
        <f>CJ989/Sales</f>
        <v>#ERROR!</v>
      </c>
      <c r="CK1011" s="413" t="str">
        <f>CK989/Sales</f>
        <v>#ERROR!</v>
      </c>
      <c r="CL1011" s="413" t="str">
        <f>CL989/Sales</f>
        <v>#ERROR!</v>
      </c>
      <c r="CM1011" s="413" t="str">
        <f>CM989/Sales</f>
        <v>#ERROR!</v>
      </c>
      <c r="CN1011" s="416" t="str">
        <f>CN989/Sales</f>
        <v>#ERROR!</v>
      </c>
      <c r="CO1011" s="415" t="str">
        <f>CO989/Sales</f>
        <v>#ERROR!</v>
      </c>
      <c r="CP1011" s="416" t="str">
        <f>CP989/Sales</f>
        <v>#ERROR!</v>
      </c>
      <c r="CQ1011" s="413" t="str">
        <f>CQ989/Sales</f>
        <v>#ERROR!</v>
      </c>
      <c r="CR1011" s="413" t="str">
        <f>CR989/Sales</f>
        <v>#ERROR!</v>
      </c>
      <c r="CS1011" s="413" t="str">
        <f>CS989/Sales</f>
        <v>#ERROR!</v>
      </c>
      <c r="CT1011" s="415" t="str">
        <f>CT989/Sales</f>
        <v>#ERROR!</v>
      </c>
      <c r="CU1011" s="413" t="str">
        <f>CU989/Sales</f>
        <v>#ERROR!</v>
      </c>
      <c r="CV1011" s="413" t="str">
        <f>CV989/Sales</f>
        <v>#ERROR!</v>
      </c>
      <c r="CW1011" s="413" t="str">
        <f>CW989/Sales</f>
        <v>#ERROR!</v>
      </c>
      <c r="CX1011" s="413" t="str">
        <f>CX989/Sales</f>
        <v>#ERROR!</v>
      </c>
      <c r="CY1011" s="415" t="str">
        <f>CY989/Sales</f>
        <v>#ERROR!</v>
      </c>
      <c r="CZ1011" s="413" t="str">
        <f>CZ989/Sales</f>
        <v>#ERROR!</v>
      </c>
      <c r="DA1011" s="413" t="str">
        <f>DA989/Sales</f>
        <v>#ERROR!</v>
      </c>
      <c r="DB1011" s="413" t="str">
        <f>DB989/Sales</f>
        <v>#ERROR!</v>
      </c>
      <c r="DC1011" s="413" t="str">
        <f>DC989/Sales</f>
        <v>#ERROR!</v>
      </c>
      <c r="DD1011" s="415" t="str">
        <f>DD989/Sales</f>
        <v>#ERROR!</v>
      </c>
      <c r="DE1011" s="413" t="str">
        <f>DE989/Sales</f>
        <v>#ERROR!</v>
      </c>
      <c r="DF1011" s="413" t="str">
        <f>DF989/Sales</f>
        <v>#ERROR!</v>
      </c>
      <c r="DG1011" s="40" t="str">
        <f>DG989/Sales</f>
        <v>#ERROR!</v>
      </c>
      <c r="DH1011" s="413" t="str">
        <f>DH989/Sales</f>
        <v>#ERROR!</v>
      </c>
      <c r="DI1011" s="415" t="str">
        <f>DI989/Sales</f>
        <v>#ERROR!</v>
      </c>
      <c r="DJ1011" s="416" t="str">
        <f>DJ989/Sales</f>
        <v>#ERROR!</v>
      </c>
      <c r="DK1011" s="416" t="str">
        <f>DK989/Sales</f>
        <v>#ERROR!</v>
      </c>
      <c r="DL1011" s="416" t="str">
        <f>DL989/Sales</f>
        <v>#ERROR!</v>
      </c>
      <c r="DM1011" s="413" t="str">
        <f>DM989/Sales</f>
        <v>#ERROR!</v>
      </c>
      <c r="DN1011" s="415" t="str">
        <f>DN989/Sales</f>
        <v>#ERROR!</v>
      </c>
      <c r="DO1011" s="413" t="str">
        <f>DO989/Sales</f>
        <v>#ERROR!</v>
      </c>
      <c r="DP1011" s="413" t="str">
        <f>DP989/Sales</f>
        <v>#ERROR!</v>
      </c>
      <c r="DQ1011" s="413" t="str">
        <f>DQ989/Sales</f>
        <v>#ERROR!</v>
      </c>
      <c r="DR1011" s="413" t="str">
        <f>DR989/Sales</f>
        <v>#ERROR!</v>
      </c>
      <c r="DS1011" s="415" t="str">
        <f>DS989/Sales</f>
        <v>#ERROR!</v>
      </c>
      <c r="DT1011" s="413" t="str">
        <f>DT989/Sales</f>
        <v>#ERROR!</v>
      </c>
      <c r="DU1011" s="413" t="str">
        <f>DU989/Sales</f>
        <v>#ERROR!</v>
      </c>
      <c r="DV1011" s="413" t="str">
        <f>DV989/Sales</f>
        <v>#ERROR!</v>
      </c>
      <c r="DW1011" s="413" t="str">
        <f>DW989/Sales</f>
        <v>#ERROR!</v>
      </c>
      <c r="DX1011" s="415" t="str">
        <f>DX989/Sales</f>
        <v>#ERROR!</v>
      </c>
      <c r="DY1011" s="413" t="str">
        <f>DY989/Sales</f>
        <v>#ERROR!</v>
      </c>
      <c r="DZ1011" s="413" t="str">
        <f>DZ989/Sales</f>
        <v>#ERROR!</v>
      </c>
      <c r="EA1011" s="413" t="str">
        <f>EA989/Sales</f>
        <v>#ERROR!</v>
      </c>
      <c r="EB1011" s="413" t="str">
        <f>EB989/Sales</f>
        <v>#ERROR!</v>
      </c>
      <c r="EC1011" s="415" t="str">
        <f>EC989/Sales</f>
        <v>#ERROR!</v>
      </c>
      <c r="ED1011" s="413" t="str">
        <f>ED989/Sales</f>
        <v>#ERROR!</v>
      </c>
      <c r="EE1011" s="413" t="str">
        <f>EE989/Sales</f>
        <v>#ERROR!</v>
      </c>
      <c r="EF1011" s="413" t="str">
        <f>EF989/Sales</f>
        <v>#ERROR!</v>
      </c>
      <c r="EG1011" s="413" t="str">
        <f>EG989/Sales</f>
        <v>#ERROR!</v>
      </c>
      <c r="EH1011" s="415" t="str">
        <f>EH989/Sales</f>
        <v>#ERROR!</v>
      </c>
      <c r="EI1011" s="420" t="str">
        <f>EI989/Sales</f>
        <v>#ERROR!</v>
      </c>
      <c r="EJ1011" s="413" t="str">
        <f>EJ989/Sales</f>
        <v>#ERROR!</v>
      </c>
      <c r="EK1011" s="413" t="str">
        <f>EK989/Sales</f>
        <v>#ERROR!</v>
      </c>
      <c r="EL1011" s="413" t="str">
        <f>EL989/Sales</f>
        <v>#ERROR!</v>
      </c>
      <c r="EM1011" s="415" t="str">
        <f>EM989/Sales</f>
        <v>#ERROR!</v>
      </c>
      <c r="EN1011" s="413" t="str">
        <f>EN989/Sales</f>
        <v>#ERROR!</v>
      </c>
      <c r="EO1011" s="413" t="str">
        <f>EO989/Sales</f>
        <v>#ERROR!</v>
      </c>
      <c r="EP1011" s="413" t="str">
        <f>EP989/Sales</f>
        <v>#ERROR!</v>
      </c>
      <c r="EQ1011" s="413" t="str">
        <f>EQ989/Sales</f>
        <v>#ERROR!</v>
      </c>
      <c r="ER1011" s="415" t="str">
        <f>ER989/Sales</f>
        <v>#ERROR!</v>
      </c>
      <c r="ES1011" s="413" t="str">
        <f>ES989/Sales</f>
        <v>#ERROR!</v>
      </c>
      <c r="ET1011" s="413" t="str">
        <f>ET989/Sales</f>
        <v>#ERROR!</v>
      </c>
      <c r="EU1011" s="413" t="str">
        <f>EU989/Sales</f>
        <v>#ERROR!</v>
      </c>
      <c r="EV1011" s="413" t="str">
        <f>EV989/Sales</f>
        <v>#ERROR!</v>
      </c>
      <c r="EW1011" s="415" t="str">
        <f>EW989/Sales</f>
        <v>#ERROR!</v>
      </c>
      <c r="EX1011" s="413" t="str">
        <f>EX989/Sales</f>
        <v>#ERROR!</v>
      </c>
      <c r="EY1011" s="413" t="str">
        <f>EY989/Sales</f>
        <v>#ERROR!</v>
      </c>
      <c r="EZ1011" s="413" t="str">
        <f>EZ989/Sales</f>
        <v>#ERROR!</v>
      </c>
      <c r="FA1011" s="413" t="str">
        <f>FA989/Sales</f>
        <v>#ERROR!</v>
      </c>
      <c r="FB1011" s="415" t="str">
        <f>FB989/Sales</f>
        <v>#ERROR!</v>
      </c>
      <c r="FC1011" s="413" t="str">
        <f>FC989/Sales</f>
        <v>#ERROR!</v>
      </c>
      <c r="FD1011" s="413" t="str">
        <f>FD989/Sales</f>
        <v>#ERROR!</v>
      </c>
      <c r="FE1011" s="413" t="str">
        <f>FE989/Sales</f>
        <v>#ERROR!</v>
      </c>
      <c r="FF1011" s="413" t="str">
        <f>FF989/Sales</f>
        <v>#ERROR!</v>
      </c>
      <c r="FG1011" s="415" t="str">
        <f>FG989/Sales</f>
        <v>#ERROR!</v>
      </c>
      <c r="FH1011" s="388"/>
      <c r="FI1011" s="413"/>
      <c r="FJ1011" s="413"/>
      <c r="FK1011" s="414"/>
      <c r="FL1011" s="413"/>
    </row>
    <row r="1012" ht="12.75" hidden="1" customHeight="1" outlineLevel="1">
      <c r="A1012" s="162"/>
      <c r="B1012" s="717"/>
      <c r="C1012" s="717"/>
      <c r="D1012" s="621"/>
      <c r="E1012" s="621"/>
      <c r="F1012" s="621"/>
      <c r="G1012" s="621"/>
      <c r="H1012" s="623"/>
      <c r="I1012" s="621"/>
      <c r="J1012" s="621"/>
      <c r="K1012" s="621"/>
      <c r="L1012" s="621"/>
      <c r="M1012" s="623"/>
      <c r="N1012" s="621"/>
      <c r="O1012" s="621"/>
      <c r="P1012" s="621"/>
      <c r="Q1012" s="621"/>
      <c r="R1012" s="623"/>
      <c r="S1012" s="621"/>
      <c r="T1012" s="621"/>
      <c r="U1012" s="621"/>
      <c r="V1012" s="621"/>
      <c r="W1012" s="623"/>
      <c r="X1012" s="621"/>
      <c r="Y1012" s="621"/>
      <c r="Z1012" s="621"/>
      <c r="AA1012" s="621"/>
      <c r="AB1012" s="623"/>
      <c r="AC1012" s="621"/>
      <c r="AD1012" s="621"/>
      <c r="AE1012" s="621"/>
      <c r="AF1012" s="621"/>
      <c r="AG1012" s="623"/>
      <c r="AH1012" s="621"/>
      <c r="AI1012" s="621"/>
      <c r="AJ1012" s="621"/>
      <c r="AK1012" s="621"/>
      <c r="AL1012" s="623"/>
      <c r="AM1012" s="621"/>
      <c r="AN1012" s="621"/>
      <c r="AO1012" s="621"/>
      <c r="AP1012" s="621"/>
      <c r="AQ1012" s="623"/>
      <c r="AR1012" s="621"/>
      <c r="AS1012" s="621"/>
      <c r="AT1012" s="621"/>
      <c r="AU1012" s="621"/>
      <c r="AV1012" s="623"/>
      <c r="AW1012" s="621"/>
      <c r="AX1012" s="621"/>
      <c r="AY1012" s="621"/>
      <c r="AZ1012" s="621"/>
      <c r="BA1012" s="623"/>
      <c r="BB1012" s="621"/>
      <c r="BC1012" s="621"/>
      <c r="BD1012" s="621"/>
      <c r="BE1012" s="621"/>
      <c r="BF1012" s="623"/>
      <c r="BG1012" s="621"/>
      <c r="BH1012" s="621"/>
      <c r="BI1012" s="621"/>
      <c r="BJ1012" s="621"/>
      <c r="BK1012" s="623"/>
      <c r="BL1012" s="621"/>
      <c r="BM1012" s="621"/>
      <c r="BN1012" s="621"/>
      <c r="BO1012" s="621"/>
      <c r="BP1012" s="623"/>
      <c r="BQ1012" s="621"/>
      <c r="BR1012" s="621"/>
      <c r="BS1012" s="621"/>
      <c r="BT1012" s="621"/>
      <c r="BU1012" s="623"/>
      <c r="BV1012" s="621"/>
      <c r="BW1012" s="621"/>
      <c r="BX1012" s="621"/>
      <c r="BY1012" s="621"/>
      <c r="BZ1012" s="392"/>
      <c r="CA1012" s="621"/>
      <c r="CB1012" s="621"/>
      <c r="CC1012" s="621"/>
      <c r="CD1012" s="621"/>
      <c r="CE1012" s="392"/>
      <c r="CF1012" s="621"/>
      <c r="CG1012" s="621"/>
      <c r="CH1012" s="621"/>
      <c r="CI1012" s="621"/>
      <c r="CJ1012" s="392"/>
      <c r="CK1012" s="621"/>
      <c r="CL1012" s="621"/>
      <c r="CM1012" s="621"/>
      <c r="CN1012" s="724"/>
      <c r="CO1012" s="392"/>
      <c r="CP1012" s="724"/>
      <c r="CQ1012" s="621"/>
      <c r="CR1012" s="621"/>
      <c r="CS1012" s="621"/>
      <c r="CT1012" s="392"/>
      <c r="CU1012" s="621"/>
      <c r="CV1012" s="621"/>
      <c r="CW1012" s="621"/>
      <c r="CX1012" s="621"/>
      <c r="CY1012" s="392"/>
      <c r="CZ1012" s="621"/>
      <c r="DA1012" s="621"/>
      <c r="DB1012" s="621"/>
      <c r="DC1012" s="621"/>
      <c r="DD1012" s="392"/>
      <c r="DE1012" s="621"/>
      <c r="DF1012" s="621"/>
      <c r="DG1012" s="16"/>
      <c r="DH1012" s="621"/>
      <c r="DI1012" s="392"/>
      <c r="DJ1012" s="724"/>
      <c r="DK1012" s="724"/>
      <c r="DL1012" s="724"/>
      <c r="DM1012" s="621"/>
      <c r="DN1012" s="392"/>
      <c r="DO1012" s="621"/>
      <c r="DP1012" s="621"/>
      <c r="DQ1012" s="621"/>
      <c r="DR1012" s="621"/>
      <c r="DS1012" s="392"/>
      <c r="DT1012" s="621"/>
      <c r="DU1012" s="621"/>
      <c r="DV1012" s="621"/>
      <c r="DW1012" s="621"/>
      <c r="DX1012" s="392"/>
      <c r="DY1012" s="621"/>
      <c r="DZ1012" s="621"/>
      <c r="EA1012" s="621"/>
      <c r="EB1012" s="621"/>
      <c r="EC1012" s="392"/>
      <c r="ED1012" s="621"/>
      <c r="EE1012" s="621"/>
      <c r="EF1012" s="621"/>
      <c r="EG1012" s="621"/>
      <c r="EH1012" s="392"/>
      <c r="EI1012" s="254"/>
      <c r="EJ1012" s="621"/>
      <c r="EK1012" s="621"/>
      <c r="EL1012" s="621"/>
      <c r="EM1012" s="392"/>
      <c r="EN1012" s="621"/>
      <c r="EO1012" s="621"/>
      <c r="EP1012" s="621"/>
      <c r="EQ1012" s="621"/>
      <c r="ER1012" s="392"/>
      <c r="ES1012" s="621"/>
      <c r="ET1012" s="621"/>
      <c r="EU1012" s="621"/>
      <c r="EV1012" s="621"/>
      <c r="EW1012" s="392"/>
      <c r="EX1012" s="621"/>
      <c r="EY1012" s="621"/>
      <c r="EZ1012" s="621"/>
      <c r="FA1012" s="621"/>
      <c r="FB1012" s="392"/>
      <c r="FC1012" s="621"/>
      <c r="FD1012" s="621"/>
      <c r="FE1012" s="621"/>
      <c r="FF1012" s="621"/>
      <c r="FG1012" s="392"/>
      <c r="FH1012" s="626"/>
      <c r="FI1012" s="621"/>
      <c r="FJ1012" s="621"/>
      <c r="FK1012" s="623"/>
      <c r="FL1012" s="621"/>
    </row>
    <row r="1013" ht="12.75" hidden="1" customHeight="1" outlineLevel="1">
      <c r="A1013" s="162"/>
      <c r="B1013" s="162" t="s">
        <v>360</v>
      </c>
      <c r="C1013" s="162"/>
      <c r="D1013" s="15"/>
      <c r="E1013" s="15"/>
      <c r="F1013" s="15"/>
      <c r="G1013" s="15"/>
      <c r="H1013" s="410"/>
      <c r="I1013" s="15" t="str">
        <f t="shared" ref="I1013:FG1013" si="5363">I993/I$997</f>
        <v>#ERROR!</v>
      </c>
      <c r="J1013" s="15" t="str">
        <f t="shared" si="5363"/>
        <v>#ERROR!</v>
      </c>
      <c r="K1013" s="15" t="str">
        <f t="shared" si="5363"/>
        <v>#ERROR!</v>
      </c>
      <c r="L1013" s="15" t="str">
        <f t="shared" si="5363"/>
        <v>#ERROR!</v>
      </c>
      <c r="M1013" s="410" t="str">
        <f t="shared" si="5363"/>
        <v>#ERROR!</v>
      </c>
      <c r="N1013" s="15" t="str">
        <f t="shared" si="5363"/>
        <v>#ERROR!</v>
      </c>
      <c r="O1013" s="15" t="str">
        <f t="shared" si="5363"/>
        <v>#ERROR!</v>
      </c>
      <c r="P1013" s="15" t="str">
        <f t="shared" si="5363"/>
        <v>#ERROR!</v>
      </c>
      <c r="Q1013" s="15" t="str">
        <f t="shared" si="5363"/>
        <v>#ERROR!</v>
      </c>
      <c r="R1013" s="410" t="str">
        <f t="shared" si="5363"/>
        <v>#ERROR!</v>
      </c>
      <c r="S1013" s="15" t="str">
        <f t="shared" si="5363"/>
        <v>#ERROR!</v>
      </c>
      <c r="T1013" s="15" t="str">
        <f t="shared" si="5363"/>
        <v>#ERROR!</v>
      </c>
      <c r="U1013" s="15" t="str">
        <f t="shared" si="5363"/>
        <v>#ERROR!</v>
      </c>
      <c r="V1013" s="15" t="str">
        <f t="shared" si="5363"/>
        <v>#ERROR!</v>
      </c>
      <c r="W1013" s="410" t="str">
        <f t="shared" si="5363"/>
        <v>#ERROR!</v>
      </c>
      <c r="X1013" s="15" t="str">
        <f t="shared" si="5363"/>
        <v>#ERROR!</v>
      </c>
      <c r="Y1013" s="15" t="str">
        <f t="shared" si="5363"/>
        <v>#ERROR!</v>
      </c>
      <c r="Z1013" s="15" t="str">
        <f t="shared" si="5363"/>
        <v>#ERROR!</v>
      </c>
      <c r="AA1013" s="15" t="str">
        <f t="shared" si="5363"/>
        <v>#ERROR!</v>
      </c>
      <c r="AB1013" s="410" t="str">
        <f t="shared" si="5363"/>
        <v>#ERROR!</v>
      </c>
      <c r="AC1013" s="15" t="str">
        <f t="shared" si="5363"/>
        <v>#ERROR!</v>
      </c>
      <c r="AD1013" s="15" t="str">
        <f t="shared" si="5363"/>
        <v>#ERROR!</v>
      </c>
      <c r="AE1013" s="15" t="str">
        <f t="shared" si="5363"/>
        <v>#ERROR!</v>
      </c>
      <c r="AF1013" s="15" t="str">
        <f t="shared" si="5363"/>
        <v>#ERROR!</v>
      </c>
      <c r="AG1013" s="410" t="str">
        <f t="shared" si="5363"/>
        <v>#ERROR!</v>
      </c>
      <c r="AH1013" s="15" t="str">
        <f t="shared" si="5363"/>
        <v>#ERROR!</v>
      </c>
      <c r="AI1013" s="15" t="str">
        <f t="shared" si="5363"/>
        <v>#ERROR!</v>
      </c>
      <c r="AJ1013" s="15" t="str">
        <f t="shared" si="5363"/>
        <v>#ERROR!</v>
      </c>
      <c r="AK1013" s="15" t="str">
        <f t="shared" si="5363"/>
        <v>#ERROR!</v>
      </c>
      <c r="AL1013" s="410" t="str">
        <f t="shared" si="5363"/>
        <v>#ERROR!</v>
      </c>
      <c r="AM1013" s="15" t="str">
        <f t="shared" si="5363"/>
        <v>#ERROR!</v>
      </c>
      <c r="AN1013" s="15" t="str">
        <f t="shared" si="5363"/>
        <v>#ERROR!</v>
      </c>
      <c r="AO1013" s="15" t="str">
        <f t="shared" si="5363"/>
        <v>#ERROR!</v>
      </c>
      <c r="AP1013" s="15" t="str">
        <f t="shared" si="5363"/>
        <v>#ERROR!</v>
      </c>
      <c r="AQ1013" s="410" t="str">
        <f t="shared" si="5363"/>
        <v>#ERROR!</v>
      </c>
      <c r="AR1013" s="15" t="str">
        <f t="shared" si="5363"/>
        <v>#ERROR!</v>
      </c>
      <c r="AS1013" s="15" t="str">
        <f t="shared" si="5363"/>
        <v>#ERROR!</v>
      </c>
      <c r="AT1013" s="15" t="str">
        <f t="shared" si="5363"/>
        <v>#ERROR!</v>
      </c>
      <c r="AU1013" s="15" t="str">
        <f t="shared" si="5363"/>
        <v>#ERROR!</v>
      </c>
      <c r="AV1013" s="410" t="str">
        <f t="shared" si="5363"/>
        <v>#ERROR!</v>
      </c>
      <c r="AW1013" s="15" t="str">
        <f t="shared" si="5363"/>
        <v>#ERROR!</v>
      </c>
      <c r="AX1013" s="15" t="str">
        <f t="shared" si="5363"/>
        <v>#ERROR!</v>
      </c>
      <c r="AY1013" s="15" t="str">
        <f t="shared" si="5363"/>
        <v>#ERROR!</v>
      </c>
      <c r="AZ1013" s="15" t="str">
        <f t="shared" si="5363"/>
        <v>#ERROR!</v>
      </c>
      <c r="BA1013" s="410" t="str">
        <f t="shared" si="5363"/>
        <v>#ERROR!</v>
      </c>
      <c r="BB1013" s="15" t="str">
        <f t="shared" si="5363"/>
        <v>#ERROR!</v>
      </c>
      <c r="BC1013" s="15" t="str">
        <f t="shared" si="5363"/>
        <v>#ERROR!</v>
      </c>
      <c r="BD1013" s="15" t="str">
        <f t="shared" si="5363"/>
        <v>#ERROR!</v>
      </c>
      <c r="BE1013" s="15" t="str">
        <f t="shared" si="5363"/>
        <v>#ERROR!</v>
      </c>
      <c r="BF1013" s="410" t="str">
        <f t="shared" si="5363"/>
        <v>#ERROR!</v>
      </c>
      <c r="BG1013" s="15" t="str">
        <f t="shared" si="5363"/>
        <v>#ERROR!</v>
      </c>
      <c r="BH1013" s="15" t="str">
        <f t="shared" si="5363"/>
        <v>#ERROR!</v>
      </c>
      <c r="BI1013" s="15" t="str">
        <f t="shared" si="5363"/>
        <v>#ERROR!</v>
      </c>
      <c r="BJ1013" s="15" t="str">
        <f t="shared" si="5363"/>
        <v>#ERROR!</v>
      </c>
      <c r="BK1013" s="410" t="str">
        <f t="shared" si="5363"/>
        <v>#ERROR!</v>
      </c>
      <c r="BL1013" s="15" t="str">
        <f t="shared" si="5363"/>
        <v>#ERROR!</v>
      </c>
      <c r="BM1013" s="15" t="str">
        <f t="shared" si="5363"/>
        <v>#ERROR!</v>
      </c>
      <c r="BN1013" s="15" t="str">
        <f t="shared" si="5363"/>
        <v>#ERROR!</v>
      </c>
      <c r="BO1013" s="15" t="str">
        <f t="shared" si="5363"/>
        <v>#ERROR!</v>
      </c>
      <c r="BP1013" s="410" t="str">
        <f t="shared" si="5363"/>
        <v>#ERROR!</v>
      </c>
      <c r="BQ1013" s="15" t="str">
        <f t="shared" si="5363"/>
        <v>#ERROR!</v>
      </c>
      <c r="BR1013" s="15" t="str">
        <f t="shared" si="5363"/>
        <v>#ERROR!</v>
      </c>
      <c r="BS1013" s="15" t="str">
        <f t="shared" si="5363"/>
        <v>#ERROR!</v>
      </c>
      <c r="BT1013" s="15" t="str">
        <f t="shared" si="5363"/>
        <v>#ERROR!</v>
      </c>
      <c r="BU1013" s="410" t="str">
        <f t="shared" si="5363"/>
        <v>#ERROR!</v>
      </c>
      <c r="BV1013" s="15" t="str">
        <f t="shared" si="5363"/>
        <v>#ERROR!</v>
      </c>
      <c r="BW1013" s="15" t="str">
        <f t="shared" si="5363"/>
        <v>#ERROR!</v>
      </c>
      <c r="BX1013" s="15" t="str">
        <f t="shared" si="5363"/>
        <v>#ERROR!</v>
      </c>
      <c r="BY1013" s="15" t="str">
        <f t="shared" si="5363"/>
        <v>#ERROR!</v>
      </c>
      <c r="BZ1013" s="24" t="str">
        <f t="shared" si="5363"/>
        <v>#ERROR!</v>
      </c>
      <c r="CA1013" s="15" t="str">
        <f t="shared" si="5363"/>
        <v>#ERROR!</v>
      </c>
      <c r="CB1013" s="15" t="str">
        <f t="shared" si="5363"/>
        <v>#ERROR!</v>
      </c>
      <c r="CC1013" s="15" t="str">
        <f t="shared" si="5363"/>
        <v>#ERROR!</v>
      </c>
      <c r="CD1013" s="15" t="str">
        <f t="shared" si="5363"/>
        <v>#ERROR!</v>
      </c>
      <c r="CE1013" s="24" t="str">
        <f t="shared" si="5363"/>
        <v>#ERROR!</v>
      </c>
      <c r="CF1013" s="15" t="str">
        <f t="shared" si="5363"/>
        <v>#ERROR!</v>
      </c>
      <c r="CG1013" s="15" t="str">
        <f t="shared" si="5363"/>
        <v>#ERROR!</v>
      </c>
      <c r="CH1013" s="15" t="str">
        <f t="shared" si="5363"/>
        <v>#ERROR!</v>
      </c>
      <c r="CI1013" s="15" t="str">
        <f t="shared" si="5363"/>
        <v>#ERROR!</v>
      </c>
      <c r="CJ1013" s="24" t="str">
        <f t="shared" si="5363"/>
        <v>#ERROR!</v>
      </c>
      <c r="CK1013" s="15" t="str">
        <f t="shared" si="5363"/>
        <v>#ERROR!</v>
      </c>
      <c r="CL1013" s="15" t="str">
        <f t="shared" si="5363"/>
        <v>#ERROR!</v>
      </c>
      <c r="CM1013" s="15" t="str">
        <f t="shared" si="5363"/>
        <v>#ERROR!</v>
      </c>
      <c r="CN1013" s="40" t="str">
        <f t="shared" si="5363"/>
        <v>#ERROR!</v>
      </c>
      <c r="CO1013" s="24" t="str">
        <f t="shared" si="5363"/>
        <v>#ERROR!</v>
      </c>
      <c r="CP1013" s="40" t="str">
        <f t="shared" si="5363"/>
        <v>#ERROR!</v>
      </c>
      <c r="CQ1013" s="15" t="str">
        <f t="shared" si="5363"/>
        <v>#ERROR!</v>
      </c>
      <c r="CR1013" s="15" t="str">
        <f t="shared" si="5363"/>
        <v>#ERROR!</v>
      </c>
      <c r="CS1013" s="15" t="str">
        <f t="shared" si="5363"/>
        <v>#ERROR!</v>
      </c>
      <c r="CT1013" s="24" t="str">
        <f t="shared" si="5363"/>
        <v>#ERROR!</v>
      </c>
      <c r="CU1013" s="15" t="str">
        <f t="shared" si="5363"/>
        <v>#ERROR!</v>
      </c>
      <c r="CV1013" s="15" t="str">
        <f t="shared" si="5363"/>
        <v>#ERROR!</v>
      </c>
      <c r="CW1013" s="15" t="str">
        <f t="shared" si="5363"/>
        <v>#ERROR!</v>
      </c>
      <c r="CX1013" s="15" t="str">
        <f t="shared" si="5363"/>
        <v>#ERROR!</v>
      </c>
      <c r="CY1013" s="24" t="str">
        <f t="shared" si="5363"/>
        <v>#ERROR!</v>
      </c>
      <c r="CZ1013" s="15" t="str">
        <f t="shared" si="5363"/>
        <v>#ERROR!</v>
      </c>
      <c r="DA1013" s="15" t="str">
        <f t="shared" si="5363"/>
        <v>#ERROR!</v>
      </c>
      <c r="DB1013" s="15" t="str">
        <f t="shared" si="5363"/>
        <v>#ERROR!</v>
      </c>
      <c r="DC1013" s="15" t="str">
        <f t="shared" si="5363"/>
        <v>#ERROR!</v>
      </c>
      <c r="DD1013" s="24" t="str">
        <f t="shared" si="5363"/>
        <v>#ERROR!</v>
      </c>
      <c r="DE1013" s="15" t="str">
        <f t="shared" si="5363"/>
        <v>#ERROR!</v>
      </c>
      <c r="DF1013" s="15" t="str">
        <f t="shared" si="5363"/>
        <v>#ERROR!</v>
      </c>
      <c r="DG1013" s="40" t="str">
        <f t="shared" si="5363"/>
        <v>#ERROR!</v>
      </c>
      <c r="DH1013" s="15" t="str">
        <f t="shared" si="5363"/>
        <v>#ERROR!</v>
      </c>
      <c r="DI1013" s="24" t="str">
        <f t="shared" si="5363"/>
        <v>#ERROR!</v>
      </c>
      <c r="DJ1013" s="40" t="str">
        <f t="shared" si="5363"/>
        <v>#ERROR!</v>
      </c>
      <c r="DK1013" s="40" t="str">
        <f t="shared" si="5363"/>
        <v>#ERROR!</v>
      </c>
      <c r="DL1013" s="40" t="str">
        <f t="shared" si="5363"/>
        <v>#ERROR!</v>
      </c>
      <c r="DM1013" s="15" t="str">
        <f t="shared" si="5363"/>
        <v>#ERROR!</v>
      </c>
      <c r="DN1013" s="24" t="str">
        <f t="shared" si="5363"/>
        <v>#ERROR!</v>
      </c>
      <c r="DO1013" s="15" t="str">
        <f t="shared" si="5363"/>
        <v>#ERROR!</v>
      </c>
      <c r="DP1013" s="15" t="str">
        <f t="shared" si="5363"/>
        <v>#ERROR!</v>
      </c>
      <c r="DQ1013" s="15" t="str">
        <f t="shared" si="5363"/>
        <v>#ERROR!</v>
      </c>
      <c r="DR1013" s="15" t="str">
        <f t="shared" si="5363"/>
        <v>#ERROR!</v>
      </c>
      <c r="DS1013" s="24" t="str">
        <f t="shared" si="5363"/>
        <v>#ERROR!</v>
      </c>
      <c r="DT1013" s="15" t="str">
        <f t="shared" si="5363"/>
        <v>#ERROR!</v>
      </c>
      <c r="DU1013" s="15" t="str">
        <f t="shared" si="5363"/>
        <v>#ERROR!</v>
      </c>
      <c r="DV1013" s="15" t="str">
        <f t="shared" si="5363"/>
        <v>#ERROR!</v>
      </c>
      <c r="DW1013" s="15" t="str">
        <f t="shared" si="5363"/>
        <v>#ERROR!</v>
      </c>
      <c r="DX1013" s="24" t="str">
        <f t="shared" si="5363"/>
        <v>#ERROR!</v>
      </c>
      <c r="DY1013" s="15" t="str">
        <f t="shared" si="5363"/>
        <v>#ERROR!</v>
      </c>
      <c r="DZ1013" s="15" t="str">
        <f t="shared" si="5363"/>
        <v>#ERROR!</v>
      </c>
      <c r="EA1013" s="15" t="str">
        <f t="shared" si="5363"/>
        <v>#ERROR!</v>
      </c>
      <c r="EB1013" s="15" t="str">
        <f t="shared" si="5363"/>
        <v>#ERROR!</v>
      </c>
      <c r="EC1013" s="24" t="str">
        <f t="shared" si="5363"/>
        <v>#ERROR!</v>
      </c>
      <c r="ED1013" s="15" t="str">
        <f t="shared" si="5363"/>
        <v>#ERROR!</v>
      </c>
      <c r="EE1013" s="15" t="str">
        <f t="shared" si="5363"/>
        <v>#ERROR!</v>
      </c>
      <c r="EF1013" s="15" t="str">
        <f t="shared" si="5363"/>
        <v>#ERROR!</v>
      </c>
      <c r="EG1013" s="15" t="str">
        <f t="shared" si="5363"/>
        <v>#ERROR!</v>
      </c>
      <c r="EH1013" s="24" t="str">
        <f t="shared" si="5363"/>
        <v>#ERROR!</v>
      </c>
      <c r="EI1013" s="82" t="str">
        <f t="shared" si="5363"/>
        <v>#ERROR!</v>
      </c>
      <c r="EJ1013" s="15" t="str">
        <f t="shared" si="5363"/>
        <v>#ERROR!</v>
      </c>
      <c r="EK1013" s="15" t="str">
        <f t="shared" si="5363"/>
        <v>#ERROR!</v>
      </c>
      <c r="EL1013" s="15" t="str">
        <f t="shared" si="5363"/>
        <v>#ERROR!</v>
      </c>
      <c r="EM1013" s="24" t="str">
        <f t="shared" si="5363"/>
        <v>#ERROR!</v>
      </c>
      <c r="EN1013" s="15" t="str">
        <f t="shared" si="5363"/>
        <v>#ERROR!</v>
      </c>
      <c r="EO1013" s="15" t="str">
        <f t="shared" si="5363"/>
        <v>#ERROR!</v>
      </c>
      <c r="EP1013" s="15" t="str">
        <f t="shared" si="5363"/>
        <v>#ERROR!</v>
      </c>
      <c r="EQ1013" s="15" t="str">
        <f t="shared" si="5363"/>
        <v>#ERROR!</v>
      </c>
      <c r="ER1013" s="24" t="str">
        <f t="shared" si="5363"/>
        <v>#ERROR!</v>
      </c>
      <c r="ES1013" s="15" t="str">
        <f t="shared" si="5363"/>
        <v>#ERROR!</v>
      </c>
      <c r="ET1013" s="15" t="str">
        <f t="shared" si="5363"/>
        <v>#ERROR!</v>
      </c>
      <c r="EU1013" s="15" t="str">
        <f t="shared" si="5363"/>
        <v>#ERROR!</v>
      </c>
      <c r="EV1013" s="15" t="str">
        <f t="shared" si="5363"/>
        <v>#ERROR!</v>
      </c>
      <c r="EW1013" s="24" t="str">
        <f t="shared" si="5363"/>
        <v>#ERROR!</v>
      </c>
      <c r="EX1013" s="15" t="str">
        <f t="shared" si="5363"/>
        <v>#ERROR!</v>
      </c>
      <c r="EY1013" s="15" t="str">
        <f t="shared" si="5363"/>
        <v>#ERROR!</v>
      </c>
      <c r="EZ1013" s="15" t="str">
        <f t="shared" si="5363"/>
        <v>#ERROR!</v>
      </c>
      <c r="FA1013" s="15" t="str">
        <f t="shared" si="5363"/>
        <v>#ERROR!</v>
      </c>
      <c r="FB1013" s="24" t="str">
        <f t="shared" si="5363"/>
        <v>#ERROR!</v>
      </c>
      <c r="FC1013" s="15" t="str">
        <f t="shared" si="5363"/>
        <v>#ERROR!</v>
      </c>
      <c r="FD1013" s="15" t="str">
        <f t="shared" si="5363"/>
        <v>#ERROR!</v>
      </c>
      <c r="FE1013" s="15" t="str">
        <f t="shared" si="5363"/>
        <v>#ERROR!</v>
      </c>
      <c r="FF1013" s="15" t="str">
        <f t="shared" si="5363"/>
        <v>#ERROR!</v>
      </c>
      <c r="FG1013" s="24" t="str">
        <f t="shared" si="5363"/>
        <v>#ERROR!</v>
      </c>
      <c r="FH1013" s="104"/>
      <c r="FI1013" s="15"/>
      <c r="FJ1013" s="15"/>
      <c r="FK1013" s="410"/>
      <c r="FL1013" s="15"/>
    </row>
    <row r="1014" ht="12.75" hidden="1" customHeight="1" outlineLevel="1">
      <c r="A1014" s="162"/>
      <c r="B1014" s="696" t="s">
        <v>361</v>
      </c>
      <c r="C1014" s="696"/>
      <c r="D1014" s="413"/>
      <c r="E1014" s="413"/>
      <c r="F1014" s="413"/>
      <c r="G1014" s="413"/>
      <c r="H1014" s="414"/>
      <c r="I1014" s="413"/>
      <c r="J1014" s="413"/>
      <c r="K1014" s="413"/>
      <c r="L1014" s="413"/>
      <c r="M1014" s="414" t="str">
        <f>M993/Sales</f>
        <v>#ERROR!</v>
      </c>
      <c r="N1014" s="413" t="str">
        <f>N993/Sales</f>
        <v>#ERROR!</v>
      </c>
      <c r="O1014" s="413" t="str">
        <f>O993/Sales</f>
        <v>#ERROR!</v>
      </c>
      <c r="P1014" s="413" t="str">
        <f>P993/Sales</f>
        <v>#ERROR!</v>
      </c>
      <c r="Q1014" s="413" t="str">
        <f>Q993/Sales</f>
        <v>#ERROR!</v>
      </c>
      <c r="R1014" s="414" t="str">
        <f>R993/Sales</f>
        <v>#ERROR!</v>
      </c>
      <c r="S1014" s="413" t="str">
        <f>S993/Sales</f>
        <v>#ERROR!</v>
      </c>
      <c r="T1014" s="413" t="str">
        <f>T993/Sales</f>
        <v>#ERROR!</v>
      </c>
      <c r="U1014" s="413" t="str">
        <f>U993/Sales</f>
        <v>#ERROR!</v>
      </c>
      <c r="V1014" s="413" t="str">
        <f>V993/Sales</f>
        <v>#ERROR!</v>
      </c>
      <c r="W1014" s="414" t="str">
        <f>W993/Sales</f>
        <v>#ERROR!</v>
      </c>
      <c r="X1014" s="413" t="str">
        <f>X993/Sales</f>
        <v>#ERROR!</v>
      </c>
      <c r="Y1014" s="413" t="str">
        <f>Y993/Sales</f>
        <v>#ERROR!</v>
      </c>
      <c r="Z1014" s="413" t="str">
        <f>Z993/Sales</f>
        <v>#ERROR!</v>
      </c>
      <c r="AA1014" s="413" t="str">
        <f>AA993/Sales</f>
        <v>#ERROR!</v>
      </c>
      <c r="AB1014" s="414" t="str">
        <f>AB993/Sales</f>
        <v>#ERROR!</v>
      </c>
      <c r="AC1014" s="413" t="str">
        <f>AC993/Sales</f>
        <v>#ERROR!</v>
      </c>
      <c r="AD1014" s="413" t="str">
        <f>AD993/Sales</f>
        <v>#ERROR!</v>
      </c>
      <c r="AE1014" s="413" t="str">
        <f>AE993/Sales</f>
        <v>#ERROR!</v>
      </c>
      <c r="AF1014" s="413" t="str">
        <f>AF993/Sales</f>
        <v>#ERROR!</v>
      </c>
      <c r="AG1014" s="414" t="str">
        <f>AG993/Sales</f>
        <v>#ERROR!</v>
      </c>
      <c r="AH1014" s="413" t="str">
        <f>AH993/Sales</f>
        <v>#ERROR!</v>
      </c>
      <c r="AI1014" s="413" t="str">
        <f>AI993/Sales</f>
        <v>#ERROR!</v>
      </c>
      <c r="AJ1014" s="413" t="str">
        <f>AJ993/Sales</f>
        <v>#ERROR!</v>
      </c>
      <c r="AK1014" s="413" t="str">
        <f>AK993/Sales</f>
        <v>#ERROR!</v>
      </c>
      <c r="AL1014" s="414" t="str">
        <f>AL993/Sales</f>
        <v>#ERROR!</v>
      </c>
      <c r="AM1014" s="413" t="str">
        <f>AM993/Sales</f>
        <v>#ERROR!</v>
      </c>
      <c r="AN1014" s="413" t="str">
        <f>AN993/Sales</f>
        <v>#ERROR!</v>
      </c>
      <c r="AO1014" s="413" t="str">
        <f>AO993/Sales</f>
        <v>#ERROR!</v>
      </c>
      <c r="AP1014" s="413" t="str">
        <f>AP993/Sales</f>
        <v>#ERROR!</v>
      </c>
      <c r="AQ1014" s="414" t="str">
        <f>AQ993/Sales</f>
        <v>#ERROR!</v>
      </c>
      <c r="AR1014" s="413" t="str">
        <f>AR993/Sales</f>
        <v>#ERROR!</v>
      </c>
      <c r="AS1014" s="413" t="str">
        <f>AS993/Sales</f>
        <v>#ERROR!</v>
      </c>
      <c r="AT1014" s="413" t="str">
        <f>AT993/Sales</f>
        <v>#ERROR!</v>
      </c>
      <c r="AU1014" s="413" t="str">
        <f>AU993/Sales</f>
        <v>#ERROR!</v>
      </c>
      <c r="AV1014" s="414" t="str">
        <f>AV993/Sales</f>
        <v>#ERROR!</v>
      </c>
      <c r="AW1014" s="413" t="str">
        <f>AW993/Sales</f>
        <v>#ERROR!</v>
      </c>
      <c r="AX1014" s="413" t="str">
        <f>AX993/Sales</f>
        <v>#ERROR!</v>
      </c>
      <c r="AY1014" s="413" t="str">
        <f>AY993/Sales</f>
        <v>#ERROR!</v>
      </c>
      <c r="AZ1014" s="413" t="str">
        <f>AZ993/Sales</f>
        <v>#ERROR!</v>
      </c>
      <c r="BA1014" s="414" t="str">
        <f>BA993/Sales</f>
        <v>#ERROR!</v>
      </c>
      <c r="BB1014" s="413" t="str">
        <f>BB993/Sales</f>
        <v>#ERROR!</v>
      </c>
      <c r="BC1014" s="413" t="str">
        <f>BC993/Sales</f>
        <v>#ERROR!</v>
      </c>
      <c r="BD1014" s="413" t="str">
        <f>BD993/Sales</f>
        <v>#ERROR!</v>
      </c>
      <c r="BE1014" s="413" t="str">
        <f>BE993/Sales</f>
        <v>#ERROR!</v>
      </c>
      <c r="BF1014" s="414" t="str">
        <f>BF993/Sales</f>
        <v>#ERROR!</v>
      </c>
      <c r="BG1014" s="413" t="str">
        <f>BG993/Sales</f>
        <v>#ERROR!</v>
      </c>
      <c r="BH1014" s="413" t="str">
        <f>BH993/Sales</f>
        <v>#ERROR!</v>
      </c>
      <c r="BI1014" s="413" t="str">
        <f>BI993/Sales</f>
        <v>#ERROR!</v>
      </c>
      <c r="BJ1014" s="413" t="str">
        <f>BJ993/Sales</f>
        <v>#ERROR!</v>
      </c>
      <c r="BK1014" s="414" t="str">
        <f>BK993/Sales</f>
        <v>#ERROR!</v>
      </c>
      <c r="BL1014" s="413" t="str">
        <f>BL993/Sales</f>
        <v>#ERROR!</v>
      </c>
      <c r="BM1014" s="413" t="str">
        <f>BM993/Sales</f>
        <v>#ERROR!</v>
      </c>
      <c r="BN1014" s="413" t="str">
        <f>BN993/Sales</f>
        <v>#ERROR!</v>
      </c>
      <c r="BO1014" s="413" t="str">
        <f>BO993/Sales</f>
        <v>#ERROR!</v>
      </c>
      <c r="BP1014" s="414" t="str">
        <f>BP993/Sales</f>
        <v>#ERROR!</v>
      </c>
      <c r="BQ1014" s="413" t="str">
        <f>BQ993/Sales</f>
        <v>#ERROR!</v>
      </c>
      <c r="BR1014" s="413" t="str">
        <f>BR993/Sales</f>
        <v>#ERROR!</v>
      </c>
      <c r="BS1014" s="413" t="str">
        <f>BS993/Sales</f>
        <v>#ERROR!</v>
      </c>
      <c r="BT1014" s="413" t="str">
        <f>BT993/Sales</f>
        <v>#ERROR!</v>
      </c>
      <c r="BU1014" s="414" t="str">
        <f>BU993/Sales</f>
        <v>#ERROR!</v>
      </c>
      <c r="BV1014" s="413" t="str">
        <f>BV993/Sales</f>
        <v>#ERROR!</v>
      </c>
      <c r="BW1014" s="413" t="str">
        <f>BW993/Sales</f>
        <v>#ERROR!</v>
      </c>
      <c r="BX1014" s="413" t="str">
        <f>BX993/Sales</f>
        <v>#ERROR!</v>
      </c>
      <c r="BY1014" s="413" t="str">
        <f>BY993/Sales</f>
        <v>#ERROR!</v>
      </c>
      <c r="BZ1014" s="415" t="str">
        <f>BZ993/Sales</f>
        <v>#ERROR!</v>
      </c>
      <c r="CA1014" s="413" t="str">
        <f>CA993/Sales</f>
        <v>#ERROR!</v>
      </c>
      <c r="CB1014" s="413" t="str">
        <f>CB993/Sales</f>
        <v>#ERROR!</v>
      </c>
      <c r="CC1014" s="413" t="str">
        <f>CC993/Sales</f>
        <v>#ERROR!</v>
      </c>
      <c r="CD1014" s="413" t="str">
        <f>CD993/Sales</f>
        <v>#ERROR!</v>
      </c>
      <c r="CE1014" s="415" t="str">
        <f>CE993/Sales</f>
        <v>#ERROR!</v>
      </c>
      <c r="CF1014" s="413" t="str">
        <f>CF993/Sales</f>
        <v>#ERROR!</v>
      </c>
      <c r="CG1014" s="413" t="str">
        <f>CG993/Sales</f>
        <v>#ERROR!</v>
      </c>
      <c r="CH1014" s="413" t="str">
        <f>CH993/Sales</f>
        <v>#ERROR!</v>
      </c>
      <c r="CI1014" s="413" t="str">
        <f>CI993/Sales</f>
        <v>#ERROR!</v>
      </c>
      <c r="CJ1014" s="415" t="str">
        <f>CJ993/Sales</f>
        <v>#ERROR!</v>
      </c>
      <c r="CK1014" s="413" t="str">
        <f>CK993/Sales</f>
        <v>#ERROR!</v>
      </c>
      <c r="CL1014" s="413" t="str">
        <f>CL993/Sales</f>
        <v>#ERROR!</v>
      </c>
      <c r="CM1014" s="413" t="str">
        <f>CM993/Sales</f>
        <v>#ERROR!</v>
      </c>
      <c r="CN1014" s="416" t="str">
        <f>CN993/Sales</f>
        <v>#ERROR!</v>
      </c>
      <c r="CO1014" s="415" t="str">
        <f>CO993/Sales</f>
        <v>#ERROR!</v>
      </c>
      <c r="CP1014" s="416" t="str">
        <f>CP993/Sales</f>
        <v>#ERROR!</v>
      </c>
      <c r="CQ1014" s="413" t="str">
        <f>CQ993/Sales</f>
        <v>#ERROR!</v>
      </c>
      <c r="CR1014" s="413" t="str">
        <f>CR993/Sales</f>
        <v>#ERROR!</v>
      </c>
      <c r="CS1014" s="413" t="str">
        <f>CS993/Sales</f>
        <v>#ERROR!</v>
      </c>
      <c r="CT1014" s="415" t="str">
        <f>CT993/Sales</f>
        <v>#ERROR!</v>
      </c>
      <c r="CU1014" s="413" t="str">
        <f>CU993/Sales</f>
        <v>#ERROR!</v>
      </c>
      <c r="CV1014" s="413" t="str">
        <f>CV993/Sales</f>
        <v>#ERROR!</v>
      </c>
      <c r="CW1014" s="413" t="str">
        <f>CW993/Sales</f>
        <v>#ERROR!</v>
      </c>
      <c r="CX1014" s="413" t="str">
        <f>CX993/Sales</f>
        <v>#ERROR!</v>
      </c>
      <c r="CY1014" s="415" t="str">
        <f>CY993/Sales</f>
        <v>#ERROR!</v>
      </c>
      <c r="CZ1014" s="413" t="str">
        <f>CZ993/Sales</f>
        <v>#ERROR!</v>
      </c>
      <c r="DA1014" s="413" t="str">
        <f>DA993/Sales</f>
        <v>#ERROR!</v>
      </c>
      <c r="DB1014" s="413" t="str">
        <f>DB993/Sales</f>
        <v>#ERROR!</v>
      </c>
      <c r="DC1014" s="413" t="str">
        <f>DC993/Sales</f>
        <v>#ERROR!</v>
      </c>
      <c r="DD1014" s="415" t="str">
        <f>DD993/Sales</f>
        <v>#ERROR!</v>
      </c>
      <c r="DE1014" s="413" t="str">
        <f>DE993/Sales</f>
        <v>#ERROR!</v>
      </c>
      <c r="DF1014" s="413" t="str">
        <f>DF993/Sales</f>
        <v>#ERROR!</v>
      </c>
      <c r="DG1014" s="40" t="str">
        <f>DG993/Sales</f>
        <v>#ERROR!</v>
      </c>
      <c r="DH1014" s="413" t="str">
        <f>DH993/Sales</f>
        <v>#ERROR!</v>
      </c>
      <c r="DI1014" s="415" t="str">
        <f>DI993/Sales</f>
        <v>#ERROR!</v>
      </c>
      <c r="DJ1014" s="416" t="str">
        <f>DJ993/Sales</f>
        <v>#ERROR!</v>
      </c>
      <c r="DK1014" s="416" t="str">
        <f>DK993/Sales</f>
        <v>#ERROR!</v>
      </c>
      <c r="DL1014" s="416" t="str">
        <f>DL993/Sales</f>
        <v>#ERROR!</v>
      </c>
      <c r="DM1014" s="413" t="str">
        <f>DM993/Sales</f>
        <v>#ERROR!</v>
      </c>
      <c r="DN1014" s="415" t="str">
        <f>DN993/Sales</f>
        <v>#ERROR!</v>
      </c>
      <c r="DO1014" s="413" t="str">
        <f>DO993/Sales</f>
        <v>#ERROR!</v>
      </c>
      <c r="DP1014" s="413" t="str">
        <f>DP993/Sales</f>
        <v>#ERROR!</v>
      </c>
      <c r="DQ1014" s="413" t="str">
        <f>DQ993/Sales</f>
        <v>#ERROR!</v>
      </c>
      <c r="DR1014" s="413" t="str">
        <f>DR993/Sales</f>
        <v>#ERROR!</v>
      </c>
      <c r="DS1014" s="415" t="str">
        <f>DS993/Sales</f>
        <v>#ERROR!</v>
      </c>
      <c r="DT1014" s="413" t="str">
        <f>DT993/Sales</f>
        <v>#ERROR!</v>
      </c>
      <c r="DU1014" s="413" t="str">
        <f>DU993/Sales</f>
        <v>#ERROR!</v>
      </c>
      <c r="DV1014" s="413" t="str">
        <f>DV993/Sales</f>
        <v>#ERROR!</v>
      </c>
      <c r="DW1014" s="413" t="str">
        <f>DW993/Sales</f>
        <v>#ERROR!</v>
      </c>
      <c r="DX1014" s="415" t="str">
        <f>DX993/Sales</f>
        <v>#ERROR!</v>
      </c>
      <c r="DY1014" s="413" t="str">
        <f>DY993/Sales</f>
        <v>#ERROR!</v>
      </c>
      <c r="DZ1014" s="413" t="str">
        <f>DZ993/Sales</f>
        <v>#ERROR!</v>
      </c>
      <c r="EA1014" s="413" t="str">
        <f>EA993/Sales</f>
        <v>#ERROR!</v>
      </c>
      <c r="EB1014" s="413" t="str">
        <f>EB993/Sales</f>
        <v>#ERROR!</v>
      </c>
      <c r="EC1014" s="415" t="str">
        <f>EC993/Sales</f>
        <v>#ERROR!</v>
      </c>
      <c r="ED1014" s="413" t="str">
        <f>ED993/Sales</f>
        <v>#ERROR!</v>
      </c>
      <c r="EE1014" s="413" t="str">
        <f>EE993/Sales</f>
        <v>#ERROR!</v>
      </c>
      <c r="EF1014" s="413" t="str">
        <f>EF993/Sales</f>
        <v>#ERROR!</v>
      </c>
      <c r="EG1014" s="413" t="str">
        <f>EG993/Sales</f>
        <v>#ERROR!</v>
      </c>
      <c r="EH1014" s="415" t="str">
        <f>EH993/Sales</f>
        <v>#ERROR!</v>
      </c>
      <c r="EI1014" s="420" t="str">
        <f>EI993/Sales</f>
        <v>#ERROR!</v>
      </c>
      <c r="EJ1014" s="413" t="str">
        <f>EJ993/Sales</f>
        <v>#ERROR!</v>
      </c>
      <c r="EK1014" s="413" t="str">
        <f>EK993/Sales</f>
        <v>#ERROR!</v>
      </c>
      <c r="EL1014" s="413" t="str">
        <f>EL993/Sales</f>
        <v>#ERROR!</v>
      </c>
      <c r="EM1014" s="415" t="str">
        <f>EM993/Sales</f>
        <v>#ERROR!</v>
      </c>
      <c r="EN1014" s="413" t="str">
        <f>EN993/Sales</f>
        <v>#ERROR!</v>
      </c>
      <c r="EO1014" s="413" t="str">
        <f>EO993/Sales</f>
        <v>#ERROR!</v>
      </c>
      <c r="EP1014" s="413" t="str">
        <f>EP993/Sales</f>
        <v>#ERROR!</v>
      </c>
      <c r="EQ1014" s="413" t="str">
        <f>EQ993/Sales</f>
        <v>#ERROR!</v>
      </c>
      <c r="ER1014" s="415" t="str">
        <f>ER993/Sales</f>
        <v>#ERROR!</v>
      </c>
      <c r="ES1014" s="413" t="str">
        <f>ES993/Sales</f>
        <v>#ERROR!</v>
      </c>
      <c r="ET1014" s="413" t="str">
        <f>ET993/Sales</f>
        <v>#ERROR!</v>
      </c>
      <c r="EU1014" s="413" t="str">
        <f>EU993/Sales</f>
        <v>#ERROR!</v>
      </c>
      <c r="EV1014" s="413" t="str">
        <f>EV993/Sales</f>
        <v>#ERROR!</v>
      </c>
      <c r="EW1014" s="415" t="str">
        <f>EW993/Sales</f>
        <v>#ERROR!</v>
      </c>
      <c r="EX1014" s="413" t="str">
        <f>EX993/Sales</f>
        <v>#ERROR!</v>
      </c>
      <c r="EY1014" s="413" t="str">
        <f>EY993/Sales</f>
        <v>#ERROR!</v>
      </c>
      <c r="EZ1014" s="413" t="str">
        <f>EZ993/Sales</f>
        <v>#ERROR!</v>
      </c>
      <c r="FA1014" s="413" t="str">
        <f>FA993/Sales</f>
        <v>#ERROR!</v>
      </c>
      <c r="FB1014" s="415" t="str">
        <f>FB993/Sales</f>
        <v>#ERROR!</v>
      </c>
      <c r="FC1014" s="413" t="str">
        <f>FC993/Sales</f>
        <v>#ERROR!</v>
      </c>
      <c r="FD1014" s="413" t="str">
        <f>FD993/Sales</f>
        <v>#ERROR!</v>
      </c>
      <c r="FE1014" s="413" t="str">
        <f>FE993/Sales</f>
        <v>#ERROR!</v>
      </c>
      <c r="FF1014" s="413" t="str">
        <f>FF993/Sales</f>
        <v>#ERROR!</v>
      </c>
      <c r="FG1014" s="415" t="str">
        <f>FG993/Sales</f>
        <v>#ERROR!</v>
      </c>
      <c r="FH1014" s="388"/>
      <c r="FI1014" s="413"/>
      <c r="FJ1014" s="413"/>
      <c r="FK1014" s="414"/>
      <c r="FL1014" s="413"/>
    </row>
    <row r="1015" ht="12.75" hidden="1" customHeight="1" outlineLevel="1">
      <c r="A1015" s="4"/>
      <c r="B1015" s="4"/>
      <c r="C1015" s="4"/>
      <c r="D1015" s="4"/>
      <c r="E1015" s="4"/>
      <c r="F1015" s="4"/>
      <c r="G1015" s="4"/>
      <c r="H1015" s="45"/>
      <c r="I1015" s="4"/>
      <c r="J1015" s="4"/>
      <c r="K1015" s="4"/>
      <c r="L1015" s="4"/>
      <c r="M1015" s="45"/>
      <c r="N1015" s="4"/>
      <c r="O1015" s="4"/>
      <c r="P1015" s="4"/>
      <c r="Q1015" s="4"/>
      <c r="R1015" s="45"/>
      <c r="S1015" s="4"/>
      <c r="T1015" s="4"/>
      <c r="U1015" s="4"/>
      <c r="V1015" s="4"/>
      <c r="W1015" s="45"/>
      <c r="X1015" s="4"/>
      <c r="Y1015" s="4"/>
      <c r="Z1015" s="4"/>
      <c r="AA1015" s="4"/>
      <c r="AB1015" s="45"/>
      <c r="AC1015" s="4"/>
      <c r="AD1015" s="4"/>
      <c r="AE1015" s="4"/>
      <c r="AF1015" s="4"/>
      <c r="AG1015" s="45"/>
      <c r="AH1015" s="4"/>
      <c r="AI1015" s="4"/>
      <c r="AJ1015" s="4"/>
      <c r="AK1015" s="4"/>
      <c r="AL1015" s="45"/>
      <c r="AM1015" s="4"/>
      <c r="AN1015" s="4"/>
      <c r="AO1015" s="4"/>
      <c r="AP1015" s="4"/>
      <c r="AQ1015" s="45"/>
      <c r="AR1015" s="4"/>
      <c r="AS1015" s="4"/>
      <c r="AT1015" s="4"/>
      <c r="AU1015" s="4"/>
      <c r="AV1015" s="45"/>
      <c r="AW1015" s="4"/>
      <c r="AX1015" s="4"/>
      <c r="AY1015" s="4"/>
      <c r="AZ1015" s="4"/>
      <c r="BA1015" s="45"/>
      <c r="BB1015" s="4"/>
      <c r="BC1015" s="4"/>
      <c r="BD1015" s="4"/>
      <c r="BE1015" s="4"/>
      <c r="BF1015" s="45"/>
      <c r="BG1015" s="4"/>
      <c r="BH1015" s="4"/>
      <c r="BI1015" s="4"/>
      <c r="BJ1015" s="4"/>
      <c r="BK1015" s="45"/>
      <c r="BL1015" s="4"/>
      <c r="BM1015" s="4"/>
      <c r="BN1015" s="4"/>
      <c r="BO1015" s="4"/>
      <c r="BP1015" s="45"/>
      <c r="BQ1015" s="4"/>
      <c r="BR1015" s="4"/>
      <c r="BS1015" s="4"/>
      <c r="BT1015" s="4"/>
      <c r="BU1015" s="45"/>
      <c r="BV1015" s="4"/>
      <c r="BW1015" s="4"/>
      <c r="BX1015" s="4"/>
      <c r="BY1015" s="4"/>
      <c r="BZ1015" s="350"/>
      <c r="CA1015" s="4"/>
      <c r="CB1015" s="4"/>
      <c r="CC1015" s="4"/>
      <c r="CD1015" s="4"/>
      <c r="CE1015" s="350"/>
      <c r="CF1015" s="4"/>
      <c r="CG1015" s="4"/>
      <c r="CH1015" s="4"/>
      <c r="CI1015" s="4"/>
      <c r="CJ1015" s="350"/>
      <c r="CK1015" s="4"/>
      <c r="CL1015" s="4"/>
      <c r="CM1015" s="4"/>
      <c r="CN1015" s="16"/>
      <c r="CO1015" s="350"/>
      <c r="CP1015" s="16"/>
      <c r="CQ1015" s="4"/>
      <c r="CR1015" s="4"/>
      <c r="CS1015" s="4"/>
      <c r="CT1015" s="350"/>
      <c r="CU1015" s="4"/>
      <c r="CV1015" s="4"/>
      <c r="CW1015" s="4"/>
      <c r="CX1015" s="4"/>
      <c r="CY1015" s="350"/>
      <c r="CZ1015" s="4"/>
      <c r="DA1015" s="4"/>
      <c r="DB1015" s="4"/>
      <c r="DC1015" s="4"/>
      <c r="DD1015" s="350"/>
      <c r="DE1015" s="4"/>
      <c r="DF1015" s="4"/>
      <c r="DG1015" s="16"/>
      <c r="DH1015" s="4"/>
      <c r="DI1015" s="350"/>
      <c r="DJ1015" s="16"/>
      <c r="DK1015" s="16"/>
      <c r="DL1015" s="16"/>
      <c r="DM1015" s="4"/>
      <c r="DN1015" s="350"/>
      <c r="DO1015" s="4"/>
      <c r="DP1015" s="4"/>
      <c r="DQ1015" s="4"/>
      <c r="DR1015" s="4"/>
      <c r="DS1015" s="350"/>
      <c r="DT1015" s="4"/>
      <c r="DU1015" s="4"/>
      <c r="DV1015" s="4"/>
      <c r="DW1015" s="4"/>
      <c r="DX1015" s="350"/>
      <c r="DY1015" s="4"/>
      <c r="DZ1015" s="4"/>
      <c r="EA1015" s="4"/>
      <c r="EB1015" s="4"/>
      <c r="EC1015" s="350"/>
      <c r="ED1015" s="4"/>
      <c r="EE1015" s="4"/>
      <c r="EF1015" s="4"/>
      <c r="EG1015" s="4"/>
      <c r="EH1015" s="350"/>
      <c r="EI1015" s="214"/>
      <c r="EJ1015" s="4"/>
      <c r="EK1015" s="4"/>
      <c r="EL1015" s="4"/>
      <c r="EM1015" s="350"/>
      <c r="EN1015" s="4"/>
      <c r="EO1015" s="4"/>
      <c r="EP1015" s="4"/>
      <c r="EQ1015" s="4"/>
      <c r="ER1015" s="350"/>
      <c r="ES1015" s="4"/>
      <c r="ET1015" s="4"/>
      <c r="EU1015" s="4"/>
      <c r="EV1015" s="4"/>
      <c r="EW1015" s="350"/>
      <c r="EX1015" s="4"/>
      <c r="EY1015" s="4"/>
      <c r="EZ1015" s="4"/>
      <c r="FA1015" s="4"/>
      <c r="FB1015" s="350"/>
      <c r="FC1015" s="4"/>
      <c r="FD1015" s="4"/>
      <c r="FE1015" s="4"/>
      <c r="FF1015" s="4"/>
      <c r="FG1015" s="350"/>
      <c r="FH1015" s="145"/>
      <c r="FI1015" s="4"/>
      <c r="FJ1015" s="4"/>
      <c r="FK1015" s="45"/>
      <c r="FL1015" s="4"/>
    </row>
    <row r="1016" ht="12.75" hidden="1" customHeight="1" outlineLevel="1">
      <c r="A1016" s="4"/>
      <c r="B1016" s="725" t="s">
        <v>362</v>
      </c>
      <c r="C1016" s="90"/>
      <c r="D1016" s="90"/>
      <c r="E1016" s="90"/>
      <c r="F1016" s="90"/>
      <c r="G1016" s="90"/>
      <c r="H1016" s="726"/>
      <c r="I1016" s="90"/>
      <c r="J1016" s="90"/>
      <c r="K1016" s="90"/>
      <c r="L1016" s="90"/>
      <c r="M1016" s="726"/>
      <c r="N1016" s="90"/>
      <c r="O1016" s="90"/>
      <c r="P1016" s="90"/>
      <c r="Q1016" s="90"/>
      <c r="R1016" s="726"/>
      <c r="S1016" s="90"/>
      <c r="T1016" s="90"/>
      <c r="U1016" s="90"/>
      <c r="V1016" s="90"/>
      <c r="W1016" s="726"/>
      <c r="X1016" s="90"/>
      <c r="Y1016" s="90"/>
      <c r="Z1016" s="90"/>
      <c r="AA1016" s="90"/>
      <c r="AB1016" s="726"/>
      <c r="AC1016" s="90"/>
      <c r="AD1016" s="90"/>
      <c r="AE1016" s="90"/>
      <c r="AF1016" s="90"/>
      <c r="AG1016" s="726"/>
      <c r="AH1016" s="90"/>
      <c r="AI1016" s="90"/>
      <c r="AJ1016" s="90"/>
      <c r="AK1016" s="90"/>
      <c r="AL1016" s="726"/>
      <c r="AM1016" s="90"/>
      <c r="AN1016" s="90"/>
      <c r="AO1016" s="90"/>
      <c r="AP1016" s="90"/>
      <c r="AQ1016" s="726"/>
      <c r="AR1016" s="90"/>
      <c r="AS1016" s="90"/>
      <c r="AT1016" s="90"/>
      <c r="AU1016" s="90"/>
      <c r="AV1016" s="726"/>
      <c r="AW1016" s="90"/>
      <c r="AX1016" s="90"/>
      <c r="AY1016" s="90"/>
      <c r="AZ1016" s="90"/>
      <c r="BA1016" s="726"/>
      <c r="BB1016" s="90"/>
      <c r="BC1016" s="90"/>
      <c r="BD1016" s="90"/>
      <c r="BE1016" s="90"/>
      <c r="BF1016" s="726"/>
      <c r="BG1016" s="90"/>
      <c r="BH1016" s="90"/>
      <c r="BI1016" s="90"/>
      <c r="BJ1016" s="90"/>
      <c r="BK1016" s="726"/>
      <c r="BL1016" s="90"/>
      <c r="BM1016" s="90"/>
      <c r="BN1016" s="90"/>
      <c r="BO1016" s="90"/>
      <c r="BP1016" s="726"/>
      <c r="BQ1016" s="90"/>
      <c r="BR1016" s="90"/>
      <c r="BS1016" s="90"/>
      <c r="BT1016" s="90"/>
      <c r="BU1016" s="726"/>
      <c r="BV1016" s="90"/>
      <c r="BW1016" s="90"/>
      <c r="BX1016" s="90"/>
      <c r="BY1016" s="90"/>
      <c r="BZ1016" s="303"/>
      <c r="CA1016" s="90"/>
      <c r="CB1016" s="90"/>
      <c r="CC1016" s="90"/>
      <c r="CD1016" s="90"/>
      <c r="CE1016" s="303"/>
      <c r="CF1016" s="90"/>
      <c r="CG1016" s="90"/>
      <c r="CH1016" s="90"/>
      <c r="CI1016" s="90"/>
      <c r="CJ1016" s="303"/>
      <c r="CK1016" s="90"/>
      <c r="CL1016" s="90"/>
      <c r="CM1016" s="90"/>
      <c r="CN1016" s="135"/>
      <c r="CO1016" s="303"/>
      <c r="CP1016" s="135"/>
      <c r="CQ1016" s="90"/>
      <c r="CR1016" s="90"/>
      <c r="CS1016" s="90"/>
      <c r="CT1016" s="303"/>
      <c r="CU1016" s="90"/>
      <c r="CV1016" s="90"/>
      <c r="CW1016" s="90"/>
      <c r="CX1016" s="90"/>
      <c r="CY1016" s="303"/>
      <c r="CZ1016" s="90"/>
      <c r="DA1016" s="90"/>
      <c r="DB1016" s="90"/>
      <c r="DC1016" s="90"/>
      <c r="DD1016" s="303"/>
      <c r="DE1016" s="90"/>
      <c r="DF1016" s="90"/>
      <c r="DG1016" s="16"/>
      <c r="DH1016" s="90"/>
      <c r="DI1016" s="303"/>
      <c r="DJ1016" s="135"/>
      <c r="DK1016" s="135"/>
      <c r="DL1016" s="135"/>
      <c r="DM1016" s="90"/>
      <c r="DN1016" s="303"/>
      <c r="DO1016" s="90"/>
      <c r="DP1016" s="90"/>
      <c r="DQ1016" s="90"/>
      <c r="DR1016" s="90"/>
      <c r="DS1016" s="303"/>
      <c r="DT1016" s="90"/>
      <c r="DU1016" s="90"/>
      <c r="DV1016" s="90"/>
      <c r="DW1016" s="90"/>
      <c r="DX1016" s="303"/>
      <c r="DY1016" s="90"/>
      <c r="DZ1016" s="90"/>
      <c r="EA1016" s="90"/>
      <c r="EB1016" s="90"/>
      <c r="EC1016" s="303"/>
      <c r="ED1016" s="90"/>
      <c r="EE1016" s="90"/>
      <c r="EF1016" s="90"/>
      <c r="EG1016" s="90"/>
      <c r="EH1016" s="303"/>
      <c r="EI1016" s="389"/>
      <c r="EJ1016" s="90"/>
      <c r="EK1016" s="90"/>
      <c r="EL1016" s="90"/>
      <c r="EM1016" s="303"/>
      <c r="EN1016" s="90"/>
      <c r="EO1016" s="90"/>
      <c r="EP1016" s="90"/>
      <c r="EQ1016" s="90"/>
      <c r="ER1016" s="303"/>
      <c r="ES1016" s="90"/>
      <c r="ET1016" s="90"/>
      <c r="EU1016" s="90"/>
      <c r="EV1016" s="90"/>
      <c r="EW1016" s="303"/>
      <c r="EX1016" s="90"/>
      <c r="EY1016" s="90"/>
      <c r="EZ1016" s="90"/>
      <c r="FA1016" s="90"/>
      <c r="FB1016" s="303"/>
      <c r="FC1016" s="90"/>
      <c r="FD1016" s="90"/>
      <c r="FE1016" s="90"/>
      <c r="FF1016" s="90"/>
      <c r="FG1016" s="303"/>
      <c r="FH1016" s="727"/>
      <c r="FI1016" s="90"/>
      <c r="FJ1016" s="90"/>
      <c r="FK1016" s="726"/>
      <c r="FL1016" s="90"/>
    </row>
    <row r="1017" ht="12.75" hidden="1" customHeight="1" outlineLevel="1">
      <c r="A1017" s="4"/>
      <c r="B1017" s="4" t="s">
        <v>363</v>
      </c>
      <c r="C1017" s="4"/>
      <c r="D1017" s="17"/>
      <c r="E1017" s="17"/>
      <c r="F1017" s="17"/>
      <c r="G1017" s="17"/>
      <c r="H1017" s="112"/>
      <c r="I1017" s="17"/>
      <c r="J1017" s="17"/>
      <c r="K1017" s="17"/>
      <c r="L1017" s="17"/>
      <c r="M1017" s="112"/>
      <c r="N1017" s="17"/>
      <c r="O1017" s="17"/>
      <c r="P1017" s="17"/>
      <c r="Q1017" s="17"/>
      <c r="R1017" s="112"/>
      <c r="S1017" s="17">
        <f>S1034*Sales</f>
        <v>2983.26</v>
      </c>
      <c r="T1017" s="17">
        <f>T1034*Sales</f>
        <v>3035.7</v>
      </c>
      <c r="U1017" s="17">
        <f>U1034*Sales</f>
        <v>3297.6</v>
      </c>
      <c r="V1017" s="17">
        <f>V1034*Sales</f>
        <v>3449.04</v>
      </c>
      <c r="W1017" s="112">
        <f>W1034*Sales</f>
        <v>12740</v>
      </c>
      <c r="X1017" s="17">
        <f>X1034*Sales</f>
        <v>3117.27</v>
      </c>
      <c r="Y1017" s="17">
        <f>Y1034*Sales</f>
        <v>3569</v>
      </c>
      <c r="Z1017" s="17">
        <f>Z1034*Sales</f>
        <v>3667.02</v>
      </c>
      <c r="AA1017" s="17">
        <f>AA1034*Sales</f>
        <v>3567.82</v>
      </c>
      <c r="AB1017" s="112">
        <f t="shared" ref="AB1017:AB1020" si="5364">SUM(X1017:AA1017)</f>
        <v>13921.11</v>
      </c>
      <c r="AC1017" s="17">
        <f>AC1034*Sales</f>
        <v>2336.95</v>
      </c>
      <c r="AD1017" s="17">
        <f>AD1034*Sales</f>
        <v>2343.58</v>
      </c>
      <c r="AE1017" s="17">
        <f>AE1034*Sales</f>
        <v>2421.65</v>
      </c>
      <c r="AF1017" s="17">
        <f>AF1034*Sales</f>
        <v>2304.39</v>
      </c>
      <c r="AG1017" s="112">
        <f t="shared" ref="AG1017:AG1020" si="5365">SUM(AC1017:AF1017)</f>
        <v>9406.57</v>
      </c>
      <c r="AH1017" s="17">
        <f>AH1034*Sales</f>
        <v>2237.73</v>
      </c>
      <c r="AI1017" s="17">
        <f>AI1034*Sales</f>
        <v>2211.65</v>
      </c>
      <c r="AJ1017" s="17">
        <f>AJ1034*Sales</f>
        <v>2081.28</v>
      </c>
      <c r="AK1017" s="17">
        <f>AK1034*Sales</f>
        <v>2148</v>
      </c>
      <c r="AL1017" s="112">
        <f t="shared" ref="AL1017:AL1020" si="5366">SUM(AH1017:AK1017)</f>
        <v>8678.66</v>
      </c>
      <c r="AM1017" s="17">
        <v>1924.0</v>
      </c>
      <c r="AN1017" s="17">
        <v>1955.0</v>
      </c>
      <c r="AO1017" s="17">
        <v>2168.0</v>
      </c>
      <c r="AP1017" s="17">
        <v>2356.0</v>
      </c>
      <c r="AQ1017" s="112">
        <f t="shared" ref="AQ1017:AQ1020" si="5367">SUM(AM1017:AP1017)</f>
        <v>8403</v>
      </c>
      <c r="AR1017" s="17">
        <v>2163.0</v>
      </c>
      <c r="AS1017" s="17">
        <v>1956.0</v>
      </c>
      <c r="AT1017" s="17">
        <v>1799.0</v>
      </c>
      <c r="AU1017" s="17">
        <v>2047.0</v>
      </c>
      <c r="AV1017" s="112">
        <f t="shared" ref="AV1017:AV1020" si="5368">SUM(AR1017:AU1017)</f>
        <v>7965</v>
      </c>
      <c r="AW1017" s="17">
        <v>1972.0</v>
      </c>
      <c r="AX1017" s="17">
        <v>1863.0</v>
      </c>
      <c r="AY1017" s="17">
        <v>1903.0</v>
      </c>
      <c r="AZ1017" s="17">
        <v>1836.0</v>
      </c>
      <c r="BA1017" s="112">
        <f t="shared" ref="BA1017:BA1020" si="5369">SUM(AW1017:AZ1017)</f>
        <v>7574</v>
      </c>
      <c r="BB1017" s="17">
        <v>1905.0</v>
      </c>
      <c r="BC1017" s="17">
        <v>1713.0</v>
      </c>
      <c r="BD1017" s="17">
        <v>1891.0</v>
      </c>
      <c r="BE1017" s="17">
        <f t="shared" ref="BE1017:BE1020" si="5370">BF1017-SUM(BB1017:BD1017)</f>
        <v>2003</v>
      </c>
      <c r="BF1017" s="112">
        <v>7512.0</v>
      </c>
      <c r="BG1017" s="17">
        <v>1727.0</v>
      </c>
      <c r="BH1017" s="17">
        <v>1823.0</v>
      </c>
      <c r="BI1017" s="17">
        <v>2067.0</v>
      </c>
      <c r="BJ1017" s="17">
        <f t="shared" ref="BJ1017:BJ1020" si="5371">BK1017-SUM(BG1017:BI1017)</f>
        <v>2098</v>
      </c>
      <c r="BK1017" s="112">
        <v>7715.0</v>
      </c>
      <c r="BL1017" s="17">
        <v>2016.0</v>
      </c>
      <c r="BM1017" s="17">
        <v>1985.0</v>
      </c>
      <c r="BN1017" s="17">
        <v>1887.0</v>
      </c>
      <c r="BO1017" s="17">
        <v>1555.0</v>
      </c>
      <c r="BP1017" s="112">
        <f t="shared" ref="BP1017:BP1020" si="5372">SUM(BL1017:BO1017)</f>
        <v>7443</v>
      </c>
      <c r="BQ1017" s="17">
        <v>1510.0</v>
      </c>
      <c r="BR1017" s="17">
        <v>1698.0</v>
      </c>
      <c r="BS1017" s="17">
        <v>1822.0</v>
      </c>
      <c r="BT1017" s="17">
        <f t="shared" ref="BT1017:BT1020" si="5373">BU1017-SUM(BQ1017:BS1017)</f>
        <v>2088</v>
      </c>
      <c r="BU1017" s="112">
        <f>5280+1838</f>
        <v>7118</v>
      </c>
      <c r="BV1017" s="17">
        <v>1906.0</v>
      </c>
      <c r="BW1017" s="17">
        <v>2173.0</v>
      </c>
      <c r="BX1017" s="17">
        <v>2240.0</v>
      </c>
      <c r="BY1017" s="17">
        <f t="shared" ref="BY1017:BY1020" si="5374">BZ1017-SUM(BV1017:BX1017)</f>
        <v>2296</v>
      </c>
      <c r="BZ1017" s="80">
        <f>6549+2066</f>
        <v>8615</v>
      </c>
      <c r="CA1017" s="17">
        <v>2715.0</v>
      </c>
      <c r="CB1017" s="17">
        <v>2909.0</v>
      </c>
      <c r="CC1017" s="17">
        <v>3017.0</v>
      </c>
      <c r="CD1017" s="17">
        <f t="shared" ref="CD1017:CD1020" si="5375">CE1017-SUM(CA1017:CC1017)</f>
        <v>2657</v>
      </c>
      <c r="CE1017" s="80">
        <f>8411+2887</f>
        <v>11298</v>
      </c>
      <c r="CF1017" s="17">
        <v>2553.0</v>
      </c>
      <c r="CG1017" s="17">
        <v>2883.0</v>
      </c>
      <c r="CH1017" s="17">
        <v>2852.0</v>
      </c>
      <c r="CI1017" s="17"/>
      <c r="CJ1017" s="80"/>
      <c r="CK1017" s="17"/>
      <c r="CL1017" s="17"/>
      <c r="CM1017" s="17"/>
      <c r="CN1017" s="19"/>
      <c r="CO1017" s="80"/>
      <c r="CP1017" s="19"/>
      <c r="CQ1017" s="17"/>
      <c r="CR1017" s="17"/>
      <c r="CS1017" s="17"/>
      <c r="CT1017" s="80"/>
      <c r="CU1017" s="17"/>
      <c r="CV1017" s="17"/>
      <c r="CW1017" s="17"/>
      <c r="CX1017" s="17"/>
      <c r="CY1017" s="80"/>
      <c r="CZ1017" s="17"/>
      <c r="DA1017" s="17"/>
      <c r="DB1017" s="17"/>
      <c r="DC1017" s="17"/>
      <c r="DD1017" s="80"/>
      <c r="DE1017" s="17"/>
      <c r="DF1017" s="17"/>
      <c r="DG1017" s="19"/>
      <c r="DH1017" s="17"/>
      <c r="DI1017" s="80"/>
      <c r="DJ1017" s="19"/>
      <c r="DK1017" s="19"/>
      <c r="DL1017" s="19"/>
      <c r="DM1017" s="17"/>
      <c r="DN1017" s="80"/>
      <c r="DO1017" s="17"/>
      <c r="DP1017" s="17"/>
      <c r="DQ1017" s="17"/>
      <c r="DR1017" s="17"/>
      <c r="DS1017" s="80"/>
      <c r="DT1017" s="17"/>
      <c r="DU1017" s="17"/>
      <c r="DV1017" s="17"/>
      <c r="DW1017" s="17"/>
      <c r="DX1017" s="80"/>
      <c r="DY1017" s="17"/>
      <c r="DZ1017" s="17"/>
      <c r="EA1017" s="17"/>
      <c r="EB1017" s="17"/>
      <c r="EC1017" s="80"/>
      <c r="ED1017" s="17"/>
      <c r="EE1017" s="17"/>
      <c r="EF1017" s="17"/>
      <c r="EG1017" s="17"/>
      <c r="EH1017" s="80"/>
      <c r="EI1017" s="25"/>
      <c r="EJ1017" s="17"/>
      <c r="EK1017" s="17"/>
      <c r="EL1017" s="17"/>
      <c r="EM1017" s="80"/>
      <c r="EN1017" s="17"/>
      <c r="EO1017" s="17"/>
      <c r="EP1017" s="17"/>
      <c r="EQ1017" s="17"/>
      <c r="ER1017" s="80"/>
      <c r="ES1017" s="17"/>
      <c r="ET1017" s="17"/>
      <c r="EU1017" s="17"/>
      <c r="EV1017" s="17"/>
      <c r="EW1017" s="80"/>
      <c r="EX1017" s="17"/>
      <c r="EY1017" s="17"/>
      <c r="EZ1017" s="17"/>
      <c r="FA1017" s="17"/>
      <c r="FB1017" s="80"/>
      <c r="FC1017" s="17"/>
      <c r="FD1017" s="17"/>
      <c r="FE1017" s="17"/>
      <c r="FF1017" s="17"/>
      <c r="FG1017" s="80"/>
      <c r="FH1017" s="146"/>
      <c r="FI1017" s="17"/>
      <c r="FJ1017" s="17"/>
      <c r="FK1017" s="112"/>
      <c r="FL1017" s="17"/>
    </row>
    <row r="1018" ht="12.75" hidden="1" customHeight="1" outlineLevel="1">
      <c r="A1018" s="4"/>
      <c r="B1018" s="4" t="s">
        <v>364</v>
      </c>
      <c r="C1018" s="4"/>
      <c r="D1018" s="17"/>
      <c r="E1018" s="17"/>
      <c r="F1018" s="17"/>
      <c r="G1018" s="17"/>
      <c r="H1018" s="112"/>
      <c r="I1018" s="17"/>
      <c r="J1018" s="17"/>
      <c r="K1018" s="17"/>
      <c r="L1018" s="17"/>
      <c r="M1018" s="112"/>
      <c r="N1018" s="17"/>
      <c r="O1018" s="17"/>
      <c r="P1018" s="17"/>
      <c r="Q1018" s="17"/>
      <c r="R1018" s="112"/>
      <c r="S1018" s="17">
        <f>S1035*Sales</f>
        <v>1988.84</v>
      </c>
      <c r="T1018" s="17">
        <f>T1035*Sales</f>
        <v>1686.5</v>
      </c>
      <c r="U1018" s="17">
        <f>U1035*Sales</f>
        <v>1905.28</v>
      </c>
      <c r="V1018" s="17">
        <f>V1035*Sales</f>
        <v>2217.24</v>
      </c>
      <c r="W1018" s="112">
        <f>W1035*Sales</f>
        <v>7798</v>
      </c>
      <c r="X1018" s="17">
        <f>X1035*Sales</f>
        <v>2158.11</v>
      </c>
      <c r="Y1018" s="17">
        <f>Y1035*Sales</f>
        <v>1826</v>
      </c>
      <c r="Z1018" s="17">
        <f>Z1035*Sales</f>
        <v>1920.82</v>
      </c>
      <c r="AA1018" s="17">
        <f>AA1035*Sales</f>
        <v>2175.5</v>
      </c>
      <c r="AB1018" s="112">
        <f t="shared" si="5364"/>
        <v>8080.43</v>
      </c>
      <c r="AC1018" s="17">
        <f>AC1035*Sales</f>
        <v>1669.25</v>
      </c>
      <c r="AD1018" s="17">
        <f>AD1035*Sales</f>
        <v>1393.48</v>
      </c>
      <c r="AE1018" s="17">
        <f>AE1035*Sales</f>
        <v>1439.9</v>
      </c>
      <c r="AF1018" s="17">
        <f>AF1035*Sales</f>
        <v>1745.75</v>
      </c>
      <c r="AG1018" s="112">
        <f t="shared" si="5365"/>
        <v>6248.38</v>
      </c>
      <c r="AH1018" s="17">
        <f>AH1035*Sales</f>
        <v>1559.63</v>
      </c>
      <c r="AI1018" s="17">
        <f>AI1035*Sales</f>
        <v>1263.8</v>
      </c>
      <c r="AJ1018" s="17">
        <f>AJ1035*Sales</f>
        <v>1495.92</v>
      </c>
      <c r="AK1018" s="17">
        <f>AK1035*Sales</f>
        <v>1790</v>
      </c>
      <c r="AL1018" s="112">
        <f t="shared" si="5366"/>
        <v>6109.35</v>
      </c>
      <c r="AM1018" s="17">
        <v>1641.0</v>
      </c>
      <c r="AN1018" s="17">
        <v>1418.0</v>
      </c>
      <c r="AO1018" s="17">
        <v>1683.0</v>
      </c>
      <c r="AP1018" s="17">
        <v>2126.0</v>
      </c>
      <c r="AQ1018" s="112">
        <f t="shared" si="5367"/>
        <v>6868</v>
      </c>
      <c r="AR1018" s="17">
        <v>1927.0</v>
      </c>
      <c r="AS1018" s="17">
        <v>1665.0</v>
      </c>
      <c r="AT1018" s="17">
        <v>1886.0</v>
      </c>
      <c r="AU1018" s="17">
        <v>2277.0</v>
      </c>
      <c r="AV1018" s="112">
        <f t="shared" si="5368"/>
        <v>7755</v>
      </c>
      <c r="AW1018" s="17">
        <v>2106.0</v>
      </c>
      <c r="AX1018" s="17">
        <v>1809.0</v>
      </c>
      <c r="AY1018" s="17">
        <v>2007.0</v>
      </c>
      <c r="AZ1018" s="17">
        <v>2288.0</v>
      </c>
      <c r="BA1018" s="112">
        <f t="shared" si="5369"/>
        <v>8210</v>
      </c>
      <c r="BB1018" s="17">
        <v>1701.0</v>
      </c>
      <c r="BC1018" s="17">
        <v>1375.0</v>
      </c>
      <c r="BD1018" s="17">
        <v>1611.0</v>
      </c>
      <c r="BE1018" s="17">
        <f t="shared" si="5370"/>
        <v>1900</v>
      </c>
      <c r="BF1018" s="112">
        <v>6587.0</v>
      </c>
      <c r="BG1018" s="17">
        <v>1722.0</v>
      </c>
      <c r="BH1018" s="17">
        <v>1485.0</v>
      </c>
      <c r="BI1018" s="17">
        <v>1824.0</v>
      </c>
      <c r="BJ1018" s="17">
        <f t="shared" si="5371"/>
        <v>2231</v>
      </c>
      <c r="BK1018" s="112">
        <v>7262.0</v>
      </c>
      <c r="BL1018" s="17">
        <v>1863.0</v>
      </c>
      <c r="BM1018" s="17">
        <v>1741.0</v>
      </c>
      <c r="BN1018" s="17">
        <v>1883.0</v>
      </c>
      <c r="BO1018" s="17">
        <v>1629.0</v>
      </c>
      <c r="BP1018" s="112">
        <f t="shared" si="5372"/>
        <v>7116</v>
      </c>
      <c r="BQ1018" s="17">
        <v>1273.0</v>
      </c>
      <c r="BR1018" s="17">
        <v>1153.0</v>
      </c>
      <c r="BS1018" s="17">
        <v>1328.0</v>
      </c>
      <c r="BT1018" s="17">
        <f t="shared" si="5373"/>
        <v>1524</v>
      </c>
      <c r="BU1018" s="112">
        <v>5278.0</v>
      </c>
      <c r="BV1018" s="17">
        <v>1404.0</v>
      </c>
      <c r="BW1018" s="17">
        <v>1294.0</v>
      </c>
      <c r="BX1018" s="17">
        <v>1326.0</v>
      </c>
      <c r="BY1018" s="17">
        <f t="shared" si="5374"/>
        <v>1582</v>
      </c>
      <c r="BZ1018" s="80">
        <v>5606.0</v>
      </c>
      <c r="CA1018" s="17">
        <v>1645.0</v>
      </c>
      <c r="CB1018" s="17">
        <v>1564.0</v>
      </c>
      <c r="CC1018" s="17">
        <v>1814.0</v>
      </c>
      <c r="CD1018" s="17">
        <f t="shared" si="5375"/>
        <v>1932</v>
      </c>
      <c r="CE1018" s="80">
        <v>6955.0</v>
      </c>
      <c r="CF1018" s="17">
        <v>1778.0</v>
      </c>
      <c r="CG1018" s="17">
        <v>1652.0</v>
      </c>
      <c r="CH1018" s="17">
        <v>1775.0</v>
      </c>
      <c r="CI1018" s="17"/>
      <c r="CJ1018" s="80"/>
      <c r="CK1018" s="17"/>
      <c r="CL1018" s="17"/>
      <c r="CM1018" s="17"/>
      <c r="CN1018" s="19"/>
      <c r="CO1018" s="80"/>
      <c r="CP1018" s="19"/>
      <c r="CQ1018" s="17"/>
      <c r="CR1018" s="17"/>
      <c r="CS1018" s="17"/>
      <c r="CT1018" s="80"/>
      <c r="CU1018" s="17"/>
      <c r="CV1018" s="17"/>
      <c r="CW1018" s="17"/>
      <c r="CX1018" s="17"/>
      <c r="CY1018" s="80"/>
      <c r="CZ1018" s="17"/>
      <c r="DA1018" s="17"/>
      <c r="DB1018" s="17"/>
      <c r="DC1018" s="17"/>
      <c r="DD1018" s="80"/>
      <c r="DE1018" s="17"/>
      <c r="DF1018" s="17"/>
      <c r="DG1018" s="19"/>
      <c r="DH1018" s="17"/>
      <c r="DI1018" s="80"/>
      <c r="DJ1018" s="19"/>
      <c r="DK1018" s="19"/>
      <c r="DL1018" s="19"/>
      <c r="DM1018" s="17"/>
      <c r="DN1018" s="80"/>
      <c r="DO1018" s="17"/>
      <c r="DP1018" s="17"/>
      <c r="DQ1018" s="17"/>
      <c r="DR1018" s="17"/>
      <c r="DS1018" s="80"/>
      <c r="DT1018" s="17"/>
      <c r="DU1018" s="17"/>
      <c r="DV1018" s="17"/>
      <c r="DW1018" s="17"/>
      <c r="DX1018" s="80"/>
      <c r="DY1018" s="17"/>
      <c r="DZ1018" s="17"/>
      <c r="EA1018" s="17"/>
      <c r="EB1018" s="17"/>
      <c r="EC1018" s="80"/>
      <c r="ED1018" s="17"/>
      <c r="EE1018" s="17"/>
      <c r="EF1018" s="17"/>
      <c r="EG1018" s="17"/>
      <c r="EH1018" s="80"/>
      <c r="EI1018" s="25"/>
      <c r="EJ1018" s="17"/>
      <c r="EK1018" s="17"/>
      <c r="EL1018" s="17"/>
      <c r="EM1018" s="80"/>
      <c r="EN1018" s="17"/>
      <c r="EO1018" s="17"/>
      <c r="EP1018" s="17"/>
      <c r="EQ1018" s="17"/>
      <c r="ER1018" s="80"/>
      <c r="ES1018" s="17"/>
      <c r="ET1018" s="17"/>
      <c r="EU1018" s="17"/>
      <c r="EV1018" s="17"/>
      <c r="EW1018" s="80"/>
      <c r="EX1018" s="17"/>
      <c r="EY1018" s="17"/>
      <c r="EZ1018" s="17"/>
      <c r="FA1018" s="17"/>
      <c r="FB1018" s="80"/>
      <c r="FC1018" s="17"/>
      <c r="FD1018" s="17"/>
      <c r="FE1018" s="17"/>
      <c r="FF1018" s="17"/>
      <c r="FG1018" s="80"/>
      <c r="FH1018" s="146"/>
      <c r="FI1018" s="17"/>
      <c r="FJ1018" s="17"/>
      <c r="FK1018" s="112"/>
      <c r="FL1018" s="17"/>
    </row>
    <row r="1019" ht="12.75" hidden="1" customHeight="1" outlineLevel="1">
      <c r="A1019" s="4"/>
      <c r="B1019" s="4" t="s">
        <v>365</v>
      </c>
      <c r="C1019" s="4"/>
      <c r="D1019" s="17"/>
      <c r="E1019" s="17"/>
      <c r="F1019" s="17"/>
      <c r="G1019" s="17"/>
      <c r="H1019" s="112"/>
      <c r="I1019" s="17"/>
      <c r="J1019" s="17"/>
      <c r="K1019" s="17"/>
      <c r="L1019" s="17"/>
      <c r="M1019" s="112"/>
      <c r="N1019" s="17"/>
      <c r="O1019" s="17"/>
      <c r="P1019" s="17"/>
      <c r="Q1019" s="17"/>
      <c r="R1019" s="112"/>
      <c r="S1019" s="17">
        <f>S1036*Sales</f>
        <v>1562.66</v>
      </c>
      <c r="T1019" s="17">
        <f>T1036*Sales</f>
        <v>1484.12</v>
      </c>
      <c r="U1019" s="17">
        <f>U1036*Sales</f>
        <v>1685.44</v>
      </c>
      <c r="V1019" s="17">
        <f>V1036*Sales</f>
        <v>1970.88</v>
      </c>
      <c r="W1019" s="112">
        <f>W1036*Sales</f>
        <v>6704</v>
      </c>
      <c r="X1019" s="17">
        <f>X1036*Sales</f>
        <v>1998.25</v>
      </c>
      <c r="Y1019" s="17">
        <f>Y1036*Sales</f>
        <v>2158</v>
      </c>
      <c r="Z1019" s="17">
        <f>Z1036*Sales</f>
        <v>2357.37</v>
      </c>
      <c r="AA1019" s="17">
        <f>AA1036*Sales</f>
        <v>2175.5</v>
      </c>
      <c r="AB1019" s="112">
        <f t="shared" si="5364"/>
        <v>8689.12</v>
      </c>
      <c r="AC1019" s="17">
        <f>AC1036*Sales</f>
        <v>1869.56</v>
      </c>
      <c r="AD1019" s="17">
        <f>AD1036*Sales</f>
        <v>1963.54</v>
      </c>
      <c r="AE1019" s="17">
        <f>AE1036*Sales</f>
        <v>2028.95</v>
      </c>
      <c r="AF1019" s="17">
        <f>AF1036*Sales</f>
        <v>2444.05</v>
      </c>
      <c r="AG1019" s="112">
        <f t="shared" si="5365"/>
        <v>8306.1</v>
      </c>
      <c r="AH1019" s="17">
        <f>AH1036*Sales</f>
        <v>2441.16</v>
      </c>
      <c r="AI1019" s="17">
        <f>AI1036*Sales</f>
        <v>2401.22</v>
      </c>
      <c r="AJ1019" s="17">
        <f>AJ1036*Sales</f>
        <v>2471.52</v>
      </c>
      <c r="AK1019" s="17">
        <f>AK1036*Sales</f>
        <v>2720.8</v>
      </c>
      <c r="AL1019" s="112">
        <f t="shared" si="5366"/>
        <v>10034.7</v>
      </c>
      <c r="AM1019" s="17">
        <v>2642.0</v>
      </c>
      <c r="AN1019" s="17">
        <v>2778.0</v>
      </c>
      <c r="AO1019" s="17">
        <v>3266.0</v>
      </c>
      <c r="AP1019" s="17">
        <v>3475.0</v>
      </c>
      <c r="AQ1019" s="112">
        <f t="shared" si="5367"/>
        <v>12161</v>
      </c>
      <c r="AR1019" s="17">
        <v>3284.0</v>
      </c>
      <c r="AS1019" s="17">
        <v>3661.0</v>
      </c>
      <c r="AT1019" s="17">
        <v>4014.0</v>
      </c>
      <c r="AU1019" s="17">
        <v>4421.0</v>
      </c>
      <c r="AV1019" s="112">
        <f t="shared" si="5368"/>
        <v>15380</v>
      </c>
      <c r="AW1019" s="17">
        <v>4395.0</v>
      </c>
      <c r="AX1019" s="17">
        <v>4679.0</v>
      </c>
      <c r="AY1019" s="17">
        <v>5124.0</v>
      </c>
      <c r="AZ1019" s="17">
        <v>5132.0</v>
      </c>
      <c r="BA1019" s="112">
        <f t="shared" si="5369"/>
        <v>19330</v>
      </c>
      <c r="BB1019" s="17">
        <v>4293.0</v>
      </c>
      <c r="BC1019" s="17">
        <v>4015.0</v>
      </c>
      <c r="BD1019" s="17">
        <v>4314.0</v>
      </c>
      <c r="BE1019" s="17">
        <f t="shared" si="5370"/>
        <v>4855</v>
      </c>
      <c r="BF1019" s="112">
        <v>17477.0</v>
      </c>
      <c r="BG1019" s="17">
        <v>4432.0</v>
      </c>
      <c r="BH1019" s="17">
        <v>4457.0</v>
      </c>
      <c r="BI1019" s="17">
        <v>5205.0</v>
      </c>
      <c r="BJ1019" s="17">
        <f t="shared" si="5371"/>
        <v>5338</v>
      </c>
      <c r="BK1019" s="112">
        <v>19432.0</v>
      </c>
      <c r="BL1019" s="17">
        <v>4788.0</v>
      </c>
      <c r="BM1019" s="17">
        <v>4805.0</v>
      </c>
      <c r="BN1019" s="17">
        <v>5389.0</v>
      </c>
      <c r="BO1019" s="17">
        <v>4062.0</v>
      </c>
      <c r="BP1019" s="112">
        <f t="shared" si="5372"/>
        <v>19044</v>
      </c>
      <c r="BQ1019" s="17">
        <v>3647.0</v>
      </c>
      <c r="BR1019" s="17">
        <v>4409.0</v>
      </c>
      <c r="BS1019" s="17">
        <v>5322.0</v>
      </c>
      <c r="BT1019" s="17">
        <f t="shared" si="5373"/>
        <v>5964</v>
      </c>
      <c r="BU1019" s="112">
        <f>10574+5835+2933</f>
        <v>19342</v>
      </c>
      <c r="BV1019" s="17">
        <v>5888.0</v>
      </c>
      <c r="BW1019" s="17">
        <v>6166.0</v>
      </c>
      <c r="BX1019" s="17">
        <v>6404.0</v>
      </c>
      <c r="BY1019" s="17">
        <f t="shared" si="5374"/>
        <v>6514</v>
      </c>
      <c r="BZ1019" s="80">
        <f>14498+7195+3279</f>
        <v>24972</v>
      </c>
      <c r="CA1019" s="17">
        <v>7262.0</v>
      </c>
      <c r="CB1019" s="17">
        <v>7391.0</v>
      </c>
      <c r="CC1019" s="17">
        <v>8050.0</v>
      </c>
      <c r="CD1019" s="17">
        <f t="shared" si="5375"/>
        <v>8019</v>
      </c>
      <c r="CE1019" s="80">
        <f>17076+8114+5532</f>
        <v>30722</v>
      </c>
      <c r="CF1019" s="17">
        <v>7368.0</v>
      </c>
      <c r="CG1019" s="17">
        <v>7773.0</v>
      </c>
      <c r="CH1019" s="17">
        <v>7695.0</v>
      </c>
      <c r="CI1019" s="17"/>
      <c r="CJ1019" s="80"/>
      <c r="CK1019" s="17"/>
      <c r="CL1019" s="17"/>
      <c r="CM1019" s="17"/>
      <c r="CN1019" s="19"/>
      <c r="CO1019" s="80"/>
      <c r="CP1019" s="19"/>
      <c r="CQ1019" s="17"/>
      <c r="CR1019" s="17"/>
      <c r="CS1019" s="17"/>
      <c r="CT1019" s="80"/>
      <c r="CU1019" s="17"/>
      <c r="CV1019" s="17"/>
      <c r="CW1019" s="17"/>
      <c r="CX1019" s="17"/>
      <c r="CY1019" s="80"/>
      <c r="CZ1019" s="17"/>
      <c r="DA1019" s="17"/>
      <c r="DB1019" s="17"/>
      <c r="DC1019" s="17"/>
      <c r="DD1019" s="80"/>
      <c r="DE1019" s="17"/>
      <c r="DF1019" s="17"/>
      <c r="DG1019" s="19"/>
      <c r="DH1019" s="17"/>
      <c r="DI1019" s="80"/>
      <c r="DJ1019" s="19"/>
      <c r="DK1019" s="19"/>
      <c r="DL1019" s="19"/>
      <c r="DM1019" s="17"/>
      <c r="DN1019" s="80"/>
      <c r="DO1019" s="17"/>
      <c r="DP1019" s="17"/>
      <c r="DQ1019" s="17"/>
      <c r="DR1019" s="17"/>
      <c r="DS1019" s="80"/>
      <c r="DT1019" s="17"/>
      <c r="DU1019" s="17"/>
      <c r="DV1019" s="17"/>
      <c r="DW1019" s="17"/>
      <c r="DX1019" s="80"/>
      <c r="DY1019" s="17"/>
      <c r="DZ1019" s="17"/>
      <c r="EA1019" s="17"/>
      <c r="EB1019" s="17"/>
      <c r="EC1019" s="80"/>
      <c r="ED1019" s="17"/>
      <c r="EE1019" s="17"/>
      <c r="EF1019" s="17"/>
      <c r="EG1019" s="17"/>
      <c r="EH1019" s="80"/>
      <c r="EI1019" s="25"/>
      <c r="EJ1019" s="17"/>
      <c r="EK1019" s="17"/>
      <c r="EL1019" s="17"/>
      <c r="EM1019" s="80"/>
      <c r="EN1019" s="17"/>
      <c r="EO1019" s="17"/>
      <c r="EP1019" s="17"/>
      <c r="EQ1019" s="17"/>
      <c r="ER1019" s="80"/>
      <c r="ES1019" s="17"/>
      <c r="ET1019" s="17"/>
      <c r="EU1019" s="17"/>
      <c r="EV1019" s="17"/>
      <c r="EW1019" s="80"/>
      <c r="EX1019" s="17"/>
      <c r="EY1019" s="17"/>
      <c r="EZ1019" s="17"/>
      <c r="FA1019" s="17"/>
      <c r="FB1019" s="80"/>
      <c r="FC1019" s="17"/>
      <c r="FD1019" s="17"/>
      <c r="FE1019" s="17"/>
      <c r="FF1019" s="17"/>
      <c r="FG1019" s="80"/>
      <c r="FH1019" s="146"/>
      <c r="FI1019" s="17"/>
      <c r="FJ1019" s="17"/>
      <c r="FK1019" s="112"/>
      <c r="FL1019" s="17"/>
    </row>
    <row r="1020" ht="12.75" hidden="1" customHeight="1" outlineLevel="1">
      <c r="A1020" s="4"/>
      <c r="B1020" s="4" t="s">
        <v>366</v>
      </c>
      <c r="C1020" s="4"/>
      <c r="D1020" s="17"/>
      <c r="E1020" s="17"/>
      <c r="F1020" s="17"/>
      <c r="G1020" s="17"/>
      <c r="H1020" s="112"/>
      <c r="I1020" s="17"/>
      <c r="J1020" s="17"/>
      <c r="K1020" s="17"/>
      <c r="L1020" s="17"/>
      <c r="M1020" s="112"/>
      <c r="N1020" s="17"/>
      <c r="O1020" s="17"/>
      <c r="P1020" s="17"/>
      <c r="Q1020" s="17"/>
      <c r="R1020" s="112"/>
      <c r="S1020" s="17">
        <f>S1037*Sales</f>
        <v>568.24</v>
      </c>
      <c r="T1020" s="17">
        <f>T1037*Sales</f>
        <v>539.68</v>
      </c>
      <c r="U1020" s="17">
        <f>U1037*Sales</f>
        <v>439.68</v>
      </c>
      <c r="V1020" s="17">
        <f>V1037*Sales</f>
        <v>574.84</v>
      </c>
      <c r="W1020" s="112">
        <f>W1037*Sales</f>
        <v>2147</v>
      </c>
      <c r="X1020" s="17">
        <f>X1037*Sales</f>
        <v>719.37</v>
      </c>
      <c r="Y1020" s="17">
        <f>Y1037*Sales</f>
        <v>747</v>
      </c>
      <c r="Z1020" s="17">
        <f>Z1037*Sales</f>
        <v>785.79</v>
      </c>
      <c r="AA1020" s="17">
        <f>AA1037*Sales</f>
        <v>783.18</v>
      </c>
      <c r="AB1020" s="112">
        <f t="shared" si="5364"/>
        <v>3035.34</v>
      </c>
      <c r="AC1020" s="17">
        <f>AC1037*Sales</f>
        <v>801.24</v>
      </c>
      <c r="AD1020" s="17">
        <f>AD1037*Sales</f>
        <v>633.4</v>
      </c>
      <c r="AE1020" s="17">
        <f>AE1037*Sales</f>
        <v>654.5</v>
      </c>
      <c r="AF1020" s="17">
        <f>AF1037*Sales</f>
        <v>488.81</v>
      </c>
      <c r="AG1020" s="112">
        <f t="shared" si="5365"/>
        <v>2577.95</v>
      </c>
      <c r="AH1020" s="17">
        <f>AH1037*Sales</f>
        <v>542.48</v>
      </c>
      <c r="AI1020" s="17">
        <f>AI1037*Sales</f>
        <v>442.33</v>
      </c>
      <c r="AJ1020" s="17">
        <f>AJ1037*Sales</f>
        <v>455.28</v>
      </c>
      <c r="AK1020" s="17">
        <f>AK1037*Sales</f>
        <v>501.2</v>
      </c>
      <c r="AL1020" s="112">
        <f t="shared" si="5366"/>
        <v>1941.29</v>
      </c>
      <c r="AM1020" s="17">
        <v>544.0</v>
      </c>
      <c r="AN1020" s="17">
        <v>665.0</v>
      </c>
      <c r="AO1020" s="17">
        <v>716.0</v>
      </c>
      <c r="AP1020" s="17">
        <v>784.0</v>
      </c>
      <c r="AQ1020" s="112">
        <f t="shared" si="5367"/>
        <v>2709</v>
      </c>
      <c r="AR1020" s="17">
        <v>717.0</v>
      </c>
      <c r="AS1020" s="17">
        <v>767.0</v>
      </c>
      <c r="AT1020" s="17">
        <v>772.0</v>
      </c>
      <c r="AU1020" s="17">
        <v>853.0</v>
      </c>
      <c r="AV1020" s="112">
        <f t="shared" si="5368"/>
        <v>3109</v>
      </c>
      <c r="AW1020" s="17">
        <v>961.0</v>
      </c>
      <c r="AX1020" s="17">
        <v>880.0</v>
      </c>
      <c r="AY1020" s="17">
        <v>926.0</v>
      </c>
      <c r="AZ1020" s="17">
        <v>945.0</v>
      </c>
      <c r="BA1020" s="112">
        <f t="shared" si="5369"/>
        <v>3712</v>
      </c>
      <c r="BB1020" s="17">
        <v>1041.0</v>
      </c>
      <c r="BC1020" s="17">
        <v>906.0</v>
      </c>
      <c r="BD1020" s="17">
        <f>BD1021-SUM(BD1017:BD1019)</f>
        <v>923</v>
      </c>
      <c r="BE1020" s="17">
        <f t="shared" si="5370"/>
        <v>936</v>
      </c>
      <c r="BF1020" s="112">
        <v>3806.0</v>
      </c>
      <c r="BG1020" s="17">
        <v>971.0</v>
      </c>
      <c r="BH1020" s="17">
        <v>915.0</v>
      </c>
      <c r="BI1020" s="17">
        <v>994.0</v>
      </c>
      <c r="BJ1020" s="17">
        <f t="shared" si="5371"/>
        <v>1045</v>
      </c>
      <c r="BK1020" s="112">
        <v>3925.0</v>
      </c>
      <c r="BL1020" s="17">
        <v>1006.0</v>
      </c>
      <c r="BM1020" s="17">
        <v>939.0</v>
      </c>
      <c r="BN1020" s="17">
        <v>1058.0</v>
      </c>
      <c r="BO1020" s="17">
        <v>980.0</v>
      </c>
      <c r="BP1020" s="112">
        <f t="shared" si="5372"/>
        <v>3983</v>
      </c>
      <c r="BQ1020" s="17">
        <f>Sales-SUM(BQ1017:BQ1019)</f>
        <v>715</v>
      </c>
      <c r="BR1020" s="17">
        <f>Sales-SUM(BR1017:BR1019)</f>
        <v>764</v>
      </c>
      <c r="BS1020" s="17">
        <f>Sales-SUM(BS1017:BS1019)</f>
        <v>917</v>
      </c>
      <c r="BT1020" s="17">
        <f t="shared" si="5373"/>
        <v>993</v>
      </c>
      <c r="BU1020" s="112">
        <f>Sales-SUM(BU1017:BU1019)</f>
        <v>3389</v>
      </c>
      <c r="BV1020" s="17">
        <f>Sales-SUM(BV1017:BV1019)</f>
        <v>1101</v>
      </c>
      <c r="BW1020" s="17">
        <f>Sales-SUM(BW1017:BW1019)</f>
        <v>1132</v>
      </c>
      <c r="BX1020" s="17">
        <f>Sales-SUM(BX1017:BX1019)</f>
        <v>1132</v>
      </c>
      <c r="BY1020" s="17">
        <f t="shared" si="5374"/>
        <v>1065</v>
      </c>
      <c r="BZ1020" s="80">
        <f>Sales-SUM(BZ1017:BZ1019)</f>
        <v>4430</v>
      </c>
      <c r="CA1020" s="17">
        <f>Sales-SUM(CA1017:CA1019)</f>
        <v>1225</v>
      </c>
      <c r="CB1020" s="17">
        <f>Sales-SUM(CB1017:CB1019)</f>
        <v>1168</v>
      </c>
      <c r="CC1020" s="17">
        <f>Sales-SUM(CC1017:CC1019)</f>
        <v>1352</v>
      </c>
      <c r="CD1020" s="17">
        <f t="shared" si="5375"/>
        <v>1279</v>
      </c>
      <c r="CE1020" s="80">
        <f>Sales-SUM(CE1017:CE1019)</f>
        <v>5024</v>
      </c>
      <c r="CF1020" s="17">
        <f>Sales-SUM(CF1017:CF1019)</f>
        <v>1207</v>
      </c>
      <c r="CG1020" s="17">
        <f>Sales-SUM(CG1017:CG1019)</f>
        <v>1193</v>
      </c>
      <c r="CH1020" s="17">
        <f>Sales-SUM(CH1017:CH1019)</f>
        <v>1135</v>
      </c>
      <c r="CI1020" s="17">
        <f>Sales-SUM(CI1017:CI1019)</f>
        <v>13477</v>
      </c>
      <c r="CJ1020" s="80"/>
      <c r="CK1020" s="17">
        <f>Sales-SUM(CK1017:CK1019)</f>
        <v>12580</v>
      </c>
      <c r="CL1020" s="17"/>
      <c r="CM1020" s="17"/>
      <c r="CN1020" s="19"/>
      <c r="CO1020" s="80"/>
      <c r="CP1020" s="19"/>
      <c r="CQ1020" s="17"/>
      <c r="CR1020" s="17"/>
      <c r="CS1020" s="17"/>
      <c r="CT1020" s="80"/>
      <c r="CU1020" s="17"/>
      <c r="CV1020" s="17"/>
      <c r="CW1020" s="17"/>
      <c r="CX1020" s="17"/>
      <c r="CY1020" s="80"/>
      <c r="CZ1020" s="17"/>
      <c r="DA1020" s="17"/>
      <c r="DB1020" s="17"/>
      <c r="DC1020" s="17"/>
      <c r="DD1020" s="80"/>
      <c r="DE1020" s="17"/>
      <c r="DF1020" s="17"/>
      <c r="DG1020" s="19"/>
      <c r="DH1020" s="17"/>
      <c r="DI1020" s="80"/>
      <c r="DJ1020" s="19"/>
      <c r="DK1020" s="19"/>
      <c r="DL1020" s="19"/>
      <c r="DM1020" s="17"/>
      <c r="DN1020" s="80"/>
      <c r="DO1020" s="17"/>
      <c r="DP1020" s="17"/>
      <c r="DQ1020" s="17"/>
      <c r="DR1020" s="17"/>
      <c r="DS1020" s="80"/>
      <c r="DT1020" s="17"/>
      <c r="DU1020" s="17"/>
      <c r="DV1020" s="17"/>
      <c r="DW1020" s="17"/>
      <c r="DX1020" s="80"/>
      <c r="DY1020" s="17"/>
      <c r="DZ1020" s="17"/>
      <c r="EA1020" s="17"/>
      <c r="EB1020" s="17"/>
      <c r="EC1020" s="80"/>
      <c r="ED1020" s="17"/>
      <c r="EE1020" s="17"/>
      <c r="EF1020" s="17"/>
      <c r="EG1020" s="17"/>
      <c r="EH1020" s="80"/>
      <c r="EI1020" s="25"/>
      <c r="EJ1020" s="17"/>
      <c r="EK1020" s="17"/>
      <c r="EL1020" s="17"/>
      <c r="EM1020" s="80"/>
      <c r="EN1020" s="17"/>
      <c r="EO1020" s="17"/>
      <c r="EP1020" s="17"/>
      <c r="EQ1020" s="17"/>
      <c r="ER1020" s="80"/>
      <c r="ES1020" s="17"/>
      <c r="ET1020" s="17"/>
      <c r="EU1020" s="17"/>
      <c r="EV1020" s="17"/>
      <c r="EW1020" s="80"/>
      <c r="EX1020" s="17"/>
      <c r="EY1020" s="17"/>
      <c r="EZ1020" s="17"/>
      <c r="FA1020" s="17"/>
      <c r="FB1020" s="80"/>
      <c r="FC1020" s="17"/>
      <c r="FD1020" s="17"/>
      <c r="FE1020" s="17"/>
      <c r="FF1020" s="17"/>
      <c r="FG1020" s="80"/>
      <c r="FH1020" s="146"/>
      <c r="FI1020" s="17"/>
      <c r="FJ1020" s="17"/>
      <c r="FK1020" s="112"/>
      <c r="FL1020" s="17"/>
    </row>
    <row r="1021" ht="13.5" hidden="1" customHeight="1" outlineLevel="1">
      <c r="A1021" s="4"/>
      <c r="B1021" s="529" t="s">
        <v>291</v>
      </c>
      <c r="C1021" s="529"/>
      <c r="D1021" s="164"/>
      <c r="E1021" s="164"/>
      <c r="F1021" s="164"/>
      <c r="G1021" s="164"/>
      <c r="H1021" s="164"/>
      <c r="I1021" s="164"/>
      <c r="J1021" s="164"/>
      <c r="K1021" s="164"/>
      <c r="L1021" s="164"/>
      <c r="M1021" s="164"/>
      <c r="N1021" s="164"/>
      <c r="O1021" s="164"/>
      <c r="P1021" s="164"/>
      <c r="Q1021" s="164"/>
      <c r="R1021" s="164"/>
      <c r="S1021" s="164">
        <f t="shared" ref="S1021:BC1021" si="5376">SUM(S1017:S1020)</f>
        <v>7103</v>
      </c>
      <c r="T1021" s="164">
        <f t="shared" si="5376"/>
        <v>6746</v>
      </c>
      <c r="U1021" s="164">
        <f t="shared" si="5376"/>
        <v>7328</v>
      </c>
      <c r="V1021" s="164">
        <f t="shared" si="5376"/>
        <v>8212</v>
      </c>
      <c r="W1021" s="164">
        <f t="shared" si="5376"/>
        <v>29389</v>
      </c>
      <c r="X1021" s="164">
        <f t="shared" si="5376"/>
        <v>7993</v>
      </c>
      <c r="Y1021" s="164">
        <f t="shared" si="5376"/>
        <v>8300</v>
      </c>
      <c r="Z1021" s="164">
        <f t="shared" si="5376"/>
        <v>8731</v>
      </c>
      <c r="AA1021" s="164">
        <f t="shared" si="5376"/>
        <v>8702</v>
      </c>
      <c r="AB1021" s="164">
        <f t="shared" si="5376"/>
        <v>33726</v>
      </c>
      <c r="AC1021" s="164">
        <f t="shared" si="5376"/>
        <v>6677</v>
      </c>
      <c r="AD1021" s="164">
        <f t="shared" si="5376"/>
        <v>6334</v>
      </c>
      <c r="AE1021" s="164">
        <f t="shared" si="5376"/>
        <v>6545</v>
      </c>
      <c r="AF1021" s="164">
        <f t="shared" si="5376"/>
        <v>6983</v>
      </c>
      <c r="AG1021" s="164">
        <f t="shared" si="5376"/>
        <v>26539</v>
      </c>
      <c r="AH1021" s="164">
        <f t="shared" si="5376"/>
        <v>6781</v>
      </c>
      <c r="AI1021" s="164">
        <f t="shared" si="5376"/>
        <v>6319</v>
      </c>
      <c r="AJ1021" s="164">
        <f t="shared" si="5376"/>
        <v>6504</v>
      </c>
      <c r="AK1021" s="164">
        <f t="shared" si="5376"/>
        <v>7160</v>
      </c>
      <c r="AL1021" s="164">
        <f t="shared" si="5376"/>
        <v>26764</v>
      </c>
      <c r="AM1021" s="164">
        <f t="shared" si="5376"/>
        <v>6751</v>
      </c>
      <c r="AN1021" s="164">
        <f t="shared" si="5376"/>
        <v>6816</v>
      </c>
      <c r="AO1021" s="164">
        <f t="shared" si="5376"/>
        <v>7833</v>
      </c>
      <c r="AP1021" s="164">
        <f t="shared" si="5376"/>
        <v>8741</v>
      </c>
      <c r="AQ1021" s="164">
        <f t="shared" si="5376"/>
        <v>30141</v>
      </c>
      <c r="AR1021" s="164">
        <f t="shared" si="5376"/>
        <v>8091</v>
      </c>
      <c r="AS1021" s="164">
        <f t="shared" si="5376"/>
        <v>8049</v>
      </c>
      <c r="AT1021" s="164">
        <f t="shared" si="5376"/>
        <v>8471</v>
      </c>
      <c r="AU1021" s="164">
        <f t="shared" si="5376"/>
        <v>9598</v>
      </c>
      <c r="AV1021" s="164">
        <f t="shared" si="5376"/>
        <v>34209</v>
      </c>
      <c r="AW1021" s="164">
        <f t="shared" si="5376"/>
        <v>9434</v>
      </c>
      <c r="AX1021" s="164">
        <f t="shared" si="5376"/>
        <v>9231</v>
      </c>
      <c r="AY1021" s="164">
        <f t="shared" si="5376"/>
        <v>9960</v>
      </c>
      <c r="AZ1021" s="164">
        <f t="shared" si="5376"/>
        <v>10201</v>
      </c>
      <c r="BA1021" s="164">
        <f t="shared" si="5376"/>
        <v>38826</v>
      </c>
      <c r="BB1021" s="164">
        <f t="shared" si="5376"/>
        <v>8940</v>
      </c>
      <c r="BC1021" s="164">
        <f t="shared" si="5376"/>
        <v>8009</v>
      </c>
      <c r="BD1021" s="164">
        <f>Sales</f>
        <v>8739</v>
      </c>
      <c r="BE1021" s="164">
        <f>Sales</f>
        <v>9694</v>
      </c>
      <c r="BF1021" s="164">
        <f t="shared" ref="BF1021:BH1021" si="5377">SUM(BF1017:BF1020)</f>
        <v>35382</v>
      </c>
      <c r="BG1021" s="164">
        <f t="shared" si="5377"/>
        <v>8852</v>
      </c>
      <c r="BH1021" s="164">
        <f t="shared" si="5377"/>
        <v>8680</v>
      </c>
      <c r="BI1021" s="164">
        <f>Sales</f>
        <v>10090</v>
      </c>
      <c r="BJ1021" s="164">
        <f>Sales</f>
        <v>10712</v>
      </c>
      <c r="BK1021" s="164">
        <f>SUM(BK1017:BK1020)</f>
        <v>38334</v>
      </c>
      <c r="BL1021" s="164">
        <f>Sales</f>
        <v>9673</v>
      </c>
      <c r="BM1021" s="164">
        <f>Sales</f>
        <v>9470</v>
      </c>
      <c r="BN1021" s="164">
        <f>Sales</f>
        <v>10217</v>
      </c>
      <c r="BO1021" s="164">
        <f>Sales</f>
        <v>8226</v>
      </c>
      <c r="BP1021" s="164">
        <f>SUM(BP1017:BP1020)</f>
        <v>37586</v>
      </c>
      <c r="BQ1021" s="164">
        <f>Sales</f>
        <v>7145</v>
      </c>
      <c r="BR1021" s="164">
        <f>Sales</f>
        <v>8024</v>
      </c>
      <c r="BS1021" s="164">
        <f>Sales</f>
        <v>9389</v>
      </c>
      <c r="BT1021" s="164">
        <f>Sales</f>
        <v>10569</v>
      </c>
      <c r="BU1021" s="164">
        <f>SUM(BU1017:BU1020)</f>
        <v>35127</v>
      </c>
      <c r="BV1021" s="164">
        <f>Sales</f>
        <v>10299</v>
      </c>
      <c r="BW1021" s="164">
        <f>Sales</f>
        <v>10765</v>
      </c>
      <c r="BX1021" s="164">
        <f>Sales</f>
        <v>11102</v>
      </c>
      <c r="BY1021" s="164">
        <f>Sales</f>
        <v>11457</v>
      </c>
      <c r="BZ1021" s="165">
        <f>SUM(BZ1017:BZ1020)</f>
        <v>43623</v>
      </c>
      <c r="CA1021" s="164">
        <f>Sales</f>
        <v>12847</v>
      </c>
      <c r="CB1021" s="164">
        <f>Sales</f>
        <v>13032</v>
      </c>
      <c r="CC1021" s="164">
        <f>Sales</f>
        <v>14233</v>
      </c>
      <c r="CD1021" s="164">
        <f>Sales</f>
        <v>13887</v>
      </c>
      <c r="CE1021" s="165">
        <f>SUM(CE1017:CE1020)</f>
        <v>53999</v>
      </c>
      <c r="CF1021" s="164">
        <f>Sales</f>
        <v>12906</v>
      </c>
      <c r="CG1021" s="164">
        <f>Sales</f>
        <v>13501</v>
      </c>
      <c r="CH1021" s="164">
        <f>Sales</f>
        <v>13457</v>
      </c>
      <c r="CI1021" s="164">
        <f>Sales</f>
        <v>13477</v>
      </c>
      <c r="CJ1021" s="165"/>
      <c r="CK1021" s="164">
        <f>Sales</f>
        <v>12580</v>
      </c>
      <c r="CL1021" s="164"/>
      <c r="CM1021" s="164"/>
      <c r="CN1021" s="583"/>
      <c r="CO1021" s="165"/>
      <c r="CP1021" s="583"/>
      <c r="CQ1021" s="164"/>
      <c r="CR1021" s="164"/>
      <c r="CS1021" s="164"/>
      <c r="CT1021" s="165"/>
      <c r="CU1021" s="164"/>
      <c r="CV1021" s="164"/>
      <c r="CW1021" s="164"/>
      <c r="CX1021" s="164"/>
      <c r="CY1021" s="165"/>
      <c r="CZ1021" s="164"/>
      <c r="DA1021" s="164"/>
      <c r="DB1021" s="164"/>
      <c r="DC1021" s="164"/>
      <c r="DD1021" s="165"/>
      <c r="DE1021" s="164"/>
      <c r="DF1021" s="164"/>
      <c r="DG1021" s="146"/>
      <c r="DH1021" s="164"/>
      <c r="DI1021" s="165"/>
      <c r="DJ1021" s="583"/>
      <c r="DK1021" s="583"/>
      <c r="DL1021" s="583"/>
      <c r="DM1021" s="164"/>
      <c r="DN1021" s="165"/>
      <c r="DO1021" s="164"/>
      <c r="DP1021" s="164"/>
      <c r="DQ1021" s="164"/>
      <c r="DR1021" s="164"/>
      <c r="DS1021" s="165"/>
      <c r="DT1021" s="164"/>
      <c r="DU1021" s="164"/>
      <c r="DV1021" s="164"/>
      <c r="DW1021" s="164"/>
      <c r="DX1021" s="165"/>
      <c r="DY1021" s="164"/>
      <c r="DZ1021" s="164"/>
      <c r="EA1021" s="164"/>
      <c r="EB1021" s="164"/>
      <c r="EC1021" s="165"/>
      <c r="ED1021" s="164"/>
      <c r="EE1021" s="164"/>
      <c r="EF1021" s="164"/>
      <c r="EG1021" s="164"/>
      <c r="EH1021" s="165"/>
      <c r="EI1021" s="584"/>
      <c r="EJ1021" s="164"/>
      <c r="EK1021" s="164"/>
      <c r="EL1021" s="164"/>
      <c r="EM1021" s="165"/>
      <c r="EN1021" s="164"/>
      <c r="EO1021" s="164"/>
      <c r="EP1021" s="164"/>
      <c r="EQ1021" s="164"/>
      <c r="ER1021" s="165"/>
      <c r="ES1021" s="164"/>
      <c r="ET1021" s="164"/>
      <c r="EU1021" s="164"/>
      <c r="EV1021" s="164"/>
      <c r="EW1021" s="165"/>
      <c r="EX1021" s="164"/>
      <c r="EY1021" s="164"/>
      <c r="EZ1021" s="164"/>
      <c r="FA1021" s="164"/>
      <c r="FB1021" s="165"/>
      <c r="FC1021" s="164"/>
      <c r="FD1021" s="164"/>
      <c r="FE1021" s="164"/>
      <c r="FF1021" s="164"/>
      <c r="FG1021" s="165"/>
      <c r="FH1021" s="583"/>
      <c r="FI1021" s="164"/>
      <c r="FJ1021" s="164"/>
      <c r="FK1021" s="164"/>
      <c r="FL1021" s="164"/>
    </row>
    <row r="1022" ht="12.75" hidden="1" customHeight="1" outlineLevel="1">
      <c r="A1022" s="4"/>
      <c r="B1022" s="45"/>
      <c r="C1022" s="45"/>
      <c r="D1022" s="112"/>
      <c r="E1022" s="112"/>
      <c r="F1022" s="112"/>
      <c r="G1022" s="112"/>
      <c r="H1022" s="112"/>
      <c r="I1022" s="112"/>
      <c r="J1022" s="112"/>
      <c r="K1022" s="112"/>
      <c r="L1022" s="112"/>
      <c r="M1022" s="112"/>
      <c r="N1022" s="112"/>
      <c r="O1022" s="112"/>
      <c r="P1022" s="112"/>
      <c r="Q1022" s="112"/>
      <c r="R1022" s="112"/>
      <c r="S1022" s="112"/>
      <c r="T1022" s="112"/>
      <c r="U1022" s="112"/>
      <c r="V1022" s="112"/>
      <c r="W1022" s="112"/>
      <c r="X1022" s="112"/>
      <c r="Y1022" s="112"/>
      <c r="Z1022" s="112"/>
      <c r="AA1022" s="112"/>
      <c r="AB1022" s="112"/>
      <c r="AC1022" s="112"/>
      <c r="AD1022" s="112"/>
      <c r="AE1022" s="112"/>
      <c r="AF1022" s="112"/>
      <c r="AG1022" s="112"/>
      <c r="AH1022" s="112"/>
      <c r="AI1022" s="112"/>
      <c r="AJ1022" s="112"/>
      <c r="AK1022" s="112"/>
      <c r="AL1022" s="112"/>
      <c r="AM1022" s="112"/>
      <c r="AN1022" s="112"/>
      <c r="AO1022" s="112"/>
      <c r="AP1022" s="112"/>
      <c r="AQ1022" s="112"/>
      <c r="AR1022" s="112"/>
      <c r="AS1022" s="112"/>
      <c r="AT1022" s="112"/>
      <c r="AU1022" s="112"/>
      <c r="AV1022" s="112"/>
      <c r="AW1022" s="112"/>
      <c r="AX1022" s="112"/>
      <c r="AY1022" s="112"/>
      <c r="AZ1022" s="112"/>
      <c r="BA1022" s="112"/>
      <c r="BB1022" s="112"/>
      <c r="BC1022" s="112"/>
      <c r="BD1022" s="112"/>
      <c r="BE1022" s="112"/>
      <c r="BF1022" s="112"/>
      <c r="BG1022" s="112"/>
      <c r="BH1022" s="112"/>
      <c r="BI1022" s="112"/>
      <c r="BJ1022" s="112"/>
      <c r="BK1022" s="112"/>
      <c r="BL1022" s="112"/>
      <c r="BM1022" s="112"/>
      <c r="BN1022" s="112"/>
      <c r="BO1022" s="112"/>
      <c r="BP1022" s="112"/>
      <c r="BQ1022" s="112"/>
      <c r="BR1022" s="112"/>
      <c r="BS1022" s="112"/>
      <c r="BT1022" s="112"/>
      <c r="BU1022" s="112"/>
      <c r="BV1022" s="112"/>
      <c r="BW1022" s="112"/>
      <c r="BX1022" s="112"/>
      <c r="BY1022" s="112"/>
      <c r="BZ1022" s="80"/>
      <c r="CA1022" s="112"/>
      <c r="CB1022" s="112"/>
      <c r="CC1022" s="112"/>
      <c r="CD1022" s="112"/>
      <c r="CE1022" s="80"/>
      <c r="CF1022" s="112"/>
      <c r="CG1022" s="112"/>
      <c r="CH1022" s="112"/>
      <c r="CI1022" s="112"/>
      <c r="CJ1022" s="80"/>
      <c r="CK1022" s="112"/>
      <c r="CL1022" s="112"/>
      <c r="CM1022" s="112"/>
      <c r="CN1022" s="146"/>
      <c r="CO1022" s="80"/>
      <c r="CP1022" s="146"/>
      <c r="CQ1022" s="112"/>
      <c r="CR1022" s="112"/>
      <c r="CS1022" s="112"/>
      <c r="CT1022" s="80"/>
      <c r="CU1022" s="112"/>
      <c r="CV1022" s="112"/>
      <c r="CW1022" s="112"/>
      <c r="CX1022" s="112"/>
      <c r="CY1022" s="80"/>
      <c r="CZ1022" s="112"/>
      <c r="DA1022" s="112"/>
      <c r="DB1022" s="112"/>
      <c r="DC1022" s="112"/>
      <c r="DD1022" s="80"/>
      <c r="DE1022" s="112"/>
      <c r="DF1022" s="112"/>
      <c r="DG1022" s="146"/>
      <c r="DH1022" s="112"/>
      <c r="DI1022" s="80"/>
      <c r="DJ1022" s="146"/>
      <c r="DK1022" s="146"/>
      <c r="DL1022" s="146"/>
      <c r="DM1022" s="112"/>
      <c r="DN1022" s="80"/>
      <c r="DO1022" s="112"/>
      <c r="DP1022" s="112"/>
      <c r="DQ1022" s="112"/>
      <c r="DR1022" s="112"/>
      <c r="DS1022" s="80"/>
      <c r="DT1022" s="112"/>
      <c r="DU1022" s="112"/>
      <c r="DV1022" s="112"/>
      <c r="DW1022" s="112"/>
      <c r="DX1022" s="80"/>
      <c r="DY1022" s="112"/>
      <c r="DZ1022" s="112"/>
      <c r="EA1022" s="112"/>
      <c r="EB1022" s="112"/>
      <c r="EC1022" s="80"/>
      <c r="ED1022" s="112"/>
      <c r="EE1022" s="112"/>
      <c r="EF1022" s="112"/>
      <c r="EG1022" s="112"/>
      <c r="EH1022" s="80"/>
      <c r="EI1022" s="110"/>
      <c r="EJ1022" s="112"/>
      <c r="EK1022" s="112"/>
      <c r="EL1022" s="112"/>
      <c r="EM1022" s="80"/>
      <c r="EN1022" s="112"/>
      <c r="EO1022" s="112"/>
      <c r="EP1022" s="112"/>
      <c r="EQ1022" s="112"/>
      <c r="ER1022" s="80"/>
      <c r="ES1022" s="112"/>
      <c r="ET1022" s="112"/>
      <c r="EU1022" s="112"/>
      <c r="EV1022" s="112"/>
      <c r="EW1022" s="80"/>
      <c r="EX1022" s="112"/>
      <c r="EY1022" s="112"/>
      <c r="EZ1022" s="112"/>
      <c r="FA1022" s="112"/>
      <c r="FB1022" s="80"/>
      <c r="FC1022" s="112"/>
      <c r="FD1022" s="112"/>
      <c r="FE1022" s="112"/>
      <c r="FF1022" s="112"/>
      <c r="FG1022" s="80"/>
      <c r="FH1022" s="146"/>
      <c r="FI1022" s="112"/>
      <c r="FJ1022" s="112"/>
      <c r="FK1022" s="112"/>
      <c r="FL1022" s="112"/>
    </row>
    <row r="1023" ht="12.75" hidden="1" customHeight="1" outlineLevel="1">
      <c r="A1023" s="4"/>
      <c r="B1023" s="725" t="s">
        <v>367</v>
      </c>
      <c r="C1023" s="90"/>
      <c r="D1023" s="90"/>
      <c r="E1023" s="90"/>
      <c r="F1023" s="90"/>
      <c r="G1023" s="90"/>
      <c r="H1023" s="726"/>
      <c r="I1023" s="90"/>
      <c r="J1023" s="90"/>
      <c r="K1023" s="90"/>
      <c r="L1023" s="90"/>
      <c r="M1023" s="726"/>
      <c r="N1023" s="90"/>
      <c r="O1023" s="90"/>
      <c r="P1023" s="90"/>
      <c r="Q1023" s="90"/>
      <c r="R1023" s="726"/>
      <c r="S1023" s="90"/>
      <c r="T1023" s="90"/>
      <c r="U1023" s="90"/>
      <c r="V1023" s="90"/>
      <c r="W1023" s="726"/>
      <c r="X1023" s="90"/>
      <c r="Y1023" s="90"/>
      <c r="Z1023" s="90"/>
      <c r="AA1023" s="90"/>
      <c r="AB1023" s="726"/>
      <c r="AC1023" s="90"/>
      <c r="AD1023" s="90"/>
      <c r="AE1023" s="90"/>
      <c r="AF1023" s="90"/>
      <c r="AG1023" s="726"/>
      <c r="AH1023" s="90"/>
      <c r="AI1023" s="90"/>
      <c r="AJ1023" s="90"/>
      <c r="AK1023" s="90"/>
      <c r="AL1023" s="726"/>
      <c r="AM1023" s="90"/>
      <c r="AN1023" s="90"/>
      <c r="AO1023" s="90"/>
      <c r="AP1023" s="90"/>
      <c r="AQ1023" s="726"/>
      <c r="AR1023" s="90"/>
      <c r="AS1023" s="90"/>
      <c r="AT1023" s="90"/>
      <c r="AU1023" s="90"/>
      <c r="AV1023" s="726"/>
      <c r="AW1023" s="90"/>
      <c r="AX1023" s="90"/>
      <c r="AY1023" s="90"/>
      <c r="AZ1023" s="90"/>
      <c r="BA1023" s="726"/>
      <c r="BB1023" s="90"/>
      <c r="BC1023" s="90"/>
      <c r="BD1023" s="90"/>
      <c r="BE1023" s="90"/>
      <c r="BF1023" s="726"/>
      <c r="BG1023" s="90"/>
      <c r="BH1023" s="90"/>
      <c r="BI1023" s="90"/>
      <c r="BJ1023" s="90"/>
      <c r="BK1023" s="726"/>
      <c r="BL1023" s="90"/>
      <c r="BM1023" s="90"/>
      <c r="BN1023" s="90"/>
      <c r="BO1023" s="90"/>
      <c r="BP1023" s="726"/>
      <c r="BQ1023" s="90"/>
      <c r="BR1023" s="90"/>
      <c r="BS1023" s="90"/>
      <c r="BT1023" s="90"/>
      <c r="BU1023" s="726"/>
      <c r="BV1023" s="90"/>
      <c r="BW1023" s="90"/>
      <c r="BX1023" s="90"/>
      <c r="BY1023" s="90"/>
      <c r="BZ1023" s="303"/>
      <c r="CA1023" s="90"/>
      <c r="CB1023" s="90"/>
      <c r="CC1023" s="90"/>
      <c r="CD1023" s="90"/>
      <c r="CE1023" s="303"/>
      <c r="CF1023" s="90"/>
      <c r="CG1023" s="90"/>
      <c r="CH1023" s="90"/>
      <c r="CI1023" s="90"/>
      <c r="CJ1023" s="303"/>
      <c r="CK1023" s="90"/>
      <c r="CL1023" s="90"/>
      <c r="CM1023" s="90"/>
      <c r="CN1023" s="135"/>
      <c r="CO1023" s="303"/>
      <c r="CP1023" s="135"/>
      <c r="CQ1023" s="90"/>
      <c r="CR1023" s="90"/>
      <c r="CS1023" s="90"/>
      <c r="CT1023" s="303"/>
      <c r="CU1023" s="90"/>
      <c r="CV1023" s="90"/>
      <c r="CW1023" s="90"/>
      <c r="CX1023" s="90"/>
      <c r="CY1023" s="303"/>
      <c r="CZ1023" s="90"/>
      <c r="DA1023" s="90"/>
      <c r="DB1023" s="90"/>
      <c r="DC1023" s="90"/>
      <c r="DD1023" s="303"/>
      <c r="DE1023" s="90"/>
      <c r="DF1023" s="90"/>
      <c r="DG1023" s="16"/>
      <c r="DH1023" s="90"/>
      <c r="DI1023" s="303"/>
      <c r="DJ1023" s="135"/>
      <c r="DK1023" s="135"/>
      <c r="DL1023" s="135"/>
      <c r="DM1023" s="90"/>
      <c r="DN1023" s="303"/>
      <c r="DO1023" s="90"/>
      <c r="DP1023" s="90"/>
      <c r="DQ1023" s="90"/>
      <c r="DR1023" s="90"/>
      <c r="DS1023" s="303"/>
      <c r="DT1023" s="90"/>
      <c r="DU1023" s="90"/>
      <c r="DV1023" s="90"/>
      <c r="DW1023" s="90"/>
      <c r="DX1023" s="303"/>
      <c r="DY1023" s="90"/>
      <c r="DZ1023" s="90"/>
      <c r="EA1023" s="90"/>
      <c r="EB1023" s="90"/>
      <c r="EC1023" s="303"/>
      <c r="ED1023" s="90"/>
      <c r="EE1023" s="90"/>
      <c r="EF1023" s="90"/>
      <c r="EG1023" s="90"/>
      <c r="EH1023" s="303"/>
      <c r="EI1023" s="389"/>
      <c r="EJ1023" s="90"/>
      <c r="EK1023" s="90"/>
      <c r="EL1023" s="90"/>
      <c r="EM1023" s="303"/>
      <c r="EN1023" s="90"/>
      <c r="EO1023" s="90"/>
      <c r="EP1023" s="90"/>
      <c r="EQ1023" s="90"/>
      <c r="ER1023" s="303"/>
      <c r="ES1023" s="90"/>
      <c r="ET1023" s="90"/>
      <c r="EU1023" s="90"/>
      <c r="EV1023" s="90"/>
      <c r="EW1023" s="303"/>
      <c r="EX1023" s="90"/>
      <c r="EY1023" s="90"/>
      <c r="EZ1023" s="90"/>
      <c r="FA1023" s="90"/>
      <c r="FB1023" s="303"/>
      <c r="FC1023" s="90"/>
      <c r="FD1023" s="90"/>
      <c r="FE1023" s="90"/>
      <c r="FF1023" s="90"/>
      <c r="FG1023" s="303"/>
      <c r="FH1023" s="727"/>
      <c r="FI1023" s="90"/>
      <c r="FJ1023" s="90"/>
      <c r="FK1023" s="726"/>
      <c r="FL1023" s="90"/>
    </row>
    <row r="1024" ht="12.75" hidden="1" customHeight="1" outlineLevel="1">
      <c r="A1024" s="4"/>
      <c r="B1024" s="4" t="s">
        <v>368</v>
      </c>
      <c r="C1024" s="4"/>
      <c r="D1024" s="17"/>
      <c r="E1024" s="17"/>
      <c r="F1024" s="17"/>
      <c r="G1024" s="17"/>
      <c r="H1024" s="112"/>
      <c r="I1024" s="17"/>
      <c r="J1024" s="17"/>
      <c r="K1024" s="17"/>
      <c r="L1024" s="17"/>
      <c r="M1024" s="112"/>
      <c r="N1024" s="17"/>
      <c r="O1024" s="17"/>
      <c r="P1024" s="17"/>
      <c r="Q1024" s="17"/>
      <c r="R1024" s="112"/>
      <c r="S1024" s="17"/>
      <c r="T1024" s="17"/>
      <c r="U1024" s="17"/>
      <c r="V1024" s="17"/>
      <c r="W1024" s="112"/>
      <c r="X1024" s="17"/>
      <c r="Y1024" s="17"/>
      <c r="Z1024" s="17"/>
      <c r="AA1024" s="17"/>
      <c r="AB1024" s="112"/>
      <c r="AC1024" s="17"/>
      <c r="AD1024" s="17"/>
      <c r="AE1024" s="17"/>
      <c r="AF1024" s="17"/>
      <c r="AG1024" s="112"/>
      <c r="AH1024" s="17"/>
      <c r="AI1024" s="17"/>
      <c r="AJ1024" s="17"/>
      <c r="AK1024" s="17"/>
      <c r="AL1024" s="112"/>
      <c r="AM1024" s="17"/>
      <c r="AN1024" s="17"/>
      <c r="AO1024" s="17"/>
      <c r="AP1024" s="17"/>
      <c r="AQ1024" s="112"/>
      <c r="AR1024" s="17"/>
      <c r="AS1024" s="17"/>
      <c r="AT1024" s="17"/>
      <c r="AU1024" s="17"/>
      <c r="AV1024" s="112"/>
      <c r="AW1024" s="17"/>
      <c r="AX1024" s="17"/>
      <c r="AY1024" s="17"/>
      <c r="AZ1024" s="17"/>
      <c r="BA1024" s="112"/>
      <c r="BB1024" s="17"/>
      <c r="BC1024" s="17"/>
      <c r="BD1024" s="17"/>
      <c r="BE1024" s="17"/>
      <c r="BF1024" s="112"/>
      <c r="BG1024" s="17"/>
      <c r="BH1024" s="17"/>
      <c r="BI1024" s="17"/>
      <c r="BJ1024" s="17"/>
      <c r="BK1024" s="112"/>
      <c r="BL1024" s="17"/>
      <c r="BM1024" s="17"/>
      <c r="BN1024" s="17"/>
      <c r="BO1024" s="17"/>
      <c r="BP1024" s="112"/>
      <c r="BQ1024" s="17"/>
      <c r="BR1024" s="17"/>
      <c r="BS1024" s="17"/>
      <c r="BT1024" s="17"/>
      <c r="BU1024" s="112"/>
      <c r="BV1024" s="17"/>
      <c r="BW1024" s="17"/>
      <c r="BX1024" s="17"/>
      <c r="BY1024" s="17"/>
      <c r="BZ1024" s="80">
        <v>6395.0</v>
      </c>
      <c r="CA1024" s="17"/>
      <c r="CB1024" s="17"/>
      <c r="CC1024" s="17"/>
      <c r="CD1024" s="17"/>
      <c r="CE1024" s="80">
        <v>9005.0</v>
      </c>
      <c r="CF1024" s="17"/>
      <c r="CG1024" s="17"/>
      <c r="CH1024" s="17"/>
      <c r="CI1024" s="17"/>
      <c r="CJ1024" s="80">
        <v>8348.0</v>
      </c>
      <c r="CK1024" s="17"/>
      <c r="CL1024" s="17"/>
      <c r="CM1024" s="17"/>
      <c r="CN1024" s="19"/>
      <c r="CO1024" s="80"/>
      <c r="CP1024" s="19"/>
      <c r="CQ1024" s="17"/>
      <c r="CR1024" s="17"/>
      <c r="CS1024" s="17"/>
      <c r="CT1024" s="80"/>
      <c r="CU1024" s="17"/>
      <c r="CV1024" s="17"/>
      <c r="CW1024" s="17"/>
      <c r="CX1024" s="17"/>
      <c r="CY1024" s="80"/>
      <c r="CZ1024" s="17"/>
      <c r="DA1024" s="17"/>
      <c r="DB1024" s="17"/>
      <c r="DC1024" s="17"/>
      <c r="DD1024" s="80"/>
      <c r="DE1024" s="17"/>
      <c r="DF1024" s="17"/>
      <c r="DG1024" s="19"/>
      <c r="DH1024" s="17"/>
      <c r="DI1024" s="80"/>
      <c r="DJ1024" s="19"/>
      <c r="DK1024" s="19"/>
      <c r="DL1024" s="19"/>
      <c r="DM1024" s="17"/>
      <c r="DN1024" s="80"/>
      <c r="DO1024" s="17"/>
      <c r="DP1024" s="17"/>
      <c r="DQ1024" s="17"/>
      <c r="DR1024" s="17"/>
      <c r="DS1024" s="80"/>
      <c r="DT1024" s="17"/>
      <c r="DU1024" s="17"/>
      <c r="DV1024" s="17"/>
      <c r="DW1024" s="17"/>
      <c r="DX1024" s="80"/>
      <c r="DY1024" s="17"/>
      <c r="DZ1024" s="17"/>
      <c r="EA1024" s="17"/>
      <c r="EB1024" s="17"/>
      <c r="EC1024" s="80"/>
      <c r="ED1024" s="17"/>
      <c r="EE1024" s="17"/>
      <c r="EF1024" s="17"/>
      <c r="EG1024" s="17"/>
      <c r="EH1024" s="80"/>
      <c r="EI1024" s="25"/>
      <c r="EJ1024" s="17"/>
      <c r="EK1024" s="17"/>
      <c r="EL1024" s="17"/>
      <c r="EM1024" s="80"/>
      <c r="EN1024" s="17"/>
      <c r="EO1024" s="17"/>
      <c r="EP1024" s="17"/>
      <c r="EQ1024" s="17"/>
      <c r="ER1024" s="80"/>
      <c r="ES1024" s="17"/>
      <c r="ET1024" s="17"/>
      <c r="EU1024" s="17"/>
      <c r="EV1024" s="17"/>
      <c r="EW1024" s="80"/>
      <c r="EX1024" s="17"/>
      <c r="EY1024" s="17"/>
      <c r="EZ1024" s="17"/>
      <c r="FA1024" s="17"/>
      <c r="FB1024" s="80"/>
      <c r="FC1024" s="17"/>
      <c r="FD1024" s="17"/>
      <c r="FE1024" s="17"/>
      <c r="FF1024" s="17"/>
      <c r="FG1024" s="80"/>
      <c r="FH1024" s="146"/>
      <c r="FI1024" s="17"/>
      <c r="FJ1024" s="17"/>
      <c r="FK1024" s="112"/>
      <c r="FL1024" s="17"/>
    </row>
    <row r="1025" ht="12.75" hidden="1" customHeight="1" outlineLevel="1">
      <c r="A1025" s="4"/>
      <c r="B1025" s="4" t="s">
        <v>369</v>
      </c>
      <c r="C1025" s="4"/>
      <c r="D1025" s="17"/>
      <c r="E1025" s="17"/>
      <c r="F1025" s="17"/>
      <c r="G1025" s="17"/>
      <c r="H1025" s="112"/>
      <c r="I1025" s="17"/>
      <c r="J1025" s="17"/>
      <c r="K1025" s="17"/>
      <c r="L1025" s="17"/>
      <c r="M1025" s="112"/>
      <c r="N1025" s="17"/>
      <c r="O1025" s="17"/>
      <c r="P1025" s="17"/>
      <c r="Q1025" s="17"/>
      <c r="R1025" s="112"/>
      <c r="S1025" s="17"/>
      <c r="T1025" s="17"/>
      <c r="U1025" s="17"/>
      <c r="V1025" s="17"/>
      <c r="W1025" s="112"/>
      <c r="X1025" s="17"/>
      <c r="Y1025" s="17"/>
      <c r="Z1025" s="17"/>
      <c r="AA1025" s="17"/>
      <c r="AB1025" s="112"/>
      <c r="AC1025" s="17"/>
      <c r="AD1025" s="17"/>
      <c r="AE1025" s="17"/>
      <c r="AF1025" s="17"/>
      <c r="AG1025" s="112"/>
      <c r="AH1025" s="17"/>
      <c r="AI1025" s="17"/>
      <c r="AJ1025" s="17"/>
      <c r="AK1025" s="17"/>
      <c r="AL1025" s="112"/>
      <c r="AM1025" s="17"/>
      <c r="AN1025" s="17"/>
      <c r="AO1025" s="17"/>
      <c r="AP1025" s="17"/>
      <c r="AQ1025" s="112"/>
      <c r="AR1025" s="17"/>
      <c r="AS1025" s="17"/>
      <c r="AT1025" s="17"/>
      <c r="AU1025" s="17"/>
      <c r="AV1025" s="112"/>
      <c r="AW1025" s="17"/>
      <c r="AX1025" s="17"/>
      <c r="AY1025" s="17"/>
      <c r="AZ1025" s="17"/>
      <c r="BA1025" s="112"/>
      <c r="BB1025" s="17"/>
      <c r="BC1025" s="17"/>
      <c r="BD1025" s="17"/>
      <c r="BE1025" s="17"/>
      <c r="BF1025" s="112"/>
      <c r="BG1025" s="17"/>
      <c r="BH1025" s="17"/>
      <c r="BI1025" s="17"/>
      <c r="BJ1025" s="17"/>
      <c r="BK1025" s="112"/>
      <c r="BL1025" s="17"/>
      <c r="BM1025" s="17"/>
      <c r="BN1025" s="17"/>
      <c r="BO1025" s="17"/>
      <c r="BP1025" s="112"/>
      <c r="BQ1025" s="17"/>
      <c r="BR1025" s="17"/>
      <c r="BS1025" s="17"/>
      <c r="BT1025" s="17"/>
      <c r="BU1025" s="112"/>
      <c r="BV1025" s="17"/>
      <c r="BW1025" s="17"/>
      <c r="BX1025" s="17"/>
      <c r="BY1025" s="17"/>
      <c r="BZ1025" s="80">
        <v>10740.0</v>
      </c>
      <c r="CA1025" s="17"/>
      <c r="CB1025" s="17"/>
      <c r="CC1025" s="17"/>
      <c r="CD1025" s="17"/>
      <c r="CE1025" s="80">
        <v>13626.0</v>
      </c>
      <c r="CF1025" s="17"/>
      <c r="CG1025" s="17"/>
      <c r="CH1025" s="17"/>
      <c r="CI1025" s="17"/>
      <c r="CJ1025" s="80">
        <v>12622.0</v>
      </c>
      <c r="CK1025" s="17"/>
      <c r="CL1025" s="17"/>
      <c r="CM1025" s="17"/>
      <c r="CN1025" s="19"/>
      <c r="CO1025" s="80"/>
      <c r="CP1025" s="19"/>
      <c r="CQ1025" s="17"/>
      <c r="CR1025" s="17"/>
      <c r="CS1025" s="17"/>
      <c r="CT1025" s="80"/>
      <c r="CU1025" s="17"/>
      <c r="CV1025" s="17"/>
      <c r="CW1025" s="17"/>
      <c r="CX1025" s="17"/>
      <c r="CY1025" s="80"/>
      <c r="CZ1025" s="17"/>
      <c r="DA1025" s="17"/>
      <c r="DB1025" s="17"/>
      <c r="DC1025" s="17"/>
      <c r="DD1025" s="80"/>
      <c r="DE1025" s="17"/>
      <c r="DF1025" s="17"/>
      <c r="DG1025" s="19"/>
      <c r="DH1025" s="17"/>
      <c r="DI1025" s="80"/>
      <c r="DJ1025" s="19"/>
      <c r="DK1025" s="19"/>
      <c r="DL1025" s="19"/>
      <c r="DM1025" s="17"/>
      <c r="DN1025" s="80"/>
      <c r="DO1025" s="17"/>
      <c r="DP1025" s="17"/>
      <c r="DQ1025" s="17"/>
      <c r="DR1025" s="17"/>
      <c r="DS1025" s="80"/>
      <c r="DT1025" s="17"/>
      <c r="DU1025" s="17"/>
      <c r="DV1025" s="17"/>
      <c r="DW1025" s="17"/>
      <c r="DX1025" s="80"/>
      <c r="DY1025" s="17"/>
      <c r="DZ1025" s="17"/>
      <c r="EA1025" s="17"/>
      <c r="EB1025" s="17"/>
      <c r="EC1025" s="80"/>
      <c r="ED1025" s="17"/>
      <c r="EE1025" s="17"/>
      <c r="EF1025" s="17"/>
      <c r="EG1025" s="17"/>
      <c r="EH1025" s="80"/>
      <c r="EI1025" s="25"/>
      <c r="EJ1025" s="17"/>
      <c r="EK1025" s="17"/>
      <c r="EL1025" s="17"/>
      <c r="EM1025" s="80"/>
      <c r="EN1025" s="17"/>
      <c r="EO1025" s="17"/>
      <c r="EP1025" s="17"/>
      <c r="EQ1025" s="17"/>
      <c r="ER1025" s="80"/>
      <c r="ES1025" s="17"/>
      <c r="ET1025" s="17"/>
      <c r="EU1025" s="17"/>
      <c r="EV1025" s="17"/>
      <c r="EW1025" s="80"/>
      <c r="EX1025" s="17"/>
      <c r="EY1025" s="17"/>
      <c r="EZ1025" s="17"/>
      <c r="FA1025" s="17"/>
      <c r="FB1025" s="80"/>
      <c r="FC1025" s="17"/>
      <c r="FD1025" s="17"/>
      <c r="FE1025" s="17"/>
      <c r="FF1025" s="17"/>
      <c r="FG1025" s="80"/>
      <c r="FH1025" s="146"/>
      <c r="FI1025" s="17"/>
      <c r="FJ1025" s="17"/>
      <c r="FK1025" s="112"/>
      <c r="FL1025" s="17"/>
    </row>
    <row r="1026" ht="12.75" hidden="1" customHeight="1" outlineLevel="1">
      <c r="A1026" s="4"/>
      <c r="B1026" s="4" t="s">
        <v>370</v>
      </c>
      <c r="C1026" s="4"/>
      <c r="D1026" s="17"/>
      <c r="E1026" s="17"/>
      <c r="F1026" s="17"/>
      <c r="G1026" s="17"/>
      <c r="H1026" s="112"/>
      <c r="I1026" s="17"/>
      <c r="J1026" s="17"/>
      <c r="K1026" s="17"/>
      <c r="L1026" s="17"/>
      <c r="M1026" s="112"/>
      <c r="N1026" s="17"/>
      <c r="O1026" s="17"/>
      <c r="P1026" s="17"/>
      <c r="Q1026" s="17"/>
      <c r="R1026" s="112"/>
      <c r="S1026" s="17"/>
      <c r="T1026" s="17"/>
      <c r="U1026" s="17"/>
      <c r="V1026" s="17"/>
      <c r="W1026" s="112"/>
      <c r="X1026" s="17"/>
      <c r="Y1026" s="17"/>
      <c r="Z1026" s="17"/>
      <c r="AA1026" s="17"/>
      <c r="AB1026" s="112"/>
      <c r="AC1026" s="17"/>
      <c r="AD1026" s="17"/>
      <c r="AE1026" s="17"/>
      <c r="AF1026" s="17"/>
      <c r="AG1026" s="112"/>
      <c r="AH1026" s="17"/>
      <c r="AI1026" s="17"/>
      <c r="AJ1026" s="17"/>
      <c r="AK1026" s="17"/>
      <c r="AL1026" s="112"/>
      <c r="AM1026" s="17"/>
      <c r="AN1026" s="17"/>
      <c r="AO1026" s="17"/>
      <c r="AP1026" s="17"/>
      <c r="AQ1026" s="112"/>
      <c r="AR1026" s="17"/>
      <c r="AS1026" s="17"/>
      <c r="AT1026" s="17"/>
      <c r="AU1026" s="17"/>
      <c r="AV1026" s="112"/>
      <c r="AW1026" s="17"/>
      <c r="AX1026" s="17"/>
      <c r="AY1026" s="17"/>
      <c r="AZ1026" s="17"/>
      <c r="BA1026" s="112"/>
      <c r="BB1026" s="17"/>
      <c r="BC1026" s="17"/>
      <c r="BD1026" s="17"/>
      <c r="BE1026" s="17"/>
      <c r="BF1026" s="112"/>
      <c r="BG1026" s="17"/>
      <c r="BH1026" s="17"/>
      <c r="BI1026" s="17"/>
      <c r="BJ1026" s="17"/>
      <c r="BK1026" s="112"/>
      <c r="BL1026" s="17"/>
      <c r="BM1026" s="17"/>
      <c r="BN1026" s="17"/>
      <c r="BO1026" s="17"/>
      <c r="BP1026" s="112"/>
      <c r="BQ1026" s="17"/>
      <c r="BR1026" s="17"/>
      <c r="BS1026" s="17"/>
      <c r="BT1026" s="17"/>
      <c r="BU1026" s="112"/>
      <c r="BV1026" s="17"/>
      <c r="BW1026" s="17"/>
      <c r="BX1026" s="17"/>
      <c r="BY1026" s="17"/>
      <c r="BZ1026" s="80">
        <v>7189.0</v>
      </c>
      <c r="CA1026" s="17"/>
      <c r="CB1026" s="17"/>
      <c r="CC1026" s="17"/>
      <c r="CD1026" s="17"/>
      <c r="CE1026" s="80">
        <v>8534.0</v>
      </c>
      <c r="CF1026" s="17"/>
      <c r="CG1026" s="17"/>
      <c r="CH1026" s="17"/>
      <c r="CI1026" s="17"/>
      <c r="CJ1026" s="80">
        <v>9327.0</v>
      </c>
      <c r="CK1026" s="17"/>
      <c r="CL1026" s="17"/>
      <c r="CM1026" s="17"/>
      <c r="CN1026" s="19"/>
      <c r="CO1026" s="80"/>
      <c r="CP1026" s="19"/>
      <c r="CQ1026" s="17"/>
      <c r="CR1026" s="17"/>
      <c r="CS1026" s="17"/>
      <c r="CT1026" s="80"/>
      <c r="CU1026" s="17"/>
      <c r="CV1026" s="17"/>
      <c r="CW1026" s="17"/>
      <c r="CX1026" s="17"/>
      <c r="CY1026" s="80"/>
      <c r="CZ1026" s="17"/>
      <c r="DA1026" s="17"/>
      <c r="DB1026" s="17"/>
      <c r="DC1026" s="17"/>
      <c r="DD1026" s="80"/>
      <c r="DE1026" s="17"/>
      <c r="DF1026" s="17"/>
      <c r="DG1026" s="19"/>
      <c r="DH1026" s="17"/>
      <c r="DI1026" s="80"/>
      <c r="DJ1026" s="19"/>
      <c r="DK1026" s="19"/>
      <c r="DL1026" s="19"/>
      <c r="DM1026" s="17"/>
      <c r="DN1026" s="80"/>
      <c r="DO1026" s="17"/>
      <c r="DP1026" s="17"/>
      <c r="DQ1026" s="17"/>
      <c r="DR1026" s="17"/>
      <c r="DS1026" s="80"/>
      <c r="DT1026" s="17"/>
      <c r="DU1026" s="17"/>
      <c r="DV1026" s="17"/>
      <c r="DW1026" s="17"/>
      <c r="DX1026" s="80"/>
      <c r="DY1026" s="17"/>
      <c r="DZ1026" s="17"/>
      <c r="EA1026" s="17"/>
      <c r="EB1026" s="17"/>
      <c r="EC1026" s="80"/>
      <c r="ED1026" s="17"/>
      <c r="EE1026" s="17"/>
      <c r="EF1026" s="17"/>
      <c r="EG1026" s="17"/>
      <c r="EH1026" s="80"/>
      <c r="EI1026" s="25"/>
      <c r="EJ1026" s="17"/>
      <c r="EK1026" s="17"/>
      <c r="EL1026" s="17"/>
      <c r="EM1026" s="80"/>
      <c r="EN1026" s="17"/>
      <c r="EO1026" s="17"/>
      <c r="EP1026" s="17"/>
      <c r="EQ1026" s="17"/>
      <c r="ER1026" s="80"/>
      <c r="ES1026" s="17"/>
      <c r="ET1026" s="17"/>
      <c r="EU1026" s="17"/>
      <c r="EV1026" s="17"/>
      <c r="EW1026" s="80"/>
      <c r="EX1026" s="17"/>
      <c r="EY1026" s="17"/>
      <c r="EZ1026" s="17"/>
      <c r="FA1026" s="17"/>
      <c r="FB1026" s="80"/>
      <c r="FC1026" s="17"/>
      <c r="FD1026" s="17"/>
      <c r="FE1026" s="17"/>
      <c r="FF1026" s="17"/>
      <c r="FG1026" s="80"/>
      <c r="FH1026" s="146"/>
      <c r="FI1026" s="17"/>
      <c r="FJ1026" s="17"/>
      <c r="FK1026" s="112"/>
      <c r="FL1026" s="17"/>
    </row>
    <row r="1027" ht="12.75" hidden="1" customHeight="1" outlineLevel="1">
      <c r="A1027" s="4"/>
      <c r="B1027" s="4" t="s">
        <v>371</v>
      </c>
      <c r="C1027" s="4"/>
      <c r="D1027" s="17"/>
      <c r="E1027" s="17"/>
      <c r="F1027" s="17"/>
      <c r="G1027" s="17"/>
      <c r="H1027" s="112"/>
      <c r="I1027" s="17"/>
      <c r="J1027" s="17"/>
      <c r="K1027" s="17"/>
      <c r="L1027" s="17"/>
      <c r="M1027" s="112"/>
      <c r="N1027" s="17"/>
      <c r="O1027" s="17"/>
      <c r="P1027" s="17"/>
      <c r="Q1027" s="17"/>
      <c r="R1027" s="112"/>
      <c r="S1027" s="17"/>
      <c r="T1027" s="17"/>
      <c r="U1027" s="17"/>
      <c r="V1027" s="17"/>
      <c r="W1027" s="112"/>
      <c r="X1027" s="17"/>
      <c r="Y1027" s="17"/>
      <c r="Z1027" s="17"/>
      <c r="AA1027" s="17"/>
      <c r="AB1027" s="112"/>
      <c r="AC1027" s="17"/>
      <c r="AD1027" s="17"/>
      <c r="AE1027" s="17"/>
      <c r="AF1027" s="17"/>
      <c r="AG1027" s="112"/>
      <c r="AH1027" s="17"/>
      <c r="AI1027" s="17"/>
      <c r="AJ1027" s="17"/>
      <c r="AK1027" s="17"/>
      <c r="AL1027" s="112"/>
      <c r="AM1027" s="17"/>
      <c r="AN1027" s="17"/>
      <c r="AO1027" s="17"/>
      <c r="AP1027" s="17"/>
      <c r="AQ1027" s="112"/>
      <c r="AR1027" s="17"/>
      <c r="AS1027" s="17"/>
      <c r="AT1027" s="17"/>
      <c r="AU1027" s="17"/>
      <c r="AV1027" s="112"/>
      <c r="AW1027" s="17"/>
      <c r="AX1027" s="17"/>
      <c r="AY1027" s="17"/>
      <c r="AZ1027" s="17"/>
      <c r="BA1027" s="112"/>
      <c r="BB1027" s="17"/>
      <c r="BC1027" s="17"/>
      <c r="BD1027" s="17"/>
      <c r="BE1027" s="17"/>
      <c r="BF1027" s="112"/>
      <c r="BG1027" s="17"/>
      <c r="BH1027" s="17"/>
      <c r="BI1027" s="17"/>
      <c r="BJ1027" s="17"/>
      <c r="BK1027" s="112"/>
      <c r="BL1027" s="17"/>
      <c r="BM1027" s="17"/>
      <c r="BN1027" s="17"/>
      <c r="BO1027" s="17"/>
      <c r="BP1027" s="112"/>
      <c r="BQ1027" s="17"/>
      <c r="BR1027" s="17"/>
      <c r="BS1027" s="17"/>
      <c r="BT1027" s="17"/>
      <c r="BU1027" s="112"/>
      <c r="BV1027" s="17"/>
      <c r="BW1027" s="17"/>
      <c r="BX1027" s="17"/>
      <c r="BY1027" s="17"/>
      <c r="BZ1027" s="80">
        <v>5636.0</v>
      </c>
      <c r="CA1027" s="17"/>
      <c r="CB1027" s="17"/>
      <c r="CC1027" s="17"/>
      <c r="CD1027" s="17"/>
      <c r="CE1027" s="80">
        <v>7133.0</v>
      </c>
      <c r="CF1027" s="17"/>
      <c r="CG1027" s="17"/>
      <c r="CH1027" s="17"/>
      <c r="CI1027" s="17"/>
      <c r="CJ1027" s="80">
        <v>8299.0</v>
      </c>
      <c r="CK1027" s="17"/>
      <c r="CL1027" s="17"/>
      <c r="CM1027" s="17"/>
      <c r="CN1027" s="19"/>
      <c r="CO1027" s="80"/>
      <c r="CP1027" s="19"/>
      <c r="CQ1027" s="17"/>
      <c r="CR1027" s="17"/>
      <c r="CS1027" s="17"/>
      <c r="CT1027" s="80"/>
      <c r="CU1027" s="17"/>
      <c r="CV1027" s="17"/>
      <c r="CW1027" s="17"/>
      <c r="CX1027" s="17"/>
      <c r="CY1027" s="80"/>
      <c r="CZ1027" s="17"/>
      <c r="DA1027" s="17"/>
      <c r="DB1027" s="17"/>
      <c r="DC1027" s="17"/>
      <c r="DD1027" s="80"/>
      <c r="DE1027" s="17"/>
      <c r="DF1027" s="17"/>
      <c r="DG1027" s="19"/>
      <c r="DH1027" s="17"/>
      <c r="DI1027" s="80"/>
      <c r="DJ1027" s="19"/>
      <c r="DK1027" s="19"/>
      <c r="DL1027" s="19"/>
      <c r="DM1027" s="17"/>
      <c r="DN1027" s="80"/>
      <c r="DO1027" s="17"/>
      <c r="DP1027" s="17"/>
      <c r="DQ1027" s="17"/>
      <c r="DR1027" s="17"/>
      <c r="DS1027" s="80"/>
      <c r="DT1027" s="17"/>
      <c r="DU1027" s="17"/>
      <c r="DV1027" s="17"/>
      <c r="DW1027" s="17"/>
      <c r="DX1027" s="80"/>
      <c r="DY1027" s="17"/>
      <c r="DZ1027" s="17"/>
      <c r="EA1027" s="17"/>
      <c r="EB1027" s="17"/>
      <c r="EC1027" s="80"/>
      <c r="ED1027" s="17"/>
      <c r="EE1027" s="17"/>
      <c r="EF1027" s="17"/>
      <c r="EG1027" s="17"/>
      <c r="EH1027" s="80"/>
      <c r="EI1027" s="25"/>
      <c r="EJ1027" s="17"/>
      <c r="EK1027" s="17"/>
      <c r="EL1027" s="17"/>
      <c r="EM1027" s="80"/>
      <c r="EN1027" s="17"/>
      <c r="EO1027" s="17"/>
      <c r="EP1027" s="17"/>
      <c r="EQ1027" s="17"/>
      <c r="ER1027" s="80"/>
      <c r="ES1027" s="17"/>
      <c r="ET1027" s="17"/>
      <c r="EU1027" s="17"/>
      <c r="EV1027" s="17"/>
      <c r="EW1027" s="80"/>
      <c r="EX1027" s="17"/>
      <c r="EY1027" s="17"/>
      <c r="EZ1027" s="17"/>
      <c r="FA1027" s="17"/>
      <c r="FB1027" s="80"/>
      <c r="FC1027" s="17"/>
      <c r="FD1027" s="17"/>
      <c r="FE1027" s="17"/>
      <c r="FF1027" s="17"/>
      <c r="FG1027" s="80"/>
      <c r="FH1027" s="146"/>
      <c r="FI1027" s="17"/>
      <c r="FJ1027" s="17"/>
      <c r="FK1027" s="112"/>
      <c r="FL1027" s="17"/>
    </row>
    <row r="1028" ht="12.75" hidden="1" customHeight="1" outlineLevel="1">
      <c r="A1028" s="4"/>
      <c r="B1028" s="4" t="s">
        <v>366</v>
      </c>
      <c r="C1028" s="4"/>
      <c r="D1028" s="17"/>
      <c r="E1028" s="17"/>
      <c r="F1028" s="17"/>
      <c r="G1028" s="17"/>
      <c r="H1028" s="112"/>
      <c r="I1028" s="17"/>
      <c r="J1028" s="17"/>
      <c r="K1028" s="17"/>
      <c r="L1028" s="17"/>
      <c r="M1028" s="112"/>
      <c r="N1028" s="17"/>
      <c r="O1028" s="17"/>
      <c r="P1028" s="17"/>
      <c r="Q1028" s="17"/>
      <c r="R1028" s="112"/>
      <c r="S1028" s="17"/>
      <c r="T1028" s="17"/>
      <c r="U1028" s="17"/>
      <c r="V1028" s="17"/>
      <c r="W1028" s="112"/>
      <c r="X1028" s="17"/>
      <c r="Y1028" s="17"/>
      <c r="Z1028" s="17"/>
      <c r="AA1028" s="17"/>
      <c r="AB1028" s="112"/>
      <c r="AC1028" s="17"/>
      <c r="AD1028" s="17"/>
      <c r="AE1028" s="17"/>
      <c r="AF1028" s="17"/>
      <c r="AG1028" s="112"/>
      <c r="AH1028" s="17"/>
      <c r="AI1028" s="17"/>
      <c r="AJ1028" s="17"/>
      <c r="AK1028" s="17"/>
      <c r="AL1028" s="112"/>
      <c r="AM1028" s="17"/>
      <c r="AN1028" s="17"/>
      <c r="AO1028" s="17"/>
      <c r="AP1028" s="17"/>
      <c r="AQ1028" s="112"/>
      <c r="AR1028" s="17"/>
      <c r="AS1028" s="17"/>
      <c r="AT1028" s="17"/>
      <c r="AU1028" s="17"/>
      <c r="AV1028" s="112"/>
      <c r="AW1028" s="17"/>
      <c r="AX1028" s="17"/>
      <c r="AY1028" s="17"/>
      <c r="AZ1028" s="17"/>
      <c r="BA1028" s="112"/>
      <c r="BB1028" s="17"/>
      <c r="BC1028" s="17"/>
      <c r="BD1028" s="17"/>
      <c r="BE1028" s="17"/>
      <c r="BF1028" s="112"/>
      <c r="BG1028" s="17"/>
      <c r="BH1028" s="17"/>
      <c r="BI1028" s="17"/>
      <c r="BJ1028" s="17"/>
      <c r="BK1028" s="112"/>
      <c r="BL1028" s="17"/>
      <c r="BM1028" s="17"/>
      <c r="BN1028" s="17"/>
      <c r="BO1028" s="17"/>
      <c r="BP1028" s="112"/>
      <c r="BQ1028" s="17"/>
      <c r="BR1028" s="17"/>
      <c r="BS1028" s="17"/>
      <c r="BT1028" s="17"/>
      <c r="BU1028" s="112"/>
      <c r="BV1028" s="17"/>
      <c r="BW1028" s="17"/>
      <c r="BX1028" s="17"/>
      <c r="BY1028" s="17"/>
      <c r="BZ1028" s="80">
        <v>4655.0</v>
      </c>
      <c r="CA1028" s="17"/>
      <c r="CB1028" s="17"/>
      <c r="CC1028" s="17"/>
      <c r="CD1028" s="17"/>
      <c r="CE1028" s="80">
        <v>4538.0</v>
      </c>
      <c r="CF1028" s="17"/>
      <c r="CG1028" s="17"/>
      <c r="CH1028" s="17"/>
      <c r="CI1028" s="17"/>
      <c r="CJ1028" s="80">
        <v>4303.0</v>
      </c>
      <c r="CK1028" s="17"/>
      <c r="CL1028" s="17"/>
      <c r="CM1028" s="17"/>
      <c r="CN1028" s="19"/>
      <c r="CO1028" s="80"/>
      <c r="CP1028" s="19"/>
      <c r="CQ1028" s="17"/>
      <c r="CR1028" s="17"/>
      <c r="CS1028" s="17"/>
      <c r="CT1028" s="80"/>
      <c r="CU1028" s="17"/>
      <c r="CV1028" s="17"/>
      <c r="CW1028" s="17"/>
      <c r="CX1028" s="17"/>
      <c r="CY1028" s="80"/>
      <c r="CZ1028" s="17"/>
      <c r="DA1028" s="17"/>
      <c r="DB1028" s="17"/>
      <c r="DC1028" s="17"/>
      <c r="DD1028" s="80"/>
      <c r="DE1028" s="17"/>
      <c r="DF1028" s="17"/>
      <c r="DG1028" s="19"/>
      <c r="DH1028" s="17"/>
      <c r="DI1028" s="80"/>
      <c r="DJ1028" s="19"/>
      <c r="DK1028" s="19"/>
      <c r="DL1028" s="19"/>
      <c r="DM1028" s="17"/>
      <c r="DN1028" s="80"/>
      <c r="DO1028" s="17"/>
      <c r="DP1028" s="17"/>
      <c r="DQ1028" s="17"/>
      <c r="DR1028" s="17"/>
      <c r="DS1028" s="80"/>
      <c r="DT1028" s="17"/>
      <c r="DU1028" s="17"/>
      <c r="DV1028" s="17"/>
      <c r="DW1028" s="17"/>
      <c r="DX1028" s="80"/>
      <c r="DY1028" s="17"/>
      <c r="DZ1028" s="17"/>
      <c r="EA1028" s="17"/>
      <c r="EB1028" s="17"/>
      <c r="EC1028" s="80"/>
      <c r="ED1028" s="17"/>
      <c r="EE1028" s="17"/>
      <c r="EF1028" s="17"/>
      <c r="EG1028" s="17"/>
      <c r="EH1028" s="80"/>
      <c r="EI1028" s="25"/>
      <c r="EJ1028" s="17"/>
      <c r="EK1028" s="17"/>
      <c r="EL1028" s="17"/>
      <c r="EM1028" s="80"/>
      <c r="EN1028" s="17"/>
      <c r="EO1028" s="17"/>
      <c r="EP1028" s="17"/>
      <c r="EQ1028" s="17"/>
      <c r="ER1028" s="80"/>
      <c r="ES1028" s="17"/>
      <c r="ET1028" s="17"/>
      <c r="EU1028" s="17"/>
      <c r="EV1028" s="17"/>
      <c r="EW1028" s="80"/>
      <c r="EX1028" s="17"/>
      <c r="EY1028" s="17"/>
      <c r="EZ1028" s="17"/>
      <c r="FA1028" s="17"/>
      <c r="FB1028" s="80"/>
      <c r="FC1028" s="17"/>
      <c r="FD1028" s="17"/>
      <c r="FE1028" s="17"/>
      <c r="FF1028" s="17"/>
      <c r="FG1028" s="80"/>
      <c r="FH1028" s="146"/>
      <c r="FI1028" s="17"/>
      <c r="FJ1028" s="17"/>
      <c r="FK1028" s="112"/>
      <c r="FL1028" s="17"/>
    </row>
    <row r="1029" ht="12.75" hidden="1" customHeight="1" outlineLevel="1">
      <c r="A1029" s="4"/>
      <c r="B1029" s="4" t="s">
        <v>372</v>
      </c>
      <c r="C1029" s="4"/>
      <c r="D1029" s="17"/>
      <c r="E1029" s="17"/>
      <c r="F1029" s="17"/>
      <c r="G1029" s="17"/>
      <c r="H1029" s="112"/>
      <c r="I1029" s="17"/>
      <c r="J1029" s="17"/>
      <c r="K1029" s="17"/>
      <c r="L1029" s="17"/>
      <c r="M1029" s="112"/>
      <c r="N1029" s="17"/>
      <c r="O1029" s="17"/>
      <c r="P1029" s="17"/>
      <c r="Q1029" s="17"/>
      <c r="R1029" s="112"/>
      <c r="S1029" s="17"/>
      <c r="T1029" s="17"/>
      <c r="U1029" s="17"/>
      <c r="V1029" s="17"/>
      <c r="W1029" s="112"/>
      <c r="X1029" s="17"/>
      <c r="Y1029" s="17"/>
      <c r="Z1029" s="17"/>
      <c r="AA1029" s="17"/>
      <c r="AB1029" s="112"/>
      <c r="AC1029" s="17"/>
      <c r="AD1029" s="17"/>
      <c r="AE1029" s="17"/>
      <c r="AF1029" s="17"/>
      <c r="AG1029" s="112"/>
      <c r="AH1029" s="17"/>
      <c r="AI1029" s="17"/>
      <c r="AJ1029" s="17"/>
      <c r="AK1029" s="17"/>
      <c r="AL1029" s="112"/>
      <c r="AM1029" s="17"/>
      <c r="AN1029" s="17"/>
      <c r="AO1029" s="17"/>
      <c r="AP1029" s="17"/>
      <c r="AQ1029" s="112"/>
      <c r="AR1029" s="17"/>
      <c r="AS1029" s="17"/>
      <c r="AT1029" s="17"/>
      <c r="AU1029" s="17"/>
      <c r="AV1029" s="112"/>
      <c r="AW1029" s="17"/>
      <c r="AX1029" s="17"/>
      <c r="AY1029" s="17"/>
      <c r="AZ1029" s="17"/>
      <c r="BA1029" s="112"/>
      <c r="BB1029" s="17"/>
      <c r="BC1029" s="17"/>
      <c r="BD1029" s="17"/>
      <c r="BE1029" s="17"/>
      <c r="BF1029" s="112"/>
      <c r="BG1029" s="17"/>
      <c r="BH1029" s="17"/>
      <c r="BI1029" s="17"/>
      <c r="BJ1029" s="17"/>
      <c r="BK1029" s="112"/>
      <c r="BL1029" s="17"/>
      <c r="BM1029" s="17"/>
      <c r="BN1029" s="17"/>
      <c r="BO1029" s="17"/>
      <c r="BP1029" s="112"/>
      <c r="BQ1029" s="17"/>
      <c r="BR1029" s="17"/>
      <c r="BS1029" s="17"/>
      <c r="BT1029" s="17"/>
      <c r="BU1029" s="112"/>
      <c r="BV1029" s="17"/>
      <c r="BW1029" s="17"/>
      <c r="BX1029" s="17"/>
      <c r="BY1029" s="17"/>
      <c r="BZ1029" s="80">
        <v>9008.0</v>
      </c>
      <c r="CA1029" s="17"/>
      <c r="CB1029" s="17"/>
      <c r="CC1029" s="17"/>
      <c r="CD1029" s="17"/>
      <c r="CE1029" s="80">
        <v>11163.0</v>
      </c>
      <c r="CF1029" s="17"/>
      <c r="CG1029" s="17"/>
      <c r="CH1029" s="17"/>
      <c r="CI1029" s="17"/>
      <c r="CJ1029" s="80">
        <v>10442.0</v>
      </c>
      <c r="CK1029" s="17"/>
      <c r="CL1029" s="17"/>
      <c r="CM1029" s="17"/>
      <c r="CN1029" s="19"/>
      <c r="CO1029" s="80"/>
      <c r="CP1029" s="19"/>
      <c r="CQ1029" s="17"/>
      <c r="CR1029" s="17"/>
      <c r="CS1029" s="17"/>
      <c r="CT1029" s="80"/>
      <c r="CU1029" s="17"/>
      <c r="CV1029" s="17"/>
      <c r="CW1029" s="17"/>
      <c r="CX1029" s="17"/>
      <c r="CY1029" s="80"/>
      <c r="CZ1029" s="17"/>
      <c r="DA1029" s="17"/>
      <c r="DB1029" s="17"/>
      <c r="DC1029" s="17"/>
      <c r="DD1029" s="80"/>
      <c r="DE1029" s="17"/>
      <c r="DF1029" s="17"/>
      <c r="DG1029" s="19"/>
      <c r="DH1029" s="17"/>
      <c r="DI1029" s="80"/>
      <c r="DJ1029" s="19"/>
      <c r="DK1029" s="19"/>
      <c r="DL1029" s="19"/>
      <c r="DM1029" s="17"/>
      <c r="DN1029" s="80"/>
      <c r="DO1029" s="17"/>
      <c r="DP1029" s="17"/>
      <c r="DQ1029" s="17"/>
      <c r="DR1029" s="17"/>
      <c r="DS1029" s="80"/>
      <c r="DT1029" s="17"/>
      <c r="DU1029" s="17"/>
      <c r="DV1029" s="17"/>
      <c r="DW1029" s="17"/>
      <c r="DX1029" s="80"/>
      <c r="DY1029" s="17"/>
      <c r="DZ1029" s="17"/>
      <c r="EA1029" s="17"/>
      <c r="EB1029" s="17"/>
      <c r="EC1029" s="80"/>
      <c r="ED1029" s="17"/>
      <c r="EE1029" s="17"/>
      <c r="EF1029" s="17"/>
      <c r="EG1029" s="17"/>
      <c r="EH1029" s="80"/>
      <c r="EI1029" s="25"/>
      <c r="EJ1029" s="17"/>
      <c r="EK1029" s="17"/>
      <c r="EL1029" s="17"/>
      <c r="EM1029" s="80"/>
      <c r="EN1029" s="17"/>
      <c r="EO1029" s="17"/>
      <c r="EP1029" s="17"/>
      <c r="EQ1029" s="17"/>
      <c r="ER1029" s="80"/>
      <c r="ES1029" s="17"/>
      <c r="ET1029" s="17"/>
      <c r="EU1029" s="17"/>
      <c r="EV1029" s="17"/>
      <c r="EW1029" s="80"/>
      <c r="EX1029" s="17"/>
      <c r="EY1029" s="17"/>
      <c r="EZ1029" s="17"/>
      <c r="FA1029" s="17"/>
      <c r="FB1029" s="80"/>
      <c r="FC1029" s="17"/>
      <c r="FD1029" s="17"/>
      <c r="FE1029" s="17"/>
      <c r="FF1029" s="17"/>
      <c r="FG1029" s="80"/>
      <c r="FH1029" s="146"/>
      <c r="FI1029" s="17"/>
      <c r="FJ1029" s="17"/>
      <c r="FK1029" s="112"/>
      <c r="FL1029" s="17"/>
    </row>
    <row r="1030" ht="13.5" hidden="1" customHeight="1" outlineLevel="1">
      <c r="A1030" s="4"/>
      <c r="B1030" s="529" t="s">
        <v>291</v>
      </c>
      <c r="C1030" s="529"/>
      <c r="D1030" s="164"/>
      <c r="E1030" s="164"/>
      <c r="F1030" s="164"/>
      <c r="G1030" s="164"/>
      <c r="H1030" s="164"/>
      <c r="I1030" s="164"/>
      <c r="J1030" s="164"/>
      <c r="K1030" s="164"/>
      <c r="L1030" s="164"/>
      <c r="M1030" s="164"/>
      <c r="N1030" s="164"/>
      <c r="O1030" s="164"/>
      <c r="P1030" s="164"/>
      <c r="Q1030" s="164"/>
      <c r="R1030" s="164"/>
      <c r="S1030" s="164">
        <f t="shared" ref="S1030:BC1030" si="5378">SUM(S1024:S1028)</f>
        <v>0</v>
      </c>
      <c r="T1030" s="164">
        <f t="shared" si="5378"/>
        <v>0</v>
      </c>
      <c r="U1030" s="164">
        <f t="shared" si="5378"/>
        <v>0</v>
      </c>
      <c r="V1030" s="164">
        <f t="shared" si="5378"/>
        <v>0</v>
      </c>
      <c r="W1030" s="164">
        <f t="shared" si="5378"/>
        <v>0</v>
      </c>
      <c r="X1030" s="164">
        <f t="shared" si="5378"/>
        <v>0</v>
      </c>
      <c r="Y1030" s="164">
        <f t="shared" si="5378"/>
        <v>0</v>
      </c>
      <c r="Z1030" s="164">
        <f t="shared" si="5378"/>
        <v>0</v>
      </c>
      <c r="AA1030" s="164">
        <f t="shared" si="5378"/>
        <v>0</v>
      </c>
      <c r="AB1030" s="164">
        <f t="shared" si="5378"/>
        <v>0</v>
      </c>
      <c r="AC1030" s="164">
        <f t="shared" si="5378"/>
        <v>0</v>
      </c>
      <c r="AD1030" s="164">
        <f t="shared" si="5378"/>
        <v>0</v>
      </c>
      <c r="AE1030" s="164">
        <f t="shared" si="5378"/>
        <v>0</v>
      </c>
      <c r="AF1030" s="164">
        <f t="shared" si="5378"/>
        <v>0</v>
      </c>
      <c r="AG1030" s="164">
        <f t="shared" si="5378"/>
        <v>0</v>
      </c>
      <c r="AH1030" s="164">
        <f t="shared" si="5378"/>
        <v>0</v>
      </c>
      <c r="AI1030" s="164">
        <f t="shared" si="5378"/>
        <v>0</v>
      </c>
      <c r="AJ1030" s="164">
        <f t="shared" si="5378"/>
        <v>0</v>
      </c>
      <c r="AK1030" s="164">
        <f t="shared" si="5378"/>
        <v>0</v>
      </c>
      <c r="AL1030" s="164">
        <f t="shared" si="5378"/>
        <v>0</v>
      </c>
      <c r="AM1030" s="164">
        <f t="shared" si="5378"/>
        <v>0</v>
      </c>
      <c r="AN1030" s="164">
        <f t="shared" si="5378"/>
        <v>0</v>
      </c>
      <c r="AO1030" s="164">
        <f t="shared" si="5378"/>
        <v>0</v>
      </c>
      <c r="AP1030" s="164">
        <f t="shared" si="5378"/>
        <v>0</v>
      </c>
      <c r="AQ1030" s="164">
        <f t="shared" si="5378"/>
        <v>0</v>
      </c>
      <c r="AR1030" s="164">
        <f t="shared" si="5378"/>
        <v>0</v>
      </c>
      <c r="AS1030" s="164">
        <f t="shared" si="5378"/>
        <v>0</v>
      </c>
      <c r="AT1030" s="164">
        <f t="shared" si="5378"/>
        <v>0</v>
      </c>
      <c r="AU1030" s="164">
        <f t="shared" si="5378"/>
        <v>0</v>
      </c>
      <c r="AV1030" s="164">
        <f t="shared" si="5378"/>
        <v>0</v>
      </c>
      <c r="AW1030" s="164">
        <f t="shared" si="5378"/>
        <v>0</v>
      </c>
      <c r="AX1030" s="164">
        <f t="shared" si="5378"/>
        <v>0</v>
      </c>
      <c r="AY1030" s="164">
        <f t="shared" si="5378"/>
        <v>0</v>
      </c>
      <c r="AZ1030" s="164">
        <f t="shared" si="5378"/>
        <v>0</v>
      </c>
      <c r="BA1030" s="164">
        <f t="shared" si="5378"/>
        <v>0</v>
      </c>
      <c r="BB1030" s="164">
        <f t="shared" si="5378"/>
        <v>0</v>
      </c>
      <c r="BC1030" s="164">
        <f t="shared" si="5378"/>
        <v>0</v>
      </c>
      <c r="BD1030" s="164">
        <f>Sales</f>
        <v>8739</v>
      </c>
      <c r="BE1030" s="164">
        <f>Sales</f>
        <v>9694</v>
      </c>
      <c r="BF1030" s="164">
        <f t="shared" ref="BF1030:BH1030" si="5379">SUM(BF1024:BF1028)</f>
        <v>0</v>
      </c>
      <c r="BG1030" s="164">
        <f t="shared" si="5379"/>
        <v>0</v>
      </c>
      <c r="BH1030" s="164">
        <f t="shared" si="5379"/>
        <v>0</v>
      </c>
      <c r="BI1030" s="164">
        <f>Sales</f>
        <v>10090</v>
      </c>
      <c r="BJ1030" s="164">
        <f>Sales</f>
        <v>10712</v>
      </c>
      <c r="BK1030" s="164">
        <f>SUM(BK1024:BK1028)</f>
        <v>0</v>
      </c>
      <c r="BL1030" s="164">
        <f>Sales</f>
        <v>9673</v>
      </c>
      <c r="BM1030" s="164">
        <f>Sales</f>
        <v>9470</v>
      </c>
      <c r="BN1030" s="164">
        <f>Sales</f>
        <v>10217</v>
      </c>
      <c r="BO1030" s="164">
        <f>Sales</f>
        <v>8226</v>
      </c>
      <c r="BP1030" s="164">
        <f>SUM(BP1024:BP1028)</f>
        <v>0</v>
      </c>
      <c r="BQ1030" s="164">
        <f>Sales</f>
        <v>7145</v>
      </c>
      <c r="BR1030" s="164">
        <f>Sales</f>
        <v>8024</v>
      </c>
      <c r="BS1030" s="164">
        <f>Sales</f>
        <v>9389</v>
      </c>
      <c r="BT1030" s="164">
        <f>Sales</f>
        <v>10569</v>
      </c>
      <c r="BU1030" s="164">
        <f>SUM(BU1024:BU1028)</f>
        <v>0</v>
      </c>
      <c r="BV1030" s="164">
        <f>Sales</f>
        <v>10299</v>
      </c>
      <c r="BW1030" s="164">
        <f>Sales</f>
        <v>10765</v>
      </c>
      <c r="BX1030" s="164">
        <f>Sales</f>
        <v>11102</v>
      </c>
      <c r="BY1030" s="164">
        <f>Sales</f>
        <v>11457</v>
      </c>
      <c r="BZ1030" s="165">
        <f>SUM(BZ1024:BZ1029)</f>
        <v>43623</v>
      </c>
      <c r="CA1030" s="164">
        <f>Sales</f>
        <v>12847</v>
      </c>
      <c r="CB1030" s="164">
        <f>Sales</f>
        <v>13032</v>
      </c>
      <c r="CC1030" s="164">
        <f>Sales</f>
        <v>14233</v>
      </c>
      <c r="CD1030" s="164">
        <f>Sales</f>
        <v>13887</v>
      </c>
      <c r="CE1030" s="165">
        <f>SUM(CE1024:CE1029)</f>
        <v>53999</v>
      </c>
      <c r="CF1030" s="164">
        <f>Sales</f>
        <v>12906</v>
      </c>
      <c r="CG1030" s="164">
        <f>Sales</f>
        <v>13501</v>
      </c>
      <c r="CH1030" s="164">
        <f>Sales</f>
        <v>13457</v>
      </c>
      <c r="CI1030" s="164">
        <f>Sales</f>
        <v>13477</v>
      </c>
      <c r="CJ1030" s="165">
        <f>SUM(CJ1024:CJ1029)</f>
        <v>53341</v>
      </c>
      <c r="CK1030" s="164">
        <f>Sales</f>
        <v>12580</v>
      </c>
      <c r="CL1030" s="164"/>
      <c r="CM1030" s="164"/>
      <c r="CN1030" s="583"/>
      <c r="CO1030" s="165"/>
      <c r="CP1030" s="583"/>
      <c r="CQ1030" s="164"/>
      <c r="CR1030" s="164"/>
      <c r="CS1030" s="164"/>
      <c r="CT1030" s="165"/>
      <c r="CU1030" s="164"/>
      <c r="CV1030" s="164"/>
      <c r="CW1030" s="164"/>
      <c r="CX1030" s="164"/>
      <c r="CY1030" s="165"/>
      <c r="CZ1030" s="164"/>
      <c r="DA1030" s="164"/>
      <c r="DB1030" s="164"/>
      <c r="DC1030" s="164"/>
      <c r="DD1030" s="165"/>
      <c r="DE1030" s="164"/>
      <c r="DF1030" s="164"/>
      <c r="DG1030" s="146"/>
      <c r="DH1030" s="164"/>
      <c r="DI1030" s="165"/>
      <c r="DJ1030" s="583"/>
      <c r="DK1030" s="583"/>
      <c r="DL1030" s="583"/>
      <c r="DM1030" s="164"/>
      <c r="DN1030" s="165"/>
      <c r="DO1030" s="164"/>
      <c r="DP1030" s="164"/>
      <c r="DQ1030" s="164"/>
      <c r="DR1030" s="164"/>
      <c r="DS1030" s="165"/>
      <c r="DT1030" s="164"/>
      <c r="DU1030" s="164"/>
      <c r="DV1030" s="164"/>
      <c r="DW1030" s="164"/>
      <c r="DX1030" s="165"/>
      <c r="DY1030" s="164"/>
      <c r="DZ1030" s="164"/>
      <c r="EA1030" s="164"/>
      <c r="EB1030" s="164"/>
      <c r="EC1030" s="165"/>
      <c r="ED1030" s="164"/>
      <c r="EE1030" s="164"/>
      <c r="EF1030" s="164"/>
      <c r="EG1030" s="164"/>
      <c r="EH1030" s="165"/>
      <c r="EI1030" s="584"/>
      <c r="EJ1030" s="164"/>
      <c r="EK1030" s="164"/>
      <c r="EL1030" s="164"/>
      <c r="EM1030" s="165"/>
      <c r="EN1030" s="164"/>
      <c r="EO1030" s="164"/>
      <c r="EP1030" s="164"/>
      <c r="EQ1030" s="164"/>
      <c r="ER1030" s="165"/>
      <c r="ES1030" s="164"/>
      <c r="ET1030" s="164"/>
      <c r="EU1030" s="164"/>
      <c r="EV1030" s="164"/>
      <c r="EW1030" s="165"/>
      <c r="EX1030" s="164"/>
      <c r="EY1030" s="164"/>
      <c r="EZ1030" s="164"/>
      <c r="FA1030" s="164"/>
      <c r="FB1030" s="165"/>
      <c r="FC1030" s="164"/>
      <c r="FD1030" s="164"/>
      <c r="FE1030" s="164"/>
      <c r="FF1030" s="164"/>
      <c r="FG1030" s="165"/>
      <c r="FH1030" s="583"/>
      <c r="FI1030" s="164"/>
      <c r="FJ1030" s="164"/>
      <c r="FK1030" s="164"/>
      <c r="FL1030" s="164"/>
    </row>
    <row r="1031" ht="12.75" hidden="1" customHeight="1" outlineLevel="1">
      <c r="A1031" s="4"/>
      <c r="B1031" s="45"/>
      <c r="C1031" s="45"/>
      <c r="D1031" s="112"/>
      <c r="E1031" s="112"/>
      <c r="F1031" s="112"/>
      <c r="G1031" s="112"/>
      <c r="H1031" s="112"/>
      <c r="I1031" s="112"/>
      <c r="J1031" s="112"/>
      <c r="K1031" s="112"/>
      <c r="L1031" s="112"/>
      <c r="M1031" s="112"/>
      <c r="N1031" s="112"/>
      <c r="O1031" s="112"/>
      <c r="P1031" s="112"/>
      <c r="Q1031" s="112"/>
      <c r="R1031" s="112"/>
      <c r="S1031" s="112"/>
      <c r="T1031" s="112"/>
      <c r="U1031" s="112"/>
      <c r="V1031" s="112"/>
      <c r="W1031" s="112"/>
      <c r="X1031" s="112"/>
      <c r="Y1031" s="112"/>
      <c r="Z1031" s="112"/>
      <c r="AA1031" s="112"/>
      <c r="AB1031" s="112"/>
      <c r="AC1031" s="112"/>
      <c r="AD1031" s="112"/>
      <c r="AE1031" s="112"/>
      <c r="AF1031" s="112"/>
      <c r="AG1031" s="112"/>
      <c r="AH1031" s="112"/>
      <c r="AI1031" s="112"/>
      <c r="AJ1031" s="112"/>
      <c r="AK1031" s="112"/>
      <c r="AL1031" s="112"/>
      <c r="AM1031" s="112"/>
      <c r="AN1031" s="112"/>
      <c r="AO1031" s="112"/>
      <c r="AP1031" s="112"/>
      <c r="AQ1031" s="112"/>
      <c r="AR1031" s="112"/>
      <c r="AS1031" s="112"/>
      <c r="AT1031" s="112"/>
      <c r="AU1031" s="112"/>
      <c r="AV1031" s="112"/>
      <c r="AW1031" s="112"/>
      <c r="AX1031" s="112"/>
      <c r="AY1031" s="112"/>
      <c r="AZ1031" s="112"/>
      <c r="BA1031" s="112"/>
      <c r="BB1031" s="112"/>
      <c r="BC1031" s="112"/>
      <c r="BD1031" s="112"/>
      <c r="BE1031" s="112"/>
      <c r="BF1031" s="112"/>
      <c r="BG1031" s="112"/>
      <c r="BH1031" s="112"/>
      <c r="BI1031" s="112"/>
      <c r="BJ1031" s="112"/>
      <c r="BK1031" s="112"/>
      <c r="BL1031" s="112"/>
      <c r="BM1031" s="112"/>
      <c r="BN1031" s="112"/>
      <c r="BO1031" s="112"/>
      <c r="BP1031" s="112"/>
      <c r="BQ1031" s="112"/>
      <c r="BR1031" s="112"/>
      <c r="BS1031" s="112"/>
      <c r="BT1031" s="112"/>
      <c r="BU1031" s="112"/>
      <c r="BV1031" s="112"/>
      <c r="BW1031" s="112"/>
      <c r="BX1031" s="112"/>
      <c r="BY1031" s="112"/>
      <c r="BZ1031" s="80"/>
      <c r="CA1031" s="112"/>
      <c r="CB1031" s="112"/>
      <c r="CC1031" s="112"/>
      <c r="CD1031" s="112"/>
      <c r="CE1031" s="80"/>
      <c r="CF1031" s="112"/>
      <c r="CG1031" s="112"/>
      <c r="CH1031" s="112"/>
      <c r="CI1031" s="112"/>
      <c r="CJ1031" s="80"/>
      <c r="CK1031" s="112"/>
      <c r="CL1031" s="112"/>
      <c r="CM1031" s="112"/>
      <c r="CN1031" s="146"/>
      <c r="CO1031" s="80"/>
      <c r="CP1031" s="146"/>
      <c r="CQ1031" s="112"/>
      <c r="CR1031" s="112"/>
      <c r="CS1031" s="112"/>
      <c r="CT1031" s="80"/>
      <c r="CU1031" s="112"/>
      <c r="CV1031" s="112"/>
      <c r="CW1031" s="112"/>
      <c r="CX1031" s="112"/>
      <c r="CY1031" s="80"/>
      <c r="CZ1031" s="112"/>
      <c r="DA1031" s="112"/>
      <c r="DB1031" s="112"/>
      <c r="DC1031" s="112"/>
      <c r="DD1031" s="80"/>
      <c r="DE1031" s="112"/>
      <c r="DF1031" s="112"/>
      <c r="DG1031" s="146"/>
      <c r="DH1031" s="112"/>
      <c r="DI1031" s="80"/>
      <c r="DJ1031" s="146"/>
      <c r="DK1031" s="146"/>
      <c r="DL1031" s="146"/>
      <c r="DM1031" s="112"/>
      <c r="DN1031" s="80"/>
      <c r="DO1031" s="112"/>
      <c r="DP1031" s="112"/>
      <c r="DQ1031" s="112"/>
      <c r="DR1031" s="112"/>
      <c r="DS1031" s="80"/>
      <c r="DT1031" s="112"/>
      <c r="DU1031" s="112"/>
      <c r="DV1031" s="112"/>
      <c r="DW1031" s="112"/>
      <c r="DX1031" s="80"/>
      <c r="DY1031" s="112"/>
      <c r="DZ1031" s="112"/>
      <c r="EA1031" s="112"/>
      <c r="EB1031" s="112"/>
      <c r="EC1031" s="80"/>
      <c r="ED1031" s="112"/>
      <c r="EE1031" s="112"/>
      <c r="EF1031" s="112"/>
      <c r="EG1031" s="112"/>
      <c r="EH1031" s="80"/>
      <c r="EI1031" s="110"/>
      <c r="EJ1031" s="112"/>
      <c r="EK1031" s="112"/>
      <c r="EL1031" s="112"/>
      <c r="EM1031" s="80"/>
      <c r="EN1031" s="112"/>
      <c r="EO1031" s="112"/>
      <c r="EP1031" s="112"/>
      <c r="EQ1031" s="112"/>
      <c r="ER1031" s="80"/>
      <c r="ES1031" s="112"/>
      <c r="ET1031" s="112"/>
      <c r="EU1031" s="112"/>
      <c r="EV1031" s="112"/>
      <c r="EW1031" s="80"/>
      <c r="EX1031" s="112"/>
      <c r="EY1031" s="112"/>
      <c r="EZ1031" s="112"/>
      <c r="FA1031" s="112"/>
      <c r="FB1031" s="80"/>
      <c r="FC1031" s="112"/>
      <c r="FD1031" s="112"/>
      <c r="FE1031" s="112"/>
      <c r="FF1031" s="112"/>
      <c r="FG1031" s="80"/>
      <c r="FH1031" s="146"/>
      <c r="FI1031" s="112"/>
      <c r="FJ1031" s="112"/>
      <c r="FK1031" s="112"/>
      <c r="FL1031" s="112"/>
    </row>
    <row r="1032" ht="12.75" hidden="1" customHeight="1" outlineLevel="1">
      <c r="A1032" s="4"/>
      <c r="B1032" s="4"/>
      <c r="C1032" s="4"/>
      <c r="D1032" s="4"/>
      <c r="E1032" s="4"/>
      <c r="F1032" s="4"/>
      <c r="G1032" s="4"/>
      <c r="H1032" s="8"/>
      <c r="I1032" s="4"/>
      <c r="J1032" s="4"/>
      <c r="K1032" s="4"/>
      <c r="L1032" s="4"/>
      <c r="M1032" s="8"/>
      <c r="N1032" s="4"/>
      <c r="O1032" s="4"/>
      <c r="P1032" s="4"/>
      <c r="Q1032" s="4"/>
      <c r="R1032" s="8"/>
      <c r="S1032" s="4"/>
      <c r="T1032" s="4"/>
      <c r="U1032" s="4"/>
      <c r="V1032" s="4"/>
      <c r="W1032" s="8"/>
      <c r="X1032" s="4"/>
      <c r="Y1032" s="4"/>
      <c r="Z1032" s="4"/>
      <c r="AA1032" s="4"/>
      <c r="AB1032" s="8"/>
      <c r="AC1032" s="4"/>
      <c r="AD1032" s="4"/>
      <c r="AE1032" s="4"/>
      <c r="AF1032" s="4"/>
      <c r="AG1032" s="8"/>
      <c r="AH1032" s="4"/>
      <c r="AI1032" s="4"/>
      <c r="AJ1032" s="4"/>
      <c r="AK1032" s="4"/>
      <c r="AL1032" s="8"/>
      <c r="AM1032" s="4"/>
      <c r="AN1032" s="4"/>
      <c r="AO1032" s="4"/>
      <c r="AP1032" s="4"/>
      <c r="AQ1032" s="8"/>
      <c r="AR1032" s="4"/>
      <c r="AS1032" s="4"/>
      <c r="AT1032" s="4"/>
      <c r="AU1032" s="4"/>
      <c r="AV1032" s="8"/>
      <c r="AW1032" s="4"/>
      <c r="AX1032" s="4"/>
      <c r="AY1032" s="4"/>
      <c r="AZ1032" s="4"/>
      <c r="BA1032" s="8"/>
      <c r="BB1032" s="4"/>
      <c r="BC1032" s="4"/>
      <c r="BD1032" s="4"/>
      <c r="BE1032" s="4"/>
      <c r="BF1032" s="8"/>
      <c r="BG1032" s="4"/>
      <c r="BH1032" s="4"/>
      <c r="BI1032" s="4"/>
      <c r="BJ1032" s="4"/>
      <c r="BK1032" s="8"/>
      <c r="BL1032" s="4"/>
      <c r="BM1032" s="4"/>
      <c r="BN1032" s="4"/>
      <c r="BO1032" s="4"/>
      <c r="BP1032" s="8"/>
      <c r="BQ1032" s="4"/>
      <c r="BR1032" s="4"/>
      <c r="BS1032" s="4"/>
      <c r="BT1032" s="4"/>
      <c r="BU1032" s="8"/>
      <c r="BV1032" s="4"/>
      <c r="BW1032" s="4"/>
      <c r="BX1032" s="4"/>
      <c r="BY1032" s="4"/>
      <c r="BZ1032" s="10"/>
      <c r="CA1032" s="4"/>
      <c r="CB1032" s="4"/>
      <c r="CC1032" s="4"/>
      <c r="CD1032" s="4"/>
      <c r="CE1032" s="10"/>
      <c r="CF1032" s="4"/>
      <c r="CG1032" s="4"/>
      <c r="CH1032" s="4"/>
      <c r="CI1032" s="4"/>
      <c r="CJ1032" s="10"/>
      <c r="CK1032" s="4"/>
      <c r="CL1032" s="4"/>
      <c r="CM1032" s="4"/>
      <c r="CN1032" s="16"/>
      <c r="CO1032" s="10"/>
      <c r="CP1032" s="16"/>
      <c r="CQ1032" s="4"/>
      <c r="CR1032" s="4"/>
      <c r="CS1032" s="4"/>
      <c r="CT1032" s="10"/>
      <c r="CU1032" s="4"/>
      <c r="CV1032" s="4"/>
      <c r="CW1032" s="4"/>
      <c r="CX1032" s="4"/>
      <c r="CY1032" s="10"/>
      <c r="CZ1032" s="4"/>
      <c r="DA1032" s="4"/>
      <c r="DB1032" s="4"/>
      <c r="DC1032" s="4"/>
      <c r="DD1032" s="10"/>
      <c r="DE1032" s="4"/>
      <c r="DF1032" s="4"/>
      <c r="DG1032" s="16"/>
      <c r="DH1032" s="4"/>
      <c r="DI1032" s="10"/>
      <c r="DJ1032" s="16"/>
      <c r="DK1032" s="16"/>
      <c r="DL1032" s="16"/>
      <c r="DM1032" s="4"/>
      <c r="DN1032" s="10"/>
      <c r="DO1032" s="4"/>
      <c r="DP1032" s="4"/>
      <c r="DQ1032" s="4"/>
      <c r="DR1032" s="4"/>
      <c r="DS1032" s="10"/>
      <c r="DT1032" s="4"/>
      <c r="DU1032" s="4"/>
      <c r="DV1032" s="4"/>
      <c r="DW1032" s="4"/>
      <c r="DX1032" s="10"/>
      <c r="DY1032" s="4"/>
      <c r="DZ1032" s="4"/>
      <c r="EA1032" s="4"/>
      <c r="EB1032" s="4"/>
      <c r="EC1032" s="10"/>
      <c r="ED1032" s="4"/>
      <c r="EE1032" s="4"/>
      <c r="EF1032" s="4"/>
      <c r="EG1032" s="4"/>
      <c r="EH1032" s="10"/>
      <c r="EI1032" s="214"/>
      <c r="EJ1032" s="4"/>
      <c r="EK1032" s="4"/>
      <c r="EL1032" s="4"/>
      <c r="EM1032" s="10"/>
      <c r="EN1032" s="4"/>
      <c r="EO1032" s="4"/>
      <c r="EP1032" s="4"/>
      <c r="EQ1032" s="4"/>
      <c r="ER1032" s="10"/>
      <c r="ES1032" s="4"/>
      <c r="ET1032" s="4"/>
      <c r="EU1032" s="4"/>
      <c r="EV1032" s="4"/>
      <c r="EW1032" s="10"/>
      <c r="EX1032" s="4"/>
      <c r="EY1032" s="4"/>
      <c r="EZ1032" s="4"/>
      <c r="FA1032" s="4"/>
      <c r="FB1032" s="10"/>
      <c r="FC1032" s="4"/>
      <c r="FD1032" s="4"/>
      <c r="FE1032" s="4"/>
      <c r="FF1032" s="4"/>
      <c r="FG1032" s="10"/>
      <c r="FH1032" s="21"/>
      <c r="FI1032" s="4"/>
      <c r="FJ1032" s="4"/>
      <c r="FK1032" s="8"/>
      <c r="FL1032" s="4"/>
    </row>
    <row r="1033" ht="12.75" hidden="1" customHeight="1" outlineLevel="1">
      <c r="A1033" s="4"/>
      <c r="B1033" s="578" t="s">
        <v>373</v>
      </c>
      <c r="C1033" s="90"/>
      <c r="D1033" s="90"/>
      <c r="E1033" s="90"/>
      <c r="F1033" s="90"/>
      <c r="G1033" s="90"/>
      <c r="H1033" s="726"/>
      <c r="I1033" s="90"/>
      <c r="J1033" s="90"/>
      <c r="K1033" s="90"/>
      <c r="L1033" s="90"/>
      <c r="M1033" s="726"/>
      <c r="N1033" s="90"/>
      <c r="O1033" s="90"/>
      <c r="P1033" s="90"/>
      <c r="Q1033" s="90"/>
      <c r="R1033" s="726"/>
      <c r="S1033" s="90"/>
      <c r="T1033" s="90"/>
      <c r="U1033" s="90"/>
      <c r="V1033" s="90"/>
      <c r="W1033" s="726"/>
      <c r="X1033" s="90"/>
      <c r="Y1033" s="90"/>
      <c r="Z1033" s="90"/>
      <c r="AA1033" s="90"/>
      <c r="AB1033" s="726"/>
      <c r="AC1033" s="90"/>
      <c r="AD1033" s="90"/>
      <c r="AE1033" s="90"/>
      <c r="AF1033" s="90"/>
      <c r="AG1033" s="726"/>
      <c r="AH1033" s="90"/>
      <c r="AI1033" s="90"/>
      <c r="AJ1033" s="90"/>
      <c r="AK1033" s="90"/>
      <c r="AL1033" s="726"/>
      <c r="AM1033" s="90"/>
      <c r="AN1033" s="90"/>
      <c r="AO1033" s="90"/>
      <c r="AP1033" s="90"/>
      <c r="AQ1033" s="726"/>
      <c r="AR1033" s="90"/>
      <c r="AS1033" s="90"/>
      <c r="AT1033" s="90"/>
      <c r="AU1033" s="90"/>
      <c r="AV1033" s="726"/>
      <c r="AW1033" s="90"/>
      <c r="AX1033" s="90"/>
      <c r="AY1033" s="90"/>
      <c r="AZ1033" s="90"/>
      <c r="BA1033" s="726"/>
      <c r="BB1033" s="90"/>
      <c r="BC1033" s="90"/>
      <c r="BD1033" s="90"/>
      <c r="BE1033" s="90"/>
      <c r="BF1033" s="726"/>
      <c r="BG1033" s="90"/>
      <c r="BH1033" s="90"/>
      <c r="BI1033" s="90"/>
      <c r="BJ1033" s="90"/>
      <c r="BK1033" s="726"/>
      <c r="BL1033" s="90"/>
      <c r="BM1033" s="90"/>
      <c r="BN1033" s="90"/>
      <c r="BO1033" s="90"/>
      <c r="BP1033" s="726"/>
      <c r="BQ1033" s="90"/>
      <c r="BR1033" s="90"/>
      <c r="BS1033" s="90"/>
      <c r="BT1033" s="90"/>
      <c r="BU1033" s="726"/>
      <c r="BV1033" s="90"/>
      <c r="BW1033" s="90"/>
      <c r="BX1033" s="90"/>
      <c r="BY1033" s="90"/>
      <c r="BZ1033" s="303"/>
      <c r="CA1033" s="90"/>
      <c r="CB1033" s="90"/>
      <c r="CC1033" s="90"/>
      <c r="CD1033" s="90"/>
      <c r="CE1033" s="303"/>
      <c r="CF1033" s="90"/>
      <c r="CG1033" s="90"/>
      <c r="CH1033" s="90"/>
      <c r="CI1033" s="90"/>
      <c r="CJ1033" s="303"/>
      <c r="CK1033" s="90"/>
      <c r="CL1033" s="90"/>
      <c r="CM1033" s="90"/>
      <c r="CN1033" s="135"/>
      <c r="CO1033" s="303"/>
      <c r="CP1033" s="135"/>
      <c r="CQ1033" s="90"/>
      <c r="CR1033" s="90"/>
      <c r="CS1033" s="90"/>
      <c r="CT1033" s="303"/>
      <c r="CU1033" s="90"/>
      <c r="CV1033" s="90"/>
      <c r="CW1033" s="90"/>
      <c r="CX1033" s="90"/>
      <c r="CY1033" s="303"/>
      <c r="CZ1033" s="90"/>
      <c r="DA1033" s="90"/>
      <c r="DB1033" s="90"/>
      <c r="DC1033" s="90"/>
      <c r="DD1033" s="303"/>
      <c r="DE1033" s="90"/>
      <c r="DF1033" s="90"/>
      <c r="DG1033" s="16"/>
      <c r="DH1033" s="90"/>
      <c r="DI1033" s="303"/>
      <c r="DJ1033" s="135"/>
      <c r="DK1033" s="135"/>
      <c r="DL1033" s="135"/>
      <c r="DM1033" s="90"/>
      <c r="DN1033" s="303"/>
      <c r="DO1033" s="90"/>
      <c r="DP1033" s="90"/>
      <c r="DQ1033" s="90"/>
      <c r="DR1033" s="90"/>
      <c r="DS1033" s="303"/>
      <c r="DT1033" s="90"/>
      <c r="DU1033" s="90"/>
      <c r="DV1033" s="90"/>
      <c r="DW1033" s="90"/>
      <c r="DX1033" s="303"/>
      <c r="DY1033" s="90"/>
      <c r="DZ1033" s="90"/>
      <c r="EA1033" s="90"/>
      <c r="EB1033" s="90"/>
      <c r="EC1033" s="303"/>
      <c r="ED1033" s="90"/>
      <c r="EE1033" s="90"/>
      <c r="EF1033" s="90"/>
      <c r="EG1033" s="90"/>
      <c r="EH1033" s="303"/>
      <c r="EI1033" s="389"/>
      <c r="EJ1033" s="90"/>
      <c r="EK1033" s="90"/>
      <c r="EL1033" s="90"/>
      <c r="EM1033" s="303"/>
      <c r="EN1033" s="90"/>
      <c r="EO1033" s="90"/>
      <c r="EP1033" s="90"/>
      <c r="EQ1033" s="90"/>
      <c r="ER1033" s="303"/>
      <c r="ES1033" s="90"/>
      <c r="ET1033" s="90"/>
      <c r="EU1033" s="90"/>
      <c r="EV1033" s="90"/>
      <c r="EW1033" s="303"/>
      <c r="EX1033" s="90"/>
      <c r="EY1033" s="90"/>
      <c r="EZ1033" s="90"/>
      <c r="FA1033" s="90"/>
      <c r="FB1033" s="303"/>
      <c r="FC1033" s="90"/>
      <c r="FD1033" s="90"/>
      <c r="FE1033" s="90"/>
      <c r="FF1033" s="90"/>
      <c r="FG1033" s="303"/>
      <c r="FH1033" s="727"/>
      <c r="FI1033" s="90"/>
      <c r="FJ1033" s="90"/>
      <c r="FK1033" s="726"/>
      <c r="FL1033" s="90"/>
    </row>
    <row r="1034" ht="12.75" hidden="1" customHeight="1" outlineLevel="1">
      <c r="A1034" s="4"/>
      <c r="B1034" s="4" t="s">
        <v>363</v>
      </c>
      <c r="C1034" s="4"/>
      <c r="D1034" s="15"/>
      <c r="E1034" s="15"/>
      <c r="F1034" s="15"/>
      <c r="G1034" s="15"/>
      <c r="H1034" s="309"/>
      <c r="I1034" s="15"/>
      <c r="J1034" s="15"/>
      <c r="K1034" s="15"/>
      <c r="L1034" s="15"/>
      <c r="M1034" s="309"/>
      <c r="N1034" s="15"/>
      <c r="O1034" s="15"/>
      <c r="P1034" s="15"/>
      <c r="Q1034" s="15"/>
      <c r="R1034" s="309"/>
      <c r="S1034" s="15">
        <v>0.42</v>
      </c>
      <c r="T1034" s="15">
        <v>0.45</v>
      </c>
      <c r="U1034" s="15">
        <v>0.45</v>
      </c>
      <c r="V1034" s="15">
        <v>0.42</v>
      </c>
      <c r="W1034" s="309">
        <f>12740/Sales</f>
        <v>0.4334955255</v>
      </c>
      <c r="X1034" s="15">
        <v>0.39</v>
      </c>
      <c r="Y1034" s="15">
        <v>0.43</v>
      </c>
      <c r="Z1034" s="15">
        <v>0.42</v>
      </c>
      <c r="AA1034" s="15">
        <v>0.41</v>
      </c>
      <c r="AB1034" s="309">
        <f>AB1017/Sales</f>
        <v>0.4127708593</v>
      </c>
      <c r="AC1034" s="15">
        <v>0.35</v>
      </c>
      <c r="AD1034" s="15">
        <v>0.37</v>
      </c>
      <c r="AE1034" s="15">
        <v>0.37</v>
      </c>
      <c r="AF1034" s="15">
        <v>0.33</v>
      </c>
      <c r="AG1034" s="309">
        <f>AG1017/Sales</f>
        <v>0.3544432722</v>
      </c>
      <c r="AH1034" s="15">
        <v>0.33</v>
      </c>
      <c r="AI1034" s="15">
        <v>0.35</v>
      </c>
      <c r="AJ1034" s="15">
        <v>0.32</v>
      </c>
      <c r="AK1034" s="15">
        <v>0.3</v>
      </c>
      <c r="AL1034" s="309">
        <f>AL1017/Sales</f>
        <v>0.3242661784</v>
      </c>
      <c r="AM1034" s="15">
        <f>AM1017/Sales</f>
        <v>0.2849948156</v>
      </c>
      <c r="AN1034" s="15">
        <f>AN1017/Sales</f>
        <v>0.2868251174</v>
      </c>
      <c r="AO1034" s="15">
        <f>AO1017/Sales</f>
        <v>0.2767777352</v>
      </c>
      <c r="AP1034" s="15">
        <f>AP1017/Sales</f>
        <v>0.2695343782</v>
      </c>
      <c r="AQ1034" s="309">
        <f>AQ1017/Sales</f>
        <v>0.2787896885</v>
      </c>
      <c r="AR1034" s="15">
        <f>AR1017/Sales</f>
        <v>0.2673340749</v>
      </c>
      <c r="AS1034" s="15">
        <f>AS1017/Sales</f>
        <v>0.2430115542</v>
      </c>
      <c r="AT1034" s="15">
        <f>AT1017/Sales</f>
        <v>0.2123716208</v>
      </c>
      <c r="AU1034" s="15">
        <f>AU1017/Sales</f>
        <v>0.2132735987</v>
      </c>
      <c r="AV1034" s="309">
        <f>AV1017/Sales</f>
        <v>0.2328334649</v>
      </c>
      <c r="AW1034" s="15">
        <f>AW1017/Sales</f>
        <v>0.2090311639</v>
      </c>
      <c r="AX1034" s="15">
        <f>AX1017/Sales</f>
        <v>0.2018199545</v>
      </c>
      <c r="AY1034" s="15">
        <f>AY1017/Sales</f>
        <v>0.191064257</v>
      </c>
      <c r="AZ1034" s="15">
        <f>AZ1017/Sales</f>
        <v>0.1799823547</v>
      </c>
      <c r="BA1034" s="309">
        <f>BA1017/Sales</f>
        <v>0.1950754649</v>
      </c>
      <c r="BB1034" s="15">
        <f>BB1017/Sales</f>
        <v>0.2130872483</v>
      </c>
      <c r="BC1034" s="15">
        <f>BC1017/Sales</f>
        <v>0.2138843801</v>
      </c>
      <c r="BD1034" s="15">
        <f>BD1017/Sales</f>
        <v>0.2163863142</v>
      </c>
      <c r="BE1034" s="15">
        <f>BE1017/Sales</f>
        <v>0.2066226532</v>
      </c>
      <c r="BF1034" s="309">
        <f>BF1017/Sales</f>
        <v>0.2123113448</v>
      </c>
      <c r="BG1034" s="15">
        <f>BG1017/Sales</f>
        <v>0.1950971532</v>
      </c>
      <c r="BH1034" s="15">
        <f>BH1017/Sales</f>
        <v>0.2100230415</v>
      </c>
      <c r="BI1034" s="15">
        <f>BI1017/Sales</f>
        <v>0.2048562934</v>
      </c>
      <c r="BJ1034" s="15">
        <f>BJ1017/Sales</f>
        <v>0.1958551158</v>
      </c>
      <c r="BK1034" s="309">
        <f>BK1017/Sales</f>
        <v>0.2012573694</v>
      </c>
      <c r="BL1034" s="15">
        <f>BL1017/Sales</f>
        <v>0.2084151763</v>
      </c>
      <c r="BM1034" s="15">
        <f>BM1017/Sales</f>
        <v>0.2096092925</v>
      </c>
      <c r="BN1034" s="15">
        <f>BN1017/Sales</f>
        <v>0.1846921797</v>
      </c>
      <c r="BO1034" s="15">
        <f>BO1017/Sales</f>
        <v>0.1890347678</v>
      </c>
      <c r="BP1034" s="309">
        <f>BP1017/Sales</f>
        <v>0.1980258607</v>
      </c>
      <c r="BQ1034" s="15">
        <f>BQ1017/Sales</f>
        <v>0.211336599</v>
      </c>
      <c r="BR1034" s="15">
        <f>BR1017/Sales</f>
        <v>0.2116151545</v>
      </c>
      <c r="BS1034" s="15">
        <f>BS1017/Sales</f>
        <v>0.1940568751</v>
      </c>
      <c r="BT1034" s="15">
        <f>BT1017/Sales</f>
        <v>0.1975588987</v>
      </c>
      <c r="BU1034" s="309">
        <f>BU1017/Sales</f>
        <v>0.2026361488</v>
      </c>
      <c r="BV1034" s="15">
        <f>BV1017/Sales</f>
        <v>0.1850665113</v>
      </c>
      <c r="BW1034" s="15">
        <f>BW1017/Sales</f>
        <v>0.2018578727</v>
      </c>
      <c r="BX1034" s="15">
        <f>BX1017/Sales</f>
        <v>0.2017654477</v>
      </c>
      <c r="BY1034" s="15">
        <f>BY1017/Sales</f>
        <v>0.2004015013</v>
      </c>
      <c r="BZ1034" s="37">
        <f>BZ1017/Sales</f>
        <v>0.1974875639</v>
      </c>
      <c r="CA1034" s="15">
        <f>CA1017/Sales</f>
        <v>0.2113333852</v>
      </c>
      <c r="CB1034" s="15">
        <f>CB1017/Sales</f>
        <v>0.2232197667</v>
      </c>
      <c r="CC1034" s="15">
        <f>CC1017/Sales</f>
        <v>0.2119721773</v>
      </c>
      <c r="CD1034" s="15">
        <f>CD1017/Sales</f>
        <v>0.1913300209</v>
      </c>
      <c r="CE1034" s="37">
        <f>CE1017/Sales</f>
        <v>0.2092260968</v>
      </c>
      <c r="CF1034" s="15">
        <f>CF1017/Sales</f>
        <v>0.1978149698</v>
      </c>
      <c r="CG1034" s="15">
        <f>CG1017/Sales</f>
        <v>0.2135397378</v>
      </c>
      <c r="CH1034" s="15">
        <f>CH1017/Sales</f>
        <v>0.2119343093</v>
      </c>
      <c r="CI1034" s="15">
        <f>CI1017/Sales</f>
        <v>0</v>
      </c>
      <c r="CJ1034" s="37"/>
      <c r="CK1034" s="15">
        <f>CK1017/Sales</f>
        <v>0</v>
      </c>
      <c r="CL1034" s="15"/>
      <c r="CM1034" s="15"/>
      <c r="CN1034" s="40"/>
      <c r="CO1034" s="37"/>
      <c r="CP1034" s="40"/>
      <c r="CQ1034" s="15"/>
      <c r="CR1034" s="15"/>
      <c r="CS1034" s="15"/>
      <c r="CT1034" s="37"/>
      <c r="CU1034" s="15"/>
      <c r="CV1034" s="15"/>
      <c r="CW1034" s="15"/>
      <c r="CX1034" s="15"/>
      <c r="CY1034" s="37"/>
      <c r="CZ1034" s="15"/>
      <c r="DA1034" s="15"/>
      <c r="DB1034" s="15"/>
      <c r="DC1034" s="15"/>
      <c r="DD1034" s="37"/>
      <c r="DE1034" s="15"/>
      <c r="DF1034" s="15"/>
      <c r="DG1034" s="40"/>
      <c r="DH1034" s="15"/>
      <c r="DI1034" s="37"/>
      <c r="DJ1034" s="40"/>
      <c r="DK1034" s="40"/>
      <c r="DL1034" s="40"/>
      <c r="DM1034" s="15"/>
      <c r="DN1034" s="37"/>
      <c r="DO1034" s="15"/>
      <c r="DP1034" s="15"/>
      <c r="DQ1034" s="15"/>
      <c r="DR1034" s="15"/>
      <c r="DS1034" s="37"/>
      <c r="DT1034" s="15"/>
      <c r="DU1034" s="15"/>
      <c r="DV1034" s="15"/>
      <c r="DW1034" s="15"/>
      <c r="DX1034" s="37"/>
      <c r="DY1034" s="15"/>
      <c r="DZ1034" s="15"/>
      <c r="EA1034" s="15"/>
      <c r="EB1034" s="15"/>
      <c r="EC1034" s="37"/>
      <c r="ED1034" s="15"/>
      <c r="EE1034" s="15"/>
      <c r="EF1034" s="15"/>
      <c r="EG1034" s="15"/>
      <c r="EH1034" s="37"/>
      <c r="EI1034" s="82"/>
      <c r="EJ1034" s="15"/>
      <c r="EK1034" s="15"/>
      <c r="EL1034" s="15"/>
      <c r="EM1034" s="37"/>
      <c r="EN1034" s="15"/>
      <c r="EO1034" s="15"/>
      <c r="EP1034" s="15"/>
      <c r="EQ1034" s="15"/>
      <c r="ER1034" s="37"/>
      <c r="ES1034" s="15"/>
      <c r="ET1034" s="15"/>
      <c r="EU1034" s="15"/>
      <c r="EV1034" s="15"/>
      <c r="EW1034" s="37"/>
      <c r="EX1034" s="15"/>
      <c r="EY1034" s="15"/>
      <c r="EZ1034" s="15"/>
      <c r="FA1034" s="15"/>
      <c r="FB1034" s="37"/>
      <c r="FC1034" s="15"/>
      <c r="FD1034" s="15"/>
      <c r="FE1034" s="15"/>
      <c r="FF1034" s="15"/>
      <c r="FG1034" s="37"/>
      <c r="FH1034" s="35"/>
      <c r="FI1034" s="15"/>
      <c r="FJ1034" s="15"/>
      <c r="FK1034" s="309"/>
      <c r="FL1034" s="15"/>
    </row>
    <row r="1035" ht="12.75" hidden="1" customHeight="1" outlineLevel="1">
      <c r="A1035" s="4"/>
      <c r="B1035" s="4" t="s">
        <v>364</v>
      </c>
      <c r="C1035" s="4"/>
      <c r="D1035" s="15"/>
      <c r="E1035" s="15"/>
      <c r="F1035" s="15"/>
      <c r="G1035" s="15"/>
      <c r="H1035" s="309"/>
      <c r="I1035" s="15"/>
      <c r="J1035" s="15"/>
      <c r="K1035" s="15"/>
      <c r="L1035" s="15"/>
      <c r="M1035" s="309"/>
      <c r="N1035" s="15"/>
      <c r="O1035" s="15"/>
      <c r="P1035" s="15"/>
      <c r="Q1035" s="15"/>
      <c r="R1035" s="309"/>
      <c r="S1035" s="15">
        <v>0.28</v>
      </c>
      <c r="T1035" s="15">
        <v>0.25</v>
      </c>
      <c r="U1035" s="15">
        <v>0.26</v>
      </c>
      <c r="V1035" s="15">
        <v>0.27</v>
      </c>
      <c r="W1035" s="309">
        <f>7798/Sales</f>
        <v>0.2653373711</v>
      </c>
      <c r="X1035" s="15">
        <v>0.27</v>
      </c>
      <c r="Y1035" s="15">
        <v>0.22</v>
      </c>
      <c r="Z1035" s="15">
        <v>0.22</v>
      </c>
      <c r="AA1035" s="15">
        <v>0.25</v>
      </c>
      <c r="AB1035" s="309">
        <f>AB1018/Sales</f>
        <v>0.2395905236</v>
      </c>
      <c r="AC1035" s="15">
        <v>0.25</v>
      </c>
      <c r="AD1035" s="15">
        <v>0.22</v>
      </c>
      <c r="AE1035" s="15">
        <v>0.22</v>
      </c>
      <c r="AF1035" s="15">
        <v>0.25</v>
      </c>
      <c r="AG1035" s="309">
        <f>AG1018/Sales</f>
        <v>0.2354414258</v>
      </c>
      <c r="AH1035" s="15">
        <v>0.23</v>
      </c>
      <c r="AI1035" s="15">
        <v>0.2</v>
      </c>
      <c r="AJ1035" s="15">
        <v>0.23</v>
      </c>
      <c r="AK1035" s="15">
        <v>0.25</v>
      </c>
      <c r="AL1035" s="309">
        <f>AL1018/Sales</f>
        <v>0.2282674488</v>
      </c>
      <c r="AM1035" s="15">
        <f>AM1018/Sales</f>
        <v>0.2430751</v>
      </c>
      <c r="AN1035" s="15">
        <f>AN1018/Sales</f>
        <v>0.2080399061</v>
      </c>
      <c r="AO1035" s="15">
        <f>AO1018/Sales</f>
        <v>0.2148602068</v>
      </c>
      <c r="AP1035" s="15">
        <f>AP1018/Sales</f>
        <v>0.2432215994</v>
      </c>
      <c r="AQ1035" s="309">
        <f>AQ1018/Sales</f>
        <v>0.2278623801</v>
      </c>
      <c r="AR1035" s="15">
        <f>AR1018/Sales</f>
        <v>0.2381658633</v>
      </c>
      <c r="AS1035" s="15">
        <f>AS1018/Sales</f>
        <v>0.2068579948</v>
      </c>
      <c r="AT1035" s="15">
        <f>AT1018/Sales</f>
        <v>0.2226419549</v>
      </c>
      <c r="AU1035" s="15">
        <f>AU1018/Sales</f>
        <v>0.2372369244</v>
      </c>
      <c r="AV1035" s="309">
        <f>AV1018/Sales</f>
        <v>0.2266947295</v>
      </c>
      <c r="AW1035" s="15">
        <f>AW1018/Sales</f>
        <v>0.2232351071</v>
      </c>
      <c r="AX1035" s="15">
        <f>AX1018/Sales</f>
        <v>0.1959701007</v>
      </c>
      <c r="AY1035" s="15">
        <f>AY1018/Sales</f>
        <v>0.2015060241</v>
      </c>
      <c r="AZ1035" s="15">
        <f>AZ1018/Sales</f>
        <v>0.2242917361</v>
      </c>
      <c r="BA1035" s="309">
        <f>BA1018/Sales</f>
        <v>0.2114562407</v>
      </c>
      <c r="BB1035" s="15">
        <f>BB1018/Sales</f>
        <v>0.1902684564</v>
      </c>
      <c r="BC1035" s="15">
        <f>BC1018/Sales</f>
        <v>0.1716818579</v>
      </c>
      <c r="BD1035" s="15">
        <f>BD1018/Sales</f>
        <v>0.184346035</v>
      </c>
      <c r="BE1035" s="15">
        <f>BE1018/Sales</f>
        <v>0.1959975242</v>
      </c>
      <c r="BF1035" s="309">
        <f>BF1018/Sales</f>
        <v>0.1861681081</v>
      </c>
      <c r="BG1035" s="15">
        <f>BG1018/Sales</f>
        <v>0.1945323091</v>
      </c>
      <c r="BH1035" s="15">
        <f>BH1018/Sales</f>
        <v>0.1710829493</v>
      </c>
      <c r="BI1035" s="15">
        <f>BI1018/Sales</f>
        <v>0.1807730426</v>
      </c>
      <c r="BJ1035" s="15">
        <f>BJ1018/Sales</f>
        <v>0.2082710978</v>
      </c>
      <c r="BK1035" s="309">
        <f>BK1018/Sales</f>
        <v>0.1894401836</v>
      </c>
      <c r="BL1035" s="15">
        <f>BL1018/Sales</f>
        <v>0.1925979531</v>
      </c>
      <c r="BM1035" s="15">
        <f>BM1018/Sales</f>
        <v>0.183843717</v>
      </c>
      <c r="BN1035" s="15">
        <f>BN1018/Sales</f>
        <v>0.1843006753</v>
      </c>
      <c r="BO1035" s="15">
        <f>BO1018/Sales</f>
        <v>0.1980306346</v>
      </c>
      <c r="BP1035" s="309">
        <f>BP1018/Sales</f>
        <v>0.1893258128</v>
      </c>
      <c r="BQ1035" s="15">
        <f>BQ1018/Sales</f>
        <v>0.17816655</v>
      </c>
      <c r="BR1035" s="15">
        <f>BR1018/Sales</f>
        <v>0.1436939182</v>
      </c>
      <c r="BS1035" s="15">
        <f>BS1018/Sales</f>
        <v>0.1414421131</v>
      </c>
      <c r="BT1035" s="15">
        <f>BT1018/Sales</f>
        <v>0.1441952881</v>
      </c>
      <c r="BU1035" s="309">
        <f>BU1018/Sales</f>
        <v>0.1502547898</v>
      </c>
      <c r="BV1035" s="15">
        <f>BV1018/Sales</f>
        <v>0.1363239149</v>
      </c>
      <c r="BW1035" s="15">
        <f>BW1018/Sales</f>
        <v>0.120204366</v>
      </c>
      <c r="BX1035" s="15">
        <f>BX1018/Sales</f>
        <v>0.1194379391</v>
      </c>
      <c r="BY1035" s="15">
        <f>BY1018/Sales</f>
        <v>0.1380815222</v>
      </c>
      <c r="BZ1035" s="37">
        <f>BZ1018/Sales</f>
        <v>0.1285101896</v>
      </c>
      <c r="CA1035" s="15">
        <f>CA1018/Sales</f>
        <v>0.1280454581</v>
      </c>
      <c r="CB1035" s="15">
        <f>CB1018/Sales</f>
        <v>0.1200122775</v>
      </c>
      <c r="CC1035" s="15">
        <f>CC1018/Sales</f>
        <v>0.1274502916</v>
      </c>
      <c r="CD1035" s="15">
        <f>CD1018/Sales</f>
        <v>0.1391229207</v>
      </c>
      <c r="CE1035" s="37">
        <f>CE1018/Sales</f>
        <v>0.1287986815</v>
      </c>
      <c r="CF1035" s="15">
        <f>CF1018/Sales</f>
        <v>0.1377653804</v>
      </c>
      <c r="CG1035" s="15">
        <f>CG1018/Sales</f>
        <v>0.1223613066</v>
      </c>
      <c r="CH1035" s="15">
        <f>CH1018/Sales</f>
        <v>0.1319016125</v>
      </c>
      <c r="CI1035" s="15">
        <f>CI1018/Sales</f>
        <v>0</v>
      </c>
      <c r="CJ1035" s="37"/>
      <c r="CK1035" s="15">
        <f>CK1018/Sales</f>
        <v>0</v>
      </c>
      <c r="CL1035" s="15"/>
      <c r="CM1035" s="15"/>
      <c r="CN1035" s="40"/>
      <c r="CO1035" s="37"/>
      <c r="CP1035" s="40"/>
      <c r="CQ1035" s="15"/>
      <c r="CR1035" s="15"/>
      <c r="CS1035" s="15"/>
      <c r="CT1035" s="37"/>
      <c r="CU1035" s="15"/>
      <c r="CV1035" s="15"/>
      <c r="CW1035" s="15"/>
      <c r="CX1035" s="15"/>
      <c r="CY1035" s="37"/>
      <c r="CZ1035" s="15"/>
      <c r="DA1035" s="15"/>
      <c r="DB1035" s="15"/>
      <c r="DC1035" s="15"/>
      <c r="DD1035" s="37"/>
      <c r="DE1035" s="15"/>
      <c r="DF1035" s="15"/>
      <c r="DG1035" s="40"/>
      <c r="DH1035" s="15"/>
      <c r="DI1035" s="37"/>
      <c r="DJ1035" s="40"/>
      <c r="DK1035" s="40"/>
      <c r="DL1035" s="40"/>
      <c r="DM1035" s="15"/>
      <c r="DN1035" s="37"/>
      <c r="DO1035" s="15"/>
      <c r="DP1035" s="15"/>
      <c r="DQ1035" s="15"/>
      <c r="DR1035" s="15"/>
      <c r="DS1035" s="37"/>
      <c r="DT1035" s="15"/>
      <c r="DU1035" s="15"/>
      <c r="DV1035" s="15"/>
      <c r="DW1035" s="15"/>
      <c r="DX1035" s="37"/>
      <c r="DY1035" s="15"/>
      <c r="DZ1035" s="15"/>
      <c r="EA1035" s="15"/>
      <c r="EB1035" s="15"/>
      <c r="EC1035" s="37"/>
      <c r="ED1035" s="15"/>
      <c r="EE1035" s="15"/>
      <c r="EF1035" s="15"/>
      <c r="EG1035" s="15"/>
      <c r="EH1035" s="37"/>
      <c r="EI1035" s="82"/>
      <c r="EJ1035" s="15"/>
      <c r="EK1035" s="15"/>
      <c r="EL1035" s="15"/>
      <c r="EM1035" s="37"/>
      <c r="EN1035" s="15"/>
      <c r="EO1035" s="15"/>
      <c r="EP1035" s="15"/>
      <c r="EQ1035" s="15"/>
      <c r="ER1035" s="37"/>
      <c r="ES1035" s="15"/>
      <c r="ET1035" s="15"/>
      <c r="EU1035" s="15"/>
      <c r="EV1035" s="15"/>
      <c r="EW1035" s="37"/>
      <c r="EX1035" s="15"/>
      <c r="EY1035" s="15"/>
      <c r="EZ1035" s="15"/>
      <c r="FA1035" s="15"/>
      <c r="FB1035" s="37"/>
      <c r="FC1035" s="15"/>
      <c r="FD1035" s="15"/>
      <c r="FE1035" s="15"/>
      <c r="FF1035" s="15"/>
      <c r="FG1035" s="37"/>
      <c r="FH1035" s="35"/>
      <c r="FI1035" s="15"/>
      <c r="FJ1035" s="15"/>
      <c r="FK1035" s="309"/>
      <c r="FL1035" s="15"/>
    </row>
    <row r="1036" ht="12.75" hidden="1" customHeight="1" outlineLevel="1">
      <c r="A1036" s="4"/>
      <c r="B1036" s="4" t="s">
        <v>365</v>
      </c>
      <c r="C1036" s="4"/>
      <c r="D1036" s="15"/>
      <c r="E1036" s="15"/>
      <c r="F1036" s="15"/>
      <c r="G1036" s="15"/>
      <c r="H1036" s="309"/>
      <c r="I1036" s="15"/>
      <c r="J1036" s="15"/>
      <c r="K1036" s="15"/>
      <c r="L1036" s="15"/>
      <c r="M1036" s="309"/>
      <c r="N1036" s="15"/>
      <c r="O1036" s="15"/>
      <c r="P1036" s="15"/>
      <c r="Q1036" s="15"/>
      <c r="R1036" s="309"/>
      <c r="S1036" s="15">
        <v>0.22</v>
      </c>
      <c r="T1036" s="15">
        <v>0.22</v>
      </c>
      <c r="U1036" s="15">
        <v>0.23</v>
      </c>
      <c r="V1036" s="15">
        <v>0.24</v>
      </c>
      <c r="W1036" s="309">
        <f>6704/Sales</f>
        <v>0.2281125591</v>
      </c>
      <c r="X1036" s="15">
        <v>0.25</v>
      </c>
      <c r="Y1036" s="15">
        <v>0.26</v>
      </c>
      <c r="Z1036" s="15">
        <v>0.27</v>
      </c>
      <c r="AA1036" s="15">
        <v>0.25</v>
      </c>
      <c r="AB1036" s="309">
        <f>AB1019/Sales</f>
        <v>0.2576386171</v>
      </c>
      <c r="AC1036" s="15">
        <v>0.28</v>
      </c>
      <c r="AD1036" s="15">
        <v>0.31</v>
      </c>
      <c r="AE1036" s="15">
        <v>0.31</v>
      </c>
      <c r="AF1036" s="15">
        <v>0.35</v>
      </c>
      <c r="AG1036" s="309">
        <f>AG1019/Sales</f>
        <v>0.312977128</v>
      </c>
      <c r="AH1036" s="15">
        <v>0.36</v>
      </c>
      <c r="AI1036" s="15">
        <v>0.38</v>
      </c>
      <c r="AJ1036" s="15">
        <v>0.38</v>
      </c>
      <c r="AK1036" s="15">
        <v>0.38</v>
      </c>
      <c r="AL1036" s="309">
        <f>AL1019/Sales</f>
        <v>0.3749327455</v>
      </c>
      <c r="AM1036" s="15">
        <f>AM1019/Sales</f>
        <v>0.3913494297</v>
      </c>
      <c r="AN1036" s="15">
        <f>AN1019/Sales</f>
        <v>0.4075704225</v>
      </c>
      <c r="AO1036" s="15">
        <f>AO1019/Sales</f>
        <v>0.4169539129</v>
      </c>
      <c r="AP1036" s="15">
        <f>AP1019/Sales</f>
        <v>0.3975517675</v>
      </c>
      <c r="AQ1036" s="309">
        <f>AQ1019/Sales</f>
        <v>0.403470356</v>
      </c>
      <c r="AR1036" s="15">
        <f>AR1019/Sales</f>
        <v>0.40588308</v>
      </c>
      <c r="AS1036" s="15">
        <f>AS1019/Sales</f>
        <v>0.4548391104</v>
      </c>
      <c r="AT1036" s="15">
        <f>AT1019/Sales</f>
        <v>0.4738519655</v>
      </c>
      <c r="AU1036" s="15">
        <f>AU1019/Sales</f>
        <v>0.4606167952</v>
      </c>
      <c r="AV1036" s="309">
        <f>AV1019/Sales</f>
        <v>0.4495892894</v>
      </c>
      <c r="AW1036" s="15">
        <f>AW1019/Sales</f>
        <v>0.4658681365</v>
      </c>
      <c r="AX1036" s="15">
        <f>AX1019/Sales</f>
        <v>0.5068789947</v>
      </c>
      <c r="AY1036" s="15">
        <f>AY1019/Sales</f>
        <v>0.5144578313</v>
      </c>
      <c r="AZ1036" s="15">
        <f>AZ1019/Sales</f>
        <v>0.5030879326</v>
      </c>
      <c r="BA1036" s="309">
        <f>BA1019/Sales</f>
        <v>0.4978622573</v>
      </c>
      <c r="BB1036" s="15">
        <f>BB1019/Sales</f>
        <v>0.4802013423</v>
      </c>
      <c r="BC1036" s="15">
        <f>BC1019/Sales</f>
        <v>0.5013110251</v>
      </c>
      <c r="BD1036" s="15">
        <f>BD1019/Sales</f>
        <v>0.4936491589</v>
      </c>
      <c r="BE1036" s="15">
        <f>BE1019/Sales</f>
        <v>0.5008252527</v>
      </c>
      <c r="BF1036" s="309">
        <f>BF1019/Sales</f>
        <v>0.4939517269</v>
      </c>
      <c r="BG1036" s="15">
        <f>BG1019/Sales</f>
        <v>0.5006778129</v>
      </c>
      <c r="BH1036" s="15">
        <f>BH1019/Sales</f>
        <v>0.5134792627</v>
      </c>
      <c r="BI1036" s="15">
        <f>BI1019/Sales</f>
        <v>0.5158572844</v>
      </c>
      <c r="BJ1036" s="15">
        <f>BJ1019/Sales</f>
        <v>0.4983196415</v>
      </c>
      <c r="BK1036" s="309">
        <f>BK1019/Sales</f>
        <v>0.5069129233</v>
      </c>
      <c r="BL1036" s="15">
        <f>BL1019/Sales</f>
        <v>0.4949860436</v>
      </c>
      <c r="BM1036" s="15">
        <f>BM1019/Sales</f>
        <v>0.5073917635</v>
      </c>
      <c r="BN1036" s="15">
        <f>BN1019/Sales</f>
        <v>0.5274542429</v>
      </c>
      <c r="BO1036" s="15">
        <f>BO1019/Sales</f>
        <v>0.4938001459</v>
      </c>
      <c r="BP1036" s="309">
        <f>BP1019/Sales</f>
        <v>0.5066780184</v>
      </c>
      <c r="BQ1036" s="15">
        <f>BQ1019/Sales</f>
        <v>0.5104268719</v>
      </c>
      <c r="BR1036" s="15">
        <f>BR1019/Sales</f>
        <v>0.5494765703</v>
      </c>
      <c r="BS1036" s="15">
        <f>BS1019/Sales</f>
        <v>0.5668335286</v>
      </c>
      <c r="BT1036" s="15">
        <f>BT1019/Sales</f>
        <v>0.5642917968</v>
      </c>
      <c r="BU1036" s="309">
        <f>BU1019/Sales</f>
        <v>0.5506305691</v>
      </c>
      <c r="BV1036" s="15">
        <f>BV1019/Sales</f>
        <v>0.5717059909</v>
      </c>
      <c r="BW1036" s="15">
        <f>BW1019/Sales</f>
        <v>0.5727821644</v>
      </c>
      <c r="BX1036" s="15">
        <f>BX1019/Sales</f>
        <v>0.5768330031</v>
      </c>
      <c r="BY1036" s="15">
        <f>BY1019/Sales</f>
        <v>0.5685607052</v>
      </c>
      <c r="BZ1036" s="37">
        <f>BZ1019/Sales</f>
        <v>0.5724503129</v>
      </c>
      <c r="CA1036" s="15">
        <f>CA1019/Sales</f>
        <v>0.565268156</v>
      </c>
      <c r="CB1036" s="15">
        <f>CB1019/Sales</f>
        <v>0.5671424187</v>
      </c>
      <c r="CC1036" s="15">
        <f>CC1019/Sales</f>
        <v>0.5655870161</v>
      </c>
      <c r="CD1036" s="15">
        <f>CD1019/Sales</f>
        <v>0.5774465327</v>
      </c>
      <c r="CE1036" s="37">
        <f>CE1019/Sales</f>
        <v>0.5689364618</v>
      </c>
      <c r="CF1036" s="15">
        <f>CF1019/Sales</f>
        <v>0.5708972571</v>
      </c>
      <c r="CG1036" s="15">
        <f>CG1019/Sales</f>
        <v>0.5757351307</v>
      </c>
      <c r="CH1036" s="15">
        <f>CH1019/Sales</f>
        <v>0.5718213569</v>
      </c>
      <c r="CI1036" s="15">
        <f>CI1019/Sales</f>
        <v>0</v>
      </c>
      <c r="CJ1036" s="37"/>
      <c r="CK1036" s="15">
        <f>CK1019/Sales</f>
        <v>0</v>
      </c>
      <c r="CL1036" s="15"/>
      <c r="CM1036" s="15"/>
      <c r="CN1036" s="40"/>
      <c r="CO1036" s="37"/>
      <c r="CP1036" s="40"/>
      <c r="CQ1036" s="15"/>
      <c r="CR1036" s="15"/>
      <c r="CS1036" s="15"/>
      <c r="CT1036" s="37"/>
      <c r="CU1036" s="15"/>
      <c r="CV1036" s="15"/>
      <c r="CW1036" s="15"/>
      <c r="CX1036" s="15"/>
      <c r="CY1036" s="37"/>
      <c r="CZ1036" s="15"/>
      <c r="DA1036" s="15"/>
      <c r="DB1036" s="15"/>
      <c r="DC1036" s="15"/>
      <c r="DD1036" s="37"/>
      <c r="DE1036" s="15"/>
      <c r="DF1036" s="15"/>
      <c r="DG1036" s="40"/>
      <c r="DH1036" s="15"/>
      <c r="DI1036" s="37"/>
      <c r="DJ1036" s="40"/>
      <c r="DK1036" s="40"/>
      <c r="DL1036" s="40"/>
      <c r="DM1036" s="15"/>
      <c r="DN1036" s="37"/>
      <c r="DO1036" s="15"/>
      <c r="DP1036" s="15"/>
      <c r="DQ1036" s="15"/>
      <c r="DR1036" s="15"/>
      <c r="DS1036" s="37"/>
      <c r="DT1036" s="15"/>
      <c r="DU1036" s="15"/>
      <c r="DV1036" s="15"/>
      <c r="DW1036" s="15"/>
      <c r="DX1036" s="37"/>
      <c r="DY1036" s="15"/>
      <c r="DZ1036" s="15"/>
      <c r="EA1036" s="15"/>
      <c r="EB1036" s="15"/>
      <c r="EC1036" s="37"/>
      <c r="ED1036" s="15"/>
      <c r="EE1036" s="15"/>
      <c r="EF1036" s="15"/>
      <c r="EG1036" s="15"/>
      <c r="EH1036" s="37"/>
      <c r="EI1036" s="82"/>
      <c r="EJ1036" s="15"/>
      <c r="EK1036" s="15"/>
      <c r="EL1036" s="15"/>
      <c r="EM1036" s="37"/>
      <c r="EN1036" s="15"/>
      <c r="EO1036" s="15"/>
      <c r="EP1036" s="15"/>
      <c r="EQ1036" s="15"/>
      <c r="ER1036" s="37"/>
      <c r="ES1036" s="15"/>
      <c r="ET1036" s="15"/>
      <c r="EU1036" s="15"/>
      <c r="EV1036" s="15"/>
      <c r="EW1036" s="37"/>
      <c r="EX1036" s="15"/>
      <c r="EY1036" s="15"/>
      <c r="EZ1036" s="15"/>
      <c r="FA1036" s="15"/>
      <c r="FB1036" s="37"/>
      <c r="FC1036" s="15"/>
      <c r="FD1036" s="15"/>
      <c r="FE1036" s="15"/>
      <c r="FF1036" s="15"/>
      <c r="FG1036" s="37"/>
      <c r="FH1036" s="35"/>
      <c r="FI1036" s="15"/>
      <c r="FJ1036" s="15"/>
      <c r="FK1036" s="309"/>
      <c r="FL1036" s="15"/>
    </row>
    <row r="1037" ht="12.75" hidden="1" customHeight="1" outlineLevel="1">
      <c r="A1037" s="4"/>
      <c r="B1037" s="4" t="s">
        <v>366</v>
      </c>
      <c r="C1037" s="4"/>
      <c r="D1037" s="15"/>
      <c r="E1037" s="15"/>
      <c r="F1037" s="15"/>
      <c r="G1037" s="15"/>
      <c r="H1037" s="309"/>
      <c r="I1037" s="15"/>
      <c r="J1037" s="15"/>
      <c r="K1037" s="15"/>
      <c r="L1037" s="15"/>
      <c r="M1037" s="309"/>
      <c r="N1037" s="15"/>
      <c r="O1037" s="15"/>
      <c r="P1037" s="15"/>
      <c r="Q1037" s="15"/>
      <c r="R1037" s="309"/>
      <c r="S1037" s="15">
        <v>0.08</v>
      </c>
      <c r="T1037" s="15">
        <v>0.08</v>
      </c>
      <c r="U1037" s="15">
        <v>0.06</v>
      </c>
      <c r="V1037" s="15">
        <v>0.07</v>
      </c>
      <c r="W1037" s="309">
        <f>2147/Sales</f>
        <v>0.07305454422</v>
      </c>
      <c r="X1037" s="15">
        <v>0.09</v>
      </c>
      <c r="Y1037" s="15">
        <v>0.09</v>
      </c>
      <c r="Z1037" s="15">
        <v>0.09</v>
      </c>
      <c r="AA1037" s="15">
        <v>0.09</v>
      </c>
      <c r="AB1037" s="309">
        <f>AB1020/Sales</f>
        <v>0.09</v>
      </c>
      <c r="AC1037" s="15">
        <v>0.12</v>
      </c>
      <c r="AD1037" s="15">
        <v>0.1</v>
      </c>
      <c r="AE1037" s="15">
        <v>0.1</v>
      </c>
      <c r="AF1037" s="15">
        <v>0.07</v>
      </c>
      <c r="AG1037" s="309">
        <f>AG1020/Sales</f>
        <v>0.09713817401</v>
      </c>
      <c r="AH1037" s="15">
        <v>0.08</v>
      </c>
      <c r="AI1037" s="15">
        <v>0.07</v>
      </c>
      <c r="AJ1037" s="15">
        <v>0.07</v>
      </c>
      <c r="AK1037" s="15">
        <v>0.07</v>
      </c>
      <c r="AL1037" s="309">
        <f>AL1020/Sales</f>
        <v>0.07253362726</v>
      </c>
      <c r="AM1037" s="15">
        <f>AM1020/Sales</f>
        <v>0.08058065472</v>
      </c>
      <c r="AN1037" s="15">
        <f>AN1020/Sales</f>
        <v>0.09756455399</v>
      </c>
      <c r="AO1037" s="15">
        <f>AO1020/Sales</f>
        <v>0.09140814503</v>
      </c>
      <c r="AP1037" s="15">
        <f>AP1020/Sales</f>
        <v>0.08969225489</v>
      </c>
      <c r="AQ1037" s="309">
        <f>AQ1020/Sales</f>
        <v>0.0898775754</v>
      </c>
      <c r="AR1037" s="15">
        <f>AR1020/Sales</f>
        <v>0.08861698183</v>
      </c>
      <c r="AS1037" s="15">
        <f>AS1020/Sales</f>
        <v>0.09529134054</v>
      </c>
      <c r="AT1037" s="15">
        <f>AT1020/Sales</f>
        <v>0.09113445874</v>
      </c>
      <c r="AU1037" s="15">
        <f>AU1020/Sales</f>
        <v>0.08887268181</v>
      </c>
      <c r="AV1037" s="309">
        <f>AV1020/Sales</f>
        <v>0.0908825163</v>
      </c>
      <c r="AW1037" s="15">
        <f>AW1020/Sales</f>
        <v>0.1018655925</v>
      </c>
      <c r="AX1037" s="15">
        <f>AX1020/Sales</f>
        <v>0.09533095006</v>
      </c>
      <c r="AY1037" s="15">
        <f>AY1020/Sales</f>
        <v>0.09297188755</v>
      </c>
      <c r="AZ1037" s="15">
        <f>AZ1020/Sales</f>
        <v>0.09263797667</v>
      </c>
      <c r="BA1037" s="309">
        <f>BA1020/Sales</f>
        <v>0.09560603719</v>
      </c>
      <c r="BB1037" s="15">
        <f>BB1020/Sales</f>
        <v>0.116442953</v>
      </c>
      <c r="BC1037" s="15">
        <f>BC1020/Sales</f>
        <v>0.1131227369</v>
      </c>
      <c r="BD1037" s="15">
        <f>BD1020/Sales</f>
        <v>0.1056184918</v>
      </c>
      <c r="BE1037" s="15">
        <f>BE1020/Sales</f>
        <v>0.09655456984</v>
      </c>
      <c r="BF1037" s="309">
        <f>BF1020/Sales</f>
        <v>0.1075688203</v>
      </c>
      <c r="BG1037" s="15">
        <f>BG1020/Sales</f>
        <v>0.1096927248</v>
      </c>
      <c r="BH1037" s="15">
        <f>BH1020/Sales</f>
        <v>0.1054147465</v>
      </c>
      <c r="BI1037" s="15">
        <f>BI1020/Sales</f>
        <v>0.09851337958</v>
      </c>
      <c r="BJ1037" s="15">
        <f>BJ1020/Sales</f>
        <v>0.09755414488</v>
      </c>
      <c r="BK1037" s="309">
        <f>BK1020/Sales</f>
        <v>0.1023895237</v>
      </c>
      <c r="BL1037" s="15">
        <f>BL1020/Sales</f>
        <v>0.104000827</v>
      </c>
      <c r="BM1037" s="15">
        <f>BM1020/Sales</f>
        <v>0.09915522703</v>
      </c>
      <c r="BN1037" s="15">
        <f>BN1020/Sales</f>
        <v>0.103552902</v>
      </c>
      <c r="BO1037" s="15">
        <f>BO1020/Sales</f>
        <v>0.1191344517</v>
      </c>
      <c r="BP1037" s="309">
        <f>BP1020/Sales</f>
        <v>0.1059703081</v>
      </c>
      <c r="BQ1037" s="15">
        <f>BQ1020/Sales</f>
        <v>0.100069979</v>
      </c>
      <c r="BR1037" s="15">
        <f>BR1020/Sales</f>
        <v>0.09521435693</v>
      </c>
      <c r="BS1037" s="15">
        <f>BS1020/Sales</f>
        <v>0.09766748323</v>
      </c>
      <c r="BT1037" s="15">
        <f>BT1020/Sales</f>
        <v>0.09395401646</v>
      </c>
      <c r="BU1037" s="309">
        <f>BU1020/Sales</f>
        <v>0.09647849233</v>
      </c>
      <c r="BV1037" s="15">
        <f>BV1020/Sales</f>
        <v>0.1069035829</v>
      </c>
      <c r="BW1037" s="15">
        <f>BW1020/Sales</f>
        <v>0.1051555968</v>
      </c>
      <c r="BX1037" s="15">
        <f>BX1020/Sales</f>
        <v>0.1019636102</v>
      </c>
      <c r="BY1037" s="15">
        <f>BY1020/Sales</f>
        <v>0.09295627128</v>
      </c>
      <c r="BZ1037" s="37">
        <f>BZ1020/Sales</f>
        <v>0.1015519336</v>
      </c>
      <c r="CA1037" s="15">
        <f>CA1020/Sales</f>
        <v>0.0953530007</v>
      </c>
      <c r="CB1037" s="15">
        <f>CB1020/Sales</f>
        <v>0.08962553714</v>
      </c>
      <c r="CC1037" s="15">
        <f>CC1020/Sales</f>
        <v>0.094990515</v>
      </c>
      <c r="CD1037" s="15">
        <f>CD1020/Sales</f>
        <v>0.09210052567</v>
      </c>
      <c r="CE1037" s="37">
        <f>CE1020/Sales</f>
        <v>0.09303875998</v>
      </c>
      <c r="CF1037" s="15">
        <f>CF1020/Sales</f>
        <v>0.09352239269</v>
      </c>
      <c r="CG1037" s="15">
        <f>CG1020/Sales</f>
        <v>0.0883638249</v>
      </c>
      <c r="CH1037" s="15">
        <f>CH1020/Sales</f>
        <v>0.08434272126</v>
      </c>
      <c r="CI1037" s="15">
        <f>CI1020/Sales</f>
        <v>1</v>
      </c>
      <c r="CJ1037" s="37"/>
      <c r="CK1037" s="15">
        <f>CK1020/Sales</f>
        <v>1</v>
      </c>
      <c r="CL1037" s="15"/>
      <c r="CM1037" s="15"/>
      <c r="CN1037" s="40"/>
      <c r="CO1037" s="37"/>
      <c r="CP1037" s="40"/>
      <c r="CQ1037" s="15"/>
      <c r="CR1037" s="15"/>
      <c r="CS1037" s="15"/>
      <c r="CT1037" s="37"/>
      <c r="CU1037" s="15"/>
      <c r="CV1037" s="15"/>
      <c r="CW1037" s="15"/>
      <c r="CX1037" s="15"/>
      <c r="CY1037" s="37"/>
      <c r="CZ1037" s="15"/>
      <c r="DA1037" s="15"/>
      <c r="DB1037" s="15"/>
      <c r="DC1037" s="15"/>
      <c r="DD1037" s="37"/>
      <c r="DE1037" s="15"/>
      <c r="DF1037" s="15"/>
      <c r="DG1037" s="40"/>
      <c r="DH1037" s="15"/>
      <c r="DI1037" s="37"/>
      <c r="DJ1037" s="40"/>
      <c r="DK1037" s="40"/>
      <c r="DL1037" s="40"/>
      <c r="DM1037" s="15"/>
      <c r="DN1037" s="37"/>
      <c r="DO1037" s="15"/>
      <c r="DP1037" s="15"/>
      <c r="DQ1037" s="15"/>
      <c r="DR1037" s="15"/>
      <c r="DS1037" s="37"/>
      <c r="DT1037" s="15"/>
      <c r="DU1037" s="15"/>
      <c r="DV1037" s="15"/>
      <c r="DW1037" s="15"/>
      <c r="DX1037" s="37"/>
      <c r="DY1037" s="15"/>
      <c r="DZ1037" s="15"/>
      <c r="EA1037" s="15"/>
      <c r="EB1037" s="15"/>
      <c r="EC1037" s="37"/>
      <c r="ED1037" s="15"/>
      <c r="EE1037" s="15"/>
      <c r="EF1037" s="15"/>
      <c r="EG1037" s="15"/>
      <c r="EH1037" s="37"/>
      <c r="EI1037" s="82"/>
      <c r="EJ1037" s="15"/>
      <c r="EK1037" s="15"/>
      <c r="EL1037" s="15"/>
      <c r="EM1037" s="37"/>
      <c r="EN1037" s="15"/>
      <c r="EO1037" s="15"/>
      <c r="EP1037" s="15"/>
      <c r="EQ1037" s="15"/>
      <c r="ER1037" s="37"/>
      <c r="ES1037" s="15"/>
      <c r="ET1037" s="15"/>
      <c r="EU1037" s="15"/>
      <c r="EV1037" s="15"/>
      <c r="EW1037" s="37"/>
      <c r="EX1037" s="15"/>
      <c r="EY1037" s="15"/>
      <c r="EZ1037" s="15"/>
      <c r="FA1037" s="15"/>
      <c r="FB1037" s="37"/>
      <c r="FC1037" s="15"/>
      <c r="FD1037" s="15"/>
      <c r="FE1037" s="15"/>
      <c r="FF1037" s="15"/>
      <c r="FG1037" s="37"/>
      <c r="FH1037" s="35"/>
      <c r="FI1037" s="15"/>
      <c r="FJ1037" s="15"/>
      <c r="FK1037" s="309"/>
      <c r="FL1037" s="15"/>
    </row>
    <row r="1038" ht="13.5" hidden="1" customHeight="1" outlineLevel="1">
      <c r="A1038" s="4"/>
      <c r="B1038" s="591" t="s">
        <v>291</v>
      </c>
      <c r="C1038" s="591"/>
      <c r="D1038" s="591"/>
      <c r="E1038" s="591"/>
      <c r="F1038" s="591"/>
      <c r="G1038" s="591"/>
      <c r="H1038" s="591"/>
      <c r="I1038" s="591"/>
      <c r="J1038" s="591"/>
      <c r="K1038" s="591"/>
      <c r="L1038" s="591"/>
      <c r="M1038" s="591"/>
      <c r="N1038" s="591"/>
      <c r="O1038" s="591"/>
      <c r="P1038" s="591"/>
      <c r="Q1038" s="591"/>
      <c r="R1038" s="591"/>
      <c r="S1038" s="591">
        <f t="shared" ref="S1038:CI1038" si="5380">SUM(S1034:S1037)</f>
        <v>1</v>
      </c>
      <c r="T1038" s="591">
        <f t="shared" si="5380"/>
        <v>1</v>
      </c>
      <c r="U1038" s="591">
        <f t="shared" si="5380"/>
        <v>1</v>
      </c>
      <c r="V1038" s="591">
        <f t="shared" si="5380"/>
        <v>1</v>
      </c>
      <c r="W1038" s="591">
        <f t="shared" si="5380"/>
        <v>1</v>
      </c>
      <c r="X1038" s="591">
        <f t="shared" si="5380"/>
        <v>1</v>
      </c>
      <c r="Y1038" s="591">
        <f t="shared" si="5380"/>
        <v>1</v>
      </c>
      <c r="Z1038" s="591">
        <f t="shared" si="5380"/>
        <v>1</v>
      </c>
      <c r="AA1038" s="591">
        <f t="shared" si="5380"/>
        <v>1</v>
      </c>
      <c r="AB1038" s="591">
        <f t="shared" si="5380"/>
        <v>1</v>
      </c>
      <c r="AC1038" s="591">
        <f t="shared" si="5380"/>
        <v>1</v>
      </c>
      <c r="AD1038" s="591">
        <f t="shared" si="5380"/>
        <v>1</v>
      </c>
      <c r="AE1038" s="591">
        <f t="shared" si="5380"/>
        <v>1</v>
      </c>
      <c r="AF1038" s="591">
        <f t="shared" si="5380"/>
        <v>1</v>
      </c>
      <c r="AG1038" s="591">
        <f t="shared" si="5380"/>
        <v>1</v>
      </c>
      <c r="AH1038" s="591">
        <f t="shared" si="5380"/>
        <v>1</v>
      </c>
      <c r="AI1038" s="591">
        <f t="shared" si="5380"/>
        <v>1</v>
      </c>
      <c r="AJ1038" s="591">
        <f t="shared" si="5380"/>
        <v>1</v>
      </c>
      <c r="AK1038" s="591">
        <f t="shared" si="5380"/>
        <v>1</v>
      </c>
      <c r="AL1038" s="591">
        <f t="shared" si="5380"/>
        <v>1</v>
      </c>
      <c r="AM1038" s="591">
        <f t="shared" si="5380"/>
        <v>1</v>
      </c>
      <c r="AN1038" s="591">
        <f t="shared" si="5380"/>
        <v>1</v>
      </c>
      <c r="AO1038" s="591">
        <f t="shared" si="5380"/>
        <v>1</v>
      </c>
      <c r="AP1038" s="591">
        <f t="shared" si="5380"/>
        <v>1</v>
      </c>
      <c r="AQ1038" s="591">
        <f t="shared" si="5380"/>
        <v>1</v>
      </c>
      <c r="AR1038" s="591">
        <f t="shared" si="5380"/>
        <v>1</v>
      </c>
      <c r="AS1038" s="591">
        <f t="shared" si="5380"/>
        <v>1</v>
      </c>
      <c r="AT1038" s="591">
        <f t="shared" si="5380"/>
        <v>1</v>
      </c>
      <c r="AU1038" s="591">
        <f t="shared" si="5380"/>
        <v>1</v>
      </c>
      <c r="AV1038" s="591">
        <f t="shared" si="5380"/>
        <v>1</v>
      </c>
      <c r="AW1038" s="591">
        <f t="shared" si="5380"/>
        <v>1</v>
      </c>
      <c r="AX1038" s="591">
        <f t="shared" si="5380"/>
        <v>1</v>
      </c>
      <c r="AY1038" s="591">
        <f t="shared" si="5380"/>
        <v>1</v>
      </c>
      <c r="AZ1038" s="591">
        <f t="shared" si="5380"/>
        <v>1</v>
      </c>
      <c r="BA1038" s="591">
        <f t="shared" si="5380"/>
        <v>1</v>
      </c>
      <c r="BB1038" s="591">
        <f t="shared" si="5380"/>
        <v>1</v>
      </c>
      <c r="BC1038" s="591">
        <f t="shared" si="5380"/>
        <v>1</v>
      </c>
      <c r="BD1038" s="591">
        <f t="shared" si="5380"/>
        <v>1</v>
      </c>
      <c r="BE1038" s="591">
        <f t="shared" si="5380"/>
        <v>1</v>
      </c>
      <c r="BF1038" s="591">
        <f t="shared" si="5380"/>
        <v>1</v>
      </c>
      <c r="BG1038" s="591">
        <f t="shared" si="5380"/>
        <v>1</v>
      </c>
      <c r="BH1038" s="591">
        <f t="shared" si="5380"/>
        <v>1</v>
      </c>
      <c r="BI1038" s="591">
        <f t="shared" si="5380"/>
        <v>1</v>
      </c>
      <c r="BJ1038" s="591">
        <f t="shared" si="5380"/>
        <v>1</v>
      </c>
      <c r="BK1038" s="591">
        <f t="shared" si="5380"/>
        <v>1</v>
      </c>
      <c r="BL1038" s="591">
        <f t="shared" si="5380"/>
        <v>1</v>
      </c>
      <c r="BM1038" s="591">
        <f t="shared" si="5380"/>
        <v>1</v>
      </c>
      <c r="BN1038" s="591">
        <f t="shared" si="5380"/>
        <v>1</v>
      </c>
      <c r="BO1038" s="591">
        <f t="shared" si="5380"/>
        <v>1</v>
      </c>
      <c r="BP1038" s="591">
        <f t="shared" si="5380"/>
        <v>1</v>
      </c>
      <c r="BQ1038" s="591">
        <f t="shared" si="5380"/>
        <v>1</v>
      </c>
      <c r="BR1038" s="591">
        <f t="shared" si="5380"/>
        <v>1</v>
      </c>
      <c r="BS1038" s="591">
        <f t="shared" si="5380"/>
        <v>1</v>
      </c>
      <c r="BT1038" s="591">
        <f t="shared" si="5380"/>
        <v>1</v>
      </c>
      <c r="BU1038" s="591">
        <f t="shared" si="5380"/>
        <v>1</v>
      </c>
      <c r="BV1038" s="591">
        <f t="shared" si="5380"/>
        <v>1</v>
      </c>
      <c r="BW1038" s="591">
        <f t="shared" si="5380"/>
        <v>1</v>
      </c>
      <c r="BX1038" s="591">
        <f t="shared" si="5380"/>
        <v>1</v>
      </c>
      <c r="BY1038" s="591">
        <f t="shared" si="5380"/>
        <v>1</v>
      </c>
      <c r="BZ1038" s="627">
        <f t="shared" si="5380"/>
        <v>1</v>
      </c>
      <c r="CA1038" s="591">
        <f t="shared" si="5380"/>
        <v>1</v>
      </c>
      <c r="CB1038" s="591">
        <f t="shared" si="5380"/>
        <v>1</v>
      </c>
      <c r="CC1038" s="591">
        <f t="shared" si="5380"/>
        <v>1</v>
      </c>
      <c r="CD1038" s="591">
        <f t="shared" si="5380"/>
        <v>1</v>
      </c>
      <c r="CE1038" s="627">
        <f t="shared" si="5380"/>
        <v>1</v>
      </c>
      <c r="CF1038" s="591">
        <f t="shared" si="5380"/>
        <v>1</v>
      </c>
      <c r="CG1038" s="591">
        <f t="shared" si="5380"/>
        <v>1</v>
      </c>
      <c r="CH1038" s="591">
        <f t="shared" si="5380"/>
        <v>1</v>
      </c>
      <c r="CI1038" s="591">
        <f t="shared" si="5380"/>
        <v>1</v>
      </c>
      <c r="CJ1038" s="627"/>
      <c r="CK1038" s="591">
        <f>SUM(CK1034:CK1037)</f>
        <v>1</v>
      </c>
      <c r="CL1038" s="591"/>
      <c r="CM1038" s="591"/>
      <c r="CN1038" s="628"/>
      <c r="CO1038" s="627"/>
      <c r="CP1038" s="628"/>
      <c r="CQ1038" s="591"/>
      <c r="CR1038" s="591"/>
      <c r="CS1038" s="591"/>
      <c r="CT1038" s="627"/>
      <c r="CU1038" s="591"/>
      <c r="CV1038" s="591"/>
      <c r="CW1038" s="591"/>
      <c r="CX1038" s="591"/>
      <c r="CY1038" s="627"/>
      <c r="CZ1038" s="591"/>
      <c r="DA1038" s="591"/>
      <c r="DB1038" s="591"/>
      <c r="DC1038" s="591"/>
      <c r="DD1038" s="627"/>
      <c r="DE1038" s="591"/>
      <c r="DF1038" s="591"/>
      <c r="DG1038" s="325"/>
      <c r="DH1038" s="591"/>
      <c r="DI1038" s="627"/>
      <c r="DJ1038" s="628"/>
      <c r="DK1038" s="628"/>
      <c r="DL1038" s="628"/>
      <c r="DM1038" s="591"/>
      <c r="DN1038" s="627"/>
      <c r="DO1038" s="591"/>
      <c r="DP1038" s="591"/>
      <c r="DQ1038" s="591"/>
      <c r="DR1038" s="591"/>
      <c r="DS1038" s="627"/>
      <c r="DT1038" s="591"/>
      <c r="DU1038" s="591"/>
      <c r="DV1038" s="591"/>
      <c r="DW1038" s="591"/>
      <c r="DX1038" s="627"/>
      <c r="DY1038" s="591"/>
      <c r="DZ1038" s="591"/>
      <c r="EA1038" s="591"/>
      <c r="EB1038" s="591"/>
      <c r="EC1038" s="627"/>
      <c r="ED1038" s="591"/>
      <c r="EE1038" s="591"/>
      <c r="EF1038" s="591"/>
      <c r="EG1038" s="591"/>
      <c r="EH1038" s="627"/>
      <c r="EI1038" s="629"/>
      <c r="EJ1038" s="591"/>
      <c r="EK1038" s="591"/>
      <c r="EL1038" s="591"/>
      <c r="EM1038" s="627"/>
      <c r="EN1038" s="591"/>
      <c r="EO1038" s="591"/>
      <c r="EP1038" s="591"/>
      <c r="EQ1038" s="591"/>
      <c r="ER1038" s="627"/>
      <c r="ES1038" s="591"/>
      <c r="ET1038" s="591"/>
      <c r="EU1038" s="591"/>
      <c r="EV1038" s="591"/>
      <c r="EW1038" s="627"/>
      <c r="EX1038" s="591"/>
      <c r="EY1038" s="591"/>
      <c r="EZ1038" s="591"/>
      <c r="FA1038" s="591"/>
      <c r="FB1038" s="627"/>
      <c r="FC1038" s="591"/>
      <c r="FD1038" s="591"/>
      <c r="FE1038" s="591"/>
      <c r="FF1038" s="591"/>
      <c r="FG1038" s="627"/>
      <c r="FH1038" s="628"/>
      <c r="FI1038" s="591"/>
      <c r="FJ1038" s="591"/>
      <c r="FK1038" s="591"/>
      <c r="FL1038" s="591"/>
    </row>
    <row r="1039" ht="12.75" hidden="1" customHeight="1" outlineLevel="1">
      <c r="A1039" s="4"/>
      <c r="B1039" s="4"/>
      <c r="C1039" s="4"/>
      <c r="D1039" s="326"/>
      <c r="E1039" s="326"/>
      <c r="F1039" s="326"/>
      <c r="G1039" s="326"/>
      <c r="H1039" s="326"/>
      <c r="I1039" s="326"/>
      <c r="J1039" s="326"/>
      <c r="K1039" s="326"/>
      <c r="L1039" s="326"/>
      <c r="M1039" s="326"/>
      <c r="N1039" s="326"/>
      <c r="O1039" s="326"/>
      <c r="P1039" s="326"/>
      <c r="Q1039" s="326"/>
      <c r="R1039" s="326"/>
      <c r="S1039" s="326"/>
      <c r="T1039" s="326"/>
      <c r="U1039" s="326"/>
      <c r="V1039" s="326"/>
      <c r="W1039" s="326"/>
      <c r="X1039" s="326"/>
      <c r="Y1039" s="326"/>
      <c r="Z1039" s="326"/>
      <c r="AA1039" s="326"/>
      <c r="AB1039" s="326"/>
      <c r="AC1039" s="326"/>
      <c r="AD1039" s="326"/>
      <c r="AE1039" s="326"/>
      <c r="AF1039" s="326"/>
      <c r="AG1039" s="326"/>
      <c r="AH1039" s="326"/>
      <c r="AI1039" s="326"/>
      <c r="AJ1039" s="326"/>
      <c r="AK1039" s="326"/>
      <c r="AL1039" s="326"/>
      <c r="AM1039" s="326"/>
      <c r="AN1039" s="326"/>
      <c r="AO1039" s="326"/>
      <c r="AP1039" s="326"/>
      <c r="AQ1039" s="326"/>
      <c r="AR1039" s="326"/>
      <c r="AS1039" s="326"/>
      <c r="AT1039" s="326"/>
      <c r="AU1039" s="326"/>
      <c r="AV1039" s="326"/>
      <c r="AW1039" s="326"/>
      <c r="AX1039" s="326"/>
      <c r="AY1039" s="326"/>
      <c r="AZ1039" s="326"/>
      <c r="BA1039" s="326"/>
      <c r="BB1039" s="326"/>
      <c r="BC1039" s="326"/>
      <c r="BD1039" s="326"/>
      <c r="BE1039" s="326"/>
      <c r="BF1039" s="326"/>
      <c r="BG1039" s="326"/>
      <c r="BH1039" s="326"/>
      <c r="BI1039" s="326"/>
      <c r="BJ1039" s="326"/>
      <c r="BK1039" s="326"/>
      <c r="BL1039" s="326"/>
      <c r="BM1039" s="326"/>
      <c r="BN1039" s="326"/>
      <c r="BO1039" s="326"/>
      <c r="BP1039" s="326"/>
      <c r="BQ1039" s="326"/>
      <c r="BR1039" s="326"/>
      <c r="BS1039" s="326"/>
      <c r="BT1039" s="326"/>
      <c r="BU1039" s="326"/>
      <c r="BV1039" s="326"/>
      <c r="BW1039" s="326"/>
      <c r="BX1039" s="326"/>
      <c r="BY1039" s="326"/>
      <c r="BZ1039" s="429"/>
      <c r="CA1039" s="326"/>
      <c r="CB1039" s="326"/>
      <c r="CC1039" s="326"/>
      <c r="CD1039" s="326"/>
      <c r="CE1039" s="429"/>
      <c r="CF1039" s="326"/>
      <c r="CG1039" s="326"/>
      <c r="CH1039" s="326"/>
      <c r="CI1039" s="326"/>
      <c r="CJ1039" s="429"/>
      <c r="CK1039" s="326"/>
      <c r="CL1039" s="326"/>
      <c r="CM1039" s="326"/>
      <c r="CN1039" s="327"/>
      <c r="CO1039" s="429"/>
      <c r="CP1039" s="327"/>
      <c r="CQ1039" s="326"/>
      <c r="CR1039" s="326"/>
      <c r="CS1039" s="326"/>
      <c r="CT1039" s="429"/>
      <c r="CU1039" s="326"/>
      <c r="CV1039" s="326"/>
      <c r="CW1039" s="326"/>
      <c r="CX1039" s="326"/>
      <c r="CY1039" s="429"/>
      <c r="CZ1039" s="326"/>
      <c r="DA1039" s="326"/>
      <c r="DB1039" s="326"/>
      <c r="DC1039" s="326"/>
      <c r="DD1039" s="429"/>
      <c r="DE1039" s="326"/>
      <c r="DF1039" s="326"/>
      <c r="DG1039" s="327"/>
      <c r="DH1039" s="326"/>
      <c r="DI1039" s="429"/>
      <c r="DJ1039" s="327"/>
      <c r="DK1039" s="327"/>
      <c r="DL1039" s="327"/>
      <c r="DM1039" s="326"/>
      <c r="DN1039" s="429"/>
      <c r="DO1039" s="326"/>
      <c r="DP1039" s="326"/>
      <c r="DQ1039" s="326"/>
      <c r="DR1039" s="326"/>
      <c r="DS1039" s="429"/>
      <c r="DT1039" s="326"/>
      <c r="DU1039" s="326"/>
      <c r="DV1039" s="326"/>
      <c r="DW1039" s="326"/>
      <c r="DX1039" s="429"/>
      <c r="DY1039" s="326"/>
      <c r="DZ1039" s="326"/>
      <c r="EA1039" s="326"/>
      <c r="EB1039" s="326"/>
      <c r="EC1039" s="429"/>
      <c r="ED1039" s="326"/>
      <c r="EE1039" s="326"/>
      <c r="EF1039" s="326"/>
      <c r="EG1039" s="326"/>
      <c r="EH1039" s="429"/>
      <c r="EI1039" s="361"/>
      <c r="EJ1039" s="326"/>
      <c r="EK1039" s="326"/>
      <c r="EL1039" s="326"/>
      <c r="EM1039" s="429"/>
      <c r="EN1039" s="326"/>
      <c r="EO1039" s="326"/>
      <c r="EP1039" s="326"/>
      <c r="EQ1039" s="326"/>
      <c r="ER1039" s="429"/>
      <c r="ES1039" s="326"/>
      <c r="ET1039" s="326"/>
      <c r="EU1039" s="326"/>
      <c r="EV1039" s="326"/>
      <c r="EW1039" s="429"/>
      <c r="EX1039" s="326"/>
      <c r="EY1039" s="326"/>
      <c r="EZ1039" s="326"/>
      <c r="FA1039" s="326"/>
      <c r="FB1039" s="429"/>
      <c r="FC1039" s="326"/>
      <c r="FD1039" s="326"/>
      <c r="FE1039" s="326"/>
      <c r="FF1039" s="326"/>
      <c r="FG1039" s="429"/>
      <c r="FH1039" s="327"/>
      <c r="FI1039" s="326"/>
      <c r="FJ1039" s="326"/>
      <c r="FK1039" s="326"/>
      <c r="FL1039" s="326"/>
    </row>
    <row r="1040" ht="12.75" hidden="1" customHeight="1" outlineLevel="1">
      <c r="A1040" s="4"/>
      <c r="B1040" s="578" t="s">
        <v>339</v>
      </c>
      <c r="C1040" s="90"/>
      <c r="D1040" s="90"/>
      <c r="E1040" s="90"/>
      <c r="F1040" s="90"/>
      <c r="G1040" s="90"/>
      <c r="H1040" s="299"/>
      <c r="I1040" s="90"/>
      <c r="J1040" s="90"/>
      <c r="K1040" s="90"/>
      <c r="L1040" s="90"/>
      <c r="M1040" s="299"/>
      <c r="N1040" s="90"/>
      <c r="O1040" s="90"/>
      <c r="P1040" s="90"/>
      <c r="Q1040" s="90"/>
      <c r="R1040" s="299"/>
      <c r="S1040" s="90"/>
      <c r="T1040" s="90"/>
      <c r="U1040" s="90"/>
      <c r="V1040" s="90"/>
      <c r="W1040" s="299"/>
      <c r="X1040" s="90"/>
      <c r="Y1040" s="90"/>
      <c r="Z1040" s="90"/>
      <c r="AA1040" s="90"/>
      <c r="AB1040" s="299"/>
      <c r="AC1040" s="90"/>
      <c r="AD1040" s="90"/>
      <c r="AE1040" s="90"/>
      <c r="AF1040" s="90"/>
      <c r="AG1040" s="299"/>
      <c r="AH1040" s="90"/>
      <c r="AI1040" s="90"/>
      <c r="AJ1040" s="90"/>
      <c r="AK1040" s="90"/>
      <c r="AL1040" s="299"/>
      <c r="AM1040" s="90"/>
      <c r="AN1040" s="90"/>
      <c r="AO1040" s="90"/>
      <c r="AP1040" s="90"/>
      <c r="AQ1040" s="299"/>
      <c r="AR1040" s="90"/>
      <c r="AS1040" s="90"/>
      <c r="AT1040" s="90"/>
      <c r="AU1040" s="90"/>
      <c r="AV1040" s="299"/>
      <c r="AW1040" s="90"/>
      <c r="AX1040" s="90"/>
      <c r="AY1040" s="90"/>
      <c r="AZ1040" s="90"/>
      <c r="BA1040" s="299"/>
      <c r="BB1040" s="90"/>
      <c r="BC1040" s="90"/>
      <c r="BD1040" s="90"/>
      <c r="BE1040" s="90"/>
      <c r="BF1040" s="299"/>
      <c r="BG1040" s="90"/>
      <c r="BH1040" s="90"/>
      <c r="BI1040" s="90"/>
      <c r="BJ1040" s="90"/>
      <c r="BK1040" s="299"/>
      <c r="BL1040" s="90"/>
      <c r="BM1040" s="90"/>
      <c r="BN1040" s="90"/>
      <c r="BO1040" s="90"/>
      <c r="BP1040" s="299"/>
      <c r="BQ1040" s="90"/>
      <c r="BR1040" s="90"/>
      <c r="BS1040" s="90"/>
      <c r="BT1040" s="90"/>
      <c r="BU1040" s="299"/>
      <c r="BV1040" s="90"/>
      <c r="BW1040" s="90"/>
      <c r="BX1040" s="90"/>
      <c r="BY1040" s="90"/>
      <c r="BZ1040" s="301"/>
      <c r="CA1040" s="90"/>
      <c r="CB1040" s="90"/>
      <c r="CC1040" s="90"/>
      <c r="CD1040" s="90"/>
      <c r="CE1040" s="301"/>
      <c r="CF1040" s="90"/>
      <c r="CG1040" s="90"/>
      <c r="CH1040" s="90"/>
      <c r="CI1040" s="90"/>
      <c r="CJ1040" s="301"/>
      <c r="CK1040" s="90"/>
      <c r="CL1040" s="90"/>
      <c r="CM1040" s="90"/>
      <c r="CN1040" s="135"/>
      <c r="CO1040" s="301"/>
      <c r="CP1040" s="135"/>
      <c r="CQ1040" s="90"/>
      <c r="CR1040" s="90"/>
      <c r="CS1040" s="90"/>
      <c r="CT1040" s="301"/>
      <c r="CU1040" s="90"/>
      <c r="CV1040" s="90"/>
      <c r="CW1040" s="90"/>
      <c r="CX1040" s="90"/>
      <c r="CY1040" s="301"/>
      <c r="CZ1040" s="90"/>
      <c r="DA1040" s="90"/>
      <c r="DB1040" s="90"/>
      <c r="DC1040" s="90"/>
      <c r="DD1040" s="301"/>
      <c r="DE1040" s="90"/>
      <c r="DF1040" s="90"/>
      <c r="DG1040" s="16"/>
      <c r="DH1040" s="90"/>
      <c r="DI1040" s="301"/>
      <c r="DJ1040" s="135"/>
      <c r="DK1040" s="135"/>
      <c r="DL1040" s="135"/>
      <c r="DM1040" s="90"/>
      <c r="DN1040" s="301"/>
      <c r="DO1040" s="90"/>
      <c r="DP1040" s="90"/>
      <c r="DQ1040" s="90"/>
      <c r="DR1040" s="90"/>
      <c r="DS1040" s="301"/>
      <c r="DT1040" s="90"/>
      <c r="DU1040" s="90"/>
      <c r="DV1040" s="90"/>
      <c r="DW1040" s="90"/>
      <c r="DX1040" s="301"/>
      <c r="DY1040" s="90"/>
      <c r="DZ1040" s="90"/>
      <c r="EA1040" s="90"/>
      <c r="EB1040" s="90"/>
      <c r="EC1040" s="301"/>
      <c r="ED1040" s="90"/>
      <c r="EE1040" s="90"/>
      <c r="EF1040" s="90"/>
      <c r="EG1040" s="90"/>
      <c r="EH1040" s="301"/>
      <c r="EI1040" s="389"/>
      <c r="EJ1040" s="90"/>
      <c r="EK1040" s="90"/>
      <c r="EL1040" s="90"/>
      <c r="EM1040" s="301"/>
      <c r="EN1040" s="90"/>
      <c r="EO1040" s="90"/>
      <c r="EP1040" s="90"/>
      <c r="EQ1040" s="90"/>
      <c r="ER1040" s="301"/>
      <c r="ES1040" s="90"/>
      <c r="ET1040" s="90"/>
      <c r="EU1040" s="90"/>
      <c r="EV1040" s="90"/>
      <c r="EW1040" s="301"/>
      <c r="EX1040" s="90"/>
      <c r="EY1040" s="90"/>
      <c r="EZ1040" s="90"/>
      <c r="FA1040" s="90"/>
      <c r="FB1040" s="301"/>
      <c r="FC1040" s="90"/>
      <c r="FD1040" s="90"/>
      <c r="FE1040" s="90"/>
      <c r="FF1040" s="90"/>
      <c r="FG1040" s="301"/>
      <c r="FH1040" s="137"/>
      <c r="FI1040" s="90"/>
      <c r="FJ1040" s="90"/>
      <c r="FK1040" s="299"/>
      <c r="FL1040" s="90"/>
    </row>
    <row r="1041" ht="12.75" hidden="1" customHeight="1" outlineLevel="1">
      <c r="A1041" s="4"/>
      <c r="B1041" s="4" t="s">
        <v>363</v>
      </c>
      <c r="C1041" s="4"/>
      <c r="D1041" s="326"/>
      <c r="E1041" s="326"/>
      <c r="F1041" s="326"/>
      <c r="G1041" s="326"/>
      <c r="H1041" s="323"/>
      <c r="I1041" s="326"/>
      <c r="J1041" s="326"/>
      <c r="K1041" s="326"/>
      <c r="L1041" s="326"/>
      <c r="M1041" s="323"/>
      <c r="N1041" s="326"/>
      <c r="O1041" s="326"/>
      <c r="P1041" s="326"/>
      <c r="Q1041" s="326"/>
      <c r="R1041" s="323"/>
      <c r="S1041" s="326"/>
      <c r="T1041" s="326">
        <f t="shared" ref="T1041:V1041" si="5381">T1017/S1017-1</f>
        <v>0.01757808572</v>
      </c>
      <c r="U1041" s="326">
        <f t="shared" si="5381"/>
        <v>0.08627334717</v>
      </c>
      <c r="V1041" s="326">
        <f t="shared" si="5381"/>
        <v>0.04592430859</v>
      </c>
      <c r="W1041" s="323"/>
      <c r="X1041" s="326">
        <f t="shared" ref="X1041:X1045" si="5396">X1017/V1017-1</f>
        <v>-0.09619198386</v>
      </c>
      <c r="Y1041" s="326">
        <f t="shared" ref="Y1041:AA1041" si="5382">Y1017/X1017-1</f>
        <v>0.1449120545</v>
      </c>
      <c r="Z1041" s="326">
        <f t="shared" si="5382"/>
        <v>0.02746427571</v>
      </c>
      <c r="AA1041" s="326">
        <f t="shared" si="5382"/>
        <v>-0.02705193863</v>
      </c>
      <c r="AB1041" s="323"/>
      <c r="AC1041" s="326">
        <f t="shared" ref="AC1041:AC1045" si="5398">AC1017/AA1017-1</f>
        <v>-0.3449921801</v>
      </c>
      <c r="AD1041" s="326">
        <f t="shared" ref="AD1041:AF1041" si="5383">AD1017/AC1017-1</f>
        <v>0.002837031173</v>
      </c>
      <c r="AE1041" s="326">
        <f t="shared" si="5383"/>
        <v>0.03331228292</v>
      </c>
      <c r="AF1041" s="326">
        <f t="shared" si="5383"/>
        <v>-0.04842153077</v>
      </c>
      <c r="AG1041" s="323"/>
      <c r="AH1041" s="326">
        <f t="shared" ref="AH1041:AH1045" si="5400">AH1017/AF1017-1</f>
        <v>-0.0289273951</v>
      </c>
      <c r="AI1041" s="326">
        <f t="shared" ref="AI1041:AK1041" si="5384">AI1017/AH1017-1</f>
        <v>-0.0116546679</v>
      </c>
      <c r="AJ1041" s="326">
        <f t="shared" si="5384"/>
        <v>-0.05894694007</v>
      </c>
      <c r="AK1041" s="326">
        <f t="shared" si="5384"/>
        <v>0.03205719557</v>
      </c>
      <c r="AL1041" s="323"/>
      <c r="AM1041" s="326">
        <f t="shared" ref="AM1041:AM1045" si="5402">AM1017/AK1017-1</f>
        <v>-0.104283054</v>
      </c>
      <c r="AN1041" s="326">
        <f t="shared" ref="AN1041:AP1041" si="5385">AN1017/AM1017-1</f>
        <v>0.01611226611</v>
      </c>
      <c r="AO1041" s="326">
        <f t="shared" si="5385"/>
        <v>0.1089514066</v>
      </c>
      <c r="AP1041" s="326">
        <f t="shared" si="5385"/>
        <v>0.08671586716</v>
      </c>
      <c r="AQ1041" s="323"/>
      <c r="AR1041" s="326">
        <f t="shared" ref="AR1041:AR1045" si="5404">AR1017/AP1017-1</f>
        <v>-0.08191850594</v>
      </c>
      <c r="AS1041" s="326">
        <f t="shared" ref="AS1041:AU1041" si="5386">AS1017/AR1017-1</f>
        <v>-0.09570041609</v>
      </c>
      <c r="AT1041" s="326">
        <f t="shared" si="5386"/>
        <v>-0.08026584867</v>
      </c>
      <c r="AU1041" s="326">
        <f t="shared" si="5386"/>
        <v>0.1378543635</v>
      </c>
      <c r="AV1041" s="323"/>
      <c r="AW1041" s="326">
        <f t="shared" ref="AW1041:AW1045" si="5406">AW1017/AU1017-1</f>
        <v>-0.03663898388</v>
      </c>
      <c r="AX1041" s="326">
        <f t="shared" ref="AX1041:AZ1041" si="5387">AX1017/AW1017-1</f>
        <v>-0.05527383367</v>
      </c>
      <c r="AY1041" s="326">
        <f t="shared" si="5387"/>
        <v>0.02147074611</v>
      </c>
      <c r="AZ1041" s="326">
        <f t="shared" si="5387"/>
        <v>-0.035207567</v>
      </c>
      <c r="BA1041" s="323"/>
      <c r="BB1041" s="326">
        <f t="shared" ref="BB1041:BB1045" si="5408">BB1017/AZ1017-1</f>
        <v>0.03758169935</v>
      </c>
      <c r="BC1041" s="326">
        <f t="shared" ref="BC1041:BE1041" si="5388">BC1017/BB1017-1</f>
        <v>-0.1007874016</v>
      </c>
      <c r="BD1041" s="326">
        <f t="shared" si="5388"/>
        <v>0.1039112668</v>
      </c>
      <c r="BE1041" s="326">
        <f t="shared" si="5388"/>
        <v>0.05922792173</v>
      </c>
      <c r="BF1041" s="323"/>
      <c r="BG1041" s="326">
        <f t="shared" ref="BG1041:BG1045" si="5410">BG1017/BE1017-1</f>
        <v>-0.13779331</v>
      </c>
      <c r="BH1041" s="326">
        <f t="shared" ref="BH1041:BJ1041" si="5389">BH1017/BG1017-1</f>
        <v>0.05558772438</v>
      </c>
      <c r="BI1041" s="326">
        <f t="shared" si="5389"/>
        <v>0.1338453099</v>
      </c>
      <c r="BJ1041" s="326">
        <f t="shared" si="5389"/>
        <v>0.01499758104</v>
      </c>
      <c r="BK1041" s="323"/>
      <c r="BL1041" s="326">
        <f t="shared" ref="BL1041:BL1045" si="5412">BL1017/BJ1017-1</f>
        <v>-0.03908484271</v>
      </c>
      <c r="BM1041" s="326">
        <f t="shared" ref="BM1041:BO1041" si="5390">BM1017/BL1017-1</f>
        <v>-0.01537698413</v>
      </c>
      <c r="BN1041" s="326">
        <f t="shared" si="5390"/>
        <v>-0.04937027708</v>
      </c>
      <c r="BO1041" s="326">
        <f t="shared" si="5390"/>
        <v>-0.1759406465</v>
      </c>
      <c r="BP1041" s="323"/>
      <c r="BQ1041" s="326">
        <f t="shared" ref="BQ1041:BQ1045" si="5414">BQ1017/BO1017-1</f>
        <v>-0.02893890675</v>
      </c>
      <c r="BR1041" s="326">
        <f t="shared" ref="BR1041:BT1041" si="5391">BR1017/BQ1017-1</f>
        <v>0.1245033113</v>
      </c>
      <c r="BS1041" s="326">
        <f t="shared" si="5391"/>
        <v>0.07302709069</v>
      </c>
      <c r="BT1041" s="326">
        <f t="shared" si="5391"/>
        <v>0.1459934138</v>
      </c>
      <c r="BU1041" s="323"/>
      <c r="BV1041" s="326">
        <f t="shared" ref="BV1041:BV1045" si="5416">BV1017/BT1017-1</f>
        <v>-0.08716475096</v>
      </c>
      <c r="BW1041" s="326">
        <f t="shared" ref="BW1041:BY1041" si="5392">BW1017/BV1017-1</f>
        <v>0.1400839454</v>
      </c>
      <c r="BX1041" s="326">
        <f t="shared" si="5392"/>
        <v>0.03083294984</v>
      </c>
      <c r="BY1041" s="326">
        <f t="shared" si="5392"/>
        <v>0.025</v>
      </c>
      <c r="BZ1041" s="324"/>
      <c r="CA1041" s="326">
        <f t="shared" ref="CA1041:CA1045" si="5418">CA1017/BY1017-1</f>
        <v>0.1824912892</v>
      </c>
      <c r="CB1041" s="326">
        <f t="shared" ref="CB1041:CD1041" si="5393">CB1017/CA1017-1</f>
        <v>0.07145488029</v>
      </c>
      <c r="CC1041" s="326">
        <f t="shared" si="5393"/>
        <v>0.03712616019</v>
      </c>
      <c r="CD1041" s="326">
        <f t="shared" si="5393"/>
        <v>-0.1193238316</v>
      </c>
      <c r="CE1041" s="324"/>
      <c r="CF1041" s="326">
        <f t="shared" ref="CF1041:CF1045" si="5420">CF1017/CD1017-1</f>
        <v>-0.03914188935</v>
      </c>
      <c r="CG1041" s="326">
        <f t="shared" ref="CG1041:CI1041" si="5394">CG1017/CF1017-1</f>
        <v>0.1292596945</v>
      </c>
      <c r="CH1041" s="326">
        <f t="shared" si="5394"/>
        <v>-0.01075268817</v>
      </c>
      <c r="CI1041" s="326">
        <f t="shared" si="5394"/>
        <v>-1</v>
      </c>
      <c r="CJ1041" s="324"/>
      <c r="CK1041" s="326" t="str">
        <f t="shared" ref="CK1041:CK1045" si="5422">CK1017/CI1017-1</f>
        <v>#DIV/0!</v>
      </c>
      <c r="CL1041" s="326"/>
      <c r="CM1041" s="326"/>
      <c r="CN1041" s="327"/>
      <c r="CO1041" s="324"/>
      <c r="CP1041" s="327"/>
      <c r="CQ1041" s="326"/>
      <c r="CR1041" s="326"/>
      <c r="CS1041" s="326"/>
      <c r="CT1041" s="324"/>
      <c r="CU1041" s="326"/>
      <c r="CV1041" s="326"/>
      <c r="CW1041" s="326"/>
      <c r="CX1041" s="326"/>
      <c r="CY1041" s="324"/>
      <c r="CZ1041" s="326"/>
      <c r="DA1041" s="326"/>
      <c r="DB1041" s="326"/>
      <c r="DC1041" s="326"/>
      <c r="DD1041" s="324"/>
      <c r="DE1041" s="326"/>
      <c r="DF1041" s="326"/>
      <c r="DG1041" s="327"/>
      <c r="DH1041" s="326"/>
      <c r="DI1041" s="324"/>
      <c r="DJ1041" s="327"/>
      <c r="DK1041" s="327"/>
      <c r="DL1041" s="327"/>
      <c r="DM1041" s="326"/>
      <c r="DN1041" s="324"/>
      <c r="DO1041" s="326"/>
      <c r="DP1041" s="326"/>
      <c r="DQ1041" s="326"/>
      <c r="DR1041" s="326"/>
      <c r="DS1041" s="324"/>
      <c r="DT1041" s="326"/>
      <c r="DU1041" s="326"/>
      <c r="DV1041" s="326"/>
      <c r="DW1041" s="326"/>
      <c r="DX1041" s="324"/>
      <c r="DY1041" s="326"/>
      <c r="DZ1041" s="326"/>
      <c r="EA1041" s="326"/>
      <c r="EB1041" s="326"/>
      <c r="EC1041" s="324"/>
      <c r="ED1041" s="326"/>
      <c r="EE1041" s="326"/>
      <c r="EF1041" s="326"/>
      <c r="EG1041" s="326"/>
      <c r="EH1041" s="324"/>
      <c r="EI1041" s="361"/>
      <c r="EJ1041" s="326"/>
      <c r="EK1041" s="326"/>
      <c r="EL1041" s="326"/>
      <c r="EM1041" s="324"/>
      <c r="EN1041" s="326"/>
      <c r="EO1041" s="326"/>
      <c r="EP1041" s="326"/>
      <c r="EQ1041" s="326"/>
      <c r="ER1041" s="324"/>
      <c r="ES1041" s="326"/>
      <c r="ET1041" s="326"/>
      <c r="EU1041" s="326"/>
      <c r="EV1041" s="326"/>
      <c r="EW1041" s="324"/>
      <c r="EX1041" s="326"/>
      <c r="EY1041" s="326"/>
      <c r="EZ1041" s="326"/>
      <c r="FA1041" s="326"/>
      <c r="FB1041" s="324"/>
      <c r="FC1041" s="326"/>
      <c r="FD1041" s="326"/>
      <c r="FE1041" s="326"/>
      <c r="FF1041" s="326"/>
      <c r="FG1041" s="324"/>
      <c r="FH1041" s="325"/>
      <c r="FI1041" s="326"/>
      <c r="FJ1041" s="326"/>
      <c r="FK1041" s="323"/>
      <c r="FL1041" s="326"/>
    </row>
    <row r="1042" ht="12.75" hidden="1" customHeight="1" outlineLevel="1">
      <c r="A1042" s="4"/>
      <c r="B1042" s="4" t="s">
        <v>364</v>
      </c>
      <c r="C1042" s="4"/>
      <c r="D1042" s="326"/>
      <c r="E1042" s="326"/>
      <c r="F1042" s="326"/>
      <c r="G1042" s="326"/>
      <c r="H1042" s="323"/>
      <c r="I1042" s="326"/>
      <c r="J1042" s="326"/>
      <c r="K1042" s="326"/>
      <c r="L1042" s="326"/>
      <c r="M1042" s="323"/>
      <c r="N1042" s="326"/>
      <c r="O1042" s="326"/>
      <c r="P1042" s="326"/>
      <c r="Q1042" s="326"/>
      <c r="R1042" s="323"/>
      <c r="S1042" s="326"/>
      <c r="T1042" s="326">
        <f t="shared" ref="T1042:V1042" si="5395">T1018/S1018-1</f>
        <v>-0.1520182619</v>
      </c>
      <c r="U1042" s="326">
        <f t="shared" si="5395"/>
        <v>0.1297242811</v>
      </c>
      <c r="V1042" s="326">
        <f t="shared" si="5395"/>
        <v>0.1637344642</v>
      </c>
      <c r="W1042" s="323"/>
      <c r="X1042" s="326">
        <f t="shared" si="5396"/>
        <v>-0.02666829031</v>
      </c>
      <c r="Y1042" s="326">
        <f t="shared" ref="Y1042:AA1042" si="5397">Y1018/X1018-1</f>
        <v>-0.1538892828</v>
      </c>
      <c r="Z1042" s="326">
        <f t="shared" si="5397"/>
        <v>0.05192771084</v>
      </c>
      <c r="AA1042" s="326">
        <f t="shared" si="5397"/>
        <v>0.1325892067</v>
      </c>
      <c r="AB1042" s="323"/>
      <c r="AC1042" s="326">
        <f t="shared" si="5398"/>
        <v>-0.2327051253</v>
      </c>
      <c r="AD1042" s="326">
        <f t="shared" ref="AD1042:AF1042" si="5399">AD1018/AC1018-1</f>
        <v>-0.1652059308</v>
      </c>
      <c r="AE1042" s="326">
        <f t="shared" si="5399"/>
        <v>0.03331228292</v>
      </c>
      <c r="AF1042" s="326">
        <f t="shared" si="5399"/>
        <v>0.2124105841</v>
      </c>
      <c r="AG1042" s="323"/>
      <c r="AH1042" s="326">
        <f t="shared" si="5400"/>
        <v>-0.1066132035</v>
      </c>
      <c r="AI1042" s="326">
        <f t="shared" ref="AI1042:AK1042" si="5401">AI1018/AH1018-1</f>
        <v>-0.1896796035</v>
      </c>
      <c r="AJ1042" s="326">
        <f t="shared" si="5401"/>
        <v>0.1836683019</v>
      </c>
      <c r="AK1042" s="326">
        <f t="shared" si="5401"/>
        <v>0.1965880528</v>
      </c>
      <c r="AL1042" s="323"/>
      <c r="AM1042" s="326">
        <f t="shared" si="5402"/>
        <v>-0.08324022346</v>
      </c>
      <c r="AN1042" s="326">
        <f t="shared" ref="AN1042:AP1042" si="5403">AN1018/AM1018-1</f>
        <v>-0.1358927483</v>
      </c>
      <c r="AO1042" s="326">
        <f t="shared" si="5403"/>
        <v>0.1868829337</v>
      </c>
      <c r="AP1042" s="326">
        <f t="shared" si="5403"/>
        <v>0.2632204397</v>
      </c>
      <c r="AQ1042" s="323"/>
      <c r="AR1042" s="326">
        <f t="shared" si="5404"/>
        <v>-0.09360301035</v>
      </c>
      <c r="AS1042" s="326">
        <f t="shared" ref="AS1042:AU1042" si="5405">AS1018/AR1018-1</f>
        <v>-0.1359626362</v>
      </c>
      <c r="AT1042" s="326">
        <f t="shared" si="5405"/>
        <v>0.1327327327</v>
      </c>
      <c r="AU1042" s="326">
        <f t="shared" si="5405"/>
        <v>0.2073170732</v>
      </c>
      <c r="AV1042" s="323"/>
      <c r="AW1042" s="326">
        <f t="shared" si="5406"/>
        <v>-0.07509881423</v>
      </c>
      <c r="AX1042" s="326">
        <f t="shared" ref="AX1042:AZ1042" si="5407">AX1018/AW1018-1</f>
        <v>-0.141025641</v>
      </c>
      <c r="AY1042" s="326">
        <f t="shared" si="5407"/>
        <v>0.1094527363</v>
      </c>
      <c r="AZ1042" s="326">
        <f t="shared" si="5407"/>
        <v>0.1400099651</v>
      </c>
      <c r="BA1042" s="323"/>
      <c r="BB1042" s="326">
        <f t="shared" si="5408"/>
        <v>-0.2565559441</v>
      </c>
      <c r="BC1042" s="326">
        <f t="shared" ref="BC1042:BE1042" si="5409">BC1018/BB1018-1</f>
        <v>-0.1916519694</v>
      </c>
      <c r="BD1042" s="326">
        <f t="shared" si="5409"/>
        <v>0.1716363636</v>
      </c>
      <c r="BE1042" s="326">
        <f t="shared" si="5409"/>
        <v>0.1793916822</v>
      </c>
      <c r="BF1042" s="323"/>
      <c r="BG1042" s="326">
        <f t="shared" si="5410"/>
        <v>-0.09368421053</v>
      </c>
      <c r="BH1042" s="326">
        <f t="shared" ref="BH1042:BJ1042" si="5411">BH1018/BG1018-1</f>
        <v>-0.137630662</v>
      </c>
      <c r="BI1042" s="326">
        <f t="shared" si="5411"/>
        <v>0.2282828283</v>
      </c>
      <c r="BJ1042" s="326">
        <f t="shared" si="5411"/>
        <v>0.2231359649</v>
      </c>
      <c r="BK1042" s="323"/>
      <c r="BL1042" s="326">
        <f t="shared" si="5412"/>
        <v>-0.1649484536</v>
      </c>
      <c r="BM1042" s="326">
        <f t="shared" ref="BM1042:BO1042" si="5413">BM1018/BL1018-1</f>
        <v>-0.06548577563</v>
      </c>
      <c r="BN1042" s="326">
        <f t="shared" si="5413"/>
        <v>0.08156232051</v>
      </c>
      <c r="BO1042" s="326">
        <f t="shared" si="5413"/>
        <v>-0.1348911312</v>
      </c>
      <c r="BP1042" s="323"/>
      <c r="BQ1042" s="326">
        <f t="shared" si="5414"/>
        <v>-0.218538981</v>
      </c>
      <c r="BR1042" s="326">
        <f t="shared" ref="BR1042:BT1042" si="5415">BR1018/BQ1018-1</f>
        <v>-0.09426551453</v>
      </c>
      <c r="BS1042" s="326">
        <f t="shared" si="5415"/>
        <v>0.1517779705</v>
      </c>
      <c r="BT1042" s="326">
        <f t="shared" si="5415"/>
        <v>0.1475903614</v>
      </c>
      <c r="BU1042" s="323"/>
      <c r="BV1042" s="326">
        <f t="shared" si="5416"/>
        <v>-0.07874015748</v>
      </c>
      <c r="BW1042" s="326">
        <f t="shared" ref="BW1042:BY1042" si="5417">BW1018/BV1018-1</f>
        <v>-0.07834757835</v>
      </c>
      <c r="BX1042" s="326">
        <f t="shared" si="5417"/>
        <v>0.02472952087</v>
      </c>
      <c r="BY1042" s="326">
        <f t="shared" si="5417"/>
        <v>0.1930618401</v>
      </c>
      <c r="BZ1042" s="324"/>
      <c r="CA1042" s="326">
        <f t="shared" si="5418"/>
        <v>0.03982300885</v>
      </c>
      <c r="CB1042" s="326">
        <f t="shared" ref="CB1042:CD1042" si="5419">CB1018/CA1018-1</f>
        <v>-0.04924012158</v>
      </c>
      <c r="CC1042" s="326">
        <f t="shared" si="5419"/>
        <v>0.1598465473</v>
      </c>
      <c r="CD1042" s="326">
        <f t="shared" si="5419"/>
        <v>0.06504961411</v>
      </c>
      <c r="CE1042" s="324"/>
      <c r="CF1042" s="326">
        <f t="shared" si="5420"/>
        <v>-0.07971014493</v>
      </c>
      <c r="CG1042" s="326">
        <f t="shared" ref="CG1042:CI1042" si="5421">CG1018/CF1018-1</f>
        <v>-0.07086614173</v>
      </c>
      <c r="CH1042" s="326">
        <f t="shared" si="5421"/>
        <v>0.07445520581</v>
      </c>
      <c r="CI1042" s="326">
        <f t="shared" si="5421"/>
        <v>-1</v>
      </c>
      <c r="CJ1042" s="324"/>
      <c r="CK1042" s="326" t="str">
        <f t="shared" si="5422"/>
        <v>#DIV/0!</v>
      </c>
      <c r="CL1042" s="326"/>
      <c r="CM1042" s="326"/>
      <c r="CN1042" s="327"/>
      <c r="CO1042" s="324"/>
      <c r="CP1042" s="327"/>
      <c r="CQ1042" s="326"/>
      <c r="CR1042" s="326"/>
      <c r="CS1042" s="326"/>
      <c r="CT1042" s="324"/>
      <c r="CU1042" s="326"/>
      <c r="CV1042" s="326"/>
      <c r="CW1042" s="326"/>
      <c r="CX1042" s="326"/>
      <c r="CY1042" s="324"/>
      <c r="CZ1042" s="326"/>
      <c r="DA1042" s="326"/>
      <c r="DB1042" s="326"/>
      <c r="DC1042" s="326"/>
      <c r="DD1042" s="324"/>
      <c r="DE1042" s="326"/>
      <c r="DF1042" s="326"/>
      <c r="DG1042" s="327"/>
      <c r="DH1042" s="326"/>
      <c r="DI1042" s="324"/>
      <c r="DJ1042" s="327"/>
      <c r="DK1042" s="327"/>
      <c r="DL1042" s="327"/>
      <c r="DM1042" s="326"/>
      <c r="DN1042" s="324"/>
      <c r="DO1042" s="326"/>
      <c r="DP1042" s="326"/>
      <c r="DQ1042" s="326"/>
      <c r="DR1042" s="326"/>
      <c r="DS1042" s="324"/>
      <c r="DT1042" s="326"/>
      <c r="DU1042" s="326"/>
      <c r="DV1042" s="326"/>
      <c r="DW1042" s="326"/>
      <c r="DX1042" s="324"/>
      <c r="DY1042" s="326"/>
      <c r="DZ1042" s="326"/>
      <c r="EA1042" s="326"/>
      <c r="EB1042" s="326"/>
      <c r="EC1042" s="324"/>
      <c r="ED1042" s="326"/>
      <c r="EE1042" s="326"/>
      <c r="EF1042" s="326"/>
      <c r="EG1042" s="326"/>
      <c r="EH1042" s="324"/>
      <c r="EI1042" s="361"/>
      <c r="EJ1042" s="326"/>
      <c r="EK1042" s="326"/>
      <c r="EL1042" s="326"/>
      <c r="EM1042" s="324"/>
      <c r="EN1042" s="326"/>
      <c r="EO1042" s="326"/>
      <c r="EP1042" s="326"/>
      <c r="EQ1042" s="326"/>
      <c r="ER1042" s="324"/>
      <c r="ES1042" s="326"/>
      <c r="ET1042" s="326"/>
      <c r="EU1042" s="326"/>
      <c r="EV1042" s="326"/>
      <c r="EW1042" s="324"/>
      <c r="EX1042" s="326"/>
      <c r="EY1042" s="326"/>
      <c r="EZ1042" s="326"/>
      <c r="FA1042" s="326"/>
      <c r="FB1042" s="324"/>
      <c r="FC1042" s="326"/>
      <c r="FD1042" s="326"/>
      <c r="FE1042" s="326"/>
      <c r="FF1042" s="326"/>
      <c r="FG1042" s="324"/>
      <c r="FH1042" s="325"/>
      <c r="FI1042" s="326"/>
      <c r="FJ1042" s="326"/>
      <c r="FK1042" s="323"/>
      <c r="FL1042" s="326"/>
    </row>
    <row r="1043" ht="12.75" hidden="1" customHeight="1" outlineLevel="1">
      <c r="A1043" s="4"/>
      <c r="B1043" s="4" t="s">
        <v>365</v>
      </c>
      <c r="C1043" s="4"/>
      <c r="D1043" s="326"/>
      <c r="E1043" s="326"/>
      <c r="F1043" s="326"/>
      <c r="G1043" s="326"/>
      <c r="H1043" s="323"/>
      <c r="I1043" s="326"/>
      <c r="J1043" s="326"/>
      <c r="K1043" s="326"/>
      <c r="L1043" s="326"/>
      <c r="M1043" s="323"/>
      <c r="N1043" s="326"/>
      <c r="O1043" s="326"/>
      <c r="P1043" s="326"/>
      <c r="Q1043" s="326"/>
      <c r="R1043" s="323"/>
      <c r="S1043" s="326"/>
      <c r="T1043" s="326">
        <f t="shared" ref="T1043:V1043" si="5423">T1019/S1019-1</f>
        <v>-0.05026045333</v>
      </c>
      <c r="U1043" s="326">
        <f t="shared" si="5423"/>
        <v>0.1356494084</v>
      </c>
      <c r="V1043" s="326">
        <f t="shared" si="5423"/>
        <v>0.1693563699</v>
      </c>
      <c r="W1043" s="323"/>
      <c r="X1043" s="326">
        <f t="shared" si="5396"/>
        <v>0.0138871976</v>
      </c>
      <c r="Y1043" s="326">
        <f t="shared" ref="Y1043:AA1043" si="5424">Y1019/X1019-1</f>
        <v>0.07994495183</v>
      </c>
      <c r="Z1043" s="326">
        <f t="shared" si="5424"/>
        <v>0.09238646895</v>
      </c>
      <c r="AA1043" s="326">
        <f t="shared" si="5424"/>
        <v>-0.07714953529</v>
      </c>
      <c r="AB1043" s="323"/>
      <c r="AC1043" s="326">
        <f t="shared" si="5398"/>
        <v>-0.1406297403</v>
      </c>
      <c r="AD1043" s="326">
        <f t="shared" ref="AD1043:AF1043" si="5425">AD1019/AC1019-1</f>
        <v>0.05026851238</v>
      </c>
      <c r="AE1043" s="326">
        <f t="shared" si="5425"/>
        <v>0.03331228292</v>
      </c>
      <c r="AF1043" s="326">
        <f t="shared" si="5425"/>
        <v>0.2045885803</v>
      </c>
      <c r="AG1043" s="323"/>
      <c r="AH1043" s="326">
        <f t="shared" si="5400"/>
        <v>-0.001182463534</v>
      </c>
      <c r="AI1043" s="326">
        <f t="shared" ref="AI1043:AK1043" si="5426">AI1019/AH1019-1</f>
        <v>-0.01636107424</v>
      </c>
      <c r="AJ1043" s="326">
        <f t="shared" si="5426"/>
        <v>0.0292767843</v>
      </c>
      <c r="AK1043" s="326">
        <f t="shared" si="5426"/>
        <v>0.1008610086</v>
      </c>
      <c r="AL1043" s="323"/>
      <c r="AM1043" s="326">
        <f t="shared" si="5402"/>
        <v>-0.02896206998</v>
      </c>
      <c r="AN1043" s="326">
        <f t="shared" ref="AN1043:AP1043" si="5427">AN1019/AM1019-1</f>
        <v>0.05147615443</v>
      </c>
      <c r="AO1043" s="326">
        <f t="shared" si="5427"/>
        <v>0.1756659467</v>
      </c>
      <c r="AP1043" s="326">
        <f t="shared" si="5427"/>
        <v>0.06399265156</v>
      </c>
      <c r="AQ1043" s="323"/>
      <c r="AR1043" s="326">
        <f t="shared" si="5404"/>
        <v>-0.05496402878</v>
      </c>
      <c r="AS1043" s="326">
        <f t="shared" ref="AS1043:AU1043" si="5428">AS1019/AR1019-1</f>
        <v>0.1147990256</v>
      </c>
      <c r="AT1043" s="326">
        <f t="shared" si="5428"/>
        <v>0.09642174269</v>
      </c>
      <c r="AU1043" s="326">
        <f t="shared" si="5428"/>
        <v>0.1013951171</v>
      </c>
      <c r="AV1043" s="323"/>
      <c r="AW1043" s="326">
        <f t="shared" si="5406"/>
        <v>-0.005881022393</v>
      </c>
      <c r="AX1043" s="326">
        <f t="shared" ref="AX1043:AZ1043" si="5429">AX1019/AW1019-1</f>
        <v>0.0646188851</v>
      </c>
      <c r="AY1043" s="326">
        <f t="shared" si="5429"/>
        <v>0.09510579184</v>
      </c>
      <c r="AZ1043" s="326">
        <f t="shared" si="5429"/>
        <v>0.00156128025</v>
      </c>
      <c r="BA1043" s="323"/>
      <c r="BB1043" s="326">
        <f t="shared" si="5408"/>
        <v>-0.1634840218</v>
      </c>
      <c r="BC1043" s="326">
        <f t="shared" ref="BC1043:BE1043" si="5430">BC1019/BB1019-1</f>
        <v>-0.06475658048</v>
      </c>
      <c r="BD1043" s="326">
        <f t="shared" si="5430"/>
        <v>0.07447073474</v>
      </c>
      <c r="BE1043" s="326">
        <f t="shared" si="5430"/>
        <v>0.125405656</v>
      </c>
      <c r="BF1043" s="323"/>
      <c r="BG1043" s="326">
        <f t="shared" si="5410"/>
        <v>-0.08712667353</v>
      </c>
      <c r="BH1043" s="326">
        <f t="shared" ref="BH1043:BJ1043" si="5431">BH1019/BG1019-1</f>
        <v>0.005640794224</v>
      </c>
      <c r="BI1043" s="326">
        <f t="shared" si="5431"/>
        <v>0.1678258919</v>
      </c>
      <c r="BJ1043" s="326">
        <f t="shared" si="5431"/>
        <v>0.02555235351</v>
      </c>
      <c r="BK1043" s="323"/>
      <c r="BL1043" s="326">
        <f t="shared" si="5412"/>
        <v>-0.1030348445</v>
      </c>
      <c r="BM1043" s="326">
        <f t="shared" ref="BM1043:BO1043" si="5432">BM1019/BL1019-1</f>
        <v>0.003550543024</v>
      </c>
      <c r="BN1043" s="326">
        <f t="shared" si="5432"/>
        <v>0.1215400624</v>
      </c>
      <c r="BO1043" s="326">
        <f t="shared" si="5432"/>
        <v>-0.2462423455</v>
      </c>
      <c r="BP1043" s="323"/>
      <c r="BQ1043" s="326">
        <f t="shared" si="5414"/>
        <v>-0.1021664205</v>
      </c>
      <c r="BR1043" s="326">
        <f t="shared" ref="BR1043:BT1043" si="5433">BR1019/BQ1019-1</f>
        <v>0.2089388539</v>
      </c>
      <c r="BS1043" s="326">
        <f t="shared" si="5433"/>
        <v>0.2070764346</v>
      </c>
      <c r="BT1043" s="326">
        <f t="shared" si="5433"/>
        <v>0.1206313416</v>
      </c>
      <c r="BU1043" s="323"/>
      <c r="BV1043" s="326">
        <f t="shared" si="5416"/>
        <v>-0.01274312542</v>
      </c>
      <c r="BW1043" s="326">
        <f t="shared" ref="BW1043:BY1043" si="5434">BW1019/BV1019-1</f>
        <v>0.04721467391</v>
      </c>
      <c r="BX1043" s="326">
        <f t="shared" si="5434"/>
        <v>0.03859876743</v>
      </c>
      <c r="BY1043" s="326">
        <f t="shared" si="5434"/>
        <v>0.01717676452</v>
      </c>
      <c r="BZ1043" s="324"/>
      <c r="CA1043" s="326">
        <f t="shared" si="5418"/>
        <v>0.1148295978</v>
      </c>
      <c r="CB1043" s="326">
        <f t="shared" ref="CB1043:CD1043" si="5435">CB1019/CA1019-1</f>
        <v>0.01776370146</v>
      </c>
      <c r="CC1043" s="326">
        <f t="shared" si="5435"/>
        <v>0.08916249493</v>
      </c>
      <c r="CD1043" s="326">
        <f t="shared" si="5435"/>
        <v>-0.003850931677</v>
      </c>
      <c r="CE1043" s="324"/>
      <c r="CF1043" s="326">
        <f t="shared" si="5420"/>
        <v>-0.08118219229</v>
      </c>
      <c r="CG1043" s="326">
        <f t="shared" ref="CG1043:CI1043" si="5436">CG1019/CF1019-1</f>
        <v>0.05496742671</v>
      </c>
      <c r="CH1043" s="326">
        <f t="shared" si="5436"/>
        <v>-0.01003473562</v>
      </c>
      <c r="CI1043" s="326">
        <f t="shared" si="5436"/>
        <v>-1</v>
      </c>
      <c r="CJ1043" s="324"/>
      <c r="CK1043" s="326" t="str">
        <f t="shared" si="5422"/>
        <v>#DIV/0!</v>
      </c>
      <c r="CL1043" s="326"/>
      <c r="CM1043" s="326"/>
      <c r="CN1043" s="327"/>
      <c r="CO1043" s="324"/>
      <c r="CP1043" s="327"/>
      <c r="CQ1043" s="326"/>
      <c r="CR1043" s="326"/>
      <c r="CS1043" s="326"/>
      <c r="CT1043" s="324"/>
      <c r="CU1043" s="326"/>
      <c r="CV1043" s="326"/>
      <c r="CW1043" s="326"/>
      <c r="CX1043" s="326"/>
      <c r="CY1043" s="324"/>
      <c r="CZ1043" s="326"/>
      <c r="DA1043" s="326"/>
      <c r="DB1043" s="326"/>
      <c r="DC1043" s="326"/>
      <c r="DD1043" s="324"/>
      <c r="DE1043" s="326"/>
      <c r="DF1043" s="326"/>
      <c r="DG1043" s="327"/>
      <c r="DH1043" s="326"/>
      <c r="DI1043" s="324"/>
      <c r="DJ1043" s="327"/>
      <c r="DK1043" s="327"/>
      <c r="DL1043" s="327"/>
      <c r="DM1043" s="326"/>
      <c r="DN1043" s="324"/>
      <c r="DO1043" s="326"/>
      <c r="DP1043" s="326"/>
      <c r="DQ1043" s="326"/>
      <c r="DR1043" s="326"/>
      <c r="DS1043" s="324"/>
      <c r="DT1043" s="326"/>
      <c r="DU1043" s="326"/>
      <c r="DV1043" s="326"/>
      <c r="DW1043" s="326"/>
      <c r="DX1043" s="324"/>
      <c r="DY1043" s="326"/>
      <c r="DZ1043" s="326"/>
      <c r="EA1043" s="326"/>
      <c r="EB1043" s="326"/>
      <c r="EC1043" s="324"/>
      <c r="ED1043" s="326"/>
      <c r="EE1043" s="326"/>
      <c r="EF1043" s="326"/>
      <c r="EG1043" s="326"/>
      <c r="EH1043" s="324"/>
      <c r="EI1043" s="361"/>
      <c r="EJ1043" s="326"/>
      <c r="EK1043" s="326"/>
      <c r="EL1043" s="326"/>
      <c r="EM1043" s="324"/>
      <c r="EN1043" s="326"/>
      <c r="EO1043" s="326"/>
      <c r="EP1043" s="326"/>
      <c r="EQ1043" s="326"/>
      <c r="ER1043" s="324"/>
      <c r="ES1043" s="326"/>
      <c r="ET1043" s="326"/>
      <c r="EU1043" s="326"/>
      <c r="EV1043" s="326"/>
      <c r="EW1043" s="324"/>
      <c r="EX1043" s="326"/>
      <c r="EY1043" s="326"/>
      <c r="EZ1043" s="326"/>
      <c r="FA1043" s="326"/>
      <c r="FB1043" s="324"/>
      <c r="FC1043" s="326"/>
      <c r="FD1043" s="326"/>
      <c r="FE1043" s="326"/>
      <c r="FF1043" s="326"/>
      <c r="FG1043" s="324"/>
      <c r="FH1043" s="325"/>
      <c r="FI1043" s="326"/>
      <c r="FJ1043" s="326"/>
      <c r="FK1043" s="323"/>
      <c r="FL1043" s="326"/>
    </row>
    <row r="1044" ht="12.75" hidden="1" customHeight="1" outlineLevel="1">
      <c r="A1044" s="4"/>
      <c r="B1044" s="4" t="s">
        <v>366</v>
      </c>
      <c r="C1044" s="4"/>
      <c r="D1044" s="326"/>
      <c r="E1044" s="326"/>
      <c r="F1044" s="326"/>
      <c r="G1044" s="326"/>
      <c r="H1044" s="323"/>
      <c r="I1044" s="326"/>
      <c r="J1044" s="326"/>
      <c r="K1044" s="326"/>
      <c r="L1044" s="326"/>
      <c r="M1044" s="323"/>
      <c r="N1044" s="326"/>
      <c r="O1044" s="326"/>
      <c r="P1044" s="326"/>
      <c r="Q1044" s="326"/>
      <c r="R1044" s="323"/>
      <c r="S1044" s="326"/>
      <c r="T1044" s="326">
        <f t="shared" ref="T1044:V1044" si="5437">T1020/S1020-1</f>
        <v>-0.05026045333</v>
      </c>
      <c r="U1044" s="326">
        <f t="shared" si="5437"/>
        <v>-0.1852949896</v>
      </c>
      <c r="V1044" s="326">
        <f t="shared" si="5437"/>
        <v>0.3074053857</v>
      </c>
      <c r="W1044" s="323"/>
      <c r="X1044" s="326">
        <f t="shared" si="5396"/>
        <v>0.2514264839</v>
      </c>
      <c r="Y1044" s="326">
        <f t="shared" ref="Y1044:AA1044" si="5438">Y1020/X1020-1</f>
        <v>0.03840860753</v>
      </c>
      <c r="Z1044" s="326">
        <f t="shared" si="5438"/>
        <v>0.05192771084</v>
      </c>
      <c r="AA1044" s="326">
        <f t="shared" si="5438"/>
        <v>-0.00332149811</v>
      </c>
      <c r="AB1044" s="323"/>
      <c r="AC1044" s="326">
        <f t="shared" si="5398"/>
        <v>0.02305983299</v>
      </c>
      <c r="AD1044" s="326">
        <f t="shared" ref="AD1044:AF1044" si="5439">AD1020/AC1020-1</f>
        <v>-0.2094753133</v>
      </c>
      <c r="AE1044" s="326">
        <f t="shared" si="5439"/>
        <v>0.03331228292</v>
      </c>
      <c r="AF1044" s="326">
        <f t="shared" si="5439"/>
        <v>-0.2531550802</v>
      </c>
      <c r="AG1044" s="323"/>
      <c r="AH1044" s="326">
        <f t="shared" si="5400"/>
        <v>0.1097972627</v>
      </c>
      <c r="AI1044" s="326">
        <f t="shared" ref="AI1044:AK1044" si="5440">AI1020/AH1020-1</f>
        <v>-0.184615101</v>
      </c>
      <c r="AJ1044" s="326">
        <f t="shared" si="5440"/>
        <v>0.0292767843</v>
      </c>
      <c r="AK1044" s="326">
        <f t="shared" si="5440"/>
        <v>0.1008610086</v>
      </c>
      <c r="AL1044" s="323"/>
      <c r="AM1044" s="326">
        <f t="shared" si="5402"/>
        <v>0.08539505188</v>
      </c>
      <c r="AN1044" s="326">
        <f t="shared" ref="AN1044:AP1044" si="5441">AN1020/AM1020-1</f>
        <v>0.2224264706</v>
      </c>
      <c r="AO1044" s="326">
        <f t="shared" si="5441"/>
        <v>0.07669172932</v>
      </c>
      <c r="AP1044" s="326">
        <f t="shared" si="5441"/>
        <v>0.09497206704</v>
      </c>
      <c r="AQ1044" s="323"/>
      <c r="AR1044" s="326">
        <f t="shared" si="5404"/>
        <v>-0.08545918367</v>
      </c>
      <c r="AS1044" s="326">
        <f t="shared" ref="AS1044:AU1044" si="5442">AS1020/AR1020-1</f>
        <v>0.06973500697</v>
      </c>
      <c r="AT1044" s="326">
        <f t="shared" si="5442"/>
        <v>0.006518904824</v>
      </c>
      <c r="AU1044" s="326">
        <f t="shared" si="5442"/>
        <v>0.1049222798</v>
      </c>
      <c r="AV1044" s="323"/>
      <c r="AW1044" s="326">
        <f t="shared" si="5406"/>
        <v>0.1266119578</v>
      </c>
      <c r="AX1044" s="326">
        <f t="shared" ref="AX1044:AZ1044" si="5443">AX1020/AW1020-1</f>
        <v>-0.08428720083</v>
      </c>
      <c r="AY1044" s="326">
        <f t="shared" si="5443"/>
        <v>0.05227272727</v>
      </c>
      <c r="AZ1044" s="326">
        <f t="shared" si="5443"/>
        <v>0.02051835853</v>
      </c>
      <c r="BA1044" s="323"/>
      <c r="BB1044" s="326">
        <f t="shared" si="5408"/>
        <v>0.1015873016</v>
      </c>
      <c r="BC1044" s="326">
        <f t="shared" ref="BC1044:BE1044" si="5444">BC1020/BB1020-1</f>
        <v>-0.1296829971</v>
      </c>
      <c r="BD1044" s="326">
        <f t="shared" si="5444"/>
        <v>0.01876379691</v>
      </c>
      <c r="BE1044" s="326">
        <f t="shared" si="5444"/>
        <v>0.01408450704</v>
      </c>
      <c r="BF1044" s="323"/>
      <c r="BG1044" s="326">
        <f t="shared" si="5410"/>
        <v>0.03739316239</v>
      </c>
      <c r="BH1044" s="326">
        <f t="shared" ref="BH1044:BJ1044" si="5445">BH1020/BG1020-1</f>
        <v>-0.05767250257</v>
      </c>
      <c r="BI1044" s="326">
        <f t="shared" si="5445"/>
        <v>0.08633879781</v>
      </c>
      <c r="BJ1044" s="326">
        <f t="shared" si="5445"/>
        <v>0.05130784708</v>
      </c>
      <c r="BK1044" s="323"/>
      <c r="BL1044" s="326">
        <f t="shared" si="5412"/>
        <v>-0.03732057416</v>
      </c>
      <c r="BM1044" s="326">
        <f t="shared" ref="BM1044:BO1044" si="5446">BM1020/BL1020-1</f>
        <v>-0.06660039761</v>
      </c>
      <c r="BN1044" s="326">
        <f t="shared" si="5446"/>
        <v>0.1267305644</v>
      </c>
      <c r="BO1044" s="326">
        <f t="shared" si="5446"/>
        <v>-0.07372400756</v>
      </c>
      <c r="BP1044" s="323"/>
      <c r="BQ1044" s="326">
        <f t="shared" si="5414"/>
        <v>-0.2704081633</v>
      </c>
      <c r="BR1044" s="326">
        <f t="shared" ref="BR1044:BT1044" si="5447">BR1020/BQ1020-1</f>
        <v>0.06853146853</v>
      </c>
      <c r="BS1044" s="326">
        <f t="shared" si="5447"/>
        <v>0.2002617801</v>
      </c>
      <c r="BT1044" s="326">
        <f t="shared" si="5447"/>
        <v>0.08287895311</v>
      </c>
      <c r="BU1044" s="323"/>
      <c r="BV1044" s="326">
        <f t="shared" si="5416"/>
        <v>0.1087613293</v>
      </c>
      <c r="BW1044" s="326">
        <f t="shared" ref="BW1044:BY1044" si="5448">BW1020/BV1020-1</f>
        <v>0.02815622162</v>
      </c>
      <c r="BX1044" s="326">
        <f t="shared" si="5448"/>
        <v>0</v>
      </c>
      <c r="BY1044" s="326">
        <f t="shared" si="5448"/>
        <v>-0.05918727915</v>
      </c>
      <c r="BZ1044" s="324"/>
      <c r="CA1044" s="326">
        <f t="shared" si="5418"/>
        <v>0.1502347418</v>
      </c>
      <c r="CB1044" s="326">
        <f t="shared" ref="CB1044:CD1044" si="5449">CB1020/CA1020-1</f>
        <v>-0.04653061224</v>
      </c>
      <c r="CC1044" s="326">
        <f t="shared" si="5449"/>
        <v>0.1575342466</v>
      </c>
      <c r="CD1044" s="326">
        <f t="shared" si="5449"/>
        <v>-0.05399408284</v>
      </c>
      <c r="CE1044" s="324"/>
      <c r="CF1044" s="326">
        <f t="shared" si="5420"/>
        <v>-0.05629397967</v>
      </c>
      <c r="CG1044" s="326">
        <f t="shared" ref="CG1044:CI1044" si="5450">CG1020/CF1020-1</f>
        <v>-0.0115990058</v>
      </c>
      <c r="CH1044" s="326">
        <f t="shared" si="5450"/>
        <v>-0.0486169321</v>
      </c>
      <c r="CI1044" s="326">
        <f t="shared" si="5450"/>
        <v>10.87400881</v>
      </c>
      <c r="CJ1044" s="324"/>
      <c r="CK1044" s="326">
        <f t="shared" si="5422"/>
        <v>-0.06655783928</v>
      </c>
      <c r="CL1044" s="326"/>
      <c r="CM1044" s="326"/>
      <c r="CN1044" s="327"/>
      <c r="CO1044" s="324"/>
      <c r="CP1044" s="327"/>
      <c r="CQ1044" s="326"/>
      <c r="CR1044" s="326"/>
      <c r="CS1044" s="326"/>
      <c r="CT1044" s="324"/>
      <c r="CU1044" s="326"/>
      <c r="CV1044" s="326"/>
      <c r="CW1044" s="326"/>
      <c r="CX1044" s="326"/>
      <c r="CY1044" s="324"/>
      <c r="CZ1044" s="326"/>
      <c r="DA1044" s="326"/>
      <c r="DB1044" s="326"/>
      <c r="DC1044" s="326"/>
      <c r="DD1044" s="324"/>
      <c r="DE1044" s="326"/>
      <c r="DF1044" s="326"/>
      <c r="DG1044" s="327"/>
      <c r="DH1044" s="326"/>
      <c r="DI1044" s="324"/>
      <c r="DJ1044" s="327"/>
      <c r="DK1044" s="327"/>
      <c r="DL1044" s="327"/>
      <c r="DM1044" s="326"/>
      <c r="DN1044" s="324"/>
      <c r="DO1044" s="326"/>
      <c r="DP1044" s="326"/>
      <c r="DQ1044" s="326"/>
      <c r="DR1044" s="326"/>
      <c r="DS1044" s="324"/>
      <c r="DT1044" s="326"/>
      <c r="DU1044" s="326"/>
      <c r="DV1044" s="326"/>
      <c r="DW1044" s="326"/>
      <c r="DX1044" s="324"/>
      <c r="DY1044" s="326"/>
      <c r="DZ1044" s="326"/>
      <c r="EA1044" s="326"/>
      <c r="EB1044" s="326"/>
      <c r="EC1044" s="324"/>
      <c r="ED1044" s="326"/>
      <c r="EE1044" s="326"/>
      <c r="EF1044" s="326"/>
      <c r="EG1044" s="326"/>
      <c r="EH1044" s="324"/>
      <c r="EI1044" s="361"/>
      <c r="EJ1044" s="326"/>
      <c r="EK1044" s="326"/>
      <c r="EL1044" s="326"/>
      <c r="EM1044" s="324"/>
      <c r="EN1044" s="326"/>
      <c r="EO1044" s="326"/>
      <c r="EP1044" s="326"/>
      <c r="EQ1044" s="326"/>
      <c r="ER1044" s="324"/>
      <c r="ES1044" s="326"/>
      <c r="ET1044" s="326"/>
      <c r="EU1044" s="326"/>
      <c r="EV1044" s="326"/>
      <c r="EW1044" s="324"/>
      <c r="EX1044" s="326"/>
      <c r="EY1044" s="326"/>
      <c r="EZ1044" s="326"/>
      <c r="FA1044" s="326"/>
      <c r="FB1044" s="324"/>
      <c r="FC1044" s="326"/>
      <c r="FD1044" s="326"/>
      <c r="FE1044" s="326"/>
      <c r="FF1044" s="326"/>
      <c r="FG1044" s="324"/>
      <c r="FH1044" s="325"/>
      <c r="FI1044" s="326"/>
      <c r="FJ1044" s="326"/>
      <c r="FK1044" s="323"/>
      <c r="FL1044" s="326"/>
    </row>
    <row r="1045" ht="13.5" hidden="1" customHeight="1" outlineLevel="1">
      <c r="A1045" s="4"/>
      <c r="B1045" s="529" t="s">
        <v>291</v>
      </c>
      <c r="C1045" s="529"/>
      <c r="D1045" s="596"/>
      <c r="E1045" s="596"/>
      <c r="F1045" s="596"/>
      <c r="G1045" s="596"/>
      <c r="H1045" s="596"/>
      <c r="I1045" s="596"/>
      <c r="J1045" s="596"/>
      <c r="K1045" s="596"/>
      <c r="L1045" s="596"/>
      <c r="M1045" s="596"/>
      <c r="N1045" s="596"/>
      <c r="O1045" s="596"/>
      <c r="P1045" s="596"/>
      <c r="Q1045" s="596"/>
      <c r="R1045" s="596"/>
      <c r="S1045" s="596"/>
      <c r="T1045" s="596">
        <f t="shared" ref="T1045:V1045" si="5451">T1021/S1021-1</f>
        <v>-0.05026045333</v>
      </c>
      <c r="U1045" s="596">
        <f t="shared" si="5451"/>
        <v>0.08627334717</v>
      </c>
      <c r="V1045" s="596">
        <f t="shared" si="5451"/>
        <v>0.1206331878</v>
      </c>
      <c r="W1045" s="596"/>
      <c r="X1045" s="596">
        <f t="shared" si="5396"/>
        <v>-0.02666829031</v>
      </c>
      <c r="Y1045" s="596">
        <f t="shared" ref="Y1045:AA1045" si="5452">Y1021/X1021-1</f>
        <v>0.03840860753</v>
      </c>
      <c r="Z1045" s="596">
        <f t="shared" si="5452"/>
        <v>0.05192771084</v>
      </c>
      <c r="AA1045" s="596">
        <f t="shared" si="5452"/>
        <v>-0.00332149811</v>
      </c>
      <c r="AB1045" s="596"/>
      <c r="AC1045" s="596">
        <f t="shared" si="5398"/>
        <v>-0.2327051253</v>
      </c>
      <c r="AD1045" s="596">
        <f t="shared" ref="AD1045:AF1045" si="5453">AD1021/AC1021-1</f>
        <v>-0.05137037592</v>
      </c>
      <c r="AE1045" s="596">
        <f t="shared" si="5453"/>
        <v>0.03331228292</v>
      </c>
      <c r="AF1045" s="596">
        <f t="shared" si="5453"/>
        <v>0.06692131398</v>
      </c>
      <c r="AG1045" s="596"/>
      <c r="AH1045" s="596">
        <f t="shared" si="5400"/>
        <v>-0.0289273951</v>
      </c>
      <c r="AI1045" s="596">
        <f t="shared" ref="AI1045:AK1045" si="5454">AI1021/AH1021-1</f>
        <v>-0.06813154402</v>
      </c>
      <c r="AJ1045" s="596">
        <f t="shared" si="5454"/>
        <v>0.0292767843</v>
      </c>
      <c r="AK1045" s="596">
        <f t="shared" si="5454"/>
        <v>0.1008610086</v>
      </c>
      <c r="AL1045" s="596"/>
      <c r="AM1045" s="596">
        <f t="shared" si="5402"/>
        <v>-0.05712290503</v>
      </c>
      <c r="AN1045" s="596">
        <f t="shared" ref="AN1045:AP1045" si="5455">AN1021/AM1021-1</f>
        <v>0.009628203229</v>
      </c>
      <c r="AO1045" s="596">
        <f t="shared" si="5455"/>
        <v>0.1492077465</v>
      </c>
      <c r="AP1045" s="596">
        <f t="shared" si="5455"/>
        <v>0.1159198264</v>
      </c>
      <c r="AQ1045" s="596"/>
      <c r="AR1045" s="596">
        <f t="shared" si="5404"/>
        <v>-0.07436220112</v>
      </c>
      <c r="AS1045" s="596">
        <f t="shared" ref="AS1045:AU1045" si="5456">AS1021/AR1021-1</f>
        <v>-0.005190952911</v>
      </c>
      <c r="AT1045" s="596">
        <f t="shared" si="5456"/>
        <v>0.05242887315</v>
      </c>
      <c r="AU1045" s="596">
        <f t="shared" si="5456"/>
        <v>0.1330421438</v>
      </c>
      <c r="AV1045" s="596"/>
      <c r="AW1045" s="596">
        <f t="shared" si="5406"/>
        <v>-0.0170868931</v>
      </c>
      <c r="AX1045" s="596">
        <f t="shared" ref="AX1045:AZ1045" si="5457">AX1021/AW1021-1</f>
        <v>-0.02151791393</v>
      </c>
      <c r="AY1045" s="596">
        <f t="shared" si="5457"/>
        <v>0.07897302567</v>
      </c>
      <c r="AZ1045" s="596">
        <f t="shared" si="5457"/>
        <v>0.02419678715</v>
      </c>
      <c r="BA1045" s="596"/>
      <c r="BB1045" s="596">
        <f t="shared" si="5408"/>
        <v>-0.1236153318</v>
      </c>
      <c r="BC1045" s="596">
        <f t="shared" ref="BC1045:BE1045" si="5458">BC1021/BB1021-1</f>
        <v>-0.1041387025</v>
      </c>
      <c r="BD1045" s="596">
        <f t="shared" si="5458"/>
        <v>0.09114745911</v>
      </c>
      <c r="BE1045" s="596">
        <f t="shared" si="5458"/>
        <v>0.109280238</v>
      </c>
      <c r="BF1045" s="596"/>
      <c r="BG1045" s="596">
        <f t="shared" si="5410"/>
        <v>-0.08685785022</v>
      </c>
      <c r="BH1045" s="596">
        <f t="shared" ref="BH1045:BJ1045" si="5459">BH1021/BG1021-1</f>
        <v>-0.01943063714</v>
      </c>
      <c r="BI1045" s="596">
        <f t="shared" si="5459"/>
        <v>0.1624423963</v>
      </c>
      <c r="BJ1045" s="596">
        <f t="shared" si="5459"/>
        <v>0.06164519326</v>
      </c>
      <c r="BK1045" s="596"/>
      <c r="BL1045" s="596">
        <f t="shared" si="5412"/>
        <v>-0.09699402539</v>
      </c>
      <c r="BM1045" s="596">
        <f t="shared" ref="BM1045:BO1045" si="5460">BM1021/BL1021-1</f>
        <v>-0.02098625039</v>
      </c>
      <c r="BN1045" s="596">
        <f t="shared" si="5460"/>
        <v>0.07888067582</v>
      </c>
      <c r="BO1045" s="596">
        <f t="shared" si="5460"/>
        <v>-0.1948712929</v>
      </c>
      <c r="BP1045" s="596"/>
      <c r="BQ1045" s="596">
        <f t="shared" si="5414"/>
        <v>-0.1314125942</v>
      </c>
      <c r="BR1045" s="596">
        <f t="shared" ref="BR1045:BT1045" si="5461">BR1021/BQ1021-1</f>
        <v>0.1230230931</v>
      </c>
      <c r="BS1045" s="596">
        <f t="shared" si="5461"/>
        <v>0.170114656</v>
      </c>
      <c r="BT1045" s="596">
        <f t="shared" si="5461"/>
        <v>0.125678986</v>
      </c>
      <c r="BU1045" s="596"/>
      <c r="BV1045" s="596">
        <f t="shared" si="5416"/>
        <v>-0.02554640931</v>
      </c>
      <c r="BW1045" s="596">
        <f t="shared" ref="BW1045:BY1045" si="5462">BW1021/BV1021-1</f>
        <v>0.04524711137</v>
      </c>
      <c r="BX1045" s="596">
        <f t="shared" si="5462"/>
        <v>0.0313051556</v>
      </c>
      <c r="BY1045" s="596">
        <f t="shared" si="5462"/>
        <v>0.0319762205</v>
      </c>
      <c r="BZ1045" s="597"/>
      <c r="CA1045" s="596">
        <f t="shared" si="5418"/>
        <v>0.1213232085</v>
      </c>
      <c r="CB1045" s="596">
        <f t="shared" ref="CB1045:CD1045" si="5463">CB1021/CA1021-1</f>
        <v>0.01440024909</v>
      </c>
      <c r="CC1045" s="596">
        <f t="shared" si="5463"/>
        <v>0.0921577655</v>
      </c>
      <c r="CD1045" s="596">
        <f t="shared" si="5463"/>
        <v>-0.0243097028</v>
      </c>
      <c r="CE1045" s="597"/>
      <c r="CF1045" s="596">
        <f t="shared" si="5420"/>
        <v>-0.07064160726</v>
      </c>
      <c r="CG1045" s="596">
        <f t="shared" ref="CG1045:CI1045" si="5464">CG1021/CF1021-1</f>
        <v>0.04610258794</v>
      </c>
      <c r="CH1045" s="596">
        <f t="shared" si="5464"/>
        <v>-0.003259017851</v>
      </c>
      <c r="CI1045" s="596">
        <f t="shared" si="5464"/>
        <v>0.001486215353</v>
      </c>
      <c r="CJ1045" s="597"/>
      <c r="CK1045" s="596">
        <f t="shared" si="5422"/>
        <v>-0.06655783928</v>
      </c>
      <c r="CL1045" s="596"/>
      <c r="CM1045" s="596"/>
      <c r="CN1045" s="595"/>
      <c r="CO1045" s="597"/>
      <c r="CP1045" s="595"/>
      <c r="CQ1045" s="596"/>
      <c r="CR1045" s="596"/>
      <c r="CS1045" s="596"/>
      <c r="CT1045" s="597"/>
      <c r="CU1045" s="596"/>
      <c r="CV1045" s="596"/>
      <c r="CW1045" s="596"/>
      <c r="CX1045" s="596"/>
      <c r="CY1045" s="597"/>
      <c r="CZ1045" s="596"/>
      <c r="DA1045" s="596"/>
      <c r="DB1045" s="596"/>
      <c r="DC1045" s="596"/>
      <c r="DD1045" s="597"/>
      <c r="DE1045" s="596"/>
      <c r="DF1045" s="596"/>
      <c r="DG1045" s="104"/>
      <c r="DH1045" s="596"/>
      <c r="DI1045" s="597"/>
      <c r="DJ1045" s="595"/>
      <c r="DK1045" s="595"/>
      <c r="DL1045" s="595"/>
      <c r="DM1045" s="596"/>
      <c r="DN1045" s="597"/>
      <c r="DO1045" s="596"/>
      <c r="DP1045" s="596"/>
      <c r="DQ1045" s="596"/>
      <c r="DR1045" s="596"/>
      <c r="DS1045" s="597"/>
      <c r="DT1045" s="596"/>
      <c r="DU1045" s="596"/>
      <c r="DV1045" s="596"/>
      <c r="DW1045" s="596"/>
      <c r="DX1045" s="597"/>
      <c r="DY1045" s="596"/>
      <c r="DZ1045" s="596"/>
      <c r="EA1045" s="596"/>
      <c r="EB1045" s="596"/>
      <c r="EC1045" s="597"/>
      <c r="ED1045" s="596"/>
      <c r="EE1045" s="596"/>
      <c r="EF1045" s="596"/>
      <c r="EG1045" s="596"/>
      <c r="EH1045" s="597"/>
      <c r="EI1045" s="598"/>
      <c r="EJ1045" s="596"/>
      <c r="EK1045" s="596"/>
      <c r="EL1045" s="596"/>
      <c r="EM1045" s="597"/>
      <c r="EN1045" s="596"/>
      <c r="EO1045" s="596"/>
      <c r="EP1045" s="596"/>
      <c r="EQ1045" s="596"/>
      <c r="ER1045" s="597"/>
      <c r="ES1045" s="596"/>
      <c r="ET1045" s="596"/>
      <c r="EU1045" s="596"/>
      <c r="EV1045" s="596"/>
      <c r="EW1045" s="597"/>
      <c r="EX1045" s="596"/>
      <c r="EY1045" s="596"/>
      <c r="EZ1045" s="596"/>
      <c r="FA1045" s="596"/>
      <c r="FB1045" s="597"/>
      <c r="FC1045" s="596"/>
      <c r="FD1045" s="596"/>
      <c r="FE1045" s="596"/>
      <c r="FF1045" s="596"/>
      <c r="FG1045" s="597"/>
      <c r="FH1045" s="595"/>
      <c r="FI1045" s="596"/>
      <c r="FJ1045" s="596"/>
      <c r="FK1045" s="596"/>
      <c r="FL1045" s="596"/>
    </row>
    <row r="1046" ht="12.75" hidden="1" customHeight="1" outlineLevel="1">
      <c r="A1046" s="4"/>
      <c r="B1046" s="4"/>
      <c r="C1046" s="4"/>
      <c r="D1046" s="326"/>
      <c r="E1046" s="326"/>
      <c r="F1046" s="326"/>
      <c r="G1046" s="326"/>
      <c r="H1046" s="326"/>
      <c r="I1046" s="326"/>
      <c r="J1046" s="326"/>
      <c r="K1046" s="326"/>
      <c r="L1046" s="326"/>
      <c r="M1046" s="326"/>
      <c r="N1046" s="326"/>
      <c r="O1046" s="326"/>
      <c r="P1046" s="326"/>
      <c r="Q1046" s="326"/>
      <c r="R1046" s="326"/>
      <c r="S1046" s="326"/>
      <c r="T1046" s="326"/>
      <c r="U1046" s="326"/>
      <c r="V1046" s="326"/>
      <c r="W1046" s="326"/>
      <c r="X1046" s="326"/>
      <c r="Y1046" s="326"/>
      <c r="Z1046" s="326"/>
      <c r="AA1046" s="326"/>
      <c r="AB1046" s="326"/>
      <c r="AC1046" s="326"/>
      <c r="AD1046" s="326"/>
      <c r="AE1046" s="326"/>
      <c r="AF1046" s="326"/>
      <c r="AG1046" s="326"/>
      <c r="AH1046" s="326"/>
      <c r="AI1046" s="326"/>
      <c r="AJ1046" s="326"/>
      <c r="AK1046" s="326"/>
      <c r="AL1046" s="326"/>
      <c r="AM1046" s="326"/>
      <c r="AN1046" s="326"/>
      <c r="AO1046" s="326"/>
      <c r="AP1046" s="326"/>
      <c r="AQ1046" s="326"/>
      <c r="AR1046" s="326"/>
      <c r="AS1046" s="326"/>
      <c r="AT1046" s="326"/>
      <c r="AU1046" s="326"/>
      <c r="AV1046" s="326"/>
      <c r="AW1046" s="326"/>
      <c r="AX1046" s="326"/>
      <c r="AY1046" s="326"/>
      <c r="AZ1046" s="326"/>
      <c r="BA1046" s="326"/>
      <c r="BB1046" s="326"/>
      <c r="BC1046" s="326"/>
      <c r="BD1046" s="326"/>
      <c r="BE1046" s="326"/>
      <c r="BF1046" s="326"/>
      <c r="BG1046" s="326"/>
      <c r="BH1046" s="326"/>
      <c r="BI1046" s="326"/>
      <c r="BJ1046" s="326"/>
      <c r="BK1046" s="326"/>
      <c r="BL1046" s="326"/>
      <c r="BM1046" s="326"/>
      <c r="BN1046" s="326"/>
      <c r="BO1046" s="326"/>
      <c r="BP1046" s="326"/>
      <c r="BQ1046" s="326"/>
      <c r="BR1046" s="326"/>
      <c r="BS1046" s="326"/>
      <c r="BT1046" s="326"/>
      <c r="BU1046" s="326"/>
      <c r="BV1046" s="326"/>
      <c r="BW1046" s="326"/>
      <c r="BX1046" s="326"/>
      <c r="BY1046" s="326"/>
      <c r="BZ1046" s="429"/>
      <c r="CA1046" s="326"/>
      <c r="CB1046" s="326"/>
      <c r="CC1046" s="326"/>
      <c r="CD1046" s="326"/>
      <c r="CE1046" s="429"/>
      <c r="CF1046" s="326"/>
      <c r="CG1046" s="326"/>
      <c r="CH1046" s="326"/>
      <c r="CI1046" s="326"/>
      <c r="CJ1046" s="429"/>
      <c r="CK1046" s="326"/>
      <c r="CL1046" s="326"/>
      <c r="CM1046" s="326"/>
      <c r="CN1046" s="327"/>
      <c r="CO1046" s="429"/>
      <c r="CP1046" s="327"/>
      <c r="CQ1046" s="326"/>
      <c r="CR1046" s="326"/>
      <c r="CS1046" s="326"/>
      <c r="CT1046" s="429"/>
      <c r="CU1046" s="326"/>
      <c r="CV1046" s="326"/>
      <c r="CW1046" s="326"/>
      <c r="CX1046" s="326"/>
      <c r="CY1046" s="429"/>
      <c r="CZ1046" s="326"/>
      <c r="DA1046" s="326"/>
      <c r="DB1046" s="326"/>
      <c r="DC1046" s="326"/>
      <c r="DD1046" s="429"/>
      <c r="DE1046" s="326"/>
      <c r="DF1046" s="326"/>
      <c r="DG1046" s="327"/>
      <c r="DH1046" s="326"/>
      <c r="DI1046" s="429"/>
      <c r="DJ1046" s="327"/>
      <c r="DK1046" s="327"/>
      <c r="DL1046" s="327"/>
      <c r="DM1046" s="326"/>
      <c r="DN1046" s="429"/>
      <c r="DO1046" s="326"/>
      <c r="DP1046" s="326"/>
      <c r="DQ1046" s="326"/>
      <c r="DR1046" s="326"/>
      <c r="DS1046" s="429"/>
      <c r="DT1046" s="326"/>
      <c r="DU1046" s="326"/>
      <c r="DV1046" s="326"/>
      <c r="DW1046" s="326"/>
      <c r="DX1046" s="429"/>
      <c r="DY1046" s="326"/>
      <c r="DZ1046" s="326"/>
      <c r="EA1046" s="326"/>
      <c r="EB1046" s="326"/>
      <c r="EC1046" s="429"/>
      <c r="ED1046" s="326"/>
      <c r="EE1046" s="326"/>
      <c r="EF1046" s="326"/>
      <c r="EG1046" s="326"/>
      <c r="EH1046" s="429"/>
      <c r="EI1046" s="361"/>
      <c r="EJ1046" s="326"/>
      <c r="EK1046" s="326"/>
      <c r="EL1046" s="326"/>
      <c r="EM1046" s="429"/>
      <c r="EN1046" s="326"/>
      <c r="EO1046" s="326"/>
      <c r="EP1046" s="326"/>
      <c r="EQ1046" s="326"/>
      <c r="ER1046" s="429"/>
      <c r="ES1046" s="326"/>
      <c r="ET1046" s="326"/>
      <c r="EU1046" s="326"/>
      <c r="EV1046" s="326"/>
      <c r="EW1046" s="429"/>
      <c r="EX1046" s="326"/>
      <c r="EY1046" s="326"/>
      <c r="EZ1046" s="326"/>
      <c r="FA1046" s="326"/>
      <c r="FB1046" s="429"/>
      <c r="FC1046" s="326"/>
      <c r="FD1046" s="326"/>
      <c r="FE1046" s="326"/>
      <c r="FF1046" s="326"/>
      <c r="FG1046" s="429"/>
      <c r="FH1046" s="327"/>
      <c r="FI1046" s="326"/>
      <c r="FJ1046" s="326"/>
      <c r="FK1046" s="326"/>
      <c r="FL1046" s="326"/>
    </row>
    <row r="1047" ht="12.75" hidden="1" customHeight="1" outlineLevel="1">
      <c r="A1047" s="4"/>
      <c r="B1047" s="578" t="s">
        <v>340</v>
      </c>
      <c r="C1047" s="90"/>
      <c r="D1047" s="90"/>
      <c r="E1047" s="90"/>
      <c r="F1047" s="90"/>
      <c r="G1047" s="90"/>
      <c r="H1047" s="299"/>
      <c r="I1047" s="90"/>
      <c r="J1047" s="90"/>
      <c r="K1047" s="90"/>
      <c r="L1047" s="90"/>
      <c r="M1047" s="299"/>
      <c r="N1047" s="90"/>
      <c r="O1047" s="90"/>
      <c r="P1047" s="90"/>
      <c r="Q1047" s="90"/>
      <c r="R1047" s="299"/>
      <c r="S1047" s="90"/>
      <c r="T1047" s="90"/>
      <c r="U1047" s="90"/>
      <c r="V1047" s="90"/>
      <c r="W1047" s="299"/>
      <c r="X1047" s="90"/>
      <c r="Y1047" s="90"/>
      <c r="Z1047" s="90"/>
      <c r="AA1047" s="90"/>
      <c r="AB1047" s="299"/>
      <c r="AC1047" s="90"/>
      <c r="AD1047" s="90"/>
      <c r="AE1047" s="90"/>
      <c r="AF1047" s="90"/>
      <c r="AG1047" s="299"/>
      <c r="AH1047" s="90"/>
      <c r="AI1047" s="90"/>
      <c r="AJ1047" s="90"/>
      <c r="AK1047" s="90"/>
      <c r="AL1047" s="299"/>
      <c r="AM1047" s="90"/>
      <c r="AN1047" s="90"/>
      <c r="AO1047" s="90"/>
      <c r="AP1047" s="90"/>
      <c r="AQ1047" s="299"/>
      <c r="AR1047" s="90"/>
      <c r="AS1047" s="90"/>
      <c r="AT1047" s="90"/>
      <c r="AU1047" s="90"/>
      <c r="AV1047" s="299"/>
      <c r="AW1047" s="90"/>
      <c r="AX1047" s="90"/>
      <c r="AY1047" s="90"/>
      <c r="AZ1047" s="90"/>
      <c r="BA1047" s="299"/>
      <c r="BB1047" s="90"/>
      <c r="BC1047" s="90"/>
      <c r="BD1047" s="90"/>
      <c r="BE1047" s="90"/>
      <c r="BF1047" s="299"/>
      <c r="BG1047" s="90"/>
      <c r="BH1047" s="90"/>
      <c r="BI1047" s="90"/>
      <c r="BJ1047" s="90"/>
      <c r="BK1047" s="299"/>
      <c r="BL1047" s="90"/>
      <c r="BM1047" s="90"/>
      <c r="BN1047" s="90"/>
      <c r="BO1047" s="90"/>
      <c r="BP1047" s="299"/>
      <c r="BQ1047" s="90"/>
      <c r="BR1047" s="90"/>
      <c r="BS1047" s="90"/>
      <c r="BT1047" s="90"/>
      <c r="BU1047" s="299"/>
      <c r="BV1047" s="90"/>
      <c r="BW1047" s="90"/>
      <c r="BX1047" s="90"/>
      <c r="BY1047" s="90"/>
      <c r="BZ1047" s="301"/>
      <c r="CA1047" s="90"/>
      <c r="CB1047" s="90"/>
      <c r="CC1047" s="90"/>
      <c r="CD1047" s="90"/>
      <c r="CE1047" s="301"/>
      <c r="CF1047" s="90"/>
      <c r="CG1047" s="90"/>
      <c r="CH1047" s="90"/>
      <c r="CI1047" s="90"/>
      <c r="CJ1047" s="301"/>
      <c r="CK1047" s="90"/>
      <c r="CL1047" s="90"/>
      <c r="CM1047" s="90"/>
      <c r="CN1047" s="135"/>
      <c r="CO1047" s="301"/>
      <c r="CP1047" s="135"/>
      <c r="CQ1047" s="90"/>
      <c r="CR1047" s="90"/>
      <c r="CS1047" s="90"/>
      <c r="CT1047" s="301"/>
      <c r="CU1047" s="90"/>
      <c r="CV1047" s="90"/>
      <c r="CW1047" s="90"/>
      <c r="CX1047" s="90"/>
      <c r="CY1047" s="301"/>
      <c r="CZ1047" s="90"/>
      <c r="DA1047" s="90"/>
      <c r="DB1047" s="90"/>
      <c r="DC1047" s="90"/>
      <c r="DD1047" s="301"/>
      <c r="DE1047" s="90"/>
      <c r="DF1047" s="90"/>
      <c r="DG1047" s="16"/>
      <c r="DH1047" s="90"/>
      <c r="DI1047" s="301"/>
      <c r="DJ1047" s="135"/>
      <c r="DK1047" s="135"/>
      <c r="DL1047" s="135"/>
      <c r="DM1047" s="90"/>
      <c r="DN1047" s="301"/>
      <c r="DO1047" s="90"/>
      <c r="DP1047" s="90"/>
      <c r="DQ1047" s="90"/>
      <c r="DR1047" s="90"/>
      <c r="DS1047" s="301"/>
      <c r="DT1047" s="90"/>
      <c r="DU1047" s="90"/>
      <c r="DV1047" s="90"/>
      <c r="DW1047" s="90"/>
      <c r="DX1047" s="301"/>
      <c r="DY1047" s="90"/>
      <c r="DZ1047" s="90"/>
      <c r="EA1047" s="90"/>
      <c r="EB1047" s="90"/>
      <c r="EC1047" s="301"/>
      <c r="ED1047" s="90"/>
      <c r="EE1047" s="90"/>
      <c r="EF1047" s="90"/>
      <c r="EG1047" s="90"/>
      <c r="EH1047" s="301"/>
      <c r="EI1047" s="389"/>
      <c r="EJ1047" s="90"/>
      <c r="EK1047" s="90"/>
      <c r="EL1047" s="90"/>
      <c r="EM1047" s="301"/>
      <c r="EN1047" s="90"/>
      <c r="EO1047" s="90"/>
      <c r="EP1047" s="90"/>
      <c r="EQ1047" s="90"/>
      <c r="ER1047" s="301"/>
      <c r="ES1047" s="90"/>
      <c r="ET1047" s="90"/>
      <c r="EU1047" s="90"/>
      <c r="EV1047" s="90"/>
      <c r="EW1047" s="301"/>
      <c r="EX1047" s="90"/>
      <c r="EY1047" s="90"/>
      <c r="EZ1047" s="90"/>
      <c r="FA1047" s="90"/>
      <c r="FB1047" s="301"/>
      <c r="FC1047" s="90"/>
      <c r="FD1047" s="90"/>
      <c r="FE1047" s="90"/>
      <c r="FF1047" s="90"/>
      <c r="FG1047" s="301"/>
      <c r="FH1047" s="137"/>
      <c r="FI1047" s="90"/>
      <c r="FJ1047" s="90"/>
      <c r="FK1047" s="299"/>
      <c r="FL1047" s="90"/>
    </row>
    <row r="1048" ht="12.75" hidden="1" customHeight="1" outlineLevel="1">
      <c r="A1048" s="4"/>
      <c r="B1048" s="4" t="s">
        <v>363</v>
      </c>
      <c r="C1048" s="4"/>
      <c r="D1048" s="326"/>
      <c r="E1048" s="326"/>
      <c r="F1048" s="326"/>
      <c r="G1048" s="326"/>
      <c r="H1048" s="323"/>
      <c r="I1048" s="326"/>
      <c r="J1048" s="326"/>
      <c r="K1048" s="326"/>
      <c r="L1048" s="326"/>
      <c r="M1048" s="323"/>
      <c r="N1048" s="326"/>
      <c r="O1048" s="326"/>
      <c r="P1048" s="326"/>
      <c r="Q1048" s="326"/>
      <c r="R1048" s="323"/>
      <c r="S1048" s="326"/>
      <c r="T1048" s="326"/>
      <c r="U1048" s="326"/>
      <c r="V1048" s="326"/>
      <c r="W1048" s="323"/>
      <c r="X1048" s="326">
        <f t="shared" ref="X1048:CI1048" si="5465">X1017/S1017-1</f>
        <v>0.04492065727</v>
      </c>
      <c r="Y1048" s="326">
        <f t="shared" si="5465"/>
        <v>0.1756761208</v>
      </c>
      <c r="Z1048" s="326">
        <f t="shared" si="5465"/>
        <v>0.1120269287</v>
      </c>
      <c r="AA1048" s="326">
        <f t="shared" si="5465"/>
        <v>0.03443856841</v>
      </c>
      <c r="AB1048" s="323">
        <f t="shared" si="5465"/>
        <v>0.09270879121</v>
      </c>
      <c r="AC1048" s="326">
        <f t="shared" si="5465"/>
        <v>-0.2503215955</v>
      </c>
      <c r="AD1048" s="326">
        <f t="shared" si="5465"/>
        <v>-0.3433510787</v>
      </c>
      <c r="AE1048" s="326">
        <f t="shared" si="5465"/>
        <v>-0.3396136372</v>
      </c>
      <c r="AF1048" s="326">
        <f t="shared" si="5465"/>
        <v>-0.354118201</v>
      </c>
      <c r="AG1048" s="323">
        <f t="shared" si="5465"/>
        <v>-0.3242945426</v>
      </c>
      <c r="AH1048" s="326">
        <f t="shared" si="5465"/>
        <v>-0.04245704872</v>
      </c>
      <c r="AI1048" s="326">
        <f t="shared" si="5465"/>
        <v>-0.05629421654</v>
      </c>
      <c r="AJ1048" s="326">
        <f t="shared" si="5465"/>
        <v>-0.1405529288</v>
      </c>
      <c r="AK1048" s="326">
        <f t="shared" si="5465"/>
        <v>-0.06786611641</v>
      </c>
      <c r="AL1048" s="323">
        <f t="shared" si="5465"/>
        <v>-0.07738314816</v>
      </c>
      <c r="AM1048" s="326">
        <f t="shared" si="5465"/>
        <v>-0.1402001135</v>
      </c>
      <c r="AN1048" s="326">
        <f t="shared" si="5465"/>
        <v>-0.1160445821</v>
      </c>
      <c r="AO1048" s="326">
        <f t="shared" si="5465"/>
        <v>0.04166666667</v>
      </c>
      <c r="AP1048" s="326">
        <f t="shared" si="5465"/>
        <v>0.09683426443</v>
      </c>
      <c r="AQ1048" s="323">
        <f t="shared" si="5465"/>
        <v>-0.03176296802</v>
      </c>
      <c r="AR1048" s="326">
        <f t="shared" si="5465"/>
        <v>0.1242203742</v>
      </c>
      <c r="AS1048" s="326">
        <f t="shared" si="5465"/>
        <v>0.0005115089514</v>
      </c>
      <c r="AT1048" s="326">
        <f t="shared" si="5465"/>
        <v>-0.170202952</v>
      </c>
      <c r="AU1048" s="326">
        <f t="shared" si="5465"/>
        <v>-0.1311544992</v>
      </c>
      <c r="AV1048" s="323">
        <f t="shared" si="5465"/>
        <v>-0.05212424134</v>
      </c>
      <c r="AW1048" s="326">
        <f t="shared" si="5465"/>
        <v>-0.08830328248</v>
      </c>
      <c r="AX1048" s="326">
        <f t="shared" si="5465"/>
        <v>-0.04754601227</v>
      </c>
      <c r="AY1048" s="326">
        <f t="shared" si="5465"/>
        <v>0.05780989439</v>
      </c>
      <c r="AZ1048" s="326">
        <f t="shared" si="5465"/>
        <v>-0.1030776746</v>
      </c>
      <c r="BA1048" s="323">
        <f t="shared" si="5465"/>
        <v>-0.04908976773</v>
      </c>
      <c r="BB1048" s="326">
        <f t="shared" si="5465"/>
        <v>-0.03397565923</v>
      </c>
      <c r="BC1048" s="326">
        <f t="shared" si="5465"/>
        <v>-0.08051529791</v>
      </c>
      <c r="BD1048" s="326">
        <f t="shared" si="5465"/>
        <v>-0.006305832895</v>
      </c>
      <c r="BE1048" s="326">
        <f t="shared" si="5465"/>
        <v>0.09095860566</v>
      </c>
      <c r="BF1048" s="323">
        <f t="shared" si="5465"/>
        <v>-0.008185899129</v>
      </c>
      <c r="BG1048" s="326">
        <f t="shared" si="5465"/>
        <v>-0.09343832021</v>
      </c>
      <c r="BH1048" s="326">
        <f t="shared" si="5465"/>
        <v>0.06421482779</v>
      </c>
      <c r="BI1048" s="326">
        <f t="shared" si="5465"/>
        <v>0.09307244844</v>
      </c>
      <c r="BJ1048" s="326">
        <f t="shared" si="5465"/>
        <v>0.04742885671</v>
      </c>
      <c r="BK1048" s="323">
        <f t="shared" si="5465"/>
        <v>0.02702342918</v>
      </c>
      <c r="BL1048" s="326">
        <f t="shared" si="5465"/>
        <v>0.1673422119</v>
      </c>
      <c r="BM1048" s="326">
        <f t="shared" si="5465"/>
        <v>0.08886450905</v>
      </c>
      <c r="BN1048" s="326">
        <f t="shared" si="5465"/>
        <v>-0.08708272859</v>
      </c>
      <c r="BO1048" s="326">
        <f t="shared" si="5465"/>
        <v>-0.2588179218</v>
      </c>
      <c r="BP1048" s="323">
        <f t="shared" si="5465"/>
        <v>-0.03525599482</v>
      </c>
      <c r="BQ1048" s="326">
        <f t="shared" si="5465"/>
        <v>-0.2509920635</v>
      </c>
      <c r="BR1048" s="326">
        <f t="shared" si="5465"/>
        <v>-0.1445843829</v>
      </c>
      <c r="BS1048" s="326">
        <f t="shared" si="5465"/>
        <v>-0.03444621092</v>
      </c>
      <c r="BT1048" s="326">
        <f t="shared" si="5465"/>
        <v>0.3427652733</v>
      </c>
      <c r="BU1048" s="323">
        <f t="shared" si="5465"/>
        <v>-0.04366518877</v>
      </c>
      <c r="BV1048" s="326">
        <f t="shared" si="5465"/>
        <v>0.2622516556</v>
      </c>
      <c r="BW1048" s="326">
        <f t="shared" si="5465"/>
        <v>0.2797408716</v>
      </c>
      <c r="BX1048" s="326">
        <f t="shared" si="5465"/>
        <v>0.2294182217</v>
      </c>
      <c r="BY1048" s="326">
        <f t="shared" si="5465"/>
        <v>0.09961685824</v>
      </c>
      <c r="BZ1048" s="324">
        <f t="shared" si="5465"/>
        <v>0.2103118854</v>
      </c>
      <c r="CA1048" s="326">
        <f t="shared" si="5465"/>
        <v>0.4244491081</v>
      </c>
      <c r="CB1048" s="326">
        <f t="shared" si="5465"/>
        <v>0.3387022549</v>
      </c>
      <c r="CC1048" s="326">
        <f t="shared" si="5465"/>
        <v>0.346875</v>
      </c>
      <c r="CD1048" s="326">
        <f t="shared" si="5465"/>
        <v>0.1572299652</v>
      </c>
      <c r="CE1048" s="324">
        <f t="shared" si="5465"/>
        <v>0.3114335461</v>
      </c>
      <c r="CF1048" s="326">
        <f t="shared" si="5465"/>
        <v>-0.05966850829</v>
      </c>
      <c r="CG1048" s="326">
        <f t="shared" si="5465"/>
        <v>-0.008937779306</v>
      </c>
      <c r="CH1048" s="326">
        <f t="shared" si="5465"/>
        <v>-0.05469008949</v>
      </c>
      <c r="CI1048" s="326">
        <f t="shared" si="5465"/>
        <v>-1</v>
      </c>
      <c r="CJ1048" s="324"/>
      <c r="CK1048" s="326">
        <f t="shared" ref="CK1048:CK1052" si="5467">CK1017/CF1017-1</f>
        <v>-1</v>
      </c>
      <c r="CL1048" s="326"/>
      <c r="CM1048" s="326"/>
      <c r="CN1048" s="327"/>
      <c r="CO1048" s="324"/>
      <c r="CP1048" s="327"/>
      <c r="CQ1048" s="326"/>
      <c r="CR1048" s="326"/>
      <c r="CS1048" s="326"/>
      <c r="CT1048" s="324"/>
      <c r="CU1048" s="326"/>
      <c r="CV1048" s="326"/>
      <c r="CW1048" s="326"/>
      <c r="CX1048" s="326"/>
      <c r="CY1048" s="324"/>
      <c r="CZ1048" s="326"/>
      <c r="DA1048" s="326"/>
      <c r="DB1048" s="326"/>
      <c r="DC1048" s="326"/>
      <c r="DD1048" s="324"/>
      <c r="DE1048" s="326"/>
      <c r="DF1048" s="326"/>
      <c r="DG1048" s="327"/>
      <c r="DH1048" s="326"/>
      <c r="DI1048" s="324"/>
      <c r="DJ1048" s="327"/>
      <c r="DK1048" s="327"/>
      <c r="DL1048" s="327"/>
      <c r="DM1048" s="326"/>
      <c r="DN1048" s="324"/>
      <c r="DO1048" s="326"/>
      <c r="DP1048" s="326"/>
      <c r="DQ1048" s="326"/>
      <c r="DR1048" s="326"/>
      <c r="DS1048" s="324"/>
      <c r="DT1048" s="326"/>
      <c r="DU1048" s="326"/>
      <c r="DV1048" s="326"/>
      <c r="DW1048" s="326"/>
      <c r="DX1048" s="324"/>
      <c r="DY1048" s="326"/>
      <c r="DZ1048" s="326"/>
      <c r="EA1048" s="326"/>
      <c r="EB1048" s="326"/>
      <c r="EC1048" s="324"/>
      <c r="ED1048" s="326"/>
      <c r="EE1048" s="326"/>
      <c r="EF1048" s="326"/>
      <c r="EG1048" s="326"/>
      <c r="EH1048" s="324"/>
      <c r="EI1048" s="361"/>
      <c r="EJ1048" s="326"/>
      <c r="EK1048" s="326"/>
      <c r="EL1048" s="326"/>
      <c r="EM1048" s="324"/>
      <c r="EN1048" s="326"/>
      <c r="EO1048" s="326"/>
      <c r="EP1048" s="326"/>
      <c r="EQ1048" s="326"/>
      <c r="ER1048" s="324"/>
      <c r="ES1048" s="326"/>
      <c r="ET1048" s="326"/>
      <c r="EU1048" s="326"/>
      <c r="EV1048" s="326"/>
      <c r="EW1048" s="324"/>
      <c r="EX1048" s="326"/>
      <c r="EY1048" s="326"/>
      <c r="EZ1048" s="326"/>
      <c r="FA1048" s="326"/>
      <c r="FB1048" s="324"/>
      <c r="FC1048" s="326"/>
      <c r="FD1048" s="326"/>
      <c r="FE1048" s="326"/>
      <c r="FF1048" s="326"/>
      <c r="FG1048" s="324"/>
      <c r="FH1048" s="325"/>
      <c r="FI1048" s="326"/>
      <c r="FJ1048" s="326"/>
      <c r="FK1048" s="323"/>
      <c r="FL1048" s="326"/>
    </row>
    <row r="1049" ht="12.75" hidden="1" customHeight="1" outlineLevel="1">
      <c r="A1049" s="4"/>
      <c r="B1049" s="4" t="s">
        <v>364</v>
      </c>
      <c r="C1049" s="4"/>
      <c r="D1049" s="326"/>
      <c r="E1049" s="326"/>
      <c r="F1049" s="326"/>
      <c r="G1049" s="326"/>
      <c r="H1049" s="323"/>
      <c r="I1049" s="326"/>
      <c r="J1049" s="326"/>
      <c r="K1049" s="326"/>
      <c r="L1049" s="326"/>
      <c r="M1049" s="323"/>
      <c r="N1049" s="326"/>
      <c r="O1049" s="326"/>
      <c r="P1049" s="326"/>
      <c r="Q1049" s="326"/>
      <c r="R1049" s="323"/>
      <c r="S1049" s="326"/>
      <c r="T1049" s="326"/>
      <c r="U1049" s="326"/>
      <c r="V1049" s="326"/>
      <c r="W1049" s="323"/>
      <c r="X1049" s="326">
        <f t="shared" ref="X1049:CI1049" si="5466">X1018/S1018-1</f>
        <v>0.08510991332</v>
      </c>
      <c r="Y1049" s="326">
        <f t="shared" si="5466"/>
        <v>0.08271568337</v>
      </c>
      <c r="Z1049" s="326">
        <f t="shared" si="5466"/>
        <v>0.008156281491</v>
      </c>
      <c r="AA1049" s="326">
        <f t="shared" si="5466"/>
        <v>-0.01882520611</v>
      </c>
      <c r="AB1049" s="323">
        <f t="shared" si="5466"/>
        <v>0.03621826109</v>
      </c>
      <c r="AC1049" s="326">
        <f t="shared" si="5466"/>
        <v>-0.2265222811</v>
      </c>
      <c r="AD1049" s="326">
        <f t="shared" si="5466"/>
        <v>-0.2368674699</v>
      </c>
      <c r="AE1049" s="326">
        <f t="shared" si="5466"/>
        <v>-0.2503722369</v>
      </c>
      <c r="AF1049" s="326">
        <f t="shared" si="5466"/>
        <v>-0.1975407952</v>
      </c>
      <c r="AG1049" s="323">
        <f t="shared" si="5466"/>
        <v>-0.2267267955</v>
      </c>
      <c r="AH1049" s="326">
        <f t="shared" si="5466"/>
        <v>-0.06567021117</v>
      </c>
      <c r="AI1049" s="326">
        <f t="shared" si="5466"/>
        <v>-0.09306197434</v>
      </c>
      <c r="AJ1049" s="326">
        <f t="shared" si="5466"/>
        <v>0.03890547955</v>
      </c>
      <c r="AK1049" s="326">
        <f t="shared" si="5466"/>
        <v>0.02534727195</v>
      </c>
      <c r="AL1049" s="323">
        <f t="shared" si="5466"/>
        <v>-0.02225056735</v>
      </c>
      <c r="AM1049" s="326">
        <f t="shared" si="5466"/>
        <v>0.05217263069</v>
      </c>
      <c r="AN1049" s="326">
        <f t="shared" si="5466"/>
        <v>0.1220129767</v>
      </c>
      <c r="AO1049" s="326">
        <f t="shared" si="5466"/>
        <v>0.1250601636</v>
      </c>
      <c r="AP1049" s="326">
        <f t="shared" si="5466"/>
        <v>0.1877094972</v>
      </c>
      <c r="AQ1049" s="323">
        <f t="shared" si="5466"/>
        <v>0.1241785133</v>
      </c>
      <c r="AR1049" s="326">
        <f t="shared" si="5466"/>
        <v>0.1742839732</v>
      </c>
      <c r="AS1049" s="326">
        <f t="shared" si="5466"/>
        <v>0.1741889986</v>
      </c>
      <c r="AT1049" s="326">
        <f t="shared" si="5466"/>
        <v>0.1206179441</v>
      </c>
      <c r="AU1049" s="326">
        <f t="shared" si="5466"/>
        <v>0.07102539981</v>
      </c>
      <c r="AV1049" s="323">
        <f t="shared" si="5466"/>
        <v>0.1291496797</v>
      </c>
      <c r="AW1049" s="326">
        <f t="shared" si="5466"/>
        <v>0.09289050337</v>
      </c>
      <c r="AX1049" s="326">
        <f t="shared" si="5466"/>
        <v>0.08648648649</v>
      </c>
      <c r="AY1049" s="326">
        <f t="shared" si="5466"/>
        <v>0.06415694592</v>
      </c>
      <c r="AZ1049" s="326">
        <f t="shared" si="5466"/>
        <v>0.004830917874</v>
      </c>
      <c r="BA1049" s="323">
        <f t="shared" si="5466"/>
        <v>0.05867182463</v>
      </c>
      <c r="BB1049" s="326">
        <f t="shared" si="5466"/>
        <v>-0.1923076923</v>
      </c>
      <c r="BC1049" s="326">
        <f t="shared" si="5466"/>
        <v>-0.2399115533</v>
      </c>
      <c r="BD1049" s="326">
        <f t="shared" si="5466"/>
        <v>-0.197309417</v>
      </c>
      <c r="BE1049" s="326">
        <f t="shared" si="5466"/>
        <v>-0.1695804196</v>
      </c>
      <c r="BF1049" s="323">
        <f t="shared" si="5466"/>
        <v>-0.1976857491</v>
      </c>
      <c r="BG1049" s="326">
        <f t="shared" si="5466"/>
        <v>0.01234567901</v>
      </c>
      <c r="BH1049" s="326">
        <f t="shared" si="5466"/>
        <v>0.08</v>
      </c>
      <c r="BI1049" s="326">
        <f t="shared" si="5466"/>
        <v>0.1322160149</v>
      </c>
      <c r="BJ1049" s="326">
        <f t="shared" si="5466"/>
        <v>0.1742105263</v>
      </c>
      <c r="BK1049" s="323">
        <f t="shared" si="5466"/>
        <v>0.1024745711</v>
      </c>
      <c r="BL1049" s="326">
        <f t="shared" si="5466"/>
        <v>0.0818815331</v>
      </c>
      <c r="BM1049" s="326">
        <f t="shared" si="5466"/>
        <v>0.1723905724</v>
      </c>
      <c r="BN1049" s="326">
        <f t="shared" si="5466"/>
        <v>0.03234649123</v>
      </c>
      <c r="BO1049" s="326">
        <f t="shared" si="5466"/>
        <v>-0.2698341551</v>
      </c>
      <c r="BP1049" s="323">
        <f t="shared" si="5466"/>
        <v>-0.02010465437</v>
      </c>
      <c r="BQ1049" s="326">
        <f t="shared" si="5466"/>
        <v>-0.3166935051</v>
      </c>
      <c r="BR1049" s="326">
        <f t="shared" si="5466"/>
        <v>-0.3377369328</v>
      </c>
      <c r="BS1049" s="326">
        <f t="shared" si="5466"/>
        <v>-0.2947424323</v>
      </c>
      <c r="BT1049" s="326">
        <f t="shared" si="5466"/>
        <v>-0.06445672192</v>
      </c>
      <c r="BU1049" s="323">
        <f t="shared" si="5466"/>
        <v>-0.2582911748</v>
      </c>
      <c r="BV1049" s="326">
        <f t="shared" si="5466"/>
        <v>0.10290652</v>
      </c>
      <c r="BW1049" s="326">
        <f t="shared" si="5466"/>
        <v>0.1222896791</v>
      </c>
      <c r="BX1049" s="326">
        <f t="shared" si="5466"/>
        <v>-0.001506024096</v>
      </c>
      <c r="BY1049" s="326">
        <f t="shared" si="5466"/>
        <v>0.03805774278</v>
      </c>
      <c r="BZ1049" s="324">
        <f t="shared" si="5466"/>
        <v>0.0621447518</v>
      </c>
      <c r="CA1049" s="326">
        <f t="shared" si="5466"/>
        <v>0.1716524217</v>
      </c>
      <c r="CB1049" s="326">
        <f t="shared" si="5466"/>
        <v>0.2086553323</v>
      </c>
      <c r="CC1049" s="326">
        <f t="shared" si="5466"/>
        <v>0.3680241327</v>
      </c>
      <c r="CD1049" s="326">
        <f t="shared" si="5466"/>
        <v>0.2212389381</v>
      </c>
      <c r="CE1049" s="324">
        <f t="shared" si="5466"/>
        <v>0.2406350339</v>
      </c>
      <c r="CF1049" s="326">
        <f t="shared" si="5466"/>
        <v>0.08085106383</v>
      </c>
      <c r="CG1049" s="326">
        <f t="shared" si="5466"/>
        <v>0.05626598465</v>
      </c>
      <c r="CH1049" s="326">
        <f t="shared" si="5466"/>
        <v>-0.02149944873</v>
      </c>
      <c r="CI1049" s="326">
        <f t="shared" si="5466"/>
        <v>-1</v>
      </c>
      <c r="CJ1049" s="324"/>
      <c r="CK1049" s="326">
        <f t="shared" si="5467"/>
        <v>-1</v>
      </c>
      <c r="CL1049" s="326"/>
      <c r="CM1049" s="326"/>
      <c r="CN1049" s="327"/>
      <c r="CO1049" s="324"/>
      <c r="CP1049" s="327"/>
      <c r="CQ1049" s="326"/>
      <c r="CR1049" s="326"/>
      <c r="CS1049" s="326"/>
      <c r="CT1049" s="324"/>
      <c r="CU1049" s="326"/>
      <c r="CV1049" s="326"/>
      <c r="CW1049" s="326"/>
      <c r="CX1049" s="326"/>
      <c r="CY1049" s="324"/>
      <c r="CZ1049" s="326"/>
      <c r="DA1049" s="326"/>
      <c r="DB1049" s="326"/>
      <c r="DC1049" s="326"/>
      <c r="DD1049" s="324"/>
      <c r="DE1049" s="326"/>
      <c r="DF1049" s="326"/>
      <c r="DG1049" s="327"/>
      <c r="DH1049" s="326"/>
      <c r="DI1049" s="324"/>
      <c r="DJ1049" s="327"/>
      <c r="DK1049" s="327"/>
      <c r="DL1049" s="327"/>
      <c r="DM1049" s="326"/>
      <c r="DN1049" s="324"/>
      <c r="DO1049" s="326"/>
      <c r="DP1049" s="326"/>
      <c r="DQ1049" s="326"/>
      <c r="DR1049" s="326"/>
      <c r="DS1049" s="324"/>
      <c r="DT1049" s="326"/>
      <c r="DU1049" s="326"/>
      <c r="DV1049" s="326"/>
      <c r="DW1049" s="326"/>
      <c r="DX1049" s="324"/>
      <c r="DY1049" s="326"/>
      <c r="DZ1049" s="326"/>
      <c r="EA1049" s="326"/>
      <c r="EB1049" s="326"/>
      <c r="EC1049" s="324"/>
      <c r="ED1049" s="326"/>
      <c r="EE1049" s="326"/>
      <c r="EF1049" s="326"/>
      <c r="EG1049" s="326"/>
      <c r="EH1049" s="324"/>
      <c r="EI1049" s="361"/>
      <c r="EJ1049" s="326"/>
      <c r="EK1049" s="326"/>
      <c r="EL1049" s="326"/>
      <c r="EM1049" s="324"/>
      <c r="EN1049" s="326"/>
      <c r="EO1049" s="326"/>
      <c r="EP1049" s="326"/>
      <c r="EQ1049" s="326"/>
      <c r="ER1049" s="324"/>
      <c r="ES1049" s="326"/>
      <c r="ET1049" s="326"/>
      <c r="EU1049" s="326"/>
      <c r="EV1049" s="326"/>
      <c r="EW1049" s="324"/>
      <c r="EX1049" s="326"/>
      <c r="EY1049" s="326"/>
      <c r="EZ1049" s="326"/>
      <c r="FA1049" s="326"/>
      <c r="FB1049" s="324"/>
      <c r="FC1049" s="326"/>
      <c r="FD1049" s="326"/>
      <c r="FE1049" s="326"/>
      <c r="FF1049" s="326"/>
      <c r="FG1049" s="324"/>
      <c r="FH1049" s="325"/>
      <c r="FI1049" s="326"/>
      <c r="FJ1049" s="326"/>
      <c r="FK1049" s="323"/>
      <c r="FL1049" s="326"/>
    </row>
    <row r="1050" ht="12.75" hidden="1" customHeight="1" outlineLevel="1">
      <c r="A1050" s="4"/>
      <c r="B1050" s="4" t="s">
        <v>365</v>
      </c>
      <c r="C1050" s="4"/>
      <c r="D1050" s="326"/>
      <c r="E1050" s="326"/>
      <c r="F1050" s="326"/>
      <c r="G1050" s="326"/>
      <c r="H1050" s="323"/>
      <c r="I1050" s="326"/>
      <c r="J1050" s="326"/>
      <c r="K1050" s="326"/>
      <c r="L1050" s="326"/>
      <c r="M1050" s="323"/>
      <c r="N1050" s="326"/>
      <c r="O1050" s="326"/>
      <c r="P1050" s="326"/>
      <c r="Q1050" s="326"/>
      <c r="R1050" s="323"/>
      <c r="S1050" s="326"/>
      <c r="T1050" s="326"/>
      <c r="U1050" s="326"/>
      <c r="V1050" s="326"/>
      <c r="W1050" s="323"/>
      <c r="X1050" s="326">
        <f t="shared" ref="X1050:CI1050" si="5468">X1019/S1019-1</f>
        <v>0.2787490561</v>
      </c>
      <c r="Y1050" s="326">
        <f t="shared" si="5468"/>
        <v>0.4540603186</v>
      </c>
      <c r="Z1050" s="326">
        <f t="shared" si="5468"/>
        <v>0.3986674103</v>
      </c>
      <c r="AA1050" s="326">
        <f t="shared" si="5468"/>
        <v>0.1038216431</v>
      </c>
      <c r="AB1050" s="323">
        <f t="shared" si="5468"/>
        <v>0.2961097852</v>
      </c>
      <c r="AC1050" s="326">
        <f t="shared" si="5468"/>
        <v>-0.06440135118</v>
      </c>
      <c r="AD1050" s="326">
        <f t="shared" si="5468"/>
        <v>-0.09011121409</v>
      </c>
      <c r="AE1050" s="326">
        <f t="shared" si="5468"/>
        <v>-0.1393162719</v>
      </c>
      <c r="AF1050" s="326">
        <f t="shared" si="5468"/>
        <v>0.1234428867</v>
      </c>
      <c r="AG1050" s="323">
        <f t="shared" si="5468"/>
        <v>-0.04408041321</v>
      </c>
      <c r="AH1050" s="326">
        <f t="shared" si="5468"/>
        <v>0.3057403881</v>
      </c>
      <c r="AI1050" s="326">
        <f t="shared" si="5468"/>
        <v>0.2229035314</v>
      </c>
      <c r="AJ1050" s="326">
        <f t="shared" si="5468"/>
        <v>0.2181276029</v>
      </c>
      <c r="AK1050" s="326">
        <f t="shared" si="5468"/>
        <v>0.113234181</v>
      </c>
      <c r="AL1050" s="323">
        <f t="shared" si="5468"/>
        <v>0.2081121104</v>
      </c>
      <c r="AM1050" s="326">
        <f t="shared" si="5468"/>
        <v>0.08227236232</v>
      </c>
      <c r="AN1050" s="326">
        <f t="shared" si="5468"/>
        <v>0.1569119031</v>
      </c>
      <c r="AO1050" s="326">
        <f t="shared" si="5468"/>
        <v>0.321454004</v>
      </c>
      <c r="AP1050" s="326">
        <f t="shared" si="5468"/>
        <v>0.277197883</v>
      </c>
      <c r="AQ1050" s="323">
        <f t="shared" si="5468"/>
        <v>0.2118947253</v>
      </c>
      <c r="AR1050" s="326">
        <f t="shared" si="5468"/>
        <v>0.242997729</v>
      </c>
      <c r="AS1050" s="326">
        <f t="shared" si="5468"/>
        <v>0.3178545716</v>
      </c>
      <c r="AT1050" s="326">
        <f t="shared" si="5468"/>
        <v>0.2290263319</v>
      </c>
      <c r="AU1050" s="326">
        <f t="shared" si="5468"/>
        <v>0.2722302158</v>
      </c>
      <c r="AV1050" s="323">
        <f t="shared" si="5468"/>
        <v>0.2646986268</v>
      </c>
      <c r="AW1050" s="326">
        <f t="shared" si="5468"/>
        <v>0.3383069428</v>
      </c>
      <c r="AX1050" s="326">
        <f t="shared" si="5468"/>
        <v>0.2780661022</v>
      </c>
      <c r="AY1050" s="326">
        <f t="shared" si="5468"/>
        <v>0.2765321375</v>
      </c>
      <c r="AZ1050" s="326">
        <f t="shared" si="5468"/>
        <v>0.1608233431</v>
      </c>
      <c r="BA1050" s="323">
        <f t="shared" si="5468"/>
        <v>0.2568270481</v>
      </c>
      <c r="BB1050" s="326">
        <f t="shared" si="5468"/>
        <v>-0.02320819113</v>
      </c>
      <c r="BC1050" s="326">
        <f t="shared" si="5468"/>
        <v>-0.1419106647</v>
      </c>
      <c r="BD1050" s="326">
        <f t="shared" si="5468"/>
        <v>-0.1580796253</v>
      </c>
      <c r="BE1050" s="326">
        <f t="shared" si="5468"/>
        <v>-0.05397505846</v>
      </c>
      <c r="BF1050" s="323">
        <f t="shared" si="5468"/>
        <v>-0.09586135541</v>
      </c>
      <c r="BG1050" s="326">
        <f t="shared" si="5468"/>
        <v>0.03237829024</v>
      </c>
      <c r="BH1050" s="326">
        <f t="shared" si="5468"/>
        <v>0.1100871731</v>
      </c>
      <c r="BI1050" s="326">
        <f t="shared" si="5468"/>
        <v>0.2065368567</v>
      </c>
      <c r="BJ1050" s="326">
        <f t="shared" si="5468"/>
        <v>0.09948506694</v>
      </c>
      <c r="BK1050" s="323">
        <f t="shared" si="5468"/>
        <v>0.1118613034</v>
      </c>
      <c r="BL1050" s="326">
        <f t="shared" si="5468"/>
        <v>0.08032490975</v>
      </c>
      <c r="BM1050" s="326">
        <f t="shared" si="5468"/>
        <v>0.07807942562</v>
      </c>
      <c r="BN1050" s="326">
        <f t="shared" si="5468"/>
        <v>0.0353506244</v>
      </c>
      <c r="BO1050" s="326">
        <f t="shared" si="5468"/>
        <v>-0.2390408393</v>
      </c>
      <c r="BP1050" s="323">
        <f t="shared" si="5468"/>
        <v>-0.01996706464</v>
      </c>
      <c r="BQ1050" s="326">
        <f t="shared" si="5468"/>
        <v>-0.2383040936</v>
      </c>
      <c r="BR1050" s="326">
        <f t="shared" si="5468"/>
        <v>-0.08241415193</v>
      </c>
      <c r="BS1050" s="326">
        <f t="shared" si="5468"/>
        <v>-0.01243273335</v>
      </c>
      <c r="BT1050" s="326">
        <f t="shared" si="5468"/>
        <v>0.4682422452</v>
      </c>
      <c r="BU1050" s="323">
        <f t="shared" si="5468"/>
        <v>0.01564797311</v>
      </c>
      <c r="BV1050" s="326">
        <f t="shared" si="5468"/>
        <v>0.6144776529</v>
      </c>
      <c r="BW1050" s="326">
        <f t="shared" si="5468"/>
        <v>0.3985030619</v>
      </c>
      <c r="BX1050" s="326">
        <f t="shared" si="5468"/>
        <v>0.2033070274</v>
      </c>
      <c r="BY1050" s="326">
        <f t="shared" si="5468"/>
        <v>0.09221998659</v>
      </c>
      <c r="BZ1050" s="324">
        <f t="shared" si="5468"/>
        <v>0.291076414</v>
      </c>
      <c r="CA1050" s="326">
        <f t="shared" si="5468"/>
        <v>0.2333559783</v>
      </c>
      <c r="CB1050" s="326">
        <f t="shared" si="5468"/>
        <v>0.1986701265</v>
      </c>
      <c r="CC1050" s="326">
        <f t="shared" si="5468"/>
        <v>0.2570268582</v>
      </c>
      <c r="CD1050" s="326">
        <f t="shared" si="5468"/>
        <v>0.2310408351</v>
      </c>
      <c r="CE1050" s="324">
        <f t="shared" si="5468"/>
        <v>0.2302578888</v>
      </c>
      <c r="CF1050" s="326">
        <f t="shared" si="5468"/>
        <v>0.01459652988</v>
      </c>
      <c r="CG1050" s="326">
        <f t="shared" si="5468"/>
        <v>0.05168448113</v>
      </c>
      <c r="CH1050" s="326">
        <f t="shared" si="5468"/>
        <v>-0.04409937888</v>
      </c>
      <c r="CI1050" s="326">
        <f t="shared" si="5468"/>
        <v>-1</v>
      </c>
      <c r="CJ1050" s="324"/>
      <c r="CK1050" s="326">
        <f t="shared" si="5467"/>
        <v>-1</v>
      </c>
      <c r="CL1050" s="326"/>
      <c r="CM1050" s="326"/>
      <c r="CN1050" s="327"/>
      <c r="CO1050" s="324"/>
      <c r="CP1050" s="327"/>
      <c r="CQ1050" s="326"/>
      <c r="CR1050" s="326"/>
      <c r="CS1050" s="326"/>
      <c r="CT1050" s="324"/>
      <c r="CU1050" s="326"/>
      <c r="CV1050" s="326"/>
      <c r="CW1050" s="326"/>
      <c r="CX1050" s="326"/>
      <c r="CY1050" s="324"/>
      <c r="CZ1050" s="326"/>
      <c r="DA1050" s="326"/>
      <c r="DB1050" s="326"/>
      <c r="DC1050" s="326"/>
      <c r="DD1050" s="324"/>
      <c r="DE1050" s="326"/>
      <c r="DF1050" s="326"/>
      <c r="DG1050" s="327"/>
      <c r="DH1050" s="326"/>
      <c r="DI1050" s="324"/>
      <c r="DJ1050" s="327"/>
      <c r="DK1050" s="327"/>
      <c r="DL1050" s="327"/>
      <c r="DM1050" s="326"/>
      <c r="DN1050" s="324"/>
      <c r="DO1050" s="326"/>
      <c r="DP1050" s="326"/>
      <c r="DQ1050" s="326"/>
      <c r="DR1050" s="326"/>
      <c r="DS1050" s="324"/>
      <c r="DT1050" s="326"/>
      <c r="DU1050" s="326"/>
      <c r="DV1050" s="326"/>
      <c r="DW1050" s="326"/>
      <c r="DX1050" s="324"/>
      <c r="DY1050" s="326"/>
      <c r="DZ1050" s="326"/>
      <c r="EA1050" s="326"/>
      <c r="EB1050" s="326"/>
      <c r="EC1050" s="324"/>
      <c r="ED1050" s="326"/>
      <c r="EE1050" s="326"/>
      <c r="EF1050" s="326"/>
      <c r="EG1050" s="326"/>
      <c r="EH1050" s="324"/>
      <c r="EI1050" s="361"/>
      <c r="EJ1050" s="326"/>
      <c r="EK1050" s="326"/>
      <c r="EL1050" s="326"/>
      <c r="EM1050" s="324"/>
      <c r="EN1050" s="326"/>
      <c r="EO1050" s="326"/>
      <c r="EP1050" s="326"/>
      <c r="EQ1050" s="326"/>
      <c r="ER1050" s="324"/>
      <c r="ES1050" s="326"/>
      <c r="ET1050" s="326"/>
      <c r="EU1050" s="326"/>
      <c r="EV1050" s="326"/>
      <c r="EW1050" s="324"/>
      <c r="EX1050" s="326"/>
      <c r="EY1050" s="326"/>
      <c r="EZ1050" s="326"/>
      <c r="FA1050" s="326"/>
      <c r="FB1050" s="324"/>
      <c r="FC1050" s="326"/>
      <c r="FD1050" s="326"/>
      <c r="FE1050" s="326"/>
      <c r="FF1050" s="326"/>
      <c r="FG1050" s="324"/>
      <c r="FH1050" s="325"/>
      <c r="FI1050" s="326"/>
      <c r="FJ1050" s="326"/>
      <c r="FK1050" s="323"/>
      <c r="FL1050" s="326"/>
    </row>
    <row r="1051" ht="12.75" hidden="1" customHeight="1" outlineLevel="1">
      <c r="A1051" s="4"/>
      <c r="B1051" s="4" t="s">
        <v>366</v>
      </c>
      <c r="C1051" s="4"/>
      <c r="D1051" s="326"/>
      <c r="E1051" s="326"/>
      <c r="F1051" s="326"/>
      <c r="G1051" s="326"/>
      <c r="H1051" s="323"/>
      <c r="I1051" s="326"/>
      <c r="J1051" s="326"/>
      <c r="K1051" s="326"/>
      <c r="L1051" s="326"/>
      <c r="M1051" s="323"/>
      <c r="N1051" s="326"/>
      <c r="O1051" s="326"/>
      <c r="P1051" s="326"/>
      <c r="Q1051" s="326"/>
      <c r="R1051" s="323"/>
      <c r="S1051" s="326"/>
      <c r="T1051" s="326"/>
      <c r="U1051" s="326"/>
      <c r="V1051" s="326"/>
      <c r="W1051" s="323"/>
      <c r="X1051" s="326">
        <f t="shared" ref="X1051:CI1051" si="5469">X1020/S1020-1</f>
        <v>0.2659615655</v>
      </c>
      <c r="Y1051" s="326">
        <f t="shared" si="5469"/>
        <v>0.3841535725</v>
      </c>
      <c r="Z1051" s="326">
        <f t="shared" si="5469"/>
        <v>0.7871861354</v>
      </c>
      <c r="AA1051" s="326">
        <f t="shared" si="5469"/>
        <v>0.3624312852</v>
      </c>
      <c r="AB1051" s="323">
        <f t="shared" si="5469"/>
        <v>0.4137587331</v>
      </c>
      <c r="AC1051" s="326">
        <f t="shared" si="5469"/>
        <v>0.1138079153</v>
      </c>
      <c r="AD1051" s="326">
        <f t="shared" si="5469"/>
        <v>-0.1520749665</v>
      </c>
      <c r="AE1051" s="326">
        <f t="shared" si="5469"/>
        <v>-0.1670802632</v>
      </c>
      <c r="AF1051" s="326">
        <f t="shared" si="5469"/>
        <v>-0.3758650629</v>
      </c>
      <c r="AG1051" s="323">
        <f t="shared" si="5469"/>
        <v>-0.150688226</v>
      </c>
      <c r="AH1051" s="326">
        <f t="shared" si="5469"/>
        <v>-0.3229494284</v>
      </c>
      <c r="AI1051" s="326">
        <f t="shared" si="5469"/>
        <v>-0.3016577202</v>
      </c>
      <c r="AJ1051" s="326">
        <f t="shared" si="5469"/>
        <v>-0.3043850267</v>
      </c>
      <c r="AK1051" s="326">
        <f t="shared" si="5469"/>
        <v>0.02534727195</v>
      </c>
      <c r="AL1051" s="323">
        <f t="shared" si="5469"/>
        <v>-0.2469636727</v>
      </c>
      <c r="AM1051" s="326">
        <f t="shared" si="5469"/>
        <v>0.002801946616</v>
      </c>
      <c r="AN1051" s="326">
        <f t="shared" si="5469"/>
        <v>0.5034024371</v>
      </c>
      <c r="AO1051" s="326">
        <f t="shared" si="5469"/>
        <v>0.5726585837</v>
      </c>
      <c r="AP1051" s="326">
        <f t="shared" si="5469"/>
        <v>0.5642458101</v>
      </c>
      <c r="AQ1051" s="323">
        <f t="shared" si="5469"/>
        <v>0.3954638411</v>
      </c>
      <c r="AR1051" s="326">
        <f t="shared" si="5469"/>
        <v>0.3180147059</v>
      </c>
      <c r="AS1051" s="326">
        <f t="shared" si="5469"/>
        <v>0.1533834586</v>
      </c>
      <c r="AT1051" s="326">
        <f t="shared" si="5469"/>
        <v>0.0782122905</v>
      </c>
      <c r="AU1051" s="326">
        <f t="shared" si="5469"/>
        <v>0.08801020408</v>
      </c>
      <c r="AV1051" s="323">
        <f t="shared" si="5469"/>
        <v>0.1476559616</v>
      </c>
      <c r="AW1051" s="326">
        <f t="shared" si="5469"/>
        <v>0.340306834</v>
      </c>
      <c r="AX1051" s="326">
        <f t="shared" si="5469"/>
        <v>0.147327249</v>
      </c>
      <c r="AY1051" s="326">
        <f t="shared" si="5469"/>
        <v>0.1994818653</v>
      </c>
      <c r="AZ1051" s="326">
        <f t="shared" si="5469"/>
        <v>0.1078546307</v>
      </c>
      <c r="BA1051" s="323">
        <f t="shared" si="5469"/>
        <v>0.1939530396</v>
      </c>
      <c r="BB1051" s="326">
        <f t="shared" si="5469"/>
        <v>0.08324661811</v>
      </c>
      <c r="BC1051" s="326">
        <f t="shared" si="5469"/>
        <v>0.02954545455</v>
      </c>
      <c r="BD1051" s="326">
        <f t="shared" si="5469"/>
        <v>-0.003239740821</v>
      </c>
      <c r="BE1051" s="326">
        <f t="shared" si="5469"/>
        <v>-0.009523809524</v>
      </c>
      <c r="BF1051" s="323">
        <f t="shared" si="5469"/>
        <v>0.02532327586</v>
      </c>
      <c r="BG1051" s="326">
        <f t="shared" si="5469"/>
        <v>-0.06724303554</v>
      </c>
      <c r="BH1051" s="326">
        <f t="shared" si="5469"/>
        <v>0.009933774834</v>
      </c>
      <c r="BI1051" s="326">
        <f t="shared" si="5469"/>
        <v>0.07692307692</v>
      </c>
      <c r="BJ1051" s="326">
        <f t="shared" si="5469"/>
        <v>0.1164529915</v>
      </c>
      <c r="BK1051" s="323">
        <f t="shared" si="5469"/>
        <v>0.03126642144</v>
      </c>
      <c r="BL1051" s="326">
        <f t="shared" si="5469"/>
        <v>0.03604531411</v>
      </c>
      <c r="BM1051" s="326">
        <f t="shared" si="5469"/>
        <v>0.0262295082</v>
      </c>
      <c r="BN1051" s="326">
        <f t="shared" si="5469"/>
        <v>0.06438631791</v>
      </c>
      <c r="BO1051" s="326">
        <f t="shared" si="5469"/>
        <v>-0.06220095694</v>
      </c>
      <c r="BP1051" s="323">
        <f t="shared" si="5469"/>
        <v>0.01477707006</v>
      </c>
      <c r="BQ1051" s="326">
        <f t="shared" si="5469"/>
        <v>-0.2892644135</v>
      </c>
      <c r="BR1051" s="326">
        <f t="shared" si="5469"/>
        <v>-0.1863684771</v>
      </c>
      <c r="BS1051" s="326">
        <f t="shared" si="5469"/>
        <v>-0.1332703214</v>
      </c>
      <c r="BT1051" s="326">
        <f t="shared" si="5469"/>
        <v>0.01326530612</v>
      </c>
      <c r="BU1051" s="323">
        <f t="shared" si="5469"/>
        <v>-0.1491338187</v>
      </c>
      <c r="BV1051" s="326">
        <f t="shared" si="5469"/>
        <v>0.5398601399</v>
      </c>
      <c r="BW1051" s="326">
        <f t="shared" si="5469"/>
        <v>0.4816753927</v>
      </c>
      <c r="BX1051" s="326">
        <f t="shared" si="5469"/>
        <v>0.2344601963</v>
      </c>
      <c r="BY1051" s="326">
        <f t="shared" si="5469"/>
        <v>0.07250755287</v>
      </c>
      <c r="BZ1051" s="324">
        <f t="shared" si="5469"/>
        <v>0.3071702567</v>
      </c>
      <c r="CA1051" s="326">
        <f t="shared" si="5469"/>
        <v>0.1126248865</v>
      </c>
      <c r="CB1051" s="326">
        <f t="shared" si="5469"/>
        <v>0.03180212014</v>
      </c>
      <c r="CC1051" s="326">
        <f t="shared" si="5469"/>
        <v>0.1943462898</v>
      </c>
      <c r="CD1051" s="326">
        <f t="shared" si="5469"/>
        <v>0.2009389671</v>
      </c>
      <c r="CE1051" s="324">
        <f t="shared" si="5469"/>
        <v>0.1340857788</v>
      </c>
      <c r="CF1051" s="326">
        <f t="shared" si="5469"/>
        <v>-0.01469387755</v>
      </c>
      <c r="CG1051" s="326">
        <f t="shared" si="5469"/>
        <v>0.02140410959</v>
      </c>
      <c r="CH1051" s="326">
        <f t="shared" si="5469"/>
        <v>-0.1605029586</v>
      </c>
      <c r="CI1051" s="326">
        <f t="shared" si="5469"/>
        <v>9.537138389</v>
      </c>
      <c r="CJ1051" s="324"/>
      <c r="CK1051" s="326">
        <f t="shared" si="5467"/>
        <v>9.422535211</v>
      </c>
      <c r="CL1051" s="326"/>
      <c r="CM1051" s="326"/>
      <c r="CN1051" s="327"/>
      <c r="CO1051" s="324"/>
      <c r="CP1051" s="327"/>
      <c r="CQ1051" s="326"/>
      <c r="CR1051" s="326"/>
      <c r="CS1051" s="326"/>
      <c r="CT1051" s="324"/>
      <c r="CU1051" s="326"/>
      <c r="CV1051" s="326"/>
      <c r="CW1051" s="326"/>
      <c r="CX1051" s="326"/>
      <c r="CY1051" s="324"/>
      <c r="CZ1051" s="326"/>
      <c r="DA1051" s="326"/>
      <c r="DB1051" s="326"/>
      <c r="DC1051" s="326"/>
      <c r="DD1051" s="324"/>
      <c r="DE1051" s="326"/>
      <c r="DF1051" s="326"/>
      <c r="DG1051" s="327"/>
      <c r="DH1051" s="326"/>
      <c r="DI1051" s="324"/>
      <c r="DJ1051" s="327"/>
      <c r="DK1051" s="327"/>
      <c r="DL1051" s="327"/>
      <c r="DM1051" s="326"/>
      <c r="DN1051" s="324"/>
      <c r="DO1051" s="326"/>
      <c r="DP1051" s="326"/>
      <c r="DQ1051" s="326"/>
      <c r="DR1051" s="326"/>
      <c r="DS1051" s="324"/>
      <c r="DT1051" s="326"/>
      <c r="DU1051" s="326"/>
      <c r="DV1051" s="326"/>
      <c r="DW1051" s="326"/>
      <c r="DX1051" s="324"/>
      <c r="DY1051" s="326"/>
      <c r="DZ1051" s="326"/>
      <c r="EA1051" s="326"/>
      <c r="EB1051" s="326"/>
      <c r="EC1051" s="324"/>
      <c r="ED1051" s="326"/>
      <c r="EE1051" s="326"/>
      <c r="EF1051" s="326"/>
      <c r="EG1051" s="326"/>
      <c r="EH1051" s="324"/>
      <c r="EI1051" s="361"/>
      <c r="EJ1051" s="326"/>
      <c r="EK1051" s="326"/>
      <c r="EL1051" s="326"/>
      <c r="EM1051" s="324"/>
      <c r="EN1051" s="326"/>
      <c r="EO1051" s="326"/>
      <c r="EP1051" s="326"/>
      <c r="EQ1051" s="326"/>
      <c r="ER1051" s="324"/>
      <c r="ES1051" s="326"/>
      <c r="ET1051" s="326"/>
      <c r="EU1051" s="326"/>
      <c r="EV1051" s="326"/>
      <c r="EW1051" s="324"/>
      <c r="EX1051" s="326"/>
      <c r="EY1051" s="326"/>
      <c r="EZ1051" s="326"/>
      <c r="FA1051" s="326"/>
      <c r="FB1051" s="324"/>
      <c r="FC1051" s="326"/>
      <c r="FD1051" s="326"/>
      <c r="FE1051" s="326"/>
      <c r="FF1051" s="326"/>
      <c r="FG1051" s="324"/>
      <c r="FH1051" s="325"/>
      <c r="FI1051" s="326"/>
      <c r="FJ1051" s="326"/>
      <c r="FK1051" s="323"/>
      <c r="FL1051" s="326"/>
    </row>
    <row r="1052" ht="13.5" hidden="1" customHeight="1" outlineLevel="1">
      <c r="A1052" s="4"/>
      <c r="B1052" s="529" t="s">
        <v>291</v>
      </c>
      <c r="C1052" s="529"/>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f t="shared" ref="X1052:CI1052" si="5470">X1021/S1021-1</f>
        <v>0.1252991694</v>
      </c>
      <c r="Y1052" s="596">
        <f t="shared" si="5470"/>
        <v>0.2303587311</v>
      </c>
      <c r="Z1052" s="596">
        <f t="shared" si="5470"/>
        <v>0.1914574236</v>
      </c>
      <c r="AA1052" s="596">
        <f t="shared" si="5470"/>
        <v>0.0596687774</v>
      </c>
      <c r="AB1052" s="596">
        <f t="shared" si="5470"/>
        <v>0.1475722209</v>
      </c>
      <c r="AC1052" s="596">
        <f t="shared" si="5470"/>
        <v>-0.1646440636</v>
      </c>
      <c r="AD1052" s="596">
        <f t="shared" si="5470"/>
        <v>-0.2368674699</v>
      </c>
      <c r="AE1052" s="596">
        <f t="shared" si="5470"/>
        <v>-0.2503722369</v>
      </c>
      <c r="AF1052" s="596">
        <f t="shared" si="5470"/>
        <v>-0.1975407952</v>
      </c>
      <c r="AG1052" s="596">
        <f t="shared" si="5470"/>
        <v>-0.2130996857</v>
      </c>
      <c r="AH1052" s="596">
        <f t="shared" si="5470"/>
        <v>0.01557585742</v>
      </c>
      <c r="AI1052" s="596">
        <f t="shared" si="5470"/>
        <v>-0.002368171771</v>
      </c>
      <c r="AJ1052" s="596">
        <f t="shared" si="5470"/>
        <v>-0.006264323911</v>
      </c>
      <c r="AK1052" s="596">
        <f t="shared" si="5470"/>
        <v>0.02534727195</v>
      </c>
      <c r="AL1052" s="596">
        <f t="shared" si="5470"/>
        <v>0.00847808885</v>
      </c>
      <c r="AM1052" s="596">
        <f t="shared" si="5470"/>
        <v>-0.004424126235</v>
      </c>
      <c r="AN1052" s="596">
        <f t="shared" si="5470"/>
        <v>0.07865168539</v>
      </c>
      <c r="AO1052" s="596">
        <f t="shared" si="5470"/>
        <v>0.2043357934</v>
      </c>
      <c r="AP1052" s="596">
        <f t="shared" si="5470"/>
        <v>0.2208100559</v>
      </c>
      <c r="AQ1052" s="596">
        <f t="shared" si="5470"/>
        <v>0.1261769541</v>
      </c>
      <c r="AR1052" s="596">
        <f t="shared" si="5470"/>
        <v>0.1984891127</v>
      </c>
      <c r="AS1052" s="596">
        <f t="shared" si="5470"/>
        <v>0.1808978873</v>
      </c>
      <c r="AT1052" s="596">
        <f t="shared" si="5470"/>
        <v>0.08145027448</v>
      </c>
      <c r="AU1052" s="596">
        <f t="shared" si="5470"/>
        <v>0.09804370209</v>
      </c>
      <c r="AV1052" s="596">
        <f t="shared" si="5470"/>
        <v>0.1349656614</v>
      </c>
      <c r="AW1052" s="596">
        <f t="shared" si="5470"/>
        <v>0.165986899</v>
      </c>
      <c r="AX1052" s="596">
        <f t="shared" si="5470"/>
        <v>0.1468505404</v>
      </c>
      <c r="AY1052" s="596">
        <f t="shared" si="5470"/>
        <v>0.1757761775</v>
      </c>
      <c r="AZ1052" s="596">
        <f t="shared" si="5470"/>
        <v>0.06282558866</v>
      </c>
      <c r="BA1052" s="596">
        <f t="shared" si="5470"/>
        <v>0.134964483</v>
      </c>
      <c r="BB1052" s="596">
        <f t="shared" si="5470"/>
        <v>-0.05236379054</v>
      </c>
      <c r="BC1052" s="596">
        <f t="shared" si="5470"/>
        <v>-0.1323800238</v>
      </c>
      <c r="BD1052" s="596">
        <f t="shared" si="5470"/>
        <v>-0.1225903614</v>
      </c>
      <c r="BE1052" s="596">
        <f t="shared" si="5470"/>
        <v>-0.0497010097</v>
      </c>
      <c r="BF1052" s="596">
        <f t="shared" si="5470"/>
        <v>-0.08870344614</v>
      </c>
      <c r="BG1052" s="596">
        <f t="shared" si="5470"/>
        <v>-0.009843400447</v>
      </c>
      <c r="BH1052" s="596">
        <f t="shared" si="5470"/>
        <v>0.08378074666</v>
      </c>
      <c r="BI1052" s="596">
        <f t="shared" si="5470"/>
        <v>0.1545943472</v>
      </c>
      <c r="BJ1052" s="596">
        <f t="shared" si="5470"/>
        <v>0.1050134104</v>
      </c>
      <c r="BK1052" s="596">
        <f t="shared" si="5470"/>
        <v>0.08343225369</v>
      </c>
      <c r="BL1052" s="596">
        <f t="shared" si="5470"/>
        <v>0.09274740172</v>
      </c>
      <c r="BM1052" s="596">
        <f t="shared" si="5470"/>
        <v>0.09101382488</v>
      </c>
      <c r="BN1052" s="596">
        <f t="shared" si="5470"/>
        <v>0.01258671952</v>
      </c>
      <c r="BO1052" s="596">
        <f t="shared" si="5470"/>
        <v>-0.2320761763</v>
      </c>
      <c r="BP1052" s="596">
        <f t="shared" si="5470"/>
        <v>-0.01951270413</v>
      </c>
      <c r="BQ1052" s="596">
        <f t="shared" si="5470"/>
        <v>-0.2613460147</v>
      </c>
      <c r="BR1052" s="596">
        <f t="shared" si="5470"/>
        <v>-0.1526927138</v>
      </c>
      <c r="BS1052" s="596">
        <f t="shared" si="5470"/>
        <v>-0.08104140159</v>
      </c>
      <c r="BT1052" s="596">
        <f t="shared" si="5470"/>
        <v>0.2848285923</v>
      </c>
      <c r="BU1052" s="596">
        <f t="shared" si="5470"/>
        <v>-0.06542329591</v>
      </c>
      <c r="BV1052" s="596">
        <f t="shared" si="5470"/>
        <v>0.4414275717</v>
      </c>
      <c r="BW1052" s="596">
        <f t="shared" si="5470"/>
        <v>0.3416001994</v>
      </c>
      <c r="BX1052" s="596">
        <f t="shared" si="5470"/>
        <v>0.182447545</v>
      </c>
      <c r="BY1052" s="596">
        <f t="shared" si="5470"/>
        <v>0.08401930173</v>
      </c>
      <c r="BZ1052" s="597">
        <f t="shared" si="5470"/>
        <v>0.2418652319</v>
      </c>
      <c r="CA1052" s="596">
        <f t="shared" si="5470"/>
        <v>0.2474026605</v>
      </c>
      <c r="CB1052" s="596">
        <f t="shared" si="5470"/>
        <v>0.2105898746</v>
      </c>
      <c r="CC1052" s="596">
        <f t="shared" si="5470"/>
        <v>0.2820212574</v>
      </c>
      <c r="CD1052" s="596">
        <f t="shared" si="5470"/>
        <v>0.2120974077</v>
      </c>
      <c r="CE1052" s="597">
        <f t="shared" si="5470"/>
        <v>0.2378561768</v>
      </c>
      <c r="CF1052" s="596">
        <f t="shared" si="5470"/>
        <v>0.00459251187</v>
      </c>
      <c r="CG1052" s="596">
        <f t="shared" si="5470"/>
        <v>0.0359883364</v>
      </c>
      <c r="CH1052" s="596">
        <f t="shared" si="5470"/>
        <v>-0.05452118317</v>
      </c>
      <c r="CI1052" s="596">
        <f t="shared" si="5470"/>
        <v>-0.02952401527</v>
      </c>
      <c r="CJ1052" s="597"/>
      <c r="CK1052" s="596">
        <f t="shared" si="5467"/>
        <v>-0.02525956919</v>
      </c>
      <c r="CL1052" s="596"/>
      <c r="CM1052" s="596"/>
      <c r="CN1052" s="595"/>
      <c r="CO1052" s="597"/>
      <c r="CP1052" s="595"/>
      <c r="CQ1052" s="596"/>
      <c r="CR1052" s="596"/>
      <c r="CS1052" s="596"/>
      <c r="CT1052" s="597"/>
      <c r="CU1052" s="596"/>
      <c r="CV1052" s="596"/>
      <c r="CW1052" s="596"/>
      <c r="CX1052" s="596"/>
      <c r="CY1052" s="597"/>
      <c r="CZ1052" s="596"/>
      <c r="DA1052" s="596"/>
      <c r="DB1052" s="596"/>
      <c r="DC1052" s="596"/>
      <c r="DD1052" s="597"/>
      <c r="DE1052" s="596"/>
      <c r="DF1052" s="596"/>
      <c r="DG1052" s="104"/>
      <c r="DH1052" s="596"/>
      <c r="DI1052" s="597"/>
      <c r="DJ1052" s="595"/>
      <c r="DK1052" s="595"/>
      <c r="DL1052" s="595"/>
      <c r="DM1052" s="596"/>
      <c r="DN1052" s="597"/>
      <c r="DO1052" s="596"/>
      <c r="DP1052" s="596"/>
      <c r="DQ1052" s="596"/>
      <c r="DR1052" s="596"/>
      <c r="DS1052" s="597"/>
      <c r="DT1052" s="596"/>
      <c r="DU1052" s="596"/>
      <c r="DV1052" s="596"/>
      <c r="DW1052" s="596"/>
      <c r="DX1052" s="597"/>
      <c r="DY1052" s="596"/>
      <c r="DZ1052" s="596"/>
      <c r="EA1052" s="596"/>
      <c r="EB1052" s="596"/>
      <c r="EC1052" s="597"/>
      <c r="ED1052" s="596"/>
      <c r="EE1052" s="596"/>
      <c r="EF1052" s="596"/>
      <c r="EG1052" s="596"/>
      <c r="EH1052" s="597"/>
      <c r="EI1052" s="598"/>
      <c r="EJ1052" s="596"/>
      <c r="EK1052" s="596"/>
      <c r="EL1052" s="596"/>
      <c r="EM1052" s="597"/>
      <c r="EN1052" s="596"/>
      <c r="EO1052" s="596"/>
      <c r="EP1052" s="596"/>
      <c r="EQ1052" s="596"/>
      <c r="ER1052" s="597"/>
      <c r="ES1052" s="596"/>
      <c r="ET1052" s="596"/>
      <c r="EU1052" s="596"/>
      <c r="EV1052" s="596"/>
      <c r="EW1052" s="597"/>
      <c r="EX1052" s="596"/>
      <c r="EY1052" s="596"/>
      <c r="EZ1052" s="596"/>
      <c r="FA1052" s="596"/>
      <c r="FB1052" s="597"/>
      <c r="FC1052" s="596"/>
      <c r="FD1052" s="596"/>
      <c r="FE1052" s="596"/>
      <c r="FF1052" s="596"/>
      <c r="FG1052" s="597"/>
      <c r="FH1052" s="595"/>
      <c r="FI1052" s="596"/>
      <c r="FJ1052" s="596"/>
      <c r="FK1052" s="596"/>
      <c r="FL1052" s="596"/>
    </row>
    <row r="1053" ht="12.75" hidden="1" customHeight="1" outlineLevel="1">
      <c r="A1053" s="4"/>
      <c r="B1053" s="4"/>
      <c r="C1053" s="4"/>
      <c r="D1053" s="4"/>
      <c r="E1053" s="4"/>
      <c r="F1053" s="4"/>
      <c r="G1053" s="4"/>
      <c r="H1053" s="8"/>
      <c r="I1053" s="4"/>
      <c r="J1053" s="4"/>
      <c r="K1053" s="4"/>
      <c r="L1053" s="4"/>
      <c r="M1053" s="8"/>
      <c r="N1053" s="4"/>
      <c r="O1053" s="4"/>
      <c r="P1053" s="4"/>
      <c r="Q1053" s="4"/>
      <c r="R1053" s="8"/>
      <c r="S1053" s="4"/>
      <c r="T1053" s="4"/>
      <c r="U1053" s="4"/>
      <c r="V1053" s="4"/>
      <c r="W1053" s="8"/>
      <c r="X1053" s="4"/>
      <c r="Y1053" s="4"/>
      <c r="Z1053" s="4"/>
      <c r="AA1053" s="4"/>
      <c r="AB1053" s="8"/>
      <c r="AC1053" s="4"/>
      <c r="AD1053" s="4"/>
      <c r="AE1053" s="4"/>
      <c r="AF1053" s="4"/>
      <c r="AG1053" s="8"/>
      <c r="AH1053" s="4"/>
      <c r="AI1053" s="4"/>
      <c r="AJ1053" s="4"/>
      <c r="AK1053" s="4"/>
      <c r="AL1053" s="8"/>
      <c r="AM1053" s="4"/>
      <c r="AN1053" s="4"/>
      <c r="AO1053" s="4"/>
      <c r="AP1053" s="4"/>
      <c r="AQ1053" s="8"/>
      <c r="AR1053" s="4"/>
      <c r="AS1053" s="4"/>
      <c r="AT1053" s="4"/>
      <c r="AU1053" s="4"/>
      <c r="AV1053" s="8"/>
      <c r="AW1053" s="4"/>
      <c r="AX1053" s="4"/>
      <c r="AY1053" s="4"/>
      <c r="AZ1053" s="4"/>
      <c r="BA1053" s="8"/>
      <c r="BB1053" s="4"/>
      <c r="BC1053" s="4"/>
      <c r="BD1053" s="4"/>
      <c r="BE1053" s="4"/>
      <c r="BF1053" s="8"/>
      <c r="BG1053" s="4"/>
      <c r="BH1053" s="4"/>
      <c r="BI1053" s="4"/>
      <c r="BJ1053" s="4"/>
      <c r="BK1053" s="8"/>
      <c r="BL1053" s="4"/>
      <c r="BM1053" s="4"/>
      <c r="BN1053" s="4"/>
      <c r="BO1053" s="4"/>
      <c r="BP1053" s="8"/>
      <c r="BQ1053" s="4"/>
      <c r="BR1053" s="4"/>
      <c r="BS1053" s="4"/>
      <c r="BT1053" s="4"/>
      <c r="BU1053" s="8"/>
      <c r="BV1053" s="4"/>
      <c r="BW1053" s="4"/>
      <c r="BX1053" s="4"/>
      <c r="BY1053" s="4"/>
      <c r="BZ1053" s="10"/>
      <c r="CA1053" s="4"/>
      <c r="CB1053" s="4"/>
      <c r="CC1053" s="4"/>
      <c r="CD1053" s="4"/>
      <c r="CE1053" s="10"/>
      <c r="CF1053" s="4"/>
      <c r="CG1053" s="4"/>
      <c r="CH1053" s="4"/>
      <c r="CI1053" s="4"/>
      <c r="CJ1053" s="10"/>
      <c r="CK1053" s="4"/>
      <c r="CL1053" s="4"/>
      <c r="CM1053" s="4"/>
      <c r="CN1053" s="16"/>
      <c r="CO1053" s="10"/>
      <c r="CP1053" s="16"/>
      <c r="CQ1053" s="4"/>
      <c r="CR1053" s="4"/>
      <c r="CS1053" s="4"/>
      <c r="CT1053" s="10"/>
      <c r="CU1053" s="4"/>
      <c r="CV1053" s="4"/>
      <c r="CW1053" s="4"/>
      <c r="CX1053" s="4"/>
      <c r="CY1053" s="10"/>
      <c r="CZ1053" s="4"/>
      <c r="DA1053" s="4"/>
      <c r="DB1053" s="4"/>
      <c r="DC1053" s="4"/>
      <c r="DD1053" s="10"/>
      <c r="DE1053" s="4"/>
      <c r="DF1053" s="4"/>
      <c r="DG1053" s="16"/>
      <c r="DH1053" s="4"/>
      <c r="DI1053" s="10"/>
      <c r="DJ1053" s="16"/>
      <c r="DK1053" s="16"/>
      <c r="DL1053" s="16"/>
      <c r="DM1053" s="4"/>
      <c r="DN1053" s="10"/>
      <c r="DO1053" s="4"/>
      <c r="DP1053" s="4"/>
      <c r="DQ1053" s="4"/>
      <c r="DR1053" s="4"/>
      <c r="DS1053" s="10"/>
      <c r="DT1053" s="4"/>
      <c r="DU1053" s="4"/>
      <c r="DV1053" s="4"/>
      <c r="DW1053" s="4"/>
      <c r="DX1053" s="10"/>
      <c r="DY1053" s="4"/>
      <c r="DZ1053" s="4"/>
      <c r="EA1053" s="4"/>
      <c r="EB1053" s="4"/>
      <c r="EC1053" s="10"/>
      <c r="ED1053" s="4"/>
      <c r="EE1053" s="4"/>
      <c r="EF1053" s="4"/>
      <c r="EG1053" s="4"/>
      <c r="EH1053" s="10"/>
      <c r="EI1053" s="214"/>
      <c r="EJ1053" s="4"/>
      <c r="EK1053" s="4"/>
      <c r="EL1053" s="4"/>
      <c r="EM1053" s="10"/>
      <c r="EN1053" s="4"/>
      <c r="EO1053" s="4"/>
      <c r="EP1053" s="4"/>
      <c r="EQ1053" s="4"/>
      <c r="ER1053" s="10"/>
      <c r="ES1053" s="4"/>
      <c r="ET1053" s="4"/>
      <c r="EU1053" s="4"/>
      <c r="EV1053" s="4"/>
      <c r="EW1053" s="10"/>
      <c r="EX1053" s="4"/>
      <c r="EY1053" s="4"/>
      <c r="EZ1053" s="4"/>
      <c r="FA1053" s="4"/>
      <c r="FB1053" s="10"/>
      <c r="FC1053" s="4"/>
      <c r="FD1053" s="4"/>
      <c r="FE1053" s="4"/>
      <c r="FF1053" s="4"/>
      <c r="FG1053" s="10"/>
      <c r="FH1053" s="21"/>
      <c r="FI1053" s="4"/>
      <c r="FJ1053" s="4"/>
      <c r="FK1053" s="8"/>
      <c r="FL1053" s="4"/>
    </row>
    <row r="1054" ht="12.75" hidden="1" customHeight="1" outlineLevel="1">
      <c r="A1054" s="4"/>
      <c r="B1054" s="601" t="s">
        <v>374</v>
      </c>
      <c r="C1054" s="4"/>
      <c r="D1054" s="4"/>
      <c r="E1054" s="4"/>
      <c r="F1054" s="4"/>
      <c r="G1054" s="4"/>
      <c r="H1054" s="8"/>
      <c r="I1054" s="4"/>
      <c r="J1054" s="4"/>
      <c r="K1054" s="4"/>
      <c r="L1054" s="4"/>
      <c r="M1054" s="8"/>
      <c r="N1054" s="4"/>
      <c r="O1054" s="4"/>
      <c r="P1054" s="4"/>
      <c r="Q1054" s="4"/>
      <c r="R1054" s="8"/>
      <c r="S1054" s="4"/>
      <c r="T1054" s="4"/>
      <c r="U1054" s="4"/>
      <c r="V1054" s="4"/>
      <c r="W1054" s="8"/>
      <c r="X1054" s="4"/>
      <c r="Y1054" s="4"/>
      <c r="Z1054" s="4"/>
      <c r="AA1054" s="4"/>
      <c r="AB1054" s="8"/>
      <c r="AC1054" s="4"/>
      <c r="AD1054" s="4"/>
      <c r="AE1054" s="4"/>
      <c r="AF1054" s="4"/>
      <c r="AG1054" s="8"/>
      <c r="AH1054" s="4"/>
      <c r="AI1054" s="4"/>
      <c r="AJ1054" s="4"/>
      <c r="AK1054" s="4"/>
      <c r="AL1054" s="8"/>
      <c r="AM1054" s="4"/>
      <c r="AN1054" s="4"/>
      <c r="AO1054" s="4"/>
      <c r="AP1054" s="4"/>
      <c r="AQ1054" s="8"/>
      <c r="AR1054" s="4"/>
      <c r="AS1054" s="4"/>
      <c r="AT1054" s="4"/>
      <c r="AU1054" s="4"/>
      <c r="AV1054" s="8"/>
      <c r="AW1054" s="4"/>
      <c r="AX1054" s="4"/>
      <c r="AY1054" s="4"/>
      <c r="AZ1054" s="4"/>
      <c r="BA1054" s="8"/>
      <c r="BB1054" s="4"/>
      <c r="BC1054" s="4"/>
      <c r="BD1054" s="4"/>
      <c r="BE1054" s="4"/>
      <c r="BF1054" s="8"/>
      <c r="BG1054" s="4"/>
      <c r="BH1054" s="4"/>
      <c r="BI1054" s="4"/>
      <c r="BJ1054" s="4"/>
      <c r="BK1054" s="8"/>
      <c r="BL1054" s="4"/>
      <c r="BM1054" s="4"/>
      <c r="BN1054" s="4"/>
      <c r="BO1054" s="4"/>
      <c r="BP1054" s="8"/>
      <c r="BQ1054" s="4"/>
      <c r="BR1054" s="4"/>
      <c r="BS1054" s="4"/>
      <c r="BT1054" s="4"/>
      <c r="BU1054" s="8"/>
      <c r="BV1054" s="4"/>
      <c r="BW1054" s="4"/>
      <c r="BX1054" s="4"/>
      <c r="BY1054" s="4"/>
      <c r="BZ1054" s="10"/>
      <c r="CA1054" s="4"/>
      <c r="CB1054" s="4"/>
      <c r="CC1054" s="4"/>
      <c r="CD1054" s="4"/>
      <c r="CE1054" s="10"/>
      <c r="CF1054" s="4"/>
      <c r="CG1054" s="4"/>
      <c r="CH1054" s="4"/>
      <c r="CI1054" s="4"/>
      <c r="CJ1054" s="10"/>
      <c r="CK1054" s="4"/>
      <c r="CL1054" s="4"/>
      <c r="CM1054" s="4"/>
      <c r="CN1054" s="16"/>
      <c r="CO1054" s="10"/>
      <c r="CP1054" s="16"/>
      <c r="CQ1054" s="4"/>
      <c r="CR1054" s="4"/>
      <c r="CS1054" s="4"/>
      <c r="CT1054" s="10"/>
      <c r="CU1054" s="4"/>
      <c r="CV1054" s="4"/>
      <c r="CW1054" s="4"/>
      <c r="CX1054" s="4"/>
      <c r="CY1054" s="10"/>
      <c r="CZ1054" s="4"/>
      <c r="DA1054" s="4"/>
      <c r="DB1054" s="4"/>
      <c r="DC1054" s="4"/>
      <c r="DD1054" s="10"/>
      <c r="DE1054" s="4"/>
      <c r="DF1054" s="4"/>
      <c r="DG1054" s="16"/>
      <c r="DH1054" s="4"/>
      <c r="DI1054" s="10"/>
      <c r="DJ1054" s="16"/>
      <c r="DK1054" s="16"/>
      <c r="DL1054" s="16"/>
      <c r="DM1054" s="4"/>
      <c r="DN1054" s="10"/>
      <c r="DO1054" s="4"/>
      <c r="DP1054" s="4"/>
      <c r="DQ1054" s="4"/>
      <c r="DR1054" s="4"/>
      <c r="DS1054" s="10"/>
      <c r="DT1054" s="4"/>
      <c r="DU1054" s="4"/>
      <c r="DV1054" s="4"/>
      <c r="DW1054" s="4"/>
      <c r="DX1054" s="10"/>
      <c r="DY1054" s="4"/>
      <c r="DZ1054" s="4"/>
      <c r="EA1054" s="4"/>
      <c r="EB1054" s="4"/>
      <c r="EC1054" s="10"/>
      <c r="ED1054" s="4"/>
      <c r="EE1054" s="4"/>
      <c r="EF1054" s="4"/>
      <c r="EG1054" s="4"/>
      <c r="EH1054" s="10"/>
      <c r="EI1054" s="214"/>
      <c r="EJ1054" s="4"/>
      <c r="EK1054" s="4"/>
      <c r="EL1054" s="4"/>
      <c r="EM1054" s="10"/>
      <c r="EN1054" s="4"/>
      <c r="EO1054" s="4"/>
      <c r="EP1054" s="4"/>
      <c r="EQ1054" s="4"/>
      <c r="ER1054" s="10"/>
      <c r="ES1054" s="4"/>
      <c r="ET1054" s="4"/>
      <c r="EU1054" s="4"/>
      <c r="EV1054" s="4"/>
      <c r="EW1054" s="10"/>
      <c r="EX1054" s="4"/>
      <c r="EY1054" s="4"/>
      <c r="EZ1054" s="4"/>
      <c r="FA1054" s="4"/>
      <c r="FB1054" s="10"/>
      <c r="FC1054" s="4"/>
      <c r="FD1054" s="4"/>
      <c r="FE1054" s="4"/>
      <c r="FF1054" s="4"/>
      <c r="FG1054" s="10"/>
      <c r="FH1054" s="21"/>
      <c r="FI1054" s="4"/>
      <c r="FJ1054" s="4"/>
      <c r="FK1054" s="8"/>
      <c r="FL1054" s="4"/>
    </row>
    <row r="1055" ht="12.75" hidden="1" customHeight="1" outlineLevel="1">
      <c r="A1055" s="61"/>
      <c r="B1055" s="4"/>
      <c r="C1055" s="61"/>
      <c r="D1055" s="62">
        <v>35154.0</v>
      </c>
      <c r="E1055" s="62">
        <v>35246.0</v>
      </c>
      <c r="F1055" s="62">
        <v>35338.0</v>
      </c>
      <c r="G1055" s="62">
        <v>35430.0</v>
      </c>
      <c r="H1055" s="57" t="str">
        <f>YEAR(G1055)&amp;IF(YEAR(G1055)&gt;YEAR(TODAY()),"E",IF(AND(YEAR(G1055)=YEAR(TODAY()),MONTH(G1055)&gt;MONTH(TODAY())),"E",IF(AND(YEAR(G1055)=YEAR(TODAY()),MONTH(G1055)=MONTH(TODAY()),DAY(G1055)&lt;30),"E","")))</f>
        <v>1996</v>
      </c>
      <c r="I1055" s="62">
        <v>35519.0</v>
      </c>
      <c r="J1055" s="62">
        <v>35611.0</v>
      </c>
      <c r="K1055" s="62">
        <v>35703.0</v>
      </c>
      <c r="L1055" s="62">
        <v>35795.0</v>
      </c>
      <c r="M1055" s="57" t="str">
        <f>YEAR(L1055)&amp;IF(YEAR(L1055)&gt;YEAR(TODAY()),"E",IF(AND(YEAR(L1055)=YEAR(TODAY()),MONTH(L1055)&gt;MONTH(TODAY())),"E",IF(AND(YEAR(L1055)=YEAR(TODAY()),MONTH(L1055)=MONTH(TODAY()),DAY(L1055)&lt;30),"E","")))</f>
        <v>1997</v>
      </c>
      <c r="N1055" s="62">
        <v>35884.0</v>
      </c>
      <c r="O1055" s="62">
        <v>35976.0</v>
      </c>
      <c r="P1055" s="62">
        <v>36068.0</v>
      </c>
      <c r="Q1055" s="62">
        <v>36160.0</v>
      </c>
      <c r="R1055" s="57" t="str">
        <f>YEAR(Q1055)&amp;IF(YEAR(Q1055)&gt;YEAR(TODAY()),"E",IF(AND(YEAR(Q1055)=YEAR(TODAY()),MONTH(Q1055)&gt;MONTH(TODAY())),"E",IF(AND(YEAR(Q1055)=YEAR(TODAY()),MONTH(Q1055)=MONTH(TODAY()),DAY(Q1055)&lt;30),"E","")))</f>
        <v>1998</v>
      </c>
      <c r="S1055" s="62">
        <f t="shared" ref="S1055:V1055" si="5471">N1055+365</f>
        <v>36249</v>
      </c>
      <c r="T1055" s="62">
        <f t="shared" si="5471"/>
        <v>36341</v>
      </c>
      <c r="U1055" s="62">
        <f t="shared" si="5471"/>
        <v>36433</v>
      </c>
      <c r="V1055" s="62">
        <f t="shared" si="5471"/>
        <v>36525</v>
      </c>
      <c r="W1055" s="57" t="str">
        <f>YEAR(V1055)&amp;IF(YEAR(V1055)&gt;YEAR(TODAY()),"E",IF(AND(YEAR(V1055)=YEAR(TODAY()),MONTH(V1055)&gt;MONTH(TODAY())),"E",IF(AND(YEAR(V1055)=YEAR(TODAY()),MONTH(V1055)=MONTH(TODAY()),DAY(V1055)&lt;30),"E","")))</f>
        <v>1999</v>
      </c>
      <c r="X1055" s="62">
        <f t="shared" ref="X1055:AA1055" si="5472">S1055+365</f>
        <v>36614</v>
      </c>
      <c r="Y1055" s="62">
        <f t="shared" si="5472"/>
        <v>36706</v>
      </c>
      <c r="Z1055" s="62">
        <f t="shared" si="5472"/>
        <v>36798</v>
      </c>
      <c r="AA1055" s="62">
        <f t="shared" si="5472"/>
        <v>36890</v>
      </c>
      <c r="AB1055" s="57" t="str">
        <f>YEAR(AA1055)&amp;IF(YEAR(AA1055)&gt;YEAR(TODAY()),"E",IF(AND(YEAR(AA1055)=YEAR(TODAY()),MONTH(AA1055)&gt;MONTH(TODAY())),"E",IF(AND(YEAR(AA1055)=YEAR(TODAY()),MONTH(AA1055)=MONTH(TODAY()),DAY(AA1055)&lt;30),"E","")))</f>
        <v>2000</v>
      </c>
      <c r="AC1055" s="62">
        <f t="shared" ref="AC1055:AF1055" si="5473">X1055+365</f>
        <v>36979</v>
      </c>
      <c r="AD1055" s="62">
        <f t="shared" si="5473"/>
        <v>37071</v>
      </c>
      <c r="AE1055" s="62">
        <f t="shared" si="5473"/>
        <v>37163</v>
      </c>
      <c r="AF1055" s="62">
        <f t="shared" si="5473"/>
        <v>37255</v>
      </c>
      <c r="AG1055" s="57" t="str">
        <f>YEAR(AF1055)&amp;IF(YEAR(AF1055)&gt;YEAR(TODAY()),"E",IF(AND(YEAR(AF1055)=YEAR(TODAY()),MONTH(AF1055)&gt;MONTH(TODAY())),"E",IF(AND(YEAR(AF1055)=YEAR(TODAY()),MONTH(AF1055)=MONTH(TODAY()),DAY(AF1055)&lt;30),"E","")))</f>
        <v>2001</v>
      </c>
      <c r="AH1055" s="62">
        <f t="shared" ref="AH1055:AJ1055" si="5474">AC1055+365</f>
        <v>37344</v>
      </c>
      <c r="AI1055" s="62">
        <f t="shared" si="5474"/>
        <v>37436</v>
      </c>
      <c r="AJ1055" s="62">
        <f t="shared" si="5474"/>
        <v>37528</v>
      </c>
      <c r="AK1055" s="62">
        <v>37619.0</v>
      </c>
      <c r="AL1055" s="57" t="str">
        <f>YEAR(AK1055)&amp;IF(YEAR(AK1055)&gt;YEAR(TODAY()),"E",IF(AND(YEAR(AK1055)=YEAR(TODAY()),MONTH(AK1055)&gt;MONTH(TODAY())),"E",IF(AND(YEAR(AK1055)=YEAR(TODAY()),MONTH(AK1055)=MONTH(TODAY()),DAY(AK1055)&lt;30),"E","")))</f>
        <v>2002</v>
      </c>
      <c r="AM1055" s="62">
        <f t="shared" ref="AM1055:AP1055" si="5475">AH1055+365</f>
        <v>37709</v>
      </c>
      <c r="AN1055" s="62">
        <f t="shared" si="5475"/>
        <v>37801</v>
      </c>
      <c r="AO1055" s="62">
        <f t="shared" si="5475"/>
        <v>37893</v>
      </c>
      <c r="AP1055" s="62">
        <f t="shared" si="5475"/>
        <v>37984</v>
      </c>
      <c r="AQ1055" s="57" t="str">
        <f>YEAR(AP1055)&amp;IF(YEAR(AP1055)&gt;YEAR(TODAY()),"E",IF(AND(YEAR(AP1055)=YEAR(TODAY()),MONTH(AP1055)&gt;MONTH(TODAY())),"E",IF(AND(YEAR(AP1055)=YEAR(TODAY()),MONTH(AP1055)=MONTH(TODAY()),DAY(AP1055)&lt;30),"E","")))</f>
        <v>2003</v>
      </c>
      <c r="AR1055" s="62">
        <f t="shared" ref="AR1055:AU1055" si="5476">AM1055+365</f>
        <v>38074</v>
      </c>
      <c r="AS1055" s="62">
        <f t="shared" si="5476"/>
        <v>38166</v>
      </c>
      <c r="AT1055" s="62">
        <f t="shared" si="5476"/>
        <v>38258</v>
      </c>
      <c r="AU1055" s="62">
        <f t="shared" si="5476"/>
        <v>38349</v>
      </c>
      <c r="AV1055" s="57" t="str">
        <f>YEAR(AU1055)&amp;IF(YEAR(AU1055)&gt;YEAR(TODAY()),"E",IF(AND(YEAR(AU1055)=YEAR(TODAY()),MONTH(AU1055)&gt;MONTH(TODAY())),"E",IF(AND(YEAR(AU1055)=YEAR(TODAY()),MONTH(AU1055)=MONTH(TODAY()),DAY(AU1055)&lt;30),"E","")))</f>
        <v>2004</v>
      </c>
      <c r="AW1055" s="62">
        <f t="shared" ref="AW1055:AZ1055" si="5477">AR1055+365</f>
        <v>38439</v>
      </c>
      <c r="AX1055" s="62">
        <f t="shared" si="5477"/>
        <v>38531</v>
      </c>
      <c r="AY1055" s="62">
        <f t="shared" si="5477"/>
        <v>38623</v>
      </c>
      <c r="AZ1055" s="62">
        <f t="shared" si="5477"/>
        <v>38714</v>
      </c>
      <c r="BA1055" s="57" t="str">
        <f>YEAR(AZ1055)&amp;IF(YEAR(AZ1055)&gt;YEAR(TODAY()),"E",IF(AND(YEAR(AZ1055)=YEAR(TODAY()),MONTH(AZ1055)&gt;MONTH(TODAY())),"E",IF(AND(YEAR(AZ1055)=YEAR(TODAY()),MONTH(AZ1055)=MONTH(TODAY()),DAY(AZ1055)&lt;30),"E","")))</f>
        <v>2005</v>
      </c>
      <c r="BB1055" s="62">
        <f t="shared" ref="BB1055:BE1055" si="5478">AW1055+365</f>
        <v>38804</v>
      </c>
      <c r="BC1055" s="62">
        <f t="shared" si="5478"/>
        <v>38896</v>
      </c>
      <c r="BD1055" s="62">
        <f t="shared" si="5478"/>
        <v>38988</v>
      </c>
      <c r="BE1055" s="62">
        <f t="shared" si="5478"/>
        <v>39079</v>
      </c>
      <c r="BF1055" s="57" t="str">
        <f>YEAR(BE1055)&amp;IF(YEAR(BE1055)&gt;YEAR(TODAY()),"E",IF(AND(YEAR(BE1055)=YEAR(TODAY()),MONTH(BE1055)&gt;MONTH(TODAY())),"E",IF(AND(YEAR(BE1055)=YEAR(TODAY()),MONTH(BE1055)=MONTH(TODAY()),DAY(BE1055)&lt;30),"E","")))</f>
        <v>2006</v>
      </c>
      <c r="BG1055" s="62">
        <f t="shared" ref="BG1055:BJ1055" si="5479">BB1055+365</f>
        <v>39169</v>
      </c>
      <c r="BH1055" s="62">
        <f t="shared" si="5479"/>
        <v>39261</v>
      </c>
      <c r="BI1055" s="62">
        <f t="shared" si="5479"/>
        <v>39353</v>
      </c>
      <c r="BJ1055" s="62">
        <f t="shared" si="5479"/>
        <v>39444</v>
      </c>
      <c r="BK1055" s="57" t="str">
        <f>YEAR(BJ1055)&amp;IF(YEAR(BJ1055)&gt;YEAR(TODAY()),"E",IF(AND(YEAR(BJ1055)=YEAR(TODAY()),MONTH(BJ1055)&gt;MONTH(TODAY())),"E",IF(AND(YEAR(BJ1055)=YEAR(TODAY()),MONTH(BJ1055)=MONTH(TODAY()),DAY(BJ1055)&lt;30),"E","")))</f>
        <v>2007</v>
      </c>
      <c r="BL1055" s="62">
        <f t="shared" ref="BL1055:BO1055" si="5480">BG1055+365</f>
        <v>39534</v>
      </c>
      <c r="BM1055" s="62">
        <f t="shared" si="5480"/>
        <v>39626</v>
      </c>
      <c r="BN1055" s="62">
        <f t="shared" si="5480"/>
        <v>39718</v>
      </c>
      <c r="BO1055" s="62">
        <f t="shared" si="5480"/>
        <v>39809</v>
      </c>
      <c r="BP1055" s="57" t="str">
        <f>YEAR(BO1055)&amp;IF(YEAR(BO1055)&gt;YEAR(TODAY()),"E",IF(AND(YEAR(BO1055)=YEAR(TODAY()),MONTH(BO1055)&gt;MONTH(TODAY())),"E",IF(AND(YEAR(BO1055)=YEAR(TODAY()),MONTH(BO1055)=MONTH(TODAY()),DAY(BO1055)&lt;30),"E","")))</f>
        <v>2008</v>
      </c>
      <c r="BQ1055" s="62">
        <f t="shared" ref="BQ1055:BT1055" si="5481">BL1055+365</f>
        <v>39899</v>
      </c>
      <c r="BR1055" s="62">
        <f t="shared" si="5481"/>
        <v>39991</v>
      </c>
      <c r="BS1055" s="62">
        <f t="shared" si="5481"/>
        <v>40083</v>
      </c>
      <c r="BT1055" s="62">
        <f t="shared" si="5481"/>
        <v>40174</v>
      </c>
      <c r="BU1055" s="57" t="str">
        <f>YEAR(BT1055)&amp;IF(YEAR(BT1055)&gt;YEAR(TODAY()),"E",IF(AND(YEAR(BT1055)=YEAR(TODAY()),MONTH(BT1055)&gt;MONTH(TODAY())),"E",IF(AND(YEAR(BT1055)=YEAR(TODAY()),MONTH(BT1055)=MONTH(TODAY()),DAY(BT1055)&lt;30),"E","")))</f>
        <v>2009</v>
      </c>
      <c r="BV1055" s="62">
        <f t="shared" ref="BV1055:BY1055" si="5482">BQ1055+365</f>
        <v>40264</v>
      </c>
      <c r="BW1055" s="62">
        <f t="shared" si="5482"/>
        <v>40356</v>
      </c>
      <c r="BX1055" s="62">
        <f t="shared" si="5482"/>
        <v>40448</v>
      </c>
      <c r="BY1055" s="62">
        <f t="shared" si="5482"/>
        <v>40539</v>
      </c>
      <c r="BZ1055" s="58" t="str">
        <f>YEAR(BY1055)&amp;IF(YEAR(BY1055)&gt;YEAR(TODAY()),"E",IF(AND(YEAR(BY1055)=YEAR(TODAY()),MONTH(BY1055)&gt;MONTH(TODAY())),"E",IF(AND(YEAR(BY1055)=YEAR(TODAY()),MONTH(BY1055)=MONTH(TODAY()),DAY(BY1055)&lt;30),"E","")))</f>
        <v>2010</v>
      </c>
      <c r="CA1055" s="62">
        <f t="shared" ref="CA1055:CD1055" si="5483">BV1055+365</f>
        <v>40629</v>
      </c>
      <c r="CB1055" s="62">
        <f t="shared" si="5483"/>
        <v>40721</v>
      </c>
      <c r="CC1055" s="62">
        <f t="shared" si="5483"/>
        <v>40813</v>
      </c>
      <c r="CD1055" s="62">
        <f t="shared" si="5483"/>
        <v>40904</v>
      </c>
      <c r="CE1055" s="58" t="str">
        <f>YEAR(CD1055)&amp;IF(YEAR(CD1055)&gt;YEAR(TODAY()),"E",IF(AND(YEAR(CD1055)=YEAR(TODAY()),MONTH(CD1055)&gt;MONTH(TODAY())),"E",IF(AND(YEAR(CD1055)=YEAR(TODAY()),MONTH(CD1055)=MONTH(TODAY()),DAY(CD1055)&lt;30),"E","")))</f>
        <v>2011</v>
      </c>
      <c r="CF1055" s="62">
        <f t="shared" ref="CF1055:CI1055" si="5484">CA1055+365</f>
        <v>40994</v>
      </c>
      <c r="CG1055" s="62">
        <f t="shared" si="5484"/>
        <v>41086</v>
      </c>
      <c r="CH1055" s="62">
        <f t="shared" si="5484"/>
        <v>41178</v>
      </c>
      <c r="CI1055" s="62">
        <f t="shared" si="5484"/>
        <v>41269</v>
      </c>
      <c r="CJ1055" s="58" t="str">
        <f>YEAR(CI1055)&amp;IF(YEAR(CI1055)&gt;YEAR(TODAY()),"E",IF(AND(YEAR(CI1055)=YEAR(TODAY()),MONTH(CI1055)&gt;MONTH(TODAY())),"E",IF(AND(YEAR(CI1055)=YEAR(TODAY()),MONTH(CI1055)=MONTH(TODAY()),DAY(CI1055)&lt;30),"E","")))</f>
        <v>2012</v>
      </c>
      <c r="CK1055" s="62">
        <f t="shared" ref="CK1055:CN1055" si="5485">CF1055+365</f>
        <v>41359</v>
      </c>
      <c r="CL1055" s="62">
        <f t="shared" si="5485"/>
        <v>41451</v>
      </c>
      <c r="CM1055" s="62">
        <f t="shared" si="5485"/>
        <v>41543</v>
      </c>
      <c r="CN1055" s="64">
        <f t="shared" si="5485"/>
        <v>41634</v>
      </c>
      <c r="CO1055" s="58" t="str">
        <f>YEAR(CN1055)&amp;IF(YEAR(CN1055)&gt;YEAR(TODAY()),"E",IF(AND(YEAR(CN1055)=YEAR(TODAY()),MONTH(CN1055)&gt;MONTH(TODAY())),"E",IF(AND(YEAR(CN1055)=YEAR(TODAY()),MONTH(CN1055)=MONTH(TODAY()),DAY(CN1055)&lt;30),"E","")))</f>
        <v>2013</v>
      </c>
      <c r="CP1055" s="64">
        <f t="shared" ref="CP1055:CS1055" si="5486">CK1055+365</f>
        <v>41724</v>
      </c>
      <c r="CQ1055" s="62">
        <f t="shared" si="5486"/>
        <v>41816</v>
      </c>
      <c r="CR1055" s="62">
        <f t="shared" si="5486"/>
        <v>41908</v>
      </c>
      <c r="CS1055" s="62">
        <f t="shared" si="5486"/>
        <v>41999</v>
      </c>
      <c r="CT1055" s="58" t="str">
        <f>YEAR(CS1055)&amp;IF(YEAR(CS1055)&gt;YEAR(TODAY()),"E",IF(AND(YEAR(CS1055)=YEAR(TODAY()),MONTH(CS1055)&gt;MONTH(TODAY())),"E",IF(AND(YEAR(CS1055)=YEAR(TODAY()),MONTH(CS1055)=MONTH(TODAY()),DAY(CS1055)&lt;30),"E","")))</f>
        <v>2014</v>
      </c>
      <c r="CU1055" s="62">
        <f t="shared" ref="CU1055:CX1055" si="5487">CP1055+365</f>
        <v>42089</v>
      </c>
      <c r="CV1055" s="62">
        <f t="shared" si="5487"/>
        <v>42181</v>
      </c>
      <c r="CW1055" s="62">
        <f t="shared" si="5487"/>
        <v>42273</v>
      </c>
      <c r="CX1055" s="62">
        <f t="shared" si="5487"/>
        <v>42364</v>
      </c>
      <c r="CY1055" s="58" t="str">
        <f>YEAR(CX1055)&amp;IF(YEAR(CX1055)&gt;YEAR(TODAY()),"E",IF(AND(YEAR(CX1055)=YEAR(TODAY()),MONTH(CX1055)&gt;MONTH(TODAY())),"E",IF(AND(YEAR(CX1055)=YEAR(TODAY()),MONTH(CX1055)=MONTH(TODAY()),DAY(CX1055)&lt;30),"E","")))</f>
        <v>2015</v>
      </c>
      <c r="CZ1055" s="62">
        <f t="shared" ref="CZ1055:DC1055" si="5488">CU1055+365</f>
        <v>42454</v>
      </c>
      <c r="DA1055" s="62">
        <f t="shared" si="5488"/>
        <v>42546</v>
      </c>
      <c r="DB1055" s="62">
        <f t="shared" si="5488"/>
        <v>42638</v>
      </c>
      <c r="DC1055" s="62">
        <f t="shared" si="5488"/>
        <v>42729</v>
      </c>
      <c r="DD1055" s="58" t="str">
        <f>YEAR(DC1055)&amp;IF(YEAR(DC1055)&gt;YEAR(TODAY()),"E",IF(AND(YEAR(DC1055)=YEAR(TODAY()),MONTH(DC1055)&gt;MONTH(TODAY())),"E",IF(AND(YEAR(DC1055)=YEAR(TODAY()),MONTH(DC1055)=MONTH(TODAY()),DAY(DC1055)&lt;30),"E","")))</f>
        <v>2016</v>
      </c>
      <c r="DE1055" s="62">
        <f t="shared" ref="DE1055:DH1055" si="5489">CZ1055+365</f>
        <v>42819</v>
      </c>
      <c r="DF1055" s="62">
        <f t="shared" si="5489"/>
        <v>42911</v>
      </c>
      <c r="DG1055" s="64">
        <f t="shared" si="5489"/>
        <v>43003</v>
      </c>
      <c r="DH1055" s="62">
        <f t="shared" si="5489"/>
        <v>43094</v>
      </c>
      <c r="DI1055" s="58" t="str">
        <f>YEAR(DH1055)&amp;IF(YEAR(DH1055)&gt;YEAR(TODAY()),"E",IF(AND(YEAR(DH1055)=YEAR(TODAY()),MONTH(DH1055)&gt;MONTH(TODAY())),"E",IF(AND(YEAR(DH1055)=YEAR(TODAY()),MONTH(DH1055)=MONTH(TODAY()),DAY(DH1055)&lt;30),"E","")))</f>
        <v>2017</v>
      </c>
      <c r="DJ1055" s="64">
        <f t="shared" ref="DJ1055:DM1055" si="5490">DE1055+365</f>
        <v>43184</v>
      </c>
      <c r="DK1055" s="64">
        <f t="shared" si="5490"/>
        <v>43276</v>
      </c>
      <c r="DL1055" s="64">
        <f t="shared" si="5490"/>
        <v>43368</v>
      </c>
      <c r="DM1055" s="62">
        <f t="shared" si="5490"/>
        <v>43459</v>
      </c>
      <c r="DN1055" s="58" t="str">
        <f>YEAR(DM1055)&amp;IF(YEAR(DM1055)&gt;YEAR(TODAY()),"E",IF(AND(YEAR(DM1055)=YEAR(TODAY()),MONTH(DM1055)&gt;MONTH(TODAY())),"E",IF(AND(YEAR(DM1055)=YEAR(TODAY()),MONTH(DM1055)=MONTH(TODAY()),DAY(DM1055)&lt;30),"E","")))</f>
        <v>2018</v>
      </c>
      <c r="DO1055" s="62">
        <f t="shared" ref="DO1055:DR1055" si="5491">DJ1055+365</f>
        <v>43549</v>
      </c>
      <c r="DP1055" s="62">
        <f t="shared" si="5491"/>
        <v>43641</v>
      </c>
      <c r="DQ1055" s="62">
        <f t="shared" si="5491"/>
        <v>43733</v>
      </c>
      <c r="DR1055" s="62">
        <f t="shared" si="5491"/>
        <v>43824</v>
      </c>
      <c r="DS1055" s="58" t="str">
        <f>YEAR(DR1055)&amp;IF(YEAR(DR1055)&gt;YEAR(TODAY()),"E",IF(AND(YEAR(DR1055)=YEAR(TODAY()),MONTH(DR1055)&gt;MONTH(TODAY())),"E",IF(AND(YEAR(DR1055)=YEAR(TODAY()),MONTH(DR1055)=MONTH(TODAY()),DAY(DR1055)&lt;30),"E","")))</f>
        <v>2019</v>
      </c>
      <c r="DT1055" s="62">
        <f t="shared" ref="DT1055:DW1055" si="5492">DO1055+365</f>
        <v>43914</v>
      </c>
      <c r="DU1055" s="62">
        <f t="shared" si="5492"/>
        <v>44006</v>
      </c>
      <c r="DV1055" s="62">
        <f t="shared" si="5492"/>
        <v>44098</v>
      </c>
      <c r="DW1055" s="62">
        <f t="shared" si="5492"/>
        <v>44189</v>
      </c>
      <c r="DX1055" s="58" t="str">
        <f>YEAR(DW1055)&amp;IF(YEAR(DW1055)&gt;YEAR(TODAY()),"E",IF(AND(YEAR(DW1055)=YEAR(TODAY()),MONTH(DW1055)&gt;MONTH(TODAY())),"E",IF(AND(YEAR(DW1055)=YEAR(TODAY()),MONTH(DW1055)=MONTH(TODAY()),DAY(DW1055)&lt;30),"E","")))</f>
        <v>2020</v>
      </c>
      <c r="DY1055" s="62">
        <f t="shared" ref="DY1055:EB1055" si="5493">DT1055+365</f>
        <v>44279</v>
      </c>
      <c r="DZ1055" s="62">
        <f t="shared" si="5493"/>
        <v>44371</v>
      </c>
      <c r="EA1055" s="62">
        <f t="shared" si="5493"/>
        <v>44463</v>
      </c>
      <c r="EB1055" s="62">
        <f t="shared" si="5493"/>
        <v>44554</v>
      </c>
      <c r="EC1055" s="58" t="str">
        <f>YEAR(EB1055)&amp;IF(YEAR(EB1055)&gt;YEAR(TODAY()),"E",IF(AND(YEAR(EB1055)=YEAR(TODAY()),MONTH(EB1055)&gt;MONTH(TODAY())),"E",IF(AND(YEAR(EB1055)=YEAR(TODAY()),MONTH(EB1055)=MONTH(TODAY()),DAY(EB1055)&lt;30),"E","")))</f>
        <v>2021</v>
      </c>
      <c r="ED1055" s="62">
        <f t="shared" ref="ED1055:EG1055" si="5494">DY1055+365</f>
        <v>44644</v>
      </c>
      <c r="EE1055" s="62">
        <f t="shared" si="5494"/>
        <v>44736</v>
      </c>
      <c r="EF1055" s="62">
        <f t="shared" si="5494"/>
        <v>44828</v>
      </c>
      <c r="EG1055" s="62">
        <f t="shared" si="5494"/>
        <v>44919</v>
      </c>
      <c r="EH1055" s="58" t="str">
        <f>YEAR(EG1055)&amp;IF(YEAR(EG1055)&gt;YEAR(TODAY()),"E",IF(AND(YEAR(EG1055)=YEAR(TODAY()),MONTH(EG1055)&gt;MONTH(TODAY())),"E",IF(AND(YEAR(EG1055)=YEAR(TODAY()),MONTH(EG1055)=MONTH(TODAY()),DAY(EG1055)&lt;30),"E","")))</f>
        <v>2022</v>
      </c>
      <c r="EI1055" s="65">
        <f t="shared" ref="EI1055:EL1055" si="5495">ED1055+365</f>
        <v>45009</v>
      </c>
      <c r="EJ1055" s="62">
        <f t="shared" si="5495"/>
        <v>45101</v>
      </c>
      <c r="EK1055" s="62">
        <f t="shared" si="5495"/>
        <v>45193</v>
      </c>
      <c r="EL1055" s="62">
        <f t="shared" si="5495"/>
        <v>45284</v>
      </c>
      <c r="EM1055" s="58" t="str">
        <f>YEAR(EL1055)&amp;IF(YEAR(EL1055)&gt;YEAR(TODAY()),"E",IF(AND(YEAR(EL1055)=YEAR(TODAY()),MONTH(EL1055)&gt;MONTH(TODAY())),"E",IF(AND(YEAR(EL1055)=YEAR(TODAY()),MONTH(EL1055)=MONTH(TODAY()),DAY(EL1055)&lt;30),"E","")))</f>
        <v>2023</v>
      </c>
      <c r="EN1055" s="62">
        <f t="shared" ref="EN1055:EQ1055" si="5496">EI1055+365</f>
        <v>45374</v>
      </c>
      <c r="EO1055" s="62">
        <f t="shared" si="5496"/>
        <v>45466</v>
      </c>
      <c r="EP1055" s="62">
        <f t="shared" si="5496"/>
        <v>45558</v>
      </c>
      <c r="EQ1055" s="62">
        <f t="shared" si="5496"/>
        <v>45649</v>
      </c>
      <c r="ER1055" s="58" t="str">
        <f>YEAR(EQ1055)&amp;IF(YEAR(EQ1055)&gt;YEAR(TODAY()),"E",IF(AND(YEAR(EQ1055)=YEAR(TODAY()),MONTH(EQ1055)&gt;MONTH(TODAY())),"E",IF(AND(YEAR(EQ1055)=YEAR(TODAY()),MONTH(EQ1055)=MONTH(TODAY()),DAY(EQ1055)&lt;30),"E","")))</f>
        <v>2024</v>
      </c>
      <c r="ES1055" s="62">
        <f t="shared" ref="ES1055:EV1055" si="5497">EN1055+365</f>
        <v>45739</v>
      </c>
      <c r="ET1055" s="62">
        <f t="shared" si="5497"/>
        <v>45831</v>
      </c>
      <c r="EU1055" s="62">
        <f t="shared" si="5497"/>
        <v>45923</v>
      </c>
      <c r="EV1055" s="62">
        <f t="shared" si="5497"/>
        <v>46014</v>
      </c>
      <c r="EW1055" s="58" t="str">
        <f>YEAR(EV1055)&amp;IF(YEAR(EV1055)&gt;YEAR(TODAY()),"E",IF(AND(YEAR(EV1055)=YEAR(TODAY()),MONTH(EV1055)&gt;MONTH(TODAY())),"E",IF(AND(YEAR(EV1055)=YEAR(TODAY()),MONTH(EV1055)=MONTH(TODAY()),DAY(EV1055)&lt;30),"E","")))</f>
        <v>2025</v>
      </c>
      <c r="EX1055" s="62">
        <f t="shared" ref="EX1055:FA1055" si="5498">ES1055+365</f>
        <v>46104</v>
      </c>
      <c r="EY1055" s="62">
        <f t="shared" si="5498"/>
        <v>46196</v>
      </c>
      <c r="EZ1055" s="62">
        <f t="shared" si="5498"/>
        <v>46288</v>
      </c>
      <c r="FA1055" s="62">
        <f t="shared" si="5498"/>
        <v>46379</v>
      </c>
      <c r="FB1055" s="58" t="str">
        <f>YEAR(FA1055)&amp;IF(YEAR(FA1055)&gt;YEAR(TODAY()),"E",IF(AND(YEAR(FA1055)=YEAR(TODAY()),MONTH(FA1055)&gt;MONTH(TODAY())),"E",IF(AND(YEAR(FA1055)=YEAR(TODAY()),MONTH(FA1055)=MONTH(TODAY()),DAY(FA1055)&lt;30),"E","")))</f>
        <v>2026E</v>
      </c>
      <c r="FC1055" s="62">
        <f t="shared" ref="FC1055:FF1055" si="5499">EX1055+365</f>
        <v>46469</v>
      </c>
      <c r="FD1055" s="62">
        <f t="shared" si="5499"/>
        <v>46561</v>
      </c>
      <c r="FE1055" s="62">
        <f t="shared" si="5499"/>
        <v>46653</v>
      </c>
      <c r="FF1055" s="62">
        <f t="shared" si="5499"/>
        <v>46744</v>
      </c>
      <c r="FG1055" s="58" t="str">
        <f>YEAR(FF1055)&amp;IF(YEAR(FF1055)&gt;YEAR(TODAY()),"E",IF(AND(YEAR(FF1055)=YEAR(TODAY()),MONTH(FF1055)&gt;MONTH(TODAY())),"E",IF(AND(YEAR(FF1055)=YEAR(TODAY()),MONTH(FF1055)=MONTH(TODAY()),DAY(FF1055)&lt;30),"E","")))</f>
        <v>2027E</v>
      </c>
      <c r="FH1055" s="60"/>
      <c r="FI1055" s="62"/>
      <c r="FJ1055" s="62"/>
      <c r="FK1055" s="57"/>
      <c r="FL1055" s="62"/>
    </row>
    <row r="1056" ht="12.75" hidden="1" customHeight="1" outlineLevel="1">
      <c r="A1056" s="66"/>
      <c r="B1056" s="66"/>
      <c r="C1056" s="66"/>
      <c r="D1056" s="67" t="str">
        <f>"Q1"&amp;IF(YEAR(1055:1055)&gt;YEAR(TODAY()),"E",IF(AND(YEAR(1055:1055)=YEAR(TODAY()),MONTH(1055:1055)&gt;MONTH(TODAY())),"E",IF(AND(YEAR(1055:1055)=YEAR(TODAY()),MONTH(1055:1055)=MONTH(TODAY()),DAY(1055:1055)&lt;30),"E","A")))</f>
        <v>Q1A</v>
      </c>
      <c r="E1056" s="67" t="str">
        <f>"Q2"&amp;IF(YEAR(1055:1055)&gt;YEAR(TODAY()),"E",IF(AND(YEAR(1055:1055)=YEAR(TODAY()),MONTH(1055:1055)&gt;MONTH(TODAY())),"E",IF(AND(YEAR(1055:1055)=YEAR(TODAY()),MONTH(1055:1055)=MONTH(TODAY()),DAY(1055:1055)&lt;30),"E","A")))</f>
        <v>Q2A</v>
      </c>
      <c r="F1056" s="67" t="str">
        <f>"Q3"&amp;IF(YEAR(1055:1055)&gt;YEAR(TODAY()),"E",IF(AND(YEAR(1055:1055)=YEAR(TODAY()),MONTH(1055:1055)&gt;MONTH(TODAY())),"E",IF(AND(YEAR(1055:1055)=YEAR(TODAY()),MONTH(1055:1055)=MONTH(TODAY()),DAY(1055:1055)&lt;30),"E","A")))</f>
        <v>Q3A</v>
      </c>
      <c r="G1056" s="67" t="str">
        <f>"Q4"&amp;IF(YEAR(1055:1055)&gt;YEAR(TODAY()),"E",IF(AND(YEAR(1055:1055)=YEAR(TODAY()),MONTH(1055:1055)&gt;MONTH(TODAY())),"E",IF(AND(YEAR(1055:1055)=YEAR(TODAY()),MONTH(1055:1055)=MONTH(TODAY()),DAY(1055:1055)&lt;30),"E","A")))</f>
        <v>Q4A</v>
      </c>
      <c r="H1056" s="57"/>
      <c r="I1056" s="67" t="str">
        <f>"Q1"&amp;IF(YEAR(1055:1055)&gt;YEAR(TODAY()),"E",IF(AND(YEAR(1055:1055)=YEAR(TODAY()),MONTH(1055:1055)&gt;MONTH(TODAY())),"E",IF(AND(YEAR(1055:1055)=YEAR(TODAY()),MONTH(1055:1055)=MONTH(TODAY()),DAY(1055:1055)&lt;30),"E","A")))</f>
        <v>Q1A</v>
      </c>
      <c r="J1056" s="67" t="str">
        <f>"Q2"&amp;IF(YEAR(1055:1055)&gt;YEAR(TODAY()),"E",IF(AND(YEAR(1055:1055)=YEAR(TODAY()),MONTH(1055:1055)&gt;MONTH(TODAY())),"E",IF(AND(YEAR(1055:1055)=YEAR(TODAY()),MONTH(1055:1055)=MONTH(TODAY()),DAY(1055:1055)&lt;30),"E","A")))</f>
        <v>Q2A</v>
      </c>
      <c r="K1056" s="67" t="str">
        <f>"Q3"&amp;IF(YEAR(1055:1055)&gt;YEAR(TODAY()),"E",IF(AND(YEAR(1055:1055)=YEAR(TODAY()),MONTH(1055:1055)&gt;MONTH(TODAY())),"E",IF(AND(YEAR(1055:1055)=YEAR(TODAY()),MONTH(1055:1055)=MONTH(TODAY()),DAY(1055:1055)&lt;30),"E","A")))</f>
        <v>Q3A</v>
      </c>
      <c r="L1056" s="67" t="str">
        <f>"Q4"&amp;IF(YEAR(1055:1055)&gt;YEAR(TODAY()),"E",IF(AND(YEAR(1055:1055)=YEAR(TODAY()),MONTH(1055:1055)&gt;MONTH(TODAY())),"E",IF(AND(YEAR(1055:1055)=YEAR(TODAY()),MONTH(1055:1055)=MONTH(TODAY()),DAY(1055:1055)&lt;30),"E","A")))</f>
        <v>Q4A</v>
      </c>
      <c r="M1056" s="57"/>
      <c r="N1056" s="67" t="str">
        <f>"Q1"&amp;IF(YEAR(1055:1055)&gt;YEAR(TODAY()),"E",IF(AND(YEAR(1055:1055)=YEAR(TODAY()),MONTH(1055:1055)&gt;MONTH(TODAY())),"E",IF(AND(YEAR(1055:1055)=YEAR(TODAY()),MONTH(1055:1055)=MONTH(TODAY()),DAY(1055:1055)&lt;30),"E","A")))</f>
        <v>Q1A</v>
      </c>
      <c r="O1056" s="67" t="str">
        <f>"Q2"&amp;IF(YEAR(1055:1055)&gt;YEAR(TODAY()),"E",IF(AND(YEAR(1055:1055)=YEAR(TODAY()),MONTH(1055:1055)&gt;MONTH(TODAY())),"E",IF(AND(YEAR(1055:1055)=YEAR(TODAY()),MONTH(1055:1055)=MONTH(TODAY()),DAY(1055:1055)&lt;30),"E","A")))</f>
        <v>Q2A</v>
      </c>
      <c r="P1056" s="67" t="str">
        <f>"Q3"&amp;IF(YEAR(1055:1055)&gt;YEAR(TODAY()),"E",IF(AND(YEAR(1055:1055)=YEAR(TODAY()),MONTH(1055:1055)&gt;MONTH(TODAY())),"E",IF(AND(YEAR(1055:1055)=YEAR(TODAY()),MONTH(1055:1055)=MONTH(TODAY()),DAY(1055:1055)&lt;30),"E","A")))</f>
        <v>Q3A</v>
      </c>
      <c r="Q1056" s="67" t="str">
        <f>"Q4"&amp;IF(YEAR(1055:1055)&gt;YEAR(TODAY()),"E",IF(AND(YEAR(1055:1055)=YEAR(TODAY()),MONTH(1055:1055)&gt;MONTH(TODAY())),"E",IF(AND(YEAR(1055:1055)=YEAR(TODAY()),MONTH(1055:1055)=MONTH(TODAY()),DAY(1055:1055)&lt;30),"E","A")))</f>
        <v>Q4A</v>
      </c>
      <c r="R1056" s="57"/>
      <c r="S1056" s="67" t="str">
        <f>"Q1"&amp;IF(YEAR(1055:1055)&gt;YEAR(TODAY()),"E",IF(AND(YEAR(1055:1055)=YEAR(TODAY()),MONTH(1055:1055)&gt;MONTH(TODAY())),"E",IF(AND(YEAR(1055:1055)=YEAR(TODAY()),MONTH(1055:1055)=MONTH(TODAY()),DAY(1055:1055)&lt;30),"E","A")))</f>
        <v>Q1A</v>
      </c>
      <c r="T1056" s="67" t="str">
        <f>"Q2"&amp;IF(YEAR(1055:1055)&gt;YEAR(TODAY()),"E",IF(AND(YEAR(1055:1055)=YEAR(TODAY()),MONTH(1055:1055)&gt;MONTH(TODAY())),"E",IF(AND(YEAR(1055:1055)=YEAR(TODAY()),MONTH(1055:1055)=MONTH(TODAY()),DAY(1055:1055)&lt;30),"E","A")))</f>
        <v>Q2A</v>
      </c>
      <c r="U1056" s="67" t="str">
        <f>"Q3"&amp;IF(YEAR(1055:1055)&gt;YEAR(TODAY()),"E",IF(AND(YEAR(1055:1055)=YEAR(TODAY()),MONTH(1055:1055)&gt;MONTH(TODAY())),"E",IF(AND(YEAR(1055:1055)=YEAR(TODAY()),MONTH(1055:1055)=MONTH(TODAY()),DAY(1055:1055)&lt;30),"E","A")))</f>
        <v>Q3A</v>
      </c>
      <c r="V1056" s="67" t="str">
        <f>"Q4"&amp;IF(YEAR(1055:1055)&gt;YEAR(TODAY()),"E",IF(AND(YEAR(1055:1055)=YEAR(TODAY()),MONTH(1055:1055)&gt;MONTH(TODAY())),"E",IF(AND(YEAR(1055:1055)=YEAR(TODAY()),MONTH(1055:1055)=MONTH(TODAY()),DAY(1055:1055)&lt;30),"E","A")))</f>
        <v>Q4A</v>
      </c>
      <c r="W1056" s="57"/>
      <c r="X1056" s="67" t="str">
        <f>"Q1"&amp;IF(YEAR(1055:1055)&gt;YEAR(TODAY()),"E",IF(AND(YEAR(1055:1055)=YEAR(TODAY()),MONTH(1055:1055)&gt;MONTH(TODAY())),"E",IF(AND(YEAR(1055:1055)=YEAR(TODAY()),MONTH(1055:1055)=MONTH(TODAY()),DAY(1055:1055)&lt;30),"E","A")))</f>
        <v>Q1A</v>
      </c>
      <c r="Y1056" s="67" t="str">
        <f>"Q2"&amp;IF(YEAR(1055:1055)&gt;YEAR(TODAY()),"E",IF(AND(YEAR(1055:1055)=YEAR(TODAY()),MONTH(1055:1055)&gt;MONTH(TODAY())),"E",IF(AND(YEAR(1055:1055)=YEAR(TODAY()),MONTH(1055:1055)=MONTH(TODAY()),DAY(1055:1055)&lt;30),"E","A")))</f>
        <v>Q2A</v>
      </c>
      <c r="Z1056" s="67" t="str">
        <f>"Q3"&amp;IF(YEAR(1055:1055)&gt;YEAR(TODAY()),"E",IF(AND(YEAR(1055:1055)=YEAR(TODAY()),MONTH(1055:1055)&gt;MONTH(TODAY())),"E",IF(AND(YEAR(1055:1055)=YEAR(TODAY()),MONTH(1055:1055)=MONTH(TODAY()),DAY(1055:1055)&lt;30),"E","A")))</f>
        <v>Q3A</v>
      </c>
      <c r="AA1056" s="67" t="str">
        <f>"Q4"&amp;IF(YEAR(1055:1055)&gt;YEAR(TODAY()),"E",IF(AND(YEAR(1055:1055)=YEAR(TODAY()),MONTH(1055:1055)&gt;MONTH(TODAY())),"E",IF(AND(YEAR(1055:1055)=YEAR(TODAY()),MONTH(1055:1055)=MONTH(TODAY()),DAY(1055:1055)&lt;30),"E","A")))</f>
        <v>Q4A</v>
      </c>
      <c r="AB1056" s="57"/>
      <c r="AC1056" s="67" t="str">
        <f>"Q1"&amp;IF(YEAR(1055:1055)&gt;YEAR(TODAY()),"E",IF(AND(YEAR(1055:1055)=YEAR(TODAY()),MONTH(1055:1055)&gt;MONTH(TODAY())),"E",IF(AND(YEAR(1055:1055)=YEAR(TODAY()),MONTH(1055:1055)=MONTH(TODAY()),DAY(1055:1055)&lt;30),"E","A")))</f>
        <v>Q1A</v>
      </c>
      <c r="AD1056" s="67" t="str">
        <f>"Q2"&amp;IF(YEAR(1055:1055)&gt;YEAR(TODAY()),"E",IF(AND(YEAR(1055:1055)=YEAR(TODAY()),MONTH(1055:1055)&gt;MONTH(TODAY())),"E",IF(AND(YEAR(1055:1055)=YEAR(TODAY()),MONTH(1055:1055)=MONTH(TODAY()),DAY(1055:1055)&lt;30),"E","A")))</f>
        <v>Q2A</v>
      </c>
      <c r="AE1056" s="67" t="str">
        <f>"Q3"&amp;IF(YEAR(1055:1055)&gt;YEAR(TODAY()),"E",IF(AND(YEAR(1055:1055)=YEAR(TODAY()),MONTH(1055:1055)&gt;MONTH(TODAY())),"E",IF(AND(YEAR(1055:1055)=YEAR(TODAY()),MONTH(1055:1055)=MONTH(TODAY()),DAY(1055:1055)&lt;30),"E","A")))</f>
        <v>Q3A</v>
      </c>
      <c r="AF1056" s="67" t="str">
        <f>"Q4"&amp;IF(YEAR(1055:1055)&gt;YEAR(TODAY()),"E",IF(AND(YEAR(1055:1055)=YEAR(TODAY()),MONTH(1055:1055)&gt;MONTH(TODAY())),"E",IF(AND(YEAR(1055:1055)=YEAR(TODAY()),MONTH(1055:1055)=MONTH(TODAY()),DAY(1055:1055)&lt;30),"E","A")))</f>
        <v>Q4A</v>
      </c>
      <c r="AG1056" s="57"/>
      <c r="AH1056" s="67" t="str">
        <f>"Q1"&amp;IF(YEAR(1055:1055)&gt;YEAR(TODAY()),"E",IF(AND(YEAR(1055:1055)=YEAR(TODAY()),MONTH(1055:1055)&gt;MONTH(TODAY())),"E",IF(AND(YEAR(1055:1055)=YEAR(TODAY()),MONTH(1055:1055)=MONTH(TODAY()),DAY(1055:1055)&lt;30),"E","A")))</f>
        <v>Q1A</v>
      </c>
      <c r="AI1056" s="67" t="str">
        <f>"Q2"&amp;IF(YEAR(1055:1055)&gt;YEAR(TODAY()),"E",IF(AND(YEAR(1055:1055)=YEAR(TODAY()),MONTH(1055:1055)&gt;MONTH(TODAY())),"E",IF(AND(YEAR(1055:1055)=YEAR(TODAY()),MONTH(1055:1055)=MONTH(TODAY()),DAY(1055:1055)&lt;30),"E","A")))</f>
        <v>Q2A</v>
      </c>
      <c r="AJ1056" s="67" t="str">
        <f>"Q3"&amp;IF(YEAR(1055:1055)&gt;YEAR(TODAY()),"E",IF(AND(YEAR(1055:1055)=YEAR(TODAY()),MONTH(1055:1055)&gt;MONTH(TODAY())),"E",IF(AND(YEAR(1055:1055)=YEAR(TODAY()),MONTH(1055:1055)=MONTH(TODAY()),DAY(1055:1055)&lt;30),"E","A")))</f>
        <v>Q3A</v>
      </c>
      <c r="AK1056" s="67" t="str">
        <f>"Q4"&amp;IF(YEAR(1055:1055)&gt;YEAR(TODAY()),"E",IF(AND(YEAR(1055:1055)=YEAR(TODAY()),MONTH(1055:1055)&gt;MONTH(TODAY())),"E",IF(AND(YEAR(1055:1055)=YEAR(TODAY()),MONTH(1055:1055)=MONTH(TODAY()),DAY(1055:1055)&lt;30),"E","A")))</f>
        <v>Q4A</v>
      </c>
      <c r="AL1056" s="57"/>
      <c r="AM1056" s="67" t="str">
        <f>"Q1"&amp;IF(YEAR(1055:1055)&gt;YEAR(TODAY()),"E",IF(AND(YEAR(1055:1055)=YEAR(TODAY()),MONTH(1055:1055)&gt;MONTH(TODAY())),"E",IF(AND(YEAR(1055:1055)=YEAR(TODAY()),MONTH(1055:1055)=MONTH(TODAY()),DAY(1055:1055)&lt;30),"A","A")))</f>
        <v>Q1A</v>
      </c>
      <c r="AN1056" s="67" t="str">
        <f>"Q2"&amp;IF(YEAR(1055:1055)&gt;YEAR(TODAY()),"E",IF(AND(YEAR(1055:1055)=YEAR(TODAY()),MONTH(1055:1055)&gt;MONTH(TODAY())),"E",IF(AND(YEAR(1055:1055)=YEAR(TODAY()),MONTH(1055:1055)=MONTH(TODAY()),DAY(1055:1055)&lt;30),"E","A")))</f>
        <v>Q2A</v>
      </c>
      <c r="AO1056" s="67" t="str">
        <f>"Q3"&amp;IF(YEAR(1055:1055)&gt;YEAR(TODAY()),"E",IF(AND(YEAR(1055:1055)=YEAR(TODAY()),MONTH(1055:1055)&gt;MONTH(TODAY())),"E",IF(AND(YEAR(1055:1055)=YEAR(TODAY()),MONTH(1055:1055)=MONTH(TODAY()),DAY(1055:1055)&lt;30),"E","A")))</f>
        <v>Q3A</v>
      </c>
      <c r="AP1056" s="67" t="str">
        <f>"Q4"&amp;IF(YEAR(1055:1055)&gt;YEAR(TODAY()),"E",IF(AND(YEAR(1055:1055)=YEAR(TODAY()),MONTH(1055:1055)&gt;MONTH(TODAY())),"E",IF(AND(YEAR(1055:1055)=YEAR(TODAY()),MONTH(1055:1055)=MONTH(TODAY()),DAY(1055:1055)&lt;30),"E","A")))</f>
        <v>Q4A</v>
      </c>
      <c r="AQ1056" s="57"/>
      <c r="AR1056" s="67" t="str">
        <f>"Q1"&amp;IF(YEAR(1055:1055)&gt;YEAR(TODAY()),"E",IF(AND(YEAR(1055:1055)=YEAR(TODAY()),MONTH(1055:1055)&gt;MONTH(TODAY())),"E",IF(AND(YEAR(1055:1055)=YEAR(TODAY()),MONTH(1055:1055)=MONTH(TODAY()),DAY(1055:1055)&lt;30),"E","A")))</f>
        <v>Q1A</v>
      </c>
      <c r="AS1056" s="67" t="str">
        <f>"Q2"&amp;IF(YEAR(1055:1055)&gt;YEAR(TODAY()),"E",IF(AND(YEAR(1055:1055)=YEAR(TODAY()),MONTH(1055:1055)&gt;MONTH(TODAY())),"E",IF(AND(YEAR(1055:1055)=YEAR(TODAY()),MONTH(1055:1055)=MONTH(TODAY()),DAY(1055:1055)&lt;30),"E","A")))</f>
        <v>Q2A</v>
      </c>
      <c r="AT1056" s="67" t="str">
        <f>"Q3"&amp;IF(YEAR(1055:1055)&gt;YEAR(TODAY()),"E",IF(AND(YEAR(1055:1055)=YEAR(TODAY()),MONTH(1055:1055)&gt;MONTH(TODAY())),"E",IF(AND(YEAR(1055:1055)=YEAR(TODAY()),MONTH(1055:1055)=MONTH(TODAY()),DAY(1055:1055)&lt;30),"E","A")))</f>
        <v>Q3A</v>
      </c>
      <c r="AU1056" s="67" t="str">
        <f>"Q4"&amp;IF(YEAR(1055:1055)&gt;YEAR(TODAY()),"E",IF(AND(YEAR(1055:1055)=YEAR(TODAY()),MONTH(1055:1055)&gt;MONTH(TODAY())),"E",IF(AND(YEAR(1055:1055)=YEAR(TODAY()),MONTH(1055:1055)=MONTH(TODAY()),DAY(1055:1055)&lt;30),"E","A")))</f>
        <v>Q4A</v>
      </c>
      <c r="AV1056" s="57"/>
      <c r="AW1056" s="67" t="str">
        <f>"Q1"&amp;IF(YEAR(1055:1055)&gt;YEAR(TODAY()),"E",IF(AND(YEAR(1055:1055)=YEAR(TODAY()),MONTH(1055:1055)&gt;MONTH(TODAY())),"E",IF(AND(YEAR(1055:1055)=YEAR(TODAY()),MONTH(1055:1055)=MONTH(TODAY()),DAY(1055:1055)&lt;30),"E","A")))</f>
        <v>Q1A</v>
      </c>
      <c r="AX1056" s="67" t="str">
        <f>"Q2"&amp;IF(YEAR(1055:1055)&gt;YEAR(TODAY()),"E",IF(AND(YEAR(1055:1055)=YEAR(TODAY()),MONTH(1055:1055)&gt;MONTH(TODAY())),"E",IF(AND(YEAR(1055:1055)=YEAR(TODAY()),MONTH(1055:1055)=MONTH(TODAY()),DAY(1055:1055)&lt;30),"E","A")))</f>
        <v>Q2A</v>
      </c>
      <c r="AY1056" s="67" t="str">
        <f>"Q3"&amp;IF(YEAR(1055:1055)&gt;YEAR(TODAY()),"E",IF(AND(YEAR(1055:1055)=YEAR(TODAY()),MONTH(1055:1055)&gt;MONTH(TODAY())),"E",IF(AND(YEAR(1055:1055)=YEAR(TODAY()),MONTH(1055:1055)=MONTH(TODAY()),DAY(1055:1055)&lt;30),"E","A")))</f>
        <v>Q3A</v>
      </c>
      <c r="AZ1056" s="67" t="str">
        <f>"Q4"&amp;IF(YEAR(1055:1055)&gt;YEAR(TODAY()),"E",IF(AND(YEAR(1055:1055)=YEAR(TODAY()),MONTH(1055:1055)&gt;MONTH(TODAY())),"E",IF(AND(YEAR(1055:1055)=YEAR(TODAY()),MONTH(1055:1055)=MONTH(TODAY()),DAY(1055:1055)&lt;30),"E","A")))</f>
        <v>Q4A</v>
      </c>
      <c r="BA1056" s="57"/>
      <c r="BB1056" s="67" t="str">
        <f>"Q1"&amp;IF(YEAR(1055:1055)&gt;YEAR(TODAY()),"E",IF(AND(YEAR(1055:1055)=YEAR(TODAY()),MONTH(1055:1055)&gt;MONTH(TODAY())),"E",IF(AND(YEAR(1055:1055)=YEAR(TODAY()),MONTH(1055:1055)=MONTH(TODAY()),DAY(1055:1055)&lt;30),"E","A")))</f>
        <v>Q1A</v>
      </c>
      <c r="BC1056" s="67" t="str">
        <f>"Q2"&amp;IF(YEAR(1055:1055)&gt;YEAR(TODAY()),"E",IF(AND(YEAR(1055:1055)=YEAR(TODAY()),MONTH(1055:1055)&gt;MONTH(TODAY())),"E",IF(AND(YEAR(1055:1055)=YEAR(TODAY()),MONTH(1055:1055)=MONTH(TODAY()),DAY(1055:1055)&lt;30),"E","A")))</f>
        <v>Q2A</v>
      </c>
      <c r="BD1056" s="67" t="str">
        <f>"Q3"&amp;IF(YEAR(1055:1055)&gt;YEAR(TODAY()),"E",IF(AND(YEAR(1055:1055)=YEAR(TODAY()),MONTH(1055:1055)&gt;MONTH(TODAY())),"E",IF(AND(YEAR(1055:1055)=YEAR(TODAY()),MONTH(1055:1055)=MONTH(TODAY()),DAY(1055:1055)&lt;30),"E","A")))</f>
        <v>Q3A</v>
      </c>
      <c r="BE1056" s="67" t="str">
        <f>"Q4"&amp;IF(YEAR(1055:1055)&gt;YEAR(TODAY()),"E",IF(AND(YEAR(1055:1055)=YEAR(TODAY()),MONTH(1055:1055)&gt;MONTH(TODAY())),"E",IF(AND(YEAR(1055:1055)=YEAR(TODAY()),MONTH(1055:1055)=MONTH(TODAY()),DAY(1055:1055)&lt;30),"E","A")))</f>
        <v>Q4A</v>
      </c>
      <c r="BF1056" s="57"/>
      <c r="BG1056" s="67" t="str">
        <f>"Q1"&amp;IF(YEAR(1055:1055)&gt;YEAR(TODAY()),"E",IF(AND(YEAR(1055:1055)=YEAR(TODAY()),MONTH(1055:1055)&gt;MONTH(TODAY())),"E",IF(AND(YEAR(1055:1055)=YEAR(TODAY()),MONTH(1055:1055)=MONTH(TODAY()),DAY(1055:1055)&lt;30),"E","A")))</f>
        <v>Q1A</v>
      </c>
      <c r="BH1056" s="67" t="str">
        <f>"Q2"&amp;IF(YEAR(1055:1055)&gt;YEAR(TODAY()),"E",IF(AND(YEAR(1055:1055)=YEAR(TODAY()),MONTH(1055:1055)&gt;MONTH(TODAY())),"E",IF(AND(YEAR(1055:1055)=YEAR(TODAY()),MONTH(1055:1055)=MONTH(TODAY()),DAY(1055:1055)&lt;30),"E","A")))</f>
        <v>Q2A</v>
      </c>
      <c r="BI1056" s="67" t="str">
        <f>"Q3"&amp;IF(YEAR(1055:1055)&gt;YEAR(TODAY()),"E",IF(AND(YEAR(1055:1055)=YEAR(TODAY()),MONTH(1055:1055)&gt;MONTH(TODAY())),"E",IF(AND(YEAR(1055:1055)=YEAR(TODAY()),MONTH(1055:1055)=MONTH(TODAY()),DAY(1055:1055)&lt;30),"E","A")))</f>
        <v>Q3A</v>
      </c>
      <c r="BJ1056" s="67" t="str">
        <f>"Q4"&amp;IF(YEAR(1055:1055)&gt;YEAR(TODAY()),"E",IF(AND(YEAR(1055:1055)=YEAR(TODAY()),MONTH(1055:1055)&gt;MONTH(TODAY())),"E",IF(AND(YEAR(1055:1055)=YEAR(TODAY()),MONTH(1055:1055)=MONTH(TODAY()),DAY(1055:1055)&lt;30),"E","A")))</f>
        <v>Q4A</v>
      </c>
      <c r="BK1056" s="57"/>
      <c r="BL1056" s="67" t="str">
        <f>"Q1"&amp;IF(YEAR(1055:1055)&gt;YEAR(TODAY()),"E",IF(AND(YEAR(1055:1055)=YEAR(TODAY()),MONTH(1055:1055)&gt;MONTH(TODAY())),"E",IF(AND(YEAR(1055:1055)=YEAR(TODAY()),MONTH(1055:1055)=MONTH(TODAY()),DAY(1055:1055)&lt;30),"E","A")))</f>
        <v>Q1A</v>
      </c>
      <c r="BM1056" s="67" t="str">
        <f>"Q2"&amp;IF(YEAR(1055:1055)&gt;YEAR(TODAY()),"E",IF(AND(YEAR(1055:1055)=YEAR(TODAY()),MONTH(1055:1055)&gt;MONTH(TODAY())),"E",IF(AND(YEAR(1055:1055)=YEAR(TODAY()),MONTH(1055:1055)=MONTH(TODAY()),DAY(1055:1055)&lt;30),"E","A")))</f>
        <v>Q2A</v>
      </c>
      <c r="BN1056" s="67" t="str">
        <f>"Q3"&amp;IF(YEAR(1055:1055)&gt;YEAR(TODAY()),"E",IF(AND(YEAR(1055:1055)=YEAR(TODAY()),MONTH(1055:1055)&gt;MONTH(TODAY())),"E",IF(AND(YEAR(1055:1055)=YEAR(TODAY()),MONTH(1055:1055)=MONTH(TODAY()),DAY(1055:1055)&lt;30),"E","A")))</f>
        <v>Q3A</v>
      </c>
      <c r="BO1056" s="67" t="str">
        <f>"Q4"&amp;IF(YEAR(1055:1055)&gt;YEAR(TODAY()),"E",IF(AND(YEAR(1055:1055)=YEAR(TODAY()),MONTH(1055:1055)&gt;MONTH(TODAY())),"E",IF(AND(YEAR(1055:1055)=YEAR(TODAY()),MONTH(1055:1055)=MONTH(TODAY()),DAY(1055:1055)&lt;30),"E","A")))</f>
        <v>Q4A</v>
      </c>
      <c r="BP1056" s="57"/>
      <c r="BQ1056" s="67" t="str">
        <f>"Q1"&amp;IF(YEAR(1055:1055)&gt;YEAR(TODAY()),"E",IF(AND(YEAR(1055:1055)=YEAR(TODAY()),MONTH(1055:1055)&gt;MONTH(TODAY())),"E",IF(AND(YEAR(1055:1055)=YEAR(TODAY()),MONTH(1055:1055)=MONTH(TODAY()),DAY(1055:1055)&lt;30),"E","A")))</f>
        <v>Q1A</v>
      </c>
      <c r="BR1056" s="67" t="str">
        <f>"Q2"&amp;IF(YEAR(1055:1055)&gt;YEAR(TODAY()),"E",IF(AND(YEAR(1055:1055)=YEAR(TODAY()),MONTH(1055:1055)&gt;MONTH(TODAY())),"E",IF(AND(YEAR(1055:1055)=YEAR(TODAY()),MONTH(1055:1055)=MONTH(TODAY()),DAY(1055:1055)&lt;30),"E","A")))</f>
        <v>Q2A</v>
      </c>
      <c r="BS1056" s="67" t="str">
        <f>"Q3"&amp;IF(YEAR(1055:1055)&gt;YEAR(TODAY()),"E",IF(AND(YEAR(1055:1055)=YEAR(TODAY()),MONTH(1055:1055)&gt;MONTH(TODAY())),"E",IF(AND(YEAR(1055:1055)=YEAR(TODAY()),MONTH(1055:1055)=MONTH(TODAY()),DAY(1055:1055)&lt;30),"E","A")))</f>
        <v>Q3A</v>
      </c>
      <c r="BT1056" s="67" t="str">
        <f>"Q4"&amp;IF(YEAR(1055:1055)&gt;YEAR(TODAY()),"E",IF(AND(YEAR(1055:1055)=YEAR(TODAY()),MONTH(1055:1055)&gt;MONTH(TODAY())),"E",IF(AND(YEAR(1055:1055)=YEAR(TODAY()),MONTH(1055:1055)=MONTH(TODAY()),DAY(1055:1055)&lt;30),"E","A")))</f>
        <v>Q4A</v>
      </c>
      <c r="BU1056" s="57"/>
      <c r="BV1056" s="67" t="str">
        <f>"Q1"&amp;IF(YEAR(1055:1055)&gt;YEAR(TODAY()),"E",IF(AND(YEAR(1055:1055)=YEAR(TODAY()),MONTH(1055:1055)&gt;MONTH(TODAY())),"E",IF(AND(YEAR(1055:1055)=YEAR(TODAY()),MONTH(1055:1055)=MONTH(TODAY()),DAY(1055:1055)&lt;30),"E","A")))</f>
        <v>Q1A</v>
      </c>
      <c r="BW1056" s="67" t="str">
        <f>"Q2"&amp;IF(YEAR(1055:1055)&gt;YEAR(TODAY()),"E",IF(AND(YEAR(1055:1055)=YEAR(TODAY()),MONTH(1055:1055)&gt;MONTH(TODAY())),"E",IF(AND(YEAR(1055:1055)=YEAR(TODAY()),MONTH(1055:1055)=MONTH(TODAY()),DAY(1055:1055)&lt;30),"E","A")))</f>
        <v>Q2A</v>
      </c>
      <c r="BX1056" s="67" t="str">
        <f>"Q3"&amp;IF(YEAR(1055:1055)&gt;YEAR(TODAY()),"E",IF(AND(YEAR(1055:1055)=YEAR(TODAY()),MONTH(1055:1055)&gt;MONTH(TODAY())),"E",IF(AND(YEAR(1055:1055)=YEAR(TODAY()),MONTH(1055:1055)=MONTH(TODAY()),DAY(1055:1055)&lt;30),"E","A")))</f>
        <v>Q3A</v>
      </c>
      <c r="BY1056" s="67" t="str">
        <f>"Q4"&amp;IF(YEAR(1055:1055)&gt;YEAR(TODAY()),"E",IF(AND(YEAR(1055:1055)=YEAR(TODAY()),MONTH(1055:1055)&gt;MONTH(TODAY())),"E",IF(AND(YEAR(1055:1055)=YEAR(TODAY()),MONTH(1055:1055)=MONTH(TODAY()),DAY(1055:1055)&lt;30),"E","A")))</f>
        <v>Q4A</v>
      </c>
      <c r="BZ1056" s="58"/>
      <c r="CA1056" s="67" t="str">
        <f>"Q1"&amp;IF(YEAR(1055:1055)&gt;YEAR(TODAY()),"E",IF(AND(YEAR(1055:1055)=YEAR(TODAY()),MONTH(1055:1055)&gt;MONTH(TODAY())),"E",IF(AND(YEAR(1055:1055)=YEAR(TODAY()),MONTH(1055:1055)=MONTH(TODAY()),DAY(1055:1055)&lt;30),"E","A")))</f>
        <v>Q1A</v>
      </c>
      <c r="CB1056" s="67" t="str">
        <f>"Q2"&amp;IF(YEAR(1055:1055)&gt;YEAR(TODAY()),"E",IF(AND(YEAR(1055:1055)=YEAR(TODAY()),MONTH(1055:1055)&gt;MONTH(TODAY())),"E",IF(AND(YEAR(1055:1055)=YEAR(TODAY()),MONTH(1055:1055)=MONTH(TODAY()),DAY(1055:1055)&lt;30),"E","A")))</f>
        <v>Q2A</v>
      </c>
      <c r="CC1056" s="67" t="str">
        <f>"Q3"&amp;IF(YEAR(1055:1055)&gt;YEAR(TODAY()),"E",IF(AND(YEAR(1055:1055)=YEAR(TODAY()),MONTH(1055:1055)&gt;MONTH(TODAY())),"E",IF(AND(YEAR(1055:1055)=YEAR(TODAY()),MONTH(1055:1055)=MONTH(TODAY()),DAY(1055:1055)&lt;30),"E","A")))</f>
        <v>Q3A</v>
      </c>
      <c r="CD1056" s="67" t="str">
        <f>"Q4"&amp;IF(YEAR(1055:1055)&gt;YEAR(TODAY()),"E",IF(AND(YEAR(1055:1055)=YEAR(TODAY()),MONTH(1055:1055)&gt;MONTH(TODAY())),"E",IF(AND(YEAR(1055:1055)=YEAR(TODAY()),MONTH(1055:1055)=MONTH(TODAY()),DAY(1055:1055)&lt;30),"E","A")))</f>
        <v>Q4A</v>
      </c>
      <c r="CE1056" s="58"/>
      <c r="CF1056" s="67" t="str">
        <f>"Q1"&amp;IF(YEAR(1055:1055)&gt;YEAR(TODAY()),"E",IF(AND(YEAR(1055:1055)=YEAR(TODAY()),MONTH(1055:1055)&gt;MONTH(TODAY())),"E",IF(AND(YEAR(1055:1055)=YEAR(TODAY()),MONTH(1055:1055)=MONTH(TODAY()),DAY(1055:1055)&lt;30),"E","A")))</f>
        <v>Q1A</v>
      </c>
      <c r="CG1056" s="67" t="str">
        <f>"Q2"&amp;IF(YEAR(1055:1055)&gt;YEAR(TODAY()),"E",IF(AND(YEAR(1055:1055)=YEAR(TODAY()),MONTH(1055:1055)&gt;MONTH(TODAY())),"E",IF(AND(YEAR(1055:1055)=YEAR(TODAY()),MONTH(1055:1055)=MONTH(TODAY()),DAY(1055:1055)&lt;30),"E","A")))</f>
        <v>Q2A</v>
      </c>
      <c r="CH1056" s="67" t="str">
        <f>"Q3"&amp;IF(YEAR(1055:1055)&gt;YEAR(TODAY()),"E",IF(AND(YEAR(1055:1055)=YEAR(TODAY()),MONTH(1055:1055)&gt;MONTH(TODAY())),"E",IF(AND(YEAR(1055:1055)=YEAR(TODAY()),MONTH(1055:1055)=MONTH(TODAY()),DAY(1055:1055)&lt;30),"E","A")))</f>
        <v>Q3A</v>
      </c>
      <c r="CI1056" s="67" t="str">
        <f>"Q4"&amp;IF(YEAR(1055:1055)&gt;YEAR(TODAY()),"E",IF(AND(YEAR(1055:1055)=YEAR(TODAY()),MONTH(1055:1055)&gt;MONTH(TODAY())),"E",IF(AND(YEAR(1055:1055)=YEAR(TODAY()),MONTH(1055:1055)=MONTH(TODAY()),DAY(1055:1055)&lt;30),"E","A")))</f>
        <v>Q4A</v>
      </c>
      <c r="CJ1056" s="58"/>
      <c r="CK1056" s="67" t="str">
        <f>"Q1"&amp;IF(YEAR(1055:1055)&gt;YEAR(TODAY()),"E",IF(AND(YEAR(1055:1055)=YEAR(TODAY()),MONTH(1055:1055)&gt;MONTH(TODAY())),"E",IF(AND(YEAR(1055:1055)=YEAR(TODAY()),MONTH(1055:1055)=MONTH(TODAY()),DAY(1055:1055)&lt;30),"E","A")))</f>
        <v>Q1A</v>
      </c>
      <c r="CL1056" s="67" t="str">
        <f>"Q2"&amp;IF(YEAR(1055:1055)&gt;YEAR(TODAY()),"E",IF(AND(YEAR(1055:1055)=YEAR(TODAY()),MONTH(1055:1055)&gt;MONTH(TODAY())),"E",IF(AND(YEAR(1055:1055)=YEAR(TODAY()),MONTH(1055:1055)=MONTH(TODAY()),DAY(1055:1055)&lt;30),"E","A")))</f>
        <v>Q2A</v>
      </c>
      <c r="CM1056" s="67" t="str">
        <f>"Q3"&amp;IF(YEAR(1055:1055)&gt;YEAR(TODAY()),"E",IF(AND(YEAR(1055:1055)=YEAR(TODAY()),MONTH(1055:1055)&gt;MONTH(TODAY())),"E",IF(AND(YEAR(1055:1055)=YEAR(TODAY()),MONTH(1055:1055)=MONTH(TODAY()),DAY(1055:1055)&lt;30),"E","A")))</f>
        <v>Q3A</v>
      </c>
      <c r="CN1056" s="70" t="str">
        <f>"Q4"&amp;IF(YEAR(1055:1055)&gt;YEAR(TODAY()),"E",IF(AND(YEAR(1055:1055)=YEAR(TODAY()),MONTH(1055:1055)&gt;MONTH(TODAY())),"E",IF(AND(YEAR(1055:1055)=YEAR(TODAY()),MONTH(1055:1055)=MONTH(TODAY()),DAY(1055:1055)&lt;30),"E","A")))</f>
        <v>Q4A</v>
      </c>
      <c r="CO1056" s="58"/>
      <c r="CP1056" s="70" t="str">
        <f>"Q1"&amp;IF(YEAR(1055:1055)&gt;YEAR(TODAY()),"E",IF(AND(YEAR(1055:1055)=YEAR(TODAY()),MONTH(1055:1055)&gt;MONTH(TODAY())),"E",IF(AND(YEAR(1055:1055)=YEAR(TODAY()),MONTH(1055:1055)=MONTH(TODAY()),DAY(1055:1055)&lt;30),"E","A")))</f>
        <v>Q1A</v>
      </c>
      <c r="CQ1056" s="67" t="str">
        <f>"Q2"&amp;IF(YEAR(1055:1055)&gt;YEAR(TODAY()),"E",IF(AND(YEAR(1055:1055)=YEAR(TODAY()),MONTH(1055:1055)&gt;MONTH(TODAY())),"E",IF(AND(YEAR(1055:1055)=YEAR(TODAY()),MONTH(1055:1055)=MONTH(TODAY()),DAY(1055:1055)&lt;30),"E","A")))</f>
        <v>Q2A</v>
      </c>
      <c r="CR1056" s="67" t="str">
        <f>"Q3"&amp;IF(YEAR(1055:1055)&gt;YEAR(TODAY()),"E",IF(AND(YEAR(1055:1055)=YEAR(TODAY()),MONTH(1055:1055)&gt;MONTH(TODAY())),"E",IF(AND(YEAR(1055:1055)=YEAR(TODAY()),MONTH(1055:1055)=MONTH(TODAY()),DAY(1055:1055)&lt;30),"E","A")))</f>
        <v>Q3A</v>
      </c>
      <c r="CS1056" s="67" t="str">
        <f>"Q4"&amp;IF(YEAR(1055:1055)&gt;YEAR(TODAY()),"E",IF(AND(YEAR(1055:1055)=YEAR(TODAY()),MONTH(1055:1055)&gt;MONTH(TODAY())),"E",IF(AND(YEAR(1055:1055)=YEAR(TODAY()),MONTH(1055:1055)=MONTH(TODAY()),DAY(1055:1055)&lt;30),"E","A")))</f>
        <v>Q4A</v>
      </c>
      <c r="CT1056" s="58"/>
      <c r="CU1056" s="67" t="str">
        <f>"Q1"&amp;IF(YEAR(1055:1055)&gt;YEAR(TODAY()),"E",IF(AND(YEAR(1055:1055)=YEAR(TODAY()),MONTH(1055:1055)&gt;MONTH(TODAY())),"E",IF(AND(YEAR(1055:1055)=YEAR(TODAY()),MONTH(1055:1055)=MONTH(TODAY()),DAY(1055:1055)&lt;30),"E","A")))</f>
        <v>Q1A</v>
      </c>
      <c r="CV1056" s="67" t="str">
        <f>"Q2"&amp;IF(YEAR(1055:1055)&gt;YEAR(TODAY()),"E",IF(AND(YEAR(1055:1055)=YEAR(TODAY()),MONTH(1055:1055)&gt;MONTH(TODAY())),"E",IF(AND(YEAR(1055:1055)=YEAR(TODAY()),MONTH(1055:1055)=MONTH(TODAY()),DAY(1055:1055)&lt;30),"E","A")))</f>
        <v>Q2A</v>
      </c>
      <c r="CW1056" s="67" t="str">
        <f>"Q3"&amp;IF(YEAR(1055:1055)&gt;YEAR(TODAY()),"E",IF(AND(YEAR(1055:1055)=YEAR(TODAY()),MONTH(1055:1055)&gt;MONTH(TODAY())),"E",IF(AND(YEAR(1055:1055)=YEAR(TODAY()),MONTH(1055:1055)=MONTH(TODAY()),DAY(1055:1055)&lt;30),"E","A")))</f>
        <v>Q3A</v>
      </c>
      <c r="CX1056" s="67" t="str">
        <f>"Q4"&amp;IF(YEAR(1055:1055)&gt;YEAR(TODAY()),"E",IF(AND(YEAR(1055:1055)=YEAR(TODAY()),MONTH(1055:1055)&gt;MONTH(TODAY())),"E",IF(AND(YEAR(1055:1055)=YEAR(TODAY()),MONTH(1055:1055)=MONTH(TODAY()),DAY(1055:1055)&lt;30),"E","A")))</f>
        <v>Q4A</v>
      </c>
      <c r="CY1056" s="58"/>
      <c r="CZ1056" s="67" t="str">
        <f>"Q1"&amp;IF(YEAR(1055:1055)&gt;YEAR(TODAY()),"E",IF(AND(YEAR(1055:1055)=YEAR(TODAY()),MONTH(1055:1055)&gt;MONTH(TODAY())),"E",IF(AND(YEAR(1055:1055)=YEAR(TODAY()),MONTH(1055:1055)=MONTH(TODAY()),DAY(1055:1055)&lt;30),"E","A")))</f>
        <v>Q1A</v>
      </c>
      <c r="DA1056" s="67" t="str">
        <f>"Q2"&amp;IF(YEAR(1055:1055)&gt;YEAR(TODAY()),"E",IF(AND(YEAR(1055:1055)=YEAR(TODAY()),MONTH(1055:1055)&gt;MONTH(TODAY())),"E",IF(AND(YEAR(1055:1055)=YEAR(TODAY()),MONTH(1055:1055)=MONTH(TODAY()),DAY(1055:1055)&lt;30),"E","A")))</f>
        <v>Q2A</v>
      </c>
      <c r="DB1056" s="67" t="str">
        <f>"Q3"&amp;IF(YEAR(1055:1055)&gt;YEAR(TODAY()),"E",IF(AND(YEAR(1055:1055)=YEAR(TODAY()),MONTH(1055:1055)&gt;MONTH(TODAY())),"E",IF(AND(YEAR(1055:1055)=YEAR(TODAY()),MONTH(1055:1055)=MONTH(TODAY()),DAY(1055:1055)&lt;30),"E","A")))</f>
        <v>Q3A</v>
      </c>
      <c r="DC1056" s="67" t="str">
        <f>"Q4"&amp;IF(YEAR(1055:1055)&gt;YEAR(TODAY()),"E",IF(AND(YEAR(1055:1055)=YEAR(TODAY()),MONTH(1055:1055)&gt;MONTH(TODAY())),"E",IF(AND(YEAR(1055:1055)=YEAR(TODAY()),MONTH(1055:1055)=MONTH(TODAY()),DAY(1055:1055)&lt;30),"E","A")))</f>
        <v>Q4A</v>
      </c>
      <c r="DD1056" s="58"/>
      <c r="DE1056" s="67" t="str">
        <f>"Q1"&amp;IF(YEAR(1055:1055)&gt;YEAR(TODAY()),"E",IF(AND(YEAR(1055:1055)=YEAR(TODAY()),MONTH(1055:1055)&gt;MONTH(TODAY())),"E",IF(AND(YEAR(1055:1055)=YEAR(TODAY()),MONTH(1055:1055)=MONTH(TODAY()),DAY(1055:1055)&lt;30),"E","A")))</f>
        <v>Q1A</v>
      </c>
      <c r="DF1056" s="67" t="str">
        <f>"Q2"&amp;IF(YEAR(1055:1055)&gt;YEAR(TODAY()),"E",IF(AND(YEAR(1055:1055)=YEAR(TODAY()),MONTH(1055:1055)&gt;MONTH(TODAY())),"E",IF(AND(YEAR(1055:1055)=YEAR(TODAY()),MONTH(1055:1055)=MONTH(TODAY()),DAY(1055:1055)&lt;30),"E","A")))</f>
        <v>Q2A</v>
      </c>
      <c r="DG1056" s="70" t="str">
        <f>"Q3"&amp;IF(YEAR(1055:1055)&gt;YEAR(TODAY()),"E",IF(AND(YEAR(1055:1055)=YEAR(TODAY()),MONTH(1055:1055)&gt;MONTH(TODAY())),"E",IF(AND(YEAR(1055:1055)=YEAR(TODAY()),MONTH(1055:1055)=MONTH(TODAY()),DAY(1055:1055)&lt;30),"E","A")))</f>
        <v>Q3A</v>
      </c>
      <c r="DH1056" s="67" t="str">
        <f>"Q4"&amp;IF(YEAR(1055:1055)&gt;YEAR(TODAY()),"E",IF(AND(YEAR(1055:1055)=YEAR(TODAY()),MONTH(1055:1055)&gt;MONTH(TODAY())),"E",IF(AND(YEAR(1055:1055)=YEAR(TODAY()),MONTH(1055:1055)=MONTH(TODAY()),DAY(1055:1055)&lt;30),"E","A")))</f>
        <v>Q4A</v>
      </c>
      <c r="DI1056" s="58"/>
      <c r="DJ1056" s="70" t="str">
        <f>"Q1"&amp;IF(YEAR(1055:1055)&gt;YEAR(TODAY()),"E",IF(AND(YEAR(1055:1055)=YEAR(TODAY()),MONTH(1055:1055)&gt;MONTH(TODAY())),"E",IF(AND(YEAR(1055:1055)=YEAR(TODAY()),MONTH(1055:1055)=MONTH(TODAY()),DAY(1055:1055)&lt;30),"E","A")))</f>
        <v>Q1A</v>
      </c>
      <c r="DK1056" s="70" t="str">
        <f>"Q2"&amp;IF(YEAR(1055:1055)&gt;YEAR(TODAY()),"E",IF(AND(YEAR(1055:1055)=YEAR(TODAY()),MONTH(1055:1055)&gt;MONTH(TODAY())),"E",IF(AND(YEAR(1055:1055)=YEAR(TODAY()),MONTH(1055:1055)=MONTH(TODAY()),DAY(1055:1055)&lt;30),"E","A")))</f>
        <v>Q2A</v>
      </c>
      <c r="DL1056" s="70" t="str">
        <f>"Q3"&amp;IF(YEAR(1055:1055)&gt;YEAR(TODAY()),"E",IF(AND(YEAR(1055:1055)=YEAR(TODAY()),MONTH(1055:1055)&gt;MONTH(TODAY())),"E",IF(AND(YEAR(1055:1055)=YEAR(TODAY()),MONTH(1055:1055)=MONTH(TODAY()),DAY(1055:1055)&lt;30),"E","A")))</f>
        <v>Q3A</v>
      </c>
      <c r="DM1056" s="67" t="str">
        <f>"Q4"&amp;IF(YEAR(1055:1055)&gt;YEAR(TODAY()),"E",IF(AND(YEAR(1055:1055)=YEAR(TODAY()),MONTH(1055:1055)&gt;MONTH(TODAY())),"E",IF(AND(YEAR(1055:1055)=YEAR(TODAY()),MONTH(1055:1055)=MONTH(TODAY()),DAY(1055:1055)&lt;30),"E","A")))</f>
        <v>Q4A</v>
      </c>
      <c r="DN1056" s="58"/>
      <c r="DO1056" s="67" t="str">
        <f>"Q1"&amp;IF(YEAR(1055:1055)&gt;YEAR(TODAY()),"E",IF(AND(YEAR(1055:1055)=YEAR(TODAY()),MONTH(1055:1055)&gt;MONTH(TODAY())),"E",IF(AND(YEAR(1055:1055)=YEAR(TODAY()),MONTH(1055:1055)=MONTH(TODAY()),DAY(1055:1055)&lt;30),"E","A")))</f>
        <v>Q1A</v>
      </c>
      <c r="DP1056" s="67" t="str">
        <f>"Q2"&amp;IF(YEAR(1055:1055)&gt;YEAR(TODAY()),"E",IF(AND(YEAR(1055:1055)=YEAR(TODAY()),MONTH(1055:1055)&gt;MONTH(TODAY())),"E",IF(AND(YEAR(1055:1055)=YEAR(TODAY()),MONTH(1055:1055)=MONTH(TODAY()),DAY(1055:1055)&lt;30),"E","A")))</f>
        <v>Q2A</v>
      </c>
      <c r="DQ1056" s="67" t="str">
        <f>"Q3"&amp;IF(YEAR(1055:1055)&gt;YEAR(TODAY()),"E",IF(AND(YEAR(1055:1055)=YEAR(TODAY()),MONTH(1055:1055)&gt;MONTH(TODAY())),"E",IF(AND(YEAR(1055:1055)=YEAR(TODAY()),MONTH(1055:1055)=MONTH(TODAY()),DAY(1055:1055)&lt;30),"E","A")))</f>
        <v>Q3A</v>
      </c>
      <c r="DR1056" s="67" t="str">
        <f>"Q4"&amp;IF(YEAR(1055:1055)&gt;YEAR(TODAY()),"E",IF(AND(YEAR(1055:1055)=YEAR(TODAY()),MONTH(1055:1055)&gt;MONTH(TODAY())),"E",IF(AND(YEAR(1055:1055)=YEAR(TODAY()),MONTH(1055:1055)=MONTH(TODAY()),DAY(1055:1055)&lt;30),"E","A")))</f>
        <v>Q4A</v>
      </c>
      <c r="DS1056" s="58"/>
      <c r="DT1056" s="67" t="str">
        <f>"Q1"&amp;IF(YEAR(1055:1055)&gt;YEAR(TODAY()),"E",IF(AND(YEAR(1055:1055)=YEAR(TODAY()),MONTH(1055:1055)&gt;MONTH(TODAY())),"E",IF(AND(YEAR(1055:1055)=YEAR(TODAY()),MONTH(1055:1055)=MONTH(TODAY()),DAY(1055:1055)&lt;30),"E","A")))</f>
        <v>Q1A</v>
      </c>
      <c r="DU1056" s="67" t="str">
        <f>"Q2"&amp;IF(YEAR(1055:1055)&gt;YEAR(TODAY()),"E",IF(AND(YEAR(1055:1055)=YEAR(TODAY()),MONTH(1055:1055)&gt;MONTH(TODAY())),"E",IF(AND(YEAR(1055:1055)=YEAR(TODAY()),MONTH(1055:1055)=MONTH(TODAY()),DAY(1055:1055)&lt;30),"E","A")))</f>
        <v>Q2A</v>
      </c>
      <c r="DV1056" s="67" t="str">
        <f>"Q3"&amp;IF(YEAR(1055:1055)&gt;YEAR(TODAY()),"E",IF(AND(YEAR(1055:1055)=YEAR(TODAY()),MONTH(1055:1055)&gt;MONTH(TODAY())),"E",IF(AND(YEAR(1055:1055)=YEAR(TODAY()),MONTH(1055:1055)=MONTH(TODAY()),DAY(1055:1055)&lt;30),"E","A")))</f>
        <v>Q3A</v>
      </c>
      <c r="DW1056" s="67" t="str">
        <f>"Q4"&amp;IF(YEAR(1055:1055)&gt;YEAR(TODAY()),"E",IF(AND(YEAR(1055:1055)=YEAR(TODAY()),MONTH(1055:1055)&gt;MONTH(TODAY())),"E",IF(AND(YEAR(1055:1055)=YEAR(TODAY()),MONTH(1055:1055)=MONTH(TODAY()),DAY(1055:1055)&lt;30),"E","A")))</f>
        <v>Q4A</v>
      </c>
      <c r="DX1056" s="58"/>
      <c r="DY1056" s="67" t="str">
        <f>"Q1"&amp;IF(YEAR(1055:1055)&gt;YEAR(TODAY()),"E",IF(AND(YEAR(1055:1055)=YEAR(TODAY()),MONTH(1055:1055)&gt;MONTH(TODAY())),"E",IF(AND(YEAR(1055:1055)=YEAR(TODAY()),MONTH(1055:1055)=MONTH(TODAY()),DAY(1055:1055)&lt;30),"E","A")))</f>
        <v>Q1A</v>
      </c>
      <c r="DZ1056" s="67" t="str">
        <f>"Q2"&amp;IF(YEAR(1055:1055)&gt;YEAR(TODAY()),"E",IF(AND(YEAR(1055:1055)=YEAR(TODAY()),MONTH(1055:1055)&gt;MONTH(TODAY())),"E",IF(AND(YEAR(1055:1055)=YEAR(TODAY()),MONTH(1055:1055)=MONTH(TODAY()),DAY(1055:1055)&lt;30),"E","A")))</f>
        <v>Q2A</v>
      </c>
      <c r="EA1056" s="67" t="str">
        <f>"Q3"&amp;IF(YEAR(1055:1055)&gt;YEAR(TODAY()),"E",IF(AND(YEAR(1055:1055)=YEAR(TODAY()),MONTH(1055:1055)&gt;MONTH(TODAY())),"E",IF(AND(YEAR(1055:1055)=YEAR(TODAY()),MONTH(1055:1055)=MONTH(TODAY()),DAY(1055:1055)&lt;30),"E","A")))</f>
        <v>Q3A</v>
      </c>
      <c r="EB1056" s="67" t="str">
        <f>"Q4"&amp;IF(YEAR(1055:1055)&gt;YEAR(TODAY()),"E",IF(AND(YEAR(1055:1055)=YEAR(TODAY()),MONTH(1055:1055)&gt;MONTH(TODAY())),"E",IF(AND(YEAR(1055:1055)=YEAR(TODAY()),MONTH(1055:1055)=MONTH(TODAY()),DAY(1055:1055)&lt;30),"E","A")))</f>
        <v>Q4A</v>
      </c>
      <c r="EC1056" s="58"/>
      <c r="ED1056" s="67" t="str">
        <f>"Q1"&amp;IF(YEAR(1055:1055)&gt;YEAR(TODAY()),"E",IF(AND(YEAR(1055:1055)=YEAR(TODAY()),MONTH(1055:1055)&gt;MONTH(TODAY())),"E",IF(AND(YEAR(1055:1055)=YEAR(TODAY()),MONTH(1055:1055)=MONTH(TODAY()),DAY(1055:1055)&lt;30),"E","A")))</f>
        <v>Q1A</v>
      </c>
      <c r="EE1056" s="67" t="str">
        <f>"Q2"&amp;IF(YEAR(1055:1055)&gt;YEAR(TODAY()),"E",IF(AND(YEAR(1055:1055)=YEAR(TODAY()),MONTH(1055:1055)&gt;MONTH(TODAY())),"E",IF(AND(YEAR(1055:1055)=YEAR(TODAY()),MONTH(1055:1055)=MONTH(TODAY()),DAY(1055:1055)&lt;30),"E","A")))</f>
        <v>Q2A</v>
      </c>
      <c r="EF1056" s="67" t="str">
        <f>"Q3"&amp;IF(YEAR(1055:1055)&gt;YEAR(TODAY()),"E",IF(AND(YEAR(1055:1055)=YEAR(TODAY()),MONTH(1055:1055)&gt;MONTH(TODAY())),"E",IF(AND(YEAR(1055:1055)=YEAR(TODAY()),MONTH(1055:1055)=MONTH(TODAY()),DAY(1055:1055)&lt;30),"E","A")))</f>
        <v>Q3A</v>
      </c>
      <c r="EG1056" s="67" t="str">
        <f>"Q4"&amp;IF(YEAR(1055:1055)&gt;YEAR(TODAY()),"E",IF(AND(YEAR(1055:1055)=YEAR(TODAY()),MONTH(1055:1055)&gt;MONTH(TODAY())),"E",IF(AND(YEAR(1055:1055)=YEAR(TODAY()),MONTH(1055:1055)=MONTH(TODAY()),DAY(1055:1055)&lt;30),"E","A")))</f>
        <v>Q4A</v>
      </c>
      <c r="EH1056" s="58"/>
      <c r="EI1056" s="71" t="str">
        <f>"Q1"&amp;IF(YEAR(1055:1055)&gt;YEAR(TODAY()),"E",IF(AND(YEAR(1055:1055)=YEAR(TODAY()),MONTH(1055:1055)&gt;MONTH(TODAY())),"E",IF(AND(YEAR(1055:1055)=YEAR(TODAY()),MONTH(1055:1055)=MONTH(TODAY()),DAY(1055:1055)&lt;30),"E","A")))</f>
        <v>Q1A</v>
      </c>
      <c r="EJ1056" s="67" t="str">
        <f>"Q2"&amp;IF(YEAR(1055:1055)&gt;YEAR(TODAY()),"E",IF(AND(YEAR(1055:1055)=YEAR(TODAY()),MONTH(1055:1055)&gt;MONTH(TODAY())),"E",IF(AND(YEAR(1055:1055)=YEAR(TODAY()),MONTH(1055:1055)=MONTH(TODAY()),DAY(1055:1055)&lt;30),"E","A")))</f>
        <v>Q2A</v>
      </c>
      <c r="EK1056" s="67" t="str">
        <f>"Q3"&amp;IF(YEAR(1055:1055)&gt;YEAR(TODAY()),"E",IF(AND(YEAR(1055:1055)=YEAR(TODAY()),MONTH(1055:1055)&gt;MONTH(TODAY())),"E",IF(AND(YEAR(1055:1055)=YEAR(TODAY()),MONTH(1055:1055)=MONTH(TODAY()),DAY(1055:1055)&lt;30),"E","A")))</f>
        <v>Q3A</v>
      </c>
      <c r="EL1056" s="67" t="str">
        <f>"Q4"&amp;IF(YEAR(1055:1055)&gt;YEAR(TODAY()),"E",IF(AND(YEAR(1055:1055)=YEAR(TODAY()),MONTH(1055:1055)&gt;MONTH(TODAY())),"E",IF(AND(YEAR(1055:1055)=YEAR(TODAY()),MONTH(1055:1055)=MONTH(TODAY()),DAY(1055:1055)&lt;30),"E","A")))</f>
        <v>Q4A</v>
      </c>
      <c r="EM1056" s="58"/>
      <c r="EN1056" s="67" t="str">
        <f>"Q1"&amp;IF(YEAR(1055:1055)&gt;YEAR(TODAY()),"E",IF(AND(YEAR(1055:1055)=YEAR(TODAY()),MONTH(1055:1055)&gt;MONTH(TODAY())),"E",IF(AND(YEAR(1055:1055)=YEAR(TODAY()),MONTH(1055:1055)=MONTH(TODAY()),DAY(1055:1055)&lt;30),"E","A")))</f>
        <v>Q1A</v>
      </c>
      <c r="EO1056" s="67" t="str">
        <f>"Q2"&amp;IF(YEAR(1055:1055)&gt;YEAR(TODAY()),"E",IF(AND(YEAR(1055:1055)=YEAR(TODAY()),MONTH(1055:1055)&gt;MONTH(TODAY())),"E",IF(AND(YEAR(1055:1055)=YEAR(TODAY()),MONTH(1055:1055)=MONTH(TODAY()),DAY(1055:1055)&lt;30),"E","A")))</f>
        <v>Q2A</v>
      </c>
      <c r="EP1056" s="67" t="str">
        <f>"Q3"&amp;IF(YEAR(1055:1055)&gt;YEAR(TODAY()),"E",IF(AND(YEAR(1055:1055)=YEAR(TODAY()),MONTH(1055:1055)&gt;MONTH(TODAY())),"E",IF(AND(YEAR(1055:1055)=YEAR(TODAY()),MONTH(1055:1055)=MONTH(TODAY()),DAY(1055:1055)&lt;30),"E","A")))</f>
        <v>Q3A</v>
      </c>
      <c r="EQ1056" s="67" t="str">
        <f>"Q4"&amp;IF(YEAR(1055:1055)&gt;YEAR(TODAY()),"E",IF(AND(YEAR(1055:1055)=YEAR(TODAY()),MONTH(1055:1055)&gt;MONTH(TODAY())),"E",IF(AND(YEAR(1055:1055)=YEAR(TODAY()),MONTH(1055:1055)=MONTH(TODAY()),DAY(1055:1055)&lt;30),"E","A")))</f>
        <v>Q4A</v>
      </c>
      <c r="ER1056" s="58"/>
      <c r="ES1056" s="67" t="str">
        <f>"Q1"&amp;IF(YEAR(1055:1055)&gt;YEAR(TODAY()),"E",IF(AND(YEAR(1055:1055)=YEAR(TODAY()),MONTH(1055:1055)&gt;MONTH(TODAY())),"E",IF(AND(YEAR(1055:1055)=YEAR(TODAY()),MONTH(1055:1055)=MONTH(TODAY()),DAY(1055:1055)&lt;30),"E","A")))</f>
        <v>Q1A</v>
      </c>
      <c r="ET1056" s="67" t="str">
        <f>"Q2"&amp;IF(YEAR(1055:1055)&gt;YEAR(TODAY()),"E",IF(AND(YEAR(1055:1055)=YEAR(TODAY()),MONTH(1055:1055)&gt;MONTH(TODAY())),"E",IF(AND(YEAR(1055:1055)=YEAR(TODAY()),MONTH(1055:1055)=MONTH(TODAY()),DAY(1055:1055)&lt;30),"E","A")))</f>
        <v>Q2A</v>
      </c>
      <c r="EU1056" s="67" t="str">
        <f>"Q3"&amp;IF(YEAR(1055:1055)&gt;YEAR(TODAY()),"E",IF(AND(YEAR(1055:1055)=YEAR(TODAY()),MONTH(1055:1055)&gt;MONTH(TODAY())),"E",IF(AND(YEAR(1055:1055)=YEAR(TODAY()),MONTH(1055:1055)=MONTH(TODAY()),DAY(1055:1055)&lt;30),"E","A")))</f>
        <v>Q3A</v>
      </c>
      <c r="EV1056" s="67" t="str">
        <f>"Q4"&amp;IF(YEAR(1055:1055)&gt;YEAR(TODAY()),"E",IF(AND(YEAR(1055:1055)=YEAR(TODAY()),MONTH(1055:1055)&gt;MONTH(TODAY())),"E",IF(AND(YEAR(1055:1055)=YEAR(TODAY()),MONTH(1055:1055)=MONTH(TODAY()),DAY(1055:1055)&lt;30),"E","A")))</f>
        <v>Q4A</v>
      </c>
      <c r="EW1056" s="58"/>
      <c r="EX1056" s="67" t="str">
        <f>"Q1"&amp;IF(YEAR(1055:1055)&gt;YEAR(TODAY()),"E",IF(AND(YEAR(1055:1055)=YEAR(TODAY()),MONTH(1055:1055)&gt;MONTH(TODAY())),"E",IF(AND(YEAR(1055:1055)=YEAR(TODAY()),MONTH(1055:1055)=MONTH(TODAY()),DAY(1055:1055)&lt;30),"E","A")))</f>
        <v>Q1A</v>
      </c>
      <c r="EY1056" s="67" t="str">
        <f>"Q2"&amp;IF(YEAR(1055:1055)&gt;YEAR(TODAY()),"E",IF(AND(YEAR(1055:1055)=YEAR(TODAY()),MONTH(1055:1055)&gt;MONTH(TODAY())),"E",IF(AND(YEAR(1055:1055)=YEAR(TODAY()),MONTH(1055:1055)=MONTH(TODAY()),DAY(1055:1055)&lt;30),"E","A")))</f>
        <v>Q2E</v>
      </c>
      <c r="EZ1056" s="67" t="str">
        <f>"Q3"&amp;IF(YEAR(1055:1055)&gt;YEAR(TODAY()),"E",IF(AND(YEAR(1055:1055)=YEAR(TODAY()),MONTH(1055:1055)&gt;MONTH(TODAY())),"E",IF(AND(YEAR(1055:1055)=YEAR(TODAY()),MONTH(1055:1055)=MONTH(TODAY()),DAY(1055:1055)&lt;30),"E","A")))</f>
        <v>Q3E</v>
      </c>
      <c r="FA1056" s="67" t="str">
        <f>"Q4"&amp;IF(YEAR(1055:1055)&gt;YEAR(TODAY()),"E",IF(AND(YEAR(1055:1055)=YEAR(TODAY()),MONTH(1055:1055)&gt;MONTH(TODAY())),"E",IF(AND(YEAR(1055:1055)=YEAR(TODAY()),MONTH(1055:1055)=MONTH(TODAY()),DAY(1055:1055)&lt;30),"E","A")))</f>
        <v>Q4E</v>
      </c>
      <c r="FB1056" s="58"/>
      <c r="FC1056" s="67" t="str">
        <f>"Q1"&amp;IF(YEAR(1055:1055)&gt;YEAR(TODAY()),"E",IF(AND(YEAR(1055:1055)=YEAR(TODAY()),MONTH(1055:1055)&gt;MONTH(TODAY())),"E",IF(AND(YEAR(1055:1055)=YEAR(TODAY()),MONTH(1055:1055)=MONTH(TODAY()),DAY(1055:1055)&lt;30),"E","A")))</f>
        <v>Q1E</v>
      </c>
      <c r="FD1056" s="67" t="str">
        <f>"Q2"&amp;IF(YEAR(1055:1055)&gt;YEAR(TODAY()),"E",IF(AND(YEAR(1055:1055)=YEAR(TODAY()),MONTH(1055:1055)&gt;MONTH(TODAY())),"E",IF(AND(YEAR(1055:1055)=YEAR(TODAY()),MONTH(1055:1055)=MONTH(TODAY()),DAY(1055:1055)&lt;30),"E","A")))</f>
        <v>Q2E</v>
      </c>
      <c r="FE1056" s="67" t="str">
        <f>"Q3"&amp;IF(YEAR(1055:1055)&gt;YEAR(TODAY()),"E",IF(AND(YEAR(1055:1055)=YEAR(TODAY()),MONTH(1055:1055)&gt;MONTH(TODAY())),"E",IF(AND(YEAR(1055:1055)=YEAR(TODAY()),MONTH(1055:1055)=MONTH(TODAY()),DAY(1055:1055)&lt;30),"E","A")))</f>
        <v>Q3E</v>
      </c>
      <c r="FF1056" s="67" t="str">
        <f>"Q4"&amp;IF(YEAR(1055:1055)&gt;YEAR(TODAY()),"E",IF(AND(YEAR(1055:1055)=YEAR(TODAY()),MONTH(1055:1055)&gt;MONTH(TODAY())),"E",IF(AND(YEAR(1055:1055)=YEAR(TODAY()),MONTH(1055:1055)=MONTH(TODAY()),DAY(1055:1055)&lt;30),"E","A")))</f>
        <v>Q4E</v>
      </c>
      <c r="FG1056" s="58"/>
      <c r="FH1056" s="60"/>
      <c r="FI1056" s="67"/>
      <c r="FJ1056" s="67"/>
      <c r="FK1056" s="57"/>
      <c r="FL1056" s="67"/>
    </row>
    <row r="1057" ht="12.75" hidden="1" customHeight="1" outlineLevel="1">
      <c r="A1057" s="4"/>
      <c r="B1057" s="299" t="s">
        <v>375</v>
      </c>
      <c r="C1057" s="90"/>
      <c r="D1057" s="728"/>
      <c r="E1057" s="728"/>
      <c r="F1057" s="728"/>
      <c r="G1057" s="728"/>
      <c r="H1057" s="729"/>
      <c r="I1057" s="728"/>
      <c r="J1057" s="728"/>
      <c r="K1057" s="728"/>
      <c r="L1057" s="728"/>
      <c r="M1057" s="729" t="str">
        <f>Dates</f>
        <v>1997</v>
      </c>
      <c r="N1057" s="728"/>
      <c r="O1057" s="728"/>
      <c r="P1057" s="728"/>
      <c r="Q1057" s="728"/>
      <c r="R1057" s="729" t="str">
        <f>Dates</f>
        <v>1998</v>
      </c>
      <c r="S1057" s="728"/>
      <c r="T1057" s="728"/>
      <c r="U1057" s="728"/>
      <c r="V1057" s="728"/>
      <c r="W1057" s="729" t="str">
        <f>Dates</f>
        <v>1999</v>
      </c>
      <c r="X1057" s="728"/>
      <c r="Y1057" s="728"/>
      <c r="Z1057" s="728"/>
      <c r="AA1057" s="728"/>
      <c r="AB1057" s="729" t="str">
        <f>Dates</f>
        <v>2000</v>
      </c>
      <c r="AC1057" s="728"/>
      <c r="AD1057" s="728"/>
      <c r="AE1057" s="728"/>
      <c r="AF1057" s="728"/>
      <c r="AG1057" s="729"/>
      <c r="AH1057" s="728"/>
      <c r="AI1057" s="728"/>
      <c r="AJ1057" s="728"/>
      <c r="AK1057" s="728"/>
      <c r="AL1057" s="729"/>
      <c r="AM1057" s="728"/>
      <c r="AN1057" s="728"/>
      <c r="AO1057" s="728"/>
      <c r="AP1057" s="728"/>
      <c r="AQ1057" s="729"/>
      <c r="AR1057" s="728"/>
      <c r="AS1057" s="728"/>
      <c r="AT1057" s="728"/>
      <c r="AU1057" s="728"/>
      <c r="AV1057" s="729"/>
      <c r="AW1057" s="728"/>
      <c r="AX1057" s="728"/>
      <c r="AY1057" s="728"/>
      <c r="AZ1057" s="728"/>
      <c r="BA1057" s="729"/>
      <c r="BB1057" s="728"/>
      <c r="BC1057" s="728"/>
      <c r="BD1057" s="728"/>
      <c r="BE1057" s="728"/>
      <c r="BF1057" s="729"/>
      <c r="BG1057" s="728"/>
      <c r="BH1057" s="728"/>
      <c r="BI1057" s="728"/>
      <c r="BJ1057" s="728"/>
      <c r="BK1057" s="729"/>
      <c r="BL1057" s="728"/>
      <c r="BM1057" s="728"/>
      <c r="BN1057" s="728"/>
      <c r="BO1057" s="728"/>
      <c r="BP1057" s="729"/>
      <c r="BQ1057" s="728"/>
      <c r="BR1057" s="728"/>
      <c r="BS1057" s="728"/>
      <c r="BT1057" s="728"/>
      <c r="BU1057" s="729"/>
      <c r="BV1057" s="728"/>
      <c r="BW1057" s="728"/>
      <c r="BX1057" s="728"/>
      <c r="BY1057" s="728"/>
      <c r="BZ1057" s="730"/>
      <c r="CA1057" s="728"/>
      <c r="CB1057" s="728"/>
      <c r="CC1057" s="728"/>
      <c r="CD1057" s="728"/>
      <c r="CE1057" s="730"/>
      <c r="CF1057" s="728"/>
      <c r="CG1057" s="728"/>
      <c r="CH1057" s="728"/>
      <c r="CI1057" s="728"/>
      <c r="CJ1057" s="730"/>
      <c r="CK1057" s="728"/>
      <c r="CL1057" s="728"/>
      <c r="CM1057" s="728"/>
      <c r="CN1057" s="731"/>
      <c r="CO1057" s="730"/>
      <c r="CP1057" s="731"/>
      <c r="CQ1057" s="728"/>
      <c r="CR1057" s="728"/>
      <c r="CS1057" s="728"/>
      <c r="CT1057" s="730"/>
      <c r="CU1057" s="728"/>
      <c r="CV1057" s="728"/>
      <c r="CW1057" s="728"/>
      <c r="CX1057" s="728"/>
      <c r="CY1057" s="730"/>
      <c r="CZ1057" s="728"/>
      <c r="DA1057" s="728"/>
      <c r="DB1057" s="728"/>
      <c r="DC1057" s="728"/>
      <c r="DD1057" s="730"/>
      <c r="DE1057" s="728"/>
      <c r="DF1057" s="728"/>
      <c r="DG1057" s="732"/>
      <c r="DH1057" s="728"/>
      <c r="DI1057" s="730"/>
      <c r="DJ1057" s="731"/>
      <c r="DK1057" s="731"/>
      <c r="DL1057" s="731"/>
      <c r="DM1057" s="728"/>
      <c r="DN1057" s="730"/>
      <c r="DO1057" s="728"/>
      <c r="DP1057" s="728"/>
      <c r="DQ1057" s="728"/>
      <c r="DR1057" s="728"/>
      <c r="DS1057" s="730"/>
      <c r="DT1057" s="728"/>
      <c r="DU1057" s="728"/>
      <c r="DV1057" s="728"/>
      <c r="DW1057" s="728"/>
      <c r="DX1057" s="730"/>
      <c r="DY1057" s="728"/>
      <c r="DZ1057" s="728"/>
      <c r="EA1057" s="728"/>
      <c r="EB1057" s="728"/>
      <c r="EC1057" s="730"/>
      <c r="ED1057" s="728"/>
      <c r="EE1057" s="728"/>
      <c r="EF1057" s="728"/>
      <c r="EG1057" s="728"/>
      <c r="EH1057" s="730"/>
      <c r="EI1057" s="733"/>
      <c r="EJ1057" s="728"/>
      <c r="EK1057" s="728"/>
      <c r="EL1057" s="728"/>
      <c r="EM1057" s="730"/>
      <c r="EN1057" s="728"/>
      <c r="EO1057" s="728"/>
      <c r="EP1057" s="728"/>
      <c r="EQ1057" s="728"/>
      <c r="ER1057" s="730"/>
      <c r="ES1057" s="728"/>
      <c r="ET1057" s="728"/>
      <c r="EU1057" s="728"/>
      <c r="EV1057" s="728"/>
      <c r="EW1057" s="730"/>
      <c r="EX1057" s="728"/>
      <c r="EY1057" s="728"/>
      <c r="EZ1057" s="728"/>
      <c r="FA1057" s="728"/>
      <c r="FB1057" s="730"/>
      <c r="FC1057" s="728"/>
      <c r="FD1057" s="728"/>
      <c r="FE1057" s="728"/>
      <c r="FF1057" s="728"/>
      <c r="FG1057" s="730"/>
      <c r="FH1057" s="734"/>
      <c r="FI1057" s="728"/>
      <c r="FJ1057" s="728"/>
      <c r="FK1057" s="729"/>
      <c r="FL1057" s="728"/>
    </row>
    <row r="1058" ht="12.75" hidden="1" customHeight="1" outlineLevel="1">
      <c r="A1058" s="4"/>
      <c r="B1058" s="4" t="s">
        <v>376</v>
      </c>
      <c r="C1058" s="4"/>
      <c r="D1058" s="17"/>
      <c r="E1058" s="17"/>
      <c r="F1058" s="17"/>
      <c r="G1058" s="17"/>
      <c r="H1058" s="73"/>
      <c r="I1058" s="17" t="str">
        <f>totalCPUsExXbox</f>
        <v>#ERROR!</v>
      </c>
      <c r="J1058" s="17" t="str">
        <f>totalCPUsExXbox</f>
        <v>#ERROR!</v>
      </c>
      <c r="K1058" s="17" t="str">
        <f>totalCPUsExXbox</f>
        <v>#ERROR!</v>
      </c>
      <c r="L1058" s="17" t="str">
        <f>totalCPUsExXbox</f>
        <v>#ERROR!</v>
      </c>
      <c r="M1058" s="73" t="str">
        <f>totalCPUsExXbox</f>
        <v>#ERROR!</v>
      </c>
      <c r="N1058" s="17" t="str">
        <f>totalCPUsExXbox</f>
        <v>#ERROR!</v>
      </c>
      <c r="O1058" s="17" t="str">
        <f>totalCPUsExXbox</f>
        <v>#ERROR!</v>
      </c>
      <c r="P1058" s="17" t="str">
        <f>totalCPUsExXbox</f>
        <v>#ERROR!</v>
      </c>
      <c r="Q1058" s="17" t="str">
        <f>totalCPUsExXbox</f>
        <v>#ERROR!</v>
      </c>
      <c r="R1058" s="73" t="str">
        <f>totalCPUsExXbox</f>
        <v>#ERROR!</v>
      </c>
      <c r="S1058" s="17" t="str">
        <f>totalCPUsExXbox</f>
        <v>#ERROR!</v>
      </c>
      <c r="T1058" s="17" t="str">
        <f>totalCPUsExXbox</f>
        <v>#ERROR!</v>
      </c>
      <c r="U1058" s="17" t="str">
        <f>totalCPUsExXbox</f>
        <v>#ERROR!</v>
      </c>
      <c r="V1058" s="17" t="str">
        <f>totalCPUsExXbox</f>
        <v>#ERROR!</v>
      </c>
      <c r="W1058" s="73" t="str">
        <f>totalCPUsExXbox</f>
        <v>#ERROR!</v>
      </c>
      <c r="X1058" s="17" t="str">
        <f>totalCPUsExXbox</f>
        <v>#ERROR!</v>
      </c>
      <c r="Y1058" s="17" t="str">
        <f>totalCPUsExXbox</f>
        <v>#ERROR!</v>
      </c>
      <c r="Z1058" s="17" t="str">
        <f>totalCPUsExXbox</f>
        <v>#ERROR!</v>
      </c>
      <c r="AA1058" s="17" t="str">
        <f>totalCPUsExXbox</f>
        <v>#ERROR!</v>
      </c>
      <c r="AB1058" s="73" t="str">
        <f>totalCPUsExXbox</f>
        <v>#ERROR!</v>
      </c>
      <c r="AC1058" s="17" t="str">
        <f>totalCPUsExXbox</f>
        <v>#ERROR!</v>
      </c>
      <c r="AD1058" s="17" t="str">
        <f>totalCPUsExXbox</f>
        <v>#ERROR!</v>
      </c>
      <c r="AE1058" s="17" t="str">
        <f>totalCPUsExXbox</f>
        <v>#ERROR!</v>
      </c>
      <c r="AF1058" s="17" t="str">
        <f>totalCPUsExXbox</f>
        <v>#ERROR!</v>
      </c>
      <c r="AG1058" s="73" t="str">
        <f>totalCPUsExXbox</f>
        <v>#ERROR!</v>
      </c>
      <c r="AH1058" s="17" t="str">
        <f>totalCPUsExXbox</f>
        <v>#ERROR!</v>
      </c>
      <c r="AI1058" s="17" t="str">
        <f>totalCPUsExXbox</f>
        <v>#ERROR!</v>
      </c>
      <c r="AJ1058" s="17" t="str">
        <f>totalCPUsExXbox</f>
        <v>#ERROR!</v>
      </c>
      <c r="AK1058" s="17" t="str">
        <f>totalCPUsExXbox</f>
        <v>#ERROR!</v>
      </c>
      <c r="AL1058" s="73" t="str">
        <f>totalCPUsExXbox</f>
        <v>#ERROR!</v>
      </c>
      <c r="AM1058" s="17" t="str">
        <f>totalCPUs</f>
        <v>#ERROR!</v>
      </c>
      <c r="AN1058" s="17" t="str">
        <f>totalCPUs</f>
        <v>#ERROR!</v>
      </c>
      <c r="AO1058" s="17" t="str">
        <f>totalCPUs</f>
        <v>#ERROR!</v>
      </c>
      <c r="AP1058" s="17" t="str">
        <f>totalCPUs</f>
        <v>#ERROR!</v>
      </c>
      <c r="AQ1058" s="73" t="str">
        <f>totalCPUs</f>
        <v>#ERROR!</v>
      </c>
      <c r="AR1058" s="17" t="str">
        <f>totalCPUs</f>
        <v>#ERROR!</v>
      </c>
      <c r="AS1058" s="17" t="str">
        <f>totalCPUs</f>
        <v>#ERROR!</v>
      </c>
      <c r="AT1058" s="17" t="str">
        <f>totalCPUs</f>
        <v>#ERROR!</v>
      </c>
      <c r="AU1058" s="17" t="str">
        <f>totalCPUs</f>
        <v>#ERROR!</v>
      </c>
      <c r="AV1058" s="73" t="str">
        <f>totalCPUs</f>
        <v>#ERROR!</v>
      </c>
      <c r="AW1058" s="17" t="str">
        <f>totalCPUs</f>
        <v>#ERROR!</v>
      </c>
      <c r="AX1058" s="17" t="str">
        <f>totalCPUs</f>
        <v>#ERROR!</v>
      </c>
      <c r="AY1058" s="17" t="str">
        <f>totalCPUs</f>
        <v>#ERROR!</v>
      </c>
      <c r="AZ1058" s="17" t="str">
        <f>totalCPUs</f>
        <v>#ERROR!</v>
      </c>
      <c r="BA1058" s="73" t="str">
        <f>totalCPUs</f>
        <v>#ERROR!</v>
      </c>
      <c r="BB1058" s="17" t="str">
        <f>totalCPUs</f>
        <v>#ERROR!</v>
      </c>
      <c r="BC1058" s="17" t="str">
        <f>totalCPUs</f>
        <v>#ERROR!</v>
      </c>
      <c r="BD1058" s="17" t="str">
        <f>totalCPUs</f>
        <v>#ERROR!</v>
      </c>
      <c r="BE1058" s="17" t="str">
        <f>totalCPUs</f>
        <v>#ERROR!</v>
      </c>
      <c r="BF1058" s="73" t="str">
        <f>totalCPUs</f>
        <v>#ERROR!</v>
      </c>
      <c r="BG1058" s="17" t="str">
        <f>totalCPUs</f>
        <v>#ERROR!</v>
      </c>
      <c r="BH1058" s="17" t="str">
        <f>totalCPUs</f>
        <v>#ERROR!</v>
      </c>
      <c r="BI1058" s="17" t="str">
        <f>totalCPUs</f>
        <v>#ERROR!</v>
      </c>
      <c r="BJ1058" s="17" t="str">
        <f>totalCPUs</f>
        <v>#ERROR!</v>
      </c>
      <c r="BK1058" s="73" t="str">
        <f>totalCPUs</f>
        <v>#ERROR!</v>
      </c>
      <c r="BL1058" s="17" t="str">
        <f>totalCPUs</f>
        <v>#ERROR!</v>
      </c>
      <c r="BM1058" s="17" t="str">
        <f>totalCPUs</f>
        <v>#ERROR!</v>
      </c>
      <c r="BN1058" s="17" t="str">
        <f>totalCPUs</f>
        <v>#ERROR!</v>
      </c>
      <c r="BO1058" s="17" t="str">
        <f>totalCPUs</f>
        <v>#ERROR!</v>
      </c>
      <c r="BP1058" s="73" t="str">
        <f>totalCPUs</f>
        <v>#ERROR!</v>
      </c>
      <c r="BQ1058" s="17" t="str">
        <f>totalCPUs</f>
        <v>#ERROR!</v>
      </c>
      <c r="BR1058" s="17" t="str">
        <f>totalCPUs</f>
        <v>#ERROR!</v>
      </c>
      <c r="BS1058" s="17" t="str">
        <f>totalCPUs</f>
        <v>#ERROR!</v>
      </c>
      <c r="BT1058" s="17" t="str">
        <f>totalCPUs</f>
        <v>#ERROR!</v>
      </c>
      <c r="BU1058" s="73" t="str">
        <f>totalCPUs</f>
        <v>#ERROR!</v>
      </c>
      <c r="BV1058" s="17" t="str">
        <f>totalCPUs</f>
        <v>#ERROR!</v>
      </c>
      <c r="BW1058" s="17" t="str">
        <f>totalCPUs</f>
        <v>#ERROR!</v>
      </c>
      <c r="BX1058" s="17" t="str">
        <f>totalCPUs</f>
        <v>#ERROR!</v>
      </c>
      <c r="BY1058" s="17" t="str">
        <f>totalCPUs</f>
        <v>#ERROR!</v>
      </c>
      <c r="BZ1058" s="18" t="str">
        <f>totalCPUs</f>
        <v>#ERROR!</v>
      </c>
      <c r="CA1058" s="17" t="str">
        <f>totalCPUs</f>
        <v>#ERROR!</v>
      </c>
      <c r="CB1058" s="17" t="str">
        <f>totalCPUs</f>
        <v>#ERROR!</v>
      </c>
      <c r="CC1058" s="17" t="str">
        <f>totalCPUs</f>
        <v>#ERROR!</v>
      </c>
      <c r="CD1058" s="17" t="str">
        <f>totalCPUs</f>
        <v>#ERROR!</v>
      </c>
      <c r="CE1058" s="18" t="str">
        <f>totalCPUs</f>
        <v>#ERROR!</v>
      </c>
      <c r="CF1058" s="17" t="str">
        <f>totalCPUs</f>
        <v>#ERROR!</v>
      </c>
      <c r="CG1058" s="17" t="str">
        <f>totalCPUs</f>
        <v>#ERROR!</v>
      </c>
      <c r="CH1058" s="17" t="str">
        <f>totalCPUs</f>
        <v>#ERROR!</v>
      </c>
      <c r="CI1058" s="17" t="str">
        <f>totalCPUs</f>
        <v>#ERROR!</v>
      </c>
      <c r="CJ1058" s="18" t="str">
        <f>totalCPUs</f>
        <v>#ERROR!</v>
      </c>
      <c r="CK1058" s="17" t="str">
        <f>totalCPUs</f>
        <v>#ERROR!</v>
      </c>
      <c r="CL1058" s="17" t="str">
        <f>totalCPUs</f>
        <v>#ERROR!</v>
      </c>
      <c r="CM1058" s="17" t="str">
        <f>totalCPUs</f>
        <v>#ERROR!</v>
      </c>
      <c r="CN1058" s="19" t="str">
        <f>totalCPUs</f>
        <v>#ERROR!</v>
      </c>
      <c r="CO1058" s="18" t="str">
        <f>totalCPUs</f>
        <v>#ERROR!</v>
      </c>
      <c r="CP1058" s="19" t="str">
        <f>totalCPUs</f>
        <v>#ERROR!</v>
      </c>
      <c r="CQ1058" s="17" t="str">
        <f>totalCPUs</f>
        <v>#ERROR!</v>
      </c>
      <c r="CR1058" s="17" t="str">
        <f>totalCPUs</f>
        <v>#ERROR!</v>
      </c>
      <c r="CS1058" s="17" t="str">
        <f>totalCPUs</f>
        <v>#ERROR!</v>
      </c>
      <c r="CT1058" s="18" t="str">
        <f>totalCPUs</f>
        <v>#ERROR!</v>
      </c>
      <c r="CU1058" s="17" t="str">
        <f>totalCPUs</f>
        <v>#ERROR!</v>
      </c>
      <c r="CV1058" s="17" t="str">
        <f>totalCPUs</f>
        <v>#ERROR!</v>
      </c>
      <c r="CW1058" s="17" t="str">
        <f>totalCPUs</f>
        <v>#ERROR!</v>
      </c>
      <c r="CX1058" s="17" t="str">
        <f>totalCPUs</f>
        <v>#ERROR!</v>
      </c>
      <c r="CY1058" s="18" t="str">
        <f>totalCPUs</f>
        <v>#ERROR!</v>
      </c>
      <c r="CZ1058" s="17" t="str">
        <f>totalCPUs</f>
        <v>#ERROR!</v>
      </c>
      <c r="DA1058" s="17" t="str">
        <f>totalCPUs</f>
        <v>#ERROR!</v>
      </c>
      <c r="DB1058" s="17" t="str">
        <f>totalCPUs</f>
        <v>#ERROR!</v>
      </c>
      <c r="DC1058" s="17" t="str">
        <f>totalCPUs</f>
        <v>#ERROR!</v>
      </c>
      <c r="DD1058" s="18" t="str">
        <f>totalCPUs</f>
        <v>#ERROR!</v>
      </c>
      <c r="DE1058" s="17" t="str">
        <f>totalCPUs</f>
        <v>#ERROR!</v>
      </c>
      <c r="DF1058" s="17" t="str">
        <f>totalCPUs</f>
        <v>#ERROR!</v>
      </c>
      <c r="DG1058" s="19" t="str">
        <f>totalCPUs</f>
        <v>#ERROR!</v>
      </c>
      <c r="DH1058" s="17" t="str">
        <f>totalCPUs</f>
        <v>#ERROR!</v>
      </c>
      <c r="DI1058" s="18" t="str">
        <f>totalCPUs</f>
        <v>#ERROR!</v>
      </c>
      <c r="DJ1058" s="19" t="str">
        <f>totalCPUs</f>
        <v>#ERROR!</v>
      </c>
      <c r="DK1058" s="19" t="str">
        <f>totalCPUs</f>
        <v>#ERROR!</v>
      </c>
      <c r="DL1058" s="19" t="str">
        <f>totalCPUs</f>
        <v>#ERROR!</v>
      </c>
      <c r="DM1058" s="17" t="str">
        <f>totalCPUs</f>
        <v>#ERROR!</v>
      </c>
      <c r="DN1058" s="18" t="str">
        <f>totalCPUs</f>
        <v>#ERROR!</v>
      </c>
      <c r="DO1058" s="17" t="str">
        <f>totalCPUs</f>
        <v>#ERROR!</v>
      </c>
      <c r="DP1058" s="17" t="str">
        <f>totalCPUs</f>
        <v>#ERROR!</v>
      </c>
      <c r="DQ1058" s="17" t="str">
        <f>totalCPUs</f>
        <v>#ERROR!</v>
      </c>
      <c r="DR1058" s="17" t="str">
        <f>totalCPUs</f>
        <v>#ERROR!</v>
      </c>
      <c r="DS1058" s="18" t="str">
        <f>totalCPUs</f>
        <v>#ERROR!</v>
      </c>
      <c r="DT1058" s="17" t="str">
        <f>totalCPUs</f>
        <v>#ERROR!</v>
      </c>
      <c r="DU1058" s="17" t="str">
        <f>totalCPUs</f>
        <v>#ERROR!</v>
      </c>
      <c r="DV1058" s="17" t="str">
        <f>totalCPUs</f>
        <v>#ERROR!</v>
      </c>
      <c r="DW1058" s="17" t="str">
        <f>totalCPUs</f>
        <v>#ERROR!</v>
      </c>
      <c r="DX1058" s="18" t="str">
        <f>totalCPUs</f>
        <v>#ERROR!</v>
      </c>
      <c r="DY1058" s="17" t="str">
        <f>totalCPUs</f>
        <v>#ERROR!</v>
      </c>
      <c r="DZ1058" s="17" t="str">
        <f>totalCPUs</f>
        <v>#ERROR!</v>
      </c>
      <c r="EA1058" s="17" t="str">
        <f>totalCPUs</f>
        <v>#ERROR!</v>
      </c>
      <c r="EB1058" s="17" t="str">
        <f>totalCPUs</f>
        <v>#ERROR!</v>
      </c>
      <c r="EC1058" s="18" t="str">
        <f>totalCPUs</f>
        <v>#ERROR!</v>
      </c>
      <c r="ED1058" s="17" t="str">
        <f>totalCPUs</f>
        <v>#ERROR!</v>
      </c>
      <c r="EE1058" s="17" t="str">
        <f>totalCPUs</f>
        <v>#ERROR!</v>
      </c>
      <c r="EF1058" s="17" t="str">
        <f>totalCPUs</f>
        <v>#ERROR!</v>
      </c>
      <c r="EG1058" s="17" t="str">
        <f>totalCPUs</f>
        <v>#ERROR!</v>
      </c>
      <c r="EH1058" s="18" t="str">
        <f>totalCPUs</f>
        <v>#ERROR!</v>
      </c>
      <c r="EI1058" s="25" t="str">
        <f>totalCPUs</f>
        <v>#ERROR!</v>
      </c>
      <c r="EJ1058" s="17" t="str">
        <f>totalCPUs</f>
        <v>#ERROR!</v>
      </c>
      <c r="EK1058" s="17" t="str">
        <f>totalCPUs</f>
        <v>#ERROR!</v>
      </c>
      <c r="EL1058" s="17" t="str">
        <f>totalCPUs</f>
        <v>#ERROR!</v>
      </c>
      <c r="EM1058" s="18" t="str">
        <f>totalCPUs</f>
        <v>#ERROR!</v>
      </c>
      <c r="EN1058" s="17" t="str">
        <f>totalCPUs</f>
        <v>#ERROR!</v>
      </c>
      <c r="EO1058" s="17" t="str">
        <f>totalCPUs</f>
        <v>#ERROR!</v>
      </c>
      <c r="EP1058" s="17" t="str">
        <f>totalCPUs</f>
        <v>#ERROR!</v>
      </c>
      <c r="EQ1058" s="17" t="str">
        <f>totalCPUs</f>
        <v>#ERROR!</v>
      </c>
      <c r="ER1058" s="18" t="str">
        <f>totalCPUs</f>
        <v>#ERROR!</v>
      </c>
      <c r="ES1058" s="17" t="str">
        <f>totalCPUs</f>
        <v>#ERROR!</v>
      </c>
      <c r="ET1058" s="17" t="str">
        <f>totalCPUs</f>
        <v>#ERROR!</v>
      </c>
      <c r="EU1058" s="17" t="str">
        <f>totalCPUs</f>
        <v>#ERROR!</v>
      </c>
      <c r="EV1058" s="17" t="str">
        <f>totalCPUs</f>
        <v>#ERROR!</v>
      </c>
      <c r="EW1058" s="18" t="str">
        <f>totalCPUs</f>
        <v>#ERROR!</v>
      </c>
      <c r="EX1058" s="17" t="str">
        <f>totalCPUs</f>
        <v>#ERROR!</v>
      </c>
      <c r="EY1058" s="17" t="str">
        <f>totalCPUs</f>
        <v>#ERROR!</v>
      </c>
      <c r="EZ1058" s="17" t="str">
        <f>totalCPUs</f>
        <v>#ERROR!</v>
      </c>
      <c r="FA1058" s="17" t="str">
        <f>totalCPUs</f>
        <v>#ERROR!</v>
      </c>
      <c r="FB1058" s="18" t="str">
        <f>totalCPUs</f>
        <v>#ERROR!</v>
      </c>
      <c r="FC1058" s="17" t="str">
        <f>totalCPUs</f>
        <v>#ERROR!</v>
      </c>
      <c r="FD1058" s="17" t="str">
        <f>totalCPUs</f>
        <v>#ERROR!</v>
      </c>
      <c r="FE1058" s="17" t="str">
        <f>totalCPUs</f>
        <v>#ERROR!</v>
      </c>
      <c r="FF1058" s="17" t="str">
        <f>totalCPUs</f>
        <v>#ERROR!</v>
      </c>
      <c r="FG1058" s="18" t="str">
        <f>totalCPUs</f>
        <v>#ERROR!</v>
      </c>
      <c r="FH1058" s="74"/>
      <c r="FI1058" s="17"/>
      <c r="FJ1058" s="17"/>
      <c r="FK1058" s="73"/>
      <c r="FL1058" s="17"/>
    </row>
    <row r="1059" ht="12.75" hidden="1" customHeight="1" outlineLevel="1">
      <c r="A1059" s="4"/>
      <c r="B1059" s="4" t="s">
        <v>377</v>
      </c>
      <c r="C1059" s="4"/>
      <c r="D1059" s="128"/>
      <c r="E1059" s="128"/>
      <c r="F1059" s="128"/>
      <c r="G1059" s="128"/>
      <c r="H1059" s="73"/>
      <c r="I1059" s="128" t="e">
        <v>#REF!</v>
      </c>
      <c r="J1059" s="128" t="e">
        <v>#REF!</v>
      </c>
      <c r="K1059" s="128" t="e">
        <v>#REF!</v>
      </c>
      <c r="L1059" s="128" t="e">
        <v>#REF!</v>
      </c>
      <c r="M1059" s="73" t="e">
        <v>#REF!</v>
      </c>
      <c r="N1059" s="128" t="e">
        <v>#REF!</v>
      </c>
      <c r="O1059" s="128" t="e">
        <v>#REF!</v>
      </c>
      <c r="P1059" s="128" t="e">
        <v>#REF!</v>
      </c>
      <c r="Q1059" s="128" t="e">
        <v>#REF!</v>
      </c>
      <c r="R1059" s="73" t="e">
        <v>#REF!</v>
      </c>
      <c r="S1059" s="128" t="e">
        <v>#REF!</v>
      </c>
      <c r="T1059" s="128" t="e">
        <v>#REF!</v>
      </c>
      <c r="U1059" s="128" t="e">
        <v>#REF!</v>
      </c>
      <c r="V1059" s="128" t="e">
        <v>#REF!</v>
      </c>
      <c r="W1059" s="73" t="e">
        <v>#REF!</v>
      </c>
      <c r="X1059" s="128" t="e">
        <v>#REF!</v>
      </c>
      <c r="Y1059" s="128" t="e">
        <v>#REF!</v>
      </c>
      <c r="Z1059" s="128" t="e">
        <v>#REF!</v>
      </c>
      <c r="AA1059" s="128" t="e">
        <v>#REF!</v>
      </c>
      <c r="AB1059" s="73" t="e">
        <v>#REF!</v>
      </c>
      <c r="AC1059" s="128" t="e">
        <v>#REF!</v>
      </c>
      <c r="AD1059" s="128" t="e">
        <v>#REF!</v>
      </c>
      <c r="AE1059" s="128" t="e">
        <v>#REF!</v>
      </c>
      <c r="AF1059" s="128" t="e">
        <v>#REF!</v>
      </c>
      <c r="AG1059" s="73" t="e">
        <v>#REF!</v>
      </c>
      <c r="AH1059" s="128" t="e">
        <v>#REF!</v>
      </c>
      <c r="AI1059" s="128" t="e">
        <v>#REF!</v>
      </c>
      <c r="AJ1059" s="128" t="e">
        <v>#REF!</v>
      </c>
      <c r="AK1059" s="128" t="e">
        <v>#REF!</v>
      </c>
      <c r="AL1059" s="73" t="e">
        <v>#REF!</v>
      </c>
      <c r="AM1059" s="128" t="e">
        <v>#REF!</v>
      </c>
      <c r="AN1059" s="128" t="e">
        <v>#REF!</v>
      </c>
      <c r="AO1059" s="128" t="e">
        <v>#REF!</v>
      </c>
      <c r="AP1059" s="128" t="e">
        <v>#REF!</v>
      </c>
      <c r="AQ1059" s="73" t="e">
        <v>#REF!</v>
      </c>
      <c r="AR1059" s="128" t="e">
        <v>#REF!</v>
      </c>
      <c r="AS1059" s="128" t="e">
        <v>#REF!</v>
      </c>
      <c r="AT1059" s="128" t="e">
        <v>#REF!</v>
      </c>
      <c r="AU1059" s="128" t="e">
        <v>#REF!</v>
      </c>
      <c r="AV1059" s="73" t="e">
        <v>#REF!</v>
      </c>
      <c r="AW1059" s="128" t="e">
        <v>#REF!</v>
      </c>
      <c r="AX1059" s="128" t="e">
        <v>#REF!</v>
      </c>
      <c r="AY1059" s="128" t="e">
        <v>#REF!</v>
      </c>
      <c r="AZ1059" s="128" t="e">
        <v>#REF!</v>
      </c>
      <c r="BA1059" s="73" t="e">
        <v>#REF!</v>
      </c>
      <c r="BB1059" s="128" t="e">
        <v>#REF!</v>
      </c>
      <c r="BC1059" s="128" t="e">
        <v>#REF!</v>
      </c>
      <c r="BD1059" s="128" t="e">
        <v>#REF!</v>
      </c>
      <c r="BE1059" s="128" t="e">
        <v>#REF!</v>
      </c>
      <c r="BF1059" s="73" t="e">
        <v>#REF!</v>
      </c>
      <c r="BG1059" s="128" t="e">
        <v>#REF!</v>
      </c>
      <c r="BH1059" s="128" t="e">
        <v>#REF!</v>
      </c>
      <c r="BI1059" s="128" t="e">
        <v>#REF!</v>
      </c>
      <c r="BJ1059" s="128" t="e">
        <v>#REF!</v>
      </c>
      <c r="BK1059" s="73" t="e">
        <v>#REF!</v>
      </c>
      <c r="BL1059" s="128" t="e">
        <v>#REF!</v>
      </c>
      <c r="BM1059" s="128" t="e">
        <v>#REF!</v>
      </c>
      <c r="BN1059" s="128" t="e">
        <v>#REF!</v>
      </c>
      <c r="BO1059" s="128" t="e">
        <v>#REF!</v>
      </c>
      <c r="BP1059" s="73" t="e">
        <v>#REF!</v>
      </c>
      <c r="BQ1059" s="128" t="e">
        <v>#REF!</v>
      </c>
      <c r="BR1059" s="128" t="e">
        <v>#REF!</v>
      </c>
      <c r="BS1059" s="128" t="e">
        <v>#REF!</v>
      </c>
      <c r="BT1059" s="128" t="e">
        <v>#REF!</v>
      </c>
      <c r="BU1059" s="73" t="e">
        <v>#REF!</v>
      </c>
      <c r="BV1059" s="128" t="e">
        <v>#REF!</v>
      </c>
      <c r="BW1059" s="128" t="e">
        <v>#REF!</v>
      </c>
      <c r="BX1059" s="128" t="e">
        <v>#REF!</v>
      </c>
      <c r="BY1059" s="128" t="e">
        <v>#REF!</v>
      </c>
      <c r="BZ1059" s="18" t="e">
        <v>#REF!</v>
      </c>
      <c r="CA1059" s="128" t="e">
        <v>#REF!</v>
      </c>
      <c r="CB1059" s="128" t="e">
        <v>#REF!</v>
      </c>
      <c r="CC1059" s="128" t="e">
        <v>#REF!</v>
      </c>
      <c r="CD1059" s="128" t="e">
        <v>#REF!</v>
      </c>
      <c r="CE1059" s="18" t="e">
        <v>#REF!</v>
      </c>
      <c r="CF1059" s="128" t="e">
        <v>#REF!</v>
      </c>
      <c r="CG1059" s="128" t="e">
        <v>#REF!</v>
      </c>
      <c r="CH1059" s="128" t="e">
        <v>#REF!</v>
      </c>
      <c r="CI1059" s="128" t="e">
        <v>#REF!</v>
      </c>
      <c r="CJ1059" s="18" t="e">
        <v>#REF!</v>
      </c>
      <c r="CK1059" s="128" t="e">
        <v>#REF!</v>
      </c>
      <c r="CL1059" s="128" t="e">
        <v>#REF!</v>
      </c>
      <c r="CM1059" s="128" t="e">
        <v>#REF!</v>
      </c>
      <c r="CN1059" s="129" t="e">
        <v>#REF!</v>
      </c>
      <c r="CO1059" s="18" t="e">
        <v>#REF!</v>
      </c>
      <c r="CP1059" s="129" t="e">
        <v>#REF!</v>
      </c>
      <c r="CQ1059" s="128" t="e">
        <v>#REF!</v>
      </c>
      <c r="CR1059" s="128" t="e">
        <v>#REF!</v>
      </c>
      <c r="CS1059" s="128" t="e">
        <v>#REF!</v>
      </c>
      <c r="CT1059" s="18" t="e">
        <v>#REF!</v>
      </c>
      <c r="CU1059" s="128" t="e">
        <v>#REF!</v>
      </c>
      <c r="CV1059" s="128" t="e">
        <v>#REF!</v>
      </c>
      <c r="CW1059" s="128" t="e">
        <v>#REF!</v>
      </c>
      <c r="CX1059" s="128" t="e">
        <v>#REF!</v>
      </c>
      <c r="CY1059" s="18" t="e">
        <v>#REF!</v>
      </c>
      <c r="CZ1059" s="128" t="e">
        <v>#REF!</v>
      </c>
      <c r="DA1059" s="128" t="e">
        <v>#REF!</v>
      </c>
      <c r="DB1059" s="128" t="e">
        <v>#REF!</v>
      </c>
      <c r="DC1059" s="128" t="e">
        <v>#REF!</v>
      </c>
      <c r="DD1059" s="18" t="e">
        <v>#REF!</v>
      </c>
      <c r="DE1059" s="128" t="e">
        <v>#REF!</v>
      </c>
      <c r="DF1059" s="128" t="e">
        <v>#REF!</v>
      </c>
      <c r="DG1059" s="129" t="e">
        <v>#REF!</v>
      </c>
      <c r="DH1059" s="128" t="e">
        <v>#REF!</v>
      </c>
      <c r="DI1059" s="18" t="e">
        <v>#REF!</v>
      </c>
      <c r="DJ1059" s="129" t="e">
        <v>#REF!</v>
      </c>
      <c r="DK1059" s="129" t="e">
        <v>#REF!</v>
      </c>
      <c r="DL1059" s="129" t="e">
        <v>#REF!</v>
      </c>
      <c r="DM1059" s="128" t="e">
        <v>#REF!</v>
      </c>
      <c r="DN1059" s="18" t="e">
        <v>#REF!</v>
      </c>
      <c r="DO1059" s="128" t="e">
        <v>#REF!</v>
      </c>
      <c r="DP1059" s="128" t="e">
        <v>#REF!</v>
      </c>
      <c r="DQ1059" s="128" t="e">
        <v>#REF!</v>
      </c>
      <c r="DR1059" s="128" t="e">
        <v>#REF!</v>
      </c>
      <c r="DS1059" s="18" t="e">
        <v>#REF!</v>
      </c>
      <c r="DT1059" s="128" t="e">
        <v>#REF!</v>
      </c>
      <c r="DU1059" s="128" t="e">
        <v>#REF!</v>
      </c>
      <c r="DV1059" s="128" t="e">
        <v>#REF!</v>
      </c>
      <c r="DW1059" s="128" t="e">
        <v>#REF!</v>
      </c>
      <c r="DX1059" s="18" t="e">
        <v>#REF!</v>
      </c>
      <c r="DY1059" s="128" t="e">
        <v>#REF!</v>
      </c>
      <c r="DZ1059" s="128" t="e">
        <v>#REF!</v>
      </c>
      <c r="EA1059" s="128" t="e">
        <v>#REF!</v>
      </c>
      <c r="EB1059" s="128" t="e">
        <v>#REF!</v>
      </c>
      <c r="EC1059" s="18" t="e">
        <v>#REF!</v>
      </c>
      <c r="ED1059" s="128" t="e">
        <v>#REF!</v>
      </c>
      <c r="EE1059" s="128" t="e">
        <v>#REF!</v>
      </c>
      <c r="EF1059" s="128" t="e">
        <v>#REF!</v>
      </c>
      <c r="EG1059" s="128" t="e">
        <v>#REF!</v>
      </c>
      <c r="EH1059" s="18" t="e">
        <v>#REF!</v>
      </c>
      <c r="EI1059" s="134" t="e">
        <v>#REF!</v>
      </c>
      <c r="EJ1059" s="128" t="e">
        <v>#REF!</v>
      </c>
      <c r="EK1059" s="128" t="e">
        <v>#REF!</v>
      </c>
      <c r="EL1059" s="128" t="e">
        <v>#REF!</v>
      </c>
      <c r="EM1059" s="18" t="e">
        <v>#REF!</v>
      </c>
      <c r="EN1059" s="128" t="e">
        <v>#REF!</v>
      </c>
      <c r="EO1059" s="128" t="e">
        <v>#REF!</v>
      </c>
      <c r="EP1059" s="128" t="e">
        <v>#REF!</v>
      </c>
      <c r="EQ1059" s="128" t="e">
        <v>#REF!</v>
      </c>
      <c r="ER1059" s="18" t="e">
        <v>#REF!</v>
      </c>
      <c r="ES1059" s="128" t="e">
        <v>#REF!</v>
      </c>
      <c r="ET1059" s="128" t="e">
        <v>#REF!</v>
      </c>
      <c r="EU1059" s="128" t="e">
        <v>#REF!</v>
      </c>
      <c r="EV1059" s="128" t="e">
        <v>#REF!</v>
      </c>
      <c r="EW1059" s="18" t="e">
        <v>#REF!</v>
      </c>
      <c r="EX1059" s="128" t="e">
        <v>#REF!</v>
      </c>
      <c r="EY1059" s="128" t="e">
        <v>#REF!</v>
      </c>
      <c r="EZ1059" s="128" t="e">
        <v>#REF!</v>
      </c>
      <c r="FA1059" s="128" t="e">
        <v>#REF!</v>
      </c>
      <c r="FB1059" s="18" t="e">
        <v>#REF!</v>
      </c>
      <c r="FC1059" s="128" t="e">
        <v>#REF!</v>
      </c>
      <c r="FD1059" s="128" t="e">
        <v>#REF!</v>
      </c>
      <c r="FE1059" s="128" t="e">
        <v>#REF!</v>
      </c>
      <c r="FF1059" s="128" t="e">
        <v>#REF!</v>
      </c>
      <c r="FG1059" s="18" t="e">
        <v>#REF!</v>
      </c>
      <c r="FH1059" s="74"/>
      <c r="FI1059" s="128"/>
      <c r="FJ1059" s="128"/>
      <c r="FK1059" s="73"/>
      <c r="FL1059" s="128"/>
    </row>
    <row r="1060" ht="13.5" hidden="1" customHeight="1" outlineLevel="1">
      <c r="A1060" s="4"/>
      <c r="B1060" s="529" t="s">
        <v>291</v>
      </c>
      <c r="C1060" s="529"/>
      <c r="D1060" s="164"/>
      <c r="E1060" s="164"/>
      <c r="F1060" s="164"/>
      <c r="G1060" s="164"/>
      <c r="H1060" s="166"/>
      <c r="I1060" s="164" t="str">
        <f t="shared" ref="I1060:FG1060" si="5500">SUM(I1058,I1059)</f>
        <v>#ERROR!</v>
      </c>
      <c r="J1060" s="164" t="str">
        <f t="shared" si="5500"/>
        <v>#ERROR!</v>
      </c>
      <c r="K1060" s="164" t="str">
        <f t="shared" si="5500"/>
        <v>#ERROR!</v>
      </c>
      <c r="L1060" s="164" t="str">
        <f t="shared" si="5500"/>
        <v>#ERROR!</v>
      </c>
      <c r="M1060" s="166" t="str">
        <f t="shared" si="5500"/>
        <v>#ERROR!</v>
      </c>
      <c r="N1060" s="164" t="str">
        <f t="shared" si="5500"/>
        <v>#ERROR!</v>
      </c>
      <c r="O1060" s="164" t="str">
        <f t="shared" si="5500"/>
        <v>#ERROR!</v>
      </c>
      <c r="P1060" s="164" t="str">
        <f t="shared" si="5500"/>
        <v>#ERROR!</v>
      </c>
      <c r="Q1060" s="164" t="str">
        <f t="shared" si="5500"/>
        <v>#ERROR!</v>
      </c>
      <c r="R1060" s="166" t="str">
        <f t="shared" si="5500"/>
        <v>#ERROR!</v>
      </c>
      <c r="S1060" s="164" t="str">
        <f t="shared" si="5500"/>
        <v>#ERROR!</v>
      </c>
      <c r="T1060" s="164" t="str">
        <f t="shared" si="5500"/>
        <v>#ERROR!</v>
      </c>
      <c r="U1060" s="164" t="str">
        <f t="shared" si="5500"/>
        <v>#ERROR!</v>
      </c>
      <c r="V1060" s="164" t="str">
        <f t="shared" si="5500"/>
        <v>#ERROR!</v>
      </c>
      <c r="W1060" s="166" t="str">
        <f t="shared" si="5500"/>
        <v>#ERROR!</v>
      </c>
      <c r="X1060" s="164" t="str">
        <f t="shared" si="5500"/>
        <v>#ERROR!</v>
      </c>
      <c r="Y1060" s="164" t="str">
        <f t="shared" si="5500"/>
        <v>#ERROR!</v>
      </c>
      <c r="Z1060" s="164" t="str">
        <f t="shared" si="5500"/>
        <v>#ERROR!</v>
      </c>
      <c r="AA1060" s="164" t="str">
        <f t="shared" si="5500"/>
        <v>#ERROR!</v>
      </c>
      <c r="AB1060" s="166" t="str">
        <f t="shared" si="5500"/>
        <v>#ERROR!</v>
      </c>
      <c r="AC1060" s="164" t="str">
        <f t="shared" si="5500"/>
        <v>#ERROR!</v>
      </c>
      <c r="AD1060" s="164" t="str">
        <f t="shared" si="5500"/>
        <v>#ERROR!</v>
      </c>
      <c r="AE1060" s="164" t="str">
        <f t="shared" si="5500"/>
        <v>#ERROR!</v>
      </c>
      <c r="AF1060" s="164" t="str">
        <f t="shared" si="5500"/>
        <v>#ERROR!</v>
      </c>
      <c r="AG1060" s="166" t="str">
        <f t="shared" si="5500"/>
        <v>#ERROR!</v>
      </c>
      <c r="AH1060" s="164" t="str">
        <f t="shared" si="5500"/>
        <v>#ERROR!</v>
      </c>
      <c r="AI1060" s="164" t="str">
        <f t="shared" si="5500"/>
        <v>#ERROR!</v>
      </c>
      <c r="AJ1060" s="164" t="str">
        <f t="shared" si="5500"/>
        <v>#ERROR!</v>
      </c>
      <c r="AK1060" s="164" t="str">
        <f t="shared" si="5500"/>
        <v>#ERROR!</v>
      </c>
      <c r="AL1060" s="166" t="str">
        <f t="shared" si="5500"/>
        <v>#ERROR!</v>
      </c>
      <c r="AM1060" s="164" t="str">
        <f t="shared" si="5500"/>
        <v>#ERROR!</v>
      </c>
      <c r="AN1060" s="164" t="str">
        <f t="shared" si="5500"/>
        <v>#ERROR!</v>
      </c>
      <c r="AO1060" s="164" t="str">
        <f t="shared" si="5500"/>
        <v>#ERROR!</v>
      </c>
      <c r="AP1060" s="164" t="str">
        <f t="shared" si="5500"/>
        <v>#ERROR!</v>
      </c>
      <c r="AQ1060" s="166" t="str">
        <f t="shared" si="5500"/>
        <v>#ERROR!</v>
      </c>
      <c r="AR1060" s="164" t="str">
        <f t="shared" si="5500"/>
        <v>#ERROR!</v>
      </c>
      <c r="AS1060" s="164" t="str">
        <f t="shared" si="5500"/>
        <v>#ERROR!</v>
      </c>
      <c r="AT1060" s="164" t="str">
        <f t="shared" si="5500"/>
        <v>#ERROR!</v>
      </c>
      <c r="AU1060" s="164" t="str">
        <f t="shared" si="5500"/>
        <v>#ERROR!</v>
      </c>
      <c r="AV1060" s="166" t="str">
        <f t="shared" si="5500"/>
        <v>#ERROR!</v>
      </c>
      <c r="AW1060" s="164" t="str">
        <f t="shared" si="5500"/>
        <v>#ERROR!</v>
      </c>
      <c r="AX1060" s="164" t="str">
        <f t="shared" si="5500"/>
        <v>#ERROR!</v>
      </c>
      <c r="AY1060" s="164" t="str">
        <f t="shared" si="5500"/>
        <v>#ERROR!</v>
      </c>
      <c r="AZ1060" s="164" t="str">
        <f t="shared" si="5500"/>
        <v>#ERROR!</v>
      </c>
      <c r="BA1060" s="166" t="str">
        <f t="shared" si="5500"/>
        <v>#ERROR!</v>
      </c>
      <c r="BB1060" s="164" t="str">
        <f t="shared" si="5500"/>
        <v>#ERROR!</v>
      </c>
      <c r="BC1060" s="164" t="str">
        <f t="shared" si="5500"/>
        <v>#ERROR!</v>
      </c>
      <c r="BD1060" s="164" t="str">
        <f t="shared" si="5500"/>
        <v>#ERROR!</v>
      </c>
      <c r="BE1060" s="164" t="str">
        <f t="shared" si="5500"/>
        <v>#ERROR!</v>
      </c>
      <c r="BF1060" s="166" t="str">
        <f t="shared" si="5500"/>
        <v>#ERROR!</v>
      </c>
      <c r="BG1060" s="164" t="str">
        <f t="shared" si="5500"/>
        <v>#ERROR!</v>
      </c>
      <c r="BH1060" s="164" t="str">
        <f t="shared" si="5500"/>
        <v>#ERROR!</v>
      </c>
      <c r="BI1060" s="164" t="str">
        <f t="shared" si="5500"/>
        <v>#ERROR!</v>
      </c>
      <c r="BJ1060" s="164" t="str">
        <f t="shared" si="5500"/>
        <v>#ERROR!</v>
      </c>
      <c r="BK1060" s="166" t="str">
        <f t="shared" si="5500"/>
        <v>#ERROR!</v>
      </c>
      <c r="BL1060" s="164" t="str">
        <f t="shared" si="5500"/>
        <v>#ERROR!</v>
      </c>
      <c r="BM1060" s="164" t="str">
        <f t="shared" si="5500"/>
        <v>#ERROR!</v>
      </c>
      <c r="BN1060" s="164" t="str">
        <f t="shared" si="5500"/>
        <v>#ERROR!</v>
      </c>
      <c r="BO1060" s="164" t="str">
        <f t="shared" si="5500"/>
        <v>#ERROR!</v>
      </c>
      <c r="BP1060" s="166" t="str">
        <f t="shared" si="5500"/>
        <v>#ERROR!</v>
      </c>
      <c r="BQ1060" s="164" t="str">
        <f t="shared" si="5500"/>
        <v>#ERROR!</v>
      </c>
      <c r="BR1060" s="164" t="str">
        <f t="shared" si="5500"/>
        <v>#ERROR!</v>
      </c>
      <c r="BS1060" s="164" t="str">
        <f t="shared" si="5500"/>
        <v>#ERROR!</v>
      </c>
      <c r="BT1060" s="164" t="str">
        <f t="shared" si="5500"/>
        <v>#ERROR!</v>
      </c>
      <c r="BU1060" s="166" t="str">
        <f t="shared" si="5500"/>
        <v>#ERROR!</v>
      </c>
      <c r="BV1060" s="164" t="str">
        <f t="shared" si="5500"/>
        <v>#ERROR!</v>
      </c>
      <c r="BW1060" s="164" t="str">
        <f t="shared" si="5500"/>
        <v>#ERROR!</v>
      </c>
      <c r="BX1060" s="164" t="str">
        <f t="shared" si="5500"/>
        <v>#ERROR!</v>
      </c>
      <c r="BY1060" s="164" t="str">
        <f t="shared" si="5500"/>
        <v>#ERROR!</v>
      </c>
      <c r="BZ1060" s="168" t="str">
        <f t="shared" si="5500"/>
        <v>#ERROR!</v>
      </c>
      <c r="CA1060" s="164" t="str">
        <f t="shared" si="5500"/>
        <v>#ERROR!</v>
      </c>
      <c r="CB1060" s="164" t="str">
        <f t="shared" si="5500"/>
        <v>#ERROR!</v>
      </c>
      <c r="CC1060" s="164" t="str">
        <f t="shared" si="5500"/>
        <v>#ERROR!</v>
      </c>
      <c r="CD1060" s="164" t="str">
        <f t="shared" si="5500"/>
        <v>#ERROR!</v>
      </c>
      <c r="CE1060" s="168" t="str">
        <f t="shared" si="5500"/>
        <v>#ERROR!</v>
      </c>
      <c r="CF1060" s="164" t="str">
        <f t="shared" si="5500"/>
        <v>#ERROR!</v>
      </c>
      <c r="CG1060" s="164" t="str">
        <f t="shared" si="5500"/>
        <v>#ERROR!</v>
      </c>
      <c r="CH1060" s="164" t="str">
        <f t="shared" si="5500"/>
        <v>#ERROR!</v>
      </c>
      <c r="CI1060" s="164" t="str">
        <f t="shared" si="5500"/>
        <v>#ERROR!</v>
      </c>
      <c r="CJ1060" s="168" t="str">
        <f t="shared" si="5500"/>
        <v>#ERROR!</v>
      </c>
      <c r="CK1060" s="164" t="str">
        <f t="shared" si="5500"/>
        <v>#ERROR!</v>
      </c>
      <c r="CL1060" s="164" t="str">
        <f t="shared" si="5500"/>
        <v>#ERROR!</v>
      </c>
      <c r="CM1060" s="164" t="str">
        <f t="shared" si="5500"/>
        <v>#ERROR!</v>
      </c>
      <c r="CN1060" s="583" t="str">
        <f t="shared" si="5500"/>
        <v>#ERROR!</v>
      </c>
      <c r="CO1060" s="168" t="str">
        <f t="shared" si="5500"/>
        <v>#ERROR!</v>
      </c>
      <c r="CP1060" s="583" t="str">
        <f t="shared" si="5500"/>
        <v>#ERROR!</v>
      </c>
      <c r="CQ1060" s="164" t="str">
        <f t="shared" si="5500"/>
        <v>#ERROR!</v>
      </c>
      <c r="CR1060" s="164" t="str">
        <f t="shared" si="5500"/>
        <v>#ERROR!</v>
      </c>
      <c r="CS1060" s="164" t="str">
        <f t="shared" si="5500"/>
        <v>#ERROR!</v>
      </c>
      <c r="CT1060" s="168" t="str">
        <f t="shared" si="5500"/>
        <v>#ERROR!</v>
      </c>
      <c r="CU1060" s="164" t="str">
        <f t="shared" si="5500"/>
        <v>#ERROR!</v>
      </c>
      <c r="CV1060" s="164" t="str">
        <f t="shared" si="5500"/>
        <v>#ERROR!</v>
      </c>
      <c r="CW1060" s="164" t="str">
        <f t="shared" si="5500"/>
        <v>#ERROR!</v>
      </c>
      <c r="CX1060" s="164" t="str">
        <f t="shared" si="5500"/>
        <v>#ERROR!</v>
      </c>
      <c r="CY1060" s="168" t="str">
        <f t="shared" si="5500"/>
        <v>#ERROR!</v>
      </c>
      <c r="CZ1060" s="164" t="str">
        <f t="shared" si="5500"/>
        <v>#ERROR!</v>
      </c>
      <c r="DA1060" s="164" t="str">
        <f t="shared" si="5500"/>
        <v>#ERROR!</v>
      </c>
      <c r="DB1060" s="164" t="str">
        <f t="shared" si="5500"/>
        <v>#ERROR!</v>
      </c>
      <c r="DC1060" s="164" t="str">
        <f t="shared" si="5500"/>
        <v>#ERROR!</v>
      </c>
      <c r="DD1060" s="168" t="str">
        <f t="shared" si="5500"/>
        <v>#ERROR!</v>
      </c>
      <c r="DE1060" s="164" t="str">
        <f t="shared" si="5500"/>
        <v>#ERROR!</v>
      </c>
      <c r="DF1060" s="164" t="str">
        <f t="shared" si="5500"/>
        <v>#ERROR!</v>
      </c>
      <c r="DG1060" s="146" t="str">
        <f t="shared" si="5500"/>
        <v>#ERROR!</v>
      </c>
      <c r="DH1060" s="164" t="str">
        <f t="shared" si="5500"/>
        <v>#ERROR!</v>
      </c>
      <c r="DI1060" s="168" t="str">
        <f t="shared" si="5500"/>
        <v>#ERROR!</v>
      </c>
      <c r="DJ1060" s="583" t="str">
        <f t="shared" si="5500"/>
        <v>#ERROR!</v>
      </c>
      <c r="DK1060" s="583" t="str">
        <f t="shared" si="5500"/>
        <v>#ERROR!</v>
      </c>
      <c r="DL1060" s="583" t="str">
        <f t="shared" si="5500"/>
        <v>#ERROR!</v>
      </c>
      <c r="DM1060" s="164" t="str">
        <f t="shared" si="5500"/>
        <v>#ERROR!</v>
      </c>
      <c r="DN1060" s="168" t="str">
        <f t="shared" si="5500"/>
        <v>#ERROR!</v>
      </c>
      <c r="DO1060" s="164" t="str">
        <f t="shared" si="5500"/>
        <v>#ERROR!</v>
      </c>
      <c r="DP1060" s="164" t="str">
        <f t="shared" si="5500"/>
        <v>#ERROR!</v>
      </c>
      <c r="DQ1060" s="164" t="str">
        <f t="shared" si="5500"/>
        <v>#ERROR!</v>
      </c>
      <c r="DR1060" s="164" t="str">
        <f t="shared" si="5500"/>
        <v>#ERROR!</v>
      </c>
      <c r="DS1060" s="168" t="str">
        <f t="shared" si="5500"/>
        <v>#ERROR!</v>
      </c>
      <c r="DT1060" s="164" t="str">
        <f t="shared" si="5500"/>
        <v>#ERROR!</v>
      </c>
      <c r="DU1060" s="164" t="str">
        <f t="shared" si="5500"/>
        <v>#ERROR!</v>
      </c>
      <c r="DV1060" s="164" t="str">
        <f t="shared" si="5500"/>
        <v>#ERROR!</v>
      </c>
      <c r="DW1060" s="164" t="str">
        <f t="shared" si="5500"/>
        <v>#ERROR!</v>
      </c>
      <c r="DX1060" s="168" t="str">
        <f t="shared" si="5500"/>
        <v>#ERROR!</v>
      </c>
      <c r="DY1060" s="164" t="str">
        <f t="shared" si="5500"/>
        <v>#ERROR!</v>
      </c>
      <c r="DZ1060" s="164" t="str">
        <f t="shared" si="5500"/>
        <v>#ERROR!</v>
      </c>
      <c r="EA1060" s="164" t="str">
        <f t="shared" si="5500"/>
        <v>#ERROR!</v>
      </c>
      <c r="EB1060" s="164" t="str">
        <f t="shared" si="5500"/>
        <v>#ERROR!</v>
      </c>
      <c r="EC1060" s="168" t="str">
        <f t="shared" si="5500"/>
        <v>#ERROR!</v>
      </c>
      <c r="ED1060" s="164" t="str">
        <f t="shared" si="5500"/>
        <v>#ERROR!</v>
      </c>
      <c r="EE1060" s="164" t="str">
        <f t="shared" si="5500"/>
        <v>#ERROR!</v>
      </c>
      <c r="EF1060" s="164" t="str">
        <f t="shared" si="5500"/>
        <v>#ERROR!</v>
      </c>
      <c r="EG1060" s="164" t="str">
        <f t="shared" si="5500"/>
        <v>#ERROR!</v>
      </c>
      <c r="EH1060" s="168" t="str">
        <f t="shared" si="5500"/>
        <v>#ERROR!</v>
      </c>
      <c r="EI1060" s="584" t="str">
        <f t="shared" si="5500"/>
        <v>#ERROR!</v>
      </c>
      <c r="EJ1060" s="164" t="str">
        <f t="shared" si="5500"/>
        <v>#ERROR!</v>
      </c>
      <c r="EK1060" s="164" t="str">
        <f t="shared" si="5500"/>
        <v>#ERROR!</v>
      </c>
      <c r="EL1060" s="164" t="str">
        <f t="shared" si="5500"/>
        <v>#ERROR!</v>
      </c>
      <c r="EM1060" s="168" t="str">
        <f t="shared" si="5500"/>
        <v>#ERROR!</v>
      </c>
      <c r="EN1060" s="164" t="str">
        <f t="shared" si="5500"/>
        <v>#ERROR!</v>
      </c>
      <c r="EO1060" s="164" t="str">
        <f t="shared" si="5500"/>
        <v>#ERROR!</v>
      </c>
      <c r="EP1060" s="164" t="str">
        <f t="shared" si="5500"/>
        <v>#ERROR!</v>
      </c>
      <c r="EQ1060" s="164" t="str">
        <f t="shared" si="5500"/>
        <v>#ERROR!</v>
      </c>
      <c r="ER1060" s="168" t="str">
        <f t="shared" si="5500"/>
        <v>#ERROR!</v>
      </c>
      <c r="ES1060" s="164" t="str">
        <f t="shared" si="5500"/>
        <v>#ERROR!</v>
      </c>
      <c r="ET1060" s="164" t="str">
        <f t="shared" si="5500"/>
        <v>#ERROR!</v>
      </c>
      <c r="EU1060" s="164" t="str">
        <f t="shared" si="5500"/>
        <v>#ERROR!</v>
      </c>
      <c r="EV1060" s="164" t="str">
        <f t="shared" si="5500"/>
        <v>#ERROR!</v>
      </c>
      <c r="EW1060" s="168" t="str">
        <f t="shared" si="5500"/>
        <v>#ERROR!</v>
      </c>
      <c r="EX1060" s="164" t="str">
        <f t="shared" si="5500"/>
        <v>#ERROR!</v>
      </c>
      <c r="EY1060" s="164" t="str">
        <f t="shared" si="5500"/>
        <v>#ERROR!</v>
      </c>
      <c r="EZ1060" s="164" t="str">
        <f t="shared" si="5500"/>
        <v>#ERROR!</v>
      </c>
      <c r="FA1060" s="164" t="str">
        <f t="shared" si="5500"/>
        <v>#ERROR!</v>
      </c>
      <c r="FB1060" s="168" t="str">
        <f t="shared" si="5500"/>
        <v>#ERROR!</v>
      </c>
      <c r="FC1060" s="164" t="str">
        <f t="shared" si="5500"/>
        <v>#ERROR!</v>
      </c>
      <c r="FD1060" s="164" t="str">
        <f t="shared" si="5500"/>
        <v>#ERROR!</v>
      </c>
      <c r="FE1060" s="164" t="str">
        <f t="shared" si="5500"/>
        <v>#ERROR!</v>
      </c>
      <c r="FF1060" s="164" t="str">
        <f t="shared" si="5500"/>
        <v>#ERROR!</v>
      </c>
      <c r="FG1060" s="168" t="str">
        <f t="shared" si="5500"/>
        <v>#ERROR!</v>
      </c>
      <c r="FH1060" s="167"/>
      <c r="FI1060" s="164"/>
      <c r="FJ1060" s="164"/>
      <c r="FK1060" s="166"/>
      <c r="FL1060" s="164"/>
    </row>
    <row r="1061" ht="13.5" hidden="1" customHeight="1" outlineLevel="2">
      <c r="A1061" s="4"/>
      <c r="B1061" s="4"/>
      <c r="C1061" s="4"/>
      <c r="D1061" s="410"/>
      <c r="E1061" s="410"/>
      <c r="F1061" s="410"/>
      <c r="G1061" s="410"/>
      <c r="H1061" s="410"/>
      <c r="I1061" s="410"/>
      <c r="J1061" s="410"/>
      <c r="K1061" s="410"/>
      <c r="L1061" s="410"/>
      <c r="M1061" s="410"/>
      <c r="N1061" s="410"/>
      <c r="O1061" s="410"/>
      <c r="P1061" s="410"/>
      <c r="Q1061" s="410"/>
      <c r="R1061" s="410"/>
      <c r="S1061" s="410"/>
      <c r="T1061" s="410"/>
      <c r="U1061" s="410"/>
      <c r="V1061" s="410"/>
      <c r="W1061" s="410"/>
      <c r="X1061" s="410"/>
      <c r="Y1061" s="410"/>
      <c r="Z1061" s="410"/>
      <c r="AA1061" s="410"/>
      <c r="AB1061" s="410"/>
      <c r="AC1061" s="410"/>
      <c r="AD1061" s="410"/>
      <c r="AE1061" s="410"/>
      <c r="AF1061" s="410"/>
      <c r="AG1061" s="410"/>
      <c r="AH1061" s="410"/>
      <c r="AI1061" s="410"/>
      <c r="AJ1061" s="410"/>
      <c r="AK1061" s="410"/>
      <c r="AL1061" s="410" t="str">
        <f>AL1060/AG1060-1</f>
        <v>#ERROR!</v>
      </c>
      <c r="AM1061" s="410"/>
      <c r="AN1061" s="410"/>
      <c r="AO1061" s="410"/>
      <c r="AP1061" s="410"/>
      <c r="AQ1061" s="410" t="str">
        <f>AQ1060/AL1060-1</f>
        <v>#ERROR!</v>
      </c>
      <c r="AR1061" s="410"/>
      <c r="AS1061" s="410"/>
      <c r="AT1061" s="410"/>
      <c r="AU1061" s="410" t="str">
        <f t="shared" ref="AU1061:FG1061" si="5501">AU1060/AP1060-1</f>
        <v>#ERROR!</v>
      </c>
      <c r="AV1061" s="410" t="str">
        <f t="shared" si="5501"/>
        <v>#ERROR!</v>
      </c>
      <c r="AW1061" s="410" t="str">
        <f t="shared" si="5501"/>
        <v>#ERROR!</v>
      </c>
      <c r="AX1061" s="410" t="str">
        <f t="shared" si="5501"/>
        <v>#ERROR!</v>
      </c>
      <c r="AY1061" s="410" t="str">
        <f t="shared" si="5501"/>
        <v>#ERROR!</v>
      </c>
      <c r="AZ1061" s="410" t="str">
        <f t="shared" si="5501"/>
        <v>#ERROR!</v>
      </c>
      <c r="BA1061" s="410" t="str">
        <f t="shared" si="5501"/>
        <v>#ERROR!</v>
      </c>
      <c r="BB1061" s="410" t="str">
        <f t="shared" si="5501"/>
        <v>#ERROR!</v>
      </c>
      <c r="BC1061" s="410" t="str">
        <f t="shared" si="5501"/>
        <v>#ERROR!</v>
      </c>
      <c r="BD1061" s="410" t="str">
        <f t="shared" si="5501"/>
        <v>#ERROR!</v>
      </c>
      <c r="BE1061" s="410" t="str">
        <f t="shared" si="5501"/>
        <v>#ERROR!</v>
      </c>
      <c r="BF1061" s="410" t="str">
        <f t="shared" si="5501"/>
        <v>#ERROR!</v>
      </c>
      <c r="BG1061" s="410" t="str">
        <f t="shared" si="5501"/>
        <v>#ERROR!</v>
      </c>
      <c r="BH1061" s="410" t="str">
        <f t="shared" si="5501"/>
        <v>#ERROR!</v>
      </c>
      <c r="BI1061" s="410" t="str">
        <f t="shared" si="5501"/>
        <v>#ERROR!</v>
      </c>
      <c r="BJ1061" s="410" t="str">
        <f t="shared" si="5501"/>
        <v>#ERROR!</v>
      </c>
      <c r="BK1061" s="410" t="str">
        <f t="shared" si="5501"/>
        <v>#ERROR!</v>
      </c>
      <c r="BL1061" s="410" t="str">
        <f t="shared" si="5501"/>
        <v>#ERROR!</v>
      </c>
      <c r="BM1061" s="410" t="str">
        <f t="shared" si="5501"/>
        <v>#ERROR!</v>
      </c>
      <c r="BN1061" s="410" t="str">
        <f t="shared" si="5501"/>
        <v>#ERROR!</v>
      </c>
      <c r="BO1061" s="410" t="str">
        <f t="shared" si="5501"/>
        <v>#ERROR!</v>
      </c>
      <c r="BP1061" s="410" t="str">
        <f t="shared" si="5501"/>
        <v>#ERROR!</v>
      </c>
      <c r="BQ1061" s="410" t="str">
        <f t="shared" si="5501"/>
        <v>#ERROR!</v>
      </c>
      <c r="BR1061" s="410" t="str">
        <f t="shared" si="5501"/>
        <v>#ERROR!</v>
      </c>
      <c r="BS1061" s="410" t="str">
        <f t="shared" si="5501"/>
        <v>#ERROR!</v>
      </c>
      <c r="BT1061" s="410" t="str">
        <f t="shared" si="5501"/>
        <v>#ERROR!</v>
      </c>
      <c r="BU1061" s="410" t="str">
        <f t="shared" si="5501"/>
        <v>#ERROR!</v>
      </c>
      <c r="BV1061" s="410" t="str">
        <f t="shared" si="5501"/>
        <v>#ERROR!</v>
      </c>
      <c r="BW1061" s="410" t="str">
        <f t="shared" si="5501"/>
        <v>#ERROR!</v>
      </c>
      <c r="BX1061" s="410" t="str">
        <f t="shared" si="5501"/>
        <v>#ERROR!</v>
      </c>
      <c r="BY1061" s="410" t="str">
        <f t="shared" si="5501"/>
        <v>#ERROR!</v>
      </c>
      <c r="BZ1061" s="24" t="str">
        <f t="shared" si="5501"/>
        <v>#ERROR!</v>
      </c>
      <c r="CA1061" s="410" t="str">
        <f t="shared" si="5501"/>
        <v>#ERROR!</v>
      </c>
      <c r="CB1061" s="410" t="str">
        <f t="shared" si="5501"/>
        <v>#ERROR!</v>
      </c>
      <c r="CC1061" s="410" t="str">
        <f t="shared" si="5501"/>
        <v>#ERROR!</v>
      </c>
      <c r="CD1061" s="410" t="str">
        <f t="shared" si="5501"/>
        <v>#ERROR!</v>
      </c>
      <c r="CE1061" s="24" t="str">
        <f t="shared" si="5501"/>
        <v>#ERROR!</v>
      </c>
      <c r="CF1061" s="410" t="str">
        <f t="shared" si="5501"/>
        <v>#ERROR!</v>
      </c>
      <c r="CG1061" s="410" t="str">
        <f t="shared" si="5501"/>
        <v>#ERROR!</v>
      </c>
      <c r="CH1061" s="410" t="str">
        <f t="shared" si="5501"/>
        <v>#ERROR!</v>
      </c>
      <c r="CI1061" s="410" t="str">
        <f t="shared" si="5501"/>
        <v>#ERROR!</v>
      </c>
      <c r="CJ1061" s="24" t="str">
        <f t="shared" si="5501"/>
        <v>#ERROR!</v>
      </c>
      <c r="CK1061" s="410" t="str">
        <f t="shared" si="5501"/>
        <v>#ERROR!</v>
      </c>
      <c r="CL1061" s="410" t="str">
        <f t="shared" si="5501"/>
        <v>#ERROR!</v>
      </c>
      <c r="CM1061" s="410" t="str">
        <f t="shared" si="5501"/>
        <v>#ERROR!</v>
      </c>
      <c r="CN1061" s="104" t="str">
        <f t="shared" si="5501"/>
        <v>#ERROR!</v>
      </c>
      <c r="CO1061" s="24" t="str">
        <f t="shared" si="5501"/>
        <v>#ERROR!</v>
      </c>
      <c r="CP1061" s="104" t="str">
        <f t="shared" si="5501"/>
        <v>#ERROR!</v>
      </c>
      <c r="CQ1061" s="410" t="str">
        <f t="shared" si="5501"/>
        <v>#ERROR!</v>
      </c>
      <c r="CR1061" s="410" t="str">
        <f t="shared" si="5501"/>
        <v>#ERROR!</v>
      </c>
      <c r="CS1061" s="410" t="str">
        <f t="shared" si="5501"/>
        <v>#ERROR!</v>
      </c>
      <c r="CT1061" s="24" t="str">
        <f t="shared" si="5501"/>
        <v>#ERROR!</v>
      </c>
      <c r="CU1061" s="410" t="str">
        <f t="shared" si="5501"/>
        <v>#ERROR!</v>
      </c>
      <c r="CV1061" s="410" t="str">
        <f t="shared" si="5501"/>
        <v>#ERROR!</v>
      </c>
      <c r="CW1061" s="410" t="str">
        <f t="shared" si="5501"/>
        <v>#ERROR!</v>
      </c>
      <c r="CX1061" s="410" t="str">
        <f t="shared" si="5501"/>
        <v>#ERROR!</v>
      </c>
      <c r="CY1061" s="24" t="str">
        <f t="shared" si="5501"/>
        <v>#ERROR!</v>
      </c>
      <c r="CZ1061" s="410" t="str">
        <f t="shared" si="5501"/>
        <v>#ERROR!</v>
      </c>
      <c r="DA1061" s="410" t="str">
        <f t="shared" si="5501"/>
        <v>#ERROR!</v>
      </c>
      <c r="DB1061" s="410" t="str">
        <f t="shared" si="5501"/>
        <v>#ERROR!</v>
      </c>
      <c r="DC1061" s="410" t="str">
        <f t="shared" si="5501"/>
        <v>#ERROR!</v>
      </c>
      <c r="DD1061" s="24" t="str">
        <f t="shared" si="5501"/>
        <v>#ERROR!</v>
      </c>
      <c r="DE1061" s="410" t="str">
        <f t="shared" si="5501"/>
        <v>#ERROR!</v>
      </c>
      <c r="DF1061" s="410" t="str">
        <f t="shared" si="5501"/>
        <v>#ERROR!</v>
      </c>
      <c r="DG1061" s="104" t="str">
        <f t="shared" si="5501"/>
        <v>#ERROR!</v>
      </c>
      <c r="DH1061" s="410" t="str">
        <f t="shared" si="5501"/>
        <v>#ERROR!</v>
      </c>
      <c r="DI1061" s="24" t="str">
        <f t="shared" si="5501"/>
        <v>#ERROR!</v>
      </c>
      <c r="DJ1061" s="104" t="str">
        <f t="shared" si="5501"/>
        <v>#ERROR!</v>
      </c>
      <c r="DK1061" s="104" t="str">
        <f t="shared" si="5501"/>
        <v>#ERROR!</v>
      </c>
      <c r="DL1061" s="104" t="str">
        <f t="shared" si="5501"/>
        <v>#ERROR!</v>
      </c>
      <c r="DM1061" s="410" t="str">
        <f t="shared" si="5501"/>
        <v>#ERROR!</v>
      </c>
      <c r="DN1061" s="24" t="str">
        <f t="shared" si="5501"/>
        <v>#ERROR!</v>
      </c>
      <c r="DO1061" s="410" t="str">
        <f t="shared" si="5501"/>
        <v>#ERROR!</v>
      </c>
      <c r="DP1061" s="410" t="str">
        <f t="shared" si="5501"/>
        <v>#ERROR!</v>
      </c>
      <c r="DQ1061" s="410" t="str">
        <f t="shared" si="5501"/>
        <v>#ERROR!</v>
      </c>
      <c r="DR1061" s="410" t="str">
        <f t="shared" si="5501"/>
        <v>#ERROR!</v>
      </c>
      <c r="DS1061" s="24" t="str">
        <f t="shared" si="5501"/>
        <v>#ERROR!</v>
      </c>
      <c r="DT1061" s="410" t="str">
        <f t="shared" si="5501"/>
        <v>#ERROR!</v>
      </c>
      <c r="DU1061" s="410" t="str">
        <f t="shared" si="5501"/>
        <v>#ERROR!</v>
      </c>
      <c r="DV1061" s="410" t="str">
        <f t="shared" si="5501"/>
        <v>#ERROR!</v>
      </c>
      <c r="DW1061" s="410" t="str">
        <f t="shared" si="5501"/>
        <v>#ERROR!</v>
      </c>
      <c r="DX1061" s="24" t="str">
        <f t="shared" si="5501"/>
        <v>#ERROR!</v>
      </c>
      <c r="DY1061" s="410" t="str">
        <f t="shared" si="5501"/>
        <v>#ERROR!</v>
      </c>
      <c r="DZ1061" s="410" t="str">
        <f t="shared" si="5501"/>
        <v>#ERROR!</v>
      </c>
      <c r="EA1061" s="410" t="str">
        <f t="shared" si="5501"/>
        <v>#ERROR!</v>
      </c>
      <c r="EB1061" s="410" t="str">
        <f t="shared" si="5501"/>
        <v>#ERROR!</v>
      </c>
      <c r="EC1061" s="24" t="str">
        <f t="shared" si="5501"/>
        <v>#ERROR!</v>
      </c>
      <c r="ED1061" s="410" t="str">
        <f t="shared" si="5501"/>
        <v>#ERROR!</v>
      </c>
      <c r="EE1061" s="410" t="str">
        <f t="shared" si="5501"/>
        <v>#ERROR!</v>
      </c>
      <c r="EF1061" s="410" t="str">
        <f t="shared" si="5501"/>
        <v>#ERROR!</v>
      </c>
      <c r="EG1061" s="410" t="str">
        <f t="shared" si="5501"/>
        <v>#ERROR!</v>
      </c>
      <c r="EH1061" s="24" t="str">
        <f t="shared" si="5501"/>
        <v>#ERROR!</v>
      </c>
      <c r="EI1061" s="317" t="str">
        <f t="shared" si="5501"/>
        <v>#ERROR!</v>
      </c>
      <c r="EJ1061" s="410" t="str">
        <f t="shared" si="5501"/>
        <v>#ERROR!</v>
      </c>
      <c r="EK1061" s="410" t="str">
        <f t="shared" si="5501"/>
        <v>#ERROR!</v>
      </c>
      <c r="EL1061" s="410" t="str">
        <f t="shared" si="5501"/>
        <v>#ERROR!</v>
      </c>
      <c r="EM1061" s="24" t="str">
        <f t="shared" si="5501"/>
        <v>#ERROR!</v>
      </c>
      <c r="EN1061" s="410" t="str">
        <f t="shared" si="5501"/>
        <v>#ERROR!</v>
      </c>
      <c r="EO1061" s="410" t="str">
        <f t="shared" si="5501"/>
        <v>#ERROR!</v>
      </c>
      <c r="EP1061" s="410" t="str">
        <f t="shared" si="5501"/>
        <v>#ERROR!</v>
      </c>
      <c r="EQ1061" s="410" t="str">
        <f t="shared" si="5501"/>
        <v>#ERROR!</v>
      </c>
      <c r="ER1061" s="24" t="str">
        <f t="shared" si="5501"/>
        <v>#ERROR!</v>
      </c>
      <c r="ES1061" s="410" t="str">
        <f t="shared" si="5501"/>
        <v>#ERROR!</v>
      </c>
      <c r="ET1061" s="410" t="str">
        <f t="shared" si="5501"/>
        <v>#ERROR!</v>
      </c>
      <c r="EU1061" s="410" t="str">
        <f t="shared" si="5501"/>
        <v>#ERROR!</v>
      </c>
      <c r="EV1061" s="410" t="str">
        <f t="shared" si="5501"/>
        <v>#ERROR!</v>
      </c>
      <c r="EW1061" s="24" t="str">
        <f t="shared" si="5501"/>
        <v>#ERROR!</v>
      </c>
      <c r="EX1061" s="410" t="str">
        <f t="shared" si="5501"/>
        <v>#ERROR!</v>
      </c>
      <c r="EY1061" s="410" t="str">
        <f t="shared" si="5501"/>
        <v>#ERROR!</v>
      </c>
      <c r="EZ1061" s="410" t="str">
        <f t="shared" si="5501"/>
        <v>#ERROR!</v>
      </c>
      <c r="FA1061" s="410" t="str">
        <f t="shared" si="5501"/>
        <v>#ERROR!</v>
      </c>
      <c r="FB1061" s="24" t="str">
        <f t="shared" si="5501"/>
        <v>#ERROR!</v>
      </c>
      <c r="FC1061" s="410" t="str">
        <f t="shared" si="5501"/>
        <v>#ERROR!</v>
      </c>
      <c r="FD1061" s="410" t="str">
        <f t="shared" si="5501"/>
        <v>#ERROR!</v>
      </c>
      <c r="FE1061" s="410" t="str">
        <f t="shared" si="5501"/>
        <v>#ERROR!</v>
      </c>
      <c r="FF1061" s="410" t="str">
        <f t="shared" si="5501"/>
        <v>#ERROR!</v>
      </c>
      <c r="FG1061" s="24" t="str">
        <f t="shared" si="5501"/>
        <v>#ERROR!</v>
      </c>
      <c r="FH1061" s="104"/>
      <c r="FI1061" s="410"/>
      <c r="FJ1061" s="410"/>
      <c r="FK1061" s="410"/>
      <c r="FL1061" s="410"/>
    </row>
    <row r="1062" ht="12.75" hidden="1" customHeight="1" outlineLevel="1">
      <c r="A1062" s="4"/>
      <c r="B1062" s="4"/>
      <c r="C1062" s="4"/>
      <c r="D1062" s="4"/>
      <c r="E1062" s="4"/>
      <c r="F1062" s="4"/>
      <c r="G1062" s="4"/>
      <c r="H1062" s="45"/>
      <c r="I1062" s="4"/>
      <c r="J1062" s="4"/>
      <c r="K1062" s="4"/>
      <c r="L1062" s="4"/>
      <c r="M1062" s="45"/>
      <c r="N1062" s="4"/>
      <c r="O1062" s="4"/>
      <c r="P1062" s="4"/>
      <c r="Q1062" s="4"/>
      <c r="R1062" s="45"/>
      <c r="S1062" s="4"/>
      <c r="T1062" s="4"/>
      <c r="U1062" s="4"/>
      <c r="V1062" s="4"/>
      <c r="W1062" s="45"/>
      <c r="X1062" s="4"/>
      <c r="Y1062" s="4"/>
      <c r="Z1062" s="4"/>
      <c r="AA1062" s="4"/>
      <c r="AB1062" s="45"/>
      <c r="AC1062" s="4"/>
      <c r="AD1062" s="4"/>
      <c r="AE1062" s="4"/>
      <c r="AF1062" s="4"/>
      <c r="AG1062" s="45"/>
      <c r="AH1062" s="4"/>
      <c r="AI1062" s="4"/>
      <c r="AJ1062" s="4"/>
      <c r="AK1062" s="4"/>
      <c r="AL1062" s="45"/>
      <c r="AM1062" s="4"/>
      <c r="AN1062" s="4"/>
      <c r="AO1062" s="4"/>
      <c r="AP1062" s="4"/>
      <c r="AQ1062" s="45"/>
      <c r="AR1062" s="4"/>
      <c r="AS1062" s="4"/>
      <c r="AT1062" s="4"/>
      <c r="AU1062" s="4"/>
      <c r="AV1062" s="45"/>
      <c r="AW1062" s="4"/>
      <c r="AX1062" s="4"/>
      <c r="AY1062" s="4"/>
      <c r="AZ1062" s="4"/>
      <c r="BA1062" s="45"/>
      <c r="BB1062" s="4"/>
      <c r="BC1062" s="4"/>
      <c r="BD1062" s="4"/>
      <c r="BE1062" s="4"/>
      <c r="BF1062" s="45"/>
      <c r="BG1062" s="4"/>
      <c r="BH1062" s="4"/>
      <c r="BI1062" s="4"/>
      <c r="BJ1062" s="4"/>
      <c r="BK1062" s="45"/>
      <c r="BL1062" s="4"/>
      <c r="BM1062" s="4"/>
      <c r="BN1062" s="4"/>
      <c r="BO1062" s="4"/>
      <c r="BP1062" s="45"/>
      <c r="BQ1062" s="4"/>
      <c r="BR1062" s="4"/>
      <c r="BS1062" s="4"/>
      <c r="BT1062" s="4"/>
      <c r="BU1062" s="45"/>
      <c r="BV1062" s="4"/>
      <c r="BW1062" s="4"/>
      <c r="BX1062" s="4"/>
      <c r="BY1062" s="4"/>
      <c r="BZ1062" s="350"/>
      <c r="CA1062" s="4"/>
      <c r="CB1062" s="4"/>
      <c r="CC1062" s="4"/>
      <c r="CD1062" s="4"/>
      <c r="CE1062" s="350"/>
      <c r="CF1062" s="4"/>
      <c r="CG1062" s="4"/>
      <c r="CH1062" s="4"/>
      <c r="CI1062" s="4"/>
      <c r="CJ1062" s="350"/>
      <c r="CK1062" s="4"/>
      <c r="CL1062" s="4"/>
      <c r="CM1062" s="4"/>
      <c r="CN1062" s="16"/>
      <c r="CO1062" s="350"/>
      <c r="CP1062" s="16"/>
      <c r="CQ1062" s="4"/>
      <c r="CR1062" s="4"/>
      <c r="CS1062" s="4"/>
      <c r="CT1062" s="350"/>
      <c r="CU1062" s="4"/>
      <c r="CV1062" s="4"/>
      <c r="CW1062" s="4"/>
      <c r="CX1062" s="4"/>
      <c r="CY1062" s="350"/>
      <c r="CZ1062" s="4"/>
      <c r="DA1062" s="4"/>
      <c r="DB1062" s="4"/>
      <c r="DC1062" s="4"/>
      <c r="DD1062" s="350"/>
      <c r="DE1062" s="4"/>
      <c r="DF1062" s="4"/>
      <c r="DG1062" s="16"/>
      <c r="DH1062" s="4"/>
      <c r="DI1062" s="350"/>
      <c r="DJ1062" s="16"/>
      <c r="DK1062" s="16"/>
      <c r="DL1062" s="16"/>
      <c r="DM1062" s="4"/>
      <c r="DN1062" s="350"/>
      <c r="DO1062" s="4"/>
      <c r="DP1062" s="4"/>
      <c r="DQ1062" s="4"/>
      <c r="DR1062" s="4"/>
      <c r="DS1062" s="350"/>
      <c r="DT1062" s="4"/>
      <c r="DU1062" s="4"/>
      <c r="DV1062" s="4"/>
      <c r="DW1062" s="4"/>
      <c r="DX1062" s="350"/>
      <c r="DY1062" s="4"/>
      <c r="DZ1062" s="4"/>
      <c r="EA1062" s="4"/>
      <c r="EB1062" s="4"/>
      <c r="EC1062" s="350"/>
      <c r="ED1062" s="4"/>
      <c r="EE1062" s="4"/>
      <c r="EF1062" s="4"/>
      <c r="EG1062" s="4"/>
      <c r="EH1062" s="350"/>
      <c r="EI1062" s="214"/>
      <c r="EJ1062" s="4"/>
      <c r="EK1062" s="4"/>
      <c r="EL1062" s="4"/>
      <c r="EM1062" s="350"/>
      <c r="EN1062" s="4"/>
      <c r="EO1062" s="4"/>
      <c r="EP1062" s="4"/>
      <c r="EQ1062" s="4"/>
      <c r="ER1062" s="350"/>
      <c r="ES1062" s="4"/>
      <c r="ET1062" s="4"/>
      <c r="EU1062" s="4"/>
      <c r="EV1062" s="4"/>
      <c r="EW1062" s="350"/>
      <c r="EX1062" s="4"/>
      <c r="EY1062" s="4"/>
      <c r="EZ1062" s="4"/>
      <c r="FA1062" s="4"/>
      <c r="FB1062" s="350"/>
      <c r="FC1062" s="4"/>
      <c r="FD1062" s="4"/>
      <c r="FE1062" s="4"/>
      <c r="FF1062" s="4"/>
      <c r="FG1062" s="350"/>
      <c r="FH1062" s="145"/>
      <c r="FI1062" s="4"/>
      <c r="FJ1062" s="4"/>
      <c r="FK1062" s="45"/>
      <c r="FL1062" s="4"/>
    </row>
    <row r="1063" ht="12.75" hidden="1" customHeight="1" outlineLevel="1">
      <c r="A1063" s="4"/>
      <c r="B1063" s="45" t="s">
        <v>378</v>
      </c>
      <c r="C1063" s="4"/>
      <c r="D1063" s="4"/>
      <c r="E1063" s="4"/>
      <c r="F1063" s="4"/>
      <c r="G1063" s="4"/>
      <c r="H1063" s="45"/>
      <c r="I1063" s="4"/>
      <c r="J1063" s="4"/>
      <c r="K1063" s="4"/>
      <c r="L1063" s="4"/>
      <c r="M1063" s="45"/>
      <c r="N1063" s="4"/>
      <c r="O1063" s="4"/>
      <c r="P1063" s="4"/>
      <c r="Q1063" s="4"/>
      <c r="R1063" s="45"/>
      <c r="S1063" s="4"/>
      <c r="T1063" s="4"/>
      <c r="U1063" s="4"/>
      <c r="V1063" s="4"/>
      <c r="W1063" s="45"/>
      <c r="X1063" s="4"/>
      <c r="Y1063" s="4"/>
      <c r="Z1063" s="4"/>
      <c r="AA1063" s="4"/>
      <c r="AB1063" s="45"/>
      <c r="AC1063" s="4"/>
      <c r="AD1063" s="4"/>
      <c r="AE1063" s="4"/>
      <c r="AF1063" s="4"/>
      <c r="AG1063" s="45"/>
      <c r="AH1063" s="4"/>
      <c r="AI1063" s="4"/>
      <c r="AJ1063" s="4"/>
      <c r="AK1063" s="4"/>
      <c r="AL1063" s="45"/>
      <c r="AM1063" s="4"/>
      <c r="AN1063" s="4"/>
      <c r="AO1063" s="4"/>
      <c r="AP1063" s="4"/>
      <c r="AQ1063" s="45"/>
      <c r="AR1063" s="4"/>
      <c r="AS1063" s="4"/>
      <c r="AT1063" s="4"/>
      <c r="AU1063" s="4"/>
      <c r="AV1063" s="45"/>
      <c r="AW1063" s="4"/>
      <c r="AX1063" s="4"/>
      <c r="AY1063" s="4"/>
      <c r="AZ1063" s="4"/>
      <c r="BA1063" s="45"/>
      <c r="BB1063" s="4"/>
      <c r="BC1063" s="4"/>
      <c r="BD1063" s="4"/>
      <c r="BE1063" s="4"/>
      <c r="BF1063" s="45"/>
      <c r="BG1063" s="4"/>
      <c r="BH1063" s="4"/>
      <c r="BI1063" s="4"/>
      <c r="BJ1063" s="4"/>
      <c r="BK1063" s="45"/>
      <c r="BL1063" s="4"/>
      <c r="BM1063" s="4"/>
      <c r="BN1063" s="4"/>
      <c r="BO1063" s="4"/>
      <c r="BP1063" s="45"/>
      <c r="BQ1063" s="4"/>
      <c r="BR1063" s="4"/>
      <c r="BS1063" s="4"/>
      <c r="BT1063" s="4"/>
      <c r="BU1063" s="45"/>
      <c r="BV1063" s="4"/>
      <c r="BW1063" s="4"/>
      <c r="BX1063" s="4"/>
      <c r="BY1063" s="4"/>
      <c r="BZ1063" s="350"/>
      <c r="CA1063" s="4"/>
      <c r="CB1063" s="4"/>
      <c r="CC1063" s="4"/>
      <c r="CD1063" s="4"/>
      <c r="CE1063" s="350"/>
      <c r="CF1063" s="4"/>
      <c r="CG1063" s="4"/>
      <c r="CH1063" s="4"/>
      <c r="CI1063" s="4"/>
      <c r="CJ1063" s="350"/>
      <c r="CK1063" s="4"/>
      <c r="CL1063" s="4"/>
      <c r="CM1063" s="4"/>
      <c r="CN1063" s="16"/>
      <c r="CO1063" s="350"/>
      <c r="CP1063" s="16"/>
      <c r="CQ1063" s="4"/>
      <c r="CR1063" s="4"/>
      <c r="CS1063" s="4"/>
      <c r="CT1063" s="350"/>
      <c r="CU1063" s="4"/>
      <c r="CV1063" s="4"/>
      <c r="CW1063" s="4"/>
      <c r="CX1063" s="4"/>
      <c r="CY1063" s="350"/>
      <c r="CZ1063" s="4"/>
      <c r="DA1063" s="4"/>
      <c r="DB1063" s="4"/>
      <c r="DC1063" s="4"/>
      <c r="DD1063" s="350"/>
      <c r="DE1063" s="4"/>
      <c r="DF1063" s="4"/>
      <c r="DG1063" s="16"/>
      <c r="DH1063" s="4"/>
      <c r="DI1063" s="350"/>
      <c r="DJ1063" s="16"/>
      <c r="DK1063" s="16"/>
      <c r="DL1063" s="16"/>
      <c r="DM1063" s="4"/>
      <c r="DN1063" s="350"/>
      <c r="DO1063" s="4"/>
      <c r="DP1063" s="4"/>
      <c r="DQ1063" s="4"/>
      <c r="DR1063" s="4"/>
      <c r="DS1063" s="350"/>
      <c r="DT1063" s="4"/>
      <c r="DU1063" s="4"/>
      <c r="DV1063" s="4"/>
      <c r="DW1063" s="4"/>
      <c r="DX1063" s="350"/>
      <c r="DY1063" s="4"/>
      <c r="DZ1063" s="4"/>
      <c r="EA1063" s="4"/>
      <c r="EB1063" s="4"/>
      <c r="EC1063" s="350"/>
      <c r="ED1063" s="4"/>
      <c r="EE1063" s="4"/>
      <c r="EF1063" s="4"/>
      <c r="EG1063" s="4"/>
      <c r="EH1063" s="350"/>
      <c r="EI1063" s="214"/>
      <c r="EJ1063" s="4"/>
      <c r="EK1063" s="4"/>
      <c r="EL1063" s="4"/>
      <c r="EM1063" s="350"/>
      <c r="EN1063" s="4"/>
      <c r="EO1063" s="4"/>
      <c r="EP1063" s="4"/>
      <c r="EQ1063" s="4"/>
      <c r="ER1063" s="350"/>
      <c r="ES1063" s="4"/>
      <c r="ET1063" s="4"/>
      <c r="EU1063" s="4"/>
      <c r="EV1063" s="4"/>
      <c r="EW1063" s="350"/>
      <c r="EX1063" s="4"/>
      <c r="EY1063" s="4"/>
      <c r="EZ1063" s="4"/>
      <c r="FA1063" s="4"/>
      <c r="FB1063" s="350"/>
      <c r="FC1063" s="4"/>
      <c r="FD1063" s="4"/>
      <c r="FE1063" s="4"/>
      <c r="FF1063" s="4"/>
      <c r="FG1063" s="350"/>
      <c r="FH1063" s="145"/>
      <c r="FI1063" s="4"/>
      <c r="FJ1063" s="4"/>
      <c r="FK1063" s="45"/>
      <c r="FL1063" s="4"/>
    </row>
    <row r="1064" ht="12.75" hidden="1" customHeight="1" outlineLevel="1">
      <c r="A1064" s="4"/>
      <c r="B1064" s="4" t="s">
        <v>379</v>
      </c>
      <c r="C1064" s="4"/>
      <c r="D1064" s="15"/>
      <c r="E1064" s="15"/>
      <c r="F1064" s="15"/>
      <c r="G1064" s="15"/>
      <c r="H1064" s="410"/>
      <c r="I1064" s="15" t="str">
        <f t="shared" ref="I1064:FG1064" si="5502">I1058/I$1060</f>
        <v>#ERROR!</v>
      </c>
      <c r="J1064" s="15" t="str">
        <f t="shared" si="5502"/>
        <v>#ERROR!</v>
      </c>
      <c r="K1064" s="15" t="str">
        <f t="shared" si="5502"/>
        <v>#ERROR!</v>
      </c>
      <c r="L1064" s="15" t="str">
        <f t="shared" si="5502"/>
        <v>#ERROR!</v>
      </c>
      <c r="M1064" s="410" t="str">
        <f t="shared" si="5502"/>
        <v>#ERROR!</v>
      </c>
      <c r="N1064" s="15" t="str">
        <f t="shared" si="5502"/>
        <v>#ERROR!</v>
      </c>
      <c r="O1064" s="15" t="str">
        <f t="shared" si="5502"/>
        <v>#ERROR!</v>
      </c>
      <c r="P1064" s="15" t="str">
        <f t="shared" si="5502"/>
        <v>#ERROR!</v>
      </c>
      <c r="Q1064" s="15" t="str">
        <f t="shared" si="5502"/>
        <v>#ERROR!</v>
      </c>
      <c r="R1064" s="410" t="str">
        <f t="shared" si="5502"/>
        <v>#ERROR!</v>
      </c>
      <c r="S1064" s="15" t="str">
        <f t="shared" si="5502"/>
        <v>#ERROR!</v>
      </c>
      <c r="T1064" s="15" t="str">
        <f t="shared" si="5502"/>
        <v>#ERROR!</v>
      </c>
      <c r="U1064" s="15" t="str">
        <f t="shared" si="5502"/>
        <v>#ERROR!</v>
      </c>
      <c r="V1064" s="15" t="str">
        <f t="shared" si="5502"/>
        <v>#ERROR!</v>
      </c>
      <c r="W1064" s="410" t="str">
        <f t="shared" si="5502"/>
        <v>#ERROR!</v>
      </c>
      <c r="X1064" s="15" t="str">
        <f t="shared" si="5502"/>
        <v>#ERROR!</v>
      </c>
      <c r="Y1064" s="15" t="str">
        <f t="shared" si="5502"/>
        <v>#ERROR!</v>
      </c>
      <c r="Z1064" s="15" t="str">
        <f t="shared" si="5502"/>
        <v>#ERROR!</v>
      </c>
      <c r="AA1064" s="15" t="str">
        <f t="shared" si="5502"/>
        <v>#ERROR!</v>
      </c>
      <c r="AB1064" s="410" t="str">
        <f t="shared" si="5502"/>
        <v>#ERROR!</v>
      </c>
      <c r="AC1064" s="15" t="str">
        <f t="shared" si="5502"/>
        <v>#ERROR!</v>
      </c>
      <c r="AD1064" s="15" t="str">
        <f t="shared" si="5502"/>
        <v>#ERROR!</v>
      </c>
      <c r="AE1064" s="15" t="str">
        <f t="shared" si="5502"/>
        <v>#ERROR!</v>
      </c>
      <c r="AF1064" s="15" t="str">
        <f t="shared" si="5502"/>
        <v>#ERROR!</v>
      </c>
      <c r="AG1064" s="410" t="str">
        <f t="shared" si="5502"/>
        <v>#ERROR!</v>
      </c>
      <c r="AH1064" s="15" t="str">
        <f t="shared" si="5502"/>
        <v>#ERROR!</v>
      </c>
      <c r="AI1064" s="15" t="str">
        <f t="shared" si="5502"/>
        <v>#ERROR!</v>
      </c>
      <c r="AJ1064" s="15" t="str">
        <f t="shared" si="5502"/>
        <v>#ERROR!</v>
      </c>
      <c r="AK1064" s="15" t="str">
        <f t="shared" si="5502"/>
        <v>#ERROR!</v>
      </c>
      <c r="AL1064" s="410" t="str">
        <f t="shared" si="5502"/>
        <v>#ERROR!</v>
      </c>
      <c r="AM1064" s="15" t="str">
        <f t="shared" si="5502"/>
        <v>#ERROR!</v>
      </c>
      <c r="AN1064" s="15" t="str">
        <f t="shared" si="5502"/>
        <v>#ERROR!</v>
      </c>
      <c r="AO1064" s="15" t="str">
        <f t="shared" si="5502"/>
        <v>#ERROR!</v>
      </c>
      <c r="AP1064" s="15" t="str">
        <f t="shared" si="5502"/>
        <v>#ERROR!</v>
      </c>
      <c r="AQ1064" s="410" t="str">
        <f t="shared" si="5502"/>
        <v>#ERROR!</v>
      </c>
      <c r="AR1064" s="15" t="str">
        <f t="shared" si="5502"/>
        <v>#ERROR!</v>
      </c>
      <c r="AS1064" s="15" t="str">
        <f t="shared" si="5502"/>
        <v>#ERROR!</v>
      </c>
      <c r="AT1064" s="15" t="str">
        <f t="shared" si="5502"/>
        <v>#ERROR!</v>
      </c>
      <c r="AU1064" s="15" t="str">
        <f t="shared" si="5502"/>
        <v>#ERROR!</v>
      </c>
      <c r="AV1064" s="410" t="str">
        <f t="shared" si="5502"/>
        <v>#ERROR!</v>
      </c>
      <c r="AW1064" s="15" t="str">
        <f t="shared" si="5502"/>
        <v>#ERROR!</v>
      </c>
      <c r="AX1064" s="15" t="str">
        <f t="shared" si="5502"/>
        <v>#ERROR!</v>
      </c>
      <c r="AY1064" s="15" t="str">
        <f t="shared" si="5502"/>
        <v>#ERROR!</v>
      </c>
      <c r="AZ1064" s="15" t="str">
        <f t="shared" si="5502"/>
        <v>#ERROR!</v>
      </c>
      <c r="BA1064" s="410" t="str">
        <f t="shared" si="5502"/>
        <v>#ERROR!</v>
      </c>
      <c r="BB1064" s="15" t="str">
        <f t="shared" si="5502"/>
        <v>#ERROR!</v>
      </c>
      <c r="BC1064" s="15" t="str">
        <f t="shared" si="5502"/>
        <v>#ERROR!</v>
      </c>
      <c r="BD1064" s="15" t="str">
        <f t="shared" si="5502"/>
        <v>#ERROR!</v>
      </c>
      <c r="BE1064" s="15" t="str">
        <f t="shared" si="5502"/>
        <v>#ERROR!</v>
      </c>
      <c r="BF1064" s="410" t="str">
        <f t="shared" si="5502"/>
        <v>#ERROR!</v>
      </c>
      <c r="BG1064" s="15" t="str">
        <f t="shared" si="5502"/>
        <v>#ERROR!</v>
      </c>
      <c r="BH1064" s="15" t="str">
        <f t="shared" si="5502"/>
        <v>#ERROR!</v>
      </c>
      <c r="BI1064" s="15" t="str">
        <f t="shared" si="5502"/>
        <v>#ERROR!</v>
      </c>
      <c r="BJ1064" s="15" t="str">
        <f t="shared" si="5502"/>
        <v>#ERROR!</v>
      </c>
      <c r="BK1064" s="410" t="str">
        <f t="shared" si="5502"/>
        <v>#ERROR!</v>
      </c>
      <c r="BL1064" s="15" t="str">
        <f t="shared" si="5502"/>
        <v>#ERROR!</v>
      </c>
      <c r="BM1064" s="15" t="str">
        <f t="shared" si="5502"/>
        <v>#ERROR!</v>
      </c>
      <c r="BN1064" s="15" t="str">
        <f t="shared" si="5502"/>
        <v>#ERROR!</v>
      </c>
      <c r="BO1064" s="15" t="str">
        <f t="shared" si="5502"/>
        <v>#ERROR!</v>
      </c>
      <c r="BP1064" s="410" t="str">
        <f t="shared" si="5502"/>
        <v>#ERROR!</v>
      </c>
      <c r="BQ1064" s="15" t="str">
        <f t="shared" si="5502"/>
        <v>#ERROR!</v>
      </c>
      <c r="BR1064" s="15" t="str">
        <f t="shared" si="5502"/>
        <v>#ERROR!</v>
      </c>
      <c r="BS1064" s="15" t="str">
        <f t="shared" si="5502"/>
        <v>#ERROR!</v>
      </c>
      <c r="BT1064" s="15" t="str">
        <f t="shared" si="5502"/>
        <v>#ERROR!</v>
      </c>
      <c r="BU1064" s="410" t="str">
        <f t="shared" si="5502"/>
        <v>#ERROR!</v>
      </c>
      <c r="BV1064" s="15" t="str">
        <f t="shared" si="5502"/>
        <v>#ERROR!</v>
      </c>
      <c r="BW1064" s="15" t="str">
        <f t="shared" si="5502"/>
        <v>#ERROR!</v>
      </c>
      <c r="BX1064" s="15" t="str">
        <f t="shared" si="5502"/>
        <v>#ERROR!</v>
      </c>
      <c r="BY1064" s="15" t="str">
        <f t="shared" si="5502"/>
        <v>#ERROR!</v>
      </c>
      <c r="BZ1064" s="24" t="str">
        <f t="shared" si="5502"/>
        <v>#ERROR!</v>
      </c>
      <c r="CA1064" s="15" t="str">
        <f t="shared" si="5502"/>
        <v>#ERROR!</v>
      </c>
      <c r="CB1064" s="15" t="str">
        <f t="shared" si="5502"/>
        <v>#ERROR!</v>
      </c>
      <c r="CC1064" s="15" t="str">
        <f t="shared" si="5502"/>
        <v>#ERROR!</v>
      </c>
      <c r="CD1064" s="15" t="str">
        <f t="shared" si="5502"/>
        <v>#ERROR!</v>
      </c>
      <c r="CE1064" s="24" t="str">
        <f t="shared" si="5502"/>
        <v>#ERROR!</v>
      </c>
      <c r="CF1064" s="15" t="str">
        <f t="shared" si="5502"/>
        <v>#ERROR!</v>
      </c>
      <c r="CG1064" s="15" t="str">
        <f t="shared" si="5502"/>
        <v>#ERROR!</v>
      </c>
      <c r="CH1064" s="15" t="str">
        <f t="shared" si="5502"/>
        <v>#ERROR!</v>
      </c>
      <c r="CI1064" s="15" t="str">
        <f t="shared" si="5502"/>
        <v>#ERROR!</v>
      </c>
      <c r="CJ1064" s="24" t="str">
        <f t="shared" si="5502"/>
        <v>#ERROR!</v>
      </c>
      <c r="CK1064" s="15" t="str">
        <f t="shared" si="5502"/>
        <v>#ERROR!</v>
      </c>
      <c r="CL1064" s="15" t="str">
        <f t="shared" si="5502"/>
        <v>#ERROR!</v>
      </c>
      <c r="CM1064" s="15" t="str">
        <f t="shared" si="5502"/>
        <v>#ERROR!</v>
      </c>
      <c r="CN1064" s="40" t="str">
        <f t="shared" si="5502"/>
        <v>#ERROR!</v>
      </c>
      <c r="CO1064" s="24" t="str">
        <f t="shared" si="5502"/>
        <v>#ERROR!</v>
      </c>
      <c r="CP1064" s="40" t="str">
        <f t="shared" si="5502"/>
        <v>#ERROR!</v>
      </c>
      <c r="CQ1064" s="15" t="str">
        <f t="shared" si="5502"/>
        <v>#ERROR!</v>
      </c>
      <c r="CR1064" s="15" t="str">
        <f t="shared" si="5502"/>
        <v>#ERROR!</v>
      </c>
      <c r="CS1064" s="15" t="str">
        <f t="shared" si="5502"/>
        <v>#ERROR!</v>
      </c>
      <c r="CT1064" s="24" t="str">
        <f t="shared" si="5502"/>
        <v>#ERROR!</v>
      </c>
      <c r="CU1064" s="15" t="str">
        <f t="shared" si="5502"/>
        <v>#ERROR!</v>
      </c>
      <c r="CV1064" s="15" t="str">
        <f t="shared" si="5502"/>
        <v>#ERROR!</v>
      </c>
      <c r="CW1064" s="15" t="str">
        <f t="shared" si="5502"/>
        <v>#ERROR!</v>
      </c>
      <c r="CX1064" s="15" t="str">
        <f t="shared" si="5502"/>
        <v>#ERROR!</v>
      </c>
      <c r="CY1064" s="24" t="str">
        <f t="shared" si="5502"/>
        <v>#ERROR!</v>
      </c>
      <c r="CZ1064" s="15" t="str">
        <f t="shared" si="5502"/>
        <v>#ERROR!</v>
      </c>
      <c r="DA1064" s="15" t="str">
        <f t="shared" si="5502"/>
        <v>#ERROR!</v>
      </c>
      <c r="DB1064" s="15" t="str">
        <f t="shared" si="5502"/>
        <v>#ERROR!</v>
      </c>
      <c r="DC1064" s="15" t="str">
        <f t="shared" si="5502"/>
        <v>#ERROR!</v>
      </c>
      <c r="DD1064" s="24" t="str">
        <f t="shared" si="5502"/>
        <v>#ERROR!</v>
      </c>
      <c r="DE1064" s="15" t="str">
        <f t="shared" si="5502"/>
        <v>#ERROR!</v>
      </c>
      <c r="DF1064" s="15" t="str">
        <f t="shared" si="5502"/>
        <v>#ERROR!</v>
      </c>
      <c r="DG1064" s="40" t="str">
        <f t="shared" si="5502"/>
        <v>#ERROR!</v>
      </c>
      <c r="DH1064" s="15" t="str">
        <f t="shared" si="5502"/>
        <v>#ERROR!</v>
      </c>
      <c r="DI1064" s="24" t="str">
        <f t="shared" si="5502"/>
        <v>#ERROR!</v>
      </c>
      <c r="DJ1064" s="40" t="str">
        <f t="shared" si="5502"/>
        <v>#ERROR!</v>
      </c>
      <c r="DK1064" s="40" t="str">
        <f t="shared" si="5502"/>
        <v>#ERROR!</v>
      </c>
      <c r="DL1064" s="40" t="str">
        <f t="shared" si="5502"/>
        <v>#ERROR!</v>
      </c>
      <c r="DM1064" s="15" t="str">
        <f t="shared" si="5502"/>
        <v>#ERROR!</v>
      </c>
      <c r="DN1064" s="24" t="str">
        <f t="shared" si="5502"/>
        <v>#ERROR!</v>
      </c>
      <c r="DO1064" s="15" t="str">
        <f t="shared" si="5502"/>
        <v>#ERROR!</v>
      </c>
      <c r="DP1064" s="15" t="str">
        <f t="shared" si="5502"/>
        <v>#ERROR!</v>
      </c>
      <c r="DQ1064" s="15" t="str">
        <f t="shared" si="5502"/>
        <v>#ERROR!</v>
      </c>
      <c r="DR1064" s="15" t="str">
        <f t="shared" si="5502"/>
        <v>#ERROR!</v>
      </c>
      <c r="DS1064" s="24" t="str">
        <f t="shared" si="5502"/>
        <v>#ERROR!</v>
      </c>
      <c r="DT1064" s="15" t="str">
        <f t="shared" si="5502"/>
        <v>#ERROR!</v>
      </c>
      <c r="DU1064" s="15" t="str">
        <f t="shared" si="5502"/>
        <v>#ERROR!</v>
      </c>
      <c r="DV1064" s="15" t="str">
        <f t="shared" si="5502"/>
        <v>#ERROR!</v>
      </c>
      <c r="DW1064" s="15" t="str">
        <f t="shared" si="5502"/>
        <v>#ERROR!</v>
      </c>
      <c r="DX1064" s="24" t="str">
        <f t="shared" si="5502"/>
        <v>#ERROR!</v>
      </c>
      <c r="DY1064" s="15" t="str">
        <f t="shared" si="5502"/>
        <v>#ERROR!</v>
      </c>
      <c r="DZ1064" s="15" t="str">
        <f t="shared" si="5502"/>
        <v>#ERROR!</v>
      </c>
      <c r="EA1064" s="15" t="str">
        <f t="shared" si="5502"/>
        <v>#ERROR!</v>
      </c>
      <c r="EB1064" s="15" t="str">
        <f t="shared" si="5502"/>
        <v>#ERROR!</v>
      </c>
      <c r="EC1064" s="24" t="str">
        <f t="shared" si="5502"/>
        <v>#ERROR!</v>
      </c>
      <c r="ED1064" s="15" t="str">
        <f t="shared" si="5502"/>
        <v>#ERROR!</v>
      </c>
      <c r="EE1064" s="15" t="str">
        <f t="shared" si="5502"/>
        <v>#ERROR!</v>
      </c>
      <c r="EF1064" s="15" t="str">
        <f t="shared" si="5502"/>
        <v>#ERROR!</v>
      </c>
      <c r="EG1064" s="15" t="str">
        <f t="shared" si="5502"/>
        <v>#ERROR!</v>
      </c>
      <c r="EH1064" s="24" t="str">
        <f t="shared" si="5502"/>
        <v>#ERROR!</v>
      </c>
      <c r="EI1064" s="82" t="str">
        <f t="shared" si="5502"/>
        <v>#ERROR!</v>
      </c>
      <c r="EJ1064" s="15" t="str">
        <f t="shared" si="5502"/>
        <v>#ERROR!</v>
      </c>
      <c r="EK1064" s="15" t="str">
        <f t="shared" si="5502"/>
        <v>#ERROR!</v>
      </c>
      <c r="EL1064" s="15" t="str">
        <f t="shared" si="5502"/>
        <v>#ERROR!</v>
      </c>
      <c r="EM1064" s="24" t="str">
        <f t="shared" si="5502"/>
        <v>#ERROR!</v>
      </c>
      <c r="EN1064" s="15" t="str">
        <f t="shared" si="5502"/>
        <v>#ERROR!</v>
      </c>
      <c r="EO1064" s="15" t="str">
        <f t="shared" si="5502"/>
        <v>#ERROR!</v>
      </c>
      <c r="EP1064" s="15" t="str">
        <f t="shared" si="5502"/>
        <v>#ERROR!</v>
      </c>
      <c r="EQ1064" s="15" t="str">
        <f t="shared" si="5502"/>
        <v>#ERROR!</v>
      </c>
      <c r="ER1064" s="24" t="str">
        <f t="shared" si="5502"/>
        <v>#ERROR!</v>
      </c>
      <c r="ES1064" s="15" t="str">
        <f t="shared" si="5502"/>
        <v>#ERROR!</v>
      </c>
      <c r="ET1064" s="15" t="str">
        <f t="shared" si="5502"/>
        <v>#ERROR!</v>
      </c>
      <c r="EU1064" s="15" t="str">
        <f t="shared" si="5502"/>
        <v>#ERROR!</v>
      </c>
      <c r="EV1064" s="15" t="str">
        <f t="shared" si="5502"/>
        <v>#ERROR!</v>
      </c>
      <c r="EW1064" s="24" t="str">
        <f t="shared" si="5502"/>
        <v>#ERROR!</v>
      </c>
      <c r="EX1064" s="15" t="str">
        <f t="shared" si="5502"/>
        <v>#ERROR!</v>
      </c>
      <c r="EY1064" s="15" t="str">
        <f t="shared" si="5502"/>
        <v>#ERROR!</v>
      </c>
      <c r="EZ1064" s="15" t="str">
        <f t="shared" si="5502"/>
        <v>#ERROR!</v>
      </c>
      <c r="FA1064" s="15" t="str">
        <f t="shared" si="5502"/>
        <v>#ERROR!</v>
      </c>
      <c r="FB1064" s="24" t="str">
        <f t="shared" si="5502"/>
        <v>#ERROR!</v>
      </c>
      <c r="FC1064" s="15" t="str">
        <f t="shared" si="5502"/>
        <v>#ERROR!</v>
      </c>
      <c r="FD1064" s="15" t="str">
        <f t="shared" si="5502"/>
        <v>#ERROR!</v>
      </c>
      <c r="FE1064" s="15" t="str">
        <f t="shared" si="5502"/>
        <v>#ERROR!</v>
      </c>
      <c r="FF1064" s="15" t="str">
        <f t="shared" si="5502"/>
        <v>#ERROR!</v>
      </c>
      <c r="FG1064" s="24" t="str">
        <f t="shared" si="5502"/>
        <v>#ERROR!</v>
      </c>
      <c r="FH1064" s="104"/>
      <c r="FI1064" s="15"/>
      <c r="FJ1064" s="15"/>
      <c r="FK1064" s="410"/>
      <c r="FL1064" s="15"/>
    </row>
    <row r="1065" ht="12.75" hidden="1" customHeight="1" outlineLevel="1">
      <c r="A1065" s="4"/>
      <c r="B1065" s="4" t="s">
        <v>380</v>
      </c>
      <c r="C1065" s="4"/>
      <c r="D1065" s="15"/>
      <c r="E1065" s="15"/>
      <c r="F1065" s="15"/>
      <c r="G1065" s="15"/>
      <c r="H1065" s="410"/>
      <c r="I1065" s="15" t="str">
        <f t="shared" ref="I1065:FG1065" si="5503">I1059/I$1060</f>
        <v>#REF!</v>
      </c>
      <c r="J1065" s="15" t="str">
        <f t="shared" si="5503"/>
        <v>#REF!</v>
      </c>
      <c r="K1065" s="15" t="str">
        <f t="shared" si="5503"/>
        <v>#REF!</v>
      </c>
      <c r="L1065" s="15" t="str">
        <f t="shared" si="5503"/>
        <v>#REF!</v>
      </c>
      <c r="M1065" s="410" t="str">
        <f t="shared" si="5503"/>
        <v>#REF!</v>
      </c>
      <c r="N1065" s="15" t="str">
        <f t="shared" si="5503"/>
        <v>#REF!</v>
      </c>
      <c r="O1065" s="15" t="str">
        <f t="shared" si="5503"/>
        <v>#REF!</v>
      </c>
      <c r="P1065" s="15" t="str">
        <f t="shared" si="5503"/>
        <v>#REF!</v>
      </c>
      <c r="Q1065" s="15" t="str">
        <f t="shared" si="5503"/>
        <v>#REF!</v>
      </c>
      <c r="R1065" s="410" t="str">
        <f t="shared" si="5503"/>
        <v>#REF!</v>
      </c>
      <c r="S1065" s="15" t="str">
        <f t="shared" si="5503"/>
        <v>#REF!</v>
      </c>
      <c r="T1065" s="15" t="str">
        <f t="shared" si="5503"/>
        <v>#REF!</v>
      </c>
      <c r="U1065" s="15" t="str">
        <f t="shared" si="5503"/>
        <v>#REF!</v>
      </c>
      <c r="V1065" s="15" t="str">
        <f t="shared" si="5503"/>
        <v>#REF!</v>
      </c>
      <c r="W1065" s="410" t="str">
        <f t="shared" si="5503"/>
        <v>#REF!</v>
      </c>
      <c r="X1065" s="15" t="str">
        <f t="shared" si="5503"/>
        <v>#REF!</v>
      </c>
      <c r="Y1065" s="15" t="str">
        <f t="shared" si="5503"/>
        <v>#REF!</v>
      </c>
      <c r="Z1065" s="15" t="str">
        <f t="shared" si="5503"/>
        <v>#REF!</v>
      </c>
      <c r="AA1065" s="15" t="str">
        <f t="shared" si="5503"/>
        <v>#REF!</v>
      </c>
      <c r="AB1065" s="410" t="str">
        <f t="shared" si="5503"/>
        <v>#REF!</v>
      </c>
      <c r="AC1065" s="15" t="str">
        <f t="shared" si="5503"/>
        <v>#REF!</v>
      </c>
      <c r="AD1065" s="15" t="str">
        <f t="shared" si="5503"/>
        <v>#REF!</v>
      </c>
      <c r="AE1065" s="15" t="str">
        <f t="shared" si="5503"/>
        <v>#REF!</v>
      </c>
      <c r="AF1065" s="15" t="str">
        <f t="shared" si="5503"/>
        <v>#REF!</v>
      </c>
      <c r="AG1065" s="410" t="str">
        <f t="shared" si="5503"/>
        <v>#REF!</v>
      </c>
      <c r="AH1065" s="15" t="str">
        <f t="shared" si="5503"/>
        <v>#REF!</v>
      </c>
      <c r="AI1065" s="15" t="str">
        <f t="shared" si="5503"/>
        <v>#REF!</v>
      </c>
      <c r="AJ1065" s="15" t="str">
        <f t="shared" si="5503"/>
        <v>#REF!</v>
      </c>
      <c r="AK1065" s="15" t="str">
        <f t="shared" si="5503"/>
        <v>#REF!</v>
      </c>
      <c r="AL1065" s="410" t="str">
        <f t="shared" si="5503"/>
        <v>#REF!</v>
      </c>
      <c r="AM1065" s="15" t="str">
        <f t="shared" si="5503"/>
        <v>#REF!</v>
      </c>
      <c r="AN1065" s="15" t="str">
        <f t="shared" si="5503"/>
        <v>#REF!</v>
      </c>
      <c r="AO1065" s="15" t="str">
        <f t="shared" si="5503"/>
        <v>#REF!</v>
      </c>
      <c r="AP1065" s="15" t="str">
        <f t="shared" si="5503"/>
        <v>#REF!</v>
      </c>
      <c r="AQ1065" s="410" t="str">
        <f t="shared" si="5503"/>
        <v>#REF!</v>
      </c>
      <c r="AR1065" s="15" t="str">
        <f t="shared" si="5503"/>
        <v>#REF!</v>
      </c>
      <c r="AS1065" s="15" t="str">
        <f t="shared" si="5503"/>
        <v>#REF!</v>
      </c>
      <c r="AT1065" s="15" t="str">
        <f t="shared" si="5503"/>
        <v>#REF!</v>
      </c>
      <c r="AU1065" s="15" t="str">
        <f t="shared" si="5503"/>
        <v>#REF!</v>
      </c>
      <c r="AV1065" s="410" t="str">
        <f t="shared" si="5503"/>
        <v>#REF!</v>
      </c>
      <c r="AW1065" s="15" t="str">
        <f t="shared" si="5503"/>
        <v>#REF!</v>
      </c>
      <c r="AX1065" s="15" t="str">
        <f t="shared" si="5503"/>
        <v>#REF!</v>
      </c>
      <c r="AY1065" s="15" t="str">
        <f t="shared" si="5503"/>
        <v>#REF!</v>
      </c>
      <c r="AZ1065" s="15" t="str">
        <f t="shared" si="5503"/>
        <v>#REF!</v>
      </c>
      <c r="BA1065" s="410" t="str">
        <f t="shared" si="5503"/>
        <v>#REF!</v>
      </c>
      <c r="BB1065" s="15" t="str">
        <f t="shared" si="5503"/>
        <v>#REF!</v>
      </c>
      <c r="BC1065" s="15" t="str">
        <f t="shared" si="5503"/>
        <v>#REF!</v>
      </c>
      <c r="BD1065" s="15" t="str">
        <f t="shared" si="5503"/>
        <v>#REF!</v>
      </c>
      <c r="BE1065" s="15" t="str">
        <f t="shared" si="5503"/>
        <v>#REF!</v>
      </c>
      <c r="BF1065" s="410" t="str">
        <f t="shared" si="5503"/>
        <v>#REF!</v>
      </c>
      <c r="BG1065" s="15" t="str">
        <f t="shared" si="5503"/>
        <v>#REF!</v>
      </c>
      <c r="BH1065" s="15" t="str">
        <f t="shared" si="5503"/>
        <v>#REF!</v>
      </c>
      <c r="BI1065" s="15" t="str">
        <f t="shared" si="5503"/>
        <v>#REF!</v>
      </c>
      <c r="BJ1065" s="15" t="str">
        <f t="shared" si="5503"/>
        <v>#REF!</v>
      </c>
      <c r="BK1065" s="410" t="str">
        <f t="shared" si="5503"/>
        <v>#REF!</v>
      </c>
      <c r="BL1065" s="15" t="str">
        <f t="shared" si="5503"/>
        <v>#REF!</v>
      </c>
      <c r="BM1065" s="15" t="str">
        <f t="shared" si="5503"/>
        <v>#REF!</v>
      </c>
      <c r="BN1065" s="15" t="str">
        <f t="shared" si="5503"/>
        <v>#REF!</v>
      </c>
      <c r="BO1065" s="15" t="str">
        <f t="shared" si="5503"/>
        <v>#REF!</v>
      </c>
      <c r="BP1065" s="410" t="str">
        <f t="shared" si="5503"/>
        <v>#REF!</v>
      </c>
      <c r="BQ1065" s="15" t="str">
        <f t="shared" si="5503"/>
        <v>#REF!</v>
      </c>
      <c r="BR1065" s="15" t="str">
        <f t="shared" si="5503"/>
        <v>#REF!</v>
      </c>
      <c r="BS1065" s="15" t="str">
        <f t="shared" si="5503"/>
        <v>#REF!</v>
      </c>
      <c r="BT1065" s="15" t="str">
        <f t="shared" si="5503"/>
        <v>#REF!</v>
      </c>
      <c r="BU1065" s="410" t="str">
        <f t="shared" si="5503"/>
        <v>#REF!</v>
      </c>
      <c r="BV1065" s="15" t="str">
        <f t="shared" si="5503"/>
        <v>#REF!</v>
      </c>
      <c r="BW1065" s="15" t="str">
        <f t="shared" si="5503"/>
        <v>#REF!</v>
      </c>
      <c r="BX1065" s="15" t="str">
        <f t="shared" si="5503"/>
        <v>#REF!</v>
      </c>
      <c r="BY1065" s="15" t="str">
        <f t="shared" si="5503"/>
        <v>#REF!</v>
      </c>
      <c r="BZ1065" s="24" t="str">
        <f t="shared" si="5503"/>
        <v>#REF!</v>
      </c>
      <c r="CA1065" s="15" t="str">
        <f t="shared" si="5503"/>
        <v>#REF!</v>
      </c>
      <c r="CB1065" s="15" t="str">
        <f t="shared" si="5503"/>
        <v>#REF!</v>
      </c>
      <c r="CC1065" s="15" t="str">
        <f t="shared" si="5503"/>
        <v>#REF!</v>
      </c>
      <c r="CD1065" s="15" t="str">
        <f t="shared" si="5503"/>
        <v>#REF!</v>
      </c>
      <c r="CE1065" s="24" t="str">
        <f t="shared" si="5503"/>
        <v>#REF!</v>
      </c>
      <c r="CF1065" s="15" t="str">
        <f t="shared" si="5503"/>
        <v>#REF!</v>
      </c>
      <c r="CG1065" s="15" t="str">
        <f t="shared" si="5503"/>
        <v>#REF!</v>
      </c>
      <c r="CH1065" s="15" t="str">
        <f t="shared" si="5503"/>
        <v>#REF!</v>
      </c>
      <c r="CI1065" s="15" t="str">
        <f t="shared" si="5503"/>
        <v>#REF!</v>
      </c>
      <c r="CJ1065" s="24" t="str">
        <f t="shared" si="5503"/>
        <v>#REF!</v>
      </c>
      <c r="CK1065" s="15" t="str">
        <f t="shared" si="5503"/>
        <v>#REF!</v>
      </c>
      <c r="CL1065" s="15" t="str">
        <f t="shared" si="5503"/>
        <v>#REF!</v>
      </c>
      <c r="CM1065" s="15" t="str">
        <f t="shared" si="5503"/>
        <v>#REF!</v>
      </c>
      <c r="CN1065" s="40" t="str">
        <f t="shared" si="5503"/>
        <v>#REF!</v>
      </c>
      <c r="CO1065" s="24" t="str">
        <f t="shared" si="5503"/>
        <v>#REF!</v>
      </c>
      <c r="CP1065" s="40" t="str">
        <f t="shared" si="5503"/>
        <v>#REF!</v>
      </c>
      <c r="CQ1065" s="15" t="str">
        <f t="shared" si="5503"/>
        <v>#REF!</v>
      </c>
      <c r="CR1065" s="15" t="str">
        <f t="shared" si="5503"/>
        <v>#REF!</v>
      </c>
      <c r="CS1065" s="15" t="str">
        <f t="shared" si="5503"/>
        <v>#REF!</v>
      </c>
      <c r="CT1065" s="24" t="str">
        <f t="shared" si="5503"/>
        <v>#REF!</v>
      </c>
      <c r="CU1065" s="15" t="str">
        <f t="shared" si="5503"/>
        <v>#REF!</v>
      </c>
      <c r="CV1065" s="15" t="str">
        <f t="shared" si="5503"/>
        <v>#REF!</v>
      </c>
      <c r="CW1065" s="15" t="str">
        <f t="shared" si="5503"/>
        <v>#REF!</v>
      </c>
      <c r="CX1065" s="15" t="str">
        <f t="shared" si="5503"/>
        <v>#REF!</v>
      </c>
      <c r="CY1065" s="24" t="str">
        <f t="shared" si="5503"/>
        <v>#REF!</v>
      </c>
      <c r="CZ1065" s="15" t="str">
        <f t="shared" si="5503"/>
        <v>#REF!</v>
      </c>
      <c r="DA1065" s="15" t="str">
        <f t="shared" si="5503"/>
        <v>#REF!</v>
      </c>
      <c r="DB1065" s="15" t="str">
        <f t="shared" si="5503"/>
        <v>#REF!</v>
      </c>
      <c r="DC1065" s="15" t="str">
        <f t="shared" si="5503"/>
        <v>#REF!</v>
      </c>
      <c r="DD1065" s="24" t="str">
        <f t="shared" si="5503"/>
        <v>#REF!</v>
      </c>
      <c r="DE1065" s="15" t="str">
        <f t="shared" si="5503"/>
        <v>#REF!</v>
      </c>
      <c r="DF1065" s="15" t="str">
        <f t="shared" si="5503"/>
        <v>#REF!</v>
      </c>
      <c r="DG1065" s="40" t="str">
        <f t="shared" si="5503"/>
        <v>#REF!</v>
      </c>
      <c r="DH1065" s="15" t="str">
        <f t="shared" si="5503"/>
        <v>#REF!</v>
      </c>
      <c r="DI1065" s="24" t="str">
        <f t="shared" si="5503"/>
        <v>#REF!</v>
      </c>
      <c r="DJ1065" s="40" t="str">
        <f t="shared" si="5503"/>
        <v>#REF!</v>
      </c>
      <c r="DK1065" s="40" t="str">
        <f t="shared" si="5503"/>
        <v>#REF!</v>
      </c>
      <c r="DL1065" s="40" t="str">
        <f t="shared" si="5503"/>
        <v>#REF!</v>
      </c>
      <c r="DM1065" s="15" t="str">
        <f t="shared" si="5503"/>
        <v>#REF!</v>
      </c>
      <c r="DN1065" s="24" t="str">
        <f t="shared" si="5503"/>
        <v>#REF!</v>
      </c>
      <c r="DO1065" s="15" t="str">
        <f t="shared" si="5503"/>
        <v>#REF!</v>
      </c>
      <c r="DP1065" s="15" t="str">
        <f t="shared" si="5503"/>
        <v>#REF!</v>
      </c>
      <c r="DQ1065" s="15" t="str">
        <f t="shared" si="5503"/>
        <v>#REF!</v>
      </c>
      <c r="DR1065" s="15" t="str">
        <f t="shared" si="5503"/>
        <v>#REF!</v>
      </c>
      <c r="DS1065" s="24" t="str">
        <f t="shared" si="5503"/>
        <v>#REF!</v>
      </c>
      <c r="DT1065" s="15" t="str">
        <f t="shared" si="5503"/>
        <v>#REF!</v>
      </c>
      <c r="DU1065" s="15" t="str">
        <f t="shared" si="5503"/>
        <v>#REF!</v>
      </c>
      <c r="DV1065" s="15" t="str">
        <f t="shared" si="5503"/>
        <v>#REF!</v>
      </c>
      <c r="DW1065" s="15" t="str">
        <f t="shared" si="5503"/>
        <v>#REF!</v>
      </c>
      <c r="DX1065" s="24" t="str">
        <f t="shared" si="5503"/>
        <v>#REF!</v>
      </c>
      <c r="DY1065" s="15" t="str">
        <f t="shared" si="5503"/>
        <v>#REF!</v>
      </c>
      <c r="DZ1065" s="15" t="str">
        <f t="shared" si="5503"/>
        <v>#REF!</v>
      </c>
      <c r="EA1065" s="15" t="str">
        <f t="shared" si="5503"/>
        <v>#REF!</v>
      </c>
      <c r="EB1065" s="15" t="str">
        <f t="shared" si="5503"/>
        <v>#REF!</v>
      </c>
      <c r="EC1065" s="24" t="str">
        <f t="shared" si="5503"/>
        <v>#REF!</v>
      </c>
      <c r="ED1065" s="15" t="str">
        <f t="shared" si="5503"/>
        <v>#REF!</v>
      </c>
      <c r="EE1065" s="15" t="str">
        <f t="shared" si="5503"/>
        <v>#REF!</v>
      </c>
      <c r="EF1065" s="15" t="str">
        <f t="shared" si="5503"/>
        <v>#REF!</v>
      </c>
      <c r="EG1065" s="15" t="str">
        <f t="shared" si="5503"/>
        <v>#REF!</v>
      </c>
      <c r="EH1065" s="24" t="str">
        <f t="shared" si="5503"/>
        <v>#REF!</v>
      </c>
      <c r="EI1065" s="82" t="str">
        <f t="shared" si="5503"/>
        <v>#REF!</v>
      </c>
      <c r="EJ1065" s="15" t="str">
        <f t="shared" si="5503"/>
        <v>#REF!</v>
      </c>
      <c r="EK1065" s="15" t="str">
        <f t="shared" si="5503"/>
        <v>#REF!</v>
      </c>
      <c r="EL1065" s="15" t="str">
        <f t="shared" si="5503"/>
        <v>#REF!</v>
      </c>
      <c r="EM1065" s="24" t="str">
        <f t="shared" si="5503"/>
        <v>#REF!</v>
      </c>
      <c r="EN1065" s="15" t="str">
        <f t="shared" si="5503"/>
        <v>#REF!</v>
      </c>
      <c r="EO1065" s="15" t="str">
        <f t="shared" si="5503"/>
        <v>#REF!</v>
      </c>
      <c r="EP1065" s="15" t="str">
        <f t="shared" si="5503"/>
        <v>#REF!</v>
      </c>
      <c r="EQ1065" s="15" t="str">
        <f t="shared" si="5503"/>
        <v>#REF!</v>
      </c>
      <c r="ER1065" s="24" t="str">
        <f t="shared" si="5503"/>
        <v>#REF!</v>
      </c>
      <c r="ES1065" s="15" t="str">
        <f t="shared" si="5503"/>
        <v>#REF!</v>
      </c>
      <c r="ET1065" s="15" t="str">
        <f t="shared" si="5503"/>
        <v>#REF!</v>
      </c>
      <c r="EU1065" s="15" t="str">
        <f t="shared" si="5503"/>
        <v>#REF!</v>
      </c>
      <c r="EV1065" s="15" t="str">
        <f t="shared" si="5503"/>
        <v>#REF!</v>
      </c>
      <c r="EW1065" s="24" t="str">
        <f t="shared" si="5503"/>
        <v>#REF!</v>
      </c>
      <c r="EX1065" s="15" t="str">
        <f t="shared" si="5503"/>
        <v>#REF!</v>
      </c>
      <c r="EY1065" s="15" t="str">
        <f t="shared" si="5503"/>
        <v>#REF!</v>
      </c>
      <c r="EZ1065" s="15" t="str">
        <f t="shared" si="5503"/>
        <v>#REF!</v>
      </c>
      <c r="FA1065" s="15" t="str">
        <f t="shared" si="5503"/>
        <v>#REF!</v>
      </c>
      <c r="FB1065" s="24" t="str">
        <f t="shared" si="5503"/>
        <v>#REF!</v>
      </c>
      <c r="FC1065" s="15" t="str">
        <f t="shared" si="5503"/>
        <v>#REF!</v>
      </c>
      <c r="FD1065" s="15" t="str">
        <f t="shared" si="5503"/>
        <v>#REF!</v>
      </c>
      <c r="FE1065" s="15" t="str">
        <f t="shared" si="5503"/>
        <v>#REF!</v>
      </c>
      <c r="FF1065" s="15" t="str">
        <f t="shared" si="5503"/>
        <v>#REF!</v>
      </c>
      <c r="FG1065" s="24" t="str">
        <f t="shared" si="5503"/>
        <v>#REF!</v>
      </c>
      <c r="FH1065" s="104"/>
      <c r="FI1065" s="15"/>
      <c r="FJ1065" s="15"/>
      <c r="FK1065" s="410"/>
      <c r="FL1065" s="15"/>
    </row>
    <row r="1066" ht="13.5" hidden="1" customHeight="1" outlineLevel="1">
      <c r="A1066" s="4"/>
      <c r="B1066" s="529" t="s">
        <v>291</v>
      </c>
      <c r="C1066" s="529"/>
      <c r="D1066" s="596"/>
      <c r="E1066" s="596"/>
      <c r="F1066" s="596"/>
      <c r="G1066" s="596"/>
      <c r="H1066" s="596"/>
      <c r="I1066" s="596" t="str">
        <f t="shared" ref="I1066:FG1066" si="5504">I1060/I$1060</f>
        <v>#ERROR!</v>
      </c>
      <c r="J1066" s="596" t="str">
        <f t="shared" si="5504"/>
        <v>#ERROR!</v>
      </c>
      <c r="K1066" s="596" t="str">
        <f t="shared" si="5504"/>
        <v>#ERROR!</v>
      </c>
      <c r="L1066" s="596" t="str">
        <f t="shared" si="5504"/>
        <v>#ERROR!</v>
      </c>
      <c r="M1066" s="596" t="str">
        <f t="shared" si="5504"/>
        <v>#ERROR!</v>
      </c>
      <c r="N1066" s="596" t="str">
        <f t="shared" si="5504"/>
        <v>#ERROR!</v>
      </c>
      <c r="O1066" s="596" t="str">
        <f t="shared" si="5504"/>
        <v>#ERROR!</v>
      </c>
      <c r="P1066" s="596" t="str">
        <f t="shared" si="5504"/>
        <v>#ERROR!</v>
      </c>
      <c r="Q1066" s="596" t="str">
        <f t="shared" si="5504"/>
        <v>#ERROR!</v>
      </c>
      <c r="R1066" s="596" t="str">
        <f t="shared" si="5504"/>
        <v>#ERROR!</v>
      </c>
      <c r="S1066" s="596" t="str">
        <f t="shared" si="5504"/>
        <v>#ERROR!</v>
      </c>
      <c r="T1066" s="596" t="str">
        <f t="shared" si="5504"/>
        <v>#ERROR!</v>
      </c>
      <c r="U1066" s="596" t="str">
        <f t="shared" si="5504"/>
        <v>#ERROR!</v>
      </c>
      <c r="V1066" s="596" t="str">
        <f t="shared" si="5504"/>
        <v>#ERROR!</v>
      </c>
      <c r="W1066" s="596" t="str">
        <f t="shared" si="5504"/>
        <v>#ERROR!</v>
      </c>
      <c r="X1066" s="596" t="str">
        <f t="shared" si="5504"/>
        <v>#ERROR!</v>
      </c>
      <c r="Y1066" s="596" t="str">
        <f t="shared" si="5504"/>
        <v>#ERROR!</v>
      </c>
      <c r="Z1066" s="596" t="str">
        <f t="shared" si="5504"/>
        <v>#ERROR!</v>
      </c>
      <c r="AA1066" s="596" t="str">
        <f t="shared" si="5504"/>
        <v>#ERROR!</v>
      </c>
      <c r="AB1066" s="596" t="str">
        <f t="shared" si="5504"/>
        <v>#ERROR!</v>
      </c>
      <c r="AC1066" s="596" t="str">
        <f t="shared" si="5504"/>
        <v>#ERROR!</v>
      </c>
      <c r="AD1066" s="596" t="str">
        <f t="shared" si="5504"/>
        <v>#ERROR!</v>
      </c>
      <c r="AE1066" s="596" t="str">
        <f t="shared" si="5504"/>
        <v>#ERROR!</v>
      </c>
      <c r="AF1066" s="596" t="str">
        <f t="shared" si="5504"/>
        <v>#ERROR!</v>
      </c>
      <c r="AG1066" s="596" t="str">
        <f t="shared" si="5504"/>
        <v>#ERROR!</v>
      </c>
      <c r="AH1066" s="596" t="str">
        <f t="shared" si="5504"/>
        <v>#ERROR!</v>
      </c>
      <c r="AI1066" s="596" t="str">
        <f t="shared" si="5504"/>
        <v>#ERROR!</v>
      </c>
      <c r="AJ1066" s="596" t="str">
        <f t="shared" si="5504"/>
        <v>#ERROR!</v>
      </c>
      <c r="AK1066" s="596" t="str">
        <f t="shared" si="5504"/>
        <v>#ERROR!</v>
      </c>
      <c r="AL1066" s="596" t="str">
        <f t="shared" si="5504"/>
        <v>#ERROR!</v>
      </c>
      <c r="AM1066" s="596" t="str">
        <f t="shared" si="5504"/>
        <v>#ERROR!</v>
      </c>
      <c r="AN1066" s="596" t="str">
        <f t="shared" si="5504"/>
        <v>#ERROR!</v>
      </c>
      <c r="AO1066" s="596" t="str">
        <f t="shared" si="5504"/>
        <v>#ERROR!</v>
      </c>
      <c r="AP1066" s="596" t="str">
        <f t="shared" si="5504"/>
        <v>#ERROR!</v>
      </c>
      <c r="AQ1066" s="596" t="str">
        <f t="shared" si="5504"/>
        <v>#ERROR!</v>
      </c>
      <c r="AR1066" s="596" t="str">
        <f t="shared" si="5504"/>
        <v>#ERROR!</v>
      </c>
      <c r="AS1066" s="596" t="str">
        <f t="shared" si="5504"/>
        <v>#ERROR!</v>
      </c>
      <c r="AT1066" s="596" t="str">
        <f t="shared" si="5504"/>
        <v>#ERROR!</v>
      </c>
      <c r="AU1066" s="596" t="str">
        <f t="shared" si="5504"/>
        <v>#ERROR!</v>
      </c>
      <c r="AV1066" s="596" t="str">
        <f t="shared" si="5504"/>
        <v>#ERROR!</v>
      </c>
      <c r="AW1066" s="596" t="str">
        <f t="shared" si="5504"/>
        <v>#ERROR!</v>
      </c>
      <c r="AX1066" s="596" t="str">
        <f t="shared" si="5504"/>
        <v>#ERROR!</v>
      </c>
      <c r="AY1066" s="596" t="str">
        <f t="shared" si="5504"/>
        <v>#ERROR!</v>
      </c>
      <c r="AZ1066" s="596" t="str">
        <f t="shared" si="5504"/>
        <v>#ERROR!</v>
      </c>
      <c r="BA1066" s="596" t="str">
        <f t="shared" si="5504"/>
        <v>#ERROR!</v>
      </c>
      <c r="BB1066" s="596" t="str">
        <f t="shared" si="5504"/>
        <v>#ERROR!</v>
      </c>
      <c r="BC1066" s="596" t="str">
        <f t="shared" si="5504"/>
        <v>#ERROR!</v>
      </c>
      <c r="BD1066" s="596" t="str">
        <f t="shared" si="5504"/>
        <v>#ERROR!</v>
      </c>
      <c r="BE1066" s="596" t="str">
        <f t="shared" si="5504"/>
        <v>#ERROR!</v>
      </c>
      <c r="BF1066" s="596" t="str">
        <f t="shared" si="5504"/>
        <v>#ERROR!</v>
      </c>
      <c r="BG1066" s="596" t="str">
        <f t="shared" si="5504"/>
        <v>#ERROR!</v>
      </c>
      <c r="BH1066" s="596" t="str">
        <f t="shared" si="5504"/>
        <v>#ERROR!</v>
      </c>
      <c r="BI1066" s="596" t="str">
        <f t="shared" si="5504"/>
        <v>#ERROR!</v>
      </c>
      <c r="BJ1066" s="596" t="str">
        <f t="shared" si="5504"/>
        <v>#ERROR!</v>
      </c>
      <c r="BK1066" s="596" t="str">
        <f t="shared" si="5504"/>
        <v>#ERROR!</v>
      </c>
      <c r="BL1066" s="596" t="str">
        <f t="shared" si="5504"/>
        <v>#ERROR!</v>
      </c>
      <c r="BM1066" s="596" t="str">
        <f t="shared" si="5504"/>
        <v>#ERROR!</v>
      </c>
      <c r="BN1066" s="596" t="str">
        <f t="shared" si="5504"/>
        <v>#ERROR!</v>
      </c>
      <c r="BO1066" s="596" t="str">
        <f t="shared" si="5504"/>
        <v>#ERROR!</v>
      </c>
      <c r="BP1066" s="596" t="str">
        <f t="shared" si="5504"/>
        <v>#ERROR!</v>
      </c>
      <c r="BQ1066" s="596" t="str">
        <f t="shared" si="5504"/>
        <v>#ERROR!</v>
      </c>
      <c r="BR1066" s="596" t="str">
        <f t="shared" si="5504"/>
        <v>#ERROR!</v>
      </c>
      <c r="BS1066" s="596" t="str">
        <f t="shared" si="5504"/>
        <v>#ERROR!</v>
      </c>
      <c r="BT1066" s="596" t="str">
        <f t="shared" si="5504"/>
        <v>#ERROR!</v>
      </c>
      <c r="BU1066" s="596" t="str">
        <f t="shared" si="5504"/>
        <v>#ERROR!</v>
      </c>
      <c r="BV1066" s="596" t="str">
        <f t="shared" si="5504"/>
        <v>#ERROR!</v>
      </c>
      <c r="BW1066" s="596" t="str">
        <f t="shared" si="5504"/>
        <v>#ERROR!</v>
      </c>
      <c r="BX1066" s="596" t="str">
        <f t="shared" si="5504"/>
        <v>#ERROR!</v>
      </c>
      <c r="BY1066" s="596" t="str">
        <f t="shared" si="5504"/>
        <v>#ERROR!</v>
      </c>
      <c r="BZ1066" s="597" t="str">
        <f t="shared" si="5504"/>
        <v>#ERROR!</v>
      </c>
      <c r="CA1066" s="596" t="str">
        <f t="shared" si="5504"/>
        <v>#ERROR!</v>
      </c>
      <c r="CB1066" s="596" t="str">
        <f t="shared" si="5504"/>
        <v>#ERROR!</v>
      </c>
      <c r="CC1066" s="596" t="str">
        <f t="shared" si="5504"/>
        <v>#ERROR!</v>
      </c>
      <c r="CD1066" s="596" t="str">
        <f t="shared" si="5504"/>
        <v>#ERROR!</v>
      </c>
      <c r="CE1066" s="597" t="str">
        <f t="shared" si="5504"/>
        <v>#ERROR!</v>
      </c>
      <c r="CF1066" s="596" t="str">
        <f t="shared" si="5504"/>
        <v>#ERROR!</v>
      </c>
      <c r="CG1066" s="596" t="str">
        <f t="shared" si="5504"/>
        <v>#ERROR!</v>
      </c>
      <c r="CH1066" s="596" t="str">
        <f t="shared" si="5504"/>
        <v>#ERROR!</v>
      </c>
      <c r="CI1066" s="596" t="str">
        <f t="shared" si="5504"/>
        <v>#ERROR!</v>
      </c>
      <c r="CJ1066" s="597" t="str">
        <f t="shared" si="5504"/>
        <v>#ERROR!</v>
      </c>
      <c r="CK1066" s="596" t="str">
        <f t="shared" si="5504"/>
        <v>#ERROR!</v>
      </c>
      <c r="CL1066" s="596" t="str">
        <f t="shared" si="5504"/>
        <v>#ERROR!</v>
      </c>
      <c r="CM1066" s="596" t="str">
        <f t="shared" si="5504"/>
        <v>#ERROR!</v>
      </c>
      <c r="CN1066" s="595" t="str">
        <f t="shared" si="5504"/>
        <v>#ERROR!</v>
      </c>
      <c r="CO1066" s="597" t="str">
        <f t="shared" si="5504"/>
        <v>#ERROR!</v>
      </c>
      <c r="CP1066" s="595" t="str">
        <f t="shared" si="5504"/>
        <v>#ERROR!</v>
      </c>
      <c r="CQ1066" s="596" t="str">
        <f t="shared" si="5504"/>
        <v>#ERROR!</v>
      </c>
      <c r="CR1066" s="596" t="str">
        <f t="shared" si="5504"/>
        <v>#ERROR!</v>
      </c>
      <c r="CS1066" s="596" t="str">
        <f t="shared" si="5504"/>
        <v>#ERROR!</v>
      </c>
      <c r="CT1066" s="597" t="str">
        <f t="shared" si="5504"/>
        <v>#ERROR!</v>
      </c>
      <c r="CU1066" s="596" t="str">
        <f t="shared" si="5504"/>
        <v>#ERROR!</v>
      </c>
      <c r="CV1066" s="596" t="str">
        <f t="shared" si="5504"/>
        <v>#ERROR!</v>
      </c>
      <c r="CW1066" s="596" t="str">
        <f t="shared" si="5504"/>
        <v>#ERROR!</v>
      </c>
      <c r="CX1066" s="596" t="str">
        <f t="shared" si="5504"/>
        <v>#ERROR!</v>
      </c>
      <c r="CY1066" s="597" t="str">
        <f t="shared" si="5504"/>
        <v>#ERROR!</v>
      </c>
      <c r="CZ1066" s="596" t="str">
        <f t="shared" si="5504"/>
        <v>#ERROR!</v>
      </c>
      <c r="DA1066" s="596" t="str">
        <f t="shared" si="5504"/>
        <v>#ERROR!</v>
      </c>
      <c r="DB1066" s="596" t="str">
        <f t="shared" si="5504"/>
        <v>#ERROR!</v>
      </c>
      <c r="DC1066" s="596" t="str">
        <f t="shared" si="5504"/>
        <v>#ERROR!</v>
      </c>
      <c r="DD1066" s="597" t="str">
        <f t="shared" si="5504"/>
        <v>#ERROR!</v>
      </c>
      <c r="DE1066" s="596" t="str">
        <f t="shared" si="5504"/>
        <v>#ERROR!</v>
      </c>
      <c r="DF1066" s="596" t="str">
        <f t="shared" si="5504"/>
        <v>#ERROR!</v>
      </c>
      <c r="DG1066" s="104" t="str">
        <f t="shared" si="5504"/>
        <v>#ERROR!</v>
      </c>
      <c r="DH1066" s="596" t="str">
        <f t="shared" si="5504"/>
        <v>#ERROR!</v>
      </c>
      <c r="DI1066" s="597" t="str">
        <f t="shared" si="5504"/>
        <v>#ERROR!</v>
      </c>
      <c r="DJ1066" s="595" t="str">
        <f t="shared" si="5504"/>
        <v>#ERROR!</v>
      </c>
      <c r="DK1066" s="595" t="str">
        <f t="shared" si="5504"/>
        <v>#ERROR!</v>
      </c>
      <c r="DL1066" s="595" t="str">
        <f t="shared" si="5504"/>
        <v>#ERROR!</v>
      </c>
      <c r="DM1066" s="596" t="str">
        <f t="shared" si="5504"/>
        <v>#ERROR!</v>
      </c>
      <c r="DN1066" s="597" t="str">
        <f t="shared" si="5504"/>
        <v>#ERROR!</v>
      </c>
      <c r="DO1066" s="596" t="str">
        <f t="shared" si="5504"/>
        <v>#ERROR!</v>
      </c>
      <c r="DP1066" s="596" t="str">
        <f t="shared" si="5504"/>
        <v>#ERROR!</v>
      </c>
      <c r="DQ1066" s="596" t="str">
        <f t="shared" si="5504"/>
        <v>#ERROR!</v>
      </c>
      <c r="DR1066" s="596" t="str">
        <f t="shared" si="5504"/>
        <v>#ERROR!</v>
      </c>
      <c r="DS1066" s="597" t="str">
        <f t="shared" si="5504"/>
        <v>#ERROR!</v>
      </c>
      <c r="DT1066" s="596" t="str">
        <f t="shared" si="5504"/>
        <v>#ERROR!</v>
      </c>
      <c r="DU1066" s="596" t="str">
        <f t="shared" si="5504"/>
        <v>#ERROR!</v>
      </c>
      <c r="DV1066" s="596" t="str">
        <f t="shared" si="5504"/>
        <v>#ERROR!</v>
      </c>
      <c r="DW1066" s="596" t="str">
        <f t="shared" si="5504"/>
        <v>#ERROR!</v>
      </c>
      <c r="DX1066" s="597" t="str">
        <f t="shared" si="5504"/>
        <v>#ERROR!</v>
      </c>
      <c r="DY1066" s="596" t="str">
        <f t="shared" si="5504"/>
        <v>#ERROR!</v>
      </c>
      <c r="DZ1066" s="596" t="str">
        <f t="shared" si="5504"/>
        <v>#ERROR!</v>
      </c>
      <c r="EA1066" s="596" t="str">
        <f t="shared" si="5504"/>
        <v>#ERROR!</v>
      </c>
      <c r="EB1066" s="596" t="str">
        <f t="shared" si="5504"/>
        <v>#ERROR!</v>
      </c>
      <c r="EC1066" s="597" t="str">
        <f t="shared" si="5504"/>
        <v>#ERROR!</v>
      </c>
      <c r="ED1066" s="596" t="str">
        <f t="shared" si="5504"/>
        <v>#ERROR!</v>
      </c>
      <c r="EE1066" s="596" t="str">
        <f t="shared" si="5504"/>
        <v>#ERROR!</v>
      </c>
      <c r="EF1066" s="596" t="str">
        <f t="shared" si="5504"/>
        <v>#ERROR!</v>
      </c>
      <c r="EG1066" s="596" t="str">
        <f t="shared" si="5504"/>
        <v>#ERROR!</v>
      </c>
      <c r="EH1066" s="597" t="str">
        <f t="shared" si="5504"/>
        <v>#ERROR!</v>
      </c>
      <c r="EI1066" s="598" t="str">
        <f t="shared" si="5504"/>
        <v>#ERROR!</v>
      </c>
      <c r="EJ1066" s="596" t="str">
        <f t="shared" si="5504"/>
        <v>#ERROR!</v>
      </c>
      <c r="EK1066" s="596" t="str">
        <f t="shared" si="5504"/>
        <v>#ERROR!</v>
      </c>
      <c r="EL1066" s="596" t="str">
        <f t="shared" si="5504"/>
        <v>#ERROR!</v>
      </c>
      <c r="EM1066" s="597" t="str">
        <f t="shared" si="5504"/>
        <v>#ERROR!</v>
      </c>
      <c r="EN1066" s="596" t="str">
        <f t="shared" si="5504"/>
        <v>#ERROR!</v>
      </c>
      <c r="EO1066" s="596" t="str">
        <f t="shared" si="5504"/>
        <v>#ERROR!</v>
      </c>
      <c r="EP1066" s="596" t="str">
        <f t="shared" si="5504"/>
        <v>#ERROR!</v>
      </c>
      <c r="EQ1066" s="596" t="str">
        <f t="shared" si="5504"/>
        <v>#ERROR!</v>
      </c>
      <c r="ER1066" s="597" t="str">
        <f t="shared" si="5504"/>
        <v>#ERROR!</v>
      </c>
      <c r="ES1066" s="596" t="str">
        <f t="shared" si="5504"/>
        <v>#ERROR!</v>
      </c>
      <c r="ET1066" s="596" t="str">
        <f t="shared" si="5504"/>
        <v>#ERROR!</v>
      </c>
      <c r="EU1066" s="596" t="str">
        <f t="shared" si="5504"/>
        <v>#ERROR!</v>
      </c>
      <c r="EV1066" s="596" t="str">
        <f t="shared" si="5504"/>
        <v>#ERROR!</v>
      </c>
      <c r="EW1066" s="597" t="str">
        <f t="shared" si="5504"/>
        <v>#ERROR!</v>
      </c>
      <c r="EX1066" s="596" t="str">
        <f t="shared" si="5504"/>
        <v>#ERROR!</v>
      </c>
      <c r="EY1066" s="596" t="str">
        <f t="shared" si="5504"/>
        <v>#ERROR!</v>
      </c>
      <c r="EZ1066" s="596" t="str">
        <f t="shared" si="5504"/>
        <v>#ERROR!</v>
      </c>
      <c r="FA1066" s="596" t="str">
        <f t="shared" si="5504"/>
        <v>#ERROR!</v>
      </c>
      <c r="FB1066" s="597" t="str">
        <f t="shared" si="5504"/>
        <v>#ERROR!</v>
      </c>
      <c r="FC1066" s="596" t="str">
        <f t="shared" si="5504"/>
        <v>#ERROR!</v>
      </c>
      <c r="FD1066" s="596" t="str">
        <f t="shared" si="5504"/>
        <v>#ERROR!</v>
      </c>
      <c r="FE1066" s="596" t="str">
        <f t="shared" si="5504"/>
        <v>#ERROR!</v>
      </c>
      <c r="FF1066" s="596" t="str">
        <f t="shared" si="5504"/>
        <v>#ERROR!</v>
      </c>
      <c r="FG1066" s="597" t="str">
        <f t="shared" si="5504"/>
        <v>#ERROR!</v>
      </c>
      <c r="FH1066" s="595"/>
      <c r="FI1066" s="596"/>
      <c r="FJ1066" s="596"/>
      <c r="FK1066" s="596"/>
      <c r="FL1066" s="596"/>
    </row>
    <row r="1067" ht="12.75" hidden="1" customHeight="1" outlineLevel="1">
      <c r="A1067" s="4"/>
      <c r="B1067" s="4"/>
      <c r="C1067" s="4"/>
      <c r="D1067" s="4"/>
      <c r="E1067" s="4"/>
      <c r="F1067" s="4"/>
      <c r="G1067" s="4"/>
      <c r="H1067" s="45"/>
      <c r="I1067" s="4"/>
      <c r="J1067" s="4"/>
      <c r="K1067" s="4"/>
      <c r="L1067" s="4"/>
      <c r="M1067" s="45"/>
      <c r="N1067" s="4"/>
      <c r="O1067" s="4"/>
      <c r="P1067" s="4"/>
      <c r="Q1067" s="4"/>
      <c r="R1067" s="45"/>
      <c r="S1067" s="4"/>
      <c r="T1067" s="4"/>
      <c r="U1067" s="4"/>
      <c r="V1067" s="4"/>
      <c r="W1067" s="45"/>
      <c r="X1067" s="4"/>
      <c r="Y1067" s="4"/>
      <c r="Z1067" s="4"/>
      <c r="AA1067" s="4"/>
      <c r="AB1067" s="45"/>
      <c r="AC1067" s="4"/>
      <c r="AD1067" s="4"/>
      <c r="AE1067" s="4"/>
      <c r="AF1067" s="4"/>
      <c r="AG1067" s="45"/>
      <c r="AH1067" s="4"/>
      <c r="AI1067" s="4"/>
      <c r="AJ1067" s="4"/>
      <c r="AK1067" s="4"/>
      <c r="AL1067" s="45"/>
      <c r="AM1067" s="4"/>
      <c r="AN1067" s="4"/>
      <c r="AO1067" s="4"/>
      <c r="AP1067" s="4"/>
      <c r="AQ1067" s="45"/>
      <c r="AR1067" s="4"/>
      <c r="AS1067" s="4"/>
      <c r="AT1067" s="4"/>
      <c r="AU1067" s="4"/>
      <c r="AV1067" s="45"/>
      <c r="AW1067" s="4"/>
      <c r="AX1067" s="4"/>
      <c r="AY1067" s="4"/>
      <c r="AZ1067" s="4"/>
      <c r="BA1067" s="45"/>
      <c r="BB1067" s="4"/>
      <c r="BC1067" s="4"/>
      <c r="BD1067" s="4"/>
      <c r="BE1067" s="4"/>
      <c r="BF1067" s="45"/>
      <c r="BG1067" s="4"/>
      <c r="BH1067" s="4"/>
      <c r="BI1067" s="4"/>
      <c r="BJ1067" s="4"/>
      <c r="BK1067" s="45"/>
      <c r="BL1067" s="4"/>
      <c r="BM1067" s="4"/>
      <c r="BN1067" s="4"/>
      <c r="BO1067" s="4"/>
      <c r="BP1067" s="45"/>
      <c r="BQ1067" s="4"/>
      <c r="BR1067" s="4"/>
      <c r="BS1067" s="4"/>
      <c r="BT1067" s="4"/>
      <c r="BU1067" s="45"/>
      <c r="BV1067" s="4"/>
      <c r="BW1067" s="4"/>
      <c r="BX1067" s="4"/>
      <c r="BY1067" s="4"/>
      <c r="BZ1067" s="350"/>
      <c r="CA1067" s="4"/>
      <c r="CB1067" s="4"/>
      <c r="CC1067" s="4"/>
      <c r="CD1067" s="4"/>
      <c r="CE1067" s="350"/>
      <c r="CF1067" s="4"/>
      <c r="CG1067" s="4"/>
      <c r="CH1067" s="4"/>
      <c r="CI1067" s="4"/>
      <c r="CJ1067" s="350"/>
      <c r="CK1067" s="4"/>
      <c r="CL1067" s="4"/>
      <c r="CM1067" s="4"/>
      <c r="CN1067" s="16"/>
      <c r="CO1067" s="350"/>
      <c r="CP1067" s="16"/>
      <c r="CQ1067" s="4"/>
      <c r="CR1067" s="4"/>
      <c r="CS1067" s="4"/>
      <c r="CT1067" s="350"/>
      <c r="CU1067" s="4"/>
      <c r="CV1067" s="4"/>
      <c r="CW1067" s="4"/>
      <c r="CX1067" s="4"/>
      <c r="CY1067" s="350"/>
      <c r="CZ1067" s="4"/>
      <c r="DA1067" s="4"/>
      <c r="DB1067" s="4"/>
      <c r="DC1067" s="4"/>
      <c r="DD1067" s="350"/>
      <c r="DE1067" s="4"/>
      <c r="DF1067" s="4"/>
      <c r="DG1067" s="16"/>
      <c r="DH1067" s="4"/>
      <c r="DI1067" s="350"/>
      <c r="DJ1067" s="16"/>
      <c r="DK1067" s="16"/>
      <c r="DL1067" s="16"/>
      <c r="DM1067" s="4"/>
      <c r="DN1067" s="350"/>
      <c r="DO1067" s="4"/>
      <c r="DP1067" s="4"/>
      <c r="DQ1067" s="4"/>
      <c r="DR1067" s="4"/>
      <c r="DS1067" s="350"/>
      <c r="DT1067" s="4"/>
      <c r="DU1067" s="4"/>
      <c r="DV1067" s="4"/>
      <c r="DW1067" s="4"/>
      <c r="DX1067" s="350"/>
      <c r="DY1067" s="4"/>
      <c r="DZ1067" s="4"/>
      <c r="EA1067" s="4"/>
      <c r="EB1067" s="4"/>
      <c r="EC1067" s="350"/>
      <c r="ED1067" s="4"/>
      <c r="EE1067" s="4"/>
      <c r="EF1067" s="4"/>
      <c r="EG1067" s="4"/>
      <c r="EH1067" s="350"/>
      <c r="EI1067" s="214"/>
      <c r="EJ1067" s="4"/>
      <c r="EK1067" s="4"/>
      <c r="EL1067" s="4"/>
      <c r="EM1067" s="350"/>
      <c r="EN1067" s="4"/>
      <c r="EO1067" s="4"/>
      <c r="EP1067" s="4"/>
      <c r="EQ1067" s="4"/>
      <c r="ER1067" s="350"/>
      <c r="ES1067" s="4"/>
      <c r="ET1067" s="4"/>
      <c r="EU1067" s="4"/>
      <c r="EV1067" s="4"/>
      <c r="EW1067" s="350"/>
      <c r="EX1067" s="4"/>
      <c r="EY1067" s="4"/>
      <c r="EZ1067" s="4"/>
      <c r="FA1067" s="4"/>
      <c r="FB1067" s="350"/>
      <c r="FC1067" s="4"/>
      <c r="FD1067" s="4"/>
      <c r="FE1067" s="4"/>
      <c r="FF1067" s="4"/>
      <c r="FG1067" s="350"/>
      <c r="FH1067" s="145"/>
      <c r="FI1067" s="4"/>
      <c r="FJ1067" s="4"/>
      <c r="FK1067" s="45"/>
      <c r="FL1067" s="4"/>
    </row>
    <row r="1068" ht="12.75" hidden="1" customHeight="1" outlineLevel="2">
      <c r="A1068" s="4"/>
      <c r="B1068" s="45" t="s">
        <v>381</v>
      </c>
      <c r="C1068" s="4"/>
      <c r="D1068" s="4"/>
      <c r="E1068" s="4"/>
      <c r="F1068" s="4"/>
      <c r="G1068" s="4"/>
      <c r="H1068" s="45"/>
      <c r="I1068" s="4"/>
      <c r="J1068" s="4"/>
      <c r="K1068" s="4"/>
      <c r="L1068" s="4"/>
      <c r="M1068" s="45"/>
      <c r="N1068" s="4"/>
      <c r="O1068" s="4"/>
      <c r="P1068" s="4"/>
      <c r="Q1068" s="4"/>
      <c r="R1068" s="45"/>
      <c r="S1068" s="4"/>
      <c r="T1068" s="4"/>
      <c r="U1068" s="4"/>
      <c r="V1068" s="4"/>
      <c r="W1068" s="45"/>
      <c r="X1068" s="4"/>
      <c r="Y1068" s="4"/>
      <c r="Z1068" s="4"/>
      <c r="AA1068" s="4"/>
      <c r="AB1068" s="45"/>
      <c r="AC1068" s="4"/>
      <c r="AD1068" s="4"/>
      <c r="AE1068" s="4"/>
      <c r="AF1068" s="4"/>
      <c r="AG1068" s="45"/>
      <c r="AH1068" s="4"/>
      <c r="AI1068" s="4"/>
      <c r="AJ1068" s="4"/>
      <c r="AK1068" s="4"/>
      <c r="AL1068" s="45"/>
      <c r="AM1068" s="4"/>
      <c r="AN1068" s="4"/>
      <c r="AO1068" s="4"/>
      <c r="AP1068" s="4"/>
      <c r="AQ1068" s="45"/>
      <c r="AR1068" s="4"/>
      <c r="AS1068" s="4"/>
      <c r="AT1068" s="4"/>
      <c r="AU1068" s="4"/>
      <c r="AV1068" s="45"/>
      <c r="AW1068" s="4"/>
      <c r="AX1068" s="4"/>
      <c r="AY1068" s="4"/>
      <c r="AZ1068" s="4"/>
      <c r="BA1068" s="45"/>
      <c r="BB1068" s="4"/>
      <c r="BC1068" s="4"/>
      <c r="BD1068" s="4"/>
      <c r="BE1068" s="4"/>
      <c r="BF1068" s="45"/>
      <c r="BG1068" s="4"/>
      <c r="BH1068" s="4"/>
      <c r="BI1068" s="4"/>
      <c r="BJ1068" s="4"/>
      <c r="BK1068" s="45"/>
      <c r="BL1068" s="4"/>
      <c r="BM1068" s="4"/>
      <c r="BN1068" s="4"/>
      <c r="BO1068" s="4"/>
      <c r="BP1068" s="45"/>
      <c r="BQ1068" s="4"/>
      <c r="BR1068" s="4"/>
      <c r="BS1068" s="4"/>
      <c r="BT1068" s="4"/>
      <c r="BU1068" s="45"/>
      <c r="BV1068" s="4"/>
      <c r="BW1068" s="4"/>
      <c r="BX1068" s="4"/>
      <c r="BY1068" s="4"/>
      <c r="BZ1068" s="350"/>
      <c r="CA1068" s="4"/>
      <c r="CB1068" s="4"/>
      <c r="CC1068" s="4"/>
      <c r="CD1068" s="4"/>
      <c r="CE1068" s="350"/>
      <c r="CF1068" s="4"/>
      <c r="CG1068" s="4"/>
      <c r="CH1068" s="4"/>
      <c r="CI1068" s="4"/>
      <c r="CJ1068" s="350"/>
      <c r="CK1068" s="4"/>
      <c r="CL1068" s="4"/>
      <c r="CM1068" s="4"/>
      <c r="CN1068" s="16"/>
      <c r="CO1068" s="350"/>
      <c r="CP1068" s="16"/>
      <c r="CQ1068" s="4"/>
      <c r="CR1068" s="4"/>
      <c r="CS1068" s="4"/>
      <c r="CT1068" s="350"/>
      <c r="CU1068" s="4"/>
      <c r="CV1068" s="4"/>
      <c r="CW1068" s="4"/>
      <c r="CX1068" s="4"/>
      <c r="CY1068" s="350"/>
      <c r="CZ1068" s="4"/>
      <c r="DA1068" s="4"/>
      <c r="DB1068" s="4"/>
      <c r="DC1068" s="4"/>
      <c r="DD1068" s="350"/>
      <c r="DE1068" s="4"/>
      <c r="DF1068" s="4"/>
      <c r="DG1068" s="16"/>
      <c r="DH1068" s="4"/>
      <c r="DI1068" s="350"/>
      <c r="DJ1068" s="16"/>
      <c r="DK1068" s="16"/>
      <c r="DL1068" s="16"/>
      <c r="DM1068" s="4"/>
      <c r="DN1068" s="350"/>
      <c r="DO1068" s="4"/>
      <c r="DP1068" s="4"/>
      <c r="DQ1068" s="4"/>
      <c r="DR1068" s="4"/>
      <c r="DS1068" s="350"/>
      <c r="DT1068" s="4"/>
      <c r="DU1068" s="4"/>
      <c r="DV1068" s="4"/>
      <c r="DW1068" s="4"/>
      <c r="DX1068" s="350"/>
      <c r="DY1068" s="4"/>
      <c r="DZ1068" s="4"/>
      <c r="EA1068" s="4"/>
      <c r="EB1068" s="4"/>
      <c r="EC1068" s="350"/>
      <c r="ED1068" s="4"/>
      <c r="EE1068" s="4"/>
      <c r="EF1068" s="4"/>
      <c r="EG1068" s="4"/>
      <c r="EH1068" s="350"/>
      <c r="EI1068" s="214"/>
      <c r="EJ1068" s="4"/>
      <c r="EK1068" s="4"/>
      <c r="EL1068" s="4"/>
      <c r="EM1068" s="350"/>
      <c r="EN1068" s="4"/>
      <c r="EO1068" s="4"/>
      <c r="EP1068" s="4"/>
      <c r="EQ1068" s="4"/>
      <c r="ER1068" s="350"/>
      <c r="ES1068" s="4"/>
      <c r="ET1068" s="4"/>
      <c r="EU1068" s="4"/>
      <c r="EV1068" s="4"/>
      <c r="EW1068" s="350"/>
      <c r="EX1068" s="4"/>
      <c r="EY1068" s="4"/>
      <c r="EZ1068" s="4"/>
      <c r="FA1068" s="4"/>
      <c r="FB1068" s="350"/>
      <c r="FC1068" s="4"/>
      <c r="FD1068" s="4"/>
      <c r="FE1068" s="4"/>
      <c r="FF1068" s="4"/>
      <c r="FG1068" s="350"/>
      <c r="FH1068" s="145"/>
      <c r="FI1068" s="4"/>
      <c r="FJ1068" s="4"/>
      <c r="FK1068" s="45"/>
      <c r="FL1068" s="4"/>
    </row>
    <row r="1069" ht="12.75" hidden="1" customHeight="1" outlineLevel="2">
      <c r="A1069" s="4"/>
      <c r="B1069" s="4" t="s">
        <v>382</v>
      </c>
      <c r="C1069" s="4"/>
      <c r="D1069" s="128"/>
      <c r="E1069" s="128"/>
      <c r="F1069" s="128"/>
      <c r="G1069" s="128"/>
      <c r="H1069" s="73"/>
      <c r="I1069" s="128" t="str">
        <f t="shared" ref="I1069:FG1069" si="5505">I997</f>
        <v>#ERROR!</v>
      </c>
      <c r="J1069" s="128" t="str">
        <f t="shared" si="5505"/>
        <v>#ERROR!</v>
      </c>
      <c r="K1069" s="128" t="str">
        <f t="shared" si="5505"/>
        <v>#ERROR!</v>
      </c>
      <c r="L1069" s="128" t="str">
        <f t="shared" si="5505"/>
        <v>#ERROR!</v>
      </c>
      <c r="M1069" s="73" t="str">
        <f t="shared" si="5505"/>
        <v>#ERROR!</v>
      </c>
      <c r="N1069" s="128" t="str">
        <f t="shared" si="5505"/>
        <v>#ERROR!</v>
      </c>
      <c r="O1069" s="128" t="str">
        <f t="shared" si="5505"/>
        <v>#ERROR!</v>
      </c>
      <c r="P1069" s="128" t="str">
        <f t="shared" si="5505"/>
        <v>#ERROR!</v>
      </c>
      <c r="Q1069" s="128" t="str">
        <f t="shared" si="5505"/>
        <v>#ERROR!</v>
      </c>
      <c r="R1069" s="73" t="str">
        <f t="shared" si="5505"/>
        <v>#ERROR!</v>
      </c>
      <c r="S1069" s="128" t="str">
        <f t="shared" si="5505"/>
        <v>#ERROR!</v>
      </c>
      <c r="T1069" s="128" t="str">
        <f t="shared" si="5505"/>
        <v>#ERROR!</v>
      </c>
      <c r="U1069" s="128" t="str">
        <f t="shared" si="5505"/>
        <v>#ERROR!</v>
      </c>
      <c r="V1069" s="128" t="str">
        <f t="shared" si="5505"/>
        <v>#ERROR!</v>
      </c>
      <c r="W1069" s="73" t="str">
        <f t="shared" si="5505"/>
        <v>#ERROR!</v>
      </c>
      <c r="X1069" s="128" t="str">
        <f t="shared" si="5505"/>
        <v>#ERROR!</v>
      </c>
      <c r="Y1069" s="128" t="str">
        <f t="shared" si="5505"/>
        <v>#ERROR!</v>
      </c>
      <c r="Z1069" s="128" t="str">
        <f t="shared" si="5505"/>
        <v>#ERROR!</v>
      </c>
      <c r="AA1069" s="128" t="str">
        <f t="shared" si="5505"/>
        <v>#ERROR!</v>
      </c>
      <c r="AB1069" s="73" t="str">
        <f t="shared" si="5505"/>
        <v>#ERROR!</v>
      </c>
      <c r="AC1069" s="128" t="str">
        <f t="shared" si="5505"/>
        <v>#ERROR!</v>
      </c>
      <c r="AD1069" s="128" t="str">
        <f t="shared" si="5505"/>
        <v>#ERROR!</v>
      </c>
      <c r="AE1069" s="128" t="str">
        <f t="shared" si="5505"/>
        <v>#ERROR!</v>
      </c>
      <c r="AF1069" s="128" t="str">
        <f t="shared" si="5505"/>
        <v>#ERROR!</v>
      </c>
      <c r="AG1069" s="73" t="str">
        <f t="shared" si="5505"/>
        <v>#ERROR!</v>
      </c>
      <c r="AH1069" s="128" t="str">
        <f t="shared" si="5505"/>
        <v>#ERROR!</v>
      </c>
      <c r="AI1069" s="128" t="str">
        <f t="shared" si="5505"/>
        <v>#ERROR!</v>
      </c>
      <c r="AJ1069" s="128" t="str">
        <f t="shared" si="5505"/>
        <v>#ERROR!</v>
      </c>
      <c r="AK1069" s="128" t="str">
        <f t="shared" si="5505"/>
        <v>#ERROR!</v>
      </c>
      <c r="AL1069" s="73" t="str">
        <f t="shared" si="5505"/>
        <v>#ERROR!</v>
      </c>
      <c r="AM1069" s="128" t="str">
        <f t="shared" si="5505"/>
        <v>#ERROR!</v>
      </c>
      <c r="AN1069" s="128" t="str">
        <f t="shared" si="5505"/>
        <v>#ERROR!</v>
      </c>
      <c r="AO1069" s="128" t="str">
        <f t="shared" si="5505"/>
        <v>#ERROR!</v>
      </c>
      <c r="AP1069" s="128" t="str">
        <f t="shared" si="5505"/>
        <v>#ERROR!</v>
      </c>
      <c r="AQ1069" s="73" t="str">
        <f t="shared" si="5505"/>
        <v>#ERROR!</v>
      </c>
      <c r="AR1069" s="128" t="str">
        <f t="shared" si="5505"/>
        <v>#ERROR!</v>
      </c>
      <c r="AS1069" s="128" t="str">
        <f t="shared" si="5505"/>
        <v>#ERROR!</v>
      </c>
      <c r="AT1069" s="128" t="str">
        <f t="shared" si="5505"/>
        <v>#ERROR!</v>
      </c>
      <c r="AU1069" s="128" t="str">
        <f t="shared" si="5505"/>
        <v>#ERROR!</v>
      </c>
      <c r="AV1069" s="73" t="str">
        <f t="shared" si="5505"/>
        <v>#ERROR!</v>
      </c>
      <c r="AW1069" s="128" t="str">
        <f t="shared" si="5505"/>
        <v>#ERROR!</v>
      </c>
      <c r="AX1069" s="128" t="str">
        <f t="shared" si="5505"/>
        <v>#ERROR!</v>
      </c>
      <c r="AY1069" s="128" t="str">
        <f t="shared" si="5505"/>
        <v>#ERROR!</v>
      </c>
      <c r="AZ1069" s="128" t="str">
        <f t="shared" si="5505"/>
        <v>#ERROR!</v>
      </c>
      <c r="BA1069" s="73" t="str">
        <f t="shared" si="5505"/>
        <v>#ERROR!</v>
      </c>
      <c r="BB1069" s="128" t="str">
        <f t="shared" si="5505"/>
        <v>#ERROR!</v>
      </c>
      <c r="BC1069" s="128" t="str">
        <f t="shared" si="5505"/>
        <v>#ERROR!</v>
      </c>
      <c r="BD1069" s="128" t="str">
        <f t="shared" si="5505"/>
        <v>#ERROR!</v>
      </c>
      <c r="BE1069" s="128" t="str">
        <f t="shared" si="5505"/>
        <v>#ERROR!</v>
      </c>
      <c r="BF1069" s="73" t="str">
        <f t="shared" si="5505"/>
        <v>#ERROR!</v>
      </c>
      <c r="BG1069" s="128" t="str">
        <f t="shared" si="5505"/>
        <v>#ERROR!</v>
      </c>
      <c r="BH1069" s="128" t="str">
        <f t="shared" si="5505"/>
        <v>#ERROR!</v>
      </c>
      <c r="BI1069" s="128" t="str">
        <f t="shared" si="5505"/>
        <v>#ERROR!</v>
      </c>
      <c r="BJ1069" s="128" t="str">
        <f t="shared" si="5505"/>
        <v>#ERROR!</v>
      </c>
      <c r="BK1069" s="73" t="str">
        <f t="shared" si="5505"/>
        <v>#ERROR!</v>
      </c>
      <c r="BL1069" s="128" t="str">
        <f t="shared" si="5505"/>
        <v>#ERROR!</v>
      </c>
      <c r="BM1069" s="128" t="str">
        <f t="shared" si="5505"/>
        <v>#ERROR!</v>
      </c>
      <c r="BN1069" s="128" t="str">
        <f t="shared" si="5505"/>
        <v>#ERROR!</v>
      </c>
      <c r="BO1069" s="128" t="str">
        <f t="shared" si="5505"/>
        <v>#ERROR!</v>
      </c>
      <c r="BP1069" s="73" t="str">
        <f t="shared" si="5505"/>
        <v>#ERROR!</v>
      </c>
      <c r="BQ1069" s="128" t="str">
        <f t="shared" si="5505"/>
        <v>#ERROR!</v>
      </c>
      <c r="BR1069" s="128" t="str">
        <f t="shared" si="5505"/>
        <v>#ERROR!</v>
      </c>
      <c r="BS1069" s="128" t="str">
        <f t="shared" si="5505"/>
        <v>#ERROR!</v>
      </c>
      <c r="BT1069" s="128" t="str">
        <f t="shared" si="5505"/>
        <v>#ERROR!</v>
      </c>
      <c r="BU1069" s="73" t="str">
        <f t="shared" si="5505"/>
        <v>#ERROR!</v>
      </c>
      <c r="BV1069" s="128" t="str">
        <f t="shared" si="5505"/>
        <v>#ERROR!</v>
      </c>
      <c r="BW1069" s="128" t="str">
        <f t="shared" si="5505"/>
        <v>#ERROR!</v>
      </c>
      <c r="BX1069" s="128" t="str">
        <f t="shared" si="5505"/>
        <v>#ERROR!</v>
      </c>
      <c r="BY1069" s="128" t="str">
        <f t="shared" si="5505"/>
        <v>#ERROR!</v>
      </c>
      <c r="BZ1069" s="18" t="str">
        <f t="shared" si="5505"/>
        <v>#ERROR!</v>
      </c>
      <c r="CA1069" s="128" t="str">
        <f t="shared" si="5505"/>
        <v>#ERROR!</v>
      </c>
      <c r="CB1069" s="128" t="str">
        <f t="shared" si="5505"/>
        <v>#ERROR!</v>
      </c>
      <c r="CC1069" s="128" t="str">
        <f t="shared" si="5505"/>
        <v>#ERROR!</v>
      </c>
      <c r="CD1069" s="128" t="str">
        <f t="shared" si="5505"/>
        <v>#ERROR!</v>
      </c>
      <c r="CE1069" s="18" t="str">
        <f t="shared" si="5505"/>
        <v>#ERROR!</v>
      </c>
      <c r="CF1069" s="128" t="str">
        <f t="shared" si="5505"/>
        <v>#ERROR!</v>
      </c>
      <c r="CG1069" s="128" t="str">
        <f t="shared" si="5505"/>
        <v>#ERROR!</v>
      </c>
      <c r="CH1069" s="128" t="str">
        <f t="shared" si="5505"/>
        <v>#ERROR!</v>
      </c>
      <c r="CI1069" s="128" t="str">
        <f t="shared" si="5505"/>
        <v>#ERROR!</v>
      </c>
      <c r="CJ1069" s="18" t="str">
        <f t="shared" si="5505"/>
        <v>#ERROR!</v>
      </c>
      <c r="CK1069" s="128" t="str">
        <f t="shared" si="5505"/>
        <v>#ERROR!</v>
      </c>
      <c r="CL1069" s="128" t="str">
        <f t="shared" si="5505"/>
        <v>#ERROR!</v>
      </c>
      <c r="CM1069" s="128" t="str">
        <f t="shared" si="5505"/>
        <v>#ERROR!</v>
      </c>
      <c r="CN1069" s="129" t="str">
        <f t="shared" si="5505"/>
        <v>#ERROR!</v>
      </c>
      <c r="CO1069" s="18" t="str">
        <f t="shared" si="5505"/>
        <v>#ERROR!</v>
      </c>
      <c r="CP1069" s="129" t="str">
        <f t="shared" si="5505"/>
        <v>#ERROR!</v>
      </c>
      <c r="CQ1069" s="128" t="str">
        <f t="shared" si="5505"/>
        <v>#ERROR!</v>
      </c>
      <c r="CR1069" s="128" t="str">
        <f t="shared" si="5505"/>
        <v>#ERROR!</v>
      </c>
      <c r="CS1069" s="128" t="str">
        <f t="shared" si="5505"/>
        <v>#ERROR!</v>
      </c>
      <c r="CT1069" s="18" t="str">
        <f t="shared" si="5505"/>
        <v>#ERROR!</v>
      </c>
      <c r="CU1069" s="128" t="str">
        <f t="shared" si="5505"/>
        <v>#ERROR!</v>
      </c>
      <c r="CV1069" s="128" t="str">
        <f t="shared" si="5505"/>
        <v>#ERROR!</v>
      </c>
      <c r="CW1069" s="128" t="str">
        <f t="shared" si="5505"/>
        <v>#ERROR!</v>
      </c>
      <c r="CX1069" s="128" t="str">
        <f t="shared" si="5505"/>
        <v>#ERROR!</v>
      </c>
      <c r="CY1069" s="18" t="str">
        <f t="shared" si="5505"/>
        <v>#ERROR!</v>
      </c>
      <c r="CZ1069" s="128" t="str">
        <f t="shared" si="5505"/>
        <v>#ERROR!</v>
      </c>
      <c r="DA1069" s="128" t="str">
        <f t="shared" si="5505"/>
        <v>#ERROR!</v>
      </c>
      <c r="DB1069" s="128" t="str">
        <f t="shared" si="5505"/>
        <v>#ERROR!</v>
      </c>
      <c r="DC1069" s="128" t="str">
        <f t="shared" si="5505"/>
        <v>#ERROR!</v>
      </c>
      <c r="DD1069" s="18" t="str">
        <f t="shared" si="5505"/>
        <v>#ERROR!</v>
      </c>
      <c r="DE1069" s="128" t="str">
        <f t="shared" si="5505"/>
        <v>#ERROR!</v>
      </c>
      <c r="DF1069" s="128" t="str">
        <f t="shared" si="5505"/>
        <v>#ERROR!</v>
      </c>
      <c r="DG1069" s="129" t="str">
        <f t="shared" si="5505"/>
        <v>#ERROR!</v>
      </c>
      <c r="DH1069" s="128" t="str">
        <f t="shared" si="5505"/>
        <v>#ERROR!</v>
      </c>
      <c r="DI1069" s="18" t="str">
        <f t="shared" si="5505"/>
        <v>#ERROR!</v>
      </c>
      <c r="DJ1069" s="129" t="str">
        <f t="shared" si="5505"/>
        <v>#ERROR!</v>
      </c>
      <c r="DK1069" s="129" t="str">
        <f t="shared" si="5505"/>
        <v>#ERROR!</v>
      </c>
      <c r="DL1069" s="129" t="str">
        <f t="shared" si="5505"/>
        <v>#ERROR!</v>
      </c>
      <c r="DM1069" s="128" t="str">
        <f t="shared" si="5505"/>
        <v>#ERROR!</v>
      </c>
      <c r="DN1069" s="18" t="str">
        <f t="shared" si="5505"/>
        <v>#ERROR!</v>
      </c>
      <c r="DO1069" s="128" t="str">
        <f t="shared" si="5505"/>
        <v>#ERROR!</v>
      </c>
      <c r="DP1069" s="128" t="str">
        <f t="shared" si="5505"/>
        <v>#ERROR!</v>
      </c>
      <c r="DQ1069" s="128" t="str">
        <f t="shared" si="5505"/>
        <v>#ERROR!</v>
      </c>
      <c r="DR1069" s="128" t="str">
        <f t="shared" si="5505"/>
        <v>#ERROR!</v>
      </c>
      <c r="DS1069" s="18" t="str">
        <f t="shared" si="5505"/>
        <v>#ERROR!</v>
      </c>
      <c r="DT1069" s="128" t="str">
        <f t="shared" si="5505"/>
        <v>#ERROR!</v>
      </c>
      <c r="DU1069" s="128" t="str">
        <f t="shared" si="5505"/>
        <v>#ERROR!</v>
      </c>
      <c r="DV1069" s="128" t="str">
        <f t="shared" si="5505"/>
        <v>#ERROR!</v>
      </c>
      <c r="DW1069" s="128" t="str">
        <f t="shared" si="5505"/>
        <v>#ERROR!</v>
      </c>
      <c r="DX1069" s="18" t="str">
        <f t="shared" si="5505"/>
        <v>#ERROR!</v>
      </c>
      <c r="DY1069" s="128" t="str">
        <f t="shared" si="5505"/>
        <v>#ERROR!</v>
      </c>
      <c r="DZ1069" s="128" t="str">
        <f t="shared" si="5505"/>
        <v>#ERROR!</v>
      </c>
      <c r="EA1069" s="128" t="str">
        <f t="shared" si="5505"/>
        <v>#ERROR!</v>
      </c>
      <c r="EB1069" s="128" t="str">
        <f t="shared" si="5505"/>
        <v>#ERROR!</v>
      </c>
      <c r="EC1069" s="18" t="str">
        <f t="shared" si="5505"/>
        <v>#ERROR!</v>
      </c>
      <c r="ED1069" s="128" t="str">
        <f t="shared" si="5505"/>
        <v>#ERROR!</v>
      </c>
      <c r="EE1069" s="128" t="str">
        <f t="shared" si="5505"/>
        <v>#ERROR!</v>
      </c>
      <c r="EF1069" s="128" t="str">
        <f t="shared" si="5505"/>
        <v>#ERROR!</v>
      </c>
      <c r="EG1069" s="128" t="str">
        <f t="shared" si="5505"/>
        <v>#ERROR!</v>
      </c>
      <c r="EH1069" s="18" t="str">
        <f t="shared" si="5505"/>
        <v>#ERROR!</v>
      </c>
      <c r="EI1069" s="134" t="str">
        <f t="shared" si="5505"/>
        <v>#ERROR!</v>
      </c>
      <c r="EJ1069" s="128" t="str">
        <f t="shared" si="5505"/>
        <v>#ERROR!</v>
      </c>
      <c r="EK1069" s="128" t="str">
        <f t="shared" si="5505"/>
        <v>#ERROR!</v>
      </c>
      <c r="EL1069" s="128" t="str">
        <f t="shared" si="5505"/>
        <v>#ERROR!</v>
      </c>
      <c r="EM1069" s="18" t="str">
        <f t="shared" si="5505"/>
        <v>#ERROR!</v>
      </c>
      <c r="EN1069" s="128" t="str">
        <f t="shared" si="5505"/>
        <v>#ERROR!</v>
      </c>
      <c r="EO1069" s="128" t="str">
        <f t="shared" si="5505"/>
        <v>#ERROR!</v>
      </c>
      <c r="EP1069" s="128" t="str">
        <f t="shared" si="5505"/>
        <v>#ERROR!</v>
      </c>
      <c r="EQ1069" s="128" t="str">
        <f t="shared" si="5505"/>
        <v>#ERROR!</v>
      </c>
      <c r="ER1069" s="18" t="str">
        <f t="shared" si="5505"/>
        <v>#ERROR!</v>
      </c>
      <c r="ES1069" s="128" t="str">
        <f t="shared" si="5505"/>
        <v>#ERROR!</v>
      </c>
      <c r="ET1069" s="128" t="str">
        <f t="shared" si="5505"/>
        <v>#ERROR!</v>
      </c>
      <c r="EU1069" s="128" t="str">
        <f t="shared" si="5505"/>
        <v>#ERROR!</v>
      </c>
      <c r="EV1069" s="128" t="str">
        <f t="shared" si="5505"/>
        <v>#ERROR!</v>
      </c>
      <c r="EW1069" s="18" t="str">
        <f t="shared" si="5505"/>
        <v>#ERROR!</v>
      </c>
      <c r="EX1069" s="128" t="str">
        <f t="shared" si="5505"/>
        <v>#ERROR!</v>
      </c>
      <c r="EY1069" s="128" t="str">
        <f t="shared" si="5505"/>
        <v>#ERROR!</v>
      </c>
      <c r="EZ1069" s="128" t="str">
        <f t="shared" si="5505"/>
        <v>#ERROR!</v>
      </c>
      <c r="FA1069" s="128" t="str">
        <f t="shared" si="5505"/>
        <v>#ERROR!</v>
      </c>
      <c r="FB1069" s="18" t="str">
        <f t="shared" si="5505"/>
        <v>#ERROR!</v>
      </c>
      <c r="FC1069" s="128" t="str">
        <f t="shared" si="5505"/>
        <v>#ERROR!</v>
      </c>
      <c r="FD1069" s="128" t="str">
        <f t="shared" si="5505"/>
        <v>#ERROR!</v>
      </c>
      <c r="FE1069" s="128" t="str">
        <f t="shared" si="5505"/>
        <v>#ERROR!</v>
      </c>
      <c r="FF1069" s="128" t="str">
        <f t="shared" si="5505"/>
        <v>#ERROR!</v>
      </c>
      <c r="FG1069" s="18" t="str">
        <f t="shared" si="5505"/>
        <v>#ERROR!</v>
      </c>
      <c r="FH1069" s="74"/>
      <c r="FI1069" s="128"/>
      <c r="FJ1069" s="128"/>
      <c r="FK1069" s="73"/>
      <c r="FL1069" s="128"/>
    </row>
    <row r="1070" ht="12.75" hidden="1" customHeight="1" outlineLevel="2">
      <c r="A1070" s="4"/>
      <c r="B1070" s="4" t="s">
        <v>383</v>
      </c>
      <c r="C1070" s="4"/>
      <c r="D1070" s="128"/>
      <c r="E1070" s="128"/>
      <c r="F1070" s="128"/>
      <c r="G1070" s="128"/>
      <c r="H1070" s="73"/>
      <c r="I1070" s="128" t="e">
        <v>#REF!</v>
      </c>
      <c r="J1070" s="128" t="e">
        <v>#REF!</v>
      </c>
      <c r="K1070" s="128" t="e">
        <v>#REF!</v>
      </c>
      <c r="L1070" s="128" t="e">
        <v>#REF!</v>
      </c>
      <c r="M1070" s="73" t="e">
        <v>#REF!</v>
      </c>
      <c r="N1070" s="128" t="e">
        <v>#REF!</v>
      </c>
      <c r="O1070" s="128" t="e">
        <v>#REF!</v>
      </c>
      <c r="P1070" s="128" t="e">
        <v>#REF!</v>
      </c>
      <c r="Q1070" s="128" t="e">
        <v>#REF!</v>
      </c>
      <c r="R1070" s="73" t="e">
        <v>#REF!</v>
      </c>
      <c r="S1070" s="128" t="e">
        <v>#REF!</v>
      </c>
      <c r="T1070" s="128" t="e">
        <v>#REF!</v>
      </c>
      <c r="U1070" s="128" t="e">
        <v>#REF!</v>
      </c>
      <c r="V1070" s="128" t="e">
        <v>#REF!</v>
      </c>
      <c r="W1070" s="73" t="e">
        <v>#REF!</v>
      </c>
      <c r="X1070" s="128" t="e">
        <v>#REF!</v>
      </c>
      <c r="Y1070" s="128" t="e">
        <v>#REF!</v>
      </c>
      <c r="Z1070" s="128" t="e">
        <v>#REF!</v>
      </c>
      <c r="AA1070" s="128" t="e">
        <v>#REF!</v>
      </c>
      <c r="AB1070" s="73" t="e">
        <v>#REF!</v>
      </c>
      <c r="AC1070" s="128" t="e">
        <v>#REF!</v>
      </c>
      <c r="AD1070" s="128" t="e">
        <v>#REF!</v>
      </c>
      <c r="AE1070" s="128" t="e">
        <v>#REF!</v>
      </c>
      <c r="AF1070" s="128" t="e">
        <v>#REF!</v>
      </c>
      <c r="AG1070" s="73" t="e">
        <v>#REF!</v>
      </c>
      <c r="AH1070" s="128" t="e">
        <v>#REF!</v>
      </c>
      <c r="AI1070" s="128" t="e">
        <v>#REF!</v>
      </c>
      <c r="AJ1070" s="128" t="e">
        <v>#REF!</v>
      </c>
      <c r="AK1070" s="128" t="e">
        <v>#REF!</v>
      </c>
      <c r="AL1070" s="73" t="e">
        <v>#REF!</v>
      </c>
      <c r="AM1070" s="128" t="e">
        <v>#REF!</v>
      </c>
      <c r="AN1070" s="128" t="e">
        <v>#REF!</v>
      </c>
      <c r="AO1070" s="128" t="e">
        <v>#REF!</v>
      </c>
      <c r="AP1070" s="128" t="e">
        <v>#REF!</v>
      </c>
      <c r="AQ1070" s="73" t="e">
        <v>#REF!</v>
      </c>
      <c r="AR1070" s="128" t="e">
        <v>#REF!</v>
      </c>
      <c r="AS1070" s="128" t="e">
        <v>#REF!</v>
      </c>
      <c r="AT1070" s="128" t="e">
        <v>#REF!</v>
      </c>
      <c r="AU1070" s="128" t="e">
        <v>#REF!</v>
      </c>
      <c r="AV1070" s="73" t="e">
        <v>#REF!</v>
      </c>
      <c r="AW1070" s="128" t="e">
        <v>#REF!</v>
      </c>
      <c r="AX1070" s="128" t="e">
        <v>#REF!</v>
      </c>
      <c r="AY1070" s="128" t="e">
        <v>#REF!</v>
      </c>
      <c r="AZ1070" s="128" t="e">
        <v>#REF!</v>
      </c>
      <c r="BA1070" s="73" t="e">
        <v>#REF!</v>
      </c>
      <c r="BB1070" s="128" t="e">
        <v>#REF!</v>
      </c>
      <c r="BC1070" s="128" t="e">
        <v>#REF!</v>
      </c>
      <c r="BD1070" s="128" t="e">
        <v>#REF!</v>
      </c>
      <c r="BE1070" s="128" t="e">
        <v>#REF!</v>
      </c>
      <c r="BF1070" s="73" t="e">
        <v>#REF!</v>
      </c>
      <c r="BG1070" s="128" t="e">
        <v>#REF!</v>
      </c>
      <c r="BH1070" s="128" t="e">
        <v>#REF!</v>
      </c>
      <c r="BI1070" s="128" t="e">
        <v>#REF!</v>
      </c>
      <c r="BJ1070" s="128" t="e">
        <v>#REF!</v>
      </c>
      <c r="BK1070" s="73" t="e">
        <v>#REF!</v>
      </c>
      <c r="BL1070" s="128" t="e">
        <v>#REF!</v>
      </c>
      <c r="BM1070" s="128" t="e">
        <v>#REF!</v>
      </c>
      <c r="BN1070" s="128" t="e">
        <v>#REF!</v>
      </c>
      <c r="BO1070" s="128" t="e">
        <v>#REF!</v>
      </c>
      <c r="BP1070" s="73" t="e">
        <v>#REF!</v>
      </c>
      <c r="BQ1070" s="128" t="e">
        <v>#REF!</v>
      </c>
      <c r="BR1070" s="128" t="e">
        <v>#REF!</v>
      </c>
      <c r="BS1070" s="128" t="e">
        <v>#REF!</v>
      </c>
      <c r="BT1070" s="128" t="e">
        <v>#REF!</v>
      </c>
      <c r="BU1070" s="73" t="e">
        <v>#REF!</v>
      </c>
      <c r="BV1070" s="128" t="e">
        <v>#REF!</v>
      </c>
      <c r="BW1070" s="128" t="e">
        <v>#REF!</v>
      </c>
      <c r="BX1070" s="128" t="e">
        <v>#REF!</v>
      </c>
      <c r="BY1070" s="128" t="e">
        <v>#REF!</v>
      </c>
      <c r="BZ1070" s="18" t="e">
        <v>#REF!</v>
      </c>
      <c r="CA1070" s="128" t="e">
        <v>#REF!</v>
      </c>
      <c r="CB1070" s="128" t="e">
        <v>#REF!</v>
      </c>
      <c r="CC1070" s="128" t="e">
        <v>#REF!</v>
      </c>
      <c r="CD1070" s="128" t="e">
        <v>#REF!</v>
      </c>
      <c r="CE1070" s="18" t="e">
        <v>#REF!</v>
      </c>
      <c r="CF1070" s="128" t="e">
        <v>#REF!</v>
      </c>
      <c r="CG1070" s="128" t="e">
        <v>#REF!</v>
      </c>
      <c r="CH1070" s="128" t="e">
        <v>#REF!</v>
      </c>
      <c r="CI1070" s="128" t="e">
        <v>#REF!</v>
      </c>
      <c r="CJ1070" s="18" t="e">
        <v>#REF!</v>
      </c>
      <c r="CK1070" s="128" t="e">
        <v>#REF!</v>
      </c>
      <c r="CL1070" s="128" t="e">
        <v>#REF!</v>
      </c>
      <c r="CM1070" s="128" t="e">
        <v>#REF!</v>
      </c>
      <c r="CN1070" s="129" t="e">
        <v>#REF!</v>
      </c>
      <c r="CO1070" s="18" t="e">
        <v>#REF!</v>
      </c>
      <c r="CP1070" s="129" t="e">
        <v>#REF!</v>
      </c>
      <c r="CQ1070" s="128" t="e">
        <v>#REF!</v>
      </c>
      <c r="CR1070" s="128" t="e">
        <v>#REF!</v>
      </c>
      <c r="CS1070" s="128" t="e">
        <v>#REF!</v>
      </c>
      <c r="CT1070" s="18" t="e">
        <v>#REF!</v>
      </c>
      <c r="CU1070" s="128" t="e">
        <v>#REF!</v>
      </c>
      <c r="CV1070" s="128" t="e">
        <v>#REF!</v>
      </c>
      <c r="CW1070" s="128" t="e">
        <v>#REF!</v>
      </c>
      <c r="CX1070" s="128" t="e">
        <v>#REF!</v>
      </c>
      <c r="CY1070" s="18" t="e">
        <v>#REF!</v>
      </c>
      <c r="CZ1070" s="128" t="e">
        <v>#REF!</v>
      </c>
      <c r="DA1070" s="128" t="e">
        <v>#REF!</v>
      </c>
      <c r="DB1070" s="128" t="e">
        <v>#REF!</v>
      </c>
      <c r="DC1070" s="128" t="e">
        <v>#REF!</v>
      </c>
      <c r="DD1070" s="18" t="e">
        <v>#REF!</v>
      </c>
      <c r="DE1070" s="128" t="e">
        <v>#REF!</v>
      </c>
      <c r="DF1070" s="128" t="e">
        <v>#REF!</v>
      </c>
      <c r="DG1070" s="129" t="e">
        <v>#REF!</v>
      </c>
      <c r="DH1070" s="128" t="e">
        <v>#REF!</v>
      </c>
      <c r="DI1070" s="18" t="e">
        <v>#REF!</v>
      </c>
      <c r="DJ1070" s="129" t="e">
        <v>#REF!</v>
      </c>
      <c r="DK1070" s="129" t="e">
        <v>#REF!</v>
      </c>
      <c r="DL1070" s="129" t="e">
        <v>#REF!</v>
      </c>
      <c r="DM1070" s="128" t="e">
        <v>#REF!</v>
      </c>
      <c r="DN1070" s="18" t="e">
        <v>#REF!</v>
      </c>
      <c r="DO1070" s="128" t="e">
        <v>#REF!</v>
      </c>
      <c r="DP1070" s="128" t="e">
        <v>#REF!</v>
      </c>
      <c r="DQ1070" s="128" t="e">
        <v>#REF!</v>
      </c>
      <c r="DR1070" s="128" t="e">
        <v>#REF!</v>
      </c>
      <c r="DS1070" s="18" t="e">
        <v>#REF!</v>
      </c>
      <c r="DT1070" s="128" t="e">
        <v>#REF!</v>
      </c>
      <c r="DU1070" s="128" t="e">
        <v>#REF!</v>
      </c>
      <c r="DV1070" s="128" t="e">
        <v>#REF!</v>
      </c>
      <c r="DW1070" s="128" t="e">
        <v>#REF!</v>
      </c>
      <c r="DX1070" s="18" t="e">
        <v>#REF!</v>
      </c>
      <c r="DY1070" s="128" t="e">
        <v>#REF!</v>
      </c>
      <c r="DZ1070" s="128" t="e">
        <v>#REF!</v>
      </c>
      <c r="EA1070" s="128" t="e">
        <v>#REF!</v>
      </c>
      <c r="EB1070" s="128" t="e">
        <v>#REF!</v>
      </c>
      <c r="EC1070" s="18" t="e">
        <v>#REF!</v>
      </c>
      <c r="ED1070" s="128" t="e">
        <v>#REF!</v>
      </c>
      <c r="EE1070" s="128" t="e">
        <v>#REF!</v>
      </c>
      <c r="EF1070" s="128" t="e">
        <v>#REF!</v>
      </c>
      <c r="EG1070" s="128" t="e">
        <v>#REF!</v>
      </c>
      <c r="EH1070" s="18" t="e">
        <v>#REF!</v>
      </c>
      <c r="EI1070" s="134" t="e">
        <v>#REF!</v>
      </c>
      <c r="EJ1070" s="128" t="e">
        <v>#REF!</v>
      </c>
      <c r="EK1070" s="128" t="e">
        <v>#REF!</v>
      </c>
      <c r="EL1070" s="128" t="e">
        <v>#REF!</v>
      </c>
      <c r="EM1070" s="18" t="e">
        <v>#REF!</v>
      </c>
      <c r="EN1070" s="128" t="e">
        <v>#REF!</v>
      </c>
      <c r="EO1070" s="128" t="e">
        <v>#REF!</v>
      </c>
      <c r="EP1070" s="128" t="e">
        <v>#REF!</v>
      </c>
      <c r="EQ1070" s="128" t="e">
        <v>#REF!</v>
      </c>
      <c r="ER1070" s="18" t="e">
        <v>#REF!</v>
      </c>
      <c r="ES1070" s="128" t="e">
        <v>#REF!</v>
      </c>
      <c r="ET1070" s="128" t="e">
        <v>#REF!</v>
      </c>
      <c r="EU1070" s="128" t="e">
        <v>#REF!</v>
      </c>
      <c r="EV1070" s="128" t="e">
        <v>#REF!</v>
      </c>
      <c r="EW1070" s="18" t="e">
        <v>#REF!</v>
      </c>
      <c r="EX1070" s="128" t="e">
        <v>#REF!</v>
      </c>
      <c r="EY1070" s="128" t="e">
        <v>#REF!</v>
      </c>
      <c r="EZ1070" s="128" t="e">
        <v>#REF!</v>
      </c>
      <c r="FA1070" s="128" t="e">
        <v>#REF!</v>
      </c>
      <c r="FB1070" s="18" t="e">
        <v>#REF!</v>
      </c>
      <c r="FC1070" s="128" t="e">
        <v>#REF!</v>
      </c>
      <c r="FD1070" s="128" t="e">
        <v>#REF!</v>
      </c>
      <c r="FE1070" s="128" t="e">
        <v>#REF!</v>
      </c>
      <c r="FF1070" s="128" t="e">
        <v>#REF!</v>
      </c>
      <c r="FG1070" s="18" t="e">
        <v>#REF!</v>
      </c>
      <c r="FH1070" s="74"/>
      <c r="FI1070" s="128"/>
      <c r="FJ1070" s="128"/>
      <c r="FK1070" s="73"/>
      <c r="FL1070" s="128"/>
    </row>
    <row r="1071" ht="13.5" hidden="1" customHeight="1" outlineLevel="2">
      <c r="A1071" s="4"/>
      <c r="B1071" s="529" t="s">
        <v>291</v>
      </c>
      <c r="C1071" s="529"/>
      <c r="D1071" s="164"/>
      <c r="E1071" s="164"/>
      <c r="F1071" s="164"/>
      <c r="G1071" s="164"/>
      <c r="H1071" s="166"/>
      <c r="I1071" s="164" t="str">
        <f t="shared" ref="I1071:FG1071" si="5506">SUM(I1069,I1070)</f>
        <v>#ERROR!</v>
      </c>
      <c r="J1071" s="164" t="str">
        <f t="shared" si="5506"/>
        <v>#ERROR!</v>
      </c>
      <c r="K1071" s="164" t="str">
        <f t="shared" si="5506"/>
        <v>#ERROR!</v>
      </c>
      <c r="L1071" s="164" t="str">
        <f t="shared" si="5506"/>
        <v>#ERROR!</v>
      </c>
      <c r="M1071" s="166" t="str">
        <f t="shared" si="5506"/>
        <v>#ERROR!</v>
      </c>
      <c r="N1071" s="164" t="str">
        <f t="shared" si="5506"/>
        <v>#ERROR!</v>
      </c>
      <c r="O1071" s="164" t="str">
        <f t="shared" si="5506"/>
        <v>#ERROR!</v>
      </c>
      <c r="P1071" s="164" t="str">
        <f t="shared" si="5506"/>
        <v>#ERROR!</v>
      </c>
      <c r="Q1071" s="164" t="str">
        <f t="shared" si="5506"/>
        <v>#ERROR!</v>
      </c>
      <c r="R1071" s="166" t="str">
        <f t="shared" si="5506"/>
        <v>#ERROR!</v>
      </c>
      <c r="S1071" s="164" t="str">
        <f t="shared" si="5506"/>
        <v>#ERROR!</v>
      </c>
      <c r="T1071" s="164" t="str">
        <f t="shared" si="5506"/>
        <v>#ERROR!</v>
      </c>
      <c r="U1071" s="164" t="str">
        <f t="shared" si="5506"/>
        <v>#ERROR!</v>
      </c>
      <c r="V1071" s="164" t="str">
        <f t="shared" si="5506"/>
        <v>#ERROR!</v>
      </c>
      <c r="W1071" s="166" t="str">
        <f t="shared" si="5506"/>
        <v>#ERROR!</v>
      </c>
      <c r="X1071" s="164" t="str">
        <f t="shared" si="5506"/>
        <v>#ERROR!</v>
      </c>
      <c r="Y1071" s="164" t="str">
        <f t="shared" si="5506"/>
        <v>#ERROR!</v>
      </c>
      <c r="Z1071" s="164" t="str">
        <f t="shared" si="5506"/>
        <v>#ERROR!</v>
      </c>
      <c r="AA1071" s="164" t="str">
        <f t="shared" si="5506"/>
        <v>#ERROR!</v>
      </c>
      <c r="AB1071" s="166" t="str">
        <f t="shared" si="5506"/>
        <v>#ERROR!</v>
      </c>
      <c r="AC1071" s="164" t="str">
        <f t="shared" si="5506"/>
        <v>#ERROR!</v>
      </c>
      <c r="AD1071" s="164" t="str">
        <f t="shared" si="5506"/>
        <v>#ERROR!</v>
      </c>
      <c r="AE1071" s="164" t="str">
        <f t="shared" si="5506"/>
        <v>#ERROR!</v>
      </c>
      <c r="AF1071" s="164" t="str">
        <f t="shared" si="5506"/>
        <v>#ERROR!</v>
      </c>
      <c r="AG1071" s="166" t="str">
        <f t="shared" si="5506"/>
        <v>#ERROR!</v>
      </c>
      <c r="AH1071" s="164" t="str">
        <f t="shared" si="5506"/>
        <v>#ERROR!</v>
      </c>
      <c r="AI1071" s="164" t="str">
        <f t="shared" si="5506"/>
        <v>#ERROR!</v>
      </c>
      <c r="AJ1071" s="164" t="str">
        <f t="shared" si="5506"/>
        <v>#ERROR!</v>
      </c>
      <c r="AK1071" s="164" t="str">
        <f t="shared" si="5506"/>
        <v>#ERROR!</v>
      </c>
      <c r="AL1071" s="166" t="str">
        <f t="shared" si="5506"/>
        <v>#ERROR!</v>
      </c>
      <c r="AM1071" s="164" t="str">
        <f t="shared" si="5506"/>
        <v>#ERROR!</v>
      </c>
      <c r="AN1071" s="164" t="str">
        <f t="shared" si="5506"/>
        <v>#ERROR!</v>
      </c>
      <c r="AO1071" s="164" t="str">
        <f t="shared" si="5506"/>
        <v>#ERROR!</v>
      </c>
      <c r="AP1071" s="164" t="str">
        <f t="shared" si="5506"/>
        <v>#ERROR!</v>
      </c>
      <c r="AQ1071" s="166" t="str">
        <f t="shared" si="5506"/>
        <v>#ERROR!</v>
      </c>
      <c r="AR1071" s="164" t="str">
        <f t="shared" si="5506"/>
        <v>#ERROR!</v>
      </c>
      <c r="AS1071" s="164" t="str">
        <f t="shared" si="5506"/>
        <v>#ERROR!</v>
      </c>
      <c r="AT1071" s="164" t="str">
        <f t="shared" si="5506"/>
        <v>#ERROR!</v>
      </c>
      <c r="AU1071" s="164" t="str">
        <f t="shared" si="5506"/>
        <v>#ERROR!</v>
      </c>
      <c r="AV1071" s="166" t="str">
        <f t="shared" si="5506"/>
        <v>#ERROR!</v>
      </c>
      <c r="AW1071" s="164" t="str">
        <f t="shared" si="5506"/>
        <v>#ERROR!</v>
      </c>
      <c r="AX1071" s="164" t="str">
        <f t="shared" si="5506"/>
        <v>#ERROR!</v>
      </c>
      <c r="AY1071" s="164" t="str">
        <f t="shared" si="5506"/>
        <v>#ERROR!</v>
      </c>
      <c r="AZ1071" s="164" t="str">
        <f t="shared" si="5506"/>
        <v>#ERROR!</v>
      </c>
      <c r="BA1071" s="166" t="str">
        <f t="shared" si="5506"/>
        <v>#ERROR!</v>
      </c>
      <c r="BB1071" s="164" t="str">
        <f t="shared" si="5506"/>
        <v>#ERROR!</v>
      </c>
      <c r="BC1071" s="164" t="str">
        <f t="shared" si="5506"/>
        <v>#ERROR!</v>
      </c>
      <c r="BD1071" s="164" t="str">
        <f t="shared" si="5506"/>
        <v>#ERROR!</v>
      </c>
      <c r="BE1071" s="164" t="str">
        <f t="shared" si="5506"/>
        <v>#ERROR!</v>
      </c>
      <c r="BF1071" s="166" t="str">
        <f t="shared" si="5506"/>
        <v>#ERROR!</v>
      </c>
      <c r="BG1071" s="164" t="str">
        <f t="shared" si="5506"/>
        <v>#ERROR!</v>
      </c>
      <c r="BH1071" s="164" t="str">
        <f t="shared" si="5506"/>
        <v>#ERROR!</v>
      </c>
      <c r="BI1071" s="164" t="str">
        <f t="shared" si="5506"/>
        <v>#ERROR!</v>
      </c>
      <c r="BJ1071" s="164" t="str">
        <f t="shared" si="5506"/>
        <v>#ERROR!</v>
      </c>
      <c r="BK1071" s="166" t="str">
        <f t="shared" si="5506"/>
        <v>#ERROR!</v>
      </c>
      <c r="BL1071" s="164" t="str">
        <f t="shared" si="5506"/>
        <v>#ERROR!</v>
      </c>
      <c r="BM1071" s="164" t="str">
        <f t="shared" si="5506"/>
        <v>#ERROR!</v>
      </c>
      <c r="BN1071" s="164" t="str">
        <f t="shared" si="5506"/>
        <v>#ERROR!</v>
      </c>
      <c r="BO1071" s="164" t="str">
        <f t="shared" si="5506"/>
        <v>#ERROR!</v>
      </c>
      <c r="BP1071" s="166" t="str">
        <f t="shared" si="5506"/>
        <v>#ERROR!</v>
      </c>
      <c r="BQ1071" s="164" t="str">
        <f t="shared" si="5506"/>
        <v>#ERROR!</v>
      </c>
      <c r="BR1071" s="164" t="str">
        <f t="shared" si="5506"/>
        <v>#ERROR!</v>
      </c>
      <c r="BS1071" s="164" t="str">
        <f t="shared" si="5506"/>
        <v>#ERROR!</v>
      </c>
      <c r="BT1071" s="164" t="str">
        <f t="shared" si="5506"/>
        <v>#ERROR!</v>
      </c>
      <c r="BU1071" s="166" t="str">
        <f t="shared" si="5506"/>
        <v>#ERROR!</v>
      </c>
      <c r="BV1071" s="164" t="str">
        <f t="shared" si="5506"/>
        <v>#ERROR!</v>
      </c>
      <c r="BW1071" s="164" t="str">
        <f t="shared" si="5506"/>
        <v>#ERROR!</v>
      </c>
      <c r="BX1071" s="164" t="str">
        <f t="shared" si="5506"/>
        <v>#ERROR!</v>
      </c>
      <c r="BY1071" s="164" t="str">
        <f t="shared" si="5506"/>
        <v>#ERROR!</v>
      </c>
      <c r="BZ1071" s="168" t="str">
        <f t="shared" si="5506"/>
        <v>#ERROR!</v>
      </c>
      <c r="CA1071" s="164" t="str">
        <f t="shared" si="5506"/>
        <v>#ERROR!</v>
      </c>
      <c r="CB1071" s="164" t="str">
        <f t="shared" si="5506"/>
        <v>#ERROR!</v>
      </c>
      <c r="CC1071" s="164" t="str">
        <f t="shared" si="5506"/>
        <v>#ERROR!</v>
      </c>
      <c r="CD1071" s="164" t="str">
        <f t="shared" si="5506"/>
        <v>#ERROR!</v>
      </c>
      <c r="CE1071" s="168" t="str">
        <f t="shared" si="5506"/>
        <v>#ERROR!</v>
      </c>
      <c r="CF1071" s="164" t="str">
        <f t="shared" si="5506"/>
        <v>#ERROR!</v>
      </c>
      <c r="CG1071" s="164" t="str">
        <f t="shared" si="5506"/>
        <v>#ERROR!</v>
      </c>
      <c r="CH1071" s="164" t="str">
        <f t="shared" si="5506"/>
        <v>#ERROR!</v>
      </c>
      <c r="CI1071" s="164" t="str">
        <f t="shared" si="5506"/>
        <v>#ERROR!</v>
      </c>
      <c r="CJ1071" s="168" t="str">
        <f t="shared" si="5506"/>
        <v>#ERROR!</v>
      </c>
      <c r="CK1071" s="164" t="str">
        <f t="shared" si="5506"/>
        <v>#ERROR!</v>
      </c>
      <c r="CL1071" s="164" t="str">
        <f t="shared" si="5506"/>
        <v>#ERROR!</v>
      </c>
      <c r="CM1071" s="164" t="str">
        <f t="shared" si="5506"/>
        <v>#ERROR!</v>
      </c>
      <c r="CN1071" s="583" t="str">
        <f t="shared" si="5506"/>
        <v>#ERROR!</v>
      </c>
      <c r="CO1071" s="168" t="str">
        <f t="shared" si="5506"/>
        <v>#ERROR!</v>
      </c>
      <c r="CP1071" s="583" t="str">
        <f t="shared" si="5506"/>
        <v>#ERROR!</v>
      </c>
      <c r="CQ1071" s="164" t="str">
        <f t="shared" si="5506"/>
        <v>#ERROR!</v>
      </c>
      <c r="CR1071" s="164" t="str">
        <f t="shared" si="5506"/>
        <v>#ERROR!</v>
      </c>
      <c r="CS1071" s="164" t="str">
        <f t="shared" si="5506"/>
        <v>#ERROR!</v>
      </c>
      <c r="CT1071" s="168" t="str">
        <f t="shared" si="5506"/>
        <v>#ERROR!</v>
      </c>
      <c r="CU1071" s="164" t="str">
        <f t="shared" si="5506"/>
        <v>#ERROR!</v>
      </c>
      <c r="CV1071" s="164" t="str">
        <f t="shared" si="5506"/>
        <v>#ERROR!</v>
      </c>
      <c r="CW1071" s="164" t="str">
        <f t="shared" si="5506"/>
        <v>#ERROR!</v>
      </c>
      <c r="CX1071" s="164" t="str">
        <f t="shared" si="5506"/>
        <v>#ERROR!</v>
      </c>
      <c r="CY1071" s="168" t="str">
        <f t="shared" si="5506"/>
        <v>#ERROR!</v>
      </c>
      <c r="CZ1071" s="164" t="str">
        <f t="shared" si="5506"/>
        <v>#ERROR!</v>
      </c>
      <c r="DA1071" s="164" t="str">
        <f t="shared" si="5506"/>
        <v>#ERROR!</v>
      </c>
      <c r="DB1071" s="164" t="str">
        <f t="shared" si="5506"/>
        <v>#ERROR!</v>
      </c>
      <c r="DC1071" s="164" t="str">
        <f t="shared" si="5506"/>
        <v>#ERROR!</v>
      </c>
      <c r="DD1071" s="168" t="str">
        <f t="shared" si="5506"/>
        <v>#ERROR!</v>
      </c>
      <c r="DE1071" s="164" t="str">
        <f t="shared" si="5506"/>
        <v>#ERROR!</v>
      </c>
      <c r="DF1071" s="164" t="str">
        <f t="shared" si="5506"/>
        <v>#ERROR!</v>
      </c>
      <c r="DG1071" s="146" t="str">
        <f t="shared" si="5506"/>
        <v>#ERROR!</v>
      </c>
      <c r="DH1071" s="164" t="str">
        <f t="shared" si="5506"/>
        <v>#ERROR!</v>
      </c>
      <c r="DI1071" s="168" t="str">
        <f t="shared" si="5506"/>
        <v>#ERROR!</v>
      </c>
      <c r="DJ1071" s="583" t="str">
        <f t="shared" si="5506"/>
        <v>#ERROR!</v>
      </c>
      <c r="DK1071" s="583" t="str">
        <f t="shared" si="5506"/>
        <v>#ERROR!</v>
      </c>
      <c r="DL1071" s="583" t="str">
        <f t="shared" si="5506"/>
        <v>#ERROR!</v>
      </c>
      <c r="DM1071" s="164" t="str">
        <f t="shared" si="5506"/>
        <v>#ERROR!</v>
      </c>
      <c r="DN1071" s="168" t="str">
        <f t="shared" si="5506"/>
        <v>#ERROR!</v>
      </c>
      <c r="DO1071" s="164" t="str">
        <f t="shared" si="5506"/>
        <v>#ERROR!</v>
      </c>
      <c r="DP1071" s="164" t="str">
        <f t="shared" si="5506"/>
        <v>#ERROR!</v>
      </c>
      <c r="DQ1071" s="164" t="str">
        <f t="shared" si="5506"/>
        <v>#ERROR!</v>
      </c>
      <c r="DR1071" s="164" t="str">
        <f t="shared" si="5506"/>
        <v>#ERROR!</v>
      </c>
      <c r="DS1071" s="168" t="str">
        <f t="shared" si="5506"/>
        <v>#ERROR!</v>
      </c>
      <c r="DT1071" s="164" t="str">
        <f t="shared" si="5506"/>
        <v>#ERROR!</v>
      </c>
      <c r="DU1071" s="164" t="str">
        <f t="shared" si="5506"/>
        <v>#ERROR!</v>
      </c>
      <c r="DV1071" s="164" t="str">
        <f t="shared" si="5506"/>
        <v>#ERROR!</v>
      </c>
      <c r="DW1071" s="164" t="str">
        <f t="shared" si="5506"/>
        <v>#ERROR!</v>
      </c>
      <c r="DX1071" s="168" t="str">
        <f t="shared" si="5506"/>
        <v>#ERROR!</v>
      </c>
      <c r="DY1071" s="164" t="str">
        <f t="shared" si="5506"/>
        <v>#ERROR!</v>
      </c>
      <c r="DZ1071" s="164" t="str">
        <f t="shared" si="5506"/>
        <v>#ERROR!</v>
      </c>
      <c r="EA1071" s="164" t="str">
        <f t="shared" si="5506"/>
        <v>#ERROR!</v>
      </c>
      <c r="EB1071" s="164" t="str">
        <f t="shared" si="5506"/>
        <v>#ERROR!</v>
      </c>
      <c r="EC1071" s="168" t="str">
        <f t="shared" si="5506"/>
        <v>#ERROR!</v>
      </c>
      <c r="ED1071" s="164" t="str">
        <f t="shared" si="5506"/>
        <v>#ERROR!</v>
      </c>
      <c r="EE1071" s="164" t="str">
        <f t="shared" si="5506"/>
        <v>#ERROR!</v>
      </c>
      <c r="EF1071" s="164" t="str">
        <f t="shared" si="5506"/>
        <v>#ERROR!</v>
      </c>
      <c r="EG1071" s="164" t="str">
        <f t="shared" si="5506"/>
        <v>#ERROR!</v>
      </c>
      <c r="EH1071" s="168" t="str">
        <f t="shared" si="5506"/>
        <v>#ERROR!</v>
      </c>
      <c r="EI1071" s="584" t="str">
        <f t="shared" si="5506"/>
        <v>#ERROR!</v>
      </c>
      <c r="EJ1071" s="164" t="str">
        <f t="shared" si="5506"/>
        <v>#ERROR!</v>
      </c>
      <c r="EK1071" s="164" t="str">
        <f t="shared" si="5506"/>
        <v>#ERROR!</v>
      </c>
      <c r="EL1071" s="164" t="str">
        <f t="shared" si="5506"/>
        <v>#ERROR!</v>
      </c>
      <c r="EM1071" s="168" t="str">
        <f t="shared" si="5506"/>
        <v>#ERROR!</v>
      </c>
      <c r="EN1071" s="164" t="str">
        <f t="shared" si="5506"/>
        <v>#ERROR!</v>
      </c>
      <c r="EO1071" s="164" t="str">
        <f t="shared" si="5506"/>
        <v>#ERROR!</v>
      </c>
      <c r="EP1071" s="164" t="str">
        <f t="shared" si="5506"/>
        <v>#ERROR!</v>
      </c>
      <c r="EQ1071" s="164" t="str">
        <f t="shared" si="5506"/>
        <v>#ERROR!</v>
      </c>
      <c r="ER1071" s="168" t="str">
        <f t="shared" si="5506"/>
        <v>#ERROR!</v>
      </c>
      <c r="ES1071" s="164" t="str">
        <f t="shared" si="5506"/>
        <v>#ERROR!</v>
      </c>
      <c r="ET1071" s="164" t="str">
        <f t="shared" si="5506"/>
        <v>#ERROR!</v>
      </c>
      <c r="EU1071" s="164" t="str">
        <f t="shared" si="5506"/>
        <v>#ERROR!</v>
      </c>
      <c r="EV1071" s="164" t="str">
        <f t="shared" si="5506"/>
        <v>#ERROR!</v>
      </c>
      <c r="EW1071" s="168" t="str">
        <f t="shared" si="5506"/>
        <v>#ERROR!</v>
      </c>
      <c r="EX1071" s="164" t="str">
        <f t="shared" si="5506"/>
        <v>#ERROR!</v>
      </c>
      <c r="EY1071" s="164" t="str">
        <f t="shared" si="5506"/>
        <v>#ERROR!</v>
      </c>
      <c r="EZ1071" s="164" t="str">
        <f t="shared" si="5506"/>
        <v>#ERROR!</v>
      </c>
      <c r="FA1071" s="164" t="str">
        <f t="shared" si="5506"/>
        <v>#ERROR!</v>
      </c>
      <c r="FB1071" s="168" t="str">
        <f t="shared" si="5506"/>
        <v>#ERROR!</v>
      </c>
      <c r="FC1071" s="164" t="str">
        <f t="shared" si="5506"/>
        <v>#ERROR!</v>
      </c>
      <c r="FD1071" s="164" t="str">
        <f t="shared" si="5506"/>
        <v>#ERROR!</v>
      </c>
      <c r="FE1071" s="164" t="str">
        <f t="shared" si="5506"/>
        <v>#ERROR!</v>
      </c>
      <c r="FF1071" s="164" t="str">
        <f t="shared" si="5506"/>
        <v>#ERROR!</v>
      </c>
      <c r="FG1071" s="168" t="str">
        <f t="shared" si="5506"/>
        <v>#ERROR!</v>
      </c>
      <c r="FH1071" s="167"/>
      <c r="FI1071" s="164"/>
      <c r="FJ1071" s="164"/>
      <c r="FK1071" s="166"/>
      <c r="FL1071" s="164"/>
    </row>
    <row r="1072" ht="12.75" hidden="1" customHeight="1" outlineLevel="2">
      <c r="A1072" s="4"/>
      <c r="B1072" s="4"/>
      <c r="C1072" s="4"/>
      <c r="D1072" s="4"/>
      <c r="E1072" s="4"/>
      <c r="F1072" s="4"/>
      <c r="G1072" s="4"/>
      <c r="H1072" s="410"/>
      <c r="I1072" s="4"/>
      <c r="J1072" s="4"/>
      <c r="K1072" s="4"/>
      <c r="L1072" s="4"/>
      <c r="M1072" s="410"/>
      <c r="N1072" s="4"/>
      <c r="O1072" s="4"/>
      <c r="P1072" s="4"/>
      <c r="Q1072" s="4"/>
      <c r="R1072" s="410"/>
      <c r="S1072" s="4"/>
      <c r="T1072" s="4"/>
      <c r="U1072" s="4"/>
      <c r="V1072" s="4"/>
      <c r="W1072" s="410"/>
      <c r="X1072" s="4"/>
      <c r="Y1072" s="4"/>
      <c r="Z1072" s="4"/>
      <c r="AA1072" s="4"/>
      <c r="AB1072" s="410"/>
      <c r="AC1072" s="4"/>
      <c r="AD1072" s="4"/>
      <c r="AE1072" s="4"/>
      <c r="AF1072" s="4"/>
      <c r="AG1072" s="410"/>
      <c r="AH1072" s="4"/>
      <c r="AI1072" s="4"/>
      <c r="AJ1072" s="4"/>
      <c r="AK1072" s="4"/>
      <c r="AL1072" s="410"/>
      <c r="AM1072" s="4"/>
      <c r="AN1072" s="4"/>
      <c r="AO1072" s="4"/>
      <c r="AP1072" s="4"/>
      <c r="AQ1072" s="410"/>
      <c r="AR1072" s="4"/>
      <c r="AS1072" s="4"/>
      <c r="AT1072" s="4"/>
      <c r="AU1072" s="4" t="str">
        <f t="shared" ref="AU1072:BK1072" si="5507">AU1071/AP1071-1</f>
        <v>#ERROR!</v>
      </c>
      <c r="AV1072" s="410" t="str">
        <f t="shared" si="5507"/>
        <v>#ERROR!</v>
      </c>
      <c r="AW1072" s="4" t="str">
        <f t="shared" si="5507"/>
        <v>#ERROR!</v>
      </c>
      <c r="AX1072" s="4" t="str">
        <f t="shared" si="5507"/>
        <v>#ERROR!</v>
      </c>
      <c r="AY1072" s="4" t="str">
        <f t="shared" si="5507"/>
        <v>#ERROR!</v>
      </c>
      <c r="AZ1072" s="4" t="str">
        <f t="shared" si="5507"/>
        <v>#ERROR!</v>
      </c>
      <c r="BA1072" s="410" t="str">
        <f t="shared" si="5507"/>
        <v>#ERROR!</v>
      </c>
      <c r="BB1072" s="4" t="str">
        <f t="shared" si="5507"/>
        <v>#ERROR!</v>
      </c>
      <c r="BC1072" s="4" t="str">
        <f t="shared" si="5507"/>
        <v>#ERROR!</v>
      </c>
      <c r="BD1072" s="4" t="str">
        <f t="shared" si="5507"/>
        <v>#ERROR!</v>
      </c>
      <c r="BE1072" s="4" t="str">
        <f t="shared" si="5507"/>
        <v>#ERROR!</v>
      </c>
      <c r="BF1072" s="410" t="str">
        <f t="shared" si="5507"/>
        <v>#ERROR!</v>
      </c>
      <c r="BG1072" s="4" t="str">
        <f t="shared" si="5507"/>
        <v>#ERROR!</v>
      </c>
      <c r="BH1072" s="4" t="str">
        <f t="shared" si="5507"/>
        <v>#ERROR!</v>
      </c>
      <c r="BI1072" s="4" t="str">
        <f t="shared" si="5507"/>
        <v>#ERROR!</v>
      </c>
      <c r="BJ1072" s="4" t="str">
        <f t="shared" si="5507"/>
        <v>#ERROR!</v>
      </c>
      <c r="BK1072" s="410" t="str">
        <f t="shared" si="5507"/>
        <v>#ERROR!</v>
      </c>
      <c r="BL1072" s="4"/>
      <c r="BM1072" s="4"/>
      <c r="BN1072" s="4"/>
      <c r="BO1072" s="4"/>
      <c r="BP1072" s="410" t="str">
        <f>BP1071/BK1071-1</f>
        <v>#ERROR!</v>
      </c>
      <c r="BQ1072" s="4"/>
      <c r="BR1072" s="4"/>
      <c r="BS1072" s="4"/>
      <c r="BT1072" s="4"/>
      <c r="BU1072" s="410" t="str">
        <f>BU1071/BP1071-1</f>
        <v>#ERROR!</v>
      </c>
      <c r="BV1072" s="4"/>
      <c r="BW1072" s="4"/>
      <c r="BX1072" s="4"/>
      <c r="BY1072" s="4"/>
      <c r="BZ1072" s="24" t="str">
        <f>BZ1071/BU1071-1</f>
        <v>#ERROR!</v>
      </c>
      <c r="CA1072" s="4"/>
      <c r="CB1072" s="4"/>
      <c r="CC1072" s="4"/>
      <c r="CD1072" s="4"/>
      <c r="CE1072" s="24" t="str">
        <f>CE1071/BZ1071-1</f>
        <v>#ERROR!</v>
      </c>
      <c r="CF1072" s="4"/>
      <c r="CG1072" s="4"/>
      <c r="CH1072" s="4"/>
      <c r="CI1072" s="4"/>
      <c r="CJ1072" s="24" t="str">
        <f>CJ1071/CE1071-1</f>
        <v>#ERROR!</v>
      </c>
      <c r="CK1072" s="4"/>
      <c r="CL1072" s="4"/>
      <c r="CM1072" s="4"/>
      <c r="CN1072" s="16"/>
      <c r="CO1072" s="24" t="str">
        <f>CO1071/CJ1071-1</f>
        <v>#ERROR!</v>
      </c>
      <c r="CP1072" s="16"/>
      <c r="CQ1072" s="4"/>
      <c r="CR1072" s="4"/>
      <c r="CS1072" s="4"/>
      <c r="CT1072" s="24" t="str">
        <f>CT1071/CO1071-1</f>
        <v>#ERROR!</v>
      </c>
      <c r="CU1072" s="4"/>
      <c r="CV1072" s="4"/>
      <c r="CW1072" s="4"/>
      <c r="CX1072" s="4"/>
      <c r="CY1072" s="24" t="str">
        <f>CY1071/CT1071-1</f>
        <v>#ERROR!</v>
      </c>
      <c r="CZ1072" s="4"/>
      <c r="DA1072" s="4"/>
      <c r="DB1072" s="4"/>
      <c r="DC1072" s="4"/>
      <c r="DD1072" s="24" t="str">
        <f>DD1071/CY1071-1</f>
        <v>#ERROR!</v>
      </c>
      <c r="DE1072" s="4"/>
      <c r="DF1072" s="4"/>
      <c r="DG1072" s="16"/>
      <c r="DH1072" s="4"/>
      <c r="DI1072" s="24" t="str">
        <f>DI1071/DD1071-1</f>
        <v>#ERROR!</v>
      </c>
      <c r="DJ1072" s="16"/>
      <c r="DK1072" s="16"/>
      <c r="DL1072" s="16"/>
      <c r="DM1072" s="4"/>
      <c r="DN1072" s="24" t="str">
        <f>DN1071/DI1071-1</f>
        <v>#ERROR!</v>
      </c>
      <c r="DO1072" s="4"/>
      <c r="DP1072" s="4"/>
      <c r="DQ1072" s="4"/>
      <c r="DR1072" s="4"/>
      <c r="DS1072" s="24" t="str">
        <f>DS1071/DN1071-1</f>
        <v>#ERROR!</v>
      </c>
      <c r="DT1072" s="4"/>
      <c r="DU1072" s="4"/>
      <c r="DV1072" s="4"/>
      <c r="DW1072" s="4"/>
      <c r="DX1072" s="24" t="str">
        <f>DX1071/DS1071-1</f>
        <v>#ERROR!</v>
      </c>
      <c r="DY1072" s="4"/>
      <c r="DZ1072" s="4"/>
      <c r="EA1072" s="4"/>
      <c r="EB1072" s="4"/>
      <c r="EC1072" s="24" t="str">
        <f>EC1071/DX1071-1</f>
        <v>#ERROR!</v>
      </c>
      <c r="ED1072" s="4"/>
      <c r="EE1072" s="4"/>
      <c r="EF1072" s="4"/>
      <c r="EG1072" s="4"/>
      <c r="EH1072" s="24" t="str">
        <f>EH1071/EC1071-1</f>
        <v>#ERROR!</v>
      </c>
      <c r="EI1072" s="214"/>
      <c r="EJ1072" s="4"/>
      <c r="EK1072" s="4"/>
      <c r="EL1072" s="4"/>
      <c r="EM1072" s="24" t="str">
        <f>EM1071/EH1071-1</f>
        <v>#ERROR!</v>
      </c>
      <c r="EN1072" s="4"/>
      <c r="EO1072" s="4"/>
      <c r="EP1072" s="4"/>
      <c r="EQ1072" s="4"/>
      <c r="ER1072" s="24" t="str">
        <f>ER1071/EM1071-1</f>
        <v>#ERROR!</v>
      </c>
      <c r="ES1072" s="4"/>
      <c r="ET1072" s="4"/>
      <c r="EU1072" s="4"/>
      <c r="EV1072" s="4"/>
      <c r="EW1072" s="24" t="str">
        <f>EW1071/ER1071-1</f>
        <v>#ERROR!</v>
      </c>
      <c r="EX1072" s="4"/>
      <c r="EY1072" s="4"/>
      <c r="EZ1072" s="4"/>
      <c r="FA1072" s="4"/>
      <c r="FB1072" s="24" t="str">
        <f>FB1071/EW1071-1</f>
        <v>#ERROR!</v>
      </c>
      <c r="FC1072" s="4"/>
      <c r="FD1072" s="4"/>
      <c r="FE1072" s="4"/>
      <c r="FF1072" s="4"/>
      <c r="FG1072" s="24" t="str">
        <f>FG1071/FB1071-1</f>
        <v>#ERROR!</v>
      </c>
      <c r="FH1072" s="104"/>
      <c r="FI1072" s="4"/>
      <c r="FJ1072" s="4"/>
      <c r="FK1072" s="410"/>
      <c r="FL1072" s="4"/>
    </row>
    <row r="1073" ht="12.75" hidden="1" customHeight="1" outlineLevel="2">
      <c r="A1073" s="4"/>
      <c r="B1073" s="45" t="s">
        <v>384</v>
      </c>
      <c r="C1073" s="4"/>
      <c r="D1073" s="4"/>
      <c r="E1073" s="4"/>
      <c r="F1073" s="4"/>
      <c r="G1073" s="4"/>
      <c r="H1073" s="45"/>
      <c r="I1073" s="4"/>
      <c r="J1073" s="4"/>
      <c r="K1073" s="4"/>
      <c r="L1073" s="4"/>
      <c r="M1073" s="45"/>
      <c r="N1073" s="4"/>
      <c r="O1073" s="4"/>
      <c r="P1073" s="4"/>
      <c r="Q1073" s="4"/>
      <c r="R1073" s="45"/>
      <c r="S1073" s="4"/>
      <c r="T1073" s="4"/>
      <c r="U1073" s="4"/>
      <c r="V1073" s="4"/>
      <c r="W1073" s="45"/>
      <c r="X1073" s="4"/>
      <c r="Y1073" s="4"/>
      <c r="Z1073" s="4"/>
      <c r="AA1073" s="4"/>
      <c r="AB1073" s="45"/>
      <c r="AC1073" s="4"/>
      <c r="AD1073" s="4"/>
      <c r="AE1073" s="4"/>
      <c r="AF1073" s="4"/>
      <c r="AG1073" s="45"/>
      <c r="AH1073" s="4"/>
      <c r="AI1073" s="4"/>
      <c r="AJ1073" s="4"/>
      <c r="AK1073" s="4"/>
      <c r="AL1073" s="45"/>
      <c r="AM1073" s="4"/>
      <c r="AN1073" s="4"/>
      <c r="AO1073" s="4"/>
      <c r="AP1073" s="4"/>
      <c r="AQ1073" s="45"/>
      <c r="AR1073" s="4"/>
      <c r="AS1073" s="4"/>
      <c r="AT1073" s="4"/>
      <c r="AU1073" s="4"/>
      <c r="AV1073" s="45"/>
      <c r="AW1073" s="4"/>
      <c r="AX1073" s="4"/>
      <c r="AY1073" s="4"/>
      <c r="AZ1073" s="4"/>
      <c r="BA1073" s="45"/>
      <c r="BB1073" s="4"/>
      <c r="BC1073" s="4"/>
      <c r="BD1073" s="4"/>
      <c r="BE1073" s="4"/>
      <c r="BF1073" s="45"/>
      <c r="BG1073" s="4"/>
      <c r="BH1073" s="4"/>
      <c r="BI1073" s="4"/>
      <c r="BJ1073" s="4"/>
      <c r="BK1073" s="45"/>
      <c r="BL1073" s="4"/>
      <c r="BM1073" s="4"/>
      <c r="BN1073" s="4"/>
      <c r="BO1073" s="4"/>
      <c r="BP1073" s="45"/>
      <c r="BQ1073" s="4"/>
      <c r="BR1073" s="4"/>
      <c r="BS1073" s="4"/>
      <c r="BT1073" s="4"/>
      <c r="BU1073" s="45"/>
      <c r="BV1073" s="4"/>
      <c r="BW1073" s="4"/>
      <c r="BX1073" s="4"/>
      <c r="BY1073" s="4"/>
      <c r="BZ1073" s="350"/>
      <c r="CA1073" s="4"/>
      <c r="CB1073" s="4"/>
      <c r="CC1073" s="4"/>
      <c r="CD1073" s="4"/>
      <c r="CE1073" s="350"/>
      <c r="CF1073" s="4"/>
      <c r="CG1073" s="4"/>
      <c r="CH1073" s="4"/>
      <c r="CI1073" s="4"/>
      <c r="CJ1073" s="350"/>
      <c r="CK1073" s="4"/>
      <c r="CL1073" s="4"/>
      <c r="CM1073" s="4"/>
      <c r="CN1073" s="16"/>
      <c r="CO1073" s="350"/>
      <c r="CP1073" s="16"/>
      <c r="CQ1073" s="4"/>
      <c r="CR1073" s="4"/>
      <c r="CS1073" s="4"/>
      <c r="CT1073" s="350"/>
      <c r="CU1073" s="4"/>
      <c r="CV1073" s="4"/>
      <c r="CW1073" s="4"/>
      <c r="CX1073" s="4"/>
      <c r="CY1073" s="350"/>
      <c r="CZ1073" s="4"/>
      <c r="DA1073" s="4"/>
      <c r="DB1073" s="4"/>
      <c r="DC1073" s="4"/>
      <c r="DD1073" s="350"/>
      <c r="DE1073" s="4"/>
      <c r="DF1073" s="4"/>
      <c r="DG1073" s="16"/>
      <c r="DH1073" s="4"/>
      <c r="DI1073" s="350"/>
      <c r="DJ1073" s="16"/>
      <c r="DK1073" s="16"/>
      <c r="DL1073" s="16"/>
      <c r="DM1073" s="4"/>
      <c r="DN1073" s="350"/>
      <c r="DO1073" s="4"/>
      <c r="DP1073" s="4"/>
      <c r="DQ1073" s="4"/>
      <c r="DR1073" s="4"/>
      <c r="DS1073" s="350"/>
      <c r="DT1073" s="4"/>
      <c r="DU1073" s="4"/>
      <c r="DV1073" s="4"/>
      <c r="DW1073" s="4"/>
      <c r="DX1073" s="350"/>
      <c r="DY1073" s="4"/>
      <c r="DZ1073" s="4"/>
      <c r="EA1073" s="4"/>
      <c r="EB1073" s="4"/>
      <c r="EC1073" s="350"/>
      <c r="ED1073" s="4"/>
      <c r="EE1073" s="4"/>
      <c r="EF1073" s="4"/>
      <c r="EG1073" s="4"/>
      <c r="EH1073" s="350"/>
      <c r="EI1073" s="214"/>
      <c r="EJ1073" s="4"/>
      <c r="EK1073" s="4"/>
      <c r="EL1073" s="4"/>
      <c r="EM1073" s="350"/>
      <c r="EN1073" s="4"/>
      <c r="EO1073" s="4"/>
      <c r="EP1073" s="4"/>
      <c r="EQ1073" s="4"/>
      <c r="ER1073" s="350"/>
      <c r="ES1073" s="4"/>
      <c r="ET1073" s="4"/>
      <c r="EU1073" s="4"/>
      <c r="EV1073" s="4"/>
      <c r="EW1073" s="350"/>
      <c r="EX1073" s="4"/>
      <c r="EY1073" s="4"/>
      <c r="EZ1073" s="4"/>
      <c r="FA1073" s="4"/>
      <c r="FB1073" s="350"/>
      <c r="FC1073" s="4"/>
      <c r="FD1073" s="4"/>
      <c r="FE1073" s="4"/>
      <c r="FF1073" s="4"/>
      <c r="FG1073" s="350"/>
      <c r="FH1073" s="145"/>
      <c r="FI1073" s="4"/>
      <c r="FJ1073" s="4"/>
      <c r="FK1073" s="45"/>
      <c r="FL1073" s="4"/>
    </row>
    <row r="1074" ht="12.75" hidden="1" customHeight="1" outlineLevel="2">
      <c r="A1074" s="4"/>
      <c r="B1074" s="4" t="s">
        <v>385</v>
      </c>
      <c r="C1074" s="4"/>
      <c r="D1074" s="15"/>
      <c r="E1074" s="15"/>
      <c r="F1074" s="15"/>
      <c r="G1074" s="15"/>
      <c r="H1074" s="410"/>
      <c r="I1074" s="15" t="str">
        <f t="shared" ref="I1074:FG1074" si="5508">I1069/I$1071</f>
        <v>#ERROR!</v>
      </c>
      <c r="J1074" s="15" t="str">
        <f t="shared" si="5508"/>
        <v>#ERROR!</v>
      </c>
      <c r="K1074" s="15" t="str">
        <f t="shared" si="5508"/>
        <v>#ERROR!</v>
      </c>
      <c r="L1074" s="15" t="str">
        <f t="shared" si="5508"/>
        <v>#ERROR!</v>
      </c>
      <c r="M1074" s="410" t="str">
        <f t="shared" si="5508"/>
        <v>#ERROR!</v>
      </c>
      <c r="N1074" s="15" t="str">
        <f t="shared" si="5508"/>
        <v>#ERROR!</v>
      </c>
      <c r="O1074" s="15" t="str">
        <f t="shared" si="5508"/>
        <v>#ERROR!</v>
      </c>
      <c r="P1074" s="15" t="str">
        <f t="shared" si="5508"/>
        <v>#ERROR!</v>
      </c>
      <c r="Q1074" s="15" t="str">
        <f t="shared" si="5508"/>
        <v>#ERROR!</v>
      </c>
      <c r="R1074" s="410" t="str">
        <f t="shared" si="5508"/>
        <v>#ERROR!</v>
      </c>
      <c r="S1074" s="15" t="str">
        <f t="shared" si="5508"/>
        <v>#ERROR!</v>
      </c>
      <c r="T1074" s="15" t="str">
        <f t="shared" si="5508"/>
        <v>#ERROR!</v>
      </c>
      <c r="U1074" s="15" t="str">
        <f t="shared" si="5508"/>
        <v>#ERROR!</v>
      </c>
      <c r="V1074" s="15" t="str">
        <f t="shared" si="5508"/>
        <v>#ERROR!</v>
      </c>
      <c r="W1074" s="410" t="str">
        <f t="shared" si="5508"/>
        <v>#ERROR!</v>
      </c>
      <c r="X1074" s="15" t="str">
        <f t="shared" si="5508"/>
        <v>#ERROR!</v>
      </c>
      <c r="Y1074" s="15" t="str">
        <f t="shared" si="5508"/>
        <v>#ERROR!</v>
      </c>
      <c r="Z1074" s="15" t="str">
        <f t="shared" si="5508"/>
        <v>#ERROR!</v>
      </c>
      <c r="AA1074" s="15" t="str">
        <f t="shared" si="5508"/>
        <v>#ERROR!</v>
      </c>
      <c r="AB1074" s="410" t="str">
        <f t="shared" si="5508"/>
        <v>#ERROR!</v>
      </c>
      <c r="AC1074" s="15" t="str">
        <f t="shared" si="5508"/>
        <v>#ERROR!</v>
      </c>
      <c r="AD1074" s="15" t="str">
        <f t="shared" si="5508"/>
        <v>#ERROR!</v>
      </c>
      <c r="AE1074" s="15" t="str">
        <f t="shared" si="5508"/>
        <v>#ERROR!</v>
      </c>
      <c r="AF1074" s="15" t="str">
        <f t="shared" si="5508"/>
        <v>#ERROR!</v>
      </c>
      <c r="AG1074" s="410" t="str">
        <f t="shared" si="5508"/>
        <v>#ERROR!</v>
      </c>
      <c r="AH1074" s="15" t="str">
        <f t="shared" si="5508"/>
        <v>#ERROR!</v>
      </c>
      <c r="AI1074" s="15" t="str">
        <f t="shared" si="5508"/>
        <v>#ERROR!</v>
      </c>
      <c r="AJ1074" s="15" t="str">
        <f t="shared" si="5508"/>
        <v>#ERROR!</v>
      </c>
      <c r="AK1074" s="15" t="str">
        <f t="shared" si="5508"/>
        <v>#ERROR!</v>
      </c>
      <c r="AL1074" s="410" t="str">
        <f t="shared" si="5508"/>
        <v>#ERROR!</v>
      </c>
      <c r="AM1074" s="15" t="str">
        <f t="shared" si="5508"/>
        <v>#ERROR!</v>
      </c>
      <c r="AN1074" s="15" t="str">
        <f t="shared" si="5508"/>
        <v>#ERROR!</v>
      </c>
      <c r="AO1074" s="15" t="str">
        <f t="shared" si="5508"/>
        <v>#ERROR!</v>
      </c>
      <c r="AP1074" s="15" t="str">
        <f t="shared" si="5508"/>
        <v>#ERROR!</v>
      </c>
      <c r="AQ1074" s="410" t="str">
        <f t="shared" si="5508"/>
        <v>#ERROR!</v>
      </c>
      <c r="AR1074" s="15" t="str">
        <f t="shared" si="5508"/>
        <v>#ERROR!</v>
      </c>
      <c r="AS1074" s="15" t="str">
        <f t="shared" si="5508"/>
        <v>#ERROR!</v>
      </c>
      <c r="AT1074" s="15" t="str">
        <f t="shared" si="5508"/>
        <v>#ERROR!</v>
      </c>
      <c r="AU1074" s="15" t="str">
        <f t="shared" si="5508"/>
        <v>#ERROR!</v>
      </c>
      <c r="AV1074" s="410" t="str">
        <f t="shared" si="5508"/>
        <v>#ERROR!</v>
      </c>
      <c r="AW1074" s="15" t="str">
        <f t="shared" si="5508"/>
        <v>#ERROR!</v>
      </c>
      <c r="AX1074" s="15" t="str">
        <f t="shared" si="5508"/>
        <v>#ERROR!</v>
      </c>
      <c r="AY1074" s="15" t="str">
        <f t="shared" si="5508"/>
        <v>#ERROR!</v>
      </c>
      <c r="AZ1074" s="15" t="str">
        <f t="shared" si="5508"/>
        <v>#ERROR!</v>
      </c>
      <c r="BA1074" s="410" t="str">
        <f t="shared" si="5508"/>
        <v>#ERROR!</v>
      </c>
      <c r="BB1074" s="15" t="str">
        <f t="shared" si="5508"/>
        <v>#ERROR!</v>
      </c>
      <c r="BC1074" s="15" t="str">
        <f t="shared" si="5508"/>
        <v>#ERROR!</v>
      </c>
      <c r="BD1074" s="15" t="str">
        <f t="shared" si="5508"/>
        <v>#ERROR!</v>
      </c>
      <c r="BE1074" s="15" t="str">
        <f t="shared" si="5508"/>
        <v>#ERROR!</v>
      </c>
      <c r="BF1074" s="410" t="str">
        <f t="shared" si="5508"/>
        <v>#ERROR!</v>
      </c>
      <c r="BG1074" s="15" t="str">
        <f t="shared" si="5508"/>
        <v>#ERROR!</v>
      </c>
      <c r="BH1074" s="15" t="str">
        <f t="shared" si="5508"/>
        <v>#ERROR!</v>
      </c>
      <c r="BI1074" s="15" t="str">
        <f t="shared" si="5508"/>
        <v>#ERROR!</v>
      </c>
      <c r="BJ1074" s="15" t="str">
        <f t="shared" si="5508"/>
        <v>#ERROR!</v>
      </c>
      <c r="BK1074" s="410" t="str">
        <f t="shared" si="5508"/>
        <v>#ERROR!</v>
      </c>
      <c r="BL1074" s="15" t="str">
        <f t="shared" si="5508"/>
        <v>#ERROR!</v>
      </c>
      <c r="BM1074" s="15" t="str">
        <f t="shared" si="5508"/>
        <v>#ERROR!</v>
      </c>
      <c r="BN1074" s="15" t="str">
        <f t="shared" si="5508"/>
        <v>#ERROR!</v>
      </c>
      <c r="BO1074" s="15" t="str">
        <f t="shared" si="5508"/>
        <v>#ERROR!</v>
      </c>
      <c r="BP1074" s="410" t="str">
        <f t="shared" si="5508"/>
        <v>#ERROR!</v>
      </c>
      <c r="BQ1074" s="15" t="str">
        <f t="shared" si="5508"/>
        <v>#ERROR!</v>
      </c>
      <c r="BR1074" s="15" t="str">
        <f t="shared" si="5508"/>
        <v>#ERROR!</v>
      </c>
      <c r="BS1074" s="15" t="str">
        <f t="shared" si="5508"/>
        <v>#ERROR!</v>
      </c>
      <c r="BT1074" s="15" t="str">
        <f t="shared" si="5508"/>
        <v>#ERROR!</v>
      </c>
      <c r="BU1074" s="410" t="str">
        <f t="shared" si="5508"/>
        <v>#ERROR!</v>
      </c>
      <c r="BV1074" s="15" t="str">
        <f t="shared" si="5508"/>
        <v>#ERROR!</v>
      </c>
      <c r="BW1074" s="15" t="str">
        <f t="shared" si="5508"/>
        <v>#ERROR!</v>
      </c>
      <c r="BX1074" s="15" t="str">
        <f t="shared" si="5508"/>
        <v>#ERROR!</v>
      </c>
      <c r="BY1074" s="15" t="str">
        <f t="shared" si="5508"/>
        <v>#ERROR!</v>
      </c>
      <c r="BZ1074" s="24" t="str">
        <f t="shared" si="5508"/>
        <v>#ERROR!</v>
      </c>
      <c r="CA1074" s="15" t="str">
        <f t="shared" si="5508"/>
        <v>#ERROR!</v>
      </c>
      <c r="CB1074" s="15" t="str">
        <f t="shared" si="5508"/>
        <v>#ERROR!</v>
      </c>
      <c r="CC1074" s="15" t="str">
        <f t="shared" si="5508"/>
        <v>#ERROR!</v>
      </c>
      <c r="CD1074" s="15" t="str">
        <f t="shared" si="5508"/>
        <v>#ERROR!</v>
      </c>
      <c r="CE1074" s="24" t="str">
        <f t="shared" si="5508"/>
        <v>#ERROR!</v>
      </c>
      <c r="CF1074" s="15" t="str">
        <f t="shared" si="5508"/>
        <v>#ERROR!</v>
      </c>
      <c r="CG1074" s="15" t="str">
        <f t="shared" si="5508"/>
        <v>#ERROR!</v>
      </c>
      <c r="CH1074" s="15" t="str">
        <f t="shared" si="5508"/>
        <v>#ERROR!</v>
      </c>
      <c r="CI1074" s="15" t="str">
        <f t="shared" si="5508"/>
        <v>#ERROR!</v>
      </c>
      <c r="CJ1074" s="24" t="str">
        <f t="shared" si="5508"/>
        <v>#ERROR!</v>
      </c>
      <c r="CK1074" s="15" t="str">
        <f t="shared" si="5508"/>
        <v>#ERROR!</v>
      </c>
      <c r="CL1074" s="15" t="str">
        <f t="shared" si="5508"/>
        <v>#ERROR!</v>
      </c>
      <c r="CM1074" s="15" t="str">
        <f t="shared" si="5508"/>
        <v>#ERROR!</v>
      </c>
      <c r="CN1074" s="40" t="str">
        <f t="shared" si="5508"/>
        <v>#ERROR!</v>
      </c>
      <c r="CO1074" s="24" t="str">
        <f t="shared" si="5508"/>
        <v>#ERROR!</v>
      </c>
      <c r="CP1074" s="40" t="str">
        <f t="shared" si="5508"/>
        <v>#ERROR!</v>
      </c>
      <c r="CQ1074" s="15" t="str">
        <f t="shared" si="5508"/>
        <v>#ERROR!</v>
      </c>
      <c r="CR1074" s="15" t="str">
        <f t="shared" si="5508"/>
        <v>#ERROR!</v>
      </c>
      <c r="CS1074" s="15" t="str">
        <f t="shared" si="5508"/>
        <v>#ERROR!</v>
      </c>
      <c r="CT1074" s="24" t="str">
        <f t="shared" si="5508"/>
        <v>#ERROR!</v>
      </c>
      <c r="CU1074" s="15" t="str">
        <f t="shared" si="5508"/>
        <v>#ERROR!</v>
      </c>
      <c r="CV1074" s="15" t="str">
        <f t="shared" si="5508"/>
        <v>#ERROR!</v>
      </c>
      <c r="CW1074" s="15" t="str">
        <f t="shared" si="5508"/>
        <v>#ERROR!</v>
      </c>
      <c r="CX1074" s="15" t="str">
        <f t="shared" si="5508"/>
        <v>#ERROR!</v>
      </c>
      <c r="CY1074" s="24" t="str">
        <f t="shared" si="5508"/>
        <v>#ERROR!</v>
      </c>
      <c r="CZ1074" s="15" t="str">
        <f t="shared" si="5508"/>
        <v>#ERROR!</v>
      </c>
      <c r="DA1074" s="15" t="str">
        <f t="shared" si="5508"/>
        <v>#ERROR!</v>
      </c>
      <c r="DB1074" s="15" t="str">
        <f t="shared" si="5508"/>
        <v>#ERROR!</v>
      </c>
      <c r="DC1074" s="15" t="str">
        <f t="shared" si="5508"/>
        <v>#ERROR!</v>
      </c>
      <c r="DD1074" s="24" t="str">
        <f t="shared" si="5508"/>
        <v>#ERROR!</v>
      </c>
      <c r="DE1074" s="15" t="str">
        <f t="shared" si="5508"/>
        <v>#ERROR!</v>
      </c>
      <c r="DF1074" s="15" t="str">
        <f t="shared" si="5508"/>
        <v>#ERROR!</v>
      </c>
      <c r="DG1074" s="40" t="str">
        <f t="shared" si="5508"/>
        <v>#ERROR!</v>
      </c>
      <c r="DH1074" s="15" t="str">
        <f t="shared" si="5508"/>
        <v>#ERROR!</v>
      </c>
      <c r="DI1074" s="24" t="str">
        <f t="shared" si="5508"/>
        <v>#ERROR!</v>
      </c>
      <c r="DJ1074" s="40" t="str">
        <f t="shared" si="5508"/>
        <v>#ERROR!</v>
      </c>
      <c r="DK1074" s="40" t="str">
        <f t="shared" si="5508"/>
        <v>#ERROR!</v>
      </c>
      <c r="DL1074" s="40" t="str">
        <f t="shared" si="5508"/>
        <v>#ERROR!</v>
      </c>
      <c r="DM1074" s="15" t="str">
        <f t="shared" si="5508"/>
        <v>#ERROR!</v>
      </c>
      <c r="DN1074" s="24" t="str">
        <f t="shared" si="5508"/>
        <v>#ERROR!</v>
      </c>
      <c r="DO1074" s="15" t="str">
        <f t="shared" si="5508"/>
        <v>#ERROR!</v>
      </c>
      <c r="DP1074" s="15" t="str">
        <f t="shared" si="5508"/>
        <v>#ERROR!</v>
      </c>
      <c r="DQ1074" s="15" t="str">
        <f t="shared" si="5508"/>
        <v>#ERROR!</v>
      </c>
      <c r="DR1074" s="15" t="str">
        <f t="shared" si="5508"/>
        <v>#ERROR!</v>
      </c>
      <c r="DS1074" s="24" t="str">
        <f t="shared" si="5508"/>
        <v>#ERROR!</v>
      </c>
      <c r="DT1074" s="15" t="str">
        <f t="shared" si="5508"/>
        <v>#ERROR!</v>
      </c>
      <c r="DU1074" s="15" t="str">
        <f t="shared" si="5508"/>
        <v>#ERROR!</v>
      </c>
      <c r="DV1074" s="15" t="str">
        <f t="shared" si="5508"/>
        <v>#ERROR!</v>
      </c>
      <c r="DW1074" s="15" t="str">
        <f t="shared" si="5508"/>
        <v>#ERROR!</v>
      </c>
      <c r="DX1074" s="24" t="str">
        <f t="shared" si="5508"/>
        <v>#ERROR!</v>
      </c>
      <c r="DY1074" s="15" t="str">
        <f t="shared" si="5508"/>
        <v>#ERROR!</v>
      </c>
      <c r="DZ1074" s="15" t="str">
        <f t="shared" si="5508"/>
        <v>#ERROR!</v>
      </c>
      <c r="EA1074" s="15" t="str">
        <f t="shared" si="5508"/>
        <v>#ERROR!</v>
      </c>
      <c r="EB1074" s="15" t="str">
        <f t="shared" si="5508"/>
        <v>#ERROR!</v>
      </c>
      <c r="EC1074" s="24" t="str">
        <f t="shared" si="5508"/>
        <v>#ERROR!</v>
      </c>
      <c r="ED1074" s="15" t="str">
        <f t="shared" si="5508"/>
        <v>#ERROR!</v>
      </c>
      <c r="EE1074" s="15" t="str">
        <f t="shared" si="5508"/>
        <v>#ERROR!</v>
      </c>
      <c r="EF1074" s="15" t="str">
        <f t="shared" si="5508"/>
        <v>#ERROR!</v>
      </c>
      <c r="EG1074" s="15" t="str">
        <f t="shared" si="5508"/>
        <v>#ERROR!</v>
      </c>
      <c r="EH1074" s="24" t="str">
        <f t="shared" si="5508"/>
        <v>#ERROR!</v>
      </c>
      <c r="EI1074" s="82" t="str">
        <f t="shared" si="5508"/>
        <v>#ERROR!</v>
      </c>
      <c r="EJ1074" s="15" t="str">
        <f t="shared" si="5508"/>
        <v>#ERROR!</v>
      </c>
      <c r="EK1074" s="15" t="str">
        <f t="shared" si="5508"/>
        <v>#ERROR!</v>
      </c>
      <c r="EL1074" s="15" t="str">
        <f t="shared" si="5508"/>
        <v>#ERROR!</v>
      </c>
      <c r="EM1074" s="24" t="str">
        <f t="shared" si="5508"/>
        <v>#ERROR!</v>
      </c>
      <c r="EN1074" s="15" t="str">
        <f t="shared" si="5508"/>
        <v>#ERROR!</v>
      </c>
      <c r="EO1074" s="15" t="str">
        <f t="shared" si="5508"/>
        <v>#ERROR!</v>
      </c>
      <c r="EP1074" s="15" t="str">
        <f t="shared" si="5508"/>
        <v>#ERROR!</v>
      </c>
      <c r="EQ1074" s="15" t="str">
        <f t="shared" si="5508"/>
        <v>#ERROR!</v>
      </c>
      <c r="ER1074" s="24" t="str">
        <f t="shared" si="5508"/>
        <v>#ERROR!</v>
      </c>
      <c r="ES1074" s="15" t="str">
        <f t="shared" si="5508"/>
        <v>#ERROR!</v>
      </c>
      <c r="ET1074" s="15" t="str">
        <f t="shared" si="5508"/>
        <v>#ERROR!</v>
      </c>
      <c r="EU1074" s="15" t="str">
        <f t="shared" si="5508"/>
        <v>#ERROR!</v>
      </c>
      <c r="EV1074" s="15" t="str">
        <f t="shared" si="5508"/>
        <v>#ERROR!</v>
      </c>
      <c r="EW1074" s="24" t="str">
        <f t="shared" si="5508"/>
        <v>#ERROR!</v>
      </c>
      <c r="EX1074" s="15" t="str">
        <f t="shared" si="5508"/>
        <v>#ERROR!</v>
      </c>
      <c r="EY1074" s="15" t="str">
        <f t="shared" si="5508"/>
        <v>#ERROR!</v>
      </c>
      <c r="EZ1074" s="15" t="str">
        <f t="shared" si="5508"/>
        <v>#ERROR!</v>
      </c>
      <c r="FA1074" s="15" t="str">
        <f t="shared" si="5508"/>
        <v>#ERROR!</v>
      </c>
      <c r="FB1074" s="24" t="str">
        <f t="shared" si="5508"/>
        <v>#ERROR!</v>
      </c>
      <c r="FC1074" s="15" t="str">
        <f t="shared" si="5508"/>
        <v>#ERROR!</v>
      </c>
      <c r="FD1074" s="15" t="str">
        <f t="shared" si="5508"/>
        <v>#ERROR!</v>
      </c>
      <c r="FE1074" s="15" t="str">
        <f t="shared" si="5508"/>
        <v>#ERROR!</v>
      </c>
      <c r="FF1074" s="15" t="str">
        <f t="shared" si="5508"/>
        <v>#ERROR!</v>
      </c>
      <c r="FG1074" s="24" t="str">
        <f t="shared" si="5508"/>
        <v>#ERROR!</v>
      </c>
      <c r="FH1074" s="104"/>
      <c r="FI1074" s="15"/>
      <c r="FJ1074" s="15"/>
      <c r="FK1074" s="410"/>
      <c r="FL1074" s="15"/>
    </row>
    <row r="1075" ht="12.75" hidden="1" customHeight="1" outlineLevel="2">
      <c r="A1075" s="4"/>
      <c r="B1075" s="4" t="s">
        <v>386</v>
      </c>
      <c r="C1075" s="4"/>
      <c r="D1075" s="15"/>
      <c r="E1075" s="15"/>
      <c r="F1075" s="15"/>
      <c r="G1075" s="15"/>
      <c r="H1075" s="410"/>
      <c r="I1075" s="15" t="str">
        <f t="shared" ref="I1075:FG1075" si="5509">I1070/I$1071</f>
        <v>#REF!</v>
      </c>
      <c r="J1075" s="15" t="str">
        <f t="shared" si="5509"/>
        <v>#REF!</v>
      </c>
      <c r="K1075" s="15" t="str">
        <f t="shared" si="5509"/>
        <v>#REF!</v>
      </c>
      <c r="L1075" s="15" t="str">
        <f t="shared" si="5509"/>
        <v>#REF!</v>
      </c>
      <c r="M1075" s="410" t="str">
        <f t="shared" si="5509"/>
        <v>#REF!</v>
      </c>
      <c r="N1075" s="15" t="str">
        <f t="shared" si="5509"/>
        <v>#REF!</v>
      </c>
      <c r="O1075" s="15" t="str">
        <f t="shared" si="5509"/>
        <v>#REF!</v>
      </c>
      <c r="P1075" s="15" t="str">
        <f t="shared" si="5509"/>
        <v>#REF!</v>
      </c>
      <c r="Q1075" s="15" t="str">
        <f t="shared" si="5509"/>
        <v>#REF!</v>
      </c>
      <c r="R1075" s="410" t="str">
        <f t="shared" si="5509"/>
        <v>#REF!</v>
      </c>
      <c r="S1075" s="15" t="str">
        <f t="shared" si="5509"/>
        <v>#REF!</v>
      </c>
      <c r="T1075" s="15" t="str">
        <f t="shared" si="5509"/>
        <v>#REF!</v>
      </c>
      <c r="U1075" s="15" t="str">
        <f t="shared" si="5509"/>
        <v>#REF!</v>
      </c>
      <c r="V1075" s="15" t="str">
        <f t="shared" si="5509"/>
        <v>#REF!</v>
      </c>
      <c r="W1075" s="410" t="str">
        <f t="shared" si="5509"/>
        <v>#REF!</v>
      </c>
      <c r="X1075" s="15" t="str">
        <f t="shared" si="5509"/>
        <v>#REF!</v>
      </c>
      <c r="Y1075" s="15" t="str">
        <f t="shared" si="5509"/>
        <v>#REF!</v>
      </c>
      <c r="Z1075" s="15" t="str">
        <f t="shared" si="5509"/>
        <v>#REF!</v>
      </c>
      <c r="AA1075" s="15" t="str">
        <f t="shared" si="5509"/>
        <v>#REF!</v>
      </c>
      <c r="AB1075" s="410" t="str">
        <f t="shared" si="5509"/>
        <v>#REF!</v>
      </c>
      <c r="AC1075" s="15" t="str">
        <f t="shared" si="5509"/>
        <v>#REF!</v>
      </c>
      <c r="AD1075" s="15" t="str">
        <f t="shared" si="5509"/>
        <v>#REF!</v>
      </c>
      <c r="AE1075" s="15" t="str">
        <f t="shared" si="5509"/>
        <v>#REF!</v>
      </c>
      <c r="AF1075" s="15" t="str">
        <f t="shared" si="5509"/>
        <v>#REF!</v>
      </c>
      <c r="AG1075" s="410" t="str">
        <f t="shared" si="5509"/>
        <v>#REF!</v>
      </c>
      <c r="AH1075" s="15" t="str">
        <f t="shared" si="5509"/>
        <v>#REF!</v>
      </c>
      <c r="AI1075" s="15" t="str">
        <f t="shared" si="5509"/>
        <v>#REF!</v>
      </c>
      <c r="AJ1075" s="15" t="str">
        <f t="shared" si="5509"/>
        <v>#REF!</v>
      </c>
      <c r="AK1075" s="15" t="str">
        <f t="shared" si="5509"/>
        <v>#REF!</v>
      </c>
      <c r="AL1075" s="410" t="str">
        <f t="shared" si="5509"/>
        <v>#REF!</v>
      </c>
      <c r="AM1075" s="15" t="str">
        <f t="shared" si="5509"/>
        <v>#REF!</v>
      </c>
      <c r="AN1075" s="15" t="str">
        <f t="shared" si="5509"/>
        <v>#REF!</v>
      </c>
      <c r="AO1075" s="15" t="str">
        <f t="shared" si="5509"/>
        <v>#REF!</v>
      </c>
      <c r="AP1075" s="15" t="str">
        <f t="shared" si="5509"/>
        <v>#REF!</v>
      </c>
      <c r="AQ1075" s="410" t="str">
        <f t="shared" si="5509"/>
        <v>#REF!</v>
      </c>
      <c r="AR1075" s="15" t="str">
        <f t="shared" si="5509"/>
        <v>#REF!</v>
      </c>
      <c r="AS1075" s="15" t="str">
        <f t="shared" si="5509"/>
        <v>#REF!</v>
      </c>
      <c r="AT1075" s="15" t="str">
        <f t="shared" si="5509"/>
        <v>#REF!</v>
      </c>
      <c r="AU1075" s="15" t="str">
        <f t="shared" si="5509"/>
        <v>#REF!</v>
      </c>
      <c r="AV1075" s="410" t="str">
        <f t="shared" si="5509"/>
        <v>#REF!</v>
      </c>
      <c r="AW1075" s="15" t="str">
        <f t="shared" si="5509"/>
        <v>#REF!</v>
      </c>
      <c r="AX1075" s="15" t="str">
        <f t="shared" si="5509"/>
        <v>#REF!</v>
      </c>
      <c r="AY1075" s="15" t="str">
        <f t="shared" si="5509"/>
        <v>#REF!</v>
      </c>
      <c r="AZ1075" s="15" t="str">
        <f t="shared" si="5509"/>
        <v>#REF!</v>
      </c>
      <c r="BA1075" s="410" t="str">
        <f t="shared" si="5509"/>
        <v>#REF!</v>
      </c>
      <c r="BB1075" s="15" t="str">
        <f t="shared" si="5509"/>
        <v>#REF!</v>
      </c>
      <c r="BC1075" s="15" t="str">
        <f t="shared" si="5509"/>
        <v>#REF!</v>
      </c>
      <c r="BD1075" s="15" t="str">
        <f t="shared" si="5509"/>
        <v>#REF!</v>
      </c>
      <c r="BE1075" s="15" t="str">
        <f t="shared" si="5509"/>
        <v>#REF!</v>
      </c>
      <c r="BF1075" s="410" t="str">
        <f t="shared" si="5509"/>
        <v>#REF!</v>
      </c>
      <c r="BG1075" s="15" t="str">
        <f t="shared" si="5509"/>
        <v>#REF!</v>
      </c>
      <c r="BH1075" s="15" t="str">
        <f t="shared" si="5509"/>
        <v>#REF!</v>
      </c>
      <c r="BI1075" s="15" t="str">
        <f t="shared" si="5509"/>
        <v>#REF!</v>
      </c>
      <c r="BJ1075" s="15" t="str">
        <f t="shared" si="5509"/>
        <v>#REF!</v>
      </c>
      <c r="BK1075" s="410" t="str">
        <f t="shared" si="5509"/>
        <v>#REF!</v>
      </c>
      <c r="BL1075" s="15" t="str">
        <f t="shared" si="5509"/>
        <v>#REF!</v>
      </c>
      <c r="BM1075" s="15" t="str">
        <f t="shared" si="5509"/>
        <v>#REF!</v>
      </c>
      <c r="BN1075" s="15" t="str">
        <f t="shared" si="5509"/>
        <v>#REF!</v>
      </c>
      <c r="BO1075" s="15" t="str">
        <f t="shared" si="5509"/>
        <v>#REF!</v>
      </c>
      <c r="BP1075" s="410" t="str">
        <f t="shared" si="5509"/>
        <v>#REF!</v>
      </c>
      <c r="BQ1075" s="15" t="str">
        <f t="shared" si="5509"/>
        <v>#REF!</v>
      </c>
      <c r="BR1075" s="15" t="str">
        <f t="shared" si="5509"/>
        <v>#REF!</v>
      </c>
      <c r="BS1075" s="15" t="str">
        <f t="shared" si="5509"/>
        <v>#REF!</v>
      </c>
      <c r="BT1075" s="15" t="str">
        <f t="shared" si="5509"/>
        <v>#REF!</v>
      </c>
      <c r="BU1075" s="410" t="str">
        <f t="shared" si="5509"/>
        <v>#REF!</v>
      </c>
      <c r="BV1075" s="15" t="str">
        <f t="shared" si="5509"/>
        <v>#REF!</v>
      </c>
      <c r="BW1075" s="15" t="str">
        <f t="shared" si="5509"/>
        <v>#REF!</v>
      </c>
      <c r="BX1075" s="15" t="str">
        <f t="shared" si="5509"/>
        <v>#REF!</v>
      </c>
      <c r="BY1075" s="15" t="str">
        <f t="shared" si="5509"/>
        <v>#REF!</v>
      </c>
      <c r="BZ1075" s="24" t="str">
        <f t="shared" si="5509"/>
        <v>#REF!</v>
      </c>
      <c r="CA1075" s="15" t="str">
        <f t="shared" si="5509"/>
        <v>#REF!</v>
      </c>
      <c r="CB1075" s="15" t="str">
        <f t="shared" si="5509"/>
        <v>#REF!</v>
      </c>
      <c r="CC1075" s="15" t="str">
        <f t="shared" si="5509"/>
        <v>#REF!</v>
      </c>
      <c r="CD1075" s="15" t="str">
        <f t="shared" si="5509"/>
        <v>#REF!</v>
      </c>
      <c r="CE1075" s="24" t="str">
        <f t="shared" si="5509"/>
        <v>#REF!</v>
      </c>
      <c r="CF1075" s="15" t="str">
        <f t="shared" si="5509"/>
        <v>#REF!</v>
      </c>
      <c r="CG1075" s="15" t="str">
        <f t="shared" si="5509"/>
        <v>#REF!</v>
      </c>
      <c r="CH1075" s="15" t="str">
        <f t="shared" si="5509"/>
        <v>#REF!</v>
      </c>
      <c r="CI1075" s="15" t="str">
        <f t="shared" si="5509"/>
        <v>#REF!</v>
      </c>
      <c r="CJ1075" s="24" t="str">
        <f t="shared" si="5509"/>
        <v>#REF!</v>
      </c>
      <c r="CK1075" s="15" t="str">
        <f t="shared" si="5509"/>
        <v>#REF!</v>
      </c>
      <c r="CL1075" s="15" t="str">
        <f t="shared" si="5509"/>
        <v>#REF!</v>
      </c>
      <c r="CM1075" s="15" t="str">
        <f t="shared" si="5509"/>
        <v>#REF!</v>
      </c>
      <c r="CN1075" s="40" t="str">
        <f t="shared" si="5509"/>
        <v>#REF!</v>
      </c>
      <c r="CO1075" s="24" t="str">
        <f t="shared" si="5509"/>
        <v>#REF!</v>
      </c>
      <c r="CP1075" s="40" t="str">
        <f t="shared" si="5509"/>
        <v>#REF!</v>
      </c>
      <c r="CQ1075" s="15" t="str">
        <f t="shared" si="5509"/>
        <v>#REF!</v>
      </c>
      <c r="CR1075" s="15" t="str">
        <f t="shared" si="5509"/>
        <v>#REF!</v>
      </c>
      <c r="CS1075" s="15" t="str">
        <f t="shared" si="5509"/>
        <v>#REF!</v>
      </c>
      <c r="CT1075" s="24" t="str">
        <f t="shared" si="5509"/>
        <v>#REF!</v>
      </c>
      <c r="CU1075" s="15" t="str">
        <f t="shared" si="5509"/>
        <v>#REF!</v>
      </c>
      <c r="CV1075" s="15" t="str">
        <f t="shared" si="5509"/>
        <v>#REF!</v>
      </c>
      <c r="CW1075" s="15" t="str">
        <f t="shared" si="5509"/>
        <v>#REF!</v>
      </c>
      <c r="CX1075" s="15" t="str">
        <f t="shared" si="5509"/>
        <v>#REF!</v>
      </c>
      <c r="CY1075" s="24" t="str">
        <f t="shared" si="5509"/>
        <v>#REF!</v>
      </c>
      <c r="CZ1075" s="15" t="str">
        <f t="shared" si="5509"/>
        <v>#REF!</v>
      </c>
      <c r="DA1075" s="15" t="str">
        <f t="shared" si="5509"/>
        <v>#REF!</v>
      </c>
      <c r="DB1075" s="15" t="str">
        <f t="shared" si="5509"/>
        <v>#REF!</v>
      </c>
      <c r="DC1075" s="15" t="str">
        <f t="shared" si="5509"/>
        <v>#REF!</v>
      </c>
      <c r="DD1075" s="24" t="str">
        <f t="shared" si="5509"/>
        <v>#REF!</v>
      </c>
      <c r="DE1075" s="15" t="str">
        <f t="shared" si="5509"/>
        <v>#REF!</v>
      </c>
      <c r="DF1075" s="15" t="str">
        <f t="shared" si="5509"/>
        <v>#REF!</v>
      </c>
      <c r="DG1075" s="40" t="str">
        <f t="shared" si="5509"/>
        <v>#REF!</v>
      </c>
      <c r="DH1075" s="15" t="str">
        <f t="shared" si="5509"/>
        <v>#REF!</v>
      </c>
      <c r="DI1075" s="24" t="str">
        <f t="shared" si="5509"/>
        <v>#REF!</v>
      </c>
      <c r="DJ1075" s="40" t="str">
        <f t="shared" si="5509"/>
        <v>#REF!</v>
      </c>
      <c r="DK1075" s="40" t="str">
        <f t="shared" si="5509"/>
        <v>#REF!</v>
      </c>
      <c r="DL1075" s="40" t="str">
        <f t="shared" si="5509"/>
        <v>#REF!</v>
      </c>
      <c r="DM1075" s="15" t="str">
        <f t="shared" si="5509"/>
        <v>#REF!</v>
      </c>
      <c r="DN1075" s="24" t="str">
        <f t="shared" si="5509"/>
        <v>#REF!</v>
      </c>
      <c r="DO1075" s="15" t="str">
        <f t="shared" si="5509"/>
        <v>#REF!</v>
      </c>
      <c r="DP1075" s="15" t="str">
        <f t="shared" si="5509"/>
        <v>#REF!</v>
      </c>
      <c r="DQ1075" s="15" t="str">
        <f t="shared" si="5509"/>
        <v>#REF!</v>
      </c>
      <c r="DR1075" s="15" t="str">
        <f t="shared" si="5509"/>
        <v>#REF!</v>
      </c>
      <c r="DS1075" s="24" t="str">
        <f t="shared" si="5509"/>
        <v>#REF!</v>
      </c>
      <c r="DT1075" s="15" t="str">
        <f t="shared" si="5509"/>
        <v>#REF!</v>
      </c>
      <c r="DU1075" s="15" t="str">
        <f t="shared" si="5509"/>
        <v>#REF!</v>
      </c>
      <c r="DV1075" s="15" t="str">
        <f t="shared" si="5509"/>
        <v>#REF!</v>
      </c>
      <c r="DW1075" s="15" t="str">
        <f t="shared" si="5509"/>
        <v>#REF!</v>
      </c>
      <c r="DX1075" s="24" t="str">
        <f t="shared" si="5509"/>
        <v>#REF!</v>
      </c>
      <c r="DY1075" s="15" t="str">
        <f t="shared" si="5509"/>
        <v>#REF!</v>
      </c>
      <c r="DZ1075" s="15" t="str">
        <f t="shared" si="5509"/>
        <v>#REF!</v>
      </c>
      <c r="EA1075" s="15" t="str">
        <f t="shared" si="5509"/>
        <v>#REF!</v>
      </c>
      <c r="EB1075" s="15" t="str">
        <f t="shared" si="5509"/>
        <v>#REF!</v>
      </c>
      <c r="EC1075" s="24" t="str">
        <f t="shared" si="5509"/>
        <v>#REF!</v>
      </c>
      <c r="ED1075" s="15" t="str">
        <f t="shared" si="5509"/>
        <v>#REF!</v>
      </c>
      <c r="EE1075" s="15" t="str">
        <f t="shared" si="5509"/>
        <v>#REF!</v>
      </c>
      <c r="EF1075" s="15" t="str">
        <f t="shared" si="5509"/>
        <v>#REF!</v>
      </c>
      <c r="EG1075" s="15" t="str">
        <f t="shared" si="5509"/>
        <v>#REF!</v>
      </c>
      <c r="EH1075" s="24" t="str">
        <f t="shared" si="5509"/>
        <v>#REF!</v>
      </c>
      <c r="EI1075" s="82" t="str">
        <f t="shared" si="5509"/>
        <v>#REF!</v>
      </c>
      <c r="EJ1075" s="15" t="str">
        <f t="shared" si="5509"/>
        <v>#REF!</v>
      </c>
      <c r="EK1075" s="15" t="str">
        <f t="shared" si="5509"/>
        <v>#REF!</v>
      </c>
      <c r="EL1075" s="15" t="str">
        <f t="shared" si="5509"/>
        <v>#REF!</v>
      </c>
      <c r="EM1075" s="24" t="str">
        <f t="shared" si="5509"/>
        <v>#REF!</v>
      </c>
      <c r="EN1075" s="15" t="str">
        <f t="shared" si="5509"/>
        <v>#REF!</v>
      </c>
      <c r="EO1075" s="15" t="str">
        <f t="shared" si="5509"/>
        <v>#REF!</v>
      </c>
      <c r="EP1075" s="15" t="str">
        <f t="shared" si="5509"/>
        <v>#REF!</v>
      </c>
      <c r="EQ1075" s="15" t="str">
        <f t="shared" si="5509"/>
        <v>#REF!</v>
      </c>
      <c r="ER1075" s="24" t="str">
        <f t="shared" si="5509"/>
        <v>#REF!</v>
      </c>
      <c r="ES1075" s="15" t="str">
        <f t="shared" si="5509"/>
        <v>#REF!</v>
      </c>
      <c r="ET1075" s="15" t="str">
        <f t="shared" si="5509"/>
        <v>#REF!</v>
      </c>
      <c r="EU1075" s="15" t="str">
        <f t="shared" si="5509"/>
        <v>#REF!</v>
      </c>
      <c r="EV1075" s="15" t="str">
        <f t="shared" si="5509"/>
        <v>#REF!</v>
      </c>
      <c r="EW1075" s="24" t="str">
        <f t="shared" si="5509"/>
        <v>#REF!</v>
      </c>
      <c r="EX1075" s="15" t="str">
        <f t="shared" si="5509"/>
        <v>#REF!</v>
      </c>
      <c r="EY1075" s="15" t="str">
        <f t="shared" si="5509"/>
        <v>#REF!</v>
      </c>
      <c r="EZ1075" s="15" t="str">
        <f t="shared" si="5509"/>
        <v>#REF!</v>
      </c>
      <c r="FA1075" s="15" t="str">
        <f t="shared" si="5509"/>
        <v>#REF!</v>
      </c>
      <c r="FB1075" s="24" t="str">
        <f t="shared" si="5509"/>
        <v>#REF!</v>
      </c>
      <c r="FC1075" s="15" t="str">
        <f t="shared" si="5509"/>
        <v>#REF!</v>
      </c>
      <c r="FD1075" s="15" t="str">
        <f t="shared" si="5509"/>
        <v>#REF!</v>
      </c>
      <c r="FE1075" s="15" t="str">
        <f t="shared" si="5509"/>
        <v>#REF!</v>
      </c>
      <c r="FF1075" s="15" t="str">
        <f t="shared" si="5509"/>
        <v>#REF!</v>
      </c>
      <c r="FG1075" s="24" t="str">
        <f t="shared" si="5509"/>
        <v>#REF!</v>
      </c>
      <c r="FH1075" s="104"/>
      <c r="FI1075" s="15"/>
      <c r="FJ1075" s="15"/>
      <c r="FK1075" s="410"/>
      <c r="FL1075" s="15"/>
    </row>
    <row r="1076" ht="13.5" hidden="1" customHeight="1" outlineLevel="2">
      <c r="A1076" s="4"/>
      <c r="B1076" s="529" t="s">
        <v>291</v>
      </c>
      <c r="C1076" s="529"/>
      <c r="D1076" s="596"/>
      <c r="E1076" s="596"/>
      <c r="F1076" s="596"/>
      <c r="G1076" s="596"/>
      <c r="H1076" s="596"/>
      <c r="I1076" s="596" t="str">
        <f t="shared" ref="I1076:FG1076" si="5510">I1071/I$1071</f>
        <v>#ERROR!</v>
      </c>
      <c r="J1076" s="596" t="str">
        <f t="shared" si="5510"/>
        <v>#ERROR!</v>
      </c>
      <c r="K1076" s="596" t="str">
        <f t="shared" si="5510"/>
        <v>#ERROR!</v>
      </c>
      <c r="L1076" s="596" t="str">
        <f t="shared" si="5510"/>
        <v>#ERROR!</v>
      </c>
      <c r="M1076" s="596" t="str">
        <f t="shared" si="5510"/>
        <v>#ERROR!</v>
      </c>
      <c r="N1076" s="596" t="str">
        <f t="shared" si="5510"/>
        <v>#ERROR!</v>
      </c>
      <c r="O1076" s="596" t="str">
        <f t="shared" si="5510"/>
        <v>#ERROR!</v>
      </c>
      <c r="P1076" s="596" t="str">
        <f t="shared" si="5510"/>
        <v>#ERROR!</v>
      </c>
      <c r="Q1076" s="596" t="str">
        <f t="shared" si="5510"/>
        <v>#ERROR!</v>
      </c>
      <c r="R1076" s="596" t="str">
        <f t="shared" si="5510"/>
        <v>#ERROR!</v>
      </c>
      <c r="S1076" s="596" t="str">
        <f t="shared" si="5510"/>
        <v>#ERROR!</v>
      </c>
      <c r="T1076" s="596" t="str">
        <f t="shared" si="5510"/>
        <v>#ERROR!</v>
      </c>
      <c r="U1076" s="596" t="str">
        <f t="shared" si="5510"/>
        <v>#ERROR!</v>
      </c>
      <c r="V1076" s="596" t="str">
        <f t="shared" si="5510"/>
        <v>#ERROR!</v>
      </c>
      <c r="W1076" s="596" t="str">
        <f t="shared" si="5510"/>
        <v>#ERROR!</v>
      </c>
      <c r="X1076" s="596" t="str">
        <f t="shared" si="5510"/>
        <v>#ERROR!</v>
      </c>
      <c r="Y1076" s="596" t="str">
        <f t="shared" si="5510"/>
        <v>#ERROR!</v>
      </c>
      <c r="Z1076" s="596" t="str">
        <f t="shared" si="5510"/>
        <v>#ERROR!</v>
      </c>
      <c r="AA1076" s="596" t="str">
        <f t="shared" si="5510"/>
        <v>#ERROR!</v>
      </c>
      <c r="AB1076" s="596" t="str">
        <f t="shared" si="5510"/>
        <v>#ERROR!</v>
      </c>
      <c r="AC1076" s="596" t="str">
        <f t="shared" si="5510"/>
        <v>#ERROR!</v>
      </c>
      <c r="AD1076" s="596" t="str">
        <f t="shared" si="5510"/>
        <v>#ERROR!</v>
      </c>
      <c r="AE1076" s="596" t="str">
        <f t="shared" si="5510"/>
        <v>#ERROR!</v>
      </c>
      <c r="AF1076" s="596" t="str">
        <f t="shared" si="5510"/>
        <v>#ERROR!</v>
      </c>
      <c r="AG1076" s="596" t="str">
        <f t="shared" si="5510"/>
        <v>#ERROR!</v>
      </c>
      <c r="AH1076" s="596" t="str">
        <f t="shared" si="5510"/>
        <v>#ERROR!</v>
      </c>
      <c r="AI1076" s="596" t="str">
        <f t="shared" si="5510"/>
        <v>#ERROR!</v>
      </c>
      <c r="AJ1076" s="596" t="str">
        <f t="shared" si="5510"/>
        <v>#ERROR!</v>
      </c>
      <c r="AK1076" s="596" t="str">
        <f t="shared" si="5510"/>
        <v>#ERROR!</v>
      </c>
      <c r="AL1076" s="596" t="str">
        <f t="shared" si="5510"/>
        <v>#ERROR!</v>
      </c>
      <c r="AM1076" s="596" t="str">
        <f t="shared" si="5510"/>
        <v>#ERROR!</v>
      </c>
      <c r="AN1076" s="596" t="str">
        <f t="shared" si="5510"/>
        <v>#ERROR!</v>
      </c>
      <c r="AO1076" s="596" t="str">
        <f t="shared" si="5510"/>
        <v>#ERROR!</v>
      </c>
      <c r="AP1076" s="596" t="str">
        <f t="shared" si="5510"/>
        <v>#ERROR!</v>
      </c>
      <c r="AQ1076" s="596" t="str">
        <f t="shared" si="5510"/>
        <v>#ERROR!</v>
      </c>
      <c r="AR1076" s="596" t="str">
        <f t="shared" si="5510"/>
        <v>#ERROR!</v>
      </c>
      <c r="AS1076" s="596" t="str">
        <f t="shared" si="5510"/>
        <v>#ERROR!</v>
      </c>
      <c r="AT1076" s="596" t="str">
        <f t="shared" si="5510"/>
        <v>#ERROR!</v>
      </c>
      <c r="AU1076" s="596" t="str">
        <f t="shared" si="5510"/>
        <v>#ERROR!</v>
      </c>
      <c r="AV1076" s="596" t="str">
        <f t="shared" si="5510"/>
        <v>#ERROR!</v>
      </c>
      <c r="AW1076" s="596" t="str">
        <f t="shared" si="5510"/>
        <v>#ERROR!</v>
      </c>
      <c r="AX1076" s="596" t="str">
        <f t="shared" si="5510"/>
        <v>#ERROR!</v>
      </c>
      <c r="AY1076" s="596" t="str">
        <f t="shared" si="5510"/>
        <v>#ERROR!</v>
      </c>
      <c r="AZ1076" s="596" t="str">
        <f t="shared" si="5510"/>
        <v>#ERROR!</v>
      </c>
      <c r="BA1076" s="596" t="str">
        <f t="shared" si="5510"/>
        <v>#ERROR!</v>
      </c>
      <c r="BB1076" s="596" t="str">
        <f t="shared" si="5510"/>
        <v>#ERROR!</v>
      </c>
      <c r="BC1076" s="596" t="str">
        <f t="shared" si="5510"/>
        <v>#ERROR!</v>
      </c>
      <c r="BD1076" s="596" t="str">
        <f t="shared" si="5510"/>
        <v>#ERROR!</v>
      </c>
      <c r="BE1076" s="596" t="str">
        <f t="shared" si="5510"/>
        <v>#ERROR!</v>
      </c>
      <c r="BF1076" s="596" t="str">
        <f t="shared" si="5510"/>
        <v>#ERROR!</v>
      </c>
      <c r="BG1076" s="596" t="str">
        <f t="shared" si="5510"/>
        <v>#ERROR!</v>
      </c>
      <c r="BH1076" s="596" t="str">
        <f t="shared" si="5510"/>
        <v>#ERROR!</v>
      </c>
      <c r="BI1076" s="596" t="str">
        <f t="shared" si="5510"/>
        <v>#ERROR!</v>
      </c>
      <c r="BJ1076" s="596" t="str">
        <f t="shared" si="5510"/>
        <v>#ERROR!</v>
      </c>
      <c r="BK1076" s="596" t="str">
        <f t="shared" si="5510"/>
        <v>#ERROR!</v>
      </c>
      <c r="BL1076" s="596" t="str">
        <f t="shared" si="5510"/>
        <v>#ERROR!</v>
      </c>
      <c r="BM1076" s="596" t="str">
        <f t="shared" si="5510"/>
        <v>#ERROR!</v>
      </c>
      <c r="BN1076" s="596" t="str">
        <f t="shared" si="5510"/>
        <v>#ERROR!</v>
      </c>
      <c r="BO1076" s="596" t="str">
        <f t="shared" si="5510"/>
        <v>#ERROR!</v>
      </c>
      <c r="BP1076" s="596" t="str">
        <f t="shared" si="5510"/>
        <v>#ERROR!</v>
      </c>
      <c r="BQ1076" s="596" t="str">
        <f t="shared" si="5510"/>
        <v>#ERROR!</v>
      </c>
      <c r="BR1076" s="596" t="str">
        <f t="shared" si="5510"/>
        <v>#ERROR!</v>
      </c>
      <c r="BS1076" s="596" t="str">
        <f t="shared" si="5510"/>
        <v>#ERROR!</v>
      </c>
      <c r="BT1076" s="596" t="str">
        <f t="shared" si="5510"/>
        <v>#ERROR!</v>
      </c>
      <c r="BU1076" s="596" t="str">
        <f t="shared" si="5510"/>
        <v>#ERROR!</v>
      </c>
      <c r="BV1076" s="596" t="str">
        <f t="shared" si="5510"/>
        <v>#ERROR!</v>
      </c>
      <c r="BW1076" s="596" t="str">
        <f t="shared" si="5510"/>
        <v>#ERROR!</v>
      </c>
      <c r="BX1076" s="596" t="str">
        <f t="shared" si="5510"/>
        <v>#ERROR!</v>
      </c>
      <c r="BY1076" s="596" t="str">
        <f t="shared" si="5510"/>
        <v>#ERROR!</v>
      </c>
      <c r="BZ1076" s="597" t="str">
        <f t="shared" si="5510"/>
        <v>#ERROR!</v>
      </c>
      <c r="CA1076" s="596" t="str">
        <f t="shared" si="5510"/>
        <v>#ERROR!</v>
      </c>
      <c r="CB1076" s="596" t="str">
        <f t="shared" si="5510"/>
        <v>#ERROR!</v>
      </c>
      <c r="CC1076" s="596" t="str">
        <f t="shared" si="5510"/>
        <v>#ERROR!</v>
      </c>
      <c r="CD1076" s="596" t="str">
        <f t="shared" si="5510"/>
        <v>#ERROR!</v>
      </c>
      <c r="CE1076" s="597" t="str">
        <f t="shared" si="5510"/>
        <v>#ERROR!</v>
      </c>
      <c r="CF1076" s="596" t="str">
        <f t="shared" si="5510"/>
        <v>#ERROR!</v>
      </c>
      <c r="CG1076" s="596" t="str">
        <f t="shared" si="5510"/>
        <v>#ERROR!</v>
      </c>
      <c r="CH1076" s="596" t="str">
        <f t="shared" si="5510"/>
        <v>#ERROR!</v>
      </c>
      <c r="CI1076" s="596" t="str">
        <f t="shared" si="5510"/>
        <v>#ERROR!</v>
      </c>
      <c r="CJ1076" s="597" t="str">
        <f t="shared" si="5510"/>
        <v>#ERROR!</v>
      </c>
      <c r="CK1076" s="596" t="str">
        <f t="shared" si="5510"/>
        <v>#ERROR!</v>
      </c>
      <c r="CL1076" s="596" t="str">
        <f t="shared" si="5510"/>
        <v>#ERROR!</v>
      </c>
      <c r="CM1076" s="596" t="str">
        <f t="shared" si="5510"/>
        <v>#ERROR!</v>
      </c>
      <c r="CN1076" s="595" t="str">
        <f t="shared" si="5510"/>
        <v>#ERROR!</v>
      </c>
      <c r="CO1076" s="597" t="str">
        <f t="shared" si="5510"/>
        <v>#ERROR!</v>
      </c>
      <c r="CP1076" s="595" t="str">
        <f t="shared" si="5510"/>
        <v>#ERROR!</v>
      </c>
      <c r="CQ1076" s="596" t="str">
        <f t="shared" si="5510"/>
        <v>#ERROR!</v>
      </c>
      <c r="CR1076" s="596" t="str">
        <f t="shared" si="5510"/>
        <v>#ERROR!</v>
      </c>
      <c r="CS1076" s="596" t="str">
        <f t="shared" si="5510"/>
        <v>#ERROR!</v>
      </c>
      <c r="CT1076" s="597" t="str">
        <f t="shared" si="5510"/>
        <v>#ERROR!</v>
      </c>
      <c r="CU1076" s="596" t="str">
        <f t="shared" si="5510"/>
        <v>#ERROR!</v>
      </c>
      <c r="CV1076" s="596" t="str">
        <f t="shared" si="5510"/>
        <v>#ERROR!</v>
      </c>
      <c r="CW1076" s="596" t="str">
        <f t="shared" si="5510"/>
        <v>#ERROR!</v>
      </c>
      <c r="CX1076" s="596" t="str">
        <f t="shared" si="5510"/>
        <v>#ERROR!</v>
      </c>
      <c r="CY1076" s="597" t="str">
        <f t="shared" si="5510"/>
        <v>#ERROR!</v>
      </c>
      <c r="CZ1076" s="596" t="str">
        <f t="shared" si="5510"/>
        <v>#ERROR!</v>
      </c>
      <c r="DA1076" s="596" t="str">
        <f t="shared" si="5510"/>
        <v>#ERROR!</v>
      </c>
      <c r="DB1076" s="596" t="str">
        <f t="shared" si="5510"/>
        <v>#ERROR!</v>
      </c>
      <c r="DC1076" s="596" t="str">
        <f t="shared" si="5510"/>
        <v>#ERROR!</v>
      </c>
      <c r="DD1076" s="597" t="str">
        <f t="shared" si="5510"/>
        <v>#ERROR!</v>
      </c>
      <c r="DE1076" s="596" t="str">
        <f t="shared" si="5510"/>
        <v>#ERROR!</v>
      </c>
      <c r="DF1076" s="596" t="str">
        <f t="shared" si="5510"/>
        <v>#ERROR!</v>
      </c>
      <c r="DG1076" s="104" t="str">
        <f t="shared" si="5510"/>
        <v>#ERROR!</v>
      </c>
      <c r="DH1076" s="596" t="str">
        <f t="shared" si="5510"/>
        <v>#ERROR!</v>
      </c>
      <c r="DI1076" s="597" t="str">
        <f t="shared" si="5510"/>
        <v>#ERROR!</v>
      </c>
      <c r="DJ1076" s="595" t="str">
        <f t="shared" si="5510"/>
        <v>#ERROR!</v>
      </c>
      <c r="DK1076" s="595" t="str">
        <f t="shared" si="5510"/>
        <v>#ERROR!</v>
      </c>
      <c r="DL1076" s="595" t="str">
        <f t="shared" si="5510"/>
        <v>#ERROR!</v>
      </c>
      <c r="DM1076" s="596" t="str">
        <f t="shared" si="5510"/>
        <v>#ERROR!</v>
      </c>
      <c r="DN1076" s="597" t="str">
        <f t="shared" si="5510"/>
        <v>#ERROR!</v>
      </c>
      <c r="DO1076" s="596" t="str">
        <f t="shared" si="5510"/>
        <v>#ERROR!</v>
      </c>
      <c r="DP1076" s="596" t="str">
        <f t="shared" si="5510"/>
        <v>#ERROR!</v>
      </c>
      <c r="DQ1076" s="596" t="str">
        <f t="shared" si="5510"/>
        <v>#ERROR!</v>
      </c>
      <c r="DR1076" s="596" t="str">
        <f t="shared" si="5510"/>
        <v>#ERROR!</v>
      </c>
      <c r="DS1076" s="597" t="str">
        <f t="shared" si="5510"/>
        <v>#ERROR!</v>
      </c>
      <c r="DT1076" s="596" t="str">
        <f t="shared" si="5510"/>
        <v>#ERROR!</v>
      </c>
      <c r="DU1076" s="596" t="str">
        <f t="shared" si="5510"/>
        <v>#ERROR!</v>
      </c>
      <c r="DV1076" s="596" t="str">
        <f t="shared" si="5510"/>
        <v>#ERROR!</v>
      </c>
      <c r="DW1076" s="596" t="str">
        <f t="shared" si="5510"/>
        <v>#ERROR!</v>
      </c>
      <c r="DX1076" s="597" t="str">
        <f t="shared" si="5510"/>
        <v>#ERROR!</v>
      </c>
      <c r="DY1076" s="596" t="str">
        <f t="shared" si="5510"/>
        <v>#ERROR!</v>
      </c>
      <c r="DZ1076" s="596" t="str">
        <f t="shared" si="5510"/>
        <v>#ERROR!</v>
      </c>
      <c r="EA1076" s="596" t="str">
        <f t="shared" si="5510"/>
        <v>#ERROR!</v>
      </c>
      <c r="EB1076" s="596" t="str">
        <f t="shared" si="5510"/>
        <v>#ERROR!</v>
      </c>
      <c r="EC1076" s="597" t="str">
        <f t="shared" si="5510"/>
        <v>#ERROR!</v>
      </c>
      <c r="ED1076" s="596" t="str">
        <f t="shared" si="5510"/>
        <v>#ERROR!</v>
      </c>
      <c r="EE1076" s="596" t="str">
        <f t="shared" si="5510"/>
        <v>#ERROR!</v>
      </c>
      <c r="EF1076" s="596" t="str">
        <f t="shared" si="5510"/>
        <v>#ERROR!</v>
      </c>
      <c r="EG1076" s="596" t="str">
        <f t="shared" si="5510"/>
        <v>#ERROR!</v>
      </c>
      <c r="EH1076" s="597" t="str">
        <f t="shared" si="5510"/>
        <v>#ERROR!</v>
      </c>
      <c r="EI1076" s="598" t="str">
        <f t="shared" si="5510"/>
        <v>#ERROR!</v>
      </c>
      <c r="EJ1076" s="596" t="str">
        <f t="shared" si="5510"/>
        <v>#ERROR!</v>
      </c>
      <c r="EK1076" s="596" t="str">
        <f t="shared" si="5510"/>
        <v>#ERROR!</v>
      </c>
      <c r="EL1076" s="596" t="str">
        <f t="shared" si="5510"/>
        <v>#ERROR!</v>
      </c>
      <c r="EM1076" s="597" t="str">
        <f t="shared" si="5510"/>
        <v>#ERROR!</v>
      </c>
      <c r="EN1076" s="596" t="str">
        <f t="shared" si="5510"/>
        <v>#ERROR!</v>
      </c>
      <c r="EO1076" s="596" t="str">
        <f t="shared" si="5510"/>
        <v>#ERROR!</v>
      </c>
      <c r="EP1076" s="596" t="str">
        <f t="shared" si="5510"/>
        <v>#ERROR!</v>
      </c>
      <c r="EQ1076" s="596" t="str">
        <f t="shared" si="5510"/>
        <v>#ERROR!</v>
      </c>
      <c r="ER1076" s="597" t="str">
        <f t="shared" si="5510"/>
        <v>#ERROR!</v>
      </c>
      <c r="ES1076" s="596" t="str">
        <f t="shared" si="5510"/>
        <v>#ERROR!</v>
      </c>
      <c r="ET1076" s="596" t="str">
        <f t="shared" si="5510"/>
        <v>#ERROR!</v>
      </c>
      <c r="EU1076" s="596" t="str">
        <f t="shared" si="5510"/>
        <v>#ERROR!</v>
      </c>
      <c r="EV1076" s="596" t="str">
        <f t="shared" si="5510"/>
        <v>#ERROR!</v>
      </c>
      <c r="EW1076" s="597" t="str">
        <f t="shared" si="5510"/>
        <v>#ERROR!</v>
      </c>
      <c r="EX1076" s="596" t="str">
        <f t="shared" si="5510"/>
        <v>#ERROR!</v>
      </c>
      <c r="EY1076" s="596" t="str">
        <f t="shared" si="5510"/>
        <v>#ERROR!</v>
      </c>
      <c r="EZ1076" s="596" t="str">
        <f t="shared" si="5510"/>
        <v>#ERROR!</v>
      </c>
      <c r="FA1076" s="596" t="str">
        <f t="shared" si="5510"/>
        <v>#ERROR!</v>
      </c>
      <c r="FB1076" s="597" t="str">
        <f t="shared" si="5510"/>
        <v>#ERROR!</v>
      </c>
      <c r="FC1076" s="596" t="str">
        <f t="shared" si="5510"/>
        <v>#ERROR!</v>
      </c>
      <c r="FD1076" s="596" t="str">
        <f t="shared" si="5510"/>
        <v>#ERROR!</v>
      </c>
      <c r="FE1076" s="596" t="str">
        <f t="shared" si="5510"/>
        <v>#ERROR!</v>
      </c>
      <c r="FF1076" s="596" t="str">
        <f t="shared" si="5510"/>
        <v>#ERROR!</v>
      </c>
      <c r="FG1076" s="597" t="str">
        <f t="shared" si="5510"/>
        <v>#ERROR!</v>
      </c>
      <c r="FH1076" s="595"/>
      <c r="FI1076" s="596"/>
      <c r="FJ1076" s="596"/>
      <c r="FK1076" s="596"/>
      <c r="FL1076" s="596"/>
    </row>
    <row r="1077" ht="12.75" hidden="1" customHeight="1" outlineLevel="2">
      <c r="A1077" s="4"/>
      <c r="B1077" s="4"/>
      <c r="C1077" s="4"/>
      <c r="D1077" s="4"/>
      <c r="E1077" s="4"/>
      <c r="F1077" s="4"/>
      <c r="G1077" s="4"/>
      <c r="H1077" s="45"/>
      <c r="I1077" s="4"/>
      <c r="J1077" s="4"/>
      <c r="K1077" s="4"/>
      <c r="L1077" s="4"/>
      <c r="M1077" s="45"/>
      <c r="N1077" s="4"/>
      <c r="O1077" s="4"/>
      <c r="P1077" s="4"/>
      <c r="Q1077" s="4"/>
      <c r="R1077" s="45"/>
      <c r="S1077" s="4"/>
      <c r="T1077" s="4"/>
      <c r="U1077" s="4"/>
      <c r="V1077" s="4"/>
      <c r="W1077" s="45"/>
      <c r="X1077" s="4"/>
      <c r="Y1077" s="4"/>
      <c r="Z1077" s="4"/>
      <c r="AA1077" s="4"/>
      <c r="AB1077" s="45"/>
      <c r="AC1077" s="4"/>
      <c r="AD1077" s="4"/>
      <c r="AE1077" s="4"/>
      <c r="AF1077" s="4"/>
      <c r="AG1077" s="45"/>
      <c r="AH1077" s="4"/>
      <c r="AI1077" s="4"/>
      <c r="AJ1077" s="4"/>
      <c r="AK1077" s="4"/>
      <c r="AL1077" s="45"/>
      <c r="AM1077" s="4"/>
      <c r="AN1077" s="4"/>
      <c r="AO1077" s="4"/>
      <c r="AP1077" s="4"/>
      <c r="AQ1077" s="45"/>
      <c r="AR1077" s="4"/>
      <c r="AS1077" s="4"/>
      <c r="AT1077" s="4"/>
      <c r="AU1077" s="4"/>
      <c r="AV1077" s="45"/>
      <c r="AW1077" s="4"/>
      <c r="AX1077" s="4"/>
      <c r="AY1077" s="4"/>
      <c r="AZ1077" s="4"/>
      <c r="BA1077" s="45"/>
      <c r="BB1077" s="4"/>
      <c r="BC1077" s="4"/>
      <c r="BD1077" s="4"/>
      <c r="BE1077" s="4"/>
      <c r="BF1077" s="45"/>
      <c r="BG1077" s="4"/>
      <c r="BH1077" s="4"/>
      <c r="BI1077" s="4"/>
      <c r="BJ1077" s="4"/>
      <c r="BK1077" s="45"/>
      <c r="BL1077" s="4"/>
      <c r="BM1077" s="4"/>
      <c r="BN1077" s="4"/>
      <c r="BO1077" s="4"/>
      <c r="BP1077" s="45"/>
      <c r="BQ1077" s="4"/>
      <c r="BR1077" s="4"/>
      <c r="BS1077" s="4"/>
      <c r="BT1077" s="4"/>
      <c r="BU1077" s="45"/>
      <c r="BV1077" s="4"/>
      <c r="BW1077" s="4"/>
      <c r="BX1077" s="4"/>
      <c r="BY1077" s="4"/>
      <c r="BZ1077" s="350"/>
      <c r="CA1077" s="4"/>
      <c r="CB1077" s="4"/>
      <c r="CC1077" s="4"/>
      <c r="CD1077" s="4"/>
      <c r="CE1077" s="350"/>
      <c r="CF1077" s="4"/>
      <c r="CG1077" s="4"/>
      <c r="CH1077" s="4"/>
      <c r="CI1077" s="4"/>
      <c r="CJ1077" s="350"/>
      <c r="CK1077" s="4"/>
      <c r="CL1077" s="4"/>
      <c r="CM1077" s="4"/>
      <c r="CN1077" s="16"/>
      <c r="CO1077" s="350"/>
      <c r="CP1077" s="16"/>
      <c r="CQ1077" s="4"/>
      <c r="CR1077" s="4"/>
      <c r="CS1077" s="4"/>
      <c r="CT1077" s="350"/>
      <c r="CU1077" s="4"/>
      <c r="CV1077" s="4"/>
      <c r="CW1077" s="4"/>
      <c r="CX1077" s="4"/>
      <c r="CY1077" s="350"/>
      <c r="CZ1077" s="4"/>
      <c r="DA1077" s="4"/>
      <c r="DB1077" s="4"/>
      <c r="DC1077" s="4"/>
      <c r="DD1077" s="350"/>
      <c r="DE1077" s="4"/>
      <c r="DF1077" s="4"/>
      <c r="DG1077" s="16"/>
      <c r="DH1077" s="4"/>
      <c r="DI1077" s="350"/>
      <c r="DJ1077" s="16"/>
      <c r="DK1077" s="16"/>
      <c r="DL1077" s="16"/>
      <c r="DM1077" s="4"/>
      <c r="DN1077" s="350"/>
      <c r="DO1077" s="4"/>
      <c r="DP1077" s="4"/>
      <c r="DQ1077" s="4"/>
      <c r="DR1077" s="4"/>
      <c r="DS1077" s="350"/>
      <c r="DT1077" s="4"/>
      <c r="DU1077" s="4"/>
      <c r="DV1077" s="4"/>
      <c r="DW1077" s="4"/>
      <c r="DX1077" s="350"/>
      <c r="DY1077" s="4"/>
      <c r="DZ1077" s="4"/>
      <c r="EA1077" s="4"/>
      <c r="EB1077" s="4"/>
      <c r="EC1077" s="350"/>
      <c r="ED1077" s="4"/>
      <c r="EE1077" s="4"/>
      <c r="EF1077" s="4"/>
      <c r="EG1077" s="4"/>
      <c r="EH1077" s="350"/>
      <c r="EI1077" s="214"/>
      <c r="EJ1077" s="4"/>
      <c r="EK1077" s="4"/>
      <c r="EL1077" s="4"/>
      <c r="EM1077" s="350"/>
      <c r="EN1077" s="4"/>
      <c r="EO1077" s="4"/>
      <c r="EP1077" s="4"/>
      <c r="EQ1077" s="4"/>
      <c r="ER1077" s="350"/>
      <c r="ES1077" s="4"/>
      <c r="ET1077" s="4"/>
      <c r="EU1077" s="4"/>
      <c r="EV1077" s="4"/>
      <c r="EW1077" s="350"/>
      <c r="EX1077" s="4"/>
      <c r="EY1077" s="4"/>
      <c r="EZ1077" s="4"/>
      <c r="FA1077" s="4"/>
      <c r="FB1077" s="350"/>
      <c r="FC1077" s="4"/>
      <c r="FD1077" s="4"/>
      <c r="FE1077" s="4"/>
      <c r="FF1077" s="4"/>
      <c r="FG1077" s="350"/>
      <c r="FH1077" s="145"/>
      <c r="FI1077" s="4"/>
      <c r="FJ1077" s="4"/>
      <c r="FK1077" s="45"/>
      <c r="FL1077" s="4"/>
    </row>
    <row r="1078" ht="12.75" hidden="1" customHeight="1" outlineLevel="1">
      <c r="A1078" s="263"/>
      <c r="B1078" s="45" t="s">
        <v>387</v>
      </c>
      <c r="C1078" s="4"/>
      <c r="D1078" s="735"/>
      <c r="E1078" s="735"/>
      <c r="F1078" s="735"/>
      <c r="G1078" s="735"/>
      <c r="H1078" s="735"/>
      <c r="I1078" s="735" t="str">
        <f>1000*MPUSales/MPUUnits</f>
        <v>#ERROR!</v>
      </c>
      <c r="J1078" s="735" t="str">
        <f>1000*MPUSales/MPUUnits</f>
        <v>#ERROR!</v>
      </c>
      <c r="K1078" s="735" t="str">
        <f>1000*MPUSales/MPUUnits</f>
        <v>#ERROR!</v>
      </c>
      <c r="L1078" s="735" t="str">
        <f>1000*MPUSales/MPUUnits</f>
        <v>#ERROR!</v>
      </c>
      <c r="M1078" s="735" t="str">
        <f>1000*MPUSales/MPUUnits</f>
        <v>#ERROR!</v>
      </c>
      <c r="N1078" s="735" t="str">
        <f>1000*MPUSales/MPUUnits</f>
        <v>#ERROR!</v>
      </c>
      <c r="O1078" s="735" t="str">
        <f>1000*MPUSales/MPUUnits</f>
        <v>#ERROR!</v>
      </c>
      <c r="P1078" s="735" t="str">
        <f>1000*MPUSales/MPUUnits</f>
        <v>#ERROR!</v>
      </c>
      <c r="Q1078" s="735" t="str">
        <f>1000*MPUSales/MPUUnits</f>
        <v>#ERROR!</v>
      </c>
      <c r="R1078" s="735" t="str">
        <f>1000*MPUSales/MPUUnits</f>
        <v>#ERROR!</v>
      </c>
      <c r="S1078" s="735" t="str">
        <f>1000*MPUSales/MPUUnits</f>
        <v>#ERROR!</v>
      </c>
      <c r="T1078" s="735" t="str">
        <f>1000*MPUSales/MPUUnits</f>
        <v>#ERROR!</v>
      </c>
      <c r="U1078" s="735" t="str">
        <f>1000*MPUSales/MPUUnits</f>
        <v>#ERROR!</v>
      </c>
      <c r="V1078" s="735" t="str">
        <f>1000*MPUSales/MPUUnits</f>
        <v>#ERROR!</v>
      </c>
      <c r="W1078" s="735" t="str">
        <f>1000*MPUSales/MPUUnits</f>
        <v>#ERROR!</v>
      </c>
      <c r="X1078" s="735" t="str">
        <f>1000*MPUSales/MPUUnits</f>
        <v>#ERROR!</v>
      </c>
      <c r="Y1078" s="735" t="str">
        <f>1000*MPUSales/MPUUnits</f>
        <v>#ERROR!</v>
      </c>
      <c r="Z1078" s="735" t="str">
        <f>1000*MPUSales/MPUUnits</f>
        <v>#ERROR!</v>
      </c>
      <c r="AA1078" s="735" t="str">
        <f>1000*MPUSales/MPUUnits</f>
        <v>#ERROR!</v>
      </c>
      <c r="AB1078" s="735" t="str">
        <f>1000*MPUSales/MPUUnits</f>
        <v>#ERROR!</v>
      </c>
      <c r="AC1078" s="735" t="str">
        <f>1000*MPUSales/MPUUnits</f>
        <v>#ERROR!</v>
      </c>
      <c r="AD1078" s="735" t="str">
        <f>1000*MPUSales/MPUUnits</f>
        <v>#ERROR!</v>
      </c>
      <c r="AE1078" s="735" t="str">
        <f>1000*MPUSales/MPUUnits</f>
        <v>#ERROR!</v>
      </c>
      <c r="AF1078" s="735" t="str">
        <f>1000*MPUSales/MPUUnits</f>
        <v>#ERROR!</v>
      </c>
      <c r="AG1078" s="735" t="str">
        <f>1000*MPUSales/MPUUnits</f>
        <v>#ERROR!</v>
      </c>
      <c r="AH1078" s="735" t="str">
        <f>1000*MPUSales/MPUUnits</f>
        <v>#ERROR!</v>
      </c>
      <c r="AI1078" s="735" t="str">
        <f>1000*MPUSales/MPUUnits</f>
        <v>#ERROR!</v>
      </c>
      <c r="AJ1078" s="735" t="str">
        <f>1000*MPUSales/MPUUnits</f>
        <v>#ERROR!</v>
      </c>
      <c r="AK1078" s="735" t="str">
        <f>1000*MPUSales/MPUUnits</f>
        <v>#ERROR!</v>
      </c>
      <c r="AL1078" s="735" t="str">
        <f>1000*MPUSales/MPUUnits</f>
        <v>#ERROR!</v>
      </c>
      <c r="AM1078" s="735" t="str">
        <f>1000*MPUSales/MPUUnits</f>
        <v>#ERROR!</v>
      </c>
      <c r="AN1078" s="735" t="str">
        <f>1000*MPUSales/MPUUnits</f>
        <v>#ERROR!</v>
      </c>
      <c r="AO1078" s="735" t="str">
        <f>1000*MPUSales/MPUUnits</f>
        <v>#ERROR!</v>
      </c>
      <c r="AP1078" s="735" t="str">
        <f>1000*MPUSales/MPUUnits</f>
        <v>#ERROR!</v>
      </c>
      <c r="AQ1078" s="735" t="str">
        <f>1000*MPUSales/MPUUnits</f>
        <v>#ERROR!</v>
      </c>
      <c r="AR1078" s="735" t="str">
        <f>1000*MPUSales/MPUUnits</f>
        <v>#ERROR!</v>
      </c>
      <c r="AS1078" s="735" t="str">
        <f>1000*MPUSales/MPUUnits</f>
        <v>#ERROR!</v>
      </c>
      <c r="AT1078" s="735" t="str">
        <f>1000*MPUSales/MPUUnits</f>
        <v>#ERROR!</v>
      </c>
      <c r="AU1078" s="735" t="str">
        <f>1000*MPUSales/MPUUnits</f>
        <v>#ERROR!</v>
      </c>
      <c r="AV1078" s="735" t="str">
        <f>1000*MPUSales/MPUUnits</f>
        <v>#ERROR!</v>
      </c>
      <c r="AW1078" s="735" t="str">
        <f>1000*MPUSales/MPUUnits</f>
        <v>#ERROR!</v>
      </c>
      <c r="AX1078" s="735" t="str">
        <f>1000*MPUSales/MPUUnits</f>
        <v>#ERROR!</v>
      </c>
      <c r="AY1078" s="735" t="str">
        <f>1000*MPUSales/MPUUnits</f>
        <v>#ERROR!</v>
      </c>
      <c r="AZ1078" s="735" t="str">
        <f>1000*MPUSales/MPUUnits</f>
        <v>#ERROR!</v>
      </c>
      <c r="BA1078" s="735" t="str">
        <f>1000*MPUSales/MPUUnits</f>
        <v>#ERROR!</v>
      </c>
      <c r="BB1078" s="735" t="str">
        <f>1000*MPUSales/MPUUnits</f>
        <v>#ERROR!</v>
      </c>
      <c r="BC1078" s="735" t="str">
        <f>1000*MPUSales/MPUUnits</f>
        <v>#ERROR!</v>
      </c>
      <c r="BD1078" s="735" t="str">
        <f>1000*MPUSales/MPUUnits</f>
        <v>#ERROR!</v>
      </c>
      <c r="BE1078" s="735" t="str">
        <f>1000*MPUSales/MPUUnits</f>
        <v>#ERROR!</v>
      </c>
      <c r="BF1078" s="735" t="str">
        <f>1000*MPUSales/MPUUnits</f>
        <v>#ERROR!</v>
      </c>
      <c r="BG1078" s="735" t="str">
        <f>1000*MPUSales/MPUUnits</f>
        <v>#ERROR!</v>
      </c>
      <c r="BH1078" s="735" t="str">
        <f>1000*MPUSales/MPUUnits</f>
        <v>#ERROR!</v>
      </c>
      <c r="BI1078" s="735" t="str">
        <f>1000*MPUSales/MPUUnits</f>
        <v>#ERROR!</v>
      </c>
      <c r="BJ1078" s="735" t="str">
        <f>1000*MPUSales/MPUUnits</f>
        <v>#ERROR!</v>
      </c>
      <c r="BK1078" s="735" t="str">
        <f>1000*MPUSales/MPUUnits</f>
        <v>#ERROR!</v>
      </c>
      <c r="BL1078" s="735" t="str">
        <f>1000*MPUSales/MPUUnits</f>
        <v>#ERROR!</v>
      </c>
      <c r="BM1078" s="735" t="str">
        <f>1000*MPUSales/MPUUnits</f>
        <v>#ERROR!</v>
      </c>
      <c r="BN1078" s="735" t="str">
        <f>1000*MPUSales/MPUUnits</f>
        <v>#ERROR!</v>
      </c>
      <c r="BO1078" s="735" t="str">
        <f>1000*MPUSales/MPUUnits</f>
        <v>#ERROR!</v>
      </c>
      <c r="BP1078" s="735" t="str">
        <f>1000*MPUSales/MPUUnits</f>
        <v>#ERROR!</v>
      </c>
      <c r="BQ1078" s="735" t="str">
        <f>1000*MPUSales/MPUUnits</f>
        <v>#ERROR!</v>
      </c>
      <c r="BR1078" s="735" t="str">
        <f>1000*MPUSales/MPUUnits</f>
        <v>#ERROR!</v>
      </c>
      <c r="BS1078" s="735" t="str">
        <f>1000*MPUSales/MPUUnits</f>
        <v>#ERROR!</v>
      </c>
      <c r="BT1078" s="735" t="str">
        <f>1000*MPUSales/MPUUnits</f>
        <v>#ERROR!</v>
      </c>
      <c r="BU1078" s="735" t="str">
        <f>1000*MPUSales/MPUUnits</f>
        <v>#ERROR!</v>
      </c>
      <c r="BV1078" s="735" t="str">
        <f>1000*MPUSales/MPUUnits</f>
        <v>#ERROR!</v>
      </c>
      <c r="BW1078" s="735" t="str">
        <f>1000*MPUSales/MPUUnits</f>
        <v>#ERROR!</v>
      </c>
      <c r="BX1078" s="735" t="str">
        <f>1000*MPUSales/MPUUnits</f>
        <v>#ERROR!</v>
      </c>
      <c r="BY1078" s="735" t="str">
        <f>1000*MPUSales/MPUUnits</f>
        <v>#ERROR!</v>
      </c>
      <c r="BZ1078" s="736" t="str">
        <f>1000*MPUSales/MPUUnits</f>
        <v>#ERROR!</v>
      </c>
      <c r="CA1078" s="735" t="str">
        <f>1000*MPUSales/MPUUnits</f>
        <v>#ERROR!</v>
      </c>
      <c r="CB1078" s="735" t="str">
        <f>1000*MPUSales/MPUUnits</f>
        <v>#ERROR!</v>
      </c>
      <c r="CC1078" s="735" t="str">
        <f>1000*MPUSales/MPUUnits</f>
        <v>#ERROR!</v>
      </c>
      <c r="CD1078" s="735" t="str">
        <f>1000*MPUSales/MPUUnits</f>
        <v>#ERROR!</v>
      </c>
      <c r="CE1078" s="736" t="str">
        <f>1000*MPUSales/MPUUnits</f>
        <v>#ERROR!</v>
      </c>
      <c r="CF1078" s="735" t="str">
        <f>1000*MPUSales/MPUUnits</f>
        <v>#ERROR!</v>
      </c>
      <c r="CG1078" s="735" t="str">
        <f>1000*MPUSales/MPUUnits</f>
        <v>#ERROR!</v>
      </c>
      <c r="CH1078" s="735" t="str">
        <f>1000*MPUSales/MPUUnits</f>
        <v>#ERROR!</v>
      </c>
      <c r="CI1078" s="735" t="str">
        <f>1000*MPUSales/MPUUnits</f>
        <v>#ERROR!</v>
      </c>
      <c r="CJ1078" s="736" t="str">
        <f>1000*MPUSales/MPUUnits</f>
        <v>#ERROR!</v>
      </c>
      <c r="CK1078" s="735" t="str">
        <f>1000*MPUSales/MPUUnits</f>
        <v>#ERROR!</v>
      </c>
      <c r="CL1078" s="735" t="str">
        <f>1000*MPUSales/MPUUnits</f>
        <v>#ERROR!</v>
      </c>
      <c r="CM1078" s="735" t="str">
        <f>1000*MPUSales/MPUUnits</f>
        <v>#ERROR!</v>
      </c>
      <c r="CN1078" s="737" t="str">
        <f>1000*MPUSales/MPUUnits</f>
        <v>#ERROR!</v>
      </c>
      <c r="CO1078" s="736" t="str">
        <f>1000*MPUSales/MPUUnits</f>
        <v>#ERROR!</v>
      </c>
      <c r="CP1078" s="737" t="str">
        <f>1000*MPUSales/MPUUnits</f>
        <v>#ERROR!</v>
      </c>
      <c r="CQ1078" s="735" t="str">
        <f>1000*MPUSales/MPUUnits</f>
        <v>#ERROR!</v>
      </c>
      <c r="CR1078" s="735" t="str">
        <f>1000*MPUSales/MPUUnits</f>
        <v>#ERROR!</v>
      </c>
      <c r="CS1078" s="735" t="str">
        <f>1000*MPUSales/MPUUnits</f>
        <v>#ERROR!</v>
      </c>
      <c r="CT1078" s="736" t="str">
        <f>1000*MPUSales/MPUUnits</f>
        <v>#ERROR!</v>
      </c>
      <c r="CU1078" s="735" t="str">
        <f>1000*MPUSales/MPUUnits</f>
        <v>#ERROR!</v>
      </c>
      <c r="CV1078" s="735" t="str">
        <f>1000*MPUSales/MPUUnits</f>
        <v>#ERROR!</v>
      </c>
      <c r="CW1078" s="735" t="str">
        <f>1000*MPUSales/MPUUnits</f>
        <v>#ERROR!</v>
      </c>
      <c r="CX1078" s="735" t="str">
        <f>1000*MPUSales/MPUUnits</f>
        <v>#ERROR!</v>
      </c>
      <c r="CY1078" s="736" t="str">
        <f>1000*MPUSales/MPUUnits</f>
        <v>#ERROR!</v>
      </c>
      <c r="CZ1078" s="735" t="str">
        <f>1000*MPUSales/MPUUnits</f>
        <v>#ERROR!</v>
      </c>
      <c r="DA1078" s="735" t="str">
        <f>1000*MPUSales/MPUUnits</f>
        <v>#ERROR!</v>
      </c>
      <c r="DB1078" s="735" t="str">
        <f>1000*MPUSales/MPUUnits</f>
        <v>#ERROR!</v>
      </c>
      <c r="DC1078" s="735" t="str">
        <f>1000*MPUSales/MPUUnits</f>
        <v>#ERROR!</v>
      </c>
      <c r="DD1078" s="736" t="str">
        <f>1000*MPUSales/MPUUnits</f>
        <v>#ERROR!</v>
      </c>
      <c r="DE1078" s="735" t="str">
        <f>1000*MPUSales/MPUUnits</f>
        <v>#ERROR!</v>
      </c>
      <c r="DF1078" s="735" t="str">
        <f>1000*MPUSales/MPUUnits</f>
        <v>#ERROR!</v>
      </c>
      <c r="DG1078" s="667" t="str">
        <f>1000*MPUSales/MPUUnits</f>
        <v>#ERROR!</v>
      </c>
      <c r="DH1078" s="735" t="str">
        <f>1000*MPUSales/MPUUnits</f>
        <v>#ERROR!</v>
      </c>
      <c r="DI1078" s="736" t="str">
        <f>1000*MPUSales/MPUUnits</f>
        <v>#ERROR!</v>
      </c>
      <c r="DJ1078" s="737" t="str">
        <f>1000*MPUSales/MPUUnits</f>
        <v>#ERROR!</v>
      </c>
      <c r="DK1078" s="737" t="str">
        <f>1000*MPUSales/MPUUnits</f>
        <v>#ERROR!</v>
      </c>
      <c r="DL1078" s="737" t="str">
        <f>1000*MPUSales/MPUUnits</f>
        <v>#ERROR!</v>
      </c>
      <c r="DM1078" s="735" t="str">
        <f>1000*MPUSales/MPUUnits</f>
        <v>#ERROR!</v>
      </c>
      <c r="DN1078" s="736" t="str">
        <f>1000*MPUSales/MPUUnits</f>
        <v>#ERROR!</v>
      </c>
      <c r="DO1078" s="735" t="str">
        <f>1000*MPUSales/MPUUnits</f>
        <v>#ERROR!</v>
      </c>
      <c r="DP1078" s="735" t="str">
        <f>1000*MPUSales/MPUUnits</f>
        <v>#ERROR!</v>
      </c>
      <c r="DQ1078" s="735" t="str">
        <f>1000*MPUSales/MPUUnits</f>
        <v>#ERROR!</v>
      </c>
      <c r="DR1078" s="735" t="str">
        <f>1000*MPUSales/MPUUnits</f>
        <v>#ERROR!</v>
      </c>
      <c r="DS1078" s="736" t="str">
        <f>1000*MPUSales/MPUUnits</f>
        <v>#ERROR!</v>
      </c>
      <c r="DT1078" s="735" t="str">
        <f>1000*MPUSales/MPUUnits</f>
        <v>#ERROR!</v>
      </c>
      <c r="DU1078" s="735" t="str">
        <f>1000*MPUSales/MPUUnits</f>
        <v>#ERROR!</v>
      </c>
      <c r="DV1078" s="735" t="str">
        <f>1000*MPUSales/MPUUnits</f>
        <v>#ERROR!</v>
      </c>
      <c r="DW1078" s="735" t="str">
        <f>1000*MPUSales/MPUUnits</f>
        <v>#ERROR!</v>
      </c>
      <c r="DX1078" s="736" t="str">
        <f>1000*MPUSales/MPUUnits</f>
        <v>#ERROR!</v>
      </c>
      <c r="DY1078" s="735" t="str">
        <f>1000*MPUSales/MPUUnits</f>
        <v>#ERROR!</v>
      </c>
      <c r="DZ1078" s="735" t="str">
        <f>1000*MPUSales/MPUUnits</f>
        <v>#ERROR!</v>
      </c>
      <c r="EA1078" s="735" t="str">
        <f>1000*MPUSales/MPUUnits</f>
        <v>#ERROR!</v>
      </c>
      <c r="EB1078" s="735" t="str">
        <f>1000*MPUSales/MPUUnits</f>
        <v>#ERROR!</v>
      </c>
      <c r="EC1078" s="736" t="str">
        <f>1000*MPUSales/MPUUnits</f>
        <v>#ERROR!</v>
      </c>
      <c r="ED1078" s="735" t="str">
        <f>1000*MPUSales/MPUUnits</f>
        <v>#ERROR!</v>
      </c>
      <c r="EE1078" s="735" t="str">
        <f>1000*MPUSales/MPUUnits</f>
        <v>#ERROR!</v>
      </c>
      <c r="EF1078" s="735" t="str">
        <f>1000*MPUSales/MPUUnits</f>
        <v>#ERROR!</v>
      </c>
      <c r="EG1078" s="735" t="str">
        <f>1000*MPUSales/MPUUnits</f>
        <v>#ERROR!</v>
      </c>
      <c r="EH1078" s="736" t="str">
        <f>1000*MPUSales/MPUUnits</f>
        <v>#ERROR!</v>
      </c>
      <c r="EI1078" s="738" t="str">
        <f>1000*MPUSales/MPUUnits</f>
        <v>#ERROR!</v>
      </c>
      <c r="EJ1078" s="735" t="str">
        <f>1000*MPUSales/MPUUnits</f>
        <v>#ERROR!</v>
      </c>
      <c r="EK1078" s="735" t="str">
        <f>1000*MPUSales/MPUUnits</f>
        <v>#ERROR!</v>
      </c>
      <c r="EL1078" s="735" t="str">
        <f>1000*MPUSales/MPUUnits</f>
        <v>#ERROR!</v>
      </c>
      <c r="EM1078" s="736" t="str">
        <f>1000*MPUSales/MPUUnits</f>
        <v>#ERROR!</v>
      </c>
      <c r="EN1078" s="735" t="str">
        <f>1000*MPUSales/MPUUnits</f>
        <v>#ERROR!</v>
      </c>
      <c r="EO1078" s="735" t="str">
        <f>1000*MPUSales/MPUUnits</f>
        <v>#ERROR!</v>
      </c>
      <c r="EP1078" s="735" t="str">
        <f>1000*MPUSales/MPUUnits</f>
        <v>#ERROR!</v>
      </c>
      <c r="EQ1078" s="735" t="str">
        <f>1000*MPUSales/MPUUnits</f>
        <v>#ERROR!</v>
      </c>
      <c r="ER1078" s="736" t="str">
        <f>1000*MPUSales/MPUUnits</f>
        <v>#ERROR!</v>
      </c>
      <c r="ES1078" s="735" t="str">
        <f>1000*MPUSales/MPUUnits</f>
        <v>#ERROR!</v>
      </c>
      <c r="ET1078" s="735" t="str">
        <f>1000*MPUSales/MPUUnits</f>
        <v>#ERROR!</v>
      </c>
      <c r="EU1078" s="735" t="str">
        <f>1000*MPUSales/MPUUnits</f>
        <v>#ERROR!</v>
      </c>
      <c r="EV1078" s="735" t="str">
        <f>1000*MPUSales/MPUUnits</f>
        <v>#ERROR!</v>
      </c>
      <c r="EW1078" s="736" t="str">
        <f>1000*MPUSales/MPUUnits</f>
        <v>#ERROR!</v>
      </c>
      <c r="EX1078" s="735" t="str">
        <f>1000*MPUSales/MPUUnits</f>
        <v>#ERROR!</v>
      </c>
      <c r="EY1078" s="735" t="str">
        <f>1000*MPUSales/MPUUnits</f>
        <v>#ERROR!</v>
      </c>
      <c r="EZ1078" s="735" t="str">
        <f>1000*MPUSales/MPUUnits</f>
        <v>#ERROR!</v>
      </c>
      <c r="FA1078" s="735" t="str">
        <f>1000*MPUSales/MPUUnits</f>
        <v>#ERROR!</v>
      </c>
      <c r="FB1078" s="736" t="str">
        <f>1000*MPUSales/MPUUnits</f>
        <v>#ERROR!</v>
      </c>
      <c r="FC1078" s="735" t="str">
        <f>1000*MPUSales/MPUUnits</f>
        <v>#ERROR!</v>
      </c>
      <c r="FD1078" s="735" t="str">
        <f>1000*MPUSales/MPUUnits</f>
        <v>#ERROR!</v>
      </c>
      <c r="FE1078" s="735" t="str">
        <f>1000*MPUSales/MPUUnits</f>
        <v>#ERROR!</v>
      </c>
      <c r="FF1078" s="735" t="str">
        <f>1000*MPUSales/MPUUnits</f>
        <v>#ERROR!</v>
      </c>
      <c r="FG1078" s="736" t="str">
        <f>1000*MPUSales/MPUUnits</f>
        <v>#ERROR!</v>
      </c>
      <c r="FH1078" s="737"/>
      <c r="FI1078" s="735"/>
      <c r="FJ1078" s="735"/>
      <c r="FK1078" s="735"/>
      <c r="FL1078" s="735"/>
    </row>
    <row r="1079" ht="12.75" hidden="1" customHeight="1" outlineLevel="1">
      <c r="A1079" s="263"/>
      <c r="B1079" s="4" t="s">
        <v>388</v>
      </c>
      <c r="C1079" s="4"/>
      <c r="D1079" s="377"/>
      <c r="E1079" s="377"/>
      <c r="F1079" s="377"/>
      <c r="G1079" s="377"/>
      <c r="H1079" s="665"/>
      <c r="I1079" s="377" t="str">
        <f>[0]!blendedASP</f>
        <v>#ERROR!</v>
      </c>
      <c r="J1079" s="377" t="str">
        <f>[0]!blendedASP</f>
        <v>#ERROR!</v>
      </c>
      <c r="K1079" s="377" t="str">
        <f>[0]!blendedASP</f>
        <v>#ERROR!</v>
      </c>
      <c r="L1079" s="377" t="str">
        <f>[0]!blendedASP</f>
        <v>#ERROR!</v>
      </c>
      <c r="M1079" s="665" t="str">
        <f>[0]!blendedASP</f>
        <v>#ERROR!</v>
      </c>
      <c r="N1079" s="377" t="str">
        <f>[0]!blendedASP</f>
        <v>#ERROR!</v>
      </c>
      <c r="O1079" s="377" t="str">
        <f>[0]!blendedASP</f>
        <v>#ERROR!</v>
      </c>
      <c r="P1079" s="377" t="str">
        <f>[0]!blendedASP</f>
        <v>#ERROR!</v>
      </c>
      <c r="Q1079" s="377" t="str">
        <f>[0]!blendedASP</f>
        <v>#ERROR!</v>
      </c>
      <c r="R1079" s="665" t="str">
        <f>[0]!blendedASP</f>
        <v>#ERROR!</v>
      </c>
      <c r="S1079" s="377" t="str">
        <f>[0]!blendedASP</f>
        <v>#ERROR!</v>
      </c>
      <c r="T1079" s="377" t="str">
        <f>[0]!blendedASP</f>
        <v>#ERROR!</v>
      </c>
      <c r="U1079" s="377" t="str">
        <f>[0]!blendedASP</f>
        <v>#ERROR!</v>
      </c>
      <c r="V1079" s="377" t="str">
        <f>[0]!blendedASP</f>
        <v>#ERROR!</v>
      </c>
      <c r="W1079" s="665" t="str">
        <f>[0]!blendedASP</f>
        <v>#ERROR!</v>
      </c>
      <c r="X1079" s="377" t="str">
        <f>[0]!blendedASP</f>
        <v>#ERROR!</v>
      </c>
      <c r="Y1079" s="377" t="str">
        <f>[0]!blendedASP</f>
        <v>#ERROR!</v>
      </c>
      <c r="Z1079" s="377" t="str">
        <f>[0]!blendedASP</f>
        <v>#ERROR!</v>
      </c>
      <c r="AA1079" s="377" t="str">
        <f>[0]!blendedASP</f>
        <v>#ERROR!</v>
      </c>
      <c r="AB1079" s="665" t="str">
        <f>[0]!blendedASP</f>
        <v>#ERROR!</v>
      </c>
      <c r="AC1079" s="377" t="str">
        <f>[0]!blendedASP</f>
        <v>#ERROR!</v>
      </c>
      <c r="AD1079" s="377" t="str">
        <f>[0]!blendedASP</f>
        <v>#ERROR!</v>
      </c>
      <c r="AE1079" s="377" t="str">
        <f>[0]!blendedASP</f>
        <v>#ERROR!</v>
      </c>
      <c r="AF1079" s="377" t="str">
        <f>[0]!blendedASP</f>
        <v>#ERROR!</v>
      </c>
      <c r="AG1079" s="665" t="str">
        <f>[0]!blendedASP</f>
        <v>#ERROR!</v>
      </c>
      <c r="AH1079" s="377" t="str">
        <f>[0]!blendedASP</f>
        <v>#ERROR!</v>
      </c>
      <c r="AI1079" s="377" t="str">
        <f>[0]!blendedASP</f>
        <v>#ERROR!</v>
      </c>
      <c r="AJ1079" s="377" t="str">
        <f>[0]!blendedASP</f>
        <v>#ERROR!</v>
      </c>
      <c r="AK1079" s="377" t="str">
        <f>[0]!blendedASP</f>
        <v>#ERROR!</v>
      </c>
      <c r="AL1079" s="665" t="str">
        <f>[0]!blendedASP</f>
        <v>#ERROR!</v>
      </c>
      <c r="AM1079" s="377" t="str">
        <f>[0]!blendedASP</f>
        <v>#ERROR!</v>
      </c>
      <c r="AN1079" s="377" t="str">
        <f>[0]!blendedASP</f>
        <v>#ERROR!</v>
      </c>
      <c r="AO1079" s="377" t="str">
        <f>[0]!blendedASP</f>
        <v>#ERROR!</v>
      </c>
      <c r="AP1079" s="377" t="str">
        <f>[0]!blendedASP</f>
        <v>#ERROR!</v>
      </c>
      <c r="AQ1079" s="665" t="str">
        <f>[0]!blendedASP</f>
        <v>#ERROR!</v>
      </c>
      <c r="AR1079" s="377" t="str">
        <f>[0]!blendedASP</f>
        <v>#ERROR!</v>
      </c>
      <c r="AS1079" s="377" t="str">
        <f>[0]!blendedASP</f>
        <v>#ERROR!</v>
      </c>
      <c r="AT1079" s="377" t="str">
        <f>[0]!blendedASP</f>
        <v>#ERROR!</v>
      </c>
      <c r="AU1079" s="377" t="str">
        <f>[0]!blendedASP</f>
        <v>#ERROR!</v>
      </c>
      <c r="AV1079" s="665" t="str">
        <f>[0]!blendedASP</f>
        <v>#ERROR!</v>
      </c>
      <c r="AW1079" s="377" t="str">
        <f>[0]!blendedASP</f>
        <v>#ERROR!</v>
      </c>
      <c r="AX1079" s="377" t="str">
        <f>[0]!blendedASP</f>
        <v>#ERROR!</v>
      </c>
      <c r="AY1079" s="377" t="str">
        <f>[0]!blendedASP</f>
        <v>#ERROR!</v>
      </c>
      <c r="AZ1079" s="377" t="str">
        <f>[0]!blendedASP</f>
        <v>#ERROR!</v>
      </c>
      <c r="BA1079" s="665" t="str">
        <f>[0]!blendedASP</f>
        <v>#ERROR!</v>
      </c>
      <c r="BB1079" s="377" t="str">
        <f>[0]!blendedASP</f>
        <v>#ERROR!</v>
      </c>
      <c r="BC1079" s="377" t="str">
        <f>[0]!blendedASP</f>
        <v>#ERROR!</v>
      </c>
      <c r="BD1079" s="377" t="str">
        <f>[0]!blendedASP</f>
        <v>#ERROR!</v>
      </c>
      <c r="BE1079" s="377" t="str">
        <f>[0]!blendedASP</f>
        <v>#ERROR!</v>
      </c>
      <c r="BF1079" s="665" t="str">
        <f>[0]!blendedASP</f>
        <v>#ERROR!</v>
      </c>
      <c r="BG1079" s="377" t="str">
        <f>[0]!blendedASP</f>
        <v>#ERROR!</v>
      </c>
      <c r="BH1079" s="377" t="str">
        <f>[0]!blendedASP</f>
        <v>#ERROR!</v>
      </c>
      <c r="BI1079" s="377" t="str">
        <f>[0]!blendedASP</f>
        <v>#ERROR!</v>
      </c>
      <c r="BJ1079" s="377" t="str">
        <f>[0]!blendedASP</f>
        <v>#ERROR!</v>
      </c>
      <c r="BK1079" s="665" t="str">
        <f>[0]!blendedASP</f>
        <v>#ERROR!</v>
      </c>
      <c r="BL1079" s="377" t="str">
        <f>[0]!blendedASP</f>
        <v>#ERROR!</v>
      </c>
      <c r="BM1079" s="377" t="str">
        <f>[0]!blendedASP</f>
        <v>#ERROR!</v>
      </c>
      <c r="BN1079" s="377" t="str">
        <f>[0]!blendedASP</f>
        <v>#ERROR!</v>
      </c>
      <c r="BO1079" s="377" t="str">
        <f>[0]!blendedASP</f>
        <v>#ERROR!</v>
      </c>
      <c r="BP1079" s="665" t="str">
        <f>[0]!blendedASP</f>
        <v>#ERROR!</v>
      </c>
      <c r="BQ1079" s="377" t="str">
        <f>[0]!blendedASP</f>
        <v>#ERROR!</v>
      </c>
      <c r="BR1079" s="377" t="str">
        <f>[0]!blendedASP</f>
        <v>#ERROR!</v>
      </c>
      <c r="BS1079" s="377" t="str">
        <f>[0]!blendedASP</f>
        <v>#ERROR!</v>
      </c>
      <c r="BT1079" s="377" t="str">
        <f>[0]!blendedASP</f>
        <v>#ERROR!</v>
      </c>
      <c r="BU1079" s="665" t="str">
        <f>[0]!blendedASP</f>
        <v>#ERROR!</v>
      </c>
      <c r="BV1079" s="377" t="str">
        <f>[0]!blendedASP</f>
        <v>#ERROR!</v>
      </c>
      <c r="BW1079" s="377" t="str">
        <f>[0]!blendedASP</f>
        <v>#ERROR!</v>
      </c>
      <c r="BX1079" s="377" t="str">
        <f>[0]!blendedASP</f>
        <v>#ERROR!</v>
      </c>
      <c r="BY1079" s="377" t="str">
        <f>[0]!blendedASP</f>
        <v>#ERROR!</v>
      </c>
      <c r="BZ1079" s="666" t="str">
        <f>[0]!blendedASP</f>
        <v>#ERROR!</v>
      </c>
      <c r="CA1079" s="377" t="str">
        <f>[0]!blendedASP</f>
        <v>#ERROR!</v>
      </c>
      <c r="CB1079" s="377" t="str">
        <f>[0]!blendedASP</f>
        <v>#ERROR!</v>
      </c>
      <c r="CC1079" s="377" t="str">
        <f>[0]!blendedASP</f>
        <v>#ERROR!</v>
      </c>
      <c r="CD1079" s="377" t="str">
        <f>[0]!blendedASP</f>
        <v>#ERROR!</v>
      </c>
      <c r="CE1079" s="666" t="str">
        <f>[0]!blendedASP</f>
        <v>#ERROR!</v>
      </c>
      <c r="CF1079" s="377" t="str">
        <f>[0]!blendedASP</f>
        <v>#ERROR!</v>
      </c>
      <c r="CG1079" s="377" t="str">
        <f>[0]!blendedASP</f>
        <v>#ERROR!</v>
      </c>
      <c r="CH1079" s="377" t="str">
        <f>[0]!blendedASP</f>
        <v>#ERROR!</v>
      </c>
      <c r="CI1079" s="377" t="str">
        <f>[0]!blendedASP</f>
        <v>#ERROR!</v>
      </c>
      <c r="CJ1079" s="666" t="str">
        <f>[0]!blendedASP</f>
        <v>#ERROR!</v>
      </c>
      <c r="CK1079" s="377" t="str">
        <f>[0]!blendedASP</f>
        <v>#ERROR!</v>
      </c>
      <c r="CL1079" s="377" t="str">
        <f>[0]!blendedASP</f>
        <v>#ERROR!</v>
      </c>
      <c r="CM1079" s="377" t="str">
        <f>[0]!blendedASP</f>
        <v>#ERROR!</v>
      </c>
      <c r="CN1079" s="440" t="str">
        <f>[0]!blendedASP</f>
        <v>#ERROR!</v>
      </c>
      <c r="CO1079" s="666" t="str">
        <f>[0]!blendedASP</f>
        <v>#ERROR!</v>
      </c>
      <c r="CP1079" s="440" t="str">
        <f>[0]!blendedASP</f>
        <v>#ERROR!</v>
      </c>
      <c r="CQ1079" s="377" t="str">
        <f>[0]!blendedASP</f>
        <v>#ERROR!</v>
      </c>
      <c r="CR1079" s="377" t="str">
        <f>[0]!blendedASP</f>
        <v>#ERROR!</v>
      </c>
      <c r="CS1079" s="377" t="str">
        <f>[0]!blendedASP</f>
        <v>#ERROR!</v>
      </c>
      <c r="CT1079" s="666" t="str">
        <f>[0]!blendedASP</f>
        <v>#ERROR!</v>
      </c>
      <c r="CU1079" s="377" t="str">
        <f>[0]!blendedASP</f>
        <v>#ERROR!</v>
      </c>
      <c r="CV1079" s="377" t="str">
        <f>[0]!blendedASP</f>
        <v>#ERROR!</v>
      </c>
      <c r="CW1079" s="377" t="str">
        <f>[0]!blendedASP</f>
        <v>#ERROR!</v>
      </c>
      <c r="CX1079" s="377" t="str">
        <f>[0]!blendedASP</f>
        <v>#ERROR!</v>
      </c>
      <c r="CY1079" s="666" t="str">
        <f>[0]!blendedASP</f>
        <v>#ERROR!</v>
      </c>
      <c r="CZ1079" s="377" t="str">
        <f>[0]!blendedASP</f>
        <v>#ERROR!</v>
      </c>
      <c r="DA1079" s="377" t="str">
        <f>[0]!blendedASP</f>
        <v>#ERROR!</v>
      </c>
      <c r="DB1079" s="377" t="str">
        <f>[0]!blendedASP</f>
        <v>#ERROR!</v>
      </c>
      <c r="DC1079" s="377" t="str">
        <f>[0]!blendedASP</f>
        <v>#ERROR!</v>
      </c>
      <c r="DD1079" s="666" t="str">
        <f>[0]!blendedASP</f>
        <v>#ERROR!</v>
      </c>
      <c r="DE1079" s="377" t="str">
        <f>[0]!blendedASP</f>
        <v>#ERROR!</v>
      </c>
      <c r="DF1079" s="377" t="str">
        <f>[0]!blendedASP</f>
        <v>#ERROR!</v>
      </c>
      <c r="DG1079" s="440" t="str">
        <f>[0]!blendedASP</f>
        <v>#ERROR!</v>
      </c>
      <c r="DH1079" s="377" t="str">
        <f>[0]!blendedASP</f>
        <v>#ERROR!</v>
      </c>
      <c r="DI1079" s="666" t="str">
        <f>[0]!blendedASP</f>
        <v>#ERROR!</v>
      </c>
      <c r="DJ1079" s="440" t="str">
        <f>[0]!blendedASP</f>
        <v>#ERROR!</v>
      </c>
      <c r="DK1079" s="440" t="str">
        <f>[0]!blendedASP</f>
        <v>#ERROR!</v>
      </c>
      <c r="DL1079" s="440" t="str">
        <f>[0]!blendedASP</f>
        <v>#ERROR!</v>
      </c>
      <c r="DM1079" s="377" t="str">
        <f>[0]!blendedASP</f>
        <v>#ERROR!</v>
      </c>
      <c r="DN1079" s="666" t="str">
        <f>[0]!blendedASP</f>
        <v>#ERROR!</v>
      </c>
      <c r="DO1079" s="377" t="str">
        <f>[0]!blendedASP</f>
        <v>#ERROR!</v>
      </c>
      <c r="DP1079" s="377" t="str">
        <f>[0]!blendedASP</f>
        <v>#ERROR!</v>
      </c>
      <c r="DQ1079" s="377" t="str">
        <f>[0]!blendedASP</f>
        <v>#ERROR!</v>
      </c>
      <c r="DR1079" s="377" t="str">
        <f>[0]!blendedASP</f>
        <v>#ERROR!</v>
      </c>
      <c r="DS1079" s="666" t="str">
        <f>[0]!blendedASP</f>
        <v>#ERROR!</v>
      </c>
      <c r="DT1079" s="377" t="str">
        <f>[0]!blendedASP</f>
        <v>#ERROR!</v>
      </c>
      <c r="DU1079" s="377" t="str">
        <f>[0]!blendedASP</f>
        <v>#ERROR!</v>
      </c>
      <c r="DV1079" s="377" t="str">
        <f>[0]!blendedASP</f>
        <v>#ERROR!</v>
      </c>
      <c r="DW1079" s="377" t="str">
        <f>[0]!blendedASP</f>
        <v>#ERROR!</v>
      </c>
      <c r="DX1079" s="666" t="str">
        <f>[0]!blendedASP</f>
        <v>#ERROR!</v>
      </c>
      <c r="DY1079" s="377" t="str">
        <f>[0]!blendedASP</f>
        <v>#ERROR!</v>
      </c>
      <c r="DZ1079" s="377" t="str">
        <f>[0]!blendedASP</f>
        <v>#ERROR!</v>
      </c>
      <c r="EA1079" s="377" t="str">
        <f>[0]!blendedASP</f>
        <v>#ERROR!</v>
      </c>
      <c r="EB1079" s="377" t="str">
        <f>[0]!blendedASP</f>
        <v>#ERROR!</v>
      </c>
      <c r="EC1079" s="666" t="str">
        <f>[0]!blendedASP</f>
        <v>#ERROR!</v>
      </c>
      <c r="ED1079" s="377" t="str">
        <f>[0]!blendedASP</f>
        <v>#ERROR!</v>
      </c>
      <c r="EE1079" s="377" t="str">
        <f>[0]!blendedASP</f>
        <v>#ERROR!</v>
      </c>
      <c r="EF1079" s="377" t="str">
        <f>[0]!blendedASP</f>
        <v>#ERROR!</v>
      </c>
      <c r="EG1079" s="377" t="str">
        <f>[0]!blendedASP</f>
        <v>#ERROR!</v>
      </c>
      <c r="EH1079" s="666" t="str">
        <f>[0]!blendedASP</f>
        <v>#ERROR!</v>
      </c>
      <c r="EI1079" s="442" t="str">
        <f>[0]!blendedASP</f>
        <v>#ERROR!</v>
      </c>
      <c r="EJ1079" s="377" t="str">
        <f>[0]!blendedASP</f>
        <v>#ERROR!</v>
      </c>
      <c r="EK1079" s="377" t="str">
        <f>[0]!blendedASP</f>
        <v>#ERROR!</v>
      </c>
      <c r="EL1079" s="377" t="str">
        <f>[0]!blendedASP</f>
        <v>#ERROR!</v>
      </c>
      <c r="EM1079" s="666" t="str">
        <f>[0]!blendedASP</f>
        <v>#ERROR!</v>
      </c>
      <c r="EN1079" s="377" t="str">
        <f>[0]!blendedASP</f>
        <v>#ERROR!</v>
      </c>
      <c r="EO1079" s="377" t="str">
        <f>[0]!blendedASP</f>
        <v>#ERROR!</v>
      </c>
      <c r="EP1079" s="377" t="str">
        <f>[0]!blendedASP</f>
        <v>#ERROR!</v>
      </c>
      <c r="EQ1079" s="377" t="str">
        <f>[0]!blendedASP</f>
        <v>#ERROR!</v>
      </c>
      <c r="ER1079" s="666" t="str">
        <f>[0]!blendedASP</f>
        <v>#ERROR!</v>
      </c>
      <c r="ES1079" s="377" t="str">
        <f>[0]!blendedASP</f>
        <v>#ERROR!</v>
      </c>
      <c r="ET1079" s="377" t="str">
        <f>[0]!blendedASP</f>
        <v>#ERROR!</v>
      </c>
      <c r="EU1079" s="377" t="str">
        <f>[0]!blendedASP</f>
        <v>#ERROR!</v>
      </c>
      <c r="EV1079" s="377" t="str">
        <f>[0]!blendedASP</f>
        <v>#ERROR!</v>
      </c>
      <c r="EW1079" s="666" t="str">
        <f>[0]!blendedASP</f>
        <v>#ERROR!</v>
      </c>
      <c r="EX1079" s="377" t="str">
        <f>[0]!blendedASP</f>
        <v>#ERROR!</v>
      </c>
      <c r="EY1079" s="377" t="str">
        <f>[0]!blendedASP</f>
        <v>#ERROR!</v>
      </c>
      <c r="EZ1079" s="377" t="str">
        <f>[0]!blendedASP</f>
        <v>#ERROR!</v>
      </c>
      <c r="FA1079" s="377" t="str">
        <f>[0]!blendedASP</f>
        <v>#ERROR!</v>
      </c>
      <c r="FB1079" s="666" t="str">
        <f>[0]!blendedASP</f>
        <v>#ERROR!</v>
      </c>
      <c r="FC1079" s="377" t="str">
        <f>[0]!blendedASP</f>
        <v>#ERROR!</v>
      </c>
      <c r="FD1079" s="377" t="str">
        <f>[0]!blendedASP</f>
        <v>#ERROR!</v>
      </c>
      <c r="FE1079" s="377" t="str">
        <f>[0]!blendedASP</f>
        <v>#ERROR!</v>
      </c>
      <c r="FF1079" s="377" t="str">
        <f>[0]!blendedASP</f>
        <v>#ERROR!</v>
      </c>
      <c r="FG1079" s="666" t="str">
        <f>[0]!blendedASP</f>
        <v>#ERROR!</v>
      </c>
      <c r="FH1079" s="667"/>
      <c r="FI1079" s="377"/>
      <c r="FJ1079" s="377"/>
      <c r="FK1079" s="665"/>
      <c r="FL1079" s="377"/>
    </row>
    <row r="1080" ht="12.75" hidden="1" customHeight="1" outlineLevel="1">
      <c r="A1080" s="263"/>
      <c r="B1080" s="4" t="s">
        <v>389</v>
      </c>
      <c r="C1080" s="4"/>
      <c r="D1080" s="377"/>
      <c r="E1080" s="377"/>
      <c r="F1080" s="377"/>
      <c r="G1080" s="377"/>
      <c r="H1080" s="665"/>
      <c r="I1080" s="377" t="e">
        <v>#REF!</v>
      </c>
      <c r="J1080" s="377" t="e">
        <v>#REF!</v>
      </c>
      <c r="K1080" s="377" t="e">
        <v>#REF!</v>
      </c>
      <c r="L1080" s="377" t="e">
        <v>#REF!</v>
      </c>
      <c r="M1080" s="665" t="e">
        <v>#REF!</v>
      </c>
      <c r="N1080" s="377" t="e">
        <v>#REF!</v>
      </c>
      <c r="O1080" s="377" t="e">
        <v>#REF!</v>
      </c>
      <c r="P1080" s="377" t="e">
        <v>#REF!</v>
      </c>
      <c r="Q1080" s="377" t="e">
        <v>#REF!</v>
      </c>
      <c r="R1080" s="665" t="e">
        <v>#REF!</v>
      </c>
      <c r="S1080" s="377" t="e">
        <v>#REF!</v>
      </c>
      <c r="T1080" s="377" t="e">
        <v>#REF!</v>
      </c>
      <c r="U1080" s="377" t="e">
        <v>#REF!</v>
      </c>
      <c r="V1080" s="377" t="e">
        <v>#REF!</v>
      </c>
      <c r="W1080" s="665" t="e">
        <v>#REF!</v>
      </c>
      <c r="X1080" s="377" t="e">
        <v>#REF!</v>
      </c>
      <c r="Y1080" s="377" t="e">
        <v>#REF!</v>
      </c>
      <c r="Z1080" s="377" t="e">
        <v>#REF!</v>
      </c>
      <c r="AA1080" s="377" t="e">
        <v>#REF!</v>
      </c>
      <c r="AB1080" s="665" t="e">
        <v>#REF!</v>
      </c>
      <c r="AC1080" s="377" t="e">
        <v>#REF!</v>
      </c>
      <c r="AD1080" s="377" t="e">
        <v>#REF!</v>
      </c>
      <c r="AE1080" s="377" t="e">
        <v>#REF!</v>
      </c>
      <c r="AF1080" s="377" t="e">
        <v>#REF!</v>
      </c>
      <c r="AG1080" s="665" t="e">
        <v>#REF!</v>
      </c>
      <c r="AH1080" s="377" t="e">
        <v>#REF!</v>
      </c>
      <c r="AI1080" s="377" t="e">
        <v>#REF!</v>
      </c>
      <c r="AJ1080" s="377" t="e">
        <v>#REF!</v>
      </c>
      <c r="AK1080" s="377" t="e">
        <v>#REF!</v>
      </c>
      <c r="AL1080" s="665" t="e">
        <v>#REF!</v>
      </c>
      <c r="AM1080" s="377" t="e">
        <v>#REF!</v>
      </c>
      <c r="AN1080" s="377" t="e">
        <v>#REF!</v>
      </c>
      <c r="AO1080" s="377" t="e">
        <v>#REF!</v>
      </c>
      <c r="AP1080" s="377" t="e">
        <v>#REF!</v>
      </c>
      <c r="AQ1080" s="665" t="e">
        <v>#REF!</v>
      </c>
      <c r="AR1080" s="377" t="e">
        <v>#REF!</v>
      </c>
      <c r="AS1080" s="377" t="e">
        <v>#REF!</v>
      </c>
      <c r="AT1080" s="377" t="e">
        <v>#REF!</v>
      </c>
      <c r="AU1080" s="377" t="e">
        <v>#REF!</v>
      </c>
      <c r="AV1080" s="665" t="e">
        <v>#REF!</v>
      </c>
      <c r="AW1080" s="377" t="e">
        <v>#REF!</v>
      </c>
      <c r="AX1080" s="377" t="e">
        <v>#REF!</v>
      </c>
      <c r="AY1080" s="377" t="e">
        <v>#REF!</v>
      </c>
      <c r="AZ1080" s="377" t="e">
        <v>#REF!</v>
      </c>
      <c r="BA1080" s="665" t="e">
        <v>#REF!</v>
      </c>
      <c r="BB1080" s="377" t="e">
        <v>#REF!</v>
      </c>
      <c r="BC1080" s="377" t="e">
        <v>#REF!</v>
      </c>
      <c r="BD1080" s="377" t="e">
        <v>#REF!</v>
      </c>
      <c r="BE1080" s="377" t="e">
        <v>#REF!</v>
      </c>
      <c r="BF1080" s="665" t="e">
        <v>#REF!</v>
      </c>
      <c r="BG1080" s="377" t="e">
        <v>#REF!</v>
      </c>
      <c r="BH1080" s="377" t="e">
        <v>#REF!</v>
      </c>
      <c r="BI1080" s="377" t="e">
        <v>#REF!</v>
      </c>
      <c r="BJ1080" s="377" t="e">
        <v>#REF!</v>
      </c>
      <c r="BK1080" s="665" t="e">
        <v>#REF!</v>
      </c>
      <c r="BL1080" s="377" t="e">
        <v>#REF!</v>
      </c>
      <c r="BM1080" s="377" t="e">
        <v>#REF!</v>
      </c>
      <c r="BN1080" s="377" t="e">
        <v>#REF!</v>
      </c>
      <c r="BO1080" s="377" t="e">
        <v>#REF!</v>
      </c>
      <c r="BP1080" s="665" t="e">
        <v>#REF!</v>
      </c>
      <c r="BQ1080" s="377" t="e">
        <v>#REF!</v>
      </c>
      <c r="BR1080" s="377" t="e">
        <v>#REF!</v>
      </c>
      <c r="BS1080" s="377" t="e">
        <v>#REF!</v>
      </c>
      <c r="BT1080" s="377" t="e">
        <v>#REF!</v>
      </c>
      <c r="BU1080" s="665" t="e">
        <v>#REF!</v>
      </c>
      <c r="BV1080" s="377" t="e">
        <v>#REF!</v>
      </c>
      <c r="BW1080" s="377" t="e">
        <v>#REF!</v>
      </c>
      <c r="BX1080" s="377" t="e">
        <v>#REF!</v>
      </c>
      <c r="BY1080" s="377" t="e">
        <v>#REF!</v>
      </c>
      <c r="BZ1080" s="666" t="e">
        <v>#REF!</v>
      </c>
      <c r="CA1080" s="377" t="e">
        <v>#REF!</v>
      </c>
      <c r="CB1080" s="377" t="e">
        <v>#REF!</v>
      </c>
      <c r="CC1080" s="377" t="e">
        <v>#REF!</v>
      </c>
      <c r="CD1080" s="377" t="e">
        <v>#REF!</v>
      </c>
      <c r="CE1080" s="666" t="e">
        <v>#REF!</v>
      </c>
      <c r="CF1080" s="377" t="e">
        <v>#REF!</v>
      </c>
      <c r="CG1080" s="377" t="e">
        <v>#REF!</v>
      </c>
      <c r="CH1080" s="377" t="e">
        <v>#REF!</v>
      </c>
      <c r="CI1080" s="377" t="e">
        <v>#REF!</v>
      </c>
      <c r="CJ1080" s="666" t="e">
        <v>#REF!</v>
      </c>
      <c r="CK1080" s="377" t="e">
        <v>#REF!</v>
      </c>
      <c r="CL1080" s="377" t="e">
        <v>#REF!</v>
      </c>
      <c r="CM1080" s="377" t="e">
        <v>#REF!</v>
      </c>
      <c r="CN1080" s="440" t="e">
        <v>#REF!</v>
      </c>
      <c r="CO1080" s="666" t="e">
        <v>#REF!</v>
      </c>
      <c r="CP1080" s="440" t="e">
        <v>#REF!</v>
      </c>
      <c r="CQ1080" s="377" t="e">
        <v>#REF!</v>
      </c>
      <c r="CR1080" s="377" t="e">
        <v>#REF!</v>
      </c>
      <c r="CS1080" s="377" t="e">
        <v>#REF!</v>
      </c>
      <c r="CT1080" s="666" t="e">
        <v>#REF!</v>
      </c>
      <c r="CU1080" s="377" t="e">
        <v>#REF!</v>
      </c>
      <c r="CV1080" s="377" t="e">
        <v>#REF!</v>
      </c>
      <c r="CW1080" s="377" t="e">
        <v>#REF!</v>
      </c>
      <c r="CX1080" s="377" t="e">
        <v>#REF!</v>
      </c>
      <c r="CY1080" s="666" t="e">
        <v>#REF!</v>
      </c>
      <c r="CZ1080" s="377" t="e">
        <v>#REF!</v>
      </c>
      <c r="DA1080" s="377" t="e">
        <v>#REF!</v>
      </c>
      <c r="DB1080" s="377" t="e">
        <v>#REF!</v>
      </c>
      <c r="DC1080" s="377" t="e">
        <v>#REF!</v>
      </c>
      <c r="DD1080" s="666" t="e">
        <v>#REF!</v>
      </c>
      <c r="DE1080" s="377" t="e">
        <v>#REF!</v>
      </c>
      <c r="DF1080" s="377" t="e">
        <v>#REF!</v>
      </c>
      <c r="DG1080" s="440" t="e">
        <v>#REF!</v>
      </c>
      <c r="DH1080" s="377" t="e">
        <v>#REF!</v>
      </c>
      <c r="DI1080" s="666" t="e">
        <v>#REF!</v>
      </c>
      <c r="DJ1080" s="440" t="e">
        <v>#REF!</v>
      </c>
      <c r="DK1080" s="440" t="e">
        <v>#REF!</v>
      </c>
      <c r="DL1080" s="440" t="e">
        <v>#REF!</v>
      </c>
      <c r="DM1080" s="377" t="e">
        <v>#REF!</v>
      </c>
      <c r="DN1080" s="666" t="e">
        <v>#REF!</v>
      </c>
      <c r="DO1080" s="377" t="e">
        <v>#REF!</v>
      </c>
      <c r="DP1080" s="377" t="e">
        <v>#REF!</v>
      </c>
      <c r="DQ1080" s="377" t="e">
        <v>#REF!</v>
      </c>
      <c r="DR1080" s="377" t="e">
        <v>#REF!</v>
      </c>
      <c r="DS1080" s="666" t="e">
        <v>#REF!</v>
      </c>
      <c r="DT1080" s="377" t="e">
        <v>#REF!</v>
      </c>
      <c r="DU1080" s="377" t="e">
        <v>#REF!</v>
      </c>
      <c r="DV1080" s="377" t="e">
        <v>#REF!</v>
      </c>
      <c r="DW1080" s="377" t="e">
        <v>#REF!</v>
      </c>
      <c r="DX1080" s="666" t="e">
        <v>#REF!</v>
      </c>
      <c r="DY1080" s="377" t="e">
        <v>#REF!</v>
      </c>
      <c r="DZ1080" s="377" t="e">
        <v>#REF!</v>
      </c>
      <c r="EA1080" s="377" t="e">
        <v>#REF!</v>
      </c>
      <c r="EB1080" s="377" t="e">
        <v>#REF!</v>
      </c>
      <c r="EC1080" s="666" t="e">
        <v>#REF!</v>
      </c>
      <c r="ED1080" s="377" t="e">
        <v>#REF!</v>
      </c>
      <c r="EE1080" s="377" t="e">
        <v>#REF!</v>
      </c>
      <c r="EF1080" s="377" t="e">
        <v>#REF!</v>
      </c>
      <c r="EG1080" s="377" t="e">
        <v>#REF!</v>
      </c>
      <c r="EH1080" s="666" t="e">
        <v>#REF!</v>
      </c>
      <c r="EI1080" s="442" t="e">
        <v>#REF!</v>
      </c>
      <c r="EJ1080" s="377" t="e">
        <v>#REF!</v>
      </c>
      <c r="EK1080" s="377" t="e">
        <v>#REF!</v>
      </c>
      <c r="EL1080" s="377" t="e">
        <v>#REF!</v>
      </c>
      <c r="EM1080" s="666" t="e">
        <v>#REF!</v>
      </c>
      <c r="EN1080" s="377" t="e">
        <v>#REF!</v>
      </c>
      <c r="EO1080" s="377" t="e">
        <v>#REF!</v>
      </c>
      <c r="EP1080" s="377" t="e">
        <v>#REF!</v>
      </c>
      <c r="EQ1080" s="377" t="e">
        <v>#REF!</v>
      </c>
      <c r="ER1080" s="666" t="e">
        <v>#REF!</v>
      </c>
      <c r="ES1080" s="377" t="e">
        <v>#REF!</v>
      </c>
      <c r="ET1080" s="377" t="e">
        <v>#REF!</v>
      </c>
      <c r="EU1080" s="377" t="e">
        <v>#REF!</v>
      </c>
      <c r="EV1080" s="377" t="e">
        <v>#REF!</v>
      </c>
      <c r="EW1080" s="666" t="e">
        <v>#REF!</v>
      </c>
      <c r="EX1080" s="377" t="e">
        <v>#REF!</v>
      </c>
      <c r="EY1080" s="377" t="e">
        <v>#REF!</v>
      </c>
      <c r="EZ1080" s="377" t="e">
        <v>#REF!</v>
      </c>
      <c r="FA1080" s="377" t="e">
        <v>#REF!</v>
      </c>
      <c r="FB1080" s="666" t="e">
        <v>#REF!</v>
      </c>
      <c r="FC1080" s="377" t="e">
        <v>#REF!</v>
      </c>
      <c r="FD1080" s="377" t="e">
        <v>#REF!</v>
      </c>
      <c r="FE1080" s="377" t="e">
        <v>#REF!</v>
      </c>
      <c r="FF1080" s="377" t="e">
        <v>#REF!</v>
      </c>
      <c r="FG1080" s="666" t="e">
        <v>#REF!</v>
      </c>
      <c r="FH1080" s="667"/>
      <c r="FI1080" s="377"/>
      <c r="FJ1080" s="377"/>
      <c r="FK1080" s="665"/>
      <c r="FL1080" s="377"/>
    </row>
    <row r="1081" ht="12.75" hidden="1" customHeight="1" outlineLevel="1">
      <c r="A1081" s="4"/>
      <c r="B1081" s="4"/>
      <c r="C1081" s="4"/>
      <c r="D1081" s="410"/>
      <c r="E1081" s="410"/>
      <c r="F1081" s="410"/>
      <c r="G1081" s="410"/>
      <c r="H1081" s="410"/>
      <c r="I1081" s="410"/>
      <c r="J1081" s="410"/>
      <c r="K1081" s="410"/>
      <c r="L1081" s="410"/>
      <c r="M1081" s="410"/>
      <c r="N1081" s="410"/>
      <c r="O1081" s="410"/>
      <c r="P1081" s="410"/>
      <c r="Q1081" s="410"/>
      <c r="R1081" s="410"/>
      <c r="S1081" s="410"/>
      <c r="T1081" s="410"/>
      <c r="U1081" s="410"/>
      <c r="V1081" s="410"/>
      <c r="W1081" s="410"/>
      <c r="X1081" s="410"/>
      <c r="Y1081" s="410"/>
      <c r="Z1081" s="410"/>
      <c r="AA1081" s="410"/>
      <c r="AB1081" s="410"/>
      <c r="AC1081" s="410"/>
      <c r="AD1081" s="410"/>
      <c r="AE1081" s="410"/>
      <c r="AF1081" s="410"/>
      <c r="AG1081" s="410"/>
      <c r="AH1081" s="410"/>
      <c r="AI1081" s="410"/>
      <c r="AJ1081" s="410"/>
      <c r="AK1081" s="410"/>
      <c r="AL1081" s="410"/>
      <c r="AM1081" s="410"/>
      <c r="AN1081" s="410"/>
      <c r="AO1081" s="410"/>
      <c r="AP1081" s="410"/>
      <c r="AQ1081" s="410"/>
      <c r="AR1081" s="410"/>
      <c r="AS1081" s="410"/>
      <c r="AT1081" s="410"/>
      <c r="AU1081" s="410"/>
      <c r="AV1081" s="410" t="str">
        <f t="shared" ref="AV1081:FG1081" si="5511">AV1078/AQ1078-1</f>
        <v>#ERROR!</v>
      </c>
      <c r="AW1081" s="410" t="str">
        <f t="shared" si="5511"/>
        <v>#ERROR!</v>
      </c>
      <c r="AX1081" s="410" t="str">
        <f t="shared" si="5511"/>
        <v>#ERROR!</v>
      </c>
      <c r="AY1081" s="410" t="str">
        <f t="shared" si="5511"/>
        <v>#ERROR!</v>
      </c>
      <c r="AZ1081" s="410" t="str">
        <f t="shared" si="5511"/>
        <v>#ERROR!</v>
      </c>
      <c r="BA1081" s="410" t="str">
        <f t="shared" si="5511"/>
        <v>#ERROR!</v>
      </c>
      <c r="BB1081" s="410" t="str">
        <f t="shared" si="5511"/>
        <v>#ERROR!</v>
      </c>
      <c r="BC1081" s="410" t="str">
        <f t="shared" si="5511"/>
        <v>#ERROR!</v>
      </c>
      <c r="BD1081" s="410" t="str">
        <f t="shared" si="5511"/>
        <v>#ERROR!</v>
      </c>
      <c r="BE1081" s="410" t="str">
        <f t="shared" si="5511"/>
        <v>#ERROR!</v>
      </c>
      <c r="BF1081" s="410" t="str">
        <f t="shared" si="5511"/>
        <v>#ERROR!</v>
      </c>
      <c r="BG1081" s="410" t="str">
        <f t="shared" si="5511"/>
        <v>#ERROR!</v>
      </c>
      <c r="BH1081" s="410" t="str">
        <f t="shared" si="5511"/>
        <v>#ERROR!</v>
      </c>
      <c r="BI1081" s="410" t="str">
        <f t="shared" si="5511"/>
        <v>#ERROR!</v>
      </c>
      <c r="BJ1081" s="410" t="str">
        <f t="shared" si="5511"/>
        <v>#ERROR!</v>
      </c>
      <c r="BK1081" s="410" t="str">
        <f t="shared" si="5511"/>
        <v>#ERROR!</v>
      </c>
      <c r="BL1081" s="410" t="str">
        <f t="shared" si="5511"/>
        <v>#ERROR!</v>
      </c>
      <c r="BM1081" s="410" t="str">
        <f t="shared" si="5511"/>
        <v>#ERROR!</v>
      </c>
      <c r="BN1081" s="410" t="str">
        <f t="shared" si="5511"/>
        <v>#ERROR!</v>
      </c>
      <c r="BO1081" s="410" t="str">
        <f t="shared" si="5511"/>
        <v>#ERROR!</v>
      </c>
      <c r="BP1081" s="410" t="str">
        <f t="shared" si="5511"/>
        <v>#ERROR!</v>
      </c>
      <c r="BQ1081" s="410" t="str">
        <f t="shared" si="5511"/>
        <v>#ERROR!</v>
      </c>
      <c r="BR1081" s="410" t="str">
        <f t="shared" si="5511"/>
        <v>#ERROR!</v>
      </c>
      <c r="BS1081" s="410" t="str">
        <f t="shared" si="5511"/>
        <v>#ERROR!</v>
      </c>
      <c r="BT1081" s="410" t="str">
        <f t="shared" si="5511"/>
        <v>#ERROR!</v>
      </c>
      <c r="BU1081" s="410" t="str">
        <f t="shared" si="5511"/>
        <v>#ERROR!</v>
      </c>
      <c r="BV1081" s="410" t="str">
        <f t="shared" si="5511"/>
        <v>#ERROR!</v>
      </c>
      <c r="BW1081" s="410" t="str">
        <f t="shared" si="5511"/>
        <v>#ERROR!</v>
      </c>
      <c r="BX1081" s="410" t="str">
        <f t="shared" si="5511"/>
        <v>#ERROR!</v>
      </c>
      <c r="BY1081" s="410" t="str">
        <f t="shared" si="5511"/>
        <v>#ERROR!</v>
      </c>
      <c r="BZ1081" s="24" t="str">
        <f t="shared" si="5511"/>
        <v>#ERROR!</v>
      </c>
      <c r="CA1081" s="410" t="str">
        <f t="shared" si="5511"/>
        <v>#ERROR!</v>
      </c>
      <c r="CB1081" s="410" t="str">
        <f t="shared" si="5511"/>
        <v>#ERROR!</v>
      </c>
      <c r="CC1081" s="410" t="str">
        <f t="shared" si="5511"/>
        <v>#ERROR!</v>
      </c>
      <c r="CD1081" s="410" t="str">
        <f t="shared" si="5511"/>
        <v>#ERROR!</v>
      </c>
      <c r="CE1081" s="24" t="str">
        <f t="shared" si="5511"/>
        <v>#ERROR!</v>
      </c>
      <c r="CF1081" s="410" t="str">
        <f t="shared" si="5511"/>
        <v>#ERROR!</v>
      </c>
      <c r="CG1081" s="410" t="str">
        <f t="shared" si="5511"/>
        <v>#ERROR!</v>
      </c>
      <c r="CH1081" s="410" t="str">
        <f t="shared" si="5511"/>
        <v>#ERROR!</v>
      </c>
      <c r="CI1081" s="410" t="str">
        <f t="shared" si="5511"/>
        <v>#ERROR!</v>
      </c>
      <c r="CJ1081" s="24" t="str">
        <f t="shared" si="5511"/>
        <v>#ERROR!</v>
      </c>
      <c r="CK1081" s="410" t="str">
        <f t="shared" si="5511"/>
        <v>#ERROR!</v>
      </c>
      <c r="CL1081" s="410" t="str">
        <f t="shared" si="5511"/>
        <v>#ERROR!</v>
      </c>
      <c r="CM1081" s="410" t="str">
        <f t="shared" si="5511"/>
        <v>#ERROR!</v>
      </c>
      <c r="CN1081" s="104" t="str">
        <f t="shared" si="5511"/>
        <v>#ERROR!</v>
      </c>
      <c r="CO1081" s="24" t="str">
        <f t="shared" si="5511"/>
        <v>#ERROR!</v>
      </c>
      <c r="CP1081" s="104" t="str">
        <f t="shared" si="5511"/>
        <v>#ERROR!</v>
      </c>
      <c r="CQ1081" s="410" t="str">
        <f t="shared" si="5511"/>
        <v>#ERROR!</v>
      </c>
      <c r="CR1081" s="410" t="str">
        <f t="shared" si="5511"/>
        <v>#ERROR!</v>
      </c>
      <c r="CS1081" s="410" t="str">
        <f t="shared" si="5511"/>
        <v>#ERROR!</v>
      </c>
      <c r="CT1081" s="24" t="str">
        <f t="shared" si="5511"/>
        <v>#ERROR!</v>
      </c>
      <c r="CU1081" s="410" t="str">
        <f t="shared" si="5511"/>
        <v>#ERROR!</v>
      </c>
      <c r="CV1081" s="410" t="str">
        <f t="shared" si="5511"/>
        <v>#ERROR!</v>
      </c>
      <c r="CW1081" s="410" t="str">
        <f t="shared" si="5511"/>
        <v>#ERROR!</v>
      </c>
      <c r="CX1081" s="410" t="str">
        <f t="shared" si="5511"/>
        <v>#ERROR!</v>
      </c>
      <c r="CY1081" s="24" t="str">
        <f t="shared" si="5511"/>
        <v>#ERROR!</v>
      </c>
      <c r="CZ1081" s="410" t="str">
        <f t="shared" si="5511"/>
        <v>#ERROR!</v>
      </c>
      <c r="DA1081" s="410" t="str">
        <f t="shared" si="5511"/>
        <v>#ERROR!</v>
      </c>
      <c r="DB1081" s="410" t="str">
        <f t="shared" si="5511"/>
        <v>#ERROR!</v>
      </c>
      <c r="DC1081" s="410" t="str">
        <f t="shared" si="5511"/>
        <v>#ERROR!</v>
      </c>
      <c r="DD1081" s="24" t="str">
        <f t="shared" si="5511"/>
        <v>#ERROR!</v>
      </c>
      <c r="DE1081" s="410" t="str">
        <f t="shared" si="5511"/>
        <v>#ERROR!</v>
      </c>
      <c r="DF1081" s="410" t="str">
        <f t="shared" si="5511"/>
        <v>#ERROR!</v>
      </c>
      <c r="DG1081" s="104" t="str">
        <f t="shared" si="5511"/>
        <v>#ERROR!</v>
      </c>
      <c r="DH1081" s="410" t="str">
        <f t="shared" si="5511"/>
        <v>#ERROR!</v>
      </c>
      <c r="DI1081" s="24" t="str">
        <f t="shared" si="5511"/>
        <v>#ERROR!</v>
      </c>
      <c r="DJ1081" s="104" t="str">
        <f t="shared" si="5511"/>
        <v>#ERROR!</v>
      </c>
      <c r="DK1081" s="104" t="str">
        <f t="shared" si="5511"/>
        <v>#ERROR!</v>
      </c>
      <c r="DL1081" s="104" t="str">
        <f t="shared" si="5511"/>
        <v>#ERROR!</v>
      </c>
      <c r="DM1081" s="410" t="str">
        <f t="shared" si="5511"/>
        <v>#ERROR!</v>
      </c>
      <c r="DN1081" s="24" t="str">
        <f t="shared" si="5511"/>
        <v>#ERROR!</v>
      </c>
      <c r="DO1081" s="410" t="str">
        <f t="shared" si="5511"/>
        <v>#ERROR!</v>
      </c>
      <c r="DP1081" s="410" t="str">
        <f t="shared" si="5511"/>
        <v>#ERROR!</v>
      </c>
      <c r="DQ1081" s="410" t="str">
        <f t="shared" si="5511"/>
        <v>#ERROR!</v>
      </c>
      <c r="DR1081" s="410" t="str">
        <f t="shared" si="5511"/>
        <v>#ERROR!</v>
      </c>
      <c r="DS1081" s="24" t="str">
        <f t="shared" si="5511"/>
        <v>#ERROR!</v>
      </c>
      <c r="DT1081" s="410" t="str">
        <f t="shared" si="5511"/>
        <v>#ERROR!</v>
      </c>
      <c r="DU1081" s="410" t="str">
        <f t="shared" si="5511"/>
        <v>#ERROR!</v>
      </c>
      <c r="DV1081" s="410" t="str">
        <f t="shared" si="5511"/>
        <v>#ERROR!</v>
      </c>
      <c r="DW1081" s="410" t="str">
        <f t="shared" si="5511"/>
        <v>#ERROR!</v>
      </c>
      <c r="DX1081" s="24" t="str">
        <f t="shared" si="5511"/>
        <v>#ERROR!</v>
      </c>
      <c r="DY1081" s="410" t="str">
        <f t="shared" si="5511"/>
        <v>#ERROR!</v>
      </c>
      <c r="DZ1081" s="410" t="str">
        <f t="shared" si="5511"/>
        <v>#ERROR!</v>
      </c>
      <c r="EA1081" s="410" t="str">
        <f t="shared" si="5511"/>
        <v>#ERROR!</v>
      </c>
      <c r="EB1081" s="410" t="str">
        <f t="shared" si="5511"/>
        <v>#ERROR!</v>
      </c>
      <c r="EC1081" s="24" t="str">
        <f t="shared" si="5511"/>
        <v>#ERROR!</v>
      </c>
      <c r="ED1081" s="410" t="str">
        <f t="shared" si="5511"/>
        <v>#ERROR!</v>
      </c>
      <c r="EE1081" s="410" t="str">
        <f t="shared" si="5511"/>
        <v>#ERROR!</v>
      </c>
      <c r="EF1081" s="410" t="str">
        <f t="shared" si="5511"/>
        <v>#ERROR!</v>
      </c>
      <c r="EG1081" s="410" t="str">
        <f t="shared" si="5511"/>
        <v>#ERROR!</v>
      </c>
      <c r="EH1081" s="24" t="str">
        <f t="shared" si="5511"/>
        <v>#ERROR!</v>
      </c>
      <c r="EI1081" s="317" t="str">
        <f t="shared" si="5511"/>
        <v>#ERROR!</v>
      </c>
      <c r="EJ1081" s="410" t="str">
        <f t="shared" si="5511"/>
        <v>#ERROR!</v>
      </c>
      <c r="EK1081" s="410" t="str">
        <f t="shared" si="5511"/>
        <v>#ERROR!</v>
      </c>
      <c r="EL1081" s="410" t="str">
        <f t="shared" si="5511"/>
        <v>#ERROR!</v>
      </c>
      <c r="EM1081" s="24" t="str">
        <f t="shared" si="5511"/>
        <v>#ERROR!</v>
      </c>
      <c r="EN1081" s="410" t="str">
        <f t="shared" si="5511"/>
        <v>#ERROR!</v>
      </c>
      <c r="EO1081" s="410" t="str">
        <f t="shared" si="5511"/>
        <v>#ERROR!</v>
      </c>
      <c r="EP1081" s="410" t="str">
        <f t="shared" si="5511"/>
        <v>#ERROR!</v>
      </c>
      <c r="EQ1081" s="410" t="str">
        <f t="shared" si="5511"/>
        <v>#ERROR!</v>
      </c>
      <c r="ER1081" s="24" t="str">
        <f t="shared" si="5511"/>
        <v>#ERROR!</v>
      </c>
      <c r="ES1081" s="410" t="str">
        <f t="shared" si="5511"/>
        <v>#ERROR!</v>
      </c>
      <c r="ET1081" s="410" t="str">
        <f t="shared" si="5511"/>
        <v>#ERROR!</v>
      </c>
      <c r="EU1081" s="410" t="str">
        <f t="shared" si="5511"/>
        <v>#ERROR!</v>
      </c>
      <c r="EV1081" s="410" t="str">
        <f t="shared" si="5511"/>
        <v>#ERROR!</v>
      </c>
      <c r="EW1081" s="24" t="str">
        <f t="shared" si="5511"/>
        <v>#ERROR!</v>
      </c>
      <c r="EX1081" s="410" t="str">
        <f t="shared" si="5511"/>
        <v>#ERROR!</v>
      </c>
      <c r="EY1081" s="410" t="str">
        <f t="shared" si="5511"/>
        <v>#ERROR!</v>
      </c>
      <c r="EZ1081" s="410" t="str">
        <f t="shared" si="5511"/>
        <v>#ERROR!</v>
      </c>
      <c r="FA1081" s="410" t="str">
        <f t="shared" si="5511"/>
        <v>#ERROR!</v>
      </c>
      <c r="FB1081" s="24" t="str">
        <f t="shared" si="5511"/>
        <v>#ERROR!</v>
      </c>
      <c r="FC1081" s="410" t="str">
        <f t="shared" si="5511"/>
        <v>#ERROR!</v>
      </c>
      <c r="FD1081" s="410" t="str">
        <f t="shared" si="5511"/>
        <v>#ERROR!</v>
      </c>
      <c r="FE1081" s="410" t="str">
        <f t="shared" si="5511"/>
        <v>#ERROR!</v>
      </c>
      <c r="FF1081" s="410" t="str">
        <f t="shared" si="5511"/>
        <v>#ERROR!</v>
      </c>
      <c r="FG1081" s="24" t="str">
        <f t="shared" si="5511"/>
        <v>#ERROR!</v>
      </c>
      <c r="FH1081" s="104"/>
      <c r="FI1081" s="410"/>
      <c r="FJ1081" s="410"/>
      <c r="FK1081" s="410"/>
      <c r="FL1081" s="410"/>
    </row>
    <row r="1082" ht="12.75" hidden="1" customHeight="1" outlineLevel="1">
      <c r="A1082" s="4"/>
      <c r="B1082" s="299" t="s">
        <v>390</v>
      </c>
      <c r="C1082" s="90"/>
      <c r="D1082" s="728"/>
      <c r="E1082" s="728"/>
      <c r="F1082" s="728"/>
      <c r="G1082" s="728"/>
      <c r="H1082" s="729"/>
      <c r="I1082" s="728"/>
      <c r="J1082" s="728"/>
      <c r="K1082" s="728"/>
      <c r="L1082" s="728"/>
      <c r="M1082" s="729"/>
      <c r="N1082" s="728"/>
      <c r="O1082" s="728"/>
      <c r="P1082" s="728"/>
      <c r="Q1082" s="728"/>
      <c r="R1082" s="729"/>
      <c r="S1082" s="728"/>
      <c r="T1082" s="728"/>
      <c r="U1082" s="728"/>
      <c r="V1082" s="728"/>
      <c r="W1082" s="729"/>
      <c r="X1082" s="728"/>
      <c r="Y1082" s="728"/>
      <c r="Z1082" s="728"/>
      <c r="AA1082" s="728"/>
      <c r="AB1082" s="729"/>
      <c r="AC1082" s="728"/>
      <c r="AD1082" s="728"/>
      <c r="AE1082" s="728"/>
      <c r="AF1082" s="728"/>
      <c r="AG1082" s="729"/>
      <c r="AH1082" s="728"/>
      <c r="AI1082" s="728"/>
      <c r="AJ1082" s="728"/>
      <c r="AK1082" s="728"/>
      <c r="AL1082" s="729"/>
      <c r="AM1082" s="728"/>
      <c r="AN1082" s="728"/>
      <c r="AO1082" s="728"/>
      <c r="AP1082" s="728"/>
      <c r="AQ1082" s="729"/>
      <c r="AR1082" s="728"/>
      <c r="AS1082" s="728"/>
      <c r="AT1082" s="728"/>
      <c r="AU1082" s="728"/>
      <c r="AV1082" s="729"/>
      <c r="AW1082" s="728"/>
      <c r="AX1082" s="728"/>
      <c r="AY1082" s="728"/>
      <c r="AZ1082" s="728"/>
      <c r="BA1082" s="729"/>
      <c r="BB1082" s="728"/>
      <c r="BC1082" s="728"/>
      <c r="BD1082" s="728"/>
      <c r="BE1082" s="728"/>
      <c r="BF1082" s="729"/>
      <c r="BG1082" s="728"/>
      <c r="BH1082" s="728"/>
      <c r="BI1082" s="728"/>
      <c r="BJ1082" s="728"/>
      <c r="BK1082" s="729"/>
      <c r="BL1082" s="728"/>
      <c r="BM1082" s="728"/>
      <c r="BN1082" s="728"/>
      <c r="BO1082" s="728"/>
      <c r="BP1082" s="729"/>
      <c r="BQ1082" s="728"/>
      <c r="BR1082" s="728"/>
      <c r="BS1082" s="728"/>
      <c r="BT1082" s="728"/>
      <c r="BU1082" s="729"/>
      <c r="BV1082" s="728"/>
      <c r="BW1082" s="728"/>
      <c r="BX1082" s="728"/>
      <c r="BY1082" s="728"/>
      <c r="BZ1082" s="730"/>
      <c r="CA1082" s="728"/>
      <c r="CB1082" s="728"/>
      <c r="CC1082" s="728"/>
      <c r="CD1082" s="728"/>
      <c r="CE1082" s="730"/>
      <c r="CF1082" s="728"/>
      <c r="CG1082" s="728"/>
      <c r="CH1082" s="728"/>
      <c r="CI1082" s="728"/>
      <c r="CJ1082" s="730"/>
      <c r="CK1082" s="728"/>
      <c r="CL1082" s="728"/>
      <c r="CM1082" s="728"/>
      <c r="CN1082" s="731"/>
      <c r="CO1082" s="730"/>
      <c r="CP1082" s="731"/>
      <c r="CQ1082" s="728"/>
      <c r="CR1082" s="728"/>
      <c r="CS1082" s="728"/>
      <c r="CT1082" s="730"/>
      <c r="CU1082" s="728"/>
      <c r="CV1082" s="728"/>
      <c r="CW1082" s="728"/>
      <c r="CX1082" s="728"/>
      <c r="CY1082" s="730"/>
      <c r="CZ1082" s="728"/>
      <c r="DA1082" s="728"/>
      <c r="DB1082" s="728"/>
      <c r="DC1082" s="728"/>
      <c r="DD1082" s="730"/>
      <c r="DE1082" s="728"/>
      <c r="DF1082" s="728"/>
      <c r="DG1082" s="732"/>
      <c r="DH1082" s="728"/>
      <c r="DI1082" s="730"/>
      <c r="DJ1082" s="731"/>
      <c r="DK1082" s="731"/>
      <c r="DL1082" s="731"/>
      <c r="DM1082" s="728"/>
      <c r="DN1082" s="730"/>
      <c r="DO1082" s="728"/>
      <c r="DP1082" s="728"/>
      <c r="DQ1082" s="728"/>
      <c r="DR1082" s="728"/>
      <c r="DS1082" s="730"/>
      <c r="DT1082" s="728"/>
      <c r="DU1082" s="728"/>
      <c r="DV1082" s="728"/>
      <c r="DW1082" s="728"/>
      <c r="DX1082" s="730"/>
      <c r="DY1082" s="728"/>
      <c r="DZ1082" s="728"/>
      <c r="EA1082" s="728"/>
      <c r="EB1082" s="728"/>
      <c r="EC1082" s="730"/>
      <c r="ED1082" s="728"/>
      <c r="EE1082" s="728"/>
      <c r="EF1082" s="728"/>
      <c r="EG1082" s="728"/>
      <c r="EH1082" s="730"/>
      <c r="EI1082" s="733"/>
      <c r="EJ1082" s="728"/>
      <c r="EK1082" s="728"/>
      <c r="EL1082" s="728"/>
      <c r="EM1082" s="730"/>
      <c r="EN1082" s="728"/>
      <c r="EO1082" s="728"/>
      <c r="EP1082" s="728"/>
      <c r="EQ1082" s="728"/>
      <c r="ER1082" s="730"/>
      <c r="ES1082" s="728"/>
      <c r="ET1082" s="728"/>
      <c r="EU1082" s="728"/>
      <c r="EV1082" s="728"/>
      <c r="EW1082" s="730"/>
      <c r="EX1082" s="728"/>
      <c r="EY1082" s="728"/>
      <c r="EZ1082" s="728"/>
      <c r="FA1082" s="728"/>
      <c r="FB1082" s="730"/>
      <c r="FC1082" s="728"/>
      <c r="FD1082" s="728"/>
      <c r="FE1082" s="728"/>
      <c r="FF1082" s="728"/>
      <c r="FG1082" s="730"/>
      <c r="FH1082" s="734"/>
      <c r="FI1082" s="728"/>
      <c r="FJ1082" s="728"/>
      <c r="FK1082" s="729"/>
      <c r="FL1082" s="728"/>
    </row>
    <row r="1083" ht="12.75" hidden="1" customHeight="1" outlineLevel="1">
      <c r="A1083" s="4"/>
      <c r="B1083" s="4" t="s">
        <v>391</v>
      </c>
      <c r="C1083" s="4"/>
      <c r="D1083" s="17"/>
      <c r="E1083" s="17"/>
      <c r="F1083" s="17"/>
      <c r="G1083" s="17"/>
      <c r="H1083" s="73"/>
      <c r="I1083" s="17" t="str">
        <f>desktopUnitsTotal</f>
        <v>#ERROR!</v>
      </c>
      <c r="J1083" s="17" t="str">
        <f>desktopUnitsTotal</f>
        <v>#ERROR!</v>
      </c>
      <c r="K1083" s="17" t="str">
        <f>desktopUnitsTotal</f>
        <v>#ERROR!</v>
      </c>
      <c r="L1083" s="17" t="str">
        <f>desktopUnitsTotal</f>
        <v>#ERROR!</v>
      </c>
      <c r="M1083" s="73" t="str">
        <f>desktopUnitsTotal</f>
        <v>#ERROR!</v>
      </c>
      <c r="N1083" s="17" t="str">
        <f>desktopUnitsTotal</f>
        <v>#ERROR!</v>
      </c>
      <c r="O1083" s="17" t="str">
        <f>desktopUnitsTotal</f>
        <v>#ERROR!</v>
      </c>
      <c r="P1083" s="17" t="str">
        <f>desktopUnitsTotal</f>
        <v>#ERROR!</v>
      </c>
      <c r="Q1083" s="17" t="str">
        <f>desktopUnitsTotal</f>
        <v>#ERROR!</v>
      </c>
      <c r="R1083" s="73" t="str">
        <f>desktopUnitsTotal</f>
        <v>#ERROR!</v>
      </c>
      <c r="S1083" s="17" t="str">
        <f>desktopUnitsTotal</f>
        <v>#ERROR!</v>
      </c>
      <c r="T1083" s="17" t="str">
        <f>desktopUnitsTotal</f>
        <v>#ERROR!</v>
      </c>
      <c r="U1083" s="17" t="str">
        <f>desktopUnitsTotal</f>
        <v>#ERROR!</v>
      </c>
      <c r="V1083" s="17" t="str">
        <f>desktopUnitsTotal</f>
        <v>#ERROR!</v>
      </c>
      <c r="W1083" s="73" t="str">
        <f>desktopUnitsTotal</f>
        <v>#ERROR!</v>
      </c>
      <c r="X1083" s="17" t="str">
        <f>desktopUnitsTotal</f>
        <v>#ERROR!</v>
      </c>
      <c r="Y1083" s="17" t="str">
        <f>desktopUnitsTotal</f>
        <v>#ERROR!</v>
      </c>
      <c r="Z1083" s="17" t="str">
        <f>desktopUnitsTotal</f>
        <v>#ERROR!</v>
      </c>
      <c r="AA1083" s="17" t="str">
        <f>desktopUnitsTotal</f>
        <v>#ERROR!</v>
      </c>
      <c r="AB1083" s="73" t="str">
        <f>desktopUnitsTotal</f>
        <v>#ERROR!</v>
      </c>
      <c r="AC1083" s="17" t="str">
        <f>desktopUnitsTotal</f>
        <v>#ERROR!</v>
      </c>
      <c r="AD1083" s="17" t="str">
        <f>desktopUnitsTotal</f>
        <v>#ERROR!</v>
      </c>
      <c r="AE1083" s="17" t="str">
        <f>desktopUnitsTotal</f>
        <v>#ERROR!</v>
      </c>
      <c r="AF1083" s="17" t="str">
        <f>desktopUnitsTotal</f>
        <v>#ERROR!</v>
      </c>
      <c r="AG1083" s="73" t="str">
        <f>desktopUnitsTotal</f>
        <v>#ERROR!</v>
      </c>
      <c r="AH1083" s="17" t="str">
        <f>desktopUnitsTotal</f>
        <v>#ERROR!</v>
      </c>
      <c r="AI1083" s="17" t="str">
        <f>desktopUnitsTotal</f>
        <v>#ERROR!</v>
      </c>
      <c r="AJ1083" s="17" t="str">
        <f>desktopUnitsTotal</f>
        <v>#ERROR!</v>
      </c>
      <c r="AK1083" s="17" t="str">
        <f>desktopUnitsTotal</f>
        <v>#ERROR!</v>
      </c>
      <c r="AL1083" s="73" t="str">
        <f>desktopUnitsTotal</f>
        <v>#ERROR!</v>
      </c>
      <c r="AM1083" s="17" t="str">
        <f>desktopUnitsTotal</f>
        <v>#ERROR!</v>
      </c>
      <c r="AN1083" s="17" t="str">
        <f>desktopUnitsTotal</f>
        <v>#ERROR!</v>
      </c>
      <c r="AO1083" s="17" t="str">
        <f>desktopUnitsTotal</f>
        <v>#ERROR!</v>
      </c>
      <c r="AP1083" s="17" t="str">
        <f>desktopUnitsTotal</f>
        <v>#ERROR!</v>
      </c>
      <c r="AQ1083" s="73" t="str">
        <f>desktopUnitsTotal</f>
        <v>#ERROR!</v>
      </c>
      <c r="AR1083" s="17" t="str">
        <f>desktopUnitsTotal</f>
        <v>#ERROR!</v>
      </c>
      <c r="AS1083" s="17" t="str">
        <f>desktopUnitsTotal</f>
        <v>#ERROR!</v>
      </c>
      <c r="AT1083" s="17" t="str">
        <f>desktopUnitsTotal</f>
        <v>#ERROR!</v>
      </c>
      <c r="AU1083" s="17" t="str">
        <f>desktopUnitsTotal</f>
        <v>#ERROR!</v>
      </c>
      <c r="AV1083" s="73" t="str">
        <f>desktopUnitsTotal</f>
        <v>#ERROR!</v>
      </c>
      <c r="AW1083" s="17" t="str">
        <f>desktopUnitsTotal</f>
        <v>#ERROR!</v>
      </c>
      <c r="AX1083" s="17" t="str">
        <f>desktopUnitsTotal</f>
        <v>#ERROR!</v>
      </c>
      <c r="AY1083" s="17" t="str">
        <f>desktopUnitsTotal</f>
        <v>#ERROR!</v>
      </c>
      <c r="AZ1083" s="17" t="str">
        <f>desktopUnitsTotal</f>
        <v>#ERROR!</v>
      </c>
      <c r="BA1083" s="73" t="str">
        <f>desktopUnitsTotal</f>
        <v>#ERROR!</v>
      </c>
      <c r="BB1083" s="17" t="str">
        <f>desktopUnitsTotal</f>
        <v>#ERROR!</v>
      </c>
      <c r="BC1083" s="17" t="str">
        <f>desktopUnitsTotal</f>
        <v>#ERROR!</v>
      </c>
      <c r="BD1083" s="17" t="str">
        <f>desktopUnitsTotal</f>
        <v>#ERROR!</v>
      </c>
      <c r="BE1083" s="17" t="str">
        <f>desktopUnitsTotal</f>
        <v>#ERROR!</v>
      </c>
      <c r="BF1083" s="73" t="str">
        <f>desktopUnitsTotal</f>
        <v>#ERROR!</v>
      </c>
      <c r="BG1083" s="17" t="str">
        <f>desktopUnitsTotal</f>
        <v>#ERROR!</v>
      </c>
      <c r="BH1083" s="17" t="str">
        <f>desktopUnitsTotal</f>
        <v>#ERROR!</v>
      </c>
      <c r="BI1083" s="17" t="str">
        <f>desktopUnitsTotal</f>
        <v>#ERROR!</v>
      </c>
      <c r="BJ1083" s="17" t="str">
        <f>desktopUnitsTotal</f>
        <v>#ERROR!</v>
      </c>
      <c r="BK1083" s="73" t="str">
        <f>desktopUnitsTotal</f>
        <v>#ERROR!</v>
      </c>
      <c r="BL1083" s="17" t="str">
        <f>desktopUnitsTotal</f>
        <v>#ERROR!</v>
      </c>
      <c r="BM1083" s="17" t="str">
        <f>desktopUnitsTotal</f>
        <v>#ERROR!</v>
      </c>
      <c r="BN1083" s="17" t="str">
        <f>desktopUnitsTotal</f>
        <v>#ERROR!</v>
      </c>
      <c r="BO1083" s="17" t="str">
        <f>desktopUnitsTotal</f>
        <v>#ERROR!</v>
      </c>
      <c r="BP1083" s="73" t="str">
        <f>desktopUnitsTotal</f>
        <v>#ERROR!</v>
      </c>
      <c r="BQ1083" s="17" t="str">
        <f>desktopUnitsTotal</f>
        <v>#ERROR!</v>
      </c>
      <c r="BR1083" s="17" t="str">
        <f>desktopUnitsTotal</f>
        <v>#ERROR!</v>
      </c>
      <c r="BS1083" s="17" t="str">
        <f>desktopUnitsTotal</f>
        <v>#ERROR!</v>
      </c>
      <c r="BT1083" s="17" t="str">
        <f>desktopUnitsTotal</f>
        <v>#ERROR!</v>
      </c>
      <c r="BU1083" s="73" t="str">
        <f>desktopUnitsTotal</f>
        <v>#ERROR!</v>
      </c>
      <c r="BV1083" s="17" t="str">
        <f>desktopUnitsTotal</f>
        <v>#ERROR!</v>
      </c>
      <c r="BW1083" s="17" t="str">
        <f>desktopUnitsTotal</f>
        <v>#ERROR!</v>
      </c>
      <c r="BX1083" s="17" t="str">
        <f>desktopUnitsTotal</f>
        <v>#ERROR!</v>
      </c>
      <c r="BY1083" s="17" t="str">
        <f>desktopUnitsTotal</f>
        <v>#ERROR!</v>
      </c>
      <c r="BZ1083" s="18" t="str">
        <f>desktopUnitsTotal</f>
        <v>#ERROR!</v>
      </c>
      <c r="CA1083" s="17" t="str">
        <f>desktopUnitsTotal</f>
        <v>#ERROR!</v>
      </c>
      <c r="CB1083" s="17" t="str">
        <f>desktopUnitsTotal</f>
        <v>#ERROR!</v>
      </c>
      <c r="CC1083" s="17" t="str">
        <f>desktopUnitsTotal</f>
        <v>#ERROR!</v>
      </c>
      <c r="CD1083" s="17" t="str">
        <f>desktopUnitsTotal</f>
        <v>#ERROR!</v>
      </c>
      <c r="CE1083" s="18" t="str">
        <f>desktopUnitsTotal</f>
        <v>#ERROR!</v>
      </c>
      <c r="CF1083" s="17" t="str">
        <f>desktopUnitsTotal</f>
        <v>#ERROR!</v>
      </c>
      <c r="CG1083" s="17" t="str">
        <f>desktopUnitsTotal</f>
        <v>#ERROR!</v>
      </c>
      <c r="CH1083" s="17" t="str">
        <f>desktopUnitsTotal</f>
        <v>#ERROR!</v>
      </c>
      <c r="CI1083" s="17" t="str">
        <f>desktopUnitsTotal</f>
        <v>#ERROR!</v>
      </c>
      <c r="CJ1083" s="18" t="str">
        <f>desktopUnitsTotal</f>
        <v>#ERROR!</v>
      </c>
      <c r="CK1083" s="17" t="str">
        <f>desktopUnitsTotal</f>
        <v>#ERROR!</v>
      </c>
      <c r="CL1083" s="17" t="str">
        <f>desktopUnitsTotal</f>
        <v>#ERROR!</v>
      </c>
      <c r="CM1083" s="17" t="str">
        <f>desktopUnitsTotal</f>
        <v>#ERROR!</v>
      </c>
      <c r="CN1083" s="19" t="str">
        <f>desktopUnitsTotal</f>
        <v>#ERROR!</v>
      </c>
      <c r="CO1083" s="18" t="str">
        <f>desktopUnitsTotal</f>
        <v>#ERROR!</v>
      </c>
      <c r="CP1083" s="19" t="str">
        <f>desktopUnitsTotal</f>
        <v>#ERROR!</v>
      </c>
      <c r="CQ1083" s="17" t="str">
        <f>desktopUnitsTotal</f>
        <v>#ERROR!</v>
      </c>
      <c r="CR1083" s="17" t="str">
        <f>desktopUnitsTotal</f>
        <v>#ERROR!</v>
      </c>
      <c r="CS1083" s="17" t="str">
        <f>desktopUnitsTotal</f>
        <v>#ERROR!</v>
      </c>
      <c r="CT1083" s="18" t="str">
        <f>desktopUnitsTotal</f>
        <v>#ERROR!</v>
      </c>
      <c r="CU1083" s="17" t="str">
        <f>desktopUnitsTotal</f>
        <v>#ERROR!</v>
      </c>
      <c r="CV1083" s="17" t="str">
        <f>desktopUnitsTotal</f>
        <v>#ERROR!</v>
      </c>
      <c r="CW1083" s="17" t="str">
        <f>desktopUnitsTotal</f>
        <v>#ERROR!</v>
      </c>
      <c r="CX1083" s="17" t="str">
        <f>desktopUnitsTotal</f>
        <v>#ERROR!</v>
      </c>
      <c r="CY1083" s="18" t="str">
        <f>desktopUnitsTotal</f>
        <v>#ERROR!</v>
      </c>
      <c r="CZ1083" s="17" t="str">
        <f>desktopUnitsTotal</f>
        <v>#ERROR!</v>
      </c>
      <c r="DA1083" s="17" t="str">
        <f>desktopUnitsTotal</f>
        <v>#ERROR!</v>
      </c>
      <c r="DB1083" s="17" t="str">
        <f>desktopUnitsTotal</f>
        <v>#ERROR!</v>
      </c>
      <c r="DC1083" s="17" t="str">
        <f>desktopUnitsTotal</f>
        <v>#ERROR!</v>
      </c>
      <c r="DD1083" s="18" t="str">
        <f>desktopUnitsTotal</f>
        <v>#ERROR!</v>
      </c>
      <c r="DE1083" s="17" t="str">
        <f>desktopUnitsTotal</f>
        <v>#ERROR!</v>
      </c>
      <c r="DF1083" s="17" t="str">
        <f>desktopUnitsTotal</f>
        <v>#ERROR!</v>
      </c>
      <c r="DG1083" s="19" t="str">
        <f>desktopUnitsTotal</f>
        <v>#ERROR!</v>
      </c>
      <c r="DH1083" s="17" t="str">
        <f>desktopUnitsTotal</f>
        <v>#ERROR!</v>
      </c>
      <c r="DI1083" s="18" t="str">
        <f>desktopUnitsTotal</f>
        <v>#ERROR!</v>
      </c>
      <c r="DJ1083" s="19" t="str">
        <f>desktopUnitsTotal</f>
        <v>#ERROR!</v>
      </c>
      <c r="DK1083" s="19" t="str">
        <f>desktopUnitsTotal</f>
        <v>#ERROR!</v>
      </c>
      <c r="DL1083" s="19" t="str">
        <f>desktopUnitsTotal</f>
        <v>#ERROR!</v>
      </c>
      <c r="DM1083" s="17" t="str">
        <f>desktopUnitsTotal</f>
        <v>#ERROR!</v>
      </c>
      <c r="DN1083" s="18" t="str">
        <f>desktopUnitsTotal</f>
        <v>#ERROR!</v>
      </c>
      <c r="DO1083" s="17" t="str">
        <f>desktopUnitsTotal</f>
        <v>#ERROR!</v>
      </c>
      <c r="DP1083" s="17" t="str">
        <f>desktopUnitsTotal</f>
        <v>#ERROR!</v>
      </c>
      <c r="DQ1083" s="17" t="str">
        <f>desktopUnitsTotal</f>
        <v>#ERROR!</v>
      </c>
      <c r="DR1083" s="17" t="str">
        <f>desktopUnitsTotal</f>
        <v>#ERROR!</v>
      </c>
      <c r="DS1083" s="18" t="str">
        <f>desktopUnitsTotal</f>
        <v>#ERROR!</v>
      </c>
      <c r="DT1083" s="17" t="str">
        <f>desktopUnitsTotal</f>
        <v>#ERROR!</v>
      </c>
      <c r="DU1083" s="17" t="str">
        <f>desktopUnitsTotal</f>
        <v>#ERROR!</v>
      </c>
      <c r="DV1083" s="17" t="str">
        <f>desktopUnitsTotal</f>
        <v>#ERROR!</v>
      </c>
      <c r="DW1083" s="17" t="str">
        <f>desktopUnitsTotal</f>
        <v>#ERROR!</v>
      </c>
      <c r="DX1083" s="18" t="str">
        <f>desktopUnitsTotal</f>
        <v>#ERROR!</v>
      </c>
      <c r="DY1083" s="17" t="str">
        <f>desktopUnitsTotal</f>
        <v>#ERROR!</v>
      </c>
      <c r="DZ1083" s="17" t="str">
        <f>desktopUnitsTotal</f>
        <v>#ERROR!</v>
      </c>
      <c r="EA1083" s="17" t="str">
        <f>desktopUnitsTotal</f>
        <v>#ERROR!</v>
      </c>
      <c r="EB1083" s="17" t="str">
        <f>desktopUnitsTotal</f>
        <v>#ERROR!</v>
      </c>
      <c r="EC1083" s="18" t="str">
        <f>desktopUnitsTotal</f>
        <v>#ERROR!</v>
      </c>
      <c r="ED1083" s="17" t="str">
        <f>desktopUnitsTotal</f>
        <v>#ERROR!</v>
      </c>
      <c r="EE1083" s="17" t="str">
        <f>desktopUnitsTotal</f>
        <v>#ERROR!</v>
      </c>
      <c r="EF1083" s="17" t="str">
        <f>desktopUnitsTotal</f>
        <v>#ERROR!</v>
      </c>
      <c r="EG1083" s="17" t="str">
        <f>desktopUnitsTotal</f>
        <v>#ERROR!</v>
      </c>
      <c r="EH1083" s="18" t="str">
        <f>desktopUnitsTotal</f>
        <v>#ERROR!</v>
      </c>
      <c r="EI1083" s="25" t="str">
        <f>desktopUnitsTotal</f>
        <v>#ERROR!</v>
      </c>
      <c r="EJ1083" s="17" t="str">
        <f>desktopUnitsTotal</f>
        <v>#ERROR!</v>
      </c>
      <c r="EK1083" s="17" t="str">
        <f>desktopUnitsTotal</f>
        <v>#ERROR!</v>
      </c>
      <c r="EL1083" s="17" t="str">
        <f>desktopUnitsTotal</f>
        <v>#ERROR!</v>
      </c>
      <c r="EM1083" s="18" t="str">
        <f>desktopUnitsTotal</f>
        <v>#ERROR!</v>
      </c>
      <c r="EN1083" s="17" t="str">
        <f>desktopUnitsTotal</f>
        <v>#ERROR!</v>
      </c>
      <c r="EO1083" s="17" t="str">
        <f>desktopUnitsTotal</f>
        <v>#ERROR!</v>
      </c>
      <c r="EP1083" s="17" t="str">
        <f>desktopUnitsTotal</f>
        <v>#ERROR!</v>
      </c>
      <c r="EQ1083" s="17" t="str">
        <f>desktopUnitsTotal</f>
        <v>#ERROR!</v>
      </c>
      <c r="ER1083" s="18" t="str">
        <f>desktopUnitsTotal</f>
        <v>#ERROR!</v>
      </c>
      <c r="ES1083" s="17" t="str">
        <f>desktopUnitsTotal</f>
        <v>#ERROR!</v>
      </c>
      <c r="ET1083" s="17" t="str">
        <f>desktopUnitsTotal</f>
        <v>#ERROR!</v>
      </c>
      <c r="EU1083" s="17" t="str">
        <f>desktopUnitsTotal</f>
        <v>#ERROR!</v>
      </c>
      <c r="EV1083" s="17" t="str">
        <f>desktopUnitsTotal</f>
        <v>#ERROR!</v>
      </c>
      <c r="EW1083" s="18" t="str">
        <f>desktopUnitsTotal</f>
        <v>#ERROR!</v>
      </c>
      <c r="EX1083" s="17" t="str">
        <f>desktopUnitsTotal</f>
        <v>#ERROR!</v>
      </c>
      <c r="EY1083" s="17" t="str">
        <f>desktopUnitsTotal</f>
        <v>#ERROR!</v>
      </c>
      <c r="EZ1083" s="17" t="str">
        <f>desktopUnitsTotal</f>
        <v>#ERROR!</v>
      </c>
      <c r="FA1083" s="17" t="str">
        <f>desktopUnitsTotal</f>
        <v>#ERROR!</v>
      </c>
      <c r="FB1083" s="18" t="str">
        <f>desktopUnitsTotal</f>
        <v>#ERROR!</v>
      </c>
      <c r="FC1083" s="17" t="str">
        <f>desktopUnitsTotal</f>
        <v>#ERROR!</v>
      </c>
      <c r="FD1083" s="17" t="str">
        <f>desktopUnitsTotal</f>
        <v>#ERROR!</v>
      </c>
      <c r="FE1083" s="17" t="str">
        <f>desktopUnitsTotal</f>
        <v>#ERROR!</v>
      </c>
      <c r="FF1083" s="17" t="str">
        <f>desktopUnitsTotal</f>
        <v>#ERROR!</v>
      </c>
      <c r="FG1083" s="18" t="str">
        <f>desktopUnitsTotal</f>
        <v>#ERROR!</v>
      </c>
      <c r="FH1083" s="74"/>
      <c r="FI1083" s="17"/>
      <c r="FJ1083" s="17"/>
      <c r="FK1083" s="73"/>
      <c r="FL1083" s="17"/>
    </row>
    <row r="1084" ht="12.75" hidden="1" customHeight="1" outlineLevel="1">
      <c r="A1084" s="4"/>
      <c r="B1084" s="4" t="s">
        <v>392</v>
      </c>
      <c r="C1084" s="4"/>
      <c r="D1084" s="17"/>
      <c r="E1084" s="17"/>
      <c r="F1084" s="17"/>
      <c r="G1084" s="17"/>
      <c r="H1084" s="73"/>
      <c r="I1084" s="17" t="e">
        <v>#REF!</v>
      </c>
      <c r="J1084" s="17" t="e">
        <v>#REF!</v>
      </c>
      <c r="K1084" s="17" t="e">
        <v>#REF!</v>
      </c>
      <c r="L1084" s="17" t="e">
        <v>#REF!</v>
      </c>
      <c r="M1084" s="73" t="e">
        <v>#REF!</v>
      </c>
      <c r="N1084" s="17" t="e">
        <v>#REF!</v>
      </c>
      <c r="O1084" s="17" t="e">
        <v>#REF!</v>
      </c>
      <c r="P1084" s="17" t="e">
        <v>#REF!</v>
      </c>
      <c r="Q1084" s="17" t="e">
        <v>#REF!</v>
      </c>
      <c r="R1084" s="73" t="e">
        <v>#REF!</v>
      </c>
      <c r="S1084" s="17" t="e">
        <v>#REF!</v>
      </c>
      <c r="T1084" s="17" t="e">
        <v>#REF!</v>
      </c>
      <c r="U1084" s="17" t="e">
        <v>#REF!</v>
      </c>
      <c r="V1084" s="17" t="e">
        <v>#REF!</v>
      </c>
      <c r="W1084" s="73" t="e">
        <v>#REF!</v>
      </c>
      <c r="X1084" s="17" t="e">
        <v>#REF!</v>
      </c>
      <c r="Y1084" s="17" t="e">
        <v>#REF!</v>
      </c>
      <c r="Z1084" s="17" t="e">
        <v>#REF!</v>
      </c>
      <c r="AA1084" s="17" t="e">
        <v>#REF!</v>
      </c>
      <c r="AB1084" s="73" t="e">
        <v>#REF!</v>
      </c>
      <c r="AC1084" s="17" t="e">
        <v>#REF!</v>
      </c>
      <c r="AD1084" s="17" t="e">
        <v>#REF!</v>
      </c>
      <c r="AE1084" s="17" t="e">
        <v>#REF!</v>
      </c>
      <c r="AF1084" s="17" t="e">
        <v>#REF!</v>
      </c>
      <c r="AG1084" s="73" t="e">
        <v>#REF!</v>
      </c>
      <c r="AH1084" s="17" t="e">
        <v>#REF!</v>
      </c>
      <c r="AI1084" s="17" t="e">
        <v>#REF!</v>
      </c>
      <c r="AJ1084" s="17" t="e">
        <v>#REF!</v>
      </c>
      <c r="AK1084" s="17" t="e">
        <v>#REF!</v>
      </c>
      <c r="AL1084" s="73" t="e">
        <v>#REF!</v>
      </c>
      <c r="AM1084" s="17" t="e">
        <v>#REF!</v>
      </c>
      <c r="AN1084" s="17" t="e">
        <v>#REF!</v>
      </c>
      <c r="AO1084" s="17" t="e">
        <v>#REF!</v>
      </c>
      <c r="AP1084" s="17" t="e">
        <v>#REF!</v>
      </c>
      <c r="AQ1084" s="73" t="e">
        <v>#REF!</v>
      </c>
      <c r="AR1084" s="17" t="e">
        <v>#REF!</v>
      </c>
      <c r="AS1084" s="17" t="e">
        <v>#REF!</v>
      </c>
      <c r="AT1084" s="17" t="e">
        <v>#REF!</v>
      </c>
      <c r="AU1084" s="17" t="e">
        <v>#REF!</v>
      </c>
      <c r="AV1084" s="73" t="e">
        <v>#REF!</v>
      </c>
      <c r="AW1084" s="17" t="e">
        <v>#REF!</v>
      </c>
      <c r="AX1084" s="17" t="e">
        <v>#REF!</v>
      </c>
      <c r="AY1084" s="17" t="e">
        <v>#REF!</v>
      </c>
      <c r="AZ1084" s="17" t="e">
        <v>#REF!</v>
      </c>
      <c r="BA1084" s="73" t="e">
        <v>#REF!</v>
      </c>
      <c r="BB1084" s="17" t="e">
        <v>#REF!</v>
      </c>
      <c r="BC1084" s="17" t="e">
        <v>#REF!</v>
      </c>
      <c r="BD1084" s="17" t="e">
        <v>#REF!</v>
      </c>
      <c r="BE1084" s="17" t="e">
        <v>#REF!</v>
      </c>
      <c r="BF1084" s="73" t="e">
        <v>#REF!</v>
      </c>
      <c r="BG1084" s="17" t="e">
        <v>#REF!</v>
      </c>
      <c r="BH1084" s="17" t="e">
        <v>#REF!</v>
      </c>
      <c r="BI1084" s="17" t="e">
        <v>#REF!</v>
      </c>
      <c r="BJ1084" s="17" t="e">
        <v>#REF!</v>
      </c>
      <c r="BK1084" s="73" t="e">
        <v>#REF!</v>
      </c>
      <c r="BL1084" s="17" t="e">
        <v>#REF!</v>
      </c>
      <c r="BM1084" s="17" t="e">
        <v>#REF!</v>
      </c>
      <c r="BN1084" s="17" t="e">
        <v>#REF!</v>
      </c>
      <c r="BO1084" s="17" t="e">
        <v>#REF!</v>
      </c>
      <c r="BP1084" s="73" t="e">
        <v>#REF!</v>
      </c>
      <c r="BQ1084" s="17" t="e">
        <v>#REF!</v>
      </c>
      <c r="BR1084" s="17" t="e">
        <v>#REF!</v>
      </c>
      <c r="BS1084" s="17" t="e">
        <v>#REF!</v>
      </c>
      <c r="BT1084" s="17" t="e">
        <v>#REF!</v>
      </c>
      <c r="BU1084" s="73" t="e">
        <v>#REF!</v>
      </c>
      <c r="BV1084" s="17" t="e">
        <v>#REF!</v>
      </c>
      <c r="BW1084" s="17" t="e">
        <v>#REF!</v>
      </c>
      <c r="BX1084" s="17" t="e">
        <v>#REF!</v>
      </c>
      <c r="BY1084" s="17" t="e">
        <v>#REF!</v>
      </c>
      <c r="BZ1084" s="18" t="e">
        <v>#REF!</v>
      </c>
      <c r="CA1084" s="17" t="e">
        <v>#REF!</v>
      </c>
      <c r="CB1084" s="17" t="e">
        <v>#REF!</v>
      </c>
      <c r="CC1084" s="17" t="e">
        <v>#REF!</v>
      </c>
      <c r="CD1084" s="17" t="e">
        <v>#REF!</v>
      </c>
      <c r="CE1084" s="18" t="e">
        <v>#REF!</v>
      </c>
      <c r="CF1084" s="17" t="e">
        <v>#REF!</v>
      </c>
      <c r="CG1084" s="17" t="e">
        <v>#REF!</v>
      </c>
      <c r="CH1084" s="17" t="e">
        <v>#REF!</v>
      </c>
      <c r="CI1084" s="17" t="e">
        <v>#REF!</v>
      </c>
      <c r="CJ1084" s="18" t="e">
        <v>#REF!</v>
      </c>
      <c r="CK1084" s="17" t="e">
        <v>#REF!</v>
      </c>
      <c r="CL1084" s="17" t="e">
        <v>#REF!</v>
      </c>
      <c r="CM1084" s="17" t="e">
        <v>#REF!</v>
      </c>
      <c r="CN1084" s="19" t="e">
        <v>#REF!</v>
      </c>
      <c r="CO1084" s="18" t="e">
        <v>#REF!</v>
      </c>
      <c r="CP1084" s="19" t="e">
        <v>#REF!</v>
      </c>
      <c r="CQ1084" s="17" t="e">
        <v>#REF!</v>
      </c>
      <c r="CR1084" s="17" t="e">
        <v>#REF!</v>
      </c>
      <c r="CS1084" s="17" t="e">
        <v>#REF!</v>
      </c>
      <c r="CT1084" s="18" t="e">
        <v>#REF!</v>
      </c>
      <c r="CU1084" s="17" t="e">
        <v>#REF!</v>
      </c>
      <c r="CV1084" s="17" t="e">
        <v>#REF!</v>
      </c>
      <c r="CW1084" s="17" t="e">
        <v>#REF!</v>
      </c>
      <c r="CX1084" s="17" t="e">
        <v>#REF!</v>
      </c>
      <c r="CY1084" s="18" t="e">
        <v>#REF!</v>
      </c>
      <c r="CZ1084" s="17" t="e">
        <v>#REF!</v>
      </c>
      <c r="DA1084" s="17" t="e">
        <v>#REF!</v>
      </c>
      <c r="DB1084" s="17" t="e">
        <v>#REF!</v>
      </c>
      <c r="DC1084" s="17" t="e">
        <v>#REF!</v>
      </c>
      <c r="DD1084" s="18" t="e">
        <v>#REF!</v>
      </c>
      <c r="DE1084" s="17" t="e">
        <v>#REF!</v>
      </c>
      <c r="DF1084" s="17" t="e">
        <v>#REF!</v>
      </c>
      <c r="DG1084" s="19" t="e">
        <v>#REF!</v>
      </c>
      <c r="DH1084" s="17" t="e">
        <v>#REF!</v>
      </c>
      <c r="DI1084" s="18" t="e">
        <v>#REF!</v>
      </c>
      <c r="DJ1084" s="19" t="e">
        <v>#REF!</v>
      </c>
      <c r="DK1084" s="19" t="e">
        <v>#REF!</v>
      </c>
      <c r="DL1084" s="19" t="e">
        <v>#REF!</v>
      </c>
      <c r="DM1084" s="17" t="e">
        <v>#REF!</v>
      </c>
      <c r="DN1084" s="18" t="e">
        <v>#REF!</v>
      </c>
      <c r="DO1084" s="17" t="e">
        <v>#REF!</v>
      </c>
      <c r="DP1084" s="17" t="e">
        <v>#REF!</v>
      </c>
      <c r="DQ1084" s="17" t="e">
        <v>#REF!</v>
      </c>
      <c r="DR1084" s="17" t="e">
        <v>#REF!</v>
      </c>
      <c r="DS1084" s="18" t="e">
        <v>#REF!</v>
      </c>
      <c r="DT1084" s="17" t="e">
        <v>#REF!</v>
      </c>
      <c r="DU1084" s="17" t="e">
        <v>#REF!</v>
      </c>
      <c r="DV1084" s="17" t="e">
        <v>#REF!</v>
      </c>
      <c r="DW1084" s="17" t="e">
        <v>#REF!</v>
      </c>
      <c r="DX1084" s="18" t="e">
        <v>#REF!</v>
      </c>
      <c r="DY1084" s="17" t="e">
        <v>#REF!</v>
      </c>
      <c r="DZ1084" s="17" t="e">
        <v>#REF!</v>
      </c>
      <c r="EA1084" s="17" t="e">
        <v>#REF!</v>
      </c>
      <c r="EB1084" s="17" t="e">
        <v>#REF!</v>
      </c>
      <c r="EC1084" s="18" t="e">
        <v>#REF!</v>
      </c>
      <c r="ED1084" s="17" t="e">
        <v>#REF!</v>
      </c>
      <c r="EE1084" s="17" t="e">
        <v>#REF!</v>
      </c>
      <c r="EF1084" s="17" t="e">
        <v>#REF!</v>
      </c>
      <c r="EG1084" s="17" t="e">
        <v>#REF!</v>
      </c>
      <c r="EH1084" s="18" t="e">
        <v>#REF!</v>
      </c>
      <c r="EI1084" s="25" t="e">
        <v>#REF!</v>
      </c>
      <c r="EJ1084" s="17" t="e">
        <v>#REF!</v>
      </c>
      <c r="EK1084" s="17" t="e">
        <v>#REF!</v>
      </c>
      <c r="EL1084" s="17" t="e">
        <v>#REF!</v>
      </c>
      <c r="EM1084" s="18" t="e">
        <v>#REF!</v>
      </c>
      <c r="EN1084" s="17" t="e">
        <v>#REF!</v>
      </c>
      <c r="EO1084" s="17" t="e">
        <v>#REF!</v>
      </c>
      <c r="EP1084" s="17" t="e">
        <v>#REF!</v>
      </c>
      <c r="EQ1084" s="17" t="e">
        <v>#REF!</v>
      </c>
      <c r="ER1084" s="18" t="e">
        <v>#REF!</v>
      </c>
      <c r="ES1084" s="17" t="e">
        <v>#REF!</v>
      </c>
      <c r="ET1084" s="17" t="e">
        <v>#REF!</v>
      </c>
      <c r="EU1084" s="17" t="e">
        <v>#REF!</v>
      </c>
      <c r="EV1084" s="17" t="e">
        <v>#REF!</v>
      </c>
      <c r="EW1084" s="18" t="e">
        <v>#REF!</v>
      </c>
      <c r="EX1084" s="17" t="e">
        <v>#REF!</v>
      </c>
      <c r="EY1084" s="17" t="e">
        <v>#REF!</v>
      </c>
      <c r="EZ1084" s="17" t="e">
        <v>#REF!</v>
      </c>
      <c r="FA1084" s="17" t="e">
        <v>#REF!</v>
      </c>
      <c r="FB1084" s="18" t="e">
        <v>#REF!</v>
      </c>
      <c r="FC1084" s="17" t="e">
        <v>#REF!</v>
      </c>
      <c r="FD1084" s="17" t="e">
        <v>#REF!</v>
      </c>
      <c r="FE1084" s="17" t="e">
        <v>#REF!</v>
      </c>
      <c r="FF1084" s="17" t="e">
        <v>#REF!</v>
      </c>
      <c r="FG1084" s="18" t="e">
        <v>#REF!</v>
      </c>
      <c r="FH1084" s="74"/>
      <c r="FI1084" s="17"/>
      <c r="FJ1084" s="17"/>
      <c r="FK1084" s="73"/>
      <c r="FL1084" s="17"/>
    </row>
    <row r="1085" ht="13.5" hidden="1" customHeight="1" outlineLevel="1">
      <c r="A1085" s="4"/>
      <c r="B1085" s="529" t="s">
        <v>291</v>
      </c>
      <c r="C1085" s="529"/>
      <c r="D1085" s="164"/>
      <c r="E1085" s="164"/>
      <c r="F1085" s="164"/>
      <c r="G1085" s="164"/>
      <c r="H1085" s="166"/>
      <c r="I1085" s="164" t="str">
        <f t="shared" ref="I1085:FG1085" si="5512">SUM(I1083,I1084)</f>
        <v>#ERROR!</v>
      </c>
      <c r="J1085" s="164" t="str">
        <f t="shared" si="5512"/>
        <v>#ERROR!</v>
      </c>
      <c r="K1085" s="164" t="str">
        <f t="shared" si="5512"/>
        <v>#ERROR!</v>
      </c>
      <c r="L1085" s="164" t="str">
        <f t="shared" si="5512"/>
        <v>#ERROR!</v>
      </c>
      <c r="M1085" s="166" t="str">
        <f t="shared" si="5512"/>
        <v>#ERROR!</v>
      </c>
      <c r="N1085" s="164" t="str">
        <f t="shared" si="5512"/>
        <v>#ERROR!</v>
      </c>
      <c r="O1085" s="164" t="str">
        <f t="shared" si="5512"/>
        <v>#ERROR!</v>
      </c>
      <c r="P1085" s="164" t="str">
        <f t="shared" si="5512"/>
        <v>#ERROR!</v>
      </c>
      <c r="Q1085" s="164" t="str">
        <f t="shared" si="5512"/>
        <v>#ERROR!</v>
      </c>
      <c r="R1085" s="166" t="str">
        <f t="shared" si="5512"/>
        <v>#ERROR!</v>
      </c>
      <c r="S1085" s="164" t="str">
        <f t="shared" si="5512"/>
        <v>#ERROR!</v>
      </c>
      <c r="T1085" s="164" t="str">
        <f t="shared" si="5512"/>
        <v>#ERROR!</v>
      </c>
      <c r="U1085" s="164" t="str">
        <f t="shared" si="5512"/>
        <v>#ERROR!</v>
      </c>
      <c r="V1085" s="164" t="str">
        <f t="shared" si="5512"/>
        <v>#ERROR!</v>
      </c>
      <c r="W1085" s="166" t="str">
        <f t="shared" si="5512"/>
        <v>#ERROR!</v>
      </c>
      <c r="X1085" s="164" t="str">
        <f t="shared" si="5512"/>
        <v>#ERROR!</v>
      </c>
      <c r="Y1085" s="164" t="str">
        <f t="shared" si="5512"/>
        <v>#ERROR!</v>
      </c>
      <c r="Z1085" s="164" t="str">
        <f t="shared" si="5512"/>
        <v>#ERROR!</v>
      </c>
      <c r="AA1085" s="164" t="str">
        <f t="shared" si="5512"/>
        <v>#ERROR!</v>
      </c>
      <c r="AB1085" s="166" t="str">
        <f t="shared" si="5512"/>
        <v>#ERROR!</v>
      </c>
      <c r="AC1085" s="164" t="str">
        <f t="shared" si="5512"/>
        <v>#ERROR!</v>
      </c>
      <c r="AD1085" s="164" t="str">
        <f t="shared" si="5512"/>
        <v>#ERROR!</v>
      </c>
      <c r="AE1085" s="164" t="str">
        <f t="shared" si="5512"/>
        <v>#ERROR!</v>
      </c>
      <c r="AF1085" s="164" t="str">
        <f t="shared" si="5512"/>
        <v>#ERROR!</v>
      </c>
      <c r="AG1085" s="166" t="str">
        <f t="shared" si="5512"/>
        <v>#ERROR!</v>
      </c>
      <c r="AH1085" s="164" t="str">
        <f t="shared" si="5512"/>
        <v>#ERROR!</v>
      </c>
      <c r="AI1085" s="164" t="str">
        <f t="shared" si="5512"/>
        <v>#ERROR!</v>
      </c>
      <c r="AJ1085" s="164" t="str">
        <f t="shared" si="5512"/>
        <v>#ERROR!</v>
      </c>
      <c r="AK1085" s="164" t="str">
        <f t="shared" si="5512"/>
        <v>#ERROR!</v>
      </c>
      <c r="AL1085" s="166" t="str">
        <f t="shared" si="5512"/>
        <v>#ERROR!</v>
      </c>
      <c r="AM1085" s="164" t="str">
        <f t="shared" si="5512"/>
        <v>#ERROR!</v>
      </c>
      <c r="AN1085" s="164" t="str">
        <f t="shared" si="5512"/>
        <v>#ERROR!</v>
      </c>
      <c r="AO1085" s="164" t="str">
        <f t="shared" si="5512"/>
        <v>#ERROR!</v>
      </c>
      <c r="AP1085" s="164" t="str">
        <f t="shared" si="5512"/>
        <v>#ERROR!</v>
      </c>
      <c r="AQ1085" s="166" t="str">
        <f t="shared" si="5512"/>
        <v>#ERROR!</v>
      </c>
      <c r="AR1085" s="164" t="str">
        <f t="shared" si="5512"/>
        <v>#ERROR!</v>
      </c>
      <c r="AS1085" s="164" t="str">
        <f t="shared" si="5512"/>
        <v>#ERROR!</v>
      </c>
      <c r="AT1085" s="164" t="str">
        <f t="shared" si="5512"/>
        <v>#ERROR!</v>
      </c>
      <c r="AU1085" s="164" t="str">
        <f t="shared" si="5512"/>
        <v>#ERROR!</v>
      </c>
      <c r="AV1085" s="166" t="str">
        <f t="shared" si="5512"/>
        <v>#ERROR!</v>
      </c>
      <c r="AW1085" s="164" t="str">
        <f t="shared" si="5512"/>
        <v>#ERROR!</v>
      </c>
      <c r="AX1085" s="164" t="str">
        <f t="shared" si="5512"/>
        <v>#ERROR!</v>
      </c>
      <c r="AY1085" s="164" t="str">
        <f t="shared" si="5512"/>
        <v>#ERROR!</v>
      </c>
      <c r="AZ1085" s="164" t="str">
        <f t="shared" si="5512"/>
        <v>#ERROR!</v>
      </c>
      <c r="BA1085" s="166" t="str">
        <f t="shared" si="5512"/>
        <v>#ERROR!</v>
      </c>
      <c r="BB1085" s="164" t="str">
        <f t="shared" si="5512"/>
        <v>#ERROR!</v>
      </c>
      <c r="BC1085" s="164" t="str">
        <f t="shared" si="5512"/>
        <v>#ERROR!</v>
      </c>
      <c r="BD1085" s="164" t="str">
        <f t="shared" si="5512"/>
        <v>#ERROR!</v>
      </c>
      <c r="BE1085" s="164" t="str">
        <f t="shared" si="5512"/>
        <v>#ERROR!</v>
      </c>
      <c r="BF1085" s="166" t="str">
        <f t="shared" si="5512"/>
        <v>#ERROR!</v>
      </c>
      <c r="BG1085" s="164" t="str">
        <f t="shared" si="5512"/>
        <v>#ERROR!</v>
      </c>
      <c r="BH1085" s="164" t="str">
        <f t="shared" si="5512"/>
        <v>#ERROR!</v>
      </c>
      <c r="BI1085" s="164" t="str">
        <f t="shared" si="5512"/>
        <v>#ERROR!</v>
      </c>
      <c r="BJ1085" s="164" t="str">
        <f t="shared" si="5512"/>
        <v>#ERROR!</v>
      </c>
      <c r="BK1085" s="166" t="str">
        <f t="shared" si="5512"/>
        <v>#ERROR!</v>
      </c>
      <c r="BL1085" s="164" t="str">
        <f t="shared" si="5512"/>
        <v>#ERROR!</v>
      </c>
      <c r="BM1085" s="164" t="str">
        <f t="shared" si="5512"/>
        <v>#ERROR!</v>
      </c>
      <c r="BN1085" s="164" t="str">
        <f t="shared" si="5512"/>
        <v>#ERROR!</v>
      </c>
      <c r="BO1085" s="164" t="str">
        <f t="shared" si="5512"/>
        <v>#ERROR!</v>
      </c>
      <c r="BP1085" s="166" t="str">
        <f t="shared" si="5512"/>
        <v>#ERROR!</v>
      </c>
      <c r="BQ1085" s="164" t="str">
        <f t="shared" si="5512"/>
        <v>#ERROR!</v>
      </c>
      <c r="BR1085" s="164" t="str">
        <f t="shared" si="5512"/>
        <v>#ERROR!</v>
      </c>
      <c r="BS1085" s="164" t="str">
        <f t="shared" si="5512"/>
        <v>#ERROR!</v>
      </c>
      <c r="BT1085" s="164" t="str">
        <f t="shared" si="5512"/>
        <v>#ERROR!</v>
      </c>
      <c r="BU1085" s="166" t="str">
        <f t="shared" si="5512"/>
        <v>#ERROR!</v>
      </c>
      <c r="BV1085" s="164" t="str">
        <f t="shared" si="5512"/>
        <v>#ERROR!</v>
      </c>
      <c r="BW1085" s="164" t="str">
        <f t="shared" si="5512"/>
        <v>#ERROR!</v>
      </c>
      <c r="BX1085" s="164" t="str">
        <f t="shared" si="5512"/>
        <v>#ERROR!</v>
      </c>
      <c r="BY1085" s="164" t="str">
        <f t="shared" si="5512"/>
        <v>#ERROR!</v>
      </c>
      <c r="BZ1085" s="168" t="str">
        <f t="shared" si="5512"/>
        <v>#ERROR!</v>
      </c>
      <c r="CA1085" s="164" t="str">
        <f t="shared" si="5512"/>
        <v>#ERROR!</v>
      </c>
      <c r="CB1085" s="164" t="str">
        <f t="shared" si="5512"/>
        <v>#ERROR!</v>
      </c>
      <c r="CC1085" s="164" t="str">
        <f t="shared" si="5512"/>
        <v>#ERROR!</v>
      </c>
      <c r="CD1085" s="164" t="str">
        <f t="shared" si="5512"/>
        <v>#ERROR!</v>
      </c>
      <c r="CE1085" s="168" t="str">
        <f t="shared" si="5512"/>
        <v>#ERROR!</v>
      </c>
      <c r="CF1085" s="164" t="str">
        <f t="shared" si="5512"/>
        <v>#ERROR!</v>
      </c>
      <c r="CG1085" s="164" t="str">
        <f t="shared" si="5512"/>
        <v>#ERROR!</v>
      </c>
      <c r="CH1085" s="164" t="str">
        <f t="shared" si="5512"/>
        <v>#ERROR!</v>
      </c>
      <c r="CI1085" s="164" t="str">
        <f t="shared" si="5512"/>
        <v>#ERROR!</v>
      </c>
      <c r="CJ1085" s="168" t="str">
        <f t="shared" si="5512"/>
        <v>#ERROR!</v>
      </c>
      <c r="CK1085" s="164" t="str">
        <f t="shared" si="5512"/>
        <v>#ERROR!</v>
      </c>
      <c r="CL1085" s="164" t="str">
        <f t="shared" si="5512"/>
        <v>#ERROR!</v>
      </c>
      <c r="CM1085" s="164" t="str">
        <f t="shared" si="5512"/>
        <v>#ERROR!</v>
      </c>
      <c r="CN1085" s="583" t="str">
        <f t="shared" si="5512"/>
        <v>#ERROR!</v>
      </c>
      <c r="CO1085" s="168" t="str">
        <f t="shared" si="5512"/>
        <v>#ERROR!</v>
      </c>
      <c r="CP1085" s="583" t="str">
        <f t="shared" si="5512"/>
        <v>#ERROR!</v>
      </c>
      <c r="CQ1085" s="164" t="str">
        <f t="shared" si="5512"/>
        <v>#ERROR!</v>
      </c>
      <c r="CR1085" s="164" t="str">
        <f t="shared" si="5512"/>
        <v>#ERROR!</v>
      </c>
      <c r="CS1085" s="164" t="str">
        <f t="shared" si="5512"/>
        <v>#ERROR!</v>
      </c>
      <c r="CT1085" s="168" t="str">
        <f t="shared" si="5512"/>
        <v>#ERROR!</v>
      </c>
      <c r="CU1085" s="164" t="str">
        <f t="shared" si="5512"/>
        <v>#ERROR!</v>
      </c>
      <c r="CV1085" s="164" t="str">
        <f t="shared" si="5512"/>
        <v>#ERROR!</v>
      </c>
      <c r="CW1085" s="164" t="str">
        <f t="shared" si="5512"/>
        <v>#ERROR!</v>
      </c>
      <c r="CX1085" s="164" t="str">
        <f t="shared" si="5512"/>
        <v>#ERROR!</v>
      </c>
      <c r="CY1085" s="168" t="str">
        <f t="shared" si="5512"/>
        <v>#ERROR!</v>
      </c>
      <c r="CZ1085" s="164" t="str">
        <f t="shared" si="5512"/>
        <v>#ERROR!</v>
      </c>
      <c r="DA1085" s="164" t="str">
        <f t="shared" si="5512"/>
        <v>#ERROR!</v>
      </c>
      <c r="DB1085" s="164" t="str">
        <f t="shared" si="5512"/>
        <v>#ERROR!</v>
      </c>
      <c r="DC1085" s="164" t="str">
        <f t="shared" si="5512"/>
        <v>#ERROR!</v>
      </c>
      <c r="DD1085" s="168" t="str">
        <f t="shared" si="5512"/>
        <v>#ERROR!</v>
      </c>
      <c r="DE1085" s="164" t="str">
        <f t="shared" si="5512"/>
        <v>#ERROR!</v>
      </c>
      <c r="DF1085" s="164" t="str">
        <f t="shared" si="5512"/>
        <v>#ERROR!</v>
      </c>
      <c r="DG1085" s="146" t="str">
        <f t="shared" si="5512"/>
        <v>#ERROR!</v>
      </c>
      <c r="DH1085" s="164" t="str">
        <f t="shared" si="5512"/>
        <v>#ERROR!</v>
      </c>
      <c r="DI1085" s="168" t="str">
        <f t="shared" si="5512"/>
        <v>#ERROR!</v>
      </c>
      <c r="DJ1085" s="583" t="str">
        <f t="shared" si="5512"/>
        <v>#ERROR!</v>
      </c>
      <c r="DK1085" s="583" t="str">
        <f t="shared" si="5512"/>
        <v>#ERROR!</v>
      </c>
      <c r="DL1085" s="583" t="str">
        <f t="shared" si="5512"/>
        <v>#ERROR!</v>
      </c>
      <c r="DM1085" s="164" t="str">
        <f t="shared" si="5512"/>
        <v>#ERROR!</v>
      </c>
      <c r="DN1085" s="168" t="str">
        <f t="shared" si="5512"/>
        <v>#ERROR!</v>
      </c>
      <c r="DO1085" s="164" t="str">
        <f t="shared" si="5512"/>
        <v>#ERROR!</v>
      </c>
      <c r="DP1085" s="164" t="str">
        <f t="shared" si="5512"/>
        <v>#ERROR!</v>
      </c>
      <c r="DQ1085" s="164" t="str">
        <f t="shared" si="5512"/>
        <v>#ERROR!</v>
      </c>
      <c r="DR1085" s="164" t="str">
        <f t="shared" si="5512"/>
        <v>#ERROR!</v>
      </c>
      <c r="DS1085" s="168" t="str">
        <f t="shared" si="5512"/>
        <v>#ERROR!</v>
      </c>
      <c r="DT1085" s="164" t="str">
        <f t="shared" si="5512"/>
        <v>#ERROR!</v>
      </c>
      <c r="DU1085" s="164" t="str">
        <f t="shared" si="5512"/>
        <v>#ERROR!</v>
      </c>
      <c r="DV1085" s="164" t="str">
        <f t="shared" si="5512"/>
        <v>#ERROR!</v>
      </c>
      <c r="DW1085" s="164" t="str">
        <f t="shared" si="5512"/>
        <v>#ERROR!</v>
      </c>
      <c r="DX1085" s="168" t="str">
        <f t="shared" si="5512"/>
        <v>#ERROR!</v>
      </c>
      <c r="DY1085" s="164" t="str">
        <f t="shared" si="5512"/>
        <v>#ERROR!</v>
      </c>
      <c r="DZ1085" s="164" t="str">
        <f t="shared" si="5512"/>
        <v>#ERROR!</v>
      </c>
      <c r="EA1085" s="164" t="str">
        <f t="shared" si="5512"/>
        <v>#ERROR!</v>
      </c>
      <c r="EB1085" s="164" t="str">
        <f t="shared" si="5512"/>
        <v>#ERROR!</v>
      </c>
      <c r="EC1085" s="168" t="str">
        <f t="shared" si="5512"/>
        <v>#ERROR!</v>
      </c>
      <c r="ED1085" s="164" t="str">
        <f t="shared" si="5512"/>
        <v>#ERROR!</v>
      </c>
      <c r="EE1085" s="164" t="str">
        <f t="shared" si="5512"/>
        <v>#ERROR!</v>
      </c>
      <c r="EF1085" s="164" t="str">
        <f t="shared" si="5512"/>
        <v>#ERROR!</v>
      </c>
      <c r="EG1085" s="164" t="str">
        <f t="shared" si="5512"/>
        <v>#ERROR!</v>
      </c>
      <c r="EH1085" s="168" t="str">
        <f t="shared" si="5512"/>
        <v>#ERROR!</v>
      </c>
      <c r="EI1085" s="584" t="str">
        <f t="shared" si="5512"/>
        <v>#ERROR!</v>
      </c>
      <c r="EJ1085" s="164" t="str">
        <f t="shared" si="5512"/>
        <v>#ERROR!</v>
      </c>
      <c r="EK1085" s="164" t="str">
        <f t="shared" si="5512"/>
        <v>#ERROR!</v>
      </c>
      <c r="EL1085" s="164" t="str">
        <f t="shared" si="5512"/>
        <v>#ERROR!</v>
      </c>
      <c r="EM1085" s="168" t="str">
        <f t="shared" si="5512"/>
        <v>#ERROR!</v>
      </c>
      <c r="EN1085" s="164" t="str">
        <f t="shared" si="5512"/>
        <v>#ERROR!</v>
      </c>
      <c r="EO1085" s="164" t="str">
        <f t="shared" si="5512"/>
        <v>#ERROR!</v>
      </c>
      <c r="EP1085" s="164" t="str">
        <f t="shared" si="5512"/>
        <v>#ERROR!</v>
      </c>
      <c r="EQ1085" s="164" t="str">
        <f t="shared" si="5512"/>
        <v>#ERROR!</v>
      </c>
      <c r="ER1085" s="168" t="str">
        <f t="shared" si="5512"/>
        <v>#ERROR!</v>
      </c>
      <c r="ES1085" s="164" t="str">
        <f t="shared" si="5512"/>
        <v>#ERROR!</v>
      </c>
      <c r="ET1085" s="164" t="str">
        <f t="shared" si="5512"/>
        <v>#ERROR!</v>
      </c>
      <c r="EU1085" s="164" t="str">
        <f t="shared" si="5512"/>
        <v>#ERROR!</v>
      </c>
      <c r="EV1085" s="164" t="str">
        <f t="shared" si="5512"/>
        <v>#ERROR!</v>
      </c>
      <c r="EW1085" s="168" t="str">
        <f t="shared" si="5512"/>
        <v>#ERROR!</v>
      </c>
      <c r="EX1085" s="164" t="str">
        <f t="shared" si="5512"/>
        <v>#ERROR!</v>
      </c>
      <c r="EY1085" s="164" t="str">
        <f t="shared" si="5512"/>
        <v>#ERROR!</v>
      </c>
      <c r="EZ1085" s="164" t="str">
        <f t="shared" si="5512"/>
        <v>#ERROR!</v>
      </c>
      <c r="FA1085" s="164" t="str">
        <f t="shared" si="5512"/>
        <v>#ERROR!</v>
      </c>
      <c r="FB1085" s="168" t="str">
        <f t="shared" si="5512"/>
        <v>#ERROR!</v>
      </c>
      <c r="FC1085" s="164" t="str">
        <f t="shared" si="5512"/>
        <v>#ERROR!</v>
      </c>
      <c r="FD1085" s="164" t="str">
        <f t="shared" si="5512"/>
        <v>#ERROR!</v>
      </c>
      <c r="FE1085" s="164" t="str">
        <f t="shared" si="5512"/>
        <v>#ERROR!</v>
      </c>
      <c r="FF1085" s="164" t="str">
        <f t="shared" si="5512"/>
        <v>#ERROR!</v>
      </c>
      <c r="FG1085" s="168" t="str">
        <f t="shared" si="5512"/>
        <v>#ERROR!</v>
      </c>
      <c r="FH1085" s="167"/>
      <c r="FI1085" s="164"/>
      <c r="FJ1085" s="164"/>
      <c r="FK1085" s="166"/>
      <c r="FL1085" s="164"/>
    </row>
    <row r="1086" ht="13.5" hidden="1" customHeight="1" outlineLevel="2">
      <c r="A1086" s="4"/>
      <c r="B1086" s="4"/>
      <c r="C1086" s="4"/>
      <c r="D1086" s="4"/>
      <c r="E1086" s="4"/>
      <c r="F1086" s="4"/>
      <c r="G1086" s="4"/>
      <c r="H1086" s="410"/>
      <c r="I1086" s="4"/>
      <c r="J1086" s="4"/>
      <c r="K1086" s="4"/>
      <c r="L1086" s="4"/>
      <c r="M1086" s="410"/>
      <c r="N1086" s="4"/>
      <c r="O1086" s="4"/>
      <c r="P1086" s="4"/>
      <c r="Q1086" s="4"/>
      <c r="R1086" s="410"/>
      <c r="S1086" s="4"/>
      <c r="T1086" s="4"/>
      <c r="U1086" s="4"/>
      <c r="V1086" s="4"/>
      <c r="W1086" s="410"/>
      <c r="X1086" s="4"/>
      <c r="Y1086" s="4"/>
      <c r="Z1086" s="4"/>
      <c r="AA1086" s="4"/>
      <c r="AB1086" s="410"/>
      <c r="AC1086" s="4"/>
      <c r="AD1086" s="4"/>
      <c r="AE1086" s="4"/>
      <c r="AF1086" s="4"/>
      <c r="AG1086" s="410"/>
      <c r="AH1086" s="4"/>
      <c r="AI1086" s="4"/>
      <c r="AJ1086" s="4"/>
      <c r="AK1086" s="4"/>
      <c r="AL1086" s="410" t="str">
        <f>AL1085/AG1085-1</f>
        <v>#ERROR!</v>
      </c>
      <c r="AM1086" s="4"/>
      <c r="AN1086" s="4"/>
      <c r="AO1086" s="4"/>
      <c r="AP1086" s="4"/>
      <c r="AQ1086" s="410" t="str">
        <f>AQ1085/AL1085-1</f>
        <v>#ERROR!</v>
      </c>
      <c r="AR1086" s="4"/>
      <c r="AS1086" s="4"/>
      <c r="AT1086" s="4"/>
      <c r="AU1086" s="4"/>
      <c r="AV1086" s="410" t="str">
        <f>AV1085/AQ1085-1</f>
        <v>#ERROR!</v>
      </c>
      <c r="AW1086" s="4"/>
      <c r="AX1086" s="4"/>
      <c r="AY1086" s="4"/>
      <c r="AZ1086" s="4"/>
      <c r="BA1086" s="410" t="str">
        <f>BA1085/AV1085-1</f>
        <v>#ERROR!</v>
      </c>
      <c r="BB1086" s="4"/>
      <c r="BC1086" s="4"/>
      <c r="BD1086" s="4"/>
      <c r="BE1086" s="4"/>
      <c r="BF1086" s="410" t="str">
        <f>BF1085/BA1085-1</f>
        <v>#ERROR!</v>
      </c>
      <c r="BG1086" s="4"/>
      <c r="BH1086" s="4"/>
      <c r="BI1086" s="4"/>
      <c r="BJ1086" s="4"/>
      <c r="BK1086" s="410" t="str">
        <f>BK1085/BF1085-1</f>
        <v>#ERROR!</v>
      </c>
      <c r="BL1086" s="4"/>
      <c r="BM1086" s="4"/>
      <c r="BN1086" s="4"/>
      <c r="BO1086" s="4"/>
      <c r="BP1086" s="410" t="str">
        <f>BP1085/BK1085-1</f>
        <v>#ERROR!</v>
      </c>
      <c r="BQ1086" s="4"/>
      <c r="BR1086" s="4"/>
      <c r="BS1086" s="4"/>
      <c r="BT1086" s="4"/>
      <c r="BU1086" s="410" t="str">
        <f>BU1085/BP1085-1</f>
        <v>#ERROR!</v>
      </c>
      <c r="BV1086" s="4"/>
      <c r="BW1086" s="4"/>
      <c r="BX1086" s="4"/>
      <c r="BY1086" s="4"/>
      <c r="BZ1086" s="24" t="str">
        <f>BZ1085/BU1085-1</f>
        <v>#ERROR!</v>
      </c>
      <c r="CA1086" s="4"/>
      <c r="CB1086" s="4"/>
      <c r="CC1086" s="4"/>
      <c r="CD1086" s="4"/>
      <c r="CE1086" s="24" t="str">
        <f>CE1085/BZ1085-1</f>
        <v>#ERROR!</v>
      </c>
      <c r="CF1086" s="4"/>
      <c r="CG1086" s="4"/>
      <c r="CH1086" s="4"/>
      <c r="CI1086" s="4"/>
      <c r="CJ1086" s="24" t="str">
        <f>CJ1085/CE1085-1</f>
        <v>#ERROR!</v>
      </c>
      <c r="CK1086" s="4"/>
      <c r="CL1086" s="4"/>
      <c r="CM1086" s="4"/>
      <c r="CN1086" s="16"/>
      <c r="CO1086" s="24" t="str">
        <f>CO1085/CJ1085-1</f>
        <v>#ERROR!</v>
      </c>
      <c r="CP1086" s="16"/>
      <c r="CQ1086" s="4"/>
      <c r="CR1086" s="4"/>
      <c r="CS1086" s="4"/>
      <c r="CT1086" s="24" t="str">
        <f>CT1085/CO1085-1</f>
        <v>#ERROR!</v>
      </c>
      <c r="CU1086" s="4"/>
      <c r="CV1086" s="4"/>
      <c r="CW1086" s="4"/>
      <c r="CX1086" s="4"/>
      <c r="CY1086" s="24" t="str">
        <f>CY1085/CT1085-1</f>
        <v>#ERROR!</v>
      </c>
      <c r="CZ1086" s="4"/>
      <c r="DA1086" s="4"/>
      <c r="DB1086" s="4"/>
      <c r="DC1086" s="4"/>
      <c r="DD1086" s="24" t="str">
        <f>DD1085/CY1085-1</f>
        <v>#ERROR!</v>
      </c>
      <c r="DE1086" s="4"/>
      <c r="DF1086" s="4"/>
      <c r="DG1086" s="16"/>
      <c r="DH1086" s="4"/>
      <c r="DI1086" s="24" t="str">
        <f>DI1085/DD1085-1</f>
        <v>#ERROR!</v>
      </c>
      <c r="DJ1086" s="16"/>
      <c r="DK1086" s="16"/>
      <c r="DL1086" s="16"/>
      <c r="DM1086" s="4"/>
      <c r="DN1086" s="24" t="str">
        <f>DN1085/DI1085-1</f>
        <v>#ERROR!</v>
      </c>
      <c r="DO1086" s="4"/>
      <c r="DP1086" s="4"/>
      <c r="DQ1086" s="4"/>
      <c r="DR1086" s="4"/>
      <c r="DS1086" s="24" t="str">
        <f>DS1085/DN1085-1</f>
        <v>#ERROR!</v>
      </c>
      <c r="DT1086" s="4"/>
      <c r="DU1086" s="4"/>
      <c r="DV1086" s="4"/>
      <c r="DW1086" s="4"/>
      <c r="DX1086" s="24" t="str">
        <f>DX1085/DS1085-1</f>
        <v>#ERROR!</v>
      </c>
      <c r="DY1086" s="4"/>
      <c r="DZ1086" s="4"/>
      <c r="EA1086" s="4"/>
      <c r="EB1086" s="4"/>
      <c r="EC1086" s="24" t="str">
        <f>EC1085/DX1085-1</f>
        <v>#ERROR!</v>
      </c>
      <c r="ED1086" s="4"/>
      <c r="EE1086" s="4"/>
      <c r="EF1086" s="4"/>
      <c r="EG1086" s="4"/>
      <c r="EH1086" s="24" t="str">
        <f>EH1085/EC1085-1</f>
        <v>#ERROR!</v>
      </c>
      <c r="EI1086" s="214"/>
      <c r="EJ1086" s="4"/>
      <c r="EK1086" s="4"/>
      <c r="EL1086" s="4"/>
      <c r="EM1086" s="24" t="str">
        <f>EM1085/EH1085-1</f>
        <v>#ERROR!</v>
      </c>
      <c r="EN1086" s="4"/>
      <c r="EO1086" s="4"/>
      <c r="EP1086" s="4"/>
      <c r="EQ1086" s="4"/>
      <c r="ER1086" s="24" t="str">
        <f>ER1085/EM1085-1</f>
        <v>#ERROR!</v>
      </c>
      <c r="ES1086" s="4"/>
      <c r="ET1086" s="4"/>
      <c r="EU1086" s="4"/>
      <c r="EV1086" s="4"/>
      <c r="EW1086" s="24" t="str">
        <f>EW1085/ER1085-1</f>
        <v>#ERROR!</v>
      </c>
      <c r="EX1086" s="4"/>
      <c r="EY1086" s="4"/>
      <c r="EZ1086" s="4"/>
      <c r="FA1086" s="4"/>
      <c r="FB1086" s="24" t="str">
        <f>FB1085/EW1085-1</f>
        <v>#ERROR!</v>
      </c>
      <c r="FC1086" s="4"/>
      <c r="FD1086" s="4"/>
      <c r="FE1086" s="4"/>
      <c r="FF1086" s="4"/>
      <c r="FG1086" s="24" t="str">
        <f>FG1085/FB1085-1</f>
        <v>#ERROR!</v>
      </c>
      <c r="FH1086" s="104"/>
      <c r="FI1086" s="4"/>
      <c r="FJ1086" s="4"/>
      <c r="FK1086" s="410"/>
      <c r="FL1086" s="4"/>
    </row>
    <row r="1087" ht="12.75" hidden="1" customHeight="1" outlineLevel="1">
      <c r="A1087" s="4"/>
      <c r="B1087" s="4"/>
      <c r="C1087" s="4"/>
      <c r="D1087" s="4"/>
      <c r="E1087" s="4"/>
      <c r="F1087" s="4"/>
      <c r="G1087" s="4"/>
      <c r="H1087" s="410"/>
      <c r="I1087" s="4"/>
      <c r="J1087" s="4"/>
      <c r="K1087" s="4"/>
      <c r="L1087" s="4"/>
      <c r="M1087" s="410"/>
      <c r="N1087" s="4"/>
      <c r="O1087" s="4"/>
      <c r="P1087" s="4"/>
      <c r="Q1087" s="4"/>
      <c r="R1087" s="410"/>
      <c r="S1087" s="4"/>
      <c r="T1087" s="4"/>
      <c r="U1087" s="4"/>
      <c r="V1087" s="4"/>
      <c r="W1087" s="410"/>
      <c r="X1087" s="4"/>
      <c r="Y1087" s="4"/>
      <c r="Z1087" s="4"/>
      <c r="AA1087" s="4"/>
      <c r="AB1087" s="410"/>
      <c r="AC1087" s="4"/>
      <c r="AD1087" s="4"/>
      <c r="AE1087" s="4"/>
      <c r="AF1087" s="4"/>
      <c r="AG1087" s="410"/>
      <c r="AH1087" s="4"/>
      <c r="AI1087" s="4"/>
      <c r="AJ1087" s="4"/>
      <c r="AK1087" s="4"/>
      <c r="AL1087" s="410"/>
      <c r="AM1087" s="4"/>
      <c r="AN1087" s="4"/>
      <c r="AO1087" s="4"/>
      <c r="AP1087" s="4"/>
      <c r="AQ1087" s="410"/>
      <c r="AR1087" s="4"/>
      <c r="AS1087" s="4"/>
      <c r="AT1087" s="4"/>
      <c r="AU1087" s="4"/>
      <c r="AV1087" s="410"/>
      <c r="AW1087" s="4"/>
      <c r="AX1087" s="4"/>
      <c r="AY1087" s="4"/>
      <c r="AZ1087" s="4"/>
      <c r="BA1087" s="410"/>
      <c r="BB1087" s="4"/>
      <c r="BC1087" s="4"/>
      <c r="BD1087" s="4"/>
      <c r="BE1087" s="4"/>
      <c r="BF1087" s="410"/>
      <c r="BG1087" s="4"/>
      <c r="BH1087" s="4"/>
      <c r="BI1087" s="4"/>
      <c r="BJ1087" s="4"/>
      <c r="BK1087" s="410"/>
      <c r="BL1087" s="4"/>
      <c r="BM1087" s="4"/>
      <c r="BN1087" s="4"/>
      <c r="BO1087" s="4"/>
      <c r="BP1087" s="410"/>
      <c r="BQ1087" s="4"/>
      <c r="BR1087" s="4"/>
      <c r="BS1087" s="4"/>
      <c r="BT1087" s="4"/>
      <c r="BU1087" s="410"/>
      <c r="BV1087" s="4"/>
      <c r="BW1087" s="4"/>
      <c r="BX1087" s="4"/>
      <c r="BY1087" s="4"/>
      <c r="BZ1087" s="24"/>
      <c r="CA1087" s="4"/>
      <c r="CB1087" s="4"/>
      <c r="CC1087" s="4"/>
      <c r="CD1087" s="4"/>
      <c r="CE1087" s="24"/>
      <c r="CF1087" s="4"/>
      <c r="CG1087" s="4"/>
      <c r="CH1087" s="4"/>
      <c r="CI1087" s="4"/>
      <c r="CJ1087" s="24"/>
      <c r="CK1087" s="4"/>
      <c r="CL1087" s="4"/>
      <c r="CM1087" s="4"/>
      <c r="CN1087" s="16"/>
      <c r="CO1087" s="24"/>
      <c r="CP1087" s="16"/>
      <c r="CQ1087" s="4"/>
      <c r="CR1087" s="4"/>
      <c r="CS1087" s="4"/>
      <c r="CT1087" s="24"/>
      <c r="CU1087" s="4"/>
      <c r="CV1087" s="4"/>
      <c r="CW1087" s="4"/>
      <c r="CX1087" s="4"/>
      <c r="CY1087" s="24"/>
      <c r="CZ1087" s="4"/>
      <c r="DA1087" s="4"/>
      <c r="DB1087" s="4"/>
      <c r="DC1087" s="4"/>
      <c r="DD1087" s="24"/>
      <c r="DE1087" s="4"/>
      <c r="DF1087" s="4"/>
      <c r="DG1087" s="16"/>
      <c r="DH1087" s="4"/>
      <c r="DI1087" s="24"/>
      <c r="DJ1087" s="16"/>
      <c r="DK1087" s="16"/>
      <c r="DL1087" s="16"/>
      <c r="DM1087" s="4"/>
      <c r="DN1087" s="24"/>
      <c r="DO1087" s="4"/>
      <c r="DP1087" s="4"/>
      <c r="DQ1087" s="4"/>
      <c r="DR1087" s="4"/>
      <c r="DS1087" s="24"/>
      <c r="DT1087" s="4"/>
      <c r="DU1087" s="4"/>
      <c r="DV1087" s="4"/>
      <c r="DW1087" s="4"/>
      <c r="DX1087" s="24"/>
      <c r="DY1087" s="4"/>
      <c r="DZ1087" s="4"/>
      <c r="EA1087" s="4"/>
      <c r="EB1087" s="4"/>
      <c r="EC1087" s="24"/>
      <c r="ED1087" s="4"/>
      <c r="EE1087" s="4"/>
      <c r="EF1087" s="4"/>
      <c r="EG1087" s="4"/>
      <c r="EH1087" s="24"/>
      <c r="EI1087" s="214"/>
      <c r="EJ1087" s="4"/>
      <c r="EK1087" s="4"/>
      <c r="EL1087" s="4"/>
      <c r="EM1087" s="24"/>
      <c r="EN1087" s="4"/>
      <c r="EO1087" s="4"/>
      <c r="EP1087" s="4"/>
      <c r="EQ1087" s="4"/>
      <c r="ER1087" s="24"/>
      <c r="ES1087" s="4"/>
      <c r="ET1087" s="4"/>
      <c r="EU1087" s="4"/>
      <c r="EV1087" s="4"/>
      <c r="EW1087" s="24"/>
      <c r="EX1087" s="4"/>
      <c r="EY1087" s="4"/>
      <c r="EZ1087" s="4"/>
      <c r="FA1087" s="4"/>
      <c r="FB1087" s="24"/>
      <c r="FC1087" s="4"/>
      <c r="FD1087" s="4"/>
      <c r="FE1087" s="4"/>
      <c r="FF1087" s="4"/>
      <c r="FG1087" s="24"/>
      <c r="FH1087" s="104"/>
      <c r="FI1087" s="4"/>
      <c r="FJ1087" s="4"/>
      <c r="FK1087" s="410"/>
      <c r="FL1087" s="4"/>
    </row>
    <row r="1088" ht="12.75" hidden="1" customHeight="1" outlineLevel="1">
      <c r="A1088" s="4"/>
      <c r="B1088" s="45" t="s">
        <v>393</v>
      </c>
      <c r="C1088" s="4"/>
      <c r="D1088" s="4"/>
      <c r="E1088" s="4"/>
      <c r="F1088" s="4"/>
      <c r="G1088" s="4"/>
      <c r="H1088" s="45"/>
      <c r="I1088" s="4"/>
      <c r="J1088" s="4"/>
      <c r="K1088" s="4"/>
      <c r="L1088" s="4"/>
      <c r="M1088" s="45"/>
      <c r="N1088" s="4"/>
      <c r="O1088" s="4"/>
      <c r="P1088" s="4"/>
      <c r="Q1088" s="4"/>
      <c r="R1088" s="45"/>
      <c r="S1088" s="4"/>
      <c r="T1088" s="4"/>
      <c r="U1088" s="4"/>
      <c r="V1088" s="4"/>
      <c r="W1088" s="45"/>
      <c r="X1088" s="4"/>
      <c r="Y1088" s="4"/>
      <c r="Z1088" s="4"/>
      <c r="AA1088" s="4"/>
      <c r="AB1088" s="45"/>
      <c r="AC1088" s="4"/>
      <c r="AD1088" s="4"/>
      <c r="AE1088" s="4"/>
      <c r="AF1088" s="4"/>
      <c r="AG1088" s="45"/>
      <c r="AH1088" s="4"/>
      <c r="AI1088" s="4"/>
      <c r="AJ1088" s="4"/>
      <c r="AK1088" s="4"/>
      <c r="AL1088" s="45"/>
      <c r="AM1088" s="4"/>
      <c r="AN1088" s="4"/>
      <c r="AO1088" s="4"/>
      <c r="AP1088" s="4"/>
      <c r="AQ1088" s="45"/>
      <c r="AR1088" s="4"/>
      <c r="AS1088" s="4"/>
      <c r="AT1088" s="4"/>
      <c r="AU1088" s="4"/>
      <c r="AV1088" s="45"/>
      <c r="AW1088" s="4"/>
      <c r="AX1088" s="4"/>
      <c r="AY1088" s="4"/>
      <c r="AZ1088" s="4"/>
      <c r="BA1088" s="45"/>
      <c r="BB1088" s="4"/>
      <c r="BC1088" s="4"/>
      <c r="BD1088" s="4"/>
      <c r="BE1088" s="4"/>
      <c r="BF1088" s="45"/>
      <c r="BG1088" s="4"/>
      <c r="BH1088" s="4"/>
      <c r="BI1088" s="4"/>
      <c r="BJ1088" s="4"/>
      <c r="BK1088" s="45"/>
      <c r="BL1088" s="4"/>
      <c r="BM1088" s="4"/>
      <c r="BN1088" s="4"/>
      <c r="BO1088" s="4"/>
      <c r="BP1088" s="45"/>
      <c r="BQ1088" s="4"/>
      <c r="BR1088" s="4"/>
      <c r="BS1088" s="4"/>
      <c r="BT1088" s="4"/>
      <c r="BU1088" s="45"/>
      <c r="BV1088" s="4"/>
      <c r="BW1088" s="4"/>
      <c r="BX1088" s="4"/>
      <c r="BY1088" s="4"/>
      <c r="BZ1088" s="350"/>
      <c r="CA1088" s="4"/>
      <c r="CB1088" s="4"/>
      <c r="CC1088" s="4"/>
      <c r="CD1088" s="4"/>
      <c r="CE1088" s="350"/>
      <c r="CF1088" s="4"/>
      <c r="CG1088" s="4"/>
      <c r="CH1088" s="4"/>
      <c r="CI1088" s="4"/>
      <c r="CJ1088" s="350"/>
      <c r="CK1088" s="4"/>
      <c r="CL1088" s="4"/>
      <c r="CM1088" s="4"/>
      <c r="CN1088" s="16"/>
      <c r="CO1088" s="350"/>
      <c r="CP1088" s="16"/>
      <c r="CQ1088" s="4"/>
      <c r="CR1088" s="4"/>
      <c r="CS1088" s="4"/>
      <c r="CT1088" s="350"/>
      <c r="CU1088" s="4"/>
      <c r="CV1088" s="4"/>
      <c r="CW1088" s="4"/>
      <c r="CX1088" s="4"/>
      <c r="CY1088" s="350"/>
      <c r="CZ1088" s="4"/>
      <c r="DA1088" s="4"/>
      <c r="DB1088" s="4"/>
      <c r="DC1088" s="4"/>
      <c r="DD1088" s="350"/>
      <c r="DE1088" s="4"/>
      <c r="DF1088" s="4"/>
      <c r="DG1088" s="16"/>
      <c r="DH1088" s="4"/>
      <c r="DI1088" s="350"/>
      <c r="DJ1088" s="16"/>
      <c r="DK1088" s="16"/>
      <c r="DL1088" s="16"/>
      <c r="DM1088" s="4"/>
      <c r="DN1088" s="350"/>
      <c r="DO1088" s="4"/>
      <c r="DP1088" s="4"/>
      <c r="DQ1088" s="4"/>
      <c r="DR1088" s="4"/>
      <c r="DS1088" s="350"/>
      <c r="DT1088" s="4"/>
      <c r="DU1088" s="4"/>
      <c r="DV1088" s="4"/>
      <c r="DW1088" s="4"/>
      <c r="DX1088" s="350"/>
      <c r="DY1088" s="4"/>
      <c r="DZ1088" s="4"/>
      <c r="EA1088" s="4"/>
      <c r="EB1088" s="4"/>
      <c r="EC1088" s="350"/>
      <c r="ED1088" s="4"/>
      <c r="EE1088" s="4"/>
      <c r="EF1088" s="4"/>
      <c r="EG1088" s="4"/>
      <c r="EH1088" s="350"/>
      <c r="EI1088" s="214"/>
      <c r="EJ1088" s="4"/>
      <c r="EK1088" s="4"/>
      <c r="EL1088" s="4"/>
      <c r="EM1088" s="350"/>
      <c r="EN1088" s="4"/>
      <c r="EO1088" s="4"/>
      <c r="EP1088" s="4"/>
      <c r="EQ1088" s="4"/>
      <c r="ER1088" s="350"/>
      <c r="ES1088" s="4"/>
      <c r="ET1088" s="4"/>
      <c r="EU1088" s="4"/>
      <c r="EV1088" s="4"/>
      <c r="EW1088" s="350"/>
      <c r="EX1088" s="4"/>
      <c r="EY1088" s="4"/>
      <c r="EZ1088" s="4"/>
      <c r="FA1088" s="4"/>
      <c r="FB1088" s="350"/>
      <c r="FC1088" s="4"/>
      <c r="FD1088" s="4"/>
      <c r="FE1088" s="4"/>
      <c r="FF1088" s="4"/>
      <c r="FG1088" s="350"/>
      <c r="FH1088" s="145"/>
      <c r="FI1088" s="4"/>
      <c r="FJ1088" s="4"/>
      <c r="FK1088" s="45"/>
      <c r="FL1088" s="4"/>
    </row>
    <row r="1089" ht="12.75" hidden="1" customHeight="1" outlineLevel="1">
      <c r="A1089" s="4"/>
      <c r="B1089" s="4" t="s">
        <v>394</v>
      </c>
      <c r="C1089" s="4"/>
      <c r="D1089" s="15"/>
      <c r="E1089" s="15"/>
      <c r="F1089" s="15"/>
      <c r="G1089" s="15"/>
      <c r="H1089" s="410"/>
      <c r="I1089" s="15" t="str">
        <f t="shared" ref="I1089:FG1089" si="5513">I1083/I$1085</f>
        <v>#ERROR!</v>
      </c>
      <c r="J1089" s="15" t="str">
        <f t="shared" si="5513"/>
        <v>#ERROR!</v>
      </c>
      <c r="K1089" s="15" t="str">
        <f t="shared" si="5513"/>
        <v>#ERROR!</v>
      </c>
      <c r="L1089" s="15" t="str">
        <f t="shared" si="5513"/>
        <v>#ERROR!</v>
      </c>
      <c r="M1089" s="410" t="str">
        <f t="shared" si="5513"/>
        <v>#ERROR!</v>
      </c>
      <c r="N1089" s="15" t="str">
        <f t="shared" si="5513"/>
        <v>#ERROR!</v>
      </c>
      <c r="O1089" s="15" t="str">
        <f t="shared" si="5513"/>
        <v>#ERROR!</v>
      </c>
      <c r="P1089" s="15" t="str">
        <f t="shared" si="5513"/>
        <v>#ERROR!</v>
      </c>
      <c r="Q1089" s="15" t="str">
        <f t="shared" si="5513"/>
        <v>#ERROR!</v>
      </c>
      <c r="R1089" s="410" t="str">
        <f t="shared" si="5513"/>
        <v>#ERROR!</v>
      </c>
      <c r="S1089" s="15" t="str">
        <f t="shared" si="5513"/>
        <v>#ERROR!</v>
      </c>
      <c r="T1089" s="15" t="str">
        <f t="shared" si="5513"/>
        <v>#ERROR!</v>
      </c>
      <c r="U1089" s="15" t="str">
        <f t="shared" si="5513"/>
        <v>#ERROR!</v>
      </c>
      <c r="V1089" s="15" t="str">
        <f t="shared" si="5513"/>
        <v>#ERROR!</v>
      </c>
      <c r="W1089" s="410" t="str">
        <f t="shared" si="5513"/>
        <v>#ERROR!</v>
      </c>
      <c r="X1089" s="15" t="str">
        <f t="shared" si="5513"/>
        <v>#ERROR!</v>
      </c>
      <c r="Y1089" s="15" t="str">
        <f t="shared" si="5513"/>
        <v>#ERROR!</v>
      </c>
      <c r="Z1089" s="15" t="str">
        <f t="shared" si="5513"/>
        <v>#ERROR!</v>
      </c>
      <c r="AA1089" s="15" t="str">
        <f t="shared" si="5513"/>
        <v>#ERROR!</v>
      </c>
      <c r="AB1089" s="410" t="str">
        <f t="shared" si="5513"/>
        <v>#ERROR!</v>
      </c>
      <c r="AC1089" s="15" t="str">
        <f t="shared" si="5513"/>
        <v>#ERROR!</v>
      </c>
      <c r="AD1089" s="15" t="str">
        <f t="shared" si="5513"/>
        <v>#ERROR!</v>
      </c>
      <c r="AE1089" s="15" t="str">
        <f t="shared" si="5513"/>
        <v>#ERROR!</v>
      </c>
      <c r="AF1089" s="15" t="str">
        <f t="shared" si="5513"/>
        <v>#ERROR!</v>
      </c>
      <c r="AG1089" s="410" t="str">
        <f t="shared" si="5513"/>
        <v>#ERROR!</v>
      </c>
      <c r="AH1089" s="15" t="str">
        <f t="shared" si="5513"/>
        <v>#ERROR!</v>
      </c>
      <c r="AI1089" s="15" t="str">
        <f t="shared" si="5513"/>
        <v>#ERROR!</v>
      </c>
      <c r="AJ1089" s="15" t="str">
        <f t="shared" si="5513"/>
        <v>#ERROR!</v>
      </c>
      <c r="AK1089" s="15" t="str">
        <f t="shared" si="5513"/>
        <v>#ERROR!</v>
      </c>
      <c r="AL1089" s="410" t="str">
        <f t="shared" si="5513"/>
        <v>#ERROR!</v>
      </c>
      <c r="AM1089" s="15" t="str">
        <f t="shared" si="5513"/>
        <v>#ERROR!</v>
      </c>
      <c r="AN1089" s="15" t="str">
        <f t="shared" si="5513"/>
        <v>#ERROR!</v>
      </c>
      <c r="AO1089" s="15" t="str">
        <f t="shared" si="5513"/>
        <v>#ERROR!</v>
      </c>
      <c r="AP1089" s="15" t="str">
        <f t="shared" si="5513"/>
        <v>#ERROR!</v>
      </c>
      <c r="AQ1089" s="410" t="str">
        <f t="shared" si="5513"/>
        <v>#ERROR!</v>
      </c>
      <c r="AR1089" s="15" t="str">
        <f t="shared" si="5513"/>
        <v>#ERROR!</v>
      </c>
      <c r="AS1089" s="15" t="str">
        <f t="shared" si="5513"/>
        <v>#ERROR!</v>
      </c>
      <c r="AT1089" s="15" t="str">
        <f t="shared" si="5513"/>
        <v>#ERROR!</v>
      </c>
      <c r="AU1089" s="15" t="str">
        <f t="shared" si="5513"/>
        <v>#ERROR!</v>
      </c>
      <c r="AV1089" s="410" t="str">
        <f t="shared" si="5513"/>
        <v>#ERROR!</v>
      </c>
      <c r="AW1089" s="15" t="str">
        <f t="shared" si="5513"/>
        <v>#ERROR!</v>
      </c>
      <c r="AX1089" s="15" t="str">
        <f t="shared" si="5513"/>
        <v>#ERROR!</v>
      </c>
      <c r="AY1089" s="15" t="str">
        <f t="shared" si="5513"/>
        <v>#ERROR!</v>
      </c>
      <c r="AZ1089" s="15" t="str">
        <f t="shared" si="5513"/>
        <v>#ERROR!</v>
      </c>
      <c r="BA1089" s="410" t="str">
        <f t="shared" si="5513"/>
        <v>#ERROR!</v>
      </c>
      <c r="BB1089" s="15" t="str">
        <f t="shared" si="5513"/>
        <v>#ERROR!</v>
      </c>
      <c r="BC1089" s="15" t="str">
        <f t="shared" si="5513"/>
        <v>#ERROR!</v>
      </c>
      <c r="BD1089" s="15" t="str">
        <f t="shared" si="5513"/>
        <v>#ERROR!</v>
      </c>
      <c r="BE1089" s="15" t="str">
        <f t="shared" si="5513"/>
        <v>#ERROR!</v>
      </c>
      <c r="BF1089" s="410" t="str">
        <f t="shared" si="5513"/>
        <v>#ERROR!</v>
      </c>
      <c r="BG1089" s="15" t="str">
        <f t="shared" si="5513"/>
        <v>#ERROR!</v>
      </c>
      <c r="BH1089" s="15" t="str">
        <f t="shared" si="5513"/>
        <v>#ERROR!</v>
      </c>
      <c r="BI1089" s="15" t="str">
        <f t="shared" si="5513"/>
        <v>#ERROR!</v>
      </c>
      <c r="BJ1089" s="15" t="str">
        <f t="shared" si="5513"/>
        <v>#ERROR!</v>
      </c>
      <c r="BK1089" s="410" t="str">
        <f t="shared" si="5513"/>
        <v>#ERROR!</v>
      </c>
      <c r="BL1089" s="15" t="str">
        <f t="shared" si="5513"/>
        <v>#ERROR!</v>
      </c>
      <c r="BM1089" s="15" t="str">
        <f t="shared" si="5513"/>
        <v>#ERROR!</v>
      </c>
      <c r="BN1089" s="15" t="str">
        <f t="shared" si="5513"/>
        <v>#ERROR!</v>
      </c>
      <c r="BO1089" s="15" t="str">
        <f t="shared" si="5513"/>
        <v>#ERROR!</v>
      </c>
      <c r="BP1089" s="410" t="str">
        <f t="shared" si="5513"/>
        <v>#ERROR!</v>
      </c>
      <c r="BQ1089" s="15" t="str">
        <f t="shared" si="5513"/>
        <v>#ERROR!</v>
      </c>
      <c r="BR1089" s="15" t="str">
        <f t="shared" si="5513"/>
        <v>#ERROR!</v>
      </c>
      <c r="BS1089" s="15" t="str">
        <f t="shared" si="5513"/>
        <v>#ERROR!</v>
      </c>
      <c r="BT1089" s="15" t="str">
        <f t="shared" si="5513"/>
        <v>#ERROR!</v>
      </c>
      <c r="BU1089" s="410" t="str">
        <f t="shared" si="5513"/>
        <v>#ERROR!</v>
      </c>
      <c r="BV1089" s="15" t="str">
        <f t="shared" si="5513"/>
        <v>#ERROR!</v>
      </c>
      <c r="BW1089" s="15" t="str">
        <f t="shared" si="5513"/>
        <v>#ERROR!</v>
      </c>
      <c r="BX1089" s="15" t="str">
        <f t="shared" si="5513"/>
        <v>#ERROR!</v>
      </c>
      <c r="BY1089" s="15" t="str">
        <f t="shared" si="5513"/>
        <v>#ERROR!</v>
      </c>
      <c r="BZ1089" s="24" t="str">
        <f t="shared" si="5513"/>
        <v>#ERROR!</v>
      </c>
      <c r="CA1089" s="15" t="str">
        <f t="shared" si="5513"/>
        <v>#ERROR!</v>
      </c>
      <c r="CB1089" s="15" t="str">
        <f t="shared" si="5513"/>
        <v>#ERROR!</v>
      </c>
      <c r="CC1089" s="15" t="str">
        <f t="shared" si="5513"/>
        <v>#ERROR!</v>
      </c>
      <c r="CD1089" s="15" t="str">
        <f t="shared" si="5513"/>
        <v>#ERROR!</v>
      </c>
      <c r="CE1089" s="24" t="str">
        <f t="shared" si="5513"/>
        <v>#ERROR!</v>
      </c>
      <c r="CF1089" s="15" t="str">
        <f t="shared" si="5513"/>
        <v>#ERROR!</v>
      </c>
      <c r="CG1089" s="15" t="str">
        <f t="shared" si="5513"/>
        <v>#ERROR!</v>
      </c>
      <c r="CH1089" s="15" t="str">
        <f t="shared" si="5513"/>
        <v>#ERROR!</v>
      </c>
      <c r="CI1089" s="15" t="str">
        <f t="shared" si="5513"/>
        <v>#ERROR!</v>
      </c>
      <c r="CJ1089" s="24" t="str">
        <f t="shared" si="5513"/>
        <v>#ERROR!</v>
      </c>
      <c r="CK1089" s="15" t="str">
        <f t="shared" si="5513"/>
        <v>#ERROR!</v>
      </c>
      <c r="CL1089" s="15" t="str">
        <f t="shared" si="5513"/>
        <v>#ERROR!</v>
      </c>
      <c r="CM1089" s="15" t="str">
        <f t="shared" si="5513"/>
        <v>#ERROR!</v>
      </c>
      <c r="CN1089" s="40" t="str">
        <f t="shared" si="5513"/>
        <v>#ERROR!</v>
      </c>
      <c r="CO1089" s="24" t="str">
        <f t="shared" si="5513"/>
        <v>#ERROR!</v>
      </c>
      <c r="CP1089" s="40" t="str">
        <f t="shared" si="5513"/>
        <v>#ERROR!</v>
      </c>
      <c r="CQ1089" s="15" t="str">
        <f t="shared" si="5513"/>
        <v>#ERROR!</v>
      </c>
      <c r="CR1089" s="15" t="str">
        <f t="shared" si="5513"/>
        <v>#ERROR!</v>
      </c>
      <c r="CS1089" s="15" t="str">
        <f t="shared" si="5513"/>
        <v>#ERROR!</v>
      </c>
      <c r="CT1089" s="24" t="str">
        <f t="shared" si="5513"/>
        <v>#ERROR!</v>
      </c>
      <c r="CU1089" s="15" t="str">
        <f t="shared" si="5513"/>
        <v>#ERROR!</v>
      </c>
      <c r="CV1089" s="15" t="str">
        <f t="shared" si="5513"/>
        <v>#ERROR!</v>
      </c>
      <c r="CW1089" s="15" t="str">
        <f t="shared" si="5513"/>
        <v>#ERROR!</v>
      </c>
      <c r="CX1089" s="15" t="str">
        <f t="shared" si="5513"/>
        <v>#ERROR!</v>
      </c>
      <c r="CY1089" s="24" t="str">
        <f t="shared" si="5513"/>
        <v>#ERROR!</v>
      </c>
      <c r="CZ1089" s="15" t="str">
        <f t="shared" si="5513"/>
        <v>#ERROR!</v>
      </c>
      <c r="DA1089" s="15" t="str">
        <f t="shared" si="5513"/>
        <v>#ERROR!</v>
      </c>
      <c r="DB1089" s="15" t="str">
        <f t="shared" si="5513"/>
        <v>#ERROR!</v>
      </c>
      <c r="DC1089" s="15" t="str">
        <f t="shared" si="5513"/>
        <v>#ERROR!</v>
      </c>
      <c r="DD1089" s="24" t="str">
        <f t="shared" si="5513"/>
        <v>#ERROR!</v>
      </c>
      <c r="DE1089" s="15" t="str">
        <f t="shared" si="5513"/>
        <v>#ERROR!</v>
      </c>
      <c r="DF1089" s="15" t="str">
        <f t="shared" si="5513"/>
        <v>#ERROR!</v>
      </c>
      <c r="DG1089" s="40" t="str">
        <f t="shared" si="5513"/>
        <v>#ERROR!</v>
      </c>
      <c r="DH1089" s="15" t="str">
        <f t="shared" si="5513"/>
        <v>#ERROR!</v>
      </c>
      <c r="DI1089" s="24" t="str">
        <f t="shared" si="5513"/>
        <v>#ERROR!</v>
      </c>
      <c r="DJ1089" s="40" t="str">
        <f t="shared" si="5513"/>
        <v>#ERROR!</v>
      </c>
      <c r="DK1089" s="40" t="str">
        <f t="shared" si="5513"/>
        <v>#ERROR!</v>
      </c>
      <c r="DL1089" s="40" t="str">
        <f t="shared" si="5513"/>
        <v>#ERROR!</v>
      </c>
      <c r="DM1089" s="15" t="str">
        <f t="shared" si="5513"/>
        <v>#ERROR!</v>
      </c>
      <c r="DN1089" s="24" t="str">
        <f t="shared" si="5513"/>
        <v>#ERROR!</v>
      </c>
      <c r="DO1089" s="15" t="str">
        <f t="shared" si="5513"/>
        <v>#ERROR!</v>
      </c>
      <c r="DP1089" s="15" t="str">
        <f t="shared" si="5513"/>
        <v>#ERROR!</v>
      </c>
      <c r="DQ1089" s="15" t="str">
        <f t="shared" si="5513"/>
        <v>#ERROR!</v>
      </c>
      <c r="DR1089" s="15" t="str">
        <f t="shared" si="5513"/>
        <v>#ERROR!</v>
      </c>
      <c r="DS1089" s="24" t="str">
        <f t="shared" si="5513"/>
        <v>#ERROR!</v>
      </c>
      <c r="DT1089" s="15" t="str">
        <f t="shared" si="5513"/>
        <v>#ERROR!</v>
      </c>
      <c r="DU1089" s="15" t="str">
        <f t="shared" si="5513"/>
        <v>#ERROR!</v>
      </c>
      <c r="DV1089" s="15" t="str">
        <f t="shared" si="5513"/>
        <v>#ERROR!</v>
      </c>
      <c r="DW1089" s="15" t="str">
        <f t="shared" si="5513"/>
        <v>#ERROR!</v>
      </c>
      <c r="DX1089" s="24" t="str">
        <f t="shared" si="5513"/>
        <v>#ERROR!</v>
      </c>
      <c r="DY1089" s="15" t="str">
        <f t="shared" si="5513"/>
        <v>#ERROR!</v>
      </c>
      <c r="DZ1089" s="15" t="str">
        <f t="shared" si="5513"/>
        <v>#ERROR!</v>
      </c>
      <c r="EA1089" s="15" t="str">
        <f t="shared" si="5513"/>
        <v>#ERROR!</v>
      </c>
      <c r="EB1089" s="15" t="str">
        <f t="shared" si="5513"/>
        <v>#ERROR!</v>
      </c>
      <c r="EC1089" s="24" t="str">
        <f t="shared" si="5513"/>
        <v>#ERROR!</v>
      </c>
      <c r="ED1089" s="15" t="str">
        <f t="shared" si="5513"/>
        <v>#ERROR!</v>
      </c>
      <c r="EE1089" s="15" t="str">
        <f t="shared" si="5513"/>
        <v>#ERROR!</v>
      </c>
      <c r="EF1089" s="15" t="str">
        <f t="shared" si="5513"/>
        <v>#ERROR!</v>
      </c>
      <c r="EG1089" s="15" t="str">
        <f t="shared" si="5513"/>
        <v>#ERROR!</v>
      </c>
      <c r="EH1089" s="24" t="str">
        <f t="shared" si="5513"/>
        <v>#ERROR!</v>
      </c>
      <c r="EI1089" s="82" t="str">
        <f t="shared" si="5513"/>
        <v>#ERROR!</v>
      </c>
      <c r="EJ1089" s="15" t="str">
        <f t="shared" si="5513"/>
        <v>#ERROR!</v>
      </c>
      <c r="EK1089" s="15" t="str">
        <f t="shared" si="5513"/>
        <v>#ERROR!</v>
      </c>
      <c r="EL1089" s="15" t="str">
        <f t="shared" si="5513"/>
        <v>#ERROR!</v>
      </c>
      <c r="EM1089" s="24" t="str">
        <f t="shared" si="5513"/>
        <v>#ERROR!</v>
      </c>
      <c r="EN1089" s="15" t="str">
        <f t="shared" si="5513"/>
        <v>#ERROR!</v>
      </c>
      <c r="EO1089" s="15" t="str">
        <f t="shared" si="5513"/>
        <v>#ERROR!</v>
      </c>
      <c r="EP1089" s="15" t="str">
        <f t="shared" si="5513"/>
        <v>#ERROR!</v>
      </c>
      <c r="EQ1089" s="15" t="str">
        <f t="shared" si="5513"/>
        <v>#ERROR!</v>
      </c>
      <c r="ER1089" s="24" t="str">
        <f t="shared" si="5513"/>
        <v>#ERROR!</v>
      </c>
      <c r="ES1089" s="15" t="str">
        <f t="shared" si="5513"/>
        <v>#ERROR!</v>
      </c>
      <c r="ET1089" s="15" t="str">
        <f t="shared" si="5513"/>
        <v>#ERROR!</v>
      </c>
      <c r="EU1089" s="15" t="str">
        <f t="shared" si="5513"/>
        <v>#ERROR!</v>
      </c>
      <c r="EV1089" s="15" t="str">
        <f t="shared" si="5513"/>
        <v>#ERROR!</v>
      </c>
      <c r="EW1089" s="24" t="str">
        <f t="shared" si="5513"/>
        <v>#ERROR!</v>
      </c>
      <c r="EX1089" s="15" t="str">
        <f t="shared" si="5513"/>
        <v>#ERROR!</v>
      </c>
      <c r="EY1089" s="15" t="str">
        <f t="shared" si="5513"/>
        <v>#ERROR!</v>
      </c>
      <c r="EZ1089" s="15" t="str">
        <f t="shared" si="5513"/>
        <v>#ERROR!</v>
      </c>
      <c r="FA1089" s="15" t="str">
        <f t="shared" si="5513"/>
        <v>#ERROR!</v>
      </c>
      <c r="FB1089" s="24" t="str">
        <f t="shared" si="5513"/>
        <v>#ERROR!</v>
      </c>
      <c r="FC1089" s="15" t="str">
        <f t="shared" si="5513"/>
        <v>#ERROR!</v>
      </c>
      <c r="FD1089" s="15" t="str">
        <f t="shared" si="5513"/>
        <v>#ERROR!</v>
      </c>
      <c r="FE1089" s="15" t="str">
        <f t="shared" si="5513"/>
        <v>#ERROR!</v>
      </c>
      <c r="FF1089" s="15" t="str">
        <f t="shared" si="5513"/>
        <v>#ERROR!</v>
      </c>
      <c r="FG1089" s="24" t="str">
        <f t="shared" si="5513"/>
        <v>#ERROR!</v>
      </c>
      <c r="FH1089" s="104"/>
      <c r="FI1089" s="15"/>
      <c r="FJ1089" s="15"/>
      <c r="FK1089" s="410"/>
      <c r="FL1089" s="15"/>
    </row>
    <row r="1090" ht="12.75" hidden="1" customHeight="1" outlineLevel="1">
      <c r="A1090" s="4"/>
      <c r="B1090" s="4" t="s">
        <v>395</v>
      </c>
      <c r="C1090" s="4"/>
      <c r="D1090" s="15"/>
      <c r="E1090" s="15"/>
      <c r="F1090" s="15"/>
      <c r="G1090" s="15"/>
      <c r="H1090" s="410"/>
      <c r="I1090" s="15" t="str">
        <f t="shared" ref="I1090:FG1090" si="5514">I1084/I$1085</f>
        <v>#REF!</v>
      </c>
      <c r="J1090" s="15" t="str">
        <f t="shared" si="5514"/>
        <v>#REF!</v>
      </c>
      <c r="K1090" s="15" t="str">
        <f t="shared" si="5514"/>
        <v>#REF!</v>
      </c>
      <c r="L1090" s="15" t="str">
        <f t="shared" si="5514"/>
        <v>#REF!</v>
      </c>
      <c r="M1090" s="410" t="str">
        <f t="shared" si="5514"/>
        <v>#REF!</v>
      </c>
      <c r="N1090" s="15" t="str">
        <f t="shared" si="5514"/>
        <v>#REF!</v>
      </c>
      <c r="O1090" s="15" t="str">
        <f t="shared" si="5514"/>
        <v>#REF!</v>
      </c>
      <c r="P1090" s="15" t="str">
        <f t="shared" si="5514"/>
        <v>#REF!</v>
      </c>
      <c r="Q1090" s="15" t="str">
        <f t="shared" si="5514"/>
        <v>#REF!</v>
      </c>
      <c r="R1090" s="410" t="str">
        <f t="shared" si="5514"/>
        <v>#REF!</v>
      </c>
      <c r="S1090" s="15" t="str">
        <f t="shared" si="5514"/>
        <v>#REF!</v>
      </c>
      <c r="T1090" s="15" t="str">
        <f t="shared" si="5514"/>
        <v>#REF!</v>
      </c>
      <c r="U1090" s="15" t="str">
        <f t="shared" si="5514"/>
        <v>#REF!</v>
      </c>
      <c r="V1090" s="15" t="str">
        <f t="shared" si="5514"/>
        <v>#REF!</v>
      </c>
      <c r="W1090" s="410" t="str">
        <f t="shared" si="5514"/>
        <v>#REF!</v>
      </c>
      <c r="X1090" s="15" t="str">
        <f t="shared" si="5514"/>
        <v>#REF!</v>
      </c>
      <c r="Y1090" s="15" t="str">
        <f t="shared" si="5514"/>
        <v>#REF!</v>
      </c>
      <c r="Z1090" s="15" t="str">
        <f t="shared" si="5514"/>
        <v>#REF!</v>
      </c>
      <c r="AA1090" s="15" t="str">
        <f t="shared" si="5514"/>
        <v>#REF!</v>
      </c>
      <c r="AB1090" s="410" t="str">
        <f t="shared" si="5514"/>
        <v>#REF!</v>
      </c>
      <c r="AC1090" s="15" t="str">
        <f t="shared" si="5514"/>
        <v>#REF!</v>
      </c>
      <c r="AD1090" s="15" t="str">
        <f t="shared" si="5514"/>
        <v>#REF!</v>
      </c>
      <c r="AE1090" s="15" t="str">
        <f t="shared" si="5514"/>
        <v>#REF!</v>
      </c>
      <c r="AF1090" s="15" t="str">
        <f t="shared" si="5514"/>
        <v>#REF!</v>
      </c>
      <c r="AG1090" s="410" t="str">
        <f t="shared" si="5514"/>
        <v>#REF!</v>
      </c>
      <c r="AH1090" s="15" t="str">
        <f t="shared" si="5514"/>
        <v>#REF!</v>
      </c>
      <c r="AI1090" s="15" t="str">
        <f t="shared" si="5514"/>
        <v>#REF!</v>
      </c>
      <c r="AJ1090" s="15" t="str">
        <f t="shared" si="5514"/>
        <v>#REF!</v>
      </c>
      <c r="AK1090" s="15" t="str">
        <f t="shared" si="5514"/>
        <v>#REF!</v>
      </c>
      <c r="AL1090" s="410" t="str">
        <f t="shared" si="5514"/>
        <v>#REF!</v>
      </c>
      <c r="AM1090" s="15" t="str">
        <f t="shared" si="5514"/>
        <v>#REF!</v>
      </c>
      <c r="AN1090" s="15" t="str">
        <f t="shared" si="5514"/>
        <v>#REF!</v>
      </c>
      <c r="AO1090" s="15" t="str">
        <f t="shared" si="5514"/>
        <v>#REF!</v>
      </c>
      <c r="AP1090" s="15" t="str">
        <f t="shared" si="5514"/>
        <v>#REF!</v>
      </c>
      <c r="AQ1090" s="410" t="str">
        <f t="shared" si="5514"/>
        <v>#REF!</v>
      </c>
      <c r="AR1090" s="15" t="str">
        <f t="shared" si="5514"/>
        <v>#REF!</v>
      </c>
      <c r="AS1090" s="15" t="str">
        <f t="shared" si="5514"/>
        <v>#REF!</v>
      </c>
      <c r="AT1090" s="15" t="str">
        <f t="shared" si="5514"/>
        <v>#REF!</v>
      </c>
      <c r="AU1090" s="15" t="str">
        <f t="shared" si="5514"/>
        <v>#REF!</v>
      </c>
      <c r="AV1090" s="410" t="str">
        <f t="shared" si="5514"/>
        <v>#REF!</v>
      </c>
      <c r="AW1090" s="15" t="str">
        <f t="shared" si="5514"/>
        <v>#REF!</v>
      </c>
      <c r="AX1090" s="15" t="str">
        <f t="shared" si="5514"/>
        <v>#REF!</v>
      </c>
      <c r="AY1090" s="15" t="str">
        <f t="shared" si="5514"/>
        <v>#REF!</v>
      </c>
      <c r="AZ1090" s="15" t="str">
        <f t="shared" si="5514"/>
        <v>#REF!</v>
      </c>
      <c r="BA1090" s="410" t="str">
        <f t="shared" si="5514"/>
        <v>#REF!</v>
      </c>
      <c r="BB1090" s="15" t="str">
        <f t="shared" si="5514"/>
        <v>#REF!</v>
      </c>
      <c r="BC1090" s="15" t="str">
        <f t="shared" si="5514"/>
        <v>#REF!</v>
      </c>
      <c r="BD1090" s="15" t="str">
        <f t="shared" si="5514"/>
        <v>#REF!</v>
      </c>
      <c r="BE1090" s="15" t="str">
        <f t="shared" si="5514"/>
        <v>#REF!</v>
      </c>
      <c r="BF1090" s="410" t="str">
        <f t="shared" si="5514"/>
        <v>#REF!</v>
      </c>
      <c r="BG1090" s="15" t="str">
        <f t="shared" si="5514"/>
        <v>#REF!</v>
      </c>
      <c r="BH1090" s="15" t="str">
        <f t="shared" si="5514"/>
        <v>#REF!</v>
      </c>
      <c r="BI1090" s="15" t="str">
        <f t="shared" si="5514"/>
        <v>#REF!</v>
      </c>
      <c r="BJ1090" s="15" t="str">
        <f t="shared" si="5514"/>
        <v>#REF!</v>
      </c>
      <c r="BK1090" s="410" t="str">
        <f t="shared" si="5514"/>
        <v>#REF!</v>
      </c>
      <c r="BL1090" s="15" t="str">
        <f t="shared" si="5514"/>
        <v>#REF!</v>
      </c>
      <c r="BM1090" s="15" t="str">
        <f t="shared" si="5514"/>
        <v>#REF!</v>
      </c>
      <c r="BN1090" s="15" t="str">
        <f t="shared" si="5514"/>
        <v>#REF!</v>
      </c>
      <c r="BO1090" s="15" t="str">
        <f t="shared" si="5514"/>
        <v>#REF!</v>
      </c>
      <c r="BP1090" s="410" t="str">
        <f t="shared" si="5514"/>
        <v>#REF!</v>
      </c>
      <c r="BQ1090" s="15" t="str">
        <f t="shared" si="5514"/>
        <v>#REF!</v>
      </c>
      <c r="BR1090" s="15" t="str">
        <f t="shared" si="5514"/>
        <v>#REF!</v>
      </c>
      <c r="BS1090" s="15" t="str">
        <f t="shared" si="5514"/>
        <v>#REF!</v>
      </c>
      <c r="BT1090" s="15" t="str">
        <f t="shared" si="5514"/>
        <v>#REF!</v>
      </c>
      <c r="BU1090" s="410" t="str">
        <f t="shared" si="5514"/>
        <v>#REF!</v>
      </c>
      <c r="BV1090" s="15" t="str">
        <f t="shared" si="5514"/>
        <v>#REF!</v>
      </c>
      <c r="BW1090" s="15" t="str">
        <f t="shared" si="5514"/>
        <v>#REF!</v>
      </c>
      <c r="BX1090" s="15" t="str">
        <f t="shared" si="5514"/>
        <v>#REF!</v>
      </c>
      <c r="BY1090" s="15" t="str">
        <f t="shared" si="5514"/>
        <v>#REF!</v>
      </c>
      <c r="BZ1090" s="24" t="str">
        <f t="shared" si="5514"/>
        <v>#REF!</v>
      </c>
      <c r="CA1090" s="15" t="str">
        <f t="shared" si="5514"/>
        <v>#REF!</v>
      </c>
      <c r="CB1090" s="15" t="str">
        <f t="shared" si="5514"/>
        <v>#REF!</v>
      </c>
      <c r="CC1090" s="15" t="str">
        <f t="shared" si="5514"/>
        <v>#REF!</v>
      </c>
      <c r="CD1090" s="15" t="str">
        <f t="shared" si="5514"/>
        <v>#REF!</v>
      </c>
      <c r="CE1090" s="24" t="str">
        <f t="shared" si="5514"/>
        <v>#REF!</v>
      </c>
      <c r="CF1090" s="15" t="str">
        <f t="shared" si="5514"/>
        <v>#REF!</v>
      </c>
      <c r="CG1090" s="15" t="str">
        <f t="shared" si="5514"/>
        <v>#REF!</v>
      </c>
      <c r="CH1090" s="15" t="str">
        <f t="shared" si="5514"/>
        <v>#REF!</v>
      </c>
      <c r="CI1090" s="15" t="str">
        <f t="shared" si="5514"/>
        <v>#REF!</v>
      </c>
      <c r="CJ1090" s="24" t="str">
        <f t="shared" si="5514"/>
        <v>#REF!</v>
      </c>
      <c r="CK1090" s="15" t="str">
        <f t="shared" si="5514"/>
        <v>#REF!</v>
      </c>
      <c r="CL1090" s="15" t="str">
        <f t="shared" si="5514"/>
        <v>#REF!</v>
      </c>
      <c r="CM1090" s="15" t="str">
        <f t="shared" si="5514"/>
        <v>#REF!</v>
      </c>
      <c r="CN1090" s="40" t="str">
        <f t="shared" si="5514"/>
        <v>#REF!</v>
      </c>
      <c r="CO1090" s="24" t="str">
        <f t="shared" si="5514"/>
        <v>#REF!</v>
      </c>
      <c r="CP1090" s="40" t="str">
        <f t="shared" si="5514"/>
        <v>#REF!</v>
      </c>
      <c r="CQ1090" s="15" t="str">
        <f t="shared" si="5514"/>
        <v>#REF!</v>
      </c>
      <c r="CR1090" s="15" t="str">
        <f t="shared" si="5514"/>
        <v>#REF!</v>
      </c>
      <c r="CS1090" s="15" t="str">
        <f t="shared" si="5514"/>
        <v>#REF!</v>
      </c>
      <c r="CT1090" s="24" t="str">
        <f t="shared" si="5514"/>
        <v>#REF!</v>
      </c>
      <c r="CU1090" s="15" t="str">
        <f t="shared" si="5514"/>
        <v>#REF!</v>
      </c>
      <c r="CV1090" s="15" t="str">
        <f t="shared" si="5514"/>
        <v>#REF!</v>
      </c>
      <c r="CW1090" s="15" t="str">
        <f t="shared" si="5514"/>
        <v>#REF!</v>
      </c>
      <c r="CX1090" s="15" t="str">
        <f t="shared" si="5514"/>
        <v>#REF!</v>
      </c>
      <c r="CY1090" s="24" t="str">
        <f t="shared" si="5514"/>
        <v>#REF!</v>
      </c>
      <c r="CZ1090" s="15" t="str">
        <f t="shared" si="5514"/>
        <v>#REF!</v>
      </c>
      <c r="DA1090" s="15" t="str">
        <f t="shared" si="5514"/>
        <v>#REF!</v>
      </c>
      <c r="DB1090" s="15" t="str">
        <f t="shared" si="5514"/>
        <v>#REF!</v>
      </c>
      <c r="DC1090" s="15" t="str">
        <f t="shared" si="5514"/>
        <v>#REF!</v>
      </c>
      <c r="DD1090" s="24" t="str">
        <f t="shared" si="5514"/>
        <v>#REF!</v>
      </c>
      <c r="DE1090" s="15" t="str">
        <f t="shared" si="5514"/>
        <v>#REF!</v>
      </c>
      <c r="DF1090" s="15" t="str">
        <f t="shared" si="5514"/>
        <v>#REF!</v>
      </c>
      <c r="DG1090" s="40" t="str">
        <f t="shared" si="5514"/>
        <v>#REF!</v>
      </c>
      <c r="DH1090" s="15" t="str">
        <f t="shared" si="5514"/>
        <v>#REF!</v>
      </c>
      <c r="DI1090" s="24" t="str">
        <f t="shared" si="5514"/>
        <v>#REF!</v>
      </c>
      <c r="DJ1090" s="40" t="str">
        <f t="shared" si="5514"/>
        <v>#REF!</v>
      </c>
      <c r="DK1090" s="40" t="str">
        <f t="shared" si="5514"/>
        <v>#REF!</v>
      </c>
      <c r="DL1090" s="40" t="str">
        <f t="shared" si="5514"/>
        <v>#REF!</v>
      </c>
      <c r="DM1090" s="15" t="str">
        <f t="shared" si="5514"/>
        <v>#REF!</v>
      </c>
      <c r="DN1090" s="24" t="str">
        <f t="shared" si="5514"/>
        <v>#REF!</v>
      </c>
      <c r="DO1090" s="15" t="str">
        <f t="shared" si="5514"/>
        <v>#REF!</v>
      </c>
      <c r="DP1090" s="15" t="str">
        <f t="shared" si="5514"/>
        <v>#REF!</v>
      </c>
      <c r="DQ1090" s="15" t="str">
        <f t="shared" si="5514"/>
        <v>#REF!</v>
      </c>
      <c r="DR1090" s="15" t="str">
        <f t="shared" si="5514"/>
        <v>#REF!</v>
      </c>
      <c r="DS1090" s="24" t="str">
        <f t="shared" si="5514"/>
        <v>#REF!</v>
      </c>
      <c r="DT1090" s="15" t="str">
        <f t="shared" si="5514"/>
        <v>#REF!</v>
      </c>
      <c r="DU1090" s="15" t="str">
        <f t="shared" si="5514"/>
        <v>#REF!</v>
      </c>
      <c r="DV1090" s="15" t="str">
        <f t="shared" si="5514"/>
        <v>#REF!</v>
      </c>
      <c r="DW1090" s="15" t="str">
        <f t="shared" si="5514"/>
        <v>#REF!</v>
      </c>
      <c r="DX1090" s="24" t="str">
        <f t="shared" si="5514"/>
        <v>#REF!</v>
      </c>
      <c r="DY1090" s="15" t="str">
        <f t="shared" si="5514"/>
        <v>#REF!</v>
      </c>
      <c r="DZ1090" s="15" t="str">
        <f t="shared" si="5514"/>
        <v>#REF!</v>
      </c>
      <c r="EA1090" s="15" t="str">
        <f t="shared" si="5514"/>
        <v>#REF!</v>
      </c>
      <c r="EB1090" s="15" t="str">
        <f t="shared" si="5514"/>
        <v>#REF!</v>
      </c>
      <c r="EC1090" s="24" t="str">
        <f t="shared" si="5514"/>
        <v>#REF!</v>
      </c>
      <c r="ED1090" s="15" t="str">
        <f t="shared" si="5514"/>
        <v>#REF!</v>
      </c>
      <c r="EE1090" s="15" t="str">
        <f t="shared" si="5514"/>
        <v>#REF!</v>
      </c>
      <c r="EF1090" s="15" t="str">
        <f t="shared" si="5514"/>
        <v>#REF!</v>
      </c>
      <c r="EG1090" s="15" t="str">
        <f t="shared" si="5514"/>
        <v>#REF!</v>
      </c>
      <c r="EH1090" s="24" t="str">
        <f t="shared" si="5514"/>
        <v>#REF!</v>
      </c>
      <c r="EI1090" s="82" t="str">
        <f t="shared" si="5514"/>
        <v>#REF!</v>
      </c>
      <c r="EJ1090" s="15" t="str">
        <f t="shared" si="5514"/>
        <v>#REF!</v>
      </c>
      <c r="EK1090" s="15" t="str">
        <f t="shared" si="5514"/>
        <v>#REF!</v>
      </c>
      <c r="EL1090" s="15" t="str">
        <f t="shared" si="5514"/>
        <v>#REF!</v>
      </c>
      <c r="EM1090" s="24" t="str">
        <f t="shared" si="5514"/>
        <v>#REF!</v>
      </c>
      <c r="EN1090" s="15" t="str">
        <f t="shared" si="5514"/>
        <v>#REF!</v>
      </c>
      <c r="EO1090" s="15" t="str">
        <f t="shared" si="5514"/>
        <v>#REF!</v>
      </c>
      <c r="EP1090" s="15" t="str">
        <f t="shared" si="5514"/>
        <v>#REF!</v>
      </c>
      <c r="EQ1090" s="15" t="str">
        <f t="shared" si="5514"/>
        <v>#REF!</v>
      </c>
      <c r="ER1090" s="24" t="str">
        <f t="shared" si="5514"/>
        <v>#REF!</v>
      </c>
      <c r="ES1090" s="15" t="str">
        <f t="shared" si="5514"/>
        <v>#REF!</v>
      </c>
      <c r="ET1090" s="15" t="str">
        <f t="shared" si="5514"/>
        <v>#REF!</v>
      </c>
      <c r="EU1090" s="15" t="str">
        <f t="shared" si="5514"/>
        <v>#REF!</v>
      </c>
      <c r="EV1090" s="15" t="str">
        <f t="shared" si="5514"/>
        <v>#REF!</v>
      </c>
      <c r="EW1090" s="24" t="str">
        <f t="shared" si="5514"/>
        <v>#REF!</v>
      </c>
      <c r="EX1090" s="15" t="str">
        <f t="shared" si="5514"/>
        <v>#REF!</v>
      </c>
      <c r="EY1090" s="15" t="str">
        <f t="shared" si="5514"/>
        <v>#REF!</v>
      </c>
      <c r="EZ1090" s="15" t="str">
        <f t="shared" si="5514"/>
        <v>#REF!</v>
      </c>
      <c r="FA1090" s="15" t="str">
        <f t="shared" si="5514"/>
        <v>#REF!</v>
      </c>
      <c r="FB1090" s="24" t="str">
        <f t="shared" si="5514"/>
        <v>#REF!</v>
      </c>
      <c r="FC1090" s="15" t="str">
        <f t="shared" si="5514"/>
        <v>#REF!</v>
      </c>
      <c r="FD1090" s="15" t="str">
        <f t="shared" si="5514"/>
        <v>#REF!</v>
      </c>
      <c r="FE1090" s="15" t="str">
        <f t="shared" si="5514"/>
        <v>#REF!</v>
      </c>
      <c r="FF1090" s="15" t="str">
        <f t="shared" si="5514"/>
        <v>#REF!</v>
      </c>
      <c r="FG1090" s="24" t="str">
        <f t="shared" si="5514"/>
        <v>#REF!</v>
      </c>
      <c r="FH1090" s="104"/>
      <c r="FI1090" s="15"/>
      <c r="FJ1090" s="15"/>
      <c r="FK1090" s="410"/>
      <c r="FL1090" s="15"/>
    </row>
    <row r="1091" ht="13.5" hidden="1" customHeight="1" outlineLevel="1">
      <c r="A1091" s="4"/>
      <c r="B1091" s="529" t="s">
        <v>291</v>
      </c>
      <c r="C1091" s="529"/>
      <c r="D1091" s="596"/>
      <c r="E1091" s="596"/>
      <c r="F1091" s="596"/>
      <c r="G1091" s="596"/>
      <c r="H1091" s="596"/>
      <c r="I1091" s="596" t="str">
        <f t="shared" ref="I1091:FG1091" si="5515">I1085/I$1085</f>
        <v>#ERROR!</v>
      </c>
      <c r="J1091" s="596" t="str">
        <f t="shared" si="5515"/>
        <v>#ERROR!</v>
      </c>
      <c r="K1091" s="596" t="str">
        <f t="shared" si="5515"/>
        <v>#ERROR!</v>
      </c>
      <c r="L1091" s="596" t="str">
        <f t="shared" si="5515"/>
        <v>#ERROR!</v>
      </c>
      <c r="M1091" s="596" t="str">
        <f t="shared" si="5515"/>
        <v>#ERROR!</v>
      </c>
      <c r="N1091" s="596" t="str">
        <f t="shared" si="5515"/>
        <v>#ERROR!</v>
      </c>
      <c r="O1091" s="596" t="str">
        <f t="shared" si="5515"/>
        <v>#ERROR!</v>
      </c>
      <c r="P1091" s="596" t="str">
        <f t="shared" si="5515"/>
        <v>#ERROR!</v>
      </c>
      <c r="Q1091" s="596" t="str">
        <f t="shared" si="5515"/>
        <v>#ERROR!</v>
      </c>
      <c r="R1091" s="596" t="str">
        <f t="shared" si="5515"/>
        <v>#ERROR!</v>
      </c>
      <c r="S1091" s="596" t="str">
        <f t="shared" si="5515"/>
        <v>#ERROR!</v>
      </c>
      <c r="T1091" s="596" t="str">
        <f t="shared" si="5515"/>
        <v>#ERROR!</v>
      </c>
      <c r="U1091" s="596" t="str">
        <f t="shared" si="5515"/>
        <v>#ERROR!</v>
      </c>
      <c r="V1091" s="596" t="str">
        <f t="shared" si="5515"/>
        <v>#ERROR!</v>
      </c>
      <c r="W1091" s="596" t="str">
        <f t="shared" si="5515"/>
        <v>#ERROR!</v>
      </c>
      <c r="X1091" s="596" t="str">
        <f t="shared" si="5515"/>
        <v>#ERROR!</v>
      </c>
      <c r="Y1091" s="596" t="str">
        <f t="shared" si="5515"/>
        <v>#ERROR!</v>
      </c>
      <c r="Z1091" s="596" t="str">
        <f t="shared" si="5515"/>
        <v>#ERROR!</v>
      </c>
      <c r="AA1091" s="596" t="str">
        <f t="shared" si="5515"/>
        <v>#ERROR!</v>
      </c>
      <c r="AB1091" s="596" t="str">
        <f t="shared" si="5515"/>
        <v>#ERROR!</v>
      </c>
      <c r="AC1091" s="596" t="str">
        <f t="shared" si="5515"/>
        <v>#ERROR!</v>
      </c>
      <c r="AD1091" s="596" t="str">
        <f t="shared" si="5515"/>
        <v>#ERROR!</v>
      </c>
      <c r="AE1091" s="596" t="str">
        <f t="shared" si="5515"/>
        <v>#ERROR!</v>
      </c>
      <c r="AF1091" s="596" t="str">
        <f t="shared" si="5515"/>
        <v>#ERROR!</v>
      </c>
      <c r="AG1091" s="596" t="str">
        <f t="shared" si="5515"/>
        <v>#ERROR!</v>
      </c>
      <c r="AH1091" s="596" t="str">
        <f t="shared" si="5515"/>
        <v>#ERROR!</v>
      </c>
      <c r="AI1091" s="596" t="str">
        <f t="shared" si="5515"/>
        <v>#ERROR!</v>
      </c>
      <c r="AJ1091" s="596" t="str">
        <f t="shared" si="5515"/>
        <v>#ERROR!</v>
      </c>
      <c r="AK1091" s="596" t="str">
        <f t="shared" si="5515"/>
        <v>#ERROR!</v>
      </c>
      <c r="AL1091" s="596" t="str">
        <f t="shared" si="5515"/>
        <v>#ERROR!</v>
      </c>
      <c r="AM1091" s="596" t="str">
        <f t="shared" si="5515"/>
        <v>#ERROR!</v>
      </c>
      <c r="AN1091" s="596" t="str">
        <f t="shared" si="5515"/>
        <v>#ERROR!</v>
      </c>
      <c r="AO1091" s="596" t="str">
        <f t="shared" si="5515"/>
        <v>#ERROR!</v>
      </c>
      <c r="AP1091" s="596" t="str">
        <f t="shared" si="5515"/>
        <v>#ERROR!</v>
      </c>
      <c r="AQ1091" s="596" t="str">
        <f t="shared" si="5515"/>
        <v>#ERROR!</v>
      </c>
      <c r="AR1091" s="596" t="str">
        <f t="shared" si="5515"/>
        <v>#ERROR!</v>
      </c>
      <c r="AS1091" s="596" t="str">
        <f t="shared" si="5515"/>
        <v>#ERROR!</v>
      </c>
      <c r="AT1091" s="596" t="str">
        <f t="shared" si="5515"/>
        <v>#ERROR!</v>
      </c>
      <c r="AU1091" s="596" t="str">
        <f t="shared" si="5515"/>
        <v>#ERROR!</v>
      </c>
      <c r="AV1091" s="596" t="str">
        <f t="shared" si="5515"/>
        <v>#ERROR!</v>
      </c>
      <c r="AW1091" s="596" t="str">
        <f t="shared" si="5515"/>
        <v>#ERROR!</v>
      </c>
      <c r="AX1091" s="596" t="str">
        <f t="shared" si="5515"/>
        <v>#ERROR!</v>
      </c>
      <c r="AY1091" s="596" t="str">
        <f t="shared" si="5515"/>
        <v>#ERROR!</v>
      </c>
      <c r="AZ1091" s="596" t="str">
        <f t="shared" si="5515"/>
        <v>#ERROR!</v>
      </c>
      <c r="BA1091" s="596" t="str">
        <f t="shared" si="5515"/>
        <v>#ERROR!</v>
      </c>
      <c r="BB1091" s="596" t="str">
        <f t="shared" si="5515"/>
        <v>#ERROR!</v>
      </c>
      <c r="BC1091" s="596" t="str">
        <f t="shared" si="5515"/>
        <v>#ERROR!</v>
      </c>
      <c r="BD1091" s="596" t="str">
        <f t="shared" si="5515"/>
        <v>#ERROR!</v>
      </c>
      <c r="BE1091" s="596" t="str">
        <f t="shared" si="5515"/>
        <v>#ERROR!</v>
      </c>
      <c r="BF1091" s="596" t="str">
        <f t="shared" si="5515"/>
        <v>#ERROR!</v>
      </c>
      <c r="BG1091" s="596" t="str">
        <f t="shared" si="5515"/>
        <v>#ERROR!</v>
      </c>
      <c r="BH1091" s="596" t="str">
        <f t="shared" si="5515"/>
        <v>#ERROR!</v>
      </c>
      <c r="BI1091" s="596" t="str">
        <f t="shared" si="5515"/>
        <v>#ERROR!</v>
      </c>
      <c r="BJ1091" s="596" t="str">
        <f t="shared" si="5515"/>
        <v>#ERROR!</v>
      </c>
      <c r="BK1091" s="596" t="str">
        <f t="shared" si="5515"/>
        <v>#ERROR!</v>
      </c>
      <c r="BL1091" s="596" t="str">
        <f t="shared" si="5515"/>
        <v>#ERROR!</v>
      </c>
      <c r="BM1091" s="596" t="str">
        <f t="shared" si="5515"/>
        <v>#ERROR!</v>
      </c>
      <c r="BN1091" s="596" t="str">
        <f t="shared" si="5515"/>
        <v>#ERROR!</v>
      </c>
      <c r="BO1091" s="596" t="str">
        <f t="shared" si="5515"/>
        <v>#ERROR!</v>
      </c>
      <c r="BP1091" s="596" t="str">
        <f t="shared" si="5515"/>
        <v>#ERROR!</v>
      </c>
      <c r="BQ1091" s="596" t="str">
        <f t="shared" si="5515"/>
        <v>#ERROR!</v>
      </c>
      <c r="BR1091" s="596" t="str">
        <f t="shared" si="5515"/>
        <v>#ERROR!</v>
      </c>
      <c r="BS1091" s="596" t="str">
        <f t="shared" si="5515"/>
        <v>#ERROR!</v>
      </c>
      <c r="BT1091" s="596" t="str">
        <f t="shared" si="5515"/>
        <v>#ERROR!</v>
      </c>
      <c r="BU1091" s="596" t="str">
        <f t="shared" si="5515"/>
        <v>#ERROR!</v>
      </c>
      <c r="BV1091" s="596" t="str">
        <f t="shared" si="5515"/>
        <v>#ERROR!</v>
      </c>
      <c r="BW1091" s="596" t="str">
        <f t="shared" si="5515"/>
        <v>#ERROR!</v>
      </c>
      <c r="BX1091" s="596" t="str">
        <f t="shared" si="5515"/>
        <v>#ERROR!</v>
      </c>
      <c r="BY1091" s="596" t="str">
        <f t="shared" si="5515"/>
        <v>#ERROR!</v>
      </c>
      <c r="BZ1091" s="597" t="str">
        <f t="shared" si="5515"/>
        <v>#ERROR!</v>
      </c>
      <c r="CA1091" s="596" t="str">
        <f t="shared" si="5515"/>
        <v>#ERROR!</v>
      </c>
      <c r="CB1091" s="596" t="str">
        <f t="shared" si="5515"/>
        <v>#ERROR!</v>
      </c>
      <c r="CC1091" s="596" t="str">
        <f t="shared" si="5515"/>
        <v>#ERROR!</v>
      </c>
      <c r="CD1091" s="596" t="str">
        <f t="shared" si="5515"/>
        <v>#ERROR!</v>
      </c>
      <c r="CE1091" s="597" t="str">
        <f t="shared" si="5515"/>
        <v>#ERROR!</v>
      </c>
      <c r="CF1091" s="596" t="str">
        <f t="shared" si="5515"/>
        <v>#ERROR!</v>
      </c>
      <c r="CG1091" s="596" t="str">
        <f t="shared" si="5515"/>
        <v>#ERROR!</v>
      </c>
      <c r="CH1091" s="596" t="str">
        <f t="shared" si="5515"/>
        <v>#ERROR!</v>
      </c>
      <c r="CI1091" s="596" t="str">
        <f t="shared" si="5515"/>
        <v>#ERROR!</v>
      </c>
      <c r="CJ1091" s="597" t="str">
        <f t="shared" si="5515"/>
        <v>#ERROR!</v>
      </c>
      <c r="CK1091" s="596" t="str">
        <f t="shared" si="5515"/>
        <v>#ERROR!</v>
      </c>
      <c r="CL1091" s="596" t="str">
        <f t="shared" si="5515"/>
        <v>#ERROR!</v>
      </c>
      <c r="CM1091" s="596" t="str">
        <f t="shared" si="5515"/>
        <v>#ERROR!</v>
      </c>
      <c r="CN1091" s="595" t="str">
        <f t="shared" si="5515"/>
        <v>#ERROR!</v>
      </c>
      <c r="CO1091" s="597" t="str">
        <f t="shared" si="5515"/>
        <v>#ERROR!</v>
      </c>
      <c r="CP1091" s="595" t="str">
        <f t="shared" si="5515"/>
        <v>#ERROR!</v>
      </c>
      <c r="CQ1091" s="596" t="str">
        <f t="shared" si="5515"/>
        <v>#ERROR!</v>
      </c>
      <c r="CR1091" s="596" t="str">
        <f t="shared" si="5515"/>
        <v>#ERROR!</v>
      </c>
      <c r="CS1091" s="596" t="str">
        <f t="shared" si="5515"/>
        <v>#ERROR!</v>
      </c>
      <c r="CT1091" s="597" t="str">
        <f t="shared" si="5515"/>
        <v>#ERROR!</v>
      </c>
      <c r="CU1091" s="596" t="str">
        <f t="shared" si="5515"/>
        <v>#ERROR!</v>
      </c>
      <c r="CV1091" s="596" t="str">
        <f t="shared" si="5515"/>
        <v>#ERROR!</v>
      </c>
      <c r="CW1091" s="596" t="str">
        <f t="shared" si="5515"/>
        <v>#ERROR!</v>
      </c>
      <c r="CX1091" s="596" t="str">
        <f t="shared" si="5515"/>
        <v>#ERROR!</v>
      </c>
      <c r="CY1091" s="597" t="str">
        <f t="shared" si="5515"/>
        <v>#ERROR!</v>
      </c>
      <c r="CZ1091" s="596" t="str">
        <f t="shared" si="5515"/>
        <v>#ERROR!</v>
      </c>
      <c r="DA1091" s="596" t="str">
        <f t="shared" si="5515"/>
        <v>#ERROR!</v>
      </c>
      <c r="DB1091" s="596" t="str">
        <f t="shared" si="5515"/>
        <v>#ERROR!</v>
      </c>
      <c r="DC1091" s="596" t="str">
        <f t="shared" si="5515"/>
        <v>#ERROR!</v>
      </c>
      <c r="DD1091" s="597" t="str">
        <f t="shared" si="5515"/>
        <v>#ERROR!</v>
      </c>
      <c r="DE1091" s="596" t="str">
        <f t="shared" si="5515"/>
        <v>#ERROR!</v>
      </c>
      <c r="DF1091" s="596" t="str">
        <f t="shared" si="5515"/>
        <v>#ERROR!</v>
      </c>
      <c r="DG1091" s="104" t="str">
        <f t="shared" si="5515"/>
        <v>#ERROR!</v>
      </c>
      <c r="DH1091" s="596" t="str">
        <f t="shared" si="5515"/>
        <v>#ERROR!</v>
      </c>
      <c r="DI1091" s="597" t="str">
        <f t="shared" si="5515"/>
        <v>#ERROR!</v>
      </c>
      <c r="DJ1091" s="595" t="str">
        <f t="shared" si="5515"/>
        <v>#ERROR!</v>
      </c>
      <c r="DK1091" s="595" t="str">
        <f t="shared" si="5515"/>
        <v>#ERROR!</v>
      </c>
      <c r="DL1091" s="595" t="str">
        <f t="shared" si="5515"/>
        <v>#ERROR!</v>
      </c>
      <c r="DM1091" s="596" t="str">
        <f t="shared" si="5515"/>
        <v>#ERROR!</v>
      </c>
      <c r="DN1091" s="597" t="str">
        <f t="shared" si="5515"/>
        <v>#ERROR!</v>
      </c>
      <c r="DO1091" s="596" t="str">
        <f t="shared" si="5515"/>
        <v>#ERROR!</v>
      </c>
      <c r="DP1091" s="596" t="str">
        <f t="shared" si="5515"/>
        <v>#ERROR!</v>
      </c>
      <c r="DQ1091" s="596" t="str">
        <f t="shared" si="5515"/>
        <v>#ERROR!</v>
      </c>
      <c r="DR1091" s="596" t="str">
        <f t="shared" si="5515"/>
        <v>#ERROR!</v>
      </c>
      <c r="DS1091" s="597" t="str">
        <f t="shared" si="5515"/>
        <v>#ERROR!</v>
      </c>
      <c r="DT1091" s="596" t="str">
        <f t="shared" si="5515"/>
        <v>#ERROR!</v>
      </c>
      <c r="DU1091" s="596" t="str">
        <f t="shared" si="5515"/>
        <v>#ERROR!</v>
      </c>
      <c r="DV1091" s="596" t="str">
        <f t="shared" si="5515"/>
        <v>#ERROR!</v>
      </c>
      <c r="DW1091" s="596" t="str">
        <f t="shared" si="5515"/>
        <v>#ERROR!</v>
      </c>
      <c r="DX1091" s="597" t="str">
        <f t="shared" si="5515"/>
        <v>#ERROR!</v>
      </c>
      <c r="DY1091" s="596" t="str">
        <f t="shared" si="5515"/>
        <v>#ERROR!</v>
      </c>
      <c r="DZ1091" s="596" t="str">
        <f t="shared" si="5515"/>
        <v>#ERROR!</v>
      </c>
      <c r="EA1091" s="596" t="str">
        <f t="shared" si="5515"/>
        <v>#ERROR!</v>
      </c>
      <c r="EB1091" s="596" t="str">
        <f t="shared" si="5515"/>
        <v>#ERROR!</v>
      </c>
      <c r="EC1091" s="597" t="str">
        <f t="shared" si="5515"/>
        <v>#ERROR!</v>
      </c>
      <c r="ED1091" s="596" t="str">
        <f t="shared" si="5515"/>
        <v>#ERROR!</v>
      </c>
      <c r="EE1091" s="596" t="str">
        <f t="shared" si="5515"/>
        <v>#ERROR!</v>
      </c>
      <c r="EF1091" s="596" t="str">
        <f t="shared" si="5515"/>
        <v>#ERROR!</v>
      </c>
      <c r="EG1091" s="596" t="str">
        <f t="shared" si="5515"/>
        <v>#ERROR!</v>
      </c>
      <c r="EH1091" s="597" t="str">
        <f t="shared" si="5515"/>
        <v>#ERROR!</v>
      </c>
      <c r="EI1091" s="598" t="str">
        <f t="shared" si="5515"/>
        <v>#ERROR!</v>
      </c>
      <c r="EJ1091" s="596" t="str">
        <f t="shared" si="5515"/>
        <v>#ERROR!</v>
      </c>
      <c r="EK1091" s="596" t="str">
        <f t="shared" si="5515"/>
        <v>#ERROR!</v>
      </c>
      <c r="EL1091" s="596" t="str">
        <f t="shared" si="5515"/>
        <v>#ERROR!</v>
      </c>
      <c r="EM1091" s="597" t="str">
        <f t="shared" si="5515"/>
        <v>#ERROR!</v>
      </c>
      <c r="EN1091" s="596" t="str">
        <f t="shared" si="5515"/>
        <v>#ERROR!</v>
      </c>
      <c r="EO1091" s="596" t="str">
        <f t="shared" si="5515"/>
        <v>#ERROR!</v>
      </c>
      <c r="EP1091" s="596" t="str">
        <f t="shared" si="5515"/>
        <v>#ERROR!</v>
      </c>
      <c r="EQ1091" s="596" t="str">
        <f t="shared" si="5515"/>
        <v>#ERROR!</v>
      </c>
      <c r="ER1091" s="597" t="str">
        <f t="shared" si="5515"/>
        <v>#ERROR!</v>
      </c>
      <c r="ES1091" s="596" t="str">
        <f t="shared" si="5515"/>
        <v>#ERROR!</v>
      </c>
      <c r="ET1091" s="596" t="str">
        <f t="shared" si="5515"/>
        <v>#ERROR!</v>
      </c>
      <c r="EU1091" s="596" t="str">
        <f t="shared" si="5515"/>
        <v>#ERROR!</v>
      </c>
      <c r="EV1091" s="596" t="str">
        <f t="shared" si="5515"/>
        <v>#ERROR!</v>
      </c>
      <c r="EW1091" s="597" t="str">
        <f t="shared" si="5515"/>
        <v>#ERROR!</v>
      </c>
      <c r="EX1091" s="596" t="str">
        <f t="shared" si="5515"/>
        <v>#ERROR!</v>
      </c>
      <c r="EY1091" s="596" t="str">
        <f t="shared" si="5515"/>
        <v>#ERROR!</v>
      </c>
      <c r="EZ1091" s="596" t="str">
        <f t="shared" si="5515"/>
        <v>#ERROR!</v>
      </c>
      <c r="FA1091" s="596" t="str">
        <f t="shared" si="5515"/>
        <v>#ERROR!</v>
      </c>
      <c r="FB1091" s="597" t="str">
        <f t="shared" si="5515"/>
        <v>#ERROR!</v>
      </c>
      <c r="FC1091" s="596" t="str">
        <f t="shared" si="5515"/>
        <v>#ERROR!</v>
      </c>
      <c r="FD1091" s="596" t="str">
        <f t="shared" si="5515"/>
        <v>#ERROR!</v>
      </c>
      <c r="FE1091" s="596" t="str">
        <f t="shared" si="5515"/>
        <v>#ERROR!</v>
      </c>
      <c r="FF1091" s="596" t="str">
        <f t="shared" si="5515"/>
        <v>#ERROR!</v>
      </c>
      <c r="FG1091" s="597" t="str">
        <f t="shared" si="5515"/>
        <v>#ERROR!</v>
      </c>
      <c r="FH1091" s="595"/>
      <c r="FI1091" s="596"/>
      <c r="FJ1091" s="596"/>
      <c r="FK1091" s="596"/>
      <c r="FL1091" s="596"/>
    </row>
    <row r="1092" ht="12.75" hidden="1" customHeight="1" outlineLevel="1">
      <c r="A1092" s="4"/>
      <c r="B1092" s="4"/>
      <c r="C1092" s="4"/>
      <c r="D1092" s="4"/>
      <c r="E1092" s="4"/>
      <c r="F1092" s="4"/>
      <c r="G1092" s="4"/>
      <c r="H1092" s="45"/>
      <c r="I1092" s="4"/>
      <c r="J1092" s="4"/>
      <c r="K1092" s="4"/>
      <c r="L1092" s="4"/>
      <c r="M1092" s="45"/>
      <c r="N1092" s="4"/>
      <c r="O1092" s="4"/>
      <c r="P1092" s="4"/>
      <c r="Q1092" s="4"/>
      <c r="R1092" s="45"/>
      <c r="S1092" s="4"/>
      <c r="T1092" s="4"/>
      <c r="U1092" s="4"/>
      <c r="V1092" s="4"/>
      <c r="W1092" s="45"/>
      <c r="X1092" s="4"/>
      <c r="Y1092" s="4"/>
      <c r="Z1092" s="4"/>
      <c r="AA1092" s="4"/>
      <c r="AB1092" s="45"/>
      <c r="AC1092" s="4"/>
      <c r="AD1092" s="4"/>
      <c r="AE1092" s="4"/>
      <c r="AF1092" s="4"/>
      <c r="AG1092" s="45"/>
      <c r="AH1092" s="4"/>
      <c r="AI1092" s="4"/>
      <c r="AJ1092" s="4"/>
      <c r="AK1092" s="4"/>
      <c r="AL1092" s="45"/>
      <c r="AM1092" s="4"/>
      <c r="AN1092" s="4"/>
      <c r="AO1092" s="4"/>
      <c r="AP1092" s="4"/>
      <c r="AQ1092" s="45"/>
      <c r="AR1092" s="4"/>
      <c r="AS1092" s="4"/>
      <c r="AT1092" s="4"/>
      <c r="AU1092" s="4"/>
      <c r="AV1092" s="45"/>
      <c r="AW1092" s="4"/>
      <c r="AX1092" s="4"/>
      <c r="AY1092" s="4"/>
      <c r="AZ1092" s="4"/>
      <c r="BA1092" s="45"/>
      <c r="BB1092" s="4"/>
      <c r="BC1092" s="4"/>
      <c r="BD1092" s="4"/>
      <c r="BE1092" s="4"/>
      <c r="BF1092" s="45"/>
      <c r="BG1092" s="4"/>
      <c r="BH1092" s="4"/>
      <c r="BI1092" s="4"/>
      <c r="BJ1092" s="4"/>
      <c r="BK1092" s="45"/>
      <c r="BL1092" s="4"/>
      <c r="BM1092" s="4"/>
      <c r="BN1092" s="4"/>
      <c r="BO1092" s="4"/>
      <c r="BP1092" s="45"/>
      <c r="BQ1092" s="4"/>
      <c r="BR1092" s="4"/>
      <c r="BS1092" s="4"/>
      <c r="BT1092" s="4"/>
      <c r="BU1092" s="45"/>
      <c r="BV1092" s="4"/>
      <c r="BW1092" s="4"/>
      <c r="BX1092" s="4"/>
      <c r="BY1092" s="4"/>
      <c r="BZ1092" s="350"/>
      <c r="CA1092" s="4"/>
      <c r="CB1092" s="4"/>
      <c r="CC1092" s="4"/>
      <c r="CD1092" s="4"/>
      <c r="CE1092" s="350"/>
      <c r="CF1092" s="4"/>
      <c r="CG1092" s="4"/>
      <c r="CH1092" s="4"/>
      <c r="CI1092" s="4"/>
      <c r="CJ1092" s="350"/>
      <c r="CK1092" s="4"/>
      <c r="CL1092" s="4"/>
      <c r="CM1092" s="4"/>
      <c r="CN1092" s="16"/>
      <c r="CO1092" s="350"/>
      <c r="CP1092" s="16"/>
      <c r="CQ1092" s="4"/>
      <c r="CR1092" s="4"/>
      <c r="CS1092" s="4"/>
      <c r="CT1092" s="350"/>
      <c r="CU1092" s="4"/>
      <c r="CV1092" s="4"/>
      <c r="CW1092" s="4"/>
      <c r="CX1092" s="4"/>
      <c r="CY1092" s="350"/>
      <c r="CZ1092" s="4"/>
      <c r="DA1092" s="4"/>
      <c r="DB1092" s="4"/>
      <c r="DC1092" s="4"/>
      <c r="DD1092" s="350"/>
      <c r="DE1092" s="4"/>
      <c r="DF1092" s="4"/>
      <c r="DG1092" s="16"/>
      <c r="DH1092" s="4"/>
      <c r="DI1092" s="350"/>
      <c r="DJ1092" s="16"/>
      <c r="DK1092" s="16"/>
      <c r="DL1092" s="16"/>
      <c r="DM1092" s="4"/>
      <c r="DN1092" s="350"/>
      <c r="DO1092" s="4"/>
      <c r="DP1092" s="4"/>
      <c r="DQ1092" s="4"/>
      <c r="DR1092" s="4"/>
      <c r="DS1092" s="350"/>
      <c r="DT1092" s="4"/>
      <c r="DU1092" s="4"/>
      <c r="DV1092" s="4"/>
      <c r="DW1092" s="4"/>
      <c r="DX1092" s="350"/>
      <c r="DY1092" s="4"/>
      <c r="DZ1092" s="4"/>
      <c r="EA1092" s="4"/>
      <c r="EB1092" s="4"/>
      <c r="EC1092" s="350"/>
      <c r="ED1092" s="4"/>
      <c r="EE1092" s="4"/>
      <c r="EF1092" s="4"/>
      <c r="EG1092" s="4"/>
      <c r="EH1092" s="350"/>
      <c r="EI1092" s="214"/>
      <c r="EJ1092" s="4"/>
      <c r="EK1092" s="4"/>
      <c r="EL1092" s="4"/>
      <c r="EM1092" s="350"/>
      <c r="EN1092" s="4"/>
      <c r="EO1092" s="4"/>
      <c r="EP1092" s="4"/>
      <c r="EQ1092" s="4"/>
      <c r="ER1092" s="350"/>
      <c r="ES1092" s="4"/>
      <c r="ET1092" s="4"/>
      <c r="EU1092" s="4"/>
      <c r="EV1092" s="4"/>
      <c r="EW1092" s="350"/>
      <c r="EX1092" s="4"/>
      <c r="EY1092" s="4"/>
      <c r="EZ1092" s="4"/>
      <c r="FA1092" s="4"/>
      <c r="FB1092" s="350"/>
      <c r="FC1092" s="4"/>
      <c r="FD1092" s="4"/>
      <c r="FE1092" s="4"/>
      <c r="FF1092" s="4"/>
      <c r="FG1092" s="350"/>
      <c r="FH1092" s="145"/>
      <c r="FI1092" s="4"/>
      <c r="FJ1092" s="4"/>
      <c r="FK1092" s="45"/>
      <c r="FL1092" s="4"/>
    </row>
    <row r="1093" ht="12.75" hidden="1" customHeight="1" outlineLevel="2">
      <c r="A1093" s="4"/>
      <c r="B1093" s="45" t="s">
        <v>396</v>
      </c>
      <c r="C1093" s="4"/>
      <c r="D1093" s="4"/>
      <c r="E1093" s="4"/>
      <c r="F1093" s="4"/>
      <c r="G1093" s="4"/>
      <c r="H1093" s="45"/>
      <c r="I1093" s="4"/>
      <c r="J1093" s="4"/>
      <c r="K1093" s="4"/>
      <c r="L1093" s="4"/>
      <c r="M1093" s="45"/>
      <c r="N1093" s="4"/>
      <c r="O1093" s="4"/>
      <c r="P1093" s="4"/>
      <c r="Q1093" s="4"/>
      <c r="R1093" s="45"/>
      <c r="S1093" s="4"/>
      <c r="T1093" s="4"/>
      <c r="U1093" s="4"/>
      <c r="V1093" s="4"/>
      <c r="W1093" s="45"/>
      <c r="X1093" s="4"/>
      <c r="Y1093" s="4"/>
      <c r="Z1093" s="4"/>
      <c r="AA1093" s="4"/>
      <c r="AB1093" s="45"/>
      <c r="AC1093" s="4"/>
      <c r="AD1093" s="4"/>
      <c r="AE1093" s="4"/>
      <c r="AF1093" s="4"/>
      <c r="AG1093" s="45"/>
      <c r="AH1093" s="4"/>
      <c r="AI1093" s="4"/>
      <c r="AJ1093" s="4"/>
      <c r="AK1093" s="4"/>
      <c r="AL1093" s="45"/>
      <c r="AM1093" s="4"/>
      <c r="AN1093" s="4"/>
      <c r="AO1093" s="4"/>
      <c r="AP1093" s="4"/>
      <c r="AQ1093" s="45"/>
      <c r="AR1093" s="4"/>
      <c r="AS1093" s="4"/>
      <c r="AT1093" s="4"/>
      <c r="AU1093" s="4"/>
      <c r="AV1093" s="45"/>
      <c r="AW1093" s="4"/>
      <c r="AX1093" s="4"/>
      <c r="AY1093" s="4"/>
      <c r="AZ1093" s="4"/>
      <c r="BA1093" s="45"/>
      <c r="BB1093" s="4"/>
      <c r="BC1093" s="4"/>
      <c r="BD1093" s="4"/>
      <c r="BE1093" s="4"/>
      <c r="BF1093" s="45"/>
      <c r="BG1093" s="4"/>
      <c r="BH1093" s="4"/>
      <c r="BI1093" s="4"/>
      <c r="BJ1093" s="4"/>
      <c r="BK1093" s="45"/>
      <c r="BL1093" s="4"/>
      <c r="BM1093" s="4"/>
      <c r="BN1093" s="4"/>
      <c r="BO1093" s="4"/>
      <c r="BP1093" s="45"/>
      <c r="BQ1093" s="4"/>
      <c r="BR1093" s="4"/>
      <c r="BS1093" s="4"/>
      <c r="BT1093" s="4"/>
      <c r="BU1093" s="45"/>
      <c r="BV1093" s="4"/>
      <c r="BW1093" s="4"/>
      <c r="BX1093" s="4"/>
      <c r="BY1093" s="4"/>
      <c r="BZ1093" s="350"/>
      <c r="CA1093" s="4"/>
      <c r="CB1093" s="4"/>
      <c r="CC1093" s="4"/>
      <c r="CD1093" s="4"/>
      <c r="CE1093" s="350"/>
      <c r="CF1093" s="4"/>
      <c r="CG1093" s="4"/>
      <c r="CH1093" s="4"/>
      <c r="CI1093" s="4"/>
      <c r="CJ1093" s="350"/>
      <c r="CK1093" s="4"/>
      <c r="CL1093" s="4"/>
      <c r="CM1093" s="4"/>
      <c r="CN1093" s="16"/>
      <c r="CO1093" s="350"/>
      <c r="CP1093" s="16"/>
      <c r="CQ1093" s="4"/>
      <c r="CR1093" s="4"/>
      <c r="CS1093" s="4"/>
      <c r="CT1093" s="350"/>
      <c r="CU1093" s="4"/>
      <c r="CV1093" s="4"/>
      <c r="CW1093" s="4"/>
      <c r="CX1093" s="4"/>
      <c r="CY1093" s="350"/>
      <c r="CZ1093" s="4"/>
      <c r="DA1093" s="4"/>
      <c r="DB1093" s="4"/>
      <c r="DC1093" s="4"/>
      <c r="DD1093" s="350"/>
      <c r="DE1093" s="4"/>
      <c r="DF1093" s="4"/>
      <c r="DG1093" s="16"/>
      <c r="DH1093" s="4"/>
      <c r="DI1093" s="350"/>
      <c r="DJ1093" s="16"/>
      <c r="DK1093" s="16"/>
      <c r="DL1093" s="16"/>
      <c r="DM1093" s="4"/>
      <c r="DN1093" s="350"/>
      <c r="DO1093" s="4"/>
      <c r="DP1093" s="4"/>
      <c r="DQ1093" s="4"/>
      <c r="DR1093" s="4"/>
      <c r="DS1093" s="350"/>
      <c r="DT1093" s="4"/>
      <c r="DU1093" s="4"/>
      <c r="DV1093" s="4"/>
      <c r="DW1093" s="4"/>
      <c r="DX1093" s="350"/>
      <c r="DY1093" s="4"/>
      <c r="DZ1093" s="4"/>
      <c r="EA1093" s="4"/>
      <c r="EB1093" s="4"/>
      <c r="EC1093" s="350"/>
      <c r="ED1093" s="4"/>
      <c r="EE1093" s="4"/>
      <c r="EF1093" s="4"/>
      <c r="EG1093" s="4"/>
      <c r="EH1093" s="350"/>
      <c r="EI1093" s="214"/>
      <c r="EJ1093" s="4"/>
      <c r="EK1093" s="4"/>
      <c r="EL1093" s="4"/>
      <c r="EM1093" s="350"/>
      <c r="EN1093" s="4"/>
      <c r="EO1093" s="4"/>
      <c r="EP1093" s="4"/>
      <c r="EQ1093" s="4"/>
      <c r="ER1093" s="350"/>
      <c r="ES1093" s="4"/>
      <c r="ET1093" s="4"/>
      <c r="EU1093" s="4"/>
      <c r="EV1093" s="4"/>
      <c r="EW1093" s="350"/>
      <c r="EX1093" s="4"/>
      <c r="EY1093" s="4"/>
      <c r="EZ1093" s="4"/>
      <c r="FA1093" s="4"/>
      <c r="FB1093" s="350"/>
      <c r="FC1093" s="4"/>
      <c r="FD1093" s="4"/>
      <c r="FE1093" s="4"/>
      <c r="FF1093" s="4"/>
      <c r="FG1093" s="350"/>
      <c r="FH1093" s="145"/>
      <c r="FI1093" s="4"/>
      <c r="FJ1093" s="4"/>
      <c r="FK1093" s="45"/>
      <c r="FL1093" s="4"/>
    </row>
    <row r="1094" ht="12.75" hidden="1" customHeight="1" outlineLevel="2">
      <c r="A1094" s="263"/>
      <c r="B1094" s="4" t="s">
        <v>397</v>
      </c>
      <c r="C1094" s="4"/>
      <c r="D1094" s="17"/>
      <c r="E1094" s="17"/>
      <c r="F1094" s="17"/>
      <c r="G1094" s="17"/>
      <c r="H1094" s="73"/>
      <c r="I1094" s="17" t="str">
        <f>[0]!DesktopSales</f>
        <v>#ERROR!</v>
      </c>
      <c r="J1094" s="17" t="str">
        <f>[0]!DesktopSales</f>
        <v>#ERROR!</v>
      </c>
      <c r="K1094" s="17" t="str">
        <f>[0]!DesktopSales</f>
        <v>#ERROR!</v>
      </c>
      <c r="L1094" s="17" t="str">
        <f>[0]!DesktopSales</f>
        <v>#ERROR!</v>
      </c>
      <c r="M1094" s="73" t="str">
        <f>[0]!DesktopSales</f>
        <v>#ERROR!</v>
      </c>
      <c r="N1094" s="17" t="str">
        <f>[0]!DesktopSales</f>
        <v>#ERROR!</v>
      </c>
      <c r="O1094" s="17" t="str">
        <f>[0]!DesktopSales</f>
        <v>#ERROR!</v>
      </c>
      <c r="P1094" s="17" t="str">
        <f>[0]!DesktopSales</f>
        <v>#ERROR!</v>
      </c>
      <c r="Q1094" s="17" t="str">
        <f>[0]!DesktopSales</f>
        <v>#ERROR!</v>
      </c>
      <c r="R1094" s="73" t="str">
        <f>[0]!DesktopSales</f>
        <v>#ERROR!</v>
      </c>
      <c r="S1094" s="17" t="str">
        <f>[0]!DesktopSales</f>
        <v>#ERROR!</v>
      </c>
      <c r="T1094" s="17" t="str">
        <f>[0]!DesktopSales</f>
        <v>#ERROR!</v>
      </c>
      <c r="U1094" s="17" t="str">
        <f>[0]!DesktopSales</f>
        <v>#ERROR!</v>
      </c>
      <c r="V1094" s="17" t="str">
        <f>[0]!DesktopSales</f>
        <v>#ERROR!</v>
      </c>
      <c r="W1094" s="73" t="str">
        <f>[0]!DesktopSales</f>
        <v>#ERROR!</v>
      </c>
      <c r="X1094" s="17" t="str">
        <f>[0]!DesktopSales</f>
        <v>#ERROR!</v>
      </c>
      <c r="Y1094" s="17" t="str">
        <f>[0]!DesktopSales</f>
        <v>#ERROR!</v>
      </c>
      <c r="Z1094" s="17" t="str">
        <f>[0]!DesktopSales</f>
        <v>#ERROR!</v>
      </c>
      <c r="AA1094" s="17" t="str">
        <f>[0]!DesktopSales</f>
        <v>#ERROR!</v>
      </c>
      <c r="AB1094" s="73" t="str">
        <f>[0]!DesktopSales</f>
        <v>#ERROR!</v>
      </c>
      <c r="AC1094" s="17" t="str">
        <f>[0]!DesktopSales</f>
        <v>#ERROR!</v>
      </c>
      <c r="AD1094" s="17" t="str">
        <f>[0]!DesktopSales</f>
        <v>#ERROR!</v>
      </c>
      <c r="AE1094" s="17" t="str">
        <f>[0]!DesktopSales</f>
        <v>#ERROR!</v>
      </c>
      <c r="AF1094" s="17" t="str">
        <f>[0]!DesktopSales</f>
        <v>#ERROR!</v>
      </c>
      <c r="AG1094" s="73" t="str">
        <f>[0]!DesktopSales</f>
        <v>#ERROR!</v>
      </c>
      <c r="AH1094" s="17" t="str">
        <f>[0]!DesktopSales</f>
        <v>#ERROR!</v>
      </c>
      <c r="AI1094" s="17" t="str">
        <f>[0]!DesktopSales</f>
        <v>#ERROR!</v>
      </c>
      <c r="AJ1094" s="17" t="str">
        <f>[0]!DesktopSales</f>
        <v>#ERROR!</v>
      </c>
      <c r="AK1094" s="17" t="str">
        <f>[0]!DesktopSales</f>
        <v>#ERROR!</v>
      </c>
      <c r="AL1094" s="73" t="str">
        <f>[0]!DesktopSales</f>
        <v>#ERROR!</v>
      </c>
      <c r="AM1094" s="17" t="str">
        <f>[0]!DesktopSales</f>
        <v>#ERROR!</v>
      </c>
      <c r="AN1094" s="17" t="str">
        <f>[0]!DesktopSales</f>
        <v>#ERROR!</v>
      </c>
      <c r="AO1094" s="17" t="str">
        <f>[0]!DesktopSales</f>
        <v>#ERROR!</v>
      </c>
      <c r="AP1094" s="17" t="str">
        <f>[0]!DesktopSales</f>
        <v>#ERROR!</v>
      </c>
      <c r="AQ1094" s="73" t="str">
        <f>[0]!DesktopSales</f>
        <v>#ERROR!</v>
      </c>
      <c r="AR1094" s="17" t="str">
        <f>[0]!DesktopSales</f>
        <v>#ERROR!</v>
      </c>
      <c r="AS1094" s="17" t="str">
        <f>[0]!DesktopSales</f>
        <v>#ERROR!</v>
      </c>
      <c r="AT1094" s="17" t="str">
        <f>[0]!DesktopSales</f>
        <v>#ERROR!</v>
      </c>
      <c r="AU1094" s="17" t="str">
        <f>[0]!DesktopSales</f>
        <v>#ERROR!</v>
      </c>
      <c r="AV1094" s="73" t="str">
        <f>[0]!DesktopSales</f>
        <v>#ERROR!</v>
      </c>
      <c r="AW1094" s="17" t="str">
        <f>[0]!DesktopSales</f>
        <v>#ERROR!</v>
      </c>
      <c r="AX1094" s="17" t="str">
        <f>[0]!DesktopSales</f>
        <v>#ERROR!</v>
      </c>
      <c r="AY1094" s="17" t="str">
        <f>[0]!DesktopSales</f>
        <v>#ERROR!</v>
      </c>
      <c r="AZ1094" s="17" t="str">
        <f>[0]!DesktopSales</f>
        <v>#ERROR!</v>
      </c>
      <c r="BA1094" s="73" t="str">
        <f>[0]!DesktopSales</f>
        <v>#ERROR!</v>
      </c>
      <c r="BB1094" s="17" t="str">
        <f>[0]!DesktopSales</f>
        <v>#ERROR!</v>
      </c>
      <c r="BC1094" s="17" t="str">
        <f>[0]!DesktopSales</f>
        <v>#ERROR!</v>
      </c>
      <c r="BD1094" s="17" t="str">
        <f>[0]!DesktopSales</f>
        <v>#ERROR!</v>
      </c>
      <c r="BE1094" s="17" t="str">
        <f>[0]!DesktopSales</f>
        <v>#ERROR!</v>
      </c>
      <c r="BF1094" s="73" t="str">
        <f>[0]!DesktopSales</f>
        <v>#ERROR!</v>
      </c>
      <c r="BG1094" s="17" t="str">
        <f>[0]!DesktopSales</f>
        <v>#ERROR!</v>
      </c>
      <c r="BH1094" s="17" t="str">
        <f>[0]!DesktopSales</f>
        <v>#ERROR!</v>
      </c>
      <c r="BI1094" s="17" t="str">
        <f>[0]!DesktopSales</f>
        <v>#ERROR!</v>
      </c>
      <c r="BJ1094" s="17" t="str">
        <f>[0]!DesktopSales</f>
        <v>#ERROR!</v>
      </c>
      <c r="BK1094" s="73" t="str">
        <f>[0]!DesktopSales</f>
        <v>#ERROR!</v>
      </c>
      <c r="BL1094" s="17" t="str">
        <f>[0]!DesktopSales</f>
        <v>#ERROR!</v>
      </c>
      <c r="BM1094" s="17" t="str">
        <f>[0]!DesktopSales</f>
        <v>#ERROR!</v>
      </c>
      <c r="BN1094" s="17" t="str">
        <f>[0]!DesktopSales</f>
        <v>#ERROR!</v>
      </c>
      <c r="BO1094" s="17" t="str">
        <f>[0]!DesktopSales</f>
        <v>#ERROR!</v>
      </c>
      <c r="BP1094" s="73" t="str">
        <f>[0]!DesktopSales</f>
        <v>#ERROR!</v>
      </c>
      <c r="BQ1094" s="17" t="str">
        <f>[0]!DesktopSales</f>
        <v>#ERROR!</v>
      </c>
      <c r="BR1094" s="17" t="str">
        <f>[0]!DesktopSales</f>
        <v>#ERROR!</v>
      </c>
      <c r="BS1094" s="17" t="str">
        <f>[0]!DesktopSales</f>
        <v>#ERROR!</v>
      </c>
      <c r="BT1094" s="17" t="str">
        <f>[0]!DesktopSales</f>
        <v>#ERROR!</v>
      </c>
      <c r="BU1094" s="73" t="str">
        <f>[0]!DesktopSales</f>
        <v>#ERROR!</v>
      </c>
      <c r="BV1094" s="17" t="str">
        <f>[0]!DesktopSales</f>
        <v>#ERROR!</v>
      </c>
      <c r="BW1094" s="17" t="str">
        <f>[0]!DesktopSales</f>
        <v>#ERROR!</v>
      </c>
      <c r="BX1094" s="17" t="str">
        <f>[0]!DesktopSales</f>
        <v>#ERROR!</v>
      </c>
      <c r="BY1094" s="17" t="str">
        <f>[0]!DesktopSales</f>
        <v>#ERROR!</v>
      </c>
      <c r="BZ1094" s="18" t="str">
        <f>[0]!DesktopSales</f>
        <v>#ERROR!</v>
      </c>
      <c r="CA1094" s="17" t="str">
        <f>[0]!DesktopSales</f>
        <v>#ERROR!</v>
      </c>
      <c r="CB1094" s="17" t="str">
        <f>[0]!DesktopSales</f>
        <v>#ERROR!</v>
      </c>
      <c r="CC1094" s="17" t="str">
        <f>[0]!DesktopSales</f>
        <v>#ERROR!</v>
      </c>
      <c r="CD1094" s="17" t="str">
        <f>[0]!DesktopSales</f>
        <v>#ERROR!</v>
      </c>
      <c r="CE1094" s="18" t="str">
        <f>[0]!DesktopSales</f>
        <v>#ERROR!</v>
      </c>
      <c r="CF1094" s="17" t="str">
        <f>[0]!DesktopSales</f>
        <v>#ERROR!</v>
      </c>
      <c r="CG1094" s="17" t="str">
        <f>[0]!DesktopSales</f>
        <v>#ERROR!</v>
      </c>
      <c r="CH1094" s="17" t="str">
        <f>[0]!DesktopSales</f>
        <v>#ERROR!</v>
      </c>
      <c r="CI1094" s="17" t="str">
        <f>[0]!DesktopSales</f>
        <v>#ERROR!</v>
      </c>
      <c r="CJ1094" s="18" t="str">
        <f>[0]!DesktopSales</f>
        <v>#ERROR!</v>
      </c>
      <c r="CK1094" s="17" t="str">
        <f>[0]!DesktopSales</f>
        <v>#ERROR!</v>
      </c>
      <c r="CL1094" s="17" t="str">
        <f>[0]!DesktopSales</f>
        <v>#ERROR!</v>
      </c>
      <c r="CM1094" s="17" t="str">
        <f>[0]!DesktopSales</f>
        <v>#ERROR!</v>
      </c>
      <c r="CN1094" s="19" t="str">
        <f>[0]!DesktopSales</f>
        <v>#ERROR!</v>
      </c>
      <c r="CO1094" s="18" t="str">
        <f>[0]!DesktopSales</f>
        <v>#ERROR!</v>
      </c>
      <c r="CP1094" s="19" t="str">
        <f>[0]!DesktopSales</f>
        <v>#ERROR!</v>
      </c>
      <c r="CQ1094" s="17" t="str">
        <f>[0]!DesktopSales</f>
        <v>#ERROR!</v>
      </c>
      <c r="CR1094" s="17" t="str">
        <f>[0]!DesktopSales</f>
        <v>#ERROR!</v>
      </c>
      <c r="CS1094" s="17" t="str">
        <f>[0]!DesktopSales</f>
        <v>#ERROR!</v>
      </c>
      <c r="CT1094" s="18" t="str">
        <f>[0]!DesktopSales</f>
        <v>#ERROR!</v>
      </c>
      <c r="CU1094" s="17" t="str">
        <f>[0]!DesktopSales</f>
        <v>#ERROR!</v>
      </c>
      <c r="CV1094" s="17" t="str">
        <f>[0]!DesktopSales</f>
        <v>#ERROR!</v>
      </c>
      <c r="CW1094" s="17" t="str">
        <f>[0]!DesktopSales</f>
        <v>#ERROR!</v>
      </c>
      <c r="CX1094" s="17" t="str">
        <f>[0]!DesktopSales</f>
        <v>#ERROR!</v>
      </c>
      <c r="CY1094" s="18" t="str">
        <f>[0]!DesktopSales</f>
        <v>#ERROR!</v>
      </c>
      <c r="CZ1094" s="17" t="str">
        <f>[0]!DesktopSales</f>
        <v>#ERROR!</v>
      </c>
      <c r="DA1094" s="17" t="str">
        <f>[0]!DesktopSales</f>
        <v>#ERROR!</v>
      </c>
      <c r="DB1094" s="17" t="str">
        <f>[0]!DesktopSales</f>
        <v>#ERROR!</v>
      </c>
      <c r="DC1094" s="17" t="str">
        <f>[0]!DesktopSales</f>
        <v>#ERROR!</v>
      </c>
      <c r="DD1094" s="18" t="str">
        <f>[0]!DesktopSales</f>
        <v>#ERROR!</v>
      </c>
      <c r="DE1094" s="17" t="str">
        <f>[0]!DesktopSales</f>
        <v>#ERROR!</v>
      </c>
      <c r="DF1094" s="17" t="str">
        <f>[0]!DesktopSales</f>
        <v>#ERROR!</v>
      </c>
      <c r="DG1094" s="19" t="str">
        <f>[0]!DesktopSales</f>
        <v>#ERROR!</v>
      </c>
      <c r="DH1094" s="17" t="str">
        <f>[0]!DesktopSales</f>
        <v>#ERROR!</v>
      </c>
      <c r="DI1094" s="18" t="str">
        <f>[0]!DesktopSales</f>
        <v>#ERROR!</v>
      </c>
      <c r="DJ1094" s="19" t="str">
        <f>[0]!DesktopSales</f>
        <v>#ERROR!</v>
      </c>
      <c r="DK1094" s="19" t="str">
        <f>[0]!DesktopSales</f>
        <v>#ERROR!</v>
      </c>
      <c r="DL1094" s="19" t="str">
        <f>[0]!DesktopSales</f>
        <v>#ERROR!</v>
      </c>
      <c r="DM1094" s="17" t="str">
        <f>[0]!DesktopSales</f>
        <v>#ERROR!</v>
      </c>
      <c r="DN1094" s="18" t="str">
        <f>[0]!DesktopSales</f>
        <v>#ERROR!</v>
      </c>
      <c r="DO1094" s="17" t="str">
        <f>[0]!DesktopSales</f>
        <v>#ERROR!</v>
      </c>
      <c r="DP1094" s="17" t="str">
        <f>[0]!DesktopSales</f>
        <v>#ERROR!</v>
      </c>
      <c r="DQ1094" s="17" t="str">
        <f>[0]!DesktopSales</f>
        <v>#ERROR!</v>
      </c>
      <c r="DR1094" s="17" t="str">
        <f>[0]!DesktopSales</f>
        <v>#ERROR!</v>
      </c>
      <c r="DS1094" s="18" t="str">
        <f>[0]!DesktopSales</f>
        <v>#ERROR!</v>
      </c>
      <c r="DT1094" s="17" t="str">
        <f>[0]!DesktopSales</f>
        <v>#ERROR!</v>
      </c>
      <c r="DU1094" s="17" t="str">
        <f>[0]!DesktopSales</f>
        <v>#ERROR!</v>
      </c>
      <c r="DV1094" s="17" t="str">
        <f>[0]!DesktopSales</f>
        <v>#ERROR!</v>
      </c>
      <c r="DW1094" s="17" t="str">
        <f>[0]!DesktopSales</f>
        <v>#ERROR!</v>
      </c>
      <c r="DX1094" s="18" t="str">
        <f>[0]!DesktopSales</f>
        <v>#ERROR!</v>
      </c>
      <c r="DY1094" s="17" t="str">
        <f>[0]!DesktopSales</f>
        <v>#ERROR!</v>
      </c>
      <c r="DZ1094" s="17" t="str">
        <f>[0]!DesktopSales</f>
        <v>#ERROR!</v>
      </c>
      <c r="EA1094" s="17" t="str">
        <f>[0]!DesktopSales</f>
        <v>#ERROR!</v>
      </c>
      <c r="EB1094" s="17" t="str">
        <f>[0]!DesktopSales</f>
        <v>#ERROR!</v>
      </c>
      <c r="EC1094" s="18" t="str">
        <f>[0]!DesktopSales</f>
        <v>#ERROR!</v>
      </c>
      <c r="ED1094" s="17" t="str">
        <f>[0]!DesktopSales</f>
        <v>#ERROR!</v>
      </c>
      <c r="EE1094" s="17" t="str">
        <f>[0]!DesktopSales</f>
        <v>#ERROR!</v>
      </c>
      <c r="EF1094" s="17" t="str">
        <f>[0]!DesktopSales</f>
        <v>#ERROR!</v>
      </c>
      <c r="EG1094" s="17" t="str">
        <f>[0]!DesktopSales</f>
        <v>#ERROR!</v>
      </c>
      <c r="EH1094" s="18" t="str">
        <f>[0]!DesktopSales</f>
        <v>#ERROR!</v>
      </c>
      <c r="EI1094" s="25" t="str">
        <f>[0]!DesktopSales</f>
        <v>#ERROR!</v>
      </c>
      <c r="EJ1094" s="17" t="str">
        <f>[0]!DesktopSales</f>
        <v>#ERROR!</v>
      </c>
      <c r="EK1094" s="17" t="str">
        <f>[0]!DesktopSales</f>
        <v>#ERROR!</v>
      </c>
      <c r="EL1094" s="17" t="str">
        <f>[0]!DesktopSales</f>
        <v>#ERROR!</v>
      </c>
      <c r="EM1094" s="18" t="str">
        <f>[0]!DesktopSales</f>
        <v>#ERROR!</v>
      </c>
      <c r="EN1094" s="17" t="str">
        <f>[0]!DesktopSales</f>
        <v>#ERROR!</v>
      </c>
      <c r="EO1094" s="17" t="str">
        <f>[0]!DesktopSales</f>
        <v>#ERROR!</v>
      </c>
      <c r="EP1094" s="17" t="str">
        <f>[0]!DesktopSales</f>
        <v>#ERROR!</v>
      </c>
      <c r="EQ1094" s="17" t="str">
        <f>[0]!DesktopSales</f>
        <v>#ERROR!</v>
      </c>
      <c r="ER1094" s="18" t="str">
        <f>[0]!DesktopSales</f>
        <v>#ERROR!</v>
      </c>
      <c r="ES1094" s="17" t="str">
        <f>[0]!DesktopSales</f>
        <v>#ERROR!</v>
      </c>
      <c r="ET1094" s="17" t="str">
        <f>[0]!DesktopSales</f>
        <v>#ERROR!</v>
      </c>
      <c r="EU1094" s="17" t="str">
        <f>[0]!DesktopSales</f>
        <v>#ERROR!</v>
      </c>
      <c r="EV1094" s="17" t="str">
        <f>[0]!DesktopSales</f>
        <v>#ERROR!</v>
      </c>
      <c r="EW1094" s="18" t="str">
        <f>[0]!DesktopSales</f>
        <v>#ERROR!</v>
      </c>
      <c r="EX1094" s="17" t="str">
        <f>[0]!DesktopSales</f>
        <v>#ERROR!</v>
      </c>
      <c r="EY1094" s="17" t="str">
        <f>[0]!DesktopSales</f>
        <v>#ERROR!</v>
      </c>
      <c r="EZ1094" s="17" t="str">
        <f>[0]!DesktopSales</f>
        <v>#ERROR!</v>
      </c>
      <c r="FA1094" s="17" t="str">
        <f>[0]!DesktopSales</f>
        <v>#ERROR!</v>
      </c>
      <c r="FB1094" s="18" t="str">
        <f>[0]!DesktopSales</f>
        <v>#ERROR!</v>
      </c>
      <c r="FC1094" s="17" t="str">
        <f>[0]!DesktopSales</f>
        <v>#ERROR!</v>
      </c>
      <c r="FD1094" s="17" t="str">
        <f>[0]!DesktopSales</f>
        <v>#ERROR!</v>
      </c>
      <c r="FE1094" s="17" t="str">
        <f>[0]!DesktopSales</f>
        <v>#ERROR!</v>
      </c>
      <c r="FF1094" s="17" t="str">
        <f>[0]!DesktopSales</f>
        <v>#ERROR!</v>
      </c>
      <c r="FG1094" s="18" t="str">
        <f>[0]!DesktopSales</f>
        <v>#ERROR!</v>
      </c>
      <c r="FH1094" s="74"/>
      <c r="FI1094" s="17"/>
      <c r="FJ1094" s="17"/>
      <c r="FK1094" s="73"/>
      <c r="FL1094" s="17"/>
    </row>
    <row r="1095" ht="12.75" hidden="1" customHeight="1" outlineLevel="2">
      <c r="A1095" s="263"/>
      <c r="B1095" s="4" t="s">
        <v>398</v>
      </c>
      <c r="C1095" s="4"/>
      <c r="D1095" s="17"/>
      <c r="E1095" s="17"/>
      <c r="F1095" s="17"/>
      <c r="G1095" s="17"/>
      <c r="H1095" s="73"/>
      <c r="I1095" s="17" t="e">
        <v>#REF!</v>
      </c>
      <c r="J1095" s="17" t="e">
        <v>#REF!</v>
      </c>
      <c r="K1095" s="17" t="e">
        <v>#REF!</v>
      </c>
      <c r="L1095" s="17" t="e">
        <v>#REF!</v>
      </c>
      <c r="M1095" s="73" t="e">
        <v>#REF!</v>
      </c>
      <c r="N1095" s="17" t="e">
        <v>#REF!</v>
      </c>
      <c r="O1095" s="17" t="e">
        <v>#REF!</v>
      </c>
      <c r="P1095" s="17" t="e">
        <v>#REF!</v>
      </c>
      <c r="Q1095" s="17" t="e">
        <v>#REF!</v>
      </c>
      <c r="R1095" s="73" t="e">
        <v>#REF!</v>
      </c>
      <c r="S1095" s="17" t="e">
        <v>#REF!</v>
      </c>
      <c r="T1095" s="17" t="e">
        <v>#REF!</v>
      </c>
      <c r="U1095" s="17" t="e">
        <v>#REF!</v>
      </c>
      <c r="V1095" s="17" t="e">
        <v>#REF!</v>
      </c>
      <c r="W1095" s="73" t="e">
        <v>#REF!</v>
      </c>
      <c r="X1095" s="17" t="e">
        <v>#REF!</v>
      </c>
      <c r="Y1095" s="17" t="e">
        <v>#REF!</v>
      </c>
      <c r="Z1095" s="17" t="e">
        <v>#REF!</v>
      </c>
      <c r="AA1095" s="17" t="e">
        <v>#REF!</v>
      </c>
      <c r="AB1095" s="73" t="e">
        <v>#REF!</v>
      </c>
      <c r="AC1095" s="17" t="e">
        <v>#REF!</v>
      </c>
      <c r="AD1095" s="17" t="e">
        <v>#REF!</v>
      </c>
      <c r="AE1095" s="17" t="e">
        <v>#REF!</v>
      </c>
      <c r="AF1095" s="17" t="e">
        <v>#REF!</v>
      </c>
      <c r="AG1095" s="73" t="e">
        <v>#REF!</v>
      </c>
      <c r="AH1095" s="17" t="e">
        <v>#REF!</v>
      </c>
      <c r="AI1095" s="17" t="e">
        <v>#REF!</v>
      </c>
      <c r="AJ1095" s="17" t="e">
        <v>#REF!</v>
      </c>
      <c r="AK1095" s="17" t="e">
        <v>#REF!</v>
      </c>
      <c r="AL1095" s="73" t="e">
        <v>#REF!</v>
      </c>
      <c r="AM1095" s="17" t="e">
        <v>#REF!</v>
      </c>
      <c r="AN1095" s="17" t="e">
        <v>#REF!</v>
      </c>
      <c r="AO1095" s="17" t="e">
        <v>#REF!</v>
      </c>
      <c r="AP1095" s="17" t="e">
        <v>#REF!</v>
      </c>
      <c r="AQ1095" s="73" t="e">
        <v>#REF!</v>
      </c>
      <c r="AR1095" s="17" t="e">
        <v>#REF!</v>
      </c>
      <c r="AS1095" s="17" t="e">
        <v>#REF!</v>
      </c>
      <c r="AT1095" s="17" t="e">
        <v>#REF!</v>
      </c>
      <c r="AU1095" s="17" t="e">
        <v>#REF!</v>
      </c>
      <c r="AV1095" s="73" t="e">
        <v>#REF!</v>
      </c>
      <c r="AW1095" s="17" t="e">
        <v>#REF!</v>
      </c>
      <c r="AX1095" s="17" t="e">
        <v>#REF!</v>
      </c>
      <c r="AY1095" s="17" t="e">
        <v>#REF!</v>
      </c>
      <c r="AZ1095" s="17" t="e">
        <v>#REF!</v>
      </c>
      <c r="BA1095" s="73" t="e">
        <v>#REF!</v>
      </c>
      <c r="BB1095" s="17" t="e">
        <v>#REF!</v>
      </c>
      <c r="BC1095" s="17" t="e">
        <v>#REF!</v>
      </c>
      <c r="BD1095" s="17" t="e">
        <v>#REF!</v>
      </c>
      <c r="BE1095" s="17" t="e">
        <v>#REF!</v>
      </c>
      <c r="BF1095" s="73" t="e">
        <v>#REF!</v>
      </c>
      <c r="BG1095" s="17" t="e">
        <v>#REF!</v>
      </c>
      <c r="BH1095" s="17" t="e">
        <v>#REF!</v>
      </c>
      <c r="BI1095" s="17" t="e">
        <v>#REF!</v>
      </c>
      <c r="BJ1095" s="17" t="e">
        <v>#REF!</v>
      </c>
      <c r="BK1095" s="73" t="e">
        <v>#REF!</v>
      </c>
      <c r="BL1095" s="17" t="e">
        <v>#REF!</v>
      </c>
      <c r="BM1095" s="17" t="e">
        <v>#REF!</v>
      </c>
      <c r="BN1095" s="17" t="e">
        <v>#REF!</v>
      </c>
      <c r="BO1095" s="17" t="e">
        <v>#REF!</v>
      </c>
      <c r="BP1095" s="73" t="e">
        <v>#REF!</v>
      </c>
      <c r="BQ1095" s="17" t="e">
        <v>#REF!</v>
      </c>
      <c r="BR1095" s="17" t="e">
        <v>#REF!</v>
      </c>
      <c r="BS1095" s="17" t="e">
        <v>#REF!</v>
      </c>
      <c r="BT1095" s="17" t="e">
        <v>#REF!</v>
      </c>
      <c r="BU1095" s="73" t="e">
        <v>#REF!</v>
      </c>
      <c r="BV1095" s="17" t="e">
        <v>#REF!</v>
      </c>
      <c r="BW1095" s="17" t="e">
        <v>#REF!</v>
      </c>
      <c r="BX1095" s="17" t="e">
        <v>#REF!</v>
      </c>
      <c r="BY1095" s="17" t="e">
        <v>#REF!</v>
      </c>
      <c r="BZ1095" s="18" t="e">
        <v>#REF!</v>
      </c>
      <c r="CA1095" s="17" t="e">
        <v>#REF!</v>
      </c>
      <c r="CB1095" s="17" t="e">
        <v>#REF!</v>
      </c>
      <c r="CC1095" s="17" t="e">
        <v>#REF!</v>
      </c>
      <c r="CD1095" s="17" t="e">
        <v>#REF!</v>
      </c>
      <c r="CE1095" s="18" t="e">
        <v>#REF!</v>
      </c>
      <c r="CF1095" s="17" t="e">
        <v>#REF!</v>
      </c>
      <c r="CG1095" s="17" t="e">
        <v>#REF!</v>
      </c>
      <c r="CH1095" s="17" t="e">
        <v>#REF!</v>
      </c>
      <c r="CI1095" s="17" t="e">
        <v>#REF!</v>
      </c>
      <c r="CJ1095" s="18" t="e">
        <v>#REF!</v>
      </c>
      <c r="CK1095" s="17" t="e">
        <v>#REF!</v>
      </c>
      <c r="CL1095" s="17" t="e">
        <v>#REF!</v>
      </c>
      <c r="CM1095" s="17" t="e">
        <v>#REF!</v>
      </c>
      <c r="CN1095" s="19" t="e">
        <v>#REF!</v>
      </c>
      <c r="CO1095" s="18" t="e">
        <v>#REF!</v>
      </c>
      <c r="CP1095" s="19" t="e">
        <v>#REF!</v>
      </c>
      <c r="CQ1095" s="17" t="e">
        <v>#REF!</v>
      </c>
      <c r="CR1095" s="17" t="e">
        <v>#REF!</v>
      </c>
      <c r="CS1095" s="17" t="e">
        <v>#REF!</v>
      </c>
      <c r="CT1095" s="18" t="e">
        <v>#REF!</v>
      </c>
      <c r="CU1095" s="17" t="e">
        <v>#REF!</v>
      </c>
      <c r="CV1095" s="17" t="e">
        <v>#REF!</v>
      </c>
      <c r="CW1095" s="17" t="e">
        <v>#REF!</v>
      </c>
      <c r="CX1095" s="17" t="e">
        <v>#REF!</v>
      </c>
      <c r="CY1095" s="18" t="e">
        <v>#REF!</v>
      </c>
      <c r="CZ1095" s="17" t="e">
        <v>#REF!</v>
      </c>
      <c r="DA1095" s="17" t="e">
        <v>#REF!</v>
      </c>
      <c r="DB1095" s="17" t="e">
        <v>#REF!</v>
      </c>
      <c r="DC1095" s="17" t="e">
        <v>#REF!</v>
      </c>
      <c r="DD1095" s="18" t="e">
        <v>#REF!</v>
      </c>
      <c r="DE1095" s="17" t="e">
        <v>#REF!</v>
      </c>
      <c r="DF1095" s="17" t="e">
        <v>#REF!</v>
      </c>
      <c r="DG1095" s="19" t="e">
        <v>#REF!</v>
      </c>
      <c r="DH1095" s="17" t="e">
        <v>#REF!</v>
      </c>
      <c r="DI1095" s="18" t="e">
        <v>#REF!</v>
      </c>
      <c r="DJ1095" s="19" t="e">
        <v>#REF!</v>
      </c>
      <c r="DK1095" s="19" t="e">
        <v>#REF!</v>
      </c>
      <c r="DL1095" s="19" t="e">
        <v>#REF!</v>
      </c>
      <c r="DM1095" s="17" t="e">
        <v>#REF!</v>
      </c>
      <c r="DN1095" s="18" t="e">
        <v>#REF!</v>
      </c>
      <c r="DO1095" s="17" t="e">
        <v>#REF!</v>
      </c>
      <c r="DP1095" s="17" t="e">
        <v>#REF!</v>
      </c>
      <c r="DQ1095" s="17" t="e">
        <v>#REF!</v>
      </c>
      <c r="DR1095" s="17" t="e">
        <v>#REF!</v>
      </c>
      <c r="DS1095" s="18" t="e">
        <v>#REF!</v>
      </c>
      <c r="DT1095" s="17" t="e">
        <v>#REF!</v>
      </c>
      <c r="DU1095" s="17" t="e">
        <v>#REF!</v>
      </c>
      <c r="DV1095" s="17" t="e">
        <v>#REF!</v>
      </c>
      <c r="DW1095" s="17" t="e">
        <v>#REF!</v>
      </c>
      <c r="DX1095" s="18" t="e">
        <v>#REF!</v>
      </c>
      <c r="DY1095" s="17" t="e">
        <v>#REF!</v>
      </c>
      <c r="DZ1095" s="17" t="e">
        <v>#REF!</v>
      </c>
      <c r="EA1095" s="17" t="e">
        <v>#REF!</v>
      </c>
      <c r="EB1095" s="17" t="e">
        <v>#REF!</v>
      </c>
      <c r="EC1095" s="18" t="e">
        <v>#REF!</v>
      </c>
      <c r="ED1095" s="17" t="e">
        <v>#REF!</v>
      </c>
      <c r="EE1095" s="17" t="e">
        <v>#REF!</v>
      </c>
      <c r="EF1095" s="17" t="e">
        <v>#REF!</v>
      </c>
      <c r="EG1095" s="17" t="e">
        <v>#REF!</v>
      </c>
      <c r="EH1095" s="18" t="e">
        <v>#REF!</v>
      </c>
      <c r="EI1095" s="25" t="e">
        <v>#REF!</v>
      </c>
      <c r="EJ1095" s="17" t="e">
        <v>#REF!</v>
      </c>
      <c r="EK1095" s="17" t="e">
        <v>#REF!</v>
      </c>
      <c r="EL1095" s="17" t="e">
        <v>#REF!</v>
      </c>
      <c r="EM1095" s="18" t="e">
        <v>#REF!</v>
      </c>
      <c r="EN1095" s="17" t="e">
        <v>#REF!</v>
      </c>
      <c r="EO1095" s="17" t="e">
        <v>#REF!</v>
      </c>
      <c r="EP1095" s="17" t="e">
        <v>#REF!</v>
      </c>
      <c r="EQ1095" s="17" t="e">
        <v>#REF!</v>
      </c>
      <c r="ER1095" s="18" t="e">
        <v>#REF!</v>
      </c>
      <c r="ES1095" s="17" t="e">
        <v>#REF!</v>
      </c>
      <c r="ET1095" s="17" t="e">
        <v>#REF!</v>
      </c>
      <c r="EU1095" s="17" t="e">
        <v>#REF!</v>
      </c>
      <c r="EV1095" s="17" t="e">
        <v>#REF!</v>
      </c>
      <c r="EW1095" s="18" t="e">
        <v>#REF!</v>
      </c>
      <c r="EX1095" s="17" t="e">
        <v>#REF!</v>
      </c>
      <c r="EY1095" s="17" t="e">
        <v>#REF!</v>
      </c>
      <c r="EZ1095" s="17" t="e">
        <v>#REF!</v>
      </c>
      <c r="FA1095" s="17" t="e">
        <v>#REF!</v>
      </c>
      <c r="FB1095" s="18" t="e">
        <v>#REF!</v>
      </c>
      <c r="FC1095" s="17" t="e">
        <v>#REF!</v>
      </c>
      <c r="FD1095" s="17" t="e">
        <v>#REF!</v>
      </c>
      <c r="FE1095" s="17" t="e">
        <v>#REF!</v>
      </c>
      <c r="FF1095" s="17" t="e">
        <v>#REF!</v>
      </c>
      <c r="FG1095" s="18" t="e">
        <v>#REF!</v>
      </c>
      <c r="FH1095" s="74"/>
      <c r="FI1095" s="17"/>
      <c r="FJ1095" s="17"/>
      <c r="FK1095" s="73"/>
      <c r="FL1095" s="17"/>
    </row>
    <row r="1096" ht="13.5" hidden="1" customHeight="1" outlineLevel="2">
      <c r="A1096" s="4"/>
      <c r="B1096" s="529" t="s">
        <v>291</v>
      </c>
      <c r="C1096" s="529"/>
      <c r="D1096" s="164"/>
      <c r="E1096" s="164"/>
      <c r="F1096" s="164"/>
      <c r="G1096" s="164"/>
      <c r="H1096" s="166"/>
      <c r="I1096" s="164" t="str">
        <f t="shared" ref="I1096:FG1096" si="5516">SUM(I1094,I1095)</f>
        <v>#ERROR!</v>
      </c>
      <c r="J1096" s="164" t="str">
        <f t="shared" si="5516"/>
        <v>#ERROR!</v>
      </c>
      <c r="K1096" s="164" t="str">
        <f t="shared" si="5516"/>
        <v>#ERROR!</v>
      </c>
      <c r="L1096" s="164" t="str">
        <f t="shared" si="5516"/>
        <v>#ERROR!</v>
      </c>
      <c r="M1096" s="166" t="str">
        <f t="shared" si="5516"/>
        <v>#ERROR!</v>
      </c>
      <c r="N1096" s="164" t="str">
        <f t="shared" si="5516"/>
        <v>#ERROR!</v>
      </c>
      <c r="O1096" s="164" t="str">
        <f t="shared" si="5516"/>
        <v>#ERROR!</v>
      </c>
      <c r="P1096" s="164" t="str">
        <f t="shared" si="5516"/>
        <v>#ERROR!</v>
      </c>
      <c r="Q1096" s="164" t="str">
        <f t="shared" si="5516"/>
        <v>#ERROR!</v>
      </c>
      <c r="R1096" s="166" t="str">
        <f t="shared" si="5516"/>
        <v>#ERROR!</v>
      </c>
      <c r="S1096" s="164" t="str">
        <f t="shared" si="5516"/>
        <v>#ERROR!</v>
      </c>
      <c r="T1096" s="164" t="str">
        <f t="shared" si="5516"/>
        <v>#ERROR!</v>
      </c>
      <c r="U1096" s="164" t="str">
        <f t="shared" si="5516"/>
        <v>#ERROR!</v>
      </c>
      <c r="V1096" s="164" t="str">
        <f t="shared" si="5516"/>
        <v>#ERROR!</v>
      </c>
      <c r="W1096" s="166" t="str">
        <f t="shared" si="5516"/>
        <v>#ERROR!</v>
      </c>
      <c r="X1096" s="164" t="str">
        <f t="shared" si="5516"/>
        <v>#ERROR!</v>
      </c>
      <c r="Y1096" s="164" t="str">
        <f t="shared" si="5516"/>
        <v>#ERROR!</v>
      </c>
      <c r="Z1096" s="164" t="str">
        <f t="shared" si="5516"/>
        <v>#ERROR!</v>
      </c>
      <c r="AA1096" s="164" t="str">
        <f t="shared" si="5516"/>
        <v>#ERROR!</v>
      </c>
      <c r="AB1096" s="166" t="str">
        <f t="shared" si="5516"/>
        <v>#ERROR!</v>
      </c>
      <c r="AC1096" s="164" t="str">
        <f t="shared" si="5516"/>
        <v>#ERROR!</v>
      </c>
      <c r="AD1096" s="164" t="str">
        <f t="shared" si="5516"/>
        <v>#ERROR!</v>
      </c>
      <c r="AE1096" s="164" t="str">
        <f t="shared" si="5516"/>
        <v>#ERROR!</v>
      </c>
      <c r="AF1096" s="164" t="str">
        <f t="shared" si="5516"/>
        <v>#ERROR!</v>
      </c>
      <c r="AG1096" s="166" t="str">
        <f t="shared" si="5516"/>
        <v>#ERROR!</v>
      </c>
      <c r="AH1096" s="164" t="str">
        <f t="shared" si="5516"/>
        <v>#ERROR!</v>
      </c>
      <c r="AI1096" s="164" t="str">
        <f t="shared" si="5516"/>
        <v>#ERROR!</v>
      </c>
      <c r="AJ1096" s="164" t="str">
        <f t="shared" si="5516"/>
        <v>#ERROR!</v>
      </c>
      <c r="AK1096" s="164" t="str">
        <f t="shared" si="5516"/>
        <v>#ERROR!</v>
      </c>
      <c r="AL1096" s="166" t="str">
        <f t="shared" si="5516"/>
        <v>#ERROR!</v>
      </c>
      <c r="AM1096" s="164" t="str">
        <f t="shared" si="5516"/>
        <v>#ERROR!</v>
      </c>
      <c r="AN1096" s="164" t="str">
        <f t="shared" si="5516"/>
        <v>#ERROR!</v>
      </c>
      <c r="AO1096" s="164" t="str">
        <f t="shared" si="5516"/>
        <v>#ERROR!</v>
      </c>
      <c r="AP1096" s="164" t="str">
        <f t="shared" si="5516"/>
        <v>#ERROR!</v>
      </c>
      <c r="AQ1096" s="166" t="str">
        <f t="shared" si="5516"/>
        <v>#ERROR!</v>
      </c>
      <c r="AR1096" s="164" t="str">
        <f t="shared" si="5516"/>
        <v>#ERROR!</v>
      </c>
      <c r="AS1096" s="164" t="str">
        <f t="shared" si="5516"/>
        <v>#ERROR!</v>
      </c>
      <c r="AT1096" s="164" t="str">
        <f t="shared" si="5516"/>
        <v>#ERROR!</v>
      </c>
      <c r="AU1096" s="164" t="str">
        <f t="shared" si="5516"/>
        <v>#ERROR!</v>
      </c>
      <c r="AV1096" s="166" t="str">
        <f t="shared" si="5516"/>
        <v>#ERROR!</v>
      </c>
      <c r="AW1096" s="164" t="str">
        <f t="shared" si="5516"/>
        <v>#ERROR!</v>
      </c>
      <c r="AX1096" s="164" t="str">
        <f t="shared" si="5516"/>
        <v>#ERROR!</v>
      </c>
      <c r="AY1096" s="164" t="str">
        <f t="shared" si="5516"/>
        <v>#ERROR!</v>
      </c>
      <c r="AZ1096" s="164" t="str">
        <f t="shared" si="5516"/>
        <v>#ERROR!</v>
      </c>
      <c r="BA1096" s="166" t="str">
        <f t="shared" si="5516"/>
        <v>#ERROR!</v>
      </c>
      <c r="BB1096" s="164" t="str">
        <f t="shared" si="5516"/>
        <v>#ERROR!</v>
      </c>
      <c r="BC1096" s="164" t="str">
        <f t="shared" si="5516"/>
        <v>#ERROR!</v>
      </c>
      <c r="BD1096" s="164" t="str">
        <f t="shared" si="5516"/>
        <v>#ERROR!</v>
      </c>
      <c r="BE1096" s="164" t="str">
        <f t="shared" si="5516"/>
        <v>#ERROR!</v>
      </c>
      <c r="BF1096" s="166" t="str">
        <f t="shared" si="5516"/>
        <v>#ERROR!</v>
      </c>
      <c r="BG1096" s="164" t="str">
        <f t="shared" si="5516"/>
        <v>#ERROR!</v>
      </c>
      <c r="BH1096" s="164" t="str">
        <f t="shared" si="5516"/>
        <v>#ERROR!</v>
      </c>
      <c r="BI1096" s="164" t="str">
        <f t="shared" si="5516"/>
        <v>#ERROR!</v>
      </c>
      <c r="BJ1096" s="164" t="str">
        <f t="shared" si="5516"/>
        <v>#ERROR!</v>
      </c>
      <c r="BK1096" s="166" t="str">
        <f t="shared" si="5516"/>
        <v>#ERROR!</v>
      </c>
      <c r="BL1096" s="164" t="str">
        <f t="shared" si="5516"/>
        <v>#ERROR!</v>
      </c>
      <c r="BM1096" s="164" t="str">
        <f t="shared" si="5516"/>
        <v>#ERROR!</v>
      </c>
      <c r="BN1096" s="164" t="str">
        <f t="shared" si="5516"/>
        <v>#ERROR!</v>
      </c>
      <c r="BO1096" s="164" t="str">
        <f t="shared" si="5516"/>
        <v>#ERROR!</v>
      </c>
      <c r="BP1096" s="166" t="str">
        <f t="shared" si="5516"/>
        <v>#ERROR!</v>
      </c>
      <c r="BQ1096" s="164" t="str">
        <f t="shared" si="5516"/>
        <v>#ERROR!</v>
      </c>
      <c r="BR1096" s="164" t="str">
        <f t="shared" si="5516"/>
        <v>#ERROR!</v>
      </c>
      <c r="BS1096" s="164" t="str">
        <f t="shared" si="5516"/>
        <v>#ERROR!</v>
      </c>
      <c r="BT1096" s="164" t="str">
        <f t="shared" si="5516"/>
        <v>#ERROR!</v>
      </c>
      <c r="BU1096" s="166" t="str">
        <f t="shared" si="5516"/>
        <v>#ERROR!</v>
      </c>
      <c r="BV1096" s="164" t="str">
        <f t="shared" si="5516"/>
        <v>#ERROR!</v>
      </c>
      <c r="BW1096" s="164" t="str">
        <f t="shared" si="5516"/>
        <v>#ERROR!</v>
      </c>
      <c r="BX1096" s="164" t="str">
        <f t="shared" si="5516"/>
        <v>#ERROR!</v>
      </c>
      <c r="BY1096" s="164" t="str">
        <f t="shared" si="5516"/>
        <v>#ERROR!</v>
      </c>
      <c r="BZ1096" s="168" t="str">
        <f t="shared" si="5516"/>
        <v>#ERROR!</v>
      </c>
      <c r="CA1096" s="164" t="str">
        <f t="shared" si="5516"/>
        <v>#ERROR!</v>
      </c>
      <c r="CB1096" s="164" t="str">
        <f t="shared" si="5516"/>
        <v>#ERROR!</v>
      </c>
      <c r="CC1096" s="164" t="str">
        <f t="shared" si="5516"/>
        <v>#ERROR!</v>
      </c>
      <c r="CD1096" s="164" t="str">
        <f t="shared" si="5516"/>
        <v>#ERROR!</v>
      </c>
      <c r="CE1096" s="168" t="str">
        <f t="shared" si="5516"/>
        <v>#ERROR!</v>
      </c>
      <c r="CF1096" s="164" t="str">
        <f t="shared" si="5516"/>
        <v>#ERROR!</v>
      </c>
      <c r="CG1096" s="164" t="str">
        <f t="shared" si="5516"/>
        <v>#ERROR!</v>
      </c>
      <c r="CH1096" s="164" t="str">
        <f t="shared" si="5516"/>
        <v>#ERROR!</v>
      </c>
      <c r="CI1096" s="164" t="str">
        <f t="shared" si="5516"/>
        <v>#ERROR!</v>
      </c>
      <c r="CJ1096" s="168" t="str">
        <f t="shared" si="5516"/>
        <v>#ERROR!</v>
      </c>
      <c r="CK1096" s="164" t="str">
        <f t="shared" si="5516"/>
        <v>#ERROR!</v>
      </c>
      <c r="CL1096" s="164" t="str">
        <f t="shared" si="5516"/>
        <v>#ERROR!</v>
      </c>
      <c r="CM1096" s="164" t="str">
        <f t="shared" si="5516"/>
        <v>#ERROR!</v>
      </c>
      <c r="CN1096" s="583" t="str">
        <f t="shared" si="5516"/>
        <v>#ERROR!</v>
      </c>
      <c r="CO1096" s="168" t="str">
        <f t="shared" si="5516"/>
        <v>#ERROR!</v>
      </c>
      <c r="CP1096" s="583" t="str">
        <f t="shared" si="5516"/>
        <v>#ERROR!</v>
      </c>
      <c r="CQ1096" s="164" t="str">
        <f t="shared" si="5516"/>
        <v>#ERROR!</v>
      </c>
      <c r="CR1096" s="164" t="str">
        <f t="shared" si="5516"/>
        <v>#ERROR!</v>
      </c>
      <c r="CS1096" s="164" t="str">
        <f t="shared" si="5516"/>
        <v>#ERROR!</v>
      </c>
      <c r="CT1096" s="168" t="str">
        <f t="shared" si="5516"/>
        <v>#ERROR!</v>
      </c>
      <c r="CU1096" s="164" t="str">
        <f t="shared" si="5516"/>
        <v>#ERROR!</v>
      </c>
      <c r="CV1096" s="164" t="str">
        <f t="shared" si="5516"/>
        <v>#ERROR!</v>
      </c>
      <c r="CW1096" s="164" t="str">
        <f t="shared" si="5516"/>
        <v>#ERROR!</v>
      </c>
      <c r="CX1096" s="164" t="str">
        <f t="shared" si="5516"/>
        <v>#ERROR!</v>
      </c>
      <c r="CY1096" s="168" t="str">
        <f t="shared" si="5516"/>
        <v>#ERROR!</v>
      </c>
      <c r="CZ1096" s="164" t="str">
        <f t="shared" si="5516"/>
        <v>#ERROR!</v>
      </c>
      <c r="DA1096" s="164" t="str">
        <f t="shared" si="5516"/>
        <v>#ERROR!</v>
      </c>
      <c r="DB1096" s="164" t="str">
        <f t="shared" si="5516"/>
        <v>#ERROR!</v>
      </c>
      <c r="DC1096" s="164" t="str">
        <f t="shared" si="5516"/>
        <v>#ERROR!</v>
      </c>
      <c r="DD1096" s="168" t="str">
        <f t="shared" si="5516"/>
        <v>#ERROR!</v>
      </c>
      <c r="DE1096" s="164" t="str">
        <f t="shared" si="5516"/>
        <v>#ERROR!</v>
      </c>
      <c r="DF1096" s="164" t="str">
        <f t="shared" si="5516"/>
        <v>#ERROR!</v>
      </c>
      <c r="DG1096" s="146" t="str">
        <f t="shared" si="5516"/>
        <v>#ERROR!</v>
      </c>
      <c r="DH1096" s="164" t="str">
        <f t="shared" si="5516"/>
        <v>#ERROR!</v>
      </c>
      <c r="DI1096" s="168" t="str">
        <f t="shared" si="5516"/>
        <v>#ERROR!</v>
      </c>
      <c r="DJ1096" s="583" t="str">
        <f t="shared" si="5516"/>
        <v>#ERROR!</v>
      </c>
      <c r="DK1096" s="583" t="str">
        <f t="shared" si="5516"/>
        <v>#ERROR!</v>
      </c>
      <c r="DL1096" s="583" t="str">
        <f t="shared" si="5516"/>
        <v>#ERROR!</v>
      </c>
      <c r="DM1096" s="164" t="str">
        <f t="shared" si="5516"/>
        <v>#ERROR!</v>
      </c>
      <c r="DN1096" s="168" t="str">
        <f t="shared" si="5516"/>
        <v>#ERROR!</v>
      </c>
      <c r="DO1096" s="164" t="str">
        <f t="shared" si="5516"/>
        <v>#ERROR!</v>
      </c>
      <c r="DP1096" s="164" t="str">
        <f t="shared" si="5516"/>
        <v>#ERROR!</v>
      </c>
      <c r="DQ1096" s="164" t="str">
        <f t="shared" si="5516"/>
        <v>#ERROR!</v>
      </c>
      <c r="DR1096" s="164" t="str">
        <f t="shared" si="5516"/>
        <v>#ERROR!</v>
      </c>
      <c r="DS1096" s="168" t="str">
        <f t="shared" si="5516"/>
        <v>#ERROR!</v>
      </c>
      <c r="DT1096" s="164" t="str">
        <f t="shared" si="5516"/>
        <v>#ERROR!</v>
      </c>
      <c r="DU1096" s="164" t="str">
        <f t="shared" si="5516"/>
        <v>#ERROR!</v>
      </c>
      <c r="DV1096" s="164" t="str">
        <f t="shared" si="5516"/>
        <v>#ERROR!</v>
      </c>
      <c r="DW1096" s="164" t="str">
        <f t="shared" si="5516"/>
        <v>#ERROR!</v>
      </c>
      <c r="DX1096" s="168" t="str">
        <f t="shared" si="5516"/>
        <v>#ERROR!</v>
      </c>
      <c r="DY1096" s="164" t="str">
        <f t="shared" si="5516"/>
        <v>#ERROR!</v>
      </c>
      <c r="DZ1096" s="164" t="str">
        <f t="shared" si="5516"/>
        <v>#ERROR!</v>
      </c>
      <c r="EA1096" s="164" t="str">
        <f t="shared" si="5516"/>
        <v>#ERROR!</v>
      </c>
      <c r="EB1096" s="164" t="str">
        <f t="shared" si="5516"/>
        <v>#ERROR!</v>
      </c>
      <c r="EC1096" s="168" t="str">
        <f t="shared" si="5516"/>
        <v>#ERROR!</v>
      </c>
      <c r="ED1096" s="164" t="str">
        <f t="shared" si="5516"/>
        <v>#ERROR!</v>
      </c>
      <c r="EE1096" s="164" t="str">
        <f t="shared" si="5516"/>
        <v>#ERROR!</v>
      </c>
      <c r="EF1096" s="164" t="str">
        <f t="shared" si="5516"/>
        <v>#ERROR!</v>
      </c>
      <c r="EG1096" s="164" t="str">
        <f t="shared" si="5516"/>
        <v>#ERROR!</v>
      </c>
      <c r="EH1096" s="168" t="str">
        <f t="shared" si="5516"/>
        <v>#ERROR!</v>
      </c>
      <c r="EI1096" s="584" t="str">
        <f t="shared" si="5516"/>
        <v>#ERROR!</v>
      </c>
      <c r="EJ1096" s="164" t="str">
        <f t="shared" si="5516"/>
        <v>#ERROR!</v>
      </c>
      <c r="EK1096" s="164" t="str">
        <f t="shared" si="5516"/>
        <v>#ERROR!</v>
      </c>
      <c r="EL1096" s="164" t="str">
        <f t="shared" si="5516"/>
        <v>#ERROR!</v>
      </c>
      <c r="EM1096" s="168" t="str">
        <f t="shared" si="5516"/>
        <v>#ERROR!</v>
      </c>
      <c r="EN1096" s="164" t="str">
        <f t="shared" si="5516"/>
        <v>#ERROR!</v>
      </c>
      <c r="EO1096" s="164" t="str">
        <f t="shared" si="5516"/>
        <v>#ERROR!</v>
      </c>
      <c r="EP1096" s="164" t="str">
        <f t="shared" si="5516"/>
        <v>#ERROR!</v>
      </c>
      <c r="EQ1096" s="164" t="str">
        <f t="shared" si="5516"/>
        <v>#ERROR!</v>
      </c>
      <c r="ER1096" s="168" t="str">
        <f t="shared" si="5516"/>
        <v>#ERROR!</v>
      </c>
      <c r="ES1096" s="164" t="str">
        <f t="shared" si="5516"/>
        <v>#ERROR!</v>
      </c>
      <c r="ET1096" s="164" t="str">
        <f t="shared" si="5516"/>
        <v>#ERROR!</v>
      </c>
      <c r="EU1096" s="164" t="str">
        <f t="shared" si="5516"/>
        <v>#ERROR!</v>
      </c>
      <c r="EV1096" s="164" t="str">
        <f t="shared" si="5516"/>
        <v>#ERROR!</v>
      </c>
      <c r="EW1096" s="168" t="str">
        <f t="shared" si="5516"/>
        <v>#ERROR!</v>
      </c>
      <c r="EX1096" s="164" t="str">
        <f t="shared" si="5516"/>
        <v>#ERROR!</v>
      </c>
      <c r="EY1096" s="164" t="str">
        <f t="shared" si="5516"/>
        <v>#ERROR!</v>
      </c>
      <c r="EZ1096" s="164" t="str">
        <f t="shared" si="5516"/>
        <v>#ERROR!</v>
      </c>
      <c r="FA1096" s="164" t="str">
        <f t="shared" si="5516"/>
        <v>#ERROR!</v>
      </c>
      <c r="FB1096" s="168" t="str">
        <f t="shared" si="5516"/>
        <v>#ERROR!</v>
      </c>
      <c r="FC1096" s="164" t="str">
        <f t="shared" si="5516"/>
        <v>#ERROR!</v>
      </c>
      <c r="FD1096" s="164" t="str">
        <f t="shared" si="5516"/>
        <v>#ERROR!</v>
      </c>
      <c r="FE1096" s="164" t="str">
        <f t="shared" si="5516"/>
        <v>#ERROR!</v>
      </c>
      <c r="FF1096" s="164" t="str">
        <f t="shared" si="5516"/>
        <v>#ERROR!</v>
      </c>
      <c r="FG1096" s="168" t="str">
        <f t="shared" si="5516"/>
        <v>#ERROR!</v>
      </c>
      <c r="FH1096" s="167"/>
      <c r="FI1096" s="164"/>
      <c r="FJ1096" s="164"/>
      <c r="FK1096" s="166"/>
      <c r="FL1096" s="164"/>
    </row>
    <row r="1097" ht="12.75" hidden="1" customHeight="1" outlineLevel="2">
      <c r="A1097" s="4"/>
      <c r="B1097" s="4"/>
      <c r="C1097" s="4"/>
      <c r="D1097" s="4"/>
      <c r="E1097" s="4"/>
      <c r="F1097" s="4"/>
      <c r="G1097" s="4"/>
      <c r="H1097" s="45"/>
      <c r="I1097" s="4"/>
      <c r="J1097" s="4"/>
      <c r="K1097" s="4"/>
      <c r="L1097" s="4"/>
      <c r="M1097" s="45"/>
      <c r="N1097" s="4"/>
      <c r="O1097" s="4"/>
      <c r="P1097" s="4"/>
      <c r="Q1097" s="4"/>
      <c r="R1097" s="45"/>
      <c r="S1097" s="4"/>
      <c r="T1097" s="4"/>
      <c r="U1097" s="4"/>
      <c r="V1097" s="4"/>
      <c r="W1097" s="45"/>
      <c r="X1097" s="4"/>
      <c r="Y1097" s="4"/>
      <c r="Z1097" s="4"/>
      <c r="AA1097" s="4"/>
      <c r="AB1097" s="45"/>
      <c r="AC1097" s="4"/>
      <c r="AD1097" s="4"/>
      <c r="AE1097" s="4"/>
      <c r="AF1097" s="4"/>
      <c r="AG1097" s="45"/>
      <c r="AH1097" s="4"/>
      <c r="AI1097" s="4"/>
      <c r="AJ1097" s="4"/>
      <c r="AK1097" s="4"/>
      <c r="AL1097" s="45"/>
      <c r="AM1097" s="4"/>
      <c r="AN1097" s="4"/>
      <c r="AO1097" s="4"/>
      <c r="AP1097" s="4"/>
      <c r="AQ1097" s="45"/>
      <c r="AR1097" s="4"/>
      <c r="AS1097" s="4"/>
      <c r="AT1097" s="4"/>
      <c r="AU1097" s="4"/>
      <c r="AV1097" s="45"/>
      <c r="AW1097" s="4"/>
      <c r="AX1097" s="4"/>
      <c r="AY1097" s="4"/>
      <c r="AZ1097" s="4"/>
      <c r="BA1097" s="45"/>
      <c r="BB1097" s="4"/>
      <c r="BC1097" s="4"/>
      <c r="BD1097" s="4"/>
      <c r="BE1097" s="4"/>
      <c r="BF1097" s="45"/>
      <c r="BG1097" s="4"/>
      <c r="BH1097" s="4"/>
      <c r="BI1097" s="4"/>
      <c r="BJ1097" s="4"/>
      <c r="BK1097" s="45"/>
      <c r="BL1097" s="4"/>
      <c r="BM1097" s="4"/>
      <c r="BN1097" s="4"/>
      <c r="BO1097" s="4"/>
      <c r="BP1097" s="45"/>
      <c r="BQ1097" s="4"/>
      <c r="BR1097" s="4"/>
      <c r="BS1097" s="4"/>
      <c r="BT1097" s="4"/>
      <c r="BU1097" s="45"/>
      <c r="BV1097" s="4"/>
      <c r="BW1097" s="4"/>
      <c r="BX1097" s="4"/>
      <c r="BY1097" s="4"/>
      <c r="BZ1097" s="350"/>
      <c r="CA1097" s="4"/>
      <c r="CB1097" s="4"/>
      <c r="CC1097" s="4"/>
      <c r="CD1097" s="4"/>
      <c r="CE1097" s="350"/>
      <c r="CF1097" s="4"/>
      <c r="CG1097" s="4"/>
      <c r="CH1097" s="4"/>
      <c r="CI1097" s="4"/>
      <c r="CJ1097" s="350"/>
      <c r="CK1097" s="4"/>
      <c r="CL1097" s="4"/>
      <c r="CM1097" s="4"/>
      <c r="CN1097" s="16"/>
      <c r="CO1097" s="350"/>
      <c r="CP1097" s="16"/>
      <c r="CQ1097" s="4"/>
      <c r="CR1097" s="4"/>
      <c r="CS1097" s="4"/>
      <c r="CT1097" s="350"/>
      <c r="CU1097" s="4"/>
      <c r="CV1097" s="4"/>
      <c r="CW1097" s="4"/>
      <c r="CX1097" s="4"/>
      <c r="CY1097" s="350"/>
      <c r="CZ1097" s="4"/>
      <c r="DA1097" s="4"/>
      <c r="DB1097" s="4"/>
      <c r="DC1097" s="4"/>
      <c r="DD1097" s="350"/>
      <c r="DE1097" s="4"/>
      <c r="DF1097" s="4"/>
      <c r="DG1097" s="16"/>
      <c r="DH1097" s="4"/>
      <c r="DI1097" s="350"/>
      <c r="DJ1097" s="16"/>
      <c r="DK1097" s="16"/>
      <c r="DL1097" s="16"/>
      <c r="DM1097" s="4"/>
      <c r="DN1097" s="350"/>
      <c r="DO1097" s="4"/>
      <c r="DP1097" s="4"/>
      <c r="DQ1097" s="4"/>
      <c r="DR1097" s="4"/>
      <c r="DS1097" s="350"/>
      <c r="DT1097" s="4"/>
      <c r="DU1097" s="4"/>
      <c r="DV1097" s="4"/>
      <c r="DW1097" s="4"/>
      <c r="DX1097" s="350"/>
      <c r="DY1097" s="4"/>
      <c r="DZ1097" s="4"/>
      <c r="EA1097" s="4"/>
      <c r="EB1097" s="4"/>
      <c r="EC1097" s="350"/>
      <c r="ED1097" s="4"/>
      <c r="EE1097" s="4"/>
      <c r="EF1097" s="4"/>
      <c r="EG1097" s="4"/>
      <c r="EH1097" s="350"/>
      <c r="EI1097" s="214"/>
      <c r="EJ1097" s="4"/>
      <c r="EK1097" s="4"/>
      <c r="EL1097" s="4"/>
      <c r="EM1097" s="350"/>
      <c r="EN1097" s="4"/>
      <c r="EO1097" s="4"/>
      <c r="EP1097" s="4"/>
      <c r="EQ1097" s="4"/>
      <c r="ER1097" s="350"/>
      <c r="ES1097" s="4"/>
      <c r="ET1097" s="4"/>
      <c r="EU1097" s="4"/>
      <c r="EV1097" s="4"/>
      <c r="EW1097" s="350"/>
      <c r="EX1097" s="4"/>
      <c r="EY1097" s="4"/>
      <c r="EZ1097" s="4"/>
      <c r="FA1097" s="4"/>
      <c r="FB1097" s="350"/>
      <c r="FC1097" s="4"/>
      <c r="FD1097" s="4"/>
      <c r="FE1097" s="4"/>
      <c r="FF1097" s="4"/>
      <c r="FG1097" s="350"/>
      <c r="FH1097" s="145"/>
      <c r="FI1097" s="4"/>
      <c r="FJ1097" s="4"/>
      <c r="FK1097" s="45"/>
      <c r="FL1097" s="4"/>
    </row>
    <row r="1098" ht="12.75" hidden="1" customHeight="1" outlineLevel="2">
      <c r="A1098" s="4"/>
      <c r="B1098" s="45" t="s">
        <v>393</v>
      </c>
      <c r="C1098" s="4"/>
      <c r="D1098" s="4"/>
      <c r="E1098" s="4"/>
      <c r="F1098" s="4"/>
      <c r="G1098" s="4"/>
      <c r="H1098" s="45"/>
      <c r="I1098" s="4"/>
      <c r="J1098" s="4"/>
      <c r="K1098" s="4"/>
      <c r="L1098" s="4"/>
      <c r="M1098" s="45"/>
      <c r="N1098" s="4"/>
      <c r="O1098" s="4"/>
      <c r="P1098" s="4"/>
      <c r="Q1098" s="4"/>
      <c r="R1098" s="45"/>
      <c r="S1098" s="4"/>
      <c r="T1098" s="4"/>
      <c r="U1098" s="4"/>
      <c r="V1098" s="4"/>
      <c r="W1098" s="45"/>
      <c r="X1098" s="4"/>
      <c r="Y1098" s="4"/>
      <c r="Z1098" s="4"/>
      <c r="AA1098" s="4"/>
      <c r="AB1098" s="45"/>
      <c r="AC1098" s="4"/>
      <c r="AD1098" s="4"/>
      <c r="AE1098" s="4"/>
      <c r="AF1098" s="4"/>
      <c r="AG1098" s="45"/>
      <c r="AH1098" s="4"/>
      <c r="AI1098" s="4"/>
      <c r="AJ1098" s="4"/>
      <c r="AK1098" s="4"/>
      <c r="AL1098" s="45"/>
      <c r="AM1098" s="4"/>
      <c r="AN1098" s="4"/>
      <c r="AO1098" s="4"/>
      <c r="AP1098" s="4"/>
      <c r="AQ1098" s="45"/>
      <c r="AR1098" s="4"/>
      <c r="AS1098" s="4"/>
      <c r="AT1098" s="4"/>
      <c r="AU1098" s="4"/>
      <c r="AV1098" s="45"/>
      <c r="AW1098" s="4"/>
      <c r="AX1098" s="4"/>
      <c r="AY1098" s="4"/>
      <c r="AZ1098" s="4"/>
      <c r="BA1098" s="45"/>
      <c r="BB1098" s="4"/>
      <c r="BC1098" s="4"/>
      <c r="BD1098" s="4"/>
      <c r="BE1098" s="4"/>
      <c r="BF1098" s="45"/>
      <c r="BG1098" s="4"/>
      <c r="BH1098" s="4"/>
      <c r="BI1098" s="4"/>
      <c r="BJ1098" s="4"/>
      <c r="BK1098" s="45"/>
      <c r="BL1098" s="4"/>
      <c r="BM1098" s="4"/>
      <c r="BN1098" s="4"/>
      <c r="BO1098" s="4"/>
      <c r="BP1098" s="45"/>
      <c r="BQ1098" s="4"/>
      <c r="BR1098" s="4"/>
      <c r="BS1098" s="4"/>
      <c r="BT1098" s="4"/>
      <c r="BU1098" s="45"/>
      <c r="BV1098" s="4"/>
      <c r="BW1098" s="4"/>
      <c r="BX1098" s="4"/>
      <c r="BY1098" s="4"/>
      <c r="BZ1098" s="350"/>
      <c r="CA1098" s="4"/>
      <c r="CB1098" s="4"/>
      <c r="CC1098" s="4"/>
      <c r="CD1098" s="4"/>
      <c r="CE1098" s="350"/>
      <c r="CF1098" s="4"/>
      <c r="CG1098" s="4"/>
      <c r="CH1098" s="4"/>
      <c r="CI1098" s="4"/>
      <c r="CJ1098" s="350"/>
      <c r="CK1098" s="4"/>
      <c r="CL1098" s="4"/>
      <c r="CM1098" s="4"/>
      <c r="CN1098" s="16"/>
      <c r="CO1098" s="350"/>
      <c r="CP1098" s="16"/>
      <c r="CQ1098" s="4"/>
      <c r="CR1098" s="4"/>
      <c r="CS1098" s="4"/>
      <c r="CT1098" s="350"/>
      <c r="CU1098" s="4"/>
      <c r="CV1098" s="4"/>
      <c r="CW1098" s="4"/>
      <c r="CX1098" s="4"/>
      <c r="CY1098" s="350"/>
      <c r="CZ1098" s="4"/>
      <c r="DA1098" s="4"/>
      <c r="DB1098" s="4"/>
      <c r="DC1098" s="4"/>
      <c r="DD1098" s="350"/>
      <c r="DE1098" s="4"/>
      <c r="DF1098" s="4"/>
      <c r="DG1098" s="16"/>
      <c r="DH1098" s="4"/>
      <c r="DI1098" s="350"/>
      <c r="DJ1098" s="16"/>
      <c r="DK1098" s="16"/>
      <c r="DL1098" s="16"/>
      <c r="DM1098" s="4"/>
      <c r="DN1098" s="350"/>
      <c r="DO1098" s="4"/>
      <c r="DP1098" s="4"/>
      <c r="DQ1098" s="4"/>
      <c r="DR1098" s="4"/>
      <c r="DS1098" s="350"/>
      <c r="DT1098" s="4"/>
      <c r="DU1098" s="4"/>
      <c r="DV1098" s="4"/>
      <c r="DW1098" s="4"/>
      <c r="DX1098" s="350"/>
      <c r="DY1098" s="4"/>
      <c r="DZ1098" s="4"/>
      <c r="EA1098" s="4"/>
      <c r="EB1098" s="4"/>
      <c r="EC1098" s="350"/>
      <c r="ED1098" s="4"/>
      <c r="EE1098" s="4"/>
      <c r="EF1098" s="4"/>
      <c r="EG1098" s="4"/>
      <c r="EH1098" s="350"/>
      <c r="EI1098" s="214"/>
      <c r="EJ1098" s="4"/>
      <c r="EK1098" s="4"/>
      <c r="EL1098" s="4"/>
      <c r="EM1098" s="350"/>
      <c r="EN1098" s="4"/>
      <c r="EO1098" s="4"/>
      <c r="EP1098" s="4"/>
      <c r="EQ1098" s="4"/>
      <c r="ER1098" s="350"/>
      <c r="ES1098" s="4"/>
      <c r="ET1098" s="4"/>
      <c r="EU1098" s="4"/>
      <c r="EV1098" s="4"/>
      <c r="EW1098" s="350"/>
      <c r="EX1098" s="4"/>
      <c r="EY1098" s="4"/>
      <c r="EZ1098" s="4"/>
      <c r="FA1098" s="4"/>
      <c r="FB1098" s="350"/>
      <c r="FC1098" s="4"/>
      <c r="FD1098" s="4"/>
      <c r="FE1098" s="4"/>
      <c r="FF1098" s="4"/>
      <c r="FG1098" s="350"/>
      <c r="FH1098" s="145"/>
      <c r="FI1098" s="4"/>
      <c r="FJ1098" s="4"/>
      <c r="FK1098" s="45"/>
      <c r="FL1098" s="4"/>
    </row>
    <row r="1099" ht="12.75" hidden="1" customHeight="1" outlineLevel="2">
      <c r="A1099" s="4"/>
      <c r="B1099" s="4" t="s">
        <v>399</v>
      </c>
      <c r="C1099" s="4"/>
      <c r="D1099" s="15"/>
      <c r="E1099" s="15"/>
      <c r="F1099" s="15"/>
      <c r="G1099" s="15"/>
      <c r="H1099" s="410"/>
      <c r="I1099" s="15" t="str">
        <f t="shared" ref="I1099:FG1099" si="5517">I1094/I$1096</f>
        <v>#ERROR!</v>
      </c>
      <c r="J1099" s="15" t="str">
        <f t="shared" si="5517"/>
        <v>#ERROR!</v>
      </c>
      <c r="K1099" s="15" t="str">
        <f t="shared" si="5517"/>
        <v>#ERROR!</v>
      </c>
      <c r="L1099" s="15" t="str">
        <f t="shared" si="5517"/>
        <v>#ERROR!</v>
      </c>
      <c r="M1099" s="410" t="str">
        <f t="shared" si="5517"/>
        <v>#ERROR!</v>
      </c>
      <c r="N1099" s="15" t="str">
        <f t="shared" si="5517"/>
        <v>#ERROR!</v>
      </c>
      <c r="O1099" s="15" t="str">
        <f t="shared" si="5517"/>
        <v>#ERROR!</v>
      </c>
      <c r="P1099" s="15" t="str">
        <f t="shared" si="5517"/>
        <v>#ERROR!</v>
      </c>
      <c r="Q1099" s="15" t="str">
        <f t="shared" si="5517"/>
        <v>#ERROR!</v>
      </c>
      <c r="R1099" s="410" t="str">
        <f t="shared" si="5517"/>
        <v>#ERROR!</v>
      </c>
      <c r="S1099" s="15" t="str">
        <f t="shared" si="5517"/>
        <v>#ERROR!</v>
      </c>
      <c r="T1099" s="15" t="str">
        <f t="shared" si="5517"/>
        <v>#ERROR!</v>
      </c>
      <c r="U1099" s="15" t="str">
        <f t="shared" si="5517"/>
        <v>#ERROR!</v>
      </c>
      <c r="V1099" s="15" t="str">
        <f t="shared" si="5517"/>
        <v>#ERROR!</v>
      </c>
      <c r="W1099" s="410" t="str">
        <f t="shared" si="5517"/>
        <v>#ERROR!</v>
      </c>
      <c r="X1099" s="15" t="str">
        <f t="shared" si="5517"/>
        <v>#ERROR!</v>
      </c>
      <c r="Y1099" s="15" t="str">
        <f t="shared" si="5517"/>
        <v>#ERROR!</v>
      </c>
      <c r="Z1099" s="15" t="str">
        <f t="shared" si="5517"/>
        <v>#ERROR!</v>
      </c>
      <c r="AA1099" s="15" t="str">
        <f t="shared" si="5517"/>
        <v>#ERROR!</v>
      </c>
      <c r="AB1099" s="410" t="str">
        <f t="shared" si="5517"/>
        <v>#ERROR!</v>
      </c>
      <c r="AC1099" s="15" t="str">
        <f t="shared" si="5517"/>
        <v>#ERROR!</v>
      </c>
      <c r="AD1099" s="15" t="str">
        <f t="shared" si="5517"/>
        <v>#ERROR!</v>
      </c>
      <c r="AE1099" s="15" t="str">
        <f t="shared" si="5517"/>
        <v>#ERROR!</v>
      </c>
      <c r="AF1099" s="15" t="str">
        <f t="shared" si="5517"/>
        <v>#ERROR!</v>
      </c>
      <c r="AG1099" s="410" t="str">
        <f t="shared" si="5517"/>
        <v>#ERROR!</v>
      </c>
      <c r="AH1099" s="15" t="str">
        <f t="shared" si="5517"/>
        <v>#ERROR!</v>
      </c>
      <c r="AI1099" s="15" t="str">
        <f t="shared" si="5517"/>
        <v>#ERROR!</v>
      </c>
      <c r="AJ1099" s="15" t="str">
        <f t="shared" si="5517"/>
        <v>#ERROR!</v>
      </c>
      <c r="AK1099" s="15" t="str">
        <f t="shared" si="5517"/>
        <v>#ERROR!</v>
      </c>
      <c r="AL1099" s="410" t="str">
        <f t="shared" si="5517"/>
        <v>#ERROR!</v>
      </c>
      <c r="AM1099" s="15" t="str">
        <f t="shared" si="5517"/>
        <v>#ERROR!</v>
      </c>
      <c r="AN1099" s="15" t="str">
        <f t="shared" si="5517"/>
        <v>#ERROR!</v>
      </c>
      <c r="AO1099" s="15" t="str">
        <f t="shared" si="5517"/>
        <v>#ERROR!</v>
      </c>
      <c r="AP1099" s="15" t="str">
        <f t="shared" si="5517"/>
        <v>#ERROR!</v>
      </c>
      <c r="AQ1099" s="410" t="str">
        <f t="shared" si="5517"/>
        <v>#ERROR!</v>
      </c>
      <c r="AR1099" s="15" t="str">
        <f t="shared" si="5517"/>
        <v>#ERROR!</v>
      </c>
      <c r="AS1099" s="15" t="str">
        <f t="shared" si="5517"/>
        <v>#ERROR!</v>
      </c>
      <c r="AT1099" s="15" t="str">
        <f t="shared" si="5517"/>
        <v>#ERROR!</v>
      </c>
      <c r="AU1099" s="15" t="str">
        <f t="shared" si="5517"/>
        <v>#ERROR!</v>
      </c>
      <c r="AV1099" s="410" t="str">
        <f t="shared" si="5517"/>
        <v>#ERROR!</v>
      </c>
      <c r="AW1099" s="15" t="str">
        <f t="shared" si="5517"/>
        <v>#ERROR!</v>
      </c>
      <c r="AX1099" s="15" t="str">
        <f t="shared" si="5517"/>
        <v>#ERROR!</v>
      </c>
      <c r="AY1099" s="15" t="str">
        <f t="shared" si="5517"/>
        <v>#ERROR!</v>
      </c>
      <c r="AZ1099" s="15" t="str">
        <f t="shared" si="5517"/>
        <v>#ERROR!</v>
      </c>
      <c r="BA1099" s="410" t="str">
        <f t="shared" si="5517"/>
        <v>#ERROR!</v>
      </c>
      <c r="BB1099" s="15" t="str">
        <f t="shared" si="5517"/>
        <v>#ERROR!</v>
      </c>
      <c r="BC1099" s="15" t="str">
        <f t="shared" si="5517"/>
        <v>#ERROR!</v>
      </c>
      <c r="BD1099" s="15" t="str">
        <f t="shared" si="5517"/>
        <v>#ERROR!</v>
      </c>
      <c r="BE1099" s="15" t="str">
        <f t="shared" si="5517"/>
        <v>#ERROR!</v>
      </c>
      <c r="BF1099" s="410" t="str">
        <f t="shared" si="5517"/>
        <v>#ERROR!</v>
      </c>
      <c r="BG1099" s="15" t="str">
        <f t="shared" si="5517"/>
        <v>#ERROR!</v>
      </c>
      <c r="BH1099" s="15" t="str">
        <f t="shared" si="5517"/>
        <v>#ERROR!</v>
      </c>
      <c r="BI1099" s="15" t="str">
        <f t="shared" si="5517"/>
        <v>#ERROR!</v>
      </c>
      <c r="BJ1099" s="15" t="str">
        <f t="shared" si="5517"/>
        <v>#ERROR!</v>
      </c>
      <c r="BK1099" s="410" t="str">
        <f t="shared" si="5517"/>
        <v>#ERROR!</v>
      </c>
      <c r="BL1099" s="15" t="str">
        <f t="shared" si="5517"/>
        <v>#ERROR!</v>
      </c>
      <c r="BM1099" s="15" t="str">
        <f t="shared" si="5517"/>
        <v>#ERROR!</v>
      </c>
      <c r="BN1099" s="15" t="str">
        <f t="shared" si="5517"/>
        <v>#ERROR!</v>
      </c>
      <c r="BO1099" s="15" t="str">
        <f t="shared" si="5517"/>
        <v>#ERROR!</v>
      </c>
      <c r="BP1099" s="410" t="str">
        <f t="shared" si="5517"/>
        <v>#ERROR!</v>
      </c>
      <c r="BQ1099" s="15" t="str">
        <f t="shared" si="5517"/>
        <v>#ERROR!</v>
      </c>
      <c r="BR1099" s="15" t="str">
        <f t="shared" si="5517"/>
        <v>#ERROR!</v>
      </c>
      <c r="BS1099" s="15" t="str">
        <f t="shared" si="5517"/>
        <v>#ERROR!</v>
      </c>
      <c r="BT1099" s="15" t="str">
        <f t="shared" si="5517"/>
        <v>#ERROR!</v>
      </c>
      <c r="BU1099" s="410" t="str">
        <f t="shared" si="5517"/>
        <v>#ERROR!</v>
      </c>
      <c r="BV1099" s="15" t="str">
        <f t="shared" si="5517"/>
        <v>#ERROR!</v>
      </c>
      <c r="BW1099" s="15" t="str">
        <f t="shared" si="5517"/>
        <v>#ERROR!</v>
      </c>
      <c r="BX1099" s="15" t="str">
        <f t="shared" si="5517"/>
        <v>#ERROR!</v>
      </c>
      <c r="BY1099" s="15" t="str">
        <f t="shared" si="5517"/>
        <v>#ERROR!</v>
      </c>
      <c r="BZ1099" s="24" t="str">
        <f t="shared" si="5517"/>
        <v>#ERROR!</v>
      </c>
      <c r="CA1099" s="15" t="str">
        <f t="shared" si="5517"/>
        <v>#ERROR!</v>
      </c>
      <c r="CB1099" s="15" t="str">
        <f t="shared" si="5517"/>
        <v>#ERROR!</v>
      </c>
      <c r="CC1099" s="15" t="str">
        <f t="shared" si="5517"/>
        <v>#ERROR!</v>
      </c>
      <c r="CD1099" s="15" t="str">
        <f t="shared" si="5517"/>
        <v>#ERROR!</v>
      </c>
      <c r="CE1099" s="24" t="str">
        <f t="shared" si="5517"/>
        <v>#ERROR!</v>
      </c>
      <c r="CF1099" s="15" t="str">
        <f t="shared" si="5517"/>
        <v>#ERROR!</v>
      </c>
      <c r="CG1099" s="15" t="str">
        <f t="shared" si="5517"/>
        <v>#ERROR!</v>
      </c>
      <c r="CH1099" s="15" t="str">
        <f t="shared" si="5517"/>
        <v>#ERROR!</v>
      </c>
      <c r="CI1099" s="15" t="str">
        <f t="shared" si="5517"/>
        <v>#ERROR!</v>
      </c>
      <c r="CJ1099" s="24" t="str">
        <f t="shared" si="5517"/>
        <v>#ERROR!</v>
      </c>
      <c r="CK1099" s="15" t="str">
        <f t="shared" si="5517"/>
        <v>#ERROR!</v>
      </c>
      <c r="CL1099" s="15" t="str">
        <f t="shared" si="5517"/>
        <v>#ERROR!</v>
      </c>
      <c r="CM1099" s="15" t="str">
        <f t="shared" si="5517"/>
        <v>#ERROR!</v>
      </c>
      <c r="CN1099" s="40" t="str">
        <f t="shared" si="5517"/>
        <v>#ERROR!</v>
      </c>
      <c r="CO1099" s="24" t="str">
        <f t="shared" si="5517"/>
        <v>#ERROR!</v>
      </c>
      <c r="CP1099" s="40" t="str">
        <f t="shared" si="5517"/>
        <v>#ERROR!</v>
      </c>
      <c r="CQ1099" s="15" t="str">
        <f t="shared" si="5517"/>
        <v>#ERROR!</v>
      </c>
      <c r="CR1099" s="15" t="str">
        <f t="shared" si="5517"/>
        <v>#ERROR!</v>
      </c>
      <c r="CS1099" s="15" t="str">
        <f t="shared" si="5517"/>
        <v>#ERROR!</v>
      </c>
      <c r="CT1099" s="24" t="str">
        <f t="shared" si="5517"/>
        <v>#ERROR!</v>
      </c>
      <c r="CU1099" s="15" t="str">
        <f t="shared" si="5517"/>
        <v>#ERROR!</v>
      </c>
      <c r="CV1099" s="15" t="str">
        <f t="shared" si="5517"/>
        <v>#ERROR!</v>
      </c>
      <c r="CW1099" s="15" t="str">
        <f t="shared" si="5517"/>
        <v>#ERROR!</v>
      </c>
      <c r="CX1099" s="15" t="str">
        <f t="shared" si="5517"/>
        <v>#ERROR!</v>
      </c>
      <c r="CY1099" s="24" t="str">
        <f t="shared" si="5517"/>
        <v>#ERROR!</v>
      </c>
      <c r="CZ1099" s="15" t="str">
        <f t="shared" si="5517"/>
        <v>#ERROR!</v>
      </c>
      <c r="DA1099" s="15" t="str">
        <f t="shared" si="5517"/>
        <v>#ERROR!</v>
      </c>
      <c r="DB1099" s="15" t="str">
        <f t="shared" si="5517"/>
        <v>#ERROR!</v>
      </c>
      <c r="DC1099" s="15" t="str">
        <f t="shared" si="5517"/>
        <v>#ERROR!</v>
      </c>
      <c r="DD1099" s="24" t="str">
        <f t="shared" si="5517"/>
        <v>#ERROR!</v>
      </c>
      <c r="DE1099" s="15" t="str">
        <f t="shared" si="5517"/>
        <v>#ERROR!</v>
      </c>
      <c r="DF1099" s="15" t="str">
        <f t="shared" si="5517"/>
        <v>#ERROR!</v>
      </c>
      <c r="DG1099" s="40" t="str">
        <f t="shared" si="5517"/>
        <v>#ERROR!</v>
      </c>
      <c r="DH1099" s="15" t="str">
        <f t="shared" si="5517"/>
        <v>#ERROR!</v>
      </c>
      <c r="DI1099" s="24" t="str">
        <f t="shared" si="5517"/>
        <v>#ERROR!</v>
      </c>
      <c r="DJ1099" s="40" t="str">
        <f t="shared" si="5517"/>
        <v>#ERROR!</v>
      </c>
      <c r="DK1099" s="40" t="str">
        <f t="shared" si="5517"/>
        <v>#ERROR!</v>
      </c>
      <c r="DL1099" s="40" t="str">
        <f t="shared" si="5517"/>
        <v>#ERROR!</v>
      </c>
      <c r="DM1099" s="15" t="str">
        <f t="shared" si="5517"/>
        <v>#ERROR!</v>
      </c>
      <c r="DN1099" s="24" t="str">
        <f t="shared" si="5517"/>
        <v>#ERROR!</v>
      </c>
      <c r="DO1099" s="15" t="str">
        <f t="shared" si="5517"/>
        <v>#ERROR!</v>
      </c>
      <c r="DP1099" s="15" t="str">
        <f t="shared" si="5517"/>
        <v>#ERROR!</v>
      </c>
      <c r="DQ1099" s="15" t="str">
        <f t="shared" si="5517"/>
        <v>#ERROR!</v>
      </c>
      <c r="DR1099" s="15" t="str">
        <f t="shared" si="5517"/>
        <v>#ERROR!</v>
      </c>
      <c r="DS1099" s="24" t="str">
        <f t="shared" si="5517"/>
        <v>#ERROR!</v>
      </c>
      <c r="DT1099" s="15" t="str">
        <f t="shared" si="5517"/>
        <v>#ERROR!</v>
      </c>
      <c r="DU1099" s="15" t="str">
        <f t="shared" si="5517"/>
        <v>#ERROR!</v>
      </c>
      <c r="DV1099" s="15" t="str">
        <f t="shared" si="5517"/>
        <v>#ERROR!</v>
      </c>
      <c r="DW1099" s="15" t="str">
        <f t="shared" si="5517"/>
        <v>#ERROR!</v>
      </c>
      <c r="DX1099" s="24" t="str">
        <f t="shared" si="5517"/>
        <v>#ERROR!</v>
      </c>
      <c r="DY1099" s="15" t="str">
        <f t="shared" si="5517"/>
        <v>#ERROR!</v>
      </c>
      <c r="DZ1099" s="15" t="str">
        <f t="shared" si="5517"/>
        <v>#ERROR!</v>
      </c>
      <c r="EA1099" s="15" t="str">
        <f t="shared" si="5517"/>
        <v>#ERROR!</v>
      </c>
      <c r="EB1099" s="15" t="str">
        <f t="shared" si="5517"/>
        <v>#ERROR!</v>
      </c>
      <c r="EC1099" s="24" t="str">
        <f t="shared" si="5517"/>
        <v>#ERROR!</v>
      </c>
      <c r="ED1099" s="15" t="str">
        <f t="shared" si="5517"/>
        <v>#ERROR!</v>
      </c>
      <c r="EE1099" s="15" t="str">
        <f t="shared" si="5517"/>
        <v>#ERROR!</v>
      </c>
      <c r="EF1099" s="15" t="str">
        <f t="shared" si="5517"/>
        <v>#ERROR!</v>
      </c>
      <c r="EG1099" s="15" t="str">
        <f t="shared" si="5517"/>
        <v>#ERROR!</v>
      </c>
      <c r="EH1099" s="24" t="str">
        <f t="shared" si="5517"/>
        <v>#ERROR!</v>
      </c>
      <c r="EI1099" s="82" t="str">
        <f t="shared" si="5517"/>
        <v>#ERROR!</v>
      </c>
      <c r="EJ1099" s="15" t="str">
        <f t="shared" si="5517"/>
        <v>#ERROR!</v>
      </c>
      <c r="EK1099" s="15" t="str">
        <f t="shared" si="5517"/>
        <v>#ERROR!</v>
      </c>
      <c r="EL1099" s="15" t="str">
        <f t="shared" si="5517"/>
        <v>#ERROR!</v>
      </c>
      <c r="EM1099" s="24" t="str">
        <f t="shared" si="5517"/>
        <v>#ERROR!</v>
      </c>
      <c r="EN1099" s="15" t="str">
        <f t="shared" si="5517"/>
        <v>#ERROR!</v>
      </c>
      <c r="EO1099" s="15" t="str">
        <f t="shared" si="5517"/>
        <v>#ERROR!</v>
      </c>
      <c r="EP1099" s="15" t="str">
        <f t="shared" si="5517"/>
        <v>#ERROR!</v>
      </c>
      <c r="EQ1099" s="15" t="str">
        <f t="shared" si="5517"/>
        <v>#ERROR!</v>
      </c>
      <c r="ER1099" s="24" t="str">
        <f t="shared" si="5517"/>
        <v>#ERROR!</v>
      </c>
      <c r="ES1099" s="15" t="str">
        <f t="shared" si="5517"/>
        <v>#ERROR!</v>
      </c>
      <c r="ET1099" s="15" t="str">
        <f t="shared" si="5517"/>
        <v>#ERROR!</v>
      </c>
      <c r="EU1099" s="15" t="str">
        <f t="shared" si="5517"/>
        <v>#ERROR!</v>
      </c>
      <c r="EV1099" s="15" t="str">
        <f t="shared" si="5517"/>
        <v>#ERROR!</v>
      </c>
      <c r="EW1099" s="24" t="str">
        <f t="shared" si="5517"/>
        <v>#ERROR!</v>
      </c>
      <c r="EX1099" s="15" t="str">
        <f t="shared" si="5517"/>
        <v>#ERROR!</v>
      </c>
      <c r="EY1099" s="15" t="str">
        <f t="shared" si="5517"/>
        <v>#ERROR!</v>
      </c>
      <c r="EZ1099" s="15" t="str">
        <f t="shared" si="5517"/>
        <v>#ERROR!</v>
      </c>
      <c r="FA1099" s="15" t="str">
        <f t="shared" si="5517"/>
        <v>#ERROR!</v>
      </c>
      <c r="FB1099" s="24" t="str">
        <f t="shared" si="5517"/>
        <v>#ERROR!</v>
      </c>
      <c r="FC1099" s="15" t="str">
        <f t="shared" si="5517"/>
        <v>#ERROR!</v>
      </c>
      <c r="FD1099" s="15" t="str">
        <f t="shared" si="5517"/>
        <v>#ERROR!</v>
      </c>
      <c r="FE1099" s="15" t="str">
        <f t="shared" si="5517"/>
        <v>#ERROR!</v>
      </c>
      <c r="FF1099" s="15" t="str">
        <f t="shared" si="5517"/>
        <v>#ERROR!</v>
      </c>
      <c r="FG1099" s="24" t="str">
        <f t="shared" si="5517"/>
        <v>#ERROR!</v>
      </c>
      <c r="FH1099" s="104"/>
      <c r="FI1099" s="15"/>
      <c r="FJ1099" s="15"/>
      <c r="FK1099" s="410"/>
      <c r="FL1099" s="15"/>
    </row>
    <row r="1100" ht="12.75" hidden="1" customHeight="1" outlineLevel="2">
      <c r="A1100" s="4"/>
      <c r="B1100" s="4" t="s">
        <v>400</v>
      </c>
      <c r="C1100" s="4"/>
      <c r="D1100" s="15"/>
      <c r="E1100" s="15"/>
      <c r="F1100" s="15"/>
      <c r="G1100" s="15"/>
      <c r="H1100" s="410"/>
      <c r="I1100" s="15" t="str">
        <f t="shared" ref="I1100:FG1100" si="5518">I1095/I$1096</f>
        <v>#REF!</v>
      </c>
      <c r="J1100" s="15" t="str">
        <f t="shared" si="5518"/>
        <v>#REF!</v>
      </c>
      <c r="K1100" s="15" t="str">
        <f t="shared" si="5518"/>
        <v>#REF!</v>
      </c>
      <c r="L1100" s="15" t="str">
        <f t="shared" si="5518"/>
        <v>#REF!</v>
      </c>
      <c r="M1100" s="410" t="str">
        <f t="shared" si="5518"/>
        <v>#REF!</v>
      </c>
      <c r="N1100" s="15" t="str">
        <f t="shared" si="5518"/>
        <v>#REF!</v>
      </c>
      <c r="O1100" s="15" t="str">
        <f t="shared" si="5518"/>
        <v>#REF!</v>
      </c>
      <c r="P1100" s="15" t="str">
        <f t="shared" si="5518"/>
        <v>#REF!</v>
      </c>
      <c r="Q1100" s="15" t="str">
        <f t="shared" si="5518"/>
        <v>#REF!</v>
      </c>
      <c r="R1100" s="410" t="str">
        <f t="shared" si="5518"/>
        <v>#REF!</v>
      </c>
      <c r="S1100" s="15" t="str">
        <f t="shared" si="5518"/>
        <v>#REF!</v>
      </c>
      <c r="T1100" s="15" t="str">
        <f t="shared" si="5518"/>
        <v>#REF!</v>
      </c>
      <c r="U1100" s="15" t="str">
        <f t="shared" si="5518"/>
        <v>#REF!</v>
      </c>
      <c r="V1100" s="15" t="str">
        <f t="shared" si="5518"/>
        <v>#REF!</v>
      </c>
      <c r="W1100" s="410" t="str">
        <f t="shared" si="5518"/>
        <v>#REF!</v>
      </c>
      <c r="X1100" s="15" t="str">
        <f t="shared" si="5518"/>
        <v>#REF!</v>
      </c>
      <c r="Y1100" s="15" t="str">
        <f t="shared" si="5518"/>
        <v>#REF!</v>
      </c>
      <c r="Z1100" s="15" t="str">
        <f t="shared" si="5518"/>
        <v>#REF!</v>
      </c>
      <c r="AA1100" s="15" t="str">
        <f t="shared" si="5518"/>
        <v>#REF!</v>
      </c>
      <c r="AB1100" s="410" t="str">
        <f t="shared" si="5518"/>
        <v>#REF!</v>
      </c>
      <c r="AC1100" s="15" t="str">
        <f t="shared" si="5518"/>
        <v>#REF!</v>
      </c>
      <c r="AD1100" s="15" t="str">
        <f t="shared" si="5518"/>
        <v>#REF!</v>
      </c>
      <c r="AE1100" s="15" t="str">
        <f t="shared" si="5518"/>
        <v>#REF!</v>
      </c>
      <c r="AF1100" s="15" t="str">
        <f t="shared" si="5518"/>
        <v>#REF!</v>
      </c>
      <c r="AG1100" s="410" t="str">
        <f t="shared" si="5518"/>
        <v>#REF!</v>
      </c>
      <c r="AH1100" s="15" t="str">
        <f t="shared" si="5518"/>
        <v>#REF!</v>
      </c>
      <c r="AI1100" s="15" t="str">
        <f t="shared" si="5518"/>
        <v>#REF!</v>
      </c>
      <c r="AJ1100" s="15" t="str">
        <f t="shared" si="5518"/>
        <v>#REF!</v>
      </c>
      <c r="AK1100" s="15" t="str">
        <f t="shared" si="5518"/>
        <v>#REF!</v>
      </c>
      <c r="AL1100" s="410" t="str">
        <f t="shared" si="5518"/>
        <v>#REF!</v>
      </c>
      <c r="AM1100" s="15" t="str">
        <f t="shared" si="5518"/>
        <v>#REF!</v>
      </c>
      <c r="AN1100" s="15" t="str">
        <f t="shared" si="5518"/>
        <v>#REF!</v>
      </c>
      <c r="AO1100" s="15" t="str">
        <f t="shared" si="5518"/>
        <v>#REF!</v>
      </c>
      <c r="AP1100" s="15" t="str">
        <f t="shared" si="5518"/>
        <v>#REF!</v>
      </c>
      <c r="AQ1100" s="410" t="str">
        <f t="shared" si="5518"/>
        <v>#REF!</v>
      </c>
      <c r="AR1100" s="15" t="str">
        <f t="shared" si="5518"/>
        <v>#REF!</v>
      </c>
      <c r="AS1100" s="15" t="str">
        <f t="shared" si="5518"/>
        <v>#REF!</v>
      </c>
      <c r="AT1100" s="15" t="str">
        <f t="shared" si="5518"/>
        <v>#REF!</v>
      </c>
      <c r="AU1100" s="15" t="str">
        <f t="shared" si="5518"/>
        <v>#REF!</v>
      </c>
      <c r="AV1100" s="410" t="str">
        <f t="shared" si="5518"/>
        <v>#REF!</v>
      </c>
      <c r="AW1100" s="15" t="str">
        <f t="shared" si="5518"/>
        <v>#REF!</v>
      </c>
      <c r="AX1100" s="15" t="str">
        <f t="shared" si="5518"/>
        <v>#REF!</v>
      </c>
      <c r="AY1100" s="15" t="str">
        <f t="shared" si="5518"/>
        <v>#REF!</v>
      </c>
      <c r="AZ1100" s="15" t="str">
        <f t="shared" si="5518"/>
        <v>#REF!</v>
      </c>
      <c r="BA1100" s="410" t="str">
        <f t="shared" si="5518"/>
        <v>#REF!</v>
      </c>
      <c r="BB1100" s="15" t="str">
        <f t="shared" si="5518"/>
        <v>#REF!</v>
      </c>
      <c r="BC1100" s="15" t="str">
        <f t="shared" si="5518"/>
        <v>#REF!</v>
      </c>
      <c r="BD1100" s="15" t="str">
        <f t="shared" si="5518"/>
        <v>#REF!</v>
      </c>
      <c r="BE1100" s="15" t="str">
        <f t="shared" si="5518"/>
        <v>#REF!</v>
      </c>
      <c r="BF1100" s="410" t="str">
        <f t="shared" si="5518"/>
        <v>#REF!</v>
      </c>
      <c r="BG1100" s="15" t="str">
        <f t="shared" si="5518"/>
        <v>#REF!</v>
      </c>
      <c r="BH1100" s="15" t="str">
        <f t="shared" si="5518"/>
        <v>#REF!</v>
      </c>
      <c r="BI1100" s="15" t="str">
        <f t="shared" si="5518"/>
        <v>#REF!</v>
      </c>
      <c r="BJ1100" s="15" t="str">
        <f t="shared" si="5518"/>
        <v>#REF!</v>
      </c>
      <c r="BK1100" s="410" t="str">
        <f t="shared" si="5518"/>
        <v>#REF!</v>
      </c>
      <c r="BL1100" s="15" t="str">
        <f t="shared" si="5518"/>
        <v>#REF!</v>
      </c>
      <c r="BM1100" s="15" t="str">
        <f t="shared" si="5518"/>
        <v>#REF!</v>
      </c>
      <c r="BN1100" s="15" t="str">
        <f t="shared" si="5518"/>
        <v>#REF!</v>
      </c>
      <c r="BO1100" s="15" t="str">
        <f t="shared" si="5518"/>
        <v>#REF!</v>
      </c>
      <c r="BP1100" s="410" t="str">
        <f t="shared" si="5518"/>
        <v>#REF!</v>
      </c>
      <c r="BQ1100" s="15" t="str">
        <f t="shared" si="5518"/>
        <v>#REF!</v>
      </c>
      <c r="BR1100" s="15" t="str">
        <f t="shared" si="5518"/>
        <v>#REF!</v>
      </c>
      <c r="BS1100" s="15" t="str">
        <f t="shared" si="5518"/>
        <v>#REF!</v>
      </c>
      <c r="BT1100" s="15" t="str">
        <f t="shared" si="5518"/>
        <v>#REF!</v>
      </c>
      <c r="BU1100" s="410" t="str">
        <f t="shared" si="5518"/>
        <v>#REF!</v>
      </c>
      <c r="BV1100" s="15" t="str">
        <f t="shared" si="5518"/>
        <v>#REF!</v>
      </c>
      <c r="BW1100" s="15" t="str">
        <f t="shared" si="5518"/>
        <v>#REF!</v>
      </c>
      <c r="BX1100" s="15" t="str">
        <f t="shared" si="5518"/>
        <v>#REF!</v>
      </c>
      <c r="BY1100" s="15" t="str">
        <f t="shared" si="5518"/>
        <v>#REF!</v>
      </c>
      <c r="BZ1100" s="24" t="str">
        <f t="shared" si="5518"/>
        <v>#REF!</v>
      </c>
      <c r="CA1100" s="15" t="str">
        <f t="shared" si="5518"/>
        <v>#REF!</v>
      </c>
      <c r="CB1100" s="15" t="str">
        <f t="shared" si="5518"/>
        <v>#REF!</v>
      </c>
      <c r="CC1100" s="15" t="str">
        <f t="shared" si="5518"/>
        <v>#REF!</v>
      </c>
      <c r="CD1100" s="15" t="str">
        <f t="shared" si="5518"/>
        <v>#REF!</v>
      </c>
      <c r="CE1100" s="24" t="str">
        <f t="shared" si="5518"/>
        <v>#REF!</v>
      </c>
      <c r="CF1100" s="15" t="str">
        <f t="shared" si="5518"/>
        <v>#REF!</v>
      </c>
      <c r="CG1100" s="15" t="str">
        <f t="shared" si="5518"/>
        <v>#REF!</v>
      </c>
      <c r="CH1100" s="15" t="str">
        <f t="shared" si="5518"/>
        <v>#REF!</v>
      </c>
      <c r="CI1100" s="15" t="str">
        <f t="shared" si="5518"/>
        <v>#REF!</v>
      </c>
      <c r="CJ1100" s="24" t="str">
        <f t="shared" si="5518"/>
        <v>#REF!</v>
      </c>
      <c r="CK1100" s="15" t="str">
        <f t="shared" si="5518"/>
        <v>#REF!</v>
      </c>
      <c r="CL1100" s="15" t="str">
        <f t="shared" si="5518"/>
        <v>#REF!</v>
      </c>
      <c r="CM1100" s="15" t="str">
        <f t="shared" si="5518"/>
        <v>#REF!</v>
      </c>
      <c r="CN1100" s="40" t="str">
        <f t="shared" si="5518"/>
        <v>#REF!</v>
      </c>
      <c r="CO1100" s="24" t="str">
        <f t="shared" si="5518"/>
        <v>#REF!</v>
      </c>
      <c r="CP1100" s="40" t="str">
        <f t="shared" si="5518"/>
        <v>#REF!</v>
      </c>
      <c r="CQ1100" s="15" t="str">
        <f t="shared" si="5518"/>
        <v>#REF!</v>
      </c>
      <c r="CR1100" s="15" t="str">
        <f t="shared" si="5518"/>
        <v>#REF!</v>
      </c>
      <c r="CS1100" s="15" t="str">
        <f t="shared" si="5518"/>
        <v>#REF!</v>
      </c>
      <c r="CT1100" s="24" t="str">
        <f t="shared" si="5518"/>
        <v>#REF!</v>
      </c>
      <c r="CU1100" s="15" t="str">
        <f t="shared" si="5518"/>
        <v>#REF!</v>
      </c>
      <c r="CV1100" s="15" t="str">
        <f t="shared" si="5518"/>
        <v>#REF!</v>
      </c>
      <c r="CW1100" s="15" t="str">
        <f t="shared" si="5518"/>
        <v>#REF!</v>
      </c>
      <c r="CX1100" s="15" t="str">
        <f t="shared" si="5518"/>
        <v>#REF!</v>
      </c>
      <c r="CY1100" s="24" t="str">
        <f t="shared" si="5518"/>
        <v>#REF!</v>
      </c>
      <c r="CZ1100" s="15" t="str">
        <f t="shared" si="5518"/>
        <v>#REF!</v>
      </c>
      <c r="DA1100" s="15" t="str">
        <f t="shared" si="5518"/>
        <v>#REF!</v>
      </c>
      <c r="DB1100" s="15" t="str">
        <f t="shared" si="5518"/>
        <v>#REF!</v>
      </c>
      <c r="DC1100" s="15" t="str">
        <f t="shared" si="5518"/>
        <v>#REF!</v>
      </c>
      <c r="DD1100" s="24" t="str">
        <f t="shared" si="5518"/>
        <v>#REF!</v>
      </c>
      <c r="DE1100" s="15" t="str">
        <f t="shared" si="5518"/>
        <v>#REF!</v>
      </c>
      <c r="DF1100" s="15" t="str">
        <f t="shared" si="5518"/>
        <v>#REF!</v>
      </c>
      <c r="DG1100" s="40" t="str">
        <f t="shared" si="5518"/>
        <v>#REF!</v>
      </c>
      <c r="DH1100" s="15" t="str">
        <f t="shared" si="5518"/>
        <v>#REF!</v>
      </c>
      <c r="DI1100" s="24" t="str">
        <f t="shared" si="5518"/>
        <v>#REF!</v>
      </c>
      <c r="DJ1100" s="40" t="str">
        <f t="shared" si="5518"/>
        <v>#REF!</v>
      </c>
      <c r="DK1100" s="40" t="str">
        <f t="shared" si="5518"/>
        <v>#REF!</v>
      </c>
      <c r="DL1100" s="40" t="str">
        <f t="shared" si="5518"/>
        <v>#REF!</v>
      </c>
      <c r="DM1100" s="15" t="str">
        <f t="shared" si="5518"/>
        <v>#REF!</v>
      </c>
      <c r="DN1100" s="24" t="str">
        <f t="shared" si="5518"/>
        <v>#REF!</v>
      </c>
      <c r="DO1100" s="15" t="str">
        <f t="shared" si="5518"/>
        <v>#REF!</v>
      </c>
      <c r="DP1100" s="15" t="str">
        <f t="shared" si="5518"/>
        <v>#REF!</v>
      </c>
      <c r="DQ1100" s="15" t="str">
        <f t="shared" si="5518"/>
        <v>#REF!</v>
      </c>
      <c r="DR1100" s="15" t="str">
        <f t="shared" si="5518"/>
        <v>#REF!</v>
      </c>
      <c r="DS1100" s="24" t="str">
        <f t="shared" si="5518"/>
        <v>#REF!</v>
      </c>
      <c r="DT1100" s="15" t="str">
        <f t="shared" si="5518"/>
        <v>#REF!</v>
      </c>
      <c r="DU1100" s="15" t="str">
        <f t="shared" si="5518"/>
        <v>#REF!</v>
      </c>
      <c r="DV1100" s="15" t="str">
        <f t="shared" si="5518"/>
        <v>#REF!</v>
      </c>
      <c r="DW1100" s="15" t="str">
        <f t="shared" si="5518"/>
        <v>#REF!</v>
      </c>
      <c r="DX1100" s="24" t="str">
        <f t="shared" si="5518"/>
        <v>#REF!</v>
      </c>
      <c r="DY1100" s="15" t="str">
        <f t="shared" si="5518"/>
        <v>#REF!</v>
      </c>
      <c r="DZ1100" s="15" t="str">
        <f t="shared" si="5518"/>
        <v>#REF!</v>
      </c>
      <c r="EA1100" s="15" t="str">
        <f t="shared" si="5518"/>
        <v>#REF!</v>
      </c>
      <c r="EB1100" s="15" t="str">
        <f t="shared" si="5518"/>
        <v>#REF!</v>
      </c>
      <c r="EC1100" s="24" t="str">
        <f t="shared" si="5518"/>
        <v>#REF!</v>
      </c>
      <c r="ED1100" s="15" t="str">
        <f t="shared" si="5518"/>
        <v>#REF!</v>
      </c>
      <c r="EE1100" s="15" t="str">
        <f t="shared" si="5518"/>
        <v>#REF!</v>
      </c>
      <c r="EF1100" s="15" t="str">
        <f t="shared" si="5518"/>
        <v>#REF!</v>
      </c>
      <c r="EG1100" s="15" t="str">
        <f t="shared" si="5518"/>
        <v>#REF!</v>
      </c>
      <c r="EH1100" s="24" t="str">
        <f t="shared" si="5518"/>
        <v>#REF!</v>
      </c>
      <c r="EI1100" s="82" t="str">
        <f t="shared" si="5518"/>
        <v>#REF!</v>
      </c>
      <c r="EJ1100" s="15" t="str">
        <f t="shared" si="5518"/>
        <v>#REF!</v>
      </c>
      <c r="EK1100" s="15" t="str">
        <f t="shared" si="5518"/>
        <v>#REF!</v>
      </c>
      <c r="EL1100" s="15" t="str">
        <f t="shared" si="5518"/>
        <v>#REF!</v>
      </c>
      <c r="EM1100" s="24" t="str">
        <f t="shared" si="5518"/>
        <v>#REF!</v>
      </c>
      <c r="EN1100" s="15" t="str">
        <f t="shared" si="5518"/>
        <v>#REF!</v>
      </c>
      <c r="EO1100" s="15" t="str">
        <f t="shared" si="5518"/>
        <v>#REF!</v>
      </c>
      <c r="EP1100" s="15" t="str">
        <f t="shared" si="5518"/>
        <v>#REF!</v>
      </c>
      <c r="EQ1100" s="15" t="str">
        <f t="shared" si="5518"/>
        <v>#REF!</v>
      </c>
      <c r="ER1100" s="24" t="str">
        <f t="shared" si="5518"/>
        <v>#REF!</v>
      </c>
      <c r="ES1100" s="15" t="str">
        <f t="shared" si="5518"/>
        <v>#REF!</v>
      </c>
      <c r="ET1100" s="15" t="str">
        <f t="shared" si="5518"/>
        <v>#REF!</v>
      </c>
      <c r="EU1100" s="15" t="str">
        <f t="shared" si="5518"/>
        <v>#REF!</v>
      </c>
      <c r="EV1100" s="15" t="str">
        <f t="shared" si="5518"/>
        <v>#REF!</v>
      </c>
      <c r="EW1100" s="24" t="str">
        <f t="shared" si="5518"/>
        <v>#REF!</v>
      </c>
      <c r="EX1100" s="15" t="str">
        <f t="shared" si="5518"/>
        <v>#REF!</v>
      </c>
      <c r="EY1100" s="15" t="str">
        <f t="shared" si="5518"/>
        <v>#REF!</v>
      </c>
      <c r="EZ1100" s="15" t="str">
        <f t="shared" si="5518"/>
        <v>#REF!</v>
      </c>
      <c r="FA1100" s="15" t="str">
        <f t="shared" si="5518"/>
        <v>#REF!</v>
      </c>
      <c r="FB1100" s="24" t="str">
        <f t="shared" si="5518"/>
        <v>#REF!</v>
      </c>
      <c r="FC1100" s="15" t="str">
        <f t="shared" si="5518"/>
        <v>#REF!</v>
      </c>
      <c r="FD1100" s="15" t="str">
        <f t="shared" si="5518"/>
        <v>#REF!</v>
      </c>
      <c r="FE1100" s="15" t="str">
        <f t="shared" si="5518"/>
        <v>#REF!</v>
      </c>
      <c r="FF1100" s="15" t="str">
        <f t="shared" si="5518"/>
        <v>#REF!</v>
      </c>
      <c r="FG1100" s="24" t="str">
        <f t="shared" si="5518"/>
        <v>#REF!</v>
      </c>
      <c r="FH1100" s="104"/>
      <c r="FI1100" s="15"/>
      <c r="FJ1100" s="15"/>
      <c r="FK1100" s="410"/>
      <c r="FL1100" s="15"/>
    </row>
    <row r="1101" ht="13.5" hidden="1" customHeight="1" outlineLevel="2">
      <c r="A1101" s="4"/>
      <c r="B1101" s="529" t="s">
        <v>291</v>
      </c>
      <c r="C1101" s="529"/>
      <c r="D1101" s="596"/>
      <c r="E1101" s="596"/>
      <c r="F1101" s="596"/>
      <c r="G1101" s="596"/>
      <c r="H1101" s="596"/>
      <c r="I1101" s="596" t="str">
        <f t="shared" ref="I1101:FG1101" si="5519">I1096/I$1096</f>
        <v>#ERROR!</v>
      </c>
      <c r="J1101" s="596" t="str">
        <f t="shared" si="5519"/>
        <v>#ERROR!</v>
      </c>
      <c r="K1101" s="596" t="str">
        <f t="shared" si="5519"/>
        <v>#ERROR!</v>
      </c>
      <c r="L1101" s="596" t="str">
        <f t="shared" si="5519"/>
        <v>#ERROR!</v>
      </c>
      <c r="M1101" s="596" t="str">
        <f t="shared" si="5519"/>
        <v>#ERROR!</v>
      </c>
      <c r="N1101" s="596" t="str">
        <f t="shared" si="5519"/>
        <v>#ERROR!</v>
      </c>
      <c r="O1101" s="596" t="str">
        <f t="shared" si="5519"/>
        <v>#ERROR!</v>
      </c>
      <c r="P1101" s="596" t="str">
        <f t="shared" si="5519"/>
        <v>#ERROR!</v>
      </c>
      <c r="Q1101" s="596" t="str">
        <f t="shared" si="5519"/>
        <v>#ERROR!</v>
      </c>
      <c r="R1101" s="596" t="str">
        <f t="shared" si="5519"/>
        <v>#ERROR!</v>
      </c>
      <c r="S1101" s="596" t="str">
        <f t="shared" si="5519"/>
        <v>#ERROR!</v>
      </c>
      <c r="T1101" s="596" t="str">
        <f t="shared" si="5519"/>
        <v>#ERROR!</v>
      </c>
      <c r="U1101" s="596" t="str">
        <f t="shared" si="5519"/>
        <v>#ERROR!</v>
      </c>
      <c r="V1101" s="596" t="str">
        <f t="shared" si="5519"/>
        <v>#ERROR!</v>
      </c>
      <c r="W1101" s="596" t="str">
        <f t="shared" si="5519"/>
        <v>#ERROR!</v>
      </c>
      <c r="X1101" s="596" t="str">
        <f t="shared" si="5519"/>
        <v>#ERROR!</v>
      </c>
      <c r="Y1101" s="596" t="str">
        <f t="shared" si="5519"/>
        <v>#ERROR!</v>
      </c>
      <c r="Z1101" s="596" t="str">
        <f t="shared" si="5519"/>
        <v>#ERROR!</v>
      </c>
      <c r="AA1101" s="596" t="str">
        <f t="shared" si="5519"/>
        <v>#ERROR!</v>
      </c>
      <c r="AB1101" s="596" t="str">
        <f t="shared" si="5519"/>
        <v>#ERROR!</v>
      </c>
      <c r="AC1101" s="596" t="str">
        <f t="shared" si="5519"/>
        <v>#ERROR!</v>
      </c>
      <c r="AD1101" s="596" t="str">
        <f t="shared" si="5519"/>
        <v>#ERROR!</v>
      </c>
      <c r="AE1101" s="596" t="str">
        <f t="shared" si="5519"/>
        <v>#ERROR!</v>
      </c>
      <c r="AF1101" s="596" t="str">
        <f t="shared" si="5519"/>
        <v>#ERROR!</v>
      </c>
      <c r="AG1101" s="596" t="str">
        <f t="shared" si="5519"/>
        <v>#ERROR!</v>
      </c>
      <c r="AH1101" s="596" t="str">
        <f t="shared" si="5519"/>
        <v>#ERROR!</v>
      </c>
      <c r="AI1101" s="596" t="str">
        <f t="shared" si="5519"/>
        <v>#ERROR!</v>
      </c>
      <c r="AJ1101" s="596" t="str">
        <f t="shared" si="5519"/>
        <v>#ERROR!</v>
      </c>
      <c r="AK1101" s="596" t="str">
        <f t="shared" si="5519"/>
        <v>#ERROR!</v>
      </c>
      <c r="AL1101" s="596" t="str">
        <f t="shared" si="5519"/>
        <v>#ERROR!</v>
      </c>
      <c r="AM1101" s="596" t="str">
        <f t="shared" si="5519"/>
        <v>#ERROR!</v>
      </c>
      <c r="AN1101" s="596" t="str">
        <f t="shared" si="5519"/>
        <v>#ERROR!</v>
      </c>
      <c r="AO1101" s="596" t="str">
        <f t="shared" si="5519"/>
        <v>#ERROR!</v>
      </c>
      <c r="AP1101" s="596" t="str">
        <f t="shared" si="5519"/>
        <v>#ERROR!</v>
      </c>
      <c r="AQ1101" s="596" t="str">
        <f t="shared" si="5519"/>
        <v>#ERROR!</v>
      </c>
      <c r="AR1101" s="596" t="str">
        <f t="shared" si="5519"/>
        <v>#ERROR!</v>
      </c>
      <c r="AS1101" s="596" t="str">
        <f t="shared" si="5519"/>
        <v>#ERROR!</v>
      </c>
      <c r="AT1101" s="596" t="str">
        <f t="shared" si="5519"/>
        <v>#ERROR!</v>
      </c>
      <c r="AU1101" s="596" t="str">
        <f t="shared" si="5519"/>
        <v>#ERROR!</v>
      </c>
      <c r="AV1101" s="596" t="str">
        <f t="shared" si="5519"/>
        <v>#ERROR!</v>
      </c>
      <c r="AW1101" s="596" t="str">
        <f t="shared" si="5519"/>
        <v>#ERROR!</v>
      </c>
      <c r="AX1101" s="596" t="str">
        <f t="shared" si="5519"/>
        <v>#ERROR!</v>
      </c>
      <c r="AY1101" s="596" t="str">
        <f t="shared" si="5519"/>
        <v>#ERROR!</v>
      </c>
      <c r="AZ1101" s="596" t="str">
        <f t="shared" si="5519"/>
        <v>#ERROR!</v>
      </c>
      <c r="BA1101" s="596" t="str">
        <f t="shared" si="5519"/>
        <v>#ERROR!</v>
      </c>
      <c r="BB1101" s="596" t="str">
        <f t="shared" si="5519"/>
        <v>#ERROR!</v>
      </c>
      <c r="BC1101" s="596" t="str">
        <f t="shared" si="5519"/>
        <v>#ERROR!</v>
      </c>
      <c r="BD1101" s="596" t="str">
        <f t="shared" si="5519"/>
        <v>#ERROR!</v>
      </c>
      <c r="BE1101" s="596" t="str">
        <f t="shared" si="5519"/>
        <v>#ERROR!</v>
      </c>
      <c r="BF1101" s="596" t="str">
        <f t="shared" si="5519"/>
        <v>#ERROR!</v>
      </c>
      <c r="BG1101" s="596" t="str">
        <f t="shared" si="5519"/>
        <v>#ERROR!</v>
      </c>
      <c r="BH1101" s="596" t="str">
        <f t="shared" si="5519"/>
        <v>#ERROR!</v>
      </c>
      <c r="BI1101" s="596" t="str">
        <f t="shared" si="5519"/>
        <v>#ERROR!</v>
      </c>
      <c r="BJ1101" s="596" t="str">
        <f t="shared" si="5519"/>
        <v>#ERROR!</v>
      </c>
      <c r="BK1101" s="596" t="str">
        <f t="shared" si="5519"/>
        <v>#ERROR!</v>
      </c>
      <c r="BL1101" s="596" t="str">
        <f t="shared" si="5519"/>
        <v>#ERROR!</v>
      </c>
      <c r="BM1101" s="596" t="str">
        <f t="shared" si="5519"/>
        <v>#ERROR!</v>
      </c>
      <c r="BN1101" s="596" t="str">
        <f t="shared" si="5519"/>
        <v>#ERROR!</v>
      </c>
      <c r="BO1101" s="596" t="str">
        <f t="shared" si="5519"/>
        <v>#ERROR!</v>
      </c>
      <c r="BP1101" s="596" t="str">
        <f t="shared" si="5519"/>
        <v>#ERROR!</v>
      </c>
      <c r="BQ1101" s="596" t="str">
        <f t="shared" si="5519"/>
        <v>#ERROR!</v>
      </c>
      <c r="BR1101" s="596" t="str">
        <f t="shared" si="5519"/>
        <v>#ERROR!</v>
      </c>
      <c r="BS1101" s="596" t="str">
        <f t="shared" si="5519"/>
        <v>#ERROR!</v>
      </c>
      <c r="BT1101" s="596" t="str">
        <f t="shared" si="5519"/>
        <v>#ERROR!</v>
      </c>
      <c r="BU1101" s="596" t="str">
        <f t="shared" si="5519"/>
        <v>#ERROR!</v>
      </c>
      <c r="BV1101" s="596" t="str">
        <f t="shared" si="5519"/>
        <v>#ERROR!</v>
      </c>
      <c r="BW1101" s="596" t="str">
        <f t="shared" si="5519"/>
        <v>#ERROR!</v>
      </c>
      <c r="BX1101" s="596" t="str">
        <f t="shared" si="5519"/>
        <v>#ERROR!</v>
      </c>
      <c r="BY1101" s="596" t="str">
        <f t="shared" si="5519"/>
        <v>#ERROR!</v>
      </c>
      <c r="BZ1101" s="597" t="str">
        <f t="shared" si="5519"/>
        <v>#ERROR!</v>
      </c>
      <c r="CA1101" s="596" t="str">
        <f t="shared" si="5519"/>
        <v>#ERROR!</v>
      </c>
      <c r="CB1101" s="596" t="str">
        <f t="shared" si="5519"/>
        <v>#ERROR!</v>
      </c>
      <c r="CC1101" s="596" t="str">
        <f t="shared" si="5519"/>
        <v>#ERROR!</v>
      </c>
      <c r="CD1101" s="596" t="str">
        <f t="shared" si="5519"/>
        <v>#ERROR!</v>
      </c>
      <c r="CE1101" s="597" t="str">
        <f t="shared" si="5519"/>
        <v>#ERROR!</v>
      </c>
      <c r="CF1101" s="596" t="str">
        <f t="shared" si="5519"/>
        <v>#ERROR!</v>
      </c>
      <c r="CG1101" s="596" t="str">
        <f t="shared" si="5519"/>
        <v>#ERROR!</v>
      </c>
      <c r="CH1101" s="596" t="str">
        <f t="shared" si="5519"/>
        <v>#ERROR!</v>
      </c>
      <c r="CI1101" s="596" t="str">
        <f t="shared" si="5519"/>
        <v>#ERROR!</v>
      </c>
      <c r="CJ1101" s="597" t="str">
        <f t="shared" si="5519"/>
        <v>#ERROR!</v>
      </c>
      <c r="CK1101" s="596" t="str">
        <f t="shared" si="5519"/>
        <v>#ERROR!</v>
      </c>
      <c r="CL1101" s="596" t="str">
        <f t="shared" si="5519"/>
        <v>#ERROR!</v>
      </c>
      <c r="CM1101" s="596" t="str">
        <f t="shared" si="5519"/>
        <v>#ERROR!</v>
      </c>
      <c r="CN1101" s="595" t="str">
        <f t="shared" si="5519"/>
        <v>#ERROR!</v>
      </c>
      <c r="CO1101" s="597" t="str">
        <f t="shared" si="5519"/>
        <v>#ERROR!</v>
      </c>
      <c r="CP1101" s="595" t="str">
        <f t="shared" si="5519"/>
        <v>#ERROR!</v>
      </c>
      <c r="CQ1101" s="596" t="str">
        <f t="shared" si="5519"/>
        <v>#ERROR!</v>
      </c>
      <c r="CR1101" s="596" t="str">
        <f t="shared" si="5519"/>
        <v>#ERROR!</v>
      </c>
      <c r="CS1101" s="596" t="str">
        <f t="shared" si="5519"/>
        <v>#ERROR!</v>
      </c>
      <c r="CT1101" s="597" t="str">
        <f t="shared" si="5519"/>
        <v>#ERROR!</v>
      </c>
      <c r="CU1101" s="596" t="str">
        <f t="shared" si="5519"/>
        <v>#ERROR!</v>
      </c>
      <c r="CV1101" s="596" t="str">
        <f t="shared" si="5519"/>
        <v>#ERROR!</v>
      </c>
      <c r="CW1101" s="596" t="str">
        <f t="shared" si="5519"/>
        <v>#ERROR!</v>
      </c>
      <c r="CX1101" s="596" t="str">
        <f t="shared" si="5519"/>
        <v>#ERROR!</v>
      </c>
      <c r="CY1101" s="597" t="str">
        <f t="shared" si="5519"/>
        <v>#ERROR!</v>
      </c>
      <c r="CZ1101" s="596" t="str">
        <f t="shared" si="5519"/>
        <v>#ERROR!</v>
      </c>
      <c r="DA1101" s="596" t="str">
        <f t="shared" si="5519"/>
        <v>#ERROR!</v>
      </c>
      <c r="DB1101" s="596" t="str">
        <f t="shared" si="5519"/>
        <v>#ERROR!</v>
      </c>
      <c r="DC1101" s="596" t="str">
        <f t="shared" si="5519"/>
        <v>#ERROR!</v>
      </c>
      <c r="DD1101" s="597" t="str">
        <f t="shared" si="5519"/>
        <v>#ERROR!</v>
      </c>
      <c r="DE1101" s="596" t="str">
        <f t="shared" si="5519"/>
        <v>#ERROR!</v>
      </c>
      <c r="DF1101" s="596" t="str">
        <f t="shared" si="5519"/>
        <v>#ERROR!</v>
      </c>
      <c r="DG1101" s="104" t="str">
        <f t="shared" si="5519"/>
        <v>#ERROR!</v>
      </c>
      <c r="DH1101" s="596" t="str">
        <f t="shared" si="5519"/>
        <v>#ERROR!</v>
      </c>
      <c r="DI1101" s="597" t="str">
        <f t="shared" si="5519"/>
        <v>#ERROR!</v>
      </c>
      <c r="DJ1101" s="595" t="str">
        <f t="shared" si="5519"/>
        <v>#ERROR!</v>
      </c>
      <c r="DK1101" s="595" t="str">
        <f t="shared" si="5519"/>
        <v>#ERROR!</v>
      </c>
      <c r="DL1101" s="595" t="str">
        <f t="shared" si="5519"/>
        <v>#ERROR!</v>
      </c>
      <c r="DM1101" s="596" t="str">
        <f t="shared" si="5519"/>
        <v>#ERROR!</v>
      </c>
      <c r="DN1101" s="597" t="str">
        <f t="shared" si="5519"/>
        <v>#ERROR!</v>
      </c>
      <c r="DO1101" s="596" t="str">
        <f t="shared" si="5519"/>
        <v>#ERROR!</v>
      </c>
      <c r="DP1101" s="596" t="str">
        <f t="shared" si="5519"/>
        <v>#ERROR!</v>
      </c>
      <c r="DQ1101" s="596" t="str">
        <f t="shared" si="5519"/>
        <v>#ERROR!</v>
      </c>
      <c r="DR1101" s="596" t="str">
        <f t="shared" si="5519"/>
        <v>#ERROR!</v>
      </c>
      <c r="DS1101" s="597" t="str">
        <f t="shared" si="5519"/>
        <v>#ERROR!</v>
      </c>
      <c r="DT1101" s="596" t="str">
        <f t="shared" si="5519"/>
        <v>#ERROR!</v>
      </c>
      <c r="DU1101" s="596" t="str">
        <f t="shared" si="5519"/>
        <v>#ERROR!</v>
      </c>
      <c r="DV1101" s="596" t="str">
        <f t="shared" si="5519"/>
        <v>#ERROR!</v>
      </c>
      <c r="DW1101" s="596" t="str">
        <f t="shared" si="5519"/>
        <v>#ERROR!</v>
      </c>
      <c r="DX1101" s="597" t="str">
        <f t="shared" si="5519"/>
        <v>#ERROR!</v>
      </c>
      <c r="DY1101" s="596" t="str">
        <f t="shared" si="5519"/>
        <v>#ERROR!</v>
      </c>
      <c r="DZ1101" s="596" t="str">
        <f t="shared" si="5519"/>
        <v>#ERROR!</v>
      </c>
      <c r="EA1101" s="596" t="str">
        <f t="shared" si="5519"/>
        <v>#ERROR!</v>
      </c>
      <c r="EB1101" s="596" t="str">
        <f t="shared" si="5519"/>
        <v>#ERROR!</v>
      </c>
      <c r="EC1101" s="597" t="str">
        <f t="shared" si="5519"/>
        <v>#ERROR!</v>
      </c>
      <c r="ED1101" s="596" t="str">
        <f t="shared" si="5519"/>
        <v>#ERROR!</v>
      </c>
      <c r="EE1101" s="596" t="str">
        <f t="shared" si="5519"/>
        <v>#ERROR!</v>
      </c>
      <c r="EF1101" s="596" t="str">
        <f t="shared" si="5519"/>
        <v>#ERROR!</v>
      </c>
      <c r="EG1101" s="596" t="str">
        <f t="shared" si="5519"/>
        <v>#ERROR!</v>
      </c>
      <c r="EH1101" s="597" t="str">
        <f t="shared" si="5519"/>
        <v>#ERROR!</v>
      </c>
      <c r="EI1101" s="598" t="str">
        <f t="shared" si="5519"/>
        <v>#ERROR!</v>
      </c>
      <c r="EJ1101" s="596" t="str">
        <f t="shared" si="5519"/>
        <v>#ERROR!</v>
      </c>
      <c r="EK1101" s="596" t="str">
        <f t="shared" si="5519"/>
        <v>#ERROR!</v>
      </c>
      <c r="EL1101" s="596" t="str">
        <f t="shared" si="5519"/>
        <v>#ERROR!</v>
      </c>
      <c r="EM1101" s="597" t="str">
        <f t="shared" si="5519"/>
        <v>#ERROR!</v>
      </c>
      <c r="EN1101" s="596" t="str">
        <f t="shared" si="5519"/>
        <v>#ERROR!</v>
      </c>
      <c r="EO1101" s="596" t="str">
        <f t="shared" si="5519"/>
        <v>#ERROR!</v>
      </c>
      <c r="EP1101" s="596" t="str">
        <f t="shared" si="5519"/>
        <v>#ERROR!</v>
      </c>
      <c r="EQ1101" s="596" t="str">
        <f t="shared" si="5519"/>
        <v>#ERROR!</v>
      </c>
      <c r="ER1101" s="597" t="str">
        <f t="shared" si="5519"/>
        <v>#ERROR!</v>
      </c>
      <c r="ES1101" s="596" t="str">
        <f t="shared" si="5519"/>
        <v>#ERROR!</v>
      </c>
      <c r="ET1101" s="596" t="str">
        <f t="shared" si="5519"/>
        <v>#ERROR!</v>
      </c>
      <c r="EU1101" s="596" t="str">
        <f t="shared" si="5519"/>
        <v>#ERROR!</v>
      </c>
      <c r="EV1101" s="596" t="str">
        <f t="shared" si="5519"/>
        <v>#ERROR!</v>
      </c>
      <c r="EW1101" s="597" t="str">
        <f t="shared" si="5519"/>
        <v>#ERROR!</v>
      </c>
      <c r="EX1101" s="596" t="str">
        <f t="shared" si="5519"/>
        <v>#ERROR!</v>
      </c>
      <c r="EY1101" s="596" t="str">
        <f t="shared" si="5519"/>
        <v>#ERROR!</v>
      </c>
      <c r="EZ1101" s="596" t="str">
        <f t="shared" si="5519"/>
        <v>#ERROR!</v>
      </c>
      <c r="FA1101" s="596" t="str">
        <f t="shared" si="5519"/>
        <v>#ERROR!</v>
      </c>
      <c r="FB1101" s="597" t="str">
        <f t="shared" si="5519"/>
        <v>#ERROR!</v>
      </c>
      <c r="FC1101" s="596" t="str">
        <f t="shared" si="5519"/>
        <v>#ERROR!</v>
      </c>
      <c r="FD1101" s="596" t="str">
        <f t="shared" si="5519"/>
        <v>#ERROR!</v>
      </c>
      <c r="FE1101" s="596" t="str">
        <f t="shared" si="5519"/>
        <v>#ERROR!</v>
      </c>
      <c r="FF1101" s="596" t="str">
        <f t="shared" si="5519"/>
        <v>#ERROR!</v>
      </c>
      <c r="FG1101" s="597" t="str">
        <f t="shared" si="5519"/>
        <v>#ERROR!</v>
      </c>
      <c r="FH1101" s="595"/>
      <c r="FI1101" s="596"/>
      <c r="FJ1101" s="596"/>
      <c r="FK1101" s="596"/>
      <c r="FL1101" s="596"/>
    </row>
    <row r="1102" ht="12.75" hidden="1" customHeight="1" outlineLevel="2">
      <c r="A1102" s="4"/>
      <c r="B1102" s="4"/>
      <c r="C1102" s="4"/>
      <c r="D1102" s="4"/>
      <c r="E1102" s="4"/>
      <c r="F1102" s="4"/>
      <c r="G1102" s="4"/>
      <c r="H1102" s="45"/>
      <c r="I1102" s="4"/>
      <c r="J1102" s="4"/>
      <c r="K1102" s="4"/>
      <c r="L1102" s="4"/>
      <c r="M1102" s="45"/>
      <c r="N1102" s="4"/>
      <c r="O1102" s="4"/>
      <c r="P1102" s="4"/>
      <c r="Q1102" s="4"/>
      <c r="R1102" s="45"/>
      <c r="S1102" s="4"/>
      <c r="T1102" s="4"/>
      <c r="U1102" s="4"/>
      <c r="V1102" s="4"/>
      <c r="W1102" s="45"/>
      <c r="X1102" s="4"/>
      <c r="Y1102" s="4"/>
      <c r="Z1102" s="4"/>
      <c r="AA1102" s="4"/>
      <c r="AB1102" s="45"/>
      <c r="AC1102" s="4"/>
      <c r="AD1102" s="4"/>
      <c r="AE1102" s="4"/>
      <c r="AF1102" s="4"/>
      <c r="AG1102" s="45"/>
      <c r="AH1102" s="4"/>
      <c r="AI1102" s="4"/>
      <c r="AJ1102" s="4"/>
      <c r="AK1102" s="4"/>
      <c r="AL1102" s="45"/>
      <c r="AM1102" s="4"/>
      <c r="AN1102" s="4"/>
      <c r="AO1102" s="4"/>
      <c r="AP1102" s="4"/>
      <c r="AQ1102" s="45"/>
      <c r="AR1102" s="4"/>
      <c r="AS1102" s="4"/>
      <c r="AT1102" s="4"/>
      <c r="AU1102" s="4"/>
      <c r="AV1102" s="45"/>
      <c r="AW1102" s="4"/>
      <c r="AX1102" s="4"/>
      <c r="AY1102" s="4"/>
      <c r="AZ1102" s="4"/>
      <c r="BA1102" s="45"/>
      <c r="BB1102" s="4"/>
      <c r="BC1102" s="4"/>
      <c r="BD1102" s="4"/>
      <c r="BE1102" s="4"/>
      <c r="BF1102" s="45"/>
      <c r="BG1102" s="4"/>
      <c r="BH1102" s="4"/>
      <c r="BI1102" s="4"/>
      <c r="BJ1102" s="4"/>
      <c r="BK1102" s="45"/>
      <c r="BL1102" s="4"/>
      <c r="BM1102" s="4"/>
      <c r="BN1102" s="4"/>
      <c r="BO1102" s="4"/>
      <c r="BP1102" s="45"/>
      <c r="BQ1102" s="4"/>
      <c r="BR1102" s="4"/>
      <c r="BS1102" s="4"/>
      <c r="BT1102" s="4"/>
      <c r="BU1102" s="45"/>
      <c r="BV1102" s="4"/>
      <c r="BW1102" s="4"/>
      <c r="BX1102" s="4"/>
      <c r="BY1102" s="4"/>
      <c r="BZ1102" s="350"/>
      <c r="CA1102" s="4"/>
      <c r="CB1102" s="4"/>
      <c r="CC1102" s="4"/>
      <c r="CD1102" s="4"/>
      <c r="CE1102" s="350"/>
      <c r="CF1102" s="4"/>
      <c r="CG1102" s="4"/>
      <c r="CH1102" s="4"/>
      <c r="CI1102" s="4"/>
      <c r="CJ1102" s="350"/>
      <c r="CK1102" s="4"/>
      <c r="CL1102" s="4"/>
      <c r="CM1102" s="4"/>
      <c r="CN1102" s="16"/>
      <c r="CO1102" s="350"/>
      <c r="CP1102" s="16"/>
      <c r="CQ1102" s="4"/>
      <c r="CR1102" s="4"/>
      <c r="CS1102" s="4"/>
      <c r="CT1102" s="350"/>
      <c r="CU1102" s="4"/>
      <c r="CV1102" s="4"/>
      <c r="CW1102" s="4"/>
      <c r="CX1102" s="4"/>
      <c r="CY1102" s="350"/>
      <c r="CZ1102" s="4"/>
      <c r="DA1102" s="4"/>
      <c r="DB1102" s="4"/>
      <c r="DC1102" s="4"/>
      <c r="DD1102" s="350"/>
      <c r="DE1102" s="4"/>
      <c r="DF1102" s="4"/>
      <c r="DG1102" s="16"/>
      <c r="DH1102" s="4"/>
      <c r="DI1102" s="350"/>
      <c r="DJ1102" s="16"/>
      <c r="DK1102" s="16"/>
      <c r="DL1102" s="16"/>
      <c r="DM1102" s="4"/>
      <c r="DN1102" s="350"/>
      <c r="DO1102" s="4"/>
      <c r="DP1102" s="4"/>
      <c r="DQ1102" s="4"/>
      <c r="DR1102" s="4"/>
      <c r="DS1102" s="350"/>
      <c r="DT1102" s="4"/>
      <c r="DU1102" s="4"/>
      <c r="DV1102" s="4"/>
      <c r="DW1102" s="4"/>
      <c r="DX1102" s="350"/>
      <c r="DY1102" s="4"/>
      <c r="DZ1102" s="4"/>
      <c r="EA1102" s="4"/>
      <c r="EB1102" s="4"/>
      <c r="EC1102" s="350"/>
      <c r="ED1102" s="4"/>
      <c r="EE1102" s="4"/>
      <c r="EF1102" s="4"/>
      <c r="EG1102" s="4"/>
      <c r="EH1102" s="350"/>
      <c r="EI1102" s="214"/>
      <c r="EJ1102" s="4"/>
      <c r="EK1102" s="4"/>
      <c r="EL1102" s="4"/>
      <c r="EM1102" s="350"/>
      <c r="EN1102" s="4"/>
      <c r="EO1102" s="4"/>
      <c r="EP1102" s="4"/>
      <c r="EQ1102" s="4"/>
      <c r="ER1102" s="350"/>
      <c r="ES1102" s="4"/>
      <c r="ET1102" s="4"/>
      <c r="EU1102" s="4"/>
      <c r="EV1102" s="4"/>
      <c r="EW1102" s="350"/>
      <c r="EX1102" s="4"/>
      <c r="EY1102" s="4"/>
      <c r="EZ1102" s="4"/>
      <c r="FA1102" s="4"/>
      <c r="FB1102" s="350"/>
      <c r="FC1102" s="4"/>
      <c r="FD1102" s="4"/>
      <c r="FE1102" s="4"/>
      <c r="FF1102" s="4"/>
      <c r="FG1102" s="350"/>
      <c r="FH1102" s="145"/>
      <c r="FI1102" s="4"/>
      <c r="FJ1102" s="4"/>
      <c r="FK1102" s="45"/>
      <c r="FL1102" s="4"/>
    </row>
    <row r="1103" ht="12.75" hidden="1" customHeight="1" outlineLevel="1">
      <c r="A1103" s="4"/>
      <c r="B1103" s="45" t="s">
        <v>401</v>
      </c>
      <c r="C1103" s="4"/>
      <c r="D1103" s="735"/>
      <c r="E1103" s="735"/>
      <c r="F1103" s="735"/>
      <c r="G1103" s="735"/>
      <c r="H1103" s="735"/>
      <c r="I1103" s="735" t="str">
        <f t="shared" ref="I1103:FG1103" si="5520">1000*I1096/I1085</f>
        <v>#ERROR!</v>
      </c>
      <c r="J1103" s="735" t="str">
        <f t="shared" si="5520"/>
        <v>#ERROR!</v>
      </c>
      <c r="K1103" s="735" t="str">
        <f t="shared" si="5520"/>
        <v>#ERROR!</v>
      </c>
      <c r="L1103" s="735" t="str">
        <f t="shared" si="5520"/>
        <v>#ERROR!</v>
      </c>
      <c r="M1103" s="735" t="str">
        <f t="shared" si="5520"/>
        <v>#ERROR!</v>
      </c>
      <c r="N1103" s="735" t="str">
        <f t="shared" si="5520"/>
        <v>#ERROR!</v>
      </c>
      <c r="O1103" s="735" t="str">
        <f t="shared" si="5520"/>
        <v>#ERROR!</v>
      </c>
      <c r="P1103" s="735" t="str">
        <f t="shared" si="5520"/>
        <v>#ERROR!</v>
      </c>
      <c r="Q1103" s="735" t="str">
        <f t="shared" si="5520"/>
        <v>#ERROR!</v>
      </c>
      <c r="R1103" s="735" t="str">
        <f t="shared" si="5520"/>
        <v>#ERROR!</v>
      </c>
      <c r="S1103" s="735" t="str">
        <f t="shared" si="5520"/>
        <v>#ERROR!</v>
      </c>
      <c r="T1103" s="735" t="str">
        <f t="shared" si="5520"/>
        <v>#ERROR!</v>
      </c>
      <c r="U1103" s="735" t="str">
        <f t="shared" si="5520"/>
        <v>#ERROR!</v>
      </c>
      <c r="V1103" s="735" t="str">
        <f t="shared" si="5520"/>
        <v>#ERROR!</v>
      </c>
      <c r="W1103" s="735" t="str">
        <f t="shared" si="5520"/>
        <v>#ERROR!</v>
      </c>
      <c r="X1103" s="735" t="str">
        <f t="shared" si="5520"/>
        <v>#ERROR!</v>
      </c>
      <c r="Y1103" s="735" t="str">
        <f t="shared" si="5520"/>
        <v>#ERROR!</v>
      </c>
      <c r="Z1103" s="735" t="str">
        <f t="shared" si="5520"/>
        <v>#ERROR!</v>
      </c>
      <c r="AA1103" s="735" t="str">
        <f t="shared" si="5520"/>
        <v>#ERROR!</v>
      </c>
      <c r="AB1103" s="735" t="str">
        <f t="shared" si="5520"/>
        <v>#ERROR!</v>
      </c>
      <c r="AC1103" s="735" t="str">
        <f t="shared" si="5520"/>
        <v>#ERROR!</v>
      </c>
      <c r="AD1103" s="735" t="str">
        <f t="shared" si="5520"/>
        <v>#ERROR!</v>
      </c>
      <c r="AE1103" s="735" t="str">
        <f t="shared" si="5520"/>
        <v>#ERROR!</v>
      </c>
      <c r="AF1103" s="735" t="str">
        <f t="shared" si="5520"/>
        <v>#ERROR!</v>
      </c>
      <c r="AG1103" s="735" t="str">
        <f t="shared" si="5520"/>
        <v>#ERROR!</v>
      </c>
      <c r="AH1103" s="735" t="str">
        <f t="shared" si="5520"/>
        <v>#ERROR!</v>
      </c>
      <c r="AI1103" s="735" t="str">
        <f t="shared" si="5520"/>
        <v>#ERROR!</v>
      </c>
      <c r="AJ1103" s="735" t="str">
        <f t="shared" si="5520"/>
        <v>#ERROR!</v>
      </c>
      <c r="AK1103" s="735" t="str">
        <f t="shared" si="5520"/>
        <v>#ERROR!</v>
      </c>
      <c r="AL1103" s="735" t="str">
        <f t="shared" si="5520"/>
        <v>#ERROR!</v>
      </c>
      <c r="AM1103" s="735" t="str">
        <f t="shared" si="5520"/>
        <v>#ERROR!</v>
      </c>
      <c r="AN1103" s="735" t="str">
        <f t="shared" si="5520"/>
        <v>#ERROR!</v>
      </c>
      <c r="AO1103" s="735" t="str">
        <f t="shared" si="5520"/>
        <v>#ERROR!</v>
      </c>
      <c r="AP1103" s="735" t="str">
        <f t="shared" si="5520"/>
        <v>#ERROR!</v>
      </c>
      <c r="AQ1103" s="735" t="str">
        <f t="shared" si="5520"/>
        <v>#ERROR!</v>
      </c>
      <c r="AR1103" s="735" t="str">
        <f t="shared" si="5520"/>
        <v>#ERROR!</v>
      </c>
      <c r="AS1103" s="735" t="str">
        <f t="shared" si="5520"/>
        <v>#ERROR!</v>
      </c>
      <c r="AT1103" s="735" t="str">
        <f t="shared" si="5520"/>
        <v>#ERROR!</v>
      </c>
      <c r="AU1103" s="735" t="str">
        <f t="shared" si="5520"/>
        <v>#ERROR!</v>
      </c>
      <c r="AV1103" s="735" t="str">
        <f t="shared" si="5520"/>
        <v>#ERROR!</v>
      </c>
      <c r="AW1103" s="735" t="str">
        <f t="shared" si="5520"/>
        <v>#ERROR!</v>
      </c>
      <c r="AX1103" s="735" t="str">
        <f t="shared" si="5520"/>
        <v>#ERROR!</v>
      </c>
      <c r="AY1103" s="735" t="str">
        <f t="shared" si="5520"/>
        <v>#ERROR!</v>
      </c>
      <c r="AZ1103" s="735" t="str">
        <f t="shared" si="5520"/>
        <v>#ERROR!</v>
      </c>
      <c r="BA1103" s="735" t="str">
        <f t="shared" si="5520"/>
        <v>#ERROR!</v>
      </c>
      <c r="BB1103" s="735" t="str">
        <f t="shared" si="5520"/>
        <v>#ERROR!</v>
      </c>
      <c r="BC1103" s="735" t="str">
        <f t="shared" si="5520"/>
        <v>#ERROR!</v>
      </c>
      <c r="BD1103" s="735" t="str">
        <f t="shared" si="5520"/>
        <v>#ERROR!</v>
      </c>
      <c r="BE1103" s="735" t="str">
        <f t="shared" si="5520"/>
        <v>#ERROR!</v>
      </c>
      <c r="BF1103" s="735" t="str">
        <f t="shared" si="5520"/>
        <v>#ERROR!</v>
      </c>
      <c r="BG1103" s="735" t="str">
        <f t="shared" si="5520"/>
        <v>#ERROR!</v>
      </c>
      <c r="BH1103" s="735" t="str">
        <f t="shared" si="5520"/>
        <v>#ERROR!</v>
      </c>
      <c r="BI1103" s="735" t="str">
        <f t="shared" si="5520"/>
        <v>#ERROR!</v>
      </c>
      <c r="BJ1103" s="735" t="str">
        <f t="shared" si="5520"/>
        <v>#ERROR!</v>
      </c>
      <c r="BK1103" s="735" t="str">
        <f t="shared" si="5520"/>
        <v>#ERROR!</v>
      </c>
      <c r="BL1103" s="735" t="str">
        <f t="shared" si="5520"/>
        <v>#ERROR!</v>
      </c>
      <c r="BM1103" s="735" t="str">
        <f t="shared" si="5520"/>
        <v>#ERROR!</v>
      </c>
      <c r="BN1103" s="735" t="str">
        <f t="shared" si="5520"/>
        <v>#ERROR!</v>
      </c>
      <c r="BO1103" s="735" t="str">
        <f t="shared" si="5520"/>
        <v>#ERROR!</v>
      </c>
      <c r="BP1103" s="735" t="str">
        <f t="shared" si="5520"/>
        <v>#ERROR!</v>
      </c>
      <c r="BQ1103" s="735" t="str">
        <f t="shared" si="5520"/>
        <v>#ERROR!</v>
      </c>
      <c r="BR1103" s="735" t="str">
        <f t="shared" si="5520"/>
        <v>#ERROR!</v>
      </c>
      <c r="BS1103" s="735" t="str">
        <f t="shared" si="5520"/>
        <v>#ERROR!</v>
      </c>
      <c r="BT1103" s="735" t="str">
        <f t="shared" si="5520"/>
        <v>#ERROR!</v>
      </c>
      <c r="BU1103" s="735" t="str">
        <f t="shared" si="5520"/>
        <v>#ERROR!</v>
      </c>
      <c r="BV1103" s="735" t="str">
        <f t="shared" si="5520"/>
        <v>#ERROR!</v>
      </c>
      <c r="BW1103" s="735" t="str">
        <f t="shared" si="5520"/>
        <v>#ERROR!</v>
      </c>
      <c r="BX1103" s="735" t="str">
        <f t="shared" si="5520"/>
        <v>#ERROR!</v>
      </c>
      <c r="BY1103" s="735" t="str">
        <f t="shared" si="5520"/>
        <v>#ERROR!</v>
      </c>
      <c r="BZ1103" s="736" t="str">
        <f t="shared" si="5520"/>
        <v>#ERROR!</v>
      </c>
      <c r="CA1103" s="735" t="str">
        <f t="shared" si="5520"/>
        <v>#ERROR!</v>
      </c>
      <c r="CB1103" s="735" t="str">
        <f t="shared" si="5520"/>
        <v>#ERROR!</v>
      </c>
      <c r="CC1103" s="735" t="str">
        <f t="shared" si="5520"/>
        <v>#ERROR!</v>
      </c>
      <c r="CD1103" s="735" t="str">
        <f t="shared" si="5520"/>
        <v>#ERROR!</v>
      </c>
      <c r="CE1103" s="736" t="str">
        <f t="shared" si="5520"/>
        <v>#ERROR!</v>
      </c>
      <c r="CF1103" s="735" t="str">
        <f t="shared" si="5520"/>
        <v>#ERROR!</v>
      </c>
      <c r="CG1103" s="735" t="str">
        <f t="shared" si="5520"/>
        <v>#ERROR!</v>
      </c>
      <c r="CH1103" s="735" t="str">
        <f t="shared" si="5520"/>
        <v>#ERROR!</v>
      </c>
      <c r="CI1103" s="735" t="str">
        <f t="shared" si="5520"/>
        <v>#ERROR!</v>
      </c>
      <c r="CJ1103" s="736" t="str">
        <f t="shared" si="5520"/>
        <v>#ERROR!</v>
      </c>
      <c r="CK1103" s="735" t="str">
        <f t="shared" si="5520"/>
        <v>#ERROR!</v>
      </c>
      <c r="CL1103" s="735" t="str">
        <f t="shared" si="5520"/>
        <v>#ERROR!</v>
      </c>
      <c r="CM1103" s="735" t="str">
        <f t="shared" si="5520"/>
        <v>#ERROR!</v>
      </c>
      <c r="CN1103" s="737" t="str">
        <f t="shared" si="5520"/>
        <v>#ERROR!</v>
      </c>
      <c r="CO1103" s="736" t="str">
        <f t="shared" si="5520"/>
        <v>#ERROR!</v>
      </c>
      <c r="CP1103" s="737" t="str">
        <f t="shared" si="5520"/>
        <v>#ERROR!</v>
      </c>
      <c r="CQ1103" s="735" t="str">
        <f t="shared" si="5520"/>
        <v>#ERROR!</v>
      </c>
      <c r="CR1103" s="735" t="str">
        <f t="shared" si="5520"/>
        <v>#ERROR!</v>
      </c>
      <c r="CS1103" s="735" t="str">
        <f t="shared" si="5520"/>
        <v>#ERROR!</v>
      </c>
      <c r="CT1103" s="736" t="str">
        <f t="shared" si="5520"/>
        <v>#ERROR!</v>
      </c>
      <c r="CU1103" s="735" t="str">
        <f t="shared" si="5520"/>
        <v>#ERROR!</v>
      </c>
      <c r="CV1103" s="735" t="str">
        <f t="shared" si="5520"/>
        <v>#ERROR!</v>
      </c>
      <c r="CW1103" s="735" t="str">
        <f t="shared" si="5520"/>
        <v>#ERROR!</v>
      </c>
      <c r="CX1103" s="735" t="str">
        <f t="shared" si="5520"/>
        <v>#ERROR!</v>
      </c>
      <c r="CY1103" s="736" t="str">
        <f t="shared" si="5520"/>
        <v>#ERROR!</v>
      </c>
      <c r="CZ1103" s="735" t="str">
        <f t="shared" si="5520"/>
        <v>#ERROR!</v>
      </c>
      <c r="DA1103" s="735" t="str">
        <f t="shared" si="5520"/>
        <v>#ERROR!</v>
      </c>
      <c r="DB1103" s="735" t="str">
        <f t="shared" si="5520"/>
        <v>#ERROR!</v>
      </c>
      <c r="DC1103" s="735" t="str">
        <f t="shared" si="5520"/>
        <v>#ERROR!</v>
      </c>
      <c r="DD1103" s="736" t="str">
        <f t="shared" si="5520"/>
        <v>#ERROR!</v>
      </c>
      <c r="DE1103" s="735" t="str">
        <f t="shared" si="5520"/>
        <v>#ERROR!</v>
      </c>
      <c r="DF1103" s="735" t="str">
        <f t="shared" si="5520"/>
        <v>#ERROR!</v>
      </c>
      <c r="DG1103" s="667" t="str">
        <f t="shared" si="5520"/>
        <v>#ERROR!</v>
      </c>
      <c r="DH1103" s="735" t="str">
        <f t="shared" si="5520"/>
        <v>#ERROR!</v>
      </c>
      <c r="DI1103" s="736" t="str">
        <f t="shared" si="5520"/>
        <v>#ERROR!</v>
      </c>
      <c r="DJ1103" s="737" t="str">
        <f t="shared" si="5520"/>
        <v>#ERROR!</v>
      </c>
      <c r="DK1103" s="737" t="str">
        <f t="shared" si="5520"/>
        <v>#ERROR!</v>
      </c>
      <c r="DL1103" s="737" t="str">
        <f t="shared" si="5520"/>
        <v>#ERROR!</v>
      </c>
      <c r="DM1103" s="735" t="str">
        <f t="shared" si="5520"/>
        <v>#ERROR!</v>
      </c>
      <c r="DN1103" s="736" t="str">
        <f t="shared" si="5520"/>
        <v>#ERROR!</v>
      </c>
      <c r="DO1103" s="735" t="str">
        <f t="shared" si="5520"/>
        <v>#ERROR!</v>
      </c>
      <c r="DP1103" s="735" t="str">
        <f t="shared" si="5520"/>
        <v>#ERROR!</v>
      </c>
      <c r="DQ1103" s="735" t="str">
        <f t="shared" si="5520"/>
        <v>#ERROR!</v>
      </c>
      <c r="DR1103" s="735" t="str">
        <f t="shared" si="5520"/>
        <v>#ERROR!</v>
      </c>
      <c r="DS1103" s="736" t="str">
        <f t="shared" si="5520"/>
        <v>#ERROR!</v>
      </c>
      <c r="DT1103" s="735" t="str">
        <f t="shared" si="5520"/>
        <v>#ERROR!</v>
      </c>
      <c r="DU1103" s="735" t="str">
        <f t="shared" si="5520"/>
        <v>#ERROR!</v>
      </c>
      <c r="DV1103" s="735" t="str">
        <f t="shared" si="5520"/>
        <v>#ERROR!</v>
      </c>
      <c r="DW1103" s="735" t="str">
        <f t="shared" si="5520"/>
        <v>#ERROR!</v>
      </c>
      <c r="DX1103" s="736" t="str">
        <f t="shared" si="5520"/>
        <v>#ERROR!</v>
      </c>
      <c r="DY1103" s="735" t="str">
        <f t="shared" si="5520"/>
        <v>#ERROR!</v>
      </c>
      <c r="DZ1103" s="735" t="str">
        <f t="shared" si="5520"/>
        <v>#ERROR!</v>
      </c>
      <c r="EA1103" s="735" t="str">
        <f t="shared" si="5520"/>
        <v>#ERROR!</v>
      </c>
      <c r="EB1103" s="735" t="str">
        <f t="shared" si="5520"/>
        <v>#ERROR!</v>
      </c>
      <c r="EC1103" s="736" t="str">
        <f t="shared" si="5520"/>
        <v>#ERROR!</v>
      </c>
      <c r="ED1103" s="735" t="str">
        <f t="shared" si="5520"/>
        <v>#ERROR!</v>
      </c>
      <c r="EE1103" s="735" t="str">
        <f t="shared" si="5520"/>
        <v>#ERROR!</v>
      </c>
      <c r="EF1103" s="735" t="str">
        <f t="shared" si="5520"/>
        <v>#ERROR!</v>
      </c>
      <c r="EG1103" s="735" t="str">
        <f t="shared" si="5520"/>
        <v>#ERROR!</v>
      </c>
      <c r="EH1103" s="736" t="str">
        <f t="shared" si="5520"/>
        <v>#ERROR!</v>
      </c>
      <c r="EI1103" s="738" t="str">
        <f t="shared" si="5520"/>
        <v>#ERROR!</v>
      </c>
      <c r="EJ1103" s="735" t="str">
        <f t="shared" si="5520"/>
        <v>#ERROR!</v>
      </c>
      <c r="EK1103" s="735" t="str">
        <f t="shared" si="5520"/>
        <v>#ERROR!</v>
      </c>
      <c r="EL1103" s="735" t="str">
        <f t="shared" si="5520"/>
        <v>#ERROR!</v>
      </c>
      <c r="EM1103" s="736" t="str">
        <f t="shared" si="5520"/>
        <v>#ERROR!</v>
      </c>
      <c r="EN1103" s="735" t="str">
        <f t="shared" si="5520"/>
        <v>#ERROR!</v>
      </c>
      <c r="EO1103" s="735" t="str">
        <f t="shared" si="5520"/>
        <v>#ERROR!</v>
      </c>
      <c r="EP1103" s="735" t="str">
        <f t="shared" si="5520"/>
        <v>#ERROR!</v>
      </c>
      <c r="EQ1103" s="735" t="str">
        <f t="shared" si="5520"/>
        <v>#ERROR!</v>
      </c>
      <c r="ER1103" s="736" t="str">
        <f t="shared" si="5520"/>
        <v>#ERROR!</v>
      </c>
      <c r="ES1103" s="735" t="str">
        <f t="shared" si="5520"/>
        <v>#ERROR!</v>
      </c>
      <c r="ET1103" s="735" t="str">
        <f t="shared" si="5520"/>
        <v>#ERROR!</v>
      </c>
      <c r="EU1103" s="735" t="str">
        <f t="shared" si="5520"/>
        <v>#ERROR!</v>
      </c>
      <c r="EV1103" s="735" t="str">
        <f t="shared" si="5520"/>
        <v>#ERROR!</v>
      </c>
      <c r="EW1103" s="736" t="str">
        <f t="shared" si="5520"/>
        <v>#ERROR!</v>
      </c>
      <c r="EX1103" s="735" t="str">
        <f t="shared" si="5520"/>
        <v>#ERROR!</v>
      </c>
      <c r="EY1103" s="735" t="str">
        <f t="shared" si="5520"/>
        <v>#ERROR!</v>
      </c>
      <c r="EZ1103" s="735" t="str">
        <f t="shared" si="5520"/>
        <v>#ERROR!</v>
      </c>
      <c r="FA1103" s="735" t="str">
        <f t="shared" si="5520"/>
        <v>#ERROR!</v>
      </c>
      <c r="FB1103" s="736" t="str">
        <f t="shared" si="5520"/>
        <v>#ERROR!</v>
      </c>
      <c r="FC1103" s="735" t="str">
        <f t="shared" si="5520"/>
        <v>#ERROR!</v>
      </c>
      <c r="FD1103" s="735" t="str">
        <f t="shared" si="5520"/>
        <v>#ERROR!</v>
      </c>
      <c r="FE1103" s="735" t="str">
        <f t="shared" si="5520"/>
        <v>#ERROR!</v>
      </c>
      <c r="FF1103" s="735" t="str">
        <f t="shared" si="5520"/>
        <v>#ERROR!</v>
      </c>
      <c r="FG1103" s="736" t="str">
        <f t="shared" si="5520"/>
        <v>#ERROR!</v>
      </c>
      <c r="FH1103" s="737"/>
      <c r="FI1103" s="735"/>
      <c r="FJ1103" s="735"/>
      <c r="FK1103" s="735"/>
      <c r="FL1103" s="735"/>
    </row>
    <row r="1104" ht="12.75" hidden="1" customHeight="1" outlineLevel="1">
      <c r="A1104" s="263"/>
      <c r="B1104" s="4" t="s">
        <v>402</v>
      </c>
      <c r="C1104" s="4"/>
      <c r="D1104" s="377"/>
      <c r="E1104" s="377"/>
      <c r="F1104" s="377"/>
      <c r="G1104" s="377"/>
      <c r="H1104" s="665"/>
      <c r="I1104" s="377" t="str">
        <f>[0]!desktopBlendedASP</f>
        <v>#ERROR!</v>
      </c>
      <c r="J1104" s="377" t="str">
        <f>[0]!desktopBlendedASP</f>
        <v>#ERROR!</v>
      </c>
      <c r="K1104" s="377" t="str">
        <f>[0]!desktopBlendedASP</f>
        <v>#ERROR!</v>
      </c>
      <c r="L1104" s="377" t="str">
        <f>[0]!desktopBlendedASP</f>
        <v>#ERROR!</v>
      </c>
      <c r="M1104" s="665" t="str">
        <f>[0]!desktopBlendedASP</f>
        <v>#ERROR!</v>
      </c>
      <c r="N1104" s="377" t="str">
        <f>[0]!desktopBlendedASP</f>
        <v>#ERROR!</v>
      </c>
      <c r="O1104" s="377" t="str">
        <f>[0]!desktopBlendedASP</f>
        <v>#ERROR!</v>
      </c>
      <c r="P1104" s="377" t="str">
        <f>[0]!desktopBlendedASP</f>
        <v>#ERROR!</v>
      </c>
      <c r="Q1104" s="377" t="str">
        <f>[0]!desktopBlendedASP</f>
        <v>#ERROR!</v>
      </c>
      <c r="R1104" s="665" t="str">
        <f>[0]!desktopBlendedASP</f>
        <v>#ERROR!</v>
      </c>
      <c r="S1104" s="377" t="str">
        <f>[0]!desktopBlendedASP</f>
        <v>#ERROR!</v>
      </c>
      <c r="T1104" s="377" t="str">
        <f>[0]!desktopBlendedASP</f>
        <v>#ERROR!</v>
      </c>
      <c r="U1104" s="377" t="str">
        <f>[0]!desktopBlendedASP</f>
        <v>#ERROR!</v>
      </c>
      <c r="V1104" s="377" t="str">
        <f>[0]!desktopBlendedASP</f>
        <v>#ERROR!</v>
      </c>
      <c r="W1104" s="665" t="str">
        <f>[0]!desktopBlendedASP</f>
        <v>#ERROR!</v>
      </c>
      <c r="X1104" s="377" t="str">
        <f>[0]!desktopBlendedASP</f>
        <v>#ERROR!</v>
      </c>
      <c r="Y1104" s="377" t="str">
        <f>[0]!desktopBlendedASP</f>
        <v>#ERROR!</v>
      </c>
      <c r="Z1104" s="377" t="str">
        <f>[0]!desktopBlendedASP</f>
        <v>#ERROR!</v>
      </c>
      <c r="AA1104" s="377" t="str">
        <f>[0]!desktopBlendedASP</f>
        <v>#ERROR!</v>
      </c>
      <c r="AB1104" s="665" t="str">
        <f>[0]!desktopBlendedASP</f>
        <v>#ERROR!</v>
      </c>
      <c r="AC1104" s="377" t="str">
        <f>[0]!desktopBlendedASP</f>
        <v>#ERROR!</v>
      </c>
      <c r="AD1104" s="377" t="str">
        <f>[0]!desktopBlendedASP</f>
        <v>#ERROR!</v>
      </c>
      <c r="AE1104" s="377" t="str">
        <f>[0]!desktopBlendedASP</f>
        <v>#ERROR!</v>
      </c>
      <c r="AF1104" s="377" t="str">
        <f>[0]!desktopBlendedASP</f>
        <v>#ERROR!</v>
      </c>
      <c r="AG1104" s="665" t="str">
        <f>[0]!desktopBlendedASP</f>
        <v>#ERROR!</v>
      </c>
      <c r="AH1104" s="377" t="str">
        <f>[0]!desktopBlendedASP</f>
        <v>#ERROR!</v>
      </c>
      <c r="AI1104" s="377" t="str">
        <f>[0]!desktopBlendedASP</f>
        <v>#ERROR!</v>
      </c>
      <c r="AJ1104" s="377" t="str">
        <f>[0]!desktopBlendedASP</f>
        <v>#ERROR!</v>
      </c>
      <c r="AK1104" s="377" t="str">
        <f>[0]!desktopBlendedASP</f>
        <v>#ERROR!</v>
      </c>
      <c r="AL1104" s="665" t="str">
        <f>[0]!desktopBlendedASP</f>
        <v>#ERROR!</v>
      </c>
      <c r="AM1104" s="377" t="str">
        <f>[0]!desktopBlendedASP</f>
        <v>#ERROR!</v>
      </c>
      <c r="AN1104" s="377" t="str">
        <f>[0]!desktopBlendedASP</f>
        <v>#ERROR!</v>
      </c>
      <c r="AO1104" s="377" t="str">
        <f>[0]!desktopBlendedASP</f>
        <v>#ERROR!</v>
      </c>
      <c r="AP1104" s="377" t="str">
        <f>[0]!desktopBlendedASP</f>
        <v>#ERROR!</v>
      </c>
      <c r="AQ1104" s="665" t="str">
        <f>[0]!desktopBlendedASP</f>
        <v>#ERROR!</v>
      </c>
      <c r="AR1104" s="377" t="str">
        <f>[0]!desktopBlendedASP</f>
        <v>#ERROR!</v>
      </c>
      <c r="AS1104" s="377" t="str">
        <f>[0]!desktopBlendedASP</f>
        <v>#ERROR!</v>
      </c>
      <c r="AT1104" s="377" t="str">
        <f>[0]!desktopBlendedASP</f>
        <v>#ERROR!</v>
      </c>
      <c r="AU1104" s="377" t="str">
        <f>[0]!desktopBlendedASP</f>
        <v>#ERROR!</v>
      </c>
      <c r="AV1104" s="665" t="str">
        <f>[0]!desktopBlendedASP</f>
        <v>#ERROR!</v>
      </c>
      <c r="AW1104" s="377" t="str">
        <f>[0]!desktopBlendedASP</f>
        <v>#ERROR!</v>
      </c>
      <c r="AX1104" s="377" t="str">
        <f>[0]!desktopBlendedASP</f>
        <v>#ERROR!</v>
      </c>
      <c r="AY1104" s="377" t="str">
        <f>[0]!desktopBlendedASP</f>
        <v>#ERROR!</v>
      </c>
      <c r="AZ1104" s="377" t="str">
        <f>[0]!desktopBlendedASP</f>
        <v>#ERROR!</v>
      </c>
      <c r="BA1104" s="665" t="str">
        <f>[0]!desktopBlendedASP</f>
        <v>#ERROR!</v>
      </c>
      <c r="BB1104" s="377" t="str">
        <f>[0]!desktopBlendedASP</f>
        <v>#ERROR!</v>
      </c>
      <c r="BC1104" s="377" t="str">
        <f>[0]!desktopBlendedASP</f>
        <v>#ERROR!</v>
      </c>
      <c r="BD1104" s="377" t="str">
        <f>[0]!desktopBlendedASP</f>
        <v>#ERROR!</v>
      </c>
      <c r="BE1104" s="377" t="str">
        <f>[0]!desktopBlendedASP</f>
        <v>#ERROR!</v>
      </c>
      <c r="BF1104" s="665" t="str">
        <f>[0]!desktopBlendedASP</f>
        <v>#ERROR!</v>
      </c>
      <c r="BG1104" s="377" t="str">
        <f>[0]!desktopBlendedASP</f>
        <v>#ERROR!</v>
      </c>
      <c r="BH1104" s="377" t="str">
        <f>[0]!desktopBlendedASP</f>
        <v>#ERROR!</v>
      </c>
      <c r="BI1104" s="377" t="str">
        <f>[0]!desktopBlendedASP</f>
        <v>#ERROR!</v>
      </c>
      <c r="BJ1104" s="377" t="str">
        <f>[0]!desktopBlendedASP</f>
        <v>#ERROR!</v>
      </c>
      <c r="BK1104" s="665" t="str">
        <f>[0]!desktopBlendedASP</f>
        <v>#ERROR!</v>
      </c>
      <c r="BL1104" s="377" t="str">
        <f>[0]!desktopBlendedASP</f>
        <v>#ERROR!</v>
      </c>
      <c r="BM1104" s="377" t="str">
        <f>[0]!desktopBlendedASP</f>
        <v>#ERROR!</v>
      </c>
      <c r="BN1104" s="377" t="str">
        <f>[0]!desktopBlendedASP</f>
        <v>#ERROR!</v>
      </c>
      <c r="BO1104" s="377" t="str">
        <f>[0]!desktopBlendedASP</f>
        <v>#ERROR!</v>
      </c>
      <c r="BP1104" s="665" t="str">
        <f>[0]!desktopBlendedASP</f>
        <v>#ERROR!</v>
      </c>
      <c r="BQ1104" s="377" t="str">
        <f>[0]!desktopBlendedASP</f>
        <v>#ERROR!</v>
      </c>
      <c r="BR1104" s="377" t="str">
        <f>[0]!desktopBlendedASP</f>
        <v>#ERROR!</v>
      </c>
      <c r="BS1104" s="377" t="str">
        <f>[0]!desktopBlendedASP</f>
        <v>#ERROR!</v>
      </c>
      <c r="BT1104" s="377" t="str">
        <f>[0]!desktopBlendedASP</f>
        <v>#ERROR!</v>
      </c>
      <c r="BU1104" s="665" t="str">
        <f>[0]!desktopBlendedASP</f>
        <v>#ERROR!</v>
      </c>
      <c r="BV1104" s="377" t="str">
        <f>[0]!desktopBlendedASP</f>
        <v>#ERROR!</v>
      </c>
      <c r="BW1104" s="377" t="str">
        <f>[0]!desktopBlendedASP</f>
        <v>#ERROR!</v>
      </c>
      <c r="BX1104" s="377" t="str">
        <f>[0]!desktopBlendedASP</f>
        <v>#ERROR!</v>
      </c>
      <c r="BY1104" s="377" t="str">
        <f>[0]!desktopBlendedASP</f>
        <v>#ERROR!</v>
      </c>
      <c r="BZ1104" s="666" t="str">
        <f>[0]!desktopBlendedASP</f>
        <v>#ERROR!</v>
      </c>
      <c r="CA1104" s="377" t="str">
        <f>[0]!desktopBlendedASP</f>
        <v>#ERROR!</v>
      </c>
      <c r="CB1104" s="377" t="str">
        <f>[0]!desktopBlendedASP</f>
        <v>#ERROR!</v>
      </c>
      <c r="CC1104" s="377" t="str">
        <f>[0]!desktopBlendedASP</f>
        <v>#ERROR!</v>
      </c>
      <c r="CD1104" s="377" t="str">
        <f>[0]!desktopBlendedASP</f>
        <v>#ERROR!</v>
      </c>
      <c r="CE1104" s="666" t="str">
        <f>[0]!desktopBlendedASP</f>
        <v>#ERROR!</v>
      </c>
      <c r="CF1104" s="377" t="str">
        <f>[0]!desktopBlendedASP</f>
        <v>#ERROR!</v>
      </c>
      <c r="CG1104" s="377" t="str">
        <f>[0]!desktopBlendedASP</f>
        <v>#ERROR!</v>
      </c>
      <c r="CH1104" s="377" t="str">
        <f>[0]!desktopBlendedASP</f>
        <v>#ERROR!</v>
      </c>
      <c r="CI1104" s="377" t="str">
        <f>[0]!desktopBlendedASP</f>
        <v>#ERROR!</v>
      </c>
      <c r="CJ1104" s="666" t="str">
        <f>[0]!desktopBlendedASP</f>
        <v>#ERROR!</v>
      </c>
      <c r="CK1104" s="377" t="str">
        <f>[0]!desktopBlendedASP</f>
        <v>#ERROR!</v>
      </c>
      <c r="CL1104" s="377" t="str">
        <f>[0]!desktopBlendedASP</f>
        <v>#ERROR!</v>
      </c>
      <c r="CM1104" s="377" t="str">
        <f>[0]!desktopBlendedASP</f>
        <v>#ERROR!</v>
      </c>
      <c r="CN1104" s="440" t="str">
        <f>[0]!desktopBlendedASP</f>
        <v>#ERROR!</v>
      </c>
      <c r="CO1104" s="666" t="str">
        <f>[0]!desktopBlendedASP</f>
        <v>#ERROR!</v>
      </c>
      <c r="CP1104" s="440" t="str">
        <f>[0]!desktopBlendedASP</f>
        <v>#ERROR!</v>
      </c>
      <c r="CQ1104" s="377" t="str">
        <f>[0]!desktopBlendedASP</f>
        <v>#ERROR!</v>
      </c>
      <c r="CR1104" s="377" t="str">
        <f>[0]!desktopBlendedASP</f>
        <v>#ERROR!</v>
      </c>
      <c r="CS1104" s="377" t="str">
        <f>[0]!desktopBlendedASP</f>
        <v>#ERROR!</v>
      </c>
      <c r="CT1104" s="666" t="str">
        <f>[0]!desktopBlendedASP</f>
        <v>#ERROR!</v>
      </c>
      <c r="CU1104" s="377" t="str">
        <f>[0]!desktopBlendedASP</f>
        <v>#ERROR!</v>
      </c>
      <c r="CV1104" s="377" t="str">
        <f>[0]!desktopBlendedASP</f>
        <v>#ERROR!</v>
      </c>
      <c r="CW1104" s="377" t="str">
        <f>[0]!desktopBlendedASP</f>
        <v>#ERROR!</v>
      </c>
      <c r="CX1104" s="377" t="str">
        <f>[0]!desktopBlendedASP</f>
        <v>#ERROR!</v>
      </c>
      <c r="CY1104" s="666" t="str">
        <f>[0]!desktopBlendedASP</f>
        <v>#ERROR!</v>
      </c>
      <c r="CZ1104" s="377" t="str">
        <f>[0]!desktopBlendedASP</f>
        <v>#ERROR!</v>
      </c>
      <c r="DA1104" s="377" t="str">
        <f>[0]!desktopBlendedASP</f>
        <v>#ERROR!</v>
      </c>
      <c r="DB1104" s="377" t="str">
        <f>[0]!desktopBlendedASP</f>
        <v>#ERROR!</v>
      </c>
      <c r="DC1104" s="377" t="str">
        <f>[0]!desktopBlendedASP</f>
        <v>#ERROR!</v>
      </c>
      <c r="DD1104" s="666" t="str">
        <f>[0]!desktopBlendedASP</f>
        <v>#ERROR!</v>
      </c>
      <c r="DE1104" s="377" t="str">
        <f>[0]!desktopBlendedASP</f>
        <v>#ERROR!</v>
      </c>
      <c r="DF1104" s="377" t="str">
        <f>[0]!desktopBlendedASP</f>
        <v>#ERROR!</v>
      </c>
      <c r="DG1104" s="440" t="str">
        <f>[0]!desktopBlendedASP</f>
        <v>#ERROR!</v>
      </c>
      <c r="DH1104" s="377" t="str">
        <f>[0]!desktopBlendedASP</f>
        <v>#ERROR!</v>
      </c>
      <c r="DI1104" s="666" t="str">
        <f>[0]!desktopBlendedASP</f>
        <v>#ERROR!</v>
      </c>
      <c r="DJ1104" s="440" t="str">
        <f>[0]!desktopBlendedASP</f>
        <v>#ERROR!</v>
      </c>
      <c r="DK1104" s="440" t="str">
        <f>[0]!desktopBlendedASP</f>
        <v>#ERROR!</v>
      </c>
      <c r="DL1104" s="440" t="str">
        <f>[0]!desktopBlendedASP</f>
        <v>#ERROR!</v>
      </c>
      <c r="DM1104" s="377" t="str">
        <f>[0]!desktopBlendedASP</f>
        <v>#ERROR!</v>
      </c>
      <c r="DN1104" s="666" t="str">
        <f>[0]!desktopBlendedASP</f>
        <v>#ERROR!</v>
      </c>
      <c r="DO1104" s="377" t="str">
        <f>[0]!desktopBlendedASP</f>
        <v>#ERROR!</v>
      </c>
      <c r="DP1104" s="377" t="str">
        <f>[0]!desktopBlendedASP</f>
        <v>#ERROR!</v>
      </c>
      <c r="DQ1104" s="377" t="str">
        <f>[0]!desktopBlendedASP</f>
        <v>#ERROR!</v>
      </c>
      <c r="DR1104" s="377" t="str">
        <f>[0]!desktopBlendedASP</f>
        <v>#ERROR!</v>
      </c>
      <c r="DS1104" s="666" t="str">
        <f>[0]!desktopBlendedASP</f>
        <v>#ERROR!</v>
      </c>
      <c r="DT1104" s="377" t="str">
        <f>[0]!desktopBlendedASP</f>
        <v>#ERROR!</v>
      </c>
      <c r="DU1104" s="377" t="str">
        <f>[0]!desktopBlendedASP</f>
        <v>#ERROR!</v>
      </c>
      <c r="DV1104" s="377" t="str">
        <f>[0]!desktopBlendedASP</f>
        <v>#ERROR!</v>
      </c>
      <c r="DW1104" s="377" t="str">
        <f>[0]!desktopBlendedASP</f>
        <v>#ERROR!</v>
      </c>
      <c r="DX1104" s="666" t="str">
        <f>[0]!desktopBlendedASP</f>
        <v>#ERROR!</v>
      </c>
      <c r="DY1104" s="377" t="str">
        <f>[0]!desktopBlendedASP</f>
        <v>#ERROR!</v>
      </c>
      <c r="DZ1104" s="377" t="str">
        <f>[0]!desktopBlendedASP</f>
        <v>#ERROR!</v>
      </c>
      <c r="EA1104" s="377" t="str">
        <f>[0]!desktopBlendedASP</f>
        <v>#ERROR!</v>
      </c>
      <c r="EB1104" s="377" t="str">
        <f>[0]!desktopBlendedASP</f>
        <v>#ERROR!</v>
      </c>
      <c r="EC1104" s="666" t="str">
        <f>[0]!desktopBlendedASP</f>
        <v>#ERROR!</v>
      </c>
      <c r="ED1104" s="377" t="str">
        <f>[0]!desktopBlendedASP</f>
        <v>#ERROR!</v>
      </c>
      <c r="EE1104" s="377" t="str">
        <f>[0]!desktopBlendedASP</f>
        <v>#ERROR!</v>
      </c>
      <c r="EF1104" s="377" t="str">
        <f>[0]!desktopBlendedASP</f>
        <v>#ERROR!</v>
      </c>
      <c r="EG1104" s="377" t="str">
        <f>[0]!desktopBlendedASP</f>
        <v>#ERROR!</v>
      </c>
      <c r="EH1104" s="666" t="str">
        <f>[0]!desktopBlendedASP</f>
        <v>#ERROR!</v>
      </c>
      <c r="EI1104" s="442" t="str">
        <f>[0]!desktopBlendedASP</f>
        <v>#ERROR!</v>
      </c>
      <c r="EJ1104" s="377" t="str">
        <f>[0]!desktopBlendedASP</f>
        <v>#ERROR!</v>
      </c>
      <c r="EK1104" s="377" t="str">
        <f>[0]!desktopBlendedASP</f>
        <v>#ERROR!</v>
      </c>
      <c r="EL1104" s="377" t="str">
        <f>[0]!desktopBlendedASP</f>
        <v>#ERROR!</v>
      </c>
      <c r="EM1104" s="666" t="str">
        <f>[0]!desktopBlendedASP</f>
        <v>#ERROR!</v>
      </c>
      <c r="EN1104" s="377" t="str">
        <f>[0]!desktopBlendedASP</f>
        <v>#ERROR!</v>
      </c>
      <c r="EO1104" s="377" t="str">
        <f>[0]!desktopBlendedASP</f>
        <v>#ERROR!</v>
      </c>
      <c r="EP1104" s="377" t="str">
        <f>[0]!desktopBlendedASP</f>
        <v>#ERROR!</v>
      </c>
      <c r="EQ1104" s="377" t="str">
        <f>[0]!desktopBlendedASP</f>
        <v>#ERROR!</v>
      </c>
      <c r="ER1104" s="666" t="str">
        <f>[0]!desktopBlendedASP</f>
        <v>#ERROR!</v>
      </c>
      <c r="ES1104" s="377" t="str">
        <f>[0]!desktopBlendedASP</f>
        <v>#ERROR!</v>
      </c>
      <c r="ET1104" s="377" t="str">
        <f>[0]!desktopBlendedASP</f>
        <v>#ERROR!</v>
      </c>
      <c r="EU1104" s="377" t="str">
        <f>[0]!desktopBlendedASP</f>
        <v>#ERROR!</v>
      </c>
      <c r="EV1104" s="377" t="str">
        <f>[0]!desktopBlendedASP</f>
        <v>#ERROR!</v>
      </c>
      <c r="EW1104" s="666" t="str">
        <f>[0]!desktopBlendedASP</f>
        <v>#ERROR!</v>
      </c>
      <c r="EX1104" s="377" t="str">
        <f>[0]!desktopBlendedASP</f>
        <v>#ERROR!</v>
      </c>
      <c r="EY1104" s="377" t="str">
        <f>[0]!desktopBlendedASP</f>
        <v>#ERROR!</v>
      </c>
      <c r="EZ1104" s="377" t="str">
        <f>[0]!desktopBlendedASP</f>
        <v>#ERROR!</v>
      </c>
      <c r="FA1104" s="377" t="str">
        <f>[0]!desktopBlendedASP</f>
        <v>#ERROR!</v>
      </c>
      <c r="FB1104" s="666" t="str">
        <f>[0]!desktopBlendedASP</f>
        <v>#ERROR!</v>
      </c>
      <c r="FC1104" s="377" t="str">
        <f>[0]!desktopBlendedASP</f>
        <v>#ERROR!</v>
      </c>
      <c r="FD1104" s="377" t="str">
        <f>[0]!desktopBlendedASP</f>
        <v>#ERROR!</v>
      </c>
      <c r="FE1104" s="377" t="str">
        <f>[0]!desktopBlendedASP</f>
        <v>#ERROR!</v>
      </c>
      <c r="FF1104" s="377" t="str">
        <f>[0]!desktopBlendedASP</f>
        <v>#ERROR!</v>
      </c>
      <c r="FG1104" s="666" t="str">
        <f>[0]!desktopBlendedASP</f>
        <v>#ERROR!</v>
      </c>
      <c r="FH1104" s="667"/>
      <c r="FI1104" s="377"/>
      <c r="FJ1104" s="377"/>
      <c r="FK1104" s="665"/>
      <c r="FL1104" s="377"/>
    </row>
    <row r="1105" ht="12.75" hidden="1" customHeight="1" outlineLevel="1">
      <c r="A1105" s="263"/>
      <c r="B1105" s="4" t="s">
        <v>403</v>
      </c>
      <c r="C1105" s="4"/>
      <c r="D1105" s="377"/>
      <c r="E1105" s="377"/>
      <c r="F1105" s="377"/>
      <c r="G1105" s="377"/>
      <c r="H1105" s="665"/>
      <c r="I1105" s="377" t="e">
        <v>#REF!</v>
      </c>
      <c r="J1105" s="377" t="e">
        <v>#REF!</v>
      </c>
      <c r="K1105" s="377" t="e">
        <v>#REF!</v>
      </c>
      <c r="L1105" s="377" t="e">
        <v>#REF!</v>
      </c>
      <c r="M1105" s="665" t="e">
        <v>#REF!</v>
      </c>
      <c r="N1105" s="377" t="e">
        <v>#REF!</v>
      </c>
      <c r="O1105" s="377" t="e">
        <v>#REF!</v>
      </c>
      <c r="P1105" s="377" t="e">
        <v>#REF!</v>
      </c>
      <c r="Q1105" s="377" t="e">
        <v>#REF!</v>
      </c>
      <c r="R1105" s="665" t="e">
        <v>#REF!</v>
      </c>
      <c r="S1105" s="377" t="e">
        <v>#REF!</v>
      </c>
      <c r="T1105" s="377" t="e">
        <v>#REF!</v>
      </c>
      <c r="U1105" s="377" t="e">
        <v>#REF!</v>
      </c>
      <c r="V1105" s="377" t="e">
        <v>#REF!</v>
      </c>
      <c r="W1105" s="665" t="e">
        <v>#REF!</v>
      </c>
      <c r="X1105" s="377" t="e">
        <v>#REF!</v>
      </c>
      <c r="Y1105" s="377" t="e">
        <v>#REF!</v>
      </c>
      <c r="Z1105" s="377" t="e">
        <v>#REF!</v>
      </c>
      <c r="AA1105" s="377" t="e">
        <v>#REF!</v>
      </c>
      <c r="AB1105" s="665" t="e">
        <v>#REF!</v>
      </c>
      <c r="AC1105" s="377" t="e">
        <v>#REF!</v>
      </c>
      <c r="AD1105" s="377" t="e">
        <v>#REF!</v>
      </c>
      <c r="AE1105" s="377" t="e">
        <v>#REF!</v>
      </c>
      <c r="AF1105" s="377" t="e">
        <v>#REF!</v>
      </c>
      <c r="AG1105" s="665" t="e">
        <v>#REF!</v>
      </c>
      <c r="AH1105" s="377" t="e">
        <v>#REF!</v>
      </c>
      <c r="AI1105" s="377" t="e">
        <v>#REF!</v>
      </c>
      <c r="AJ1105" s="377" t="e">
        <v>#REF!</v>
      </c>
      <c r="AK1105" s="377" t="e">
        <v>#REF!</v>
      </c>
      <c r="AL1105" s="665" t="e">
        <v>#REF!</v>
      </c>
      <c r="AM1105" s="377" t="e">
        <v>#REF!</v>
      </c>
      <c r="AN1105" s="377" t="e">
        <v>#REF!</v>
      </c>
      <c r="AO1105" s="377" t="e">
        <v>#REF!</v>
      </c>
      <c r="AP1105" s="377" t="e">
        <v>#REF!</v>
      </c>
      <c r="AQ1105" s="665" t="e">
        <v>#REF!</v>
      </c>
      <c r="AR1105" s="377" t="e">
        <v>#REF!</v>
      </c>
      <c r="AS1105" s="377" t="e">
        <v>#REF!</v>
      </c>
      <c r="AT1105" s="377" t="e">
        <v>#REF!</v>
      </c>
      <c r="AU1105" s="377" t="e">
        <v>#REF!</v>
      </c>
      <c r="AV1105" s="665" t="e">
        <v>#REF!</v>
      </c>
      <c r="AW1105" s="377" t="e">
        <v>#REF!</v>
      </c>
      <c r="AX1105" s="377" t="e">
        <v>#REF!</v>
      </c>
      <c r="AY1105" s="377" t="e">
        <v>#REF!</v>
      </c>
      <c r="AZ1105" s="377" t="e">
        <v>#REF!</v>
      </c>
      <c r="BA1105" s="665" t="e">
        <v>#REF!</v>
      </c>
      <c r="BB1105" s="377" t="e">
        <v>#REF!</v>
      </c>
      <c r="BC1105" s="377" t="e">
        <v>#REF!</v>
      </c>
      <c r="BD1105" s="377" t="e">
        <v>#REF!</v>
      </c>
      <c r="BE1105" s="377" t="e">
        <v>#REF!</v>
      </c>
      <c r="BF1105" s="665" t="e">
        <v>#REF!</v>
      </c>
      <c r="BG1105" s="377" t="e">
        <v>#REF!</v>
      </c>
      <c r="BH1105" s="377" t="e">
        <v>#REF!</v>
      </c>
      <c r="BI1105" s="377" t="e">
        <v>#REF!</v>
      </c>
      <c r="BJ1105" s="377" t="e">
        <v>#REF!</v>
      </c>
      <c r="BK1105" s="665" t="e">
        <v>#REF!</v>
      </c>
      <c r="BL1105" s="377" t="e">
        <v>#REF!</v>
      </c>
      <c r="BM1105" s="377" t="e">
        <v>#REF!</v>
      </c>
      <c r="BN1105" s="377" t="e">
        <v>#REF!</v>
      </c>
      <c r="BO1105" s="377" t="e">
        <v>#REF!</v>
      </c>
      <c r="BP1105" s="665" t="e">
        <v>#REF!</v>
      </c>
      <c r="BQ1105" s="377" t="e">
        <v>#REF!</v>
      </c>
      <c r="BR1105" s="377" t="e">
        <v>#REF!</v>
      </c>
      <c r="BS1105" s="377" t="e">
        <v>#REF!</v>
      </c>
      <c r="BT1105" s="377" t="e">
        <v>#REF!</v>
      </c>
      <c r="BU1105" s="665" t="e">
        <v>#REF!</v>
      </c>
      <c r="BV1105" s="377" t="e">
        <v>#REF!</v>
      </c>
      <c r="BW1105" s="377" t="e">
        <v>#REF!</v>
      </c>
      <c r="BX1105" s="377" t="e">
        <v>#REF!</v>
      </c>
      <c r="BY1105" s="377" t="e">
        <v>#REF!</v>
      </c>
      <c r="BZ1105" s="666" t="e">
        <v>#REF!</v>
      </c>
      <c r="CA1105" s="377" t="e">
        <v>#REF!</v>
      </c>
      <c r="CB1105" s="377" t="e">
        <v>#REF!</v>
      </c>
      <c r="CC1105" s="377" t="e">
        <v>#REF!</v>
      </c>
      <c r="CD1105" s="377" t="e">
        <v>#REF!</v>
      </c>
      <c r="CE1105" s="666" t="e">
        <v>#REF!</v>
      </c>
      <c r="CF1105" s="377" t="e">
        <v>#REF!</v>
      </c>
      <c r="CG1105" s="377" t="e">
        <v>#REF!</v>
      </c>
      <c r="CH1105" s="377" t="e">
        <v>#REF!</v>
      </c>
      <c r="CI1105" s="377" t="e">
        <v>#REF!</v>
      </c>
      <c r="CJ1105" s="666" t="e">
        <v>#REF!</v>
      </c>
      <c r="CK1105" s="377" t="e">
        <v>#REF!</v>
      </c>
      <c r="CL1105" s="377" t="e">
        <v>#REF!</v>
      </c>
      <c r="CM1105" s="377" t="e">
        <v>#REF!</v>
      </c>
      <c r="CN1105" s="440" t="e">
        <v>#REF!</v>
      </c>
      <c r="CO1105" s="666" t="e">
        <v>#REF!</v>
      </c>
      <c r="CP1105" s="440" t="e">
        <v>#REF!</v>
      </c>
      <c r="CQ1105" s="377" t="e">
        <v>#REF!</v>
      </c>
      <c r="CR1105" s="377" t="e">
        <v>#REF!</v>
      </c>
      <c r="CS1105" s="377" t="e">
        <v>#REF!</v>
      </c>
      <c r="CT1105" s="666" t="e">
        <v>#REF!</v>
      </c>
      <c r="CU1105" s="377" t="e">
        <v>#REF!</v>
      </c>
      <c r="CV1105" s="377" t="e">
        <v>#REF!</v>
      </c>
      <c r="CW1105" s="377" t="e">
        <v>#REF!</v>
      </c>
      <c r="CX1105" s="377" t="e">
        <v>#REF!</v>
      </c>
      <c r="CY1105" s="666" t="e">
        <v>#REF!</v>
      </c>
      <c r="CZ1105" s="377" t="e">
        <v>#REF!</v>
      </c>
      <c r="DA1105" s="377" t="e">
        <v>#REF!</v>
      </c>
      <c r="DB1105" s="377" t="e">
        <v>#REF!</v>
      </c>
      <c r="DC1105" s="377" t="e">
        <v>#REF!</v>
      </c>
      <c r="DD1105" s="666" t="e">
        <v>#REF!</v>
      </c>
      <c r="DE1105" s="377" t="e">
        <v>#REF!</v>
      </c>
      <c r="DF1105" s="377" t="e">
        <v>#REF!</v>
      </c>
      <c r="DG1105" s="440" t="e">
        <v>#REF!</v>
      </c>
      <c r="DH1105" s="377" t="e">
        <v>#REF!</v>
      </c>
      <c r="DI1105" s="666" t="e">
        <v>#REF!</v>
      </c>
      <c r="DJ1105" s="440" t="e">
        <v>#REF!</v>
      </c>
      <c r="DK1105" s="440" t="e">
        <v>#REF!</v>
      </c>
      <c r="DL1105" s="440" t="e">
        <v>#REF!</v>
      </c>
      <c r="DM1105" s="377" t="e">
        <v>#REF!</v>
      </c>
      <c r="DN1105" s="666" t="e">
        <v>#REF!</v>
      </c>
      <c r="DO1105" s="377" t="e">
        <v>#REF!</v>
      </c>
      <c r="DP1105" s="377" t="e">
        <v>#REF!</v>
      </c>
      <c r="DQ1105" s="377" t="e">
        <v>#REF!</v>
      </c>
      <c r="DR1105" s="377" t="e">
        <v>#REF!</v>
      </c>
      <c r="DS1105" s="666" t="e">
        <v>#REF!</v>
      </c>
      <c r="DT1105" s="377" t="e">
        <v>#REF!</v>
      </c>
      <c r="DU1105" s="377" t="e">
        <v>#REF!</v>
      </c>
      <c r="DV1105" s="377" t="e">
        <v>#REF!</v>
      </c>
      <c r="DW1105" s="377" t="e">
        <v>#REF!</v>
      </c>
      <c r="DX1105" s="666" t="e">
        <v>#REF!</v>
      </c>
      <c r="DY1105" s="377" t="e">
        <v>#REF!</v>
      </c>
      <c r="DZ1105" s="377" t="e">
        <v>#REF!</v>
      </c>
      <c r="EA1105" s="377" t="e">
        <v>#REF!</v>
      </c>
      <c r="EB1105" s="377" t="e">
        <v>#REF!</v>
      </c>
      <c r="EC1105" s="666" t="e">
        <v>#REF!</v>
      </c>
      <c r="ED1105" s="377" t="e">
        <v>#REF!</v>
      </c>
      <c r="EE1105" s="377" t="e">
        <v>#REF!</v>
      </c>
      <c r="EF1105" s="377" t="e">
        <v>#REF!</v>
      </c>
      <c r="EG1105" s="377" t="e">
        <v>#REF!</v>
      </c>
      <c r="EH1105" s="666" t="e">
        <v>#REF!</v>
      </c>
      <c r="EI1105" s="442" t="e">
        <v>#REF!</v>
      </c>
      <c r="EJ1105" s="377" t="e">
        <v>#REF!</v>
      </c>
      <c r="EK1105" s="377" t="e">
        <v>#REF!</v>
      </c>
      <c r="EL1105" s="377" t="e">
        <v>#REF!</v>
      </c>
      <c r="EM1105" s="666" t="e">
        <v>#REF!</v>
      </c>
      <c r="EN1105" s="377" t="e">
        <v>#REF!</v>
      </c>
      <c r="EO1105" s="377" t="e">
        <v>#REF!</v>
      </c>
      <c r="EP1105" s="377" t="e">
        <v>#REF!</v>
      </c>
      <c r="EQ1105" s="377" t="e">
        <v>#REF!</v>
      </c>
      <c r="ER1105" s="666" t="e">
        <v>#REF!</v>
      </c>
      <c r="ES1105" s="377" t="e">
        <v>#REF!</v>
      </c>
      <c r="ET1105" s="377" t="e">
        <v>#REF!</v>
      </c>
      <c r="EU1105" s="377" t="e">
        <v>#REF!</v>
      </c>
      <c r="EV1105" s="377" t="e">
        <v>#REF!</v>
      </c>
      <c r="EW1105" s="666" t="e">
        <v>#REF!</v>
      </c>
      <c r="EX1105" s="377" t="e">
        <v>#REF!</v>
      </c>
      <c r="EY1105" s="377" t="e">
        <v>#REF!</v>
      </c>
      <c r="EZ1105" s="377" t="e">
        <v>#REF!</v>
      </c>
      <c r="FA1105" s="377" t="e">
        <v>#REF!</v>
      </c>
      <c r="FB1105" s="666" t="e">
        <v>#REF!</v>
      </c>
      <c r="FC1105" s="377" t="e">
        <v>#REF!</v>
      </c>
      <c r="FD1105" s="377" t="e">
        <v>#REF!</v>
      </c>
      <c r="FE1105" s="377" t="e">
        <v>#REF!</v>
      </c>
      <c r="FF1105" s="377" t="e">
        <v>#REF!</v>
      </c>
      <c r="FG1105" s="666" t="e">
        <v>#REF!</v>
      </c>
      <c r="FH1105" s="667"/>
      <c r="FI1105" s="377"/>
      <c r="FJ1105" s="377"/>
      <c r="FK1105" s="665"/>
      <c r="FL1105" s="377"/>
    </row>
    <row r="1106" ht="12.75" hidden="1" customHeight="1" outlineLevel="1">
      <c r="A1106" s="4"/>
      <c r="B1106" s="4"/>
      <c r="C1106" s="4"/>
      <c r="D1106" s="4"/>
      <c r="E1106" s="4"/>
      <c r="F1106" s="4"/>
      <c r="G1106" s="4"/>
      <c r="H1106" s="45"/>
      <c r="I1106" s="4"/>
      <c r="J1106" s="4"/>
      <c r="K1106" s="4"/>
      <c r="L1106" s="4"/>
      <c r="M1106" s="45"/>
      <c r="N1106" s="4"/>
      <c r="O1106" s="4"/>
      <c r="P1106" s="4"/>
      <c r="Q1106" s="4"/>
      <c r="R1106" s="45"/>
      <c r="S1106" s="4"/>
      <c r="T1106" s="4"/>
      <c r="U1106" s="4"/>
      <c r="V1106" s="4"/>
      <c r="W1106" s="45"/>
      <c r="X1106" s="4"/>
      <c r="Y1106" s="4"/>
      <c r="Z1106" s="4"/>
      <c r="AA1106" s="4"/>
      <c r="AB1106" s="45"/>
      <c r="AC1106" s="4"/>
      <c r="AD1106" s="4"/>
      <c r="AE1106" s="4"/>
      <c r="AF1106" s="4"/>
      <c r="AG1106" s="45"/>
      <c r="AH1106" s="4"/>
      <c r="AI1106" s="4"/>
      <c r="AJ1106" s="4"/>
      <c r="AK1106" s="4"/>
      <c r="AL1106" s="45"/>
      <c r="AM1106" s="4"/>
      <c r="AN1106" s="4"/>
      <c r="AO1106" s="4"/>
      <c r="AP1106" s="4"/>
      <c r="AQ1106" s="45"/>
      <c r="AR1106" s="4"/>
      <c r="AS1106" s="4"/>
      <c r="AT1106" s="4"/>
      <c r="AU1106" s="4"/>
      <c r="AV1106" s="45"/>
      <c r="AW1106" s="4"/>
      <c r="AX1106" s="4"/>
      <c r="AY1106" s="4"/>
      <c r="AZ1106" s="4"/>
      <c r="BA1106" s="45"/>
      <c r="BB1106" s="4"/>
      <c r="BC1106" s="4"/>
      <c r="BD1106" s="4"/>
      <c r="BE1106" s="4"/>
      <c r="BF1106" s="45"/>
      <c r="BG1106" s="4"/>
      <c r="BH1106" s="4"/>
      <c r="BI1106" s="4"/>
      <c r="BJ1106" s="4"/>
      <c r="BK1106" s="45"/>
      <c r="BL1106" s="4"/>
      <c r="BM1106" s="4"/>
      <c r="BN1106" s="4"/>
      <c r="BO1106" s="4"/>
      <c r="BP1106" s="45"/>
      <c r="BQ1106" s="4"/>
      <c r="BR1106" s="4"/>
      <c r="BS1106" s="4"/>
      <c r="BT1106" s="4"/>
      <c r="BU1106" s="45"/>
      <c r="BV1106" s="4"/>
      <c r="BW1106" s="4"/>
      <c r="BX1106" s="4"/>
      <c r="BY1106" s="4"/>
      <c r="BZ1106" s="350"/>
      <c r="CA1106" s="4"/>
      <c r="CB1106" s="4"/>
      <c r="CC1106" s="4"/>
      <c r="CD1106" s="4"/>
      <c r="CE1106" s="350"/>
      <c r="CF1106" s="4"/>
      <c r="CG1106" s="4"/>
      <c r="CH1106" s="4"/>
      <c r="CI1106" s="4"/>
      <c r="CJ1106" s="350"/>
      <c r="CK1106" s="4"/>
      <c r="CL1106" s="4"/>
      <c r="CM1106" s="4"/>
      <c r="CN1106" s="16"/>
      <c r="CO1106" s="350"/>
      <c r="CP1106" s="16"/>
      <c r="CQ1106" s="4"/>
      <c r="CR1106" s="4"/>
      <c r="CS1106" s="4"/>
      <c r="CT1106" s="350"/>
      <c r="CU1106" s="4"/>
      <c r="CV1106" s="4"/>
      <c r="CW1106" s="4"/>
      <c r="CX1106" s="4"/>
      <c r="CY1106" s="350"/>
      <c r="CZ1106" s="4"/>
      <c r="DA1106" s="4"/>
      <c r="DB1106" s="4"/>
      <c r="DC1106" s="4"/>
      <c r="DD1106" s="350"/>
      <c r="DE1106" s="4"/>
      <c r="DF1106" s="4"/>
      <c r="DG1106" s="16"/>
      <c r="DH1106" s="4"/>
      <c r="DI1106" s="350"/>
      <c r="DJ1106" s="16"/>
      <c r="DK1106" s="16"/>
      <c r="DL1106" s="16"/>
      <c r="DM1106" s="4"/>
      <c r="DN1106" s="350"/>
      <c r="DO1106" s="4"/>
      <c r="DP1106" s="4"/>
      <c r="DQ1106" s="4"/>
      <c r="DR1106" s="4"/>
      <c r="DS1106" s="350"/>
      <c r="DT1106" s="4"/>
      <c r="DU1106" s="4"/>
      <c r="DV1106" s="4"/>
      <c r="DW1106" s="4"/>
      <c r="DX1106" s="350"/>
      <c r="DY1106" s="4"/>
      <c r="DZ1106" s="4"/>
      <c r="EA1106" s="4"/>
      <c r="EB1106" s="4"/>
      <c r="EC1106" s="350"/>
      <c r="ED1106" s="4"/>
      <c r="EE1106" s="4"/>
      <c r="EF1106" s="4"/>
      <c r="EG1106" s="4"/>
      <c r="EH1106" s="350"/>
      <c r="EI1106" s="214"/>
      <c r="EJ1106" s="4"/>
      <c r="EK1106" s="4"/>
      <c r="EL1106" s="4"/>
      <c r="EM1106" s="350"/>
      <c r="EN1106" s="4"/>
      <c r="EO1106" s="4"/>
      <c r="EP1106" s="4"/>
      <c r="EQ1106" s="4"/>
      <c r="ER1106" s="350"/>
      <c r="ES1106" s="4"/>
      <c r="ET1106" s="4"/>
      <c r="EU1106" s="4"/>
      <c r="EV1106" s="4"/>
      <c r="EW1106" s="350"/>
      <c r="EX1106" s="4"/>
      <c r="EY1106" s="4"/>
      <c r="EZ1106" s="4"/>
      <c r="FA1106" s="4"/>
      <c r="FB1106" s="350"/>
      <c r="FC1106" s="4"/>
      <c r="FD1106" s="4"/>
      <c r="FE1106" s="4"/>
      <c r="FF1106" s="4"/>
      <c r="FG1106" s="350"/>
      <c r="FH1106" s="145"/>
      <c r="FI1106" s="4"/>
      <c r="FJ1106" s="4"/>
      <c r="FK1106" s="45"/>
      <c r="FL1106" s="4"/>
    </row>
    <row r="1107" ht="12.75" hidden="1" customHeight="1" outlineLevel="1">
      <c r="A1107" s="4"/>
      <c r="B1107" s="299" t="s">
        <v>404</v>
      </c>
      <c r="C1107" s="90"/>
      <c r="D1107" s="728"/>
      <c r="E1107" s="728"/>
      <c r="F1107" s="728"/>
      <c r="G1107" s="728"/>
      <c r="H1107" s="729"/>
      <c r="I1107" s="728"/>
      <c r="J1107" s="728"/>
      <c r="K1107" s="728"/>
      <c r="L1107" s="728"/>
      <c r="M1107" s="729"/>
      <c r="N1107" s="728"/>
      <c r="O1107" s="728"/>
      <c r="P1107" s="728"/>
      <c r="Q1107" s="728"/>
      <c r="R1107" s="729"/>
      <c r="S1107" s="728"/>
      <c r="T1107" s="728"/>
      <c r="U1107" s="728"/>
      <c r="V1107" s="728"/>
      <c r="W1107" s="729"/>
      <c r="X1107" s="728"/>
      <c r="Y1107" s="728"/>
      <c r="Z1107" s="728"/>
      <c r="AA1107" s="728"/>
      <c r="AB1107" s="729"/>
      <c r="AC1107" s="728"/>
      <c r="AD1107" s="728"/>
      <c r="AE1107" s="728"/>
      <c r="AF1107" s="728"/>
      <c r="AG1107" s="729"/>
      <c r="AH1107" s="728"/>
      <c r="AI1107" s="728"/>
      <c r="AJ1107" s="728"/>
      <c r="AK1107" s="728"/>
      <c r="AL1107" s="729"/>
      <c r="AM1107" s="728"/>
      <c r="AN1107" s="728"/>
      <c r="AO1107" s="728"/>
      <c r="AP1107" s="728"/>
      <c r="AQ1107" s="729"/>
      <c r="AR1107" s="728"/>
      <c r="AS1107" s="728"/>
      <c r="AT1107" s="728"/>
      <c r="AU1107" s="728"/>
      <c r="AV1107" s="729"/>
      <c r="AW1107" s="728"/>
      <c r="AX1107" s="728"/>
      <c r="AY1107" s="728"/>
      <c r="AZ1107" s="728"/>
      <c r="BA1107" s="729"/>
      <c r="BB1107" s="728"/>
      <c r="BC1107" s="728"/>
      <c r="BD1107" s="728"/>
      <c r="BE1107" s="728"/>
      <c r="BF1107" s="729"/>
      <c r="BG1107" s="728"/>
      <c r="BH1107" s="728"/>
      <c r="BI1107" s="728"/>
      <c r="BJ1107" s="728"/>
      <c r="BK1107" s="729"/>
      <c r="BL1107" s="728"/>
      <c r="BM1107" s="728"/>
      <c r="BN1107" s="728"/>
      <c r="BO1107" s="728"/>
      <c r="BP1107" s="729"/>
      <c r="BQ1107" s="728"/>
      <c r="BR1107" s="728"/>
      <c r="BS1107" s="728"/>
      <c r="BT1107" s="728"/>
      <c r="BU1107" s="729"/>
      <c r="BV1107" s="728"/>
      <c r="BW1107" s="728"/>
      <c r="BX1107" s="728"/>
      <c r="BY1107" s="728"/>
      <c r="BZ1107" s="730"/>
      <c r="CA1107" s="728"/>
      <c r="CB1107" s="728"/>
      <c r="CC1107" s="728"/>
      <c r="CD1107" s="728"/>
      <c r="CE1107" s="730"/>
      <c r="CF1107" s="728"/>
      <c r="CG1107" s="728"/>
      <c r="CH1107" s="728"/>
      <c r="CI1107" s="728"/>
      <c r="CJ1107" s="730"/>
      <c r="CK1107" s="728"/>
      <c r="CL1107" s="728"/>
      <c r="CM1107" s="728"/>
      <c r="CN1107" s="731"/>
      <c r="CO1107" s="730"/>
      <c r="CP1107" s="731"/>
      <c r="CQ1107" s="728"/>
      <c r="CR1107" s="728"/>
      <c r="CS1107" s="728"/>
      <c r="CT1107" s="730"/>
      <c r="CU1107" s="728"/>
      <c r="CV1107" s="728"/>
      <c r="CW1107" s="728"/>
      <c r="CX1107" s="728"/>
      <c r="CY1107" s="730"/>
      <c r="CZ1107" s="728"/>
      <c r="DA1107" s="728"/>
      <c r="DB1107" s="728"/>
      <c r="DC1107" s="728"/>
      <c r="DD1107" s="730"/>
      <c r="DE1107" s="728"/>
      <c r="DF1107" s="728"/>
      <c r="DG1107" s="732"/>
      <c r="DH1107" s="728"/>
      <c r="DI1107" s="730"/>
      <c r="DJ1107" s="731"/>
      <c r="DK1107" s="731"/>
      <c r="DL1107" s="731"/>
      <c r="DM1107" s="728"/>
      <c r="DN1107" s="730"/>
      <c r="DO1107" s="728"/>
      <c r="DP1107" s="728"/>
      <c r="DQ1107" s="728"/>
      <c r="DR1107" s="728"/>
      <c r="DS1107" s="730"/>
      <c r="DT1107" s="728"/>
      <c r="DU1107" s="728"/>
      <c r="DV1107" s="728"/>
      <c r="DW1107" s="728"/>
      <c r="DX1107" s="730"/>
      <c r="DY1107" s="728"/>
      <c r="DZ1107" s="728"/>
      <c r="EA1107" s="728"/>
      <c r="EB1107" s="728"/>
      <c r="EC1107" s="730"/>
      <c r="ED1107" s="728"/>
      <c r="EE1107" s="728"/>
      <c r="EF1107" s="728"/>
      <c r="EG1107" s="728"/>
      <c r="EH1107" s="730"/>
      <c r="EI1107" s="733"/>
      <c r="EJ1107" s="728"/>
      <c r="EK1107" s="728"/>
      <c r="EL1107" s="728"/>
      <c r="EM1107" s="730"/>
      <c r="EN1107" s="728"/>
      <c r="EO1107" s="728"/>
      <c r="EP1107" s="728"/>
      <c r="EQ1107" s="728"/>
      <c r="ER1107" s="730"/>
      <c r="ES1107" s="728"/>
      <c r="ET1107" s="728"/>
      <c r="EU1107" s="728"/>
      <c r="EV1107" s="728"/>
      <c r="EW1107" s="730"/>
      <c r="EX1107" s="728"/>
      <c r="EY1107" s="728"/>
      <c r="EZ1107" s="728"/>
      <c r="FA1107" s="728"/>
      <c r="FB1107" s="730"/>
      <c r="FC1107" s="728"/>
      <c r="FD1107" s="728"/>
      <c r="FE1107" s="728"/>
      <c r="FF1107" s="728"/>
      <c r="FG1107" s="730"/>
      <c r="FH1107" s="734"/>
      <c r="FI1107" s="728"/>
      <c r="FJ1107" s="728"/>
      <c r="FK1107" s="729"/>
      <c r="FL1107" s="728"/>
    </row>
    <row r="1108" ht="12.75" hidden="1" customHeight="1" outlineLevel="1">
      <c r="A1108" s="4"/>
      <c r="B1108" s="4" t="s">
        <v>405</v>
      </c>
      <c r="C1108" s="4"/>
      <c r="D1108" s="17"/>
      <c r="E1108" s="17"/>
      <c r="F1108" s="17"/>
      <c r="G1108" s="17"/>
      <c r="H1108" s="73"/>
      <c r="I1108" s="17" t="str">
        <f>mobileUnitsTotal</f>
        <v>#ERROR!</v>
      </c>
      <c r="J1108" s="17" t="str">
        <f>mobileUnitsTotal</f>
        <v>#ERROR!</v>
      </c>
      <c r="K1108" s="17" t="str">
        <f>mobileUnitsTotal</f>
        <v>#ERROR!</v>
      </c>
      <c r="L1108" s="17" t="str">
        <f>mobileUnitsTotal</f>
        <v>#ERROR!</v>
      </c>
      <c r="M1108" s="73" t="str">
        <f>mobileUnitsTotal</f>
        <v>#ERROR!</v>
      </c>
      <c r="N1108" s="17" t="str">
        <f>mobileUnitsTotal</f>
        <v>#ERROR!</v>
      </c>
      <c r="O1108" s="17" t="str">
        <f>mobileUnitsTotal</f>
        <v>#ERROR!</v>
      </c>
      <c r="P1108" s="17" t="str">
        <f>mobileUnitsTotal</f>
        <v>#ERROR!</v>
      </c>
      <c r="Q1108" s="17" t="str">
        <f>mobileUnitsTotal</f>
        <v>#ERROR!</v>
      </c>
      <c r="R1108" s="73" t="str">
        <f>mobileUnitsTotal</f>
        <v>#ERROR!</v>
      </c>
      <c r="S1108" s="17" t="str">
        <f>mobileUnitsTotal</f>
        <v>#ERROR!</v>
      </c>
      <c r="T1108" s="17" t="str">
        <f>mobileUnitsTotal</f>
        <v>#ERROR!</v>
      </c>
      <c r="U1108" s="17" t="str">
        <f>mobileUnitsTotal</f>
        <v>#ERROR!</v>
      </c>
      <c r="V1108" s="17" t="str">
        <f>mobileUnitsTotal</f>
        <v>#ERROR!</v>
      </c>
      <c r="W1108" s="73" t="str">
        <f>mobileUnitsTotal</f>
        <v>#ERROR!</v>
      </c>
      <c r="X1108" s="17" t="str">
        <f>mobileUnitsTotal</f>
        <v>#ERROR!</v>
      </c>
      <c r="Y1108" s="17" t="str">
        <f>mobileUnitsTotal</f>
        <v>#ERROR!</v>
      </c>
      <c r="Z1108" s="17" t="str">
        <f>mobileUnitsTotal</f>
        <v>#ERROR!</v>
      </c>
      <c r="AA1108" s="17" t="str">
        <f>mobileUnitsTotal</f>
        <v>#ERROR!</v>
      </c>
      <c r="AB1108" s="73" t="str">
        <f>mobileUnitsTotal</f>
        <v>#ERROR!</v>
      </c>
      <c r="AC1108" s="17" t="str">
        <f>mobileUnitsTotal</f>
        <v>#ERROR!</v>
      </c>
      <c r="AD1108" s="17" t="str">
        <f>mobileUnitsTotal</f>
        <v>#ERROR!</v>
      </c>
      <c r="AE1108" s="17" t="str">
        <f>mobileUnitsTotal</f>
        <v>#ERROR!</v>
      </c>
      <c r="AF1108" s="17" t="str">
        <f>mobileUnitsTotal</f>
        <v>#ERROR!</v>
      </c>
      <c r="AG1108" s="73" t="str">
        <f>mobileUnitsTotal</f>
        <v>#ERROR!</v>
      </c>
      <c r="AH1108" s="17" t="str">
        <f>mobileUnitsTotal</f>
        <v>#ERROR!</v>
      </c>
      <c r="AI1108" s="17" t="str">
        <f>mobileUnitsTotal</f>
        <v>#ERROR!</v>
      </c>
      <c r="AJ1108" s="17" t="str">
        <f>mobileUnitsTotal</f>
        <v>#ERROR!</v>
      </c>
      <c r="AK1108" s="17" t="str">
        <f>mobileUnitsTotal</f>
        <v>#ERROR!</v>
      </c>
      <c r="AL1108" s="73" t="str">
        <f>mobileUnitsTotal</f>
        <v>#ERROR!</v>
      </c>
      <c r="AM1108" s="17" t="str">
        <f>mobileUnitsTotal</f>
        <v>#ERROR!</v>
      </c>
      <c r="AN1108" s="17" t="str">
        <f>mobileUnitsTotal</f>
        <v>#ERROR!</v>
      </c>
      <c r="AO1108" s="17" t="str">
        <f>mobileUnitsTotal</f>
        <v>#ERROR!</v>
      </c>
      <c r="AP1108" s="17" t="str">
        <f>mobileUnitsTotal</f>
        <v>#ERROR!</v>
      </c>
      <c r="AQ1108" s="73" t="str">
        <f>mobileUnitsTotal</f>
        <v>#ERROR!</v>
      </c>
      <c r="AR1108" s="17" t="str">
        <f>mobileUnitsTotal</f>
        <v>#ERROR!</v>
      </c>
      <c r="AS1108" s="17" t="str">
        <f>mobileUnitsTotal</f>
        <v>#ERROR!</v>
      </c>
      <c r="AT1108" s="17" t="str">
        <f>mobileUnitsTotal</f>
        <v>#ERROR!</v>
      </c>
      <c r="AU1108" s="17" t="str">
        <f>mobileUnitsTotal</f>
        <v>#ERROR!</v>
      </c>
      <c r="AV1108" s="73" t="str">
        <f>mobileUnitsTotal</f>
        <v>#ERROR!</v>
      </c>
      <c r="AW1108" s="17" t="str">
        <f>mobileUnitsTotal</f>
        <v>#ERROR!</v>
      </c>
      <c r="AX1108" s="17" t="str">
        <f>mobileUnitsTotal</f>
        <v>#ERROR!</v>
      </c>
      <c r="AY1108" s="17" t="str">
        <f>mobileUnitsTotal</f>
        <v>#ERROR!</v>
      </c>
      <c r="AZ1108" s="17" t="str">
        <f>mobileUnitsTotal</f>
        <v>#ERROR!</v>
      </c>
      <c r="BA1108" s="73" t="str">
        <f>mobileUnitsTotal</f>
        <v>#ERROR!</v>
      </c>
      <c r="BB1108" s="17" t="str">
        <f>mobileUnitsTotal</f>
        <v>#ERROR!</v>
      </c>
      <c r="BC1108" s="17" t="str">
        <f>mobileUnitsTotal</f>
        <v>#ERROR!</v>
      </c>
      <c r="BD1108" s="17" t="str">
        <f>mobileUnitsTotal</f>
        <v>#ERROR!</v>
      </c>
      <c r="BE1108" s="17" t="str">
        <f>mobileUnitsTotal</f>
        <v>#ERROR!</v>
      </c>
      <c r="BF1108" s="73" t="str">
        <f>mobileUnitsTotal</f>
        <v>#ERROR!</v>
      </c>
      <c r="BG1108" s="17" t="str">
        <f>mobileUnitsTotal</f>
        <v>#ERROR!</v>
      </c>
      <c r="BH1108" s="17" t="str">
        <f>mobileUnitsTotal</f>
        <v>#ERROR!</v>
      </c>
      <c r="BI1108" s="17" t="str">
        <f>mobileUnitsTotal</f>
        <v>#ERROR!</v>
      </c>
      <c r="BJ1108" s="17" t="str">
        <f>mobileUnitsTotal</f>
        <v>#ERROR!</v>
      </c>
      <c r="BK1108" s="73" t="str">
        <f>mobileUnitsTotal</f>
        <v>#ERROR!</v>
      </c>
      <c r="BL1108" s="17" t="str">
        <f>mobileUnitsTotal</f>
        <v>#ERROR!</v>
      </c>
      <c r="BM1108" s="17" t="str">
        <f>mobileUnitsTotal</f>
        <v>#ERROR!</v>
      </c>
      <c r="BN1108" s="17" t="str">
        <f>mobileUnitsTotal</f>
        <v>#ERROR!</v>
      </c>
      <c r="BO1108" s="17" t="str">
        <f>mobileUnitsTotal</f>
        <v>#ERROR!</v>
      </c>
      <c r="BP1108" s="73" t="str">
        <f>mobileUnitsTotal</f>
        <v>#ERROR!</v>
      </c>
      <c r="BQ1108" s="17" t="str">
        <f>mobileUnitsTotal</f>
        <v>#ERROR!</v>
      </c>
      <c r="BR1108" s="17" t="str">
        <f>mobileUnitsTotal</f>
        <v>#ERROR!</v>
      </c>
      <c r="BS1108" s="17" t="str">
        <f>mobileUnitsTotal</f>
        <v>#ERROR!</v>
      </c>
      <c r="BT1108" s="17" t="str">
        <f>mobileUnitsTotal</f>
        <v>#ERROR!</v>
      </c>
      <c r="BU1108" s="73" t="str">
        <f>mobileUnitsTotal</f>
        <v>#ERROR!</v>
      </c>
      <c r="BV1108" s="17" t="str">
        <f>mobileUnitsTotal</f>
        <v>#ERROR!</v>
      </c>
      <c r="BW1108" s="17" t="str">
        <f>mobileUnitsTotal</f>
        <v>#ERROR!</v>
      </c>
      <c r="BX1108" s="17" t="str">
        <f>mobileUnitsTotal</f>
        <v>#ERROR!</v>
      </c>
      <c r="BY1108" s="17" t="str">
        <f>mobileUnitsTotal</f>
        <v>#ERROR!</v>
      </c>
      <c r="BZ1108" s="18" t="str">
        <f>mobileUnitsTotal</f>
        <v>#ERROR!</v>
      </c>
      <c r="CA1108" s="17" t="str">
        <f>mobileUnitsTotal</f>
        <v>#ERROR!</v>
      </c>
      <c r="CB1108" s="17" t="str">
        <f>mobileUnitsTotal</f>
        <v>#ERROR!</v>
      </c>
      <c r="CC1108" s="17" t="str">
        <f>mobileUnitsTotal</f>
        <v>#ERROR!</v>
      </c>
      <c r="CD1108" s="17" t="str">
        <f>mobileUnitsTotal</f>
        <v>#ERROR!</v>
      </c>
      <c r="CE1108" s="18" t="str">
        <f>mobileUnitsTotal</f>
        <v>#ERROR!</v>
      </c>
      <c r="CF1108" s="17" t="str">
        <f>mobileUnitsTotal</f>
        <v>#ERROR!</v>
      </c>
      <c r="CG1108" s="17" t="str">
        <f>mobileUnitsTotal</f>
        <v>#ERROR!</v>
      </c>
      <c r="CH1108" s="17" t="str">
        <f>mobileUnitsTotal</f>
        <v>#ERROR!</v>
      </c>
      <c r="CI1108" s="17" t="str">
        <f>mobileUnitsTotal</f>
        <v>#ERROR!</v>
      </c>
      <c r="CJ1108" s="18" t="str">
        <f>mobileUnitsTotal</f>
        <v>#ERROR!</v>
      </c>
      <c r="CK1108" s="17" t="str">
        <f>mobileUnitsTotal</f>
        <v>#ERROR!</v>
      </c>
      <c r="CL1108" s="17" t="str">
        <f>mobileUnitsTotal</f>
        <v>#ERROR!</v>
      </c>
      <c r="CM1108" s="17" t="str">
        <f>mobileUnitsTotal</f>
        <v>#ERROR!</v>
      </c>
      <c r="CN1108" s="19" t="str">
        <f>mobileUnitsTotal</f>
        <v>#ERROR!</v>
      </c>
      <c r="CO1108" s="18" t="str">
        <f>mobileUnitsTotal</f>
        <v>#ERROR!</v>
      </c>
      <c r="CP1108" s="19" t="str">
        <f>mobileUnitsTotal</f>
        <v>#ERROR!</v>
      </c>
      <c r="CQ1108" s="17" t="str">
        <f>mobileUnitsTotal</f>
        <v>#ERROR!</v>
      </c>
      <c r="CR1108" s="17" t="str">
        <f>mobileUnitsTotal</f>
        <v>#ERROR!</v>
      </c>
      <c r="CS1108" s="17" t="str">
        <f>mobileUnitsTotal</f>
        <v>#ERROR!</v>
      </c>
      <c r="CT1108" s="18" t="str">
        <f>mobileUnitsTotal</f>
        <v>#ERROR!</v>
      </c>
      <c r="CU1108" s="17" t="str">
        <f>mobileUnitsTotal</f>
        <v>#ERROR!</v>
      </c>
      <c r="CV1108" s="17" t="str">
        <f>mobileUnitsTotal</f>
        <v>#ERROR!</v>
      </c>
      <c r="CW1108" s="17" t="str">
        <f>mobileUnitsTotal</f>
        <v>#ERROR!</v>
      </c>
      <c r="CX1108" s="17" t="str">
        <f>mobileUnitsTotal</f>
        <v>#ERROR!</v>
      </c>
      <c r="CY1108" s="18" t="str">
        <f>mobileUnitsTotal</f>
        <v>#ERROR!</v>
      </c>
      <c r="CZ1108" s="17" t="str">
        <f>mobileUnitsTotal</f>
        <v>#ERROR!</v>
      </c>
      <c r="DA1108" s="17" t="str">
        <f>mobileUnitsTotal</f>
        <v>#ERROR!</v>
      </c>
      <c r="DB1108" s="17" t="str">
        <f>mobileUnitsTotal</f>
        <v>#ERROR!</v>
      </c>
      <c r="DC1108" s="17" t="str">
        <f>mobileUnitsTotal</f>
        <v>#ERROR!</v>
      </c>
      <c r="DD1108" s="18" t="str">
        <f>mobileUnitsTotal</f>
        <v>#ERROR!</v>
      </c>
      <c r="DE1108" s="17" t="str">
        <f>mobileUnitsTotal</f>
        <v>#ERROR!</v>
      </c>
      <c r="DF1108" s="17" t="str">
        <f>mobileUnitsTotal</f>
        <v>#ERROR!</v>
      </c>
      <c r="DG1108" s="19" t="str">
        <f>mobileUnitsTotal</f>
        <v>#ERROR!</v>
      </c>
      <c r="DH1108" s="17" t="str">
        <f>mobileUnitsTotal</f>
        <v>#ERROR!</v>
      </c>
      <c r="DI1108" s="18" t="str">
        <f>mobileUnitsTotal</f>
        <v>#ERROR!</v>
      </c>
      <c r="DJ1108" s="19" t="str">
        <f>mobileUnitsTotal</f>
        <v>#ERROR!</v>
      </c>
      <c r="DK1108" s="19" t="str">
        <f>mobileUnitsTotal</f>
        <v>#ERROR!</v>
      </c>
      <c r="DL1108" s="19" t="str">
        <f>mobileUnitsTotal</f>
        <v>#ERROR!</v>
      </c>
      <c r="DM1108" s="17" t="str">
        <f>mobileUnitsTotal</f>
        <v>#ERROR!</v>
      </c>
      <c r="DN1108" s="18" t="str">
        <f>mobileUnitsTotal</f>
        <v>#ERROR!</v>
      </c>
      <c r="DO1108" s="17" t="str">
        <f>mobileUnitsTotal</f>
        <v>#ERROR!</v>
      </c>
      <c r="DP1108" s="17" t="str">
        <f>mobileUnitsTotal</f>
        <v>#ERROR!</v>
      </c>
      <c r="DQ1108" s="17" t="str">
        <f>mobileUnitsTotal</f>
        <v>#ERROR!</v>
      </c>
      <c r="DR1108" s="17" t="str">
        <f>mobileUnitsTotal</f>
        <v>#ERROR!</v>
      </c>
      <c r="DS1108" s="18" t="str">
        <f>mobileUnitsTotal</f>
        <v>#ERROR!</v>
      </c>
      <c r="DT1108" s="17" t="str">
        <f>mobileUnitsTotal</f>
        <v>#ERROR!</v>
      </c>
      <c r="DU1108" s="17" t="str">
        <f>mobileUnitsTotal</f>
        <v>#ERROR!</v>
      </c>
      <c r="DV1108" s="17" t="str">
        <f>mobileUnitsTotal</f>
        <v>#ERROR!</v>
      </c>
      <c r="DW1108" s="17" t="str">
        <f>mobileUnitsTotal</f>
        <v>#ERROR!</v>
      </c>
      <c r="DX1108" s="18" t="str">
        <f>mobileUnitsTotal</f>
        <v>#ERROR!</v>
      </c>
      <c r="DY1108" s="17" t="str">
        <f>mobileUnitsTotal</f>
        <v>#ERROR!</v>
      </c>
      <c r="DZ1108" s="17" t="str">
        <f>mobileUnitsTotal</f>
        <v>#ERROR!</v>
      </c>
      <c r="EA1108" s="17" t="str">
        <f>mobileUnitsTotal</f>
        <v>#ERROR!</v>
      </c>
      <c r="EB1108" s="17" t="str">
        <f>mobileUnitsTotal</f>
        <v>#ERROR!</v>
      </c>
      <c r="EC1108" s="18" t="str">
        <f>mobileUnitsTotal</f>
        <v>#ERROR!</v>
      </c>
      <c r="ED1108" s="17" t="str">
        <f>mobileUnitsTotal</f>
        <v>#ERROR!</v>
      </c>
      <c r="EE1108" s="17" t="str">
        <f>mobileUnitsTotal</f>
        <v>#ERROR!</v>
      </c>
      <c r="EF1108" s="17" t="str">
        <f>mobileUnitsTotal</f>
        <v>#ERROR!</v>
      </c>
      <c r="EG1108" s="17" t="str">
        <f>mobileUnitsTotal</f>
        <v>#ERROR!</v>
      </c>
      <c r="EH1108" s="18" t="str">
        <f>mobileUnitsTotal</f>
        <v>#ERROR!</v>
      </c>
      <c r="EI1108" s="25" t="str">
        <f>mobileUnitsTotal</f>
        <v>#ERROR!</v>
      </c>
      <c r="EJ1108" s="17" t="str">
        <f>mobileUnitsTotal</f>
        <v>#ERROR!</v>
      </c>
      <c r="EK1108" s="17" t="str">
        <f>mobileUnitsTotal</f>
        <v>#ERROR!</v>
      </c>
      <c r="EL1108" s="17" t="str">
        <f>mobileUnitsTotal</f>
        <v>#ERROR!</v>
      </c>
      <c r="EM1108" s="18" t="str">
        <f>mobileUnitsTotal</f>
        <v>#ERROR!</v>
      </c>
      <c r="EN1108" s="17" t="str">
        <f>mobileUnitsTotal</f>
        <v>#ERROR!</v>
      </c>
      <c r="EO1108" s="17" t="str">
        <f>mobileUnitsTotal</f>
        <v>#ERROR!</v>
      </c>
      <c r="EP1108" s="17" t="str">
        <f>mobileUnitsTotal</f>
        <v>#ERROR!</v>
      </c>
      <c r="EQ1108" s="17" t="str">
        <f>mobileUnitsTotal</f>
        <v>#ERROR!</v>
      </c>
      <c r="ER1108" s="18" t="str">
        <f>mobileUnitsTotal</f>
        <v>#ERROR!</v>
      </c>
      <c r="ES1108" s="17" t="str">
        <f>mobileUnitsTotal</f>
        <v>#ERROR!</v>
      </c>
      <c r="ET1108" s="17" t="str">
        <f>mobileUnitsTotal</f>
        <v>#ERROR!</v>
      </c>
      <c r="EU1108" s="17" t="str">
        <f>mobileUnitsTotal</f>
        <v>#ERROR!</v>
      </c>
      <c r="EV1108" s="17" t="str">
        <f>mobileUnitsTotal</f>
        <v>#ERROR!</v>
      </c>
      <c r="EW1108" s="18" t="str">
        <f>mobileUnitsTotal</f>
        <v>#ERROR!</v>
      </c>
      <c r="EX1108" s="17" t="str">
        <f>mobileUnitsTotal</f>
        <v>#ERROR!</v>
      </c>
      <c r="EY1108" s="17" t="str">
        <f>mobileUnitsTotal</f>
        <v>#ERROR!</v>
      </c>
      <c r="EZ1108" s="17" t="str">
        <f>mobileUnitsTotal</f>
        <v>#ERROR!</v>
      </c>
      <c r="FA1108" s="17" t="str">
        <f>mobileUnitsTotal</f>
        <v>#ERROR!</v>
      </c>
      <c r="FB1108" s="18" t="str">
        <f>mobileUnitsTotal</f>
        <v>#ERROR!</v>
      </c>
      <c r="FC1108" s="17" t="str">
        <f>mobileUnitsTotal</f>
        <v>#ERROR!</v>
      </c>
      <c r="FD1108" s="17" t="str">
        <f>mobileUnitsTotal</f>
        <v>#ERROR!</v>
      </c>
      <c r="FE1108" s="17" t="str">
        <f>mobileUnitsTotal</f>
        <v>#ERROR!</v>
      </c>
      <c r="FF1108" s="17" t="str">
        <f>mobileUnitsTotal</f>
        <v>#ERROR!</v>
      </c>
      <c r="FG1108" s="18" t="str">
        <f>mobileUnitsTotal</f>
        <v>#ERROR!</v>
      </c>
      <c r="FH1108" s="74"/>
      <c r="FI1108" s="17"/>
      <c r="FJ1108" s="17"/>
      <c r="FK1108" s="73"/>
      <c r="FL1108" s="17"/>
    </row>
    <row r="1109" ht="12.75" hidden="1" customHeight="1" outlineLevel="1">
      <c r="A1109" s="4"/>
      <c r="B1109" s="4" t="s">
        <v>406</v>
      </c>
      <c r="C1109" s="4"/>
      <c r="D1109" s="17"/>
      <c r="E1109" s="17"/>
      <c r="F1109" s="17"/>
      <c r="G1109" s="17"/>
      <c r="H1109" s="73"/>
      <c r="I1109" s="17" t="e">
        <v>#REF!</v>
      </c>
      <c r="J1109" s="17" t="e">
        <v>#REF!</v>
      </c>
      <c r="K1109" s="17" t="e">
        <v>#REF!</v>
      </c>
      <c r="L1109" s="17" t="e">
        <v>#REF!</v>
      </c>
      <c r="M1109" s="73" t="e">
        <v>#REF!</v>
      </c>
      <c r="N1109" s="17" t="e">
        <v>#REF!</v>
      </c>
      <c r="O1109" s="17" t="e">
        <v>#REF!</v>
      </c>
      <c r="P1109" s="17" t="e">
        <v>#REF!</v>
      </c>
      <c r="Q1109" s="17" t="e">
        <v>#REF!</v>
      </c>
      <c r="R1109" s="73" t="e">
        <v>#REF!</v>
      </c>
      <c r="S1109" s="17" t="e">
        <v>#REF!</v>
      </c>
      <c r="T1109" s="17" t="e">
        <v>#REF!</v>
      </c>
      <c r="U1109" s="17" t="e">
        <v>#REF!</v>
      </c>
      <c r="V1109" s="17" t="e">
        <v>#REF!</v>
      </c>
      <c r="W1109" s="73" t="e">
        <v>#REF!</v>
      </c>
      <c r="X1109" s="17" t="e">
        <v>#REF!</v>
      </c>
      <c r="Y1109" s="17" t="e">
        <v>#REF!</v>
      </c>
      <c r="Z1109" s="17" t="e">
        <v>#REF!</v>
      </c>
      <c r="AA1109" s="17" t="e">
        <v>#REF!</v>
      </c>
      <c r="AB1109" s="73" t="e">
        <v>#REF!</v>
      </c>
      <c r="AC1109" s="17" t="e">
        <v>#REF!</v>
      </c>
      <c r="AD1109" s="17" t="e">
        <v>#REF!</v>
      </c>
      <c r="AE1109" s="17" t="e">
        <v>#REF!</v>
      </c>
      <c r="AF1109" s="17" t="e">
        <v>#REF!</v>
      </c>
      <c r="AG1109" s="73" t="e">
        <v>#REF!</v>
      </c>
      <c r="AH1109" s="17" t="e">
        <v>#REF!</v>
      </c>
      <c r="AI1109" s="17" t="e">
        <v>#REF!</v>
      </c>
      <c r="AJ1109" s="17" t="e">
        <v>#REF!</v>
      </c>
      <c r="AK1109" s="17" t="e">
        <v>#REF!</v>
      </c>
      <c r="AL1109" s="73" t="e">
        <v>#REF!</v>
      </c>
      <c r="AM1109" s="17" t="e">
        <v>#REF!</v>
      </c>
      <c r="AN1109" s="17" t="e">
        <v>#REF!</v>
      </c>
      <c r="AO1109" s="17" t="e">
        <v>#REF!</v>
      </c>
      <c r="AP1109" s="17" t="e">
        <v>#REF!</v>
      </c>
      <c r="AQ1109" s="73" t="e">
        <v>#REF!</v>
      </c>
      <c r="AR1109" s="17" t="e">
        <v>#REF!</v>
      </c>
      <c r="AS1109" s="17" t="e">
        <v>#REF!</v>
      </c>
      <c r="AT1109" s="17" t="e">
        <v>#REF!</v>
      </c>
      <c r="AU1109" s="17" t="e">
        <v>#REF!</v>
      </c>
      <c r="AV1109" s="73" t="e">
        <v>#REF!</v>
      </c>
      <c r="AW1109" s="17" t="e">
        <v>#REF!</v>
      </c>
      <c r="AX1109" s="17" t="e">
        <v>#REF!</v>
      </c>
      <c r="AY1109" s="17" t="e">
        <v>#REF!</v>
      </c>
      <c r="AZ1109" s="17" t="e">
        <v>#REF!</v>
      </c>
      <c r="BA1109" s="73" t="e">
        <v>#REF!</v>
      </c>
      <c r="BB1109" s="17" t="e">
        <v>#REF!</v>
      </c>
      <c r="BC1109" s="17" t="e">
        <v>#REF!</v>
      </c>
      <c r="BD1109" s="17" t="e">
        <v>#REF!</v>
      </c>
      <c r="BE1109" s="17" t="e">
        <v>#REF!</v>
      </c>
      <c r="BF1109" s="73" t="e">
        <v>#REF!</v>
      </c>
      <c r="BG1109" s="17" t="e">
        <v>#REF!</v>
      </c>
      <c r="BH1109" s="17" t="e">
        <v>#REF!</v>
      </c>
      <c r="BI1109" s="17" t="e">
        <v>#REF!</v>
      </c>
      <c r="BJ1109" s="17" t="e">
        <v>#REF!</v>
      </c>
      <c r="BK1109" s="73" t="e">
        <v>#REF!</v>
      </c>
      <c r="BL1109" s="17" t="e">
        <v>#REF!</v>
      </c>
      <c r="BM1109" s="17" t="e">
        <v>#REF!</v>
      </c>
      <c r="BN1109" s="17" t="e">
        <v>#REF!</v>
      </c>
      <c r="BO1109" s="17" t="e">
        <v>#REF!</v>
      </c>
      <c r="BP1109" s="73" t="e">
        <v>#REF!</v>
      </c>
      <c r="BQ1109" s="17" t="e">
        <v>#REF!</v>
      </c>
      <c r="BR1109" s="17" t="e">
        <v>#REF!</v>
      </c>
      <c r="BS1109" s="17" t="e">
        <v>#REF!</v>
      </c>
      <c r="BT1109" s="17" t="e">
        <v>#REF!</v>
      </c>
      <c r="BU1109" s="73" t="e">
        <v>#REF!</v>
      </c>
      <c r="BV1109" s="17" t="e">
        <v>#REF!</v>
      </c>
      <c r="BW1109" s="17" t="e">
        <v>#REF!</v>
      </c>
      <c r="BX1109" s="17" t="e">
        <v>#REF!</v>
      </c>
      <c r="BY1109" s="17" t="e">
        <v>#REF!</v>
      </c>
      <c r="BZ1109" s="18" t="e">
        <v>#REF!</v>
      </c>
      <c r="CA1109" s="17" t="e">
        <v>#REF!</v>
      </c>
      <c r="CB1109" s="17" t="e">
        <v>#REF!</v>
      </c>
      <c r="CC1109" s="17" t="e">
        <v>#REF!</v>
      </c>
      <c r="CD1109" s="17" t="e">
        <v>#REF!</v>
      </c>
      <c r="CE1109" s="18" t="e">
        <v>#REF!</v>
      </c>
      <c r="CF1109" s="17" t="e">
        <v>#REF!</v>
      </c>
      <c r="CG1109" s="17" t="e">
        <v>#REF!</v>
      </c>
      <c r="CH1109" s="17" t="e">
        <v>#REF!</v>
      </c>
      <c r="CI1109" s="17" t="e">
        <v>#REF!</v>
      </c>
      <c r="CJ1109" s="18" t="e">
        <v>#REF!</v>
      </c>
      <c r="CK1109" s="17" t="e">
        <v>#REF!</v>
      </c>
      <c r="CL1109" s="17" t="e">
        <v>#REF!</v>
      </c>
      <c r="CM1109" s="17" t="e">
        <v>#REF!</v>
      </c>
      <c r="CN1109" s="19" t="e">
        <v>#REF!</v>
      </c>
      <c r="CO1109" s="18" t="e">
        <v>#REF!</v>
      </c>
      <c r="CP1109" s="19" t="e">
        <v>#REF!</v>
      </c>
      <c r="CQ1109" s="17" t="e">
        <v>#REF!</v>
      </c>
      <c r="CR1109" s="17" t="e">
        <v>#REF!</v>
      </c>
      <c r="CS1109" s="17" t="e">
        <v>#REF!</v>
      </c>
      <c r="CT1109" s="18" t="e">
        <v>#REF!</v>
      </c>
      <c r="CU1109" s="17" t="e">
        <v>#REF!</v>
      </c>
      <c r="CV1109" s="17" t="e">
        <v>#REF!</v>
      </c>
      <c r="CW1109" s="17" t="e">
        <v>#REF!</v>
      </c>
      <c r="CX1109" s="17" t="e">
        <v>#REF!</v>
      </c>
      <c r="CY1109" s="18" t="e">
        <v>#REF!</v>
      </c>
      <c r="CZ1109" s="17" t="e">
        <v>#REF!</v>
      </c>
      <c r="DA1109" s="17" t="e">
        <v>#REF!</v>
      </c>
      <c r="DB1109" s="17" t="e">
        <v>#REF!</v>
      </c>
      <c r="DC1109" s="17" t="e">
        <v>#REF!</v>
      </c>
      <c r="DD1109" s="18" t="e">
        <v>#REF!</v>
      </c>
      <c r="DE1109" s="17" t="e">
        <v>#REF!</v>
      </c>
      <c r="DF1109" s="17" t="e">
        <v>#REF!</v>
      </c>
      <c r="DG1109" s="19" t="e">
        <v>#REF!</v>
      </c>
      <c r="DH1109" s="17" t="e">
        <v>#REF!</v>
      </c>
      <c r="DI1109" s="18" t="e">
        <v>#REF!</v>
      </c>
      <c r="DJ1109" s="19" t="e">
        <v>#REF!</v>
      </c>
      <c r="DK1109" s="19" t="e">
        <v>#REF!</v>
      </c>
      <c r="DL1109" s="19" t="e">
        <v>#REF!</v>
      </c>
      <c r="DM1109" s="17" t="e">
        <v>#REF!</v>
      </c>
      <c r="DN1109" s="18" t="e">
        <v>#REF!</v>
      </c>
      <c r="DO1109" s="17" t="e">
        <v>#REF!</v>
      </c>
      <c r="DP1109" s="17" t="e">
        <v>#REF!</v>
      </c>
      <c r="DQ1109" s="17" t="e">
        <v>#REF!</v>
      </c>
      <c r="DR1109" s="17" t="e">
        <v>#REF!</v>
      </c>
      <c r="DS1109" s="18" t="e">
        <v>#REF!</v>
      </c>
      <c r="DT1109" s="17" t="e">
        <v>#REF!</v>
      </c>
      <c r="DU1109" s="17" t="e">
        <v>#REF!</v>
      </c>
      <c r="DV1109" s="17" t="e">
        <v>#REF!</v>
      </c>
      <c r="DW1109" s="17" t="e">
        <v>#REF!</v>
      </c>
      <c r="DX1109" s="18" t="e">
        <v>#REF!</v>
      </c>
      <c r="DY1109" s="17" t="e">
        <v>#REF!</v>
      </c>
      <c r="DZ1109" s="17" t="e">
        <v>#REF!</v>
      </c>
      <c r="EA1109" s="17" t="e">
        <v>#REF!</v>
      </c>
      <c r="EB1109" s="17" t="e">
        <v>#REF!</v>
      </c>
      <c r="EC1109" s="18" t="e">
        <v>#REF!</v>
      </c>
      <c r="ED1109" s="17" t="e">
        <v>#REF!</v>
      </c>
      <c r="EE1109" s="17" t="e">
        <v>#REF!</v>
      </c>
      <c r="EF1109" s="17" t="e">
        <v>#REF!</v>
      </c>
      <c r="EG1109" s="17" t="e">
        <v>#REF!</v>
      </c>
      <c r="EH1109" s="18" t="e">
        <v>#REF!</v>
      </c>
      <c r="EI1109" s="25" t="e">
        <v>#REF!</v>
      </c>
      <c r="EJ1109" s="17" t="e">
        <v>#REF!</v>
      </c>
      <c r="EK1109" s="17" t="e">
        <v>#REF!</v>
      </c>
      <c r="EL1109" s="17" t="e">
        <v>#REF!</v>
      </c>
      <c r="EM1109" s="18" t="e">
        <v>#REF!</v>
      </c>
      <c r="EN1109" s="17" t="e">
        <v>#REF!</v>
      </c>
      <c r="EO1109" s="17" t="e">
        <v>#REF!</v>
      </c>
      <c r="EP1109" s="17" t="e">
        <v>#REF!</v>
      </c>
      <c r="EQ1109" s="17" t="e">
        <v>#REF!</v>
      </c>
      <c r="ER1109" s="18" t="e">
        <v>#REF!</v>
      </c>
      <c r="ES1109" s="17" t="e">
        <v>#REF!</v>
      </c>
      <c r="ET1109" s="17" t="e">
        <v>#REF!</v>
      </c>
      <c r="EU1109" s="17" t="e">
        <v>#REF!</v>
      </c>
      <c r="EV1109" s="17" t="e">
        <v>#REF!</v>
      </c>
      <c r="EW1109" s="18" t="e">
        <v>#REF!</v>
      </c>
      <c r="EX1109" s="17" t="e">
        <v>#REF!</v>
      </c>
      <c r="EY1109" s="17" t="e">
        <v>#REF!</v>
      </c>
      <c r="EZ1109" s="17" t="e">
        <v>#REF!</v>
      </c>
      <c r="FA1109" s="17" t="e">
        <v>#REF!</v>
      </c>
      <c r="FB1109" s="18" t="e">
        <v>#REF!</v>
      </c>
      <c r="FC1109" s="17" t="e">
        <v>#REF!</v>
      </c>
      <c r="FD1109" s="17" t="e">
        <v>#REF!</v>
      </c>
      <c r="FE1109" s="17" t="e">
        <v>#REF!</v>
      </c>
      <c r="FF1109" s="17" t="e">
        <v>#REF!</v>
      </c>
      <c r="FG1109" s="18" t="e">
        <v>#REF!</v>
      </c>
      <c r="FH1109" s="74"/>
      <c r="FI1109" s="17"/>
      <c r="FJ1109" s="17"/>
      <c r="FK1109" s="73"/>
      <c r="FL1109" s="17"/>
    </row>
    <row r="1110" ht="13.5" hidden="1" customHeight="1" outlineLevel="1">
      <c r="A1110" s="4"/>
      <c r="B1110" s="529" t="s">
        <v>291</v>
      </c>
      <c r="C1110" s="529"/>
      <c r="D1110" s="164"/>
      <c r="E1110" s="164"/>
      <c r="F1110" s="164"/>
      <c r="G1110" s="164"/>
      <c r="H1110" s="166"/>
      <c r="I1110" s="164" t="str">
        <f t="shared" ref="I1110:FG1110" si="5521">SUM(I1108,I1109)</f>
        <v>#ERROR!</v>
      </c>
      <c r="J1110" s="164" t="str">
        <f t="shared" si="5521"/>
        <v>#ERROR!</v>
      </c>
      <c r="K1110" s="164" t="str">
        <f t="shared" si="5521"/>
        <v>#ERROR!</v>
      </c>
      <c r="L1110" s="164" t="str">
        <f t="shared" si="5521"/>
        <v>#ERROR!</v>
      </c>
      <c r="M1110" s="166" t="str">
        <f t="shared" si="5521"/>
        <v>#ERROR!</v>
      </c>
      <c r="N1110" s="164" t="str">
        <f t="shared" si="5521"/>
        <v>#ERROR!</v>
      </c>
      <c r="O1110" s="164" t="str">
        <f t="shared" si="5521"/>
        <v>#ERROR!</v>
      </c>
      <c r="P1110" s="164" t="str">
        <f t="shared" si="5521"/>
        <v>#ERROR!</v>
      </c>
      <c r="Q1110" s="164" t="str">
        <f t="shared" si="5521"/>
        <v>#ERROR!</v>
      </c>
      <c r="R1110" s="166" t="str">
        <f t="shared" si="5521"/>
        <v>#ERROR!</v>
      </c>
      <c r="S1110" s="164" t="str">
        <f t="shared" si="5521"/>
        <v>#ERROR!</v>
      </c>
      <c r="T1110" s="164" t="str">
        <f t="shared" si="5521"/>
        <v>#ERROR!</v>
      </c>
      <c r="U1110" s="164" t="str">
        <f t="shared" si="5521"/>
        <v>#ERROR!</v>
      </c>
      <c r="V1110" s="164" t="str">
        <f t="shared" si="5521"/>
        <v>#ERROR!</v>
      </c>
      <c r="W1110" s="166" t="str">
        <f t="shared" si="5521"/>
        <v>#ERROR!</v>
      </c>
      <c r="X1110" s="164" t="str">
        <f t="shared" si="5521"/>
        <v>#ERROR!</v>
      </c>
      <c r="Y1110" s="164" t="str">
        <f t="shared" si="5521"/>
        <v>#ERROR!</v>
      </c>
      <c r="Z1110" s="164" t="str">
        <f t="shared" si="5521"/>
        <v>#ERROR!</v>
      </c>
      <c r="AA1110" s="164" t="str">
        <f t="shared" si="5521"/>
        <v>#ERROR!</v>
      </c>
      <c r="AB1110" s="166" t="str">
        <f t="shared" si="5521"/>
        <v>#ERROR!</v>
      </c>
      <c r="AC1110" s="164" t="str">
        <f t="shared" si="5521"/>
        <v>#ERROR!</v>
      </c>
      <c r="AD1110" s="164" t="str">
        <f t="shared" si="5521"/>
        <v>#ERROR!</v>
      </c>
      <c r="AE1110" s="164" t="str">
        <f t="shared" si="5521"/>
        <v>#ERROR!</v>
      </c>
      <c r="AF1110" s="164" t="str">
        <f t="shared" si="5521"/>
        <v>#ERROR!</v>
      </c>
      <c r="AG1110" s="166" t="str">
        <f t="shared" si="5521"/>
        <v>#ERROR!</v>
      </c>
      <c r="AH1110" s="164" t="str">
        <f t="shared" si="5521"/>
        <v>#ERROR!</v>
      </c>
      <c r="AI1110" s="164" t="str">
        <f t="shared" si="5521"/>
        <v>#ERROR!</v>
      </c>
      <c r="AJ1110" s="164" t="str">
        <f t="shared" si="5521"/>
        <v>#ERROR!</v>
      </c>
      <c r="AK1110" s="164" t="str">
        <f t="shared" si="5521"/>
        <v>#ERROR!</v>
      </c>
      <c r="AL1110" s="166" t="str">
        <f t="shared" si="5521"/>
        <v>#ERROR!</v>
      </c>
      <c r="AM1110" s="164" t="str">
        <f t="shared" si="5521"/>
        <v>#ERROR!</v>
      </c>
      <c r="AN1110" s="164" t="str">
        <f t="shared" si="5521"/>
        <v>#ERROR!</v>
      </c>
      <c r="AO1110" s="164" t="str">
        <f t="shared" si="5521"/>
        <v>#ERROR!</v>
      </c>
      <c r="AP1110" s="164" t="str">
        <f t="shared" si="5521"/>
        <v>#ERROR!</v>
      </c>
      <c r="AQ1110" s="166" t="str">
        <f t="shared" si="5521"/>
        <v>#ERROR!</v>
      </c>
      <c r="AR1110" s="164" t="str">
        <f t="shared" si="5521"/>
        <v>#ERROR!</v>
      </c>
      <c r="AS1110" s="164" t="str">
        <f t="shared" si="5521"/>
        <v>#ERROR!</v>
      </c>
      <c r="AT1110" s="164" t="str">
        <f t="shared" si="5521"/>
        <v>#ERROR!</v>
      </c>
      <c r="AU1110" s="164" t="str">
        <f t="shared" si="5521"/>
        <v>#ERROR!</v>
      </c>
      <c r="AV1110" s="166" t="str">
        <f t="shared" si="5521"/>
        <v>#ERROR!</v>
      </c>
      <c r="AW1110" s="164" t="str">
        <f t="shared" si="5521"/>
        <v>#ERROR!</v>
      </c>
      <c r="AX1110" s="164" t="str">
        <f t="shared" si="5521"/>
        <v>#ERROR!</v>
      </c>
      <c r="AY1110" s="164" t="str">
        <f t="shared" si="5521"/>
        <v>#ERROR!</v>
      </c>
      <c r="AZ1110" s="164" t="str">
        <f t="shared" si="5521"/>
        <v>#ERROR!</v>
      </c>
      <c r="BA1110" s="166" t="str">
        <f t="shared" si="5521"/>
        <v>#ERROR!</v>
      </c>
      <c r="BB1110" s="164" t="str">
        <f t="shared" si="5521"/>
        <v>#ERROR!</v>
      </c>
      <c r="BC1110" s="164" t="str">
        <f t="shared" si="5521"/>
        <v>#ERROR!</v>
      </c>
      <c r="BD1110" s="164" t="str">
        <f t="shared" si="5521"/>
        <v>#ERROR!</v>
      </c>
      <c r="BE1110" s="164" t="str">
        <f t="shared" si="5521"/>
        <v>#ERROR!</v>
      </c>
      <c r="BF1110" s="166" t="str">
        <f t="shared" si="5521"/>
        <v>#ERROR!</v>
      </c>
      <c r="BG1110" s="164" t="str">
        <f t="shared" si="5521"/>
        <v>#ERROR!</v>
      </c>
      <c r="BH1110" s="164" t="str">
        <f t="shared" si="5521"/>
        <v>#ERROR!</v>
      </c>
      <c r="BI1110" s="164" t="str">
        <f t="shared" si="5521"/>
        <v>#ERROR!</v>
      </c>
      <c r="BJ1110" s="164" t="str">
        <f t="shared" si="5521"/>
        <v>#ERROR!</v>
      </c>
      <c r="BK1110" s="166" t="str">
        <f t="shared" si="5521"/>
        <v>#ERROR!</v>
      </c>
      <c r="BL1110" s="164" t="str">
        <f t="shared" si="5521"/>
        <v>#ERROR!</v>
      </c>
      <c r="BM1110" s="164" t="str">
        <f t="shared" si="5521"/>
        <v>#ERROR!</v>
      </c>
      <c r="BN1110" s="164" t="str">
        <f t="shared" si="5521"/>
        <v>#ERROR!</v>
      </c>
      <c r="BO1110" s="164" t="str">
        <f t="shared" si="5521"/>
        <v>#ERROR!</v>
      </c>
      <c r="BP1110" s="166" t="str">
        <f t="shared" si="5521"/>
        <v>#ERROR!</v>
      </c>
      <c r="BQ1110" s="164" t="str">
        <f t="shared" si="5521"/>
        <v>#ERROR!</v>
      </c>
      <c r="BR1110" s="164" t="str">
        <f t="shared" si="5521"/>
        <v>#ERROR!</v>
      </c>
      <c r="BS1110" s="164" t="str">
        <f t="shared" si="5521"/>
        <v>#ERROR!</v>
      </c>
      <c r="BT1110" s="164" t="str">
        <f t="shared" si="5521"/>
        <v>#ERROR!</v>
      </c>
      <c r="BU1110" s="166" t="str">
        <f t="shared" si="5521"/>
        <v>#ERROR!</v>
      </c>
      <c r="BV1110" s="164" t="str">
        <f t="shared" si="5521"/>
        <v>#ERROR!</v>
      </c>
      <c r="BW1110" s="164" t="str">
        <f t="shared" si="5521"/>
        <v>#ERROR!</v>
      </c>
      <c r="BX1110" s="164" t="str">
        <f t="shared" si="5521"/>
        <v>#ERROR!</v>
      </c>
      <c r="BY1110" s="164" t="str">
        <f t="shared" si="5521"/>
        <v>#ERROR!</v>
      </c>
      <c r="BZ1110" s="168" t="str">
        <f t="shared" si="5521"/>
        <v>#ERROR!</v>
      </c>
      <c r="CA1110" s="164" t="str">
        <f t="shared" si="5521"/>
        <v>#ERROR!</v>
      </c>
      <c r="CB1110" s="164" t="str">
        <f t="shared" si="5521"/>
        <v>#ERROR!</v>
      </c>
      <c r="CC1110" s="164" t="str">
        <f t="shared" si="5521"/>
        <v>#ERROR!</v>
      </c>
      <c r="CD1110" s="164" t="str">
        <f t="shared" si="5521"/>
        <v>#ERROR!</v>
      </c>
      <c r="CE1110" s="168" t="str">
        <f t="shared" si="5521"/>
        <v>#ERROR!</v>
      </c>
      <c r="CF1110" s="164" t="str">
        <f t="shared" si="5521"/>
        <v>#ERROR!</v>
      </c>
      <c r="CG1110" s="164" t="str">
        <f t="shared" si="5521"/>
        <v>#ERROR!</v>
      </c>
      <c r="CH1110" s="164" t="str">
        <f t="shared" si="5521"/>
        <v>#ERROR!</v>
      </c>
      <c r="CI1110" s="164" t="str">
        <f t="shared" si="5521"/>
        <v>#ERROR!</v>
      </c>
      <c r="CJ1110" s="168" t="str">
        <f t="shared" si="5521"/>
        <v>#ERROR!</v>
      </c>
      <c r="CK1110" s="164" t="str">
        <f t="shared" si="5521"/>
        <v>#ERROR!</v>
      </c>
      <c r="CL1110" s="164" t="str">
        <f t="shared" si="5521"/>
        <v>#ERROR!</v>
      </c>
      <c r="CM1110" s="164" t="str">
        <f t="shared" si="5521"/>
        <v>#ERROR!</v>
      </c>
      <c r="CN1110" s="583" t="str">
        <f t="shared" si="5521"/>
        <v>#ERROR!</v>
      </c>
      <c r="CO1110" s="168" t="str">
        <f t="shared" si="5521"/>
        <v>#ERROR!</v>
      </c>
      <c r="CP1110" s="583" t="str">
        <f t="shared" si="5521"/>
        <v>#ERROR!</v>
      </c>
      <c r="CQ1110" s="164" t="str">
        <f t="shared" si="5521"/>
        <v>#ERROR!</v>
      </c>
      <c r="CR1110" s="164" t="str">
        <f t="shared" si="5521"/>
        <v>#ERROR!</v>
      </c>
      <c r="CS1110" s="164" t="str">
        <f t="shared" si="5521"/>
        <v>#ERROR!</v>
      </c>
      <c r="CT1110" s="168" t="str">
        <f t="shared" si="5521"/>
        <v>#ERROR!</v>
      </c>
      <c r="CU1110" s="164" t="str">
        <f t="shared" si="5521"/>
        <v>#ERROR!</v>
      </c>
      <c r="CV1110" s="164" t="str">
        <f t="shared" si="5521"/>
        <v>#ERROR!</v>
      </c>
      <c r="CW1110" s="164" t="str">
        <f t="shared" si="5521"/>
        <v>#ERROR!</v>
      </c>
      <c r="CX1110" s="164" t="str">
        <f t="shared" si="5521"/>
        <v>#ERROR!</v>
      </c>
      <c r="CY1110" s="168" t="str">
        <f t="shared" si="5521"/>
        <v>#ERROR!</v>
      </c>
      <c r="CZ1110" s="164" t="str">
        <f t="shared" si="5521"/>
        <v>#ERROR!</v>
      </c>
      <c r="DA1110" s="164" t="str">
        <f t="shared" si="5521"/>
        <v>#ERROR!</v>
      </c>
      <c r="DB1110" s="164" t="str">
        <f t="shared" si="5521"/>
        <v>#ERROR!</v>
      </c>
      <c r="DC1110" s="164" t="str">
        <f t="shared" si="5521"/>
        <v>#ERROR!</v>
      </c>
      <c r="DD1110" s="168" t="str">
        <f t="shared" si="5521"/>
        <v>#ERROR!</v>
      </c>
      <c r="DE1110" s="164" t="str">
        <f t="shared" si="5521"/>
        <v>#ERROR!</v>
      </c>
      <c r="DF1110" s="164" t="str">
        <f t="shared" si="5521"/>
        <v>#ERROR!</v>
      </c>
      <c r="DG1110" s="146" t="str">
        <f t="shared" si="5521"/>
        <v>#ERROR!</v>
      </c>
      <c r="DH1110" s="164" t="str">
        <f t="shared" si="5521"/>
        <v>#ERROR!</v>
      </c>
      <c r="DI1110" s="168" t="str">
        <f t="shared" si="5521"/>
        <v>#ERROR!</v>
      </c>
      <c r="DJ1110" s="583" t="str">
        <f t="shared" si="5521"/>
        <v>#ERROR!</v>
      </c>
      <c r="DK1110" s="583" t="str">
        <f t="shared" si="5521"/>
        <v>#ERROR!</v>
      </c>
      <c r="DL1110" s="583" t="str">
        <f t="shared" si="5521"/>
        <v>#ERROR!</v>
      </c>
      <c r="DM1110" s="164" t="str">
        <f t="shared" si="5521"/>
        <v>#ERROR!</v>
      </c>
      <c r="DN1110" s="168" t="str">
        <f t="shared" si="5521"/>
        <v>#ERROR!</v>
      </c>
      <c r="DO1110" s="164" t="str">
        <f t="shared" si="5521"/>
        <v>#ERROR!</v>
      </c>
      <c r="DP1110" s="164" t="str">
        <f t="shared" si="5521"/>
        <v>#ERROR!</v>
      </c>
      <c r="DQ1110" s="164" t="str">
        <f t="shared" si="5521"/>
        <v>#ERROR!</v>
      </c>
      <c r="DR1110" s="164" t="str">
        <f t="shared" si="5521"/>
        <v>#ERROR!</v>
      </c>
      <c r="DS1110" s="168" t="str">
        <f t="shared" si="5521"/>
        <v>#ERROR!</v>
      </c>
      <c r="DT1110" s="164" t="str">
        <f t="shared" si="5521"/>
        <v>#ERROR!</v>
      </c>
      <c r="DU1110" s="164" t="str">
        <f t="shared" si="5521"/>
        <v>#ERROR!</v>
      </c>
      <c r="DV1110" s="164" t="str">
        <f t="shared" si="5521"/>
        <v>#ERROR!</v>
      </c>
      <c r="DW1110" s="164" t="str">
        <f t="shared" si="5521"/>
        <v>#ERROR!</v>
      </c>
      <c r="DX1110" s="168" t="str">
        <f t="shared" si="5521"/>
        <v>#ERROR!</v>
      </c>
      <c r="DY1110" s="164" t="str">
        <f t="shared" si="5521"/>
        <v>#ERROR!</v>
      </c>
      <c r="DZ1110" s="164" t="str">
        <f t="shared" si="5521"/>
        <v>#ERROR!</v>
      </c>
      <c r="EA1110" s="164" t="str">
        <f t="shared" si="5521"/>
        <v>#ERROR!</v>
      </c>
      <c r="EB1110" s="164" t="str">
        <f t="shared" si="5521"/>
        <v>#ERROR!</v>
      </c>
      <c r="EC1110" s="168" t="str">
        <f t="shared" si="5521"/>
        <v>#ERROR!</v>
      </c>
      <c r="ED1110" s="164" t="str">
        <f t="shared" si="5521"/>
        <v>#ERROR!</v>
      </c>
      <c r="EE1110" s="164" t="str">
        <f t="shared" si="5521"/>
        <v>#ERROR!</v>
      </c>
      <c r="EF1110" s="164" t="str">
        <f t="shared" si="5521"/>
        <v>#ERROR!</v>
      </c>
      <c r="EG1110" s="164" t="str">
        <f t="shared" si="5521"/>
        <v>#ERROR!</v>
      </c>
      <c r="EH1110" s="168" t="str">
        <f t="shared" si="5521"/>
        <v>#ERROR!</v>
      </c>
      <c r="EI1110" s="584" t="str">
        <f t="shared" si="5521"/>
        <v>#ERROR!</v>
      </c>
      <c r="EJ1110" s="164" t="str">
        <f t="shared" si="5521"/>
        <v>#ERROR!</v>
      </c>
      <c r="EK1110" s="164" t="str">
        <f t="shared" si="5521"/>
        <v>#ERROR!</v>
      </c>
      <c r="EL1110" s="164" t="str">
        <f t="shared" si="5521"/>
        <v>#ERROR!</v>
      </c>
      <c r="EM1110" s="168" t="str">
        <f t="shared" si="5521"/>
        <v>#ERROR!</v>
      </c>
      <c r="EN1110" s="164" t="str">
        <f t="shared" si="5521"/>
        <v>#ERROR!</v>
      </c>
      <c r="EO1110" s="164" t="str">
        <f t="shared" si="5521"/>
        <v>#ERROR!</v>
      </c>
      <c r="EP1110" s="164" t="str">
        <f t="shared" si="5521"/>
        <v>#ERROR!</v>
      </c>
      <c r="EQ1110" s="164" t="str">
        <f t="shared" si="5521"/>
        <v>#ERROR!</v>
      </c>
      <c r="ER1110" s="168" t="str">
        <f t="shared" si="5521"/>
        <v>#ERROR!</v>
      </c>
      <c r="ES1110" s="164" t="str">
        <f t="shared" si="5521"/>
        <v>#ERROR!</v>
      </c>
      <c r="ET1110" s="164" t="str">
        <f t="shared" si="5521"/>
        <v>#ERROR!</v>
      </c>
      <c r="EU1110" s="164" t="str">
        <f t="shared" si="5521"/>
        <v>#ERROR!</v>
      </c>
      <c r="EV1110" s="164" t="str">
        <f t="shared" si="5521"/>
        <v>#ERROR!</v>
      </c>
      <c r="EW1110" s="168" t="str">
        <f t="shared" si="5521"/>
        <v>#ERROR!</v>
      </c>
      <c r="EX1110" s="164" t="str">
        <f t="shared" si="5521"/>
        <v>#ERROR!</v>
      </c>
      <c r="EY1110" s="164" t="str">
        <f t="shared" si="5521"/>
        <v>#ERROR!</v>
      </c>
      <c r="EZ1110" s="164" t="str">
        <f t="shared" si="5521"/>
        <v>#ERROR!</v>
      </c>
      <c r="FA1110" s="164" t="str">
        <f t="shared" si="5521"/>
        <v>#ERROR!</v>
      </c>
      <c r="FB1110" s="168" t="str">
        <f t="shared" si="5521"/>
        <v>#ERROR!</v>
      </c>
      <c r="FC1110" s="164" t="str">
        <f t="shared" si="5521"/>
        <v>#ERROR!</v>
      </c>
      <c r="FD1110" s="164" t="str">
        <f t="shared" si="5521"/>
        <v>#ERROR!</v>
      </c>
      <c r="FE1110" s="164" t="str">
        <f t="shared" si="5521"/>
        <v>#ERROR!</v>
      </c>
      <c r="FF1110" s="164" t="str">
        <f t="shared" si="5521"/>
        <v>#ERROR!</v>
      </c>
      <c r="FG1110" s="168" t="str">
        <f t="shared" si="5521"/>
        <v>#ERROR!</v>
      </c>
      <c r="FH1110" s="167"/>
      <c r="FI1110" s="164"/>
      <c r="FJ1110" s="164"/>
      <c r="FK1110" s="166"/>
      <c r="FL1110" s="164"/>
    </row>
    <row r="1111" ht="13.5" hidden="1" customHeight="1" outlineLevel="2">
      <c r="A1111" s="4"/>
      <c r="B1111" s="4"/>
      <c r="C1111" s="4"/>
      <c r="D1111" s="4"/>
      <c r="E1111" s="4"/>
      <c r="F1111" s="4"/>
      <c r="G1111" s="4"/>
      <c r="H1111" s="410"/>
      <c r="I1111" s="4"/>
      <c r="J1111" s="4"/>
      <c r="K1111" s="4"/>
      <c r="L1111" s="4"/>
      <c r="M1111" s="410"/>
      <c r="N1111" s="4"/>
      <c r="O1111" s="4"/>
      <c r="P1111" s="4"/>
      <c r="Q1111" s="4"/>
      <c r="R1111" s="410"/>
      <c r="S1111" s="4"/>
      <c r="T1111" s="4"/>
      <c r="U1111" s="4"/>
      <c r="V1111" s="4"/>
      <c r="W1111" s="410"/>
      <c r="X1111" s="4"/>
      <c r="Y1111" s="4"/>
      <c r="Z1111" s="4"/>
      <c r="AA1111" s="4"/>
      <c r="AB1111" s="410"/>
      <c r="AC1111" s="4"/>
      <c r="AD1111" s="4"/>
      <c r="AE1111" s="4"/>
      <c r="AF1111" s="4"/>
      <c r="AG1111" s="410"/>
      <c r="AH1111" s="4"/>
      <c r="AI1111" s="4"/>
      <c r="AJ1111" s="4"/>
      <c r="AK1111" s="4"/>
      <c r="AL1111" s="410" t="str">
        <f>AL1110/AG1110-1</f>
        <v>#ERROR!</v>
      </c>
      <c r="AM1111" s="4"/>
      <c r="AN1111" s="4"/>
      <c r="AO1111" s="4"/>
      <c r="AP1111" s="4"/>
      <c r="AQ1111" s="410" t="str">
        <f>AQ1110/AL1110-1</f>
        <v>#ERROR!</v>
      </c>
      <c r="AR1111" s="4"/>
      <c r="AS1111" s="4"/>
      <c r="AT1111" s="4"/>
      <c r="AU1111" s="4"/>
      <c r="AV1111" s="410" t="str">
        <f>AV1110/AQ1110-1</f>
        <v>#ERROR!</v>
      </c>
      <c r="AW1111" s="4"/>
      <c r="AX1111" s="4"/>
      <c r="AY1111" s="4"/>
      <c r="AZ1111" s="4"/>
      <c r="BA1111" s="410" t="str">
        <f>BA1110/AV1110-1</f>
        <v>#ERROR!</v>
      </c>
      <c r="BB1111" s="4"/>
      <c r="BC1111" s="4"/>
      <c r="BD1111" s="4"/>
      <c r="BE1111" s="4"/>
      <c r="BF1111" s="410" t="str">
        <f>BF1110/BA1110-1</f>
        <v>#ERROR!</v>
      </c>
      <c r="BG1111" s="4"/>
      <c r="BH1111" s="4"/>
      <c r="BI1111" s="4"/>
      <c r="BJ1111" s="4"/>
      <c r="BK1111" s="410" t="str">
        <f>BK1110/BF1110-1</f>
        <v>#ERROR!</v>
      </c>
      <c r="BL1111" s="4"/>
      <c r="BM1111" s="4"/>
      <c r="BN1111" s="4"/>
      <c r="BO1111" s="4"/>
      <c r="BP1111" s="410" t="str">
        <f>BP1110/BK1110-1</f>
        <v>#ERROR!</v>
      </c>
      <c r="BQ1111" s="4"/>
      <c r="BR1111" s="4"/>
      <c r="BS1111" s="4"/>
      <c r="BT1111" s="4"/>
      <c r="BU1111" s="410" t="str">
        <f>BU1110/BP1110-1</f>
        <v>#ERROR!</v>
      </c>
      <c r="BV1111" s="4"/>
      <c r="BW1111" s="4"/>
      <c r="BX1111" s="4"/>
      <c r="BY1111" s="4"/>
      <c r="BZ1111" s="24" t="str">
        <f>BZ1110/BU1110-1</f>
        <v>#ERROR!</v>
      </c>
      <c r="CA1111" s="4"/>
      <c r="CB1111" s="4"/>
      <c r="CC1111" s="4"/>
      <c r="CD1111" s="4"/>
      <c r="CE1111" s="24" t="str">
        <f>CE1110/BZ1110-1</f>
        <v>#ERROR!</v>
      </c>
      <c r="CF1111" s="4"/>
      <c r="CG1111" s="4"/>
      <c r="CH1111" s="4"/>
      <c r="CI1111" s="4"/>
      <c r="CJ1111" s="24" t="str">
        <f>CJ1110/CE1110-1</f>
        <v>#ERROR!</v>
      </c>
      <c r="CK1111" s="4"/>
      <c r="CL1111" s="4"/>
      <c r="CM1111" s="4"/>
      <c r="CN1111" s="16"/>
      <c r="CO1111" s="24" t="str">
        <f>CO1110/CJ1110-1</f>
        <v>#ERROR!</v>
      </c>
      <c r="CP1111" s="16"/>
      <c r="CQ1111" s="4"/>
      <c r="CR1111" s="4"/>
      <c r="CS1111" s="4"/>
      <c r="CT1111" s="24" t="str">
        <f>CT1110/CO1110-1</f>
        <v>#ERROR!</v>
      </c>
      <c r="CU1111" s="4"/>
      <c r="CV1111" s="4"/>
      <c r="CW1111" s="4"/>
      <c r="CX1111" s="4"/>
      <c r="CY1111" s="24" t="str">
        <f>CY1110/CT1110-1</f>
        <v>#ERROR!</v>
      </c>
      <c r="CZ1111" s="4"/>
      <c r="DA1111" s="4"/>
      <c r="DB1111" s="4"/>
      <c r="DC1111" s="4"/>
      <c r="DD1111" s="24" t="str">
        <f>DD1110/CY1110-1</f>
        <v>#ERROR!</v>
      </c>
      <c r="DE1111" s="4"/>
      <c r="DF1111" s="4"/>
      <c r="DG1111" s="16"/>
      <c r="DH1111" s="4"/>
      <c r="DI1111" s="24" t="str">
        <f>DI1110/DD1110-1</f>
        <v>#ERROR!</v>
      </c>
      <c r="DJ1111" s="16"/>
      <c r="DK1111" s="16"/>
      <c r="DL1111" s="16"/>
      <c r="DM1111" s="4"/>
      <c r="DN1111" s="24" t="str">
        <f>DN1110/DI1110-1</f>
        <v>#ERROR!</v>
      </c>
      <c r="DO1111" s="4"/>
      <c r="DP1111" s="4"/>
      <c r="DQ1111" s="4"/>
      <c r="DR1111" s="4"/>
      <c r="DS1111" s="24" t="str">
        <f>DS1110/DN1110-1</f>
        <v>#ERROR!</v>
      </c>
      <c r="DT1111" s="4"/>
      <c r="DU1111" s="4"/>
      <c r="DV1111" s="4"/>
      <c r="DW1111" s="4"/>
      <c r="DX1111" s="24" t="str">
        <f>DX1110/DS1110-1</f>
        <v>#ERROR!</v>
      </c>
      <c r="DY1111" s="4"/>
      <c r="DZ1111" s="4"/>
      <c r="EA1111" s="4"/>
      <c r="EB1111" s="4"/>
      <c r="EC1111" s="24" t="str">
        <f>EC1110/DX1110-1</f>
        <v>#ERROR!</v>
      </c>
      <c r="ED1111" s="4"/>
      <c r="EE1111" s="4"/>
      <c r="EF1111" s="4"/>
      <c r="EG1111" s="4"/>
      <c r="EH1111" s="24" t="str">
        <f>EH1110/EC1110-1</f>
        <v>#ERROR!</v>
      </c>
      <c r="EI1111" s="214"/>
      <c r="EJ1111" s="4"/>
      <c r="EK1111" s="4"/>
      <c r="EL1111" s="4"/>
      <c r="EM1111" s="24" t="str">
        <f>EM1110/EH1110-1</f>
        <v>#ERROR!</v>
      </c>
      <c r="EN1111" s="4"/>
      <c r="EO1111" s="4"/>
      <c r="EP1111" s="4"/>
      <c r="EQ1111" s="4"/>
      <c r="ER1111" s="24" t="str">
        <f>ER1110/EM1110-1</f>
        <v>#ERROR!</v>
      </c>
      <c r="ES1111" s="4"/>
      <c r="ET1111" s="4"/>
      <c r="EU1111" s="4"/>
      <c r="EV1111" s="4"/>
      <c r="EW1111" s="24" t="str">
        <f>EW1110/ER1110-1</f>
        <v>#ERROR!</v>
      </c>
      <c r="EX1111" s="4"/>
      <c r="EY1111" s="4"/>
      <c r="EZ1111" s="4"/>
      <c r="FA1111" s="4"/>
      <c r="FB1111" s="24" t="str">
        <f>FB1110/EW1110-1</f>
        <v>#ERROR!</v>
      </c>
      <c r="FC1111" s="4"/>
      <c r="FD1111" s="4"/>
      <c r="FE1111" s="4"/>
      <c r="FF1111" s="4"/>
      <c r="FG1111" s="24" t="str">
        <f>FG1110/FB1110-1</f>
        <v>#ERROR!</v>
      </c>
      <c r="FH1111" s="104"/>
      <c r="FI1111" s="4"/>
      <c r="FJ1111" s="4"/>
      <c r="FK1111" s="410"/>
      <c r="FL1111" s="4"/>
    </row>
    <row r="1112" ht="12.75" hidden="1" customHeight="1" outlineLevel="1">
      <c r="A1112" s="4"/>
      <c r="B1112" s="4"/>
      <c r="C1112" s="4"/>
      <c r="D1112" s="4"/>
      <c r="E1112" s="4"/>
      <c r="F1112" s="4"/>
      <c r="G1112" s="4"/>
      <c r="H1112" s="410"/>
      <c r="I1112" s="4"/>
      <c r="J1112" s="4"/>
      <c r="K1112" s="4"/>
      <c r="L1112" s="4"/>
      <c r="M1112" s="410"/>
      <c r="N1112" s="4"/>
      <c r="O1112" s="4"/>
      <c r="P1112" s="4"/>
      <c r="Q1112" s="4"/>
      <c r="R1112" s="410"/>
      <c r="S1112" s="4"/>
      <c r="T1112" s="4"/>
      <c r="U1112" s="4"/>
      <c r="V1112" s="4"/>
      <c r="W1112" s="410"/>
      <c r="X1112" s="4"/>
      <c r="Y1112" s="4"/>
      <c r="Z1112" s="4"/>
      <c r="AA1112" s="4"/>
      <c r="AB1112" s="410"/>
      <c r="AC1112" s="4"/>
      <c r="AD1112" s="4"/>
      <c r="AE1112" s="4"/>
      <c r="AF1112" s="4"/>
      <c r="AG1112" s="410"/>
      <c r="AH1112" s="4"/>
      <c r="AI1112" s="4"/>
      <c r="AJ1112" s="4"/>
      <c r="AK1112" s="4"/>
      <c r="AL1112" s="410"/>
      <c r="AM1112" s="4"/>
      <c r="AN1112" s="4"/>
      <c r="AO1112" s="4"/>
      <c r="AP1112" s="4"/>
      <c r="AQ1112" s="410"/>
      <c r="AR1112" s="4"/>
      <c r="AS1112" s="4"/>
      <c r="AT1112" s="4"/>
      <c r="AU1112" s="4"/>
      <c r="AV1112" s="410"/>
      <c r="AW1112" s="4"/>
      <c r="AX1112" s="4"/>
      <c r="AY1112" s="4"/>
      <c r="AZ1112" s="4"/>
      <c r="BA1112" s="410"/>
      <c r="BB1112" s="4"/>
      <c r="BC1112" s="4"/>
      <c r="BD1112" s="4"/>
      <c r="BE1112" s="4"/>
      <c r="BF1112" s="410"/>
      <c r="BG1112" s="4"/>
      <c r="BH1112" s="4"/>
      <c r="BI1112" s="4"/>
      <c r="BJ1112" s="4"/>
      <c r="BK1112" s="410"/>
      <c r="BL1112" s="4"/>
      <c r="BM1112" s="4"/>
      <c r="BN1112" s="4"/>
      <c r="BO1112" s="4"/>
      <c r="BP1112" s="410"/>
      <c r="BQ1112" s="4"/>
      <c r="BR1112" s="4"/>
      <c r="BS1112" s="4"/>
      <c r="BT1112" s="4"/>
      <c r="BU1112" s="410"/>
      <c r="BV1112" s="4"/>
      <c r="BW1112" s="4"/>
      <c r="BX1112" s="4"/>
      <c r="BY1112" s="4"/>
      <c r="BZ1112" s="24"/>
      <c r="CA1112" s="4"/>
      <c r="CB1112" s="4"/>
      <c r="CC1112" s="4"/>
      <c r="CD1112" s="4"/>
      <c r="CE1112" s="24"/>
      <c r="CF1112" s="4"/>
      <c r="CG1112" s="4"/>
      <c r="CH1112" s="4"/>
      <c r="CI1112" s="4"/>
      <c r="CJ1112" s="24"/>
      <c r="CK1112" s="4"/>
      <c r="CL1112" s="4"/>
      <c r="CM1112" s="4"/>
      <c r="CN1112" s="16"/>
      <c r="CO1112" s="24"/>
      <c r="CP1112" s="16"/>
      <c r="CQ1112" s="4"/>
      <c r="CR1112" s="4"/>
      <c r="CS1112" s="4"/>
      <c r="CT1112" s="24"/>
      <c r="CU1112" s="4"/>
      <c r="CV1112" s="4"/>
      <c r="CW1112" s="4"/>
      <c r="CX1112" s="4"/>
      <c r="CY1112" s="24"/>
      <c r="CZ1112" s="4"/>
      <c r="DA1112" s="4"/>
      <c r="DB1112" s="4"/>
      <c r="DC1112" s="4"/>
      <c r="DD1112" s="24"/>
      <c r="DE1112" s="4"/>
      <c r="DF1112" s="4"/>
      <c r="DG1112" s="16"/>
      <c r="DH1112" s="4"/>
      <c r="DI1112" s="24"/>
      <c r="DJ1112" s="16"/>
      <c r="DK1112" s="16"/>
      <c r="DL1112" s="16"/>
      <c r="DM1112" s="4"/>
      <c r="DN1112" s="24"/>
      <c r="DO1112" s="4"/>
      <c r="DP1112" s="4"/>
      <c r="DQ1112" s="4"/>
      <c r="DR1112" s="4"/>
      <c r="DS1112" s="24"/>
      <c r="DT1112" s="4"/>
      <c r="DU1112" s="4"/>
      <c r="DV1112" s="4"/>
      <c r="DW1112" s="4"/>
      <c r="DX1112" s="24"/>
      <c r="DY1112" s="4"/>
      <c r="DZ1112" s="4"/>
      <c r="EA1112" s="4"/>
      <c r="EB1112" s="4"/>
      <c r="EC1112" s="24"/>
      <c r="ED1112" s="4"/>
      <c r="EE1112" s="4"/>
      <c r="EF1112" s="4"/>
      <c r="EG1112" s="4"/>
      <c r="EH1112" s="24"/>
      <c r="EI1112" s="214"/>
      <c r="EJ1112" s="4"/>
      <c r="EK1112" s="4"/>
      <c r="EL1112" s="4"/>
      <c r="EM1112" s="24"/>
      <c r="EN1112" s="4"/>
      <c r="EO1112" s="4"/>
      <c r="EP1112" s="4"/>
      <c r="EQ1112" s="4"/>
      <c r="ER1112" s="24"/>
      <c r="ES1112" s="4"/>
      <c r="ET1112" s="4"/>
      <c r="EU1112" s="4"/>
      <c r="EV1112" s="4"/>
      <c r="EW1112" s="24"/>
      <c r="EX1112" s="4"/>
      <c r="EY1112" s="4"/>
      <c r="EZ1112" s="4"/>
      <c r="FA1112" s="4"/>
      <c r="FB1112" s="24"/>
      <c r="FC1112" s="4"/>
      <c r="FD1112" s="4"/>
      <c r="FE1112" s="4"/>
      <c r="FF1112" s="4"/>
      <c r="FG1112" s="24"/>
      <c r="FH1112" s="104"/>
      <c r="FI1112" s="4"/>
      <c r="FJ1112" s="4"/>
      <c r="FK1112" s="410"/>
      <c r="FL1112" s="4"/>
    </row>
    <row r="1113" ht="12.75" hidden="1" customHeight="1" outlineLevel="1">
      <c r="A1113" s="4"/>
      <c r="B1113" s="45" t="s">
        <v>407</v>
      </c>
      <c r="C1113" s="4"/>
      <c r="D1113" s="4"/>
      <c r="E1113" s="4"/>
      <c r="F1113" s="4"/>
      <c r="G1113" s="4"/>
      <c r="H1113" s="45"/>
      <c r="I1113" s="4"/>
      <c r="J1113" s="4"/>
      <c r="K1113" s="4"/>
      <c r="L1113" s="4"/>
      <c r="M1113" s="45"/>
      <c r="N1113" s="4"/>
      <c r="O1113" s="4"/>
      <c r="P1113" s="4"/>
      <c r="Q1113" s="4"/>
      <c r="R1113" s="45"/>
      <c r="S1113" s="4"/>
      <c r="T1113" s="4"/>
      <c r="U1113" s="4"/>
      <c r="V1113" s="4"/>
      <c r="W1113" s="45"/>
      <c r="X1113" s="4"/>
      <c r="Y1113" s="4"/>
      <c r="Z1113" s="4"/>
      <c r="AA1113" s="4"/>
      <c r="AB1113" s="45"/>
      <c r="AC1113" s="4"/>
      <c r="AD1113" s="4"/>
      <c r="AE1113" s="4"/>
      <c r="AF1113" s="4"/>
      <c r="AG1113" s="45"/>
      <c r="AH1113" s="4"/>
      <c r="AI1113" s="4"/>
      <c r="AJ1113" s="4"/>
      <c r="AK1113" s="4"/>
      <c r="AL1113" s="45"/>
      <c r="AM1113" s="4"/>
      <c r="AN1113" s="4"/>
      <c r="AO1113" s="4"/>
      <c r="AP1113" s="4"/>
      <c r="AQ1113" s="45"/>
      <c r="AR1113" s="4"/>
      <c r="AS1113" s="4"/>
      <c r="AT1113" s="4"/>
      <c r="AU1113" s="4"/>
      <c r="AV1113" s="45"/>
      <c r="AW1113" s="4"/>
      <c r="AX1113" s="4"/>
      <c r="AY1113" s="4"/>
      <c r="AZ1113" s="4"/>
      <c r="BA1113" s="45"/>
      <c r="BB1113" s="4"/>
      <c r="BC1113" s="4"/>
      <c r="BD1113" s="4"/>
      <c r="BE1113" s="4"/>
      <c r="BF1113" s="45"/>
      <c r="BG1113" s="4"/>
      <c r="BH1113" s="4"/>
      <c r="BI1113" s="4"/>
      <c r="BJ1113" s="4"/>
      <c r="BK1113" s="45"/>
      <c r="BL1113" s="4"/>
      <c r="BM1113" s="4"/>
      <c r="BN1113" s="4"/>
      <c r="BO1113" s="4"/>
      <c r="BP1113" s="45"/>
      <c r="BQ1113" s="4"/>
      <c r="BR1113" s="4"/>
      <c r="BS1113" s="4"/>
      <c r="BT1113" s="4"/>
      <c r="BU1113" s="45"/>
      <c r="BV1113" s="4"/>
      <c r="BW1113" s="4"/>
      <c r="BX1113" s="4"/>
      <c r="BY1113" s="4"/>
      <c r="BZ1113" s="350"/>
      <c r="CA1113" s="4"/>
      <c r="CB1113" s="4"/>
      <c r="CC1113" s="4"/>
      <c r="CD1113" s="4"/>
      <c r="CE1113" s="350"/>
      <c r="CF1113" s="4"/>
      <c r="CG1113" s="4"/>
      <c r="CH1113" s="4"/>
      <c r="CI1113" s="4"/>
      <c r="CJ1113" s="350"/>
      <c r="CK1113" s="4"/>
      <c r="CL1113" s="4"/>
      <c r="CM1113" s="4"/>
      <c r="CN1113" s="16"/>
      <c r="CO1113" s="350"/>
      <c r="CP1113" s="16"/>
      <c r="CQ1113" s="4"/>
      <c r="CR1113" s="4"/>
      <c r="CS1113" s="4"/>
      <c r="CT1113" s="350"/>
      <c r="CU1113" s="4"/>
      <c r="CV1113" s="4"/>
      <c r="CW1113" s="4"/>
      <c r="CX1113" s="4"/>
      <c r="CY1113" s="350"/>
      <c r="CZ1113" s="4"/>
      <c r="DA1113" s="4"/>
      <c r="DB1113" s="4"/>
      <c r="DC1113" s="4"/>
      <c r="DD1113" s="350"/>
      <c r="DE1113" s="4"/>
      <c r="DF1113" s="4"/>
      <c r="DG1113" s="16"/>
      <c r="DH1113" s="4"/>
      <c r="DI1113" s="350"/>
      <c r="DJ1113" s="16"/>
      <c r="DK1113" s="16"/>
      <c r="DL1113" s="16"/>
      <c r="DM1113" s="4"/>
      <c r="DN1113" s="350"/>
      <c r="DO1113" s="4"/>
      <c r="DP1113" s="4"/>
      <c r="DQ1113" s="4"/>
      <c r="DR1113" s="4"/>
      <c r="DS1113" s="350"/>
      <c r="DT1113" s="4"/>
      <c r="DU1113" s="4"/>
      <c r="DV1113" s="4"/>
      <c r="DW1113" s="4"/>
      <c r="DX1113" s="350"/>
      <c r="DY1113" s="4"/>
      <c r="DZ1113" s="4"/>
      <c r="EA1113" s="4"/>
      <c r="EB1113" s="4"/>
      <c r="EC1113" s="350"/>
      <c r="ED1113" s="4"/>
      <c r="EE1113" s="4"/>
      <c r="EF1113" s="4"/>
      <c r="EG1113" s="4"/>
      <c r="EH1113" s="350"/>
      <c r="EI1113" s="214"/>
      <c r="EJ1113" s="4"/>
      <c r="EK1113" s="4"/>
      <c r="EL1113" s="4"/>
      <c r="EM1113" s="350"/>
      <c r="EN1113" s="4"/>
      <c r="EO1113" s="4"/>
      <c r="EP1113" s="4"/>
      <c r="EQ1113" s="4"/>
      <c r="ER1113" s="350"/>
      <c r="ES1113" s="4"/>
      <c r="ET1113" s="4"/>
      <c r="EU1113" s="4"/>
      <c r="EV1113" s="4"/>
      <c r="EW1113" s="350"/>
      <c r="EX1113" s="4"/>
      <c r="EY1113" s="4"/>
      <c r="EZ1113" s="4"/>
      <c r="FA1113" s="4"/>
      <c r="FB1113" s="350"/>
      <c r="FC1113" s="4"/>
      <c r="FD1113" s="4"/>
      <c r="FE1113" s="4"/>
      <c r="FF1113" s="4"/>
      <c r="FG1113" s="350"/>
      <c r="FH1113" s="145"/>
      <c r="FI1113" s="4"/>
      <c r="FJ1113" s="4"/>
      <c r="FK1113" s="45"/>
      <c r="FL1113" s="4"/>
    </row>
    <row r="1114" ht="12.75" hidden="1" customHeight="1" outlineLevel="1">
      <c r="A1114" s="4"/>
      <c r="B1114" s="4" t="s">
        <v>408</v>
      </c>
      <c r="C1114" s="4"/>
      <c r="D1114" s="15"/>
      <c r="E1114" s="15"/>
      <c r="F1114" s="15"/>
      <c r="G1114" s="15"/>
      <c r="H1114" s="410"/>
      <c r="I1114" s="15" t="str">
        <f t="shared" ref="I1114:FG1114" si="5522">I1108/I$1110</f>
        <v>#ERROR!</v>
      </c>
      <c r="J1114" s="15" t="str">
        <f t="shared" si="5522"/>
        <v>#ERROR!</v>
      </c>
      <c r="K1114" s="15" t="str">
        <f t="shared" si="5522"/>
        <v>#ERROR!</v>
      </c>
      <c r="L1114" s="15" t="str">
        <f t="shared" si="5522"/>
        <v>#ERROR!</v>
      </c>
      <c r="M1114" s="410" t="str">
        <f t="shared" si="5522"/>
        <v>#ERROR!</v>
      </c>
      <c r="N1114" s="15" t="str">
        <f t="shared" si="5522"/>
        <v>#ERROR!</v>
      </c>
      <c r="O1114" s="15" t="str">
        <f t="shared" si="5522"/>
        <v>#ERROR!</v>
      </c>
      <c r="P1114" s="15" t="str">
        <f t="shared" si="5522"/>
        <v>#ERROR!</v>
      </c>
      <c r="Q1114" s="15" t="str">
        <f t="shared" si="5522"/>
        <v>#ERROR!</v>
      </c>
      <c r="R1114" s="410" t="str">
        <f t="shared" si="5522"/>
        <v>#ERROR!</v>
      </c>
      <c r="S1114" s="15" t="str">
        <f t="shared" si="5522"/>
        <v>#ERROR!</v>
      </c>
      <c r="T1114" s="15" t="str">
        <f t="shared" si="5522"/>
        <v>#ERROR!</v>
      </c>
      <c r="U1114" s="15" t="str">
        <f t="shared" si="5522"/>
        <v>#ERROR!</v>
      </c>
      <c r="V1114" s="15" t="str">
        <f t="shared" si="5522"/>
        <v>#ERROR!</v>
      </c>
      <c r="W1114" s="410" t="str">
        <f t="shared" si="5522"/>
        <v>#ERROR!</v>
      </c>
      <c r="X1114" s="15" t="str">
        <f t="shared" si="5522"/>
        <v>#ERROR!</v>
      </c>
      <c r="Y1114" s="15" t="str">
        <f t="shared" si="5522"/>
        <v>#ERROR!</v>
      </c>
      <c r="Z1114" s="15" t="str">
        <f t="shared" si="5522"/>
        <v>#ERROR!</v>
      </c>
      <c r="AA1114" s="15" t="str">
        <f t="shared" si="5522"/>
        <v>#ERROR!</v>
      </c>
      <c r="AB1114" s="410" t="str">
        <f t="shared" si="5522"/>
        <v>#ERROR!</v>
      </c>
      <c r="AC1114" s="15" t="str">
        <f t="shared" si="5522"/>
        <v>#ERROR!</v>
      </c>
      <c r="AD1114" s="15" t="str">
        <f t="shared" si="5522"/>
        <v>#ERROR!</v>
      </c>
      <c r="AE1114" s="15" t="str">
        <f t="shared" si="5522"/>
        <v>#ERROR!</v>
      </c>
      <c r="AF1114" s="15" t="str">
        <f t="shared" si="5522"/>
        <v>#ERROR!</v>
      </c>
      <c r="AG1114" s="410" t="str">
        <f t="shared" si="5522"/>
        <v>#ERROR!</v>
      </c>
      <c r="AH1114" s="15" t="str">
        <f t="shared" si="5522"/>
        <v>#ERROR!</v>
      </c>
      <c r="AI1114" s="15" t="str">
        <f t="shared" si="5522"/>
        <v>#ERROR!</v>
      </c>
      <c r="AJ1114" s="15" t="str">
        <f t="shared" si="5522"/>
        <v>#ERROR!</v>
      </c>
      <c r="AK1114" s="15" t="str">
        <f t="shared" si="5522"/>
        <v>#ERROR!</v>
      </c>
      <c r="AL1114" s="410" t="str">
        <f t="shared" si="5522"/>
        <v>#ERROR!</v>
      </c>
      <c r="AM1114" s="15" t="str">
        <f t="shared" si="5522"/>
        <v>#ERROR!</v>
      </c>
      <c r="AN1114" s="15" t="str">
        <f t="shared" si="5522"/>
        <v>#ERROR!</v>
      </c>
      <c r="AO1114" s="15" t="str">
        <f t="shared" si="5522"/>
        <v>#ERROR!</v>
      </c>
      <c r="AP1114" s="15" t="str">
        <f t="shared" si="5522"/>
        <v>#ERROR!</v>
      </c>
      <c r="AQ1114" s="410" t="str">
        <f t="shared" si="5522"/>
        <v>#ERROR!</v>
      </c>
      <c r="AR1114" s="15" t="str">
        <f t="shared" si="5522"/>
        <v>#ERROR!</v>
      </c>
      <c r="AS1114" s="15" t="str">
        <f t="shared" si="5522"/>
        <v>#ERROR!</v>
      </c>
      <c r="AT1114" s="15" t="str">
        <f t="shared" si="5522"/>
        <v>#ERROR!</v>
      </c>
      <c r="AU1114" s="15" t="str">
        <f t="shared" si="5522"/>
        <v>#ERROR!</v>
      </c>
      <c r="AV1114" s="410" t="str">
        <f t="shared" si="5522"/>
        <v>#ERROR!</v>
      </c>
      <c r="AW1114" s="15" t="str">
        <f t="shared" si="5522"/>
        <v>#ERROR!</v>
      </c>
      <c r="AX1114" s="15" t="str">
        <f t="shared" si="5522"/>
        <v>#ERROR!</v>
      </c>
      <c r="AY1114" s="15" t="str">
        <f t="shared" si="5522"/>
        <v>#ERROR!</v>
      </c>
      <c r="AZ1114" s="15" t="str">
        <f t="shared" si="5522"/>
        <v>#ERROR!</v>
      </c>
      <c r="BA1114" s="410" t="str">
        <f t="shared" si="5522"/>
        <v>#ERROR!</v>
      </c>
      <c r="BB1114" s="15" t="str">
        <f t="shared" si="5522"/>
        <v>#ERROR!</v>
      </c>
      <c r="BC1114" s="15" t="str">
        <f t="shared" si="5522"/>
        <v>#ERROR!</v>
      </c>
      <c r="BD1114" s="15" t="str">
        <f t="shared" si="5522"/>
        <v>#ERROR!</v>
      </c>
      <c r="BE1114" s="15" t="str">
        <f t="shared" si="5522"/>
        <v>#ERROR!</v>
      </c>
      <c r="BF1114" s="410" t="str">
        <f t="shared" si="5522"/>
        <v>#ERROR!</v>
      </c>
      <c r="BG1114" s="15" t="str">
        <f t="shared" si="5522"/>
        <v>#ERROR!</v>
      </c>
      <c r="BH1114" s="15" t="str">
        <f t="shared" si="5522"/>
        <v>#ERROR!</v>
      </c>
      <c r="BI1114" s="15" t="str">
        <f t="shared" si="5522"/>
        <v>#ERROR!</v>
      </c>
      <c r="BJ1114" s="15" t="str">
        <f t="shared" si="5522"/>
        <v>#ERROR!</v>
      </c>
      <c r="BK1114" s="410" t="str">
        <f t="shared" si="5522"/>
        <v>#ERROR!</v>
      </c>
      <c r="BL1114" s="15" t="str">
        <f t="shared" si="5522"/>
        <v>#ERROR!</v>
      </c>
      <c r="BM1114" s="15" t="str">
        <f t="shared" si="5522"/>
        <v>#ERROR!</v>
      </c>
      <c r="BN1114" s="15" t="str">
        <f t="shared" si="5522"/>
        <v>#ERROR!</v>
      </c>
      <c r="BO1114" s="15" t="str">
        <f t="shared" si="5522"/>
        <v>#ERROR!</v>
      </c>
      <c r="BP1114" s="410" t="str">
        <f t="shared" si="5522"/>
        <v>#ERROR!</v>
      </c>
      <c r="BQ1114" s="15" t="str">
        <f t="shared" si="5522"/>
        <v>#ERROR!</v>
      </c>
      <c r="BR1114" s="15" t="str">
        <f t="shared" si="5522"/>
        <v>#ERROR!</v>
      </c>
      <c r="BS1114" s="15" t="str">
        <f t="shared" si="5522"/>
        <v>#ERROR!</v>
      </c>
      <c r="BT1114" s="15" t="str">
        <f t="shared" si="5522"/>
        <v>#ERROR!</v>
      </c>
      <c r="BU1114" s="410" t="str">
        <f t="shared" si="5522"/>
        <v>#ERROR!</v>
      </c>
      <c r="BV1114" s="15" t="str">
        <f t="shared" si="5522"/>
        <v>#ERROR!</v>
      </c>
      <c r="BW1114" s="15" t="str">
        <f t="shared" si="5522"/>
        <v>#ERROR!</v>
      </c>
      <c r="BX1114" s="15" t="str">
        <f t="shared" si="5522"/>
        <v>#ERROR!</v>
      </c>
      <c r="BY1114" s="15" t="str">
        <f t="shared" si="5522"/>
        <v>#ERROR!</v>
      </c>
      <c r="BZ1114" s="24" t="str">
        <f t="shared" si="5522"/>
        <v>#ERROR!</v>
      </c>
      <c r="CA1114" s="15" t="str">
        <f t="shared" si="5522"/>
        <v>#ERROR!</v>
      </c>
      <c r="CB1114" s="15" t="str">
        <f t="shared" si="5522"/>
        <v>#ERROR!</v>
      </c>
      <c r="CC1114" s="15" t="str">
        <f t="shared" si="5522"/>
        <v>#ERROR!</v>
      </c>
      <c r="CD1114" s="15" t="str">
        <f t="shared" si="5522"/>
        <v>#ERROR!</v>
      </c>
      <c r="CE1114" s="24" t="str">
        <f t="shared" si="5522"/>
        <v>#ERROR!</v>
      </c>
      <c r="CF1114" s="15" t="str">
        <f t="shared" si="5522"/>
        <v>#ERROR!</v>
      </c>
      <c r="CG1114" s="15" t="str">
        <f t="shared" si="5522"/>
        <v>#ERROR!</v>
      </c>
      <c r="CH1114" s="15" t="str">
        <f t="shared" si="5522"/>
        <v>#ERROR!</v>
      </c>
      <c r="CI1114" s="15" t="str">
        <f t="shared" si="5522"/>
        <v>#ERROR!</v>
      </c>
      <c r="CJ1114" s="24" t="str">
        <f t="shared" si="5522"/>
        <v>#ERROR!</v>
      </c>
      <c r="CK1114" s="15" t="str">
        <f t="shared" si="5522"/>
        <v>#ERROR!</v>
      </c>
      <c r="CL1114" s="15" t="str">
        <f t="shared" si="5522"/>
        <v>#ERROR!</v>
      </c>
      <c r="CM1114" s="15" t="str">
        <f t="shared" si="5522"/>
        <v>#ERROR!</v>
      </c>
      <c r="CN1114" s="40" t="str">
        <f t="shared" si="5522"/>
        <v>#ERROR!</v>
      </c>
      <c r="CO1114" s="24" t="str">
        <f t="shared" si="5522"/>
        <v>#ERROR!</v>
      </c>
      <c r="CP1114" s="40" t="str">
        <f t="shared" si="5522"/>
        <v>#ERROR!</v>
      </c>
      <c r="CQ1114" s="15" t="str">
        <f t="shared" si="5522"/>
        <v>#ERROR!</v>
      </c>
      <c r="CR1114" s="15" t="str">
        <f t="shared" si="5522"/>
        <v>#ERROR!</v>
      </c>
      <c r="CS1114" s="15" t="str">
        <f t="shared" si="5522"/>
        <v>#ERROR!</v>
      </c>
      <c r="CT1114" s="24" t="str">
        <f t="shared" si="5522"/>
        <v>#ERROR!</v>
      </c>
      <c r="CU1114" s="15" t="str">
        <f t="shared" si="5522"/>
        <v>#ERROR!</v>
      </c>
      <c r="CV1114" s="15" t="str">
        <f t="shared" si="5522"/>
        <v>#ERROR!</v>
      </c>
      <c r="CW1114" s="15" t="str">
        <f t="shared" si="5522"/>
        <v>#ERROR!</v>
      </c>
      <c r="CX1114" s="15" t="str">
        <f t="shared" si="5522"/>
        <v>#ERROR!</v>
      </c>
      <c r="CY1114" s="24" t="str">
        <f t="shared" si="5522"/>
        <v>#ERROR!</v>
      </c>
      <c r="CZ1114" s="15" t="str">
        <f t="shared" si="5522"/>
        <v>#ERROR!</v>
      </c>
      <c r="DA1114" s="15" t="str">
        <f t="shared" si="5522"/>
        <v>#ERROR!</v>
      </c>
      <c r="DB1114" s="15" t="str">
        <f t="shared" si="5522"/>
        <v>#ERROR!</v>
      </c>
      <c r="DC1114" s="15" t="str">
        <f t="shared" si="5522"/>
        <v>#ERROR!</v>
      </c>
      <c r="DD1114" s="24" t="str">
        <f t="shared" si="5522"/>
        <v>#ERROR!</v>
      </c>
      <c r="DE1114" s="15" t="str">
        <f t="shared" si="5522"/>
        <v>#ERROR!</v>
      </c>
      <c r="DF1114" s="15" t="str">
        <f t="shared" si="5522"/>
        <v>#ERROR!</v>
      </c>
      <c r="DG1114" s="40" t="str">
        <f t="shared" si="5522"/>
        <v>#ERROR!</v>
      </c>
      <c r="DH1114" s="15" t="str">
        <f t="shared" si="5522"/>
        <v>#ERROR!</v>
      </c>
      <c r="DI1114" s="24" t="str">
        <f t="shared" si="5522"/>
        <v>#ERROR!</v>
      </c>
      <c r="DJ1114" s="40" t="str">
        <f t="shared" si="5522"/>
        <v>#ERROR!</v>
      </c>
      <c r="DK1114" s="40" t="str">
        <f t="shared" si="5522"/>
        <v>#ERROR!</v>
      </c>
      <c r="DL1114" s="40" t="str">
        <f t="shared" si="5522"/>
        <v>#ERROR!</v>
      </c>
      <c r="DM1114" s="15" t="str">
        <f t="shared" si="5522"/>
        <v>#ERROR!</v>
      </c>
      <c r="DN1114" s="24" t="str">
        <f t="shared" si="5522"/>
        <v>#ERROR!</v>
      </c>
      <c r="DO1114" s="15" t="str">
        <f t="shared" si="5522"/>
        <v>#ERROR!</v>
      </c>
      <c r="DP1114" s="15" t="str">
        <f t="shared" si="5522"/>
        <v>#ERROR!</v>
      </c>
      <c r="DQ1114" s="15" t="str">
        <f t="shared" si="5522"/>
        <v>#ERROR!</v>
      </c>
      <c r="DR1114" s="15" t="str">
        <f t="shared" si="5522"/>
        <v>#ERROR!</v>
      </c>
      <c r="DS1114" s="24" t="str">
        <f t="shared" si="5522"/>
        <v>#ERROR!</v>
      </c>
      <c r="DT1114" s="15" t="str">
        <f t="shared" si="5522"/>
        <v>#ERROR!</v>
      </c>
      <c r="DU1114" s="15" t="str">
        <f t="shared" si="5522"/>
        <v>#ERROR!</v>
      </c>
      <c r="DV1114" s="15" t="str">
        <f t="shared" si="5522"/>
        <v>#ERROR!</v>
      </c>
      <c r="DW1114" s="15" t="str">
        <f t="shared" si="5522"/>
        <v>#ERROR!</v>
      </c>
      <c r="DX1114" s="24" t="str">
        <f t="shared" si="5522"/>
        <v>#ERROR!</v>
      </c>
      <c r="DY1114" s="15" t="str">
        <f t="shared" si="5522"/>
        <v>#ERROR!</v>
      </c>
      <c r="DZ1114" s="15" t="str">
        <f t="shared" si="5522"/>
        <v>#ERROR!</v>
      </c>
      <c r="EA1114" s="15" t="str">
        <f t="shared" si="5522"/>
        <v>#ERROR!</v>
      </c>
      <c r="EB1114" s="15" t="str">
        <f t="shared" si="5522"/>
        <v>#ERROR!</v>
      </c>
      <c r="EC1114" s="24" t="str">
        <f t="shared" si="5522"/>
        <v>#ERROR!</v>
      </c>
      <c r="ED1114" s="15" t="str">
        <f t="shared" si="5522"/>
        <v>#ERROR!</v>
      </c>
      <c r="EE1114" s="15" t="str">
        <f t="shared" si="5522"/>
        <v>#ERROR!</v>
      </c>
      <c r="EF1114" s="15" t="str">
        <f t="shared" si="5522"/>
        <v>#ERROR!</v>
      </c>
      <c r="EG1114" s="15" t="str">
        <f t="shared" si="5522"/>
        <v>#ERROR!</v>
      </c>
      <c r="EH1114" s="24" t="str">
        <f t="shared" si="5522"/>
        <v>#ERROR!</v>
      </c>
      <c r="EI1114" s="82" t="str">
        <f t="shared" si="5522"/>
        <v>#ERROR!</v>
      </c>
      <c r="EJ1114" s="15" t="str">
        <f t="shared" si="5522"/>
        <v>#ERROR!</v>
      </c>
      <c r="EK1114" s="15" t="str">
        <f t="shared" si="5522"/>
        <v>#ERROR!</v>
      </c>
      <c r="EL1114" s="15" t="str">
        <f t="shared" si="5522"/>
        <v>#ERROR!</v>
      </c>
      <c r="EM1114" s="24" t="str">
        <f t="shared" si="5522"/>
        <v>#ERROR!</v>
      </c>
      <c r="EN1114" s="15" t="str">
        <f t="shared" si="5522"/>
        <v>#ERROR!</v>
      </c>
      <c r="EO1114" s="15" t="str">
        <f t="shared" si="5522"/>
        <v>#ERROR!</v>
      </c>
      <c r="EP1114" s="15" t="str">
        <f t="shared" si="5522"/>
        <v>#ERROR!</v>
      </c>
      <c r="EQ1114" s="15" t="str">
        <f t="shared" si="5522"/>
        <v>#ERROR!</v>
      </c>
      <c r="ER1114" s="24" t="str">
        <f t="shared" si="5522"/>
        <v>#ERROR!</v>
      </c>
      <c r="ES1114" s="15" t="str">
        <f t="shared" si="5522"/>
        <v>#ERROR!</v>
      </c>
      <c r="ET1114" s="15" t="str">
        <f t="shared" si="5522"/>
        <v>#ERROR!</v>
      </c>
      <c r="EU1114" s="15" t="str">
        <f t="shared" si="5522"/>
        <v>#ERROR!</v>
      </c>
      <c r="EV1114" s="15" t="str">
        <f t="shared" si="5522"/>
        <v>#ERROR!</v>
      </c>
      <c r="EW1114" s="24" t="str">
        <f t="shared" si="5522"/>
        <v>#ERROR!</v>
      </c>
      <c r="EX1114" s="15" t="str">
        <f t="shared" si="5522"/>
        <v>#ERROR!</v>
      </c>
      <c r="EY1114" s="15" t="str">
        <f t="shared" si="5522"/>
        <v>#ERROR!</v>
      </c>
      <c r="EZ1114" s="15" t="str">
        <f t="shared" si="5522"/>
        <v>#ERROR!</v>
      </c>
      <c r="FA1114" s="15" t="str">
        <f t="shared" si="5522"/>
        <v>#ERROR!</v>
      </c>
      <c r="FB1114" s="24" t="str">
        <f t="shared" si="5522"/>
        <v>#ERROR!</v>
      </c>
      <c r="FC1114" s="15" t="str">
        <f t="shared" si="5522"/>
        <v>#ERROR!</v>
      </c>
      <c r="FD1114" s="15" t="str">
        <f t="shared" si="5522"/>
        <v>#ERROR!</v>
      </c>
      <c r="FE1114" s="15" t="str">
        <f t="shared" si="5522"/>
        <v>#ERROR!</v>
      </c>
      <c r="FF1114" s="15" t="str">
        <f t="shared" si="5522"/>
        <v>#ERROR!</v>
      </c>
      <c r="FG1114" s="24" t="str">
        <f t="shared" si="5522"/>
        <v>#ERROR!</v>
      </c>
      <c r="FH1114" s="104"/>
      <c r="FI1114" s="15"/>
      <c r="FJ1114" s="15"/>
      <c r="FK1114" s="410"/>
      <c r="FL1114" s="15"/>
    </row>
    <row r="1115" ht="12.75" hidden="1" customHeight="1" outlineLevel="1">
      <c r="A1115" s="4"/>
      <c r="B1115" s="4" t="s">
        <v>409</v>
      </c>
      <c r="C1115" s="4"/>
      <c r="D1115" s="15"/>
      <c r="E1115" s="15"/>
      <c r="F1115" s="15"/>
      <c r="G1115" s="15"/>
      <c r="H1115" s="410"/>
      <c r="I1115" s="15" t="str">
        <f t="shared" ref="I1115:FG1115" si="5523">I1109/I$1110</f>
        <v>#REF!</v>
      </c>
      <c r="J1115" s="15" t="str">
        <f t="shared" si="5523"/>
        <v>#REF!</v>
      </c>
      <c r="K1115" s="15" t="str">
        <f t="shared" si="5523"/>
        <v>#REF!</v>
      </c>
      <c r="L1115" s="15" t="str">
        <f t="shared" si="5523"/>
        <v>#REF!</v>
      </c>
      <c r="M1115" s="410" t="str">
        <f t="shared" si="5523"/>
        <v>#REF!</v>
      </c>
      <c r="N1115" s="15" t="str">
        <f t="shared" si="5523"/>
        <v>#REF!</v>
      </c>
      <c r="O1115" s="15" t="str">
        <f t="shared" si="5523"/>
        <v>#REF!</v>
      </c>
      <c r="P1115" s="15" t="str">
        <f t="shared" si="5523"/>
        <v>#REF!</v>
      </c>
      <c r="Q1115" s="15" t="str">
        <f t="shared" si="5523"/>
        <v>#REF!</v>
      </c>
      <c r="R1115" s="410" t="str">
        <f t="shared" si="5523"/>
        <v>#REF!</v>
      </c>
      <c r="S1115" s="15" t="str">
        <f t="shared" si="5523"/>
        <v>#REF!</v>
      </c>
      <c r="T1115" s="15" t="str">
        <f t="shared" si="5523"/>
        <v>#REF!</v>
      </c>
      <c r="U1115" s="15" t="str">
        <f t="shared" si="5523"/>
        <v>#REF!</v>
      </c>
      <c r="V1115" s="15" t="str">
        <f t="shared" si="5523"/>
        <v>#REF!</v>
      </c>
      <c r="W1115" s="410" t="str">
        <f t="shared" si="5523"/>
        <v>#REF!</v>
      </c>
      <c r="X1115" s="15" t="str">
        <f t="shared" si="5523"/>
        <v>#REF!</v>
      </c>
      <c r="Y1115" s="15" t="str">
        <f t="shared" si="5523"/>
        <v>#REF!</v>
      </c>
      <c r="Z1115" s="15" t="str">
        <f t="shared" si="5523"/>
        <v>#REF!</v>
      </c>
      <c r="AA1115" s="15" t="str">
        <f t="shared" si="5523"/>
        <v>#REF!</v>
      </c>
      <c r="AB1115" s="410" t="str">
        <f t="shared" si="5523"/>
        <v>#REF!</v>
      </c>
      <c r="AC1115" s="15" t="str">
        <f t="shared" si="5523"/>
        <v>#REF!</v>
      </c>
      <c r="AD1115" s="15" t="str">
        <f t="shared" si="5523"/>
        <v>#REF!</v>
      </c>
      <c r="AE1115" s="15" t="str">
        <f t="shared" si="5523"/>
        <v>#REF!</v>
      </c>
      <c r="AF1115" s="15" t="str">
        <f t="shared" si="5523"/>
        <v>#REF!</v>
      </c>
      <c r="AG1115" s="410" t="str">
        <f t="shared" si="5523"/>
        <v>#REF!</v>
      </c>
      <c r="AH1115" s="15" t="str">
        <f t="shared" si="5523"/>
        <v>#REF!</v>
      </c>
      <c r="AI1115" s="15" t="str">
        <f t="shared" si="5523"/>
        <v>#REF!</v>
      </c>
      <c r="AJ1115" s="15" t="str">
        <f t="shared" si="5523"/>
        <v>#REF!</v>
      </c>
      <c r="AK1115" s="15" t="str">
        <f t="shared" si="5523"/>
        <v>#REF!</v>
      </c>
      <c r="AL1115" s="410" t="str">
        <f t="shared" si="5523"/>
        <v>#REF!</v>
      </c>
      <c r="AM1115" s="15" t="str">
        <f t="shared" si="5523"/>
        <v>#REF!</v>
      </c>
      <c r="AN1115" s="15" t="str">
        <f t="shared" si="5523"/>
        <v>#REF!</v>
      </c>
      <c r="AO1115" s="15" t="str">
        <f t="shared" si="5523"/>
        <v>#REF!</v>
      </c>
      <c r="AP1115" s="15" t="str">
        <f t="shared" si="5523"/>
        <v>#REF!</v>
      </c>
      <c r="AQ1115" s="410" t="str">
        <f t="shared" si="5523"/>
        <v>#REF!</v>
      </c>
      <c r="AR1115" s="15" t="str">
        <f t="shared" si="5523"/>
        <v>#REF!</v>
      </c>
      <c r="AS1115" s="15" t="str">
        <f t="shared" si="5523"/>
        <v>#REF!</v>
      </c>
      <c r="AT1115" s="15" t="str">
        <f t="shared" si="5523"/>
        <v>#REF!</v>
      </c>
      <c r="AU1115" s="15" t="str">
        <f t="shared" si="5523"/>
        <v>#REF!</v>
      </c>
      <c r="AV1115" s="410" t="str">
        <f t="shared" si="5523"/>
        <v>#REF!</v>
      </c>
      <c r="AW1115" s="15" t="str">
        <f t="shared" si="5523"/>
        <v>#REF!</v>
      </c>
      <c r="AX1115" s="15" t="str">
        <f t="shared" si="5523"/>
        <v>#REF!</v>
      </c>
      <c r="AY1115" s="15" t="str">
        <f t="shared" si="5523"/>
        <v>#REF!</v>
      </c>
      <c r="AZ1115" s="15" t="str">
        <f t="shared" si="5523"/>
        <v>#REF!</v>
      </c>
      <c r="BA1115" s="410" t="str">
        <f t="shared" si="5523"/>
        <v>#REF!</v>
      </c>
      <c r="BB1115" s="15" t="str">
        <f t="shared" si="5523"/>
        <v>#REF!</v>
      </c>
      <c r="BC1115" s="15" t="str">
        <f t="shared" si="5523"/>
        <v>#REF!</v>
      </c>
      <c r="BD1115" s="15" t="str">
        <f t="shared" si="5523"/>
        <v>#REF!</v>
      </c>
      <c r="BE1115" s="15" t="str">
        <f t="shared" si="5523"/>
        <v>#REF!</v>
      </c>
      <c r="BF1115" s="410" t="str">
        <f t="shared" si="5523"/>
        <v>#REF!</v>
      </c>
      <c r="BG1115" s="15" t="str">
        <f t="shared" si="5523"/>
        <v>#REF!</v>
      </c>
      <c r="BH1115" s="15" t="str">
        <f t="shared" si="5523"/>
        <v>#REF!</v>
      </c>
      <c r="BI1115" s="15" t="str">
        <f t="shared" si="5523"/>
        <v>#REF!</v>
      </c>
      <c r="BJ1115" s="15" t="str">
        <f t="shared" si="5523"/>
        <v>#REF!</v>
      </c>
      <c r="BK1115" s="410" t="str">
        <f t="shared" si="5523"/>
        <v>#REF!</v>
      </c>
      <c r="BL1115" s="15" t="str">
        <f t="shared" si="5523"/>
        <v>#REF!</v>
      </c>
      <c r="BM1115" s="15" t="str">
        <f t="shared" si="5523"/>
        <v>#REF!</v>
      </c>
      <c r="BN1115" s="15" t="str">
        <f t="shared" si="5523"/>
        <v>#REF!</v>
      </c>
      <c r="BO1115" s="15" t="str">
        <f t="shared" si="5523"/>
        <v>#REF!</v>
      </c>
      <c r="BP1115" s="410" t="str">
        <f t="shared" si="5523"/>
        <v>#REF!</v>
      </c>
      <c r="BQ1115" s="15" t="str">
        <f t="shared" si="5523"/>
        <v>#REF!</v>
      </c>
      <c r="BR1115" s="15" t="str">
        <f t="shared" si="5523"/>
        <v>#REF!</v>
      </c>
      <c r="BS1115" s="15" t="str">
        <f t="shared" si="5523"/>
        <v>#REF!</v>
      </c>
      <c r="BT1115" s="15" t="str">
        <f t="shared" si="5523"/>
        <v>#REF!</v>
      </c>
      <c r="BU1115" s="410" t="str">
        <f t="shared" si="5523"/>
        <v>#REF!</v>
      </c>
      <c r="BV1115" s="15" t="str">
        <f t="shared" si="5523"/>
        <v>#REF!</v>
      </c>
      <c r="BW1115" s="15" t="str">
        <f t="shared" si="5523"/>
        <v>#REF!</v>
      </c>
      <c r="BX1115" s="15" t="str">
        <f t="shared" si="5523"/>
        <v>#REF!</v>
      </c>
      <c r="BY1115" s="15" t="str">
        <f t="shared" si="5523"/>
        <v>#REF!</v>
      </c>
      <c r="BZ1115" s="24" t="str">
        <f t="shared" si="5523"/>
        <v>#REF!</v>
      </c>
      <c r="CA1115" s="15" t="str">
        <f t="shared" si="5523"/>
        <v>#REF!</v>
      </c>
      <c r="CB1115" s="15" t="str">
        <f t="shared" si="5523"/>
        <v>#REF!</v>
      </c>
      <c r="CC1115" s="15" t="str">
        <f t="shared" si="5523"/>
        <v>#REF!</v>
      </c>
      <c r="CD1115" s="15" t="str">
        <f t="shared" si="5523"/>
        <v>#REF!</v>
      </c>
      <c r="CE1115" s="24" t="str">
        <f t="shared" si="5523"/>
        <v>#REF!</v>
      </c>
      <c r="CF1115" s="15" t="str">
        <f t="shared" si="5523"/>
        <v>#REF!</v>
      </c>
      <c r="CG1115" s="15" t="str">
        <f t="shared" si="5523"/>
        <v>#REF!</v>
      </c>
      <c r="CH1115" s="15" t="str">
        <f t="shared" si="5523"/>
        <v>#REF!</v>
      </c>
      <c r="CI1115" s="15" t="str">
        <f t="shared" si="5523"/>
        <v>#REF!</v>
      </c>
      <c r="CJ1115" s="24" t="str">
        <f t="shared" si="5523"/>
        <v>#REF!</v>
      </c>
      <c r="CK1115" s="15" t="str">
        <f t="shared" si="5523"/>
        <v>#REF!</v>
      </c>
      <c r="CL1115" s="15" t="str">
        <f t="shared" si="5523"/>
        <v>#REF!</v>
      </c>
      <c r="CM1115" s="15" t="str">
        <f t="shared" si="5523"/>
        <v>#REF!</v>
      </c>
      <c r="CN1115" s="40" t="str">
        <f t="shared" si="5523"/>
        <v>#REF!</v>
      </c>
      <c r="CO1115" s="24" t="str">
        <f t="shared" si="5523"/>
        <v>#REF!</v>
      </c>
      <c r="CP1115" s="40" t="str">
        <f t="shared" si="5523"/>
        <v>#REF!</v>
      </c>
      <c r="CQ1115" s="15" t="str">
        <f t="shared" si="5523"/>
        <v>#REF!</v>
      </c>
      <c r="CR1115" s="15" t="str">
        <f t="shared" si="5523"/>
        <v>#REF!</v>
      </c>
      <c r="CS1115" s="15" t="str">
        <f t="shared" si="5523"/>
        <v>#REF!</v>
      </c>
      <c r="CT1115" s="24" t="str">
        <f t="shared" si="5523"/>
        <v>#REF!</v>
      </c>
      <c r="CU1115" s="15" t="str">
        <f t="shared" si="5523"/>
        <v>#REF!</v>
      </c>
      <c r="CV1115" s="15" t="str">
        <f t="shared" si="5523"/>
        <v>#REF!</v>
      </c>
      <c r="CW1115" s="15" t="str">
        <f t="shared" si="5523"/>
        <v>#REF!</v>
      </c>
      <c r="CX1115" s="15" t="str">
        <f t="shared" si="5523"/>
        <v>#REF!</v>
      </c>
      <c r="CY1115" s="24" t="str">
        <f t="shared" si="5523"/>
        <v>#REF!</v>
      </c>
      <c r="CZ1115" s="15" t="str">
        <f t="shared" si="5523"/>
        <v>#REF!</v>
      </c>
      <c r="DA1115" s="15" t="str">
        <f t="shared" si="5523"/>
        <v>#REF!</v>
      </c>
      <c r="DB1115" s="15" t="str">
        <f t="shared" si="5523"/>
        <v>#REF!</v>
      </c>
      <c r="DC1115" s="15" t="str">
        <f t="shared" si="5523"/>
        <v>#REF!</v>
      </c>
      <c r="DD1115" s="24" t="str">
        <f t="shared" si="5523"/>
        <v>#REF!</v>
      </c>
      <c r="DE1115" s="15" t="str">
        <f t="shared" si="5523"/>
        <v>#REF!</v>
      </c>
      <c r="DF1115" s="15" t="str">
        <f t="shared" si="5523"/>
        <v>#REF!</v>
      </c>
      <c r="DG1115" s="40" t="str">
        <f t="shared" si="5523"/>
        <v>#REF!</v>
      </c>
      <c r="DH1115" s="15" t="str">
        <f t="shared" si="5523"/>
        <v>#REF!</v>
      </c>
      <c r="DI1115" s="24" t="str">
        <f t="shared" si="5523"/>
        <v>#REF!</v>
      </c>
      <c r="DJ1115" s="40" t="str">
        <f t="shared" si="5523"/>
        <v>#REF!</v>
      </c>
      <c r="DK1115" s="40" t="str">
        <f t="shared" si="5523"/>
        <v>#REF!</v>
      </c>
      <c r="DL1115" s="40" t="str">
        <f t="shared" si="5523"/>
        <v>#REF!</v>
      </c>
      <c r="DM1115" s="15" t="str">
        <f t="shared" si="5523"/>
        <v>#REF!</v>
      </c>
      <c r="DN1115" s="24" t="str">
        <f t="shared" si="5523"/>
        <v>#REF!</v>
      </c>
      <c r="DO1115" s="15" t="str">
        <f t="shared" si="5523"/>
        <v>#REF!</v>
      </c>
      <c r="DP1115" s="15" t="str">
        <f t="shared" si="5523"/>
        <v>#REF!</v>
      </c>
      <c r="DQ1115" s="15" t="str">
        <f t="shared" si="5523"/>
        <v>#REF!</v>
      </c>
      <c r="DR1115" s="15" t="str">
        <f t="shared" si="5523"/>
        <v>#REF!</v>
      </c>
      <c r="DS1115" s="24" t="str">
        <f t="shared" si="5523"/>
        <v>#REF!</v>
      </c>
      <c r="DT1115" s="15" t="str">
        <f t="shared" si="5523"/>
        <v>#REF!</v>
      </c>
      <c r="DU1115" s="15" t="str">
        <f t="shared" si="5523"/>
        <v>#REF!</v>
      </c>
      <c r="DV1115" s="15" t="str">
        <f t="shared" si="5523"/>
        <v>#REF!</v>
      </c>
      <c r="DW1115" s="15" t="str">
        <f t="shared" si="5523"/>
        <v>#REF!</v>
      </c>
      <c r="DX1115" s="24" t="str">
        <f t="shared" si="5523"/>
        <v>#REF!</v>
      </c>
      <c r="DY1115" s="15" t="str">
        <f t="shared" si="5523"/>
        <v>#REF!</v>
      </c>
      <c r="DZ1115" s="15" t="str">
        <f t="shared" si="5523"/>
        <v>#REF!</v>
      </c>
      <c r="EA1115" s="15" t="str">
        <f t="shared" si="5523"/>
        <v>#REF!</v>
      </c>
      <c r="EB1115" s="15" t="str">
        <f t="shared" si="5523"/>
        <v>#REF!</v>
      </c>
      <c r="EC1115" s="24" t="str">
        <f t="shared" si="5523"/>
        <v>#REF!</v>
      </c>
      <c r="ED1115" s="15" t="str">
        <f t="shared" si="5523"/>
        <v>#REF!</v>
      </c>
      <c r="EE1115" s="15" t="str">
        <f t="shared" si="5523"/>
        <v>#REF!</v>
      </c>
      <c r="EF1115" s="15" t="str">
        <f t="shared" si="5523"/>
        <v>#REF!</v>
      </c>
      <c r="EG1115" s="15" t="str">
        <f t="shared" si="5523"/>
        <v>#REF!</v>
      </c>
      <c r="EH1115" s="24" t="str">
        <f t="shared" si="5523"/>
        <v>#REF!</v>
      </c>
      <c r="EI1115" s="82" t="str">
        <f t="shared" si="5523"/>
        <v>#REF!</v>
      </c>
      <c r="EJ1115" s="15" t="str">
        <f t="shared" si="5523"/>
        <v>#REF!</v>
      </c>
      <c r="EK1115" s="15" t="str">
        <f t="shared" si="5523"/>
        <v>#REF!</v>
      </c>
      <c r="EL1115" s="15" t="str">
        <f t="shared" si="5523"/>
        <v>#REF!</v>
      </c>
      <c r="EM1115" s="24" t="str">
        <f t="shared" si="5523"/>
        <v>#REF!</v>
      </c>
      <c r="EN1115" s="15" t="str">
        <f t="shared" si="5523"/>
        <v>#REF!</v>
      </c>
      <c r="EO1115" s="15" t="str">
        <f t="shared" si="5523"/>
        <v>#REF!</v>
      </c>
      <c r="EP1115" s="15" t="str">
        <f t="shared" si="5523"/>
        <v>#REF!</v>
      </c>
      <c r="EQ1115" s="15" t="str">
        <f t="shared" si="5523"/>
        <v>#REF!</v>
      </c>
      <c r="ER1115" s="24" t="str">
        <f t="shared" si="5523"/>
        <v>#REF!</v>
      </c>
      <c r="ES1115" s="15" t="str">
        <f t="shared" si="5523"/>
        <v>#REF!</v>
      </c>
      <c r="ET1115" s="15" t="str">
        <f t="shared" si="5523"/>
        <v>#REF!</v>
      </c>
      <c r="EU1115" s="15" t="str">
        <f t="shared" si="5523"/>
        <v>#REF!</v>
      </c>
      <c r="EV1115" s="15" t="str">
        <f t="shared" si="5523"/>
        <v>#REF!</v>
      </c>
      <c r="EW1115" s="24" t="str">
        <f t="shared" si="5523"/>
        <v>#REF!</v>
      </c>
      <c r="EX1115" s="15" t="str">
        <f t="shared" si="5523"/>
        <v>#REF!</v>
      </c>
      <c r="EY1115" s="15" t="str">
        <f t="shared" si="5523"/>
        <v>#REF!</v>
      </c>
      <c r="EZ1115" s="15" t="str">
        <f t="shared" si="5523"/>
        <v>#REF!</v>
      </c>
      <c r="FA1115" s="15" t="str">
        <f t="shared" si="5523"/>
        <v>#REF!</v>
      </c>
      <c r="FB1115" s="24" t="str">
        <f t="shared" si="5523"/>
        <v>#REF!</v>
      </c>
      <c r="FC1115" s="15" t="str">
        <f t="shared" si="5523"/>
        <v>#REF!</v>
      </c>
      <c r="FD1115" s="15" t="str">
        <f t="shared" si="5523"/>
        <v>#REF!</v>
      </c>
      <c r="FE1115" s="15" t="str">
        <f t="shared" si="5523"/>
        <v>#REF!</v>
      </c>
      <c r="FF1115" s="15" t="str">
        <f t="shared" si="5523"/>
        <v>#REF!</v>
      </c>
      <c r="FG1115" s="24" t="str">
        <f t="shared" si="5523"/>
        <v>#REF!</v>
      </c>
      <c r="FH1115" s="104"/>
      <c r="FI1115" s="15"/>
      <c r="FJ1115" s="15"/>
      <c r="FK1115" s="410"/>
      <c r="FL1115" s="15"/>
    </row>
    <row r="1116" ht="13.5" hidden="1" customHeight="1" outlineLevel="1">
      <c r="A1116" s="4"/>
      <c r="B1116" s="529" t="s">
        <v>291</v>
      </c>
      <c r="C1116" s="529"/>
      <c r="D1116" s="596"/>
      <c r="E1116" s="596"/>
      <c r="F1116" s="596"/>
      <c r="G1116" s="596"/>
      <c r="H1116" s="596"/>
      <c r="I1116" s="596" t="str">
        <f t="shared" ref="I1116:FG1116" si="5524">I1110/I$1110</f>
        <v>#ERROR!</v>
      </c>
      <c r="J1116" s="596" t="str">
        <f t="shared" si="5524"/>
        <v>#ERROR!</v>
      </c>
      <c r="K1116" s="596" t="str">
        <f t="shared" si="5524"/>
        <v>#ERROR!</v>
      </c>
      <c r="L1116" s="596" t="str">
        <f t="shared" si="5524"/>
        <v>#ERROR!</v>
      </c>
      <c r="M1116" s="596" t="str">
        <f t="shared" si="5524"/>
        <v>#ERROR!</v>
      </c>
      <c r="N1116" s="596" t="str">
        <f t="shared" si="5524"/>
        <v>#ERROR!</v>
      </c>
      <c r="O1116" s="596" t="str">
        <f t="shared" si="5524"/>
        <v>#ERROR!</v>
      </c>
      <c r="P1116" s="596" t="str">
        <f t="shared" si="5524"/>
        <v>#ERROR!</v>
      </c>
      <c r="Q1116" s="596" t="str">
        <f t="shared" si="5524"/>
        <v>#ERROR!</v>
      </c>
      <c r="R1116" s="596" t="str">
        <f t="shared" si="5524"/>
        <v>#ERROR!</v>
      </c>
      <c r="S1116" s="596" t="str">
        <f t="shared" si="5524"/>
        <v>#ERROR!</v>
      </c>
      <c r="T1116" s="596" t="str">
        <f t="shared" si="5524"/>
        <v>#ERROR!</v>
      </c>
      <c r="U1116" s="596" t="str">
        <f t="shared" si="5524"/>
        <v>#ERROR!</v>
      </c>
      <c r="V1116" s="596" t="str">
        <f t="shared" si="5524"/>
        <v>#ERROR!</v>
      </c>
      <c r="W1116" s="596" t="str">
        <f t="shared" si="5524"/>
        <v>#ERROR!</v>
      </c>
      <c r="X1116" s="596" t="str">
        <f t="shared" si="5524"/>
        <v>#ERROR!</v>
      </c>
      <c r="Y1116" s="596" t="str">
        <f t="shared" si="5524"/>
        <v>#ERROR!</v>
      </c>
      <c r="Z1116" s="596" t="str">
        <f t="shared" si="5524"/>
        <v>#ERROR!</v>
      </c>
      <c r="AA1116" s="596" t="str">
        <f t="shared" si="5524"/>
        <v>#ERROR!</v>
      </c>
      <c r="AB1116" s="596" t="str">
        <f t="shared" si="5524"/>
        <v>#ERROR!</v>
      </c>
      <c r="AC1116" s="596" t="str">
        <f t="shared" si="5524"/>
        <v>#ERROR!</v>
      </c>
      <c r="AD1116" s="596" t="str">
        <f t="shared" si="5524"/>
        <v>#ERROR!</v>
      </c>
      <c r="AE1116" s="596" t="str">
        <f t="shared" si="5524"/>
        <v>#ERROR!</v>
      </c>
      <c r="AF1116" s="596" t="str">
        <f t="shared" si="5524"/>
        <v>#ERROR!</v>
      </c>
      <c r="AG1116" s="596" t="str">
        <f t="shared" si="5524"/>
        <v>#ERROR!</v>
      </c>
      <c r="AH1116" s="596" t="str">
        <f t="shared" si="5524"/>
        <v>#ERROR!</v>
      </c>
      <c r="AI1116" s="596" t="str">
        <f t="shared" si="5524"/>
        <v>#ERROR!</v>
      </c>
      <c r="AJ1116" s="596" t="str">
        <f t="shared" si="5524"/>
        <v>#ERROR!</v>
      </c>
      <c r="AK1116" s="596" t="str">
        <f t="shared" si="5524"/>
        <v>#ERROR!</v>
      </c>
      <c r="AL1116" s="596" t="str">
        <f t="shared" si="5524"/>
        <v>#ERROR!</v>
      </c>
      <c r="AM1116" s="596" t="str">
        <f t="shared" si="5524"/>
        <v>#ERROR!</v>
      </c>
      <c r="AN1116" s="596" t="str">
        <f t="shared" si="5524"/>
        <v>#ERROR!</v>
      </c>
      <c r="AO1116" s="596" t="str">
        <f t="shared" si="5524"/>
        <v>#ERROR!</v>
      </c>
      <c r="AP1116" s="596" t="str">
        <f t="shared" si="5524"/>
        <v>#ERROR!</v>
      </c>
      <c r="AQ1116" s="596" t="str">
        <f t="shared" si="5524"/>
        <v>#ERROR!</v>
      </c>
      <c r="AR1116" s="596" t="str">
        <f t="shared" si="5524"/>
        <v>#ERROR!</v>
      </c>
      <c r="AS1116" s="596" t="str">
        <f t="shared" si="5524"/>
        <v>#ERROR!</v>
      </c>
      <c r="AT1116" s="596" t="str">
        <f t="shared" si="5524"/>
        <v>#ERROR!</v>
      </c>
      <c r="AU1116" s="596" t="str">
        <f t="shared" si="5524"/>
        <v>#ERROR!</v>
      </c>
      <c r="AV1116" s="596" t="str">
        <f t="shared" si="5524"/>
        <v>#ERROR!</v>
      </c>
      <c r="AW1116" s="596" t="str">
        <f t="shared" si="5524"/>
        <v>#ERROR!</v>
      </c>
      <c r="AX1116" s="596" t="str">
        <f t="shared" si="5524"/>
        <v>#ERROR!</v>
      </c>
      <c r="AY1116" s="596" t="str">
        <f t="shared" si="5524"/>
        <v>#ERROR!</v>
      </c>
      <c r="AZ1116" s="596" t="str">
        <f t="shared" si="5524"/>
        <v>#ERROR!</v>
      </c>
      <c r="BA1116" s="596" t="str">
        <f t="shared" si="5524"/>
        <v>#ERROR!</v>
      </c>
      <c r="BB1116" s="596" t="str">
        <f t="shared" si="5524"/>
        <v>#ERROR!</v>
      </c>
      <c r="BC1116" s="596" t="str">
        <f t="shared" si="5524"/>
        <v>#ERROR!</v>
      </c>
      <c r="BD1116" s="596" t="str">
        <f t="shared" si="5524"/>
        <v>#ERROR!</v>
      </c>
      <c r="BE1116" s="596" t="str">
        <f t="shared" si="5524"/>
        <v>#ERROR!</v>
      </c>
      <c r="BF1116" s="596" t="str">
        <f t="shared" si="5524"/>
        <v>#ERROR!</v>
      </c>
      <c r="BG1116" s="596" t="str">
        <f t="shared" si="5524"/>
        <v>#ERROR!</v>
      </c>
      <c r="BH1116" s="596" t="str">
        <f t="shared" si="5524"/>
        <v>#ERROR!</v>
      </c>
      <c r="BI1116" s="596" t="str">
        <f t="shared" si="5524"/>
        <v>#ERROR!</v>
      </c>
      <c r="BJ1116" s="596" t="str">
        <f t="shared" si="5524"/>
        <v>#ERROR!</v>
      </c>
      <c r="BK1116" s="596" t="str">
        <f t="shared" si="5524"/>
        <v>#ERROR!</v>
      </c>
      <c r="BL1116" s="596" t="str">
        <f t="shared" si="5524"/>
        <v>#ERROR!</v>
      </c>
      <c r="BM1116" s="596" t="str">
        <f t="shared" si="5524"/>
        <v>#ERROR!</v>
      </c>
      <c r="BN1116" s="596" t="str">
        <f t="shared" si="5524"/>
        <v>#ERROR!</v>
      </c>
      <c r="BO1116" s="596" t="str">
        <f t="shared" si="5524"/>
        <v>#ERROR!</v>
      </c>
      <c r="BP1116" s="596" t="str">
        <f t="shared" si="5524"/>
        <v>#ERROR!</v>
      </c>
      <c r="BQ1116" s="596" t="str">
        <f t="shared" si="5524"/>
        <v>#ERROR!</v>
      </c>
      <c r="BR1116" s="596" t="str">
        <f t="shared" si="5524"/>
        <v>#ERROR!</v>
      </c>
      <c r="BS1116" s="596" t="str">
        <f t="shared" si="5524"/>
        <v>#ERROR!</v>
      </c>
      <c r="BT1116" s="596" t="str">
        <f t="shared" si="5524"/>
        <v>#ERROR!</v>
      </c>
      <c r="BU1116" s="596" t="str">
        <f t="shared" si="5524"/>
        <v>#ERROR!</v>
      </c>
      <c r="BV1116" s="596" t="str">
        <f t="shared" si="5524"/>
        <v>#ERROR!</v>
      </c>
      <c r="BW1116" s="596" t="str">
        <f t="shared" si="5524"/>
        <v>#ERROR!</v>
      </c>
      <c r="BX1116" s="596" t="str">
        <f t="shared" si="5524"/>
        <v>#ERROR!</v>
      </c>
      <c r="BY1116" s="596" t="str">
        <f t="shared" si="5524"/>
        <v>#ERROR!</v>
      </c>
      <c r="BZ1116" s="597" t="str">
        <f t="shared" si="5524"/>
        <v>#ERROR!</v>
      </c>
      <c r="CA1116" s="596" t="str">
        <f t="shared" si="5524"/>
        <v>#ERROR!</v>
      </c>
      <c r="CB1116" s="596" t="str">
        <f t="shared" si="5524"/>
        <v>#ERROR!</v>
      </c>
      <c r="CC1116" s="596" t="str">
        <f t="shared" si="5524"/>
        <v>#ERROR!</v>
      </c>
      <c r="CD1116" s="596" t="str">
        <f t="shared" si="5524"/>
        <v>#ERROR!</v>
      </c>
      <c r="CE1116" s="597" t="str">
        <f t="shared" si="5524"/>
        <v>#ERROR!</v>
      </c>
      <c r="CF1116" s="596" t="str">
        <f t="shared" si="5524"/>
        <v>#ERROR!</v>
      </c>
      <c r="CG1116" s="596" t="str">
        <f t="shared" si="5524"/>
        <v>#ERROR!</v>
      </c>
      <c r="CH1116" s="596" t="str">
        <f t="shared" si="5524"/>
        <v>#ERROR!</v>
      </c>
      <c r="CI1116" s="596" t="str">
        <f t="shared" si="5524"/>
        <v>#ERROR!</v>
      </c>
      <c r="CJ1116" s="597" t="str">
        <f t="shared" si="5524"/>
        <v>#ERROR!</v>
      </c>
      <c r="CK1116" s="596" t="str">
        <f t="shared" si="5524"/>
        <v>#ERROR!</v>
      </c>
      <c r="CL1116" s="596" t="str">
        <f t="shared" si="5524"/>
        <v>#ERROR!</v>
      </c>
      <c r="CM1116" s="596" t="str">
        <f t="shared" si="5524"/>
        <v>#ERROR!</v>
      </c>
      <c r="CN1116" s="595" t="str">
        <f t="shared" si="5524"/>
        <v>#ERROR!</v>
      </c>
      <c r="CO1116" s="597" t="str">
        <f t="shared" si="5524"/>
        <v>#ERROR!</v>
      </c>
      <c r="CP1116" s="595" t="str">
        <f t="shared" si="5524"/>
        <v>#ERROR!</v>
      </c>
      <c r="CQ1116" s="596" t="str">
        <f t="shared" si="5524"/>
        <v>#ERROR!</v>
      </c>
      <c r="CR1116" s="596" t="str">
        <f t="shared" si="5524"/>
        <v>#ERROR!</v>
      </c>
      <c r="CS1116" s="596" t="str">
        <f t="shared" si="5524"/>
        <v>#ERROR!</v>
      </c>
      <c r="CT1116" s="597" t="str">
        <f t="shared" si="5524"/>
        <v>#ERROR!</v>
      </c>
      <c r="CU1116" s="596" t="str">
        <f t="shared" si="5524"/>
        <v>#ERROR!</v>
      </c>
      <c r="CV1116" s="596" t="str">
        <f t="shared" si="5524"/>
        <v>#ERROR!</v>
      </c>
      <c r="CW1116" s="596" t="str">
        <f t="shared" si="5524"/>
        <v>#ERROR!</v>
      </c>
      <c r="CX1116" s="596" t="str">
        <f t="shared" si="5524"/>
        <v>#ERROR!</v>
      </c>
      <c r="CY1116" s="597" t="str">
        <f t="shared" si="5524"/>
        <v>#ERROR!</v>
      </c>
      <c r="CZ1116" s="596" t="str">
        <f t="shared" si="5524"/>
        <v>#ERROR!</v>
      </c>
      <c r="DA1116" s="596" t="str">
        <f t="shared" si="5524"/>
        <v>#ERROR!</v>
      </c>
      <c r="DB1116" s="596" t="str">
        <f t="shared" si="5524"/>
        <v>#ERROR!</v>
      </c>
      <c r="DC1116" s="596" t="str">
        <f t="shared" si="5524"/>
        <v>#ERROR!</v>
      </c>
      <c r="DD1116" s="597" t="str">
        <f t="shared" si="5524"/>
        <v>#ERROR!</v>
      </c>
      <c r="DE1116" s="596" t="str">
        <f t="shared" si="5524"/>
        <v>#ERROR!</v>
      </c>
      <c r="DF1116" s="596" t="str">
        <f t="shared" si="5524"/>
        <v>#ERROR!</v>
      </c>
      <c r="DG1116" s="104" t="str">
        <f t="shared" si="5524"/>
        <v>#ERROR!</v>
      </c>
      <c r="DH1116" s="596" t="str">
        <f t="shared" si="5524"/>
        <v>#ERROR!</v>
      </c>
      <c r="DI1116" s="597" t="str">
        <f t="shared" si="5524"/>
        <v>#ERROR!</v>
      </c>
      <c r="DJ1116" s="595" t="str">
        <f t="shared" si="5524"/>
        <v>#ERROR!</v>
      </c>
      <c r="DK1116" s="595" t="str">
        <f t="shared" si="5524"/>
        <v>#ERROR!</v>
      </c>
      <c r="DL1116" s="595" t="str">
        <f t="shared" si="5524"/>
        <v>#ERROR!</v>
      </c>
      <c r="DM1116" s="596" t="str">
        <f t="shared" si="5524"/>
        <v>#ERROR!</v>
      </c>
      <c r="DN1116" s="597" t="str">
        <f t="shared" si="5524"/>
        <v>#ERROR!</v>
      </c>
      <c r="DO1116" s="596" t="str">
        <f t="shared" si="5524"/>
        <v>#ERROR!</v>
      </c>
      <c r="DP1116" s="596" t="str">
        <f t="shared" si="5524"/>
        <v>#ERROR!</v>
      </c>
      <c r="DQ1116" s="596" t="str">
        <f t="shared" si="5524"/>
        <v>#ERROR!</v>
      </c>
      <c r="DR1116" s="596" t="str">
        <f t="shared" si="5524"/>
        <v>#ERROR!</v>
      </c>
      <c r="DS1116" s="597" t="str">
        <f t="shared" si="5524"/>
        <v>#ERROR!</v>
      </c>
      <c r="DT1116" s="596" t="str">
        <f t="shared" si="5524"/>
        <v>#ERROR!</v>
      </c>
      <c r="DU1116" s="596" t="str">
        <f t="shared" si="5524"/>
        <v>#ERROR!</v>
      </c>
      <c r="DV1116" s="596" t="str">
        <f t="shared" si="5524"/>
        <v>#ERROR!</v>
      </c>
      <c r="DW1116" s="596" t="str">
        <f t="shared" si="5524"/>
        <v>#ERROR!</v>
      </c>
      <c r="DX1116" s="597" t="str">
        <f t="shared" si="5524"/>
        <v>#ERROR!</v>
      </c>
      <c r="DY1116" s="596" t="str">
        <f t="shared" si="5524"/>
        <v>#ERROR!</v>
      </c>
      <c r="DZ1116" s="596" t="str">
        <f t="shared" si="5524"/>
        <v>#ERROR!</v>
      </c>
      <c r="EA1116" s="596" t="str">
        <f t="shared" si="5524"/>
        <v>#ERROR!</v>
      </c>
      <c r="EB1116" s="596" t="str">
        <f t="shared" si="5524"/>
        <v>#ERROR!</v>
      </c>
      <c r="EC1116" s="597" t="str">
        <f t="shared" si="5524"/>
        <v>#ERROR!</v>
      </c>
      <c r="ED1116" s="596" t="str">
        <f t="shared" si="5524"/>
        <v>#ERROR!</v>
      </c>
      <c r="EE1116" s="596" t="str">
        <f t="shared" si="5524"/>
        <v>#ERROR!</v>
      </c>
      <c r="EF1116" s="596" t="str">
        <f t="shared" si="5524"/>
        <v>#ERROR!</v>
      </c>
      <c r="EG1116" s="596" t="str">
        <f t="shared" si="5524"/>
        <v>#ERROR!</v>
      </c>
      <c r="EH1116" s="597" t="str">
        <f t="shared" si="5524"/>
        <v>#ERROR!</v>
      </c>
      <c r="EI1116" s="598" t="str">
        <f t="shared" si="5524"/>
        <v>#ERROR!</v>
      </c>
      <c r="EJ1116" s="596" t="str">
        <f t="shared" si="5524"/>
        <v>#ERROR!</v>
      </c>
      <c r="EK1116" s="596" t="str">
        <f t="shared" si="5524"/>
        <v>#ERROR!</v>
      </c>
      <c r="EL1116" s="596" t="str">
        <f t="shared" si="5524"/>
        <v>#ERROR!</v>
      </c>
      <c r="EM1116" s="597" t="str">
        <f t="shared" si="5524"/>
        <v>#ERROR!</v>
      </c>
      <c r="EN1116" s="596" t="str">
        <f t="shared" si="5524"/>
        <v>#ERROR!</v>
      </c>
      <c r="EO1116" s="596" t="str">
        <f t="shared" si="5524"/>
        <v>#ERROR!</v>
      </c>
      <c r="EP1116" s="596" t="str">
        <f t="shared" si="5524"/>
        <v>#ERROR!</v>
      </c>
      <c r="EQ1116" s="596" t="str">
        <f t="shared" si="5524"/>
        <v>#ERROR!</v>
      </c>
      <c r="ER1116" s="597" t="str">
        <f t="shared" si="5524"/>
        <v>#ERROR!</v>
      </c>
      <c r="ES1116" s="596" t="str">
        <f t="shared" si="5524"/>
        <v>#ERROR!</v>
      </c>
      <c r="ET1116" s="596" t="str">
        <f t="shared" si="5524"/>
        <v>#ERROR!</v>
      </c>
      <c r="EU1116" s="596" t="str">
        <f t="shared" si="5524"/>
        <v>#ERROR!</v>
      </c>
      <c r="EV1116" s="596" t="str">
        <f t="shared" si="5524"/>
        <v>#ERROR!</v>
      </c>
      <c r="EW1116" s="597" t="str">
        <f t="shared" si="5524"/>
        <v>#ERROR!</v>
      </c>
      <c r="EX1116" s="596" t="str">
        <f t="shared" si="5524"/>
        <v>#ERROR!</v>
      </c>
      <c r="EY1116" s="596" t="str">
        <f t="shared" si="5524"/>
        <v>#ERROR!</v>
      </c>
      <c r="EZ1116" s="596" t="str">
        <f t="shared" si="5524"/>
        <v>#ERROR!</v>
      </c>
      <c r="FA1116" s="596" t="str">
        <f t="shared" si="5524"/>
        <v>#ERROR!</v>
      </c>
      <c r="FB1116" s="597" t="str">
        <f t="shared" si="5524"/>
        <v>#ERROR!</v>
      </c>
      <c r="FC1116" s="596" t="str">
        <f t="shared" si="5524"/>
        <v>#ERROR!</v>
      </c>
      <c r="FD1116" s="596" t="str">
        <f t="shared" si="5524"/>
        <v>#ERROR!</v>
      </c>
      <c r="FE1116" s="596" t="str">
        <f t="shared" si="5524"/>
        <v>#ERROR!</v>
      </c>
      <c r="FF1116" s="596" t="str">
        <f t="shared" si="5524"/>
        <v>#ERROR!</v>
      </c>
      <c r="FG1116" s="597" t="str">
        <f t="shared" si="5524"/>
        <v>#ERROR!</v>
      </c>
      <c r="FH1116" s="595"/>
      <c r="FI1116" s="596"/>
      <c r="FJ1116" s="596"/>
      <c r="FK1116" s="596"/>
      <c r="FL1116" s="596"/>
    </row>
    <row r="1117" ht="12.75" hidden="1" customHeight="1" outlineLevel="1">
      <c r="A1117" s="4"/>
      <c r="B1117" s="4"/>
      <c r="C1117" s="4"/>
      <c r="D1117" s="4"/>
      <c r="E1117" s="4"/>
      <c r="F1117" s="4"/>
      <c r="G1117" s="4"/>
      <c r="H1117" s="45"/>
      <c r="I1117" s="4"/>
      <c r="J1117" s="4"/>
      <c r="K1117" s="4"/>
      <c r="L1117" s="4"/>
      <c r="M1117" s="45"/>
      <c r="N1117" s="4"/>
      <c r="O1117" s="4"/>
      <c r="P1117" s="4"/>
      <c r="Q1117" s="4"/>
      <c r="R1117" s="45"/>
      <c r="S1117" s="4"/>
      <c r="T1117" s="4"/>
      <c r="U1117" s="4"/>
      <c r="V1117" s="4"/>
      <c r="W1117" s="45"/>
      <c r="X1117" s="4"/>
      <c r="Y1117" s="4"/>
      <c r="Z1117" s="4"/>
      <c r="AA1117" s="4"/>
      <c r="AB1117" s="45"/>
      <c r="AC1117" s="4"/>
      <c r="AD1117" s="4"/>
      <c r="AE1117" s="4"/>
      <c r="AF1117" s="4"/>
      <c r="AG1117" s="45"/>
      <c r="AH1117" s="4"/>
      <c r="AI1117" s="4"/>
      <c r="AJ1117" s="4"/>
      <c r="AK1117" s="4"/>
      <c r="AL1117" s="45"/>
      <c r="AM1117" s="4"/>
      <c r="AN1117" s="4"/>
      <c r="AO1117" s="4"/>
      <c r="AP1117" s="4"/>
      <c r="AQ1117" s="45"/>
      <c r="AR1117" s="4"/>
      <c r="AS1117" s="4"/>
      <c r="AT1117" s="4"/>
      <c r="AU1117" s="4"/>
      <c r="AV1117" s="45"/>
      <c r="AW1117" s="4"/>
      <c r="AX1117" s="4"/>
      <c r="AY1117" s="4"/>
      <c r="AZ1117" s="4"/>
      <c r="BA1117" s="45"/>
      <c r="BB1117" s="4"/>
      <c r="BC1117" s="4"/>
      <c r="BD1117" s="4"/>
      <c r="BE1117" s="4"/>
      <c r="BF1117" s="45"/>
      <c r="BG1117" s="4"/>
      <c r="BH1117" s="4"/>
      <c r="BI1117" s="4"/>
      <c r="BJ1117" s="4"/>
      <c r="BK1117" s="45"/>
      <c r="BL1117" s="4"/>
      <c r="BM1117" s="4"/>
      <c r="BN1117" s="4"/>
      <c r="BO1117" s="4"/>
      <c r="BP1117" s="45"/>
      <c r="BQ1117" s="4"/>
      <c r="BR1117" s="4"/>
      <c r="BS1117" s="4"/>
      <c r="BT1117" s="4"/>
      <c r="BU1117" s="45"/>
      <c r="BV1117" s="4"/>
      <c r="BW1117" s="4"/>
      <c r="BX1117" s="4"/>
      <c r="BY1117" s="4"/>
      <c r="BZ1117" s="350"/>
      <c r="CA1117" s="4"/>
      <c r="CB1117" s="4"/>
      <c r="CC1117" s="4"/>
      <c r="CD1117" s="4"/>
      <c r="CE1117" s="350"/>
      <c r="CF1117" s="4"/>
      <c r="CG1117" s="4"/>
      <c r="CH1117" s="4"/>
      <c r="CI1117" s="4"/>
      <c r="CJ1117" s="350"/>
      <c r="CK1117" s="4"/>
      <c r="CL1117" s="4"/>
      <c r="CM1117" s="4"/>
      <c r="CN1117" s="16"/>
      <c r="CO1117" s="350"/>
      <c r="CP1117" s="16"/>
      <c r="CQ1117" s="4"/>
      <c r="CR1117" s="4"/>
      <c r="CS1117" s="4"/>
      <c r="CT1117" s="350"/>
      <c r="CU1117" s="4"/>
      <c r="CV1117" s="4"/>
      <c r="CW1117" s="4"/>
      <c r="CX1117" s="4"/>
      <c r="CY1117" s="350"/>
      <c r="CZ1117" s="4"/>
      <c r="DA1117" s="4"/>
      <c r="DB1117" s="4"/>
      <c r="DC1117" s="4"/>
      <c r="DD1117" s="350"/>
      <c r="DE1117" s="4"/>
      <c r="DF1117" s="4"/>
      <c r="DG1117" s="16"/>
      <c r="DH1117" s="4"/>
      <c r="DI1117" s="350"/>
      <c r="DJ1117" s="16"/>
      <c r="DK1117" s="16"/>
      <c r="DL1117" s="16"/>
      <c r="DM1117" s="4"/>
      <c r="DN1117" s="350"/>
      <c r="DO1117" s="4"/>
      <c r="DP1117" s="4"/>
      <c r="DQ1117" s="4"/>
      <c r="DR1117" s="4"/>
      <c r="DS1117" s="350"/>
      <c r="DT1117" s="4"/>
      <c r="DU1117" s="4"/>
      <c r="DV1117" s="4"/>
      <c r="DW1117" s="4"/>
      <c r="DX1117" s="350"/>
      <c r="DY1117" s="4"/>
      <c r="DZ1117" s="4"/>
      <c r="EA1117" s="4"/>
      <c r="EB1117" s="4"/>
      <c r="EC1117" s="350"/>
      <c r="ED1117" s="4"/>
      <c r="EE1117" s="4"/>
      <c r="EF1117" s="4"/>
      <c r="EG1117" s="4"/>
      <c r="EH1117" s="350"/>
      <c r="EI1117" s="214"/>
      <c r="EJ1117" s="4"/>
      <c r="EK1117" s="4"/>
      <c r="EL1117" s="4"/>
      <c r="EM1117" s="350"/>
      <c r="EN1117" s="4"/>
      <c r="EO1117" s="4"/>
      <c r="EP1117" s="4"/>
      <c r="EQ1117" s="4"/>
      <c r="ER1117" s="350"/>
      <c r="ES1117" s="4"/>
      <c r="ET1117" s="4"/>
      <c r="EU1117" s="4"/>
      <c r="EV1117" s="4"/>
      <c r="EW1117" s="350"/>
      <c r="EX1117" s="4"/>
      <c r="EY1117" s="4"/>
      <c r="EZ1117" s="4"/>
      <c r="FA1117" s="4"/>
      <c r="FB1117" s="350"/>
      <c r="FC1117" s="4"/>
      <c r="FD1117" s="4"/>
      <c r="FE1117" s="4"/>
      <c r="FF1117" s="4"/>
      <c r="FG1117" s="350"/>
      <c r="FH1117" s="145"/>
      <c r="FI1117" s="4"/>
      <c r="FJ1117" s="4"/>
      <c r="FK1117" s="45"/>
      <c r="FL1117" s="4"/>
    </row>
    <row r="1118" ht="12.75" hidden="1" customHeight="1" outlineLevel="2">
      <c r="A1118" s="4"/>
      <c r="B1118" s="45" t="s">
        <v>410</v>
      </c>
      <c r="C1118" s="4"/>
      <c r="D1118" s="4"/>
      <c r="E1118" s="4"/>
      <c r="F1118" s="4"/>
      <c r="G1118" s="4"/>
      <c r="H1118" s="45"/>
      <c r="I1118" s="4"/>
      <c r="J1118" s="4"/>
      <c r="K1118" s="4"/>
      <c r="L1118" s="4"/>
      <c r="M1118" s="45"/>
      <c r="N1118" s="4"/>
      <c r="O1118" s="4"/>
      <c r="P1118" s="4"/>
      <c r="Q1118" s="4"/>
      <c r="R1118" s="45"/>
      <c r="S1118" s="4"/>
      <c r="T1118" s="4"/>
      <c r="U1118" s="4"/>
      <c r="V1118" s="4"/>
      <c r="W1118" s="45"/>
      <c r="X1118" s="4"/>
      <c r="Y1118" s="4"/>
      <c r="Z1118" s="4"/>
      <c r="AA1118" s="4"/>
      <c r="AB1118" s="45"/>
      <c r="AC1118" s="4"/>
      <c r="AD1118" s="4"/>
      <c r="AE1118" s="4"/>
      <c r="AF1118" s="4"/>
      <c r="AG1118" s="45"/>
      <c r="AH1118" s="4"/>
      <c r="AI1118" s="4"/>
      <c r="AJ1118" s="4"/>
      <c r="AK1118" s="4"/>
      <c r="AL1118" s="45"/>
      <c r="AM1118" s="4"/>
      <c r="AN1118" s="4"/>
      <c r="AO1118" s="4"/>
      <c r="AP1118" s="4"/>
      <c r="AQ1118" s="45"/>
      <c r="AR1118" s="4"/>
      <c r="AS1118" s="4"/>
      <c r="AT1118" s="4"/>
      <c r="AU1118" s="4"/>
      <c r="AV1118" s="45"/>
      <c r="AW1118" s="4"/>
      <c r="AX1118" s="4"/>
      <c r="AY1118" s="4"/>
      <c r="AZ1118" s="4"/>
      <c r="BA1118" s="45"/>
      <c r="BB1118" s="4"/>
      <c r="BC1118" s="4"/>
      <c r="BD1118" s="4"/>
      <c r="BE1118" s="4"/>
      <c r="BF1118" s="45"/>
      <c r="BG1118" s="4"/>
      <c r="BH1118" s="4"/>
      <c r="BI1118" s="4"/>
      <c r="BJ1118" s="4"/>
      <c r="BK1118" s="45"/>
      <c r="BL1118" s="4"/>
      <c r="BM1118" s="4"/>
      <c r="BN1118" s="4"/>
      <c r="BO1118" s="4"/>
      <c r="BP1118" s="45"/>
      <c r="BQ1118" s="4"/>
      <c r="BR1118" s="4"/>
      <c r="BS1118" s="4"/>
      <c r="BT1118" s="4"/>
      <c r="BU1118" s="45"/>
      <c r="BV1118" s="4"/>
      <c r="BW1118" s="4"/>
      <c r="BX1118" s="4"/>
      <c r="BY1118" s="4"/>
      <c r="BZ1118" s="350"/>
      <c r="CA1118" s="4"/>
      <c r="CB1118" s="4"/>
      <c r="CC1118" s="4"/>
      <c r="CD1118" s="4"/>
      <c r="CE1118" s="350"/>
      <c r="CF1118" s="4"/>
      <c r="CG1118" s="4"/>
      <c r="CH1118" s="4"/>
      <c r="CI1118" s="4"/>
      <c r="CJ1118" s="350"/>
      <c r="CK1118" s="4"/>
      <c r="CL1118" s="4"/>
      <c r="CM1118" s="4"/>
      <c r="CN1118" s="16"/>
      <c r="CO1118" s="350"/>
      <c r="CP1118" s="16"/>
      <c r="CQ1118" s="4"/>
      <c r="CR1118" s="4"/>
      <c r="CS1118" s="4"/>
      <c r="CT1118" s="350"/>
      <c r="CU1118" s="4"/>
      <c r="CV1118" s="4"/>
      <c r="CW1118" s="4"/>
      <c r="CX1118" s="4"/>
      <c r="CY1118" s="350"/>
      <c r="CZ1118" s="4"/>
      <c r="DA1118" s="4"/>
      <c r="DB1118" s="4"/>
      <c r="DC1118" s="4"/>
      <c r="DD1118" s="350"/>
      <c r="DE1118" s="4"/>
      <c r="DF1118" s="4"/>
      <c r="DG1118" s="16"/>
      <c r="DH1118" s="4"/>
      <c r="DI1118" s="350"/>
      <c r="DJ1118" s="16"/>
      <c r="DK1118" s="16"/>
      <c r="DL1118" s="16"/>
      <c r="DM1118" s="4"/>
      <c r="DN1118" s="350"/>
      <c r="DO1118" s="4"/>
      <c r="DP1118" s="4"/>
      <c r="DQ1118" s="4"/>
      <c r="DR1118" s="4"/>
      <c r="DS1118" s="350"/>
      <c r="DT1118" s="4"/>
      <c r="DU1118" s="4"/>
      <c r="DV1118" s="4"/>
      <c r="DW1118" s="4"/>
      <c r="DX1118" s="350"/>
      <c r="DY1118" s="4"/>
      <c r="DZ1118" s="4"/>
      <c r="EA1118" s="4"/>
      <c r="EB1118" s="4"/>
      <c r="EC1118" s="350"/>
      <c r="ED1118" s="4"/>
      <c r="EE1118" s="4"/>
      <c r="EF1118" s="4"/>
      <c r="EG1118" s="4"/>
      <c r="EH1118" s="350"/>
      <c r="EI1118" s="214"/>
      <c r="EJ1118" s="4"/>
      <c r="EK1118" s="4"/>
      <c r="EL1118" s="4"/>
      <c r="EM1118" s="350"/>
      <c r="EN1118" s="4"/>
      <c r="EO1118" s="4"/>
      <c r="EP1118" s="4"/>
      <c r="EQ1118" s="4"/>
      <c r="ER1118" s="350"/>
      <c r="ES1118" s="4"/>
      <c r="ET1118" s="4"/>
      <c r="EU1118" s="4"/>
      <c r="EV1118" s="4"/>
      <c r="EW1118" s="350"/>
      <c r="EX1118" s="4"/>
      <c r="EY1118" s="4"/>
      <c r="EZ1118" s="4"/>
      <c r="FA1118" s="4"/>
      <c r="FB1118" s="350"/>
      <c r="FC1118" s="4"/>
      <c r="FD1118" s="4"/>
      <c r="FE1118" s="4"/>
      <c r="FF1118" s="4"/>
      <c r="FG1118" s="350"/>
      <c r="FH1118" s="145"/>
      <c r="FI1118" s="4"/>
      <c r="FJ1118" s="4"/>
      <c r="FK1118" s="45"/>
      <c r="FL1118" s="4"/>
    </row>
    <row r="1119" ht="12.75" hidden="1" customHeight="1" outlineLevel="2">
      <c r="A1119" s="4"/>
      <c r="B1119" s="4" t="s">
        <v>411</v>
      </c>
      <c r="C1119" s="4"/>
      <c r="D1119" s="17"/>
      <c r="E1119" s="17"/>
      <c r="F1119" s="17"/>
      <c r="G1119" s="17"/>
      <c r="H1119" s="73"/>
      <c r="I1119" s="17" t="str">
        <f>MobileSales</f>
        <v>#ERROR!</v>
      </c>
      <c r="J1119" s="17" t="str">
        <f>MobileSales</f>
        <v>#ERROR!</v>
      </c>
      <c r="K1119" s="17" t="str">
        <f>MobileSales</f>
        <v>#ERROR!</v>
      </c>
      <c r="L1119" s="17" t="str">
        <f>MobileSales</f>
        <v>#ERROR!</v>
      </c>
      <c r="M1119" s="73" t="str">
        <f>MobileSales</f>
        <v>#ERROR!</v>
      </c>
      <c r="N1119" s="17" t="str">
        <f>MobileSales</f>
        <v>#ERROR!</v>
      </c>
      <c r="O1119" s="17" t="str">
        <f>MobileSales</f>
        <v>#ERROR!</v>
      </c>
      <c r="P1119" s="17" t="str">
        <f>MobileSales</f>
        <v>#ERROR!</v>
      </c>
      <c r="Q1119" s="17" t="str">
        <f>MobileSales</f>
        <v>#ERROR!</v>
      </c>
      <c r="R1119" s="73" t="str">
        <f>MobileSales</f>
        <v>#ERROR!</v>
      </c>
      <c r="S1119" s="17" t="str">
        <f>MobileSales</f>
        <v>#ERROR!</v>
      </c>
      <c r="T1119" s="17" t="str">
        <f>MobileSales</f>
        <v>#ERROR!</v>
      </c>
      <c r="U1119" s="17" t="str">
        <f>MobileSales</f>
        <v>#ERROR!</v>
      </c>
      <c r="V1119" s="17" t="str">
        <f>MobileSales</f>
        <v>#ERROR!</v>
      </c>
      <c r="W1119" s="73" t="str">
        <f>MobileSales</f>
        <v>#ERROR!</v>
      </c>
      <c r="X1119" s="17" t="str">
        <f>MobileSales</f>
        <v>#ERROR!</v>
      </c>
      <c r="Y1119" s="17" t="str">
        <f>MobileSales</f>
        <v>#ERROR!</v>
      </c>
      <c r="Z1119" s="17" t="str">
        <f>MobileSales</f>
        <v>#ERROR!</v>
      </c>
      <c r="AA1119" s="17" t="str">
        <f>MobileSales</f>
        <v>#ERROR!</v>
      </c>
      <c r="AB1119" s="73" t="str">
        <f>MobileSales</f>
        <v>#ERROR!</v>
      </c>
      <c r="AC1119" s="17" t="str">
        <f>MobileSales</f>
        <v>#ERROR!</v>
      </c>
      <c r="AD1119" s="17" t="str">
        <f>MobileSales</f>
        <v>#ERROR!</v>
      </c>
      <c r="AE1119" s="17" t="str">
        <f>MobileSales</f>
        <v>#ERROR!</v>
      </c>
      <c r="AF1119" s="17" t="str">
        <f>MobileSales</f>
        <v>#ERROR!</v>
      </c>
      <c r="AG1119" s="73" t="str">
        <f>MobileSales</f>
        <v>#ERROR!</v>
      </c>
      <c r="AH1119" s="17" t="str">
        <f>MobileSales</f>
        <v>#ERROR!</v>
      </c>
      <c r="AI1119" s="17" t="str">
        <f>MobileSales</f>
        <v>#ERROR!</v>
      </c>
      <c r="AJ1119" s="17" t="str">
        <f>MobileSales</f>
        <v>#ERROR!</v>
      </c>
      <c r="AK1119" s="17" t="str">
        <f>MobileSales</f>
        <v>#ERROR!</v>
      </c>
      <c r="AL1119" s="73" t="str">
        <f>MobileSales</f>
        <v>#ERROR!</v>
      </c>
      <c r="AM1119" s="17" t="str">
        <f>MobileSales</f>
        <v>#ERROR!</v>
      </c>
      <c r="AN1119" s="17" t="str">
        <f>MobileSales</f>
        <v>#ERROR!</v>
      </c>
      <c r="AO1119" s="17" t="str">
        <f>MobileSales</f>
        <v>#ERROR!</v>
      </c>
      <c r="AP1119" s="17" t="str">
        <f>MobileSales</f>
        <v>#ERROR!</v>
      </c>
      <c r="AQ1119" s="73" t="str">
        <f>MobileSales</f>
        <v>#ERROR!</v>
      </c>
      <c r="AR1119" s="17" t="str">
        <f>MobileSales</f>
        <v>#ERROR!</v>
      </c>
      <c r="AS1119" s="17" t="str">
        <f>MobileSales</f>
        <v>#ERROR!</v>
      </c>
      <c r="AT1119" s="17" t="str">
        <f>MobileSales</f>
        <v>#ERROR!</v>
      </c>
      <c r="AU1119" s="17" t="str">
        <f>MobileSales</f>
        <v>#ERROR!</v>
      </c>
      <c r="AV1119" s="73" t="str">
        <f>MobileSales</f>
        <v>#ERROR!</v>
      </c>
      <c r="AW1119" s="17" t="str">
        <f>MobileSales</f>
        <v>#ERROR!</v>
      </c>
      <c r="AX1119" s="17" t="str">
        <f>MobileSales</f>
        <v>#ERROR!</v>
      </c>
      <c r="AY1119" s="17" t="str">
        <f>MobileSales</f>
        <v>#ERROR!</v>
      </c>
      <c r="AZ1119" s="17" t="str">
        <f>MobileSales</f>
        <v>#ERROR!</v>
      </c>
      <c r="BA1119" s="73" t="str">
        <f>MobileSales</f>
        <v>#ERROR!</v>
      </c>
      <c r="BB1119" s="17" t="str">
        <f>MobileSales</f>
        <v>#ERROR!</v>
      </c>
      <c r="BC1119" s="17" t="str">
        <f>MobileSales</f>
        <v>#ERROR!</v>
      </c>
      <c r="BD1119" s="17" t="str">
        <f>MobileSales</f>
        <v>#ERROR!</v>
      </c>
      <c r="BE1119" s="17" t="str">
        <f>MobileSales</f>
        <v>#ERROR!</v>
      </c>
      <c r="BF1119" s="73" t="str">
        <f>MobileSales</f>
        <v>#ERROR!</v>
      </c>
      <c r="BG1119" s="17" t="str">
        <f>MobileSales</f>
        <v>#ERROR!</v>
      </c>
      <c r="BH1119" s="17" t="str">
        <f>MobileSales</f>
        <v>#ERROR!</v>
      </c>
      <c r="BI1119" s="17" t="str">
        <f>MobileSales</f>
        <v>#ERROR!</v>
      </c>
      <c r="BJ1119" s="17" t="str">
        <f>MobileSales</f>
        <v>#ERROR!</v>
      </c>
      <c r="BK1119" s="73" t="str">
        <f>MobileSales</f>
        <v>#ERROR!</v>
      </c>
      <c r="BL1119" s="17" t="str">
        <f>MobileSales</f>
        <v>#ERROR!</v>
      </c>
      <c r="BM1119" s="17" t="str">
        <f>MobileSales</f>
        <v>#ERROR!</v>
      </c>
      <c r="BN1119" s="17" t="str">
        <f>MobileSales</f>
        <v>#ERROR!</v>
      </c>
      <c r="BO1119" s="17" t="str">
        <f>MobileSales</f>
        <v>#ERROR!</v>
      </c>
      <c r="BP1119" s="73" t="str">
        <f>MobileSales</f>
        <v>#ERROR!</v>
      </c>
      <c r="BQ1119" s="17" t="str">
        <f>MobileSales</f>
        <v>#ERROR!</v>
      </c>
      <c r="BR1119" s="17" t="str">
        <f>MobileSales</f>
        <v>#ERROR!</v>
      </c>
      <c r="BS1119" s="17" t="str">
        <f>MobileSales</f>
        <v>#ERROR!</v>
      </c>
      <c r="BT1119" s="17" t="str">
        <f>MobileSales</f>
        <v>#ERROR!</v>
      </c>
      <c r="BU1119" s="73" t="str">
        <f>MobileSales</f>
        <v>#ERROR!</v>
      </c>
      <c r="BV1119" s="17" t="str">
        <f>MobileSales</f>
        <v>#ERROR!</v>
      </c>
      <c r="BW1119" s="17" t="str">
        <f>MobileSales</f>
        <v>#ERROR!</v>
      </c>
      <c r="BX1119" s="17" t="str">
        <f>MobileSales</f>
        <v>#ERROR!</v>
      </c>
      <c r="BY1119" s="17" t="str">
        <f>MobileSales</f>
        <v>#ERROR!</v>
      </c>
      <c r="BZ1119" s="18" t="str">
        <f>MobileSales</f>
        <v>#ERROR!</v>
      </c>
      <c r="CA1119" s="17" t="str">
        <f>MobileSales</f>
        <v>#ERROR!</v>
      </c>
      <c r="CB1119" s="17" t="str">
        <f>MobileSales</f>
        <v>#ERROR!</v>
      </c>
      <c r="CC1119" s="17" t="str">
        <f>MobileSales</f>
        <v>#ERROR!</v>
      </c>
      <c r="CD1119" s="17" t="str">
        <f>MobileSales</f>
        <v>#ERROR!</v>
      </c>
      <c r="CE1119" s="18" t="str">
        <f>MobileSales</f>
        <v>#ERROR!</v>
      </c>
      <c r="CF1119" s="17" t="str">
        <f>MobileSales</f>
        <v>#ERROR!</v>
      </c>
      <c r="CG1119" s="17" t="str">
        <f>MobileSales</f>
        <v>#ERROR!</v>
      </c>
      <c r="CH1119" s="17" t="str">
        <f>MobileSales</f>
        <v>#ERROR!</v>
      </c>
      <c r="CI1119" s="17" t="str">
        <f>MobileSales</f>
        <v>#ERROR!</v>
      </c>
      <c r="CJ1119" s="18" t="str">
        <f>MobileSales</f>
        <v>#ERROR!</v>
      </c>
      <c r="CK1119" s="17" t="str">
        <f>MobileSales</f>
        <v>#ERROR!</v>
      </c>
      <c r="CL1119" s="17" t="str">
        <f>MobileSales</f>
        <v>#ERROR!</v>
      </c>
      <c r="CM1119" s="17" t="str">
        <f>MobileSales</f>
        <v>#ERROR!</v>
      </c>
      <c r="CN1119" s="19" t="str">
        <f>MobileSales</f>
        <v>#ERROR!</v>
      </c>
      <c r="CO1119" s="18" t="str">
        <f>MobileSales</f>
        <v>#ERROR!</v>
      </c>
      <c r="CP1119" s="19" t="str">
        <f>MobileSales</f>
        <v>#ERROR!</v>
      </c>
      <c r="CQ1119" s="17" t="str">
        <f>MobileSales</f>
        <v>#ERROR!</v>
      </c>
      <c r="CR1119" s="17" t="str">
        <f>MobileSales</f>
        <v>#ERROR!</v>
      </c>
      <c r="CS1119" s="17" t="str">
        <f>MobileSales</f>
        <v>#ERROR!</v>
      </c>
      <c r="CT1119" s="18" t="str">
        <f>MobileSales</f>
        <v>#ERROR!</v>
      </c>
      <c r="CU1119" s="17" t="str">
        <f>MobileSales</f>
        <v>#ERROR!</v>
      </c>
      <c r="CV1119" s="17" t="str">
        <f>MobileSales</f>
        <v>#ERROR!</v>
      </c>
      <c r="CW1119" s="17" t="str">
        <f>MobileSales</f>
        <v>#ERROR!</v>
      </c>
      <c r="CX1119" s="17" t="str">
        <f>MobileSales</f>
        <v>#ERROR!</v>
      </c>
      <c r="CY1119" s="18" t="str">
        <f>MobileSales</f>
        <v>#ERROR!</v>
      </c>
      <c r="CZ1119" s="17" t="str">
        <f>MobileSales</f>
        <v>#ERROR!</v>
      </c>
      <c r="DA1119" s="17" t="str">
        <f>MobileSales</f>
        <v>#ERROR!</v>
      </c>
      <c r="DB1119" s="17" t="str">
        <f>MobileSales</f>
        <v>#ERROR!</v>
      </c>
      <c r="DC1119" s="17" t="str">
        <f>MobileSales</f>
        <v>#ERROR!</v>
      </c>
      <c r="DD1119" s="18" t="str">
        <f>MobileSales</f>
        <v>#ERROR!</v>
      </c>
      <c r="DE1119" s="17" t="str">
        <f>MobileSales</f>
        <v>#ERROR!</v>
      </c>
      <c r="DF1119" s="17" t="str">
        <f>MobileSales</f>
        <v>#ERROR!</v>
      </c>
      <c r="DG1119" s="19" t="str">
        <f>MobileSales</f>
        <v>#ERROR!</v>
      </c>
      <c r="DH1119" s="17" t="str">
        <f>MobileSales</f>
        <v>#ERROR!</v>
      </c>
      <c r="DI1119" s="18" t="str">
        <f>MobileSales</f>
        <v>#ERROR!</v>
      </c>
      <c r="DJ1119" s="19" t="str">
        <f>MobileSales</f>
        <v>#ERROR!</v>
      </c>
      <c r="DK1119" s="19" t="str">
        <f>MobileSales</f>
        <v>#ERROR!</v>
      </c>
      <c r="DL1119" s="19" t="str">
        <f>MobileSales</f>
        <v>#ERROR!</v>
      </c>
      <c r="DM1119" s="17" t="str">
        <f>MobileSales</f>
        <v>#ERROR!</v>
      </c>
      <c r="DN1119" s="18" t="str">
        <f>MobileSales</f>
        <v>#ERROR!</v>
      </c>
      <c r="DO1119" s="17" t="str">
        <f>MobileSales</f>
        <v>#ERROR!</v>
      </c>
      <c r="DP1119" s="17" t="str">
        <f>MobileSales</f>
        <v>#ERROR!</v>
      </c>
      <c r="DQ1119" s="17" t="str">
        <f>MobileSales</f>
        <v>#ERROR!</v>
      </c>
      <c r="DR1119" s="17" t="str">
        <f>MobileSales</f>
        <v>#ERROR!</v>
      </c>
      <c r="DS1119" s="18" t="str">
        <f>MobileSales</f>
        <v>#ERROR!</v>
      </c>
      <c r="DT1119" s="17" t="str">
        <f>MobileSales</f>
        <v>#ERROR!</v>
      </c>
      <c r="DU1119" s="17" t="str">
        <f>MobileSales</f>
        <v>#ERROR!</v>
      </c>
      <c r="DV1119" s="17" t="str">
        <f>MobileSales</f>
        <v>#ERROR!</v>
      </c>
      <c r="DW1119" s="17" t="str">
        <f>MobileSales</f>
        <v>#ERROR!</v>
      </c>
      <c r="DX1119" s="18" t="str">
        <f>MobileSales</f>
        <v>#ERROR!</v>
      </c>
      <c r="DY1119" s="17" t="str">
        <f>MobileSales</f>
        <v>#ERROR!</v>
      </c>
      <c r="DZ1119" s="17" t="str">
        <f>MobileSales</f>
        <v>#ERROR!</v>
      </c>
      <c r="EA1119" s="17" t="str">
        <f>MobileSales</f>
        <v>#ERROR!</v>
      </c>
      <c r="EB1119" s="17" t="str">
        <f>MobileSales</f>
        <v>#ERROR!</v>
      </c>
      <c r="EC1119" s="18" t="str">
        <f>MobileSales</f>
        <v>#ERROR!</v>
      </c>
      <c r="ED1119" s="17" t="str">
        <f>MobileSales</f>
        <v>#ERROR!</v>
      </c>
      <c r="EE1119" s="17" t="str">
        <f>MobileSales</f>
        <v>#ERROR!</v>
      </c>
      <c r="EF1119" s="17" t="str">
        <f>MobileSales</f>
        <v>#ERROR!</v>
      </c>
      <c r="EG1119" s="17" t="str">
        <f>MobileSales</f>
        <v>#ERROR!</v>
      </c>
      <c r="EH1119" s="18" t="str">
        <f>MobileSales</f>
        <v>#ERROR!</v>
      </c>
      <c r="EI1119" s="25" t="str">
        <f>MobileSales</f>
        <v>#ERROR!</v>
      </c>
      <c r="EJ1119" s="17" t="str">
        <f>MobileSales</f>
        <v>#ERROR!</v>
      </c>
      <c r="EK1119" s="17" t="str">
        <f>MobileSales</f>
        <v>#ERROR!</v>
      </c>
      <c r="EL1119" s="17" t="str">
        <f>MobileSales</f>
        <v>#ERROR!</v>
      </c>
      <c r="EM1119" s="18" t="str">
        <f>MobileSales</f>
        <v>#ERROR!</v>
      </c>
      <c r="EN1119" s="17" t="str">
        <f>MobileSales</f>
        <v>#ERROR!</v>
      </c>
      <c r="EO1119" s="17" t="str">
        <f>MobileSales</f>
        <v>#ERROR!</v>
      </c>
      <c r="EP1119" s="17" t="str">
        <f>MobileSales</f>
        <v>#ERROR!</v>
      </c>
      <c r="EQ1119" s="17" t="str">
        <f>MobileSales</f>
        <v>#ERROR!</v>
      </c>
      <c r="ER1119" s="18" t="str">
        <f>MobileSales</f>
        <v>#ERROR!</v>
      </c>
      <c r="ES1119" s="17" t="str">
        <f>MobileSales</f>
        <v>#ERROR!</v>
      </c>
      <c r="ET1119" s="17" t="str">
        <f>MobileSales</f>
        <v>#ERROR!</v>
      </c>
      <c r="EU1119" s="17" t="str">
        <f>MobileSales</f>
        <v>#ERROR!</v>
      </c>
      <c r="EV1119" s="17" t="str">
        <f>MobileSales</f>
        <v>#ERROR!</v>
      </c>
      <c r="EW1119" s="18" t="str">
        <f>MobileSales</f>
        <v>#ERROR!</v>
      </c>
      <c r="EX1119" s="17" t="str">
        <f>MobileSales</f>
        <v>#ERROR!</v>
      </c>
      <c r="EY1119" s="17" t="str">
        <f>MobileSales</f>
        <v>#ERROR!</v>
      </c>
      <c r="EZ1119" s="17" t="str">
        <f>MobileSales</f>
        <v>#ERROR!</v>
      </c>
      <c r="FA1119" s="17" t="str">
        <f>MobileSales</f>
        <v>#ERROR!</v>
      </c>
      <c r="FB1119" s="18" t="str">
        <f>MobileSales</f>
        <v>#ERROR!</v>
      </c>
      <c r="FC1119" s="17" t="str">
        <f>MobileSales</f>
        <v>#ERROR!</v>
      </c>
      <c r="FD1119" s="17" t="str">
        <f>MobileSales</f>
        <v>#ERROR!</v>
      </c>
      <c r="FE1119" s="17" t="str">
        <f>MobileSales</f>
        <v>#ERROR!</v>
      </c>
      <c r="FF1119" s="17" t="str">
        <f>MobileSales</f>
        <v>#ERROR!</v>
      </c>
      <c r="FG1119" s="18" t="str">
        <f>MobileSales</f>
        <v>#ERROR!</v>
      </c>
      <c r="FH1119" s="74"/>
      <c r="FI1119" s="17"/>
      <c r="FJ1119" s="17"/>
      <c r="FK1119" s="73"/>
      <c r="FL1119" s="17"/>
    </row>
    <row r="1120" ht="12.75" hidden="1" customHeight="1" outlineLevel="2">
      <c r="A1120" s="4"/>
      <c r="B1120" s="4" t="s">
        <v>412</v>
      </c>
      <c r="C1120" s="4"/>
      <c r="D1120" s="17"/>
      <c r="E1120" s="17"/>
      <c r="F1120" s="17"/>
      <c r="G1120" s="17"/>
      <c r="H1120" s="73"/>
      <c r="I1120" s="17" t="e">
        <v>#REF!</v>
      </c>
      <c r="J1120" s="17" t="e">
        <v>#REF!</v>
      </c>
      <c r="K1120" s="17" t="e">
        <v>#REF!</v>
      </c>
      <c r="L1120" s="17" t="e">
        <v>#REF!</v>
      </c>
      <c r="M1120" s="73" t="e">
        <v>#REF!</v>
      </c>
      <c r="N1120" s="17" t="e">
        <v>#REF!</v>
      </c>
      <c r="O1120" s="17" t="e">
        <v>#REF!</v>
      </c>
      <c r="P1120" s="17" t="e">
        <v>#REF!</v>
      </c>
      <c r="Q1120" s="17" t="e">
        <v>#REF!</v>
      </c>
      <c r="R1120" s="73" t="e">
        <v>#REF!</v>
      </c>
      <c r="S1120" s="17" t="e">
        <v>#REF!</v>
      </c>
      <c r="T1120" s="17" t="e">
        <v>#REF!</v>
      </c>
      <c r="U1120" s="17" t="e">
        <v>#REF!</v>
      </c>
      <c r="V1120" s="17" t="e">
        <v>#REF!</v>
      </c>
      <c r="W1120" s="73" t="e">
        <v>#REF!</v>
      </c>
      <c r="X1120" s="17" t="e">
        <v>#REF!</v>
      </c>
      <c r="Y1120" s="17" t="e">
        <v>#REF!</v>
      </c>
      <c r="Z1120" s="17" t="e">
        <v>#REF!</v>
      </c>
      <c r="AA1120" s="17" t="e">
        <v>#REF!</v>
      </c>
      <c r="AB1120" s="73" t="e">
        <v>#REF!</v>
      </c>
      <c r="AC1120" s="17" t="e">
        <v>#REF!</v>
      </c>
      <c r="AD1120" s="17" t="e">
        <v>#REF!</v>
      </c>
      <c r="AE1120" s="17" t="e">
        <v>#REF!</v>
      </c>
      <c r="AF1120" s="17" t="e">
        <v>#REF!</v>
      </c>
      <c r="AG1120" s="73" t="e">
        <v>#REF!</v>
      </c>
      <c r="AH1120" s="17" t="e">
        <v>#REF!</v>
      </c>
      <c r="AI1120" s="17" t="e">
        <v>#REF!</v>
      </c>
      <c r="AJ1120" s="17" t="e">
        <v>#REF!</v>
      </c>
      <c r="AK1120" s="17" t="e">
        <v>#REF!</v>
      </c>
      <c r="AL1120" s="73" t="e">
        <v>#REF!</v>
      </c>
      <c r="AM1120" s="17" t="e">
        <v>#REF!</v>
      </c>
      <c r="AN1120" s="17" t="e">
        <v>#REF!</v>
      </c>
      <c r="AO1120" s="17" t="e">
        <v>#REF!</v>
      </c>
      <c r="AP1120" s="17" t="e">
        <v>#REF!</v>
      </c>
      <c r="AQ1120" s="73" t="e">
        <v>#REF!</v>
      </c>
      <c r="AR1120" s="17" t="e">
        <v>#REF!</v>
      </c>
      <c r="AS1120" s="17" t="e">
        <v>#REF!</v>
      </c>
      <c r="AT1120" s="17" t="e">
        <v>#REF!</v>
      </c>
      <c r="AU1120" s="17" t="e">
        <v>#REF!</v>
      </c>
      <c r="AV1120" s="73" t="e">
        <v>#REF!</v>
      </c>
      <c r="AW1120" s="17" t="e">
        <v>#REF!</v>
      </c>
      <c r="AX1120" s="17" t="e">
        <v>#REF!</v>
      </c>
      <c r="AY1120" s="17" t="e">
        <v>#REF!</v>
      </c>
      <c r="AZ1120" s="17" t="e">
        <v>#REF!</v>
      </c>
      <c r="BA1120" s="73" t="e">
        <v>#REF!</v>
      </c>
      <c r="BB1120" s="17" t="e">
        <v>#REF!</v>
      </c>
      <c r="BC1120" s="17" t="e">
        <v>#REF!</v>
      </c>
      <c r="BD1120" s="17" t="e">
        <v>#REF!</v>
      </c>
      <c r="BE1120" s="17" t="e">
        <v>#REF!</v>
      </c>
      <c r="BF1120" s="73" t="e">
        <v>#REF!</v>
      </c>
      <c r="BG1120" s="17" t="e">
        <v>#REF!</v>
      </c>
      <c r="BH1120" s="17" t="e">
        <v>#REF!</v>
      </c>
      <c r="BI1120" s="17" t="e">
        <v>#REF!</v>
      </c>
      <c r="BJ1120" s="17" t="e">
        <v>#REF!</v>
      </c>
      <c r="BK1120" s="73" t="e">
        <v>#REF!</v>
      </c>
      <c r="BL1120" s="17" t="e">
        <v>#REF!</v>
      </c>
      <c r="BM1120" s="17" t="e">
        <v>#REF!</v>
      </c>
      <c r="BN1120" s="17" t="e">
        <v>#REF!</v>
      </c>
      <c r="BO1120" s="17" t="e">
        <v>#REF!</v>
      </c>
      <c r="BP1120" s="73" t="e">
        <v>#REF!</v>
      </c>
      <c r="BQ1120" s="17" t="e">
        <v>#REF!</v>
      </c>
      <c r="BR1120" s="17" t="e">
        <v>#REF!</v>
      </c>
      <c r="BS1120" s="17" t="e">
        <v>#REF!</v>
      </c>
      <c r="BT1120" s="17" t="e">
        <v>#REF!</v>
      </c>
      <c r="BU1120" s="73" t="e">
        <v>#REF!</v>
      </c>
      <c r="BV1120" s="17" t="e">
        <v>#REF!</v>
      </c>
      <c r="BW1120" s="17" t="e">
        <v>#REF!</v>
      </c>
      <c r="BX1120" s="17" t="e">
        <v>#REF!</v>
      </c>
      <c r="BY1120" s="17" t="e">
        <v>#REF!</v>
      </c>
      <c r="BZ1120" s="18" t="e">
        <v>#REF!</v>
      </c>
      <c r="CA1120" s="17" t="e">
        <v>#REF!</v>
      </c>
      <c r="CB1120" s="17" t="e">
        <v>#REF!</v>
      </c>
      <c r="CC1120" s="17" t="e">
        <v>#REF!</v>
      </c>
      <c r="CD1120" s="17" t="e">
        <v>#REF!</v>
      </c>
      <c r="CE1120" s="18" t="e">
        <v>#REF!</v>
      </c>
      <c r="CF1120" s="17" t="e">
        <v>#REF!</v>
      </c>
      <c r="CG1120" s="17" t="e">
        <v>#REF!</v>
      </c>
      <c r="CH1120" s="17" t="e">
        <v>#REF!</v>
      </c>
      <c r="CI1120" s="17" t="e">
        <v>#REF!</v>
      </c>
      <c r="CJ1120" s="18" t="e">
        <v>#REF!</v>
      </c>
      <c r="CK1120" s="17" t="e">
        <v>#REF!</v>
      </c>
      <c r="CL1120" s="17" t="e">
        <v>#REF!</v>
      </c>
      <c r="CM1120" s="17" t="e">
        <v>#REF!</v>
      </c>
      <c r="CN1120" s="19" t="e">
        <v>#REF!</v>
      </c>
      <c r="CO1120" s="18" t="e">
        <v>#REF!</v>
      </c>
      <c r="CP1120" s="19" t="e">
        <v>#REF!</v>
      </c>
      <c r="CQ1120" s="17" t="e">
        <v>#REF!</v>
      </c>
      <c r="CR1120" s="17" t="e">
        <v>#REF!</v>
      </c>
      <c r="CS1120" s="17" t="e">
        <v>#REF!</v>
      </c>
      <c r="CT1120" s="18" t="e">
        <v>#REF!</v>
      </c>
      <c r="CU1120" s="17" t="e">
        <v>#REF!</v>
      </c>
      <c r="CV1120" s="17" t="e">
        <v>#REF!</v>
      </c>
      <c r="CW1120" s="17" t="e">
        <v>#REF!</v>
      </c>
      <c r="CX1120" s="17" t="e">
        <v>#REF!</v>
      </c>
      <c r="CY1120" s="18" t="e">
        <v>#REF!</v>
      </c>
      <c r="CZ1120" s="17" t="e">
        <v>#REF!</v>
      </c>
      <c r="DA1120" s="17" t="e">
        <v>#REF!</v>
      </c>
      <c r="DB1120" s="17" t="e">
        <v>#REF!</v>
      </c>
      <c r="DC1120" s="17" t="e">
        <v>#REF!</v>
      </c>
      <c r="DD1120" s="18" t="e">
        <v>#REF!</v>
      </c>
      <c r="DE1120" s="17" t="e">
        <v>#REF!</v>
      </c>
      <c r="DF1120" s="17" t="e">
        <v>#REF!</v>
      </c>
      <c r="DG1120" s="19" t="e">
        <v>#REF!</v>
      </c>
      <c r="DH1120" s="17" t="e">
        <v>#REF!</v>
      </c>
      <c r="DI1120" s="18" t="e">
        <v>#REF!</v>
      </c>
      <c r="DJ1120" s="19" t="e">
        <v>#REF!</v>
      </c>
      <c r="DK1120" s="19" t="e">
        <v>#REF!</v>
      </c>
      <c r="DL1120" s="19" t="e">
        <v>#REF!</v>
      </c>
      <c r="DM1120" s="17" t="e">
        <v>#REF!</v>
      </c>
      <c r="DN1120" s="18" t="e">
        <v>#REF!</v>
      </c>
      <c r="DO1120" s="17" t="e">
        <v>#REF!</v>
      </c>
      <c r="DP1120" s="17" t="e">
        <v>#REF!</v>
      </c>
      <c r="DQ1120" s="17" t="e">
        <v>#REF!</v>
      </c>
      <c r="DR1120" s="17" t="e">
        <v>#REF!</v>
      </c>
      <c r="DS1120" s="18" t="e">
        <v>#REF!</v>
      </c>
      <c r="DT1120" s="17" t="e">
        <v>#REF!</v>
      </c>
      <c r="DU1120" s="17" t="e">
        <v>#REF!</v>
      </c>
      <c r="DV1120" s="17" t="e">
        <v>#REF!</v>
      </c>
      <c r="DW1120" s="17" t="e">
        <v>#REF!</v>
      </c>
      <c r="DX1120" s="18" t="e">
        <v>#REF!</v>
      </c>
      <c r="DY1120" s="17" t="e">
        <v>#REF!</v>
      </c>
      <c r="DZ1120" s="17" t="e">
        <v>#REF!</v>
      </c>
      <c r="EA1120" s="17" t="e">
        <v>#REF!</v>
      </c>
      <c r="EB1120" s="17" t="e">
        <v>#REF!</v>
      </c>
      <c r="EC1120" s="18" t="e">
        <v>#REF!</v>
      </c>
      <c r="ED1120" s="17" t="e">
        <v>#REF!</v>
      </c>
      <c r="EE1120" s="17" t="e">
        <v>#REF!</v>
      </c>
      <c r="EF1120" s="17" t="e">
        <v>#REF!</v>
      </c>
      <c r="EG1120" s="17" t="e">
        <v>#REF!</v>
      </c>
      <c r="EH1120" s="18" t="e">
        <v>#REF!</v>
      </c>
      <c r="EI1120" s="25" t="e">
        <v>#REF!</v>
      </c>
      <c r="EJ1120" s="17" t="e">
        <v>#REF!</v>
      </c>
      <c r="EK1120" s="17" t="e">
        <v>#REF!</v>
      </c>
      <c r="EL1120" s="17" t="e">
        <v>#REF!</v>
      </c>
      <c r="EM1120" s="18" t="e">
        <v>#REF!</v>
      </c>
      <c r="EN1120" s="17" t="e">
        <v>#REF!</v>
      </c>
      <c r="EO1120" s="17" t="e">
        <v>#REF!</v>
      </c>
      <c r="EP1120" s="17" t="e">
        <v>#REF!</v>
      </c>
      <c r="EQ1120" s="17" t="e">
        <v>#REF!</v>
      </c>
      <c r="ER1120" s="18" t="e">
        <v>#REF!</v>
      </c>
      <c r="ES1120" s="17" t="e">
        <v>#REF!</v>
      </c>
      <c r="ET1120" s="17" t="e">
        <v>#REF!</v>
      </c>
      <c r="EU1120" s="17" t="e">
        <v>#REF!</v>
      </c>
      <c r="EV1120" s="17" t="e">
        <v>#REF!</v>
      </c>
      <c r="EW1120" s="18" t="e">
        <v>#REF!</v>
      </c>
      <c r="EX1120" s="17" t="e">
        <v>#REF!</v>
      </c>
      <c r="EY1120" s="17" t="e">
        <v>#REF!</v>
      </c>
      <c r="EZ1120" s="17" t="e">
        <v>#REF!</v>
      </c>
      <c r="FA1120" s="17" t="e">
        <v>#REF!</v>
      </c>
      <c r="FB1120" s="18" t="e">
        <v>#REF!</v>
      </c>
      <c r="FC1120" s="17" t="e">
        <v>#REF!</v>
      </c>
      <c r="FD1120" s="17" t="e">
        <v>#REF!</v>
      </c>
      <c r="FE1120" s="17" t="e">
        <v>#REF!</v>
      </c>
      <c r="FF1120" s="17" t="e">
        <v>#REF!</v>
      </c>
      <c r="FG1120" s="18" t="e">
        <v>#REF!</v>
      </c>
      <c r="FH1120" s="74"/>
      <c r="FI1120" s="17"/>
      <c r="FJ1120" s="17"/>
      <c r="FK1120" s="73"/>
      <c r="FL1120" s="17"/>
    </row>
    <row r="1121" ht="13.5" hidden="1" customHeight="1" outlineLevel="2">
      <c r="A1121" s="4"/>
      <c r="B1121" s="529" t="s">
        <v>291</v>
      </c>
      <c r="C1121" s="529"/>
      <c r="D1121" s="164"/>
      <c r="E1121" s="164"/>
      <c r="F1121" s="164"/>
      <c r="G1121" s="164"/>
      <c r="H1121" s="166"/>
      <c r="I1121" s="164" t="str">
        <f t="shared" ref="I1121:FG1121" si="5525">SUM(I1119,I1120)</f>
        <v>#ERROR!</v>
      </c>
      <c r="J1121" s="164" t="str">
        <f t="shared" si="5525"/>
        <v>#ERROR!</v>
      </c>
      <c r="K1121" s="164" t="str">
        <f t="shared" si="5525"/>
        <v>#ERROR!</v>
      </c>
      <c r="L1121" s="164" t="str">
        <f t="shared" si="5525"/>
        <v>#ERROR!</v>
      </c>
      <c r="M1121" s="166" t="str">
        <f t="shared" si="5525"/>
        <v>#ERROR!</v>
      </c>
      <c r="N1121" s="164" t="str">
        <f t="shared" si="5525"/>
        <v>#ERROR!</v>
      </c>
      <c r="O1121" s="164" t="str">
        <f t="shared" si="5525"/>
        <v>#ERROR!</v>
      </c>
      <c r="P1121" s="164" t="str">
        <f t="shared" si="5525"/>
        <v>#ERROR!</v>
      </c>
      <c r="Q1121" s="164" t="str">
        <f t="shared" si="5525"/>
        <v>#ERROR!</v>
      </c>
      <c r="R1121" s="166" t="str">
        <f t="shared" si="5525"/>
        <v>#ERROR!</v>
      </c>
      <c r="S1121" s="164" t="str">
        <f t="shared" si="5525"/>
        <v>#ERROR!</v>
      </c>
      <c r="T1121" s="164" t="str">
        <f t="shared" si="5525"/>
        <v>#ERROR!</v>
      </c>
      <c r="U1121" s="164" t="str">
        <f t="shared" si="5525"/>
        <v>#ERROR!</v>
      </c>
      <c r="V1121" s="164" t="str">
        <f t="shared" si="5525"/>
        <v>#ERROR!</v>
      </c>
      <c r="W1121" s="166" t="str">
        <f t="shared" si="5525"/>
        <v>#ERROR!</v>
      </c>
      <c r="X1121" s="164" t="str">
        <f t="shared" si="5525"/>
        <v>#ERROR!</v>
      </c>
      <c r="Y1121" s="164" t="str">
        <f t="shared" si="5525"/>
        <v>#ERROR!</v>
      </c>
      <c r="Z1121" s="164" t="str">
        <f t="shared" si="5525"/>
        <v>#ERROR!</v>
      </c>
      <c r="AA1121" s="164" t="str">
        <f t="shared" si="5525"/>
        <v>#ERROR!</v>
      </c>
      <c r="AB1121" s="166" t="str">
        <f t="shared" si="5525"/>
        <v>#ERROR!</v>
      </c>
      <c r="AC1121" s="164" t="str">
        <f t="shared" si="5525"/>
        <v>#ERROR!</v>
      </c>
      <c r="AD1121" s="164" t="str">
        <f t="shared" si="5525"/>
        <v>#ERROR!</v>
      </c>
      <c r="AE1121" s="164" t="str">
        <f t="shared" si="5525"/>
        <v>#ERROR!</v>
      </c>
      <c r="AF1121" s="164" t="str">
        <f t="shared" si="5525"/>
        <v>#ERROR!</v>
      </c>
      <c r="AG1121" s="166" t="str">
        <f t="shared" si="5525"/>
        <v>#ERROR!</v>
      </c>
      <c r="AH1121" s="164" t="str">
        <f t="shared" si="5525"/>
        <v>#ERROR!</v>
      </c>
      <c r="AI1121" s="164" t="str">
        <f t="shared" si="5525"/>
        <v>#ERROR!</v>
      </c>
      <c r="AJ1121" s="164" t="str">
        <f t="shared" si="5525"/>
        <v>#ERROR!</v>
      </c>
      <c r="AK1121" s="164" t="str">
        <f t="shared" si="5525"/>
        <v>#ERROR!</v>
      </c>
      <c r="AL1121" s="166" t="str">
        <f t="shared" si="5525"/>
        <v>#ERROR!</v>
      </c>
      <c r="AM1121" s="164" t="str">
        <f t="shared" si="5525"/>
        <v>#ERROR!</v>
      </c>
      <c r="AN1121" s="164" t="str">
        <f t="shared" si="5525"/>
        <v>#ERROR!</v>
      </c>
      <c r="AO1121" s="164" t="str">
        <f t="shared" si="5525"/>
        <v>#ERROR!</v>
      </c>
      <c r="AP1121" s="164" t="str">
        <f t="shared" si="5525"/>
        <v>#ERROR!</v>
      </c>
      <c r="AQ1121" s="166" t="str">
        <f t="shared" si="5525"/>
        <v>#ERROR!</v>
      </c>
      <c r="AR1121" s="164" t="str">
        <f t="shared" si="5525"/>
        <v>#ERROR!</v>
      </c>
      <c r="AS1121" s="164" t="str">
        <f t="shared" si="5525"/>
        <v>#ERROR!</v>
      </c>
      <c r="AT1121" s="164" t="str">
        <f t="shared" si="5525"/>
        <v>#ERROR!</v>
      </c>
      <c r="AU1121" s="164" t="str">
        <f t="shared" si="5525"/>
        <v>#ERROR!</v>
      </c>
      <c r="AV1121" s="166" t="str">
        <f t="shared" si="5525"/>
        <v>#ERROR!</v>
      </c>
      <c r="AW1121" s="164" t="str">
        <f t="shared" si="5525"/>
        <v>#ERROR!</v>
      </c>
      <c r="AX1121" s="164" t="str">
        <f t="shared" si="5525"/>
        <v>#ERROR!</v>
      </c>
      <c r="AY1121" s="164" t="str">
        <f t="shared" si="5525"/>
        <v>#ERROR!</v>
      </c>
      <c r="AZ1121" s="164" t="str">
        <f t="shared" si="5525"/>
        <v>#ERROR!</v>
      </c>
      <c r="BA1121" s="166" t="str">
        <f t="shared" si="5525"/>
        <v>#ERROR!</v>
      </c>
      <c r="BB1121" s="164" t="str">
        <f t="shared" si="5525"/>
        <v>#ERROR!</v>
      </c>
      <c r="BC1121" s="164" t="str">
        <f t="shared" si="5525"/>
        <v>#ERROR!</v>
      </c>
      <c r="BD1121" s="164" t="str">
        <f t="shared" si="5525"/>
        <v>#ERROR!</v>
      </c>
      <c r="BE1121" s="164" t="str">
        <f t="shared" si="5525"/>
        <v>#ERROR!</v>
      </c>
      <c r="BF1121" s="166" t="str">
        <f t="shared" si="5525"/>
        <v>#ERROR!</v>
      </c>
      <c r="BG1121" s="164" t="str">
        <f t="shared" si="5525"/>
        <v>#ERROR!</v>
      </c>
      <c r="BH1121" s="164" t="str">
        <f t="shared" si="5525"/>
        <v>#ERROR!</v>
      </c>
      <c r="BI1121" s="164" t="str">
        <f t="shared" si="5525"/>
        <v>#ERROR!</v>
      </c>
      <c r="BJ1121" s="164" t="str">
        <f t="shared" si="5525"/>
        <v>#ERROR!</v>
      </c>
      <c r="BK1121" s="166" t="str">
        <f t="shared" si="5525"/>
        <v>#ERROR!</v>
      </c>
      <c r="BL1121" s="164" t="str">
        <f t="shared" si="5525"/>
        <v>#ERROR!</v>
      </c>
      <c r="BM1121" s="164" t="str">
        <f t="shared" si="5525"/>
        <v>#ERROR!</v>
      </c>
      <c r="BN1121" s="164" t="str">
        <f t="shared" si="5525"/>
        <v>#ERROR!</v>
      </c>
      <c r="BO1121" s="164" t="str">
        <f t="shared" si="5525"/>
        <v>#ERROR!</v>
      </c>
      <c r="BP1121" s="166" t="str">
        <f t="shared" si="5525"/>
        <v>#ERROR!</v>
      </c>
      <c r="BQ1121" s="164" t="str">
        <f t="shared" si="5525"/>
        <v>#ERROR!</v>
      </c>
      <c r="BR1121" s="164" t="str">
        <f t="shared" si="5525"/>
        <v>#ERROR!</v>
      </c>
      <c r="BS1121" s="164" t="str">
        <f t="shared" si="5525"/>
        <v>#ERROR!</v>
      </c>
      <c r="BT1121" s="164" t="str">
        <f t="shared" si="5525"/>
        <v>#ERROR!</v>
      </c>
      <c r="BU1121" s="166" t="str">
        <f t="shared" si="5525"/>
        <v>#ERROR!</v>
      </c>
      <c r="BV1121" s="164" t="str">
        <f t="shared" si="5525"/>
        <v>#ERROR!</v>
      </c>
      <c r="BW1121" s="164" t="str">
        <f t="shared" si="5525"/>
        <v>#ERROR!</v>
      </c>
      <c r="BX1121" s="164" t="str">
        <f t="shared" si="5525"/>
        <v>#ERROR!</v>
      </c>
      <c r="BY1121" s="164" t="str">
        <f t="shared" si="5525"/>
        <v>#ERROR!</v>
      </c>
      <c r="BZ1121" s="168" t="str">
        <f t="shared" si="5525"/>
        <v>#ERROR!</v>
      </c>
      <c r="CA1121" s="164" t="str">
        <f t="shared" si="5525"/>
        <v>#ERROR!</v>
      </c>
      <c r="CB1121" s="164" t="str">
        <f t="shared" si="5525"/>
        <v>#ERROR!</v>
      </c>
      <c r="CC1121" s="164" t="str">
        <f t="shared" si="5525"/>
        <v>#ERROR!</v>
      </c>
      <c r="CD1121" s="164" t="str">
        <f t="shared" si="5525"/>
        <v>#ERROR!</v>
      </c>
      <c r="CE1121" s="168" t="str">
        <f t="shared" si="5525"/>
        <v>#ERROR!</v>
      </c>
      <c r="CF1121" s="164" t="str">
        <f t="shared" si="5525"/>
        <v>#ERROR!</v>
      </c>
      <c r="CG1121" s="164" t="str">
        <f t="shared" si="5525"/>
        <v>#ERROR!</v>
      </c>
      <c r="CH1121" s="164" t="str">
        <f t="shared" si="5525"/>
        <v>#ERROR!</v>
      </c>
      <c r="CI1121" s="164" t="str">
        <f t="shared" si="5525"/>
        <v>#ERROR!</v>
      </c>
      <c r="CJ1121" s="168" t="str">
        <f t="shared" si="5525"/>
        <v>#ERROR!</v>
      </c>
      <c r="CK1121" s="164" t="str">
        <f t="shared" si="5525"/>
        <v>#ERROR!</v>
      </c>
      <c r="CL1121" s="164" t="str">
        <f t="shared" si="5525"/>
        <v>#ERROR!</v>
      </c>
      <c r="CM1121" s="164" t="str">
        <f t="shared" si="5525"/>
        <v>#ERROR!</v>
      </c>
      <c r="CN1121" s="583" t="str">
        <f t="shared" si="5525"/>
        <v>#ERROR!</v>
      </c>
      <c r="CO1121" s="168" t="str">
        <f t="shared" si="5525"/>
        <v>#ERROR!</v>
      </c>
      <c r="CP1121" s="583" t="str">
        <f t="shared" si="5525"/>
        <v>#ERROR!</v>
      </c>
      <c r="CQ1121" s="164" t="str">
        <f t="shared" si="5525"/>
        <v>#ERROR!</v>
      </c>
      <c r="CR1121" s="164" t="str">
        <f t="shared" si="5525"/>
        <v>#ERROR!</v>
      </c>
      <c r="CS1121" s="164" t="str">
        <f t="shared" si="5525"/>
        <v>#ERROR!</v>
      </c>
      <c r="CT1121" s="168" t="str">
        <f t="shared" si="5525"/>
        <v>#ERROR!</v>
      </c>
      <c r="CU1121" s="164" t="str">
        <f t="shared" si="5525"/>
        <v>#ERROR!</v>
      </c>
      <c r="CV1121" s="164" t="str">
        <f t="shared" si="5525"/>
        <v>#ERROR!</v>
      </c>
      <c r="CW1121" s="164" t="str">
        <f t="shared" si="5525"/>
        <v>#ERROR!</v>
      </c>
      <c r="CX1121" s="164" t="str">
        <f t="shared" si="5525"/>
        <v>#ERROR!</v>
      </c>
      <c r="CY1121" s="168" t="str">
        <f t="shared" si="5525"/>
        <v>#ERROR!</v>
      </c>
      <c r="CZ1121" s="164" t="str">
        <f t="shared" si="5525"/>
        <v>#ERROR!</v>
      </c>
      <c r="DA1121" s="164" t="str">
        <f t="shared" si="5525"/>
        <v>#ERROR!</v>
      </c>
      <c r="DB1121" s="164" t="str">
        <f t="shared" si="5525"/>
        <v>#ERROR!</v>
      </c>
      <c r="DC1121" s="164" t="str">
        <f t="shared" si="5525"/>
        <v>#ERROR!</v>
      </c>
      <c r="DD1121" s="168" t="str">
        <f t="shared" si="5525"/>
        <v>#ERROR!</v>
      </c>
      <c r="DE1121" s="164" t="str">
        <f t="shared" si="5525"/>
        <v>#ERROR!</v>
      </c>
      <c r="DF1121" s="164" t="str">
        <f t="shared" si="5525"/>
        <v>#ERROR!</v>
      </c>
      <c r="DG1121" s="146" t="str">
        <f t="shared" si="5525"/>
        <v>#ERROR!</v>
      </c>
      <c r="DH1121" s="164" t="str">
        <f t="shared" si="5525"/>
        <v>#ERROR!</v>
      </c>
      <c r="DI1121" s="168" t="str">
        <f t="shared" si="5525"/>
        <v>#ERROR!</v>
      </c>
      <c r="DJ1121" s="583" t="str">
        <f t="shared" si="5525"/>
        <v>#ERROR!</v>
      </c>
      <c r="DK1121" s="583" t="str">
        <f t="shared" si="5525"/>
        <v>#ERROR!</v>
      </c>
      <c r="DL1121" s="583" t="str">
        <f t="shared" si="5525"/>
        <v>#ERROR!</v>
      </c>
      <c r="DM1121" s="164" t="str">
        <f t="shared" si="5525"/>
        <v>#ERROR!</v>
      </c>
      <c r="DN1121" s="168" t="str">
        <f t="shared" si="5525"/>
        <v>#ERROR!</v>
      </c>
      <c r="DO1121" s="164" t="str">
        <f t="shared" si="5525"/>
        <v>#ERROR!</v>
      </c>
      <c r="DP1121" s="164" t="str">
        <f t="shared" si="5525"/>
        <v>#ERROR!</v>
      </c>
      <c r="DQ1121" s="164" t="str">
        <f t="shared" si="5525"/>
        <v>#ERROR!</v>
      </c>
      <c r="DR1121" s="164" t="str">
        <f t="shared" si="5525"/>
        <v>#ERROR!</v>
      </c>
      <c r="DS1121" s="168" t="str">
        <f t="shared" si="5525"/>
        <v>#ERROR!</v>
      </c>
      <c r="DT1121" s="164" t="str">
        <f t="shared" si="5525"/>
        <v>#ERROR!</v>
      </c>
      <c r="DU1121" s="164" t="str">
        <f t="shared" si="5525"/>
        <v>#ERROR!</v>
      </c>
      <c r="DV1121" s="164" t="str">
        <f t="shared" si="5525"/>
        <v>#ERROR!</v>
      </c>
      <c r="DW1121" s="164" t="str">
        <f t="shared" si="5525"/>
        <v>#ERROR!</v>
      </c>
      <c r="DX1121" s="168" t="str">
        <f t="shared" si="5525"/>
        <v>#ERROR!</v>
      </c>
      <c r="DY1121" s="164" t="str">
        <f t="shared" si="5525"/>
        <v>#ERROR!</v>
      </c>
      <c r="DZ1121" s="164" t="str">
        <f t="shared" si="5525"/>
        <v>#ERROR!</v>
      </c>
      <c r="EA1121" s="164" t="str">
        <f t="shared" si="5525"/>
        <v>#ERROR!</v>
      </c>
      <c r="EB1121" s="164" t="str">
        <f t="shared" si="5525"/>
        <v>#ERROR!</v>
      </c>
      <c r="EC1121" s="168" t="str">
        <f t="shared" si="5525"/>
        <v>#ERROR!</v>
      </c>
      <c r="ED1121" s="164" t="str">
        <f t="shared" si="5525"/>
        <v>#ERROR!</v>
      </c>
      <c r="EE1121" s="164" t="str">
        <f t="shared" si="5525"/>
        <v>#ERROR!</v>
      </c>
      <c r="EF1121" s="164" t="str">
        <f t="shared" si="5525"/>
        <v>#ERROR!</v>
      </c>
      <c r="EG1121" s="164" t="str">
        <f t="shared" si="5525"/>
        <v>#ERROR!</v>
      </c>
      <c r="EH1121" s="168" t="str">
        <f t="shared" si="5525"/>
        <v>#ERROR!</v>
      </c>
      <c r="EI1121" s="584" t="str">
        <f t="shared" si="5525"/>
        <v>#ERROR!</v>
      </c>
      <c r="EJ1121" s="164" t="str">
        <f t="shared" si="5525"/>
        <v>#ERROR!</v>
      </c>
      <c r="EK1121" s="164" t="str">
        <f t="shared" si="5525"/>
        <v>#ERROR!</v>
      </c>
      <c r="EL1121" s="164" t="str">
        <f t="shared" si="5525"/>
        <v>#ERROR!</v>
      </c>
      <c r="EM1121" s="168" t="str">
        <f t="shared" si="5525"/>
        <v>#ERROR!</v>
      </c>
      <c r="EN1121" s="164" t="str">
        <f t="shared" si="5525"/>
        <v>#ERROR!</v>
      </c>
      <c r="EO1121" s="164" t="str">
        <f t="shared" si="5525"/>
        <v>#ERROR!</v>
      </c>
      <c r="EP1121" s="164" t="str">
        <f t="shared" si="5525"/>
        <v>#ERROR!</v>
      </c>
      <c r="EQ1121" s="164" t="str">
        <f t="shared" si="5525"/>
        <v>#ERROR!</v>
      </c>
      <c r="ER1121" s="168" t="str">
        <f t="shared" si="5525"/>
        <v>#ERROR!</v>
      </c>
      <c r="ES1121" s="164" t="str">
        <f t="shared" si="5525"/>
        <v>#ERROR!</v>
      </c>
      <c r="ET1121" s="164" t="str">
        <f t="shared" si="5525"/>
        <v>#ERROR!</v>
      </c>
      <c r="EU1121" s="164" t="str">
        <f t="shared" si="5525"/>
        <v>#ERROR!</v>
      </c>
      <c r="EV1121" s="164" t="str">
        <f t="shared" si="5525"/>
        <v>#ERROR!</v>
      </c>
      <c r="EW1121" s="168" t="str">
        <f t="shared" si="5525"/>
        <v>#ERROR!</v>
      </c>
      <c r="EX1121" s="164" t="str">
        <f t="shared" si="5525"/>
        <v>#ERROR!</v>
      </c>
      <c r="EY1121" s="164" t="str">
        <f t="shared" si="5525"/>
        <v>#ERROR!</v>
      </c>
      <c r="EZ1121" s="164" t="str">
        <f t="shared" si="5525"/>
        <v>#ERROR!</v>
      </c>
      <c r="FA1121" s="164" t="str">
        <f t="shared" si="5525"/>
        <v>#ERROR!</v>
      </c>
      <c r="FB1121" s="168" t="str">
        <f t="shared" si="5525"/>
        <v>#ERROR!</v>
      </c>
      <c r="FC1121" s="164" t="str">
        <f t="shared" si="5525"/>
        <v>#ERROR!</v>
      </c>
      <c r="FD1121" s="164" t="str">
        <f t="shared" si="5525"/>
        <v>#ERROR!</v>
      </c>
      <c r="FE1121" s="164" t="str">
        <f t="shared" si="5525"/>
        <v>#ERROR!</v>
      </c>
      <c r="FF1121" s="164" t="str">
        <f t="shared" si="5525"/>
        <v>#ERROR!</v>
      </c>
      <c r="FG1121" s="168" t="str">
        <f t="shared" si="5525"/>
        <v>#ERROR!</v>
      </c>
      <c r="FH1121" s="167"/>
      <c r="FI1121" s="164"/>
      <c r="FJ1121" s="164"/>
      <c r="FK1121" s="166"/>
      <c r="FL1121" s="164"/>
    </row>
    <row r="1122" ht="12.75" hidden="1" customHeight="1" outlineLevel="2">
      <c r="A1122" s="4"/>
      <c r="B1122" s="4"/>
      <c r="C1122" s="4"/>
      <c r="D1122" s="4"/>
      <c r="E1122" s="4"/>
      <c r="F1122" s="4"/>
      <c r="G1122" s="4"/>
      <c r="H1122" s="45"/>
      <c r="I1122" s="4"/>
      <c r="J1122" s="4"/>
      <c r="K1122" s="4"/>
      <c r="L1122" s="4"/>
      <c r="M1122" s="45"/>
      <c r="N1122" s="4"/>
      <c r="O1122" s="4"/>
      <c r="P1122" s="4"/>
      <c r="Q1122" s="4"/>
      <c r="R1122" s="45"/>
      <c r="S1122" s="4"/>
      <c r="T1122" s="4"/>
      <c r="U1122" s="4"/>
      <c r="V1122" s="4"/>
      <c r="W1122" s="45"/>
      <c r="X1122" s="4"/>
      <c r="Y1122" s="4"/>
      <c r="Z1122" s="4"/>
      <c r="AA1122" s="4"/>
      <c r="AB1122" s="45"/>
      <c r="AC1122" s="4"/>
      <c r="AD1122" s="4"/>
      <c r="AE1122" s="4"/>
      <c r="AF1122" s="4"/>
      <c r="AG1122" s="45"/>
      <c r="AH1122" s="4"/>
      <c r="AI1122" s="4"/>
      <c r="AJ1122" s="4"/>
      <c r="AK1122" s="4"/>
      <c r="AL1122" s="45"/>
      <c r="AM1122" s="4"/>
      <c r="AN1122" s="4"/>
      <c r="AO1122" s="4"/>
      <c r="AP1122" s="4"/>
      <c r="AQ1122" s="45"/>
      <c r="AR1122" s="4"/>
      <c r="AS1122" s="4"/>
      <c r="AT1122" s="4"/>
      <c r="AU1122" s="4"/>
      <c r="AV1122" s="45"/>
      <c r="AW1122" s="4"/>
      <c r="AX1122" s="4"/>
      <c r="AY1122" s="4"/>
      <c r="AZ1122" s="4"/>
      <c r="BA1122" s="45"/>
      <c r="BB1122" s="4"/>
      <c r="BC1122" s="4"/>
      <c r="BD1122" s="4"/>
      <c r="BE1122" s="4"/>
      <c r="BF1122" s="45"/>
      <c r="BG1122" s="4"/>
      <c r="BH1122" s="4"/>
      <c r="BI1122" s="4"/>
      <c r="BJ1122" s="4"/>
      <c r="BK1122" s="45"/>
      <c r="BL1122" s="4"/>
      <c r="BM1122" s="4"/>
      <c r="BN1122" s="4"/>
      <c r="BO1122" s="4"/>
      <c r="BP1122" s="45"/>
      <c r="BQ1122" s="4"/>
      <c r="BR1122" s="4"/>
      <c r="BS1122" s="4"/>
      <c r="BT1122" s="4"/>
      <c r="BU1122" s="45"/>
      <c r="BV1122" s="4"/>
      <c r="BW1122" s="4"/>
      <c r="BX1122" s="4"/>
      <c r="BY1122" s="4"/>
      <c r="BZ1122" s="350"/>
      <c r="CA1122" s="4"/>
      <c r="CB1122" s="4"/>
      <c r="CC1122" s="4"/>
      <c r="CD1122" s="4"/>
      <c r="CE1122" s="350"/>
      <c r="CF1122" s="4"/>
      <c r="CG1122" s="4"/>
      <c r="CH1122" s="4"/>
      <c r="CI1122" s="4"/>
      <c r="CJ1122" s="350"/>
      <c r="CK1122" s="4"/>
      <c r="CL1122" s="4"/>
      <c r="CM1122" s="4"/>
      <c r="CN1122" s="16"/>
      <c r="CO1122" s="350"/>
      <c r="CP1122" s="16"/>
      <c r="CQ1122" s="4"/>
      <c r="CR1122" s="4"/>
      <c r="CS1122" s="4"/>
      <c r="CT1122" s="350"/>
      <c r="CU1122" s="4"/>
      <c r="CV1122" s="4"/>
      <c r="CW1122" s="4"/>
      <c r="CX1122" s="4"/>
      <c r="CY1122" s="350"/>
      <c r="CZ1122" s="4"/>
      <c r="DA1122" s="4"/>
      <c r="DB1122" s="4"/>
      <c r="DC1122" s="4"/>
      <c r="DD1122" s="350"/>
      <c r="DE1122" s="4"/>
      <c r="DF1122" s="4"/>
      <c r="DG1122" s="16"/>
      <c r="DH1122" s="4"/>
      <c r="DI1122" s="350"/>
      <c r="DJ1122" s="16"/>
      <c r="DK1122" s="16"/>
      <c r="DL1122" s="16"/>
      <c r="DM1122" s="4"/>
      <c r="DN1122" s="350"/>
      <c r="DO1122" s="4"/>
      <c r="DP1122" s="4"/>
      <c r="DQ1122" s="4"/>
      <c r="DR1122" s="4"/>
      <c r="DS1122" s="350"/>
      <c r="DT1122" s="4"/>
      <c r="DU1122" s="4"/>
      <c r="DV1122" s="4"/>
      <c r="DW1122" s="4"/>
      <c r="DX1122" s="350"/>
      <c r="DY1122" s="4"/>
      <c r="DZ1122" s="4"/>
      <c r="EA1122" s="4"/>
      <c r="EB1122" s="4"/>
      <c r="EC1122" s="350"/>
      <c r="ED1122" s="4"/>
      <c r="EE1122" s="4"/>
      <c r="EF1122" s="4"/>
      <c r="EG1122" s="4"/>
      <c r="EH1122" s="350"/>
      <c r="EI1122" s="214"/>
      <c r="EJ1122" s="4"/>
      <c r="EK1122" s="4"/>
      <c r="EL1122" s="4"/>
      <c r="EM1122" s="350"/>
      <c r="EN1122" s="4"/>
      <c r="EO1122" s="4"/>
      <c r="EP1122" s="4"/>
      <c r="EQ1122" s="4"/>
      <c r="ER1122" s="350"/>
      <c r="ES1122" s="4"/>
      <c r="ET1122" s="4"/>
      <c r="EU1122" s="4"/>
      <c r="EV1122" s="4"/>
      <c r="EW1122" s="350"/>
      <c r="EX1122" s="4"/>
      <c r="EY1122" s="4"/>
      <c r="EZ1122" s="4"/>
      <c r="FA1122" s="4"/>
      <c r="FB1122" s="350"/>
      <c r="FC1122" s="4"/>
      <c r="FD1122" s="4"/>
      <c r="FE1122" s="4"/>
      <c r="FF1122" s="4"/>
      <c r="FG1122" s="350"/>
      <c r="FH1122" s="145"/>
      <c r="FI1122" s="4"/>
      <c r="FJ1122" s="4"/>
      <c r="FK1122" s="45"/>
      <c r="FL1122" s="4"/>
    </row>
    <row r="1123" ht="12.75" hidden="1" customHeight="1" outlineLevel="2">
      <c r="A1123" s="4"/>
      <c r="B1123" s="45" t="s">
        <v>407</v>
      </c>
      <c r="C1123" s="4"/>
      <c r="D1123" s="4"/>
      <c r="E1123" s="4"/>
      <c r="F1123" s="4"/>
      <c r="G1123" s="4"/>
      <c r="H1123" s="45"/>
      <c r="I1123" s="4"/>
      <c r="J1123" s="4"/>
      <c r="K1123" s="4"/>
      <c r="L1123" s="4"/>
      <c r="M1123" s="45"/>
      <c r="N1123" s="4"/>
      <c r="O1123" s="4"/>
      <c r="P1123" s="4"/>
      <c r="Q1123" s="4"/>
      <c r="R1123" s="45"/>
      <c r="S1123" s="4"/>
      <c r="T1123" s="4"/>
      <c r="U1123" s="4"/>
      <c r="V1123" s="4"/>
      <c r="W1123" s="45"/>
      <c r="X1123" s="4"/>
      <c r="Y1123" s="4"/>
      <c r="Z1123" s="4"/>
      <c r="AA1123" s="4"/>
      <c r="AB1123" s="45"/>
      <c r="AC1123" s="4"/>
      <c r="AD1123" s="4"/>
      <c r="AE1123" s="4"/>
      <c r="AF1123" s="4"/>
      <c r="AG1123" s="45"/>
      <c r="AH1123" s="4"/>
      <c r="AI1123" s="4"/>
      <c r="AJ1123" s="4"/>
      <c r="AK1123" s="4"/>
      <c r="AL1123" s="45"/>
      <c r="AM1123" s="4"/>
      <c r="AN1123" s="4"/>
      <c r="AO1123" s="4"/>
      <c r="AP1123" s="4"/>
      <c r="AQ1123" s="45"/>
      <c r="AR1123" s="4"/>
      <c r="AS1123" s="4"/>
      <c r="AT1123" s="4"/>
      <c r="AU1123" s="4"/>
      <c r="AV1123" s="45"/>
      <c r="AW1123" s="4"/>
      <c r="AX1123" s="4"/>
      <c r="AY1123" s="4"/>
      <c r="AZ1123" s="4"/>
      <c r="BA1123" s="45"/>
      <c r="BB1123" s="4"/>
      <c r="BC1123" s="4"/>
      <c r="BD1123" s="4"/>
      <c r="BE1123" s="4"/>
      <c r="BF1123" s="45"/>
      <c r="BG1123" s="4"/>
      <c r="BH1123" s="4"/>
      <c r="BI1123" s="4"/>
      <c r="BJ1123" s="4"/>
      <c r="BK1123" s="45"/>
      <c r="BL1123" s="4"/>
      <c r="BM1123" s="4"/>
      <c r="BN1123" s="4"/>
      <c r="BO1123" s="4"/>
      <c r="BP1123" s="45"/>
      <c r="BQ1123" s="4"/>
      <c r="BR1123" s="4"/>
      <c r="BS1123" s="4"/>
      <c r="BT1123" s="4"/>
      <c r="BU1123" s="45"/>
      <c r="BV1123" s="4"/>
      <c r="BW1123" s="4"/>
      <c r="BX1123" s="4"/>
      <c r="BY1123" s="4"/>
      <c r="BZ1123" s="350"/>
      <c r="CA1123" s="4"/>
      <c r="CB1123" s="4"/>
      <c r="CC1123" s="4"/>
      <c r="CD1123" s="4"/>
      <c r="CE1123" s="350"/>
      <c r="CF1123" s="4"/>
      <c r="CG1123" s="4"/>
      <c r="CH1123" s="4"/>
      <c r="CI1123" s="4"/>
      <c r="CJ1123" s="350"/>
      <c r="CK1123" s="4"/>
      <c r="CL1123" s="4"/>
      <c r="CM1123" s="4"/>
      <c r="CN1123" s="16"/>
      <c r="CO1123" s="350"/>
      <c r="CP1123" s="16"/>
      <c r="CQ1123" s="4"/>
      <c r="CR1123" s="4"/>
      <c r="CS1123" s="4"/>
      <c r="CT1123" s="350"/>
      <c r="CU1123" s="4"/>
      <c r="CV1123" s="4"/>
      <c r="CW1123" s="4"/>
      <c r="CX1123" s="4"/>
      <c r="CY1123" s="350"/>
      <c r="CZ1123" s="4"/>
      <c r="DA1123" s="4"/>
      <c r="DB1123" s="4"/>
      <c r="DC1123" s="4"/>
      <c r="DD1123" s="350"/>
      <c r="DE1123" s="4"/>
      <c r="DF1123" s="4"/>
      <c r="DG1123" s="16"/>
      <c r="DH1123" s="4"/>
      <c r="DI1123" s="350"/>
      <c r="DJ1123" s="16"/>
      <c r="DK1123" s="16"/>
      <c r="DL1123" s="16"/>
      <c r="DM1123" s="4"/>
      <c r="DN1123" s="350"/>
      <c r="DO1123" s="4"/>
      <c r="DP1123" s="4"/>
      <c r="DQ1123" s="4"/>
      <c r="DR1123" s="4"/>
      <c r="DS1123" s="350"/>
      <c r="DT1123" s="4"/>
      <c r="DU1123" s="4"/>
      <c r="DV1123" s="4"/>
      <c r="DW1123" s="4"/>
      <c r="DX1123" s="350"/>
      <c r="DY1123" s="4"/>
      <c r="DZ1123" s="4"/>
      <c r="EA1123" s="4"/>
      <c r="EB1123" s="4"/>
      <c r="EC1123" s="350"/>
      <c r="ED1123" s="4"/>
      <c r="EE1123" s="4"/>
      <c r="EF1123" s="4"/>
      <c r="EG1123" s="4"/>
      <c r="EH1123" s="350"/>
      <c r="EI1123" s="214"/>
      <c r="EJ1123" s="4"/>
      <c r="EK1123" s="4"/>
      <c r="EL1123" s="4"/>
      <c r="EM1123" s="350"/>
      <c r="EN1123" s="4"/>
      <c r="EO1123" s="4"/>
      <c r="EP1123" s="4"/>
      <c r="EQ1123" s="4"/>
      <c r="ER1123" s="350"/>
      <c r="ES1123" s="4"/>
      <c r="ET1123" s="4"/>
      <c r="EU1123" s="4"/>
      <c r="EV1123" s="4"/>
      <c r="EW1123" s="350"/>
      <c r="EX1123" s="4"/>
      <c r="EY1123" s="4"/>
      <c r="EZ1123" s="4"/>
      <c r="FA1123" s="4"/>
      <c r="FB1123" s="350"/>
      <c r="FC1123" s="4"/>
      <c r="FD1123" s="4"/>
      <c r="FE1123" s="4"/>
      <c r="FF1123" s="4"/>
      <c r="FG1123" s="350"/>
      <c r="FH1123" s="145"/>
      <c r="FI1123" s="4"/>
      <c r="FJ1123" s="4"/>
      <c r="FK1123" s="45"/>
      <c r="FL1123" s="4"/>
    </row>
    <row r="1124" ht="12.75" hidden="1" customHeight="1" outlineLevel="2">
      <c r="A1124" s="4"/>
      <c r="B1124" s="4" t="s">
        <v>413</v>
      </c>
      <c r="C1124" s="4"/>
      <c r="D1124" s="15"/>
      <c r="E1124" s="15"/>
      <c r="F1124" s="15"/>
      <c r="G1124" s="15"/>
      <c r="H1124" s="410"/>
      <c r="I1124" s="15" t="str">
        <f t="shared" ref="I1124:FG1124" si="5526">I1119/I$1121</f>
        <v>#ERROR!</v>
      </c>
      <c r="J1124" s="15" t="str">
        <f t="shared" si="5526"/>
        <v>#ERROR!</v>
      </c>
      <c r="K1124" s="15" t="str">
        <f t="shared" si="5526"/>
        <v>#ERROR!</v>
      </c>
      <c r="L1124" s="15" t="str">
        <f t="shared" si="5526"/>
        <v>#ERROR!</v>
      </c>
      <c r="M1124" s="410" t="str">
        <f t="shared" si="5526"/>
        <v>#ERROR!</v>
      </c>
      <c r="N1124" s="15" t="str">
        <f t="shared" si="5526"/>
        <v>#ERROR!</v>
      </c>
      <c r="O1124" s="15" t="str">
        <f t="shared" si="5526"/>
        <v>#ERROR!</v>
      </c>
      <c r="P1124" s="15" t="str">
        <f t="shared" si="5526"/>
        <v>#ERROR!</v>
      </c>
      <c r="Q1124" s="15" t="str">
        <f t="shared" si="5526"/>
        <v>#ERROR!</v>
      </c>
      <c r="R1124" s="410" t="str">
        <f t="shared" si="5526"/>
        <v>#ERROR!</v>
      </c>
      <c r="S1124" s="15" t="str">
        <f t="shared" si="5526"/>
        <v>#ERROR!</v>
      </c>
      <c r="T1124" s="15" t="str">
        <f t="shared" si="5526"/>
        <v>#ERROR!</v>
      </c>
      <c r="U1124" s="15" t="str">
        <f t="shared" si="5526"/>
        <v>#ERROR!</v>
      </c>
      <c r="V1124" s="15" t="str">
        <f t="shared" si="5526"/>
        <v>#ERROR!</v>
      </c>
      <c r="W1124" s="410" t="str">
        <f t="shared" si="5526"/>
        <v>#ERROR!</v>
      </c>
      <c r="X1124" s="15" t="str">
        <f t="shared" si="5526"/>
        <v>#ERROR!</v>
      </c>
      <c r="Y1124" s="15" t="str">
        <f t="shared" si="5526"/>
        <v>#ERROR!</v>
      </c>
      <c r="Z1124" s="15" t="str">
        <f t="shared" si="5526"/>
        <v>#ERROR!</v>
      </c>
      <c r="AA1124" s="15" t="str">
        <f t="shared" si="5526"/>
        <v>#ERROR!</v>
      </c>
      <c r="AB1124" s="410" t="str">
        <f t="shared" si="5526"/>
        <v>#ERROR!</v>
      </c>
      <c r="AC1124" s="15" t="str">
        <f t="shared" si="5526"/>
        <v>#ERROR!</v>
      </c>
      <c r="AD1124" s="15" t="str">
        <f t="shared" si="5526"/>
        <v>#ERROR!</v>
      </c>
      <c r="AE1124" s="15" t="str">
        <f t="shared" si="5526"/>
        <v>#ERROR!</v>
      </c>
      <c r="AF1124" s="15" t="str">
        <f t="shared" si="5526"/>
        <v>#ERROR!</v>
      </c>
      <c r="AG1124" s="410" t="str">
        <f t="shared" si="5526"/>
        <v>#ERROR!</v>
      </c>
      <c r="AH1124" s="15" t="str">
        <f t="shared" si="5526"/>
        <v>#ERROR!</v>
      </c>
      <c r="AI1124" s="15" t="str">
        <f t="shared" si="5526"/>
        <v>#ERROR!</v>
      </c>
      <c r="AJ1124" s="15" t="str">
        <f t="shared" si="5526"/>
        <v>#ERROR!</v>
      </c>
      <c r="AK1124" s="15" t="str">
        <f t="shared" si="5526"/>
        <v>#ERROR!</v>
      </c>
      <c r="AL1124" s="410" t="str">
        <f t="shared" si="5526"/>
        <v>#ERROR!</v>
      </c>
      <c r="AM1124" s="15" t="str">
        <f t="shared" si="5526"/>
        <v>#ERROR!</v>
      </c>
      <c r="AN1124" s="15" t="str">
        <f t="shared" si="5526"/>
        <v>#ERROR!</v>
      </c>
      <c r="AO1124" s="15" t="str">
        <f t="shared" si="5526"/>
        <v>#ERROR!</v>
      </c>
      <c r="AP1124" s="15" t="str">
        <f t="shared" si="5526"/>
        <v>#ERROR!</v>
      </c>
      <c r="AQ1124" s="410" t="str">
        <f t="shared" si="5526"/>
        <v>#ERROR!</v>
      </c>
      <c r="AR1124" s="15" t="str">
        <f t="shared" si="5526"/>
        <v>#ERROR!</v>
      </c>
      <c r="AS1124" s="15" t="str">
        <f t="shared" si="5526"/>
        <v>#ERROR!</v>
      </c>
      <c r="AT1124" s="15" t="str">
        <f t="shared" si="5526"/>
        <v>#ERROR!</v>
      </c>
      <c r="AU1124" s="15" t="str">
        <f t="shared" si="5526"/>
        <v>#ERROR!</v>
      </c>
      <c r="AV1124" s="410" t="str">
        <f t="shared" si="5526"/>
        <v>#ERROR!</v>
      </c>
      <c r="AW1124" s="15" t="str">
        <f t="shared" si="5526"/>
        <v>#ERROR!</v>
      </c>
      <c r="AX1124" s="15" t="str">
        <f t="shared" si="5526"/>
        <v>#ERROR!</v>
      </c>
      <c r="AY1124" s="15" t="str">
        <f t="shared" si="5526"/>
        <v>#ERROR!</v>
      </c>
      <c r="AZ1124" s="15" t="str">
        <f t="shared" si="5526"/>
        <v>#ERROR!</v>
      </c>
      <c r="BA1124" s="410" t="str">
        <f t="shared" si="5526"/>
        <v>#ERROR!</v>
      </c>
      <c r="BB1124" s="15" t="str">
        <f t="shared" si="5526"/>
        <v>#ERROR!</v>
      </c>
      <c r="BC1124" s="15" t="str">
        <f t="shared" si="5526"/>
        <v>#ERROR!</v>
      </c>
      <c r="BD1124" s="15" t="str">
        <f t="shared" si="5526"/>
        <v>#ERROR!</v>
      </c>
      <c r="BE1124" s="15" t="str">
        <f t="shared" si="5526"/>
        <v>#ERROR!</v>
      </c>
      <c r="BF1124" s="410" t="str">
        <f t="shared" si="5526"/>
        <v>#ERROR!</v>
      </c>
      <c r="BG1124" s="15" t="str">
        <f t="shared" si="5526"/>
        <v>#ERROR!</v>
      </c>
      <c r="BH1124" s="15" t="str">
        <f t="shared" si="5526"/>
        <v>#ERROR!</v>
      </c>
      <c r="BI1124" s="15" t="str">
        <f t="shared" si="5526"/>
        <v>#ERROR!</v>
      </c>
      <c r="BJ1124" s="15" t="str">
        <f t="shared" si="5526"/>
        <v>#ERROR!</v>
      </c>
      <c r="BK1124" s="410" t="str">
        <f t="shared" si="5526"/>
        <v>#ERROR!</v>
      </c>
      <c r="BL1124" s="15" t="str">
        <f t="shared" si="5526"/>
        <v>#ERROR!</v>
      </c>
      <c r="BM1124" s="15" t="str">
        <f t="shared" si="5526"/>
        <v>#ERROR!</v>
      </c>
      <c r="BN1124" s="15" t="str">
        <f t="shared" si="5526"/>
        <v>#ERROR!</v>
      </c>
      <c r="BO1124" s="15" t="str">
        <f t="shared" si="5526"/>
        <v>#ERROR!</v>
      </c>
      <c r="BP1124" s="410" t="str">
        <f t="shared" si="5526"/>
        <v>#ERROR!</v>
      </c>
      <c r="BQ1124" s="15" t="str">
        <f t="shared" si="5526"/>
        <v>#ERROR!</v>
      </c>
      <c r="BR1124" s="15" t="str">
        <f t="shared" si="5526"/>
        <v>#ERROR!</v>
      </c>
      <c r="BS1124" s="15" t="str">
        <f t="shared" si="5526"/>
        <v>#ERROR!</v>
      </c>
      <c r="BT1124" s="15" t="str">
        <f t="shared" si="5526"/>
        <v>#ERROR!</v>
      </c>
      <c r="BU1124" s="410" t="str">
        <f t="shared" si="5526"/>
        <v>#ERROR!</v>
      </c>
      <c r="BV1124" s="15" t="str">
        <f t="shared" si="5526"/>
        <v>#ERROR!</v>
      </c>
      <c r="BW1124" s="15" t="str">
        <f t="shared" si="5526"/>
        <v>#ERROR!</v>
      </c>
      <c r="BX1124" s="15" t="str">
        <f t="shared" si="5526"/>
        <v>#ERROR!</v>
      </c>
      <c r="BY1124" s="15" t="str">
        <f t="shared" si="5526"/>
        <v>#ERROR!</v>
      </c>
      <c r="BZ1124" s="24" t="str">
        <f t="shared" si="5526"/>
        <v>#ERROR!</v>
      </c>
      <c r="CA1124" s="15" t="str">
        <f t="shared" si="5526"/>
        <v>#ERROR!</v>
      </c>
      <c r="CB1124" s="15" t="str">
        <f t="shared" si="5526"/>
        <v>#ERROR!</v>
      </c>
      <c r="CC1124" s="15" t="str">
        <f t="shared" si="5526"/>
        <v>#ERROR!</v>
      </c>
      <c r="CD1124" s="15" t="str">
        <f t="shared" si="5526"/>
        <v>#ERROR!</v>
      </c>
      <c r="CE1124" s="24" t="str">
        <f t="shared" si="5526"/>
        <v>#ERROR!</v>
      </c>
      <c r="CF1124" s="15" t="str">
        <f t="shared" si="5526"/>
        <v>#ERROR!</v>
      </c>
      <c r="CG1124" s="15" t="str">
        <f t="shared" si="5526"/>
        <v>#ERROR!</v>
      </c>
      <c r="CH1124" s="15" t="str">
        <f t="shared" si="5526"/>
        <v>#ERROR!</v>
      </c>
      <c r="CI1124" s="15" t="str">
        <f t="shared" si="5526"/>
        <v>#ERROR!</v>
      </c>
      <c r="CJ1124" s="24" t="str">
        <f t="shared" si="5526"/>
        <v>#ERROR!</v>
      </c>
      <c r="CK1124" s="15" t="str">
        <f t="shared" si="5526"/>
        <v>#ERROR!</v>
      </c>
      <c r="CL1124" s="15" t="str">
        <f t="shared" si="5526"/>
        <v>#ERROR!</v>
      </c>
      <c r="CM1124" s="15" t="str">
        <f t="shared" si="5526"/>
        <v>#ERROR!</v>
      </c>
      <c r="CN1124" s="40" t="str">
        <f t="shared" si="5526"/>
        <v>#ERROR!</v>
      </c>
      <c r="CO1124" s="24" t="str">
        <f t="shared" si="5526"/>
        <v>#ERROR!</v>
      </c>
      <c r="CP1124" s="40" t="str">
        <f t="shared" si="5526"/>
        <v>#ERROR!</v>
      </c>
      <c r="CQ1124" s="15" t="str">
        <f t="shared" si="5526"/>
        <v>#ERROR!</v>
      </c>
      <c r="CR1124" s="15" t="str">
        <f t="shared" si="5526"/>
        <v>#ERROR!</v>
      </c>
      <c r="CS1124" s="15" t="str">
        <f t="shared" si="5526"/>
        <v>#ERROR!</v>
      </c>
      <c r="CT1124" s="24" t="str">
        <f t="shared" si="5526"/>
        <v>#ERROR!</v>
      </c>
      <c r="CU1124" s="15" t="str">
        <f t="shared" si="5526"/>
        <v>#ERROR!</v>
      </c>
      <c r="CV1124" s="15" t="str">
        <f t="shared" si="5526"/>
        <v>#ERROR!</v>
      </c>
      <c r="CW1124" s="15" t="str">
        <f t="shared" si="5526"/>
        <v>#ERROR!</v>
      </c>
      <c r="CX1124" s="15" t="str">
        <f t="shared" si="5526"/>
        <v>#ERROR!</v>
      </c>
      <c r="CY1124" s="24" t="str">
        <f t="shared" si="5526"/>
        <v>#ERROR!</v>
      </c>
      <c r="CZ1124" s="15" t="str">
        <f t="shared" si="5526"/>
        <v>#ERROR!</v>
      </c>
      <c r="DA1124" s="15" t="str">
        <f t="shared" si="5526"/>
        <v>#ERROR!</v>
      </c>
      <c r="DB1124" s="15" t="str">
        <f t="shared" si="5526"/>
        <v>#ERROR!</v>
      </c>
      <c r="DC1124" s="15" t="str">
        <f t="shared" si="5526"/>
        <v>#ERROR!</v>
      </c>
      <c r="DD1124" s="24" t="str">
        <f t="shared" si="5526"/>
        <v>#ERROR!</v>
      </c>
      <c r="DE1124" s="15" t="str">
        <f t="shared" si="5526"/>
        <v>#ERROR!</v>
      </c>
      <c r="DF1124" s="15" t="str">
        <f t="shared" si="5526"/>
        <v>#ERROR!</v>
      </c>
      <c r="DG1124" s="40" t="str">
        <f t="shared" si="5526"/>
        <v>#ERROR!</v>
      </c>
      <c r="DH1124" s="15" t="str">
        <f t="shared" si="5526"/>
        <v>#ERROR!</v>
      </c>
      <c r="DI1124" s="24" t="str">
        <f t="shared" si="5526"/>
        <v>#ERROR!</v>
      </c>
      <c r="DJ1124" s="40" t="str">
        <f t="shared" si="5526"/>
        <v>#ERROR!</v>
      </c>
      <c r="DK1124" s="40" t="str">
        <f t="shared" si="5526"/>
        <v>#ERROR!</v>
      </c>
      <c r="DL1124" s="40" t="str">
        <f t="shared" si="5526"/>
        <v>#ERROR!</v>
      </c>
      <c r="DM1124" s="15" t="str">
        <f t="shared" si="5526"/>
        <v>#ERROR!</v>
      </c>
      <c r="DN1124" s="24" t="str">
        <f t="shared" si="5526"/>
        <v>#ERROR!</v>
      </c>
      <c r="DO1124" s="15" t="str">
        <f t="shared" si="5526"/>
        <v>#ERROR!</v>
      </c>
      <c r="DP1124" s="15" t="str">
        <f t="shared" si="5526"/>
        <v>#ERROR!</v>
      </c>
      <c r="DQ1124" s="15" t="str">
        <f t="shared" si="5526"/>
        <v>#ERROR!</v>
      </c>
      <c r="DR1124" s="15" t="str">
        <f t="shared" si="5526"/>
        <v>#ERROR!</v>
      </c>
      <c r="DS1124" s="24" t="str">
        <f t="shared" si="5526"/>
        <v>#ERROR!</v>
      </c>
      <c r="DT1124" s="15" t="str">
        <f t="shared" si="5526"/>
        <v>#ERROR!</v>
      </c>
      <c r="DU1124" s="15" t="str">
        <f t="shared" si="5526"/>
        <v>#ERROR!</v>
      </c>
      <c r="DV1124" s="15" t="str">
        <f t="shared" si="5526"/>
        <v>#ERROR!</v>
      </c>
      <c r="DW1124" s="15" t="str">
        <f t="shared" si="5526"/>
        <v>#ERROR!</v>
      </c>
      <c r="DX1124" s="24" t="str">
        <f t="shared" si="5526"/>
        <v>#ERROR!</v>
      </c>
      <c r="DY1124" s="15" t="str">
        <f t="shared" si="5526"/>
        <v>#ERROR!</v>
      </c>
      <c r="DZ1124" s="15" t="str">
        <f t="shared" si="5526"/>
        <v>#ERROR!</v>
      </c>
      <c r="EA1124" s="15" t="str">
        <f t="shared" si="5526"/>
        <v>#ERROR!</v>
      </c>
      <c r="EB1124" s="15" t="str">
        <f t="shared" si="5526"/>
        <v>#ERROR!</v>
      </c>
      <c r="EC1124" s="24" t="str">
        <f t="shared" si="5526"/>
        <v>#ERROR!</v>
      </c>
      <c r="ED1124" s="15" t="str">
        <f t="shared" si="5526"/>
        <v>#ERROR!</v>
      </c>
      <c r="EE1124" s="15" t="str">
        <f t="shared" si="5526"/>
        <v>#ERROR!</v>
      </c>
      <c r="EF1124" s="15" t="str">
        <f t="shared" si="5526"/>
        <v>#ERROR!</v>
      </c>
      <c r="EG1124" s="15" t="str">
        <f t="shared" si="5526"/>
        <v>#ERROR!</v>
      </c>
      <c r="EH1124" s="24" t="str">
        <f t="shared" si="5526"/>
        <v>#ERROR!</v>
      </c>
      <c r="EI1124" s="82" t="str">
        <f t="shared" si="5526"/>
        <v>#ERROR!</v>
      </c>
      <c r="EJ1124" s="15" t="str">
        <f t="shared" si="5526"/>
        <v>#ERROR!</v>
      </c>
      <c r="EK1124" s="15" t="str">
        <f t="shared" si="5526"/>
        <v>#ERROR!</v>
      </c>
      <c r="EL1124" s="15" t="str">
        <f t="shared" si="5526"/>
        <v>#ERROR!</v>
      </c>
      <c r="EM1124" s="24" t="str">
        <f t="shared" si="5526"/>
        <v>#ERROR!</v>
      </c>
      <c r="EN1124" s="15" t="str">
        <f t="shared" si="5526"/>
        <v>#ERROR!</v>
      </c>
      <c r="EO1124" s="15" t="str">
        <f t="shared" si="5526"/>
        <v>#ERROR!</v>
      </c>
      <c r="EP1124" s="15" t="str">
        <f t="shared" si="5526"/>
        <v>#ERROR!</v>
      </c>
      <c r="EQ1124" s="15" t="str">
        <f t="shared" si="5526"/>
        <v>#ERROR!</v>
      </c>
      <c r="ER1124" s="24" t="str">
        <f t="shared" si="5526"/>
        <v>#ERROR!</v>
      </c>
      <c r="ES1124" s="15" t="str">
        <f t="shared" si="5526"/>
        <v>#ERROR!</v>
      </c>
      <c r="ET1124" s="15" t="str">
        <f t="shared" si="5526"/>
        <v>#ERROR!</v>
      </c>
      <c r="EU1124" s="15" t="str">
        <f t="shared" si="5526"/>
        <v>#ERROR!</v>
      </c>
      <c r="EV1124" s="15" t="str">
        <f t="shared" si="5526"/>
        <v>#ERROR!</v>
      </c>
      <c r="EW1124" s="24" t="str">
        <f t="shared" si="5526"/>
        <v>#ERROR!</v>
      </c>
      <c r="EX1124" s="15" t="str">
        <f t="shared" si="5526"/>
        <v>#ERROR!</v>
      </c>
      <c r="EY1124" s="15" t="str">
        <f t="shared" si="5526"/>
        <v>#ERROR!</v>
      </c>
      <c r="EZ1124" s="15" t="str">
        <f t="shared" si="5526"/>
        <v>#ERROR!</v>
      </c>
      <c r="FA1124" s="15" t="str">
        <f t="shared" si="5526"/>
        <v>#ERROR!</v>
      </c>
      <c r="FB1124" s="24" t="str">
        <f t="shared" si="5526"/>
        <v>#ERROR!</v>
      </c>
      <c r="FC1124" s="15" t="str">
        <f t="shared" si="5526"/>
        <v>#ERROR!</v>
      </c>
      <c r="FD1124" s="15" t="str">
        <f t="shared" si="5526"/>
        <v>#ERROR!</v>
      </c>
      <c r="FE1124" s="15" t="str">
        <f t="shared" si="5526"/>
        <v>#ERROR!</v>
      </c>
      <c r="FF1124" s="15" t="str">
        <f t="shared" si="5526"/>
        <v>#ERROR!</v>
      </c>
      <c r="FG1124" s="24" t="str">
        <f t="shared" si="5526"/>
        <v>#ERROR!</v>
      </c>
      <c r="FH1124" s="104"/>
      <c r="FI1124" s="15"/>
      <c r="FJ1124" s="15"/>
      <c r="FK1124" s="410"/>
      <c r="FL1124" s="15"/>
    </row>
    <row r="1125" ht="12.75" hidden="1" customHeight="1" outlineLevel="2">
      <c r="A1125" s="4"/>
      <c r="B1125" s="4" t="s">
        <v>414</v>
      </c>
      <c r="C1125" s="4"/>
      <c r="D1125" s="15"/>
      <c r="E1125" s="15"/>
      <c r="F1125" s="15"/>
      <c r="G1125" s="15"/>
      <c r="H1125" s="410"/>
      <c r="I1125" s="15" t="str">
        <f t="shared" ref="I1125:FG1125" si="5527">I1120/I$1121</f>
        <v>#REF!</v>
      </c>
      <c r="J1125" s="15" t="str">
        <f t="shared" si="5527"/>
        <v>#REF!</v>
      </c>
      <c r="K1125" s="15" t="str">
        <f t="shared" si="5527"/>
        <v>#REF!</v>
      </c>
      <c r="L1125" s="15" t="str">
        <f t="shared" si="5527"/>
        <v>#REF!</v>
      </c>
      <c r="M1125" s="410" t="str">
        <f t="shared" si="5527"/>
        <v>#REF!</v>
      </c>
      <c r="N1125" s="15" t="str">
        <f t="shared" si="5527"/>
        <v>#REF!</v>
      </c>
      <c r="O1125" s="15" t="str">
        <f t="shared" si="5527"/>
        <v>#REF!</v>
      </c>
      <c r="P1125" s="15" t="str">
        <f t="shared" si="5527"/>
        <v>#REF!</v>
      </c>
      <c r="Q1125" s="15" t="str">
        <f t="shared" si="5527"/>
        <v>#REF!</v>
      </c>
      <c r="R1125" s="410" t="str">
        <f t="shared" si="5527"/>
        <v>#REF!</v>
      </c>
      <c r="S1125" s="15" t="str">
        <f t="shared" si="5527"/>
        <v>#REF!</v>
      </c>
      <c r="T1125" s="15" t="str">
        <f t="shared" si="5527"/>
        <v>#REF!</v>
      </c>
      <c r="U1125" s="15" t="str">
        <f t="shared" si="5527"/>
        <v>#REF!</v>
      </c>
      <c r="V1125" s="15" t="str">
        <f t="shared" si="5527"/>
        <v>#REF!</v>
      </c>
      <c r="W1125" s="410" t="str">
        <f t="shared" si="5527"/>
        <v>#REF!</v>
      </c>
      <c r="X1125" s="15" t="str">
        <f t="shared" si="5527"/>
        <v>#REF!</v>
      </c>
      <c r="Y1125" s="15" t="str">
        <f t="shared" si="5527"/>
        <v>#REF!</v>
      </c>
      <c r="Z1125" s="15" t="str">
        <f t="shared" si="5527"/>
        <v>#REF!</v>
      </c>
      <c r="AA1125" s="15" t="str">
        <f t="shared" si="5527"/>
        <v>#REF!</v>
      </c>
      <c r="AB1125" s="410" t="str">
        <f t="shared" si="5527"/>
        <v>#REF!</v>
      </c>
      <c r="AC1125" s="15" t="str">
        <f t="shared" si="5527"/>
        <v>#REF!</v>
      </c>
      <c r="AD1125" s="15" t="str">
        <f t="shared" si="5527"/>
        <v>#REF!</v>
      </c>
      <c r="AE1125" s="15" t="str">
        <f t="shared" si="5527"/>
        <v>#REF!</v>
      </c>
      <c r="AF1125" s="15" t="str">
        <f t="shared" si="5527"/>
        <v>#REF!</v>
      </c>
      <c r="AG1125" s="410" t="str">
        <f t="shared" si="5527"/>
        <v>#REF!</v>
      </c>
      <c r="AH1125" s="15" t="str">
        <f t="shared" si="5527"/>
        <v>#REF!</v>
      </c>
      <c r="AI1125" s="15" t="str">
        <f t="shared" si="5527"/>
        <v>#REF!</v>
      </c>
      <c r="AJ1125" s="15" t="str">
        <f t="shared" si="5527"/>
        <v>#REF!</v>
      </c>
      <c r="AK1125" s="15" t="str">
        <f t="shared" si="5527"/>
        <v>#REF!</v>
      </c>
      <c r="AL1125" s="410" t="str">
        <f t="shared" si="5527"/>
        <v>#REF!</v>
      </c>
      <c r="AM1125" s="15" t="str">
        <f t="shared" si="5527"/>
        <v>#REF!</v>
      </c>
      <c r="AN1125" s="15" t="str">
        <f t="shared" si="5527"/>
        <v>#REF!</v>
      </c>
      <c r="AO1125" s="15" t="str">
        <f t="shared" si="5527"/>
        <v>#REF!</v>
      </c>
      <c r="AP1125" s="15" t="str">
        <f t="shared" si="5527"/>
        <v>#REF!</v>
      </c>
      <c r="AQ1125" s="410" t="str">
        <f t="shared" si="5527"/>
        <v>#REF!</v>
      </c>
      <c r="AR1125" s="15" t="str">
        <f t="shared" si="5527"/>
        <v>#REF!</v>
      </c>
      <c r="AS1125" s="15" t="str">
        <f t="shared" si="5527"/>
        <v>#REF!</v>
      </c>
      <c r="AT1125" s="15" t="str">
        <f t="shared" si="5527"/>
        <v>#REF!</v>
      </c>
      <c r="AU1125" s="15" t="str">
        <f t="shared" si="5527"/>
        <v>#REF!</v>
      </c>
      <c r="AV1125" s="410" t="str">
        <f t="shared" si="5527"/>
        <v>#REF!</v>
      </c>
      <c r="AW1125" s="15" t="str">
        <f t="shared" si="5527"/>
        <v>#REF!</v>
      </c>
      <c r="AX1125" s="15" t="str">
        <f t="shared" si="5527"/>
        <v>#REF!</v>
      </c>
      <c r="AY1125" s="15" t="str">
        <f t="shared" si="5527"/>
        <v>#REF!</v>
      </c>
      <c r="AZ1125" s="15" t="str">
        <f t="shared" si="5527"/>
        <v>#REF!</v>
      </c>
      <c r="BA1125" s="410" t="str">
        <f t="shared" si="5527"/>
        <v>#REF!</v>
      </c>
      <c r="BB1125" s="15" t="str">
        <f t="shared" si="5527"/>
        <v>#REF!</v>
      </c>
      <c r="BC1125" s="15" t="str">
        <f t="shared" si="5527"/>
        <v>#REF!</v>
      </c>
      <c r="BD1125" s="15" t="str">
        <f t="shared" si="5527"/>
        <v>#REF!</v>
      </c>
      <c r="BE1125" s="15" t="str">
        <f t="shared" si="5527"/>
        <v>#REF!</v>
      </c>
      <c r="BF1125" s="410" t="str">
        <f t="shared" si="5527"/>
        <v>#REF!</v>
      </c>
      <c r="BG1125" s="15" t="str">
        <f t="shared" si="5527"/>
        <v>#REF!</v>
      </c>
      <c r="BH1125" s="15" t="str">
        <f t="shared" si="5527"/>
        <v>#REF!</v>
      </c>
      <c r="BI1125" s="15" t="str">
        <f t="shared" si="5527"/>
        <v>#REF!</v>
      </c>
      <c r="BJ1125" s="15" t="str">
        <f t="shared" si="5527"/>
        <v>#REF!</v>
      </c>
      <c r="BK1125" s="410" t="str">
        <f t="shared" si="5527"/>
        <v>#REF!</v>
      </c>
      <c r="BL1125" s="15" t="str">
        <f t="shared" si="5527"/>
        <v>#REF!</v>
      </c>
      <c r="BM1125" s="15" t="str">
        <f t="shared" si="5527"/>
        <v>#REF!</v>
      </c>
      <c r="BN1125" s="15" t="str">
        <f t="shared" si="5527"/>
        <v>#REF!</v>
      </c>
      <c r="BO1125" s="15" t="str">
        <f t="shared" si="5527"/>
        <v>#REF!</v>
      </c>
      <c r="BP1125" s="410" t="str">
        <f t="shared" si="5527"/>
        <v>#REF!</v>
      </c>
      <c r="BQ1125" s="15" t="str">
        <f t="shared" si="5527"/>
        <v>#REF!</v>
      </c>
      <c r="BR1125" s="15" t="str">
        <f t="shared" si="5527"/>
        <v>#REF!</v>
      </c>
      <c r="BS1125" s="15" t="str">
        <f t="shared" si="5527"/>
        <v>#REF!</v>
      </c>
      <c r="BT1125" s="15" t="str">
        <f t="shared" si="5527"/>
        <v>#REF!</v>
      </c>
      <c r="BU1125" s="410" t="str">
        <f t="shared" si="5527"/>
        <v>#REF!</v>
      </c>
      <c r="BV1125" s="15" t="str">
        <f t="shared" si="5527"/>
        <v>#REF!</v>
      </c>
      <c r="BW1125" s="15" t="str">
        <f t="shared" si="5527"/>
        <v>#REF!</v>
      </c>
      <c r="BX1125" s="15" t="str">
        <f t="shared" si="5527"/>
        <v>#REF!</v>
      </c>
      <c r="BY1125" s="15" t="str">
        <f t="shared" si="5527"/>
        <v>#REF!</v>
      </c>
      <c r="BZ1125" s="24" t="str">
        <f t="shared" si="5527"/>
        <v>#REF!</v>
      </c>
      <c r="CA1125" s="15" t="str">
        <f t="shared" si="5527"/>
        <v>#REF!</v>
      </c>
      <c r="CB1125" s="15" t="str">
        <f t="shared" si="5527"/>
        <v>#REF!</v>
      </c>
      <c r="CC1125" s="15" t="str">
        <f t="shared" si="5527"/>
        <v>#REF!</v>
      </c>
      <c r="CD1125" s="15" t="str">
        <f t="shared" si="5527"/>
        <v>#REF!</v>
      </c>
      <c r="CE1125" s="24" t="str">
        <f t="shared" si="5527"/>
        <v>#REF!</v>
      </c>
      <c r="CF1125" s="15" t="str">
        <f t="shared" si="5527"/>
        <v>#REF!</v>
      </c>
      <c r="CG1125" s="15" t="str">
        <f t="shared" si="5527"/>
        <v>#REF!</v>
      </c>
      <c r="CH1125" s="15" t="str">
        <f t="shared" si="5527"/>
        <v>#REF!</v>
      </c>
      <c r="CI1125" s="15" t="str">
        <f t="shared" si="5527"/>
        <v>#REF!</v>
      </c>
      <c r="CJ1125" s="24" t="str">
        <f t="shared" si="5527"/>
        <v>#REF!</v>
      </c>
      <c r="CK1125" s="15" t="str">
        <f t="shared" si="5527"/>
        <v>#REF!</v>
      </c>
      <c r="CL1125" s="15" t="str">
        <f t="shared" si="5527"/>
        <v>#REF!</v>
      </c>
      <c r="CM1125" s="15" t="str">
        <f t="shared" si="5527"/>
        <v>#REF!</v>
      </c>
      <c r="CN1125" s="40" t="str">
        <f t="shared" si="5527"/>
        <v>#REF!</v>
      </c>
      <c r="CO1125" s="24" t="str">
        <f t="shared" si="5527"/>
        <v>#REF!</v>
      </c>
      <c r="CP1125" s="40" t="str">
        <f t="shared" si="5527"/>
        <v>#REF!</v>
      </c>
      <c r="CQ1125" s="15" t="str">
        <f t="shared" si="5527"/>
        <v>#REF!</v>
      </c>
      <c r="CR1125" s="15" t="str">
        <f t="shared" si="5527"/>
        <v>#REF!</v>
      </c>
      <c r="CS1125" s="15" t="str">
        <f t="shared" si="5527"/>
        <v>#REF!</v>
      </c>
      <c r="CT1125" s="24" t="str">
        <f t="shared" si="5527"/>
        <v>#REF!</v>
      </c>
      <c r="CU1125" s="15" t="str">
        <f t="shared" si="5527"/>
        <v>#REF!</v>
      </c>
      <c r="CV1125" s="15" t="str">
        <f t="shared" si="5527"/>
        <v>#REF!</v>
      </c>
      <c r="CW1125" s="15" t="str">
        <f t="shared" si="5527"/>
        <v>#REF!</v>
      </c>
      <c r="CX1125" s="15" t="str">
        <f t="shared" si="5527"/>
        <v>#REF!</v>
      </c>
      <c r="CY1125" s="24" t="str">
        <f t="shared" si="5527"/>
        <v>#REF!</v>
      </c>
      <c r="CZ1125" s="15" t="str">
        <f t="shared" si="5527"/>
        <v>#REF!</v>
      </c>
      <c r="DA1125" s="15" t="str">
        <f t="shared" si="5527"/>
        <v>#REF!</v>
      </c>
      <c r="DB1125" s="15" t="str">
        <f t="shared" si="5527"/>
        <v>#REF!</v>
      </c>
      <c r="DC1125" s="15" t="str">
        <f t="shared" si="5527"/>
        <v>#REF!</v>
      </c>
      <c r="DD1125" s="24" t="str">
        <f t="shared" si="5527"/>
        <v>#REF!</v>
      </c>
      <c r="DE1125" s="15" t="str">
        <f t="shared" si="5527"/>
        <v>#REF!</v>
      </c>
      <c r="DF1125" s="15" t="str">
        <f t="shared" si="5527"/>
        <v>#REF!</v>
      </c>
      <c r="DG1125" s="40" t="str">
        <f t="shared" si="5527"/>
        <v>#REF!</v>
      </c>
      <c r="DH1125" s="15" t="str">
        <f t="shared" si="5527"/>
        <v>#REF!</v>
      </c>
      <c r="DI1125" s="24" t="str">
        <f t="shared" si="5527"/>
        <v>#REF!</v>
      </c>
      <c r="DJ1125" s="40" t="str">
        <f t="shared" si="5527"/>
        <v>#REF!</v>
      </c>
      <c r="DK1125" s="40" t="str">
        <f t="shared" si="5527"/>
        <v>#REF!</v>
      </c>
      <c r="DL1125" s="40" t="str">
        <f t="shared" si="5527"/>
        <v>#REF!</v>
      </c>
      <c r="DM1125" s="15" t="str">
        <f t="shared" si="5527"/>
        <v>#REF!</v>
      </c>
      <c r="DN1125" s="24" t="str">
        <f t="shared" si="5527"/>
        <v>#REF!</v>
      </c>
      <c r="DO1125" s="15" t="str">
        <f t="shared" si="5527"/>
        <v>#REF!</v>
      </c>
      <c r="DP1125" s="15" t="str">
        <f t="shared" si="5527"/>
        <v>#REF!</v>
      </c>
      <c r="DQ1125" s="15" t="str">
        <f t="shared" si="5527"/>
        <v>#REF!</v>
      </c>
      <c r="DR1125" s="15" t="str">
        <f t="shared" si="5527"/>
        <v>#REF!</v>
      </c>
      <c r="DS1125" s="24" t="str">
        <f t="shared" si="5527"/>
        <v>#REF!</v>
      </c>
      <c r="DT1125" s="15" t="str">
        <f t="shared" si="5527"/>
        <v>#REF!</v>
      </c>
      <c r="DU1125" s="15" t="str">
        <f t="shared" si="5527"/>
        <v>#REF!</v>
      </c>
      <c r="DV1125" s="15" t="str">
        <f t="shared" si="5527"/>
        <v>#REF!</v>
      </c>
      <c r="DW1125" s="15" t="str">
        <f t="shared" si="5527"/>
        <v>#REF!</v>
      </c>
      <c r="DX1125" s="24" t="str">
        <f t="shared" si="5527"/>
        <v>#REF!</v>
      </c>
      <c r="DY1125" s="15" t="str">
        <f t="shared" si="5527"/>
        <v>#REF!</v>
      </c>
      <c r="DZ1125" s="15" t="str">
        <f t="shared" si="5527"/>
        <v>#REF!</v>
      </c>
      <c r="EA1125" s="15" t="str">
        <f t="shared" si="5527"/>
        <v>#REF!</v>
      </c>
      <c r="EB1125" s="15" t="str">
        <f t="shared" si="5527"/>
        <v>#REF!</v>
      </c>
      <c r="EC1125" s="24" t="str">
        <f t="shared" si="5527"/>
        <v>#REF!</v>
      </c>
      <c r="ED1125" s="15" t="str">
        <f t="shared" si="5527"/>
        <v>#REF!</v>
      </c>
      <c r="EE1125" s="15" t="str">
        <f t="shared" si="5527"/>
        <v>#REF!</v>
      </c>
      <c r="EF1125" s="15" t="str">
        <f t="shared" si="5527"/>
        <v>#REF!</v>
      </c>
      <c r="EG1125" s="15" t="str">
        <f t="shared" si="5527"/>
        <v>#REF!</v>
      </c>
      <c r="EH1125" s="24" t="str">
        <f t="shared" si="5527"/>
        <v>#REF!</v>
      </c>
      <c r="EI1125" s="82" t="str">
        <f t="shared" si="5527"/>
        <v>#REF!</v>
      </c>
      <c r="EJ1125" s="15" t="str">
        <f t="shared" si="5527"/>
        <v>#REF!</v>
      </c>
      <c r="EK1125" s="15" t="str">
        <f t="shared" si="5527"/>
        <v>#REF!</v>
      </c>
      <c r="EL1125" s="15" t="str">
        <f t="shared" si="5527"/>
        <v>#REF!</v>
      </c>
      <c r="EM1125" s="24" t="str">
        <f t="shared" si="5527"/>
        <v>#REF!</v>
      </c>
      <c r="EN1125" s="15" t="str">
        <f t="shared" si="5527"/>
        <v>#REF!</v>
      </c>
      <c r="EO1125" s="15" t="str">
        <f t="shared" si="5527"/>
        <v>#REF!</v>
      </c>
      <c r="EP1125" s="15" t="str">
        <f t="shared" si="5527"/>
        <v>#REF!</v>
      </c>
      <c r="EQ1125" s="15" t="str">
        <f t="shared" si="5527"/>
        <v>#REF!</v>
      </c>
      <c r="ER1125" s="24" t="str">
        <f t="shared" si="5527"/>
        <v>#REF!</v>
      </c>
      <c r="ES1125" s="15" t="str">
        <f t="shared" si="5527"/>
        <v>#REF!</v>
      </c>
      <c r="ET1125" s="15" t="str">
        <f t="shared" si="5527"/>
        <v>#REF!</v>
      </c>
      <c r="EU1125" s="15" t="str">
        <f t="shared" si="5527"/>
        <v>#REF!</v>
      </c>
      <c r="EV1125" s="15" t="str">
        <f t="shared" si="5527"/>
        <v>#REF!</v>
      </c>
      <c r="EW1125" s="24" t="str">
        <f t="shared" si="5527"/>
        <v>#REF!</v>
      </c>
      <c r="EX1125" s="15" t="str">
        <f t="shared" si="5527"/>
        <v>#REF!</v>
      </c>
      <c r="EY1125" s="15" t="str">
        <f t="shared" si="5527"/>
        <v>#REF!</v>
      </c>
      <c r="EZ1125" s="15" t="str">
        <f t="shared" si="5527"/>
        <v>#REF!</v>
      </c>
      <c r="FA1125" s="15" t="str">
        <f t="shared" si="5527"/>
        <v>#REF!</v>
      </c>
      <c r="FB1125" s="24" t="str">
        <f t="shared" si="5527"/>
        <v>#REF!</v>
      </c>
      <c r="FC1125" s="15" t="str">
        <f t="shared" si="5527"/>
        <v>#REF!</v>
      </c>
      <c r="FD1125" s="15" t="str">
        <f t="shared" si="5527"/>
        <v>#REF!</v>
      </c>
      <c r="FE1125" s="15" t="str">
        <f t="shared" si="5527"/>
        <v>#REF!</v>
      </c>
      <c r="FF1125" s="15" t="str">
        <f t="shared" si="5527"/>
        <v>#REF!</v>
      </c>
      <c r="FG1125" s="24" t="str">
        <f t="shared" si="5527"/>
        <v>#REF!</v>
      </c>
      <c r="FH1125" s="104"/>
      <c r="FI1125" s="15"/>
      <c r="FJ1125" s="15"/>
      <c r="FK1125" s="410"/>
      <c r="FL1125" s="15"/>
    </row>
    <row r="1126" ht="13.5" hidden="1" customHeight="1" outlineLevel="2">
      <c r="A1126" s="4"/>
      <c r="B1126" s="529" t="s">
        <v>291</v>
      </c>
      <c r="C1126" s="529"/>
      <c r="D1126" s="596"/>
      <c r="E1126" s="596"/>
      <c r="F1126" s="596"/>
      <c r="G1126" s="596"/>
      <c r="H1126" s="596"/>
      <c r="I1126" s="596" t="str">
        <f t="shared" ref="I1126:FG1126" si="5528">I1121/I$1121</f>
        <v>#ERROR!</v>
      </c>
      <c r="J1126" s="596" t="str">
        <f t="shared" si="5528"/>
        <v>#ERROR!</v>
      </c>
      <c r="K1126" s="596" t="str">
        <f t="shared" si="5528"/>
        <v>#ERROR!</v>
      </c>
      <c r="L1126" s="596" t="str">
        <f t="shared" si="5528"/>
        <v>#ERROR!</v>
      </c>
      <c r="M1126" s="596" t="str">
        <f t="shared" si="5528"/>
        <v>#ERROR!</v>
      </c>
      <c r="N1126" s="596" t="str">
        <f t="shared" si="5528"/>
        <v>#ERROR!</v>
      </c>
      <c r="O1126" s="596" t="str">
        <f t="shared" si="5528"/>
        <v>#ERROR!</v>
      </c>
      <c r="P1126" s="596" t="str">
        <f t="shared" si="5528"/>
        <v>#ERROR!</v>
      </c>
      <c r="Q1126" s="596" t="str">
        <f t="shared" si="5528"/>
        <v>#ERROR!</v>
      </c>
      <c r="R1126" s="596" t="str">
        <f t="shared" si="5528"/>
        <v>#ERROR!</v>
      </c>
      <c r="S1126" s="596" t="str">
        <f t="shared" si="5528"/>
        <v>#ERROR!</v>
      </c>
      <c r="T1126" s="596" t="str">
        <f t="shared" si="5528"/>
        <v>#ERROR!</v>
      </c>
      <c r="U1126" s="596" t="str">
        <f t="shared" si="5528"/>
        <v>#ERROR!</v>
      </c>
      <c r="V1126" s="596" t="str">
        <f t="shared" si="5528"/>
        <v>#ERROR!</v>
      </c>
      <c r="W1126" s="596" t="str">
        <f t="shared" si="5528"/>
        <v>#ERROR!</v>
      </c>
      <c r="X1126" s="596" t="str">
        <f t="shared" si="5528"/>
        <v>#ERROR!</v>
      </c>
      <c r="Y1126" s="596" t="str">
        <f t="shared" si="5528"/>
        <v>#ERROR!</v>
      </c>
      <c r="Z1126" s="596" t="str">
        <f t="shared" si="5528"/>
        <v>#ERROR!</v>
      </c>
      <c r="AA1126" s="596" t="str">
        <f t="shared" si="5528"/>
        <v>#ERROR!</v>
      </c>
      <c r="AB1126" s="596" t="str">
        <f t="shared" si="5528"/>
        <v>#ERROR!</v>
      </c>
      <c r="AC1126" s="596" t="str">
        <f t="shared" si="5528"/>
        <v>#ERROR!</v>
      </c>
      <c r="AD1126" s="596" t="str">
        <f t="shared" si="5528"/>
        <v>#ERROR!</v>
      </c>
      <c r="AE1126" s="596" t="str">
        <f t="shared" si="5528"/>
        <v>#ERROR!</v>
      </c>
      <c r="AF1126" s="596" t="str">
        <f t="shared" si="5528"/>
        <v>#ERROR!</v>
      </c>
      <c r="AG1126" s="596" t="str">
        <f t="shared" si="5528"/>
        <v>#ERROR!</v>
      </c>
      <c r="AH1126" s="596" t="str">
        <f t="shared" si="5528"/>
        <v>#ERROR!</v>
      </c>
      <c r="AI1126" s="596" t="str">
        <f t="shared" si="5528"/>
        <v>#ERROR!</v>
      </c>
      <c r="AJ1126" s="596" t="str">
        <f t="shared" si="5528"/>
        <v>#ERROR!</v>
      </c>
      <c r="AK1126" s="596" t="str">
        <f t="shared" si="5528"/>
        <v>#ERROR!</v>
      </c>
      <c r="AL1126" s="596" t="str">
        <f t="shared" si="5528"/>
        <v>#ERROR!</v>
      </c>
      <c r="AM1126" s="596" t="str">
        <f t="shared" si="5528"/>
        <v>#ERROR!</v>
      </c>
      <c r="AN1126" s="596" t="str">
        <f t="shared" si="5528"/>
        <v>#ERROR!</v>
      </c>
      <c r="AO1126" s="596" t="str">
        <f t="shared" si="5528"/>
        <v>#ERROR!</v>
      </c>
      <c r="AP1126" s="596" t="str">
        <f t="shared" si="5528"/>
        <v>#ERROR!</v>
      </c>
      <c r="AQ1126" s="596" t="str">
        <f t="shared" si="5528"/>
        <v>#ERROR!</v>
      </c>
      <c r="AR1126" s="596" t="str">
        <f t="shared" si="5528"/>
        <v>#ERROR!</v>
      </c>
      <c r="AS1126" s="596" t="str">
        <f t="shared" si="5528"/>
        <v>#ERROR!</v>
      </c>
      <c r="AT1126" s="596" t="str">
        <f t="shared" si="5528"/>
        <v>#ERROR!</v>
      </c>
      <c r="AU1126" s="596" t="str">
        <f t="shared" si="5528"/>
        <v>#ERROR!</v>
      </c>
      <c r="AV1126" s="596" t="str">
        <f t="shared" si="5528"/>
        <v>#ERROR!</v>
      </c>
      <c r="AW1126" s="596" t="str">
        <f t="shared" si="5528"/>
        <v>#ERROR!</v>
      </c>
      <c r="AX1126" s="596" t="str">
        <f t="shared" si="5528"/>
        <v>#ERROR!</v>
      </c>
      <c r="AY1126" s="596" t="str">
        <f t="shared" si="5528"/>
        <v>#ERROR!</v>
      </c>
      <c r="AZ1126" s="596" t="str">
        <f t="shared" si="5528"/>
        <v>#ERROR!</v>
      </c>
      <c r="BA1126" s="596" t="str">
        <f t="shared" si="5528"/>
        <v>#ERROR!</v>
      </c>
      <c r="BB1126" s="596" t="str">
        <f t="shared" si="5528"/>
        <v>#ERROR!</v>
      </c>
      <c r="BC1126" s="596" t="str">
        <f t="shared" si="5528"/>
        <v>#ERROR!</v>
      </c>
      <c r="BD1126" s="596" t="str">
        <f t="shared" si="5528"/>
        <v>#ERROR!</v>
      </c>
      <c r="BE1126" s="596" t="str">
        <f t="shared" si="5528"/>
        <v>#ERROR!</v>
      </c>
      <c r="BF1126" s="596" t="str">
        <f t="shared" si="5528"/>
        <v>#ERROR!</v>
      </c>
      <c r="BG1126" s="596" t="str">
        <f t="shared" si="5528"/>
        <v>#ERROR!</v>
      </c>
      <c r="BH1126" s="596" t="str">
        <f t="shared" si="5528"/>
        <v>#ERROR!</v>
      </c>
      <c r="BI1126" s="596" t="str">
        <f t="shared" si="5528"/>
        <v>#ERROR!</v>
      </c>
      <c r="BJ1126" s="596" t="str">
        <f t="shared" si="5528"/>
        <v>#ERROR!</v>
      </c>
      <c r="BK1126" s="596" t="str">
        <f t="shared" si="5528"/>
        <v>#ERROR!</v>
      </c>
      <c r="BL1126" s="596" t="str">
        <f t="shared" si="5528"/>
        <v>#ERROR!</v>
      </c>
      <c r="BM1126" s="596" t="str">
        <f t="shared" si="5528"/>
        <v>#ERROR!</v>
      </c>
      <c r="BN1126" s="596" t="str">
        <f t="shared" si="5528"/>
        <v>#ERROR!</v>
      </c>
      <c r="BO1126" s="596" t="str">
        <f t="shared" si="5528"/>
        <v>#ERROR!</v>
      </c>
      <c r="BP1126" s="596" t="str">
        <f t="shared" si="5528"/>
        <v>#ERROR!</v>
      </c>
      <c r="BQ1126" s="596" t="str">
        <f t="shared" si="5528"/>
        <v>#ERROR!</v>
      </c>
      <c r="BR1126" s="596" t="str">
        <f t="shared" si="5528"/>
        <v>#ERROR!</v>
      </c>
      <c r="BS1126" s="596" t="str">
        <f t="shared" si="5528"/>
        <v>#ERROR!</v>
      </c>
      <c r="BT1126" s="596" t="str">
        <f t="shared" si="5528"/>
        <v>#ERROR!</v>
      </c>
      <c r="BU1126" s="596" t="str">
        <f t="shared" si="5528"/>
        <v>#ERROR!</v>
      </c>
      <c r="BV1126" s="596" t="str">
        <f t="shared" si="5528"/>
        <v>#ERROR!</v>
      </c>
      <c r="BW1126" s="596" t="str">
        <f t="shared" si="5528"/>
        <v>#ERROR!</v>
      </c>
      <c r="BX1126" s="596" t="str">
        <f t="shared" si="5528"/>
        <v>#ERROR!</v>
      </c>
      <c r="BY1126" s="596" t="str">
        <f t="shared" si="5528"/>
        <v>#ERROR!</v>
      </c>
      <c r="BZ1126" s="597" t="str">
        <f t="shared" si="5528"/>
        <v>#ERROR!</v>
      </c>
      <c r="CA1126" s="596" t="str">
        <f t="shared" si="5528"/>
        <v>#ERROR!</v>
      </c>
      <c r="CB1126" s="596" t="str">
        <f t="shared" si="5528"/>
        <v>#ERROR!</v>
      </c>
      <c r="CC1126" s="596" t="str">
        <f t="shared" si="5528"/>
        <v>#ERROR!</v>
      </c>
      <c r="CD1126" s="596" t="str">
        <f t="shared" si="5528"/>
        <v>#ERROR!</v>
      </c>
      <c r="CE1126" s="597" t="str">
        <f t="shared" si="5528"/>
        <v>#ERROR!</v>
      </c>
      <c r="CF1126" s="596" t="str">
        <f t="shared" si="5528"/>
        <v>#ERROR!</v>
      </c>
      <c r="CG1126" s="596" t="str">
        <f t="shared" si="5528"/>
        <v>#ERROR!</v>
      </c>
      <c r="CH1126" s="596" t="str">
        <f t="shared" si="5528"/>
        <v>#ERROR!</v>
      </c>
      <c r="CI1126" s="596" t="str">
        <f t="shared" si="5528"/>
        <v>#ERROR!</v>
      </c>
      <c r="CJ1126" s="597" t="str">
        <f t="shared" si="5528"/>
        <v>#ERROR!</v>
      </c>
      <c r="CK1126" s="596" t="str">
        <f t="shared" si="5528"/>
        <v>#ERROR!</v>
      </c>
      <c r="CL1126" s="596" t="str">
        <f t="shared" si="5528"/>
        <v>#ERROR!</v>
      </c>
      <c r="CM1126" s="596" t="str">
        <f t="shared" si="5528"/>
        <v>#ERROR!</v>
      </c>
      <c r="CN1126" s="595" t="str">
        <f t="shared" si="5528"/>
        <v>#ERROR!</v>
      </c>
      <c r="CO1126" s="597" t="str">
        <f t="shared" si="5528"/>
        <v>#ERROR!</v>
      </c>
      <c r="CP1126" s="595" t="str">
        <f t="shared" si="5528"/>
        <v>#ERROR!</v>
      </c>
      <c r="CQ1126" s="596" t="str">
        <f t="shared" si="5528"/>
        <v>#ERROR!</v>
      </c>
      <c r="CR1126" s="596" t="str">
        <f t="shared" si="5528"/>
        <v>#ERROR!</v>
      </c>
      <c r="CS1126" s="596" t="str">
        <f t="shared" si="5528"/>
        <v>#ERROR!</v>
      </c>
      <c r="CT1126" s="597" t="str">
        <f t="shared" si="5528"/>
        <v>#ERROR!</v>
      </c>
      <c r="CU1126" s="596" t="str">
        <f t="shared" si="5528"/>
        <v>#ERROR!</v>
      </c>
      <c r="CV1126" s="596" t="str">
        <f t="shared" si="5528"/>
        <v>#ERROR!</v>
      </c>
      <c r="CW1126" s="596" t="str">
        <f t="shared" si="5528"/>
        <v>#ERROR!</v>
      </c>
      <c r="CX1126" s="596" t="str">
        <f t="shared" si="5528"/>
        <v>#ERROR!</v>
      </c>
      <c r="CY1126" s="597" t="str">
        <f t="shared" si="5528"/>
        <v>#ERROR!</v>
      </c>
      <c r="CZ1126" s="596" t="str">
        <f t="shared" si="5528"/>
        <v>#ERROR!</v>
      </c>
      <c r="DA1126" s="596" t="str">
        <f t="shared" si="5528"/>
        <v>#ERROR!</v>
      </c>
      <c r="DB1126" s="596" t="str">
        <f t="shared" si="5528"/>
        <v>#ERROR!</v>
      </c>
      <c r="DC1126" s="596" t="str">
        <f t="shared" si="5528"/>
        <v>#ERROR!</v>
      </c>
      <c r="DD1126" s="597" t="str">
        <f t="shared" si="5528"/>
        <v>#ERROR!</v>
      </c>
      <c r="DE1126" s="596" t="str">
        <f t="shared" si="5528"/>
        <v>#ERROR!</v>
      </c>
      <c r="DF1126" s="596" t="str">
        <f t="shared" si="5528"/>
        <v>#ERROR!</v>
      </c>
      <c r="DG1126" s="104" t="str">
        <f t="shared" si="5528"/>
        <v>#ERROR!</v>
      </c>
      <c r="DH1126" s="596" t="str">
        <f t="shared" si="5528"/>
        <v>#ERROR!</v>
      </c>
      <c r="DI1126" s="597" t="str">
        <f t="shared" si="5528"/>
        <v>#ERROR!</v>
      </c>
      <c r="DJ1126" s="595" t="str">
        <f t="shared" si="5528"/>
        <v>#ERROR!</v>
      </c>
      <c r="DK1126" s="595" t="str">
        <f t="shared" si="5528"/>
        <v>#ERROR!</v>
      </c>
      <c r="DL1126" s="595" t="str">
        <f t="shared" si="5528"/>
        <v>#ERROR!</v>
      </c>
      <c r="DM1126" s="596" t="str">
        <f t="shared" si="5528"/>
        <v>#ERROR!</v>
      </c>
      <c r="DN1126" s="597" t="str">
        <f t="shared" si="5528"/>
        <v>#ERROR!</v>
      </c>
      <c r="DO1126" s="596" t="str">
        <f t="shared" si="5528"/>
        <v>#ERROR!</v>
      </c>
      <c r="DP1126" s="596" t="str">
        <f t="shared" si="5528"/>
        <v>#ERROR!</v>
      </c>
      <c r="DQ1126" s="596" t="str">
        <f t="shared" si="5528"/>
        <v>#ERROR!</v>
      </c>
      <c r="DR1126" s="596" t="str">
        <f t="shared" si="5528"/>
        <v>#ERROR!</v>
      </c>
      <c r="DS1126" s="597" t="str">
        <f t="shared" si="5528"/>
        <v>#ERROR!</v>
      </c>
      <c r="DT1126" s="596" t="str">
        <f t="shared" si="5528"/>
        <v>#ERROR!</v>
      </c>
      <c r="DU1126" s="596" t="str">
        <f t="shared" si="5528"/>
        <v>#ERROR!</v>
      </c>
      <c r="DV1126" s="596" t="str">
        <f t="shared" si="5528"/>
        <v>#ERROR!</v>
      </c>
      <c r="DW1126" s="596" t="str">
        <f t="shared" si="5528"/>
        <v>#ERROR!</v>
      </c>
      <c r="DX1126" s="597" t="str">
        <f t="shared" si="5528"/>
        <v>#ERROR!</v>
      </c>
      <c r="DY1126" s="596" t="str">
        <f t="shared" si="5528"/>
        <v>#ERROR!</v>
      </c>
      <c r="DZ1126" s="596" t="str">
        <f t="shared" si="5528"/>
        <v>#ERROR!</v>
      </c>
      <c r="EA1126" s="596" t="str">
        <f t="shared" si="5528"/>
        <v>#ERROR!</v>
      </c>
      <c r="EB1126" s="596" t="str">
        <f t="shared" si="5528"/>
        <v>#ERROR!</v>
      </c>
      <c r="EC1126" s="597" t="str">
        <f t="shared" si="5528"/>
        <v>#ERROR!</v>
      </c>
      <c r="ED1126" s="596" t="str">
        <f t="shared" si="5528"/>
        <v>#ERROR!</v>
      </c>
      <c r="EE1126" s="596" t="str">
        <f t="shared" si="5528"/>
        <v>#ERROR!</v>
      </c>
      <c r="EF1126" s="596" t="str">
        <f t="shared" si="5528"/>
        <v>#ERROR!</v>
      </c>
      <c r="EG1126" s="596" t="str">
        <f t="shared" si="5528"/>
        <v>#ERROR!</v>
      </c>
      <c r="EH1126" s="597" t="str">
        <f t="shared" si="5528"/>
        <v>#ERROR!</v>
      </c>
      <c r="EI1126" s="598" t="str">
        <f t="shared" si="5528"/>
        <v>#ERROR!</v>
      </c>
      <c r="EJ1126" s="596" t="str">
        <f t="shared" si="5528"/>
        <v>#ERROR!</v>
      </c>
      <c r="EK1126" s="596" t="str">
        <f t="shared" si="5528"/>
        <v>#ERROR!</v>
      </c>
      <c r="EL1126" s="596" t="str">
        <f t="shared" si="5528"/>
        <v>#ERROR!</v>
      </c>
      <c r="EM1126" s="597" t="str">
        <f t="shared" si="5528"/>
        <v>#ERROR!</v>
      </c>
      <c r="EN1126" s="596" t="str">
        <f t="shared" si="5528"/>
        <v>#ERROR!</v>
      </c>
      <c r="EO1126" s="596" t="str">
        <f t="shared" si="5528"/>
        <v>#ERROR!</v>
      </c>
      <c r="EP1126" s="596" t="str">
        <f t="shared" si="5528"/>
        <v>#ERROR!</v>
      </c>
      <c r="EQ1126" s="596" t="str">
        <f t="shared" si="5528"/>
        <v>#ERROR!</v>
      </c>
      <c r="ER1126" s="597" t="str">
        <f t="shared" si="5528"/>
        <v>#ERROR!</v>
      </c>
      <c r="ES1126" s="596" t="str">
        <f t="shared" si="5528"/>
        <v>#ERROR!</v>
      </c>
      <c r="ET1126" s="596" t="str">
        <f t="shared" si="5528"/>
        <v>#ERROR!</v>
      </c>
      <c r="EU1126" s="596" t="str">
        <f t="shared" si="5528"/>
        <v>#ERROR!</v>
      </c>
      <c r="EV1126" s="596" t="str">
        <f t="shared" si="5528"/>
        <v>#ERROR!</v>
      </c>
      <c r="EW1126" s="597" t="str">
        <f t="shared" si="5528"/>
        <v>#ERROR!</v>
      </c>
      <c r="EX1126" s="596" t="str">
        <f t="shared" si="5528"/>
        <v>#ERROR!</v>
      </c>
      <c r="EY1126" s="596" t="str">
        <f t="shared" si="5528"/>
        <v>#ERROR!</v>
      </c>
      <c r="EZ1126" s="596" t="str">
        <f t="shared" si="5528"/>
        <v>#ERROR!</v>
      </c>
      <c r="FA1126" s="596" t="str">
        <f t="shared" si="5528"/>
        <v>#ERROR!</v>
      </c>
      <c r="FB1126" s="597" t="str">
        <f t="shared" si="5528"/>
        <v>#ERROR!</v>
      </c>
      <c r="FC1126" s="596" t="str">
        <f t="shared" si="5528"/>
        <v>#ERROR!</v>
      </c>
      <c r="FD1126" s="596" t="str">
        <f t="shared" si="5528"/>
        <v>#ERROR!</v>
      </c>
      <c r="FE1126" s="596" t="str">
        <f t="shared" si="5528"/>
        <v>#ERROR!</v>
      </c>
      <c r="FF1126" s="596" t="str">
        <f t="shared" si="5528"/>
        <v>#ERROR!</v>
      </c>
      <c r="FG1126" s="597" t="str">
        <f t="shared" si="5528"/>
        <v>#ERROR!</v>
      </c>
      <c r="FH1126" s="595"/>
      <c r="FI1126" s="596"/>
      <c r="FJ1126" s="596"/>
      <c r="FK1126" s="596"/>
      <c r="FL1126" s="596"/>
    </row>
    <row r="1127" ht="12.75" hidden="1" customHeight="1" outlineLevel="2">
      <c r="A1127" s="4"/>
      <c r="B1127" s="4"/>
      <c r="C1127" s="4"/>
      <c r="D1127" s="4"/>
      <c r="E1127" s="4"/>
      <c r="F1127" s="4"/>
      <c r="G1127" s="4"/>
      <c r="H1127" s="45"/>
      <c r="I1127" s="4"/>
      <c r="J1127" s="4"/>
      <c r="K1127" s="4"/>
      <c r="L1127" s="4"/>
      <c r="M1127" s="45"/>
      <c r="N1127" s="4"/>
      <c r="O1127" s="4"/>
      <c r="P1127" s="4"/>
      <c r="Q1127" s="4"/>
      <c r="R1127" s="45"/>
      <c r="S1127" s="4"/>
      <c r="T1127" s="4"/>
      <c r="U1127" s="4"/>
      <c r="V1127" s="4"/>
      <c r="W1127" s="45"/>
      <c r="X1127" s="4"/>
      <c r="Y1127" s="4"/>
      <c r="Z1127" s="4"/>
      <c r="AA1127" s="4"/>
      <c r="AB1127" s="45"/>
      <c r="AC1127" s="4"/>
      <c r="AD1127" s="4"/>
      <c r="AE1127" s="4"/>
      <c r="AF1127" s="4"/>
      <c r="AG1127" s="45"/>
      <c r="AH1127" s="4"/>
      <c r="AI1127" s="4"/>
      <c r="AJ1127" s="4"/>
      <c r="AK1127" s="4"/>
      <c r="AL1127" s="45"/>
      <c r="AM1127" s="4"/>
      <c r="AN1127" s="4"/>
      <c r="AO1127" s="4"/>
      <c r="AP1127" s="4"/>
      <c r="AQ1127" s="45"/>
      <c r="AR1127" s="4"/>
      <c r="AS1127" s="4"/>
      <c r="AT1127" s="4"/>
      <c r="AU1127" s="4"/>
      <c r="AV1127" s="45"/>
      <c r="AW1127" s="4"/>
      <c r="AX1127" s="4"/>
      <c r="AY1127" s="4"/>
      <c r="AZ1127" s="4"/>
      <c r="BA1127" s="45"/>
      <c r="BB1127" s="4"/>
      <c r="BC1127" s="4"/>
      <c r="BD1127" s="4"/>
      <c r="BE1127" s="4"/>
      <c r="BF1127" s="45"/>
      <c r="BG1127" s="4"/>
      <c r="BH1127" s="4"/>
      <c r="BI1127" s="4"/>
      <c r="BJ1127" s="4"/>
      <c r="BK1127" s="45"/>
      <c r="BL1127" s="4"/>
      <c r="BM1127" s="4"/>
      <c r="BN1127" s="4"/>
      <c r="BO1127" s="4"/>
      <c r="BP1127" s="45"/>
      <c r="BQ1127" s="4"/>
      <c r="BR1127" s="4"/>
      <c r="BS1127" s="4"/>
      <c r="BT1127" s="4"/>
      <c r="BU1127" s="45"/>
      <c r="BV1127" s="4"/>
      <c r="BW1127" s="4"/>
      <c r="BX1127" s="4"/>
      <c r="BY1127" s="4"/>
      <c r="BZ1127" s="350"/>
      <c r="CA1127" s="4"/>
      <c r="CB1127" s="4"/>
      <c r="CC1127" s="4"/>
      <c r="CD1127" s="4"/>
      <c r="CE1127" s="350"/>
      <c r="CF1127" s="4"/>
      <c r="CG1127" s="4"/>
      <c r="CH1127" s="4"/>
      <c r="CI1127" s="4"/>
      <c r="CJ1127" s="350"/>
      <c r="CK1127" s="4"/>
      <c r="CL1127" s="4"/>
      <c r="CM1127" s="4"/>
      <c r="CN1127" s="16"/>
      <c r="CO1127" s="350"/>
      <c r="CP1127" s="16"/>
      <c r="CQ1127" s="4"/>
      <c r="CR1127" s="4"/>
      <c r="CS1127" s="4"/>
      <c r="CT1127" s="350"/>
      <c r="CU1127" s="4"/>
      <c r="CV1127" s="4"/>
      <c r="CW1127" s="4"/>
      <c r="CX1127" s="4"/>
      <c r="CY1127" s="350"/>
      <c r="CZ1127" s="4"/>
      <c r="DA1127" s="4"/>
      <c r="DB1127" s="4"/>
      <c r="DC1127" s="4"/>
      <c r="DD1127" s="350"/>
      <c r="DE1127" s="4"/>
      <c r="DF1127" s="4"/>
      <c r="DG1127" s="16"/>
      <c r="DH1127" s="4"/>
      <c r="DI1127" s="350"/>
      <c r="DJ1127" s="16"/>
      <c r="DK1127" s="16"/>
      <c r="DL1127" s="16"/>
      <c r="DM1127" s="4"/>
      <c r="DN1127" s="350"/>
      <c r="DO1127" s="4"/>
      <c r="DP1127" s="4"/>
      <c r="DQ1127" s="4"/>
      <c r="DR1127" s="4"/>
      <c r="DS1127" s="350"/>
      <c r="DT1127" s="4"/>
      <c r="DU1127" s="4"/>
      <c r="DV1127" s="4"/>
      <c r="DW1127" s="4"/>
      <c r="DX1127" s="350"/>
      <c r="DY1127" s="4"/>
      <c r="DZ1127" s="4"/>
      <c r="EA1127" s="4"/>
      <c r="EB1127" s="4"/>
      <c r="EC1127" s="350"/>
      <c r="ED1127" s="4"/>
      <c r="EE1127" s="4"/>
      <c r="EF1127" s="4"/>
      <c r="EG1127" s="4"/>
      <c r="EH1127" s="350"/>
      <c r="EI1127" s="214"/>
      <c r="EJ1127" s="4"/>
      <c r="EK1127" s="4"/>
      <c r="EL1127" s="4"/>
      <c r="EM1127" s="350"/>
      <c r="EN1127" s="4"/>
      <c r="EO1127" s="4"/>
      <c r="EP1127" s="4"/>
      <c r="EQ1127" s="4"/>
      <c r="ER1127" s="350"/>
      <c r="ES1127" s="4"/>
      <c r="ET1127" s="4"/>
      <c r="EU1127" s="4"/>
      <c r="EV1127" s="4"/>
      <c r="EW1127" s="350"/>
      <c r="EX1127" s="4"/>
      <c r="EY1127" s="4"/>
      <c r="EZ1127" s="4"/>
      <c r="FA1127" s="4"/>
      <c r="FB1127" s="350"/>
      <c r="FC1127" s="4"/>
      <c r="FD1127" s="4"/>
      <c r="FE1127" s="4"/>
      <c r="FF1127" s="4"/>
      <c r="FG1127" s="350"/>
      <c r="FH1127" s="145"/>
      <c r="FI1127" s="4"/>
      <c r="FJ1127" s="4"/>
      <c r="FK1127" s="45"/>
      <c r="FL1127" s="4"/>
    </row>
    <row r="1128" ht="12.75" hidden="1" customHeight="1" outlineLevel="1">
      <c r="A1128" s="4"/>
      <c r="B1128" s="45" t="s">
        <v>415</v>
      </c>
      <c r="C1128" s="4"/>
      <c r="D1128" s="735"/>
      <c r="E1128" s="735"/>
      <c r="F1128" s="735"/>
      <c r="G1128" s="735"/>
      <c r="H1128" s="735"/>
      <c r="I1128" s="735" t="str">
        <f t="shared" ref="I1128:FG1128" si="5529">1000*I1121/I1110</f>
        <v>#ERROR!</v>
      </c>
      <c r="J1128" s="735" t="str">
        <f t="shared" si="5529"/>
        <v>#ERROR!</v>
      </c>
      <c r="K1128" s="735" t="str">
        <f t="shared" si="5529"/>
        <v>#ERROR!</v>
      </c>
      <c r="L1128" s="735" t="str">
        <f t="shared" si="5529"/>
        <v>#ERROR!</v>
      </c>
      <c r="M1128" s="735" t="str">
        <f t="shared" si="5529"/>
        <v>#ERROR!</v>
      </c>
      <c r="N1128" s="735" t="str">
        <f t="shared" si="5529"/>
        <v>#ERROR!</v>
      </c>
      <c r="O1128" s="735" t="str">
        <f t="shared" si="5529"/>
        <v>#ERROR!</v>
      </c>
      <c r="P1128" s="735" t="str">
        <f t="shared" si="5529"/>
        <v>#ERROR!</v>
      </c>
      <c r="Q1128" s="735" t="str">
        <f t="shared" si="5529"/>
        <v>#ERROR!</v>
      </c>
      <c r="R1128" s="735" t="str">
        <f t="shared" si="5529"/>
        <v>#ERROR!</v>
      </c>
      <c r="S1128" s="735" t="str">
        <f t="shared" si="5529"/>
        <v>#ERROR!</v>
      </c>
      <c r="T1128" s="735" t="str">
        <f t="shared" si="5529"/>
        <v>#ERROR!</v>
      </c>
      <c r="U1128" s="735" t="str">
        <f t="shared" si="5529"/>
        <v>#ERROR!</v>
      </c>
      <c r="V1128" s="735" t="str">
        <f t="shared" si="5529"/>
        <v>#ERROR!</v>
      </c>
      <c r="W1128" s="735" t="str">
        <f t="shared" si="5529"/>
        <v>#ERROR!</v>
      </c>
      <c r="X1128" s="735" t="str">
        <f t="shared" si="5529"/>
        <v>#ERROR!</v>
      </c>
      <c r="Y1128" s="735" t="str">
        <f t="shared" si="5529"/>
        <v>#ERROR!</v>
      </c>
      <c r="Z1128" s="735" t="str">
        <f t="shared" si="5529"/>
        <v>#ERROR!</v>
      </c>
      <c r="AA1128" s="735" t="str">
        <f t="shared" si="5529"/>
        <v>#ERROR!</v>
      </c>
      <c r="AB1128" s="735" t="str">
        <f t="shared" si="5529"/>
        <v>#ERROR!</v>
      </c>
      <c r="AC1128" s="735" t="str">
        <f t="shared" si="5529"/>
        <v>#ERROR!</v>
      </c>
      <c r="AD1128" s="735" t="str">
        <f t="shared" si="5529"/>
        <v>#ERROR!</v>
      </c>
      <c r="AE1128" s="735" t="str">
        <f t="shared" si="5529"/>
        <v>#ERROR!</v>
      </c>
      <c r="AF1128" s="735" t="str">
        <f t="shared" si="5529"/>
        <v>#ERROR!</v>
      </c>
      <c r="AG1128" s="735" t="str">
        <f t="shared" si="5529"/>
        <v>#ERROR!</v>
      </c>
      <c r="AH1128" s="735" t="str">
        <f t="shared" si="5529"/>
        <v>#ERROR!</v>
      </c>
      <c r="AI1128" s="735" t="str">
        <f t="shared" si="5529"/>
        <v>#ERROR!</v>
      </c>
      <c r="AJ1128" s="735" t="str">
        <f t="shared" si="5529"/>
        <v>#ERROR!</v>
      </c>
      <c r="AK1128" s="735" t="str">
        <f t="shared" si="5529"/>
        <v>#ERROR!</v>
      </c>
      <c r="AL1128" s="735" t="str">
        <f t="shared" si="5529"/>
        <v>#ERROR!</v>
      </c>
      <c r="AM1128" s="735" t="str">
        <f t="shared" si="5529"/>
        <v>#ERROR!</v>
      </c>
      <c r="AN1128" s="735" t="str">
        <f t="shared" si="5529"/>
        <v>#ERROR!</v>
      </c>
      <c r="AO1128" s="735" t="str">
        <f t="shared" si="5529"/>
        <v>#ERROR!</v>
      </c>
      <c r="AP1128" s="735" t="str">
        <f t="shared" si="5529"/>
        <v>#ERROR!</v>
      </c>
      <c r="AQ1128" s="735" t="str">
        <f t="shared" si="5529"/>
        <v>#ERROR!</v>
      </c>
      <c r="AR1128" s="735" t="str">
        <f t="shared" si="5529"/>
        <v>#ERROR!</v>
      </c>
      <c r="AS1128" s="735" t="str">
        <f t="shared" si="5529"/>
        <v>#ERROR!</v>
      </c>
      <c r="AT1128" s="735" t="str">
        <f t="shared" si="5529"/>
        <v>#ERROR!</v>
      </c>
      <c r="AU1128" s="735" t="str">
        <f t="shared" si="5529"/>
        <v>#ERROR!</v>
      </c>
      <c r="AV1128" s="735" t="str">
        <f t="shared" si="5529"/>
        <v>#ERROR!</v>
      </c>
      <c r="AW1128" s="735" t="str">
        <f t="shared" si="5529"/>
        <v>#ERROR!</v>
      </c>
      <c r="AX1128" s="735" t="str">
        <f t="shared" si="5529"/>
        <v>#ERROR!</v>
      </c>
      <c r="AY1128" s="735" t="str">
        <f t="shared" si="5529"/>
        <v>#ERROR!</v>
      </c>
      <c r="AZ1128" s="735" t="str">
        <f t="shared" si="5529"/>
        <v>#ERROR!</v>
      </c>
      <c r="BA1128" s="735" t="str">
        <f t="shared" si="5529"/>
        <v>#ERROR!</v>
      </c>
      <c r="BB1128" s="735" t="str">
        <f t="shared" si="5529"/>
        <v>#ERROR!</v>
      </c>
      <c r="BC1128" s="735" t="str">
        <f t="shared" si="5529"/>
        <v>#ERROR!</v>
      </c>
      <c r="BD1128" s="735" t="str">
        <f t="shared" si="5529"/>
        <v>#ERROR!</v>
      </c>
      <c r="BE1128" s="735" t="str">
        <f t="shared" si="5529"/>
        <v>#ERROR!</v>
      </c>
      <c r="BF1128" s="735" t="str">
        <f t="shared" si="5529"/>
        <v>#ERROR!</v>
      </c>
      <c r="BG1128" s="735" t="str">
        <f t="shared" si="5529"/>
        <v>#ERROR!</v>
      </c>
      <c r="BH1128" s="735" t="str">
        <f t="shared" si="5529"/>
        <v>#ERROR!</v>
      </c>
      <c r="BI1128" s="735" t="str">
        <f t="shared" si="5529"/>
        <v>#ERROR!</v>
      </c>
      <c r="BJ1128" s="735" t="str">
        <f t="shared" si="5529"/>
        <v>#ERROR!</v>
      </c>
      <c r="BK1128" s="735" t="str">
        <f t="shared" si="5529"/>
        <v>#ERROR!</v>
      </c>
      <c r="BL1128" s="735" t="str">
        <f t="shared" si="5529"/>
        <v>#ERROR!</v>
      </c>
      <c r="BM1128" s="735" t="str">
        <f t="shared" si="5529"/>
        <v>#ERROR!</v>
      </c>
      <c r="BN1128" s="735" t="str">
        <f t="shared" si="5529"/>
        <v>#ERROR!</v>
      </c>
      <c r="BO1128" s="735" t="str">
        <f t="shared" si="5529"/>
        <v>#ERROR!</v>
      </c>
      <c r="BP1128" s="735" t="str">
        <f t="shared" si="5529"/>
        <v>#ERROR!</v>
      </c>
      <c r="BQ1128" s="735" t="str">
        <f t="shared" si="5529"/>
        <v>#ERROR!</v>
      </c>
      <c r="BR1128" s="735" t="str">
        <f t="shared" si="5529"/>
        <v>#ERROR!</v>
      </c>
      <c r="BS1128" s="735" t="str">
        <f t="shared" si="5529"/>
        <v>#ERROR!</v>
      </c>
      <c r="BT1128" s="735" t="str">
        <f t="shared" si="5529"/>
        <v>#ERROR!</v>
      </c>
      <c r="BU1128" s="735" t="str">
        <f t="shared" si="5529"/>
        <v>#ERROR!</v>
      </c>
      <c r="BV1128" s="735" t="str">
        <f t="shared" si="5529"/>
        <v>#ERROR!</v>
      </c>
      <c r="BW1128" s="735" t="str">
        <f t="shared" si="5529"/>
        <v>#ERROR!</v>
      </c>
      <c r="BX1128" s="735" t="str">
        <f t="shared" si="5529"/>
        <v>#ERROR!</v>
      </c>
      <c r="BY1128" s="735" t="str">
        <f t="shared" si="5529"/>
        <v>#ERROR!</v>
      </c>
      <c r="BZ1128" s="736" t="str">
        <f t="shared" si="5529"/>
        <v>#ERROR!</v>
      </c>
      <c r="CA1128" s="735" t="str">
        <f t="shared" si="5529"/>
        <v>#ERROR!</v>
      </c>
      <c r="CB1128" s="735" t="str">
        <f t="shared" si="5529"/>
        <v>#ERROR!</v>
      </c>
      <c r="CC1128" s="735" t="str">
        <f t="shared" si="5529"/>
        <v>#ERROR!</v>
      </c>
      <c r="CD1128" s="735" t="str">
        <f t="shared" si="5529"/>
        <v>#ERROR!</v>
      </c>
      <c r="CE1128" s="736" t="str">
        <f t="shared" si="5529"/>
        <v>#ERROR!</v>
      </c>
      <c r="CF1128" s="735" t="str">
        <f t="shared" si="5529"/>
        <v>#ERROR!</v>
      </c>
      <c r="CG1128" s="735" t="str">
        <f t="shared" si="5529"/>
        <v>#ERROR!</v>
      </c>
      <c r="CH1128" s="735" t="str">
        <f t="shared" si="5529"/>
        <v>#ERROR!</v>
      </c>
      <c r="CI1128" s="735" t="str">
        <f t="shared" si="5529"/>
        <v>#ERROR!</v>
      </c>
      <c r="CJ1128" s="736" t="str">
        <f t="shared" si="5529"/>
        <v>#ERROR!</v>
      </c>
      <c r="CK1128" s="735" t="str">
        <f t="shared" si="5529"/>
        <v>#ERROR!</v>
      </c>
      <c r="CL1128" s="735" t="str">
        <f t="shared" si="5529"/>
        <v>#ERROR!</v>
      </c>
      <c r="CM1128" s="735" t="str">
        <f t="shared" si="5529"/>
        <v>#ERROR!</v>
      </c>
      <c r="CN1128" s="737" t="str">
        <f t="shared" si="5529"/>
        <v>#ERROR!</v>
      </c>
      <c r="CO1128" s="736" t="str">
        <f t="shared" si="5529"/>
        <v>#ERROR!</v>
      </c>
      <c r="CP1128" s="737" t="str">
        <f t="shared" si="5529"/>
        <v>#ERROR!</v>
      </c>
      <c r="CQ1128" s="735" t="str">
        <f t="shared" si="5529"/>
        <v>#ERROR!</v>
      </c>
      <c r="CR1128" s="735" t="str">
        <f t="shared" si="5529"/>
        <v>#ERROR!</v>
      </c>
      <c r="CS1128" s="735" t="str">
        <f t="shared" si="5529"/>
        <v>#ERROR!</v>
      </c>
      <c r="CT1128" s="736" t="str">
        <f t="shared" si="5529"/>
        <v>#ERROR!</v>
      </c>
      <c r="CU1128" s="735" t="str">
        <f t="shared" si="5529"/>
        <v>#ERROR!</v>
      </c>
      <c r="CV1128" s="735" t="str">
        <f t="shared" si="5529"/>
        <v>#ERROR!</v>
      </c>
      <c r="CW1128" s="735" t="str">
        <f t="shared" si="5529"/>
        <v>#ERROR!</v>
      </c>
      <c r="CX1128" s="735" t="str">
        <f t="shared" si="5529"/>
        <v>#ERROR!</v>
      </c>
      <c r="CY1128" s="736" t="str">
        <f t="shared" si="5529"/>
        <v>#ERROR!</v>
      </c>
      <c r="CZ1128" s="735" t="str">
        <f t="shared" si="5529"/>
        <v>#ERROR!</v>
      </c>
      <c r="DA1128" s="735" t="str">
        <f t="shared" si="5529"/>
        <v>#ERROR!</v>
      </c>
      <c r="DB1128" s="735" t="str">
        <f t="shared" si="5529"/>
        <v>#ERROR!</v>
      </c>
      <c r="DC1128" s="735" t="str">
        <f t="shared" si="5529"/>
        <v>#ERROR!</v>
      </c>
      <c r="DD1128" s="736" t="str">
        <f t="shared" si="5529"/>
        <v>#ERROR!</v>
      </c>
      <c r="DE1128" s="735" t="str">
        <f t="shared" si="5529"/>
        <v>#ERROR!</v>
      </c>
      <c r="DF1128" s="735" t="str">
        <f t="shared" si="5529"/>
        <v>#ERROR!</v>
      </c>
      <c r="DG1128" s="667" t="str">
        <f t="shared" si="5529"/>
        <v>#ERROR!</v>
      </c>
      <c r="DH1128" s="735" t="str">
        <f t="shared" si="5529"/>
        <v>#ERROR!</v>
      </c>
      <c r="DI1128" s="736" t="str">
        <f t="shared" si="5529"/>
        <v>#ERROR!</v>
      </c>
      <c r="DJ1128" s="737" t="str">
        <f t="shared" si="5529"/>
        <v>#ERROR!</v>
      </c>
      <c r="DK1128" s="737" t="str">
        <f t="shared" si="5529"/>
        <v>#ERROR!</v>
      </c>
      <c r="DL1128" s="737" t="str">
        <f t="shared" si="5529"/>
        <v>#ERROR!</v>
      </c>
      <c r="DM1128" s="735" t="str">
        <f t="shared" si="5529"/>
        <v>#ERROR!</v>
      </c>
      <c r="DN1128" s="736" t="str">
        <f t="shared" si="5529"/>
        <v>#ERROR!</v>
      </c>
      <c r="DO1128" s="735" t="str">
        <f t="shared" si="5529"/>
        <v>#ERROR!</v>
      </c>
      <c r="DP1128" s="735" t="str">
        <f t="shared" si="5529"/>
        <v>#ERROR!</v>
      </c>
      <c r="DQ1128" s="735" t="str">
        <f t="shared" si="5529"/>
        <v>#ERROR!</v>
      </c>
      <c r="DR1128" s="735" t="str">
        <f t="shared" si="5529"/>
        <v>#ERROR!</v>
      </c>
      <c r="DS1128" s="736" t="str">
        <f t="shared" si="5529"/>
        <v>#ERROR!</v>
      </c>
      <c r="DT1128" s="735" t="str">
        <f t="shared" si="5529"/>
        <v>#ERROR!</v>
      </c>
      <c r="DU1128" s="735" t="str">
        <f t="shared" si="5529"/>
        <v>#ERROR!</v>
      </c>
      <c r="DV1128" s="735" t="str">
        <f t="shared" si="5529"/>
        <v>#ERROR!</v>
      </c>
      <c r="DW1128" s="735" t="str">
        <f t="shared" si="5529"/>
        <v>#ERROR!</v>
      </c>
      <c r="DX1128" s="736" t="str">
        <f t="shared" si="5529"/>
        <v>#ERROR!</v>
      </c>
      <c r="DY1128" s="735" t="str">
        <f t="shared" si="5529"/>
        <v>#ERROR!</v>
      </c>
      <c r="DZ1128" s="735" t="str">
        <f t="shared" si="5529"/>
        <v>#ERROR!</v>
      </c>
      <c r="EA1128" s="735" t="str">
        <f t="shared" si="5529"/>
        <v>#ERROR!</v>
      </c>
      <c r="EB1128" s="735" t="str">
        <f t="shared" si="5529"/>
        <v>#ERROR!</v>
      </c>
      <c r="EC1128" s="736" t="str">
        <f t="shared" si="5529"/>
        <v>#ERROR!</v>
      </c>
      <c r="ED1128" s="735" t="str">
        <f t="shared" si="5529"/>
        <v>#ERROR!</v>
      </c>
      <c r="EE1128" s="735" t="str">
        <f t="shared" si="5529"/>
        <v>#ERROR!</v>
      </c>
      <c r="EF1128" s="735" t="str">
        <f t="shared" si="5529"/>
        <v>#ERROR!</v>
      </c>
      <c r="EG1128" s="735" t="str">
        <f t="shared" si="5529"/>
        <v>#ERROR!</v>
      </c>
      <c r="EH1128" s="736" t="str">
        <f t="shared" si="5529"/>
        <v>#ERROR!</v>
      </c>
      <c r="EI1128" s="738" t="str">
        <f t="shared" si="5529"/>
        <v>#ERROR!</v>
      </c>
      <c r="EJ1128" s="735" t="str">
        <f t="shared" si="5529"/>
        <v>#ERROR!</v>
      </c>
      <c r="EK1128" s="735" t="str">
        <f t="shared" si="5529"/>
        <v>#ERROR!</v>
      </c>
      <c r="EL1128" s="735" t="str">
        <f t="shared" si="5529"/>
        <v>#ERROR!</v>
      </c>
      <c r="EM1128" s="736" t="str">
        <f t="shared" si="5529"/>
        <v>#ERROR!</v>
      </c>
      <c r="EN1128" s="735" t="str">
        <f t="shared" si="5529"/>
        <v>#ERROR!</v>
      </c>
      <c r="EO1128" s="735" t="str">
        <f t="shared" si="5529"/>
        <v>#ERROR!</v>
      </c>
      <c r="EP1128" s="735" t="str">
        <f t="shared" si="5529"/>
        <v>#ERROR!</v>
      </c>
      <c r="EQ1128" s="735" t="str">
        <f t="shared" si="5529"/>
        <v>#ERROR!</v>
      </c>
      <c r="ER1128" s="736" t="str">
        <f t="shared" si="5529"/>
        <v>#ERROR!</v>
      </c>
      <c r="ES1128" s="735" t="str">
        <f t="shared" si="5529"/>
        <v>#ERROR!</v>
      </c>
      <c r="ET1128" s="735" t="str">
        <f t="shared" si="5529"/>
        <v>#ERROR!</v>
      </c>
      <c r="EU1128" s="735" t="str">
        <f t="shared" si="5529"/>
        <v>#ERROR!</v>
      </c>
      <c r="EV1128" s="735" t="str">
        <f t="shared" si="5529"/>
        <v>#ERROR!</v>
      </c>
      <c r="EW1128" s="736" t="str">
        <f t="shared" si="5529"/>
        <v>#ERROR!</v>
      </c>
      <c r="EX1128" s="735" t="str">
        <f t="shared" si="5529"/>
        <v>#ERROR!</v>
      </c>
      <c r="EY1128" s="735" t="str">
        <f t="shared" si="5529"/>
        <v>#ERROR!</v>
      </c>
      <c r="EZ1128" s="735" t="str">
        <f t="shared" si="5529"/>
        <v>#ERROR!</v>
      </c>
      <c r="FA1128" s="735" t="str">
        <f t="shared" si="5529"/>
        <v>#ERROR!</v>
      </c>
      <c r="FB1128" s="736" t="str">
        <f t="shared" si="5529"/>
        <v>#ERROR!</v>
      </c>
      <c r="FC1128" s="735" t="str">
        <f t="shared" si="5529"/>
        <v>#ERROR!</v>
      </c>
      <c r="FD1128" s="735" t="str">
        <f t="shared" si="5529"/>
        <v>#ERROR!</v>
      </c>
      <c r="FE1128" s="735" t="str">
        <f t="shared" si="5529"/>
        <v>#ERROR!</v>
      </c>
      <c r="FF1128" s="735" t="str">
        <f t="shared" si="5529"/>
        <v>#ERROR!</v>
      </c>
      <c r="FG1128" s="736" t="str">
        <f t="shared" si="5529"/>
        <v>#ERROR!</v>
      </c>
      <c r="FH1128" s="737"/>
      <c r="FI1128" s="735"/>
      <c r="FJ1128" s="735"/>
      <c r="FK1128" s="735"/>
      <c r="FL1128" s="735"/>
    </row>
    <row r="1129" ht="12.75" hidden="1" customHeight="1" outlineLevel="1">
      <c r="A1129" s="4"/>
      <c r="B1129" s="4" t="s">
        <v>416</v>
      </c>
      <c r="C1129" s="4"/>
      <c r="D1129" s="377"/>
      <c r="E1129" s="377"/>
      <c r="F1129" s="377"/>
      <c r="G1129" s="377"/>
      <c r="H1129" s="665"/>
      <c r="I1129" s="377" t="str">
        <f>mobileBlendedASP</f>
        <v>#ERROR!</v>
      </c>
      <c r="J1129" s="377" t="str">
        <f>mobileBlendedASP</f>
        <v>#ERROR!</v>
      </c>
      <c r="K1129" s="377" t="str">
        <f>mobileBlendedASP</f>
        <v>#ERROR!</v>
      </c>
      <c r="L1129" s="377" t="str">
        <f>mobileBlendedASP</f>
        <v>#ERROR!</v>
      </c>
      <c r="M1129" s="665" t="str">
        <f>mobileBlendedASP</f>
        <v>#ERROR!</v>
      </c>
      <c r="N1129" s="377" t="str">
        <f>mobileBlendedASP</f>
        <v>#ERROR!</v>
      </c>
      <c r="O1129" s="377" t="str">
        <f>mobileBlendedASP</f>
        <v>#ERROR!</v>
      </c>
      <c r="P1129" s="377" t="str">
        <f>mobileBlendedASP</f>
        <v>#ERROR!</v>
      </c>
      <c r="Q1129" s="377" t="str">
        <f>mobileBlendedASP</f>
        <v>#ERROR!</v>
      </c>
      <c r="R1129" s="665" t="str">
        <f>mobileBlendedASP</f>
        <v>#ERROR!</v>
      </c>
      <c r="S1129" s="377" t="str">
        <f>mobileBlendedASP</f>
        <v>#ERROR!</v>
      </c>
      <c r="T1129" s="377" t="str">
        <f>mobileBlendedASP</f>
        <v>#ERROR!</v>
      </c>
      <c r="U1129" s="377" t="str">
        <f>mobileBlendedASP</f>
        <v>#ERROR!</v>
      </c>
      <c r="V1129" s="377" t="str">
        <f>mobileBlendedASP</f>
        <v>#ERROR!</v>
      </c>
      <c r="W1129" s="665" t="str">
        <f>mobileBlendedASP</f>
        <v>#ERROR!</v>
      </c>
      <c r="X1129" s="377" t="str">
        <f>mobileBlendedASP</f>
        <v>#ERROR!</v>
      </c>
      <c r="Y1129" s="377" t="str">
        <f>mobileBlendedASP</f>
        <v>#ERROR!</v>
      </c>
      <c r="Z1129" s="377" t="str">
        <f>mobileBlendedASP</f>
        <v>#ERROR!</v>
      </c>
      <c r="AA1129" s="377" t="str">
        <f>mobileBlendedASP</f>
        <v>#ERROR!</v>
      </c>
      <c r="AB1129" s="665" t="str">
        <f>mobileBlendedASP</f>
        <v>#ERROR!</v>
      </c>
      <c r="AC1129" s="377" t="str">
        <f>mobileBlendedASP</f>
        <v>#ERROR!</v>
      </c>
      <c r="AD1129" s="377" t="str">
        <f>mobileBlendedASP</f>
        <v>#ERROR!</v>
      </c>
      <c r="AE1129" s="377" t="str">
        <f>mobileBlendedASP</f>
        <v>#ERROR!</v>
      </c>
      <c r="AF1129" s="377" t="str">
        <f>mobileBlendedASP</f>
        <v>#ERROR!</v>
      </c>
      <c r="AG1129" s="665" t="str">
        <f>mobileBlendedASP</f>
        <v>#ERROR!</v>
      </c>
      <c r="AH1129" s="377" t="str">
        <f>mobileBlendedASP</f>
        <v>#ERROR!</v>
      </c>
      <c r="AI1129" s="377" t="str">
        <f>mobileBlendedASP</f>
        <v>#ERROR!</v>
      </c>
      <c r="AJ1129" s="377" t="str">
        <f>mobileBlendedASP</f>
        <v>#ERROR!</v>
      </c>
      <c r="AK1129" s="377" t="str">
        <f>mobileBlendedASP</f>
        <v>#ERROR!</v>
      </c>
      <c r="AL1129" s="665" t="str">
        <f>mobileBlendedASP</f>
        <v>#ERROR!</v>
      </c>
      <c r="AM1129" s="377" t="str">
        <f>mobileBlendedASP</f>
        <v>#ERROR!</v>
      </c>
      <c r="AN1129" s="377" t="str">
        <f>mobileBlendedASP</f>
        <v>#ERROR!</v>
      </c>
      <c r="AO1129" s="377" t="str">
        <f>mobileBlendedASP</f>
        <v>#ERROR!</v>
      </c>
      <c r="AP1129" s="377" t="str">
        <f>mobileBlendedASP</f>
        <v>#ERROR!</v>
      </c>
      <c r="AQ1129" s="665" t="str">
        <f>mobileBlendedASP</f>
        <v>#ERROR!</v>
      </c>
      <c r="AR1129" s="377" t="str">
        <f>mobileBlendedASP</f>
        <v>#ERROR!</v>
      </c>
      <c r="AS1129" s="377" t="str">
        <f>mobileBlendedASP</f>
        <v>#ERROR!</v>
      </c>
      <c r="AT1129" s="377" t="str">
        <f>mobileBlendedASP</f>
        <v>#ERROR!</v>
      </c>
      <c r="AU1129" s="377" t="str">
        <f>mobileBlendedASP</f>
        <v>#ERROR!</v>
      </c>
      <c r="AV1129" s="665" t="str">
        <f>mobileBlendedASP</f>
        <v>#ERROR!</v>
      </c>
      <c r="AW1129" s="377" t="str">
        <f>mobileBlendedASP</f>
        <v>#ERROR!</v>
      </c>
      <c r="AX1129" s="377" t="str">
        <f>mobileBlendedASP</f>
        <v>#ERROR!</v>
      </c>
      <c r="AY1129" s="377" t="str">
        <f>mobileBlendedASP</f>
        <v>#ERROR!</v>
      </c>
      <c r="AZ1129" s="377" t="str">
        <f>mobileBlendedASP</f>
        <v>#ERROR!</v>
      </c>
      <c r="BA1129" s="665" t="str">
        <f>mobileBlendedASP</f>
        <v>#ERROR!</v>
      </c>
      <c r="BB1129" s="377" t="str">
        <f>mobileBlendedASP</f>
        <v>#ERROR!</v>
      </c>
      <c r="BC1129" s="377" t="str">
        <f>mobileBlendedASP</f>
        <v>#ERROR!</v>
      </c>
      <c r="BD1129" s="377" t="str">
        <f>mobileBlendedASP</f>
        <v>#ERROR!</v>
      </c>
      <c r="BE1129" s="377" t="str">
        <f>mobileBlendedASP</f>
        <v>#ERROR!</v>
      </c>
      <c r="BF1129" s="665" t="str">
        <f>mobileBlendedASP</f>
        <v>#ERROR!</v>
      </c>
      <c r="BG1129" s="377" t="str">
        <f>mobileBlendedASP</f>
        <v>#ERROR!</v>
      </c>
      <c r="BH1129" s="377" t="str">
        <f>mobileBlendedASP</f>
        <v>#ERROR!</v>
      </c>
      <c r="BI1129" s="377" t="str">
        <f>mobileBlendedASP</f>
        <v>#ERROR!</v>
      </c>
      <c r="BJ1129" s="377" t="str">
        <f>mobileBlendedASP</f>
        <v>#ERROR!</v>
      </c>
      <c r="BK1129" s="665" t="str">
        <f>mobileBlendedASP</f>
        <v>#ERROR!</v>
      </c>
      <c r="BL1129" s="377" t="str">
        <f>mobileBlendedASP</f>
        <v>#ERROR!</v>
      </c>
      <c r="BM1129" s="377" t="str">
        <f>mobileBlendedASP</f>
        <v>#ERROR!</v>
      </c>
      <c r="BN1129" s="377" t="str">
        <f>mobileBlendedASP</f>
        <v>#ERROR!</v>
      </c>
      <c r="BO1129" s="377" t="str">
        <f>mobileBlendedASP</f>
        <v>#ERROR!</v>
      </c>
      <c r="BP1129" s="665" t="str">
        <f>mobileBlendedASP</f>
        <v>#ERROR!</v>
      </c>
      <c r="BQ1129" s="377" t="str">
        <f>mobileBlendedASP</f>
        <v>#ERROR!</v>
      </c>
      <c r="BR1129" s="377" t="str">
        <f>mobileBlendedASP</f>
        <v>#ERROR!</v>
      </c>
      <c r="BS1129" s="377" t="str">
        <f>mobileBlendedASP</f>
        <v>#ERROR!</v>
      </c>
      <c r="BT1129" s="377" t="str">
        <f>mobileBlendedASP</f>
        <v>#ERROR!</v>
      </c>
      <c r="BU1129" s="665" t="str">
        <f>mobileBlendedASP</f>
        <v>#ERROR!</v>
      </c>
      <c r="BV1129" s="377" t="str">
        <f>mobileBlendedASP</f>
        <v>#ERROR!</v>
      </c>
      <c r="BW1129" s="377" t="str">
        <f>mobileBlendedASP</f>
        <v>#ERROR!</v>
      </c>
      <c r="BX1129" s="377" t="str">
        <f>mobileBlendedASP</f>
        <v>#ERROR!</v>
      </c>
      <c r="BY1129" s="377" t="str">
        <f>mobileBlendedASP</f>
        <v>#ERROR!</v>
      </c>
      <c r="BZ1129" s="666" t="str">
        <f>mobileBlendedASP</f>
        <v>#ERROR!</v>
      </c>
      <c r="CA1129" s="377" t="str">
        <f>mobileBlendedASP</f>
        <v>#ERROR!</v>
      </c>
      <c r="CB1129" s="377" t="str">
        <f>mobileBlendedASP</f>
        <v>#ERROR!</v>
      </c>
      <c r="CC1129" s="377" t="str">
        <f>mobileBlendedASP</f>
        <v>#ERROR!</v>
      </c>
      <c r="CD1129" s="377" t="str">
        <f>mobileBlendedASP</f>
        <v>#ERROR!</v>
      </c>
      <c r="CE1129" s="666" t="str">
        <f>mobileBlendedASP</f>
        <v>#ERROR!</v>
      </c>
      <c r="CF1129" s="377" t="str">
        <f>mobileBlendedASP</f>
        <v>#ERROR!</v>
      </c>
      <c r="CG1129" s="377" t="str">
        <f>mobileBlendedASP</f>
        <v>#ERROR!</v>
      </c>
      <c r="CH1129" s="377" t="str">
        <f>mobileBlendedASP</f>
        <v>#ERROR!</v>
      </c>
      <c r="CI1129" s="377" t="str">
        <f>mobileBlendedASP</f>
        <v>#ERROR!</v>
      </c>
      <c r="CJ1129" s="666" t="str">
        <f>mobileBlendedASP</f>
        <v>#ERROR!</v>
      </c>
      <c r="CK1129" s="377" t="str">
        <f>mobileBlendedASP</f>
        <v>#ERROR!</v>
      </c>
      <c r="CL1129" s="377" t="str">
        <f>mobileBlendedASP</f>
        <v>#ERROR!</v>
      </c>
      <c r="CM1129" s="377" t="str">
        <f>mobileBlendedASP</f>
        <v>#ERROR!</v>
      </c>
      <c r="CN1129" s="440" t="str">
        <f>mobileBlendedASP</f>
        <v>#ERROR!</v>
      </c>
      <c r="CO1129" s="666" t="str">
        <f>mobileBlendedASP</f>
        <v>#ERROR!</v>
      </c>
      <c r="CP1129" s="440" t="str">
        <f>mobileBlendedASP</f>
        <v>#ERROR!</v>
      </c>
      <c r="CQ1129" s="377" t="str">
        <f>mobileBlendedASP</f>
        <v>#ERROR!</v>
      </c>
      <c r="CR1129" s="377" t="str">
        <f>mobileBlendedASP</f>
        <v>#ERROR!</v>
      </c>
      <c r="CS1129" s="377" t="str">
        <f>mobileBlendedASP</f>
        <v>#ERROR!</v>
      </c>
      <c r="CT1129" s="666" t="str">
        <f>mobileBlendedASP</f>
        <v>#ERROR!</v>
      </c>
      <c r="CU1129" s="377" t="str">
        <f>mobileBlendedASP</f>
        <v>#ERROR!</v>
      </c>
      <c r="CV1129" s="377" t="str">
        <f>mobileBlendedASP</f>
        <v>#ERROR!</v>
      </c>
      <c r="CW1129" s="377" t="str">
        <f>mobileBlendedASP</f>
        <v>#ERROR!</v>
      </c>
      <c r="CX1129" s="377" t="str">
        <f>mobileBlendedASP</f>
        <v>#ERROR!</v>
      </c>
      <c r="CY1129" s="666" t="str">
        <f>mobileBlendedASP</f>
        <v>#ERROR!</v>
      </c>
      <c r="CZ1129" s="377" t="str">
        <f>mobileBlendedASP</f>
        <v>#ERROR!</v>
      </c>
      <c r="DA1129" s="377" t="str">
        <f>mobileBlendedASP</f>
        <v>#ERROR!</v>
      </c>
      <c r="DB1129" s="377" t="str">
        <f>mobileBlendedASP</f>
        <v>#ERROR!</v>
      </c>
      <c r="DC1129" s="377" t="str">
        <f>mobileBlendedASP</f>
        <v>#ERROR!</v>
      </c>
      <c r="DD1129" s="666" t="str">
        <f>mobileBlendedASP</f>
        <v>#ERROR!</v>
      </c>
      <c r="DE1129" s="377" t="str">
        <f>mobileBlendedASP</f>
        <v>#ERROR!</v>
      </c>
      <c r="DF1129" s="377" t="str">
        <f>mobileBlendedASP</f>
        <v>#ERROR!</v>
      </c>
      <c r="DG1129" s="440" t="str">
        <f>mobileBlendedASP</f>
        <v>#ERROR!</v>
      </c>
      <c r="DH1129" s="377" t="str">
        <f>mobileBlendedASP</f>
        <v>#ERROR!</v>
      </c>
      <c r="DI1129" s="666" t="str">
        <f>mobileBlendedASP</f>
        <v>#ERROR!</v>
      </c>
      <c r="DJ1129" s="440" t="str">
        <f>mobileBlendedASP</f>
        <v>#ERROR!</v>
      </c>
      <c r="DK1129" s="440" t="str">
        <f>mobileBlendedASP</f>
        <v>#ERROR!</v>
      </c>
      <c r="DL1129" s="440" t="str">
        <f>mobileBlendedASP</f>
        <v>#ERROR!</v>
      </c>
      <c r="DM1129" s="377" t="str">
        <f>mobileBlendedASP</f>
        <v>#ERROR!</v>
      </c>
      <c r="DN1129" s="666" t="str">
        <f>mobileBlendedASP</f>
        <v>#ERROR!</v>
      </c>
      <c r="DO1129" s="377" t="str">
        <f>mobileBlendedASP</f>
        <v>#ERROR!</v>
      </c>
      <c r="DP1129" s="377" t="str">
        <f>mobileBlendedASP</f>
        <v>#ERROR!</v>
      </c>
      <c r="DQ1129" s="377" t="str">
        <f>mobileBlendedASP</f>
        <v>#ERROR!</v>
      </c>
      <c r="DR1129" s="377" t="str">
        <f>mobileBlendedASP</f>
        <v>#ERROR!</v>
      </c>
      <c r="DS1129" s="666" t="str">
        <f>mobileBlendedASP</f>
        <v>#ERROR!</v>
      </c>
      <c r="DT1129" s="377" t="str">
        <f>mobileBlendedASP</f>
        <v>#ERROR!</v>
      </c>
      <c r="DU1129" s="377" t="str">
        <f>mobileBlendedASP</f>
        <v>#ERROR!</v>
      </c>
      <c r="DV1129" s="377" t="str">
        <f>mobileBlendedASP</f>
        <v>#ERROR!</v>
      </c>
      <c r="DW1129" s="377" t="str">
        <f>mobileBlendedASP</f>
        <v>#ERROR!</v>
      </c>
      <c r="DX1129" s="666" t="str">
        <f>mobileBlendedASP</f>
        <v>#ERROR!</v>
      </c>
      <c r="DY1129" s="377" t="str">
        <f>mobileBlendedASP</f>
        <v>#ERROR!</v>
      </c>
      <c r="DZ1129" s="377" t="str">
        <f>mobileBlendedASP</f>
        <v>#ERROR!</v>
      </c>
      <c r="EA1129" s="377" t="str">
        <f>mobileBlendedASP</f>
        <v>#ERROR!</v>
      </c>
      <c r="EB1129" s="377" t="str">
        <f>mobileBlendedASP</f>
        <v>#ERROR!</v>
      </c>
      <c r="EC1129" s="666" t="str">
        <f>mobileBlendedASP</f>
        <v>#ERROR!</v>
      </c>
      <c r="ED1129" s="377" t="str">
        <f>mobileBlendedASP</f>
        <v>#ERROR!</v>
      </c>
      <c r="EE1129" s="377" t="str">
        <f>mobileBlendedASP</f>
        <v>#ERROR!</v>
      </c>
      <c r="EF1129" s="377" t="str">
        <f>mobileBlendedASP</f>
        <v>#ERROR!</v>
      </c>
      <c r="EG1129" s="377" t="str">
        <f>mobileBlendedASP</f>
        <v>#ERROR!</v>
      </c>
      <c r="EH1129" s="666" t="str">
        <f>mobileBlendedASP</f>
        <v>#ERROR!</v>
      </c>
      <c r="EI1129" s="442" t="str">
        <f>mobileBlendedASP</f>
        <v>#ERROR!</v>
      </c>
      <c r="EJ1129" s="377" t="str">
        <f>mobileBlendedASP</f>
        <v>#ERROR!</v>
      </c>
      <c r="EK1129" s="377" t="str">
        <f>mobileBlendedASP</f>
        <v>#ERROR!</v>
      </c>
      <c r="EL1129" s="377" t="str">
        <f>mobileBlendedASP</f>
        <v>#ERROR!</v>
      </c>
      <c r="EM1129" s="666" t="str">
        <f>mobileBlendedASP</f>
        <v>#ERROR!</v>
      </c>
      <c r="EN1129" s="377" t="str">
        <f>mobileBlendedASP</f>
        <v>#ERROR!</v>
      </c>
      <c r="EO1129" s="377" t="str">
        <f>mobileBlendedASP</f>
        <v>#ERROR!</v>
      </c>
      <c r="EP1129" s="377" t="str">
        <f>mobileBlendedASP</f>
        <v>#ERROR!</v>
      </c>
      <c r="EQ1129" s="377" t="str">
        <f>mobileBlendedASP</f>
        <v>#ERROR!</v>
      </c>
      <c r="ER1129" s="666" t="str">
        <f>mobileBlendedASP</f>
        <v>#ERROR!</v>
      </c>
      <c r="ES1129" s="377" t="str">
        <f>mobileBlendedASP</f>
        <v>#ERROR!</v>
      </c>
      <c r="ET1129" s="377" t="str">
        <f>mobileBlendedASP</f>
        <v>#ERROR!</v>
      </c>
      <c r="EU1129" s="377" t="str">
        <f>mobileBlendedASP</f>
        <v>#ERROR!</v>
      </c>
      <c r="EV1129" s="377" t="str">
        <f>mobileBlendedASP</f>
        <v>#ERROR!</v>
      </c>
      <c r="EW1129" s="666" t="str">
        <f>mobileBlendedASP</f>
        <v>#ERROR!</v>
      </c>
      <c r="EX1129" s="377" t="str">
        <f>mobileBlendedASP</f>
        <v>#ERROR!</v>
      </c>
      <c r="EY1129" s="377" t="str">
        <f>mobileBlendedASP</f>
        <v>#ERROR!</v>
      </c>
      <c r="EZ1129" s="377" t="str">
        <f>mobileBlendedASP</f>
        <v>#ERROR!</v>
      </c>
      <c r="FA1129" s="377" t="str">
        <f>mobileBlendedASP</f>
        <v>#ERROR!</v>
      </c>
      <c r="FB1129" s="666" t="str">
        <f>mobileBlendedASP</f>
        <v>#ERROR!</v>
      </c>
      <c r="FC1129" s="377" t="str">
        <f>mobileBlendedASP</f>
        <v>#ERROR!</v>
      </c>
      <c r="FD1129" s="377" t="str">
        <f>mobileBlendedASP</f>
        <v>#ERROR!</v>
      </c>
      <c r="FE1129" s="377" t="str">
        <f>mobileBlendedASP</f>
        <v>#ERROR!</v>
      </c>
      <c r="FF1129" s="377" t="str">
        <f>mobileBlendedASP</f>
        <v>#ERROR!</v>
      </c>
      <c r="FG1129" s="666" t="str">
        <f>mobileBlendedASP</f>
        <v>#ERROR!</v>
      </c>
      <c r="FH1129" s="667"/>
      <c r="FI1129" s="377"/>
      <c r="FJ1129" s="377"/>
      <c r="FK1129" s="665"/>
      <c r="FL1129" s="377"/>
    </row>
    <row r="1130" ht="12.75" hidden="1" customHeight="1" outlineLevel="1">
      <c r="A1130" s="4"/>
      <c r="B1130" s="4" t="s">
        <v>417</v>
      </c>
      <c r="C1130" s="4"/>
      <c r="D1130" s="377"/>
      <c r="E1130" s="377"/>
      <c r="F1130" s="377"/>
      <c r="G1130" s="377"/>
      <c r="H1130" s="665"/>
      <c r="I1130" s="377" t="e">
        <v>#REF!</v>
      </c>
      <c r="J1130" s="377" t="e">
        <v>#REF!</v>
      </c>
      <c r="K1130" s="377" t="e">
        <v>#REF!</v>
      </c>
      <c r="L1130" s="377" t="e">
        <v>#REF!</v>
      </c>
      <c r="M1130" s="665" t="e">
        <v>#REF!</v>
      </c>
      <c r="N1130" s="377" t="e">
        <v>#REF!</v>
      </c>
      <c r="O1130" s="377" t="e">
        <v>#REF!</v>
      </c>
      <c r="P1130" s="377" t="e">
        <v>#REF!</v>
      </c>
      <c r="Q1130" s="377" t="e">
        <v>#REF!</v>
      </c>
      <c r="R1130" s="665" t="e">
        <v>#REF!</v>
      </c>
      <c r="S1130" s="377" t="e">
        <v>#REF!</v>
      </c>
      <c r="T1130" s="377" t="e">
        <v>#REF!</v>
      </c>
      <c r="U1130" s="377" t="e">
        <v>#REF!</v>
      </c>
      <c r="V1130" s="377" t="e">
        <v>#REF!</v>
      </c>
      <c r="W1130" s="665" t="e">
        <v>#REF!</v>
      </c>
      <c r="X1130" s="377" t="e">
        <v>#REF!</v>
      </c>
      <c r="Y1130" s="377" t="e">
        <v>#REF!</v>
      </c>
      <c r="Z1130" s="377" t="e">
        <v>#REF!</v>
      </c>
      <c r="AA1130" s="377" t="e">
        <v>#REF!</v>
      </c>
      <c r="AB1130" s="665" t="e">
        <v>#REF!</v>
      </c>
      <c r="AC1130" s="377" t="e">
        <v>#REF!</v>
      </c>
      <c r="AD1130" s="377" t="e">
        <v>#REF!</v>
      </c>
      <c r="AE1130" s="377" t="e">
        <v>#REF!</v>
      </c>
      <c r="AF1130" s="377" t="e">
        <v>#REF!</v>
      </c>
      <c r="AG1130" s="665" t="e">
        <v>#REF!</v>
      </c>
      <c r="AH1130" s="377" t="e">
        <v>#REF!</v>
      </c>
      <c r="AI1130" s="377" t="e">
        <v>#REF!</v>
      </c>
      <c r="AJ1130" s="377" t="e">
        <v>#REF!</v>
      </c>
      <c r="AK1130" s="377" t="e">
        <v>#REF!</v>
      </c>
      <c r="AL1130" s="665" t="e">
        <v>#REF!</v>
      </c>
      <c r="AM1130" s="377" t="e">
        <v>#REF!</v>
      </c>
      <c r="AN1130" s="377" t="e">
        <v>#REF!</v>
      </c>
      <c r="AO1130" s="377" t="e">
        <v>#REF!</v>
      </c>
      <c r="AP1130" s="377" t="e">
        <v>#REF!</v>
      </c>
      <c r="AQ1130" s="665" t="e">
        <v>#REF!</v>
      </c>
      <c r="AR1130" s="377" t="e">
        <v>#REF!</v>
      </c>
      <c r="AS1130" s="377" t="e">
        <v>#REF!</v>
      </c>
      <c r="AT1130" s="377" t="e">
        <v>#REF!</v>
      </c>
      <c r="AU1130" s="377" t="e">
        <v>#REF!</v>
      </c>
      <c r="AV1130" s="665" t="e">
        <v>#REF!</v>
      </c>
      <c r="AW1130" s="377" t="e">
        <v>#REF!</v>
      </c>
      <c r="AX1130" s="377" t="e">
        <v>#REF!</v>
      </c>
      <c r="AY1130" s="377" t="e">
        <v>#REF!</v>
      </c>
      <c r="AZ1130" s="377" t="e">
        <v>#REF!</v>
      </c>
      <c r="BA1130" s="665" t="e">
        <v>#REF!</v>
      </c>
      <c r="BB1130" s="377" t="e">
        <v>#REF!</v>
      </c>
      <c r="BC1130" s="377" t="e">
        <v>#REF!</v>
      </c>
      <c r="BD1130" s="377" t="e">
        <v>#REF!</v>
      </c>
      <c r="BE1130" s="377" t="e">
        <v>#REF!</v>
      </c>
      <c r="BF1130" s="665" t="e">
        <v>#REF!</v>
      </c>
      <c r="BG1130" s="377" t="e">
        <v>#REF!</v>
      </c>
      <c r="BH1130" s="377" t="e">
        <v>#REF!</v>
      </c>
      <c r="BI1130" s="377" t="e">
        <v>#REF!</v>
      </c>
      <c r="BJ1130" s="377" t="e">
        <v>#REF!</v>
      </c>
      <c r="BK1130" s="665" t="e">
        <v>#REF!</v>
      </c>
      <c r="BL1130" s="377" t="e">
        <v>#REF!</v>
      </c>
      <c r="BM1130" s="377" t="e">
        <v>#REF!</v>
      </c>
      <c r="BN1130" s="377" t="e">
        <v>#REF!</v>
      </c>
      <c r="BO1130" s="377" t="e">
        <v>#REF!</v>
      </c>
      <c r="BP1130" s="665" t="e">
        <v>#REF!</v>
      </c>
      <c r="BQ1130" s="377" t="e">
        <v>#REF!</v>
      </c>
      <c r="BR1130" s="377" t="e">
        <v>#REF!</v>
      </c>
      <c r="BS1130" s="377" t="e">
        <v>#REF!</v>
      </c>
      <c r="BT1130" s="377" t="e">
        <v>#REF!</v>
      </c>
      <c r="BU1130" s="665" t="e">
        <v>#REF!</v>
      </c>
      <c r="BV1130" s="377" t="e">
        <v>#REF!</v>
      </c>
      <c r="BW1130" s="377" t="e">
        <v>#REF!</v>
      </c>
      <c r="BX1130" s="377" t="e">
        <v>#REF!</v>
      </c>
      <c r="BY1130" s="377" t="e">
        <v>#REF!</v>
      </c>
      <c r="BZ1130" s="666" t="e">
        <v>#REF!</v>
      </c>
      <c r="CA1130" s="377" t="e">
        <v>#REF!</v>
      </c>
      <c r="CB1130" s="377" t="e">
        <v>#REF!</v>
      </c>
      <c r="CC1130" s="377" t="e">
        <v>#REF!</v>
      </c>
      <c r="CD1130" s="377" t="e">
        <v>#REF!</v>
      </c>
      <c r="CE1130" s="666" t="e">
        <v>#REF!</v>
      </c>
      <c r="CF1130" s="377" t="e">
        <v>#REF!</v>
      </c>
      <c r="CG1130" s="377" t="e">
        <v>#REF!</v>
      </c>
      <c r="CH1130" s="377" t="e">
        <v>#REF!</v>
      </c>
      <c r="CI1130" s="377" t="e">
        <v>#REF!</v>
      </c>
      <c r="CJ1130" s="666" t="e">
        <v>#REF!</v>
      </c>
      <c r="CK1130" s="377" t="e">
        <v>#REF!</v>
      </c>
      <c r="CL1130" s="377" t="e">
        <v>#REF!</v>
      </c>
      <c r="CM1130" s="377" t="e">
        <v>#REF!</v>
      </c>
      <c r="CN1130" s="440" t="e">
        <v>#REF!</v>
      </c>
      <c r="CO1130" s="666" t="e">
        <v>#REF!</v>
      </c>
      <c r="CP1130" s="440" t="e">
        <v>#REF!</v>
      </c>
      <c r="CQ1130" s="377" t="e">
        <v>#REF!</v>
      </c>
      <c r="CR1130" s="377" t="e">
        <v>#REF!</v>
      </c>
      <c r="CS1130" s="377" t="e">
        <v>#REF!</v>
      </c>
      <c r="CT1130" s="666" t="e">
        <v>#REF!</v>
      </c>
      <c r="CU1130" s="377" t="e">
        <v>#REF!</v>
      </c>
      <c r="CV1130" s="377" t="e">
        <v>#REF!</v>
      </c>
      <c r="CW1130" s="377" t="e">
        <v>#REF!</v>
      </c>
      <c r="CX1130" s="377" t="e">
        <v>#REF!</v>
      </c>
      <c r="CY1130" s="666" t="e">
        <v>#REF!</v>
      </c>
      <c r="CZ1130" s="377" t="e">
        <v>#REF!</v>
      </c>
      <c r="DA1130" s="377" t="e">
        <v>#REF!</v>
      </c>
      <c r="DB1130" s="377" t="e">
        <v>#REF!</v>
      </c>
      <c r="DC1130" s="377" t="e">
        <v>#REF!</v>
      </c>
      <c r="DD1130" s="666" t="e">
        <v>#REF!</v>
      </c>
      <c r="DE1130" s="377" t="e">
        <v>#REF!</v>
      </c>
      <c r="DF1130" s="377" t="e">
        <v>#REF!</v>
      </c>
      <c r="DG1130" s="440" t="e">
        <v>#REF!</v>
      </c>
      <c r="DH1130" s="377" t="e">
        <v>#REF!</v>
      </c>
      <c r="DI1130" s="666" t="e">
        <v>#REF!</v>
      </c>
      <c r="DJ1130" s="440" t="e">
        <v>#REF!</v>
      </c>
      <c r="DK1130" s="440" t="e">
        <v>#REF!</v>
      </c>
      <c r="DL1130" s="440" t="e">
        <v>#REF!</v>
      </c>
      <c r="DM1130" s="377" t="e">
        <v>#REF!</v>
      </c>
      <c r="DN1130" s="666" t="e">
        <v>#REF!</v>
      </c>
      <c r="DO1130" s="377" t="e">
        <v>#REF!</v>
      </c>
      <c r="DP1130" s="377" t="e">
        <v>#REF!</v>
      </c>
      <c r="DQ1130" s="377" t="e">
        <v>#REF!</v>
      </c>
      <c r="DR1130" s="377" t="e">
        <v>#REF!</v>
      </c>
      <c r="DS1130" s="666" t="e">
        <v>#REF!</v>
      </c>
      <c r="DT1130" s="377" t="e">
        <v>#REF!</v>
      </c>
      <c r="DU1130" s="377" t="e">
        <v>#REF!</v>
      </c>
      <c r="DV1130" s="377" t="e">
        <v>#REF!</v>
      </c>
      <c r="DW1130" s="377" t="e">
        <v>#REF!</v>
      </c>
      <c r="DX1130" s="666" t="e">
        <v>#REF!</v>
      </c>
      <c r="DY1130" s="377" t="e">
        <v>#REF!</v>
      </c>
      <c r="DZ1130" s="377" t="e">
        <v>#REF!</v>
      </c>
      <c r="EA1130" s="377" t="e">
        <v>#REF!</v>
      </c>
      <c r="EB1130" s="377" t="e">
        <v>#REF!</v>
      </c>
      <c r="EC1130" s="666" t="e">
        <v>#REF!</v>
      </c>
      <c r="ED1130" s="377" t="e">
        <v>#REF!</v>
      </c>
      <c r="EE1130" s="377" t="e">
        <v>#REF!</v>
      </c>
      <c r="EF1130" s="377" t="e">
        <v>#REF!</v>
      </c>
      <c r="EG1130" s="377" t="e">
        <v>#REF!</v>
      </c>
      <c r="EH1130" s="666" t="e">
        <v>#REF!</v>
      </c>
      <c r="EI1130" s="442" t="e">
        <v>#REF!</v>
      </c>
      <c r="EJ1130" s="377" t="e">
        <v>#REF!</v>
      </c>
      <c r="EK1130" s="377" t="e">
        <v>#REF!</v>
      </c>
      <c r="EL1130" s="377" t="e">
        <v>#REF!</v>
      </c>
      <c r="EM1130" s="666" t="e">
        <v>#REF!</v>
      </c>
      <c r="EN1130" s="377" t="e">
        <v>#REF!</v>
      </c>
      <c r="EO1130" s="377" t="e">
        <v>#REF!</v>
      </c>
      <c r="EP1130" s="377" t="e">
        <v>#REF!</v>
      </c>
      <c r="EQ1130" s="377" t="e">
        <v>#REF!</v>
      </c>
      <c r="ER1130" s="666" t="e">
        <v>#REF!</v>
      </c>
      <c r="ES1130" s="377" t="e">
        <v>#REF!</v>
      </c>
      <c r="ET1130" s="377" t="e">
        <v>#REF!</v>
      </c>
      <c r="EU1130" s="377" t="e">
        <v>#REF!</v>
      </c>
      <c r="EV1130" s="377" t="e">
        <v>#REF!</v>
      </c>
      <c r="EW1130" s="666" t="e">
        <v>#REF!</v>
      </c>
      <c r="EX1130" s="377" t="e">
        <v>#REF!</v>
      </c>
      <c r="EY1130" s="377" t="e">
        <v>#REF!</v>
      </c>
      <c r="EZ1130" s="377" t="e">
        <v>#REF!</v>
      </c>
      <c r="FA1130" s="377" t="e">
        <v>#REF!</v>
      </c>
      <c r="FB1130" s="666" t="e">
        <v>#REF!</v>
      </c>
      <c r="FC1130" s="377" t="e">
        <v>#REF!</v>
      </c>
      <c r="FD1130" s="377" t="e">
        <v>#REF!</v>
      </c>
      <c r="FE1130" s="377" t="e">
        <v>#REF!</v>
      </c>
      <c r="FF1130" s="377" t="e">
        <v>#REF!</v>
      </c>
      <c r="FG1130" s="666" t="e">
        <v>#REF!</v>
      </c>
      <c r="FH1130" s="667"/>
      <c r="FI1130" s="377"/>
      <c r="FJ1130" s="377"/>
      <c r="FK1130" s="665"/>
      <c r="FL1130" s="377"/>
    </row>
    <row r="1131" ht="12.75" hidden="1" customHeight="1" outlineLevel="1">
      <c r="A1131" s="4"/>
      <c r="B1131" s="4"/>
      <c r="C1131" s="4"/>
      <c r="D1131" s="4"/>
      <c r="E1131" s="4"/>
      <c r="F1131" s="4"/>
      <c r="G1131" s="4"/>
      <c r="H1131" s="45"/>
      <c r="I1131" s="4"/>
      <c r="J1131" s="4"/>
      <c r="K1131" s="4"/>
      <c r="L1131" s="4"/>
      <c r="M1131" s="45"/>
      <c r="N1131" s="4"/>
      <c r="O1131" s="4"/>
      <c r="P1131" s="4"/>
      <c r="Q1131" s="4"/>
      <c r="R1131" s="45"/>
      <c r="S1131" s="4"/>
      <c r="T1131" s="4"/>
      <c r="U1131" s="4"/>
      <c r="V1131" s="4"/>
      <c r="W1131" s="45"/>
      <c r="X1131" s="4"/>
      <c r="Y1131" s="4"/>
      <c r="Z1131" s="4"/>
      <c r="AA1131" s="4"/>
      <c r="AB1131" s="45"/>
      <c r="AC1131" s="4"/>
      <c r="AD1131" s="4"/>
      <c r="AE1131" s="4"/>
      <c r="AF1131" s="4"/>
      <c r="AG1131" s="45"/>
      <c r="AH1131" s="4"/>
      <c r="AI1131" s="4"/>
      <c r="AJ1131" s="4"/>
      <c r="AK1131" s="4"/>
      <c r="AL1131" s="45"/>
      <c r="AM1131" s="4"/>
      <c r="AN1131" s="4"/>
      <c r="AO1131" s="4"/>
      <c r="AP1131" s="4"/>
      <c r="AQ1131" s="45"/>
      <c r="AR1131" s="4"/>
      <c r="AS1131" s="4"/>
      <c r="AT1131" s="4"/>
      <c r="AU1131" s="4"/>
      <c r="AV1131" s="45"/>
      <c r="AW1131" s="4"/>
      <c r="AX1131" s="4"/>
      <c r="AY1131" s="4"/>
      <c r="AZ1131" s="4"/>
      <c r="BA1131" s="45"/>
      <c r="BB1131" s="4"/>
      <c r="BC1131" s="4"/>
      <c r="BD1131" s="4"/>
      <c r="BE1131" s="4"/>
      <c r="BF1131" s="45"/>
      <c r="BG1131" s="4"/>
      <c r="BH1131" s="4"/>
      <c r="BI1131" s="4"/>
      <c r="BJ1131" s="4"/>
      <c r="BK1131" s="45"/>
      <c r="BL1131" s="4"/>
      <c r="BM1131" s="4"/>
      <c r="BN1131" s="4"/>
      <c r="BO1131" s="4"/>
      <c r="BP1131" s="45"/>
      <c r="BQ1131" s="4"/>
      <c r="BR1131" s="4"/>
      <c r="BS1131" s="4"/>
      <c r="BT1131" s="4"/>
      <c r="BU1131" s="45"/>
      <c r="BV1131" s="4"/>
      <c r="BW1131" s="4"/>
      <c r="BX1131" s="4"/>
      <c r="BY1131" s="4"/>
      <c r="BZ1131" s="350"/>
      <c r="CA1131" s="4"/>
      <c r="CB1131" s="4"/>
      <c r="CC1131" s="4"/>
      <c r="CD1131" s="4"/>
      <c r="CE1131" s="350"/>
      <c r="CF1131" s="4"/>
      <c r="CG1131" s="4"/>
      <c r="CH1131" s="4"/>
      <c r="CI1131" s="4"/>
      <c r="CJ1131" s="350"/>
      <c r="CK1131" s="4"/>
      <c r="CL1131" s="4"/>
      <c r="CM1131" s="4"/>
      <c r="CN1131" s="16"/>
      <c r="CO1131" s="350"/>
      <c r="CP1131" s="16"/>
      <c r="CQ1131" s="4"/>
      <c r="CR1131" s="4"/>
      <c r="CS1131" s="4"/>
      <c r="CT1131" s="350"/>
      <c r="CU1131" s="4"/>
      <c r="CV1131" s="4"/>
      <c r="CW1131" s="4"/>
      <c r="CX1131" s="4"/>
      <c r="CY1131" s="350"/>
      <c r="CZ1131" s="4"/>
      <c r="DA1131" s="4"/>
      <c r="DB1131" s="4"/>
      <c r="DC1131" s="4"/>
      <c r="DD1131" s="350"/>
      <c r="DE1131" s="4"/>
      <c r="DF1131" s="4"/>
      <c r="DG1131" s="16"/>
      <c r="DH1131" s="4"/>
      <c r="DI1131" s="350"/>
      <c r="DJ1131" s="16"/>
      <c r="DK1131" s="16"/>
      <c r="DL1131" s="16"/>
      <c r="DM1131" s="4"/>
      <c r="DN1131" s="350"/>
      <c r="DO1131" s="4"/>
      <c r="DP1131" s="4"/>
      <c r="DQ1131" s="4"/>
      <c r="DR1131" s="4"/>
      <c r="DS1131" s="350"/>
      <c r="DT1131" s="4"/>
      <c r="DU1131" s="4"/>
      <c r="DV1131" s="4"/>
      <c r="DW1131" s="4"/>
      <c r="DX1131" s="350"/>
      <c r="DY1131" s="4"/>
      <c r="DZ1131" s="4"/>
      <c r="EA1131" s="4"/>
      <c r="EB1131" s="4"/>
      <c r="EC1131" s="350"/>
      <c r="ED1131" s="4"/>
      <c r="EE1131" s="4"/>
      <c r="EF1131" s="4"/>
      <c r="EG1131" s="4"/>
      <c r="EH1131" s="350"/>
      <c r="EI1131" s="214"/>
      <c r="EJ1131" s="4"/>
      <c r="EK1131" s="4"/>
      <c r="EL1131" s="4"/>
      <c r="EM1131" s="350"/>
      <c r="EN1131" s="4"/>
      <c r="EO1131" s="4"/>
      <c r="EP1131" s="4"/>
      <c r="EQ1131" s="4"/>
      <c r="ER1131" s="350"/>
      <c r="ES1131" s="4"/>
      <c r="ET1131" s="4"/>
      <c r="EU1131" s="4"/>
      <c r="EV1131" s="4"/>
      <c r="EW1131" s="350"/>
      <c r="EX1131" s="4"/>
      <c r="EY1131" s="4"/>
      <c r="EZ1131" s="4"/>
      <c r="FA1131" s="4"/>
      <c r="FB1131" s="350"/>
      <c r="FC1131" s="4"/>
      <c r="FD1131" s="4"/>
      <c r="FE1131" s="4"/>
      <c r="FF1131" s="4"/>
      <c r="FG1131" s="350"/>
      <c r="FH1131" s="145"/>
      <c r="FI1131" s="4"/>
      <c r="FJ1131" s="4"/>
      <c r="FK1131" s="45"/>
      <c r="FL1131" s="4"/>
    </row>
    <row r="1132" ht="12.75" hidden="1" customHeight="1" outlineLevel="1">
      <c r="A1132" s="4"/>
      <c r="B1132" s="299" t="s">
        <v>418</v>
      </c>
      <c r="C1132" s="90"/>
      <c r="D1132" s="728"/>
      <c r="E1132" s="728"/>
      <c r="F1132" s="728"/>
      <c r="G1132" s="728"/>
      <c r="H1132" s="729"/>
      <c r="I1132" s="728"/>
      <c r="J1132" s="728"/>
      <c r="K1132" s="728"/>
      <c r="L1132" s="728"/>
      <c r="M1132" s="729"/>
      <c r="N1132" s="728"/>
      <c r="O1132" s="728"/>
      <c r="P1132" s="728"/>
      <c r="Q1132" s="728"/>
      <c r="R1132" s="729"/>
      <c r="S1132" s="728"/>
      <c r="T1132" s="728"/>
      <c r="U1132" s="728"/>
      <c r="V1132" s="728"/>
      <c r="W1132" s="729"/>
      <c r="X1132" s="728"/>
      <c r="Y1132" s="728"/>
      <c r="Z1132" s="728"/>
      <c r="AA1132" s="728"/>
      <c r="AB1132" s="729"/>
      <c r="AC1132" s="728"/>
      <c r="AD1132" s="728"/>
      <c r="AE1132" s="728"/>
      <c r="AF1132" s="728"/>
      <c r="AG1132" s="729"/>
      <c r="AH1132" s="728"/>
      <c r="AI1132" s="728"/>
      <c r="AJ1132" s="728"/>
      <c r="AK1132" s="728"/>
      <c r="AL1132" s="729"/>
      <c r="AM1132" s="728"/>
      <c r="AN1132" s="728"/>
      <c r="AO1132" s="728"/>
      <c r="AP1132" s="728"/>
      <c r="AQ1132" s="729"/>
      <c r="AR1132" s="728"/>
      <c r="AS1132" s="728"/>
      <c r="AT1132" s="728"/>
      <c r="AU1132" s="728"/>
      <c r="AV1132" s="729"/>
      <c r="AW1132" s="728"/>
      <c r="AX1132" s="728"/>
      <c r="AY1132" s="728"/>
      <c r="AZ1132" s="728"/>
      <c r="BA1132" s="729"/>
      <c r="BB1132" s="728"/>
      <c r="BC1132" s="728"/>
      <c r="BD1132" s="728"/>
      <c r="BE1132" s="728"/>
      <c r="BF1132" s="729"/>
      <c r="BG1132" s="728"/>
      <c r="BH1132" s="728"/>
      <c r="BI1132" s="728"/>
      <c r="BJ1132" s="728"/>
      <c r="BK1132" s="729"/>
      <c r="BL1132" s="728"/>
      <c r="BM1132" s="728"/>
      <c r="BN1132" s="728"/>
      <c r="BO1132" s="728"/>
      <c r="BP1132" s="729"/>
      <c r="BQ1132" s="728"/>
      <c r="BR1132" s="728"/>
      <c r="BS1132" s="728"/>
      <c r="BT1132" s="728"/>
      <c r="BU1132" s="729"/>
      <c r="BV1132" s="728"/>
      <c r="BW1132" s="728"/>
      <c r="BX1132" s="728"/>
      <c r="BY1132" s="728"/>
      <c r="BZ1132" s="730"/>
      <c r="CA1132" s="728"/>
      <c r="CB1132" s="728"/>
      <c r="CC1132" s="728"/>
      <c r="CD1132" s="728"/>
      <c r="CE1132" s="730"/>
      <c r="CF1132" s="728"/>
      <c r="CG1132" s="728"/>
      <c r="CH1132" s="728"/>
      <c r="CI1132" s="728"/>
      <c r="CJ1132" s="730"/>
      <c r="CK1132" s="728"/>
      <c r="CL1132" s="728"/>
      <c r="CM1132" s="728"/>
      <c r="CN1132" s="731"/>
      <c r="CO1132" s="730"/>
      <c r="CP1132" s="731"/>
      <c r="CQ1132" s="728"/>
      <c r="CR1132" s="728"/>
      <c r="CS1132" s="728"/>
      <c r="CT1132" s="730"/>
      <c r="CU1132" s="728"/>
      <c r="CV1132" s="728"/>
      <c r="CW1132" s="728"/>
      <c r="CX1132" s="728"/>
      <c r="CY1132" s="730"/>
      <c r="CZ1132" s="728"/>
      <c r="DA1132" s="728"/>
      <c r="DB1132" s="728"/>
      <c r="DC1132" s="728"/>
      <c r="DD1132" s="730"/>
      <c r="DE1132" s="728"/>
      <c r="DF1132" s="728"/>
      <c r="DG1132" s="732"/>
      <c r="DH1132" s="728"/>
      <c r="DI1132" s="730"/>
      <c r="DJ1132" s="731"/>
      <c r="DK1132" s="731"/>
      <c r="DL1132" s="731"/>
      <c r="DM1132" s="728"/>
      <c r="DN1132" s="730"/>
      <c r="DO1132" s="728"/>
      <c r="DP1132" s="728"/>
      <c r="DQ1132" s="728"/>
      <c r="DR1132" s="728"/>
      <c r="DS1132" s="730"/>
      <c r="DT1132" s="728"/>
      <c r="DU1132" s="728"/>
      <c r="DV1132" s="728"/>
      <c r="DW1132" s="728"/>
      <c r="DX1132" s="730"/>
      <c r="DY1132" s="728"/>
      <c r="DZ1132" s="728"/>
      <c r="EA1132" s="728"/>
      <c r="EB1132" s="728"/>
      <c r="EC1132" s="730"/>
      <c r="ED1132" s="728"/>
      <c r="EE1132" s="728"/>
      <c r="EF1132" s="728"/>
      <c r="EG1132" s="728"/>
      <c r="EH1132" s="730"/>
      <c r="EI1132" s="733"/>
      <c r="EJ1132" s="728"/>
      <c r="EK1132" s="728"/>
      <c r="EL1132" s="728"/>
      <c r="EM1132" s="730"/>
      <c r="EN1132" s="728"/>
      <c r="EO1132" s="728"/>
      <c r="EP1132" s="728"/>
      <c r="EQ1132" s="728"/>
      <c r="ER1132" s="730"/>
      <c r="ES1132" s="728"/>
      <c r="ET1132" s="728"/>
      <c r="EU1132" s="728"/>
      <c r="EV1132" s="728"/>
      <c r="EW1132" s="730"/>
      <c r="EX1132" s="728"/>
      <c r="EY1132" s="728"/>
      <c r="EZ1132" s="728"/>
      <c r="FA1132" s="728"/>
      <c r="FB1132" s="730"/>
      <c r="FC1132" s="728"/>
      <c r="FD1132" s="728"/>
      <c r="FE1132" s="728"/>
      <c r="FF1132" s="728"/>
      <c r="FG1132" s="730"/>
      <c r="FH1132" s="734"/>
      <c r="FI1132" s="728"/>
      <c r="FJ1132" s="728"/>
      <c r="FK1132" s="729"/>
      <c r="FL1132" s="728"/>
    </row>
    <row r="1133" ht="12.75" hidden="1" customHeight="1" outlineLevel="1">
      <c r="A1133" s="4"/>
      <c r="B1133" s="4" t="s">
        <v>419</v>
      </c>
      <c r="C1133" s="4"/>
      <c r="D1133" s="17"/>
      <c r="E1133" s="17"/>
      <c r="F1133" s="17"/>
      <c r="G1133" s="17"/>
      <c r="H1133" s="73"/>
      <c r="I1133" s="17" t="str">
        <f>INTCDTU+INTCNBU</f>
        <v>#ERROR!</v>
      </c>
      <c r="J1133" s="17" t="str">
        <f>INTCDTU+INTCNBU</f>
        <v>#ERROR!</v>
      </c>
      <c r="K1133" s="17" t="str">
        <f>INTCDTU+INTCNBU</f>
        <v>#ERROR!</v>
      </c>
      <c r="L1133" s="17" t="str">
        <f>INTCDTU+INTCNBU</f>
        <v>#ERROR!</v>
      </c>
      <c r="M1133" s="73" t="str">
        <f>INTCDTU+INTCNBU</f>
        <v>#ERROR!</v>
      </c>
      <c r="N1133" s="17" t="str">
        <f>INTCDTU+INTCNBU</f>
        <v>#ERROR!</v>
      </c>
      <c r="O1133" s="17" t="str">
        <f>INTCDTU+INTCNBU</f>
        <v>#ERROR!</v>
      </c>
      <c r="P1133" s="17" t="str">
        <f>INTCDTU+INTCNBU</f>
        <v>#ERROR!</v>
      </c>
      <c r="Q1133" s="17" t="str">
        <f>INTCDTU+INTCNBU</f>
        <v>#ERROR!</v>
      </c>
      <c r="R1133" s="73" t="str">
        <f>INTCDTU+INTCNBU</f>
        <v>#ERROR!</v>
      </c>
      <c r="S1133" s="17" t="str">
        <f>INTCDTU+INTCNBU</f>
        <v>#ERROR!</v>
      </c>
      <c r="T1133" s="17" t="str">
        <f>INTCDTU+INTCNBU</f>
        <v>#ERROR!</v>
      </c>
      <c r="U1133" s="17" t="str">
        <f>INTCDTU+INTCNBU</f>
        <v>#ERROR!</v>
      </c>
      <c r="V1133" s="17" t="str">
        <f>INTCDTU+INTCNBU</f>
        <v>#ERROR!</v>
      </c>
      <c r="W1133" s="73" t="str">
        <f>INTCDTU+INTCNBU</f>
        <v>#ERROR!</v>
      </c>
      <c r="X1133" s="17" t="str">
        <f>INTCDTU+INTCNBU</f>
        <v>#ERROR!</v>
      </c>
      <c r="Y1133" s="17" t="str">
        <f>INTCDTU+INTCNBU</f>
        <v>#ERROR!</v>
      </c>
      <c r="Z1133" s="17" t="str">
        <f>INTCDTU+INTCNBU</f>
        <v>#ERROR!</v>
      </c>
      <c r="AA1133" s="17" t="str">
        <f>INTCDTU+INTCNBU</f>
        <v>#ERROR!</v>
      </c>
      <c r="AB1133" s="73" t="str">
        <f>INTCDTU+INTCNBU</f>
        <v>#ERROR!</v>
      </c>
      <c r="AC1133" s="17" t="str">
        <f>INTCDTU+INTCNBU</f>
        <v>#ERROR!</v>
      </c>
      <c r="AD1133" s="17" t="str">
        <f>INTCDTU+INTCNBU</f>
        <v>#ERROR!</v>
      </c>
      <c r="AE1133" s="17" t="str">
        <f>INTCDTU+INTCNBU</f>
        <v>#ERROR!</v>
      </c>
      <c r="AF1133" s="17" t="str">
        <f>INTCDTU+INTCNBU</f>
        <v>#ERROR!</v>
      </c>
      <c r="AG1133" s="73" t="str">
        <f>INTCDTU+INTCNBU</f>
        <v>#ERROR!</v>
      </c>
      <c r="AH1133" s="17" t="str">
        <f>INTCDTU+INTCNBU</f>
        <v>#ERROR!</v>
      </c>
      <c r="AI1133" s="17" t="str">
        <f>INTCDTU+INTCNBU</f>
        <v>#ERROR!</v>
      </c>
      <c r="AJ1133" s="17" t="str">
        <f>INTCDTU+INTCNBU</f>
        <v>#ERROR!</v>
      </c>
      <c r="AK1133" s="17" t="str">
        <f>INTCDTU+INTCNBU</f>
        <v>#ERROR!</v>
      </c>
      <c r="AL1133" s="73" t="str">
        <f>INTCDTU+INTCNBU</f>
        <v>#ERROR!</v>
      </c>
      <c r="AM1133" s="17" t="str">
        <f>INTCDTU+INTCNBU</f>
        <v>#ERROR!</v>
      </c>
      <c r="AN1133" s="17" t="str">
        <f>INTCDTU+INTCNBU</f>
        <v>#ERROR!</v>
      </c>
      <c r="AO1133" s="17" t="str">
        <f>INTCDTU+INTCNBU</f>
        <v>#ERROR!</v>
      </c>
      <c r="AP1133" s="17" t="str">
        <f>INTCDTU+INTCNBU</f>
        <v>#ERROR!</v>
      </c>
      <c r="AQ1133" s="73" t="str">
        <f>INTCDTU+INTCNBU</f>
        <v>#ERROR!</v>
      </c>
      <c r="AR1133" s="17" t="str">
        <f>INTCDTU+INTCNBU</f>
        <v>#ERROR!</v>
      </c>
      <c r="AS1133" s="17" t="str">
        <f>INTCDTU+INTCNBU</f>
        <v>#ERROR!</v>
      </c>
      <c r="AT1133" s="17" t="str">
        <f>INTCDTU+INTCNBU</f>
        <v>#ERROR!</v>
      </c>
      <c r="AU1133" s="17" t="str">
        <f>INTCDTU+INTCNBU</f>
        <v>#ERROR!</v>
      </c>
      <c r="AV1133" s="73" t="str">
        <f>INTCDTU+INTCNBU</f>
        <v>#ERROR!</v>
      </c>
      <c r="AW1133" s="17" t="str">
        <f>INTCDTU+INTCNBU</f>
        <v>#ERROR!</v>
      </c>
      <c r="AX1133" s="17" t="str">
        <f>INTCDTU+INTCNBU</f>
        <v>#ERROR!</v>
      </c>
      <c r="AY1133" s="17" t="str">
        <f>INTCDTU+INTCNBU</f>
        <v>#ERROR!</v>
      </c>
      <c r="AZ1133" s="17" t="str">
        <f>INTCDTU+INTCNBU</f>
        <v>#ERROR!</v>
      </c>
      <c r="BA1133" s="73" t="str">
        <f>INTCDTU+INTCNBU</f>
        <v>#ERROR!</v>
      </c>
      <c r="BB1133" s="17" t="str">
        <f>INTCDTU+INTCNBU</f>
        <v>#ERROR!</v>
      </c>
      <c r="BC1133" s="17" t="str">
        <f>INTCDTU+INTCNBU</f>
        <v>#ERROR!</v>
      </c>
      <c r="BD1133" s="17" t="str">
        <f>INTCDTU+INTCNBU</f>
        <v>#ERROR!</v>
      </c>
      <c r="BE1133" s="17" t="str">
        <f>INTCDTU+INTCNBU</f>
        <v>#ERROR!</v>
      </c>
      <c r="BF1133" s="73" t="str">
        <f>INTCDTU+INTCNBU</f>
        <v>#ERROR!</v>
      </c>
      <c r="BG1133" s="17" t="str">
        <f>INTCDTU+INTCNBU</f>
        <v>#ERROR!</v>
      </c>
      <c r="BH1133" s="17" t="str">
        <f>INTCDTU+INTCNBU</f>
        <v>#ERROR!</v>
      </c>
      <c r="BI1133" s="17" t="str">
        <f>INTCDTU+INTCNBU</f>
        <v>#ERROR!</v>
      </c>
      <c r="BJ1133" s="17" t="str">
        <f>INTCDTU+INTCNBU</f>
        <v>#ERROR!</v>
      </c>
      <c r="BK1133" s="73" t="str">
        <f>INTCDTU+INTCNBU</f>
        <v>#ERROR!</v>
      </c>
      <c r="BL1133" s="17" t="str">
        <f>INTCDTU+INTCNBU</f>
        <v>#ERROR!</v>
      </c>
      <c r="BM1133" s="17" t="str">
        <f>INTCDTU+INTCNBU</f>
        <v>#ERROR!</v>
      </c>
      <c r="BN1133" s="17" t="str">
        <f>INTCDTU+INTCNBU</f>
        <v>#ERROR!</v>
      </c>
      <c r="BO1133" s="17" t="str">
        <f>INTCDTU+INTCNBU</f>
        <v>#ERROR!</v>
      </c>
      <c r="BP1133" s="73" t="str">
        <f>INTCDTU+INTCNBU</f>
        <v>#ERROR!</v>
      </c>
      <c r="BQ1133" s="17" t="str">
        <f>INTCDTU+INTCNBU</f>
        <v>#ERROR!</v>
      </c>
      <c r="BR1133" s="17" t="str">
        <f>INTCDTU+INTCNBU</f>
        <v>#ERROR!</v>
      </c>
      <c r="BS1133" s="17" t="str">
        <f>INTCDTU+INTCNBU</f>
        <v>#ERROR!</v>
      </c>
      <c r="BT1133" s="17" t="str">
        <f>INTCDTU+INTCNBU</f>
        <v>#ERROR!</v>
      </c>
      <c r="BU1133" s="73" t="str">
        <f>INTCDTU+INTCNBU</f>
        <v>#ERROR!</v>
      </c>
      <c r="BV1133" s="17" t="str">
        <f>INTCDTU+INTCNBU</f>
        <v>#ERROR!</v>
      </c>
      <c r="BW1133" s="17" t="str">
        <f>INTCDTU+INTCNBU</f>
        <v>#ERROR!</v>
      </c>
      <c r="BX1133" s="17" t="str">
        <f>INTCDTU+INTCNBU</f>
        <v>#ERROR!</v>
      </c>
      <c r="BY1133" s="17" t="str">
        <f>INTCDTU+INTCNBU</f>
        <v>#ERROR!</v>
      </c>
      <c r="BZ1133" s="18" t="str">
        <f>INTCDTU+INTCNBU</f>
        <v>#ERROR!</v>
      </c>
      <c r="CA1133" s="17" t="str">
        <f>INTCDTU+INTCNBU</f>
        <v>#ERROR!</v>
      </c>
      <c r="CB1133" s="17" t="str">
        <f>INTCDTU+INTCNBU</f>
        <v>#ERROR!</v>
      </c>
      <c r="CC1133" s="17" t="str">
        <f>INTCDTU+INTCNBU</f>
        <v>#ERROR!</v>
      </c>
      <c r="CD1133" s="17" t="str">
        <f>INTCDTU+INTCNBU</f>
        <v>#ERROR!</v>
      </c>
      <c r="CE1133" s="18" t="str">
        <f>INTCDTU+INTCNBU</f>
        <v>#ERROR!</v>
      </c>
      <c r="CF1133" s="17" t="str">
        <f>INTCDTU+INTCNBU</f>
        <v>#ERROR!</v>
      </c>
      <c r="CG1133" s="17" t="str">
        <f>INTCDTU+INTCNBU</f>
        <v>#ERROR!</v>
      </c>
      <c r="CH1133" s="17" t="str">
        <f>INTCDTU+INTCNBU</f>
        <v>#ERROR!</v>
      </c>
      <c r="CI1133" s="17" t="str">
        <f>INTCDTU+INTCNBU</f>
        <v>#ERROR!</v>
      </c>
      <c r="CJ1133" s="18" t="str">
        <f>INTCDTU+INTCNBU</f>
        <v>#ERROR!</v>
      </c>
      <c r="CK1133" s="17" t="str">
        <f>INTCDTU+INTCNBU</f>
        <v>#ERROR!</v>
      </c>
      <c r="CL1133" s="17" t="str">
        <f>INTCDTU+INTCNBU</f>
        <v>#ERROR!</v>
      </c>
      <c r="CM1133" s="17" t="str">
        <f>INTCDTU+INTCNBU</f>
        <v>#ERROR!</v>
      </c>
      <c r="CN1133" s="19" t="str">
        <f>INTCDTU+INTCNBU</f>
        <v>#ERROR!</v>
      </c>
      <c r="CO1133" s="18" t="str">
        <f>INTCDTU+INTCNBU</f>
        <v>#ERROR!</v>
      </c>
      <c r="CP1133" s="19" t="str">
        <f>INTCDTU+INTCNBU</f>
        <v>#ERROR!</v>
      </c>
      <c r="CQ1133" s="17" t="str">
        <f>INTCDTU+INTCNBU</f>
        <v>#ERROR!</v>
      </c>
      <c r="CR1133" s="17" t="str">
        <f>INTCDTU+INTCNBU</f>
        <v>#ERROR!</v>
      </c>
      <c r="CS1133" s="17" t="str">
        <f>INTCDTU+INTCNBU</f>
        <v>#ERROR!</v>
      </c>
      <c r="CT1133" s="18" t="str">
        <f>INTCDTU+INTCNBU</f>
        <v>#ERROR!</v>
      </c>
      <c r="CU1133" s="17" t="str">
        <f>INTCDTU+INTCNBU</f>
        <v>#ERROR!</v>
      </c>
      <c r="CV1133" s="17" t="str">
        <f>INTCDTU+INTCNBU</f>
        <v>#ERROR!</v>
      </c>
      <c r="CW1133" s="17" t="str">
        <f>INTCDTU+INTCNBU</f>
        <v>#ERROR!</v>
      </c>
      <c r="CX1133" s="17" t="str">
        <f>INTCDTU+INTCNBU</f>
        <v>#ERROR!</v>
      </c>
      <c r="CY1133" s="18" t="str">
        <f>INTCDTU+INTCNBU</f>
        <v>#ERROR!</v>
      </c>
      <c r="CZ1133" s="17" t="str">
        <f>INTCDTU+INTCNBU</f>
        <v>#ERROR!</v>
      </c>
      <c r="DA1133" s="17" t="str">
        <f>INTCDTU+INTCNBU</f>
        <v>#ERROR!</v>
      </c>
      <c r="DB1133" s="17" t="str">
        <f>INTCDTU+INTCNBU</f>
        <v>#ERROR!</v>
      </c>
      <c r="DC1133" s="17" t="str">
        <f>INTCDTU+INTCNBU</f>
        <v>#ERROR!</v>
      </c>
      <c r="DD1133" s="18" t="str">
        <f>INTCDTU+INTCNBU</f>
        <v>#ERROR!</v>
      </c>
      <c r="DE1133" s="17" t="str">
        <f>INTCDTU+INTCNBU</f>
        <v>#ERROR!</v>
      </c>
      <c r="DF1133" s="17" t="str">
        <f>INTCDTU+INTCNBU</f>
        <v>#ERROR!</v>
      </c>
      <c r="DG1133" s="19" t="str">
        <f>INTCDTU+INTCNBU</f>
        <v>#ERROR!</v>
      </c>
      <c r="DH1133" s="17" t="str">
        <f>INTCDTU+INTCNBU</f>
        <v>#ERROR!</v>
      </c>
      <c r="DI1133" s="18" t="str">
        <f>INTCDTU+INTCNBU</f>
        <v>#ERROR!</v>
      </c>
      <c r="DJ1133" s="19" t="str">
        <f>INTCDTU+INTCNBU</f>
        <v>#ERROR!</v>
      </c>
      <c r="DK1133" s="19" t="str">
        <f>INTCDTU+INTCNBU</f>
        <v>#ERROR!</v>
      </c>
      <c r="DL1133" s="19" t="str">
        <f>INTCDTU+INTCNBU</f>
        <v>#ERROR!</v>
      </c>
      <c r="DM1133" s="17" t="str">
        <f>INTCDTU+INTCNBU</f>
        <v>#ERROR!</v>
      </c>
      <c r="DN1133" s="18" t="str">
        <f>INTCDTU+INTCNBU</f>
        <v>#ERROR!</v>
      </c>
      <c r="DO1133" s="17" t="str">
        <f>INTCDTU+INTCNBU</f>
        <v>#ERROR!</v>
      </c>
      <c r="DP1133" s="17" t="str">
        <f>INTCDTU+INTCNBU</f>
        <v>#ERROR!</v>
      </c>
      <c r="DQ1133" s="17" t="str">
        <f>INTCDTU+INTCNBU</f>
        <v>#ERROR!</v>
      </c>
      <c r="DR1133" s="17" t="str">
        <f>INTCDTU+INTCNBU</f>
        <v>#ERROR!</v>
      </c>
      <c r="DS1133" s="18" t="str">
        <f>INTCDTU+INTCNBU</f>
        <v>#ERROR!</v>
      </c>
      <c r="DT1133" s="17" t="str">
        <f>INTCDTU+INTCNBU</f>
        <v>#ERROR!</v>
      </c>
      <c r="DU1133" s="17" t="str">
        <f>INTCDTU+INTCNBU</f>
        <v>#ERROR!</v>
      </c>
      <c r="DV1133" s="17" t="str">
        <f>INTCDTU+INTCNBU</f>
        <v>#ERROR!</v>
      </c>
      <c r="DW1133" s="17" t="str">
        <f>INTCDTU+INTCNBU</f>
        <v>#ERROR!</v>
      </c>
      <c r="DX1133" s="18" t="str">
        <f>INTCDTU+INTCNBU</f>
        <v>#ERROR!</v>
      </c>
      <c r="DY1133" s="17" t="str">
        <f>INTCDTU+INTCNBU</f>
        <v>#ERROR!</v>
      </c>
      <c r="DZ1133" s="17" t="str">
        <f>INTCDTU+INTCNBU</f>
        <v>#ERROR!</v>
      </c>
      <c r="EA1133" s="17" t="str">
        <f>INTCDTU+INTCNBU</f>
        <v>#ERROR!</v>
      </c>
      <c r="EB1133" s="17" t="str">
        <f>INTCDTU+INTCNBU</f>
        <v>#ERROR!</v>
      </c>
      <c r="EC1133" s="18" t="str">
        <f>INTCDTU+INTCNBU</f>
        <v>#ERROR!</v>
      </c>
      <c r="ED1133" s="17" t="str">
        <f>INTCDTU+INTCNBU</f>
        <v>#ERROR!</v>
      </c>
      <c r="EE1133" s="17" t="str">
        <f>INTCDTU+INTCNBU</f>
        <v>#ERROR!</v>
      </c>
      <c r="EF1133" s="17" t="str">
        <f>INTCDTU+INTCNBU</f>
        <v>#ERROR!</v>
      </c>
      <c r="EG1133" s="17" t="str">
        <f>INTCDTU+INTCNBU</f>
        <v>#ERROR!</v>
      </c>
      <c r="EH1133" s="18" t="str">
        <f>INTCDTU+INTCNBU</f>
        <v>#ERROR!</v>
      </c>
      <c r="EI1133" s="25" t="str">
        <f>INTCDTU+INTCNBU</f>
        <v>#ERROR!</v>
      </c>
      <c r="EJ1133" s="17" t="str">
        <f>INTCDTU+INTCNBU</f>
        <v>#ERROR!</v>
      </c>
      <c r="EK1133" s="17" t="str">
        <f>INTCDTU+INTCNBU</f>
        <v>#ERROR!</v>
      </c>
      <c r="EL1133" s="17" t="str">
        <f>INTCDTU+INTCNBU</f>
        <v>#ERROR!</v>
      </c>
      <c r="EM1133" s="18" t="str">
        <f>INTCDTU+INTCNBU</f>
        <v>#ERROR!</v>
      </c>
      <c r="EN1133" s="17" t="str">
        <f>INTCDTU+INTCNBU</f>
        <v>#ERROR!</v>
      </c>
      <c r="EO1133" s="17" t="str">
        <f>INTCDTU+INTCNBU</f>
        <v>#ERROR!</v>
      </c>
      <c r="EP1133" s="17" t="str">
        <f>INTCDTU+INTCNBU</f>
        <v>#ERROR!</v>
      </c>
      <c r="EQ1133" s="17" t="str">
        <f>INTCDTU+INTCNBU</f>
        <v>#ERROR!</v>
      </c>
      <c r="ER1133" s="18" t="str">
        <f>INTCDTU+INTCNBU</f>
        <v>#ERROR!</v>
      </c>
      <c r="ES1133" s="17" t="str">
        <f>INTCDTU+INTCNBU</f>
        <v>#ERROR!</v>
      </c>
      <c r="ET1133" s="17" t="str">
        <f>INTCDTU+INTCNBU</f>
        <v>#ERROR!</v>
      </c>
      <c r="EU1133" s="17" t="str">
        <f>INTCDTU+INTCNBU</f>
        <v>#ERROR!</v>
      </c>
      <c r="EV1133" s="17" t="str">
        <f>INTCDTU+INTCNBU</f>
        <v>#ERROR!</v>
      </c>
      <c r="EW1133" s="18" t="str">
        <f>INTCDTU+INTCNBU</f>
        <v>#ERROR!</v>
      </c>
      <c r="EX1133" s="17" t="str">
        <f>INTCDTU+INTCNBU</f>
        <v>#ERROR!</v>
      </c>
      <c r="EY1133" s="17" t="str">
        <f>INTCDTU+INTCNBU</f>
        <v>#ERROR!</v>
      </c>
      <c r="EZ1133" s="17" t="str">
        <f>INTCDTU+INTCNBU</f>
        <v>#ERROR!</v>
      </c>
      <c r="FA1133" s="17" t="str">
        <f>INTCDTU+INTCNBU</f>
        <v>#ERROR!</v>
      </c>
      <c r="FB1133" s="18" t="str">
        <f>INTCDTU+INTCNBU</f>
        <v>#ERROR!</v>
      </c>
      <c r="FC1133" s="17" t="str">
        <f>INTCDTU+INTCNBU</f>
        <v>#ERROR!</v>
      </c>
      <c r="FD1133" s="17" t="str">
        <f>INTCDTU+INTCNBU</f>
        <v>#ERROR!</v>
      </c>
      <c r="FE1133" s="17" t="str">
        <f>INTCDTU+INTCNBU</f>
        <v>#ERROR!</v>
      </c>
      <c r="FF1133" s="17" t="str">
        <f>INTCDTU+INTCNBU</f>
        <v>#ERROR!</v>
      </c>
      <c r="FG1133" s="18" t="str">
        <f>INTCDTU+INTCNBU</f>
        <v>#ERROR!</v>
      </c>
      <c r="FH1133" s="74"/>
      <c r="FI1133" s="17"/>
      <c r="FJ1133" s="17"/>
      <c r="FK1133" s="73"/>
      <c r="FL1133" s="17"/>
    </row>
    <row r="1134" ht="12.75" hidden="1" customHeight="1" outlineLevel="1">
      <c r="A1134" s="4"/>
      <c r="B1134" s="4" t="s">
        <v>420</v>
      </c>
      <c r="C1134" s="4"/>
      <c r="D1134" s="17"/>
      <c r="E1134" s="17"/>
      <c r="F1134" s="17"/>
      <c r="G1134" s="17"/>
      <c r="H1134" s="73"/>
      <c r="I1134" s="17" t="str">
        <f>AMDDTU+AMDNBU</f>
        <v>#REF!</v>
      </c>
      <c r="J1134" s="17" t="str">
        <f>AMDDTU+AMDNBU</f>
        <v>#REF!</v>
      </c>
      <c r="K1134" s="17" t="str">
        <f>AMDDTU+AMDNBU</f>
        <v>#REF!</v>
      </c>
      <c r="L1134" s="17" t="str">
        <f>AMDDTU+AMDNBU</f>
        <v>#REF!</v>
      </c>
      <c r="M1134" s="73" t="str">
        <f>AMDDTU+AMDNBU</f>
        <v>#REF!</v>
      </c>
      <c r="N1134" s="17" t="str">
        <f>AMDDTU+AMDNBU</f>
        <v>#REF!</v>
      </c>
      <c r="O1134" s="17" t="str">
        <f>AMDDTU+AMDNBU</f>
        <v>#REF!</v>
      </c>
      <c r="P1134" s="17" t="str">
        <f>AMDDTU+AMDNBU</f>
        <v>#REF!</v>
      </c>
      <c r="Q1134" s="17" t="str">
        <f>AMDDTU+AMDNBU</f>
        <v>#REF!</v>
      </c>
      <c r="R1134" s="73" t="str">
        <f>AMDDTU+AMDNBU</f>
        <v>#REF!</v>
      </c>
      <c r="S1134" s="17" t="str">
        <f>AMDDTU+AMDNBU</f>
        <v>#REF!</v>
      </c>
      <c r="T1134" s="17" t="str">
        <f>AMDDTU+AMDNBU</f>
        <v>#REF!</v>
      </c>
      <c r="U1134" s="17" t="str">
        <f>AMDDTU+AMDNBU</f>
        <v>#REF!</v>
      </c>
      <c r="V1134" s="17" t="str">
        <f>AMDDTU+AMDNBU</f>
        <v>#REF!</v>
      </c>
      <c r="W1134" s="73" t="str">
        <f>AMDDTU+AMDNBU</f>
        <v>#REF!</v>
      </c>
      <c r="X1134" s="17" t="str">
        <f>AMDDTU+AMDNBU</f>
        <v>#REF!</v>
      </c>
      <c r="Y1134" s="17" t="str">
        <f>AMDDTU+AMDNBU</f>
        <v>#REF!</v>
      </c>
      <c r="Z1134" s="17" t="str">
        <f>AMDDTU+AMDNBU</f>
        <v>#REF!</v>
      </c>
      <c r="AA1134" s="17" t="str">
        <f>AMDDTU+AMDNBU</f>
        <v>#REF!</v>
      </c>
      <c r="AB1134" s="73" t="str">
        <f>AMDDTU+AMDNBU</f>
        <v>#REF!</v>
      </c>
      <c r="AC1134" s="17" t="str">
        <f>AMDDTU+AMDNBU</f>
        <v>#REF!</v>
      </c>
      <c r="AD1134" s="17" t="str">
        <f>AMDDTU+AMDNBU</f>
        <v>#REF!</v>
      </c>
      <c r="AE1134" s="17" t="str">
        <f>AMDDTU+AMDNBU</f>
        <v>#REF!</v>
      </c>
      <c r="AF1134" s="17" t="str">
        <f>AMDDTU+AMDNBU</f>
        <v>#REF!</v>
      </c>
      <c r="AG1134" s="73" t="str">
        <f>AMDDTU+AMDNBU</f>
        <v>#REF!</v>
      </c>
      <c r="AH1134" s="17" t="str">
        <f>AMDDTU+AMDNBU</f>
        <v>#REF!</v>
      </c>
      <c r="AI1134" s="17" t="str">
        <f>AMDDTU+AMDNBU</f>
        <v>#REF!</v>
      </c>
      <c r="AJ1134" s="17" t="str">
        <f>AMDDTU+AMDNBU</f>
        <v>#REF!</v>
      </c>
      <c r="AK1134" s="17" t="str">
        <f>AMDDTU+AMDNBU</f>
        <v>#REF!</v>
      </c>
      <c r="AL1134" s="73" t="str">
        <f>AMDDTU+AMDNBU</f>
        <v>#REF!</v>
      </c>
      <c r="AM1134" s="17" t="str">
        <f>AMDDTU+AMDNBU</f>
        <v>#REF!</v>
      </c>
      <c r="AN1134" s="17" t="str">
        <f>AMDDTU+AMDNBU</f>
        <v>#REF!</v>
      </c>
      <c r="AO1134" s="17" t="str">
        <f>AMDDTU+AMDNBU</f>
        <v>#REF!</v>
      </c>
      <c r="AP1134" s="17" t="str">
        <f>AMDDTU+AMDNBU</f>
        <v>#REF!</v>
      </c>
      <c r="AQ1134" s="73" t="str">
        <f>AMDDTU+AMDNBU</f>
        <v>#REF!</v>
      </c>
      <c r="AR1134" s="17" t="str">
        <f>AMDDTU+AMDNBU</f>
        <v>#REF!</v>
      </c>
      <c r="AS1134" s="17" t="str">
        <f>AMDDTU+AMDNBU</f>
        <v>#REF!</v>
      </c>
      <c r="AT1134" s="17" t="str">
        <f>AMDDTU+AMDNBU</f>
        <v>#REF!</v>
      </c>
      <c r="AU1134" s="17" t="str">
        <f>AMDDTU+AMDNBU</f>
        <v>#REF!</v>
      </c>
      <c r="AV1134" s="73" t="str">
        <f>AMDDTU+AMDNBU</f>
        <v>#REF!</v>
      </c>
      <c r="AW1134" s="17" t="str">
        <f>AMDDTU+AMDNBU</f>
        <v>#REF!</v>
      </c>
      <c r="AX1134" s="17" t="str">
        <f>AMDDTU+AMDNBU</f>
        <v>#REF!</v>
      </c>
      <c r="AY1134" s="17" t="str">
        <f>AMDDTU+AMDNBU</f>
        <v>#REF!</v>
      </c>
      <c r="AZ1134" s="17" t="str">
        <f>AMDDTU+AMDNBU</f>
        <v>#REF!</v>
      </c>
      <c r="BA1134" s="73" t="str">
        <f>AMDDTU+AMDNBU</f>
        <v>#REF!</v>
      </c>
      <c r="BB1134" s="17" t="str">
        <f>AMDDTU+AMDNBU</f>
        <v>#REF!</v>
      </c>
      <c r="BC1134" s="17" t="str">
        <f>AMDDTU+AMDNBU</f>
        <v>#REF!</v>
      </c>
      <c r="BD1134" s="17" t="str">
        <f>AMDDTU+AMDNBU</f>
        <v>#REF!</v>
      </c>
      <c r="BE1134" s="17" t="str">
        <f>AMDDTU+AMDNBU</f>
        <v>#REF!</v>
      </c>
      <c r="BF1134" s="73" t="str">
        <f>AMDDTU+AMDNBU</f>
        <v>#REF!</v>
      </c>
      <c r="BG1134" s="17" t="str">
        <f>AMDDTU+AMDNBU</f>
        <v>#REF!</v>
      </c>
      <c r="BH1134" s="17" t="str">
        <f>AMDDTU+AMDNBU</f>
        <v>#REF!</v>
      </c>
      <c r="BI1134" s="17" t="str">
        <f>AMDDTU+AMDNBU</f>
        <v>#REF!</v>
      </c>
      <c r="BJ1134" s="17" t="str">
        <f>AMDDTU+AMDNBU</f>
        <v>#REF!</v>
      </c>
      <c r="BK1134" s="73" t="str">
        <f>AMDDTU+AMDNBU</f>
        <v>#REF!</v>
      </c>
      <c r="BL1134" s="17" t="str">
        <f>AMDDTU+AMDNBU</f>
        <v>#REF!</v>
      </c>
      <c r="BM1134" s="17" t="str">
        <f>AMDDTU+AMDNBU</f>
        <v>#REF!</v>
      </c>
      <c r="BN1134" s="17" t="str">
        <f>AMDDTU+AMDNBU</f>
        <v>#REF!</v>
      </c>
      <c r="BO1134" s="17" t="str">
        <f>AMDDTU+AMDNBU</f>
        <v>#REF!</v>
      </c>
      <c r="BP1134" s="73" t="str">
        <f>AMDDTU+AMDNBU</f>
        <v>#REF!</v>
      </c>
      <c r="BQ1134" s="17" t="str">
        <f>AMDDTU+AMDNBU</f>
        <v>#REF!</v>
      </c>
      <c r="BR1134" s="17" t="str">
        <f>AMDDTU+AMDNBU</f>
        <v>#REF!</v>
      </c>
      <c r="BS1134" s="17" t="str">
        <f>AMDDTU+AMDNBU</f>
        <v>#REF!</v>
      </c>
      <c r="BT1134" s="17" t="str">
        <f>AMDDTU+AMDNBU</f>
        <v>#REF!</v>
      </c>
      <c r="BU1134" s="73" t="str">
        <f>AMDDTU+AMDNBU</f>
        <v>#REF!</v>
      </c>
      <c r="BV1134" s="17" t="str">
        <f>AMDDTU+AMDNBU</f>
        <v>#REF!</v>
      </c>
      <c r="BW1134" s="17" t="str">
        <f>AMDDTU+AMDNBU</f>
        <v>#REF!</v>
      </c>
      <c r="BX1134" s="17" t="str">
        <f>AMDDTU+AMDNBU</f>
        <v>#REF!</v>
      </c>
      <c r="BY1134" s="17" t="str">
        <f>AMDDTU+AMDNBU</f>
        <v>#REF!</v>
      </c>
      <c r="BZ1134" s="18" t="str">
        <f>AMDDTU+AMDNBU</f>
        <v>#REF!</v>
      </c>
      <c r="CA1134" s="17" t="str">
        <f>AMDDTU+AMDNBU</f>
        <v>#REF!</v>
      </c>
      <c r="CB1134" s="17" t="str">
        <f>AMDDTU+AMDNBU</f>
        <v>#REF!</v>
      </c>
      <c r="CC1134" s="17" t="str">
        <f>AMDDTU+AMDNBU</f>
        <v>#REF!</v>
      </c>
      <c r="CD1134" s="17" t="str">
        <f>AMDDTU+AMDNBU</f>
        <v>#REF!</v>
      </c>
      <c r="CE1134" s="18" t="str">
        <f>AMDDTU+AMDNBU</f>
        <v>#REF!</v>
      </c>
      <c r="CF1134" s="17" t="str">
        <f>AMDDTU+AMDNBU</f>
        <v>#REF!</v>
      </c>
      <c r="CG1134" s="17" t="str">
        <f>AMDDTU+AMDNBU</f>
        <v>#REF!</v>
      </c>
      <c r="CH1134" s="17" t="str">
        <f>AMDDTU+AMDNBU</f>
        <v>#REF!</v>
      </c>
      <c r="CI1134" s="17" t="str">
        <f>AMDDTU+AMDNBU</f>
        <v>#REF!</v>
      </c>
      <c r="CJ1134" s="18" t="str">
        <f>AMDDTU+AMDNBU</f>
        <v>#REF!</v>
      </c>
      <c r="CK1134" s="17" t="str">
        <f>AMDDTU+AMDNBU</f>
        <v>#REF!</v>
      </c>
      <c r="CL1134" s="17" t="str">
        <f>AMDDTU+AMDNBU</f>
        <v>#REF!</v>
      </c>
      <c r="CM1134" s="17" t="str">
        <f>AMDDTU+AMDNBU</f>
        <v>#REF!</v>
      </c>
      <c r="CN1134" s="19" t="str">
        <f>AMDDTU+AMDNBU</f>
        <v>#REF!</v>
      </c>
      <c r="CO1134" s="18" t="str">
        <f>AMDDTU+AMDNBU</f>
        <v>#REF!</v>
      </c>
      <c r="CP1134" s="19" t="str">
        <f>AMDDTU+AMDNBU</f>
        <v>#REF!</v>
      </c>
      <c r="CQ1134" s="17" t="str">
        <f>AMDDTU+AMDNBU</f>
        <v>#REF!</v>
      </c>
      <c r="CR1134" s="17" t="str">
        <f>AMDDTU+AMDNBU</f>
        <v>#REF!</v>
      </c>
      <c r="CS1134" s="17" t="str">
        <f>AMDDTU+AMDNBU</f>
        <v>#REF!</v>
      </c>
      <c r="CT1134" s="18" t="str">
        <f>AMDDTU+AMDNBU</f>
        <v>#REF!</v>
      </c>
      <c r="CU1134" s="17" t="str">
        <f>AMDDTU+AMDNBU</f>
        <v>#REF!</v>
      </c>
      <c r="CV1134" s="17" t="str">
        <f>AMDDTU+AMDNBU</f>
        <v>#REF!</v>
      </c>
      <c r="CW1134" s="17" t="str">
        <f>AMDDTU+AMDNBU</f>
        <v>#REF!</v>
      </c>
      <c r="CX1134" s="17" t="str">
        <f>AMDDTU+AMDNBU</f>
        <v>#REF!</v>
      </c>
      <c r="CY1134" s="18" t="str">
        <f>AMDDTU+AMDNBU</f>
        <v>#REF!</v>
      </c>
      <c r="CZ1134" s="17" t="str">
        <f>AMDDTU+AMDNBU</f>
        <v>#REF!</v>
      </c>
      <c r="DA1134" s="17" t="str">
        <f>AMDDTU+AMDNBU</f>
        <v>#REF!</v>
      </c>
      <c r="DB1134" s="17" t="str">
        <f>AMDDTU+AMDNBU</f>
        <v>#REF!</v>
      </c>
      <c r="DC1134" s="17" t="str">
        <f>AMDDTU+AMDNBU</f>
        <v>#REF!</v>
      </c>
      <c r="DD1134" s="18" t="str">
        <f>AMDDTU+AMDNBU</f>
        <v>#REF!</v>
      </c>
      <c r="DE1134" s="17" t="str">
        <f>AMDDTU+AMDNBU</f>
        <v>#REF!</v>
      </c>
      <c r="DF1134" s="17" t="str">
        <f>AMDDTU+AMDNBU</f>
        <v>#REF!</v>
      </c>
      <c r="DG1134" s="19" t="str">
        <f>AMDDTU+AMDNBU</f>
        <v>#REF!</v>
      </c>
      <c r="DH1134" s="17" t="str">
        <f>AMDDTU+AMDNBU</f>
        <v>#REF!</v>
      </c>
      <c r="DI1134" s="18" t="str">
        <f>AMDDTU+AMDNBU</f>
        <v>#REF!</v>
      </c>
      <c r="DJ1134" s="19" t="str">
        <f>AMDDTU+AMDNBU</f>
        <v>#REF!</v>
      </c>
      <c r="DK1134" s="19" t="str">
        <f>AMDDTU+AMDNBU</f>
        <v>#REF!</v>
      </c>
      <c r="DL1134" s="19" t="str">
        <f>AMDDTU+AMDNBU</f>
        <v>#REF!</v>
      </c>
      <c r="DM1134" s="17" t="str">
        <f>AMDDTU+AMDNBU</f>
        <v>#REF!</v>
      </c>
      <c r="DN1134" s="18" t="str">
        <f>AMDDTU+AMDNBU</f>
        <v>#REF!</v>
      </c>
      <c r="DO1134" s="17" t="str">
        <f>AMDDTU+AMDNBU</f>
        <v>#REF!</v>
      </c>
      <c r="DP1134" s="17" t="str">
        <f>AMDDTU+AMDNBU</f>
        <v>#REF!</v>
      </c>
      <c r="DQ1134" s="17" t="str">
        <f>AMDDTU+AMDNBU</f>
        <v>#REF!</v>
      </c>
      <c r="DR1134" s="17" t="str">
        <f>AMDDTU+AMDNBU</f>
        <v>#REF!</v>
      </c>
      <c r="DS1134" s="18" t="str">
        <f>AMDDTU+AMDNBU</f>
        <v>#REF!</v>
      </c>
      <c r="DT1134" s="17" t="str">
        <f>AMDDTU+AMDNBU</f>
        <v>#REF!</v>
      </c>
      <c r="DU1134" s="17" t="str">
        <f>AMDDTU+AMDNBU</f>
        <v>#REF!</v>
      </c>
      <c r="DV1134" s="17" t="str">
        <f>AMDDTU+AMDNBU</f>
        <v>#REF!</v>
      </c>
      <c r="DW1134" s="17" t="str">
        <f>AMDDTU+AMDNBU</f>
        <v>#REF!</v>
      </c>
      <c r="DX1134" s="18" t="str">
        <f>AMDDTU+AMDNBU</f>
        <v>#REF!</v>
      </c>
      <c r="DY1134" s="17" t="str">
        <f>AMDDTU+AMDNBU</f>
        <v>#REF!</v>
      </c>
      <c r="DZ1134" s="17" t="str">
        <f>AMDDTU+AMDNBU</f>
        <v>#REF!</v>
      </c>
      <c r="EA1134" s="17" t="str">
        <f>AMDDTU+AMDNBU</f>
        <v>#REF!</v>
      </c>
      <c r="EB1134" s="17" t="str">
        <f>AMDDTU+AMDNBU</f>
        <v>#REF!</v>
      </c>
      <c r="EC1134" s="18" t="str">
        <f>AMDDTU+AMDNBU</f>
        <v>#REF!</v>
      </c>
      <c r="ED1134" s="17" t="str">
        <f>AMDDTU+AMDNBU</f>
        <v>#REF!</v>
      </c>
      <c r="EE1134" s="17" t="str">
        <f>AMDDTU+AMDNBU</f>
        <v>#REF!</v>
      </c>
      <c r="EF1134" s="17" t="str">
        <f>AMDDTU+AMDNBU</f>
        <v>#REF!</v>
      </c>
      <c r="EG1134" s="17" t="str">
        <f>AMDDTU+AMDNBU</f>
        <v>#REF!</v>
      </c>
      <c r="EH1134" s="18" t="str">
        <f>AMDDTU+AMDNBU</f>
        <v>#REF!</v>
      </c>
      <c r="EI1134" s="25" t="str">
        <f>AMDDTU+AMDNBU</f>
        <v>#REF!</v>
      </c>
      <c r="EJ1134" s="17" t="str">
        <f>AMDDTU+AMDNBU</f>
        <v>#REF!</v>
      </c>
      <c r="EK1134" s="17" t="str">
        <f>AMDDTU+AMDNBU</f>
        <v>#REF!</v>
      </c>
      <c r="EL1134" s="17" t="str">
        <f>AMDDTU+AMDNBU</f>
        <v>#REF!</v>
      </c>
      <c r="EM1134" s="18" t="str">
        <f>AMDDTU+AMDNBU</f>
        <v>#REF!</v>
      </c>
      <c r="EN1134" s="17" t="str">
        <f>AMDDTU+AMDNBU</f>
        <v>#REF!</v>
      </c>
      <c r="EO1134" s="17" t="str">
        <f>AMDDTU+AMDNBU</f>
        <v>#REF!</v>
      </c>
      <c r="EP1134" s="17" t="str">
        <f>AMDDTU+AMDNBU</f>
        <v>#REF!</v>
      </c>
      <c r="EQ1134" s="17" t="str">
        <f>AMDDTU+AMDNBU</f>
        <v>#REF!</v>
      </c>
      <c r="ER1134" s="18" t="str">
        <f>AMDDTU+AMDNBU</f>
        <v>#REF!</v>
      </c>
      <c r="ES1134" s="17" t="str">
        <f>AMDDTU+AMDNBU</f>
        <v>#REF!</v>
      </c>
      <c r="ET1134" s="17" t="str">
        <f>AMDDTU+AMDNBU</f>
        <v>#REF!</v>
      </c>
      <c r="EU1134" s="17" t="str">
        <f>AMDDTU+AMDNBU</f>
        <v>#REF!</v>
      </c>
      <c r="EV1134" s="17" t="str">
        <f>AMDDTU+AMDNBU</f>
        <v>#REF!</v>
      </c>
      <c r="EW1134" s="18" t="str">
        <f>AMDDTU+AMDNBU</f>
        <v>#REF!</v>
      </c>
      <c r="EX1134" s="17" t="str">
        <f>AMDDTU+AMDNBU</f>
        <v>#REF!</v>
      </c>
      <c r="EY1134" s="17" t="str">
        <f>AMDDTU+AMDNBU</f>
        <v>#REF!</v>
      </c>
      <c r="EZ1134" s="17" t="str">
        <f>AMDDTU+AMDNBU</f>
        <v>#REF!</v>
      </c>
      <c r="FA1134" s="17" t="str">
        <f>AMDDTU+AMDNBU</f>
        <v>#REF!</v>
      </c>
      <c r="FB1134" s="18" t="str">
        <f>AMDDTU+AMDNBU</f>
        <v>#REF!</v>
      </c>
      <c r="FC1134" s="17" t="str">
        <f>AMDDTU+AMDNBU</f>
        <v>#REF!</v>
      </c>
      <c r="FD1134" s="17" t="str">
        <f>AMDDTU+AMDNBU</f>
        <v>#REF!</v>
      </c>
      <c r="FE1134" s="17" t="str">
        <f>AMDDTU+AMDNBU</f>
        <v>#REF!</v>
      </c>
      <c r="FF1134" s="17" t="str">
        <f>AMDDTU+AMDNBU</f>
        <v>#REF!</v>
      </c>
      <c r="FG1134" s="18" t="str">
        <f>AMDDTU+AMDNBU</f>
        <v>#REF!</v>
      </c>
      <c r="FH1134" s="74"/>
      <c r="FI1134" s="17"/>
      <c r="FJ1134" s="17"/>
      <c r="FK1134" s="73"/>
      <c r="FL1134" s="17"/>
    </row>
    <row r="1135" ht="13.5" hidden="1" customHeight="1" outlineLevel="1">
      <c r="A1135" s="4"/>
      <c r="B1135" s="529" t="s">
        <v>291</v>
      </c>
      <c r="C1135" s="529"/>
      <c r="D1135" s="164"/>
      <c r="E1135" s="164"/>
      <c r="F1135" s="164"/>
      <c r="G1135" s="164"/>
      <c r="H1135" s="166"/>
      <c r="I1135" s="164" t="str">
        <f t="shared" ref="I1135:FG1135" si="5530">SUM(I1133,I1134)</f>
        <v>#ERROR!</v>
      </c>
      <c r="J1135" s="164" t="str">
        <f t="shared" si="5530"/>
        <v>#ERROR!</v>
      </c>
      <c r="K1135" s="164" t="str">
        <f t="shared" si="5530"/>
        <v>#ERROR!</v>
      </c>
      <c r="L1135" s="164" t="str">
        <f t="shared" si="5530"/>
        <v>#ERROR!</v>
      </c>
      <c r="M1135" s="166" t="str">
        <f t="shared" si="5530"/>
        <v>#ERROR!</v>
      </c>
      <c r="N1135" s="164" t="str">
        <f t="shared" si="5530"/>
        <v>#ERROR!</v>
      </c>
      <c r="O1135" s="164" t="str">
        <f t="shared" si="5530"/>
        <v>#ERROR!</v>
      </c>
      <c r="P1135" s="164" t="str">
        <f t="shared" si="5530"/>
        <v>#ERROR!</v>
      </c>
      <c r="Q1135" s="164" t="str">
        <f t="shared" si="5530"/>
        <v>#ERROR!</v>
      </c>
      <c r="R1135" s="166" t="str">
        <f t="shared" si="5530"/>
        <v>#ERROR!</v>
      </c>
      <c r="S1135" s="164" t="str">
        <f t="shared" si="5530"/>
        <v>#ERROR!</v>
      </c>
      <c r="T1135" s="164" t="str">
        <f t="shared" si="5530"/>
        <v>#ERROR!</v>
      </c>
      <c r="U1135" s="164" t="str">
        <f t="shared" si="5530"/>
        <v>#ERROR!</v>
      </c>
      <c r="V1135" s="164" t="str">
        <f t="shared" si="5530"/>
        <v>#ERROR!</v>
      </c>
      <c r="W1135" s="166" t="str">
        <f t="shared" si="5530"/>
        <v>#ERROR!</v>
      </c>
      <c r="X1135" s="164" t="str">
        <f t="shared" si="5530"/>
        <v>#ERROR!</v>
      </c>
      <c r="Y1135" s="164" t="str">
        <f t="shared" si="5530"/>
        <v>#ERROR!</v>
      </c>
      <c r="Z1135" s="164" t="str">
        <f t="shared" si="5530"/>
        <v>#ERROR!</v>
      </c>
      <c r="AA1135" s="164" t="str">
        <f t="shared" si="5530"/>
        <v>#ERROR!</v>
      </c>
      <c r="AB1135" s="166" t="str">
        <f t="shared" si="5530"/>
        <v>#ERROR!</v>
      </c>
      <c r="AC1135" s="164" t="str">
        <f t="shared" si="5530"/>
        <v>#ERROR!</v>
      </c>
      <c r="AD1135" s="164" t="str">
        <f t="shared" si="5530"/>
        <v>#ERROR!</v>
      </c>
      <c r="AE1135" s="164" t="str">
        <f t="shared" si="5530"/>
        <v>#ERROR!</v>
      </c>
      <c r="AF1135" s="164" t="str">
        <f t="shared" si="5530"/>
        <v>#ERROR!</v>
      </c>
      <c r="AG1135" s="166" t="str">
        <f t="shared" si="5530"/>
        <v>#ERROR!</v>
      </c>
      <c r="AH1135" s="164" t="str">
        <f t="shared" si="5530"/>
        <v>#ERROR!</v>
      </c>
      <c r="AI1135" s="164" t="str">
        <f t="shared" si="5530"/>
        <v>#ERROR!</v>
      </c>
      <c r="AJ1135" s="164" t="str">
        <f t="shared" si="5530"/>
        <v>#ERROR!</v>
      </c>
      <c r="AK1135" s="164" t="str">
        <f t="shared" si="5530"/>
        <v>#ERROR!</v>
      </c>
      <c r="AL1135" s="166" t="str">
        <f t="shared" si="5530"/>
        <v>#ERROR!</v>
      </c>
      <c r="AM1135" s="164" t="str">
        <f t="shared" si="5530"/>
        <v>#ERROR!</v>
      </c>
      <c r="AN1135" s="164" t="str">
        <f t="shared" si="5530"/>
        <v>#ERROR!</v>
      </c>
      <c r="AO1135" s="164" t="str">
        <f t="shared" si="5530"/>
        <v>#ERROR!</v>
      </c>
      <c r="AP1135" s="164" t="str">
        <f t="shared" si="5530"/>
        <v>#ERROR!</v>
      </c>
      <c r="AQ1135" s="166" t="str">
        <f t="shared" si="5530"/>
        <v>#ERROR!</v>
      </c>
      <c r="AR1135" s="164" t="str">
        <f t="shared" si="5530"/>
        <v>#ERROR!</v>
      </c>
      <c r="AS1135" s="164" t="str">
        <f t="shared" si="5530"/>
        <v>#ERROR!</v>
      </c>
      <c r="AT1135" s="164" t="str">
        <f t="shared" si="5530"/>
        <v>#ERROR!</v>
      </c>
      <c r="AU1135" s="164" t="str">
        <f t="shared" si="5530"/>
        <v>#ERROR!</v>
      </c>
      <c r="AV1135" s="166" t="str">
        <f t="shared" si="5530"/>
        <v>#ERROR!</v>
      </c>
      <c r="AW1135" s="164" t="str">
        <f t="shared" si="5530"/>
        <v>#ERROR!</v>
      </c>
      <c r="AX1135" s="164" t="str">
        <f t="shared" si="5530"/>
        <v>#ERROR!</v>
      </c>
      <c r="AY1135" s="164" t="str">
        <f t="shared" si="5530"/>
        <v>#ERROR!</v>
      </c>
      <c r="AZ1135" s="164" t="str">
        <f t="shared" si="5530"/>
        <v>#ERROR!</v>
      </c>
      <c r="BA1135" s="166" t="str">
        <f t="shared" si="5530"/>
        <v>#ERROR!</v>
      </c>
      <c r="BB1135" s="164" t="str">
        <f t="shared" si="5530"/>
        <v>#ERROR!</v>
      </c>
      <c r="BC1135" s="164" t="str">
        <f t="shared" si="5530"/>
        <v>#ERROR!</v>
      </c>
      <c r="BD1135" s="164" t="str">
        <f t="shared" si="5530"/>
        <v>#ERROR!</v>
      </c>
      <c r="BE1135" s="164" t="str">
        <f t="shared" si="5530"/>
        <v>#ERROR!</v>
      </c>
      <c r="BF1135" s="166" t="str">
        <f t="shared" si="5530"/>
        <v>#ERROR!</v>
      </c>
      <c r="BG1135" s="164" t="str">
        <f t="shared" si="5530"/>
        <v>#ERROR!</v>
      </c>
      <c r="BH1135" s="164" t="str">
        <f t="shared" si="5530"/>
        <v>#ERROR!</v>
      </c>
      <c r="BI1135" s="164" t="str">
        <f t="shared" si="5530"/>
        <v>#ERROR!</v>
      </c>
      <c r="BJ1135" s="164" t="str">
        <f t="shared" si="5530"/>
        <v>#ERROR!</v>
      </c>
      <c r="BK1135" s="166" t="str">
        <f t="shared" si="5530"/>
        <v>#ERROR!</v>
      </c>
      <c r="BL1135" s="164" t="str">
        <f t="shared" si="5530"/>
        <v>#ERROR!</v>
      </c>
      <c r="BM1135" s="164" t="str">
        <f t="shared" si="5530"/>
        <v>#ERROR!</v>
      </c>
      <c r="BN1135" s="164" t="str">
        <f t="shared" si="5530"/>
        <v>#ERROR!</v>
      </c>
      <c r="BO1135" s="164" t="str">
        <f t="shared" si="5530"/>
        <v>#ERROR!</v>
      </c>
      <c r="BP1135" s="166" t="str">
        <f t="shared" si="5530"/>
        <v>#ERROR!</v>
      </c>
      <c r="BQ1135" s="164" t="str">
        <f t="shared" si="5530"/>
        <v>#ERROR!</v>
      </c>
      <c r="BR1135" s="164" t="str">
        <f t="shared" si="5530"/>
        <v>#ERROR!</v>
      </c>
      <c r="BS1135" s="164" t="str">
        <f t="shared" si="5530"/>
        <v>#ERROR!</v>
      </c>
      <c r="BT1135" s="164" t="str">
        <f t="shared" si="5530"/>
        <v>#ERROR!</v>
      </c>
      <c r="BU1135" s="166" t="str">
        <f t="shared" si="5530"/>
        <v>#ERROR!</v>
      </c>
      <c r="BV1135" s="164" t="str">
        <f t="shared" si="5530"/>
        <v>#ERROR!</v>
      </c>
      <c r="BW1135" s="164" t="str">
        <f t="shared" si="5530"/>
        <v>#ERROR!</v>
      </c>
      <c r="BX1135" s="164" t="str">
        <f t="shared" si="5530"/>
        <v>#ERROR!</v>
      </c>
      <c r="BY1135" s="164" t="str">
        <f t="shared" si="5530"/>
        <v>#ERROR!</v>
      </c>
      <c r="BZ1135" s="168" t="str">
        <f t="shared" si="5530"/>
        <v>#ERROR!</v>
      </c>
      <c r="CA1135" s="164" t="str">
        <f t="shared" si="5530"/>
        <v>#ERROR!</v>
      </c>
      <c r="CB1135" s="164" t="str">
        <f t="shared" si="5530"/>
        <v>#ERROR!</v>
      </c>
      <c r="CC1135" s="164" t="str">
        <f t="shared" si="5530"/>
        <v>#ERROR!</v>
      </c>
      <c r="CD1135" s="164" t="str">
        <f t="shared" si="5530"/>
        <v>#ERROR!</v>
      </c>
      <c r="CE1135" s="168" t="str">
        <f t="shared" si="5530"/>
        <v>#ERROR!</v>
      </c>
      <c r="CF1135" s="164" t="str">
        <f t="shared" si="5530"/>
        <v>#ERROR!</v>
      </c>
      <c r="CG1135" s="164" t="str">
        <f t="shared" si="5530"/>
        <v>#ERROR!</v>
      </c>
      <c r="CH1135" s="164" t="str">
        <f t="shared" si="5530"/>
        <v>#ERROR!</v>
      </c>
      <c r="CI1135" s="164" t="str">
        <f t="shared" si="5530"/>
        <v>#ERROR!</v>
      </c>
      <c r="CJ1135" s="168" t="str">
        <f t="shared" si="5530"/>
        <v>#ERROR!</v>
      </c>
      <c r="CK1135" s="164" t="str">
        <f t="shared" si="5530"/>
        <v>#ERROR!</v>
      </c>
      <c r="CL1135" s="164" t="str">
        <f t="shared" si="5530"/>
        <v>#ERROR!</v>
      </c>
      <c r="CM1135" s="164" t="str">
        <f t="shared" si="5530"/>
        <v>#ERROR!</v>
      </c>
      <c r="CN1135" s="583" t="str">
        <f t="shared" si="5530"/>
        <v>#ERROR!</v>
      </c>
      <c r="CO1135" s="168" t="str">
        <f t="shared" si="5530"/>
        <v>#ERROR!</v>
      </c>
      <c r="CP1135" s="583" t="str">
        <f t="shared" si="5530"/>
        <v>#ERROR!</v>
      </c>
      <c r="CQ1135" s="164" t="str">
        <f t="shared" si="5530"/>
        <v>#ERROR!</v>
      </c>
      <c r="CR1135" s="164" t="str">
        <f t="shared" si="5530"/>
        <v>#ERROR!</v>
      </c>
      <c r="CS1135" s="164" t="str">
        <f t="shared" si="5530"/>
        <v>#ERROR!</v>
      </c>
      <c r="CT1135" s="168" t="str">
        <f t="shared" si="5530"/>
        <v>#ERROR!</v>
      </c>
      <c r="CU1135" s="164" t="str">
        <f t="shared" si="5530"/>
        <v>#ERROR!</v>
      </c>
      <c r="CV1135" s="164" t="str">
        <f t="shared" si="5530"/>
        <v>#ERROR!</v>
      </c>
      <c r="CW1135" s="164" t="str">
        <f t="shared" si="5530"/>
        <v>#ERROR!</v>
      </c>
      <c r="CX1135" s="164" t="str">
        <f t="shared" si="5530"/>
        <v>#ERROR!</v>
      </c>
      <c r="CY1135" s="168" t="str">
        <f t="shared" si="5530"/>
        <v>#ERROR!</v>
      </c>
      <c r="CZ1135" s="164" t="str">
        <f t="shared" si="5530"/>
        <v>#ERROR!</v>
      </c>
      <c r="DA1135" s="164" t="str">
        <f t="shared" si="5530"/>
        <v>#ERROR!</v>
      </c>
      <c r="DB1135" s="164" t="str">
        <f t="shared" si="5530"/>
        <v>#ERROR!</v>
      </c>
      <c r="DC1135" s="164" t="str">
        <f t="shared" si="5530"/>
        <v>#ERROR!</v>
      </c>
      <c r="DD1135" s="168" t="str">
        <f t="shared" si="5530"/>
        <v>#ERROR!</v>
      </c>
      <c r="DE1135" s="164" t="str">
        <f t="shared" si="5530"/>
        <v>#ERROR!</v>
      </c>
      <c r="DF1135" s="164" t="str">
        <f t="shared" si="5530"/>
        <v>#ERROR!</v>
      </c>
      <c r="DG1135" s="146" t="str">
        <f t="shared" si="5530"/>
        <v>#ERROR!</v>
      </c>
      <c r="DH1135" s="164" t="str">
        <f t="shared" si="5530"/>
        <v>#ERROR!</v>
      </c>
      <c r="DI1135" s="168" t="str">
        <f t="shared" si="5530"/>
        <v>#ERROR!</v>
      </c>
      <c r="DJ1135" s="583" t="str">
        <f t="shared" si="5530"/>
        <v>#ERROR!</v>
      </c>
      <c r="DK1135" s="583" t="str">
        <f t="shared" si="5530"/>
        <v>#ERROR!</v>
      </c>
      <c r="DL1135" s="583" t="str">
        <f t="shared" si="5530"/>
        <v>#ERROR!</v>
      </c>
      <c r="DM1135" s="164" t="str">
        <f t="shared" si="5530"/>
        <v>#ERROR!</v>
      </c>
      <c r="DN1135" s="168" t="str">
        <f t="shared" si="5530"/>
        <v>#ERROR!</v>
      </c>
      <c r="DO1135" s="164" t="str">
        <f t="shared" si="5530"/>
        <v>#ERROR!</v>
      </c>
      <c r="DP1135" s="164" t="str">
        <f t="shared" si="5530"/>
        <v>#ERROR!</v>
      </c>
      <c r="DQ1135" s="164" t="str">
        <f t="shared" si="5530"/>
        <v>#ERROR!</v>
      </c>
      <c r="DR1135" s="164" t="str">
        <f t="shared" si="5530"/>
        <v>#ERROR!</v>
      </c>
      <c r="DS1135" s="168" t="str">
        <f t="shared" si="5530"/>
        <v>#ERROR!</v>
      </c>
      <c r="DT1135" s="164" t="str">
        <f t="shared" si="5530"/>
        <v>#ERROR!</v>
      </c>
      <c r="DU1135" s="164" t="str">
        <f t="shared" si="5530"/>
        <v>#ERROR!</v>
      </c>
      <c r="DV1135" s="164" t="str">
        <f t="shared" si="5530"/>
        <v>#ERROR!</v>
      </c>
      <c r="DW1135" s="164" t="str">
        <f t="shared" si="5530"/>
        <v>#ERROR!</v>
      </c>
      <c r="DX1135" s="168" t="str">
        <f t="shared" si="5530"/>
        <v>#ERROR!</v>
      </c>
      <c r="DY1135" s="164" t="str">
        <f t="shared" si="5530"/>
        <v>#ERROR!</v>
      </c>
      <c r="DZ1135" s="164" t="str">
        <f t="shared" si="5530"/>
        <v>#ERROR!</v>
      </c>
      <c r="EA1135" s="164" t="str">
        <f t="shared" si="5530"/>
        <v>#ERROR!</v>
      </c>
      <c r="EB1135" s="164" t="str">
        <f t="shared" si="5530"/>
        <v>#ERROR!</v>
      </c>
      <c r="EC1135" s="168" t="str">
        <f t="shared" si="5530"/>
        <v>#ERROR!</v>
      </c>
      <c r="ED1135" s="164" t="str">
        <f t="shared" si="5530"/>
        <v>#ERROR!</v>
      </c>
      <c r="EE1135" s="164" t="str">
        <f t="shared" si="5530"/>
        <v>#ERROR!</v>
      </c>
      <c r="EF1135" s="164" t="str">
        <f t="shared" si="5530"/>
        <v>#ERROR!</v>
      </c>
      <c r="EG1135" s="164" t="str">
        <f t="shared" si="5530"/>
        <v>#ERROR!</v>
      </c>
      <c r="EH1135" s="168" t="str">
        <f t="shared" si="5530"/>
        <v>#ERROR!</v>
      </c>
      <c r="EI1135" s="584" t="str">
        <f t="shared" si="5530"/>
        <v>#ERROR!</v>
      </c>
      <c r="EJ1135" s="164" t="str">
        <f t="shared" si="5530"/>
        <v>#ERROR!</v>
      </c>
      <c r="EK1135" s="164" t="str">
        <f t="shared" si="5530"/>
        <v>#ERROR!</v>
      </c>
      <c r="EL1135" s="164" t="str">
        <f t="shared" si="5530"/>
        <v>#ERROR!</v>
      </c>
      <c r="EM1135" s="168" t="str">
        <f t="shared" si="5530"/>
        <v>#ERROR!</v>
      </c>
      <c r="EN1135" s="164" t="str">
        <f t="shared" si="5530"/>
        <v>#ERROR!</v>
      </c>
      <c r="EO1135" s="164" t="str">
        <f t="shared" si="5530"/>
        <v>#ERROR!</v>
      </c>
      <c r="EP1135" s="164" t="str">
        <f t="shared" si="5530"/>
        <v>#ERROR!</v>
      </c>
      <c r="EQ1135" s="164" t="str">
        <f t="shared" si="5530"/>
        <v>#ERROR!</v>
      </c>
      <c r="ER1135" s="168" t="str">
        <f t="shared" si="5530"/>
        <v>#ERROR!</v>
      </c>
      <c r="ES1135" s="164" t="str">
        <f t="shared" si="5530"/>
        <v>#ERROR!</v>
      </c>
      <c r="ET1135" s="164" t="str">
        <f t="shared" si="5530"/>
        <v>#ERROR!</v>
      </c>
      <c r="EU1135" s="164" t="str">
        <f t="shared" si="5530"/>
        <v>#ERROR!</v>
      </c>
      <c r="EV1135" s="164" t="str">
        <f t="shared" si="5530"/>
        <v>#ERROR!</v>
      </c>
      <c r="EW1135" s="168" t="str">
        <f t="shared" si="5530"/>
        <v>#ERROR!</v>
      </c>
      <c r="EX1135" s="164" t="str">
        <f t="shared" si="5530"/>
        <v>#ERROR!</v>
      </c>
      <c r="EY1135" s="164" t="str">
        <f t="shared" si="5530"/>
        <v>#ERROR!</v>
      </c>
      <c r="EZ1135" s="164" t="str">
        <f t="shared" si="5530"/>
        <v>#ERROR!</v>
      </c>
      <c r="FA1135" s="164" t="str">
        <f t="shared" si="5530"/>
        <v>#ERROR!</v>
      </c>
      <c r="FB1135" s="168" t="str">
        <f t="shared" si="5530"/>
        <v>#ERROR!</v>
      </c>
      <c r="FC1135" s="164" t="str">
        <f t="shared" si="5530"/>
        <v>#ERROR!</v>
      </c>
      <c r="FD1135" s="164" t="str">
        <f t="shared" si="5530"/>
        <v>#ERROR!</v>
      </c>
      <c r="FE1135" s="164" t="str">
        <f t="shared" si="5530"/>
        <v>#ERROR!</v>
      </c>
      <c r="FF1135" s="164" t="str">
        <f t="shared" si="5530"/>
        <v>#ERROR!</v>
      </c>
      <c r="FG1135" s="168" t="str">
        <f t="shared" si="5530"/>
        <v>#ERROR!</v>
      </c>
      <c r="FH1135" s="167"/>
      <c r="FI1135" s="164"/>
      <c r="FJ1135" s="164"/>
      <c r="FK1135" s="166"/>
      <c r="FL1135" s="164"/>
    </row>
    <row r="1136" ht="13.5" hidden="1" customHeight="1" outlineLevel="2">
      <c r="A1136" s="4"/>
      <c r="B1136" s="4"/>
      <c r="C1136" s="4"/>
      <c r="D1136" s="4"/>
      <c r="E1136" s="4"/>
      <c r="F1136" s="4"/>
      <c r="G1136" s="4"/>
      <c r="H1136" s="410"/>
      <c r="I1136" s="4"/>
      <c r="J1136" s="4"/>
      <c r="K1136" s="4"/>
      <c r="L1136" s="4"/>
      <c r="M1136" s="410"/>
      <c r="N1136" s="4"/>
      <c r="O1136" s="4"/>
      <c r="P1136" s="4"/>
      <c r="Q1136" s="4"/>
      <c r="R1136" s="410"/>
      <c r="S1136" s="4"/>
      <c r="T1136" s="4"/>
      <c r="U1136" s="4"/>
      <c r="V1136" s="4"/>
      <c r="W1136" s="410"/>
      <c r="X1136" s="4"/>
      <c r="Y1136" s="4"/>
      <c r="Z1136" s="4"/>
      <c r="AA1136" s="4"/>
      <c r="AB1136" s="410"/>
      <c r="AC1136" s="4"/>
      <c r="AD1136" s="4"/>
      <c r="AE1136" s="4"/>
      <c r="AF1136" s="4"/>
      <c r="AG1136" s="410"/>
      <c r="AH1136" s="4"/>
      <c r="AI1136" s="4"/>
      <c r="AJ1136" s="4"/>
      <c r="AK1136" s="4"/>
      <c r="AL1136" s="410"/>
      <c r="AM1136" s="4"/>
      <c r="AN1136" s="4"/>
      <c r="AO1136" s="4"/>
      <c r="AP1136" s="4"/>
      <c r="AQ1136" s="410"/>
      <c r="AR1136" s="4"/>
      <c r="AS1136" s="4"/>
      <c r="AT1136" s="4"/>
      <c r="AU1136" s="4"/>
      <c r="AV1136" s="410"/>
      <c r="AW1136" s="4"/>
      <c r="AX1136" s="4"/>
      <c r="AY1136" s="4"/>
      <c r="AZ1136" s="4"/>
      <c r="BA1136" s="410"/>
      <c r="BB1136" s="4"/>
      <c r="BC1136" s="4"/>
      <c r="BD1136" s="4"/>
      <c r="BE1136" s="4"/>
      <c r="BF1136" s="410"/>
      <c r="BG1136" s="4"/>
      <c r="BH1136" s="4"/>
      <c r="BI1136" s="4"/>
      <c r="BJ1136" s="4"/>
      <c r="BK1136" s="410"/>
      <c r="BL1136" s="4"/>
      <c r="BM1136" s="4"/>
      <c r="BN1136" s="4"/>
      <c r="BO1136" s="4"/>
      <c r="BP1136" s="410"/>
      <c r="BQ1136" s="4"/>
      <c r="BR1136" s="4"/>
      <c r="BS1136" s="4"/>
      <c r="BT1136" s="4"/>
      <c r="BU1136" s="410"/>
      <c r="BV1136" s="4"/>
      <c r="BW1136" s="4"/>
      <c r="BX1136" s="4"/>
      <c r="BY1136" s="4"/>
      <c r="BZ1136" s="24"/>
      <c r="CA1136" s="4"/>
      <c r="CB1136" s="4"/>
      <c r="CC1136" s="4"/>
      <c r="CD1136" s="4"/>
      <c r="CE1136" s="24"/>
      <c r="CF1136" s="4"/>
      <c r="CG1136" s="4"/>
      <c r="CH1136" s="4"/>
      <c r="CI1136" s="4"/>
      <c r="CJ1136" s="24"/>
      <c r="CK1136" s="4"/>
      <c r="CL1136" s="4"/>
      <c r="CM1136" s="4"/>
      <c r="CN1136" s="16"/>
      <c r="CO1136" s="24"/>
      <c r="CP1136" s="16"/>
      <c r="CQ1136" s="4"/>
      <c r="CR1136" s="4"/>
      <c r="CS1136" s="4"/>
      <c r="CT1136" s="24"/>
      <c r="CU1136" s="4"/>
      <c r="CV1136" s="4"/>
      <c r="CW1136" s="4"/>
      <c r="CX1136" s="4"/>
      <c r="CY1136" s="24"/>
      <c r="CZ1136" s="4"/>
      <c r="DA1136" s="4"/>
      <c r="DB1136" s="4"/>
      <c r="DC1136" s="4"/>
      <c r="DD1136" s="24"/>
      <c r="DE1136" s="4"/>
      <c r="DF1136" s="4"/>
      <c r="DG1136" s="16"/>
      <c r="DH1136" s="4"/>
      <c r="DI1136" s="24"/>
      <c r="DJ1136" s="16"/>
      <c r="DK1136" s="16"/>
      <c r="DL1136" s="16"/>
      <c r="DM1136" s="4"/>
      <c r="DN1136" s="24"/>
      <c r="DO1136" s="4"/>
      <c r="DP1136" s="4"/>
      <c r="DQ1136" s="4"/>
      <c r="DR1136" s="4"/>
      <c r="DS1136" s="24"/>
      <c r="DT1136" s="4"/>
      <c r="DU1136" s="4"/>
      <c r="DV1136" s="4"/>
      <c r="DW1136" s="4"/>
      <c r="DX1136" s="24"/>
      <c r="DY1136" s="4"/>
      <c r="DZ1136" s="4"/>
      <c r="EA1136" s="4"/>
      <c r="EB1136" s="4"/>
      <c r="EC1136" s="24"/>
      <c r="ED1136" s="4"/>
      <c r="EE1136" s="4"/>
      <c r="EF1136" s="4"/>
      <c r="EG1136" s="4"/>
      <c r="EH1136" s="24"/>
      <c r="EI1136" s="214"/>
      <c r="EJ1136" s="4"/>
      <c r="EK1136" s="4"/>
      <c r="EL1136" s="4"/>
      <c r="EM1136" s="24"/>
      <c r="EN1136" s="4"/>
      <c r="EO1136" s="4"/>
      <c r="EP1136" s="4"/>
      <c r="EQ1136" s="4"/>
      <c r="ER1136" s="24"/>
      <c r="ES1136" s="4"/>
      <c r="ET1136" s="4"/>
      <c r="EU1136" s="4"/>
      <c r="EV1136" s="4"/>
      <c r="EW1136" s="24"/>
      <c r="EX1136" s="4"/>
      <c r="EY1136" s="4"/>
      <c r="EZ1136" s="4"/>
      <c r="FA1136" s="4"/>
      <c r="FB1136" s="24"/>
      <c r="FC1136" s="4"/>
      <c r="FD1136" s="4"/>
      <c r="FE1136" s="4"/>
      <c r="FF1136" s="4"/>
      <c r="FG1136" s="24"/>
      <c r="FH1136" s="104"/>
      <c r="FI1136" s="4"/>
      <c r="FJ1136" s="4"/>
      <c r="FK1136" s="410"/>
      <c r="FL1136" s="4"/>
    </row>
    <row r="1137" ht="12.75" hidden="1" customHeight="1" outlineLevel="1">
      <c r="A1137" s="4"/>
      <c r="B1137" s="4"/>
      <c r="C1137" s="4"/>
      <c r="D1137" s="4"/>
      <c r="E1137" s="4"/>
      <c r="F1137" s="4"/>
      <c r="G1137" s="4"/>
      <c r="H1137" s="410"/>
      <c r="I1137" s="4"/>
      <c r="J1137" s="4"/>
      <c r="K1137" s="4"/>
      <c r="L1137" s="4"/>
      <c r="M1137" s="410"/>
      <c r="N1137" s="4"/>
      <c r="O1137" s="4"/>
      <c r="P1137" s="4"/>
      <c r="Q1137" s="4"/>
      <c r="R1137" s="410"/>
      <c r="S1137" s="4"/>
      <c r="T1137" s="4"/>
      <c r="U1137" s="4"/>
      <c r="V1137" s="4"/>
      <c r="W1137" s="410"/>
      <c r="X1137" s="4"/>
      <c r="Y1137" s="4"/>
      <c r="Z1137" s="4"/>
      <c r="AA1137" s="4"/>
      <c r="AB1137" s="410"/>
      <c r="AC1137" s="4"/>
      <c r="AD1137" s="4"/>
      <c r="AE1137" s="4"/>
      <c r="AF1137" s="4"/>
      <c r="AG1137" s="410"/>
      <c r="AH1137" s="4"/>
      <c r="AI1137" s="4"/>
      <c r="AJ1137" s="4"/>
      <c r="AK1137" s="4"/>
      <c r="AL1137" s="410"/>
      <c r="AM1137" s="4"/>
      <c r="AN1137" s="4"/>
      <c r="AO1137" s="4"/>
      <c r="AP1137" s="4"/>
      <c r="AQ1137" s="410"/>
      <c r="AR1137" s="4"/>
      <c r="AS1137" s="4"/>
      <c r="AT1137" s="4"/>
      <c r="AU1137" s="4"/>
      <c r="AV1137" s="410"/>
      <c r="AW1137" s="4"/>
      <c r="AX1137" s="4"/>
      <c r="AY1137" s="4"/>
      <c r="AZ1137" s="4"/>
      <c r="BA1137" s="410"/>
      <c r="BB1137" s="4"/>
      <c r="BC1137" s="4"/>
      <c r="BD1137" s="4"/>
      <c r="BE1137" s="4"/>
      <c r="BF1137" s="410"/>
      <c r="BG1137" s="4"/>
      <c r="BH1137" s="4"/>
      <c r="BI1137" s="4"/>
      <c r="BJ1137" s="4"/>
      <c r="BK1137" s="410"/>
      <c r="BL1137" s="4"/>
      <c r="BM1137" s="4"/>
      <c r="BN1137" s="4"/>
      <c r="BO1137" s="4"/>
      <c r="BP1137" s="410"/>
      <c r="BQ1137" s="4"/>
      <c r="BR1137" s="4"/>
      <c r="BS1137" s="4"/>
      <c r="BT1137" s="4"/>
      <c r="BU1137" s="410"/>
      <c r="BV1137" s="4"/>
      <c r="BW1137" s="4"/>
      <c r="BX1137" s="4"/>
      <c r="BY1137" s="4"/>
      <c r="BZ1137" s="24"/>
      <c r="CA1137" s="4"/>
      <c r="CB1137" s="4"/>
      <c r="CC1137" s="4"/>
      <c r="CD1137" s="4"/>
      <c r="CE1137" s="24"/>
      <c r="CF1137" s="4"/>
      <c r="CG1137" s="4"/>
      <c r="CH1137" s="4"/>
      <c r="CI1137" s="4"/>
      <c r="CJ1137" s="24"/>
      <c r="CK1137" s="4"/>
      <c r="CL1137" s="4"/>
      <c r="CM1137" s="4"/>
      <c r="CN1137" s="16"/>
      <c r="CO1137" s="24"/>
      <c r="CP1137" s="16"/>
      <c r="CQ1137" s="4"/>
      <c r="CR1137" s="4"/>
      <c r="CS1137" s="4"/>
      <c r="CT1137" s="24"/>
      <c r="CU1137" s="4"/>
      <c r="CV1137" s="4"/>
      <c r="CW1137" s="4"/>
      <c r="CX1137" s="4"/>
      <c r="CY1137" s="24"/>
      <c r="CZ1137" s="4"/>
      <c r="DA1137" s="4"/>
      <c r="DB1137" s="4"/>
      <c r="DC1137" s="4"/>
      <c r="DD1137" s="24"/>
      <c r="DE1137" s="4"/>
      <c r="DF1137" s="4"/>
      <c r="DG1137" s="16"/>
      <c r="DH1137" s="4"/>
      <c r="DI1137" s="24"/>
      <c r="DJ1137" s="16"/>
      <c r="DK1137" s="16"/>
      <c r="DL1137" s="16"/>
      <c r="DM1137" s="4"/>
      <c r="DN1137" s="24"/>
      <c r="DO1137" s="4"/>
      <c r="DP1137" s="4"/>
      <c r="DQ1137" s="4"/>
      <c r="DR1137" s="4"/>
      <c r="DS1137" s="24"/>
      <c r="DT1137" s="4"/>
      <c r="DU1137" s="4"/>
      <c r="DV1137" s="4"/>
      <c r="DW1137" s="4"/>
      <c r="DX1137" s="24"/>
      <c r="DY1137" s="4"/>
      <c r="DZ1137" s="4"/>
      <c r="EA1137" s="4"/>
      <c r="EB1137" s="4"/>
      <c r="EC1137" s="24"/>
      <c r="ED1137" s="4"/>
      <c r="EE1137" s="4"/>
      <c r="EF1137" s="4"/>
      <c r="EG1137" s="4"/>
      <c r="EH1137" s="24"/>
      <c r="EI1137" s="214"/>
      <c r="EJ1137" s="4"/>
      <c r="EK1137" s="4"/>
      <c r="EL1137" s="4"/>
      <c r="EM1137" s="24"/>
      <c r="EN1137" s="4"/>
      <c r="EO1137" s="4"/>
      <c r="EP1137" s="4"/>
      <c r="EQ1137" s="4"/>
      <c r="ER1137" s="24"/>
      <c r="ES1137" s="4"/>
      <c r="ET1137" s="4"/>
      <c r="EU1137" s="4"/>
      <c r="EV1137" s="4"/>
      <c r="EW1137" s="24"/>
      <c r="EX1137" s="4"/>
      <c r="EY1137" s="4"/>
      <c r="EZ1137" s="4"/>
      <c r="FA1137" s="4"/>
      <c r="FB1137" s="24"/>
      <c r="FC1137" s="4"/>
      <c r="FD1137" s="4"/>
      <c r="FE1137" s="4"/>
      <c r="FF1137" s="4"/>
      <c r="FG1137" s="24"/>
      <c r="FH1137" s="104"/>
      <c r="FI1137" s="4"/>
      <c r="FJ1137" s="4"/>
      <c r="FK1137" s="410"/>
      <c r="FL1137" s="4"/>
    </row>
    <row r="1138" ht="12.75" hidden="1" customHeight="1" outlineLevel="1">
      <c r="A1138" s="4"/>
      <c r="B1138" s="45" t="s">
        <v>421</v>
      </c>
      <c r="C1138" s="4"/>
      <c r="D1138" s="4"/>
      <c r="E1138" s="4"/>
      <c r="F1138" s="4"/>
      <c r="G1138" s="4"/>
      <c r="H1138" s="45"/>
      <c r="I1138" s="4"/>
      <c r="J1138" s="4"/>
      <c r="K1138" s="4"/>
      <c r="L1138" s="4"/>
      <c r="M1138" s="45"/>
      <c r="N1138" s="4"/>
      <c r="O1138" s="4"/>
      <c r="P1138" s="4"/>
      <c r="Q1138" s="4"/>
      <c r="R1138" s="45"/>
      <c r="S1138" s="4"/>
      <c r="T1138" s="4"/>
      <c r="U1138" s="4"/>
      <c r="V1138" s="4"/>
      <c r="W1138" s="45"/>
      <c r="X1138" s="4"/>
      <c r="Y1138" s="4"/>
      <c r="Z1138" s="4"/>
      <c r="AA1138" s="4"/>
      <c r="AB1138" s="45"/>
      <c r="AC1138" s="4"/>
      <c r="AD1138" s="4"/>
      <c r="AE1138" s="4"/>
      <c r="AF1138" s="4"/>
      <c r="AG1138" s="45"/>
      <c r="AH1138" s="4"/>
      <c r="AI1138" s="4"/>
      <c r="AJ1138" s="4"/>
      <c r="AK1138" s="4"/>
      <c r="AL1138" s="45"/>
      <c r="AM1138" s="4"/>
      <c r="AN1138" s="4"/>
      <c r="AO1138" s="4"/>
      <c r="AP1138" s="4"/>
      <c r="AQ1138" s="45"/>
      <c r="AR1138" s="4"/>
      <c r="AS1138" s="4"/>
      <c r="AT1138" s="4"/>
      <c r="AU1138" s="4"/>
      <c r="AV1138" s="45"/>
      <c r="AW1138" s="4"/>
      <c r="AX1138" s="4"/>
      <c r="AY1138" s="4"/>
      <c r="AZ1138" s="4"/>
      <c r="BA1138" s="45"/>
      <c r="BB1138" s="4"/>
      <c r="BC1138" s="4"/>
      <c r="BD1138" s="4"/>
      <c r="BE1138" s="4"/>
      <c r="BF1138" s="45"/>
      <c r="BG1138" s="4"/>
      <c r="BH1138" s="4"/>
      <c r="BI1138" s="4"/>
      <c r="BJ1138" s="4"/>
      <c r="BK1138" s="45"/>
      <c r="BL1138" s="4"/>
      <c r="BM1138" s="4"/>
      <c r="BN1138" s="4"/>
      <c r="BO1138" s="4"/>
      <c r="BP1138" s="45"/>
      <c r="BQ1138" s="4"/>
      <c r="BR1138" s="4"/>
      <c r="BS1138" s="4"/>
      <c r="BT1138" s="4"/>
      <c r="BU1138" s="45"/>
      <c r="BV1138" s="4"/>
      <c r="BW1138" s="4"/>
      <c r="BX1138" s="4"/>
      <c r="BY1138" s="4"/>
      <c r="BZ1138" s="350"/>
      <c r="CA1138" s="4"/>
      <c r="CB1138" s="4"/>
      <c r="CC1138" s="4"/>
      <c r="CD1138" s="4"/>
      <c r="CE1138" s="350"/>
      <c r="CF1138" s="4"/>
      <c r="CG1138" s="4"/>
      <c r="CH1138" s="4"/>
      <c r="CI1138" s="4"/>
      <c r="CJ1138" s="350"/>
      <c r="CK1138" s="4"/>
      <c r="CL1138" s="4"/>
      <c r="CM1138" s="4"/>
      <c r="CN1138" s="16"/>
      <c r="CO1138" s="350"/>
      <c r="CP1138" s="16"/>
      <c r="CQ1138" s="4"/>
      <c r="CR1138" s="4"/>
      <c r="CS1138" s="4"/>
      <c r="CT1138" s="350"/>
      <c r="CU1138" s="4"/>
      <c r="CV1138" s="4"/>
      <c r="CW1138" s="4"/>
      <c r="CX1138" s="4"/>
      <c r="CY1138" s="350"/>
      <c r="CZ1138" s="4"/>
      <c r="DA1138" s="4"/>
      <c r="DB1138" s="4"/>
      <c r="DC1138" s="4"/>
      <c r="DD1138" s="350"/>
      <c r="DE1138" s="4"/>
      <c r="DF1138" s="4"/>
      <c r="DG1138" s="16"/>
      <c r="DH1138" s="4"/>
      <c r="DI1138" s="350"/>
      <c r="DJ1138" s="16"/>
      <c r="DK1138" s="16"/>
      <c r="DL1138" s="16"/>
      <c r="DM1138" s="4"/>
      <c r="DN1138" s="350"/>
      <c r="DO1138" s="4"/>
      <c r="DP1138" s="4"/>
      <c r="DQ1138" s="4"/>
      <c r="DR1138" s="4"/>
      <c r="DS1138" s="350"/>
      <c r="DT1138" s="4"/>
      <c r="DU1138" s="4"/>
      <c r="DV1138" s="4"/>
      <c r="DW1138" s="4"/>
      <c r="DX1138" s="350"/>
      <c r="DY1138" s="4"/>
      <c r="DZ1138" s="4"/>
      <c r="EA1138" s="4"/>
      <c r="EB1138" s="4"/>
      <c r="EC1138" s="350"/>
      <c r="ED1138" s="4"/>
      <c r="EE1138" s="4"/>
      <c r="EF1138" s="4"/>
      <c r="EG1138" s="4"/>
      <c r="EH1138" s="350"/>
      <c r="EI1138" s="214"/>
      <c r="EJ1138" s="4"/>
      <c r="EK1138" s="4"/>
      <c r="EL1138" s="4"/>
      <c r="EM1138" s="350"/>
      <c r="EN1138" s="4"/>
      <c r="EO1138" s="4"/>
      <c r="EP1138" s="4"/>
      <c r="EQ1138" s="4"/>
      <c r="ER1138" s="350"/>
      <c r="ES1138" s="4"/>
      <c r="ET1138" s="4"/>
      <c r="EU1138" s="4"/>
      <c r="EV1138" s="4"/>
      <c r="EW1138" s="350"/>
      <c r="EX1138" s="4"/>
      <c r="EY1138" s="4"/>
      <c r="EZ1138" s="4"/>
      <c r="FA1138" s="4"/>
      <c r="FB1138" s="350"/>
      <c r="FC1138" s="4"/>
      <c r="FD1138" s="4"/>
      <c r="FE1138" s="4"/>
      <c r="FF1138" s="4"/>
      <c r="FG1138" s="350"/>
      <c r="FH1138" s="145"/>
      <c r="FI1138" s="4"/>
      <c r="FJ1138" s="4"/>
      <c r="FK1138" s="45"/>
      <c r="FL1138" s="4"/>
    </row>
    <row r="1139" ht="12.75" hidden="1" customHeight="1" outlineLevel="1">
      <c r="A1139" s="4"/>
      <c r="B1139" s="4" t="s">
        <v>422</v>
      </c>
      <c r="C1139" s="4"/>
      <c r="D1139" s="15"/>
      <c r="E1139" s="15"/>
      <c r="F1139" s="15"/>
      <c r="G1139" s="15"/>
      <c r="H1139" s="410"/>
      <c r="I1139" s="15" t="str">
        <f t="shared" ref="I1139:FG1139" si="5531">I1133/I$1135</f>
        <v>#ERROR!</v>
      </c>
      <c r="J1139" s="15" t="str">
        <f t="shared" si="5531"/>
        <v>#ERROR!</v>
      </c>
      <c r="K1139" s="15" t="str">
        <f t="shared" si="5531"/>
        <v>#ERROR!</v>
      </c>
      <c r="L1139" s="15" t="str">
        <f t="shared" si="5531"/>
        <v>#ERROR!</v>
      </c>
      <c r="M1139" s="410" t="str">
        <f t="shared" si="5531"/>
        <v>#ERROR!</v>
      </c>
      <c r="N1139" s="15" t="str">
        <f t="shared" si="5531"/>
        <v>#ERROR!</v>
      </c>
      <c r="O1139" s="15" t="str">
        <f t="shared" si="5531"/>
        <v>#ERROR!</v>
      </c>
      <c r="P1139" s="15" t="str">
        <f t="shared" si="5531"/>
        <v>#ERROR!</v>
      </c>
      <c r="Q1139" s="15" t="str">
        <f t="shared" si="5531"/>
        <v>#ERROR!</v>
      </c>
      <c r="R1139" s="410" t="str">
        <f t="shared" si="5531"/>
        <v>#ERROR!</v>
      </c>
      <c r="S1139" s="15" t="str">
        <f t="shared" si="5531"/>
        <v>#ERROR!</v>
      </c>
      <c r="T1139" s="15" t="str">
        <f t="shared" si="5531"/>
        <v>#ERROR!</v>
      </c>
      <c r="U1139" s="15" t="str">
        <f t="shared" si="5531"/>
        <v>#ERROR!</v>
      </c>
      <c r="V1139" s="15" t="str">
        <f t="shared" si="5531"/>
        <v>#ERROR!</v>
      </c>
      <c r="W1139" s="410" t="str">
        <f t="shared" si="5531"/>
        <v>#ERROR!</v>
      </c>
      <c r="X1139" s="15" t="str">
        <f t="shared" si="5531"/>
        <v>#ERROR!</v>
      </c>
      <c r="Y1139" s="15" t="str">
        <f t="shared" si="5531"/>
        <v>#ERROR!</v>
      </c>
      <c r="Z1139" s="15" t="str">
        <f t="shared" si="5531"/>
        <v>#ERROR!</v>
      </c>
      <c r="AA1139" s="15" t="str">
        <f t="shared" si="5531"/>
        <v>#ERROR!</v>
      </c>
      <c r="AB1139" s="410" t="str">
        <f t="shared" si="5531"/>
        <v>#ERROR!</v>
      </c>
      <c r="AC1139" s="15" t="str">
        <f t="shared" si="5531"/>
        <v>#ERROR!</v>
      </c>
      <c r="AD1139" s="15" t="str">
        <f t="shared" si="5531"/>
        <v>#ERROR!</v>
      </c>
      <c r="AE1139" s="15" t="str">
        <f t="shared" si="5531"/>
        <v>#ERROR!</v>
      </c>
      <c r="AF1139" s="15" t="str">
        <f t="shared" si="5531"/>
        <v>#ERROR!</v>
      </c>
      <c r="AG1139" s="410" t="str">
        <f t="shared" si="5531"/>
        <v>#ERROR!</v>
      </c>
      <c r="AH1139" s="15" t="str">
        <f t="shared" si="5531"/>
        <v>#ERROR!</v>
      </c>
      <c r="AI1139" s="15" t="str">
        <f t="shared" si="5531"/>
        <v>#ERROR!</v>
      </c>
      <c r="AJ1139" s="15" t="str">
        <f t="shared" si="5531"/>
        <v>#ERROR!</v>
      </c>
      <c r="AK1139" s="15" t="str">
        <f t="shared" si="5531"/>
        <v>#ERROR!</v>
      </c>
      <c r="AL1139" s="410" t="str">
        <f t="shared" si="5531"/>
        <v>#ERROR!</v>
      </c>
      <c r="AM1139" s="15" t="str">
        <f t="shared" si="5531"/>
        <v>#ERROR!</v>
      </c>
      <c r="AN1139" s="15" t="str">
        <f t="shared" si="5531"/>
        <v>#ERROR!</v>
      </c>
      <c r="AO1139" s="15" t="str">
        <f t="shared" si="5531"/>
        <v>#ERROR!</v>
      </c>
      <c r="AP1139" s="15" t="str">
        <f t="shared" si="5531"/>
        <v>#ERROR!</v>
      </c>
      <c r="AQ1139" s="410" t="str">
        <f t="shared" si="5531"/>
        <v>#ERROR!</v>
      </c>
      <c r="AR1139" s="15" t="str">
        <f t="shared" si="5531"/>
        <v>#ERROR!</v>
      </c>
      <c r="AS1139" s="15" t="str">
        <f t="shared" si="5531"/>
        <v>#ERROR!</v>
      </c>
      <c r="AT1139" s="15" t="str">
        <f t="shared" si="5531"/>
        <v>#ERROR!</v>
      </c>
      <c r="AU1139" s="15" t="str">
        <f t="shared" si="5531"/>
        <v>#ERROR!</v>
      </c>
      <c r="AV1139" s="410" t="str">
        <f t="shared" si="5531"/>
        <v>#ERROR!</v>
      </c>
      <c r="AW1139" s="15" t="str">
        <f t="shared" si="5531"/>
        <v>#ERROR!</v>
      </c>
      <c r="AX1139" s="15" t="str">
        <f t="shared" si="5531"/>
        <v>#ERROR!</v>
      </c>
      <c r="AY1139" s="15" t="str">
        <f t="shared" si="5531"/>
        <v>#ERROR!</v>
      </c>
      <c r="AZ1139" s="15" t="str">
        <f t="shared" si="5531"/>
        <v>#ERROR!</v>
      </c>
      <c r="BA1139" s="410" t="str">
        <f t="shared" si="5531"/>
        <v>#ERROR!</v>
      </c>
      <c r="BB1139" s="15" t="str">
        <f t="shared" si="5531"/>
        <v>#ERROR!</v>
      </c>
      <c r="BC1139" s="15" t="str">
        <f t="shared" si="5531"/>
        <v>#ERROR!</v>
      </c>
      <c r="BD1139" s="15" t="str">
        <f t="shared" si="5531"/>
        <v>#ERROR!</v>
      </c>
      <c r="BE1139" s="15" t="str">
        <f t="shared" si="5531"/>
        <v>#ERROR!</v>
      </c>
      <c r="BF1139" s="410" t="str">
        <f t="shared" si="5531"/>
        <v>#ERROR!</v>
      </c>
      <c r="BG1139" s="15" t="str">
        <f t="shared" si="5531"/>
        <v>#ERROR!</v>
      </c>
      <c r="BH1139" s="15" t="str">
        <f t="shared" si="5531"/>
        <v>#ERROR!</v>
      </c>
      <c r="BI1139" s="15" t="str">
        <f t="shared" si="5531"/>
        <v>#ERROR!</v>
      </c>
      <c r="BJ1139" s="15" t="str">
        <f t="shared" si="5531"/>
        <v>#ERROR!</v>
      </c>
      <c r="BK1139" s="410" t="str">
        <f t="shared" si="5531"/>
        <v>#ERROR!</v>
      </c>
      <c r="BL1139" s="15" t="str">
        <f t="shared" si="5531"/>
        <v>#ERROR!</v>
      </c>
      <c r="BM1139" s="15" t="str">
        <f t="shared" si="5531"/>
        <v>#ERROR!</v>
      </c>
      <c r="BN1139" s="15" t="str">
        <f t="shared" si="5531"/>
        <v>#ERROR!</v>
      </c>
      <c r="BO1139" s="15" t="str">
        <f t="shared" si="5531"/>
        <v>#ERROR!</v>
      </c>
      <c r="BP1139" s="410" t="str">
        <f t="shared" si="5531"/>
        <v>#ERROR!</v>
      </c>
      <c r="BQ1139" s="15" t="str">
        <f t="shared" si="5531"/>
        <v>#ERROR!</v>
      </c>
      <c r="BR1139" s="15" t="str">
        <f t="shared" si="5531"/>
        <v>#ERROR!</v>
      </c>
      <c r="BS1139" s="15" t="str">
        <f t="shared" si="5531"/>
        <v>#ERROR!</v>
      </c>
      <c r="BT1139" s="15" t="str">
        <f t="shared" si="5531"/>
        <v>#ERROR!</v>
      </c>
      <c r="BU1139" s="410" t="str">
        <f t="shared" si="5531"/>
        <v>#ERROR!</v>
      </c>
      <c r="BV1139" s="15" t="str">
        <f t="shared" si="5531"/>
        <v>#ERROR!</v>
      </c>
      <c r="BW1139" s="15" t="str">
        <f t="shared" si="5531"/>
        <v>#ERROR!</v>
      </c>
      <c r="BX1139" s="15" t="str">
        <f t="shared" si="5531"/>
        <v>#ERROR!</v>
      </c>
      <c r="BY1139" s="15" t="str">
        <f t="shared" si="5531"/>
        <v>#ERROR!</v>
      </c>
      <c r="BZ1139" s="24" t="str">
        <f t="shared" si="5531"/>
        <v>#ERROR!</v>
      </c>
      <c r="CA1139" s="15" t="str">
        <f t="shared" si="5531"/>
        <v>#ERROR!</v>
      </c>
      <c r="CB1139" s="15" t="str">
        <f t="shared" si="5531"/>
        <v>#ERROR!</v>
      </c>
      <c r="CC1139" s="15" t="str">
        <f t="shared" si="5531"/>
        <v>#ERROR!</v>
      </c>
      <c r="CD1139" s="15" t="str">
        <f t="shared" si="5531"/>
        <v>#ERROR!</v>
      </c>
      <c r="CE1139" s="24" t="str">
        <f t="shared" si="5531"/>
        <v>#ERROR!</v>
      </c>
      <c r="CF1139" s="15" t="str">
        <f t="shared" si="5531"/>
        <v>#ERROR!</v>
      </c>
      <c r="CG1139" s="15" t="str">
        <f t="shared" si="5531"/>
        <v>#ERROR!</v>
      </c>
      <c r="CH1139" s="15" t="str">
        <f t="shared" si="5531"/>
        <v>#ERROR!</v>
      </c>
      <c r="CI1139" s="15" t="str">
        <f t="shared" si="5531"/>
        <v>#ERROR!</v>
      </c>
      <c r="CJ1139" s="24" t="str">
        <f t="shared" si="5531"/>
        <v>#ERROR!</v>
      </c>
      <c r="CK1139" s="15" t="str">
        <f t="shared" si="5531"/>
        <v>#ERROR!</v>
      </c>
      <c r="CL1139" s="15" t="str">
        <f t="shared" si="5531"/>
        <v>#ERROR!</v>
      </c>
      <c r="CM1139" s="15" t="str">
        <f t="shared" si="5531"/>
        <v>#ERROR!</v>
      </c>
      <c r="CN1139" s="40" t="str">
        <f t="shared" si="5531"/>
        <v>#ERROR!</v>
      </c>
      <c r="CO1139" s="24" t="str">
        <f t="shared" si="5531"/>
        <v>#ERROR!</v>
      </c>
      <c r="CP1139" s="40" t="str">
        <f t="shared" si="5531"/>
        <v>#ERROR!</v>
      </c>
      <c r="CQ1139" s="15" t="str">
        <f t="shared" si="5531"/>
        <v>#ERROR!</v>
      </c>
      <c r="CR1139" s="15" t="str">
        <f t="shared" si="5531"/>
        <v>#ERROR!</v>
      </c>
      <c r="CS1139" s="15" t="str">
        <f t="shared" si="5531"/>
        <v>#ERROR!</v>
      </c>
      <c r="CT1139" s="24" t="str">
        <f t="shared" si="5531"/>
        <v>#ERROR!</v>
      </c>
      <c r="CU1139" s="15" t="str">
        <f t="shared" si="5531"/>
        <v>#ERROR!</v>
      </c>
      <c r="CV1139" s="15" t="str">
        <f t="shared" si="5531"/>
        <v>#ERROR!</v>
      </c>
      <c r="CW1139" s="15" t="str">
        <f t="shared" si="5531"/>
        <v>#ERROR!</v>
      </c>
      <c r="CX1139" s="15" t="str">
        <f t="shared" si="5531"/>
        <v>#ERROR!</v>
      </c>
      <c r="CY1139" s="24" t="str">
        <f t="shared" si="5531"/>
        <v>#ERROR!</v>
      </c>
      <c r="CZ1139" s="15" t="str">
        <f t="shared" si="5531"/>
        <v>#ERROR!</v>
      </c>
      <c r="DA1139" s="15" t="str">
        <f t="shared" si="5531"/>
        <v>#ERROR!</v>
      </c>
      <c r="DB1139" s="15" t="str">
        <f t="shared" si="5531"/>
        <v>#ERROR!</v>
      </c>
      <c r="DC1139" s="15" t="str">
        <f t="shared" si="5531"/>
        <v>#ERROR!</v>
      </c>
      <c r="DD1139" s="24" t="str">
        <f t="shared" si="5531"/>
        <v>#ERROR!</v>
      </c>
      <c r="DE1139" s="15" t="str">
        <f t="shared" si="5531"/>
        <v>#ERROR!</v>
      </c>
      <c r="DF1139" s="15" t="str">
        <f t="shared" si="5531"/>
        <v>#ERROR!</v>
      </c>
      <c r="DG1139" s="40" t="str">
        <f t="shared" si="5531"/>
        <v>#ERROR!</v>
      </c>
      <c r="DH1139" s="15" t="str">
        <f t="shared" si="5531"/>
        <v>#ERROR!</v>
      </c>
      <c r="DI1139" s="24" t="str">
        <f t="shared" si="5531"/>
        <v>#ERROR!</v>
      </c>
      <c r="DJ1139" s="40" t="str">
        <f t="shared" si="5531"/>
        <v>#ERROR!</v>
      </c>
      <c r="DK1139" s="40" t="str">
        <f t="shared" si="5531"/>
        <v>#ERROR!</v>
      </c>
      <c r="DL1139" s="40" t="str">
        <f t="shared" si="5531"/>
        <v>#ERROR!</v>
      </c>
      <c r="DM1139" s="15" t="str">
        <f t="shared" si="5531"/>
        <v>#ERROR!</v>
      </c>
      <c r="DN1139" s="24" t="str">
        <f t="shared" si="5531"/>
        <v>#ERROR!</v>
      </c>
      <c r="DO1139" s="15" t="str">
        <f t="shared" si="5531"/>
        <v>#ERROR!</v>
      </c>
      <c r="DP1139" s="15" t="str">
        <f t="shared" si="5531"/>
        <v>#ERROR!</v>
      </c>
      <c r="DQ1139" s="15" t="str">
        <f t="shared" si="5531"/>
        <v>#ERROR!</v>
      </c>
      <c r="DR1139" s="15" t="str">
        <f t="shared" si="5531"/>
        <v>#ERROR!</v>
      </c>
      <c r="DS1139" s="24" t="str">
        <f t="shared" si="5531"/>
        <v>#ERROR!</v>
      </c>
      <c r="DT1139" s="15" t="str">
        <f t="shared" si="5531"/>
        <v>#ERROR!</v>
      </c>
      <c r="DU1139" s="15" t="str">
        <f t="shared" si="5531"/>
        <v>#ERROR!</v>
      </c>
      <c r="DV1139" s="15" t="str">
        <f t="shared" si="5531"/>
        <v>#ERROR!</v>
      </c>
      <c r="DW1139" s="15" t="str">
        <f t="shared" si="5531"/>
        <v>#ERROR!</v>
      </c>
      <c r="DX1139" s="24" t="str">
        <f t="shared" si="5531"/>
        <v>#ERROR!</v>
      </c>
      <c r="DY1139" s="15" t="str">
        <f t="shared" si="5531"/>
        <v>#ERROR!</v>
      </c>
      <c r="DZ1139" s="15" t="str">
        <f t="shared" si="5531"/>
        <v>#ERROR!</v>
      </c>
      <c r="EA1139" s="15" t="str">
        <f t="shared" si="5531"/>
        <v>#ERROR!</v>
      </c>
      <c r="EB1139" s="15" t="str">
        <f t="shared" si="5531"/>
        <v>#ERROR!</v>
      </c>
      <c r="EC1139" s="24" t="str">
        <f t="shared" si="5531"/>
        <v>#ERROR!</v>
      </c>
      <c r="ED1139" s="15" t="str">
        <f t="shared" si="5531"/>
        <v>#ERROR!</v>
      </c>
      <c r="EE1139" s="15" t="str">
        <f t="shared" si="5531"/>
        <v>#ERROR!</v>
      </c>
      <c r="EF1139" s="15" t="str">
        <f t="shared" si="5531"/>
        <v>#ERROR!</v>
      </c>
      <c r="EG1139" s="15" t="str">
        <f t="shared" si="5531"/>
        <v>#ERROR!</v>
      </c>
      <c r="EH1139" s="24" t="str">
        <f t="shared" si="5531"/>
        <v>#ERROR!</v>
      </c>
      <c r="EI1139" s="82" t="str">
        <f t="shared" si="5531"/>
        <v>#ERROR!</v>
      </c>
      <c r="EJ1139" s="15" t="str">
        <f t="shared" si="5531"/>
        <v>#ERROR!</v>
      </c>
      <c r="EK1139" s="15" t="str">
        <f t="shared" si="5531"/>
        <v>#ERROR!</v>
      </c>
      <c r="EL1139" s="15" t="str">
        <f t="shared" si="5531"/>
        <v>#ERROR!</v>
      </c>
      <c r="EM1139" s="24" t="str">
        <f t="shared" si="5531"/>
        <v>#ERROR!</v>
      </c>
      <c r="EN1139" s="15" t="str">
        <f t="shared" si="5531"/>
        <v>#ERROR!</v>
      </c>
      <c r="EO1139" s="15" t="str">
        <f t="shared" si="5531"/>
        <v>#ERROR!</v>
      </c>
      <c r="EP1139" s="15" t="str">
        <f t="shared" si="5531"/>
        <v>#ERROR!</v>
      </c>
      <c r="EQ1139" s="15" t="str">
        <f t="shared" si="5531"/>
        <v>#ERROR!</v>
      </c>
      <c r="ER1139" s="24" t="str">
        <f t="shared" si="5531"/>
        <v>#ERROR!</v>
      </c>
      <c r="ES1139" s="15" t="str">
        <f t="shared" si="5531"/>
        <v>#ERROR!</v>
      </c>
      <c r="ET1139" s="15" t="str">
        <f t="shared" si="5531"/>
        <v>#ERROR!</v>
      </c>
      <c r="EU1139" s="15" t="str">
        <f t="shared" si="5531"/>
        <v>#ERROR!</v>
      </c>
      <c r="EV1139" s="15" t="str">
        <f t="shared" si="5531"/>
        <v>#ERROR!</v>
      </c>
      <c r="EW1139" s="24" t="str">
        <f t="shared" si="5531"/>
        <v>#ERROR!</v>
      </c>
      <c r="EX1139" s="15" t="str">
        <f t="shared" si="5531"/>
        <v>#ERROR!</v>
      </c>
      <c r="EY1139" s="15" t="str">
        <f t="shared" si="5531"/>
        <v>#ERROR!</v>
      </c>
      <c r="EZ1139" s="15" t="str">
        <f t="shared" si="5531"/>
        <v>#ERROR!</v>
      </c>
      <c r="FA1139" s="15" t="str">
        <f t="shared" si="5531"/>
        <v>#ERROR!</v>
      </c>
      <c r="FB1139" s="24" t="str">
        <f t="shared" si="5531"/>
        <v>#ERROR!</v>
      </c>
      <c r="FC1139" s="15" t="str">
        <f t="shared" si="5531"/>
        <v>#ERROR!</v>
      </c>
      <c r="FD1139" s="15" t="str">
        <f t="shared" si="5531"/>
        <v>#ERROR!</v>
      </c>
      <c r="FE1139" s="15" t="str">
        <f t="shared" si="5531"/>
        <v>#ERROR!</v>
      </c>
      <c r="FF1139" s="15" t="str">
        <f t="shared" si="5531"/>
        <v>#ERROR!</v>
      </c>
      <c r="FG1139" s="24" t="str">
        <f t="shared" si="5531"/>
        <v>#ERROR!</v>
      </c>
      <c r="FH1139" s="104"/>
      <c r="FI1139" s="15"/>
      <c r="FJ1139" s="15"/>
      <c r="FK1139" s="410"/>
      <c r="FL1139" s="15"/>
    </row>
    <row r="1140" ht="12.75" hidden="1" customHeight="1" outlineLevel="1">
      <c r="A1140" s="4"/>
      <c r="B1140" s="4" t="s">
        <v>423</v>
      </c>
      <c r="C1140" s="4"/>
      <c r="D1140" s="15"/>
      <c r="E1140" s="15"/>
      <c r="F1140" s="15"/>
      <c r="G1140" s="15"/>
      <c r="H1140" s="410"/>
      <c r="I1140" s="15" t="str">
        <f t="shared" ref="I1140:FG1140" si="5532">I1134/I$1135</f>
        <v>#REF!</v>
      </c>
      <c r="J1140" s="15" t="str">
        <f t="shared" si="5532"/>
        <v>#REF!</v>
      </c>
      <c r="K1140" s="15" t="str">
        <f t="shared" si="5532"/>
        <v>#REF!</v>
      </c>
      <c r="L1140" s="15" t="str">
        <f t="shared" si="5532"/>
        <v>#REF!</v>
      </c>
      <c r="M1140" s="410" t="str">
        <f t="shared" si="5532"/>
        <v>#REF!</v>
      </c>
      <c r="N1140" s="15" t="str">
        <f t="shared" si="5532"/>
        <v>#REF!</v>
      </c>
      <c r="O1140" s="15" t="str">
        <f t="shared" si="5532"/>
        <v>#REF!</v>
      </c>
      <c r="P1140" s="15" t="str">
        <f t="shared" si="5532"/>
        <v>#REF!</v>
      </c>
      <c r="Q1140" s="15" t="str">
        <f t="shared" si="5532"/>
        <v>#REF!</v>
      </c>
      <c r="R1140" s="410" t="str">
        <f t="shared" si="5532"/>
        <v>#REF!</v>
      </c>
      <c r="S1140" s="15" t="str">
        <f t="shared" si="5532"/>
        <v>#REF!</v>
      </c>
      <c r="T1140" s="15" t="str">
        <f t="shared" si="5532"/>
        <v>#REF!</v>
      </c>
      <c r="U1140" s="15" t="str">
        <f t="shared" si="5532"/>
        <v>#REF!</v>
      </c>
      <c r="V1140" s="15" t="str">
        <f t="shared" si="5532"/>
        <v>#REF!</v>
      </c>
      <c r="W1140" s="410" t="str">
        <f t="shared" si="5532"/>
        <v>#REF!</v>
      </c>
      <c r="X1140" s="15" t="str">
        <f t="shared" si="5532"/>
        <v>#REF!</v>
      </c>
      <c r="Y1140" s="15" t="str">
        <f t="shared" si="5532"/>
        <v>#REF!</v>
      </c>
      <c r="Z1140" s="15" t="str">
        <f t="shared" si="5532"/>
        <v>#REF!</v>
      </c>
      <c r="AA1140" s="15" t="str">
        <f t="shared" si="5532"/>
        <v>#REF!</v>
      </c>
      <c r="AB1140" s="410" t="str">
        <f t="shared" si="5532"/>
        <v>#REF!</v>
      </c>
      <c r="AC1140" s="15" t="str">
        <f t="shared" si="5532"/>
        <v>#REF!</v>
      </c>
      <c r="AD1140" s="15" t="str">
        <f t="shared" si="5532"/>
        <v>#REF!</v>
      </c>
      <c r="AE1140" s="15" t="str">
        <f t="shared" si="5532"/>
        <v>#REF!</v>
      </c>
      <c r="AF1140" s="15" t="str">
        <f t="shared" si="5532"/>
        <v>#REF!</v>
      </c>
      <c r="AG1140" s="410" t="str">
        <f t="shared" si="5532"/>
        <v>#REF!</v>
      </c>
      <c r="AH1140" s="15" t="str">
        <f t="shared" si="5532"/>
        <v>#REF!</v>
      </c>
      <c r="AI1140" s="15" t="str">
        <f t="shared" si="5532"/>
        <v>#REF!</v>
      </c>
      <c r="AJ1140" s="15" t="str">
        <f t="shared" si="5532"/>
        <v>#REF!</v>
      </c>
      <c r="AK1140" s="15" t="str">
        <f t="shared" si="5532"/>
        <v>#REF!</v>
      </c>
      <c r="AL1140" s="410" t="str">
        <f t="shared" si="5532"/>
        <v>#REF!</v>
      </c>
      <c r="AM1140" s="15" t="str">
        <f t="shared" si="5532"/>
        <v>#REF!</v>
      </c>
      <c r="AN1140" s="15" t="str">
        <f t="shared" si="5532"/>
        <v>#REF!</v>
      </c>
      <c r="AO1140" s="15" t="str">
        <f t="shared" si="5532"/>
        <v>#REF!</v>
      </c>
      <c r="AP1140" s="15" t="str">
        <f t="shared" si="5532"/>
        <v>#REF!</v>
      </c>
      <c r="AQ1140" s="410" t="str">
        <f t="shared" si="5532"/>
        <v>#REF!</v>
      </c>
      <c r="AR1140" s="15" t="str">
        <f t="shared" si="5532"/>
        <v>#REF!</v>
      </c>
      <c r="AS1140" s="15" t="str">
        <f t="shared" si="5532"/>
        <v>#REF!</v>
      </c>
      <c r="AT1140" s="15" t="str">
        <f t="shared" si="5532"/>
        <v>#REF!</v>
      </c>
      <c r="AU1140" s="15" t="str">
        <f t="shared" si="5532"/>
        <v>#REF!</v>
      </c>
      <c r="AV1140" s="410" t="str">
        <f t="shared" si="5532"/>
        <v>#REF!</v>
      </c>
      <c r="AW1140" s="15" t="str">
        <f t="shared" si="5532"/>
        <v>#REF!</v>
      </c>
      <c r="AX1140" s="15" t="str">
        <f t="shared" si="5532"/>
        <v>#REF!</v>
      </c>
      <c r="AY1140" s="15" t="str">
        <f t="shared" si="5532"/>
        <v>#REF!</v>
      </c>
      <c r="AZ1140" s="15" t="str">
        <f t="shared" si="5532"/>
        <v>#REF!</v>
      </c>
      <c r="BA1140" s="410" t="str">
        <f t="shared" si="5532"/>
        <v>#REF!</v>
      </c>
      <c r="BB1140" s="15" t="str">
        <f t="shared" si="5532"/>
        <v>#REF!</v>
      </c>
      <c r="BC1140" s="15" t="str">
        <f t="shared" si="5532"/>
        <v>#REF!</v>
      </c>
      <c r="BD1140" s="15" t="str">
        <f t="shared" si="5532"/>
        <v>#REF!</v>
      </c>
      <c r="BE1140" s="15" t="str">
        <f t="shared" si="5532"/>
        <v>#REF!</v>
      </c>
      <c r="BF1140" s="410" t="str">
        <f t="shared" si="5532"/>
        <v>#REF!</v>
      </c>
      <c r="BG1140" s="15" t="str">
        <f t="shared" si="5532"/>
        <v>#REF!</v>
      </c>
      <c r="BH1140" s="15" t="str">
        <f t="shared" si="5532"/>
        <v>#REF!</v>
      </c>
      <c r="BI1140" s="15" t="str">
        <f t="shared" si="5532"/>
        <v>#REF!</v>
      </c>
      <c r="BJ1140" s="15" t="str">
        <f t="shared" si="5532"/>
        <v>#REF!</v>
      </c>
      <c r="BK1140" s="410" t="str">
        <f t="shared" si="5532"/>
        <v>#REF!</v>
      </c>
      <c r="BL1140" s="15" t="str">
        <f t="shared" si="5532"/>
        <v>#REF!</v>
      </c>
      <c r="BM1140" s="15" t="str">
        <f t="shared" si="5532"/>
        <v>#REF!</v>
      </c>
      <c r="BN1140" s="15" t="str">
        <f t="shared" si="5532"/>
        <v>#REF!</v>
      </c>
      <c r="BO1140" s="15" t="str">
        <f t="shared" si="5532"/>
        <v>#REF!</v>
      </c>
      <c r="BP1140" s="410" t="str">
        <f t="shared" si="5532"/>
        <v>#REF!</v>
      </c>
      <c r="BQ1140" s="15" t="str">
        <f t="shared" si="5532"/>
        <v>#REF!</v>
      </c>
      <c r="BR1140" s="15" t="str">
        <f t="shared" si="5532"/>
        <v>#REF!</v>
      </c>
      <c r="BS1140" s="15" t="str">
        <f t="shared" si="5532"/>
        <v>#REF!</v>
      </c>
      <c r="BT1140" s="15" t="str">
        <f t="shared" si="5532"/>
        <v>#REF!</v>
      </c>
      <c r="BU1140" s="410" t="str">
        <f t="shared" si="5532"/>
        <v>#REF!</v>
      </c>
      <c r="BV1140" s="15" t="str">
        <f t="shared" si="5532"/>
        <v>#REF!</v>
      </c>
      <c r="BW1140" s="15" t="str">
        <f t="shared" si="5532"/>
        <v>#REF!</v>
      </c>
      <c r="BX1140" s="15" t="str">
        <f t="shared" si="5532"/>
        <v>#REF!</v>
      </c>
      <c r="BY1140" s="15" t="str">
        <f t="shared" si="5532"/>
        <v>#REF!</v>
      </c>
      <c r="BZ1140" s="24" t="str">
        <f t="shared" si="5532"/>
        <v>#REF!</v>
      </c>
      <c r="CA1140" s="15" t="str">
        <f t="shared" si="5532"/>
        <v>#REF!</v>
      </c>
      <c r="CB1140" s="15" t="str">
        <f t="shared" si="5532"/>
        <v>#REF!</v>
      </c>
      <c r="CC1140" s="15" t="str">
        <f t="shared" si="5532"/>
        <v>#REF!</v>
      </c>
      <c r="CD1140" s="15" t="str">
        <f t="shared" si="5532"/>
        <v>#REF!</v>
      </c>
      <c r="CE1140" s="24" t="str">
        <f t="shared" si="5532"/>
        <v>#REF!</v>
      </c>
      <c r="CF1140" s="15" t="str">
        <f t="shared" si="5532"/>
        <v>#REF!</v>
      </c>
      <c r="CG1140" s="15" t="str">
        <f t="shared" si="5532"/>
        <v>#REF!</v>
      </c>
      <c r="CH1140" s="15" t="str">
        <f t="shared" si="5532"/>
        <v>#REF!</v>
      </c>
      <c r="CI1140" s="15" t="str">
        <f t="shared" si="5532"/>
        <v>#REF!</v>
      </c>
      <c r="CJ1140" s="24" t="str">
        <f t="shared" si="5532"/>
        <v>#REF!</v>
      </c>
      <c r="CK1140" s="15" t="str">
        <f t="shared" si="5532"/>
        <v>#REF!</v>
      </c>
      <c r="CL1140" s="15" t="str">
        <f t="shared" si="5532"/>
        <v>#REF!</v>
      </c>
      <c r="CM1140" s="15" t="str">
        <f t="shared" si="5532"/>
        <v>#REF!</v>
      </c>
      <c r="CN1140" s="40" t="str">
        <f t="shared" si="5532"/>
        <v>#REF!</v>
      </c>
      <c r="CO1140" s="24" t="str">
        <f t="shared" si="5532"/>
        <v>#REF!</v>
      </c>
      <c r="CP1140" s="40" t="str">
        <f t="shared" si="5532"/>
        <v>#REF!</v>
      </c>
      <c r="CQ1140" s="15" t="str">
        <f t="shared" si="5532"/>
        <v>#REF!</v>
      </c>
      <c r="CR1140" s="15" t="str">
        <f t="shared" si="5532"/>
        <v>#REF!</v>
      </c>
      <c r="CS1140" s="15" t="str">
        <f t="shared" si="5532"/>
        <v>#REF!</v>
      </c>
      <c r="CT1140" s="24" t="str">
        <f t="shared" si="5532"/>
        <v>#REF!</v>
      </c>
      <c r="CU1140" s="15" t="str">
        <f t="shared" si="5532"/>
        <v>#REF!</v>
      </c>
      <c r="CV1140" s="15" t="str">
        <f t="shared" si="5532"/>
        <v>#REF!</v>
      </c>
      <c r="CW1140" s="15" t="str">
        <f t="shared" si="5532"/>
        <v>#REF!</v>
      </c>
      <c r="CX1140" s="15" t="str">
        <f t="shared" si="5532"/>
        <v>#REF!</v>
      </c>
      <c r="CY1140" s="24" t="str">
        <f t="shared" si="5532"/>
        <v>#REF!</v>
      </c>
      <c r="CZ1140" s="15" t="str">
        <f t="shared" si="5532"/>
        <v>#REF!</v>
      </c>
      <c r="DA1140" s="15" t="str">
        <f t="shared" si="5532"/>
        <v>#REF!</v>
      </c>
      <c r="DB1140" s="15" t="str">
        <f t="shared" si="5532"/>
        <v>#REF!</v>
      </c>
      <c r="DC1140" s="15" t="str">
        <f t="shared" si="5532"/>
        <v>#REF!</v>
      </c>
      <c r="DD1140" s="24" t="str">
        <f t="shared" si="5532"/>
        <v>#REF!</v>
      </c>
      <c r="DE1140" s="15" t="str">
        <f t="shared" si="5532"/>
        <v>#REF!</v>
      </c>
      <c r="DF1140" s="15" t="str">
        <f t="shared" si="5532"/>
        <v>#REF!</v>
      </c>
      <c r="DG1140" s="40" t="str">
        <f t="shared" si="5532"/>
        <v>#REF!</v>
      </c>
      <c r="DH1140" s="15" t="str">
        <f t="shared" si="5532"/>
        <v>#REF!</v>
      </c>
      <c r="DI1140" s="24" t="str">
        <f t="shared" si="5532"/>
        <v>#REF!</v>
      </c>
      <c r="DJ1140" s="40" t="str">
        <f t="shared" si="5532"/>
        <v>#REF!</v>
      </c>
      <c r="DK1140" s="40" t="str">
        <f t="shared" si="5532"/>
        <v>#REF!</v>
      </c>
      <c r="DL1140" s="40" t="str">
        <f t="shared" si="5532"/>
        <v>#REF!</v>
      </c>
      <c r="DM1140" s="15" t="str">
        <f t="shared" si="5532"/>
        <v>#REF!</v>
      </c>
      <c r="DN1140" s="24" t="str">
        <f t="shared" si="5532"/>
        <v>#REF!</v>
      </c>
      <c r="DO1140" s="15" t="str">
        <f t="shared" si="5532"/>
        <v>#REF!</v>
      </c>
      <c r="DP1140" s="15" t="str">
        <f t="shared" si="5532"/>
        <v>#REF!</v>
      </c>
      <c r="DQ1140" s="15" t="str">
        <f t="shared" si="5532"/>
        <v>#REF!</v>
      </c>
      <c r="DR1140" s="15" t="str">
        <f t="shared" si="5532"/>
        <v>#REF!</v>
      </c>
      <c r="DS1140" s="24" t="str">
        <f t="shared" si="5532"/>
        <v>#REF!</v>
      </c>
      <c r="DT1140" s="15" t="str">
        <f t="shared" si="5532"/>
        <v>#REF!</v>
      </c>
      <c r="DU1140" s="15" t="str">
        <f t="shared" si="5532"/>
        <v>#REF!</v>
      </c>
      <c r="DV1140" s="15" t="str">
        <f t="shared" si="5532"/>
        <v>#REF!</v>
      </c>
      <c r="DW1140" s="15" t="str">
        <f t="shared" si="5532"/>
        <v>#REF!</v>
      </c>
      <c r="DX1140" s="24" t="str">
        <f t="shared" si="5532"/>
        <v>#REF!</v>
      </c>
      <c r="DY1140" s="15" t="str">
        <f t="shared" si="5532"/>
        <v>#REF!</v>
      </c>
      <c r="DZ1140" s="15" t="str">
        <f t="shared" si="5532"/>
        <v>#REF!</v>
      </c>
      <c r="EA1140" s="15" t="str">
        <f t="shared" si="5532"/>
        <v>#REF!</v>
      </c>
      <c r="EB1140" s="15" t="str">
        <f t="shared" si="5532"/>
        <v>#REF!</v>
      </c>
      <c r="EC1140" s="24" t="str">
        <f t="shared" si="5532"/>
        <v>#REF!</v>
      </c>
      <c r="ED1140" s="15" t="str">
        <f t="shared" si="5532"/>
        <v>#REF!</v>
      </c>
      <c r="EE1140" s="15" t="str">
        <f t="shared" si="5532"/>
        <v>#REF!</v>
      </c>
      <c r="EF1140" s="15" t="str">
        <f t="shared" si="5532"/>
        <v>#REF!</v>
      </c>
      <c r="EG1140" s="15" t="str">
        <f t="shared" si="5532"/>
        <v>#REF!</v>
      </c>
      <c r="EH1140" s="24" t="str">
        <f t="shared" si="5532"/>
        <v>#REF!</v>
      </c>
      <c r="EI1140" s="82" t="str">
        <f t="shared" si="5532"/>
        <v>#REF!</v>
      </c>
      <c r="EJ1140" s="15" t="str">
        <f t="shared" si="5532"/>
        <v>#REF!</v>
      </c>
      <c r="EK1140" s="15" t="str">
        <f t="shared" si="5532"/>
        <v>#REF!</v>
      </c>
      <c r="EL1140" s="15" t="str">
        <f t="shared" si="5532"/>
        <v>#REF!</v>
      </c>
      <c r="EM1140" s="24" t="str">
        <f t="shared" si="5532"/>
        <v>#REF!</v>
      </c>
      <c r="EN1140" s="15" t="str">
        <f t="shared" si="5532"/>
        <v>#REF!</v>
      </c>
      <c r="EO1140" s="15" t="str">
        <f t="shared" si="5532"/>
        <v>#REF!</v>
      </c>
      <c r="EP1140" s="15" t="str">
        <f t="shared" si="5532"/>
        <v>#REF!</v>
      </c>
      <c r="EQ1140" s="15" t="str">
        <f t="shared" si="5532"/>
        <v>#REF!</v>
      </c>
      <c r="ER1140" s="24" t="str">
        <f t="shared" si="5532"/>
        <v>#REF!</v>
      </c>
      <c r="ES1140" s="15" t="str">
        <f t="shared" si="5532"/>
        <v>#REF!</v>
      </c>
      <c r="ET1140" s="15" t="str">
        <f t="shared" si="5532"/>
        <v>#REF!</v>
      </c>
      <c r="EU1140" s="15" t="str">
        <f t="shared" si="5532"/>
        <v>#REF!</v>
      </c>
      <c r="EV1140" s="15" t="str">
        <f t="shared" si="5532"/>
        <v>#REF!</v>
      </c>
      <c r="EW1140" s="24" t="str">
        <f t="shared" si="5532"/>
        <v>#REF!</v>
      </c>
      <c r="EX1140" s="15" t="str">
        <f t="shared" si="5532"/>
        <v>#REF!</v>
      </c>
      <c r="EY1140" s="15" t="str">
        <f t="shared" si="5532"/>
        <v>#REF!</v>
      </c>
      <c r="EZ1140" s="15" t="str">
        <f t="shared" si="5532"/>
        <v>#REF!</v>
      </c>
      <c r="FA1140" s="15" t="str">
        <f t="shared" si="5532"/>
        <v>#REF!</v>
      </c>
      <c r="FB1140" s="24" t="str">
        <f t="shared" si="5532"/>
        <v>#REF!</v>
      </c>
      <c r="FC1140" s="15" t="str">
        <f t="shared" si="5532"/>
        <v>#REF!</v>
      </c>
      <c r="FD1140" s="15" t="str">
        <f t="shared" si="5532"/>
        <v>#REF!</v>
      </c>
      <c r="FE1140" s="15" t="str">
        <f t="shared" si="5532"/>
        <v>#REF!</v>
      </c>
      <c r="FF1140" s="15" t="str">
        <f t="shared" si="5532"/>
        <v>#REF!</v>
      </c>
      <c r="FG1140" s="24" t="str">
        <f t="shared" si="5532"/>
        <v>#REF!</v>
      </c>
      <c r="FH1140" s="104"/>
      <c r="FI1140" s="15"/>
      <c r="FJ1140" s="15"/>
      <c r="FK1140" s="410"/>
      <c r="FL1140" s="15"/>
    </row>
    <row r="1141" ht="13.5" hidden="1" customHeight="1" outlineLevel="1">
      <c r="A1141" s="4"/>
      <c r="B1141" s="529" t="s">
        <v>291</v>
      </c>
      <c r="C1141" s="529"/>
      <c r="D1141" s="596"/>
      <c r="E1141" s="596"/>
      <c r="F1141" s="596"/>
      <c r="G1141" s="596"/>
      <c r="H1141" s="596"/>
      <c r="I1141" s="596" t="str">
        <f t="shared" ref="I1141:FG1141" si="5533">I1135/I$1135</f>
        <v>#ERROR!</v>
      </c>
      <c r="J1141" s="596" t="str">
        <f t="shared" si="5533"/>
        <v>#ERROR!</v>
      </c>
      <c r="K1141" s="596" t="str">
        <f t="shared" si="5533"/>
        <v>#ERROR!</v>
      </c>
      <c r="L1141" s="596" t="str">
        <f t="shared" si="5533"/>
        <v>#ERROR!</v>
      </c>
      <c r="M1141" s="596" t="str">
        <f t="shared" si="5533"/>
        <v>#ERROR!</v>
      </c>
      <c r="N1141" s="596" t="str">
        <f t="shared" si="5533"/>
        <v>#ERROR!</v>
      </c>
      <c r="O1141" s="596" t="str">
        <f t="shared" si="5533"/>
        <v>#ERROR!</v>
      </c>
      <c r="P1141" s="596" t="str">
        <f t="shared" si="5533"/>
        <v>#ERROR!</v>
      </c>
      <c r="Q1141" s="596" t="str">
        <f t="shared" si="5533"/>
        <v>#ERROR!</v>
      </c>
      <c r="R1141" s="596" t="str">
        <f t="shared" si="5533"/>
        <v>#ERROR!</v>
      </c>
      <c r="S1141" s="596" t="str">
        <f t="shared" si="5533"/>
        <v>#ERROR!</v>
      </c>
      <c r="T1141" s="596" t="str">
        <f t="shared" si="5533"/>
        <v>#ERROR!</v>
      </c>
      <c r="U1141" s="596" t="str">
        <f t="shared" si="5533"/>
        <v>#ERROR!</v>
      </c>
      <c r="V1141" s="596" t="str">
        <f t="shared" si="5533"/>
        <v>#ERROR!</v>
      </c>
      <c r="W1141" s="596" t="str">
        <f t="shared" si="5533"/>
        <v>#ERROR!</v>
      </c>
      <c r="X1141" s="596" t="str">
        <f t="shared" si="5533"/>
        <v>#ERROR!</v>
      </c>
      <c r="Y1141" s="596" t="str">
        <f t="shared" si="5533"/>
        <v>#ERROR!</v>
      </c>
      <c r="Z1141" s="596" t="str">
        <f t="shared" si="5533"/>
        <v>#ERROR!</v>
      </c>
      <c r="AA1141" s="596" t="str">
        <f t="shared" si="5533"/>
        <v>#ERROR!</v>
      </c>
      <c r="AB1141" s="596" t="str">
        <f t="shared" si="5533"/>
        <v>#ERROR!</v>
      </c>
      <c r="AC1141" s="596" t="str">
        <f t="shared" si="5533"/>
        <v>#ERROR!</v>
      </c>
      <c r="AD1141" s="596" t="str">
        <f t="shared" si="5533"/>
        <v>#ERROR!</v>
      </c>
      <c r="AE1141" s="596" t="str">
        <f t="shared" si="5533"/>
        <v>#ERROR!</v>
      </c>
      <c r="AF1141" s="596" t="str">
        <f t="shared" si="5533"/>
        <v>#ERROR!</v>
      </c>
      <c r="AG1141" s="596" t="str">
        <f t="shared" si="5533"/>
        <v>#ERROR!</v>
      </c>
      <c r="AH1141" s="596" t="str">
        <f t="shared" si="5533"/>
        <v>#ERROR!</v>
      </c>
      <c r="AI1141" s="596" t="str">
        <f t="shared" si="5533"/>
        <v>#ERROR!</v>
      </c>
      <c r="AJ1141" s="596" t="str">
        <f t="shared" si="5533"/>
        <v>#ERROR!</v>
      </c>
      <c r="AK1141" s="596" t="str">
        <f t="shared" si="5533"/>
        <v>#ERROR!</v>
      </c>
      <c r="AL1141" s="596" t="str">
        <f t="shared" si="5533"/>
        <v>#ERROR!</v>
      </c>
      <c r="AM1141" s="596" t="str">
        <f t="shared" si="5533"/>
        <v>#ERROR!</v>
      </c>
      <c r="AN1141" s="596" t="str">
        <f t="shared" si="5533"/>
        <v>#ERROR!</v>
      </c>
      <c r="AO1141" s="596" t="str">
        <f t="shared" si="5533"/>
        <v>#ERROR!</v>
      </c>
      <c r="AP1141" s="596" t="str">
        <f t="shared" si="5533"/>
        <v>#ERROR!</v>
      </c>
      <c r="AQ1141" s="596" t="str">
        <f t="shared" si="5533"/>
        <v>#ERROR!</v>
      </c>
      <c r="AR1141" s="596" t="str">
        <f t="shared" si="5533"/>
        <v>#ERROR!</v>
      </c>
      <c r="AS1141" s="596" t="str">
        <f t="shared" si="5533"/>
        <v>#ERROR!</v>
      </c>
      <c r="AT1141" s="596" t="str">
        <f t="shared" si="5533"/>
        <v>#ERROR!</v>
      </c>
      <c r="AU1141" s="596" t="str">
        <f t="shared" si="5533"/>
        <v>#ERROR!</v>
      </c>
      <c r="AV1141" s="596" t="str">
        <f t="shared" si="5533"/>
        <v>#ERROR!</v>
      </c>
      <c r="AW1141" s="596" t="str">
        <f t="shared" si="5533"/>
        <v>#ERROR!</v>
      </c>
      <c r="AX1141" s="596" t="str">
        <f t="shared" si="5533"/>
        <v>#ERROR!</v>
      </c>
      <c r="AY1141" s="596" t="str">
        <f t="shared" si="5533"/>
        <v>#ERROR!</v>
      </c>
      <c r="AZ1141" s="596" t="str">
        <f t="shared" si="5533"/>
        <v>#ERROR!</v>
      </c>
      <c r="BA1141" s="596" t="str">
        <f t="shared" si="5533"/>
        <v>#ERROR!</v>
      </c>
      <c r="BB1141" s="596" t="str">
        <f t="shared" si="5533"/>
        <v>#ERROR!</v>
      </c>
      <c r="BC1141" s="596" t="str">
        <f t="shared" si="5533"/>
        <v>#ERROR!</v>
      </c>
      <c r="BD1141" s="596" t="str">
        <f t="shared" si="5533"/>
        <v>#ERROR!</v>
      </c>
      <c r="BE1141" s="596" t="str">
        <f t="shared" si="5533"/>
        <v>#ERROR!</v>
      </c>
      <c r="BF1141" s="596" t="str">
        <f t="shared" si="5533"/>
        <v>#ERROR!</v>
      </c>
      <c r="BG1141" s="596" t="str">
        <f t="shared" si="5533"/>
        <v>#ERROR!</v>
      </c>
      <c r="BH1141" s="596" t="str">
        <f t="shared" si="5533"/>
        <v>#ERROR!</v>
      </c>
      <c r="BI1141" s="596" t="str">
        <f t="shared" si="5533"/>
        <v>#ERROR!</v>
      </c>
      <c r="BJ1141" s="596" t="str">
        <f t="shared" si="5533"/>
        <v>#ERROR!</v>
      </c>
      <c r="BK1141" s="596" t="str">
        <f t="shared" si="5533"/>
        <v>#ERROR!</v>
      </c>
      <c r="BL1141" s="596" t="str">
        <f t="shared" si="5533"/>
        <v>#ERROR!</v>
      </c>
      <c r="BM1141" s="596" t="str">
        <f t="shared" si="5533"/>
        <v>#ERROR!</v>
      </c>
      <c r="BN1141" s="596" t="str">
        <f t="shared" si="5533"/>
        <v>#ERROR!</v>
      </c>
      <c r="BO1141" s="596" t="str">
        <f t="shared" si="5533"/>
        <v>#ERROR!</v>
      </c>
      <c r="BP1141" s="596" t="str">
        <f t="shared" si="5533"/>
        <v>#ERROR!</v>
      </c>
      <c r="BQ1141" s="596" t="str">
        <f t="shared" si="5533"/>
        <v>#ERROR!</v>
      </c>
      <c r="BR1141" s="596" t="str">
        <f t="shared" si="5533"/>
        <v>#ERROR!</v>
      </c>
      <c r="BS1141" s="596" t="str">
        <f t="shared" si="5533"/>
        <v>#ERROR!</v>
      </c>
      <c r="BT1141" s="596" t="str">
        <f t="shared" si="5533"/>
        <v>#ERROR!</v>
      </c>
      <c r="BU1141" s="596" t="str">
        <f t="shared" si="5533"/>
        <v>#ERROR!</v>
      </c>
      <c r="BV1141" s="596" t="str">
        <f t="shared" si="5533"/>
        <v>#ERROR!</v>
      </c>
      <c r="BW1141" s="596" t="str">
        <f t="shared" si="5533"/>
        <v>#ERROR!</v>
      </c>
      <c r="BX1141" s="596" t="str">
        <f t="shared" si="5533"/>
        <v>#ERROR!</v>
      </c>
      <c r="BY1141" s="596" t="str">
        <f t="shared" si="5533"/>
        <v>#ERROR!</v>
      </c>
      <c r="BZ1141" s="597" t="str">
        <f t="shared" si="5533"/>
        <v>#ERROR!</v>
      </c>
      <c r="CA1141" s="596" t="str">
        <f t="shared" si="5533"/>
        <v>#ERROR!</v>
      </c>
      <c r="CB1141" s="596" t="str">
        <f t="shared" si="5533"/>
        <v>#ERROR!</v>
      </c>
      <c r="CC1141" s="596" t="str">
        <f t="shared" si="5533"/>
        <v>#ERROR!</v>
      </c>
      <c r="CD1141" s="596" t="str">
        <f t="shared" si="5533"/>
        <v>#ERROR!</v>
      </c>
      <c r="CE1141" s="597" t="str">
        <f t="shared" si="5533"/>
        <v>#ERROR!</v>
      </c>
      <c r="CF1141" s="596" t="str">
        <f t="shared" si="5533"/>
        <v>#ERROR!</v>
      </c>
      <c r="CG1141" s="596" t="str">
        <f t="shared" si="5533"/>
        <v>#ERROR!</v>
      </c>
      <c r="CH1141" s="596" t="str">
        <f t="shared" si="5533"/>
        <v>#ERROR!</v>
      </c>
      <c r="CI1141" s="596" t="str">
        <f t="shared" si="5533"/>
        <v>#ERROR!</v>
      </c>
      <c r="CJ1141" s="597" t="str">
        <f t="shared" si="5533"/>
        <v>#ERROR!</v>
      </c>
      <c r="CK1141" s="596" t="str">
        <f t="shared" si="5533"/>
        <v>#ERROR!</v>
      </c>
      <c r="CL1141" s="596" t="str">
        <f t="shared" si="5533"/>
        <v>#ERROR!</v>
      </c>
      <c r="CM1141" s="596" t="str">
        <f t="shared" si="5533"/>
        <v>#ERROR!</v>
      </c>
      <c r="CN1141" s="595" t="str">
        <f t="shared" si="5533"/>
        <v>#ERROR!</v>
      </c>
      <c r="CO1141" s="597" t="str">
        <f t="shared" si="5533"/>
        <v>#ERROR!</v>
      </c>
      <c r="CP1141" s="595" t="str">
        <f t="shared" si="5533"/>
        <v>#ERROR!</v>
      </c>
      <c r="CQ1141" s="596" t="str">
        <f t="shared" si="5533"/>
        <v>#ERROR!</v>
      </c>
      <c r="CR1141" s="596" t="str">
        <f t="shared" si="5533"/>
        <v>#ERROR!</v>
      </c>
      <c r="CS1141" s="596" t="str">
        <f t="shared" si="5533"/>
        <v>#ERROR!</v>
      </c>
      <c r="CT1141" s="597" t="str">
        <f t="shared" si="5533"/>
        <v>#ERROR!</v>
      </c>
      <c r="CU1141" s="596" t="str">
        <f t="shared" si="5533"/>
        <v>#ERROR!</v>
      </c>
      <c r="CV1141" s="596" t="str">
        <f t="shared" si="5533"/>
        <v>#ERROR!</v>
      </c>
      <c r="CW1141" s="596" t="str">
        <f t="shared" si="5533"/>
        <v>#ERROR!</v>
      </c>
      <c r="CX1141" s="596" t="str">
        <f t="shared" si="5533"/>
        <v>#ERROR!</v>
      </c>
      <c r="CY1141" s="597" t="str">
        <f t="shared" si="5533"/>
        <v>#ERROR!</v>
      </c>
      <c r="CZ1141" s="596" t="str">
        <f t="shared" si="5533"/>
        <v>#ERROR!</v>
      </c>
      <c r="DA1141" s="596" t="str">
        <f t="shared" si="5533"/>
        <v>#ERROR!</v>
      </c>
      <c r="DB1141" s="596" t="str">
        <f t="shared" si="5533"/>
        <v>#ERROR!</v>
      </c>
      <c r="DC1141" s="596" t="str">
        <f t="shared" si="5533"/>
        <v>#ERROR!</v>
      </c>
      <c r="DD1141" s="597" t="str">
        <f t="shared" si="5533"/>
        <v>#ERROR!</v>
      </c>
      <c r="DE1141" s="596" t="str">
        <f t="shared" si="5533"/>
        <v>#ERROR!</v>
      </c>
      <c r="DF1141" s="596" t="str">
        <f t="shared" si="5533"/>
        <v>#ERROR!</v>
      </c>
      <c r="DG1141" s="104" t="str">
        <f t="shared" si="5533"/>
        <v>#ERROR!</v>
      </c>
      <c r="DH1141" s="596" t="str">
        <f t="shared" si="5533"/>
        <v>#ERROR!</v>
      </c>
      <c r="DI1141" s="597" t="str">
        <f t="shared" si="5533"/>
        <v>#ERROR!</v>
      </c>
      <c r="DJ1141" s="595" t="str">
        <f t="shared" si="5533"/>
        <v>#ERROR!</v>
      </c>
      <c r="DK1141" s="595" t="str">
        <f t="shared" si="5533"/>
        <v>#ERROR!</v>
      </c>
      <c r="DL1141" s="595" t="str">
        <f t="shared" si="5533"/>
        <v>#ERROR!</v>
      </c>
      <c r="DM1141" s="596" t="str">
        <f t="shared" si="5533"/>
        <v>#ERROR!</v>
      </c>
      <c r="DN1141" s="597" t="str">
        <f t="shared" si="5533"/>
        <v>#ERROR!</v>
      </c>
      <c r="DO1141" s="596" t="str">
        <f t="shared" si="5533"/>
        <v>#ERROR!</v>
      </c>
      <c r="DP1141" s="596" t="str">
        <f t="shared" si="5533"/>
        <v>#ERROR!</v>
      </c>
      <c r="DQ1141" s="596" t="str">
        <f t="shared" si="5533"/>
        <v>#ERROR!</v>
      </c>
      <c r="DR1141" s="596" t="str">
        <f t="shared" si="5533"/>
        <v>#ERROR!</v>
      </c>
      <c r="DS1141" s="597" t="str">
        <f t="shared" si="5533"/>
        <v>#ERROR!</v>
      </c>
      <c r="DT1141" s="596" t="str">
        <f t="shared" si="5533"/>
        <v>#ERROR!</v>
      </c>
      <c r="DU1141" s="596" t="str">
        <f t="shared" si="5533"/>
        <v>#ERROR!</v>
      </c>
      <c r="DV1141" s="596" t="str">
        <f t="shared" si="5533"/>
        <v>#ERROR!</v>
      </c>
      <c r="DW1141" s="596" t="str">
        <f t="shared" si="5533"/>
        <v>#ERROR!</v>
      </c>
      <c r="DX1141" s="597" t="str">
        <f t="shared" si="5533"/>
        <v>#ERROR!</v>
      </c>
      <c r="DY1141" s="596" t="str">
        <f t="shared" si="5533"/>
        <v>#ERROR!</v>
      </c>
      <c r="DZ1141" s="596" t="str">
        <f t="shared" si="5533"/>
        <v>#ERROR!</v>
      </c>
      <c r="EA1141" s="596" t="str">
        <f t="shared" si="5533"/>
        <v>#ERROR!</v>
      </c>
      <c r="EB1141" s="596" t="str">
        <f t="shared" si="5533"/>
        <v>#ERROR!</v>
      </c>
      <c r="EC1141" s="597" t="str">
        <f t="shared" si="5533"/>
        <v>#ERROR!</v>
      </c>
      <c r="ED1141" s="596" t="str">
        <f t="shared" si="5533"/>
        <v>#ERROR!</v>
      </c>
      <c r="EE1141" s="596" t="str">
        <f t="shared" si="5533"/>
        <v>#ERROR!</v>
      </c>
      <c r="EF1141" s="596" t="str">
        <f t="shared" si="5533"/>
        <v>#ERROR!</v>
      </c>
      <c r="EG1141" s="596" t="str">
        <f t="shared" si="5533"/>
        <v>#ERROR!</v>
      </c>
      <c r="EH1141" s="597" t="str">
        <f t="shared" si="5533"/>
        <v>#ERROR!</v>
      </c>
      <c r="EI1141" s="598" t="str">
        <f t="shared" si="5533"/>
        <v>#ERROR!</v>
      </c>
      <c r="EJ1141" s="596" t="str">
        <f t="shared" si="5533"/>
        <v>#ERROR!</v>
      </c>
      <c r="EK1141" s="596" t="str">
        <f t="shared" si="5533"/>
        <v>#ERROR!</v>
      </c>
      <c r="EL1141" s="596" t="str">
        <f t="shared" si="5533"/>
        <v>#ERROR!</v>
      </c>
      <c r="EM1141" s="597" t="str">
        <f t="shared" si="5533"/>
        <v>#ERROR!</v>
      </c>
      <c r="EN1141" s="596" t="str">
        <f t="shared" si="5533"/>
        <v>#ERROR!</v>
      </c>
      <c r="EO1141" s="596" t="str">
        <f t="shared" si="5533"/>
        <v>#ERROR!</v>
      </c>
      <c r="EP1141" s="596" t="str">
        <f t="shared" si="5533"/>
        <v>#ERROR!</v>
      </c>
      <c r="EQ1141" s="596" t="str">
        <f t="shared" si="5533"/>
        <v>#ERROR!</v>
      </c>
      <c r="ER1141" s="597" t="str">
        <f t="shared" si="5533"/>
        <v>#ERROR!</v>
      </c>
      <c r="ES1141" s="596" t="str">
        <f t="shared" si="5533"/>
        <v>#ERROR!</v>
      </c>
      <c r="ET1141" s="596" t="str">
        <f t="shared" si="5533"/>
        <v>#ERROR!</v>
      </c>
      <c r="EU1141" s="596" t="str">
        <f t="shared" si="5533"/>
        <v>#ERROR!</v>
      </c>
      <c r="EV1141" s="596" t="str">
        <f t="shared" si="5533"/>
        <v>#ERROR!</v>
      </c>
      <c r="EW1141" s="597" t="str">
        <f t="shared" si="5533"/>
        <v>#ERROR!</v>
      </c>
      <c r="EX1141" s="596" t="str">
        <f t="shared" si="5533"/>
        <v>#ERROR!</v>
      </c>
      <c r="EY1141" s="596" t="str">
        <f t="shared" si="5533"/>
        <v>#ERROR!</v>
      </c>
      <c r="EZ1141" s="596" t="str">
        <f t="shared" si="5533"/>
        <v>#ERROR!</v>
      </c>
      <c r="FA1141" s="596" t="str">
        <f t="shared" si="5533"/>
        <v>#ERROR!</v>
      </c>
      <c r="FB1141" s="597" t="str">
        <f t="shared" si="5533"/>
        <v>#ERROR!</v>
      </c>
      <c r="FC1141" s="596" t="str">
        <f t="shared" si="5533"/>
        <v>#ERROR!</v>
      </c>
      <c r="FD1141" s="596" t="str">
        <f t="shared" si="5533"/>
        <v>#ERROR!</v>
      </c>
      <c r="FE1141" s="596" t="str">
        <f t="shared" si="5533"/>
        <v>#ERROR!</v>
      </c>
      <c r="FF1141" s="596" t="str">
        <f t="shared" si="5533"/>
        <v>#ERROR!</v>
      </c>
      <c r="FG1141" s="597" t="str">
        <f t="shared" si="5533"/>
        <v>#ERROR!</v>
      </c>
      <c r="FH1141" s="595"/>
      <c r="FI1141" s="596"/>
      <c r="FJ1141" s="596"/>
      <c r="FK1141" s="596"/>
      <c r="FL1141" s="596"/>
    </row>
    <row r="1142" ht="12.75" hidden="1" customHeight="1" outlineLevel="1">
      <c r="A1142" s="4"/>
      <c r="B1142" s="4"/>
      <c r="C1142" s="4"/>
      <c r="D1142" s="4"/>
      <c r="E1142" s="4"/>
      <c r="F1142" s="4"/>
      <c r="G1142" s="4"/>
      <c r="H1142" s="45"/>
      <c r="I1142" s="4"/>
      <c r="J1142" s="4"/>
      <c r="K1142" s="4"/>
      <c r="L1142" s="4"/>
      <c r="M1142" s="45"/>
      <c r="N1142" s="4"/>
      <c r="O1142" s="4"/>
      <c r="P1142" s="4"/>
      <c r="Q1142" s="4"/>
      <c r="R1142" s="45"/>
      <c r="S1142" s="4"/>
      <c r="T1142" s="4"/>
      <c r="U1142" s="4"/>
      <c r="V1142" s="4"/>
      <c r="W1142" s="45"/>
      <c r="X1142" s="4"/>
      <c r="Y1142" s="4"/>
      <c r="Z1142" s="4"/>
      <c r="AA1142" s="4"/>
      <c r="AB1142" s="45"/>
      <c r="AC1142" s="4"/>
      <c r="AD1142" s="4"/>
      <c r="AE1142" s="4"/>
      <c r="AF1142" s="4"/>
      <c r="AG1142" s="45"/>
      <c r="AH1142" s="4"/>
      <c r="AI1142" s="4"/>
      <c r="AJ1142" s="4"/>
      <c r="AK1142" s="4"/>
      <c r="AL1142" s="45"/>
      <c r="AM1142" s="4"/>
      <c r="AN1142" s="4"/>
      <c r="AO1142" s="4"/>
      <c r="AP1142" s="4"/>
      <c r="AQ1142" s="45"/>
      <c r="AR1142" s="4"/>
      <c r="AS1142" s="4"/>
      <c r="AT1142" s="4"/>
      <c r="AU1142" s="4"/>
      <c r="AV1142" s="45"/>
      <c r="AW1142" s="4"/>
      <c r="AX1142" s="4"/>
      <c r="AY1142" s="4"/>
      <c r="AZ1142" s="4"/>
      <c r="BA1142" s="45"/>
      <c r="BB1142" s="4"/>
      <c r="BC1142" s="4"/>
      <c r="BD1142" s="4"/>
      <c r="BE1142" s="4"/>
      <c r="BF1142" s="45"/>
      <c r="BG1142" s="4"/>
      <c r="BH1142" s="4"/>
      <c r="BI1142" s="4"/>
      <c r="BJ1142" s="4"/>
      <c r="BK1142" s="45"/>
      <c r="BL1142" s="4"/>
      <c r="BM1142" s="4"/>
      <c r="BN1142" s="4"/>
      <c r="BO1142" s="4"/>
      <c r="BP1142" s="45"/>
      <c r="BQ1142" s="4"/>
      <c r="BR1142" s="4"/>
      <c r="BS1142" s="4"/>
      <c r="BT1142" s="4"/>
      <c r="BU1142" s="45"/>
      <c r="BV1142" s="4"/>
      <c r="BW1142" s="4"/>
      <c r="BX1142" s="4"/>
      <c r="BY1142" s="4"/>
      <c r="BZ1142" s="350"/>
      <c r="CA1142" s="4"/>
      <c r="CB1142" s="4"/>
      <c r="CC1142" s="4"/>
      <c r="CD1142" s="4"/>
      <c r="CE1142" s="350"/>
      <c r="CF1142" s="4"/>
      <c r="CG1142" s="4"/>
      <c r="CH1142" s="4"/>
      <c r="CI1142" s="4"/>
      <c r="CJ1142" s="350"/>
      <c r="CK1142" s="4"/>
      <c r="CL1142" s="4"/>
      <c r="CM1142" s="4"/>
      <c r="CN1142" s="16"/>
      <c r="CO1142" s="350"/>
      <c r="CP1142" s="16"/>
      <c r="CQ1142" s="4"/>
      <c r="CR1142" s="4"/>
      <c r="CS1142" s="4"/>
      <c r="CT1142" s="350"/>
      <c r="CU1142" s="4"/>
      <c r="CV1142" s="4"/>
      <c r="CW1142" s="4"/>
      <c r="CX1142" s="4"/>
      <c r="CY1142" s="350"/>
      <c r="CZ1142" s="4"/>
      <c r="DA1142" s="4"/>
      <c r="DB1142" s="4"/>
      <c r="DC1142" s="4"/>
      <c r="DD1142" s="350"/>
      <c r="DE1142" s="4"/>
      <c r="DF1142" s="4"/>
      <c r="DG1142" s="16"/>
      <c r="DH1142" s="4"/>
      <c r="DI1142" s="350"/>
      <c r="DJ1142" s="16"/>
      <c r="DK1142" s="16"/>
      <c r="DL1142" s="16"/>
      <c r="DM1142" s="4"/>
      <c r="DN1142" s="350"/>
      <c r="DO1142" s="4"/>
      <c r="DP1142" s="4"/>
      <c r="DQ1142" s="4"/>
      <c r="DR1142" s="4"/>
      <c r="DS1142" s="350"/>
      <c r="DT1142" s="4"/>
      <c r="DU1142" s="4"/>
      <c r="DV1142" s="4"/>
      <c r="DW1142" s="4"/>
      <c r="DX1142" s="350"/>
      <c r="DY1142" s="4"/>
      <c r="DZ1142" s="4"/>
      <c r="EA1142" s="4"/>
      <c r="EB1142" s="4"/>
      <c r="EC1142" s="350"/>
      <c r="ED1142" s="4"/>
      <c r="EE1142" s="4"/>
      <c r="EF1142" s="4"/>
      <c r="EG1142" s="4"/>
      <c r="EH1142" s="350"/>
      <c r="EI1142" s="214"/>
      <c r="EJ1142" s="4"/>
      <c r="EK1142" s="4"/>
      <c r="EL1142" s="4"/>
      <c r="EM1142" s="350"/>
      <c r="EN1142" s="4"/>
      <c r="EO1142" s="4"/>
      <c r="EP1142" s="4"/>
      <c r="EQ1142" s="4"/>
      <c r="ER1142" s="350"/>
      <c r="ES1142" s="4"/>
      <c r="ET1142" s="4"/>
      <c r="EU1142" s="4"/>
      <c r="EV1142" s="4"/>
      <c r="EW1142" s="350"/>
      <c r="EX1142" s="4"/>
      <c r="EY1142" s="4"/>
      <c r="EZ1142" s="4"/>
      <c r="FA1142" s="4"/>
      <c r="FB1142" s="350"/>
      <c r="FC1142" s="4"/>
      <c r="FD1142" s="4"/>
      <c r="FE1142" s="4"/>
      <c r="FF1142" s="4"/>
      <c r="FG1142" s="350"/>
      <c r="FH1142" s="145"/>
      <c r="FI1142" s="4"/>
      <c r="FJ1142" s="4"/>
      <c r="FK1142" s="45"/>
      <c r="FL1142" s="4"/>
    </row>
    <row r="1143" ht="12.75" hidden="1" customHeight="1" outlineLevel="2">
      <c r="A1143" s="4"/>
      <c r="B1143" s="45" t="s">
        <v>424</v>
      </c>
      <c r="C1143" s="4"/>
      <c r="D1143" s="4"/>
      <c r="E1143" s="4"/>
      <c r="F1143" s="4"/>
      <c r="G1143" s="4"/>
      <c r="H1143" s="45"/>
      <c r="I1143" s="4"/>
      <c r="J1143" s="4"/>
      <c r="K1143" s="4"/>
      <c r="L1143" s="4"/>
      <c r="M1143" s="45"/>
      <c r="N1143" s="4"/>
      <c r="O1143" s="4"/>
      <c r="P1143" s="4"/>
      <c r="Q1143" s="4"/>
      <c r="R1143" s="45"/>
      <c r="S1143" s="4"/>
      <c r="T1143" s="4"/>
      <c r="U1143" s="4"/>
      <c r="V1143" s="4"/>
      <c r="W1143" s="45"/>
      <c r="X1143" s="4"/>
      <c r="Y1143" s="4"/>
      <c r="Z1143" s="4"/>
      <c r="AA1143" s="4"/>
      <c r="AB1143" s="45"/>
      <c r="AC1143" s="4"/>
      <c r="AD1143" s="4"/>
      <c r="AE1143" s="4"/>
      <c r="AF1143" s="4"/>
      <c r="AG1143" s="45"/>
      <c r="AH1143" s="4"/>
      <c r="AI1143" s="4"/>
      <c r="AJ1143" s="4"/>
      <c r="AK1143" s="4"/>
      <c r="AL1143" s="45"/>
      <c r="AM1143" s="4"/>
      <c r="AN1143" s="4"/>
      <c r="AO1143" s="4"/>
      <c r="AP1143" s="4"/>
      <c r="AQ1143" s="45"/>
      <c r="AR1143" s="4"/>
      <c r="AS1143" s="4"/>
      <c r="AT1143" s="4"/>
      <c r="AU1143" s="4"/>
      <c r="AV1143" s="45"/>
      <c r="AW1143" s="4"/>
      <c r="AX1143" s="4"/>
      <c r="AY1143" s="4"/>
      <c r="AZ1143" s="4"/>
      <c r="BA1143" s="45"/>
      <c r="BB1143" s="4"/>
      <c r="BC1143" s="4"/>
      <c r="BD1143" s="4"/>
      <c r="BE1143" s="4"/>
      <c r="BF1143" s="45"/>
      <c r="BG1143" s="4"/>
      <c r="BH1143" s="4"/>
      <c r="BI1143" s="4"/>
      <c r="BJ1143" s="4"/>
      <c r="BK1143" s="45"/>
      <c r="BL1143" s="4"/>
      <c r="BM1143" s="4"/>
      <c r="BN1143" s="4"/>
      <c r="BO1143" s="4"/>
      <c r="BP1143" s="45"/>
      <c r="BQ1143" s="4"/>
      <c r="BR1143" s="4"/>
      <c r="BS1143" s="4"/>
      <c r="BT1143" s="4"/>
      <c r="BU1143" s="45"/>
      <c r="BV1143" s="4"/>
      <c r="BW1143" s="4"/>
      <c r="BX1143" s="4"/>
      <c r="BY1143" s="4"/>
      <c r="BZ1143" s="350"/>
      <c r="CA1143" s="4"/>
      <c r="CB1143" s="4"/>
      <c r="CC1143" s="4"/>
      <c r="CD1143" s="4"/>
      <c r="CE1143" s="350"/>
      <c r="CF1143" s="4"/>
      <c r="CG1143" s="4"/>
      <c r="CH1143" s="4"/>
      <c r="CI1143" s="4"/>
      <c r="CJ1143" s="350"/>
      <c r="CK1143" s="4"/>
      <c r="CL1143" s="4"/>
      <c r="CM1143" s="4"/>
      <c r="CN1143" s="16"/>
      <c r="CO1143" s="350"/>
      <c r="CP1143" s="16"/>
      <c r="CQ1143" s="4"/>
      <c r="CR1143" s="4"/>
      <c r="CS1143" s="4"/>
      <c r="CT1143" s="350"/>
      <c r="CU1143" s="4"/>
      <c r="CV1143" s="4"/>
      <c r="CW1143" s="4"/>
      <c r="CX1143" s="4"/>
      <c r="CY1143" s="350"/>
      <c r="CZ1143" s="4"/>
      <c r="DA1143" s="4"/>
      <c r="DB1143" s="4"/>
      <c r="DC1143" s="4"/>
      <c r="DD1143" s="350"/>
      <c r="DE1143" s="4"/>
      <c r="DF1143" s="4"/>
      <c r="DG1143" s="16"/>
      <c r="DH1143" s="4"/>
      <c r="DI1143" s="350"/>
      <c r="DJ1143" s="16"/>
      <c r="DK1143" s="16"/>
      <c r="DL1143" s="16"/>
      <c r="DM1143" s="4"/>
      <c r="DN1143" s="350"/>
      <c r="DO1143" s="4"/>
      <c r="DP1143" s="4"/>
      <c r="DQ1143" s="4"/>
      <c r="DR1143" s="4"/>
      <c r="DS1143" s="350"/>
      <c r="DT1143" s="4"/>
      <c r="DU1143" s="4"/>
      <c r="DV1143" s="4"/>
      <c r="DW1143" s="4"/>
      <c r="DX1143" s="350"/>
      <c r="DY1143" s="4"/>
      <c r="DZ1143" s="4"/>
      <c r="EA1143" s="4"/>
      <c r="EB1143" s="4"/>
      <c r="EC1143" s="350"/>
      <c r="ED1143" s="4"/>
      <c r="EE1143" s="4"/>
      <c r="EF1143" s="4"/>
      <c r="EG1143" s="4"/>
      <c r="EH1143" s="350"/>
      <c r="EI1143" s="214"/>
      <c r="EJ1143" s="4"/>
      <c r="EK1143" s="4"/>
      <c r="EL1143" s="4"/>
      <c r="EM1143" s="350"/>
      <c r="EN1143" s="4"/>
      <c r="EO1143" s="4"/>
      <c r="EP1143" s="4"/>
      <c r="EQ1143" s="4"/>
      <c r="ER1143" s="350"/>
      <c r="ES1143" s="4"/>
      <c r="ET1143" s="4"/>
      <c r="EU1143" s="4"/>
      <c r="EV1143" s="4"/>
      <c r="EW1143" s="350"/>
      <c r="EX1143" s="4"/>
      <c r="EY1143" s="4"/>
      <c r="EZ1143" s="4"/>
      <c r="FA1143" s="4"/>
      <c r="FB1143" s="350"/>
      <c r="FC1143" s="4"/>
      <c r="FD1143" s="4"/>
      <c r="FE1143" s="4"/>
      <c r="FF1143" s="4"/>
      <c r="FG1143" s="350"/>
      <c r="FH1143" s="145"/>
      <c r="FI1143" s="4"/>
      <c r="FJ1143" s="4"/>
      <c r="FK1143" s="45"/>
      <c r="FL1143" s="4"/>
    </row>
    <row r="1144" ht="12.75" hidden="1" customHeight="1" outlineLevel="2">
      <c r="A1144" s="4"/>
      <c r="B1144" s="4" t="s">
        <v>425</v>
      </c>
      <c r="C1144" s="4"/>
      <c r="D1144" s="17"/>
      <c r="E1144" s="17"/>
      <c r="F1144" s="17"/>
      <c r="G1144" s="17"/>
      <c r="H1144" s="73"/>
      <c r="I1144" s="17" t="str">
        <f>INTCDTS+INTCNBS</f>
        <v>#ERROR!</v>
      </c>
      <c r="J1144" s="17" t="str">
        <f>INTCDTS+INTCNBS</f>
        <v>#ERROR!</v>
      </c>
      <c r="K1144" s="17" t="str">
        <f>INTCDTS+INTCNBS</f>
        <v>#ERROR!</v>
      </c>
      <c r="L1144" s="17" t="str">
        <f>INTCDTS+INTCNBS</f>
        <v>#ERROR!</v>
      </c>
      <c r="M1144" s="73" t="str">
        <f>INTCDTS+INTCNBS</f>
        <v>#ERROR!</v>
      </c>
      <c r="N1144" s="17" t="str">
        <f>INTCDTS+INTCNBS</f>
        <v>#ERROR!</v>
      </c>
      <c r="O1144" s="17" t="str">
        <f>INTCDTS+INTCNBS</f>
        <v>#ERROR!</v>
      </c>
      <c r="P1144" s="17" t="str">
        <f>INTCDTS+INTCNBS</f>
        <v>#ERROR!</v>
      </c>
      <c r="Q1144" s="17" t="str">
        <f>INTCDTS+INTCNBS</f>
        <v>#ERROR!</v>
      </c>
      <c r="R1144" s="73" t="str">
        <f>INTCDTS+INTCNBS</f>
        <v>#ERROR!</v>
      </c>
      <c r="S1144" s="17" t="str">
        <f>INTCDTS+INTCNBS</f>
        <v>#ERROR!</v>
      </c>
      <c r="T1144" s="17" t="str">
        <f>INTCDTS+INTCNBS</f>
        <v>#ERROR!</v>
      </c>
      <c r="U1144" s="17" t="str">
        <f>INTCDTS+INTCNBS</f>
        <v>#ERROR!</v>
      </c>
      <c r="V1144" s="17" t="str">
        <f>INTCDTS+INTCNBS</f>
        <v>#ERROR!</v>
      </c>
      <c r="W1144" s="73" t="str">
        <f>INTCDTS+INTCNBS</f>
        <v>#ERROR!</v>
      </c>
      <c r="X1144" s="17" t="str">
        <f>INTCDTS+INTCNBS</f>
        <v>#ERROR!</v>
      </c>
      <c r="Y1144" s="17" t="str">
        <f>INTCDTS+INTCNBS</f>
        <v>#ERROR!</v>
      </c>
      <c r="Z1144" s="17" t="str">
        <f>INTCDTS+INTCNBS</f>
        <v>#ERROR!</v>
      </c>
      <c r="AA1144" s="17" t="str">
        <f>INTCDTS+INTCNBS</f>
        <v>#ERROR!</v>
      </c>
      <c r="AB1144" s="73" t="str">
        <f>INTCDTS+INTCNBS</f>
        <v>#ERROR!</v>
      </c>
      <c r="AC1144" s="17" t="str">
        <f>INTCDTS+INTCNBS</f>
        <v>#ERROR!</v>
      </c>
      <c r="AD1144" s="17" t="str">
        <f>INTCDTS+INTCNBS</f>
        <v>#ERROR!</v>
      </c>
      <c r="AE1144" s="17" t="str">
        <f>INTCDTS+INTCNBS</f>
        <v>#ERROR!</v>
      </c>
      <c r="AF1144" s="17" t="str">
        <f>INTCDTS+INTCNBS</f>
        <v>#ERROR!</v>
      </c>
      <c r="AG1144" s="73" t="str">
        <f>INTCDTS+INTCNBS</f>
        <v>#ERROR!</v>
      </c>
      <c r="AH1144" s="17" t="str">
        <f>INTCDTS+INTCNBS</f>
        <v>#ERROR!</v>
      </c>
      <c r="AI1144" s="17" t="str">
        <f>INTCDTS+INTCNBS</f>
        <v>#ERROR!</v>
      </c>
      <c r="AJ1144" s="17" t="str">
        <f>INTCDTS+INTCNBS</f>
        <v>#ERROR!</v>
      </c>
      <c r="AK1144" s="17" t="str">
        <f>INTCDTS+INTCNBS</f>
        <v>#ERROR!</v>
      </c>
      <c r="AL1144" s="73" t="str">
        <f>INTCDTS+INTCNBS</f>
        <v>#ERROR!</v>
      </c>
      <c r="AM1144" s="17" t="str">
        <f>INTCDTS+INTCNBS</f>
        <v>#ERROR!</v>
      </c>
      <c r="AN1144" s="17" t="str">
        <f>INTCDTS+INTCNBS</f>
        <v>#ERROR!</v>
      </c>
      <c r="AO1144" s="17" t="str">
        <f>INTCDTS+INTCNBS</f>
        <v>#ERROR!</v>
      </c>
      <c r="AP1144" s="17" t="str">
        <f>INTCDTS+INTCNBS</f>
        <v>#ERROR!</v>
      </c>
      <c r="AQ1144" s="73" t="str">
        <f>INTCDTS+INTCNBS</f>
        <v>#ERROR!</v>
      </c>
      <c r="AR1144" s="17" t="str">
        <f>INTCDTS+INTCNBS</f>
        <v>#ERROR!</v>
      </c>
      <c r="AS1144" s="17" t="str">
        <f>INTCDTS+INTCNBS</f>
        <v>#ERROR!</v>
      </c>
      <c r="AT1144" s="17" t="str">
        <f>INTCDTS+INTCNBS</f>
        <v>#ERROR!</v>
      </c>
      <c r="AU1144" s="17" t="str">
        <f>INTCDTS+INTCNBS</f>
        <v>#ERROR!</v>
      </c>
      <c r="AV1144" s="73" t="str">
        <f>INTCDTS+INTCNBS</f>
        <v>#ERROR!</v>
      </c>
      <c r="AW1144" s="17" t="str">
        <f>INTCDTS+INTCNBS</f>
        <v>#ERROR!</v>
      </c>
      <c r="AX1144" s="17" t="str">
        <f>INTCDTS+INTCNBS</f>
        <v>#ERROR!</v>
      </c>
      <c r="AY1144" s="17" t="str">
        <f>INTCDTS+INTCNBS</f>
        <v>#ERROR!</v>
      </c>
      <c r="AZ1144" s="17" t="str">
        <f>INTCDTS+INTCNBS</f>
        <v>#ERROR!</v>
      </c>
      <c r="BA1144" s="73" t="str">
        <f>INTCDTS+INTCNBS</f>
        <v>#ERROR!</v>
      </c>
      <c r="BB1144" s="17" t="str">
        <f>INTCDTS+INTCNBS</f>
        <v>#ERROR!</v>
      </c>
      <c r="BC1144" s="17" t="str">
        <f>INTCDTS+INTCNBS</f>
        <v>#ERROR!</v>
      </c>
      <c r="BD1144" s="17" t="str">
        <f>INTCDTS+INTCNBS</f>
        <v>#ERROR!</v>
      </c>
      <c r="BE1144" s="17" t="str">
        <f>INTCDTS+INTCNBS</f>
        <v>#ERROR!</v>
      </c>
      <c r="BF1144" s="73" t="str">
        <f>INTCDTS+INTCNBS</f>
        <v>#ERROR!</v>
      </c>
      <c r="BG1144" s="17" t="str">
        <f>INTCDTS+INTCNBS</f>
        <v>#ERROR!</v>
      </c>
      <c r="BH1144" s="17" t="str">
        <f>INTCDTS+INTCNBS</f>
        <v>#ERROR!</v>
      </c>
      <c r="BI1144" s="17" t="str">
        <f>INTCDTS+INTCNBS</f>
        <v>#ERROR!</v>
      </c>
      <c r="BJ1144" s="17" t="str">
        <f>INTCDTS+INTCNBS</f>
        <v>#ERROR!</v>
      </c>
      <c r="BK1144" s="73" t="str">
        <f>INTCDTS+INTCNBS</f>
        <v>#ERROR!</v>
      </c>
      <c r="BL1144" s="17" t="str">
        <f>INTCDTS+INTCNBS</f>
        <v>#ERROR!</v>
      </c>
      <c r="BM1144" s="17" t="str">
        <f>INTCDTS+INTCNBS</f>
        <v>#ERROR!</v>
      </c>
      <c r="BN1144" s="17" t="str">
        <f>INTCDTS+INTCNBS</f>
        <v>#ERROR!</v>
      </c>
      <c r="BO1144" s="17" t="str">
        <f>INTCDTS+INTCNBS</f>
        <v>#ERROR!</v>
      </c>
      <c r="BP1144" s="73" t="str">
        <f>INTCDTS+INTCNBS</f>
        <v>#ERROR!</v>
      </c>
      <c r="BQ1144" s="17" t="str">
        <f>INTCDTS+INTCNBS</f>
        <v>#ERROR!</v>
      </c>
      <c r="BR1144" s="17" t="str">
        <f>INTCDTS+INTCNBS</f>
        <v>#ERROR!</v>
      </c>
      <c r="BS1144" s="17" t="str">
        <f>INTCDTS+INTCNBS</f>
        <v>#ERROR!</v>
      </c>
      <c r="BT1144" s="17" t="str">
        <f>INTCDTS+INTCNBS</f>
        <v>#ERROR!</v>
      </c>
      <c r="BU1144" s="73" t="str">
        <f>INTCDTS+INTCNBS</f>
        <v>#ERROR!</v>
      </c>
      <c r="BV1144" s="17" t="str">
        <f>INTCDTS+INTCNBS</f>
        <v>#ERROR!</v>
      </c>
      <c r="BW1144" s="17" t="str">
        <f>INTCDTS+INTCNBS</f>
        <v>#ERROR!</v>
      </c>
      <c r="BX1144" s="17" t="str">
        <f>INTCDTS+INTCNBS</f>
        <v>#ERROR!</v>
      </c>
      <c r="BY1144" s="17" t="str">
        <f>INTCDTS+INTCNBS</f>
        <v>#ERROR!</v>
      </c>
      <c r="BZ1144" s="18" t="str">
        <f>INTCDTS+INTCNBS</f>
        <v>#ERROR!</v>
      </c>
      <c r="CA1144" s="17" t="str">
        <f>INTCDTS+INTCNBS</f>
        <v>#ERROR!</v>
      </c>
      <c r="CB1144" s="17" t="str">
        <f>INTCDTS+INTCNBS</f>
        <v>#ERROR!</v>
      </c>
      <c r="CC1144" s="17" t="str">
        <f>INTCDTS+INTCNBS</f>
        <v>#ERROR!</v>
      </c>
      <c r="CD1144" s="17" t="str">
        <f>INTCDTS+INTCNBS</f>
        <v>#ERROR!</v>
      </c>
      <c r="CE1144" s="18" t="str">
        <f>INTCDTS+INTCNBS</f>
        <v>#ERROR!</v>
      </c>
      <c r="CF1144" s="17" t="str">
        <f>INTCDTS+INTCNBS</f>
        <v>#ERROR!</v>
      </c>
      <c r="CG1144" s="17" t="str">
        <f>INTCDTS+INTCNBS</f>
        <v>#ERROR!</v>
      </c>
      <c r="CH1144" s="17" t="str">
        <f>INTCDTS+INTCNBS</f>
        <v>#ERROR!</v>
      </c>
      <c r="CI1144" s="17" t="str">
        <f>INTCDTS+INTCNBS</f>
        <v>#ERROR!</v>
      </c>
      <c r="CJ1144" s="18" t="str">
        <f>INTCDTS+INTCNBS</f>
        <v>#ERROR!</v>
      </c>
      <c r="CK1144" s="17" t="str">
        <f>INTCDTS+INTCNBS</f>
        <v>#ERROR!</v>
      </c>
      <c r="CL1144" s="17" t="str">
        <f>INTCDTS+INTCNBS</f>
        <v>#ERROR!</v>
      </c>
      <c r="CM1144" s="17" t="str">
        <f>INTCDTS+INTCNBS</f>
        <v>#ERROR!</v>
      </c>
      <c r="CN1144" s="19" t="str">
        <f>INTCDTS+INTCNBS</f>
        <v>#ERROR!</v>
      </c>
      <c r="CO1144" s="18" t="str">
        <f>INTCDTS+INTCNBS</f>
        <v>#ERROR!</v>
      </c>
      <c r="CP1144" s="19" t="str">
        <f>INTCDTS+INTCNBS</f>
        <v>#ERROR!</v>
      </c>
      <c r="CQ1144" s="17" t="str">
        <f>INTCDTS+INTCNBS</f>
        <v>#ERROR!</v>
      </c>
      <c r="CR1144" s="17" t="str">
        <f>INTCDTS+INTCNBS</f>
        <v>#ERROR!</v>
      </c>
      <c r="CS1144" s="17" t="str">
        <f>INTCDTS+INTCNBS</f>
        <v>#ERROR!</v>
      </c>
      <c r="CT1144" s="18" t="str">
        <f>INTCDTS+INTCNBS</f>
        <v>#ERROR!</v>
      </c>
      <c r="CU1144" s="17" t="str">
        <f>INTCDTS+INTCNBS</f>
        <v>#ERROR!</v>
      </c>
      <c r="CV1144" s="17" t="str">
        <f>INTCDTS+INTCNBS</f>
        <v>#ERROR!</v>
      </c>
      <c r="CW1144" s="17" t="str">
        <f>INTCDTS+INTCNBS</f>
        <v>#ERROR!</v>
      </c>
      <c r="CX1144" s="17" t="str">
        <f>INTCDTS+INTCNBS</f>
        <v>#ERROR!</v>
      </c>
      <c r="CY1144" s="18" t="str">
        <f>INTCDTS+INTCNBS</f>
        <v>#ERROR!</v>
      </c>
      <c r="CZ1144" s="17" t="str">
        <f>INTCDTS+INTCNBS</f>
        <v>#ERROR!</v>
      </c>
      <c r="DA1144" s="17" t="str">
        <f>INTCDTS+INTCNBS</f>
        <v>#ERROR!</v>
      </c>
      <c r="DB1144" s="17" t="str">
        <f>INTCDTS+INTCNBS</f>
        <v>#ERROR!</v>
      </c>
      <c r="DC1144" s="17" t="str">
        <f>INTCDTS+INTCNBS</f>
        <v>#ERROR!</v>
      </c>
      <c r="DD1144" s="18" t="str">
        <f>INTCDTS+INTCNBS</f>
        <v>#ERROR!</v>
      </c>
      <c r="DE1144" s="17" t="str">
        <f>INTCDTS+INTCNBS</f>
        <v>#ERROR!</v>
      </c>
      <c r="DF1144" s="17" t="str">
        <f>INTCDTS+INTCNBS</f>
        <v>#ERROR!</v>
      </c>
      <c r="DG1144" s="19" t="str">
        <f>INTCDTS+INTCNBS</f>
        <v>#ERROR!</v>
      </c>
      <c r="DH1144" s="17" t="str">
        <f>INTCDTS+INTCNBS</f>
        <v>#ERROR!</v>
      </c>
      <c r="DI1144" s="18" t="str">
        <f>INTCDTS+INTCNBS</f>
        <v>#ERROR!</v>
      </c>
      <c r="DJ1144" s="19" t="str">
        <f>INTCDTS+INTCNBS</f>
        <v>#ERROR!</v>
      </c>
      <c r="DK1144" s="19" t="str">
        <f>INTCDTS+INTCNBS</f>
        <v>#ERROR!</v>
      </c>
      <c r="DL1144" s="19" t="str">
        <f>INTCDTS+INTCNBS</f>
        <v>#ERROR!</v>
      </c>
      <c r="DM1144" s="17" t="str">
        <f>INTCDTS+INTCNBS</f>
        <v>#ERROR!</v>
      </c>
      <c r="DN1144" s="18" t="str">
        <f>INTCDTS+INTCNBS</f>
        <v>#ERROR!</v>
      </c>
      <c r="DO1144" s="17" t="str">
        <f>INTCDTS+INTCNBS</f>
        <v>#ERROR!</v>
      </c>
      <c r="DP1144" s="17" t="str">
        <f>INTCDTS+INTCNBS</f>
        <v>#ERROR!</v>
      </c>
      <c r="DQ1144" s="17" t="str">
        <f>INTCDTS+INTCNBS</f>
        <v>#ERROR!</v>
      </c>
      <c r="DR1144" s="17" t="str">
        <f>INTCDTS+INTCNBS</f>
        <v>#ERROR!</v>
      </c>
      <c r="DS1144" s="18" t="str">
        <f>INTCDTS+INTCNBS</f>
        <v>#ERROR!</v>
      </c>
      <c r="DT1144" s="17" t="str">
        <f>INTCDTS+INTCNBS</f>
        <v>#ERROR!</v>
      </c>
      <c r="DU1144" s="17" t="str">
        <f>INTCDTS+INTCNBS</f>
        <v>#ERROR!</v>
      </c>
      <c r="DV1144" s="17" t="str">
        <f>INTCDTS+INTCNBS</f>
        <v>#ERROR!</v>
      </c>
      <c r="DW1144" s="17" t="str">
        <f>INTCDTS+INTCNBS</f>
        <v>#ERROR!</v>
      </c>
      <c r="DX1144" s="18" t="str">
        <f>INTCDTS+INTCNBS</f>
        <v>#ERROR!</v>
      </c>
      <c r="DY1144" s="17" t="str">
        <f>INTCDTS+INTCNBS</f>
        <v>#ERROR!</v>
      </c>
      <c r="DZ1144" s="17" t="str">
        <f>INTCDTS+INTCNBS</f>
        <v>#ERROR!</v>
      </c>
      <c r="EA1144" s="17" t="str">
        <f>INTCDTS+INTCNBS</f>
        <v>#ERROR!</v>
      </c>
      <c r="EB1144" s="17" t="str">
        <f>INTCDTS+INTCNBS</f>
        <v>#ERROR!</v>
      </c>
      <c r="EC1144" s="18" t="str">
        <f>INTCDTS+INTCNBS</f>
        <v>#ERROR!</v>
      </c>
      <c r="ED1144" s="17" t="str">
        <f>INTCDTS+INTCNBS</f>
        <v>#ERROR!</v>
      </c>
      <c r="EE1144" s="17" t="str">
        <f>INTCDTS+INTCNBS</f>
        <v>#ERROR!</v>
      </c>
      <c r="EF1144" s="17" t="str">
        <f>INTCDTS+INTCNBS</f>
        <v>#ERROR!</v>
      </c>
      <c r="EG1144" s="17" t="str">
        <f>INTCDTS+INTCNBS</f>
        <v>#ERROR!</v>
      </c>
      <c r="EH1144" s="18" t="str">
        <f>INTCDTS+INTCNBS</f>
        <v>#ERROR!</v>
      </c>
      <c r="EI1144" s="25" t="str">
        <f>INTCDTS+INTCNBS</f>
        <v>#ERROR!</v>
      </c>
      <c r="EJ1144" s="17" t="str">
        <f>INTCDTS+INTCNBS</f>
        <v>#ERROR!</v>
      </c>
      <c r="EK1144" s="17" t="str">
        <f>INTCDTS+INTCNBS</f>
        <v>#ERROR!</v>
      </c>
      <c r="EL1144" s="17" t="str">
        <f>INTCDTS+INTCNBS</f>
        <v>#ERROR!</v>
      </c>
      <c r="EM1144" s="18" t="str">
        <f>INTCDTS+INTCNBS</f>
        <v>#ERROR!</v>
      </c>
      <c r="EN1144" s="17" t="str">
        <f>INTCDTS+INTCNBS</f>
        <v>#ERROR!</v>
      </c>
      <c r="EO1144" s="17" t="str">
        <f>INTCDTS+INTCNBS</f>
        <v>#ERROR!</v>
      </c>
      <c r="EP1144" s="17" t="str">
        <f>INTCDTS+INTCNBS</f>
        <v>#ERROR!</v>
      </c>
      <c r="EQ1144" s="17" t="str">
        <f>INTCDTS+INTCNBS</f>
        <v>#ERROR!</v>
      </c>
      <c r="ER1144" s="18" t="str">
        <f>INTCDTS+INTCNBS</f>
        <v>#ERROR!</v>
      </c>
      <c r="ES1144" s="17" t="str">
        <f>INTCDTS+INTCNBS</f>
        <v>#ERROR!</v>
      </c>
      <c r="ET1144" s="17" t="str">
        <f>INTCDTS+INTCNBS</f>
        <v>#ERROR!</v>
      </c>
      <c r="EU1144" s="17" t="str">
        <f>INTCDTS+INTCNBS</f>
        <v>#ERROR!</v>
      </c>
      <c r="EV1144" s="17" t="str">
        <f>INTCDTS+INTCNBS</f>
        <v>#ERROR!</v>
      </c>
      <c r="EW1144" s="18" t="str">
        <f>INTCDTS+INTCNBS</f>
        <v>#ERROR!</v>
      </c>
      <c r="EX1144" s="17" t="str">
        <f>INTCDTS+INTCNBS</f>
        <v>#ERROR!</v>
      </c>
      <c r="EY1144" s="17" t="str">
        <f>INTCDTS+INTCNBS</f>
        <v>#ERROR!</v>
      </c>
      <c r="EZ1144" s="17" t="str">
        <f>INTCDTS+INTCNBS</f>
        <v>#ERROR!</v>
      </c>
      <c r="FA1144" s="17" t="str">
        <f>INTCDTS+INTCNBS</f>
        <v>#ERROR!</v>
      </c>
      <c r="FB1144" s="18" t="str">
        <f>INTCDTS+INTCNBS</f>
        <v>#ERROR!</v>
      </c>
      <c r="FC1144" s="17" t="str">
        <f>INTCDTS+INTCNBS</f>
        <v>#ERROR!</v>
      </c>
      <c r="FD1144" s="17" t="str">
        <f>INTCDTS+INTCNBS</f>
        <v>#ERROR!</v>
      </c>
      <c r="FE1144" s="17" t="str">
        <f>INTCDTS+INTCNBS</f>
        <v>#ERROR!</v>
      </c>
      <c r="FF1144" s="17" t="str">
        <f>INTCDTS+INTCNBS</f>
        <v>#ERROR!</v>
      </c>
      <c r="FG1144" s="18" t="str">
        <f>INTCDTS+INTCNBS</f>
        <v>#ERROR!</v>
      </c>
      <c r="FH1144" s="74"/>
      <c r="FI1144" s="17"/>
      <c r="FJ1144" s="17"/>
      <c r="FK1144" s="73"/>
      <c r="FL1144" s="17"/>
    </row>
    <row r="1145" ht="12.75" hidden="1" customHeight="1" outlineLevel="2">
      <c r="A1145" s="4"/>
      <c r="B1145" s="4" t="s">
        <v>426</v>
      </c>
      <c r="C1145" s="4"/>
      <c r="D1145" s="17"/>
      <c r="E1145" s="17"/>
      <c r="F1145" s="17"/>
      <c r="G1145" s="17"/>
      <c r="H1145" s="73"/>
      <c r="I1145" s="17" t="str">
        <f>AMDDTS+AMDNBS</f>
        <v>#REF!</v>
      </c>
      <c r="J1145" s="17" t="str">
        <f>AMDDTS+AMDNBS</f>
        <v>#REF!</v>
      </c>
      <c r="K1145" s="17" t="str">
        <f>AMDDTS+AMDNBS</f>
        <v>#REF!</v>
      </c>
      <c r="L1145" s="17" t="str">
        <f>AMDDTS+AMDNBS</f>
        <v>#REF!</v>
      </c>
      <c r="M1145" s="73" t="str">
        <f>AMDDTS+AMDNBS</f>
        <v>#REF!</v>
      </c>
      <c r="N1145" s="17" t="str">
        <f>AMDDTS+AMDNBS</f>
        <v>#REF!</v>
      </c>
      <c r="O1145" s="17" t="str">
        <f>AMDDTS+AMDNBS</f>
        <v>#REF!</v>
      </c>
      <c r="P1145" s="17" t="str">
        <f>AMDDTS+AMDNBS</f>
        <v>#REF!</v>
      </c>
      <c r="Q1145" s="17" t="str">
        <f>AMDDTS+AMDNBS</f>
        <v>#REF!</v>
      </c>
      <c r="R1145" s="73" t="str">
        <f>AMDDTS+AMDNBS</f>
        <v>#REF!</v>
      </c>
      <c r="S1145" s="17" t="str">
        <f>AMDDTS+AMDNBS</f>
        <v>#REF!</v>
      </c>
      <c r="T1145" s="17" t="str">
        <f>AMDDTS+AMDNBS</f>
        <v>#REF!</v>
      </c>
      <c r="U1145" s="17" t="str">
        <f>AMDDTS+AMDNBS</f>
        <v>#REF!</v>
      </c>
      <c r="V1145" s="17" t="str">
        <f>AMDDTS+AMDNBS</f>
        <v>#REF!</v>
      </c>
      <c r="W1145" s="73" t="str">
        <f>AMDDTS+AMDNBS</f>
        <v>#REF!</v>
      </c>
      <c r="X1145" s="17" t="str">
        <f>AMDDTS+AMDNBS</f>
        <v>#REF!</v>
      </c>
      <c r="Y1145" s="17" t="str">
        <f>AMDDTS+AMDNBS</f>
        <v>#REF!</v>
      </c>
      <c r="Z1145" s="17" t="str">
        <f>AMDDTS+AMDNBS</f>
        <v>#REF!</v>
      </c>
      <c r="AA1145" s="17" t="str">
        <f>AMDDTS+AMDNBS</f>
        <v>#REF!</v>
      </c>
      <c r="AB1145" s="73" t="str">
        <f>AMDDTS+AMDNBS</f>
        <v>#REF!</v>
      </c>
      <c r="AC1145" s="17" t="str">
        <f>AMDDTS+AMDNBS</f>
        <v>#REF!</v>
      </c>
      <c r="AD1145" s="17" t="str">
        <f>AMDDTS+AMDNBS</f>
        <v>#REF!</v>
      </c>
      <c r="AE1145" s="17" t="str">
        <f>AMDDTS+AMDNBS</f>
        <v>#REF!</v>
      </c>
      <c r="AF1145" s="17" t="str">
        <f>AMDDTS+AMDNBS</f>
        <v>#REF!</v>
      </c>
      <c r="AG1145" s="73" t="str">
        <f>AMDDTS+AMDNBS</f>
        <v>#REF!</v>
      </c>
      <c r="AH1145" s="17" t="str">
        <f>AMDDTS+AMDNBS</f>
        <v>#REF!</v>
      </c>
      <c r="AI1145" s="17" t="str">
        <f>AMDDTS+AMDNBS</f>
        <v>#REF!</v>
      </c>
      <c r="AJ1145" s="17" t="str">
        <f>AMDDTS+AMDNBS</f>
        <v>#REF!</v>
      </c>
      <c r="AK1145" s="17" t="str">
        <f>AMDDTS+AMDNBS</f>
        <v>#REF!</v>
      </c>
      <c r="AL1145" s="73" t="str">
        <f>AMDDTS+AMDNBS</f>
        <v>#REF!</v>
      </c>
      <c r="AM1145" s="17" t="str">
        <f>AMDDTS+AMDNBS</f>
        <v>#REF!</v>
      </c>
      <c r="AN1145" s="17" t="str">
        <f>AMDDTS+AMDNBS</f>
        <v>#REF!</v>
      </c>
      <c r="AO1145" s="17" t="str">
        <f>AMDDTS+AMDNBS</f>
        <v>#REF!</v>
      </c>
      <c r="AP1145" s="17" t="str">
        <f>AMDDTS+AMDNBS</f>
        <v>#REF!</v>
      </c>
      <c r="AQ1145" s="73" t="str">
        <f>AMDDTS+AMDNBS</f>
        <v>#REF!</v>
      </c>
      <c r="AR1145" s="17" t="str">
        <f>AMDDTS+AMDNBS</f>
        <v>#REF!</v>
      </c>
      <c r="AS1145" s="17" t="str">
        <f>AMDDTS+AMDNBS</f>
        <v>#REF!</v>
      </c>
      <c r="AT1145" s="17" t="str">
        <f>AMDDTS+AMDNBS</f>
        <v>#REF!</v>
      </c>
      <c r="AU1145" s="17" t="str">
        <f>AMDDTS+AMDNBS</f>
        <v>#REF!</v>
      </c>
      <c r="AV1145" s="73" t="str">
        <f>AMDDTS+AMDNBS</f>
        <v>#REF!</v>
      </c>
      <c r="AW1145" s="17" t="str">
        <f>AMDDTS+AMDNBS</f>
        <v>#REF!</v>
      </c>
      <c r="AX1145" s="17" t="str">
        <f>AMDDTS+AMDNBS</f>
        <v>#REF!</v>
      </c>
      <c r="AY1145" s="17" t="str">
        <f>AMDDTS+AMDNBS</f>
        <v>#REF!</v>
      </c>
      <c r="AZ1145" s="17" t="str">
        <f>AMDDTS+AMDNBS</f>
        <v>#REF!</v>
      </c>
      <c r="BA1145" s="73" t="str">
        <f>AMDDTS+AMDNBS</f>
        <v>#REF!</v>
      </c>
      <c r="BB1145" s="17" t="str">
        <f>AMDDTS+AMDNBS</f>
        <v>#REF!</v>
      </c>
      <c r="BC1145" s="17" t="str">
        <f>AMDDTS+AMDNBS</f>
        <v>#REF!</v>
      </c>
      <c r="BD1145" s="17" t="str">
        <f>AMDDTS+AMDNBS</f>
        <v>#REF!</v>
      </c>
      <c r="BE1145" s="17" t="str">
        <f>AMDDTS+AMDNBS</f>
        <v>#REF!</v>
      </c>
      <c r="BF1145" s="73" t="str">
        <f>AMDDTS+AMDNBS</f>
        <v>#REF!</v>
      </c>
      <c r="BG1145" s="17" t="str">
        <f>AMDDTS+AMDNBS</f>
        <v>#REF!</v>
      </c>
      <c r="BH1145" s="17" t="str">
        <f>AMDDTS+AMDNBS</f>
        <v>#REF!</v>
      </c>
      <c r="BI1145" s="17" t="str">
        <f>AMDDTS+AMDNBS</f>
        <v>#REF!</v>
      </c>
      <c r="BJ1145" s="17" t="str">
        <f>AMDDTS+AMDNBS</f>
        <v>#REF!</v>
      </c>
      <c r="BK1145" s="73" t="str">
        <f>AMDDTS+AMDNBS</f>
        <v>#REF!</v>
      </c>
      <c r="BL1145" s="17" t="str">
        <f>AMDDTS+AMDNBS</f>
        <v>#REF!</v>
      </c>
      <c r="BM1145" s="17" t="str">
        <f>AMDDTS+AMDNBS</f>
        <v>#REF!</v>
      </c>
      <c r="BN1145" s="17" t="str">
        <f>AMDDTS+AMDNBS</f>
        <v>#REF!</v>
      </c>
      <c r="BO1145" s="17" t="str">
        <f>AMDDTS+AMDNBS</f>
        <v>#REF!</v>
      </c>
      <c r="BP1145" s="73" t="str">
        <f>AMDDTS+AMDNBS</f>
        <v>#REF!</v>
      </c>
      <c r="BQ1145" s="17" t="str">
        <f>AMDDTS+AMDNBS</f>
        <v>#REF!</v>
      </c>
      <c r="BR1145" s="17" t="str">
        <f>AMDDTS+AMDNBS</f>
        <v>#REF!</v>
      </c>
      <c r="BS1145" s="17" t="str">
        <f>AMDDTS+AMDNBS</f>
        <v>#REF!</v>
      </c>
      <c r="BT1145" s="17" t="str">
        <f>AMDDTS+AMDNBS</f>
        <v>#REF!</v>
      </c>
      <c r="BU1145" s="73" t="str">
        <f>AMDDTS+AMDNBS</f>
        <v>#REF!</v>
      </c>
      <c r="BV1145" s="17" t="str">
        <f>AMDDTS+AMDNBS</f>
        <v>#REF!</v>
      </c>
      <c r="BW1145" s="17" t="str">
        <f>AMDDTS+AMDNBS</f>
        <v>#REF!</v>
      </c>
      <c r="BX1145" s="17" t="str">
        <f>AMDDTS+AMDNBS</f>
        <v>#REF!</v>
      </c>
      <c r="BY1145" s="17" t="str">
        <f>AMDDTS+AMDNBS</f>
        <v>#REF!</v>
      </c>
      <c r="BZ1145" s="18" t="str">
        <f>AMDDTS+AMDNBS</f>
        <v>#REF!</v>
      </c>
      <c r="CA1145" s="17" t="str">
        <f>AMDDTS+AMDNBS</f>
        <v>#REF!</v>
      </c>
      <c r="CB1145" s="17" t="str">
        <f>AMDDTS+AMDNBS</f>
        <v>#REF!</v>
      </c>
      <c r="CC1145" s="17" t="str">
        <f>AMDDTS+AMDNBS</f>
        <v>#REF!</v>
      </c>
      <c r="CD1145" s="17" t="str">
        <f>AMDDTS+AMDNBS</f>
        <v>#REF!</v>
      </c>
      <c r="CE1145" s="18" t="str">
        <f>AMDDTS+AMDNBS</f>
        <v>#REF!</v>
      </c>
      <c r="CF1145" s="17" t="str">
        <f>AMDDTS+AMDNBS</f>
        <v>#REF!</v>
      </c>
      <c r="CG1145" s="17" t="str">
        <f>AMDDTS+AMDNBS</f>
        <v>#REF!</v>
      </c>
      <c r="CH1145" s="17" t="str">
        <f>AMDDTS+AMDNBS</f>
        <v>#REF!</v>
      </c>
      <c r="CI1145" s="17" t="str">
        <f>AMDDTS+AMDNBS</f>
        <v>#REF!</v>
      </c>
      <c r="CJ1145" s="18" t="str">
        <f>AMDDTS+AMDNBS</f>
        <v>#REF!</v>
      </c>
      <c r="CK1145" s="17" t="str">
        <f>AMDDTS+AMDNBS</f>
        <v>#REF!</v>
      </c>
      <c r="CL1145" s="17" t="str">
        <f>AMDDTS+AMDNBS</f>
        <v>#REF!</v>
      </c>
      <c r="CM1145" s="17" t="str">
        <f>AMDDTS+AMDNBS</f>
        <v>#REF!</v>
      </c>
      <c r="CN1145" s="19" t="str">
        <f>AMDDTS+AMDNBS</f>
        <v>#REF!</v>
      </c>
      <c r="CO1145" s="18" t="str">
        <f>AMDDTS+AMDNBS</f>
        <v>#REF!</v>
      </c>
      <c r="CP1145" s="19" t="str">
        <f>AMDDTS+AMDNBS</f>
        <v>#REF!</v>
      </c>
      <c r="CQ1145" s="17" t="str">
        <f>AMDDTS+AMDNBS</f>
        <v>#REF!</v>
      </c>
      <c r="CR1145" s="17" t="str">
        <f>AMDDTS+AMDNBS</f>
        <v>#REF!</v>
      </c>
      <c r="CS1145" s="17" t="str">
        <f>AMDDTS+AMDNBS</f>
        <v>#REF!</v>
      </c>
      <c r="CT1145" s="18" t="str">
        <f>AMDDTS+AMDNBS</f>
        <v>#REF!</v>
      </c>
      <c r="CU1145" s="17" t="str">
        <f>AMDDTS+AMDNBS</f>
        <v>#REF!</v>
      </c>
      <c r="CV1145" s="17" t="str">
        <f>AMDDTS+AMDNBS</f>
        <v>#REF!</v>
      </c>
      <c r="CW1145" s="17" t="str">
        <f>AMDDTS+AMDNBS</f>
        <v>#REF!</v>
      </c>
      <c r="CX1145" s="17" t="str">
        <f>AMDDTS+AMDNBS</f>
        <v>#REF!</v>
      </c>
      <c r="CY1145" s="18" t="str">
        <f>AMDDTS+AMDNBS</f>
        <v>#REF!</v>
      </c>
      <c r="CZ1145" s="17" t="str">
        <f>AMDDTS+AMDNBS</f>
        <v>#REF!</v>
      </c>
      <c r="DA1145" s="17" t="str">
        <f>AMDDTS+AMDNBS</f>
        <v>#REF!</v>
      </c>
      <c r="DB1145" s="17" t="str">
        <f>AMDDTS+AMDNBS</f>
        <v>#REF!</v>
      </c>
      <c r="DC1145" s="17" t="str">
        <f>AMDDTS+AMDNBS</f>
        <v>#REF!</v>
      </c>
      <c r="DD1145" s="18" t="str">
        <f>AMDDTS+AMDNBS</f>
        <v>#REF!</v>
      </c>
      <c r="DE1145" s="17" t="str">
        <f>AMDDTS+AMDNBS</f>
        <v>#REF!</v>
      </c>
      <c r="DF1145" s="17" t="str">
        <f>AMDDTS+AMDNBS</f>
        <v>#REF!</v>
      </c>
      <c r="DG1145" s="19" t="str">
        <f>AMDDTS+AMDNBS</f>
        <v>#REF!</v>
      </c>
      <c r="DH1145" s="17" t="str">
        <f>AMDDTS+AMDNBS</f>
        <v>#REF!</v>
      </c>
      <c r="DI1145" s="18" t="str">
        <f>AMDDTS+AMDNBS</f>
        <v>#REF!</v>
      </c>
      <c r="DJ1145" s="19" t="str">
        <f>AMDDTS+AMDNBS</f>
        <v>#REF!</v>
      </c>
      <c r="DK1145" s="19" t="str">
        <f>AMDDTS+AMDNBS</f>
        <v>#REF!</v>
      </c>
      <c r="DL1145" s="19" t="str">
        <f>AMDDTS+AMDNBS</f>
        <v>#REF!</v>
      </c>
      <c r="DM1145" s="17" t="str">
        <f>AMDDTS+AMDNBS</f>
        <v>#REF!</v>
      </c>
      <c r="DN1145" s="18" t="str">
        <f>AMDDTS+AMDNBS</f>
        <v>#REF!</v>
      </c>
      <c r="DO1145" s="17" t="str">
        <f>AMDDTS+AMDNBS</f>
        <v>#REF!</v>
      </c>
      <c r="DP1145" s="17" t="str">
        <f>AMDDTS+AMDNBS</f>
        <v>#REF!</v>
      </c>
      <c r="DQ1145" s="17" t="str">
        <f>AMDDTS+AMDNBS</f>
        <v>#REF!</v>
      </c>
      <c r="DR1145" s="17" t="str">
        <f>AMDDTS+AMDNBS</f>
        <v>#REF!</v>
      </c>
      <c r="DS1145" s="18" t="str">
        <f>AMDDTS+AMDNBS</f>
        <v>#REF!</v>
      </c>
      <c r="DT1145" s="17" t="str">
        <f>AMDDTS+AMDNBS</f>
        <v>#REF!</v>
      </c>
      <c r="DU1145" s="17" t="str">
        <f>AMDDTS+AMDNBS</f>
        <v>#REF!</v>
      </c>
      <c r="DV1145" s="17" t="str">
        <f>AMDDTS+AMDNBS</f>
        <v>#REF!</v>
      </c>
      <c r="DW1145" s="17" t="str">
        <f>AMDDTS+AMDNBS</f>
        <v>#REF!</v>
      </c>
      <c r="DX1145" s="18" t="str">
        <f>AMDDTS+AMDNBS</f>
        <v>#REF!</v>
      </c>
      <c r="DY1145" s="17" t="str">
        <f>AMDDTS+AMDNBS</f>
        <v>#REF!</v>
      </c>
      <c r="DZ1145" s="17" t="str">
        <f>AMDDTS+AMDNBS</f>
        <v>#REF!</v>
      </c>
      <c r="EA1145" s="17" t="str">
        <f>AMDDTS+AMDNBS</f>
        <v>#REF!</v>
      </c>
      <c r="EB1145" s="17" t="str">
        <f>AMDDTS+AMDNBS</f>
        <v>#REF!</v>
      </c>
      <c r="EC1145" s="18" t="str">
        <f>AMDDTS+AMDNBS</f>
        <v>#REF!</v>
      </c>
      <c r="ED1145" s="17" t="str">
        <f>AMDDTS+AMDNBS</f>
        <v>#REF!</v>
      </c>
      <c r="EE1145" s="17" t="str">
        <f>AMDDTS+AMDNBS</f>
        <v>#REF!</v>
      </c>
      <c r="EF1145" s="17" t="str">
        <f>AMDDTS+AMDNBS</f>
        <v>#REF!</v>
      </c>
      <c r="EG1145" s="17" t="str">
        <f>AMDDTS+AMDNBS</f>
        <v>#REF!</v>
      </c>
      <c r="EH1145" s="18" t="str">
        <f>AMDDTS+AMDNBS</f>
        <v>#REF!</v>
      </c>
      <c r="EI1145" s="25" t="str">
        <f>AMDDTS+AMDNBS</f>
        <v>#REF!</v>
      </c>
      <c r="EJ1145" s="17" t="str">
        <f>AMDDTS+AMDNBS</f>
        <v>#REF!</v>
      </c>
      <c r="EK1145" s="17" t="str">
        <f>AMDDTS+AMDNBS</f>
        <v>#REF!</v>
      </c>
      <c r="EL1145" s="17" t="str">
        <f>AMDDTS+AMDNBS</f>
        <v>#REF!</v>
      </c>
      <c r="EM1145" s="18" t="str">
        <f>AMDDTS+AMDNBS</f>
        <v>#REF!</v>
      </c>
      <c r="EN1145" s="17" t="str">
        <f>AMDDTS+AMDNBS</f>
        <v>#REF!</v>
      </c>
      <c r="EO1145" s="17" t="str">
        <f>AMDDTS+AMDNBS</f>
        <v>#REF!</v>
      </c>
      <c r="EP1145" s="17" t="str">
        <f>AMDDTS+AMDNBS</f>
        <v>#REF!</v>
      </c>
      <c r="EQ1145" s="17" t="str">
        <f>AMDDTS+AMDNBS</f>
        <v>#REF!</v>
      </c>
      <c r="ER1145" s="18" t="str">
        <f>AMDDTS+AMDNBS</f>
        <v>#REF!</v>
      </c>
      <c r="ES1145" s="17" t="str">
        <f>AMDDTS+AMDNBS</f>
        <v>#REF!</v>
      </c>
      <c r="ET1145" s="17" t="str">
        <f>AMDDTS+AMDNBS</f>
        <v>#REF!</v>
      </c>
      <c r="EU1145" s="17" t="str">
        <f>AMDDTS+AMDNBS</f>
        <v>#REF!</v>
      </c>
      <c r="EV1145" s="17" t="str">
        <f>AMDDTS+AMDNBS</f>
        <v>#REF!</v>
      </c>
      <c r="EW1145" s="18" t="str">
        <f>AMDDTS+AMDNBS</f>
        <v>#REF!</v>
      </c>
      <c r="EX1145" s="17" t="str">
        <f>AMDDTS+AMDNBS</f>
        <v>#REF!</v>
      </c>
      <c r="EY1145" s="17" t="str">
        <f>AMDDTS+AMDNBS</f>
        <v>#REF!</v>
      </c>
      <c r="EZ1145" s="17" t="str">
        <f>AMDDTS+AMDNBS</f>
        <v>#REF!</v>
      </c>
      <c r="FA1145" s="17" t="str">
        <f>AMDDTS+AMDNBS</f>
        <v>#REF!</v>
      </c>
      <c r="FB1145" s="18" t="str">
        <f>AMDDTS+AMDNBS</f>
        <v>#REF!</v>
      </c>
      <c r="FC1145" s="17" t="str">
        <f>AMDDTS+AMDNBS</f>
        <v>#REF!</v>
      </c>
      <c r="FD1145" s="17" t="str">
        <f>AMDDTS+AMDNBS</f>
        <v>#REF!</v>
      </c>
      <c r="FE1145" s="17" t="str">
        <f>AMDDTS+AMDNBS</f>
        <v>#REF!</v>
      </c>
      <c r="FF1145" s="17" t="str">
        <f>AMDDTS+AMDNBS</f>
        <v>#REF!</v>
      </c>
      <c r="FG1145" s="18" t="str">
        <f>AMDDTS+AMDNBS</f>
        <v>#REF!</v>
      </c>
      <c r="FH1145" s="74"/>
      <c r="FI1145" s="17"/>
      <c r="FJ1145" s="17"/>
      <c r="FK1145" s="73"/>
      <c r="FL1145" s="17"/>
    </row>
    <row r="1146" ht="13.5" hidden="1" customHeight="1" outlineLevel="2">
      <c r="A1146" s="4"/>
      <c r="B1146" s="529" t="s">
        <v>291</v>
      </c>
      <c r="C1146" s="529"/>
      <c r="D1146" s="164"/>
      <c r="E1146" s="164"/>
      <c r="F1146" s="164"/>
      <c r="G1146" s="164"/>
      <c r="H1146" s="166"/>
      <c r="I1146" s="164" t="str">
        <f t="shared" ref="I1146:FG1146" si="5534">SUM(I1144,I1145)</f>
        <v>#ERROR!</v>
      </c>
      <c r="J1146" s="164" t="str">
        <f t="shared" si="5534"/>
        <v>#ERROR!</v>
      </c>
      <c r="K1146" s="164" t="str">
        <f t="shared" si="5534"/>
        <v>#ERROR!</v>
      </c>
      <c r="L1146" s="164" t="str">
        <f t="shared" si="5534"/>
        <v>#ERROR!</v>
      </c>
      <c r="M1146" s="166" t="str">
        <f t="shared" si="5534"/>
        <v>#ERROR!</v>
      </c>
      <c r="N1146" s="164" t="str">
        <f t="shared" si="5534"/>
        <v>#ERROR!</v>
      </c>
      <c r="O1146" s="164" t="str">
        <f t="shared" si="5534"/>
        <v>#ERROR!</v>
      </c>
      <c r="P1146" s="164" t="str">
        <f t="shared" si="5534"/>
        <v>#ERROR!</v>
      </c>
      <c r="Q1146" s="164" t="str">
        <f t="shared" si="5534"/>
        <v>#ERROR!</v>
      </c>
      <c r="R1146" s="166" t="str">
        <f t="shared" si="5534"/>
        <v>#ERROR!</v>
      </c>
      <c r="S1146" s="164" t="str">
        <f t="shared" si="5534"/>
        <v>#ERROR!</v>
      </c>
      <c r="T1146" s="164" t="str">
        <f t="shared" si="5534"/>
        <v>#ERROR!</v>
      </c>
      <c r="U1146" s="164" t="str">
        <f t="shared" si="5534"/>
        <v>#ERROR!</v>
      </c>
      <c r="V1146" s="164" t="str">
        <f t="shared" si="5534"/>
        <v>#ERROR!</v>
      </c>
      <c r="W1146" s="166" t="str">
        <f t="shared" si="5534"/>
        <v>#ERROR!</v>
      </c>
      <c r="X1146" s="164" t="str">
        <f t="shared" si="5534"/>
        <v>#ERROR!</v>
      </c>
      <c r="Y1146" s="164" t="str">
        <f t="shared" si="5534"/>
        <v>#ERROR!</v>
      </c>
      <c r="Z1146" s="164" t="str">
        <f t="shared" si="5534"/>
        <v>#ERROR!</v>
      </c>
      <c r="AA1146" s="164" t="str">
        <f t="shared" si="5534"/>
        <v>#ERROR!</v>
      </c>
      <c r="AB1146" s="166" t="str">
        <f t="shared" si="5534"/>
        <v>#ERROR!</v>
      </c>
      <c r="AC1146" s="164" t="str">
        <f t="shared" si="5534"/>
        <v>#ERROR!</v>
      </c>
      <c r="AD1146" s="164" t="str">
        <f t="shared" si="5534"/>
        <v>#ERROR!</v>
      </c>
      <c r="AE1146" s="164" t="str">
        <f t="shared" si="5534"/>
        <v>#ERROR!</v>
      </c>
      <c r="AF1146" s="164" t="str">
        <f t="shared" si="5534"/>
        <v>#ERROR!</v>
      </c>
      <c r="AG1146" s="166" t="str">
        <f t="shared" si="5534"/>
        <v>#ERROR!</v>
      </c>
      <c r="AH1146" s="164" t="str">
        <f t="shared" si="5534"/>
        <v>#ERROR!</v>
      </c>
      <c r="AI1146" s="164" t="str">
        <f t="shared" si="5534"/>
        <v>#ERROR!</v>
      </c>
      <c r="AJ1146" s="164" t="str">
        <f t="shared" si="5534"/>
        <v>#ERROR!</v>
      </c>
      <c r="AK1146" s="164" t="str">
        <f t="shared" si="5534"/>
        <v>#ERROR!</v>
      </c>
      <c r="AL1146" s="166" t="str">
        <f t="shared" si="5534"/>
        <v>#ERROR!</v>
      </c>
      <c r="AM1146" s="164" t="str">
        <f t="shared" si="5534"/>
        <v>#ERROR!</v>
      </c>
      <c r="AN1146" s="164" t="str">
        <f t="shared" si="5534"/>
        <v>#ERROR!</v>
      </c>
      <c r="AO1146" s="164" t="str">
        <f t="shared" si="5534"/>
        <v>#ERROR!</v>
      </c>
      <c r="AP1146" s="164" t="str">
        <f t="shared" si="5534"/>
        <v>#ERROR!</v>
      </c>
      <c r="AQ1146" s="166" t="str">
        <f t="shared" si="5534"/>
        <v>#ERROR!</v>
      </c>
      <c r="AR1146" s="164" t="str">
        <f t="shared" si="5534"/>
        <v>#ERROR!</v>
      </c>
      <c r="AS1146" s="164" t="str">
        <f t="shared" si="5534"/>
        <v>#ERROR!</v>
      </c>
      <c r="AT1146" s="164" t="str">
        <f t="shared" si="5534"/>
        <v>#ERROR!</v>
      </c>
      <c r="AU1146" s="164" t="str">
        <f t="shared" si="5534"/>
        <v>#ERROR!</v>
      </c>
      <c r="AV1146" s="166" t="str">
        <f t="shared" si="5534"/>
        <v>#ERROR!</v>
      </c>
      <c r="AW1146" s="164" t="str">
        <f t="shared" si="5534"/>
        <v>#ERROR!</v>
      </c>
      <c r="AX1146" s="164" t="str">
        <f t="shared" si="5534"/>
        <v>#ERROR!</v>
      </c>
      <c r="AY1146" s="164" t="str">
        <f t="shared" si="5534"/>
        <v>#ERROR!</v>
      </c>
      <c r="AZ1146" s="164" t="str">
        <f t="shared" si="5534"/>
        <v>#ERROR!</v>
      </c>
      <c r="BA1146" s="166" t="str">
        <f t="shared" si="5534"/>
        <v>#ERROR!</v>
      </c>
      <c r="BB1146" s="164" t="str">
        <f t="shared" si="5534"/>
        <v>#ERROR!</v>
      </c>
      <c r="BC1146" s="164" t="str">
        <f t="shared" si="5534"/>
        <v>#ERROR!</v>
      </c>
      <c r="BD1146" s="164" t="str">
        <f t="shared" si="5534"/>
        <v>#ERROR!</v>
      </c>
      <c r="BE1146" s="164" t="str">
        <f t="shared" si="5534"/>
        <v>#ERROR!</v>
      </c>
      <c r="BF1146" s="166" t="str">
        <f t="shared" si="5534"/>
        <v>#ERROR!</v>
      </c>
      <c r="BG1146" s="164" t="str">
        <f t="shared" si="5534"/>
        <v>#ERROR!</v>
      </c>
      <c r="BH1146" s="164" t="str">
        <f t="shared" si="5534"/>
        <v>#ERROR!</v>
      </c>
      <c r="BI1146" s="164" t="str">
        <f t="shared" si="5534"/>
        <v>#ERROR!</v>
      </c>
      <c r="BJ1146" s="164" t="str">
        <f t="shared" si="5534"/>
        <v>#ERROR!</v>
      </c>
      <c r="BK1146" s="166" t="str">
        <f t="shared" si="5534"/>
        <v>#ERROR!</v>
      </c>
      <c r="BL1146" s="164" t="str">
        <f t="shared" si="5534"/>
        <v>#ERROR!</v>
      </c>
      <c r="BM1146" s="164" t="str">
        <f t="shared" si="5534"/>
        <v>#ERROR!</v>
      </c>
      <c r="BN1146" s="164" t="str">
        <f t="shared" si="5534"/>
        <v>#ERROR!</v>
      </c>
      <c r="BO1146" s="164" t="str">
        <f t="shared" si="5534"/>
        <v>#ERROR!</v>
      </c>
      <c r="BP1146" s="166" t="str">
        <f t="shared" si="5534"/>
        <v>#ERROR!</v>
      </c>
      <c r="BQ1146" s="164" t="str">
        <f t="shared" si="5534"/>
        <v>#ERROR!</v>
      </c>
      <c r="BR1146" s="164" t="str">
        <f t="shared" si="5534"/>
        <v>#ERROR!</v>
      </c>
      <c r="BS1146" s="164" t="str">
        <f t="shared" si="5534"/>
        <v>#ERROR!</v>
      </c>
      <c r="BT1146" s="164" t="str">
        <f t="shared" si="5534"/>
        <v>#ERROR!</v>
      </c>
      <c r="BU1146" s="166" t="str">
        <f t="shared" si="5534"/>
        <v>#ERROR!</v>
      </c>
      <c r="BV1146" s="164" t="str">
        <f t="shared" si="5534"/>
        <v>#ERROR!</v>
      </c>
      <c r="BW1146" s="164" t="str">
        <f t="shared" si="5534"/>
        <v>#ERROR!</v>
      </c>
      <c r="BX1146" s="164" t="str">
        <f t="shared" si="5534"/>
        <v>#ERROR!</v>
      </c>
      <c r="BY1146" s="164" t="str">
        <f t="shared" si="5534"/>
        <v>#ERROR!</v>
      </c>
      <c r="BZ1146" s="168" t="str">
        <f t="shared" si="5534"/>
        <v>#ERROR!</v>
      </c>
      <c r="CA1146" s="164" t="str">
        <f t="shared" si="5534"/>
        <v>#ERROR!</v>
      </c>
      <c r="CB1146" s="164" t="str">
        <f t="shared" si="5534"/>
        <v>#ERROR!</v>
      </c>
      <c r="CC1146" s="164" t="str">
        <f t="shared" si="5534"/>
        <v>#ERROR!</v>
      </c>
      <c r="CD1146" s="164" t="str">
        <f t="shared" si="5534"/>
        <v>#ERROR!</v>
      </c>
      <c r="CE1146" s="168" t="str">
        <f t="shared" si="5534"/>
        <v>#ERROR!</v>
      </c>
      <c r="CF1146" s="164" t="str">
        <f t="shared" si="5534"/>
        <v>#ERROR!</v>
      </c>
      <c r="CG1146" s="164" t="str">
        <f t="shared" si="5534"/>
        <v>#ERROR!</v>
      </c>
      <c r="CH1146" s="164" t="str">
        <f t="shared" si="5534"/>
        <v>#ERROR!</v>
      </c>
      <c r="CI1146" s="164" t="str">
        <f t="shared" si="5534"/>
        <v>#ERROR!</v>
      </c>
      <c r="CJ1146" s="168" t="str">
        <f t="shared" si="5534"/>
        <v>#ERROR!</v>
      </c>
      <c r="CK1146" s="164" t="str">
        <f t="shared" si="5534"/>
        <v>#ERROR!</v>
      </c>
      <c r="CL1146" s="164" t="str">
        <f t="shared" si="5534"/>
        <v>#ERROR!</v>
      </c>
      <c r="CM1146" s="164" t="str">
        <f t="shared" si="5534"/>
        <v>#ERROR!</v>
      </c>
      <c r="CN1146" s="583" t="str">
        <f t="shared" si="5534"/>
        <v>#ERROR!</v>
      </c>
      <c r="CO1146" s="168" t="str">
        <f t="shared" si="5534"/>
        <v>#ERROR!</v>
      </c>
      <c r="CP1146" s="583" t="str">
        <f t="shared" si="5534"/>
        <v>#ERROR!</v>
      </c>
      <c r="CQ1146" s="164" t="str">
        <f t="shared" si="5534"/>
        <v>#ERROR!</v>
      </c>
      <c r="CR1146" s="164" t="str">
        <f t="shared" si="5534"/>
        <v>#ERROR!</v>
      </c>
      <c r="CS1146" s="164" t="str">
        <f t="shared" si="5534"/>
        <v>#ERROR!</v>
      </c>
      <c r="CT1146" s="168" t="str">
        <f t="shared" si="5534"/>
        <v>#ERROR!</v>
      </c>
      <c r="CU1146" s="164" t="str">
        <f t="shared" si="5534"/>
        <v>#ERROR!</v>
      </c>
      <c r="CV1146" s="164" t="str">
        <f t="shared" si="5534"/>
        <v>#ERROR!</v>
      </c>
      <c r="CW1146" s="164" t="str">
        <f t="shared" si="5534"/>
        <v>#ERROR!</v>
      </c>
      <c r="CX1146" s="164" t="str">
        <f t="shared" si="5534"/>
        <v>#ERROR!</v>
      </c>
      <c r="CY1146" s="168" t="str">
        <f t="shared" si="5534"/>
        <v>#ERROR!</v>
      </c>
      <c r="CZ1146" s="164" t="str">
        <f t="shared" si="5534"/>
        <v>#ERROR!</v>
      </c>
      <c r="DA1146" s="164" t="str">
        <f t="shared" si="5534"/>
        <v>#ERROR!</v>
      </c>
      <c r="DB1146" s="164" t="str">
        <f t="shared" si="5534"/>
        <v>#ERROR!</v>
      </c>
      <c r="DC1146" s="164" t="str">
        <f t="shared" si="5534"/>
        <v>#ERROR!</v>
      </c>
      <c r="DD1146" s="168" t="str">
        <f t="shared" si="5534"/>
        <v>#ERROR!</v>
      </c>
      <c r="DE1146" s="164" t="str">
        <f t="shared" si="5534"/>
        <v>#ERROR!</v>
      </c>
      <c r="DF1146" s="164" t="str">
        <f t="shared" si="5534"/>
        <v>#ERROR!</v>
      </c>
      <c r="DG1146" s="146" t="str">
        <f t="shared" si="5534"/>
        <v>#ERROR!</v>
      </c>
      <c r="DH1146" s="164" t="str">
        <f t="shared" si="5534"/>
        <v>#ERROR!</v>
      </c>
      <c r="DI1146" s="168" t="str">
        <f t="shared" si="5534"/>
        <v>#ERROR!</v>
      </c>
      <c r="DJ1146" s="583" t="str">
        <f t="shared" si="5534"/>
        <v>#ERROR!</v>
      </c>
      <c r="DK1146" s="583" t="str">
        <f t="shared" si="5534"/>
        <v>#ERROR!</v>
      </c>
      <c r="DL1146" s="583" t="str">
        <f t="shared" si="5534"/>
        <v>#ERROR!</v>
      </c>
      <c r="DM1146" s="164" t="str">
        <f t="shared" si="5534"/>
        <v>#ERROR!</v>
      </c>
      <c r="DN1146" s="168" t="str">
        <f t="shared" si="5534"/>
        <v>#ERROR!</v>
      </c>
      <c r="DO1146" s="164" t="str">
        <f t="shared" si="5534"/>
        <v>#ERROR!</v>
      </c>
      <c r="DP1146" s="164" t="str">
        <f t="shared" si="5534"/>
        <v>#ERROR!</v>
      </c>
      <c r="DQ1146" s="164" t="str">
        <f t="shared" si="5534"/>
        <v>#ERROR!</v>
      </c>
      <c r="DR1146" s="164" t="str">
        <f t="shared" si="5534"/>
        <v>#ERROR!</v>
      </c>
      <c r="DS1146" s="168" t="str">
        <f t="shared" si="5534"/>
        <v>#ERROR!</v>
      </c>
      <c r="DT1146" s="164" t="str">
        <f t="shared" si="5534"/>
        <v>#ERROR!</v>
      </c>
      <c r="DU1146" s="164" t="str">
        <f t="shared" si="5534"/>
        <v>#ERROR!</v>
      </c>
      <c r="DV1146" s="164" t="str">
        <f t="shared" si="5534"/>
        <v>#ERROR!</v>
      </c>
      <c r="DW1146" s="164" t="str">
        <f t="shared" si="5534"/>
        <v>#ERROR!</v>
      </c>
      <c r="DX1146" s="168" t="str">
        <f t="shared" si="5534"/>
        <v>#ERROR!</v>
      </c>
      <c r="DY1146" s="164" t="str">
        <f t="shared" si="5534"/>
        <v>#ERROR!</v>
      </c>
      <c r="DZ1146" s="164" t="str">
        <f t="shared" si="5534"/>
        <v>#ERROR!</v>
      </c>
      <c r="EA1146" s="164" t="str">
        <f t="shared" si="5534"/>
        <v>#ERROR!</v>
      </c>
      <c r="EB1146" s="164" t="str">
        <f t="shared" si="5534"/>
        <v>#ERROR!</v>
      </c>
      <c r="EC1146" s="168" t="str">
        <f t="shared" si="5534"/>
        <v>#ERROR!</v>
      </c>
      <c r="ED1146" s="164" t="str">
        <f t="shared" si="5534"/>
        <v>#ERROR!</v>
      </c>
      <c r="EE1146" s="164" t="str">
        <f t="shared" si="5534"/>
        <v>#ERROR!</v>
      </c>
      <c r="EF1146" s="164" t="str">
        <f t="shared" si="5534"/>
        <v>#ERROR!</v>
      </c>
      <c r="EG1146" s="164" t="str">
        <f t="shared" si="5534"/>
        <v>#ERROR!</v>
      </c>
      <c r="EH1146" s="168" t="str">
        <f t="shared" si="5534"/>
        <v>#ERROR!</v>
      </c>
      <c r="EI1146" s="584" t="str">
        <f t="shared" si="5534"/>
        <v>#ERROR!</v>
      </c>
      <c r="EJ1146" s="164" t="str">
        <f t="shared" si="5534"/>
        <v>#ERROR!</v>
      </c>
      <c r="EK1146" s="164" t="str">
        <f t="shared" si="5534"/>
        <v>#ERROR!</v>
      </c>
      <c r="EL1146" s="164" t="str">
        <f t="shared" si="5534"/>
        <v>#ERROR!</v>
      </c>
      <c r="EM1146" s="168" t="str">
        <f t="shared" si="5534"/>
        <v>#ERROR!</v>
      </c>
      <c r="EN1146" s="164" t="str">
        <f t="shared" si="5534"/>
        <v>#ERROR!</v>
      </c>
      <c r="EO1146" s="164" t="str">
        <f t="shared" si="5534"/>
        <v>#ERROR!</v>
      </c>
      <c r="EP1146" s="164" t="str">
        <f t="shared" si="5534"/>
        <v>#ERROR!</v>
      </c>
      <c r="EQ1146" s="164" t="str">
        <f t="shared" si="5534"/>
        <v>#ERROR!</v>
      </c>
      <c r="ER1146" s="168" t="str">
        <f t="shared" si="5534"/>
        <v>#ERROR!</v>
      </c>
      <c r="ES1146" s="164" t="str">
        <f t="shared" si="5534"/>
        <v>#ERROR!</v>
      </c>
      <c r="ET1146" s="164" t="str">
        <f t="shared" si="5534"/>
        <v>#ERROR!</v>
      </c>
      <c r="EU1146" s="164" t="str">
        <f t="shared" si="5534"/>
        <v>#ERROR!</v>
      </c>
      <c r="EV1146" s="164" t="str">
        <f t="shared" si="5534"/>
        <v>#ERROR!</v>
      </c>
      <c r="EW1146" s="168" t="str">
        <f t="shared" si="5534"/>
        <v>#ERROR!</v>
      </c>
      <c r="EX1146" s="164" t="str">
        <f t="shared" si="5534"/>
        <v>#ERROR!</v>
      </c>
      <c r="EY1146" s="164" t="str">
        <f t="shared" si="5534"/>
        <v>#ERROR!</v>
      </c>
      <c r="EZ1146" s="164" t="str">
        <f t="shared" si="5534"/>
        <v>#ERROR!</v>
      </c>
      <c r="FA1146" s="164" t="str">
        <f t="shared" si="5534"/>
        <v>#ERROR!</v>
      </c>
      <c r="FB1146" s="168" t="str">
        <f t="shared" si="5534"/>
        <v>#ERROR!</v>
      </c>
      <c r="FC1146" s="164" t="str">
        <f t="shared" si="5534"/>
        <v>#ERROR!</v>
      </c>
      <c r="FD1146" s="164" t="str">
        <f t="shared" si="5534"/>
        <v>#ERROR!</v>
      </c>
      <c r="FE1146" s="164" t="str">
        <f t="shared" si="5534"/>
        <v>#ERROR!</v>
      </c>
      <c r="FF1146" s="164" t="str">
        <f t="shared" si="5534"/>
        <v>#ERROR!</v>
      </c>
      <c r="FG1146" s="168" t="str">
        <f t="shared" si="5534"/>
        <v>#ERROR!</v>
      </c>
      <c r="FH1146" s="167"/>
      <c r="FI1146" s="164"/>
      <c r="FJ1146" s="164"/>
      <c r="FK1146" s="166"/>
      <c r="FL1146" s="164"/>
    </row>
    <row r="1147" ht="12.75" hidden="1" customHeight="1" outlineLevel="2">
      <c r="A1147" s="4"/>
      <c r="B1147" s="4"/>
      <c r="C1147" s="4"/>
      <c r="D1147" s="4"/>
      <c r="E1147" s="4"/>
      <c r="F1147" s="4"/>
      <c r="G1147" s="4"/>
      <c r="H1147" s="45"/>
      <c r="I1147" s="4"/>
      <c r="J1147" s="4"/>
      <c r="K1147" s="4"/>
      <c r="L1147" s="4"/>
      <c r="M1147" s="45"/>
      <c r="N1147" s="4"/>
      <c r="O1147" s="4"/>
      <c r="P1147" s="4"/>
      <c r="Q1147" s="4"/>
      <c r="R1147" s="45"/>
      <c r="S1147" s="4"/>
      <c r="T1147" s="4"/>
      <c r="U1147" s="4"/>
      <c r="V1147" s="4"/>
      <c r="W1147" s="45"/>
      <c r="X1147" s="4"/>
      <c r="Y1147" s="4"/>
      <c r="Z1147" s="4"/>
      <c r="AA1147" s="4"/>
      <c r="AB1147" s="45"/>
      <c r="AC1147" s="4"/>
      <c r="AD1147" s="4"/>
      <c r="AE1147" s="4"/>
      <c r="AF1147" s="4"/>
      <c r="AG1147" s="45"/>
      <c r="AH1147" s="4"/>
      <c r="AI1147" s="4"/>
      <c r="AJ1147" s="4"/>
      <c r="AK1147" s="4"/>
      <c r="AL1147" s="45"/>
      <c r="AM1147" s="4"/>
      <c r="AN1147" s="4"/>
      <c r="AO1147" s="4"/>
      <c r="AP1147" s="4"/>
      <c r="AQ1147" s="45"/>
      <c r="AR1147" s="4"/>
      <c r="AS1147" s="4"/>
      <c r="AT1147" s="4"/>
      <c r="AU1147" s="4"/>
      <c r="AV1147" s="45"/>
      <c r="AW1147" s="4"/>
      <c r="AX1147" s="4"/>
      <c r="AY1147" s="4"/>
      <c r="AZ1147" s="4"/>
      <c r="BA1147" s="45"/>
      <c r="BB1147" s="4"/>
      <c r="BC1147" s="4"/>
      <c r="BD1147" s="4"/>
      <c r="BE1147" s="4"/>
      <c r="BF1147" s="45"/>
      <c r="BG1147" s="4"/>
      <c r="BH1147" s="4"/>
      <c r="BI1147" s="4"/>
      <c r="BJ1147" s="4"/>
      <c r="BK1147" s="45"/>
      <c r="BL1147" s="4"/>
      <c r="BM1147" s="4"/>
      <c r="BN1147" s="4"/>
      <c r="BO1147" s="4"/>
      <c r="BP1147" s="45"/>
      <c r="BQ1147" s="4"/>
      <c r="BR1147" s="4"/>
      <c r="BS1147" s="4"/>
      <c r="BT1147" s="4"/>
      <c r="BU1147" s="45"/>
      <c r="BV1147" s="4"/>
      <c r="BW1147" s="4"/>
      <c r="BX1147" s="4"/>
      <c r="BY1147" s="4"/>
      <c r="BZ1147" s="350"/>
      <c r="CA1147" s="4"/>
      <c r="CB1147" s="4"/>
      <c r="CC1147" s="4"/>
      <c r="CD1147" s="4"/>
      <c r="CE1147" s="350"/>
      <c r="CF1147" s="4"/>
      <c r="CG1147" s="4"/>
      <c r="CH1147" s="4"/>
      <c r="CI1147" s="4"/>
      <c r="CJ1147" s="350"/>
      <c r="CK1147" s="4"/>
      <c r="CL1147" s="4"/>
      <c r="CM1147" s="4"/>
      <c r="CN1147" s="16"/>
      <c r="CO1147" s="350"/>
      <c r="CP1147" s="16"/>
      <c r="CQ1147" s="4"/>
      <c r="CR1147" s="4"/>
      <c r="CS1147" s="4"/>
      <c r="CT1147" s="350"/>
      <c r="CU1147" s="4"/>
      <c r="CV1147" s="4"/>
      <c r="CW1147" s="4"/>
      <c r="CX1147" s="4"/>
      <c r="CY1147" s="350"/>
      <c r="CZ1147" s="4"/>
      <c r="DA1147" s="4"/>
      <c r="DB1147" s="4"/>
      <c r="DC1147" s="4"/>
      <c r="DD1147" s="350"/>
      <c r="DE1147" s="4"/>
      <c r="DF1147" s="4"/>
      <c r="DG1147" s="16"/>
      <c r="DH1147" s="4"/>
      <c r="DI1147" s="350"/>
      <c r="DJ1147" s="16"/>
      <c r="DK1147" s="16"/>
      <c r="DL1147" s="16"/>
      <c r="DM1147" s="4"/>
      <c r="DN1147" s="350"/>
      <c r="DO1147" s="4"/>
      <c r="DP1147" s="4"/>
      <c r="DQ1147" s="4"/>
      <c r="DR1147" s="4"/>
      <c r="DS1147" s="350"/>
      <c r="DT1147" s="4"/>
      <c r="DU1147" s="4"/>
      <c r="DV1147" s="4"/>
      <c r="DW1147" s="4"/>
      <c r="DX1147" s="350"/>
      <c r="DY1147" s="4"/>
      <c r="DZ1147" s="4"/>
      <c r="EA1147" s="4"/>
      <c r="EB1147" s="4"/>
      <c r="EC1147" s="350"/>
      <c r="ED1147" s="4"/>
      <c r="EE1147" s="4"/>
      <c r="EF1147" s="4"/>
      <c r="EG1147" s="4"/>
      <c r="EH1147" s="350"/>
      <c r="EI1147" s="214"/>
      <c r="EJ1147" s="4"/>
      <c r="EK1147" s="4"/>
      <c r="EL1147" s="4"/>
      <c r="EM1147" s="350"/>
      <c r="EN1147" s="4"/>
      <c r="EO1147" s="4"/>
      <c r="EP1147" s="4"/>
      <c r="EQ1147" s="4"/>
      <c r="ER1147" s="350"/>
      <c r="ES1147" s="4"/>
      <c r="ET1147" s="4"/>
      <c r="EU1147" s="4"/>
      <c r="EV1147" s="4"/>
      <c r="EW1147" s="350"/>
      <c r="EX1147" s="4"/>
      <c r="EY1147" s="4"/>
      <c r="EZ1147" s="4"/>
      <c r="FA1147" s="4"/>
      <c r="FB1147" s="350"/>
      <c r="FC1147" s="4"/>
      <c r="FD1147" s="4"/>
      <c r="FE1147" s="4"/>
      <c r="FF1147" s="4"/>
      <c r="FG1147" s="350"/>
      <c r="FH1147" s="145"/>
      <c r="FI1147" s="4"/>
      <c r="FJ1147" s="4"/>
      <c r="FK1147" s="45"/>
      <c r="FL1147" s="4"/>
    </row>
    <row r="1148" ht="12.75" hidden="1" customHeight="1" outlineLevel="2">
      <c r="A1148" s="4"/>
      <c r="B1148" s="45" t="s">
        <v>421</v>
      </c>
      <c r="C1148" s="4"/>
      <c r="D1148" s="4"/>
      <c r="E1148" s="4"/>
      <c r="F1148" s="4"/>
      <c r="G1148" s="4"/>
      <c r="H1148" s="45"/>
      <c r="I1148" s="4"/>
      <c r="J1148" s="4"/>
      <c r="K1148" s="4"/>
      <c r="L1148" s="4"/>
      <c r="M1148" s="45"/>
      <c r="N1148" s="4"/>
      <c r="O1148" s="4"/>
      <c r="P1148" s="4"/>
      <c r="Q1148" s="4"/>
      <c r="R1148" s="45"/>
      <c r="S1148" s="4"/>
      <c r="T1148" s="4"/>
      <c r="U1148" s="4"/>
      <c r="V1148" s="4"/>
      <c r="W1148" s="45"/>
      <c r="X1148" s="4"/>
      <c r="Y1148" s="4"/>
      <c r="Z1148" s="4"/>
      <c r="AA1148" s="4"/>
      <c r="AB1148" s="45"/>
      <c r="AC1148" s="4"/>
      <c r="AD1148" s="4"/>
      <c r="AE1148" s="4"/>
      <c r="AF1148" s="4"/>
      <c r="AG1148" s="45"/>
      <c r="AH1148" s="4"/>
      <c r="AI1148" s="4"/>
      <c r="AJ1148" s="4"/>
      <c r="AK1148" s="4"/>
      <c r="AL1148" s="45"/>
      <c r="AM1148" s="4"/>
      <c r="AN1148" s="4"/>
      <c r="AO1148" s="4"/>
      <c r="AP1148" s="4"/>
      <c r="AQ1148" s="45"/>
      <c r="AR1148" s="4"/>
      <c r="AS1148" s="4"/>
      <c r="AT1148" s="4"/>
      <c r="AU1148" s="4"/>
      <c r="AV1148" s="45"/>
      <c r="AW1148" s="4"/>
      <c r="AX1148" s="4"/>
      <c r="AY1148" s="4"/>
      <c r="AZ1148" s="4"/>
      <c r="BA1148" s="45"/>
      <c r="BB1148" s="4"/>
      <c r="BC1148" s="4"/>
      <c r="BD1148" s="4"/>
      <c r="BE1148" s="4"/>
      <c r="BF1148" s="45"/>
      <c r="BG1148" s="4"/>
      <c r="BH1148" s="4"/>
      <c r="BI1148" s="4"/>
      <c r="BJ1148" s="4"/>
      <c r="BK1148" s="45"/>
      <c r="BL1148" s="4"/>
      <c r="BM1148" s="4"/>
      <c r="BN1148" s="4"/>
      <c r="BO1148" s="4"/>
      <c r="BP1148" s="45"/>
      <c r="BQ1148" s="4"/>
      <c r="BR1148" s="4"/>
      <c r="BS1148" s="4"/>
      <c r="BT1148" s="4"/>
      <c r="BU1148" s="45"/>
      <c r="BV1148" s="4"/>
      <c r="BW1148" s="4"/>
      <c r="BX1148" s="4"/>
      <c r="BY1148" s="4"/>
      <c r="BZ1148" s="350"/>
      <c r="CA1148" s="4"/>
      <c r="CB1148" s="4"/>
      <c r="CC1148" s="4"/>
      <c r="CD1148" s="4"/>
      <c r="CE1148" s="350"/>
      <c r="CF1148" s="4"/>
      <c r="CG1148" s="4"/>
      <c r="CH1148" s="4"/>
      <c r="CI1148" s="4"/>
      <c r="CJ1148" s="350"/>
      <c r="CK1148" s="4"/>
      <c r="CL1148" s="4"/>
      <c r="CM1148" s="4"/>
      <c r="CN1148" s="16"/>
      <c r="CO1148" s="350"/>
      <c r="CP1148" s="16"/>
      <c r="CQ1148" s="4"/>
      <c r="CR1148" s="4"/>
      <c r="CS1148" s="4"/>
      <c r="CT1148" s="350"/>
      <c r="CU1148" s="4"/>
      <c r="CV1148" s="4"/>
      <c r="CW1148" s="4"/>
      <c r="CX1148" s="4"/>
      <c r="CY1148" s="350"/>
      <c r="CZ1148" s="4"/>
      <c r="DA1148" s="4"/>
      <c r="DB1148" s="4"/>
      <c r="DC1148" s="4"/>
      <c r="DD1148" s="350"/>
      <c r="DE1148" s="4"/>
      <c r="DF1148" s="4"/>
      <c r="DG1148" s="16"/>
      <c r="DH1148" s="4"/>
      <c r="DI1148" s="350"/>
      <c r="DJ1148" s="16"/>
      <c r="DK1148" s="16"/>
      <c r="DL1148" s="16"/>
      <c r="DM1148" s="4"/>
      <c r="DN1148" s="350"/>
      <c r="DO1148" s="4"/>
      <c r="DP1148" s="4"/>
      <c r="DQ1148" s="4"/>
      <c r="DR1148" s="4"/>
      <c r="DS1148" s="350"/>
      <c r="DT1148" s="4"/>
      <c r="DU1148" s="4"/>
      <c r="DV1148" s="4"/>
      <c r="DW1148" s="4"/>
      <c r="DX1148" s="350"/>
      <c r="DY1148" s="4"/>
      <c r="DZ1148" s="4"/>
      <c r="EA1148" s="4"/>
      <c r="EB1148" s="4"/>
      <c r="EC1148" s="350"/>
      <c r="ED1148" s="4"/>
      <c r="EE1148" s="4"/>
      <c r="EF1148" s="4"/>
      <c r="EG1148" s="4"/>
      <c r="EH1148" s="350"/>
      <c r="EI1148" s="214"/>
      <c r="EJ1148" s="4"/>
      <c r="EK1148" s="4"/>
      <c r="EL1148" s="4"/>
      <c r="EM1148" s="350"/>
      <c r="EN1148" s="4"/>
      <c r="EO1148" s="4"/>
      <c r="EP1148" s="4"/>
      <c r="EQ1148" s="4"/>
      <c r="ER1148" s="350"/>
      <c r="ES1148" s="4"/>
      <c r="ET1148" s="4"/>
      <c r="EU1148" s="4"/>
      <c r="EV1148" s="4"/>
      <c r="EW1148" s="350"/>
      <c r="EX1148" s="4"/>
      <c r="EY1148" s="4"/>
      <c r="EZ1148" s="4"/>
      <c r="FA1148" s="4"/>
      <c r="FB1148" s="350"/>
      <c r="FC1148" s="4"/>
      <c r="FD1148" s="4"/>
      <c r="FE1148" s="4"/>
      <c r="FF1148" s="4"/>
      <c r="FG1148" s="350"/>
      <c r="FH1148" s="145"/>
      <c r="FI1148" s="4"/>
      <c r="FJ1148" s="4"/>
      <c r="FK1148" s="45"/>
      <c r="FL1148" s="4"/>
    </row>
    <row r="1149" ht="12.75" hidden="1" customHeight="1" outlineLevel="2">
      <c r="A1149" s="4"/>
      <c r="B1149" s="4" t="s">
        <v>427</v>
      </c>
      <c r="C1149" s="4"/>
      <c r="D1149" s="15"/>
      <c r="E1149" s="15"/>
      <c r="F1149" s="15"/>
      <c r="G1149" s="15"/>
      <c r="H1149" s="410"/>
      <c r="I1149" s="15" t="str">
        <f t="shared" ref="I1149:FG1149" si="5535">I1144/I$1146</f>
        <v>#ERROR!</v>
      </c>
      <c r="J1149" s="15" t="str">
        <f t="shared" si="5535"/>
        <v>#ERROR!</v>
      </c>
      <c r="K1149" s="15" t="str">
        <f t="shared" si="5535"/>
        <v>#ERROR!</v>
      </c>
      <c r="L1149" s="15" t="str">
        <f t="shared" si="5535"/>
        <v>#ERROR!</v>
      </c>
      <c r="M1149" s="410" t="str">
        <f t="shared" si="5535"/>
        <v>#ERROR!</v>
      </c>
      <c r="N1149" s="15" t="str">
        <f t="shared" si="5535"/>
        <v>#ERROR!</v>
      </c>
      <c r="O1149" s="15" t="str">
        <f t="shared" si="5535"/>
        <v>#ERROR!</v>
      </c>
      <c r="P1149" s="15" t="str">
        <f t="shared" si="5535"/>
        <v>#ERROR!</v>
      </c>
      <c r="Q1149" s="15" t="str">
        <f t="shared" si="5535"/>
        <v>#ERROR!</v>
      </c>
      <c r="R1149" s="410" t="str">
        <f t="shared" si="5535"/>
        <v>#ERROR!</v>
      </c>
      <c r="S1149" s="15" t="str">
        <f t="shared" si="5535"/>
        <v>#ERROR!</v>
      </c>
      <c r="T1149" s="15" t="str">
        <f t="shared" si="5535"/>
        <v>#ERROR!</v>
      </c>
      <c r="U1149" s="15" t="str">
        <f t="shared" si="5535"/>
        <v>#ERROR!</v>
      </c>
      <c r="V1149" s="15" t="str">
        <f t="shared" si="5535"/>
        <v>#ERROR!</v>
      </c>
      <c r="W1149" s="410" t="str">
        <f t="shared" si="5535"/>
        <v>#ERROR!</v>
      </c>
      <c r="X1149" s="15" t="str">
        <f t="shared" si="5535"/>
        <v>#ERROR!</v>
      </c>
      <c r="Y1149" s="15" t="str">
        <f t="shared" si="5535"/>
        <v>#ERROR!</v>
      </c>
      <c r="Z1149" s="15" t="str">
        <f t="shared" si="5535"/>
        <v>#ERROR!</v>
      </c>
      <c r="AA1149" s="15" t="str">
        <f t="shared" si="5535"/>
        <v>#ERROR!</v>
      </c>
      <c r="AB1149" s="410" t="str">
        <f t="shared" si="5535"/>
        <v>#ERROR!</v>
      </c>
      <c r="AC1149" s="15" t="str">
        <f t="shared" si="5535"/>
        <v>#ERROR!</v>
      </c>
      <c r="AD1149" s="15" t="str">
        <f t="shared" si="5535"/>
        <v>#ERROR!</v>
      </c>
      <c r="AE1149" s="15" t="str">
        <f t="shared" si="5535"/>
        <v>#ERROR!</v>
      </c>
      <c r="AF1149" s="15" t="str">
        <f t="shared" si="5535"/>
        <v>#ERROR!</v>
      </c>
      <c r="AG1149" s="410" t="str">
        <f t="shared" si="5535"/>
        <v>#ERROR!</v>
      </c>
      <c r="AH1149" s="15" t="str">
        <f t="shared" si="5535"/>
        <v>#ERROR!</v>
      </c>
      <c r="AI1149" s="15" t="str">
        <f t="shared" si="5535"/>
        <v>#ERROR!</v>
      </c>
      <c r="AJ1149" s="15" t="str">
        <f t="shared" si="5535"/>
        <v>#ERROR!</v>
      </c>
      <c r="AK1149" s="15" t="str">
        <f t="shared" si="5535"/>
        <v>#ERROR!</v>
      </c>
      <c r="AL1149" s="410" t="str">
        <f t="shared" si="5535"/>
        <v>#ERROR!</v>
      </c>
      <c r="AM1149" s="15" t="str">
        <f t="shared" si="5535"/>
        <v>#ERROR!</v>
      </c>
      <c r="AN1149" s="15" t="str">
        <f t="shared" si="5535"/>
        <v>#ERROR!</v>
      </c>
      <c r="AO1149" s="15" t="str">
        <f t="shared" si="5535"/>
        <v>#ERROR!</v>
      </c>
      <c r="AP1149" s="15" t="str">
        <f t="shared" si="5535"/>
        <v>#ERROR!</v>
      </c>
      <c r="AQ1149" s="410" t="str">
        <f t="shared" si="5535"/>
        <v>#ERROR!</v>
      </c>
      <c r="AR1149" s="15" t="str">
        <f t="shared" si="5535"/>
        <v>#ERROR!</v>
      </c>
      <c r="AS1149" s="15" t="str">
        <f t="shared" si="5535"/>
        <v>#ERROR!</v>
      </c>
      <c r="AT1149" s="15" t="str">
        <f t="shared" si="5535"/>
        <v>#ERROR!</v>
      </c>
      <c r="AU1149" s="15" t="str">
        <f t="shared" si="5535"/>
        <v>#ERROR!</v>
      </c>
      <c r="AV1149" s="410" t="str">
        <f t="shared" si="5535"/>
        <v>#ERROR!</v>
      </c>
      <c r="AW1149" s="15" t="str">
        <f t="shared" si="5535"/>
        <v>#ERROR!</v>
      </c>
      <c r="AX1149" s="15" t="str">
        <f t="shared" si="5535"/>
        <v>#ERROR!</v>
      </c>
      <c r="AY1149" s="15" t="str">
        <f t="shared" si="5535"/>
        <v>#ERROR!</v>
      </c>
      <c r="AZ1149" s="15" t="str">
        <f t="shared" si="5535"/>
        <v>#ERROR!</v>
      </c>
      <c r="BA1149" s="410" t="str">
        <f t="shared" si="5535"/>
        <v>#ERROR!</v>
      </c>
      <c r="BB1149" s="15" t="str">
        <f t="shared" si="5535"/>
        <v>#ERROR!</v>
      </c>
      <c r="BC1149" s="15" t="str">
        <f t="shared" si="5535"/>
        <v>#ERROR!</v>
      </c>
      <c r="BD1149" s="15" t="str">
        <f t="shared" si="5535"/>
        <v>#ERROR!</v>
      </c>
      <c r="BE1149" s="15" t="str">
        <f t="shared" si="5535"/>
        <v>#ERROR!</v>
      </c>
      <c r="BF1149" s="410" t="str">
        <f t="shared" si="5535"/>
        <v>#ERROR!</v>
      </c>
      <c r="BG1149" s="15" t="str">
        <f t="shared" si="5535"/>
        <v>#ERROR!</v>
      </c>
      <c r="BH1149" s="15" t="str">
        <f t="shared" si="5535"/>
        <v>#ERROR!</v>
      </c>
      <c r="BI1149" s="15" t="str">
        <f t="shared" si="5535"/>
        <v>#ERROR!</v>
      </c>
      <c r="BJ1149" s="15" t="str">
        <f t="shared" si="5535"/>
        <v>#ERROR!</v>
      </c>
      <c r="BK1149" s="410" t="str">
        <f t="shared" si="5535"/>
        <v>#ERROR!</v>
      </c>
      <c r="BL1149" s="15" t="str">
        <f t="shared" si="5535"/>
        <v>#ERROR!</v>
      </c>
      <c r="BM1149" s="15" t="str">
        <f t="shared" si="5535"/>
        <v>#ERROR!</v>
      </c>
      <c r="BN1149" s="15" t="str">
        <f t="shared" si="5535"/>
        <v>#ERROR!</v>
      </c>
      <c r="BO1149" s="15" t="str">
        <f t="shared" si="5535"/>
        <v>#ERROR!</v>
      </c>
      <c r="BP1149" s="410" t="str">
        <f t="shared" si="5535"/>
        <v>#ERROR!</v>
      </c>
      <c r="BQ1149" s="15" t="str">
        <f t="shared" si="5535"/>
        <v>#ERROR!</v>
      </c>
      <c r="BR1149" s="15" t="str">
        <f t="shared" si="5535"/>
        <v>#ERROR!</v>
      </c>
      <c r="BS1149" s="15" t="str">
        <f t="shared" si="5535"/>
        <v>#ERROR!</v>
      </c>
      <c r="BT1149" s="15" t="str">
        <f t="shared" si="5535"/>
        <v>#ERROR!</v>
      </c>
      <c r="BU1149" s="410" t="str">
        <f t="shared" si="5535"/>
        <v>#ERROR!</v>
      </c>
      <c r="BV1149" s="15" t="str">
        <f t="shared" si="5535"/>
        <v>#ERROR!</v>
      </c>
      <c r="BW1149" s="15" t="str">
        <f t="shared" si="5535"/>
        <v>#ERROR!</v>
      </c>
      <c r="BX1149" s="15" t="str">
        <f t="shared" si="5535"/>
        <v>#ERROR!</v>
      </c>
      <c r="BY1149" s="15" t="str">
        <f t="shared" si="5535"/>
        <v>#ERROR!</v>
      </c>
      <c r="BZ1149" s="24" t="str">
        <f t="shared" si="5535"/>
        <v>#ERROR!</v>
      </c>
      <c r="CA1149" s="15" t="str">
        <f t="shared" si="5535"/>
        <v>#ERROR!</v>
      </c>
      <c r="CB1149" s="15" t="str">
        <f t="shared" si="5535"/>
        <v>#ERROR!</v>
      </c>
      <c r="CC1149" s="15" t="str">
        <f t="shared" si="5535"/>
        <v>#ERROR!</v>
      </c>
      <c r="CD1149" s="15" t="str">
        <f t="shared" si="5535"/>
        <v>#ERROR!</v>
      </c>
      <c r="CE1149" s="24" t="str">
        <f t="shared" si="5535"/>
        <v>#ERROR!</v>
      </c>
      <c r="CF1149" s="15" t="str">
        <f t="shared" si="5535"/>
        <v>#ERROR!</v>
      </c>
      <c r="CG1149" s="15" t="str">
        <f t="shared" si="5535"/>
        <v>#ERROR!</v>
      </c>
      <c r="CH1149" s="15" t="str">
        <f t="shared" si="5535"/>
        <v>#ERROR!</v>
      </c>
      <c r="CI1149" s="15" t="str">
        <f t="shared" si="5535"/>
        <v>#ERROR!</v>
      </c>
      <c r="CJ1149" s="24" t="str">
        <f t="shared" si="5535"/>
        <v>#ERROR!</v>
      </c>
      <c r="CK1149" s="15" t="str">
        <f t="shared" si="5535"/>
        <v>#ERROR!</v>
      </c>
      <c r="CL1149" s="15" t="str">
        <f t="shared" si="5535"/>
        <v>#ERROR!</v>
      </c>
      <c r="CM1149" s="15" t="str">
        <f t="shared" si="5535"/>
        <v>#ERROR!</v>
      </c>
      <c r="CN1149" s="40" t="str">
        <f t="shared" si="5535"/>
        <v>#ERROR!</v>
      </c>
      <c r="CO1149" s="24" t="str">
        <f t="shared" si="5535"/>
        <v>#ERROR!</v>
      </c>
      <c r="CP1149" s="40" t="str">
        <f t="shared" si="5535"/>
        <v>#ERROR!</v>
      </c>
      <c r="CQ1149" s="15" t="str">
        <f t="shared" si="5535"/>
        <v>#ERROR!</v>
      </c>
      <c r="CR1149" s="15" t="str">
        <f t="shared" si="5535"/>
        <v>#ERROR!</v>
      </c>
      <c r="CS1149" s="15" t="str">
        <f t="shared" si="5535"/>
        <v>#ERROR!</v>
      </c>
      <c r="CT1149" s="24" t="str">
        <f t="shared" si="5535"/>
        <v>#ERROR!</v>
      </c>
      <c r="CU1149" s="15" t="str">
        <f t="shared" si="5535"/>
        <v>#ERROR!</v>
      </c>
      <c r="CV1149" s="15" t="str">
        <f t="shared" si="5535"/>
        <v>#ERROR!</v>
      </c>
      <c r="CW1149" s="15" t="str">
        <f t="shared" si="5535"/>
        <v>#ERROR!</v>
      </c>
      <c r="CX1149" s="15" t="str">
        <f t="shared" si="5535"/>
        <v>#ERROR!</v>
      </c>
      <c r="CY1149" s="24" t="str">
        <f t="shared" si="5535"/>
        <v>#ERROR!</v>
      </c>
      <c r="CZ1149" s="15" t="str">
        <f t="shared" si="5535"/>
        <v>#ERROR!</v>
      </c>
      <c r="DA1149" s="15" t="str">
        <f t="shared" si="5535"/>
        <v>#ERROR!</v>
      </c>
      <c r="DB1149" s="15" t="str">
        <f t="shared" si="5535"/>
        <v>#ERROR!</v>
      </c>
      <c r="DC1149" s="15" t="str">
        <f t="shared" si="5535"/>
        <v>#ERROR!</v>
      </c>
      <c r="DD1149" s="24" t="str">
        <f t="shared" si="5535"/>
        <v>#ERROR!</v>
      </c>
      <c r="DE1149" s="15" t="str">
        <f t="shared" si="5535"/>
        <v>#ERROR!</v>
      </c>
      <c r="DF1149" s="15" t="str">
        <f t="shared" si="5535"/>
        <v>#ERROR!</v>
      </c>
      <c r="DG1149" s="40" t="str">
        <f t="shared" si="5535"/>
        <v>#ERROR!</v>
      </c>
      <c r="DH1149" s="15" t="str">
        <f t="shared" si="5535"/>
        <v>#ERROR!</v>
      </c>
      <c r="DI1149" s="24" t="str">
        <f t="shared" si="5535"/>
        <v>#ERROR!</v>
      </c>
      <c r="DJ1149" s="40" t="str">
        <f t="shared" si="5535"/>
        <v>#ERROR!</v>
      </c>
      <c r="DK1149" s="40" t="str">
        <f t="shared" si="5535"/>
        <v>#ERROR!</v>
      </c>
      <c r="DL1149" s="40" t="str">
        <f t="shared" si="5535"/>
        <v>#ERROR!</v>
      </c>
      <c r="DM1149" s="15" t="str">
        <f t="shared" si="5535"/>
        <v>#ERROR!</v>
      </c>
      <c r="DN1149" s="24" t="str">
        <f t="shared" si="5535"/>
        <v>#ERROR!</v>
      </c>
      <c r="DO1149" s="15" t="str">
        <f t="shared" si="5535"/>
        <v>#ERROR!</v>
      </c>
      <c r="DP1149" s="15" t="str">
        <f t="shared" si="5535"/>
        <v>#ERROR!</v>
      </c>
      <c r="DQ1149" s="15" t="str">
        <f t="shared" si="5535"/>
        <v>#ERROR!</v>
      </c>
      <c r="DR1149" s="15" t="str">
        <f t="shared" si="5535"/>
        <v>#ERROR!</v>
      </c>
      <c r="DS1149" s="24" t="str">
        <f t="shared" si="5535"/>
        <v>#ERROR!</v>
      </c>
      <c r="DT1149" s="15" t="str">
        <f t="shared" si="5535"/>
        <v>#ERROR!</v>
      </c>
      <c r="DU1149" s="15" t="str">
        <f t="shared" si="5535"/>
        <v>#ERROR!</v>
      </c>
      <c r="DV1149" s="15" t="str">
        <f t="shared" si="5535"/>
        <v>#ERROR!</v>
      </c>
      <c r="DW1149" s="15" t="str">
        <f t="shared" si="5535"/>
        <v>#ERROR!</v>
      </c>
      <c r="DX1149" s="24" t="str">
        <f t="shared" si="5535"/>
        <v>#ERROR!</v>
      </c>
      <c r="DY1149" s="15" t="str">
        <f t="shared" si="5535"/>
        <v>#ERROR!</v>
      </c>
      <c r="DZ1149" s="15" t="str">
        <f t="shared" si="5535"/>
        <v>#ERROR!</v>
      </c>
      <c r="EA1149" s="15" t="str">
        <f t="shared" si="5535"/>
        <v>#ERROR!</v>
      </c>
      <c r="EB1149" s="15" t="str">
        <f t="shared" si="5535"/>
        <v>#ERROR!</v>
      </c>
      <c r="EC1149" s="24" t="str">
        <f t="shared" si="5535"/>
        <v>#ERROR!</v>
      </c>
      <c r="ED1149" s="15" t="str">
        <f t="shared" si="5535"/>
        <v>#ERROR!</v>
      </c>
      <c r="EE1149" s="15" t="str">
        <f t="shared" si="5535"/>
        <v>#ERROR!</v>
      </c>
      <c r="EF1149" s="15" t="str">
        <f t="shared" si="5535"/>
        <v>#ERROR!</v>
      </c>
      <c r="EG1149" s="15" t="str">
        <f t="shared" si="5535"/>
        <v>#ERROR!</v>
      </c>
      <c r="EH1149" s="24" t="str">
        <f t="shared" si="5535"/>
        <v>#ERROR!</v>
      </c>
      <c r="EI1149" s="82" t="str">
        <f t="shared" si="5535"/>
        <v>#ERROR!</v>
      </c>
      <c r="EJ1149" s="15" t="str">
        <f t="shared" si="5535"/>
        <v>#ERROR!</v>
      </c>
      <c r="EK1149" s="15" t="str">
        <f t="shared" si="5535"/>
        <v>#ERROR!</v>
      </c>
      <c r="EL1149" s="15" t="str">
        <f t="shared" si="5535"/>
        <v>#ERROR!</v>
      </c>
      <c r="EM1149" s="24" t="str">
        <f t="shared" si="5535"/>
        <v>#ERROR!</v>
      </c>
      <c r="EN1149" s="15" t="str">
        <f t="shared" si="5535"/>
        <v>#ERROR!</v>
      </c>
      <c r="EO1149" s="15" t="str">
        <f t="shared" si="5535"/>
        <v>#ERROR!</v>
      </c>
      <c r="EP1149" s="15" t="str">
        <f t="shared" si="5535"/>
        <v>#ERROR!</v>
      </c>
      <c r="EQ1149" s="15" t="str">
        <f t="shared" si="5535"/>
        <v>#ERROR!</v>
      </c>
      <c r="ER1149" s="24" t="str">
        <f t="shared" si="5535"/>
        <v>#ERROR!</v>
      </c>
      <c r="ES1149" s="15" t="str">
        <f t="shared" si="5535"/>
        <v>#ERROR!</v>
      </c>
      <c r="ET1149" s="15" t="str">
        <f t="shared" si="5535"/>
        <v>#ERROR!</v>
      </c>
      <c r="EU1149" s="15" t="str">
        <f t="shared" si="5535"/>
        <v>#ERROR!</v>
      </c>
      <c r="EV1149" s="15" t="str">
        <f t="shared" si="5535"/>
        <v>#ERROR!</v>
      </c>
      <c r="EW1149" s="24" t="str">
        <f t="shared" si="5535"/>
        <v>#ERROR!</v>
      </c>
      <c r="EX1149" s="15" t="str">
        <f t="shared" si="5535"/>
        <v>#ERROR!</v>
      </c>
      <c r="EY1149" s="15" t="str">
        <f t="shared" si="5535"/>
        <v>#ERROR!</v>
      </c>
      <c r="EZ1149" s="15" t="str">
        <f t="shared" si="5535"/>
        <v>#ERROR!</v>
      </c>
      <c r="FA1149" s="15" t="str">
        <f t="shared" si="5535"/>
        <v>#ERROR!</v>
      </c>
      <c r="FB1149" s="24" t="str">
        <f t="shared" si="5535"/>
        <v>#ERROR!</v>
      </c>
      <c r="FC1149" s="15" t="str">
        <f t="shared" si="5535"/>
        <v>#ERROR!</v>
      </c>
      <c r="FD1149" s="15" t="str">
        <f t="shared" si="5535"/>
        <v>#ERROR!</v>
      </c>
      <c r="FE1149" s="15" t="str">
        <f t="shared" si="5535"/>
        <v>#ERROR!</v>
      </c>
      <c r="FF1149" s="15" t="str">
        <f t="shared" si="5535"/>
        <v>#ERROR!</v>
      </c>
      <c r="FG1149" s="24" t="str">
        <f t="shared" si="5535"/>
        <v>#ERROR!</v>
      </c>
      <c r="FH1149" s="104"/>
      <c r="FI1149" s="15"/>
      <c r="FJ1149" s="15"/>
      <c r="FK1149" s="410"/>
      <c r="FL1149" s="15"/>
    </row>
    <row r="1150" ht="12.75" hidden="1" customHeight="1" outlineLevel="2">
      <c r="A1150" s="4"/>
      <c r="B1150" s="4" t="s">
        <v>428</v>
      </c>
      <c r="C1150" s="4"/>
      <c r="D1150" s="15"/>
      <c r="E1150" s="15"/>
      <c r="F1150" s="15"/>
      <c r="G1150" s="15"/>
      <c r="H1150" s="410"/>
      <c r="I1150" s="15" t="str">
        <f t="shared" ref="I1150:FG1150" si="5536">I1145/I$1146</f>
        <v>#REF!</v>
      </c>
      <c r="J1150" s="15" t="str">
        <f t="shared" si="5536"/>
        <v>#REF!</v>
      </c>
      <c r="K1150" s="15" t="str">
        <f t="shared" si="5536"/>
        <v>#REF!</v>
      </c>
      <c r="L1150" s="15" t="str">
        <f t="shared" si="5536"/>
        <v>#REF!</v>
      </c>
      <c r="M1150" s="410" t="str">
        <f t="shared" si="5536"/>
        <v>#REF!</v>
      </c>
      <c r="N1150" s="15" t="str">
        <f t="shared" si="5536"/>
        <v>#REF!</v>
      </c>
      <c r="O1150" s="15" t="str">
        <f t="shared" si="5536"/>
        <v>#REF!</v>
      </c>
      <c r="P1150" s="15" t="str">
        <f t="shared" si="5536"/>
        <v>#REF!</v>
      </c>
      <c r="Q1150" s="15" t="str">
        <f t="shared" si="5536"/>
        <v>#REF!</v>
      </c>
      <c r="R1150" s="410" t="str">
        <f t="shared" si="5536"/>
        <v>#REF!</v>
      </c>
      <c r="S1150" s="15" t="str">
        <f t="shared" si="5536"/>
        <v>#REF!</v>
      </c>
      <c r="T1150" s="15" t="str">
        <f t="shared" si="5536"/>
        <v>#REF!</v>
      </c>
      <c r="U1150" s="15" t="str">
        <f t="shared" si="5536"/>
        <v>#REF!</v>
      </c>
      <c r="V1150" s="15" t="str">
        <f t="shared" si="5536"/>
        <v>#REF!</v>
      </c>
      <c r="W1150" s="410" t="str">
        <f t="shared" si="5536"/>
        <v>#REF!</v>
      </c>
      <c r="X1150" s="15" t="str">
        <f t="shared" si="5536"/>
        <v>#REF!</v>
      </c>
      <c r="Y1150" s="15" t="str">
        <f t="shared" si="5536"/>
        <v>#REF!</v>
      </c>
      <c r="Z1150" s="15" t="str">
        <f t="shared" si="5536"/>
        <v>#REF!</v>
      </c>
      <c r="AA1150" s="15" t="str">
        <f t="shared" si="5536"/>
        <v>#REF!</v>
      </c>
      <c r="AB1150" s="410" t="str">
        <f t="shared" si="5536"/>
        <v>#REF!</v>
      </c>
      <c r="AC1150" s="15" t="str">
        <f t="shared" si="5536"/>
        <v>#REF!</v>
      </c>
      <c r="AD1150" s="15" t="str">
        <f t="shared" si="5536"/>
        <v>#REF!</v>
      </c>
      <c r="AE1150" s="15" t="str">
        <f t="shared" si="5536"/>
        <v>#REF!</v>
      </c>
      <c r="AF1150" s="15" t="str">
        <f t="shared" si="5536"/>
        <v>#REF!</v>
      </c>
      <c r="AG1150" s="410" t="str">
        <f t="shared" si="5536"/>
        <v>#REF!</v>
      </c>
      <c r="AH1150" s="15" t="str">
        <f t="shared" si="5536"/>
        <v>#REF!</v>
      </c>
      <c r="AI1150" s="15" t="str">
        <f t="shared" si="5536"/>
        <v>#REF!</v>
      </c>
      <c r="AJ1150" s="15" t="str">
        <f t="shared" si="5536"/>
        <v>#REF!</v>
      </c>
      <c r="AK1150" s="15" t="str">
        <f t="shared" si="5536"/>
        <v>#REF!</v>
      </c>
      <c r="AL1150" s="410" t="str">
        <f t="shared" si="5536"/>
        <v>#REF!</v>
      </c>
      <c r="AM1150" s="15" t="str">
        <f t="shared" si="5536"/>
        <v>#REF!</v>
      </c>
      <c r="AN1150" s="15" t="str">
        <f t="shared" si="5536"/>
        <v>#REF!</v>
      </c>
      <c r="AO1150" s="15" t="str">
        <f t="shared" si="5536"/>
        <v>#REF!</v>
      </c>
      <c r="AP1150" s="15" t="str">
        <f t="shared" si="5536"/>
        <v>#REF!</v>
      </c>
      <c r="AQ1150" s="410" t="str">
        <f t="shared" si="5536"/>
        <v>#REF!</v>
      </c>
      <c r="AR1150" s="15" t="str">
        <f t="shared" si="5536"/>
        <v>#REF!</v>
      </c>
      <c r="AS1150" s="15" t="str">
        <f t="shared" si="5536"/>
        <v>#REF!</v>
      </c>
      <c r="AT1150" s="15" t="str">
        <f t="shared" si="5536"/>
        <v>#REF!</v>
      </c>
      <c r="AU1150" s="15" t="str">
        <f t="shared" si="5536"/>
        <v>#REF!</v>
      </c>
      <c r="AV1150" s="410" t="str">
        <f t="shared" si="5536"/>
        <v>#REF!</v>
      </c>
      <c r="AW1150" s="15" t="str">
        <f t="shared" si="5536"/>
        <v>#REF!</v>
      </c>
      <c r="AX1150" s="15" t="str">
        <f t="shared" si="5536"/>
        <v>#REF!</v>
      </c>
      <c r="AY1150" s="15" t="str">
        <f t="shared" si="5536"/>
        <v>#REF!</v>
      </c>
      <c r="AZ1150" s="15" t="str">
        <f t="shared" si="5536"/>
        <v>#REF!</v>
      </c>
      <c r="BA1150" s="410" t="str">
        <f t="shared" si="5536"/>
        <v>#REF!</v>
      </c>
      <c r="BB1150" s="15" t="str">
        <f t="shared" si="5536"/>
        <v>#REF!</v>
      </c>
      <c r="BC1150" s="15" t="str">
        <f t="shared" si="5536"/>
        <v>#REF!</v>
      </c>
      <c r="BD1150" s="15" t="str">
        <f t="shared" si="5536"/>
        <v>#REF!</v>
      </c>
      <c r="BE1150" s="15" t="str">
        <f t="shared" si="5536"/>
        <v>#REF!</v>
      </c>
      <c r="BF1150" s="410" t="str">
        <f t="shared" si="5536"/>
        <v>#REF!</v>
      </c>
      <c r="BG1150" s="15" t="str">
        <f t="shared" si="5536"/>
        <v>#REF!</v>
      </c>
      <c r="BH1150" s="15" t="str">
        <f t="shared" si="5536"/>
        <v>#REF!</v>
      </c>
      <c r="BI1150" s="15" t="str">
        <f t="shared" si="5536"/>
        <v>#REF!</v>
      </c>
      <c r="BJ1150" s="15" t="str">
        <f t="shared" si="5536"/>
        <v>#REF!</v>
      </c>
      <c r="BK1150" s="410" t="str">
        <f t="shared" si="5536"/>
        <v>#REF!</v>
      </c>
      <c r="BL1150" s="15" t="str">
        <f t="shared" si="5536"/>
        <v>#REF!</v>
      </c>
      <c r="BM1150" s="15" t="str">
        <f t="shared" si="5536"/>
        <v>#REF!</v>
      </c>
      <c r="BN1150" s="15" t="str">
        <f t="shared" si="5536"/>
        <v>#REF!</v>
      </c>
      <c r="BO1150" s="15" t="str">
        <f t="shared" si="5536"/>
        <v>#REF!</v>
      </c>
      <c r="BP1150" s="410" t="str">
        <f t="shared" si="5536"/>
        <v>#REF!</v>
      </c>
      <c r="BQ1150" s="15" t="str">
        <f t="shared" si="5536"/>
        <v>#REF!</v>
      </c>
      <c r="BR1150" s="15" t="str">
        <f t="shared" si="5536"/>
        <v>#REF!</v>
      </c>
      <c r="BS1150" s="15" t="str">
        <f t="shared" si="5536"/>
        <v>#REF!</v>
      </c>
      <c r="BT1150" s="15" t="str">
        <f t="shared" si="5536"/>
        <v>#REF!</v>
      </c>
      <c r="BU1150" s="410" t="str">
        <f t="shared" si="5536"/>
        <v>#REF!</v>
      </c>
      <c r="BV1150" s="15" t="str">
        <f t="shared" si="5536"/>
        <v>#REF!</v>
      </c>
      <c r="BW1150" s="15" t="str">
        <f t="shared" si="5536"/>
        <v>#REF!</v>
      </c>
      <c r="BX1150" s="15" t="str">
        <f t="shared" si="5536"/>
        <v>#REF!</v>
      </c>
      <c r="BY1150" s="15" t="str">
        <f t="shared" si="5536"/>
        <v>#REF!</v>
      </c>
      <c r="BZ1150" s="24" t="str">
        <f t="shared" si="5536"/>
        <v>#REF!</v>
      </c>
      <c r="CA1150" s="15" t="str">
        <f t="shared" si="5536"/>
        <v>#REF!</v>
      </c>
      <c r="CB1150" s="15" t="str">
        <f t="shared" si="5536"/>
        <v>#REF!</v>
      </c>
      <c r="CC1150" s="15" t="str">
        <f t="shared" si="5536"/>
        <v>#REF!</v>
      </c>
      <c r="CD1150" s="15" t="str">
        <f t="shared" si="5536"/>
        <v>#REF!</v>
      </c>
      <c r="CE1150" s="24" t="str">
        <f t="shared" si="5536"/>
        <v>#REF!</v>
      </c>
      <c r="CF1150" s="15" t="str">
        <f t="shared" si="5536"/>
        <v>#REF!</v>
      </c>
      <c r="CG1150" s="15" t="str">
        <f t="shared" si="5536"/>
        <v>#REF!</v>
      </c>
      <c r="CH1150" s="15" t="str">
        <f t="shared" si="5536"/>
        <v>#REF!</v>
      </c>
      <c r="CI1150" s="15" t="str">
        <f t="shared" si="5536"/>
        <v>#REF!</v>
      </c>
      <c r="CJ1150" s="24" t="str">
        <f t="shared" si="5536"/>
        <v>#REF!</v>
      </c>
      <c r="CK1150" s="15" t="str">
        <f t="shared" si="5536"/>
        <v>#REF!</v>
      </c>
      <c r="CL1150" s="15" t="str">
        <f t="shared" si="5536"/>
        <v>#REF!</v>
      </c>
      <c r="CM1150" s="15" t="str">
        <f t="shared" si="5536"/>
        <v>#REF!</v>
      </c>
      <c r="CN1150" s="40" t="str">
        <f t="shared" si="5536"/>
        <v>#REF!</v>
      </c>
      <c r="CO1150" s="24" t="str">
        <f t="shared" si="5536"/>
        <v>#REF!</v>
      </c>
      <c r="CP1150" s="40" t="str">
        <f t="shared" si="5536"/>
        <v>#REF!</v>
      </c>
      <c r="CQ1150" s="15" t="str">
        <f t="shared" si="5536"/>
        <v>#REF!</v>
      </c>
      <c r="CR1150" s="15" t="str">
        <f t="shared" si="5536"/>
        <v>#REF!</v>
      </c>
      <c r="CS1150" s="15" t="str">
        <f t="shared" si="5536"/>
        <v>#REF!</v>
      </c>
      <c r="CT1150" s="24" t="str">
        <f t="shared" si="5536"/>
        <v>#REF!</v>
      </c>
      <c r="CU1150" s="15" t="str">
        <f t="shared" si="5536"/>
        <v>#REF!</v>
      </c>
      <c r="CV1150" s="15" t="str">
        <f t="shared" si="5536"/>
        <v>#REF!</v>
      </c>
      <c r="CW1150" s="15" t="str">
        <f t="shared" si="5536"/>
        <v>#REF!</v>
      </c>
      <c r="CX1150" s="15" t="str">
        <f t="shared" si="5536"/>
        <v>#REF!</v>
      </c>
      <c r="CY1150" s="24" t="str">
        <f t="shared" si="5536"/>
        <v>#REF!</v>
      </c>
      <c r="CZ1150" s="15" t="str">
        <f t="shared" si="5536"/>
        <v>#REF!</v>
      </c>
      <c r="DA1150" s="15" t="str">
        <f t="shared" si="5536"/>
        <v>#REF!</v>
      </c>
      <c r="DB1150" s="15" t="str">
        <f t="shared" si="5536"/>
        <v>#REF!</v>
      </c>
      <c r="DC1150" s="15" t="str">
        <f t="shared" si="5536"/>
        <v>#REF!</v>
      </c>
      <c r="DD1150" s="24" t="str">
        <f t="shared" si="5536"/>
        <v>#REF!</v>
      </c>
      <c r="DE1150" s="15" t="str">
        <f t="shared" si="5536"/>
        <v>#REF!</v>
      </c>
      <c r="DF1150" s="15" t="str">
        <f t="shared" si="5536"/>
        <v>#REF!</v>
      </c>
      <c r="DG1150" s="40" t="str">
        <f t="shared" si="5536"/>
        <v>#REF!</v>
      </c>
      <c r="DH1150" s="15" t="str">
        <f t="shared" si="5536"/>
        <v>#REF!</v>
      </c>
      <c r="DI1150" s="24" t="str">
        <f t="shared" si="5536"/>
        <v>#REF!</v>
      </c>
      <c r="DJ1150" s="40" t="str">
        <f t="shared" si="5536"/>
        <v>#REF!</v>
      </c>
      <c r="DK1150" s="40" t="str">
        <f t="shared" si="5536"/>
        <v>#REF!</v>
      </c>
      <c r="DL1150" s="40" t="str">
        <f t="shared" si="5536"/>
        <v>#REF!</v>
      </c>
      <c r="DM1150" s="15" t="str">
        <f t="shared" si="5536"/>
        <v>#REF!</v>
      </c>
      <c r="DN1150" s="24" t="str">
        <f t="shared" si="5536"/>
        <v>#REF!</v>
      </c>
      <c r="DO1150" s="15" t="str">
        <f t="shared" si="5536"/>
        <v>#REF!</v>
      </c>
      <c r="DP1150" s="15" t="str">
        <f t="shared" si="5536"/>
        <v>#REF!</v>
      </c>
      <c r="DQ1150" s="15" t="str">
        <f t="shared" si="5536"/>
        <v>#REF!</v>
      </c>
      <c r="DR1150" s="15" t="str">
        <f t="shared" si="5536"/>
        <v>#REF!</v>
      </c>
      <c r="DS1150" s="24" t="str">
        <f t="shared" si="5536"/>
        <v>#REF!</v>
      </c>
      <c r="DT1150" s="15" t="str">
        <f t="shared" si="5536"/>
        <v>#REF!</v>
      </c>
      <c r="DU1150" s="15" t="str">
        <f t="shared" si="5536"/>
        <v>#REF!</v>
      </c>
      <c r="DV1150" s="15" t="str">
        <f t="shared" si="5536"/>
        <v>#REF!</v>
      </c>
      <c r="DW1150" s="15" t="str">
        <f t="shared" si="5536"/>
        <v>#REF!</v>
      </c>
      <c r="DX1150" s="24" t="str">
        <f t="shared" si="5536"/>
        <v>#REF!</v>
      </c>
      <c r="DY1150" s="15" t="str">
        <f t="shared" si="5536"/>
        <v>#REF!</v>
      </c>
      <c r="DZ1150" s="15" t="str">
        <f t="shared" si="5536"/>
        <v>#REF!</v>
      </c>
      <c r="EA1150" s="15" t="str">
        <f t="shared" si="5536"/>
        <v>#REF!</v>
      </c>
      <c r="EB1150" s="15" t="str">
        <f t="shared" si="5536"/>
        <v>#REF!</v>
      </c>
      <c r="EC1150" s="24" t="str">
        <f t="shared" si="5536"/>
        <v>#REF!</v>
      </c>
      <c r="ED1150" s="15" t="str">
        <f t="shared" si="5536"/>
        <v>#REF!</v>
      </c>
      <c r="EE1150" s="15" t="str">
        <f t="shared" si="5536"/>
        <v>#REF!</v>
      </c>
      <c r="EF1150" s="15" t="str">
        <f t="shared" si="5536"/>
        <v>#REF!</v>
      </c>
      <c r="EG1150" s="15" t="str">
        <f t="shared" si="5536"/>
        <v>#REF!</v>
      </c>
      <c r="EH1150" s="24" t="str">
        <f t="shared" si="5536"/>
        <v>#REF!</v>
      </c>
      <c r="EI1150" s="82" t="str">
        <f t="shared" si="5536"/>
        <v>#REF!</v>
      </c>
      <c r="EJ1150" s="15" t="str">
        <f t="shared" si="5536"/>
        <v>#REF!</v>
      </c>
      <c r="EK1150" s="15" t="str">
        <f t="shared" si="5536"/>
        <v>#REF!</v>
      </c>
      <c r="EL1150" s="15" t="str">
        <f t="shared" si="5536"/>
        <v>#REF!</v>
      </c>
      <c r="EM1150" s="24" t="str">
        <f t="shared" si="5536"/>
        <v>#REF!</v>
      </c>
      <c r="EN1150" s="15" t="str">
        <f t="shared" si="5536"/>
        <v>#REF!</v>
      </c>
      <c r="EO1150" s="15" t="str">
        <f t="shared" si="5536"/>
        <v>#REF!</v>
      </c>
      <c r="EP1150" s="15" t="str">
        <f t="shared" si="5536"/>
        <v>#REF!</v>
      </c>
      <c r="EQ1150" s="15" t="str">
        <f t="shared" si="5536"/>
        <v>#REF!</v>
      </c>
      <c r="ER1150" s="24" t="str">
        <f t="shared" si="5536"/>
        <v>#REF!</v>
      </c>
      <c r="ES1150" s="15" t="str">
        <f t="shared" si="5536"/>
        <v>#REF!</v>
      </c>
      <c r="ET1150" s="15" t="str">
        <f t="shared" si="5536"/>
        <v>#REF!</v>
      </c>
      <c r="EU1150" s="15" t="str">
        <f t="shared" si="5536"/>
        <v>#REF!</v>
      </c>
      <c r="EV1150" s="15" t="str">
        <f t="shared" si="5536"/>
        <v>#REF!</v>
      </c>
      <c r="EW1150" s="24" t="str">
        <f t="shared" si="5536"/>
        <v>#REF!</v>
      </c>
      <c r="EX1150" s="15" t="str">
        <f t="shared" si="5536"/>
        <v>#REF!</v>
      </c>
      <c r="EY1150" s="15" t="str">
        <f t="shared" si="5536"/>
        <v>#REF!</v>
      </c>
      <c r="EZ1150" s="15" t="str">
        <f t="shared" si="5536"/>
        <v>#REF!</v>
      </c>
      <c r="FA1150" s="15" t="str">
        <f t="shared" si="5536"/>
        <v>#REF!</v>
      </c>
      <c r="FB1150" s="24" t="str">
        <f t="shared" si="5536"/>
        <v>#REF!</v>
      </c>
      <c r="FC1150" s="15" t="str">
        <f t="shared" si="5536"/>
        <v>#REF!</v>
      </c>
      <c r="FD1150" s="15" t="str">
        <f t="shared" si="5536"/>
        <v>#REF!</v>
      </c>
      <c r="FE1150" s="15" t="str">
        <f t="shared" si="5536"/>
        <v>#REF!</v>
      </c>
      <c r="FF1150" s="15" t="str">
        <f t="shared" si="5536"/>
        <v>#REF!</v>
      </c>
      <c r="FG1150" s="24" t="str">
        <f t="shared" si="5536"/>
        <v>#REF!</v>
      </c>
      <c r="FH1150" s="104"/>
      <c r="FI1150" s="15"/>
      <c r="FJ1150" s="15"/>
      <c r="FK1150" s="410"/>
      <c r="FL1150" s="15"/>
    </row>
    <row r="1151" ht="13.5" hidden="1" customHeight="1" outlineLevel="2">
      <c r="A1151" s="4"/>
      <c r="B1151" s="529" t="s">
        <v>291</v>
      </c>
      <c r="C1151" s="529"/>
      <c r="D1151" s="596"/>
      <c r="E1151" s="596"/>
      <c r="F1151" s="596"/>
      <c r="G1151" s="596"/>
      <c r="H1151" s="596"/>
      <c r="I1151" s="596" t="str">
        <f t="shared" ref="I1151:FG1151" si="5537">I1146/I$1146</f>
        <v>#ERROR!</v>
      </c>
      <c r="J1151" s="596" t="str">
        <f t="shared" si="5537"/>
        <v>#ERROR!</v>
      </c>
      <c r="K1151" s="596" t="str">
        <f t="shared" si="5537"/>
        <v>#ERROR!</v>
      </c>
      <c r="L1151" s="596" t="str">
        <f t="shared" si="5537"/>
        <v>#ERROR!</v>
      </c>
      <c r="M1151" s="596" t="str">
        <f t="shared" si="5537"/>
        <v>#ERROR!</v>
      </c>
      <c r="N1151" s="596" t="str">
        <f t="shared" si="5537"/>
        <v>#ERROR!</v>
      </c>
      <c r="O1151" s="596" t="str">
        <f t="shared" si="5537"/>
        <v>#ERROR!</v>
      </c>
      <c r="P1151" s="596" t="str">
        <f t="shared" si="5537"/>
        <v>#ERROR!</v>
      </c>
      <c r="Q1151" s="596" t="str">
        <f t="shared" si="5537"/>
        <v>#ERROR!</v>
      </c>
      <c r="R1151" s="596" t="str">
        <f t="shared" si="5537"/>
        <v>#ERROR!</v>
      </c>
      <c r="S1151" s="596" t="str">
        <f t="shared" si="5537"/>
        <v>#ERROR!</v>
      </c>
      <c r="T1151" s="596" t="str">
        <f t="shared" si="5537"/>
        <v>#ERROR!</v>
      </c>
      <c r="U1151" s="596" t="str">
        <f t="shared" si="5537"/>
        <v>#ERROR!</v>
      </c>
      <c r="V1151" s="596" t="str">
        <f t="shared" si="5537"/>
        <v>#ERROR!</v>
      </c>
      <c r="W1151" s="596" t="str">
        <f t="shared" si="5537"/>
        <v>#ERROR!</v>
      </c>
      <c r="X1151" s="596" t="str">
        <f t="shared" si="5537"/>
        <v>#ERROR!</v>
      </c>
      <c r="Y1151" s="596" t="str">
        <f t="shared" si="5537"/>
        <v>#ERROR!</v>
      </c>
      <c r="Z1151" s="596" t="str">
        <f t="shared" si="5537"/>
        <v>#ERROR!</v>
      </c>
      <c r="AA1151" s="596" t="str">
        <f t="shared" si="5537"/>
        <v>#ERROR!</v>
      </c>
      <c r="AB1151" s="596" t="str">
        <f t="shared" si="5537"/>
        <v>#ERROR!</v>
      </c>
      <c r="AC1151" s="596" t="str">
        <f t="shared" si="5537"/>
        <v>#ERROR!</v>
      </c>
      <c r="AD1151" s="596" t="str">
        <f t="shared" si="5537"/>
        <v>#ERROR!</v>
      </c>
      <c r="AE1151" s="596" t="str">
        <f t="shared" si="5537"/>
        <v>#ERROR!</v>
      </c>
      <c r="AF1151" s="596" t="str">
        <f t="shared" si="5537"/>
        <v>#ERROR!</v>
      </c>
      <c r="AG1151" s="596" t="str">
        <f t="shared" si="5537"/>
        <v>#ERROR!</v>
      </c>
      <c r="AH1151" s="596" t="str">
        <f t="shared" si="5537"/>
        <v>#ERROR!</v>
      </c>
      <c r="AI1151" s="596" t="str">
        <f t="shared" si="5537"/>
        <v>#ERROR!</v>
      </c>
      <c r="AJ1151" s="596" t="str">
        <f t="shared" si="5537"/>
        <v>#ERROR!</v>
      </c>
      <c r="AK1151" s="596" t="str">
        <f t="shared" si="5537"/>
        <v>#ERROR!</v>
      </c>
      <c r="AL1151" s="596" t="str">
        <f t="shared" si="5537"/>
        <v>#ERROR!</v>
      </c>
      <c r="AM1151" s="596" t="str">
        <f t="shared" si="5537"/>
        <v>#ERROR!</v>
      </c>
      <c r="AN1151" s="596" t="str">
        <f t="shared" si="5537"/>
        <v>#ERROR!</v>
      </c>
      <c r="AO1151" s="596" t="str">
        <f t="shared" si="5537"/>
        <v>#ERROR!</v>
      </c>
      <c r="AP1151" s="596" t="str">
        <f t="shared" si="5537"/>
        <v>#ERROR!</v>
      </c>
      <c r="AQ1151" s="596" t="str">
        <f t="shared" si="5537"/>
        <v>#ERROR!</v>
      </c>
      <c r="AR1151" s="596" t="str">
        <f t="shared" si="5537"/>
        <v>#ERROR!</v>
      </c>
      <c r="AS1151" s="596" t="str">
        <f t="shared" si="5537"/>
        <v>#ERROR!</v>
      </c>
      <c r="AT1151" s="596" t="str">
        <f t="shared" si="5537"/>
        <v>#ERROR!</v>
      </c>
      <c r="AU1151" s="596" t="str">
        <f t="shared" si="5537"/>
        <v>#ERROR!</v>
      </c>
      <c r="AV1151" s="596" t="str">
        <f t="shared" si="5537"/>
        <v>#ERROR!</v>
      </c>
      <c r="AW1151" s="596" t="str">
        <f t="shared" si="5537"/>
        <v>#ERROR!</v>
      </c>
      <c r="AX1151" s="596" t="str">
        <f t="shared" si="5537"/>
        <v>#ERROR!</v>
      </c>
      <c r="AY1151" s="596" t="str">
        <f t="shared" si="5537"/>
        <v>#ERROR!</v>
      </c>
      <c r="AZ1151" s="596" t="str">
        <f t="shared" si="5537"/>
        <v>#ERROR!</v>
      </c>
      <c r="BA1151" s="596" t="str">
        <f t="shared" si="5537"/>
        <v>#ERROR!</v>
      </c>
      <c r="BB1151" s="596" t="str">
        <f t="shared" si="5537"/>
        <v>#ERROR!</v>
      </c>
      <c r="BC1151" s="596" t="str">
        <f t="shared" si="5537"/>
        <v>#ERROR!</v>
      </c>
      <c r="BD1151" s="596" t="str">
        <f t="shared" si="5537"/>
        <v>#ERROR!</v>
      </c>
      <c r="BE1151" s="596" t="str">
        <f t="shared" si="5537"/>
        <v>#ERROR!</v>
      </c>
      <c r="BF1151" s="596" t="str">
        <f t="shared" si="5537"/>
        <v>#ERROR!</v>
      </c>
      <c r="BG1151" s="596" t="str">
        <f t="shared" si="5537"/>
        <v>#ERROR!</v>
      </c>
      <c r="BH1151" s="596" t="str">
        <f t="shared" si="5537"/>
        <v>#ERROR!</v>
      </c>
      <c r="BI1151" s="596" t="str">
        <f t="shared" si="5537"/>
        <v>#ERROR!</v>
      </c>
      <c r="BJ1151" s="596" t="str">
        <f t="shared" si="5537"/>
        <v>#ERROR!</v>
      </c>
      <c r="BK1151" s="596" t="str">
        <f t="shared" si="5537"/>
        <v>#ERROR!</v>
      </c>
      <c r="BL1151" s="596" t="str">
        <f t="shared" si="5537"/>
        <v>#ERROR!</v>
      </c>
      <c r="BM1151" s="596" t="str">
        <f t="shared" si="5537"/>
        <v>#ERROR!</v>
      </c>
      <c r="BN1151" s="596" t="str">
        <f t="shared" si="5537"/>
        <v>#ERROR!</v>
      </c>
      <c r="BO1151" s="596" t="str">
        <f t="shared" si="5537"/>
        <v>#ERROR!</v>
      </c>
      <c r="BP1151" s="596" t="str">
        <f t="shared" si="5537"/>
        <v>#ERROR!</v>
      </c>
      <c r="BQ1151" s="596" t="str">
        <f t="shared" si="5537"/>
        <v>#ERROR!</v>
      </c>
      <c r="BR1151" s="596" t="str">
        <f t="shared" si="5537"/>
        <v>#ERROR!</v>
      </c>
      <c r="BS1151" s="596" t="str">
        <f t="shared" si="5537"/>
        <v>#ERROR!</v>
      </c>
      <c r="BT1151" s="596" t="str">
        <f t="shared" si="5537"/>
        <v>#ERROR!</v>
      </c>
      <c r="BU1151" s="596" t="str">
        <f t="shared" si="5537"/>
        <v>#ERROR!</v>
      </c>
      <c r="BV1151" s="596" t="str">
        <f t="shared" si="5537"/>
        <v>#ERROR!</v>
      </c>
      <c r="BW1151" s="596" t="str">
        <f t="shared" si="5537"/>
        <v>#ERROR!</v>
      </c>
      <c r="BX1151" s="596" t="str">
        <f t="shared" si="5537"/>
        <v>#ERROR!</v>
      </c>
      <c r="BY1151" s="596" t="str">
        <f t="shared" si="5537"/>
        <v>#ERROR!</v>
      </c>
      <c r="BZ1151" s="597" t="str">
        <f t="shared" si="5537"/>
        <v>#ERROR!</v>
      </c>
      <c r="CA1151" s="596" t="str">
        <f t="shared" si="5537"/>
        <v>#ERROR!</v>
      </c>
      <c r="CB1151" s="596" t="str">
        <f t="shared" si="5537"/>
        <v>#ERROR!</v>
      </c>
      <c r="CC1151" s="596" t="str">
        <f t="shared" si="5537"/>
        <v>#ERROR!</v>
      </c>
      <c r="CD1151" s="596" t="str">
        <f t="shared" si="5537"/>
        <v>#ERROR!</v>
      </c>
      <c r="CE1151" s="597" t="str">
        <f t="shared" si="5537"/>
        <v>#ERROR!</v>
      </c>
      <c r="CF1151" s="596" t="str">
        <f t="shared" si="5537"/>
        <v>#ERROR!</v>
      </c>
      <c r="CG1151" s="596" t="str">
        <f t="shared" si="5537"/>
        <v>#ERROR!</v>
      </c>
      <c r="CH1151" s="596" t="str">
        <f t="shared" si="5537"/>
        <v>#ERROR!</v>
      </c>
      <c r="CI1151" s="596" t="str">
        <f t="shared" si="5537"/>
        <v>#ERROR!</v>
      </c>
      <c r="CJ1151" s="597" t="str">
        <f t="shared" si="5537"/>
        <v>#ERROR!</v>
      </c>
      <c r="CK1151" s="596" t="str">
        <f t="shared" si="5537"/>
        <v>#ERROR!</v>
      </c>
      <c r="CL1151" s="596" t="str">
        <f t="shared" si="5537"/>
        <v>#ERROR!</v>
      </c>
      <c r="CM1151" s="596" t="str">
        <f t="shared" si="5537"/>
        <v>#ERROR!</v>
      </c>
      <c r="CN1151" s="595" t="str">
        <f t="shared" si="5537"/>
        <v>#ERROR!</v>
      </c>
      <c r="CO1151" s="597" t="str">
        <f t="shared" si="5537"/>
        <v>#ERROR!</v>
      </c>
      <c r="CP1151" s="595" t="str">
        <f t="shared" si="5537"/>
        <v>#ERROR!</v>
      </c>
      <c r="CQ1151" s="596" t="str">
        <f t="shared" si="5537"/>
        <v>#ERROR!</v>
      </c>
      <c r="CR1151" s="596" t="str">
        <f t="shared" si="5537"/>
        <v>#ERROR!</v>
      </c>
      <c r="CS1151" s="596" t="str">
        <f t="shared" si="5537"/>
        <v>#ERROR!</v>
      </c>
      <c r="CT1151" s="597" t="str">
        <f t="shared" si="5537"/>
        <v>#ERROR!</v>
      </c>
      <c r="CU1151" s="596" t="str">
        <f t="shared" si="5537"/>
        <v>#ERROR!</v>
      </c>
      <c r="CV1151" s="596" t="str">
        <f t="shared" si="5537"/>
        <v>#ERROR!</v>
      </c>
      <c r="CW1151" s="596" t="str">
        <f t="shared" si="5537"/>
        <v>#ERROR!</v>
      </c>
      <c r="CX1151" s="596" t="str">
        <f t="shared" si="5537"/>
        <v>#ERROR!</v>
      </c>
      <c r="CY1151" s="597" t="str">
        <f t="shared" si="5537"/>
        <v>#ERROR!</v>
      </c>
      <c r="CZ1151" s="596" t="str">
        <f t="shared" si="5537"/>
        <v>#ERROR!</v>
      </c>
      <c r="DA1151" s="596" t="str">
        <f t="shared" si="5537"/>
        <v>#ERROR!</v>
      </c>
      <c r="DB1151" s="596" t="str">
        <f t="shared" si="5537"/>
        <v>#ERROR!</v>
      </c>
      <c r="DC1151" s="596" t="str">
        <f t="shared" si="5537"/>
        <v>#ERROR!</v>
      </c>
      <c r="DD1151" s="597" t="str">
        <f t="shared" si="5537"/>
        <v>#ERROR!</v>
      </c>
      <c r="DE1151" s="596" t="str">
        <f t="shared" si="5537"/>
        <v>#ERROR!</v>
      </c>
      <c r="DF1151" s="596" t="str">
        <f t="shared" si="5537"/>
        <v>#ERROR!</v>
      </c>
      <c r="DG1151" s="104" t="str">
        <f t="shared" si="5537"/>
        <v>#ERROR!</v>
      </c>
      <c r="DH1151" s="596" t="str">
        <f t="shared" si="5537"/>
        <v>#ERROR!</v>
      </c>
      <c r="DI1151" s="597" t="str">
        <f t="shared" si="5537"/>
        <v>#ERROR!</v>
      </c>
      <c r="DJ1151" s="595" t="str">
        <f t="shared" si="5537"/>
        <v>#ERROR!</v>
      </c>
      <c r="DK1151" s="595" t="str">
        <f t="shared" si="5537"/>
        <v>#ERROR!</v>
      </c>
      <c r="DL1151" s="595" t="str">
        <f t="shared" si="5537"/>
        <v>#ERROR!</v>
      </c>
      <c r="DM1151" s="596" t="str">
        <f t="shared" si="5537"/>
        <v>#ERROR!</v>
      </c>
      <c r="DN1151" s="597" t="str">
        <f t="shared" si="5537"/>
        <v>#ERROR!</v>
      </c>
      <c r="DO1151" s="596" t="str">
        <f t="shared" si="5537"/>
        <v>#ERROR!</v>
      </c>
      <c r="DP1151" s="596" t="str">
        <f t="shared" si="5537"/>
        <v>#ERROR!</v>
      </c>
      <c r="DQ1151" s="596" t="str">
        <f t="shared" si="5537"/>
        <v>#ERROR!</v>
      </c>
      <c r="DR1151" s="596" t="str">
        <f t="shared" si="5537"/>
        <v>#ERROR!</v>
      </c>
      <c r="DS1151" s="597" t="str">
        <f t="shared" si="5537"/>
        <v>#ERROR!</v>
      </c>
      <c r="DT1151" s="596" t="str">
        <f t="shared" si="5537"/>
        <v>#ERROR!</v>
      </c>
      <c r="DU1151" s="596" t="str">
        <f t="shared" si="5537"/>
        <v>#ERROR!</v>
      </c>
      <c r="DV1151" s="596" t="str">
        <f t="shared" si="5537"/>
        <v>#ERROR!</v>
      </c>
      <c r="DW1151" s="596" t="str">
        <f t="shared" si="5537"/>
        <v>#ERROR!</v>
      </c>
      <c r="DX1151" s="597" t="str">
        <f t="shared" si="5537"/>
        <v>#ERROR!</v>
      </c>
      <c r="DY1151" s="596" t="str">
        <f t="shared" si="5537"/>
        <v>#ERROR!</v>
      </c>
      <c r="DZ1151" s="596" t="str">
        <f t="shared" si="5537"/>
        <v>#ERROR!</v>
      </c>
      <c r="EA1151" s="596" t="str">
        <f t="shared" si="5537"/>
        <v>#ERROR!</v>
      </c>
      <c r="EB1151" s="596" t="str">
        <f t="shared" si="5537"/>
        <v>#ERROR!</v>
      </c>
      <c r="EC1151" s="597" t="str">
        <f t="shared" si="5537"/>
        <v>#ERROR!</v>
      </c>
      <c r="ED1151" s="596" t="str">
        <f t="shared" si="5537"/>
        <v>#ERROR!</v>
      </c>
      <c r="EE1151" s="596" t="str">
        <f t="shared" si="5537"/>
        <v>#ERROR!</v>
      </c>
      <c r="EF1151" s="596" t="str">
        <f t="shared" si="5537"/>
        <v>#ERROR!</v>
      </c>
      <c r="EG1151" s="596" t="str">
        <f t="shared" si="5537"/>
        <v>#ERROR!</v>
      </c>
      <c r="EH1151" s="597" t="str">
        <f t="shared" si="5537"/>
        <v>#ERROR!</v>
      </c>
      <c r="EI1151" s="598" t="str">
        <f t="shared" si="5537"/>
        <v>#ERROR!</v>
      </c>
      <c r="EJ1151" s="596" t="str">
        <f t="shared" si="5537"/>
        <v>#ERROR!</v>
      </c>
      <c r="EK1151" s="596" t="str">
        <f t="shared" si="5537"/>
        <v>#ERROR!</v>
      </c>
      <c r="EL1151" s="596" t="str">
        <f t="shared" si="5537"/>
        <v>#ERROR!</v>
      </c>
      <c r="EM1151" s="597" t="str">
        <f t="shared" si="5537"/>
        <v>#ERROR!</v>
      </c>
      <c r="EN1151" s="596" t="str">
        <f t="shared" si="5537"/>
        <v>#ERROR!</v>
      </c>
      <c r="EO1151" s="596" t="str">
        <f t="shared" si="5537"/>
        <v>#ERROR!</v>
      </c>
      <c r="EP1151" s="596" t="str">
        <f t="shared" si="5537"/>
        <v>#ERROR!</v>
      </c>
      <c r="EQ1151" s="596" t="str">
        <f t="shared" si="5537"/>
        <v>#ERROR!</v>
      </c>
      <c r="ER1151" s="597" t="str">
        <f t="shared" si="5537"/>
        <v>#ERROR!</v>
      </c>
      <c r="ES1151" s="596" t="str">
        <f t="shared" si="5537"/>
        <v>#ERROR!</v>
      </c>
      <c r="ET1151" s="596" t="str">
        <f t="shared" si="5537"/>
        <v>#ERROR!</v>
      </c>
      <c r="EU1151" s="596" t="str">
        <f t="shared" si="5537"/>
        <v>#ERROR!</v>
      </c>
      <c r="EV1151" s="596" t="str">
        <f t="shared" si="5537"/>
        <v>#ERROR!</v>
      </c>
      <c r="EW1151" s="597" t="str">
        <f t="shared" si="5537"/>
        <v>#ERROR!</v>
      </c>
      <c r="EX1151" s="596" t="str">
        <f t="shared" si="5537"/>
        <v>#ERROR!</v>
      </c>
      <c r="EY1151" s="596" t="str">
        <f t="shared" si="5537"/>
        <v>#ERROR!</v>
      </c>
      <c r="EZ1151" s="596" t="str">
        <f t="shared" si="5537"/>
        <v>#ERROR!</v>
      </c>
      <c r="FA1151" s="596" t="str">
        <f t="shared" si="5537"/>
        <v>#ERROR!</v>
      </c>
      <c r="FB1151" s="597" t="str">
        <f t="shared" si="5537"/>
        <v>#ERROR!</v>
      </c>
      <c r="FC1151" s="596" t="str">
        <f t="shared" si="5537"/>
        <v>#ERROR!</v>
      </c>
      <c r="FD1151" s="596" t="str">
        <f t="shared" si="5537"/>
        <v>#ERROR!</v>
      </c>
      <c r="FE1151" s="596" t="str">
        <f t="shared" si="5537"/>
        <v>#ERROR!</v>
      </c>
      <c r="FF1151" s="596" t="str">
        <f t="shared" si="5537"/>
        <v>#ERROR!</v>
      </c>
      <c r="FG1151" s="597" t="str">
        <f t="shared" si="5537"/>
        <v>#ERROR!</v>
      </c>
      <c r="FH1151" s="595"/>
      <c r="FI1151" s="596"/>
      <c r="FJ1151" s="596"/>
      <c r="FK1151" s="596"/>
      <c r="FL1151" s="596"/>
    </row>
    <row r="1152" ht="12.75" hidden="1" customHeight="1" outlineLevel="2">
      <c r="A1152" s="4"/>
      <c r="B1152" s="4"/>
      <c r="C1152" s="4"/>
      <c r="D1152" s="4"/>
      <c r="E1152" s="4"/>
      <c r="F1152" s="4"/>
      <c r="G1152" s="4"/>
      <c r="H1152" s="45"/>
      <c r="I1152" s="4"/>
      <c r="J1152" s="4"/>
      <c r="K1152" s="4"/>
      <c r="L1152" s="4"/>
      <c r="M1152" s="45"/>
      <c r="N1152" s="4"/>
      <c r="O1152" s="4"/>
      <c r="P1152" s="4"/>
      <c r="Q1152" s="4"/>
      <c r="R1152" s="45"/>
      <c r="S1152" s="4"/>
      <c r="T1152" s="4"/>
      <c r="U1152" s="4"/>
      <c r="V1152" s="4"/>
      <c r="W1152" s="45"/>
      <c r="X1152" s="4"/>
      <c r="Y1152" s="4"/>
      <c r="Z1152" s="4"/>
      <c r="AA1152" s="4"/>
      <c r="AB1152" s="45"/>
      <c r="AC1152" s="4"/>
      <c r="AD1152" s="4"/>
      <c r="AE1152" s="4"/>
      <c r="AF1152" s="4"/>
      <c r="AG1152" s="45"/>
      <c r="AH1152" s="4"/>
      <c r="AI1152" s="4"/>
      <c r="AJ1152" s="4"/>
      <c r="AK1152" s="4"/>
      <c r="AL1152" s="45"/>
      <c r="AM1152" s="4"/>
      <c r="AN1152" s="4"/>
      <c r="AO1152" s="4"/>
      <c r="AP1152" s="4"/>
      <c r="AQ1152" s="45"/>
      <c r="AR1152" s="4"/>
      <c r="AS1152" s="4"/>
      <c r="AT1152" s="4"/>
      <c r="AU1152" s="4"/>
      <c r="AV1152" s="45"/>
      <c r="AW1152" s="4"/>
      <c r="AX1152" s="4"/>
      <c r="AY1152" s="4"/>
      <c r="AZ1152" s="4"/>
      <c r="BA1152" s="45"/>
      <c r="BB1152" s="4"/>
      <c r="BC1152" s="4"/>
      <c r="BD1152" s="4"/>
      <c r="BE1152" s="4"/>
      <c r="BF1152" s="45"/>
      <c r="BG1152" s="4"/>
      <c r="BH1152" s="4"/>
      <c r="BI1152" s="4"/>
      <c r="BJ1152" s="4"/>
      <c r="BK1152" s="45"/>
      <c r="BL1152" s="4"/>
      <c r="BM1152" s="4"/>
      <c r="BN1152" s="4"/>
      <c r="BO1152" s="4"/>
      <c r="BP1152" s="45"/>
      <c r="BQ1152" s="4"/>
      <c r="BR1152" s="4"/>
      <c r="BS1152" s="4"/>
      <c r="BT1152" s="4"/>
      <c r="BU1152" s="45"/>
      <c r="BV1152" s="4"/>
      <c r="BW1152" s="4"/>
      <c r="BX1152" s="4"/>
      <c r="BY1152" s="4"/>
      <c r="BZ1152" s="350"/>
      <c r="CA1152" s="4"/>
      <c r="CB1152" s="4"/>
      <c r="CC1152" s="4"/>
      <c r="CD1152" s="4"/>
      <c r="CE1152" s="350"/>
      <c r="CF1152" s="4"/>
      <c r="CG1152" s="4"/>
      <c r="CH1152" s="4"/>
      <c r="CI1152" s="4"/>
      <c r="CJ1152" s="350"/>
      <c r="CK1152" s="4"/>
      <c r="CL1152" s="4"/>
      <c r="CM1152" s="4"/>
      <c r="CN1152" s="16"/>
      <c r="CO1152" s="350"/>
      <c r="CP1152" s="16"/>
      <c r="CQ1152" s="4"/>
      <c r="CR1152" s="4"/>
      <c r="CS1152" s="4"/>
      <c r="CT1152" s="350"/>
      <c r="CU1152" s="4"/>
      <c r="CV1152" s="4"/>
      <c r="CW1152" s="4"/>
      <c r="CX1152" s="4"/>
      <c r="CY1152" s="350"/>
      <c r="CZ1152" s="4"/>
      <c r="DA1152" s="4"/>
      <c r="DB1152" s="4"/>
      <c r="DC1152" s="4"/>
      <c r="DD1152" s="350"/>
      <c r="DE1152" s="4"/>
      <c r="DF1152" s="4"/>
      <c r="DG1152" s="16"/>
      <c r="DH1152" s="4"/>
      <c r="DI1152" s="350"/>
      <c r="DJ1152" s="16"/>
      <c r="DK1152" s="16"/>
      <c r="DL1152" s="16"/>
      <c r="DM1152" s="4"/>
      <c r="DN1152" s="350"/>
      <c r="DO1152" s="4"/>
      <c r="DP1152" s="4"/>
      <c r="DQ1152" s="4"/>
      <c r="DR1152" s="4"/>
      <c r="DS1152" s="350"/>
      <c r="DT1152" s="4"/>
      <c r="DU1152" s="4"/>
      <c r="DV1152" s="4"/>
      <c r="DW1152" s="4"/>
      <c r="DX1152" s="350"/>
      <c r="DY1152" s="4"/>
      <c r="DZ1152" s="4"/>
      <c r="EA1152" s="4"/>
      <c r="EB1152" s="4"/>
      <c r="EC1152" s="350"/>
      <c r="ED1152" s="4"/>
      <c r="EE1152" s="4"/>
      <c r="EF1152" s="4"/>
      <c r="EG1152" s="4"/>
      <c r="EH1152" s="350"/>
      <c r="EI1152" s="214"/>
      <c r="EJ1152" s="4"/>
      <c r="EK1152" s="4"/>
      <c r="EL1152" s="4"/>
      <c r="EM1152" s="350"/>
      <c r="EN1152" s="4"/>
      <c r="EO1152" s="4"/>
      <c r="EP1152" s="4"/>
      <c r="EQ1152" s="4"/>
      <c r="ER1152" s="350"/>
      <c r="ES1152" s="4"/>
      <c r="ET1152" s="4"/>
      <c r="EU1152" s="4"/>
      <c r="EV1152" s="4"/>
      <c r="EW1152" s="350"/>
      <c r="EX1152" s="4"/>
      <c r="EY1152" s="4"/>
      <c r="EZ1152" s="4"/>
      <c r="FA1152" s="4"/>
      <c r="FB1152" s="350"/>
      <c r="FC1152" s="4"/>
      <c r="FD1152" s="4"/>
      <c r="FE1152" s="4"/>
      <c r="FF1152" s="4"/>
      <c r="FG1152" s="350"/>
      <c r="FH1152" s="145"/>
      <c r="FI1152" s="4"/>
      <c r="FJ1152" s="4"/>
      <c r="FK1152" s="45"/>
      <c r="FL1152" s="4"/>
    </row>
    <row r="1153" ht="12.75" hidden="1" customHeight="1" outlineLevel="1">
      <c r="A1153" s="4"/>
      <c r="B1153" s="45" t="s">
        <v>429</v>
      </c>
      <c r="C1153" s="4"/>
      <c r="D1153" s="735"/>
      <c r="E1153" s="735"/>
      <c r="F1153" s="735"/>
      <c r="G1153" s="735"/>
      <c r="H1153" s="735"/>
      <c r="I1153" s="735" t="str">
        <f t="shared" ref="I1153:FG1153" si="5538">1000*I1146/I1135</f>
        <v>#ERROR!</v>
      </c>
      <c r="J1153" s="735" t="str">
        <f t="shared" si="5538"/>
        <v>#ERROR!</v>
      </c>
      <c r="K1153" s="735" t="str">
        <f t="shared" si="5538"/>
        <v>#ERROR!</v>
      </c>
      <c r="L1153" s="735" t="str">
        <f t="shared" si="5538"/>
        <v>#ERROR!</v>
      </c>
      <c r="M1153" s="735" t="str">
        <f t="shared" si="5538"/>
        <v>#ERROR!</v>
      </c>
      <c r="N1153" s="735" t="str">
        <f t="shared" si="5538"/>
        <v>#ERROR!</v>
      </c>
      <c r="O1153" s="735" t="str">
        <f t="shared" si="5538"/>
        <v>#ERROR!</v>
      </c>
      <c r="P1153" s="735" t="str">
        <f t="shared" si="5538"/>
        <v>#ERROR!</v>
      </c>
      <c r="Q1153" s="735" t="str">
        <f t="shared" si="5538"/>
        <v>#ERROR!</v>
      </c>
      <c r="R1153" s="735" t="str">
        <f t="shared" si="5538"/>
        <v>#ERROR!</v>
      </c>
      <c r="S1153" s="735" t="str">
        <f t="shared" si="5538"/>
        <v>#ERROR!</v>
      </c>
      <c r="T1153" s="735" t="str">
        <f t="shared" si="5538"/>
        <v>#ERROR!</v>
      </c>
      <c r="U1153" s="735" t="str">
        <f t="shared" si="5538"/>
        <v>#ERROR!</v>
      </c>
      <c r="V1153" s="735" t="str">
        <f t="shared" si="5538"/>
        <v>#ERROR!</v>
      </c>
      <c r="W1153" s="735" t="str">
        <f t="shared" si="5538"/>
        <v>#ERROR!</v>
      </c>
      <c r="X1153" s="735" t="str">
        <f t="shared" si="5538"/>
        <v>#ERROR!</v>
      </c>
      <c r="Y1153" s="735" t="str">
        <f t="shared" si="5538"/>
        <v>#ERROR!</v>
      </c>
      <c r="Z1153" s="735" t="str">
        <f t="shared" si="5538"/>
        <v>#ERROR!</v>
      </c>
      <c r="AA1153" s="735" t="str">
        <f t="shared" si="5538"/>
        <v>#ERROR!</v>
      </c>
      <c r="AB1153" s="735" t="str">
        <f t="shared" si="5538"/>
        <v>#ERROR!</v>
      </c>
      <c r="AC1153" s="735" t="str">
        <f t="shared" si="5538"/>
        <v>#ERROR!</v>
      </c>
      <c r="AD1153" s="735" t="str">
        <f t="shared" si="5538"/>
        <v>#ERROR!</v>
      </c>
      <c r="AE1153" s="735" t="str">
        <f t="shared" si="5538"/>
        <v>#ERROR!</v>
      </c>
      <c r="AF1153" s="735" t="str">
        <f t="shared" si="5538"/>
        <v>#ERROR!</v>
      </c>
      <c r="AG1153" s="735" t="str">
        <f t="shared" si="5538"/>
        <v>#ERROR!</v>
      </c>
      <c r="AH1153" s="735" t="str">
        <f t="shared" si="5538"/>
        <v>#ERROR!</v>
      </c>
      <c r="AI1153" s="735" t="str">
        <f t="shared" si="5538"/>
        <v>#ERROR!</v>
      </c>
      <c r="AJ1153" s="735" t="str">
        <f t="shared" si="5538"/>
        <v>#ERROR!</v>
      </c>
      <c r="AK1153" s="735" t="str">
        <f t="shared" si="5538"/>
        <v>#ERROR!</v>
      </c>
      <c r="AL1153" s="735" t="str">
        <f t="shared" si="5538"/>
        <v>#ERROR!</v>
      </c>
      <c r="AM1153" s="735" t="str">
        <f t="shared" si="5538"/>
        <v>#ERROR!</v>
      </c>
      <c r="AN1153" s="735" t="str">
        <f t="shared" si="5538"/>
        <v>#ERROR!</v>
      </c>
      <c r="AO1153" s="735" t="str">
        <f t="shared" si="5538"/>
        <v>#ERROR!</v>
      </c>
      <c r="AP1153" s="735" t="str">
        <f t="shared" si="5538"/>
        <v>#ERROR!</v>
      </c>
      <c r="AQ1153" s="735" t="str">
        <f t="shared" si="5538"/>
        <v>#ERROR!</v>
      </c>
      <c r="AR1153" s="735" t="str">
        <f t="shared" si="5538"/>
        <v>#ERROR!</v>
      </c>
      <c r="AS1153" s="735" t="str">
        <f t="shared" si="5538"/>
        <v>#ERROR!</v>
      </c>
      <c r="AT1153" s="735" t="str">
        <f t="shared" si="5538"/>
        <v>#ERROR!</v>
      </c>
      <c r="AU1153" s="735" t="str">
        <f t="shared" si="5538"/>
        <v>#ERROR!</v>
      </c>
      <c r="AV1153" s="735" t="str">
        <f t="shared" si="5538"/>
        <v>#ERROR!</v>
      </c>
      <c r="AW1153" s="735" t="str">
        <f t="shared" si="5538"/>
        <v>#ERROR!</v>
      </c>
      <c r="AX1153" s="735" t="str">
        <f t="shared" si="5538"/>
        <v>#ERROR!</v>
      </c>
      <c r="AY1153" s="735" t="str">
        <f t="shared" si="5538"/>
        <v>#ERROR!</v>
      </c>
      <c r="AZ1153" s="735" t="str">
        <f t="shared" si="5538"/>
        <v>#ERROR!</v>
      </c>
      <c r="BA1153" s="735" t="str">
        <f t="shared" si="5538"/>
        <v>#ERROR!</v>
      </c>
      <c r="BB1153" s="735" t="str">
        <f t="shared" si="5538"/>
        <v>#ERROR!</v>
      </c>
      <c r="BC1153" s="735" t="str">
        <f t="shared" si="5538"/>
        <v>#ERROR!</v>
      </c>
      <c r="BD1153" s="735" t="str">
        <f t="shared" si="5538"/>
        <v>#ERROR!</v>
      </c>
      <c r="BE1153" s="735" t="str">
        <f t="shared" si="5538"/>
        <v>#ERROR!</v>
      </c>
      <c r="BF1153" s="735" t="str">
        <f t="shared" si="5538"/>
        <v>#ERROR!</v>
      </c>
      <c r="BG1153" s="735" t="str">
        <f t="shared" si="5538"/>
        <v>#ERROR!</v>
      </c>
      <c r="BH1153" s="735" t="str">
        <f t="shared" si="5538"/>
        <v>#ERROR!</v>
      </c>
      <c r="BI1153" s="735" t="str">
        <f t="shared" si="5538"/>
        <v>#ERROR!</v>
      </c>
      <c r="BJ1153" s="735" t="str">
        <f t="shared" si="5538"/>
        <v>#ERROR!</v>
      </c>
      <c r="BK1153" s="735" t="str">
        <f t="shared" si="5538"/>
        <v>#ERROR!</v>
      </c>
      <c r="BL1153" s="735" t="str">
        <f t="shared" si="5538"/>
        <v>#ERROR!</v>
      </c>
      <c r="BM1153" s="735" t="str">
        <f t="shared" si="5538"/>
        <v>#ERROR!</v>
      </c>
      <c r="BN1153" s="735" t="str">
        <f t="shared" si="5538"/>
        <v>#ERROR!</v>
      </c>
      <c r="BO1153" s="735" t="str">
        <f t="shared" si="5538"/>
        <v>#ERROR!</v>
      </c>
      <c r="BP1153" s="735" t="str">
        <f t="shared" si="5538"/>
        <v>#ERROR!</v>
      </c>
      <c r="BQ1153" s="735" t="str">
        <f t="shared" si="5538"/>
        <v>#ERROR!</v>
      </c>
      <c r="BR1153" s="735" t="str">
        <f t="shared" si="5538"/>
        <v>#ERROR!</v>
      </c>
      <c r="BS1153" s="735" t="str">
        <f t="shared" si="5538"/>
        <v>#ERROR!</v>
      </c>
      <c r="BT1153" s="735" t="str">
        <f t="shared" si="5538"/>
        <v>#ERROR!</v>
      </c>
      <c r="BU1153" s="735" t="str">
        <f t="shared" si="5538"/>
        <v>#ERROR!</v>
      </c>
      <c r="BV1153" s="735" t="str">
        <f t="shared" si="5538"/>
        <v>#ERROR!</v>
      </c>
      <c r="BW1153" s="735" t="str">
        <f t="shared" si="5538"/>
        <v>#ERROR!</v>
      </c>
      <c r="BX1153" s="735" t="str">
        <f t="shared" si="5538"/>
        <v>#ERROR!</v>
      </c>
      <c r="BY1153" s="735" t="str">
        <f t="shared" si="5538"/>
        <v>#ERROR!</v>
      </c>
      <c r="BZ1153" s="736" t="str">
        <f t="shared" si="5538"/>
        <v>#ERROR!</v>
      </c>
      <c r="CA1153" s="735" t="str">
        <f t="shared" si="5538"/>
        <v>#ERROR!</v>
      </c>
      <c r="CB1153" s="735" t="str">
        <f t="shared" si="5538"/>
        <v>#ERROR!</v>
      </c>
      <c r="CC1153" s="735" t="str">
        <f t="shared" si="5538"/>
        <v>#ERROR!</v>
      </c>
      <c r="CD1153" s="735" t="str">
        <f t="shared" si="5538"/>
        <v>#ERROR!</v>
      </c>
      <c r="CE1153" s="736" t="str">
        <f t="shared" si="5538"/>
        <v>#ERROR!</v>
      </c>
      <c r="CF1153" s="735" t="str">
        <f t="shared" si="5538"/>
        <v>#ERROR!</v>
      </c>
      <c r="CG1153" s="735" t="str">
        <f t="shared" si="5538"/>
        <v>#ERROR!</v>
      </c>
      <c r="CH1153" s="735" t="str">
        <f t="shared" si="5538"/>
        <v>#ERROR!</v>
      </c>
      <c r="CI1153" s="735" t="str">
        <f t="shared" si="5538"/>
        <v>#ERROR!</v>
      </c>
      <c r="CJ1153" s="736" t="str">
        <f t="shared" si="5538"/>
        <v>#ERROR!</v>
      </c>
      <c r="CK1153" s="735" t="str">
        <f t="shared" si="5538"/>
        <v>#ERROR!</v>
      </c>
      <c r="CL1153" s="735" t="str">
        <f t="shared" si="5538"/>
        <v>#ERROR!</v>
      </c>
      <c r="CM1153" s="735" t="str">
        <f t="shared" si="5538"/>
        <v>#ERROR!</v>
      </c>
      <c r="CN1153" s="737" t="str">
        <f t="shared" si="5538"/>
        <v>#ERROR!</v>
      </c>
      <c r="CO1153" s="736" t="str">
        <f t="shared" si="5538"/>
        <v>#ERROR!</v>
      </c>
      <c r="CP1153" s="737" t="str">
        <f t="shared" si="5538"/>
        <v>#ERROR!</v>
      </c>
      <c r="CQ1153" s="735" t="str">
        <f t="shared" si="5538"/>
        <v>#ERROR!</v>
      </c>
      <c r="CR1153" s="735" t="str">
        <f t="shared" si="5538"/>
        <v>#ERROR!</v>
      </c>
      <c r="CS1153" s="735" t="str">
        <f t="shared" si="5538"/>
        <v>#ERROR!</v>
      </c>
      <c r="CT1153" s="736" t="str">
        <f t="shared" si="5538"/>
        <v>#ERROR!</v>
      </c>
      <c r="CU1153" s="735" t="str">
        <f t="shared" si="5538"/>
        <v>#ERROR!</v>
      </c>
      <c r="CV1153" s="735" t="str">
        <f t="shared" si="5538"/>
        <v>#ERROR!</v>
      </c>
      <c r="CW1153" s="735" t="str">
        <f t="shared" si="5538"/>
        <v>#ERROR!</v>
      </c>
      <c r="CX1153" s="735" t="str">
        <f t="shared" si="5538"/>
        <v>#ERROR!</v>
      </c>
      <c r="CY1153" s="736" t="str">
        <f t="shared" si="5538"/>
        <v>#ERROR!</v>
      </c>
      <c r="CZ1153" s="735" t="str">
        <f t="shared" si="5538"/>
        <v>#ERROR!</v>
      </c>
      <c r="DA1153" s="735" t="str">
        <f t="shared" si="5538"/>
        <v>#ERROR!</v>
      </c>
      <c r="DB1153" s="735" t="str">
        <f t="shared" si="5538"/>
        <v>#ERROR!</v>
      </c>
      <c r="DC1153" s="735" t="str">
        <f t="shared" si="5538"/>
        <v>#ERROR!</v>
      </c>
      <c r="DD1153" s="736" t="str">
        <f t="shared" si="5538"/>
        <v>#ERROR!</v>
      </c>
      <c r="DE1153" s="735" t="str">
        <f t="shared" si="5538"/>
        <v>#ERROR!</v>
      </c>
      <c r="DF1153" s="735" t="str">
        <f t="shared" si="5538"/>
        <v>#ERROR!</v>
      </c>
      <c r="DG1153" s="667" t="str">
        <f t="shared" si="5538"/>
        <v>#ERROR!</v>
      </c>
      <c r="DH1153" s="735" t="str">
        <f t="shared" si="5538"/>
        <v>#ERROR!</v>
      </c>
      <c r="DI1153" s="736" t="str">
        <f t="shared" si="5538"/>
        <v>#ERROR!</v>
      </c>
      <c r="DJ1153" s="737" t="str">
        <f t="shared" si="5538"/>
        <v>#ERROR!</v>
      </c>
      <c r="DK1153" s="737" t="str">
        <f t="shared" si="5538"/>
        <v>#ERROR!</v>
      </c>
      <c r="DL1153" s="737" t="str">
        <f t="shared" si="5538"/>
        <v>#ERROR!</v>
      </c>
      <c r="DM1153" s="735" t="str">
        <f t="shared" si="5538"/>
        <v>#ERROR!</v>
      </c>
      <c r="DN1153" s="736" t="str">
        <f t="shared" si="5538"/>
        <v>#ERROR!</v>
      </c>
      <c r="DO1153" s="735" t="str">
        <f t="shared" si="5538"/>
        <v>#ERROR!</v>
      </c>
      <c r="DP1153" s="735" t="str">
        <f t="shared" si="5538"/>
        <v>#ERROR!</v>
      </c>
      <c r="DQ1153" s="735" t="str">
        <f t="shared" si="5538"/>
        <v>#ERROR!</v>
      </c>
      <c r="DR1153" s="735" t="str">
        <f t="shared" si="5538"/>
        <v>#ERROR!</v>
      </c>
      <c r="DS1153" s="736" t="str">
        <f t="shared" si="5538"/>
        <v>#ERROR!</v>
      </c>
      <c r="DT1153" s="735" t="str">
        <f t="shared" si="5538"/>
        <v>#ERROR!</v>
      </c>
      <c r="DU1153" s="735" t="str">
        <f t="shared" si="5538"/>
        <v>#ERROR!</v>
      </c>
      <c r="DV1153" s="735" t="str">
        <f t="shared" si="5538"/>
        <v>#ERROR!</v>
      </c>
      <c r="DW1153" s="735" t="str">
        <f t="shared" si="5538"/>
        <v>#ERROR!</v>
      </c>
      <c r="DX1153" s="736" t="str">
        <f t="shared" si="5538"/>
        <v>#ERROR!</v>
      </c>
      <c r="DY1153" s="735" t="str">
        <f t="shared" si="5538"/>
        <v>#ERROR!</v>
      </c>
      <c r="DZ1153" s="735" t="str">
        <f t="shared" si="5538"/>
        <v>#ERROR!</v>
      </c>
      <c r="EA1153" s="735" t="str">
        <f t="shared" si="5538"/>
        <v>#ERROR!</v>
      </c>
      <c r="EB1153" s="735" t="str">
        <f t="shared" si="5538"/>
        <v>#ERROR!</v>
      </c>
      <c r="EC1153" s="736" t="str">
        <f t="shared" si="5538"/>
        <v>#ERROR!</v>
      </c>
      <c r="ED1153" s="735" t="str">
        <f t="shared" si="5538"/>
        <v>#ERROR!</v>
      </c>
      <c r="EE1153" s="735" t="str">
        <f t="shared" si="5538"/>
        <v>#ERROR!</v>
      </c>
      <c r="EF1153" s="735" t="str">
        <f t="shared" si="5538"/>
        <v>#ERROR!</v>
      </c>
      <c r="EG1153" s="735" t="str">
        <f t="shared" si="5538"/>
        <v>#ERROR!</v>
      </c>
      <c r="EH1153" s="736" t="str">
        <f t="shared" si="5538"/>
        <v>#ERROR!</v>
      </c>
      <c r="EI1153" s="738" t="str">
        <f t="shared" si="5538"/>
        <v>#ERROR!</v>
      </c>
      <c r="EJ1153" s="735" t="str">
        <f t="shared" si="5538"/>
        <v>#ERROR!</v>
      </c>
      <c r="EK1153" s="735" t="str">
        <f t="shared" si="5538"/>
        <v>#ERROR!</v>
      </c>
      <c r="EL1153" s="735" t="str">
        <f t="shared" si="5538"/>
        <v>#ERROR!</v>
      </c>
      <c r="EM1153" s="736" t="str">
        <f t="shared" si="5538"/>
        <v>#ERROR!</v>
      </c>
      <c r="EN1153" s="735" t="str">
        <f t="shared" si="5538"/>
        <v>#ERROR!</v>
      </c>
      <c r="EO1153" s="735" t="str">
        <f t="shared" si="5538"/>
        <v>#ERROR!</v>
      </c>
      <c r="EP1153" s="735" t="str">
        <f t="shared" si="5538"/>
        <v>#ERROR!</v>
      </c>
      <c r="EQ1153" s="735" t="str">
        <f t="shared" si="5538"/>
        <v>#ERROR!</v>
      </c>
      <c r="ER1153" s="736" t="str">
        <f t="shared" si="5538"/>
        <v>#ERROR!</v>
      </c>
      <c r="ES1153" s="735" t="str">
        <f t="shared" si="5538"/>
        <v>#ERROR!</v>
      </c>
      <c r="ET1153" s="735" t="str">
        <f t="shared" si="5538"/>
        <v>#ERROR!</v>
      </c>
      <c r="EU1153" s="735" t="str">
        <f t="shared" si="5538"/>
        <v>#ERROR!</v>
      </c>
      <c r="EV1153" s="735" t="str">
        <f t="shared" si="5538"/>
        <v>#ERROR!</v>
      </c>
      <c r="EW1153" s="736" t="str">
        <f t="shared" si="5538"/>
        <v>#ERROR!</v>
      </c>
      <c r="EX1153" s="735" t="str">
        <f t="shared" si="5538"/>
        <v>#ERROR!</v>
      </c>
      <c r="EY1153" s="735" t="str">
        <f t="shared" si="5538"/>
        <v>#ERROR!</v>
      </c>
      <c r="EZ1153" s="735" t="str">
        <f t="shared" si="5538"/>
        <v>#ERROR!</v>
      </c>
      <c r="FA1153" s="735" t="str">
        <f t="shared" si="5538"/>
        <v>#ERROR!</v>
      </c>
      <c r="FB1153" s="736" t="str">
        <f t="shared" si="5538"/>
        <v>#ERROR!</v>
      </c>
      <c r="FC1153" s="735" t="str">
        <f t="shared" si="5538"/>
        <v>#ERROR!</v>
      </c>
      <c r="FD1153" s="735" t="str">
        <f t="shared" si="5538"/>
        <v>#ERROR!</v>
      </c>
      <c r="FE1153" s="735" t="str">
        <f t="shared" si="5538"/>
        <v>#ERROR!</v>
      </c>
      <c r="FF1153" s="735" t="str">
        <f t="shared" si="5538"/>
        <v>#ERROR!</v>
      </c>
      <c r="FG1153" s="736" t="str">
        <f t="shared" si="5538"/>
        <v>#ERROR!</v>
      </c>
      <c r="FH1153" s="737"/>
      <c r="FI1153" s="735"/>
      <c r="FJ1153" s="735"/>
      <c r="FK1153" s="735"/>
      <c r="FL1153" s="735"/>
    </row>
    <row r="1154" ht="12.75" hidden="1" customHeight="1" outlineLevel="1">
      <c r="A1154" s="4"/>
      <c r="B1154" s="4" t="s">
        <v>430</v>
      </c>
      <c r="C1154" s="4"/>
      <c r="D1154" s="377"/>
      <c r="E1154" s="377"/>
      <c r="F1154" s="377"/>
      <c r="G1154" s="377"/>
      <c r="H1154" s="665"/>
      <c r="I1154" s="377" t="str">
        <f t="shared" ref="I1154:FG1154" si="5539">1000*I1144/I1133</f>
        <v>#ERROR!</v>
      </c>
      <c r="J1154" s="377" t="str">
        <f t="shared" si="5539"/>
        <v>#ERROR!</v>
      </c>
      <c r="K1154" s="377" t="str">
        <f t="shared" si="5539"/>
        <v>#ERROR!</v>
      </c>
      <c r="L1154" s="377" t="str">
        <f t="shared" si="5539"/>
        <v>#ERROR!</v>
      </c>
      <c r="M1154" s="665" t="str">
        <f t="shared" si="5539"/>
        <v>#ERROR!</v>
      </c>
      <c r="N1154" s="377" t="str">
        <f t="shared" si="5539"/>
        <v>#ERROR!</v>
      </c>
      <c r="O1154" s="377" t="str">
        <f t="shared" si="5539"/>
        <v>#ERROR!</v>
      </c>
      <c r="P1154" s="377" t="str">
        <f t="shared" si="5539"/>
        <v>#ERROR!</v>
      </c>
      <c r="Q1154" s="377" t="str">
        <f t="shared" si="5539"/>
        <v>#ERROR!</v>
      </c>
      <c r="R1154" s="665" t="str">
        <f t="shared" si="5539"/>
        <v>#ERROR!</v>
      </c>
      <c r="S1154" s="377" t="str">
        <f t="shared" si="5539"/>
        <v>#ERROR!</v>
      </c>
      <c r="T1154" s="377" t="str">
        <f t="shared" si="5539"/>
        <v>#ERROR!</v>
      </c>
      <c r="U1154" s="377" t="str">
        <f t="shared" si="5539"/>
        <v>#ERROR!</v>
      </c>
      <c r="V1154" s="377" t="str">
        <f t="shared" si="5539"/>
        <v>#ERROR!</v>
      </c>
      <c r="W1154" s="665" t="str">
        <f t="shared" si="5539"/>
        <v>#ERROR!</v>
      </c>
      <c r="X1154" s="377" t="str">
        <f t="shared" si="5539"/>
        <v>#ERROR!</v>
      </c>
      <c r="Y1154" s="377" t="str">
        <f t="shared" si="5539"/>
        <v>#ERROR!</v>
      </c>
      <c r="Z1154" s="377" t="str">
        <f t="shared" si="5539"/>
        <v>#ERROR!</v>
      </c>
      <c r="AA1154" s="377" t="str">
        <f t="shared" si="5539"/>
        <v>#ERROR!</v>
      </c>
      <c r="AB1154" s="665" t="str">
        <f t="shared" si="5539"/>
        <v>#ERROR!</v>
      </c>
      <c r="AC1154" s="377" t="str">
        <f t="shared" si="5539"/>
        <v>#ERROR!</v>
      </c>
      <c r="AD1154" s="377" t="str">
        <f t="shared" si="5539"/>
        <v>#ERROR!</v>
      </c>
      <c r="AE1154" s="377" t="str">
        <f t="shared" si="5539"/>
        <v>#ERROR!</v>
      </c>
      <c r="AF1154" s="377" t="str">
        <f t="shared" si="5539"/>
        <v>#ERROR!</v>
      </c>
      <c r="AG1154" s="665" t="str">
        <f t="shared" si="5539"/>
        <v>#ERROR!</v>
      </c>
      <c r="AH1154" s="377" t="str">
        <f t="shared" si="5539"/>
        <v>#ERROR!</v>
      </c>
      <c r="AI1154" s="377" t="str">
        <f t="shared" si="5539"/>
        <v>#ERROR!</v>
      </c>
      <c r="AJ1154" s="377" t="str">
        <f t="shared" si="5539"/>
        <v>#ERROR!</v>
      </c>
      <c r="AK1154" s="377" t="str">
        <f t="shared" si="5539"/>
        <v>#ERROR!</v>
      </c>
      <c r="AL1154" s="665" t="str">
        <f t="shared" si="5539"/>
        <v>#ERROR!</v>
      </c>
      <c r="AM1154" s="377" t="str">
        <f t="shared" si="5539"/>
        <v>#ERROR!</v>
      </c>
      <c r="AN1154" s="377" t="str">
        <f t="shared" si="5539"/>
        <v>#ERROR!</v>
      </c>
      <c r="AO1154" s="377" t="str">
        <f t="shared" si="5539"/>
        <v>#ERROR!</v>
      </c>
      <c r="AP1154" s="377" t="str">
        <f t="shared" si="5539"/>
        <v>#ERROR!</v>
      </c>
      <c r="AQ1154" s="665" t="str">
        <f t="shared" si="5539"/>
        <v>#ERROR!</v>
      </c>
      <c r="AR1154" s="377" t="str">
        <f t="shared" si="5539"/>
        <v>#ERROR!</v>
      </c>
      <c r="AS1154" s="377" t="str">
        <f t="shared" si="5539"/>
        <v>#ERROR!</v>
      </c>
      <c r="AT1154" s="377" t="str">
        <f t="shared" si="5539"/>
        <v>#ERROR!</v>
      </c>
      <c r="AU1154" s="377" t="str">
        <f t="shared" si="5539"/>
        <v>#ERROR!</v>
      </c>
      <c r="AV1154" s="665" t="str">
        <f t="shared" si="5539"/>
        <v>#ERROR!</v>
      </c>
      <c r="AW1154" s="377" t="str">
        <f t="shared" si="5539"/>
        <v>#ERROR!</v>
      </c>
      <c r="AX1154" s="377" t="str">
        <f t="shared" si="5539"/>
        <v>#ERROR!</v>
      </c>
      <c r="AY1154" s="377" t="str">
        <f t="shared" si="5539"/>
        <v>#ERROR!</v>
      </c>
      <c r="AZ1154" s="377" t="str">
        <f t="shared" si="5539"/>
        <v>#ERROR!</v>
      </c>
      <c r="BA1154" s="665" t="str">
        <f t="shared" si="5539"/>
        <v>#ERROR!</v>
      </c>
      <c r="BB1154" s="377" t="str">
        <f t="shared" si="5539"/>
        <v>#ERROR!</v>
      </c>
      <c r="BC1154" s="377" t="str">
        <f t="shared" si="5539"/>
        <v>#ERROR!</v>
      </c>
      <c r="BD1154" s="377" t="str">
        <f t="shared" si="5539"/>
        <v>#ERROR!</v>
      </c>
      <c r="BE1154" s="377" t="str">
        <f t="shared" si="5539"/>
        <v>#ERROR!</v>
      </c>
      <c r="BF1154" s="665" t="str">
        <f t="shared" si="5539"/>
        <v>#ERROR!</v>
      </c>
      <c r="BG1154" s="377" t="str">
        <f t="shared" si="5539"/>
        <v>#ERROR!</v>
      </c>
      <c r="BH1154" s="377" t="str">
        <f t="shared" si="5539"/>
        <v>#ERROR!</v>
      </c>
      <c r="BI1154" s="377" t="str">
        <f t="shared" si="5539"/>
        <v>#ERROR!</v>
      </c>
      <c r="BJ1154" s="377" t="str">
        <f t="shared" si="5539"/>
        <v>#ERROR!</v>
      </c>
      <c r="BK1154" s="665" t="str">
        <f t="shared" si="5539"/>
        <v>#ERROR!</v>
      </c>
      <c r="BL1154" s="377" t="str">
        <f t="shared" si="5539"/>
        <v>#ERROR!</v>
      </c>
      <c r="BM1154" s="377" t="str">
        <f t="shared" si="5539"/>
        <v>#ERROR!</v>
      </c>
      <c r="BN1154" s="377" t="str">
        <f t="shared" si="5539"/>
        <v>#ERROR!</v>
      </c>
      <c r="BO1154" s="377" t="str">
        <f t="shared" si="5539"/>
        <v>#ERROR!</v>
      </c>
      <c r="BP1154" s="665" t="str">
        <f t="shared" si="5539"/>
        <v>#ERROR!</v>
      </c>
      <c r="BQ1154" s="377" t="str">
        <f t="shared" si="5539"/>
        <v>#ERROR!</v>
      </c>
      <c r="BR1154" s="377" t="str">
        <f t="shared" si="5539"/>
        <v>#ERROR!</v>
      </c>
      <c r="BS1154" s="377" t="str">
        <f t="shared" si="5539"/>
        <v>#ERROR!</v>
      </c>
      <c r="BT1154" s="377" t="str">
        <f t="shared" si="5539"/>
        <v>#ERROR!</v>
      </c>
      <c r="BU1154" s="665" t="str">
        <f t="shared" si="5539"/>
        <v>#ERROR!</v>
      </c>
      <c r="BV1154" s="377" t="str">
        <f t="shared" si="5539"/>
        <v>#ERROR!</v>
      </c>
      <c r="BW1154" s="377" t="str">
        <f t="shared" si="5539"/>
        <v>#ERROR!</v>
      </c>
      <c r="BX1154" s="377" t="str">
        <f t="shared" si="5539"/>
        <v>#ERROR!</v>
      </c>
      <c r="BY1154" s="377" t="str">
        <f t="shared" si="5539"/>
        <v>#ERROR!</v>
      </c>
      <c r="BZ1154" s="666" t="str">
        <f t="shared" si="5539"/>
        <v>#ERROR!</v>
      </c>
      <c r="CA1154" s="377" t="str">
        <f t="shared" si="5539"/>
        <v>#ERROR!</v>
      </c>
      <c r="CB1154" s="377" t="str">
        <f t="shared" si="5539"/>
        <v>#ERROR!</v>
      </c>
      <c r="CC1154" s="377" t="str">
        <f t="shared" si="5539"/>
        <v>#ERROR!</v>
      </c>
      <c r="CD1154" s="377" t="str">
        <f t="shared" si="5539"/>
        <v>#ERROR!</v>
      </c>
      <c r="CE1154" s="666" t="str">
        <f t="shared" si="5539"/>
        <v>#ERROR!</v>
      </c>
      <c r="CF1154" s="377" t="str">
        <f t="shared" si="5539"/>
        <v>#ERROR!</v>
      </c>
      <c r="CG1154" s="377" t="str">
        <f t="shared" si="5539"/>
        <v>#ERROR!</v>
      </c>
      <c r="CH1154" s="377" t="str">
        <f t="shared" si="5539"/>
        <v>#ERROR!</v>
      </c>
      <c r="CI1154" s="377" t="str">
        <f t="shared" si="5539"/>
        <v>#ERROR!</v>
      </c>
      <c r="CJ1154" s="666" t="str">
        <f t="shared" si="5539"/>
        <v>#ERROR!</v>
      </c>
      <c r="CK1154" s="377" t="str">
        <f t="shared" si="5539"/>
        <v>#ERROR!</v>
      </c>
      <c r="CL1154" s="377" t="str">
        <f t="shared" si="5539"/>
        <v>#ERROR!</v>
      </c>
      <c r="CM1154" s="377" t="str">
        <f t="shared" si="5539"/>
        <v>#ERROR!</v>
      </c>
      <c r="CN1154" s="440" t="str">
        <f t="shared" si="5539"/>
        <v>#ERROR!</v>
      </c>
      <c r="CO1154" s="666" t="str">
        <f t="shared" si="5539"/>
        <v>#ERROR!</v>
      </c>
      <c r="CP1154" s="440" t="str">
        <f t="shared" si="5539"/>
        <v>#ERROR!</v>
      </c>
      <c r="CQ1154" s="377" t="str">
        <f t="shared" si="5539"/>
        <v>#ERROR!</v>
      </c>
      <c r="CR1154" s="377" t="str">
        <f t="shared" si="5539"/>
        <v>#ERROR!</v>
      </c>
      <c r="CS1154" s="377" t="str">
        <f t="shared" si="5539"/>
        <v>#ERROR!</v>
      </c>
      <c r="CT1154" s="666" t="str">
        <f t="shared" si="5539"/>
        <v>#ERROR!</v>
      </c>
      <c r="CU1154" s="377" t="str">
        <f t="shared" si="5539"/>
        <v>#ERROR!</v>
      </c>
      <c r="CV1154" s="377" t="str">
        <f t="shared" si="5539"/>
        <v>#ERROR!</v>
      </c>
      <c r="CW1154" s="377" t="str">
        <f t="shared" si="5539"/>
        <v>#ERROR!</v>
      </c>
      <c r="CX1154" s="377" t="str">
        <f t="shared" si="5539"/>
        <v>#ERROR!</v>
      </c>
      <c r="CY1154" s="666" t="str">
        <f t="shared" si="5539"/>
        <v>#ERROR!</v>
      </c>
      <c r="CZ1154" s="377" t="str">
        <f t="shared" si="5539"/>
        <v>#ERROR!</v>
      </c>
      <c r="DA1154" s="377" t="str">
        <f t="shared" si="5539"/>
        <v>#ERROR!</v>
      </c>
      <c r="DB1154" s="377" t="str">
        <f t="shared" si="5539"/>
        <v>#ERROR!</v>
      </c>
      <c r="DC1154" s="377" t="str">
        <f t="shared" si="5539"/>
        <v>#ERROR!</v>
      </c>
      <c r="DD1154" s="666" t="str">
        <f t="shared" si="5539"/>
        <v>#ERROR!</v>
      </c>
      <c r="DE1154" s="377" t="str">
        <f t="shared" si="5539"/>
        <v>#ERROR!</v>
      </c>
      <c r="DF1154" s="377" t="str">
        <f t="shared" si="5539"/>
        <v>#ERROR!</v>
      </c>
      <c r="DG1154" s="440" t="str">
        <f t="shared" si="5539"/>
        <v>#ERROR!</v>
      </c>
      <c r="DH1154" s="377" t="str">
        <f t="shared" si="5539"/>
        <v>#ERROR!</v>
      </c>
      <c r="DI1154" s="666" t="str">
        <f t="shared" si="5539"/>
        <v>#ERROR!</v>
      </c>
      <c r="DJ1154" s="440" t="str">
        <f t="shared" si="5539"/>
        <v>#ERROR!</v>
      </c>
      <c r="DK1154" s="440" t="str">
        <f t="shared" si="5539"/>
        <v>#ERROR!</v>
      </c>
      <c r="DL1154" s="440" t="str">
        <f t="shared" si="5539"/>
        <v>#ERROR!</v>
      </c>
      <c r="DM1154" s="377" t="str">
        <f t="shared" si="5539"/>
        <v>#ERROR!</v>
      </c>
      <c r="DN1154" s="666" t="str">
        <f t="shared" si="5539"/>
        <v>#ERROR!</v>
      </c>
      <c r="DO1154" s="377" t="str">
        <f t="shared" si="5539"/>
        <v>#ERROR!</v>
      </c>
      <c r="DP1154" s="377" t="str">
        <f t="shared" si="5539"/>
        <v>#ERROR!</v>
      </c>
      <c r="DQ1154" s="377" t="str">
        <f t="shared" si="5539"/>
        <v>#ERROR!</v>
      </c>
      <c r="DR1154" s="377" t="str">
        <f t="shared" si="5539"/>
        <v>#ERROR!</v>
      </c>
      <c r="DS1154" s="666" t="str">
        <f t="shared" si="5539"/>
        <v>#ERROR!</v>
      </c>
      <c r="DT1154" s="377" t="str">
        <f t="shared" si="5539"/>
        <v>#ERROR!</v>
      </c>
      <c r="DU1154" s="377" t="str">
        <f t="shared" si="5539"/>
        <v>#ERROR!</v>
      </c>
      <c r="DV1154" s="377" t="str">
        <f t="shared" si="5539"/>
        <v>#ERROR!</v>
      </c>
      <c r="DW1154" s="377" t="str">
        <f t="shared" si="5539"/>
        <v>#ERROR!</v>
      </c>
      <c r="DX1154" s="666" t="str">
        <f t="shared" si="5539"/>
        <v>#ERROR!</v>
      </c>
      <c r="DY1154" s="377" t="str">
        <f t="shared" si="5539"/>
        <v>#ERROR!</v>
      </c>
      <c r="DZ1154" s="377" t="str">
        <f t="shared" si="5539"/>
        <v>#ERROR!</v>
      </c>
      <c r="EA1154" s="377" t="str">
        <f t="shared" si="5539"/>
        <v>#ERROR!</v>
      </c>
      <c r="EB1154" s="377" t="str">
        <f t="shared" si="5539"/>
        <v>#ERROR!</v>
      </c>
      <c r="EC1154" s="666" t="str">
        <f t="shared" si="5539"/>
        <v>#ERROR!</v>
      </c>
      <c r="ED1154" s="377" t="str">
        <f t="shared" si="5539"/>
        <v>#ERROR!</v>
      </c>
      <c r="EE1154" s="377" t="str">
        <f t="shared" si="5539"/>
        <v>#ERROR!</v>
      </c>
      <c r="EF1154" s="377" t="str">
        <f t="shared" si="5539"/>
        <v>#ERROR!</v>
      </c>
      <c r="EG1154" s="377" t="str">
        <f t="shared" si="5539"/>
        <v>#ERROR!</v>
      </c>
      <c r="EH1154" s="666" t="str">
        <f t="shared" si="5539"/>
        <v>#ERROR!</v>
      </c>
      <c r="EI1154" s="442" t="str">
        <f t="shared" si="5539"/>
        <v>#ERROR!</v>
      </c>
      <c r="EJ1154" s="377" t="str">
        <f t="shared" si="5539"/>
        <v>#ERROR!</v>
      </c>
      <c r="EK1154" s="377" t="str">
        <f t="shared" si="5539"/>
        <v>#ERROR!</v>
      </c>
      <c r="EL1154" s="377" t="str">
        <f t="shared" si="5539"/>
        <v>#ERROR!</v>
      </c>
      <c r="EM1154" s="666" t="str">
        <f t="shared" si="5539"/>
        <v>#ERROR!</v>
      </c>
      <c r="EN1154" s="377" t="str">
        <f t="shared" si="5539"/>
        <v>#ERROR!</v>
      </c>
      <c r="EO1154" s="377" t="str">
        <f t="shared" si="5539"/>
        <v>#ERROR!</v>
      </c>
      <c r="EP1154" s="377" t="str">
        <f t="shared" si="5539"/>
        <v>#ERROR!</v>
      </c>
      <c r="EQ1154" s="377" t="str">
        <f t="shared" si="5539"/>
        <v>#ERROR!</v>
      </c>
      <c r="ER1154" s="666" t="str">
        <f t="shared" si="5539"/>
        <v>#ERROR!</v>
      </c>
      <c r="ES1154" s="377" t="str">
        <f t="shared" si="5539"/>
        <v>#ERROR!</v>
      </c>
      <c r="ET1154" s="377" t="str">
        <f t="shared" si="5539"/>
        <v>#ERROR!</v>
      </c>
      <c r="EU1154" s="377" t="str">
        <f t="shared" si="5539"/>
        <v>#ERROR!</v>
      </c>
      <c r="EV1154" s="377" t="str">
        <f t="shared" si="5539"/>
        <v>#ERROR!</v>
      </c>
      <c r="EW1154" s="666" t="str">
        <f t="shared" si="5539"/>
        <v>#ERROR!</v>
      </c>
      <c r="EX1154" s="377" t="str">
        <f t="shared" si="5539"/>
        <v>#ERROR!</v>
      </c>
      <c r="EY1154" s="377" t="str">
        <f t="shared" si="5539"/>
        <v>#ERROR!</v>
      </c>
      <c r="EZ1154" s="377" t="str">
        <f t="shared" si="5539"/>
        <v>#ERROR!</v>
      </c>
      <c r="FA1154" s="377" t="str">
        <f t="shared" si="5539"/>
        <v>#ERROR!</v>
      </c>
      <c r="FB1154" s="666" t="str">
        <f t="shared" si="5539"/>
        <v>#ERROR!</v>
      </c>
      <c r="FC1154" s="377" t="str">
        <f t="shared" si="5539"/>
        <v>#ERROR!</v>
      </c>
      <c r="FD1154" s="377" t="str">
        <f t="shared" si="5539"/>
        <v>#ERROR!</v>
      </c>
      <c r="FE1154" s="377" t="str">
        <f t="shared" si="5539"/>
        <v>#ERROR!</v>
      </c>
      <c r="FF1154" s="377" t="str">
        <f t="shared" si="5539"/>
        <v>#ERROR!</v>
      </c>
      <c r="FG1154" s="666" t="str">
        <f t="shared" si="5539"/>
        <v>#ERROR!</v>
      </c>
      <c r="FH1154" s="667"/>
      <c r="FI1154" s="377"/>
      <c r="FJ1154" s="377"/>
      <c r="FK1154" s="665"/>
      <c r="FL1154" s="377"/>
    </row>
    <row r="1155" ht="12.75" hidden="1" customHeight="1" outlineLevel="1">
      <c r="A1155" s="4"/>
      <c r="B1155" s="4" t="s">
        <v>431</v>
      </c>
      <c r="C1155" s="4"/>
      <c r="D1155" s="377"/>
      <c r="E1155" s="377"/>
      <c r="F1155" s="377"/>
      <c r="G1155" s="377"/>
      <c r="H1155" s="665"/>
      <c r="I1155" s="377" t="str">
        <f t="shared" ref="I1155:FG1155" si="5540">1000*I1145/I1134</f>
        <v>#REF!</v>
      </c>
      <c r="J1155" s="377" t="str">
        <f t="shared" si="5540"/>
        <v>#REF!</v>
      </c>
      <c r="K1155" s="377" t="str">
        <f t="shared" si="5540"/>
        <v>#REF!</v>
      </c>
      <c r="L1155" s="377" t="str">
        <f t="shared" si="5540"/>
        <v>#REF!</v>
      </c>
      <c r="M1155" s="665" t="str">
        <f t="shared" si="5540"/>
        <v>#REF!</v>
      </c>
      <c r="N1155" s="377" t="str">
        <f t="shared" si="5540"/>
        <v>#REF!</v>
      </c>
      <c r="O1155" s="377" t="str">
        <f t="shared" si="5540"/>
        <v>#REF!</v>
      </c>
      <c r="P1155" s="377" t="str">
        <f t="shared" si="5540"/>
        <v>#REF!</v>
      </c>
      <c r="Q1155" s="377" t="str">
        <f t="shared" si="5540"/>
        <v>#REF!</v>
      </c>
      <c r="R1155" s="665" t="str">
        <f t="shared" si="5540"/>
        <v>#REF!</v>
      </c>
      <c r="S1155" s="377" t="str">
        <f t="shared" si="5540"/>
        <v>#REF!</v>
      </c>
      <c r="T1155" s="377" t="str">
        <f t="shared" si="5540"/>
        <v>#REF!</v>
      </c>
      <c r="U1155" s="377" t="str">
        <f t="shared" si="5540"/>
        <v>#REF!</v>
      </c>
      <c r="V1155" s="377" t="str">
        <f t="shared" si="5540"/>
        <v>#REF!</v>
      </c>
      <c r="W1155" s="665" t="str">
        <f t="shared" si="5540"/>
        <v>#REF!</v>
      </c>
      <c r="X1155" s="377" t="str">
        <f t="shared" si="5540"/>
        <v>#REF!</v>
      </c>
      <c r="Y1155" s="377" t="str">
        <f t="shared" si="5540"/>
        <v>#REF!</v>
      </c>
      <c r="Z1155" s="377" t="str">
        <f t="shared" si="5540"/>
        <v>#REF!</v>
      </c>
      <c r="AA1155" s="377" t="str">
        <f t="shared" si="5540"/>
        <v>#REF!</v>
      </c>
      <c r="AB1155" s="665" t="str">
        <f t="shared" si="5540"/>
        <v>#REF!</v>
      </c>
      <c r="AC1155" s="377" t="str">
        <f t="shared" si="5540"/>
        <v>#REF!</v>
      </c>
      <c r="AD1155" s="377" t="str">
        <f t="shared" si="5540"/>
        <v>#REF!</v>
      </c>
      <c r="AE1155" s="377" t="str">
        <f t="shared" si="5540"/>
        <v>#REF!</v>
      </c>
      <c r="AF1155" s="377" t="str">
        <f t="shared" si="5540"/>
        <v>#REF!</v>
      </c>
      <c r="AG1155" s="665" t="str">
        <f t="shared" si="5540"/>
        <v>#REF!</v>
      </c>
      <c r="AH1155" s="377" t="str">
        <f t="shared" si="5540"/>
        <v>#REF!</v>
      </c>
      <c r="AI1155" s="377" t="str">
        <f t="shared" si="5540"/>
        <v>#REF!</v>
      </c>
      <c r="AJ1155" s="377" t="str">
        <f t="shared" si="5540"/>
        <v>#REF!</v>
      </c>
      <c r="AK1155" s="377" t="str">
        <f t="shared" si="5540"/>
        <v>#REF!</v>
      </c>
      <c r="AL1155" s="665" t="str">
        <f t="shared" si="5540"/>
        <v>#REF!</v>
      </c>
      <c r="AM1155" s="377" t="str">
        <f t="shared" si="5540"/>
        <v>#REF!</v>
      </c>
      <c r="AN1155" s="377" t="str">
        <f t="shared" si="5540"/>
        <v>#REF!</v>
      </c>
      <c r="AO1155" s="377" t="str">
        <f t="shared" si="5540"/>
        <v>#REF!</v>
      </c>
      <c r="AP1155" s="377" t="str">
        <f t="shared" si="5540"/>
        <v>#REF!</v>
      </c>
      <c r="AQ1155" s="665" t="str">
        <f t="shared" si="5540"/>
        <v>#REF!</v>
      </c>
      <c r="AR1155" s="377" t="str">
        <f t="shared" si="5540"/>
        <v>#REF!</v>
      </c>
      <c r="AS1155" s="377" t="str">
        <f t="shared" si="5540"/>
        <v>#REF!</v>
      </c>
      <c r="AT1155" s="377" t="str">
        <f t="shared" si="5540"/>
        <v>#REF!</v>
      </c>
      <c r="AU1155" s="377" t="str">
        <f t="shared" si="5540"/>
        <v>#REF!</v>
      </c>
      <c r="AV1155" s="665" t="str">
        <f t="shared" si="5540"/>
        <v>#REF!</v>
      </c>
      <c r="AW1155" s="377" t="str">
        <f t="shared" si="5540"/>
        <v>#REF!</v>
      </c>
      <c r="AX1155" s="377" t="str">
        <f t="shared" si="5540"/>
        <v>#REF!</v>
      </c>
      <c r="AY1155" s="377" t="str">
        <f t="shared" si="5540"/>
        <v>#REF!</v>
      </c>
      <c r="AZ1155" s="377" t="str">
        <f t="shared" si="5540"/>
        <v>#REF!</v>
      </c>
      <c r="BA1155" s="665" t="str">
        <f t="shared" si="5540"/>
        <v>#REF!</v>
      </c>
      <c r="BB1155" s="377" t="str">
        <f t="shared" si="5540"/>
        <v>#REF!</v>
      </c>
      <c r="BC1155" s="377" t="str">
        <f t="shared" si="5540"/>
        <v>#REF!</v>
      </c>
      <c r="BD1155" s="377" t="str">
        <f t="shared" si="5540"/>
        <v>#REF!</v>
      </c>
      <c r="BE1155" s="377" t="str">
        <f t="shared" si="5540"/>
        <v>#REF!</v>
      </c>
      <c r="BF1155" s="665" t="str">
        <f t="shared" si="5540"/>
        <v>#REF!</v>
      </c>
      <c r="BG1155" s="377" t="str">
        <f t="shared" si="5540"/>
        <v>#REF!</v>
      </c>
      <c r="BH1155" s="377" t="str">
        <f t="shared" si="5540"/>
        <v>#REF!</v>
      </c>
      <c r="BI1155" s="377" t="str">
        <f t="shared" si="5540"/>
        <v>#REF!</v>
      </c>
      <c r="BJ1155" s="377" t="str">
        <f t="shared" si="5540"/>
        <v>#REF!</v>
      </c>
      <c r="BK1155" s="665" t="str">
        <f t="shared" si="5540"/>
        <v>#REF!</v>
      </c>
      <c r="BL1155" s="377" t="str">
        <f t="shared" si="5540"/>
        <v>#REF!</v>
      </c>
      <c r="BM1155" s="377" t="str">
        <f t="shared" si="5540"/>
        <v>#REF!</v>
      </c>
      <c r="BN1155" s="377" t="str">
        <f t="shared" si="5540"/>
        <v>#REF!</v>
      </c>
      <c r="BO1155" s="377" t="str">
        <f t="shared" si="5540"/>
        <v>#REF!</v>
      </c>
      <c r="BP1155" s="665" t="str">
        <f t="shared" si="5540"/>
        <v>#REF!</v>
      </c>
      <c r="BQ1155" s="377" t="str">
        <f t="shared" si="5540"/>
        <v>#REF!</v>
      </c>
      <c r="BR1155" s="377" t="str">
        <f t="shared" si="5540"/>
        <v>#REF!</v>
      </c>
      <c r="BS1155" s="377" t="str">
        <f t="shared" si="5540"/>
        <v>#REF!</v>
      </c>
      <c r="BT1155" s="377" t="str">
        <f t="shared" si="5540"/>
        <v>#REF!</v>
      </c>
      <c r="BU1155" s="665" t="str">
        <f t="shared" si="5540"/>
        <v>#REF!</v>
      </c>
      <c r="BV1155" s="377" t="str">
        <f t="shared" si="5540"/>
        <v>#REF!</v>
      </c>
      <c r="BW1155" s="377" t="str">
        <f t="shared" si="5540"/>
        <v>#REF!</v>
      </c>
      <c r="BX1155" s="377" t="str">
        <f t="shared" si="5540"/>
        <v>#REF!</v>
      </c>
      <c r="BY1155" s="377" t="str">
        <f t="shared" si="5540"/>
        <v>#REF!</v>
      </c>
      <c r="BZ1155" s="666" t="str">
        <f t="shared" si="5540"/>
        <v>#REF!</v>
      </c>
      <c r="CA1155" s="377" t="str">
        <f t="shared" si="5540"/>
        <v>#REF!</v>
      </c>
      <c r="CB1155" s="377" t="str">
        <f t="shared" si="5540"/>
        <v>#REF!</v>
      </c>
      <c r="CC1155" s="377" t="str">
        <f t="shared" si="5540"/>
        <v>#REF!</v>
      </c>
      <c r="CD1155" s="377" t="str">
        <f t="shared" si="5540"/>
        <v>#REF!</v>
      </c>
      <c r="CE1155" s="666" t="str">
        <f t="shared" si="5540"/>
        <v>#REF!</v>
      </c>
      <c r="CF1155" s="377" t="str">
        <f t="shared" si="5540"/>
        <v>#REF!</v>
      </c>
      <c r="CG1155" s="377" t="str">
        <f t="shared" si="5540"/>
        <v>#REF!</v>
      </c>
      <c r="CH1155" s="377" t="str">
        <f t="shared" si="5540"/>
        <v>#REF!</v>
      </c>
      <c r="CI1155" s="377" t="str">
        <f t="shared" si="5540"/>
        <v>#REF!</v>
      </c>
      <c r="CJ1155" s="666" t="str">
        <f t="shared" si="5540"/>
        <v>#REF!</v>
      </c>
      <c r="CK1155" s="377" t="str">
        <f t="shared" si="5540"/>
        <v>#REF!</v>
      </c>
      <c r="CL1155" s="377" t="str">
        <f t="shared" si="5540"/>
        <v>#REF!</v>
      </c>
      <c r="CM1155" s="377" t="str">
        <f t="shared" si="5540"/>
        <v>#REF!</v>
      </c>
      <c r="CN1155" s="440" t="str">
        <f t="shared" si="5540"/>
        <v>#REF!</v>
      </c>
      <c r="CO1155" s="666" t="str">
        <f t="shared" si="5540"/>
        <v>#REF!</v>
      </c>
      <c r="CP1155" s="440" t="str">
        <f t="shared" si="5540"/>
        <v>#REF!</v>
      </c>
      <c r="CQ1155" s="377" t="str">
        <f t="shared" si="5540"/>
        <v>#REF!</v>
      </c>
      <c r="CR1155" s="377" t="str">
        <f t="shared" si="5540"/>
        <v>#REF!</v>
      </c>
      <c r="CS1155" s="377" t="str">
        <f t="shared" si="5540"/>
        <v>#REF!</v>
      </c>
      <c r="CT1155" s="666" t="str">
        <f t="shared" si="5540"/>
        <v>#REF!</v>
      </c>
      <c r="CU1155" s="377" t="str">
        <f t="shared" si="5540"/>
        <v>#REF!</v>
      </c>
      <c r="CV1155" s="377" t="str">
        <f t="shared" si="5540"/>
        <v>#REF!</v>
      </c>
      <c r="CW1155" s="377" t="str">
        <f t="shared" si="5540"/>
        <v>#REF!</v>
      </c>
      <c r="CX1155" s="377" t="str">
        <f t="shared" si="5540"/>
        <v>#REF!</v>
      </c>
      <c r="CY1155" s="666" t="str">
        <f t="shared" si="5540"/>
        <v>#REF!</v>
      </c>
      <c r="CZ1155" s="377" t="str">
        <f t="shared" si="5540"/>
        <v>#REF!</v>
      </c>
      <c r="DA1155" s="377" t="str">
        <f t="shared" si="5540"/>
        <v>#REF!</v>
      </c>
      <c r="DB1155" s="377" t="str">
        <f t="shared" si="5540"/>
        <v>#REF!</v>
      </c>
      <c r="DC1155" s="377" t="str">
        <f t="shared" si="5540"/>
        <v>#REF!</v>
      </c>
      <c r="DD1155" s="666" t="str">
        <f t="shared" si="5540"/>
        <v>#REF!</v>
      </c>
      <c r="DE1155" s="377" t="str">
        <f t="shared" si="5540"/>
        <v>#REF!</v>
      </c>
      <c r="DF1155" s="377" t="str">
        <f t="shared" si="5540"/>
        <v>#REF!</v>
      </c>
      <c r="DG1155" s="440" t="str">
        <f t="shared" si="5540"/>
        <v>#REF!</v>
      </c>
      <c r="DH1155" s="377" t="str">
        <f t="shared" si="5540"/>
        <v>#REF!</v>
      </c>
      <c r="DI1155" s="666" t="str">
        <f t="shared" si="5540"/>
        <v>#REF!</v>
      </c>
      <c r="DJ1155" s="440" t="str">
        <f t="shared" si="5540"/>
        <v>#REF!</v>
      </c>
      <c r="DK1155" s="440" t="str">
        <f t="shared" si="5540"/>
        <v>#REF!</v>
      </c>
      <c r="DL1155" s="440" t="str">
        <f t="shared" si="5540"/>
        <v>#REF!</v>
      </c>
      <c r="DM1155" s="377" t="str">
        <f t="shared" si="5540"/>
        <v>#REF!</v>
      </c>
      <c r="DN1155" s="666" t="str">
        <f t="shared" si="5540"/>
        <v>#REF!</v>
      </c>
      <c r="DO1155" s="377" t="str">
        <f t="shared" si="5540"/>
        <v>#REF!</v>
      </c>
      <c r="DP1155" s="377" t="str">
        <f t="shared" si="5540"/>
        <v>#REF!</v>
      </c>
      <c r="DQ1155" s="377" t="str">
        <f t="shared" si="5540"/>
        <v>#REF!</v>
      </c>
      <c r="DR1155" s="377" t="str">
        <f t="shared" si="5540"/>
        <v>#REF!</v>
      </c>
      <c r="DS1155" s="666" t="str">
        <f t="shared" si="5540"/>
        <v>#REF!</v>
      </c>
      <c r="DT1155" s="377" t="str">
        <f t="shared" si="5540"/>
        <v>#REF!</v>
      </c>
      <c r="DU1155" s="377" t="str">
        <f t="shared" si="5540"/>
        <v>#REF!</v>
      </c>
      <c r="DV1155" s="377" t="str">
        <f t="shared" si="5540"/>
        <v>#REF!</v>
      </c>
      <c r="DW1155" s="377" t="str">
        <f t="shared" si="5540"/>
        <v>#REF!</v>
      </c>
      <c r="DX1155" s="666" t="str">
        <f t="shared" si="5540"/>
        <v>#REF!</v>
      </c>
      <c r="DY1155" s="377" t="str">
        <f t="shared" si="5540"/>
        <v>#REF!</v>
      </c>
      <c r="DZ1155" s="377" t="str">
        <f t="shared" si="5540"/>
        <v>#REF!</v>
      </c>
      <c r="EA1155" s="377" t="str">
        <f t="shared" si="5540"/>
        <v>#REF!</v>
      </c>
      <c r="EB1155" s="377" t="str">
        <f t="shared" si="5540"/>
        <v>#REF!</v>
      </c>
      <c r="EC1155" s="666" t="str">
        <f t="shared" si="5540"/>
        <v>#REF!</v>
      </c>
      <c r="ED1155" s="377" t="str">
        <f t="shared" si="5540"/>
        <v>#REF!</v>
      </c>
      <c r="EE1155" s="377" t="str">
        <f t="shared" si="5540"/>
        <v>#REF!</v>
      </c>
      <c r="EF1155" s="377" t="str">
        <f t="shared" si="5540"/>
        <v>#REF!</v>
      </c>
      <c r="EG1155" s="377" t="str">
        <f t="shared" si="5540"/>
        <v>#REF!</v>
      </c>
      <c r="EH1155" s="666" t="str">
        <f t="shared" si="5540"/>
        <v>#REF!</v>
      </c>
      <c r="EI1155" s="442" t="str">
        <f t="shared" si="5540"/>
        <v>#REF!</v>
      </c>
      <c r="EJ1155" s="377" t="str">
        <f t="shared" si="5540"/>
        <v>#REF!</v>
      </c>
      <c r="EK1155" s="377" t="str">
        <f t="shared" si="5540"/>
        <v>#REF!</v>
      </c>
      <c r="EL1155" s="377" t="str">
        <f t="shared" si="5540"/>
        <v>#REF!</v>
      </c>
      <c r="EM1155" s="666" t="str">
        <f t="shared" si="5540"/>
        <v>#REF!</v>
      </c>
      <c r="EN1155" s="377" t="str">
        <f t="shared" si="5540"/>
        <v>#REF!</v>
      </c>
      <c r="EO1155" s="377" t="str">
        <f t="shared" si="5540"/>
        <v>#REF!</v>
      </c>
      <c r="EP1155" s="377" t="str">
        <f t="shared" si="5540"/>
        <v>#REF!</v>
      </c>
      <c r="EQ1155" s="377" t="str">
        <f t="shared" si="5540"/>
        <v>#REF!</v>
      </c>
      <c r="ER1155" s="666" t="str">
        <f t="shared" si="5540"/>
        <v>#REF!</v>
      </c>
      <c r="ES1155" s="377" t="str">
        <f t="shared" si="5540"/>
        <v>#REF!</v>
      </c>
      <c r="ET1155" s="377" t="str">
        <f t="shared" si="5540"/>
        <v>#REF!</v>
      </c>
      <c r="EU1155" s="377" t="str">
        <f t="shared" si="5540"/>
        <v>#REF!</v>
      </c>
      <c r="EV1155" s="377" t="str">
        <f t="shared" si="5540"/>
        <v>#REF!</v>
      </c>
      <c r="EW1155" s="666" t="str">
        <f t="shared" si="5540"/>
        <v>#REF!</v>
      </c>
      <c r="EX1155" s="377" t="str">
        <f t="shared" si="5540"/>
        <v>#REF!</v>
      </c>
      <c r="EY1155" s="377" t="str">
        <f t="shared" si="5540"/>
        <v>#REF!</v>
      </c>
      <c r="EZ1155" s="377" t="str">
        <f t="shared" si="5540"/>
        <v>#REF!</v>
      </c>
      <c r="FA1155" s="377" t="str">
        <f t="shared" si="5540"/>
        <v>#REF!</v>
      </c>
      <c r="FB1155" s="666" t="str">
        <f t="shared" si="5540"/>
        <v>#REF!</v>
      </c>
      <c r="FC1155" s="377" t="str">
        <f t="shared" si="5540"/>
        <v>#REF!</v>
      </c>
      <c r="FD1155" s="377" t="str">
        <f t="shared" si="5540"/>
        <v>#REF!</v>
      </c>
      <c r="FE1155" s="377" t="str">
        <f t="shared" si="5540"/>
        <v>#REF!</v>
      </c>
      <c r="FF1155" s="377" t="str">
        <f t="shared" si="5540"/>
        <v>#REF!</v>
      </c>
      <c r="FG1155" s="666" t="str">
        <f t="shared" si="5540"/>
        <v>#REF!</v>
      </c>
      <c r="FH1155" s="667"/>
      <c r="FI1155" s="377"/>
      <c r="FJ1155" s="377"/>
      <c r="FK1155" s="665"/>
      <c r="FL1155" s="377"/>
    </row>
    <row r="1156" ht="12.75" hidden="1" customHeight="1" outlineLevel="1">
      <c r="A1156" s="4"/>
      <c r="B1156" s="4"/>
      <c r="C1156" s="4"/>
      <c r="D1156" s="4"/>
      <c r="E1156" s="4"/>
      <c r="F1156" s="4"/>
      <c r="G1156" s="4"/>
      <c r="H1156" s="8"/>
      <c r="I1156" s="4"/>
      <c r="J1156" s="4"/>
      <c r="K1156" s="4"/>
      <c r="L1156" s="4"/>
      <c r="M1156" s="8"/>
      <c r="N1156" s="4"/>
      <c r="O1156" s="4"/>
      <c r="P1156" s="4"/>
      <c r="Q1156" s="4"/>
      <c r="R1156" s="8"/>
      <c r="S1156" s="4"/>
      <c r="T1156" s="4"/>
      <c r="U1156" s="4"/>
      <c r="V1156" s="4"/>
      <c r="W1156" s="8"/>
      <c r="X1156" s="4"/>
      <c r="Y1156" s="4"/>
      <c r="Z1156" s="4"/>
      <c r="AA1156" s="4"/>
      <c r="AB1156" s="8"/>
      <c r="AC1156" s="4"/>
      <c r="AD1156" s="4"/>
      <c r="AE1156" s="4"/>
      <c r="AF1156" s="4"/>
      <c r="AG1156" s="8"/>
      <c r="AH1156" s="4"/>
      <c r="AI1156" s="4"/>
      <c r="AJ1156" s="4"/>
      <c r="AK1156" s="4"/>
      <c r="AL1156" s="8"/>
      <c r="AM1156" s="4"/>
      <c r="AN1156" s="4"/>
      <c r="AO1156" s="4"/>
      <c r="AP1156" s="4"/>
      <c r="AQ1156" s="8"/>
      <c r="AR1156" s="4"/>
      <c r="AS1156" s="4"/>
      <c r="AT1156" s="4"/>
      <c r="AU1156" s="4"/>
      <c r="AV1156" s="8"/>
      <c r="AW1156" s="4"/>
      <c r="AX1156" s="4"/>
      <c r="AY1156" s="4"/>
      <c r="AZ1156" s="4"/>
      <c r="BA1156" s="8"/>
      <c r="BB1156" s="4"/>
      <c r="BC1156" s="4"/>
      <c r="BD1156" s="4"/>
      <c r="BE1156" s="4"/>
      <c r="BF1156" s="8"/>
      <c r="BG1156" s="4"/>
      <c r="BH1156" s="4"/>
      <c r="BI1156" s="4"/>
      <c r="BJ1156" s="4"/>
      <c r="BK1156" s="8"/>
      <c r="BL1156" s="4"/>
      <c r="BM1156" s="4"/>
      <c r="BN1156" s="4"/>
      <c r="BO1156" s="4"/>
      <c r="BP1156" s="8"/>
      <c r="BQ1156" s="4"/>
      <c r="BR1156" s="4"/>
      <c r="BS1156" s="4"/>
      <c r="BT1156" s="4"/>
      <c r="BU1156" s="8"/>
      <c r="BV1156" s="4"/>
      <c r="BW1156" s="4"/>
      <c r="BX1156" s="4"/>
      <c r="BY1156" s="4"/>
      <c r="BZ1156" s="10"/>
      <c r="CA1156" s="4"/>
      <c r="CB1156" s="4"/>
      <c r="CC1156" s="4"/>
      <c r="CD1156" s="4"/>
      <c r="CE1156" s="10"/>
      <c r="CF1156" s="4"/>
      <c r="CG1156" s="4"/>
      <c r="CH1156" s="4"/>
      <c r="CI1156" s="4"/>
      <c r="CJ1156" s="10"/>
      <c r="CK1156" s="4"/>
      <c r="CL1156" s="4"/>
      <c r="CM1156" s="4"/>
      <c r="CN1156" s="16"/>
      <c r="CO1156" s="10"/>
      <c r="CP1156" s="16"/>
      <c r="CQ1156" s="4"/>
      <c r="CR1156" s="4"/>
      <c r="CS1156" s="4"/>
      <c r="CT1156" s="10"/>
      <c r="CU1156" s="4"/>
      <c r="CV1156" s="4"/>
      <c r="CW1156" s="4"/>
      <c r="CX1156" s="4"/>
      <c r="CY1156" s="10"/>
      <c r="CZ1156" s="4"/>
      <c r="DA1156" s="4"/>
      <c r="DB1156" s="4"/>
      <c r="DC1156" s="4"/>
      <c r="DD1156" s="10"/>
      <c r="DE1156" s="4"/>
      <c r="DF1156" s="4"/>
      <c r="DG1156" s="16"/>
      <c r="DH1156" s="4"/>
      <c r="DI1156" s="10"/>
      <c r="DJ1156" s="16"/>
      <c r="DK1156" s="16"/>
      <c r="DL1156" s="16"/>
      <c r="DM1156" s="4"/>
      <c r="DN1156" s="10"/>
      <c r="DO1156" s="4"/>
      <c r="DP1156" s="4"/>
      <c r="DQ1156" s="4"/>
      <c r="DR1156" s="4"/>
      <c r="DS1156" s="10"/>
      <c r="DT1156" s="4"/>
      <c r="DU1156" s="4"/>
      <c r="DV1156" s="4"/>
      <c r="DW1156" s="4"/>
      <c r="DX1156" s="10"/>
      <c r="DY1156" s="4"/>
      <c r="DZ1156" s="4"/>
      <c r="EA1156" s="4"/>
      <c r="EB1156" s="4"/>
      <c r="EC1156" s="10"/>
      <c r="ED1156" s="4"/>
      <c r="EE1156" s="4"/>
      <c r="EF1156" s="4"/>
      <c r="EG1156" s="4"/>
      <c r="EH1156" s="10"/>
      <c r="EI1156" s="214"/>
      <c r="EJ1156" s="4"/>
      <c r="EK1156" s="4"/>
      <c r="EL1156" s="4"/>
      <c r="EM1156" s="10"/>
      <c r="EN1156" s="4"/>
      <c r="EO1156" s="4"/>
      <c r="EP1156" s="4"/>
      <c r="EQ1156" s="4"/>
      <c r="ER1156" s="10"/>
      <c r="ES1156" s="4"/>
      <c r="ET1156" s="4"/>
      <c r="EU1156" s="4"/>
      <c r="EV1156" s="4"/>
      <c r="EW1156" s="10"/>
      <c r="EX1156" s="4"/>
      <c r="EY1156" s="4"/>
      <c r="EZ1156" s="4"/>
      <c r="FA1156" s="4"/>
      <c r="FB1156" s="10"/>
      <c r="FC1156" s="4"/>
      <c r="FD1156" s="4"/>
      <c r="FE1156" s="4"/>
      <c r="FF1156" s="4"/>
      <c r="FG1156" s="10"/>
      <c r="FH1156" s="21"/>
      <c r="FI1156" s="4"/>
      <c r="FJ1156" s="4"/>
      <c r="FK1156" s="8"/>
      <c r="FL1156" s="4"/>
    </row>
    <row r="1157" ht="12.75" hidden="1" customHeight="1" outlineLevel="1">
      <c r="A1157" s="4"/>
      <c r="B1157" s="299" t="s">
        <v>432</v>
      </c>
      <c r="C1157" s="90"/>
      <c r="D1157" s="728"/>
      <c r="E1157" s="728"/>
      <c r="F1157" s="728"/>
      <c r="G1157" s="728"/>
      <c r="H1157" s="729"/>
      <c r="I1157" s="728"/>
      <c r="J1157" s="728"/>
      <c r="K1157" s="728"/>
      <c r="L1157" s="728"/>
      <c r="M1157" s="729"/>
      <c r="N1157" s="728"/>
      <c r="O1157" s="728"/>
      <c r="P1157" s="728"/>
      <c r="Q1157" s="728"/>
      <c r="R1157" s="729"/>
      <c r="S1157" s="728"/>
      <c r="T1157" s="728"/>
      <c r="U1157" s="728"/>
      <c r="V1157" s="728"/>
      <c r="W1157" s="729"/>
      <c r="X1157" s="728"/>
      <c r="Y1157" s="728"/>
      <c r="Z1157" s="728"/>
      <c r="AA1157" s="728"/>
      <c r="AB1157" s="729"/>
      <c r="AC1157" s="728"/>
      <c r="AD1157" s="728"/>
      <c r="AE1157" s="728"/>
      <c r="AF1157" s="728"/>
      <c r="AG1157" s="729"/>
      <c r="AH1157" s="728"/>
      <c r="AI1157" s="728"/>
      <c r="AJ1157" s="728"/>
      <c r="AK1157" s="728"/>
      <c r="AL1157" s="729"/>
      <c r="AM1157" s="728"/>
      <c r="AN1157" s="728"/>
      <c r="AO1157" s="728"/>
      <c r="AP1157" s="728"/>
      <c r="AQ1157" s="729"/>
      <c r="AR1157" s="728"/>
      <c r="AS1157" s="728"/>
      <c r="AT1157" s="728"/>
      <c r="AU1157" s="728"/>
      <c r="AV1157" s="729"/>
      <c r="AW1157" s="728"/>
      <c r="AX1157" s="728"/>
      <c r="AY1157" s="728"/>
      <c r="AZ1157" s="728"/>
      <c r="BA1157" s="729"/>
      <c r="BB1157" s="728"/>
      <c r="BC1157" s="728"/>
      <c r="BD1157" s="728"/>
      <c r="BE1157" s="728"/>
      <c r="BF1157" s="729"/>
      <c r="BG1157" s="728"/>
      <c r="BH1157" s="728"/>
      <c r="BI1157" s="728"/>
      <c r="BJ1157" s="728"/>
      <c r="BK1157" s="729"/>
      <c r="BL1157" s="728"/>
      <c r="BM1157" s="728"/>
      <c r="BN1157" s="728"/>
      <c r="BO1157" s="728"/>
      <c r="BP1157" s="729"/>
      <c r="BQ1157" s="728"/>
      <c r="BR1157" s="728"/>
      <c r="BS1157" s="728"/>
      <c r="BT1157" s="728"/>
      <c r="BU1157" s="729"/>
      <c r="BV1157" s="728"/>
      <c r="BW1157" s="728"/>
      <c r="BX1157" s="728"/>
      <c r="BY1157" s="728"/>
      <c r="BZ1157" s="730"/>
      <c r="CA1157" s="728"/>
      <c r="CB1157" s="728"/>
      <c r="CC1157" s="728"/>
      <c r="CD1157" s="728"/>
      <c r="CE1157" s="730"/>
      <c r="CF1157" s="728"/>
      <c r="CG1157" s="728"/>
      <c r="CH1157" s="728"/>
      <c r="CI1157" s="728"/>
      <c r="CJ1157" s="730"/>
      <c r="CK1157" s="728"/>
      <c r="CL1157" s="728"/>
      <c r="CM1157" s="728"/>
      <c r="CN1157" s="731"/>
      <c r="CO1157" s="730"/>
      <c r="CP1157" s="731"/>
      <c r="CQ1157" s="728"/>
      <c r="CR1157" s="728"/>
      <c r="CS1157" s="728"/>
      <c r="CT1157" s="730"/>
      <c r="CU1157" s="728"/>
      <c r="CV1157" s="728"/>
      <c r="CW1157" s="728"/>
      <c r="CX1157" s="728"/>
      <c r="CY1157" s="730"/>
      <c r="CZ1157" s="728"/>
      <c r="DA1157" s="728"/>
      <c r="DB1157" s="728"/>
      <c r="DC1157" s="728"/>
      <c r="DD1157" s="730"/>
      <c r="DE1157" s="728"/>
      <c r="DF1157" s="728"/>
      <c r="DG1157" s="732"/>
      <c r="DH1157" s="728"/>
      <c r="DI1157" s="730"/>
      <c r="DJ1157" s="731"/>
      <c r="DK1157" s="731"/>
      <c r="DL1157" s="731"/>
      <c r="DM1157" s="728"/>
      <c r="DN1157" s="730"/>
      <c r="DO1157" s="728"/>
      <c r="DP1157" s="728"/>
      <c r="DQ1157" s="728"/>
      <c r="DR1157" s="728"/>
      <c r="DS1157" s="730"/>
      <c r="DT1157" s="728"/>
      <c r="DU1157" s="728"/>
      <c r="DV1157" s="728"/>
      <c r="DW1157" s="728"/>
      <c r="DX1157" s="730"/>
      <c r="DY1157" s="728"/>
      <c r="DZ1157" s="728"/>
      <c r="EA1157" s="728"/>
      <c r="EB1157" s="728"/>
      <c r="EC1157" s="730"/>
      <c r="ED1157" s="728"/>
      <c r="EE1157" s="728"/>
      <c r="EF1157" s="728"/>
      <c r="EG1157" s="728"/>
      <c r="EH1157" s="730"/>
      <c r="EI1157" s="733"/>
      <c r="EJ1157" s="728"/>
      <c r="EK1157" s="728"/>
      <c r="EL1157" s="728"/>
      <c r="EM1157" s="730"/>
      <c r="EN1157" s="728"/>
      <c r="EO1157" s="728"/>
      <c r="EP1157" s="728"/>
      <c r="EQ1157" s="728"/>
      <c r="ER1157" s="730"/>
      <c r="ES1157" s="728"/>
      <c r="ET1157" s="728"/>
      <c r="EU1157" s="728"/>
      <c r="EV1157" s="728"/>
      <c r="EW1157" s="730"/>
      <c r="EX1157" s="728"/>
      <c r="EY1157" s="728"/>
      <c r="EZ1157" s="728"/>
      <c r="FA1157" s="728"/>
      <c r="FB1157" s="730"/>
      <c r="FC1157" s="728"/>
      <c r="FD1157" s="728"/>
      <c r="FE1157" s="728"/>
      <c r="FF1157" s="728"/>
      <c r="FG1157" s="730"/>
      <c r="FH1157" s="734"/>
      <c r="FI1157" s="728"/>
      <c r="FJ1157" s="728"/>
      <c r="FK1157" s="729"/>
      <c r="FL1157" s="728"/>
    </row>
    <row r="1158" ht="12.75" hidden="1" customHeight="1" outlineLevel="1">
      <c r="A1158" s="4"/>
      <c r="B1158" s="4" t="s">
        <v>433</v>
      </c>
      <c r="C1158" s="4"/>
      <c r="D1158" s="17"/>
      <c r="E1158" s="17"/>
      <c r="F1158" s="17"/>
      <c r="G1158" s="17"/>
      <c r="H1158" s="73"/>
      <c r="I1158" s="17"/>
      <c r="J1158" s="17"/>
      <c r="K1158" s="17"/>
      <c r="L1158" s="17"/>
      <c r="M1158" s="73"/>
      <c r="N1158" s="17"/>
      <c r="O1158" s="17" t="str">
        <f>serverUnitsTotal</f>
        <v>#ERROR!</v>
      </c>
      <c r="P1158" s="17" t="str">
        <f>serverUnitsTotal</f>
        <v>#ERROR!</v>
      </c>
      <c r="Q1158" s="17" t="str">
        <f>serverUnitsTotal</f>
        <v>#ERROR!</v>
      </c>
      <c r="R1158" s="73" t="str">
        <f>serverUnitsTotal</f>
        <v>#ERROR!</v>
      </c>
      <c r="S1158" s="17" t="str">
        <f>serverUnitsTotal</f>
        <v>#ERROR!</v>
      </c>
      <c r="T1158" s="17" t="str">
        <f>serverUnitsTotal</f>
        <v>#ERROR!</v>
      </c>
      <c r="U1158" s="17" t="str">
        <f>serverUnitsTotal</f>
        <v>#ERROR!</v>
      </c>
      <c r="V1158" s="17" t="str">
        <f>serverUnitsTotal</f>
        <v>#ERROR!</v>
      </c>
      <c r="W1158" s="73" t="str">
        <f>serverUnitsTotal</f>
        <v>#ERROR!</v>
      </c>
      <c r="X1158" s="17" t="str">
        <f>serverUnitsTotal</f>
        <v>#ERROR!</v>
      </c>
      <c r="Y1158" s="17" t="str">
        <f>serverUnitsTotal</f>
        <v>#ERROR!</v>
      </c>
      <c r="Z1158" s="17" t="str">
        <f>serverUnitsTotal</f>
        <v>#ERROR!</v>
      </c>
      <c r="AA1158" s="17" t="str">
        <f>serverUnitsTotal</f>
        <v>#ERROR!</v>
      </c>
      <c r="AB1158" s="73" t="str">
        <f>serverUnitsTotal</f>
        <v>#ERROR!</v>
      </c>
      <c r="AC1158" s="17" t="str">
        <f>serverUnitsTotal</f>
        <v>#ERROR!</v>
      </c>
      <c r="AD1158" s="17" t="str">
        <f>serverUnitsTotal</f>
        <v>#ERROR!</v>
      </c>
      <c r="AE1158" s="17" t="str">
        <f>serverUnitsTotal</f>
        <v>#ERROR!</v>
      </c>
      <c r="AF1158" s="17" t="str">
        <f>serverUnitsTotal</f>
        <v>#ERROR!</v>
      </c>
      <c r="AG1158" s="73" t="str">
        <f>serverUnitsTotal</f>
        <v>#ERROR!</v>
      </c>
      <c r="AH1158" s="17" t="str">
        <f>serverUnitsTotal</f>
        <v>#ERROR!</v>
      </c>
      <c r="AI1158" s="17" t="str">
        <f>serverUnitsTotal</f>
        <v>#ERROR!</v>
      </c>
      <c r="AJ1158" s="17" t="str">
        <f>serverUnitsTotal</f>
        <v>#ERROR!</v>
      </c>
      <c r="AK1158" s="17" t="str">
        <f>serverUnitsTotal</f>
        <v>#ERROR!</v>
      </c>
      <c r="AL1158" s="73" t="str">
        <f>serverUnitsTotal</f>
        <v>#ERROR!</v>
      </c>
      <c r="AM1158" s="17" t="str">
        <f>serverUnitsTotal</f>
        <v>#ERROR!</v>
      </c>
      <c r="AN1158" s="17" t="str">
        <f>serverUnitsTotal</f>
        <v>#ERROR!</v>
      </c>
      <c r="AO1158" s="17" t="str">
        <f>serverUnitsTotal</f>
        <v>#ERROR!</v>
      </c>
      <c r="AP1158" s="17" t="str">
        <f>serverUnitsTotal</f>
        <v>#ERROR!</v>
      </c>
      <c r="AQ1158" s="73" t="str">
        <f>serverUnitsTotal</f>
        <v>#ERROR!</v>
      </c>
      <c r="AR1158" s="17" t="str">
        <f>serverUnitsTotal</f>
        <v>#ERROR!</v>
      </c>
      <c r="AS1158" s="17" t="str">
        <f>serverUnitsTotal</f>
        <v>#ERROR!</v>
      </c>
      <c r="AT1158" s="17" t="str">
        <f>serverUnitsTotal</f>
        <v>#ERROR!</v>
      </c>
      <c r="AU1158" s="17" t="str">
        <f>serverUnitsTotal</f>
        <v>#ERROR!</v>
      </c>
      <c r="AV1158" s="73" t="str">
        <f>serverUnitsTotal</f>
        <v>#ERROR!</v>
      </c>
      <c r="AW1158" s="17" t="str">
        <f>serverUnitsTotal</f>
        <v>#ERROR!</v>
      </c>
      <c r="AX1158" s="17" t="str">
        <f>serverUnitsTotal</f>
        <v>#ERROR!</v>
      </c>
      <c r="AY1158" s="17" t="str">
        <f>serverUnitsTotal</f>
        <v>#ERROR!</v>
      </c>
      <c r="AZ1158" s="17" t="str">
        <f>serverUnitsTotal</f>
        <v>#ERROR!</v>
      </c>
      <c r="BA1158" s="73" t="str">
        <f>serverUnitsTotal</f>
        <v>#ERROR!</v>
      </c>
      <c r="BB1158" s="17" t="str">
        <f>serverUnitsTotal</f>
        <v>#ERROR!</v>
      </c>
      <c r="BC1158" s="17" t="str">
        <f>serverUnitsTotal</f>
        <v>#ERROR!</v>
      </c>
      <c r="BD1158" s="17" t="str">
        <f>serverUnitsTotal</f>
        <v>#ERROR!</v>
      </c>
      <c r="BE1158" s="17" t="str">
        <f>serverUnitsTotal</f>
        <v>#ERROR!</v>
      </c>
      <c r="BF1158" s="73" t="str">
        <f>serverUnitsTotal</f>
        <v>#ERROR!</v>
      </c>
      <c r="BG1158" s="17" t="str">
        <f>serverUnitsTotal</f>
        <v>#ERROR!</v>
      </c>
      <c r="BH1158" s="17" t="str">
        <f>serverUnitsTotal</f>
        <v>#ERROR!</v>
      </c>
      <c r="BI1158" s="17" t="str">
        <f>serverUnitsTotal</f>
        <v>#ERROR!</v>
      </c>
      <c r="BJ1158" s="17" t="str">
        <f>serverUnitsTotal</f>
        <v>#ERROR!</v>
      </c>
      <c r="BK1158" s="73" t="str">
        <f>serverUnitsTotal</f>
        <v>#ERROR!</v>
      </c>
      <c r="BL1158" s="17" t="str">
        <f>serverUnitsTotal</f>
        <v>#ERROR!</v>
      </c>
      <c r="BM1158" s="17" t="str">
        <f>serverUnitsTotal</f>
        <v>#ERROR!</v>
      </c>
      <c r="BN1158" s="17" t="str">
        <f>serverUnitsTotal</f>
        <v>#ERROR!</v>
      </c>
      <c r="BO1158" s="17" t="str">
        <f>serverUnitsTotal</f>
        <v>#ERROR!</v>
      </c>
      <c r="BP1158" s="73" t="str">
        <f>serverUnitsTotal</f>
        <v>#ERROR!</v>
      </c>
      <c r="BQ1158" s="17" t="str">
        <f>serverUnitsTotal</f>
        <v>#ERROR!</v>
      </c>
      <c r="BR1158" s="17" t="str">
        <f>serverUnitsTotal</f>
        <v>#ERROR!</v>
      </c>
      <c r="BS1158" s="17" t="str">
        <f>serverUnitsTotal</f>
        <v>#ERROR!</v>
      </c>
      <c r="BT1158" s="17" t="str">
        <f>serverUnitsTotal</f>
        <v>#ERROR!</v>
      </c>
      <c r="BU1158" s="73" t="str">
        <f>serverUnitsTotal</f>
        <v>#ERROR!</v>
      </c>
      <c r="BV1158" s="17" t="str">
        <f>serverUnitsTotal</f>
        <v>#ERROR!</v>
      </c>
      <c r="BW1158" s="17" t="str">
        <f>serverUnitsTotal</f>
        <v>#ERROR!</v>
      </c>
      <c r="BX1158" s="17" t="str">
        <f>serverUnitsTotal</f>
        <v>#ERROR!</v>
      </c>
      <c r="BY1158" s="17" t="str">
        <f>serverUnitsTotal</f>
        <v>#ERROR!</v>
      </c>
      <c r="BZ1158" s="18" t="str">
        <f>serverUnitsTotal</f>
        <v>#ERROR!</v>
      </c>
      <c r="CA1158" s="17" t="str">
        <f>serverUnitsTotal</f>
        <v>#ERROR!</v>
      </c>
      <c r="CB1158" s="17" t="str">
        <f>serverUnitsTotal</f>
        <v>#ERROR!</v>
      </c>
      <c r="CC1158" s="17" t="str">
        <f>serverUnitsTotal</f>
        <v>#ERROR!</v>
      </c>
      <c r="CD1158" s="17" t="str">
        <f>serverUnitsTotal</f>
        <v>#ERROR!</v>
      </c>
      <c r="CE1158" s="18" t="str">
        <f>serverUnitsTotal</f>
        <v>#ERROR!</v>
      </c>
      <c r="CF1158" s="17" t="str">
        <f>serverUnitsTotal</f>
        <v>#ERROR!</v>
      </c>
      <c r="CG1158" s="17" t="str">
        <f>serverUnitsTotal</f>
        <v>#ERROR!</v>
      </c>
      <c r="CH1158" s="17" t="str">
        <f>serverUnitsTotal</f>
        <v>#ERROR!</v>
      </c>
      <c r="CI1158" s="17" t="str">
        <f>serverUnitsTotal</f>
        <v>#ERROR!</v>
      </c>
      <c r="CJ1158" s="18" t="str">
        <f>serverUnitsTotal</f>
        <v>#ERROR!</v>
      </c>
      <c r="CK1158" s="17" t="str">
        <f>serverUnitsTotal</f>
        <v>#ERROR!</v>
      </c>
      <c r="CL1158" s="17" t="str">
        <f>serverUnitsTotal</f>
        <v>#ERROR!</v>
      </c>
      <c r="CM1158" s="17" t="str">
        <f>serverUnitsTotal</f>
        <v>#ERROR!</v>
      </c>
      <c r="CN1158" s="19" t="str">
        <f>serverUnitsTotal</f>
        <v>#ERROR!</v>
      </c>
      <c r="CO1158" s="18" t="str">
        <f>serverUnitsTotal</f>
        <v>#ERROR!</v>
      </c>
      <c r="CP1158" s="19" t="str">
        <f>serverUnitsTotal</f>
        <v>#ERROR!</v>
      </c>
      <c r="CQ1158" s="17" t="str">
        <f>serverUnitsTotal</f>
        <v>#ERROR!</v>
      </c>
      <c r="CR1158" s="17" t="str">
        <f>serverUnitsTotal</f>
        <v>#ERROR!</v>
      </c>
      <c r="CS1158" s="17" t="str">
        <f>serverUnitsTotal</f>
        <v>#ERROR!</v>
      </c>
      <c r="CT1158" s="18" t="str">
        <f>serverUnitsTotal</f>
        <v>#ERROR!</v>
      </c>
      <c r="CU1158" s="17" t="str">
        <f>serverUnitsTotal</f>
        <v>#ERROR!</v>
      </c>
      <c r="CV1158" s="17" t="str">
        <f>serverUnitsTotal</f>
        <v>#ERROR!</v>
      </c>
      <c r="CW1158" s="17" t="str">
        <f>serverUnitsTotal</f>
        <v>#ERROR!</v>
      </c>
      <c r="CX1158" s="17" t="str">
        <f>serverUnitsTotal</f>
        <v>#ERROR!</v>
      </c>
      <c r="CY1158" s="18" t="str">
        <f>serverUnitsTotal</f>
        <v>#ERROR!</v>
      </c>
      <c r="CZ1158" s="17" t="str">
        <f>serverUnitsTotal</f>
        <v>#ERROR!</v>
      </c>
      <c r="DA1158" s="17" t="str">
        <f>serverUnitsTotal</f>
        <v>#ERROR!</v>
      </c>
      <c r="DB1158" s="17" t="str">
        <f>serverUnitsTotal</f>
        <v>#ERROR!</v>
      </c>
      <c r="DC1158" s="17" t="str">
        <f>serverUnitsTotal</f>
        <v>#ERROR!</v>
      </c>
      <c r="DD1158" s="18" t="str">
        <f>serverUnitsTotal</f>
        <v>#ERROR!</v>
      </c>
      <c r="DE1158" s="17" t="str">
        <f>serverUnitsTotal</f>
        <v>#ERROR!</v>
      </c>
      <c r="DF1158" s="17" t="str">
        <f>serverUnitsTotal</f>
        <v>#ERROR!</v>
      </c>
      <c r="DG1158" s="19" t="str">
        <f>serverUnitsTotal</f>
        <v>#ERROR!</v>
      </c>
      <c r="DH1158" s="17" t="str">
        <f>serverUnitsTotal</f>
        <v>#ERROR!</v>
      </c>
      <c r="DI1158" s="18" t="str">
        <f>serverUnitsTotal</f>
        <v>#ERROR!</v>
      </c>
      <c r="DJ1158" s="19" t="str">
        <f>serverUnitsTotal</f>
        <v>#ERROR!</v>
      </c>
      <c r="DK1158" s="19" t="str">
        <f>serverUnitsTotal</f>
        <v>#ERROR!</v>
      </c>
      <c r="DL1158" s="19" t="str">
        <f>serverUnitsTotal</f>
        <v>#ERROR!</v>
      </c>
      <c r="DM1158" s="17" t="str">
        <f>serverUnitsTotal</f>
        <v>#ERROR!</v>
      </c>
      <c r="DN1158" s="18" t="str">
        <f>serverUnitsTotal</f>
        <v>#ERROR!</v>
      </c>
      <c r="DO1158" s="17" t="str">
        <f>serverUnitsTotal</f>
        <v>#ERROR!</v>
      </c>
      <c r="DP1158" s="17" t="str">
        <f>serverUnitsTotal</f>
        <v>#ERROR!</v>
      </c>
      <c r="DQ1158" s="17" t="str">
        <f>serverUnitsTotal</f>
        <v>#ERROR!</v>
      </c>
      <c r="DR1158" s="17" t="str">
        <f>serverUnitsTotal</f>
        <v>#ERROR!</v>
      </c>
      <c r="DS1158" s="18" t="str">
        <f>serverUnitsTotal</f>
        <v>#ERROR!</v>
      </c>
      <c r="DT1158" s="17" t="str">
        <f>serverUnitsTotal</f>
        <v>#ERROR!</v>
      </c>
      <c r="DU1158" s="17" t="str">
        <f>serverUnitsTotal</f>
        <v>#ERROR!</v>
      </c>
      <c r="DV1158" s="17" t="str">
        <f>serverUnitsTotal</f>
        <v>#ERROR!</v>
      </c>
      <c r="DW1158" s="17" t="str">
        <f>serverUnitsTotal</f>
        <v>#ERROR!</v>
      </c>
      <c r="DX1158" s="18" t="str">
        <f>serverUnitsTotal</f>
        <v>#ERROR!</v>
      </c>
      <c r="DY1158" s="17" t="str">
        <f>serverUnitsTotal</f>
        <v>#ERROR!</v>
      </c>
      <c r="DZ1158" s="17" t="str">
        <f>serverUnitsTotal</f>
        <v>#ERROR!</v>
      </c>
      <c r="EA1158" s="17" t="str">
        <f>serverUnitsTotal</f>
        <v>#ERROR!</v>
      </c>
      <c r="EB1158" s="17" t="str">
        <f>serverUnitsTotal</f>
        <v>#ERROR!</v>
      </c>
      <c r="EC1158" s="18" t="str">
        <f>serverUnitsTotal</f>
        <v>#ERROR!</v>
      </c>
      <c r="ED1158" s="17" t="str">
        <f>serverUnitsTotal</f>
        <v>#ERROR!</v>
      </c>
      <c r="EE1158" s="17" t="str">
        <f>serverUnitsTotal</f>
        <v>#ERROR!</v>
      </c>
      <c r="EF1158" s="17" t="str">
        <f>serverUnitsTotal</f>
        <v>#ERROR!</v>
      </c>
      <c r="EG1158" s="17" t="str">
        <f>serverUnitsTotal</f>
        <v>#ERROR!</v>
      </c>
      <c r="EH1158" s="18" t="str">
        <f>serverUnitsTotal</f>
        <v>#ERROR!</v>
      </c>
      <c r="EI1158" s="25" t="str">
        <f>serverUnitsTotal</f>
        <v>#ERROR!</v>
      </c>
      <c r="EJ1158" s="17" t="str">
        <f>serverUnitsTotal</f>
        <v>#ERROR!</v>
      </c>
      <c r="EK1158" s="17" t="str">
        <f>serverUnitsTotal</f>
        <v>#ERROR!</v>
      </c>
      <c r="EL1158" s="17" t="str">
        <f>serverUnitsTotal</f>
        <v>#ERROR!</v>
      </c>
      <c r="EM1158" s="18" t="str">
        <f>serverUnitsTotal</f>
        <v>#ERROR!</v>
      </c>
      <c r="EN1158" s="17" t="str">
        <f>serverUnitsTotal</f>
        <v>#ERROR!</v>
      </c>
      <c r="EO1158" s="17" t="str">
        <f>serverUnitsTotal</f>
        <v>#ERROR!</v>
      </c>
      <c r="EP1158" s="17" t="str">
        <f>serverUnitsTotal</f>
        <v>#ERROR!</v>
      </c>
      <c r="EQ1158" s="17" t="str">
        <f>serverUnitsTotal</f>
        <v>#ERROR!</v>
      </c>
      <c r="ER1158" s="18" t="str">
        <f>serverUnitsTotal</f>
        <v>#ERROR!</v>
      </c>
      <c r="ES1158" s="17" t="str">
        <f>serverUnitsTotal</f>
        <v>#ERROR!</v>
      </c>
      <c r="ET1158" s="17" t="str">
        <f>serverUnitsTotal</f>
        <v>#ERROR!</v>
      </c>
      <c r="EU1158" s="17" t="str">
        <f>serverUnitsTotal</f>
        <v>#ERROR!</v>
      </c>
      <c r="EV1158" s="17" t="str">
        <f>serverUnitsTotal</f>
        <v>#ERROR!</v>
      </c>
      <c r="EW1158" s="18" t="str">
        <f>serverUnitsTotal</f>
        <v>#ERROR!</v>
      </c>
      <c r="EX1158" s="17" t="str">
        <f>serverUnitsTotal</f>
        <v>#ERROR!</v>
      </c>
      <c r="EY1158" s="17" t="str">
        <f>serverUnitsTotal</f>
        <v>#ERROR!</v>
      </c>
      <c r="EZ1158" s="17" t="str">
        <f>serverUnitsTotal</f>
        <v>#ERROR!</v>
      </c>
      <c r="FA1158" s="17" t="str">
        <f>serverUnitsTotal</f>
        <v>#ERROR!</v>
      </c>
      <c r="FB1158" s="18" t="str">
        <f>serverUnitsTotal</f>
        <v>#ERROR!</v>
      </c>
      <c r="FC1158" s="17" t="str">
        <f>serverUnitsTotal</f>
        <v>#ERROR!</v>
      </c>
      <c r="FD1158" s="17" t="str">
        <f>serverUnitsTotal</f>
        <v>#ERROR!</v>
      </c>
      <c r="FE1158" s="17" t="str">
        <f>serverUnitsTotal</f>
        <v>#ERROR!</v>
      </c>
      <c r="FF1158" s="17" t="str">
        <f>serverUnitsTotal</f>
        <v>#ERROR!</v>
      </c>
      <c r="FG1158" s="18" t="str">
        <f>serverUnitsTotal</f>
        <v>#ERROR!</v>
      </c>
      <c r="FH1158" s="74"/>
      <c r="FI1158" s="17"/>
      <c r="FJ1158" s="17"/>
      <c r="FK1158" s="73"/>
      <c r="FL1158" s="17"/>
    </row>
    <row r="1159" ht="12.75" hidden="1" customHeight="1" outlineLevel="1">
      <c r="A1159" s="4"/>
      <c r="B1159" s="4" t="s">
        <v>434</v>
      </c>
      <c r="C1159" s="4"/>
      <c r="D1159" s="17"/>
      <c r="E1159" s="17"/>
      <c r="F1159" s="17"/>
      <c r="G1159" s="17"/>
      <c r="H1159" s="73"/>
      <c r="I1159" s="17"/>
      <c r="J1159" s="17"/>
      <c r="K1159" s="17"/>
      <c r="L1159" s="17"/>
      <c r="M1159" s="73"/>
      <c r="N1159" s="17"/>
      <c r="O1159" s="17"/>
      <c r="P1159" s="17" t="e">
        <v>#REF!</v>
      </c>
      <c r="Q1159" s="17" t="e">
        <v>#REF!</v>
      </c>
      <c r="R1159" s="73" t="e">
        <v>#REF!</v>
      </c>
      <c r="S1159" s="17" t="e">
        <v>#REF!</v>
      </c>
      <c r="T1159" s="17" t="e">
        <v>#REF!</v>
      </c>
      <c r="U1159" s="17" t="e">
        <v>#REF!</v>
      </c>
      <c r="V1159" s="17" t="e">
        <v>#REF!</v>
      </c>
      <c r="W1159" s="73" t="e">
        <v>#REF!</v>
      </c>
      <c r="X1159" s="17" t="e">
        <v>#REF!</v>
      </c>
      <c r="Y1159" s="17" t="e">
        <v>#REF!</v>
      </c>
      <c r="Z1159" s="17" t="e">
        <v>#REF!</v>
      </c>
      <c r="AA1159" s="17" t="e">
        <v>#REF!</v>
      </c>
      <c r="AB1159" s="73" t="e">
        <v>#REF!</v>
      </c>
      <c r="AC1159" s="17" t="e">
        <v>#REF!</v>
      </c>
      <c r="AD1159" s="17" t="e">
        <v>#REF!</v>
      </c>
      <c r="AE1159" s="17" t="e">
        <v>#REF!</v>
      </c>
      <c r="AF1159" s="17" t="e">
        <v>#REF!</v>
      </c>
      <c r="AG1159" s="73" t="e">
        <v>#REF!</v>
      </c>
      <c r="AH1159" s="17" t="e">
        <v>#REF!</v>
      </c>
      <c r="AI1159" s="17" t="e">
        <v>#REF!</v>
      </c>
      <c r="AJ1159" s="17" t="e">
        <v>#REF!</v>
      </c>
      <c r="AK1159" s="17" t="e">
        <v>#REF!</v>
      </c>
      <c r="AL1159" s="73" t="e">
        <v>#REF!</v>
      </c>
      <c r="AM1159" s="17" t="e">
        <v>#REF!</v>
      </c>
      <c r="AN1159" s="17" t="e">
        <v>#REF!</v>
      </c>
      <c r="AO1159" s="17" t="e">
        <v>#REF!</v>
      </c>
      <c r="AP1159" s="17" t="e">
        <v>#REF!</v>
      </c>
      <c r="AQ1159" s="73" t="e">
        <v>#REF!</v>
      </c>
      <c r="AR1159" s="17" t="e">
        <v>#REF!</v>
      </c>
      <c r="AS1159" s="17" t="e">
        <v>#REF!</v>
      </c>
      <c r="AT1159" s="17" t="e">
        <v>#REF!</v>
      </c>
      <c r="AU1159" s="17" t="e">
        <v>#REF!</v>
      </c>
      <c r="AV1159" s="73" t="e">
        <v>#REF!</v>
      </c>
      <c r="AW1159" s="17" t="e">
        <v>#REF!</v>
      </c>
      <c r="AX1159" s="17" t="e">
        <v>#REF!</v>
      </c>
      <c r="AY1159" s="17" t="e">
        <v>#REF!</v>
      </c>
      <c r="AZ1159" s="17" t="e">
        <v>#REF!</v>
      </c>
      <c r="BA1159" s="73" t="e">
        <v>#REF!</v>
      </c>
      <c r="BB1159" s="17" t="e">
        <v>#REF!</v>
      </c>
      <c r="BC1159" s="17" t="e">
        <v>#REF!</v>
      </c>
      <c r="BD1159" s="17" t="e">
        <v>#REF!</v>
      </c>
      <c r="BE1159" s="17" t="e">
        <v>#REF!</v>
      </c>
      <c r="BF1159" s="73" t="e">
        <v>#REF!</v>
      </c>
      <c r="BG1159" s="17" t="e">
        <v>#REF!</v>
      </c>
      <c r="BH1159" s="17" t="e">
        <v>#REF!</v>
      </c>
      <c r="BI1159" s="17" t="e">
        <v>#REF!</v>
      </c>
      <c r="BJ1159" s="17" t="e">
        <v>#REF!</v>
      </c>
      <c r="BK1159" s="73" t="e">
        <v>#REF!</v>
      </c>
      <c r="BL1159" s="17" t="e">
        <v>#REF!</v>
      </c>
      <c r="BM1159" s="17" t="e">
        <v>#REF!</v>
      </c>
      <c r="BN1159" s="17" t="e">
        <v>#REF!</v>
      </c>
      <c r="BO1159" s="17" t="e">
        <v>#REF!</v>
      </c>
      <c r="BP1159" s="73" t="e">
        <v>#REF!</v>
      </c>
      <c r="BQ1159" s="17" t="e">
        <v>#REF!</v>
      </c>
      <c r="BR1159" s="17" t="e">
        <v>#REF!</v>
      </c>
      <c r="BS1159" s="17" t="e">
        <v>#REF!</v>
      </c>
      <c r="BT1159" s="17" t="e">
        <v>#REF!</v>
      </c>
      <c r="BU1159" s="73" t="e">
        <v>#REF!</v>
      </c>
      <c r="BV1159" s="17" t="e">
        <v>#REF!</v>
      </c>
      <c r="BW1159" s="17" t="e">
        <v>#REF!</v>
      </c>
      <c r="BX1159" s="17" t="e">
        <v>#REF!</v>
      </c>
      <c r="BY1159" s="17" t="e">
        <v>#REF!</v>
      </c>
      <c r="BZ1159" s="18" t="e">
        <v>#REF!</v>
      </c>
      <c r="CA1159" s="17" t="e">
        <v>#REF!</v>
      </c>
      <c r="CB1159" s="17" t="e">
        <v>#REF!</v>
      </c>
      <c r="CC1159" s="17" t="e">
        <v>#REF!</v>
      </c>
      <c r="CD1159" s="17" t="e">
        <v>#REF!</v>
      </c>
      <c r="CE1159" s="18" t="e">
        <v>#REF!</v>
      </c>
      <c r="CF1159" s="17" t="e">
        <v>#REF!</v>
      </c>
      <c r="CG1159" s="17" t="e">
        <v>#REF!</v>
      </c>
      <c r="CH1159" s="17" t="e">
        <v>#REF!</v>
      </c>
      <c r="CI1159" s="17" t="e">
        <v>#REF!</v>
      </c>
      <c r="CJ1159" s="18" t="e">
        <v>#REF!</v>
      </c>
      <c r="CK1159" s="17" t="e">
        <v>#REF!</v>
      </c>
      <c r="CL1159" s="17" t="e">
        <v>#REF!</v>
      </c>
      <c r="CM1159" s="17" t="e">
        <v>#REF!</v>
      </c>
      <c r="CN1159" s="19" t="e">
        <v>#REF!</v>
      </c>
      <c r="CO1159" s="18" t="e">
        <v>#REF!</v>
      </c>
      <c r="CP1159" s="19" t="e">
        <v>#REF!</v>
      </c>
      <c r="CQ1159" s="17" t="e">
        <v>#REF!</v>
      </c>
      <c r="CR1159" s="17" t="e">
        <v>#REF!</v>
      </c>
      <c r="CS1159" s="17" t="e">
        <v>#REF!</v>
      </c>
      <c r="CT1159" s="18" t="e">
        <v>#REF!</v>
      </c>
      <c r="CU1159" s="17" t="e">
        <v>#REF!</v>
      </c>
      <c r="CV1159" s="17" t="e">
        <v>#REF!</v>
      </c>
      <c r="CW1159" s="17" t="e">
        <v>#REF!</v>
      </c>
      <c r="CX1159" s="17" t="e">
        <v>#REF!</v>
      </c>
      <c r="CY1159" s="18" t="e">
        <v>#REF!</v>
      </c>
      <c r="CZ1159" s="17" t="e">
        <v>#REF!</v>
      </c>
      <c r="DA1159" s="17" t="e">
        <v>#REF!</v>
      </c>
      <c r="DB1159" s="17" t="e">
        <v>#REF!</v>
      </c>
      <c r="DC1159" s="17" t="e">
        <v>#REF!</v>
      </c>
      <c r="DD1159" s="18" t="e">
        <v>#REF!</v>
      </c>
      <c r="DE1159" s="17" t="e">
        <v>#REF!</v>
      </c>
      <c r="DF1159" s="17" t="e">
        <v>#REF!</v>
      </c>
      <c r="DG1159" s="19" t="e">
        <v>#REF!</v>
      </c>
      <c r="DH1159" s="17" t="e">
        <v>#REF!</v>
      </c>
      <c r="DI1159" s="18" t="e">
        <v>#REF!</v>
      </c>
      <c r="DJ1159" s="19" t="e">
        <v>#REF!</v>
      </c>
      <c r="DK1159" s="19" t="e">
        <v>#REF!</v>
      </c>
      <c r="DL1159" s="19" t="e">
        <v>#REF!</v>
      </c>
      <c r="DM1159" s="17" t="e">
        <v>#REF!</v>
      </c>
      <c r="DN1159" s="18" t="e">
        <v>#REF!</v>
      </c>
      <c r="DO1159" s="17" t="e">
        <v>#REF!</v>
      </c>
      <c r="DP1159" s="17" t="e">
        <v>#REF!</v>
      </c>
      <c r="DQ1159" s="17" t="e">
        <v>#REF!</v>
      </c>
      <c r="DR1159" s="17" t="e">
        <v>#REF!</v>
      </c>
      <c r="DS1159" s="18" t="e">
        <v>#REF!</v>
      </c>
      <c r="DT1159" s="17" t="e">
        <v>#REF!</v>
      </c>
      <c r="DU1159" s="17" t="e">
        <v>#REF!</v>
      </c>
      <c r="DV1159" s="17" t="e">
        <v>#REF!</v>
      </c>
      <c r="DW1159" s="17" t="e">
        <v>#REF!</v>
      </c>
      <c r="DX1159" s="18" t="e">
        <v>#REF!</v>
      </c>
      <c r="DY1159" s="17" t="e">
        <v>#REF!</v>
      </c>
      <c r="DZ1159" s="17" t="e">
        <v>#REF!</v>
      </c>
      <c r="EA1159" s="17" t="e">
        <v>#REF!</v>
      </c>
      <c r="EB1159" s="17" t="e">
        <v>#REF!</v>
      </c>
      <c r="EC1159" s="18" t="e">
        <v>#REF!</v>
      </c>
      <c r="ED1159" s="17" t="e">
        <v>#REF!</v>
      </c>
      <c r="EE1159" s="17" t="e">
        <v>#REF!</v>
      </c>
      <c r="EF1159" s="17" t="e">
        <v>#REF!</v>
      </c>
      <c r="EG1159" s="17" t="e">
        <v>#REF!</v>
      </c>
      <c r="EH1159" s="18" t="e">
        <v>#REF!</v>
      </c>
      <c r="EI1159" s="25" t="e">
        <v>#REF!</v>
      </c>
      <c r="EJ1159" s="17" t="e">
        <v>#REF!</v>
      </c>
      <c r="EK1159" s="17" t="e">
        <v>#REF!</v>
      </c>
      <c r="EL1159" s="17" t="e">
        <v>#REF!</v>
      </c>
      <c r="EM1159" s="18" t="e">
        <v>#REF!</v>
      </c>
      <c r="EN1159" s="17" t="e">
        <v>#REF!</v>
      </c>
      <c r="EO1159" s="17" t="e">
        <v>#REF!</v>
      </c>
      <c r="EP1159" s="17" t="e">
        <v>#REF!</v>
      </c>
      <c r="EQ1159" s="17" t="e">
        <v>#REF!</v>
      </c>
      <c r="ER1159" s="18" t="e">
        <v>#REF!</v>
      </c>
      <c r="ES1159" s="17" t="e">
        <v>#REF!</v>
      </c>
      <c r="ET1159" s="17" t="e">
        <v>#REF!</v>
      </c>
      <c r="EU1159" s="17" t="e">
        <v>#REF!</v>
      </c>
      <c r="EV1159" s="17" t="e">
        <v>#REF!</v>
      </c>
      <c r="EW1159" s="18" t="e">
        <v>#REF!</v>
      </c>
      <c r="EX1159" s="17" t="e">
        <v>#REF!</v>
      </c>
      <c r="EY1159" s="17" t="e">
        <v>#REF!</v>
      </c>
      <c r="EZ1159" s="17" t="e">
        <v>#REF!</v>
      </c>
      <c r="FA1159" s="17" t="e">
        <v>#REF!</v>
      </c>
      <c r="FB1159" s="18" t="e">
        <v>#REF!</v>
      </c>
      <c r="FC1159" s="17" t="e">
        <v>#REF!</v>
      </c>
      <c r="FD1159" s="17" t="e">
        <v>#REF!</v>
      </c>
      <c r="FE1159" s="17" t="e">
        <v>#REF!</v>
      </c>
      <c r="FF1159" s="17" t="e">
        <v>#REF!</v>
      </c>
      <c r="FG1159" s="18" t="e">
        <v>#REF!</v>
      </c>
      <c r="FH1159" s="74"/>
      <c r="FI1159" s="17"/>
      <c r="FJ1159" s="17"/>
      <c r="FK1159" s="73"/>
      <c r="FL1159" s="17"/>
    </row>
    <row r="1160" ht="13.5" hidden="1" customHeight="1" outlineLevel="1">
      <c r="A1160" s="4"/>
      <c r="B1160" s="529" t="s">
        <v>291</v>
      </c>
      <c r="C1160" s="529"/>
      <c r="D1160" s="164"/>
      <c r="E1160" s="164"/>
      <c r="F1160" s="164"/>
      <c r="G1160" s="164"/>
      <c r="H1160" s="166"/>
      <c r="I1160" s="164"/>
      <c r="J1160" s="164"/>
      <c r="K1160" s="164"/>
      <c r="L1160" s="164"/>
      <c r="M1160" s="166"/>
      <c r="N1160" s="164"/>
      <c r="O1160" s="164" t="str">
        <f t="shared" ref="O1160:FG1160" si="5541">SUM(O1158,O1159)</f>
        <v>#ERROR!</v>
      </c>
      <c r="P1160" s="164" t="str">
        <f t="shared" si="5541"/>
        <v>#ERROR!</v>
      </c>
      <c r="Q1160" s="164" t="str">
        <f t="shared" si="5541"/>
        <v>#ERROR!</v>
      </c>
      <c r="R1160" s="166" t="str">
        <f t="shared" si="5541"/>
        <v>#ERROR!</v>
      </c>
      <c r="S1160" s="164" t="str">
        <f t="shared" si="5541"/>
        <v>#ERROR!</v>
      </c>
      <c r="T1160" s="164" t="str">
        <f t="shared" si="5541"/>
        <v>#ERROR!</v>
      </c>
      <c r="U1160" s="164" t="str">
        <f t="shared" si="5541"/>
        <v>#ERROR!</v>
      </c>
      <c r="V1160" s="164" t="str">
        <f t="shared" si="5541"/>
        <v>#ERROR!</v>
      </c>
      <c r="W1160" s="166" t="str">
        <f t="shared" si="5541"/>
        <v>#ERROR!</v>
      </c>
      <c r="X1160" s="164" t="str">
        <f t="shared" si="5541"/>
        <v>#ERROR!</v>
      </c>
      <c r="Y1160" s="164" t="str">
        <f t="shared" si="5541"/>
        <v>#ERROR!</v>
      </c>
      <c r="Z1160" s="164" t="str">
        <f t="shared" si="5541"/>
        <v>#ERROR!</v>
      </c>
      <c r="AA1160" s="164" t="str">
        <f t="shared" si="5541"/>
        <v>#ERROR!</v>
      </c>
      <c r="AB1160" s="166" t="str">
        <f t="shared" si="5541"/>
        <v>#ERROR!</v>
      </c>
      <c r="AC1160" s="164" t="str">
        <f t="shared" si="5541"/>
        <v>#ERROR!</v>
      </c>
      <c r="AD1160" s="164" t="str">
        <f t="shared" si="5541"/>
        <v>#ERROR!</v>
      </c>
      <c r="AE1160" s="164" t="str">
        <f t="shared" si="5541"/>
        <v>#ERROR!</v>
      </c>
      <c r="AF1160" s="164" t="str">
        <f t="shared" si="5541"/>
        <v>#ERROR!</v>
      </c>
      <c r="AG1160" s="166" t="str">
        <f t="shared" si="5541"/>
        <v>#ERROR!</v>
      </c>
      <c r="AH1160" s="164" t="str">
        <f t="shared" si="5541"/>
        <v>#ERROR!</v>
      </c>
      <c r="AI1160" s="164" t="str">
        <f t="shared" si="5541"/>
        <v>#ERROR!</v>
      </c>
      <c r="AJ1160" s="164" t="str">
        <f t="shared" si="5541"/>
        <v>#ERROR!</v>
      </c>
      <c r="AK1160" s="164" t="str">
        <f t="shared" si="5541"/>
        <v>#ERROR!</v>
      </c>
      <c r="AL1160" s="166" t="str">
        <f t="shared" si="5541"/>
        <v>#ERROR!</v>
      </c>
      <c r="AM1160" s="164" t="str">
        <f t="shared" si="5541"/>
        <v>#ERROR!</v>
      </c>
      <c r="AN1160" s="164" t="str">
        <f t="shared" si="5541"/>
        <v>#ERROR!</v>
      </c>
      <c r="AO1160" s="164" t="str">
        <f t="shared" si="5541"/>
        <v>#ERROR!</v>
      </c>
      <c r="AP1160" s="164" t="str">
        <f t="shared" si="5541"/>
        <v>#ERROR!</v>
      </c>
      <c r="AQ1160" s="166" t="str">
        <f t="shared" si="5541"/>
        <v>#ERROR!</v>
      </c>
      <c r="AR1160" s="164" t="str">
        <f t="shared" si="5541"/>
        <v>#ERROR!</v>
      </c>
      <c r="AS1160" s="164" t="str">
        <f t="shared" si="5541"/>
        <v>#ERROR!</v>
      </c>
      <c r="AT1160" s="164" t="str">
        <f t="shared" si="5541"/>
        <v>#ERROR!</v>
      </c>
      <c r="AU1160" s="164" t="str">
        <f t="shared" si="5541"/>
        <v>#ERROR!</v>
      </c>
      <c r="AV1160" s="166" t="str">
        <f t="shared" si="5541"/>
        <v>#ERROR!</v>
      </c>
      <c r="AW1160" s="164" t="str">
        <f t="shared" si="5541"/>
        <v>#ERROR!</v>
      </c>
      <c r="AX1160" s="164" t="str">
        <f t="shared" si="5541"/>
        <v>#ERROR!</v>
      </c>
      <c r="AY1160" s="164" t="str">
        <f t="shared" si="5541"/>
        <v>#ERROR!</v>
      </c>
      <c r="AZ1160" s="164" t="str">
        <f t="shared" si="5541"/>
        <v>#ERROR!</v>
      </c>
      <c r="BA1160" s="166" t="str">
        <f t="shared" si="5541"/>
        <v>#ERROR!</v>
      </c>
      <c r="BB1160" s="164" t="str">
        <f t="shared" si="5541"/>
        <v>#ERROR!</v>
      </c>
      <c r="BC1160" s="164" t="str">
        <f t="shared" si="5541"/>
        <v>#ERROR!</v>
      </c>
      <c r="BD1160" s="164" t="str">
        <f t="shared" si="5541"/>
        <v>#ERROR!</v>
      </c>
      <c r="BE1160" s="164" t="str">
        <f t="shared" si="5541"/>
        <v>#ERROR!</v>
      </c>
      <c r="BF1160" s="166" t="str">
        <f t="shared" si="5541"/>
        <v>#ERROR!</v>
      </c>
      <c r="BG1160" s="164" t="str">
        <f t="shared" si="5541"/>
        <v>#ERROR!</v>
      </c>
      <c r="BH1160" s="164" t="str">
        <f t="shared" si="5541"/>
        <v>#ERROR!</v>
      </c>
      <c r="BI1160" s="164" t="str">
        <f t="shared" si="5541"/>
        <v>#ERROR!</v>
      </c>
      <c r="BJ1160" s="164" t="str">
        <f t="shared" si="5541"/>
        <v>#ERROR!</v>
      </c>
      <c r="BK1160" s="166" t="str">
        <f t="shared" si="5541"/>
        <v>#ERROR!</v>
      </c>
      <c r="BL1160" s="164" t="str">
        <f t="shared" si="5541"/>
        <v>#ERROR!</v>
      </c>
      <c r="BM1160" s="164" t="str">
        <f t="shared" si="5541"/>
        <v>#ERROR!</v>
      </c>
      <c r="BN1160" s="164" t="str">
        <f t="shared" si="5541"/>
        <v>#ERROR!</v>
      </c>
      <c r="BO1160" s="164" t="str">
        <f t="shared" si="5541"/>
        <v>#ERROR!</v>
      </c>
      <c r="BP1160" s="166" t="str">
        <f t="shared" si="5541"/>
        <v>#ERROR!</v>
      </c>
      <c r="BQ1160" s="164" t="str">
        <f t="shared" si="5541"/>
        <v>#ERROR!</v>
      </c>
      <c r="BR1160" s="164" t="str">
        <f t="shared" si="5541"/>
        <v>#ERROR!</v>
      </c>
      <c r="BS1160" s="164" t="str">
        <f t="shared" si="5541"/>
        <v>#ERROR!</v>
      </c>
      <c r="BT1160" s="164" t="str">
        <f t="shared" si="5541"/>
        <v>#ERROR!</v>
      </c>
      <c r="BU1160" s="166" t="str">
        <f t="shared" si="5541"/>
        <v>#ERROR!</v>
      </c>
      <c r="BV1160" s="164" t="str">
        <f t="shared" si="5541"/>
        <v>#ERROR!</v>
      </c>
      <c r="BW1160" s="164" t="str">
        <f t="shared" si="5541"/>
        <v>#ERROR!</v>
      </c>
      <c r="BX1160" s="164" t="str">
        <f t="shared" si="5541"/>
        <v>#ERROR!</v>
      </c>
      <c r="BY1160" s="164" t="str">
        <f t="shared" si="5541"/>
        <v>#ERROR!</v>
      </c>
      <c r="BZ1160" s="168" t="str">
        <f t="shared" si="5541"/>
        <v>#ERROR!</v>
      </c>
      <c r="CA1160" s="164" t="str">
        <f t="shared" si="5541"/>
        <v>#ERROR!</v>
      </c>
      <c r="CB1160" s="164" t="str">
        <f t="shared" si="5541"/>
        <v>#ERROR!</v>
      </c>
      <c r="CC1160" s="164" t="str">
        <f t="shared" si="5541"/>
        <v>#ERROR!</v>
      </c>
      <c r="CD1160" s="164" t="str">
        <f t="shared" si="5541"/>
        <v>#ERROR!</v>
      </c>
      <c r="CE1160" s="168" t="str">
        <f t="shared" si="5541"/>
        <v>#ERROR!</v>
      </c>
      <c r="CF1160" s="164" t="str">
        <f t="shared" si="5541"/>
        <v>#ERROR!</v>
      </c>
      <c r="CG1160" s="164" t="str">
        <f t="shared" si="5541"/>
        <v>#ERROR!</v>
      </c>
      <c r="CH1160" s="164" t="str">
        <f t="shared" si="5541"/>
        <v>#ERROR!</v>
      </c>
      <c r="CI1160" s="164" t="str">
        <f t="shared" si="5541"/>
        <v>#ERROR!</v>
      </c>
      <c r="CJ1160" s="168" t="str">
        <f t="shared" si="5541"/>
        <v>#ERROR!</v>
      </c>
      <c r="CK1160" s="164" t="str">
        <f t="shared" si="5541"/>
        <v>#ERROR!</v>
      </c>
      <c r="CL1160" s="164" t="str">
        <f t="shared" si="5541"/>
        <v>#ERROR!</v>
      </c>
      <c r="CM1160" s="164" t="str">
        <f t="shared" si="5541"/>
        <v>#ERROR!</v>
      </c>
      <c r="CN1160" s="583" t="str">
        <f t="shared" si="5541"/>
        <v>#ERROR!</v>
      </c>
      <c r="CO1160" s="168" t="str">
        <f t="shared" si="5541"/>
        <v>#ERROR!</v>
      </c>
      <c r="CP1160" s="583" t="str">
        <f t="shared" si="5541"/>
        <v>#ERROR!</v>
      </c>
      <c r="CQ1160" s="164" t="str">
        <f t="shared" si="5541"/>
        <v>#ERROR!</v>
      </c>
      <c r="CR1160" s="164" t="str">
        <f t="shared" si="5541"/>
        <v>#ERROR!</v>
      </c>
      <c r="CS1160" s="164" t="str">
        <f t="shared" si="5541"/>
        <v>#ERROR!</v>
      </c>
      <c r="CT1160" s="168" t="str">
        <f t="shared" si="5541"/>
        <v>#ERROR!</v>
      </c>
      <c r="CU1160" s="164" t="str">
        <f t="shared" si="5541"/>
        <v>#ERROR!</v>
      </c>
      <c r="CV1160" s="164" t="str">
        <f t="shared" si="5541"/>
        <v>#ERROR!</v>
      </c>
      <c r="CW1160" s="164" t="str">
        <f t="shared" si="5541"/>
        <v>#ERROR!</v>
      </c>
      <c r="CX1160" s="164" t="str">
        <f t="shared" si="5541"/>
        <v>#ERROR!</v>
      </c>
      <c r="CY1160" s="168" t="str">
        <f t="shared" si="5541"/>
        <v>#ERROR!</v>
      </c>
      <c r="CZ1160" s="164" t="str">
        <f t="shared" si="5541"/>
        <v>#ERROR!</v>
      </c>
      <c r="DA1160" s="164" t="str">
        <f t="shared" si="5541"/>
        <v>#ERROR!</v>
      </c>
      <c r="DB1160" s="164" t="str">
        <f t="shared" si="5541"/>
        <v>#ERROR!</v>
      </c>
      <c r="DC1160" s="164" t="str">
        <f t="shared" si="5541"/>
        <v>#ERROR!</v>
      </c>
      <c r="DD1160" s="168" t="str">
        <f t="shared" si="5541"/>
        <v>#ERROR!</v>
      </c>
      <c r="DE1160" s="164" t="str">
        <f t="shared" si="5541"/>
        <v>#ERROR!</v>
      </c>
      <c r="DF1160" s="164" t="str">
        <f t="shared" si="5541"/>
        <v>#ERROR!</v>
      </c>
      <c r="DG1160" s="146" t="str">
        <f t="shared" si="5541"/>
        <v>#ERROR!</v>
      </c>
      <c r="DH1160" s="164" t="str">
        <f t="shared" si="5541"/>
        <v>#ERROR!</v>
      </c>
      <c r="DI1160" s="168" t="str">
        <f t="shared" si="5541"/>
        <v>#ERROR!</v>
      </c>
      <c r="DJ1160" s="583" t="str">
        <f t="shared" si="5541"/>
        <v>#ERROR!</v>
      </c>
      <c r="DK1160" s="583" t="str">
        <f t="shared" si="5541"/>
        <v>#ERROR!</v>
      </c>
      <c r="DL1160" s="583" t="str">
        <f t="shared" si="5541"/>
        <v>#ERROR!</v>
      </c>
      <c r="DM1160" s="164" t="str">
        <f t="shared" si="5541"/>
        <v>#ERROR!</v>
      </c>
      <c r="DN1160" s="168" t="str">
        <f t="shared" si="5541"/>
        <v>#ERROR!</v>
      </c>
      <c r="DO1160" s="164" t="str">
        <f t="shared" si="5541"/>
        <v>#ERROR!</v>
      </c>
      <c r="DP1160" s="164" t="str">
        <f t="shared" si="5541"/>
        <v>#ERROR!</v>
      </c>
      <c r="DQ1160" s="164" t="str">
        <f t="shared" si="5541"/>
        <v>#ERROR!</v>
      </c>
      <c r="DR1160" s="164" t="str">
        <f t="shared" si="5541"/>
        <v>#ERROR!</v>
      </c>
      <c r="DS1160" s="168" t="str">
        <f t="shared" si="5541"/>
        <v>#ERROR!</v>
      </c>
      <c r="DT1160" s="164" t="str">
        <f t="shared" si="5541"/>
        <v>#ERROR!</v>
      </c>
      <c r="DU1160" s="164" t="str">
        <f t="shared" si="5541"/>
        <v>#ERROR!</v>
      </c>
      <c r="DV1160" s="164" t="str">
        <f t="shared" si="5541"/>
        <v>#ERROR!</v>
      </c>
      <c r="DW1160" s="164" t="str">
        <f t="shared" si="5541"/>
        <v>#ERROR!</v>
      </c>
      <c r="DX1160" s="168" t="str">
        <f t="shared" si="5541"/>
        <v>#ERROR!</v>
      </c>
      <c r="DY1160" s="164" t="str">
        <f t="shared" si="5541"/>
        <v>#ERROR!</v>
      </c>
      <c r="DZ1160" s="164" t="str">
        <f t="shared" si="5541"/>
        <v>#ERROR!</v>
      </c>
      <c r="EA1160" s="164" t="str">
        <f t="shared" si="5541"/>
        <v>#ERROR!</v>
      </c>
      <c r="EB1160" s="164" t="str">
        <f t="shared" si="5541"/>
        <v>#ERROR!</v>
      </c>
      <c r="EC1160" s="168" t="str">
        <f t="shared" si="5541"/>
        <v>#ERROR!</v>
      </c>
      <c r="ED1160" s="164" t="str">
        <f t="shared" si="5541"/>
        <v>#ERROR!</v>
      </c>
      <c r="EE1160" s="164" t="str">
        <f t="shared" si="5541"/>
        <v>#ERROR!</v>
      </c>
      <c r="EF1160" s="164" t="str">
        <f t="shared" si="5541"/>
        <v>#ERROR!</v>
      </c>
      <c r="EG1160" s="164" t="str">
        <f t="shared" si="5541"/>
        <v>#ERROR!</v>
      </c>
      <c r="EH1160" s="168" t="str">
        <f t="shared" si="5541"/>
        <v>#ERROR!</v>
      </c>
      <c r="EI1160" s="584" t="str">
        <f t="shared" si="5541"/>
        <v>#ERROR!</v>
      </c>
      <c r="EJ1160" s="164" t="str">
        <f t="shared" si="5541"/>
        <v>#ERROR!</v>
      </c>
      <c r="EK1160" s="164" t="str">
        <f t="shared" si="5541"/>
        <v>#ERROR!</v>
      </c>
      <c r="EL1160" s="164" t="str">
        <f t="shared" si="5541"/>
        <v>#ERROR!</v>
      </c>
      <c r="EM1160" s="168" t="str">
        <f t="shared" si="5541"/>
        <v>#ERROR!</v>
      </c>
      <c r="EN1160" s="164" t="str">
        <f t="shared" si="5541"/>
        <v>#ERROR!</v>
      </c>
      <c r="EO1160" s="164" t="str">
        <f t="shared" si="5541"/>
        <v>#ERROR!</v>
      </c>
      <c r="EP1160" s="164" t="str">
        <f t="shared" si="5541"/>
        <v>#ERROR!</v>
      </c>
      <c r="EQ1160" s="164" t="str">
        <f t="shared" si="5541"/>
        <v>#ERROR!</v>
      </c>
      <c r="ER1160" s="168" t="str">
        <f t="shared" si="5541"/>
        <v>#ERROR!</v>
      </c>
      <c r="ES1160" s="164" t="str">
        <f t="shared" si="5541"/>
        <v>#ERROR!</v>
      </c>
      <c r="ET1160" s="164" t="str">
        <f t="shared" si="5541"/>
        <v>#ERROR!</v>
      </c>
      <c r="EU1160" s="164" t="str">
        <f t="shared" si="5541"/>
        <v>#ERROR!</v>
      </c>
      <c r="EV1160" s="164" t="str">
        <f t="shared" si="5541"/>
        <v>#ERROR!</v>
      </c>
      <c r="EW1160" s="168" t="str">
        <f t="shared" si="5541"/>
        <v>#ERROR!</v>
      </c>
      <c r="EX1160" s="164" t="str">
        <f t="shared" si="5541"/>
        <v>#ERROR!</v>
      </c>
      <c r="EY1160" s="164" t="str">
        <f t="shared" si="5541"/>
        <v>#ERROR!</v>
      </c>
      <c r="EZ1160" s="164" t="str">
        <f t="shared" si="5541"/>
        <v>#ERROR!</v>
      </c>
      <c r="FA1160" s="164" t="str">
        <f t="shared" si="5541"/>
        <v>#ERROR!</v>
      </c>
      <c r="FB1160" s="168" t="str">
        <f t="shared" si="5541"/>
        <v>#ERROR!</v>
      </c>
      <c r="FC1160" s="164" t="str">
        <f t="shared" si="5541"/>
        <v>#ERROR!</v>
      </c>
      <c r="FD1160" s="164" t="str">
        <f t="shared" si="5541"/>
        <v>#ERROR!</v>
      </c>
      <c r="FE1160" s="164" t="str">
        <f t="shared" si="5541"/>
        <v>#ERROR!</v>
      </c>
      <c r="FF1160" s="164" t="str">
        <f t="shared" si="5541"/>
        <v>#ERROR!</v>
      </c>
      <c r="FG1160" s="168" t="str">
        <f t="shared" si="5541"/>
        <v>#ERROR!</v>
      </c>
      <c r="FH1160" s="167"/>
      <c r="FI1160" s="164"/>
      <c r="FJ1160" s="164"/>
      <c r="FK1160" s="166"/>
      <c r="FL1160" s="164"/>
    </row>
    <row r="1161" ht="13.5" hidden="1" customHeight="1" outlineLevel="2">
      <c r="A1161" s="4"/>
      <c r="B1161" s="4"/>
      <c r="C1161" s="4"/>
      <c r="D1161" s="4"/>
      <c r="E1161" s="4"/>
      <c r="F1161" s="4"/>
      <c r="G1161" s="4"/>
      <c r="H1161" s="410"/>
      <c r="I1161" s="4"/>
      <c r="J1161" s="4"/>
      <c r="K1161" s="4"/>
      <c r="L1161" s="4"/>
      <c r="M1161" s="410"/>
      <c r="N1161" s="4"/>
      <c r="O1161" s="4"/>
      <c r="P1161" s="4"/>
      <c r="Q1161" s="4"/>
      <c r="R1161" s="410"/>
      <c r="S1161" s="4"/>
      <c r="T1161" s="4"/>
      <c r="U1161" s="4"/>
      <c r="V1161" s="4"/>
      <c r="W1161" s="410"/>
      <c r="X1161" s="4"/>
      <c r="Y1161" s="4"/>
      <c r="Z1161" s="4"/>
      <c r="AA1161" s="4"/>
      <c r="AB1161" s="410"/>
      <c r="AC1161" s="4"/>
      <c r="AD1161" s="4"/>
      <c r="AE1161" s="4"/>
      <c r="AF1161" s="4"/>
      <c r="AG1161" s="410"/>
      <c r="AH1161" s="4"/>
      <c r="AI1161" s="4"/>
      <c r="AJ1161" s="4"/>
      <c r="AK1161" s="4"/>
      <c r="AL1161" s="410" t="str">
        <f>AL1160/AG1160-1</f>
        <v>#ERROR!</v>
      </c>
      <c r="AM1161" s="4"/>
      <c r="AN1161" s="4"/>
      <c r="AO1161" s="4"/>
      <c r="AP1161" s="4"/>
      <c r="AQ1161" s="410" t="str">
        <f>AQ1160/AL1160-1</f>
        <v>#ERROR!</v>
      </c>
      <c r="AR1161" s="4"/>
      <c r="AS1161" s="4"/>
      <c r="AT1161" s="4"/>
      <c r="AU1161" s="4"/>
      <c r="AV1161" s="410" t="str">
        <f>AV1160/AQ1160-1</f>
        <v>#ERROR!</v>
      </c>
      <c r="AW1161" s="4"/>
      <c r="AX1161" s="4"/>
      <c r="AY1161" s="4"/>
      <c r="AZ1161" s="4"/>
      <c r="BA1161" s="410" t="str">
        <f>BA1160/AV1160-1</f>
        <v>#ERROR!</v>
      </c>
      <c r="BB1161" s="4"/>
      <c r="BC1161" s="4"/>
      <c r="BD1161" s="4"/>
      <c r="BE1161" s="4"/>
      <c r="BF1161" s="410" t="str">
        <f>BF1160/BA1160-1</f>
        <v>#ERROR!</v>
      </c>
      <c r="BG1161" s="4"/>
      <c r="BH1161" s="4"/>
      <c r="BI1161" s="4"/>
      <c r="BJ1161" s="4"/>
      <c r="BK1161" s="410" t="str">
        <f>BK1160/BF1160-1</f>
        <v>#ERROR!</v>
      </c>
      <c r="BL1161" s="4"/>
      <c r="BM1161" s="4"/>
      <c r="BN1161" s="4"/>
      <c r="BO1161" s="4"/>
      <c r="BP1161" s="410" t="str">
        <f>BP1160/BK1160-1</f>
        <v>#ERROR!</v>
      </c>
      <c r="BQ1161" s="4"/>
      <c r="BR1161" s="4"/>
      <c r="BS1161" s="4"/>
      <c r="BT1161" s="4"/>
      <c r="BU1161" s="410" t="str">
        <f>BU1160/BP1160-1</f>
        <v>#ERROR!</v>
      </c>
      <c r="BV1161" s="4"/>
      <c r="BW1161" s="4"/>
      <c r="BX1161" s="4"/>
      <c r="BY1161" s="4"/>
      <c r="BZ1161" s="24" t="str">
        <f>BZ1160/BU1160-1</f>
        <v>#ERROR!</v>
      </c>
      <c r="CA1161" s="4"/>
      <c r="CB1161" s="4"/>
      <c r="CC1161" s="4"/>
      <c r="CD1161" s="4"/>
      <c r="CE1161" s="24" t="str">
        <f>CE1160/BZ1160-1</f>
        <v>#ERROR!</v>
      </c>
      <c r="CF1161" s="4"/>
      <c r="CG1161" s="4"/>
      <c r="CH1161" s="4"/>
      <c r="CI1161" s="4"/>
      <c r="CJ1161" s="24" t="str">
        <f>CJ1160/CE1160-1</f>
        <v>#ERROR!</v>
      </c>
      <c r="CK1161" s="4"/>
      <c r="CL1161" s="4"/>
      <c r="CM1161" s="4"/>
      <c r="CN1161" s="16"/>
      <c r="CO1161" s="24" t="str">
        <f>CO1160/CJ1160-1</f>
        <v>#ERROR!</v>
      </c>
      <c r="CP1161" s="16"/>
      <c r="CQ1161" s="4"/>
      <c r="CR1161" s="4"/>
      <c r="CS1161" s="4"/>
      <c r="CT1161" s="24" t="str">
        <f>CT1160/CO1160-1</f>
        <v>#ERROR!</v>
      </c>
      <c r="CU1161" s="4"/>
      <c r="CV1161" s="4"/>
      <c r="CW1161" s="4"/>
      <c r="CX1161" s="4"/>
      <c r="CY1161" s="24" t="str">
        <f>CY1160/CT1160-1</f>
        <v>#ERROR!</v>
      </c>
      <c r="CZ1161" s="4"/>
      <c r="DA1161" s="4"/>
      <c r="DB1161" s="4"/>
      <c r="DC1161" s="4"/>
      <c r="DD1161" s="24" t="str">
        <f>DD1160/CY1160-1</f>
        <v>#ERROR!</v>
      </c>
      <c r="DE1161" s="4"/>
      <c r="DF1161" s="4"/>
      <c r="DG1161" s="16"/>
      <c r="DH1161" s="4"/>
      <c r="DI1161" s="24" t="str">
        <f>DI1160/DD1160-1</f>
        <v>#ERROR!</v>
      </c>
      <c r="DJ1161" s="16"/>
      <c r="DK1161" s="16"/>
      <c r="DL1161" s="16"/>
      <c r="DM1161" s="4"/>
      <c r="DN1161" s="24" t="str">
        <f>DN1160/DI1160-1</f>
        <v>#ERROR!</v>
      </c>
      <c r="DO1161" s="4"/>
      <c r="DP1161" s="4"/>
      <c r="DQ1161" s="4"/>
      <c r="DR1161" s="4"/>
      <c r="DS1161" s="24" t="str">
        <f>DS1160/DN1160-1</f>
        <v>#ERROR!</v>
      </c>
      <c r="DT1161" s="4"/>
      <c r="DU1161" s="4"/>
      <c r="DV1161" s="4"/>
      <c r="DW1161" s="4"/>
      <c r="DX1161" s="24" t="str">
        <f>DX1160/DS1160-1</f>
        <v>#ERROR!</v>
      </c>
      <c r="DY1161" s="4"/>
      <c r="DZ1161" s="4"/>
      <c r="EA1161" s="4"/>
      <c r="EB1161" s="4"/>
      <c r="EC1161" s="24" t="str">
        <f>EC1160/DX1160-1</f>
        <v>#ERROR!</v>
      </c>
      <c r="ED1161" s="4"/>
      <c r="EE1161" s="4"/>
      <c r="EF1161" s="4"/>
      <c r="EG1161" s="4"/>
      <c r="EH1161" s="24" t="str">
        <f>EH1160/EC1160-1</f>
        <v>#ERROR!</v>
      </c>
      <c r="EI1161" s="214"/>
      <c r="EJ1161" s="4"/>
      <c r="EK1161" s="4"/>
      <c r="EL1161" s="4"/>
      <c r="EM1161" s="24" t="str">
        <f>EM1160/EH1160-1</f>
        <v>#ERROR!</v>
      </c>
      <c r="EN1161" s="4"/>
      <c r="EO1161" s="4"/>
      <c r="EP1161" s="4"/>
      <c r="EQ1161" s="4"/>
      <c r="ER1161" s="24" t="str">
        <f>ER1160/EM1160-1</f>
        <v>#ERROR!</v>
      </c>
      <c r="ES1161" s="4"/>
      <c r="ET1161" s="4"/>
      <c r="EU1161" s="4"/>
      <c r="EV1161" s="4"/>
      <c r="EW1161" s="24" t="str">
        <f>EW1160/ER1160-1</f>
        <v>#ERROR!</v>
      </c>
      <c r="EX1161" s="4"/>
      <c r="EY1161" s="4"/>
      <c r="EZ1161" s="4"/>
      <c r="FA1161" s="4"/>
      <c r="FB1161" s="24" t="str">
        <f>FB1160/EW1160-1</f>
        <v>#ERROR!</v>
      </c>
      <c r="FC1161" s="4"/>
      <c r="FD1161" s="4"/>
      <c r="FE1161" s="4"/>
      <c r="FF1161" s="4"/>
      <c r="FG1161" s="24" t="str">
        <f>FG1160/FB1160-1</f>
        <v>#ERROR!</v>
      </c>
      <c r="FH1161" s="104"/>
      <c r="FI1161" s="4"/>
      <c r="FJ1161" s="4"/>
      <c r="FK1161" s="410"/>
      <c r="FL1161" s="4"/>
    </row>
    <row r="1162" ht="12.75" hidden="1" customHeight="1" outlineLevel="1">
      <c r="A1162" s="4"/>
      <c r="B1162" s="4"/>
      <c r="C1162" s="4"/>
      <c r="D1162" s="4"/>
      <c r="E1162" s="4"/>
      <c r="F1162" s="4"/>
      <c r="G1162" s="4"/>
      <c r="H1162" s="410"/>
      <c r="I1162" s="4"/>
      <c r="J1162" s="4"/>
      <c r="K1162" s="4"/>
      <c r="L1162" s="4"/>
      <c r="M1162" s="410"/>
      <c r="N1162" s="4"/>
      <c r="O1162" s="4"/>
      <c r="P1162" s="4"/>
      <c r="Q1162" s="4"/>
      <c r="R1162" s="410"/>
      <c r="S1162" s="4"/>
      <c r="T1162" s="4"/>
      <c r="U1162" s="4"/>
      <c r="V1162" s="4"/>
      <c r="W1162" s="410"/>
      <c r="X1162" s="4"/>
      <c r="Y1162" s="4"/>
      <c r="Z1162" s="4"/>
      <c r="AA1162" s="4"/>
      <c r="AB1162" s="410"/>
      <c r="AC1162" s="4"/>
      <c r="AD1162" s="4"/>
      <c r="AE1162" s="4"/>
      <c r="AF1162" s="4"/>
      <c r="AG1162" s="410"/>
      <c r="AH1162" s="4"/>
      <c r="AI1162" s="4"/>
      <c r="AJ1162" s="4"/>
      <c r="AK1162" s="4"/>
      <c r="AL1162" s="410"/>
      <c r="AM1162" s="4"/>
      <c r="AN1162" s="4"/>
      <c r="AO1162" s="4"/>
      <c r="AP1162" s="4"/>
      <c r="AQ1162" s="410"/>
      <c r="AR1162" s="4"/>
      <c r="AS1162" s="4"/>
      <c r="AT1162" s="4"/>
      <c r="AU1162" s="4"/>
      <c r="AV1162" s="410"/>
      <c r="AW1162" s="4"/>
      <c r="AX1162" s="4"/>
      <c r="AY1162" s="4"/>
      <c r="AZ1162" s="4"/>
      <c r="BA1162" s="410"/>
      <c r="BB1162" s="4"/>
      <c r="BC1162" s="4"/>
      <c r="BD1162" s="4"/>
      <c r="BE1162" s="4"/>
      <c r="BF1162" s="410"/>
      <c r="BG1162" s="4"/>
      <c r="BH1162" s="4"/>
      <c r="BI1162" s="4"/>
      <c r="BJ1162" s="4"/>
      <c r="BK1162" s="410"/>
      <c r="BL1162" s="4"/>
      <c r="BM1162" s="4"/>
      <c r="BN1162" s="4"/>
      <c r="BO1162" s="4"/>
      <c r="BP1162" s="410"/>
      <c r="BQ1162" s="4"/>
      <c r="BR1162" s="4"/>
      <c r="BS1162" s="4"/>
      <c r="BT1162" s="4"/>
      <c r="BU1162" s="410"/>
      <c r="BV1162" s="4"/>
      <c r="BW1162" s="4"/>
      <c r="BX1162" s="4"/>
      <c r="BY1162" s="4"/>
      <c r="BZ1162" s="24"/>
      <c r="CA1162" s="4"/>
      <c r="CB1162" s="4"/>
      <c r="CC1162" s="4"/>
      <c r="CD1162" s="4"/>
      <c r="CE1162" s="24"/>
      <c r="CF1162" s="4"/>
      <c r="CG1162" s="4"/>
      <c r="CH1162" s="4"/>
      <c r="CI1162" s="4"/>
      <c r="CJ1162" s="24"/>
      <c r="CK1162" s="4"/>
      <c r="CL1162" s="4"/>
      <c r="CM1162" s="4"/>
      <c r="CN1162" s="16"/>
      <c r="CO1162" s="24"/>
      <c r="CP1162" s="16"/>
      <c r="CQ1162" s="4"/>
      <c r="CR1162" s="4"/>
      <c r="CS1162" s="4"/>
      <c r="CT1162" s="24"/>
      <c r="CU1162" s="4"/>
      <c r="CV1162" s="4"/>
      <c r="CW1162" s="4"/>
      <c r="CX1162" s="4"/>
      <c r="CY1162" s="24"/>
      <c r="CZ1162" s="4"/>
      <c r="DA1162" s="4"/>
      <c r="DB1162" s="4"/>
      <c r="DC1162" s="4"/>
      <c r="DD1162" s="24"/>
      <c r="DE1162" s="4"/>
      <c r="DF1162" s="4"/>
      <c r="DG1162" s="16"/>
      <c r="DH1162" s="4"/>
      <c r="DI1162" s="24"/>
      <c r="DJ1162" s="16"/>
      <c r="DK1162" s="16"/>
      <c r="DL1162" s="16"/>
      <c r="DM1162" s="4"/>
      <c r="DN1162" s="24"/>
      <c r="DO1162" s="4"/>
      <c r="DP1162" s="4"/>
      <c r="DQ1162" s="4"/>
      <c r="DR1162" s="4"/>
      <c r="DS1162" s="24"/>
      <c r="DT1162" s="4"/>
      <c r="DU1162" s="4"/>
      <c r="DV1162" s="4"/>
      <c r="DW1162" s="4"/>
      <c r="DX1162" s="24"/>
      <c r="DY1162" s="4"/>
      <c r="DZ1162" s="4"/>
      <c r="EA1162" s="4"/>
      <c r="EB1162" s="4"/>
      <c r="EC1162" s="24"/>
      <c r="ED1162" s="4"/>
      <c r="EE1162" s="4"/>
      <c r="EF1162" s="4"/>
      <c r="EG1162" s="4"/>
      <c r="EH1162" s="24"/>
      <c r="EI1162" s="214"/>
      <c r="EJ1162" s="4"/>
      <c r="EK1162" s="4"/>
      <c r="EL1162" s="4"/>
      <c r="EM1162" s="24"/>
      <c r="EN1162" s="4"/>
      <c r="EO1162" s="4"/>
      <c r="EP1162" s="4"/>
      <c r="EQ1162" s="4"/>
      <c r="ER1162" s="24"/>
      <c r="ES1162" s="4"/>
      <c r="ET1162" s="4"/>
      <c r="EU1162" s="4"/>
      <c r="EV1162" s="4"/>
      <c r="EW1162" s="24"/>
      <c r="EX1162" s="4"/>
      <c r="EY1162" s="4"/>
      <c r="EZ1162" s="4"/>
      <c r="FA1162" s="4"/>
      <c r="FB1162" s="24"/>
      <c r="FC1162" s="4"/>
      <c r="FD1162" s="4"/>
      <c r="FE1162" s="4"/>
      <c r="FF1162" s="4"/>
      <c r="FG1162" s="24"/>
      <c r="FH1162" s="104"/>
      <c r="FI1162" s="4"/>
      <c r="FJ1162" s="4"/>
      <c r="FK1162" s="410"/>
      <c r="FL1162" s="4"/>
    </row>
    <row r="1163" ht="12.75" hidden="1" customHeight="1" outlineLevel="1">
      <c r="A1163" s="4"/>
      <c r="B1163" s="45" t="s">
        <v>435</v>
      </c>
      <c r="C1163" s="4"/>
      <c r="D1163" s="4"/>
      <c r="E1163" s="4"/>
      <c r="F1163" s="4"/>
      <c r="G1163" s="4"/>
      <c r="H1163" s="45"/>
      <c r="I1163" s="4"/>
      <c r="J1163" s="4"/>
      <c r="K1163" s="4"/>
      <c r="L1163" s="4"/>
      <c r="M1163" s="45"/>
      <c r="N1163" s="4"/>
      <c r="O1163" s="4"/>
      <c r="P1163" s="4"/>
      <c r="Q1163" s="4"/>
      <c r="R1163" s="45"/>
      <c r="S1163" s="4"/>
      <c r="T1163" s="4"/>
      <c r="U1163" s="4"/>
      <c r="V1163" s="4"/>
      <c r="W1163" s="45"/>
      <c r="X1163" s="4"/>
      <c r="Y1163" s="4"/>
      <c r="Z1163" s="4"/>
      <c r="AA1163" s="4"/>
      <c r="AB1163" s="45"/>
      <c r="AC1163" s="4"/>
      <c r="AD1163" s="4"/>
      <c r="AE1163" s="4"/>
      <c r="AF1163" s="4"/>
      <c r="AG1163" s="45"/>
      <c r="AH1163" s="4"/>
      <c r="AI1163" s="4"/>
      <c r="AJ1163" s="4"/>
      <c r="AK1163" s="4"/>
      <c r="AL1163" s="45"/>
      <c r="AM1163" s="4"/>
      <c r="AN1163" s="4"/>
      <c r="AO1163" s="4"/>
      <c r="AP1163" s="4"/>
      <c r="AQ1163" s="45"/>
      <c r="AR1163" s="4"/>
      <c r="AS1163" s="4"/>
      <c r="AT1163" s="4"/>
      <c r="AU1163" s="4"/>
      <c r="AV1163" s="45"/>
      <c r="AW1163" s="4"/>
      <c r="AX1163" s="4"/>
      <c r="AY1163" s="4"/>
      <c r="AZ1163" s="4"/>
      <c r="BA1163" s="45"/>
      <c r="BB1163" s="4"/>
      <c r="BC1163" s="4"/>
      <c r="BD1163" s="4"/>
      <c r="BE1163" s="4"/>
      <c r="BF1163" s="45"/>
      <c r="BG1163" s="4"/>
      <c r="BH1163" s="4"/>
      <c r="BI1163" s="4"/>
      <c r="BJ1163" s="4"/>
      <c r="BK1163" s="45"/>
      <c r="BL1163" s="4"/>
      <c r="BM1163" s="4"/>
      <c r="BN1163" s="4"/>
      <c r="BO1163" s="4"/>
      <c r="BP1163" s="45"/>
      <c r="BQ1163" s="4"/>
      <c r="BR1163" s="4"/>
      <c r="BS1163" s="4"/>
      <c r="BT1163" s="4"/>
      <c r="BU1163" s="45"/>
      <c r="BV1163" s="4"/>
      <c r="BW1163" s="4"/>
      <c r="BX1163" s="4"/>
      <c r="BY1163" s="4"/>
      <c r="BZ1163" s="350"/>
      <c r="CA1163" s="4"/>
      <c r="CB1163" s="4"/>
      <c r="CC1163" s="4"/>
      <c r="CD1163" s="4"/>
      <c r="CE1163" s="350"/>
      <c r="CF1163" s="4"/>
      <c r="CG1163" s="4"/>
      <c r="CH1163" s="4"/>
      <c r="CI1163" s="4"/>
      <c r="CJ1163" s="350"/>
      <c r="CK1163" s="4"/>
      <c r="CL1163" s="4"/>
      <c r="CM1163" s="4"/>
      <c r="CN1163" s="16"/>
      <c r="CO1163" s="350"/>
      <c r="CP1163" s="16"/>
      <c r="CQ1163" s="4"/>
      <c r="CR1163" s="4"/>
      <c r="CS1163" s="4"/>
      <c r="CT1163" s="350"/>
      <c r="CU1163" s="4"/>
      <c r="CV1163" s="4"/>
      <c r="CW1163" s="4"/>
      <c r="CX1163" s="4"/>
      <c r="CY1163" s="350"/>
      <c r="CZ1163" s="4"/>
      <c r="DA1163" s="4"/>
      <c r="DB1163" s="4"/>
      <c r="DC1163" s="4"/>
      <c r="DD1163" s="350"/>
      <c r="DE1163" s="4"/>
      <c r="DF1163" s="4"/>
      <c r="DG1163" s="16"/>
      <c r="DH1163" s="4"/>
      <c r="DI1163" s="350"/>
      <c r="DJ1163" s="16"/>
      <c r="DK1163" s="16"/>
      <c r="DL1163" s="16"/>
      <c r="DM1163" s="4"/>
      <c r="DN1163" s="350"/>
      <c r="DO1163" s="4"/>
      <c r="DP1163" s="4"/>
      <c r="DQ1163" s="4"/>
      <c r="DR1163" s="4"/>
      <c r="DS1163" s="350"/>
      <c r="DT1163" s="4"/>
      <c r="DU1163" s="4"/>
      <c r="DV1163" s="4"/>
      <c r="DW1163" s="4"/>
      <c r="DX1163" s="350"/>
      <c r="DY1163" s="4"/>
      <c r="DZ1163" s="4"/>
      <c r="EA1163" s="4"/>
      <c r="EB1163" s="4"/>
      <c r="EC1163" s="350"/>
      <c r="ED1163" s="4"/>
      <c r="EE1163" s="4"/>
      <c r="EF1163" s="4"/>
      <c r="EG1163" s="4"/>
      <c r="EH1163" s="350"/>
      <c r="EI1163" s="214"/>
      <c r="EJ1163" s="4"/>
      <c r="EK1163" s="4"/>
      <c r="EL1163" s="4"/>
      <c r="EM1163" s="350"/>
      <c r="EN1163" s="4"/>
      <c r="EO1163" s="4"/>
      <c r="EP1163" s="4"/>
      <c r="EQ1163" s="4"/>
      <c r="ER1163" s="350"/>
      <c r="ES1163" s="4"/>
      <c r="ET1163" s="4"/>
      <c r="EU1163" s="4"/>
      <c r="EV1163" s="4"/>
      <c r="EW1163" s="350"/>
      <c r="EX1163" s="4"/>
      <c r="EY1163" s="4"/>
      <c r="EZ1163" s="4"/>
      <c r="FA1163" s="4"/>
      <c r="FB1163" s="350"/>
      <c r="FC1163" s="4"/>
      <c r="FD1163" s="4"/>
      <c r="FE1163" s="4"/>
      <c r="FF1163" s="4"/>
      <c r="FG1163" s="350"/>
      <c r="FH1163" s="145"/>
      <c r="FI1163" s="4"/>
      <c r="FJ1163" s="4"/>
      <c r="FK1163" s="45"/>
      <c r="FL1163" s="4"/>
    </row>
    <row r="1164" ht="12.75" hidden="1" customHeight="1" outlineLevel="1">
      <c r="A1164" s="4"/>
      <c r="B1164" s="4" t="s">
        <v>436</v>
      </c>
      <c r="C1164" s="4"/>
      <c r="D1164" s="15"/>
      <c r="E1164" s="15"/>
      <c r="F1164" s="15"/>
      <c r="G1164" s="15"/>
      <c r="H1164" s="410"/>
      <c r="I1164" s="15"/>
      <c r="J1164" s="15"/>
      <c r="K1164" s="15"/>
      <c r="L1164" s="15"/>
      <c r="M1164" s="410"/>
      <c r="N1164" s="15"/>
      <c r="O1164" s="15" t="str">
        <f t="shared" ref="O1164:FG1164" si="5542">O1158/O$1160</f>
        <v>#ERROR!</v>
      </c>
      <c r="P1164" s="15" t="str">
        <f t="shared" si="5542"/>
        <v>#ERROR!</v>
      </c>
      <c r="Q1164" s="15" t="str">
        <f t="shared" si="5542"/>
        <v>#ERROR!</v>
      </c>
      <c r="R1164" s="410" t="str">
        <f t="shared" si="5542"/>
        <v>#ERROR!</v>
      </c>
      <c r="S1164" s="15" t="str">
        <f t="shared" si="5542"/>
        <v>#ERROR!</v>
      </c>
      <c r="T1164" s="15" t="str">
        <f t="shared" si="5542"/>
        <v>#ERROR!</v>
      </c>
      <c r="U1164" s="15" t="str">
        <f t="shared" si="5542"/>
        <v>#ERROR!</v>
      </c>
      <c r="V1164" s="15" t="str">
        <f t="shared" si="5542"/>
        <v>#ERROR!</v>
      </c>
      <c r="W1164" s="410" t="str">
        <f t="shared" si="5542"/>
        <v>#ERROR!</v>
      </c>
      <c r="X1164" s="15" t="str">
        <f t="shared" si="5542"/>
        <v>#ERROR!</v>
      </c>
      <c r="Y1164" s="15" t="str">
        <f t="shared" si="5542"/>
        <v>#ERROR!</v>
      </c>
      <c r="Z1164" s="15" t="str">
        <f t="shared" si="5542"/>
        <v>#ERROR!</v>
      </c>
      <c r="AA1164" s="15" t="str">
        <f t="shared" si="5542"/>
        <v>#ERROR!</v>
      </c>
      <c r="AB1164" s="410" t="str">
        <f t="shared" si="5542"/>
        <v>#ERROR!</v>
      </c>
      <c r="AC1164" s="15" t="str">
        <f t="shared" si="5542"/>
        <v>#ERROR!</v>
      </c>
      <c r="AD1164" s="15" t="str">
        <f t="shared" si="5542"/>
        <v>#ERROR!</v>
      </c>
      <c r="AE1164" s="15" t="str">
        <f t="shared" si="5542"/>
        <v>#ERROR!</v>
      </c>
      <c r="AF1164" s="15" t="str">
        <f t="shared" si="5542"/>
        <v>#ERROR!</v>
      </c>
      <c r="AG1164" s="410" t="str">
        <f t="shared" si="5542"/>
        <v>#ERROR!</v>
      </c>
      <c r="AH1164" s="15" t="str">
        <f t="shared" si="5542"/>
        <v>#ERROR!</v>
      </c>
      <c r="AI1164" s="15" t="str">
        <f t="shared" si="5542"/>
        <v>#ERROR!</v>
      </c>
      <c r="AJ1164" s="15" t="str">
        <f t="shared" si="5542"/>
        <v>#ERROR!</v>
      </c>
      <c r="AK1164" s="15" t="str">
        <f t="shared" si="5542"/>
        <v>#ERROR!</v>
      </c>
      <c r="AL1164" s="410" t="str">
        <f t="shared" si="5542"/>
        <v>#ERROR!</v>
      </c>
      <c r="AM1164" s="15" t="str">
        <f t="shared" si="5542"/>
        <v>#ERROR!</v>
      </c>
      <c r="AN1164" s="15" t="str">
        <f t="shared" si="5542"/>
        <v>#ERROR!</v>
      </c>
      <c r="AO1164" s="15" t="str">
        <f t="shared" si="5542"/>
        <v>#ERROR!</v>
      </c>
      <c r="AP1164" s="15" t="str">
        <f t="shared" si="5542"/>
        <v>#ERROR!</v>
      </c>
      <c r="AQ1164" s="410" t="str">
        <f t="shared" si="5542"/>
        <v>#ERROR!</v>
      </c>
      <c r="AR1164" s="15" t="str">
        <f t="shared" si="5542"/>
        <v>#ERROR!</v>
      </c>
      <c r="AS1164" s="15" t="str">
        <f t="shared" si="5542"/>
        <v>#ERROR!</v>
      </c>
      <c r="AT1164" s="15" t="str">
        <f t="shared" si="5542"/>
        <v>#ERROR!</v>
      </c>
      <c r="AU1164" s="15" t="str">
        <f t="shared" si="5542"/>
        <v>#ERROR!</v>
      </c>
      <c r="AV1164" s="410" t="str">
        <f t="shared" si="5542"/>
        <v>#ERROR!</v>
      </c>
      <c r="AW1164" s="15" t="str">
        <f t="shared" si="5542"/>
        <v>#ERROR!</v>
      </c>
      <c r="AX1164" s="15" t="str">
        <f t="shared" si="5542"/>
        <v>#ERROR!</v>
      </c>
      <c r="AY1164" s="15" t="str">
        <f t="shared" si="5542"/>
        <v>#ERROR!</v>
      </c>
      <c r="AZ1164" s="15" t="str">
        <f t="shared" si="5542"/>
        <v>#ERROR!</v>
      </c>
      <c r="BA1164" s="410" t="str">
        <f t="shared" si="5542"/>
        <v>#ERROR!</v>
      </c>
      <c r="BB1164" s="15" t="str">
        <f t="shared" si="5542"/>
        <v>#ERROR!</v>
      </c>
      <c r="BC1164" s="15" t="str">
        <f t="shared" si="5542"/>
        <v>#ERROR!</v>
      </c>
      <c r="BD1164" s="15" t="str">
        <f t="shared" si="5542"/>
        <v>#ERROR!</v>
      </c>
      <c r="BE1164" s="15" t="str">
        <f t="shared" si="5542"/>
        <v>#ERROR!</v>
      </c>
      <c r="BF1164" s="410" t="str">
        <f t="shared" si="5542"/>
        <v>#ERROR!</v>
      </c>
      <c r="BG1164" s="15" t="str">
        <f t="shared" si="5542"/>
        <v>#ERROR!</v>
      </c>
      <c r="BH1164" s="15" t="str">
        <f t="shared" si="5542"/>
        <v>#ERROR!</v>
      </c>
      <c r="BI1164" s="15" t="str">
        <f t="shared" si="5542"/>
        <v>#ERROR!</v>
      </c>
      <c r="BJ1164" s="15" t="str">
        <f t="shared" si="5542"/>
        <v>#ERROR!</v>
      </c>
      <c r="BK1164" s="410" t="str">
        <f t="shared" si="5542"/>
        <v>#ERROR!</v>
      </c>
      <c r="BL1164" s="15" t="str">
        <f t="shared" si="5542"/>
        <v>#ERROR!</v>
      </c>
      <c r="BM1164" s="15" t="str">
        <f t="shared" si="5542"/>
        <v>#ERROR!</v>
      </c>
      <c r="BN1164" s="15" t="str">
        <f t="shared" si="5542"/>
        <v>#ERROR!</v>
      </c>
      <c r="BO1164" s="15" t="str">
        <f t="shared" si="5542"/>
        <v>#ERROR!</v>
      </c>
      <c r="BP1164" s="410" t="str">
        <f t="shared" si="5542"/>
        <v>#ERROR!</v>
      </c>
      <c r="BQ1164" s="15" t="str">
        <f t="shared" si="5542"/>
        <v>#ERROR!</v>
      </c>
      <c r="BR1164" s="15" t="str">
        <f t="shared" si="5542"/>
        <v>#ERROR!</v>
      </c>
      <c r="BS1164" s="15" t="str">
        <f t="shared" si="5542"/>
        <v>#ERROR!</v>
      </c>
      <c r="BT1164" s="15" t="str">
        <f t="shared" si="5542"/>
        <v>#ERROR!</v>
      </c>
      <c r="BU1164" s="410" t="str">
        <f t="shared" si="5542"/>
        <v>#ERROR!</v>
      </c>
      <c r="BV1164" s="15" t="str">
        <f t="shared" si="5542"/>
        <v>#ERROR!</v>
      </c>
      <c r="BW1164" s="15" t="str">
        <f t="shared" si="5542"/>
        <v>#ERROR!</v>
      </c>
      <c r="BX1164" s="15" t="str">
        <f t="shared" si="5542"/>
        <v>#ERROR!</v>
      </c>
      <c r="BY1164" s="15" t="str">
        <f t="shared" si="5542"/>
        <v>#ERROR!</v>
      </c>
      <c r="BZ1164" s="24" t="str">
        <f t="shared" si="5542"/>
        <v>#ERROR!</v>
      </c>
      <c r="CA1164" s="15" t="str">
        <f t="shared" si="5542"/>
        <v>#ERROR!</v>
      </c>
      <c r="CB1164" s="15" t="str">
        <f t="shared" si="5542"/>
        <v>#ERROR!</v>
      </c>
      <c r="CC1164" s="15" t="str">
        <f t="shared" si="5542"/>
        <v>#ERROR!</v>
      </c>
      <c r="CD1164" s="15" t="str">
        <f t="shared" si="5542"/>
        <v>#ERROR!</v>
      </c>
      <c r="CE1164" s="24" t="str">
        <f t="shared" si="5542"/>
        <v>#ERROR!</v>
      </c>
      <c r="CF1164" s="15" t="str">
        <f t="shared" si="5542"/>
        <v>#ERROR!</v>
      </c>
      <c r="CG1164" s="15" t="str">
        <f t="shared" si="5542"/>
        <v>#ERROR!</v>
      </c>
      <c r="CH1164" s="15" t="str">
        <f t="shared" si="5542"/>
        <v>#ERROR!</v>
      </c>
      <c r="CI1164" s="15" t="str">
        <f t="shared" si="5542"/>
        <v>#ERROR!</v>
      </c>
      <c r="CJ1164" s="24" t="str">
        <f t="shared" si="5542"/>
        <v>#ERROR!</v>
      </c>
      <c r="CK1164" s="15" t="str">
        <f t="shared" si="5542"/>
        <v>#ERROR!</v>
      </c>
      <c r="CL1164" s="15" t="str">
        <f t="shared" si="5542"/>
        <v>#ERROR!</v>
      </c>
      <c r="CM1164" s="15" t="str">
        <f t="shared" si="5542"/>
        <v>#ERROR!</v>
      </c>
      <c r="CN1164" s="40" t="str">
        <f t="shared" si="5542"/>
        <v>#ERROR!</v>
      </c>
      <c r="CO1164" s="24" t="str">
        <f t="shared" si="5542"/>
        <v>#ERROR!</v>
      </c>
      <c r="CP1164" s="40" t="str">
        <f t="shared" si="5542"/>
        <v>#ERROR!</v>
      </c>
      <c r="CQ1164" s="15" t="str">
        <f t="shared" si="5542"/>
        <v>#ERROR!</v>
      </c>
      <c r="CR1164" s="15" t="str">
        <f t="shared" si="5542"/>
        <v>#ERROR!</v>
      </c>
      <c r="CS1164" s="15" t="str">
        <f t="shared" si="5542"/>
        <v>#ERROR!</v>
      </c>
      <c r="CT1164" s="24" t="str">
        <f t="shared" si="5542"/>
        <v>#ERROR!</v>
      </c>
      <c r="CU1164" s="15" t="str">
        <f t="shared" si="5542"/>
        <v>#ERROR!</v>
      </c>
      <c r="CV1164" s="15" t="str">
        <f t="shared" si="5542"/>
        <v>#ERROR!</v>
      </c>
      <c r="CW1164" s="15" t="str">
        <f t="shared" si="5542"/>
        <v>#ERROR!</v>
      </c>
      <c r="CX1164" s="15" t="str">
        <f t="shared" si="5542"/>
        <v>#ERROR!</v>
      </c>
      <c r="CY1164" s="24" t="str">
        <f t="shared" si="5542"/>
        <v>#ERROR!</v>
      </c>
      <c r="CZ1164" s="15" t="str">
        <f t="shared" si="5542"/>
        <v>#ERROR!</v>
      </c>
      <c r="DA1164" s="15" t="str">
        <f t="shared" si="5542"/>
        <v>#ERROR!</v>
      </c>
      <c r="DB1164" s="15" t="str">
        <f t="shared" si="5542"/>
        <v>#ERROR!</v>
      </c>
      <c r="DC1164" s="15" t="str">
        <f t="shared" si="5542"/>
        <v>#ERROR!</v>
      </c>
      <c r="DD1164" s="24" t="str">
        <f t="shared" si="5542"/>
        <v>#ERROR!</v>
      </c>
      <c r="DE1164" s="15" t="str">
        <f t="shared" si="5542"/>
        <v>#ERROR!</v>
      </c>
      <c r="DF1164" s="15" t="str">
        <f t="shared" si="5542"/>
        <v>#ERROR!</v>
      </c>
      <c r="DG1164" s="40" t="str">
        <f t="shared" si="5542"/>
        <v>#ERROR!</v>
      </c>
      <c r="DH1164" s="15" t="str">
        <f t="shared" si="5542"/>
        <v>#ERROR!</v>
      </c>
      <c r="DI1164" s="24" t="str">
        <f t="shared" si="5542"/>
        <v>#ERROR!</v>
      </c>
      <c r="DJ1164" s="40" t="str">
        <f t="shared" si="5542"/>
        <v>#ERROR!</v>
      </c>
      <c r="DK1164" s="40" t="str">
        <f t="shared" si="5542"/>
        <v>#ERROR!</v>
      </c>
      <c r="DL1164" s="40" t="str">
        <f t="shared" si="5542"/>
        <v>#ERROR!</v>
      </c>
      <c r="DM1164" s="15" t="str">
        <f t="shared" si="5542"/>
        <v>#ERROR!</v>
      </c>
      <c r="DN1164" s="24" t="str">
        <f t="shared" si="5542"/>
        <v>#ERROR!</v>
      </c>
      <c r="DO1164" s="15" t="str">
        <f t="shared" si="5542"/>
        <v>#ERROR!</v>
      </c>
      <c r="DP1164" s="15" t="str">
        <f t="shared" si="5542"/>
        <v>#ERROR!</v>
      </c>
      <c r="DQ1164" s="15" t="str">
        <f t="shared" si="5542"/>
        <v>#ERROR!</v>
      </c>
      <c r="DR1164" s="15" t="str">
        <f t="shared" si="5542"/>
        <v>#ERROR!</v>
      </c>
      <c r="DS1164" s="24" t="str">
        <f t="shared" si="5542"/>
        <v>#ERROR!</v>
      </c>
      <c r="DT1164" s="15" t="str">
        <f t="shared" si="5542"/>
        <v>#ERROR!</v>
      </c>
      <c r="DU1164" s="15" t="str">
        <f t="shared" si="5542"/>
        <v>#ERROR!</v>
      </c>
      <c r="DV1164" s="15" t="str">
        <f t="shared" si="5542"/>
        <v>#ERROR!</v>
      </c>
      <c r="DW1164" s="15" t="str">
        <f t="shared" si="5542"/>
        <v>#ERROR!</v>
      </c>
      <c r="DX1164" s="24" t="str">
        <f t="shared" si="5542"/>
        <v>#ERROR!</v>
      </c>
      <c r="DY1164" s="15" t="str">
        <f t="shared" si="5542"/>
        <v>#ERROR!</v>
      </c>
      <c r="DZ1164" s="15" t="str">
        <f t="shared" si="5542"/>
        <v>#ERROR!</v>
      </c>
      <c r="EA1164" s="15" t="str">
        <f t="shared" si="5542"/>
        <v>#ERROR!</v>
      </c>
      <c r="EB1164" s="15" t="str">
        <f t="shared" si="5542"/>
        <v>#ERROR!</v>
      </c>
      <c r="EC1164" s="24" t="str">
        <f t="shared" si="5542"/>
        <v>#ERROR!</v>
      </c>
      <c r="ED1164" s="15" t="str">
        <f t="shared" si="5542"/>
        <v>#ERROR!</v>
      </c>
      <c r="EE1164" s="15" t="str">
        <f t="shared" si="5542"/>
        <v>#ERROR!</v>
      </c>
      <c r="EF1164" s="15" t="str">
        <f t="shared" si="5542"/>
        <v>#ERROR!</v>
      </c>
      <c r="EG1164" s="15" t="str">
        <f t="shared" si="5542"/>
        <v>#ERROR!</v>
      </c>
      <c r="EH1164" s="24" t="str">
        <f t="shared" si="5542"/>
        <v>#ERROR!</v>
      </c>
      <c r="EI1164" s="82" t="str">
        <f t="shared" si="5542"/>
        <v>#ERROR!</v>
      </c>
      <c r="EJ1164" s="15" t="str">
        <f t="shared" si="5542"/>
        <v>#ERROR!</v>
      </c>
      <c r="EK1164" s="15" t="str">
        <f t="shared" si="5542"/>
        <v>#ERROR!</v>
      </c>
      <c r="EL1164" s="15" t="str">
        <f t="shared" si="5542"/>
        <v>#ERROR!</v>
      </c>
      <c r="EM1164" s="24" t="str">
        <f t="shared" si="5542"/>
        <v>#ERROR!</v>
      </c>
      <c r="EN1164" s="15" t="str">
        <f t="shared" si="5542"/>
        <v>#ERROR!</v>
      </c>
      <c r="EO1164" s="15" t="str">
        <f t="shared" si="5542"/>
        <v>#ERROR!</v>
      </c>
      <c r="EP1164" s="15" t="str">
        <f t="shared" si="5542"/>
        <v>#ERROR!</v>
      </c>
      <c r="EQ1164" s="15" t="str">
        <f t="shared" si="5542"/>
        <v>#ERROR!</v>
      </c>
      <c r="ER1164" s="24" t="str">
        <f t="shared" si="5542"/>
        <v>#ERROR!</v>
      </c>
      <c r="ES1164" s="15" t="str">
        <f t="shared" si="5542"/>
        <v>#ERROR!</v>
      </c>
      <c r="ET1164" s="15" t="str">
        <f t="shared" si="5542"/>
        <v>#ERROR!</v>
      </c>
      <c r="EU1164" s="15" t="str">
        <f t="shared" si="5542"/>
        <v>#ERROR!</v>
      </c>
      <c r="EV1164" s="15" t="str">
        <f t="shared" si="5542"/>
        <v>#ERROR!</v>
      </c>
      <c r="EW1164" s="24" t="str">
        <f t="shared" si="5542"/>
        <v>#ERROR!</v>
      </c>
      <c r="EX1164" s="15" t="str">
        <f t="shared" si="5542"/>
        <v>#ERROR!</v>
      </c>
      <c r="EY1164" s="15" t="str">
        <f t="shared" si="5542"/>
        <v>#ERROR!</v>
      </c>
      <c r="EZ1164" s="15" t="str">
        <f t="shared" si="5542"/>
        <v>#ERROR!</v>
      </c>
      <c r="FA1164" s="15" t="str">
        <f t="shared" si="5542"/>
        <v>#ERROR!</v>
      </c>
      <c r="FB1164" s="24" t="str">
        <f t="shared" si="5542"/>
        <v>#ERROR!</v>
      </c>
      <c r="FC1164" s="15" t="str">
        <f t="shared" si="5542"/>
        <v>#ERROR!</v>
      </c>
      <c r="FD1164" s="15" t="str">
        <f t="shared" si="5542"/>
        <v>#ERROR!</v>
      </c>
      <c r="FE1164" s="15" t="str">
        <f t="shared" si="5542"/>
        <v>#ERROR!</v>
      </c>
      <c r="FF1164" s="15" t="str">
        <f t="shared" si="5542"/>
        <v>#ERROR!</v>
      </c>
      <c r="FG1164" s="24" t="str">
        <f t="shared" si="5542"/>
        <v>#ERROR!</v>
      </c>
      <c r="FH1164" s="104"/>
      <c r="FI1164" s="15"/>
      <c r="FJ1164" s="15"/>
      <c r="FK1164" s="410"/>
      <c r="FL1164" s="15"/>
    </row>
    <row r="1165" ht="12.75" hidden="1" customHeight="1" outlineLevel="1">
      <c r="A1165" s="4"/>
      <c r="B1165" s="4" t="s">
        <v>437</v>
      </c>
      <c r="C1165" s="4"/>
      <c r="D1165" s="15"/>
      <c r="E1165" s="15"/>
      <c r="F1165" s="15"/>
      <c r="G1165" s="15"/>
      <c r="H1165" s="410"/>
      <c r="I1165" s="15"/>
      <c r="J1165" s="15"/>
      <c r="K1165" s="15"/>
      <c r="L1165" s="15"/>
      <c r="M1165" s="410"/>
      <c r="N1165" s="15"/>
      <c r="O1165" s="15" t="str">
        <f t="shared" ref="O1165:FG1165" si="5543">O1159/O$1160</f>
        <v>#ERROR!</v>
      </c>
      <c r="P1165" s="15" t="str">
        <f t="shared" si="5543"/>
        <v>#REF!</v>
      </c>
      <c r="Q1165" s="15" t="str">
        <f t="shared" si="5543"/>
        <v>#REF!</v>
      </c>
      <c r="R1165" s="410" t="str">
        <f t="shared" si="5543"/>
        <v>#REF!</v>
      </c>
      <c r="S1165" s="15" t="str">
        <f t="shared" si="5543"/>
        <v>#REF!</v>
      </c>
      <c r="T1165" s="15" t="str">
        <f t="shared" si="5543"/>
        <v>#REF!</v>
      </c>
      <c r="U1165" s="15" t="str">
        <f t="shared" si="5543"/>
        <v>#REF!</v>
      </c>
      <c r="V1165" s="15" t="str">
        <f t="shared" si="5543"/>
        <v>#REF!</v>
      </c>
      <c r="W1165" s="410" t="str">
        <f t="shared" si="5543"/>
        <v>#REF!</v>
      </c>
      <c r="X1165" s="15" t="str">
        <f t="shared" si="5543"/>
        <v>#REF!</v>
      </c>
      <c r="Y1165" s="15" t="str">
        <f t="shared" si="5543"/>
        <v>#REF!</v>
      </c>
      <c r="Z1165" s="15" t="str">
        <f t="shared" si="5543"/>
        <v>#REF!</v>
      </c>
      <c r="AA1165" s="15" t="str">
        <f t="shared" si="5543"/>
        <v>#REF!</v>
      </c>
      <c r="AB1165" s="410" t="str">
        <f t="shared" si="5543"/>
        <v>#REF!</v>
      </c>
      <c r="AC1165" s="15" t="str">
        <f t="shared" si="5543"/>
        <v>#REF!</v>
      </c>
      <c r="AD1165" s="15" t="str">
        <f t="shared" si="5543"/>
        <v>#REF!</v>
      </c>
      <c r="AE1165" s="15" t="str">
        <f t="shared" si="5543"/>
        <v>#REF!</v>
      </c>
      <c r="AF1165" s="15" t="str">
        <f t="shared" si="5543"/>
        <v>#REF!</v>
      </c>
      <c r="AG1165" s="410" t="str">
        <f t="shared" si="5543"/>
        <v>#REF!</v>
      </c>
      <c r="AH1165" s="15" t="str">
        <f t="shared" si="5543"/>
        <v>#REF!</v>
      </c>
      <c r="AI1165" s="15" t="str">
        <f t="shared" si="5543"/>
        <v>#REF!</v>
      </c>
      <c r="AJ1165" s="15" t="str">
        <f t="shared" si="5543"/>
        <v>#REF!</v>
      </c>
      <c r="AK1165" s="15" t="str">
        <f t="shared" si="5543"/>
        <v>#REF!</v>
      </c>
      <c r="AL1165" s="410" t="str">
        <f t="shared" si="5543"/>
        <v>#REF!</v>
      </c>
      <c r="AM1165" s="15" t="str">
        <f t="shared" si="5543"/>
        <v>#REF!</v>
      </c>
      <c r="AN1165" s="15" t="str">
        <f t="shared" si="5543"/>
        <v>#REF!</v>
      </c>
      <c r="AO1165" s="15" t="str">
        <f t="shared" si="5543"/>
        <v>#REF!</v>
      </c>
      <c r="AP1165" s="15" t="str">
        <f t="shared" si="5543"/>
        <v>#REF!</v>
      </c>
      <c r="AQ1165" s="410" t="str">
        <f t="shared" si="5543"/>
        <v>#REF!</v>
      </c>
      <c r="AR1165" s="15" t="str">
        <f t="shared" si="5543"/>
        <v>#REF!</v>
      </c>
      <c r="AS1165" s="15" t="str">
        <f t="shared" si="5543"/>
        <v>#REF!</v>
      </c>
      <c r="AT1165" s="15" t="str">
        <f t="shared" si="5543"/>
        <v>#REF!</v>
      </c>
      <c r="AU1165" s="15" t="str">
        <f t="shared" si="5543"/>
        <v>#REF!</v>
      </c>
      <c r="AV1165" s="410" t="str">
        <f t="shared" si="5543"/>
        <v>#REF!</v>
      </c>
      <c r="AW1165" s="15" t="str">
        <f t="shared" si="5543"/>
        <v>#REF!</v>
      </c>
      <c r="AX1165" s="15" t="str">
        <f t="shared" si="5543"/>
        <v>#REF!</v>
      </c>
      <c r="AY1165" s="15" t="str">
        <f t="shared" si="5543"/>
        <v>#REF!</v>
      </c>
      <c r="AZ1165" s="15" t="str">
        <f t="shared" si="5543"/>
        <v>#REF!</v>
      </c>
      <c r="BA1165" s="410" t="str">
        <f t="shared" si="5543"/>
        <v>#REF!</v>
      </c>
      <c r="BB1165" s="15" t="str">
        <f t="shared" si="5543"/>
        <v>#REF!</v>
      </c>
      <c r="BC1165" s="15" t="str">
        <f t="shared" si="5543"/>
        <v>#REF!</v>
      </c>
      <c r="BD1165" s="15" t="str">
        <f t="shared" si="5543"/>
        <v>#REF!</v>
      </c>
      <c r="BE1165" s="15" t="str">
        <f t="shared" si="5543"/>
        <v>#REF!</v>
      </c>
      <c r="BF1165" s="410" t="str">
        <f t="shared" si="5543"/>
        <v>#REF!</v>
      </c>
      <c r="BG1165" s="15" t="str">
        <f t="shared" si="5543"/>
        <v>#REF!</v>
      </c>
      <c r="BH1165" s="15" t="str">
        <f t="shared" si="5543"/>
        <v>#REF!</v>
      </c>
      <c r="BI1165" s="15" t="str">
        <f t="shared" si="5543"/>
        <v>#REF!</v>
      </c>
      <c r="BJ1165" s="15" t="str">
        <f t="shared" si="5543"/>
        <v>#REF!</v>
      </c>
      <c r="BK1165" s="410" t="str">
        <f t="shared" si="5543"/>
        <v>#REF!</v>
      </c>
      <c r="BL1165" s="15" t="str">
        <f t="shared" si="5543"/>
        <v>#REF!</v>
      </c>
      <c r="BM1165" s="15" t="str">
        <f t="shared" si="5543"/>
        <v>#REF!</v>
      </c>
      <c r="BN1165" s="15" t="str">
        <f t="shared" si="5543"/>
        <v>#REF!</v>
      </c>
      <c r="BO1165" s="15" t="str">
        <f t="shared" si="5543"/>
        <v>#REF!</v>
      </c>
      <c r="BP1165" s="410" t="str">
        <f t="shared" si="5543"/>
        <v>#REF!</v>
      </c>
      <c r="BQ1165" s="15" t="str">
        <f t="shared" si="5543"/>
        <v>#REF!</v>
      </c>
      <c r="BR1165" s="15" t="str">
        <f t="shared" si="5543"/>
        <v>#REF!</v>
      </c>
      <c r="BS1165" s="15" t="str">
        <f t="shared" si="5543"/>
        <v>#REF!</v>
      </c>
      <c r="BT1165" s="15" t="str">
        <f t="shared" si="5543"/>
        <v>#REF!</v>
      </c>
      <c r="BU1165" s="410" t="str">
        <f t="shared" si="5543"/>
        <v>#REF!</v>
      </c>
      <c r="BV1165" s="15" t="str">
        <f t="shared" si="5543"/>
        <v>#REF!</v>
      </c>
      <c r="BW1165" s="15" t="str">
        <f t="shared" si="5543"/>
        <v>#REF!</v>
      </c>
      <c r="BX1165" s="15" t="str">
        <f t="shared" si="5543"/>
        <v>#REF!</v>
      </c>
      <c r="BY1165" s="15" t="str">
        <f t="shared" si="5543"/>
        <v>#REF!</v>
      </c>
      <c r="BZ1165" s="24" t="str">
        <f t="shared" si="5543"/>
        <v>#REF!</v>
      </c>
      <c r="CA1165" s="15" t="str">
        <f t="shared" si="5543"/>
        <v>#REF!</v>
      </c>
      <c r="CB1165" s="15" t="str">
        <f t="shared" si="5543"/>
        <v>#REF!</v>
      </c>
      <c r="CC1165" s="15" t="str">
        <f t="shared" si="5543"/>
        <v>#REF!</v>
      </c>
      <c r="CD1165" s="15" t="str">
        <f t="shared" si="5543"/>
        <v>#REF!</v>
      </c>
      <c r="CE1165" s="24" t="str">
        <f t="shared" si="5543"/>
        <v>#REF!</v>
      </c>
      <c r="CF1165" s="15" t="str">
        <f t="shared" si="5543"/>
        <v>#REF!</v>
      </c>
      <c r="CG1165" s="15" t="str">
        <f t="shared" si="5543"/>
        <v>#REF!</v>
      </c>
      <c r="CH1165" s="15" t="str">
        <f t="shared" si="5543"/>
        <v>#REF!</v>
      </c>
      <c r="CI1165" s="15" t="str">
        <f t="shared" si="5543"/>
        <v>#REF!</v>
      </c>
      <c r="CJ1165" s="24" t="str">
        <f t="shared" si="5543"/>
        <v>#REF!</v>
      </c>
      <c r="CK1165" s="15" t="str">
        <f t="shared" si="5543"/>
        <v>#REF!</v>
      </c>
      <c r="CL1165" s="15" t="str">
        <f t="shared" si="5543"/>
        <v>#REF!</v>
      </c>
      <c r="CM1165" s="15" t="str">
        <f t="shared" si="5543"/>
        <v>#REF!</v>
      </c>
      <c r="CN1165" s="40" t="str">
        <f t="shared" si="5543"/>
        <v>#REF!</v>
      </c>
      <c r="CO1165" s="24" t="str">
        <f t="shared" si="5543"/>
        <v>#REF!</v>
      </c>
      <c r="CP1165" s="40" t="str">
        <f t="shared" si="5543"/>
        <v>#REF!</v>
      </c>
      <c r="CQ1165" s="15" t="str">
        <f t="shared" si="5543"/>
        <v>#REF!</v>
      </c>
      <c r="CR1165" s="15" t="str">
        <f t="shared" si="5543"/>
        <v>#REF!</v>
      </c>
      <c r="CS1165" s="15" t="str">
        <f t="shared" si="5543"/>
        <v>#REF!</v>
      </c>
      <c r="CT1165" s="24" t="str">
        <f t="shared" si="5543"/>
        <v>#REF!</v>
      </c>
      <c r="CU1165" s="15" t="str">
        <f t="shared" si="5543"/>
        <v>#REF!</v>
      </c>
      <c r="CV1165" s="15" t="str">
        <f t="shared" si="5543"/>
        <v>#REF!</v>
      </c>
      <c r="CW1165" s="15" t="str">
        <f t="shared" si="5543"/>
        <v>#REF!</v>
      </c>
      <c r="CX1165" s="15" t="str">
        <f t="shared" si="5543"/>
        <v>#REF!</v>
      </c>
      <c r="CY1165" s="24" t="str">
        <f t="shared" si="5543"/>
        <v>#REF!</v>
      </c>
      <c r="CZ1165" s="15" t="str">
        <f t="shared" si="5543"/>
        <v>#REF!</v>
      </c>
      <c r="DA1165" s="15" t="str">
        <f t="shared" si="5543"/>
        <v>#REF!</v>
      </c>
      <c r="DB1165" s="15" t="str">
        <f t="shared" si="5543"/>
        <v>#REF!</v>
      </c>
      <c r="DC1165" s="15" t="str">
        <f t="shared" si="5543"/>
        <v>#REF!</v>
      </c>
      <c r="DD1165" s="24" t="str">
        <f t="shared" si="5543"/>
        <v>#REF!</v>
      </c>
      <c r="DE1165" s="15" t="str">
        <f t="shared" si="5543"/>
        <v>#REF!</v>
      </c>
      <c r="DF1165" s="15" t="str">
        <f t="shared" si="5543"/>
        <v>#REF!</v>
      </c>
      <c r="DG1165" s="40" t="str">
        <f t="shared" si="5543"/>
        <v>#REF!</v>
      </c>
      <c r="DH1165" s="15" t="str">
        <f t="shared" si="5543"/>
        <v>#REF!</v>
      </c>
      <c r="DI1165" s="24" t="str">
        <f t="shared" si="5543"/>
        <v>#REF!</v>
      </c>
      <c r="DJ1165" s="40" t="str">
        <f t="shared" si="5543"/>
        <v>#REF!</v>
      </c>
      <c r="DK1165" s="40" t="str">
        <f t="shared" si="5543"/>
        <v>#REF!</v>
      </c>
      <c r="DL1165" s="40" t="str">
        <f t="shared" si="5543"/>
        <v>#REF!</v>
      </c>
      <c r="DM1165" s="15" t="str">
        <f t="shared" si="5543"/>
        <v>#REF!</v>
      </c>
      <c r="DN1165" s="24" t="str">
        <f t="shared" si="5543"/>
        <v>#REF!</v>
      </c>
      <c r="DO1165" s="15" t="str">
        <f t="shared" si="5543"/>
        <v>#REF!</v>
      </c>
      <c r="DP1165" s="15" t="str">
        <f t="shared" si="5543"/>
        <v>#REF!</v>
      </c>
      <c r="DQ1165" s="15" t="str">
        <f t="shared" si="5543"/>
        <v>#REF!</v>
      </c>
      <c r="DR1165" s="15" t="str">
        <f t="shared" si="5543"/>
        <v>#REF!</v>
      </c>
      <c r="DS1165" s="24" t="str">
        <f t="shared" si="5543"/>
        <v>#REF!</v>
      </c>
      <c r="DT1165" s="15" t="str">
        <f t="shared" si="5543"/>
        <v>#REF!</v>
      </c>
      <c r="DU1165" s="15" t="str">
        <f t="shared" si="5543"/>
        <v>#REF!</v>
      </c>
      <c r="DV1165" s="15" t="str">
        <f t="shared" si="5543"/>
        <v>#REF!</v>
      </c>
      <c r="DW1165" s="15" t="str">
        <f t="shared" si="5543"/>
        <v>#REF!</v>
      </c>
      <c r="DX1165" s="24" t="str">
        <f t="shared" si="5543"/>
        <v>#REF!</v>
      </c>
      <c r="DY1165" s="15" t="str">
        <f t="shared" si="5543"/>
        <v>#REF!</v>
      </c>
      <c r="DZ1165" s="15" t="str">
        <f t="shared" si="5543"/>
        <v>#REF!</v>
      </c>
      <c r="EA1165" s="15" t="str">
        <f t="shared" si="5543"/>
        <v>#REF!</v>
      </c>
      <c r="EB1165" s="15" t="str">
        <f t="shared" si="5543"/>
        <v>#REF!</v>
      </c>
      <c r="EC1165" s="24" t="str">
        <f t="shared" si="5543"/>
        <v>#REF!</v>
      </c>
      <c r="ED1165" s="15" t="str">
        <f t="shared" si="5543"/>
        <v>#REF!</v>
      </c>
      <c r="EE1165" s="15" t="str">
        <f t="shared" si="5543"/>
        <v>#REF!</v>
      </c>
      <c r="EF1165" s="15" t="str">
        <f t="shared" si="5543"/>
        <v>#REF!</v>
      </c>
      <c r="EG1165" s="15" t="str">
        <f t="shared" si="5543"/>
        <v>#REF!</v>
      </c>
      <c r="EH1165" s="24" t="str">
        <f t="shared" si="5543"/>
        <v>#REF!</v>
      </c>
      <c r="EI1165" s="82" t="str">
        <f t="shared" si="5543"/>
        <v>#REF!</v>
      </c>
      <c r="EJ1165" s="15" t="str">
        <f t="shared" si="5543"/>
        <v>#REF!</v>
      </c>
      <c r="EK1165" s="15" t="str">
        <f t="shared" si="5543"/>
        <v>#REF!</v>
      </c>
      <c r="EL1165" s="15" t="str">
        <f t="shared" si="5543"/>
        <v>#REF!</v>
      </c>
      <c r="EM1165" s="24" t="str">
        <f t="shared" si="5543"/>
        <v>#REF!</v>
      </c>
      <c r="EN1165" s="15" t="str">
        <f t="shared" si="5543"/>
        <v>#REF!</v>
      </c>
      <c r="EO1165" s="15" t="str">
        <f t="shared" si="5543"/>
        <v>#REF!</v>
      </c>
      <c r="EP1165" s="15" t="str">
        <f t="shared" si="5543"/>
        <v>#REF!</v>
      </c>
      <c r="EQ1165" s="15" t="str">
        <f t="shared" si="5543"/>
        <v>#REF!</v>
      </c>
      <c r="ER1165" s="24" t="str">
        <f t="shared" si="5543"/>
        <v>#REF!</v>
      </c>
      <c r="ES1165" s="15" t="str">
        <f t="shared" si="5543"/>
        <v>#REF!</v>
      </c>
      <c r="ET1165" s="15" t="str">
        <f t="shared" si="5543"/>
        <v>#REF!</v>
      </c>
      <c r="EU1165" s="15" t="str">
        <f t="shared" si="5543"/>
        <v>#REF!</v>
      </c>
      <c r="EV1165" s="15" t="str">
        <f t="shared" si="5543"/>
        <v>#REF!</v>
      </c>
      <c r="EW1165" s="24" t="str">
        <f t="shared" si="5543"/>
        <v>#REF!</v>
      </c>
      <c r="EX1165" s="15" t="str">
        <f t="shared" si="5543"/>
        <v>#REF!</v>
      </c>
      <c r="EY1165" s="15" t="str">
        <f t="shared" si="5543"/>
        <v>#REF!</v>
      </c>
      <c r="EZ1165" s="15" t="str">
        <f t="shared" si="5543"/>
        <v>#REF!</v>
      </c>
      <c r="FA1165" s="15" t="str">
        <f t="shared" si="5543"/>
        <v>#REF!</v>
      </c>
      <c r="FB1165" s="24" t="str">
        <f t="shared" si="5543"/>
        <v>#REF!</v>
      </c>
      <c r="FC1165" s="15" t="str">
        <f t="shared" si="5543"/>
        <v>#REF!</v>
      </c>
      <c r="FD1165" s="15" t="str">
        <f t="shared" si="5543"/>
        <v>#REF!</v>
      </c>
      <c r="FE1165" s="15" t="str">
        <f t="shared" si="5543"/>
        <v>#REF!</v>
      </c>
      <c r="FF1165" s="15" t="str">
        <f t="shared" si="5543"/>
        <v>#REF!</v>
      </c>
      <c r="FG1165" s="24" t="str">
        <f t="shared" si="5543"/>
        <v>#REF!</v>
      </c>
      <c r="FH1165" s="104"/>
      <c r="FI1165" s="15"/>
      <c r="FJ1165" s="15"/>
      <c r="FK1165" s="410"/>
      <c r="FL1165" s="15"/>
    </row>
    <row r="1166" ht="13.5" hidden="1" customHeight="1" outlineLevel="1">
      <c r="A1166" s="4"/>
      <c r="B1166" s="529" t="s">
        <v>291</v>
      </c>
      <c r="C1166" s="529"/>
      <c r="D1166" s="596"/>
      <c r="E1166" s="596"/>
      <c r="F1166" s="596"/>
      <c r="G1166" s="596"/>
      <c r="H1166" s="596"/>
      <c r="I1166" s="596"/>
      <c r="J1166" s="596"/>
      <c r="K1166" s="596"/>
      <c r="L1166" s="596"/>
      <c r="M1166" s="596"/>
      <c r="N1166" s="596"/>
      <c r="O1166" s="596" t="str">
        <f t="shared" ref="O1166:FG1166" si="5544">O1160/O$1160</f>
        <v>#ERROR!</v>
      </c>
      <c r="P1166" s="596" t="str">
        <f t="shared" si="5544"/>
        <v>#ERROR!</v>
      </c>
      <c r="Q1166" s="596" t="str">
        <f t="shared" si="5544"/>
        <v>#ERROR!</v>
      </c>
      <c r="R1166" s="596" t="str">
        <f t="shared" si="5544"/>
        <v>#ERROR!</v>
      </c>
      <c r="S1166" s="596" t="str">
        <f t="shared" si="5544"/>
        <v>#ERROR!</v>
      </c>
      <c r="T1166" s="596" t="str">
        <f t="shared" si="5544"/>
        <v>#ERROR!</v>
      </c>
      <c r="U1166" s="596" t="str">
        <f t="shared" si="5544"/>
        <v>#ERROR!</v>
      </c>
      <c r="V1166" s="596" t="str">
        <f t="shared" si="5544"/>
        <v>#ERROR!</v>
      </c>
      <c r="W1166" s="596" t="str">
        <f t="shared" si="5544"/>
        <v>#ERROR!</v>
      </c>
      <c r="X1166" s="596" t="str">
        <f t="shared" si="5544"/>
        <v>#ERROR!</v>
      </c>
      <c r="Y1166" s="596" t="str">
        <f t="shared" si="5544"/>
        <v>#ERROR!</v>
      </c>
      <c r="Z1166" s="596" t="str">
        <f t="shared" si="5544"/>
        <v>#ERROR!</v>
      </c>
      <c r="AA1166" s="596" t="str">
        <f t="shared" si="5544"/>
        <v>#ERROR!</v>
      </c>
      <c r="AB1166" s="596" t="str">
        <f t="shared" si="5544"/>
        <v>#ERROR!</v>
      </c>
      <c r="AC1166" s="596" t="str">
        <f t="shared" si="5544"/>
        <v>#ERROR!</v>
      </c>
      <c r="AD1166" s="596" t="str">
        <f t="shared" si="5544"/>
        <v>#ERROR!</v>
      </c>
      <c r="AE1166" s="596" t="str">
        <f t="shared" si="5544"/>
        <v>#ERROR!</v>
      </c>
      <c r="AF1166" s="596" t="str">
        <f t="shared" si="5544"/>
        <v>#ERROR!</v>
      </c>
      <c r="AG1166" s="596" t="str">
        <f t="shared" si="5544"/>
        <v>#ERROR!</v>
      </c>
      <c r="AH1166" s="596" t="str">
        <f t="shared" si="5544"/>
        <v>#ERROR!</v>
      </c>
      <c r="AI1166" s="596" t="str">
        <f t="shared" si="5544"/>
        <v>#ERROR!</v>
      </c>
      <c r="AJ1166" s="596" t="str">
        <f t="shared" si="5544"/>
        <v>#ERROR!</v>
      </c>
      <c r="AK1166" s="596" t="str">
        <f t="shared" si="5544"/>
        <v>#ERROR!</v>
      </c>
      <c r="AL1166" s="596" t="str">
        <f t="shared" si="5544"/>
        <v>#ERROR!</v>
      </c>
      <c r="AM1166" s="596" t="str">
        <f t="shared" si="5544"/>
        <v>#ERROR!</v>
      </c>
      <c r="AN1166" s="596" t="str">
        <f t="shared" si="5544"/>
        <v>#ERROR!</v>
      </c>
      <c r="AO1166" s="596" t="str">
        <f t="shared" si="5544"/>
        <v>#ERROR!</v>
      </c>
      <c r="AP1166" s="596" t="str">
        <f t="shared" si="5544"/>
        <v>#ERROR!</v>
      </c>
      <c r="AQ1166" s="596" t="str">
        <f t="shared" si="5544"/>
        <v>#ERROR!</v>
      </c>
      <c r="AR1166" s="596" t="str">
        <f t="shared" si="5544"/>
        <v>#ERROR!</v>
      </c>
      <c r="AS1166" s="596" t="str">
        <f t="shared" si="5544"/>
        <v>#ERROR!</v>
      </c>
      <c r="AT1166" s="596" t="str">
        <f t="shared" si="5544"/>
        <v>#ERROR!</v>
      </c>
      <c r="AU1166" s="596" t="str">
        <f t="shared" si="5544"/>
        <v>#ERROR!</v>
      </c>
      <c r="AV1166" s="596" t="str">
        <f t="shared" si="5544"/>
        <v>#ERROR!</v>
      </c>
      <c r="AW1166" s="596" t="str">
        <f t="shared" si="5544"/>
        <v>#ERROR!</v>
      </c>
      <c r="AX1166" s="596" t="str">
        <f t="shared" si="5544"/>
        <v>#ERROR!</v>
      </c>
      <c r="AY1166" s="596" t="str">
        <f t="shared" si="5544"/>
        <v>#ERROR!</v>
      </c>
      <c r="AZ1166" s="596" t="str">
        <f t="shared" si="5544"/>
        <v>#ERROR!</v>
      </c>
      <c r="BA1166" s="596" t="str">
        <f t="shared" si="5544"/>
        <v>#ERROR!</v>
      </c>
      <c r="BB1166" s="596" t="str">
        <f t="shared" si="5544"/>
        <v>#ERROR!</v>
      </c>
      <c r="BC1166" s="596" t="str">
        <f t="shared" si="5544"/>
        <v>#ERROR!</v>
      </c>
      <c r="BD1166" s="596" t="str">
        <f t="shared" si="5544"/>
        <v>#ERROR!</v>
      </c>
      <c r="BE1166" s="596" t="str">
        <f t="shared" si="5544"/>
        <v>#ERROR!</v>
      </c>
      <c r="BF1166" s="596" t="str">
        <f t="shared" si="5544"/>
        <v>#ERROR!</v>
      </c>
      <c r="BG1166" s="596" t="str">
        <f t="shared" si="5544"/>
        <v>#ERROR!</v>
      </c>
      <c r="BH1166" s="596" t="str">
        <f t="shared" si="5544"/>
        <v>#ERROR!</v>
      </c>
      <c r="BI1166" s="596" t="str">
        <f t="shared" si="5544"/>
        <v>#ERROR!</v>
      </c>
      <c r="BJ1166" s="596" t="str">
        <f t="shared" si="5544"/>
        <v>#ERROR!</v>
      </c>
      <c r="BK1166" s="596" t="str">
        <f t="shared" si="5544"/>
        <v>#ERROR!</v>
      </c>
      <c r="BL1166" s="596" t="str">
        <f t="shared" si="5544"/>
        <v>#ERROR!</v>
      </c>
      <c r="BM1166" s="596" t="str">
        <f t="shared" si="5544"/>
        <v>#ERROR!</v>
      </c>
      <c r="BN1166" s="596" t="str">
        <f t="shared" si="5544"/>
        <v>#ERROR!</v>
      </c>
      <c r="BO1166" s="596" t="str">
        <f t="shared" si="5544"/>
        <v>#ERROR!</v>
      </c>
      <c r="BP1166" s="596" t="str">
        <f t="shared" si="5544"/>
        <v>#ERROR!</v>
      </c>
      <c r="BQ1166" s="596" t="str">
        <f t="shared" si="5544"/>
        <v>#ERROR!</v>
      </c>
      <c r="BR1166" s="596" t="str">
        <f t="shared" si="5544"/>
        <v>#ERROR!</v>
      </c>
      <c r="BS1166" s="596" t="str">
        <f t="shared" si="5544"/>
        <v>#ERROR!</v>
      </c>
      <c r="BT1166" s="596" t="str">
        <f t="shared" si="5544"/>
        <v>#ERROR!</v>
      </c>
      <c r="BU1166" s="596" t="str">
        <f t="shared" si="5544"/>
        <v>#ERROR!</v>
      </c>
      <c r="BV1166" s="596" t="str">
        <f t="shared" si="5544"/>
        <v>#ERROR!</v>
      </c>
      <c r="BW1166" s="596" t="str">
        <f t="shared" si="5544"/>
        <v>#ERROR!</v>
      </c>
      <c r="BX1166" s="596" t="str">
        <f t="shared" si="5544"/>
        <v>#ERROR!</v>
      </c>
      <c r="BY1166" s="596" t="str">
        <f t="shared" si="5544"/>
        <v>#ERROR!</v>
      </c>
      <c r="BZ1166" s="597" t="str">
        <f t="shared" si="5544"/>
        <v>#ERROR!</v>
      </c>
      <c r="CA1166" s="596" t="str">
        <f t="shared" si="5544"/>
        <v>#ERROR!</v>
      </c>
      <c r="CB1166" s="596" t="str">
        <f t="shared" si="5544"/>
        <v>#ERROR!</v>
      </c>
      <c r="CC1166" s="596" t="str">
        <f t="shared" si="5544"/>
        <v>#ERROR!</v>
      </c>
      <c r="CD1166" s="596" t="str">
        <f t="shared" si="5544"/>
        <v>#ERROR!</v>
      </c>
      <c r="CE1166" s="597" t="str">
        <f t="shared" si="5544"/>
        <v>#ERROR!</v>
      </c>
      <c r="CF1166" s="596" t="str">
        <f t="shared" si="5544"/>
        <v>#ERROR!</v>
      </c>
      <c r="CG1166" s="596" t="str">
        <f t="shared" si="5544"/>
        <v>#ERROR!</v>
      </c>
      <c r="CH1166" s="596" t="str">
        <f t="shared" si="5544"/>
        <v>#ERROR!</v>
      </c>
      <c r="CI1166" s="596" t="str">
        <f t="shared" si="5544"/>
        <v>#ERROR!</v>
      </c>
      <c r="CJ1166" s="597" t="str">
        <f t="shared" si="5544"/>
        <v>#ERROR!</v>
      </c>
      <c r="CK1166" s="596" t="str">
        <f t="shared" si="5544"/>
        <v>#ERROR!</v>
      </c>
      <c r="CL1166" s="596" t="str">
        <f t="shared" si="5544"/>
        <v>#ERROR!</v>
      </c>
      <c r="CM1166" s="596" t="str">
        <f t="shared" si="5544"/>
        <v>#ERROR!</v>
      </c>
      <c r="CN1166" s="595" t="str">
        <f t="shared" si="5544"/>
        <v>#ERROR!</v>
      </c>
      <c r="CO1166" s="597" t="str">
        <f t="shared" si="5544"/>
        <v>#ERROR!</v>
      </c>
      <c r="CP1166" s="595" t="str">
        <f t="shared" si="5544"/>
        <v>#ERROR!</v>
      </c>
      <c r="CQ1166" s="596" t="str">
        <f t="shared" si="5544"/>
        <v>#ERROR!</v>
      </c>
      <c r="CR1166" s="596" t="str">
        <f t="shared" si="5544"/>
        <v>#ERROR!</v>
      </c>
      <c r="CS1166" s="596" t="str">
        <f t="shared" si="5544"/>
        <v>#ERROR!</v>
      </c>
      <c r="CT1166" s="597" t="str">
        <f t="shared" si="5544"/>
        <v>#ERROR!</v>
      </c>
      <c r="CU1166" s="596" t="str">
        <f t="shared" si="5544"/>
        <v>#ERROR!</v>
      </c>
      <c r="CV1166" s="596" t="str">
        <f t="shared" si="5544"/>
        <v>#ERROR!</v>
      </c>
      <c r="CW1166" s="596" t="str">
        <f t="shared" si="5544"/>
        <v>#ERROR!</v>
      </c>
      <c r="CX1166" s="596" t="str">
        <f t="shared" si="5544"/>
        <v>#ERROR!</v>
      </c>
      <c r="CY1166" s="597" t="str">
        <f t="shared" si="5544"/>
        <v>#ERROR!</v>
      </c>
      <c r="CZ1166" s="596" t="str">
        <f t="shared" si="5544"/>
        <v>#ERROR!</v>
      </c>
      <c r="DA1166" s="596" t="str">
        <f t="shared" si="5544"/>
        <v>#ERROR!</v>
      </c>
      <c r="DB1166" s="596" t="str">
        <f t="shared" si="5544"/>
        <v>#ERROR!</v>
      </c>
      <c r="DC1166" s="596" t="str">
        <f t="shared" si="5544"/>
        <v>#ERROR!</v>
      </c>
      <c r="DD1166" s="597" t="str">
        <f t="shared" si="5544"/>
        <v>#ERROR!</v>
      </c>
      <c r="DE1166" s="596" t="str">
        <f t="shared" si="5544"/>
        <v>#ERROR!</v>
      </c>
      <c r="DF1166" s="596" t="str">
        <f t="shared" si="5544"/>
        <v>#ERROR!</v>
      </c>
      <c r="DG1166" s="104" t="str">
        <f t="shared" si="5544"/>
        <v>#ERROR!</v>
      </c>
      <c r="DH1166" s="596" t="str">
        <f t="shared" si="5544"/>
        <v>#ERROR!</v>
      </c>
      <c r="DI1166" s="597" t="str">
        <f t="shared" si="5544"/>
        <v>#ERROR!</v>
      </c>
      <c r="DJ1166" s="595" t="str">
        <f t="shared" si="5544"/>
        <v>#ERROR!</v>
      </c>
      <c r="DK1166" s="595" t="str">
        <f t="shared" si="5544"/>
        <v>#ERROR!</v>
      </c>
      <c r="DL1166" s="595" t="str">
        <f t="shared" si="5544"/>
        <v>#ERROR!</v>
      </c>
      <c r="DM1166" s="596" t="str">
        <f t="shared" si="5544"/>
        <v>#ERROR!</v>
      </c>
      <c r="DN1166" s="597" t="str">
        <f t="shared" si="5544"/>
        <v>#ERROR!</v>
      </c>
      <c r="DO1166" s="596" t="str">
        <f t="shared" si="5544"/>
        <v>#ERROR!</v>
      </c>
      <c r="DP1166" s="596" t="str">
        <f t="shared" si="5544"/>
        <v>#ERROR!</v>
      </c>
      <c r="DQ1166" s="596" t="str">
        <f t="shared" si="5544"/>
        <v>#ERROR!</v>
      </c>
      <c r="DR1166" s="596" t="str">
        <f t="shared" si="5544"/>
        <v>#ERROR!</v>
      </c>
      <c r="DS1166" s="597" t="str">
        <f t="shared" si="5544"/>
        <v>#ERROR!</v>
      </c>
      <c r="DT1166" s="596" t="str">
        <f t="shared" si="5544"/>
        <v>#ERROR!</v>
      </c>
      <c r="DU1166" s="596" t="str">
        <f t="shared" si="5544"/>
        <v>#ERROR!</v>
      </c>
      <c r="DV1166" s="596" t="str">
        <f t="shared" si="5544"/>
        <v>#ERROR!</v>
      </c>
      <c r="DW1166" s="596" t="str">
        <f t="shared" si="5544"/>
        <v>#ERROR!</v>
      </c>
      <c r="DX1166" s="597" t="str">
        <f t="shared" si="5544"/>
        <v>#ERROR!</v>
      </c>
      <c r="DY1166" s="596" t="str">
        <f t="shared" si="5544"/>
        <v>#ERROR!</v>
      </c>
      <c r="DZ1166" s="596" t="str">
        <f t="shared" si="5544"/>
        <v>#ERROR!</v>
      </c>
      <c r="EA1166" s="596" t="str">
        <f t="shared" si="5544"/>
        <v>#ERROR!</v>
      </c>
      <c r="EB1166" s="596" t="str">
        <f t="shared" si="5544"/>
        <v>#ERROR!</v>
      </c>
      <c r="EC1166" s="597" t="str">
        <f t="shared" si="5544"/>
        <v>#ERROR!</v>
      </c>
      <c r="ED1166" s="596" t="str">
        <f t="shared" si="5544"/>
        <v>#ERROR!</v>
      </c>
      <c r="EE1166" s="596" t="str">
        <f t="shared" si="5544"/>
        <v>#ERROR!</v>
      </c>
      <c r="EF1166" s="596" t="str">
        <f t="shared" si="5544"/>
        <v>#ERROR!</v>
      </c>
      <c r="EG1166" s="596" t="str">
        <f t="shared" si="5544"/>
        <v>#ERROR!</v>
      </c>
      <c r="EH1166" s="597" t="str">
        <f t="shared" si="5544"/>
        <v>#ERROR!</v>
      </c>
      <c r="EI1166" s="598" t="str">
        <f t="shared" si="5544"/>
        <v>#ERROR!</v>
      </c>
      <c r="EJ1166" s="596" t="str">
        <f t="shared" si="5544"/>
        <v>#ERROR!</v>
      </c>
      <c r="EK1166" s="596" t="str">
        <f t="shared" si="5544"/>
        <v>#ERROR!</v>
      </c>
      <c r="EL1166" s="596" t="str">
        <f t="shared" si="5544"/>
        <v>#ERROR!</v>
      </c>
      <c r="EM1166" s="597" t="str">
        <f t="shared" si="5544"/>
        <v>#ERROR!</v>
      </c>
      <c r="EN1166" s="596" t="str">
        <f t="shared" si="5544"/>
        <v>#ERROR!</v>
      </c>
      <c r="EO1166" s="596" t="str">
        <f t="shared" si="5544"/>
        <v>#ERROR!</v>
      </c>
      <c r="EP1166" s="596" t="str">
        <f t="shared" si="5544"/>
        <v>#ERROR!</v>
      </c>
      <c r="EQ1166" s="596" t="str">
        <f t="shared" si="5544"/>
        <v>#ERROR!</v>
      </c>
      <c r="ER1166" s="597" t="str">
        <f t="shared" si="5544"/>
        <v>#ERROR!</v>
      </c>
      <c r="ES1166" s="596" t="str">
        <f t="shared" si="5544"/>
        <v>#ERROR!</v>
      </c>
      <c r="ET1166" s="596" t="str">
        <f t="shared" si="5544"/>
        <v>#ERROR!</v>
      </c>
      <c r="EU1166" s="596" t="str">
        <f t="shared" si="5544"/>
        <v>#ERROR!</v>
      </c>
      <c r="EV1166" s="596" t="str">
        <f t="shared" si="5544"/>
        <v>#ERROR!</v>
      </c>
      <c r="EW1166" s="597" t="str">
        <f t="shared" si="5544"/>
        <v>#ERROR!</v>
      </c>
      <c r="EX1166" s="596" t="str">
        <f t="shared" si="5544"/>
        <v>#ERROR!</v>
      </c>
      <c r="EY1166" s="596" t="str">
        <f t="shared" si="5544"/>
        <v>#ERROR!</v>
      </c>
      <c r="EZ1166" s="596" t="str">
        <f t="shared" si="5544"/>
        <v>#ERROR!</v>
      </c>
      <c r="FA1166" s="596" t="str">
        <f t="shared" si="5544"/>
        <v>#ERROR!</v>
      </c>
      <c r="FB1166" s="597" t="str">
        <f t="shared" si="5544"/>
        <v>#ERROR!</v>
      </c>
      <c r="FC1166" s="596" t="str">
        <f t="shared" si="5544"/>
        <v>#ERROR!</v>
      </c>
      <c r="FD1166" s="596" t="str">
        <f t="shared" si="5544"/>
        <v>#ERROR!</v>
      </c>
      <c r="FE1166" s="596" t="str">
        <f t="shared" si="5544"/>
        <v>#ERROR!</v>
      </c>
      <c r="FF1166" s="596" t="str">
        <f t="shared" si="5544"/>
        <v>#ERROR!</v>
      </c>
      <c r="FG1166" s="597" t="str">
        <f t="shared" si="5544"/>
        <v>#ERROR!</v>
      </c>
      <c r="FH1166" s="595"/>
      <c r="FI1166" s="596"/>
      <c r="FJ1166" s="596"/>
      <c r="FK1166" s="596"/>
      <c r="FL1166" s="596"/>
    </row>
    <row r="1167" ht="12.75" hidden="1" customHeight="1" outlineLevel="1">
      <c r="A1167" s="4"/>
      <c r="B1167" s="4"/>
      <c r="C1167" s="4"/>
      <c r="D1167" s="4"/>
      <c r="E1167" s="4"/>
      <c r="F1167" s="4"/>
      <c r="G1167" s="4"/>
      <c r="H1167" s="45"/>
      <c r="I1167" s="4"/>
      <c r="J1167" s="4"/>
      <c r="K1167" s="4"/>
      <c r="L1167" s="4"/>
      <c r="M1167" s="45"/>
      <c r="N1167" s="4"/>
      <c r="O1167" s="4"/>
      <c r="P1167" s="4"/>
      <c r="Q1167" s="4"/>
      <c r="R1167" s="45"/>
      <c r="S1167" s="4"/>
      <c r="T1167" s="4"/>
      <c r="U1167" s="4"/>
      <c r="V1167" s="4"/>
      <c r="W1167" s="45"/>
      <c r="X1167" s="4"/>
      <c r="Y1167" s="4"/>
      <c r="Z1167" s="4"/>
      <c r="AA1167" s="4"/>
      <c r="AB1167" s="45"/>
      <c r="AC1167" s="4"/>
      <c r="AD1167" s="4"/>
      <c r="AE1167" s="4"/>
      <c r="AF1167" s="4"/>
      <c r="AG1167" s="45"/>
      <c r="AH1167" s="4"/>
      <c r="AI1167" s="4"/>
      <c r="AJ1167" s="4"/>
      <c r="AK1167" s="4"/>
      <c r="AL1167" s="45"/>
      <c r="AM1167" s="4"/>
      <c r="AN1167" s="4"/>
      <c r="AO1167" s="4"/>
      <c r="AP1167" s="4"/>
      <c r="AQ1167" s="45"/>
      <c r="AR1167" s="4"/>
      <c r="AS1167" s="4"/>
      <c r="AT1167" s="4"/>
      <c r="AU1167" s="4"/>
      <c r="AV1167" s="45"/>
      <c r="AW1167" s="4"/>
      <c r="AX1167" s="4"/>
      <c r="AY1167" s="4"/>
      <c r="AZ1167" s="4"/>
      <c r="BA1167" s="45"/>
      <c r="BB1167" s="4"/>
      <c r="BC1167" s="4"/>
      <c r="BD1167" s="4"/>
      <c r="BE1167" s="4"/>
      <c r="BF1167" s="45"/>
      <c r="BG1167" s="4"/>
      <c r="BH1167" s="4"/>
      <c r="BI1167" s="4"/>
      <c r="BJ1167" s="4"/>
      <c r="BK1167" s="45"/>
      <c r="BL1167" s="4"/>
      <c r="BM1167" s="4"/>
      <c r="BN1167" s="4"/>
      <c r="BO1167" s="4"/>
      <c r="BP1167" s="45"/>
      <c r="BQ1167" s="4"/>
      <c r="BR1167" s="4"/>
      <c r="BS1167" s="4"/>
      <c r="BT1167" s="4"/>
      <c r="BU1167" s="45"/>
      <c r="BV1167" s="4"/>
      <c r="BW1167" s="4"/>
      <c r="BX1167" s="4"/>
      <c r="BY1167" s="4"/>
      <c r="BZ1167" s="350"/>
      <c r="CA1167" s="4"/>
      <c r="CB1167" s="4"/>
      <c r="CC1167" s="4"/>
      <c r="CD1167" s="4"/>
      <c r="CE1167" s="350"/>
      <c r="CF1167" s="4"/>
      <c r="CG1167" s="4"/>
      <c r="CH1167" s="4"/>
      <c r="CI1167" s="4"/>
      <c r="CJ1167" s="350"/>
      <c r="CK1167" s="4"/>
      <c r="CL1167" s="4"/>
      <c r="CM1167" s="4"/>
      <c r="CN1167" s="16"/>
      <c r="CO1167" s="350"/>
      <c r="CP1167" s="16"/>
      <c r="CQ1167" s="4"/>
      <c r="CR1167" s="4"/>
      <c r="CS1167" s="4"/>
      <c r="CT1167" s="350"/>
      <c r="CU1167" s="4"/>
      <c r="CV1167" s="4"/>
      <c r="CW1167" s="4"/>
      <c r="CX1167" s="4"/>
      <c r="CY1167" s="350"/>
      <c r="CZ1167" s="4"/>
      <c r="DA1167" s="4"/>
      <c r="DB1167" s="4"/>
      <c r="DC1167" s="4"/>
      <c r="DD1167" s="350"/>
      <c r="DE1167" s="4"/>
      <c r="DF1167" s="4"/>
      <c r="DG1167" s="16"/>
      <c r="DH1167" s="4"/>
      <c r="DI1167" s="350"/>
      <c r="DJ1167" s="16"/>
      <c r="DK1167" s="16"/>
      <c r="DL1167" s="16"/>
      <c r="DM1167" s="4"/>
      <c r="DN1167" s="350"/>
      <c r="DO1167" s="4"/>
      <c r="DP1167" s="4"/>
      <c r="DQ1167" s="4"/>
      <c r="DR1167" s="4"/>
      <c r="DS1167" s="350"/>
      <c r="DT1167" s="4"/>
      <c r="DU1167" s="4"/>
      <c r="DV1167" s="4"/>
      <c r="DW1167" s="4"/>
      <c r="DX1167" s="350"/>
      <c r="DY1167" s="4"/>
      <c r="DZ1167" s="4"/>
      <c r="EA1167" s="4"/>
      <c r="EB1167" s="4"/>
      <c r="EC1167" s="350"/>
      <c r="ED1167" s="4"/>
      <c r="EE1167" s="4"/>
      <c r="EF1167" s="4"/>
      <c r="EG1167" s="4"/>
      <c r="EH1167" s="350"/>
      <c r="EI1167" s="214"/>
      <c r="EJ1167" s="4"/>
      <c r="EK1167" s="4"/>
      <c r="EL1167" s="4"/>
      <c r="EM1167" s="350"/>
      <c r="EN1167" s="4"/>
      <c r="EO1167" s="4"/>
      <c r="EP1167" s="4"/>
      <c r="EQ1167" s="4"/>
      <c r="ER1167" s="350"/>
      <c r="ES1167" s="4"/>
      <c r="ET1167" s="4"/>
      <c r="EU1167" s="4"/>
      <c r="EV1167" s="4"/>
      <c r="EW1167" s="350"/>
      <c r="EX1167" s="4"/>
      <c r="EY1167" s="4"/>
      <c r="EZ1167" s="4"/>
      <c r="FA1167" s="4"/>
      <c r="FB1167" s="350"/>
      <c r="FC1167" s="4"/>
      <c r="FD1167" s="4"/>
      <c r="FE1167" s="4"/>
      <c r="FF1167" s="4"/>
      <c r="FG1167" s="350"/>
      <c r="FH1167" s="145"/>
      <c r="FI1167" s="4"/>
      <c r="FJ1167" s="4"/>
      <c r="FK1167" s="45"/>
      <c r="FL1167" s="4"/>
    </row>
    <row r="1168" ht="12.75" hidden="1" customHeight="1" outlineLevel="2">
      <c r="A1168" s="4"/>
      <c r="B1168" s="45" t="s">
        <v>438</v>
      </c>
      <c r="C1168" s="4"/>
      <c r="D1168" s="4"/>
      <c r="E1168" s="4"/>
      <c r="F1168" s="4"/>
      <c r="G1168" s="4"/>
      <c r="H1168" s="45"/>
      <c r="I1168" s="4"/>
      <c r="J1168" s="4"/>
      <c r="K1168" s="4"/>
      <c r="L1168" s="4"/>
      <c r="M1168" s="45"/>
      <c r="N1168" s="4"/>
      <c r="O1168" s="4"/>
      <c r="P1168" s="4"/>
      <c r="Q1168" s="4"/>
      <c r="R1168" s="45"/>
      <c r="S1168" s="4"/>
      <c r="T1168" s="4"/>
      <c r="U1168" s="4"/>
      <c r="V1168" s="4"/>
      <c r="W1168" s="45"/>
      <c r="X1168" s="4"/>
      <c r="Y1168" s="4"/>
      <c r="Z1168" s="4"/>
      <c r="AA1168" s="4"/>
      <c r="AB1168" s="45"/>
      <c r="AC1168" s="4"/>
      <c r="AD1168" s="4"/>
      <c r="AE1168" s="4"/>
      <c r="AF1168" s="4"/>
      <c r="AG1168" s="45"/>
      <c r="AH1168" s="4"/>
      <c r="AI1168" s="4"/>
      <c r="AJ1168" s="4"/>
      <c r="AK1168" s="4"/>
      <c r="AL1168" s="45"/>
      <c r="AM1168" s="4"/>
      <c r="AN1168" s="4"/>
      <c r="AO1168" s="4"/>
      <c r="AP1168" s="4"/>
      <c r="AQ1168" s="45"/>
      <c r="AR1168" s="4"/>
      <c r="AS1168" s="4"/>
      <c r="AT1168" s="4"/>
      <c r="AU1168" s="4"/>
      <c r="AV1168" s="45"/>
      <c r="AW1168" s="4"/>
      <c r="AX1168" s="4"/>
      <c r="AY1168" s="4"/>
      <c r="AZ1168" s="4"/>
      <c r="BA1168" s="45"/>
      <c r="BB1168" s="4"/>
      <c r="BC1168" s="4"/>
      <c r="BD1168" s="4"/>
      <c r="BE1168" s="4"/>
      <c r="BF1168" s="45"/>
      <c r="BG1168" s="4"/>
      <c r="BH1168" s="4"/>
      <c r="BI1168" s="4"/>
      <c r="BJ1168" s="4"/>
      <c r="BK1168" s="45"/>
      <c r="BL1168" s="4"/>
      <c r="BM1168" s="4"/>
      <c r="BN1168" s="4"/>
      <c r="BO1168" s="4"/>
      <c r="BP1168" s="45"/>
      <c r="BQ1168" s="4"/>
      <c r="BR1168" s="4"/>
      <c r="BS1168" s="4"/>
      <c r="BT1168" s="4"/>
      <c r="BU1168" s="45"/>
      <c r="BV1168" s="4"/>
      <c r="BW1168" s="4"/>
      <c r="BX1168" s="4"/>
      <c r="BY1168" s="4"/>
      <c r="BZ1168" s="350"/>
      <c r="CA1168" s="4"/>
      <c r="CB1168" s="4"/>
      <c r="CC1168" s="4"/>
      <c r="CD1168" s="4"/>
      <c r="CE1168" s="350"/>
      <c r="CF1168" s="4"/>
      <c r="CG1168" s="4"/>
      <c r="CH1168" s="4"/>
      <c r="CI1168" s="4"/>
      <c r="CJ1168" s="350"/>
      <c r="CK1168" s="4"/>
      <c r="CL1168" s="4"/>
      <c r="CM1168" s="4"/>
      <c r="CN1168" s="16"/>
      <c r="CO1168" s="350"/>
      <c r="CP1168" s="16"/>
      <c r="CQ1168" s="4"/>
      <c r="CR1168" s="4"/>
      <c r="CS1168" s="4"/>
      <c r="CT1168" s="350"/>
      <c r="CU1168" s="4"/>
      <c r="CV1168" s="4"/>
      <c r="CW1168" s="4"/>
      <c r="CX1168" s="4"/>
      <c r="CY1168" s="350"/>
      <c r="CZ1168" s="4"/>
      <c r="DA1168" s="4"/>
      <c r="DB1168" s="4"/>
      <c r="DC1168" s="4"/>
      <c r="DD1168" s="350"/>
      <c r="DE1168" s="4"/>
      <c r="DF1168" s="4"/>
      <c r="DG1168" s="16"/>
      <c r="DH1168" s="4"/>
      <c r="DI1168" s="350"/>
      <c r="DJ1168" s="16"/>
      <c r="DK1168" s="16"/>
      <c r="DL1168" s="16"/>
      <c r="DM1168" s="4"/>
      <c r="DN1168" s="350"/>
      <c r="DO1168" s="4"/>
      <c r="DP1168" s="4"/>
      <c r="DQ1168" s="4"/>
      <c r="DR1168" s="4"/>
      <c r="DS1168" s="350"/>
      <c r="DT1168" s="4"/>
      <c r="DU1168" s="4"/>
      <c r="DV1168" s="4"/>
      <c r="DW1168" s="4"/>
      <c r="DX1168" s="350"/>
      <c r="DY1168" s="4"/>
      <c r="DZ1168" s="4"/>
      <c r="EA1168" s="4"/>
      <c r="EB1168" s="4"/>
      <c r="EC1168" s="350"/>
      <c r="ED1168" s="4"/>
      <c r="EE1168" s="4"/>
      <c r="EF1168" s="4"/>
      <c r="EG1168" s="4"/>
      <c r="EH1168" s="350"/>
      <c r="EI1168" s="214"/>
      <c r="EJ1168" s="4"/>
      <c r="EK1168" s="4"/>
      <c r="EL1168" s="4"/>
      <c r="EM1168" s="350"/>
      <c r="EN1168" s="4"/>
      <c r="EO1168" s="4"/>
      <c r="EP1168" s="4"/>
      <c r="EQ1168" s="4"/>
      <c r="ER1168" s="350"/>
      <c r="ES1168" s="4"/>
      <c r="ET1168" s="4"/>
      <c r="EU1168" s="4"/>
      <c r="EV1168" s="4"/>
      <c r="EW1168" s="350"/>
      <c r="EX1168" s="4"/>
      <c r="EY1168" s="4"/>
      <c r="EZ1168" s="4"/>
      <c r="FA1168" s="4"/>
      <c r="FB1168" s="350"/>
      <c r="FC1168" s="4"/>
      <c r="FD1168" s="4"/>
      <c r="FE1168" s="4"/>
      <c r="FF1168" s="4"/>
      <c r="FG1168" s="350"/>
      <c r="FH1168" s="145"/>
      <c r="FI1168" s="4"/>
      <c r="FJ1168" s="4"/>
      <c r="FK1168" s="45"/>
      <c r="FL1168" s="4"/>
    </row>
    <row r="1169" ht="12.75" hidden="1" customHeight="1" outlineLevel="2">
      <c r="A1169" s="4"/>
      <c r="B1169" s="4" t="s">
        <v>439</v>
      </c>
      <c r="C1169" s="4"/>
      <c r="D1169" s="17"/>
      <c r="E1169" s="17"/>
      <c r="F1169" s="17"/>
      <c r="G1169" s="17"/>
      <c r="H1169" s="73"/>
      <c r="I1169" s="17"/>
      <c r="J1169" s="17"/>
      <c r="K1169" s="17"/>
      <c r="L1169" s="17"/>
      <c r="M1169" s="73"/>
      <c r="N1169" s="17"/>
      <c r="O1169" s="17" t="str">
        <f>ServerSales</f>
        <v>#ERROR!</v>
      </c>
      <c r="P1169" s="17" t="str">
        <f>ServerSales</f>
        <v>#ERROR!</v>
      </c>
      <c r="Q1169" s="17" t="str">
        <f>ServerSales</f>
        <v>#ERROR!</v>
      </c>
      <c r="R1169" s="73" t="str">
        <f>ServerSales</f>
        <v>#ERROR!</v>
      </c>
      <c r="S1169" s="17" t="str">
        <f>ServerSales</f>
        <v>#ERROR!</v>
      </c>
      <c r="T1169" s="17" t="str">
        <f>ServerSales</f>
        <v>#ERROR!</v>
      </c>
      <c r="U1169" s="17" t="str">
        <f>ServerSales</f>
        <v>#ERROR!</v>
      </c>
      <c r="V1169" s="17" t="str">
        <f>ServerSales</f>
        <v>#ERROR!</v>
      </c>
      <c r="W1169" s="73" t="str">
        <f>ServerSales</f>
        <v>#ERROR!</v>
      </c>
      <c r="X1169" s="17" t="str">
        <f>ServerSales</f>
        <v>#ERROR!</v>
      </c>
      <c r="Y1169" s="17" t="str">
        <f>ServerSales</f>
        <v>#ERROR!</v>
      </c>
      <c r="Z1169" s="17" t="str">
        <f>ServerSales</f>
        <v>#ERROR!</v>
      </c>
      <c r="AA1169" s="17" t="str">
        <f>ServerSales</f>
        <v>#ERROR!</v>
      </c>
      <c r="AB1169" s="73" t="str">
        <f>ServerSales</f>
        <v>#ERROR!</v>
      </c>
      <c r="AC1169" s="17" t="str">
        <f>ServerSales</f>
        <v>#ERROR!</v>
      </c>
      <c r="AD1169" s="17" t="str">
        <f>ServerSales</f>
        <v>#ERROR!</v>
      </c>
      <c r="AE1169" s="17" t="str">
        <f>ServerSales</f>
        <v>#ERROR!</v>
      </c>
      <c r="AF1169" s="17" t="str">
        <f>ServerSales</f>
        <v>#ERROR!</v>
      </c>
      <c r="AG1169" s="73" t="str">
        <f>ServerSales</f>
        <v>#ERROR!</v>
      </c>
      <c r="AH1169" s="17" t="str">
        <f>ServerSales</f>
        <v>#ERROR!</v>
      </c>
      <c r="AI1169" s="17" t="str">
        <f>ServerSales</f>
        <v>#ERROR!</v>
      </c>
      <c r="AJ1169" s="17" t="str">
        <f>ServerSales</f>
        <v>#ERROR!</v>
      </c>
      <c r="AK1169" s="17" t="str">
        <f>ServerSales</f>
        <v>#ERROR!</v>
      </c>
      <c r="AL1169" s="73" t="str">
        <f>ServerSales</f>
        <v>#ERROR!</v>
      </c>
      <c r="AM1169" s="17" t="str">
        <f>ServerSales</f>
        <v>#ERROR!</v>
      </c>
      <c r="AN1169" s="17" t="str">
        <f>ServerSales</f>
        <v>#ERROR!</v>
      </c>
      <c r="AO1169" s="17" t="str">
        <f>ServerSales</f>
        <v>#ERROR!</v>
      </c>
      <c r="AP1169" s="17" t="str">
        <f>ServerSales</f>
        <v>#ERROR!</v>
      </c>
      <c r="AQ1169" s="73" t="str">
        <f>ServerSales</f>
        <v>#ERROR!</v>
      </c>
      <c r="AR1169" s="17" t="str">
        <f>ServerSales</f>
        <v>#ERROR!</v>
      </c>
      <c r="AS1169" s="17" t="str">
        <f>ServerSales</f>
        <v>#ERROR!</v>
      </c>
      <c r="AT1169" s="17" t="str">
        <f>ServerSales</f>
        <v>#ERROR!</v>
      </c>
      <c r="AU1169" s="17" t="str">
        <f>ServerSales</f>
        <v>#ERROR!</v>
      </c>
      <c r="AV1169" s="73" t="str">
        <f>ServerSales</f>
        <v>#ERROR!</v>
      </c>
      <c r="AW1169" s="17" t="str">
        <f>ServerSales</f>
        <v>#ERROR!</v>
      </c>
      <c r="AX1169" s="17" t="str">
        <f>ServerSales</f>
        <v>#ERROR!</v>
      </c>
      <c r="AY1169" s="17" t="str">
        <f>ServerSales</f>
        <v>#ERROR!</v>
      </c>
      <c r="AZ1169" s="17" t="str">
        <f>ServerSales</f>
        <v>#ERROR!</v>
      </c>
      <c r="BA1169" s="73" t="str">
        <f>ServerSales</f>
        <v>#ERROR!</v>
      </c>
      <c r="BB1169" s="17" t="str">
        <f>ServerSales</f>
        <v>#ERROR!</v>
      </c>
      <c r="BC1169" s="17" t="str">
        <f>ServerSales</f>
        <v>#ERROR!</v>
      </c>
      <c r="BD1169" s="17" t="str">
        <f>ServerSales</f>
        <v>#ERROR!</v>
      </c>
      <c r="BE1169" s="17" t="str">
        <f>ServerSales</f>
        <v>#ERROR!</v>
      </c>
      <c r="BF1169" s="73" t="str">
        <f>ServerSales</f>
        <v>#ERROR!</v>
      </c>
      <c r="BG1169" s="17" t="str">
        <f>ServerSales</f>
        <v>#ERROR!</v>
      </c>
      <c r="BH1169" s="17" t="str">
        <f>ServerSales</f>
        <v>#ERROR!</v>
      </c>
      <c r="BI1169" s="17" t="str">
        <f>ServerSales</f>
        <v>#ERROR!</v>
      </c>
      <c r="BJ1169" s="17" t="str">
        <f>ServerSales</f>
        <v>#ERROR!</v>
      </c>
      <c r="BK1169" s="73" t="str">
        <f>ServerSales</f>
        <v>#ERROR!</v>
      </c>
      <c r="BL1169" s="17" t="str">
        <f>ServerSales</f>
        <v>#ERROR!</v>
      </c>
      <c r="BM1169" s="17" t="str">
        <f>ServerSales</f>
        <v>#ERROR!</v>
      </c>
      <c r="BN1169" s="17" t="str">
        <f>ServerSales</f>
        <v>#ERROR!</v>
      </c>
      <c r="BO1169" s="17" t="str">
        <f>ServerSales</f>
        <v>#ERROR!</v>
      </c>
      <c r="BP1169" s="73" t="str">
        <f>ServerSales</f>
        <v>#ERROR!</v>
      </c>
      <c r="BQ1169" s="17" t="str">
        <f>ServerSales</f>
        <v>#ERROR!</v>
      </c>
      <c r="BR1169" s="17" t="str">
        <f>ServerSales</f>
        <v>#ERROR!</v>
      </c>
      <c r="BS1169" s="17" t="str">
        <f>ServerSales</f>
        <v>#ERROR!</v>
      </c>
      <c r="BT1169" s="17" t="str">
        <f>ServerSales</f>
        <v>#ERROR!</v>
      </c>
      <c r="BU1169" s="73" t="str">
        <f>ServerSales</f>
        <v>#ERROR!</v>
      </c>
      <c r="BV1169" s="17" t="str">
        <f>ServerSales</f>
        <v>#ERROR!</v>
      </c>
      <c r="BW1169" s="17" t="str">
        <f>ServerSales</f>
        <v>#ERROR!</v>
      </c>
      <c r="BX1169" s="17" t="str">
        <f>ServerSales</f>
        <v>#ERROR!</v>
      </c>
      <c r="BY1169" s="17" t="str">
        <f>ServerSales</f>
        <v>#ERROR!</v>
      </c>
      <c r="BZ1169" s="18" t="str">
        <f>ServerSales</f>
        <v>#ERROR!</v>
      </c>
      <c r="CA1169" s="17" t="str">
        <f>ServerSales</f>
        <v>#ERROR!</v>
      </c>
      <c r="CB1169" s="17" t="str">
        <f>ServerSales</f>
        <v>#ERROR!</v>
      </c>
      <c r="CC1169" s="17" t="str">
        <f>ServerSales</f>
        <v>#ERROR!</v>
      </c>
      <c r="CD1169" s="17" t="str">
        <f>ServerSales</f>
        <v>#ERROR!</v>
      </c>
      <c r="CE1169" s="18" t="str">
        <f>ServerSales</f>
        <v>#ERROR!</v>
      </c>
      <c r="CF1169" s="17" t="str">
        <f>ServerSales</f>
        <v>#ERROR!</v>
      </c>
      <c r="CG1169" s="17" t="str">
        <f>ServerSales</f>
        <v>#ERROR!</v>
      </c>
      <c r="CH1169" s="17" t="str">
        <f>ServerSales</f>
        <v>#ERROR!</v>
      </c>
      <c r="CI1169" s="17" t="str">
        <f>ServerSales</f>
        <v>#ERROR!</v>
      </c>
      <c r="CJ1169" s="18" t="str">
        <f>ServerSales</f>
        <v>#ERROR!</v>
      </c>
      <c r="CK1169" s="17" t="str">
        <f>ServerSales</f>
        <v>#ERROR!</v>
      </c>
      <c r="CL1169" s="17" t="str">
        <f>ServerSales</f>
        <v>#ERROR!</v>
      </c>
      <c r="CM1169" s="17" t="str">
        <f>ServerSales</f>
        <v>#ERROR!</v>
      </c>
      <c r="CN1169" s="19" t="str">
        <f>ServerSales</f>
        <v>#ERROR!</v>
      </c>
      <c r="CO1169" s="18" t="str">
        <f>ServerSales</f>
        <v>#ERROR!</v>
      </c>
      <c r="CP1169" s="19" t="str">
        <f>ServerSales</f>
        <v>#ERROR!</v>
      </c>
      <c r="CQ1169" s="17" t="str">
        <f>ServerSales</f>
        <v>#ERROR!</v>
      </c>
      <c r="CR1169" s="17" t="str">
        <f>ServerSales</f>
        <v>#ERROR!</v>
      </c>
      <c r="CS1169" s="17" t="str">
        <f>ServerSales</f>
        <v>#ERROR!</v>
      </c>
      <c r="CT1169" s="18" t="str">
        <f>ServerSales</f>
        <v>#ERROR!</v>
      </c>
      <c r="CU1169" s="17" t="str">
        <f>ServerSales</f>
        <v>#ERROR!</v>
      </c>
      <c r="CV1169" s="17" t="str">
        <f>ServerSales</f>
        <v>#ERROR!</v>
      </c>
      <c r="CW1169" s="17" t="str">
        <f>ServerSales</f>
        <v>#ERROR!</v>
      </c>
      <c r="CX1169" s="17" t="str">
        <f>ServerSales</f>
        <v>#ERROR!</v>
      </c>
      <c r="CY1169" s="18" t="str">
        <f>ServerSales</f>
        <v>#ERROR!</v>
      </c>
      <c r="CZ1169" s="17" t="str">
        <f>ServerSales</f>
        <v>#ERROR!</v>
      </c>
      <c r="DA1169" s="17" t="str">
        <f>ServerSales</f>
        <v>#ERROR!</v>
      </c>
      <c r="DB1169" s="17" t="str">
        <f>ServerSales</f>
        <v>#ERROR!</v>
      </c>
      <c r="DC1169" s="17" t="str">
        <f>ServerSales</f>
        <v>#ERROR!</v>
      </c>
      <c r="DD1169" s="18" t="str">
        <f>ServerSales</f>
        <v>#ERROR!</v>
      </c>
      <c r="DE1169" s="17" t="str">
        <f>ServerSales</f>
        <v>#ERROR!</v>
      </c>
      <c r="DF1169" s="17" t="str">
        <f>ServerSales</f>
        <v>#ERROR!</v>
      </c>
      <c r="DG1169" s="19" t="str">
        <f>ServerSales</f>
        <v>#ERROR!</v>
      </c>
      <c r="DH1169" s="17" t="str">
        <f>ServerSales</f>
        <v>#ERROR!</v>
      </c>
      <c r="DI1169" s="18" t="str">
        <f>ServerSales</f>
        <v>#ERROR!</v>
      </c>
      <c r="DJ1169" s="19" t="str">
        <f>ServerSales</f>
        <v>#ERROR!</v>
      </c>
      <c r="DK1169" s="19" t="str">
        <f>ServerSales</f>
        <v>#ERROR!</v>
      </c>
      <c r="DL1169" s="19" t="str">
        <f>ServerSales</f>
        <v>#ERROR!</v>
      </c>
      <c r="DM1169" s="17" t="str">
        <f>ServerSales</f>
        <v>#ERROR!</v>
      </c>
      <c r="DN1169" s="18" t="str">
        <f>ServerSales</f>
        <v>#ERROR!</v>
      </c>
      <c r="DO1169" s="17" t="str">
        <f>ServerSales</f>
        <v>#ERROR!</v>
      </c>
      <c r="DP1169" s="17" t="str">
        <f>ServerSales</f>
        <v>#ERROR!</v>
      </c>
      <c r="DQ1169" s="17" t="str">
        <f>ServerSales</f>
        <v>#ERROR!</v>
      </c>
      <c r="DR1169" s="17" t="str">
        <f>ServerSales</f>
        <v>#ERROR!</v>
      </c>
      <c r="DS1169" s="18" t="str">
        <f>ServerSales</f>
        <v>#ERROR!</v>
      </c>
      <c r="DT1169" s="17" t="str">
        <f>ServerSales</f>
        <v>#ERROR!</v>
      </c>
      <c r="DU1169" s="17" t="str">
        <f>ServerSales</f>
        <v>#ERROR!</v>
      </c>
      <c r="DV1169" s="17" t="str">
        <f>ServerSales</f>
        <v>#ERROR!</v>
      </c>
      <c r="DW1169" s="17" t="str">
        <f>ServerSales</f>
        <v>#ERROR!</v>
      </c>
      <c r="DX1169" s="18" t="str">
        <f>ServerSales</f>
        <v>#ERROR!</v>
      </c>
      <c r="DY1169" s="17" t="str">
        <f>ServerSales</f>
        <v>#ERROR!</v>
      </c>
      <c r="DZ1169" s="17" t="str">
        <f>ServerSales</f>
        <v>#ERROR!</v>
      </c>
      <c r="EA1169" s="17" t="str">
        <f>ServerSales</f>
        <v>#ERROR!</v>
      </c>
      <c r="EB1169" s="17" t="str">
        <f>ServerSales</f>
        <v>#ERROR!</v>
      </c>
      <c r="EC1169" s="18" t="str">
        <f>ServerSales</f>
        <v>#ERROR!</v>
      </c>
      <c r="ED1169" s="17" t="str">
        <f>ServerSales</f>
        <v>#ERROR!</v>
      </c>
      <c r="EE1169" s="17" t="str">
        <f>ServerSales</f>
        <v>#ERROR!</v>
      </c>
      <c r="EF1169" s="17" t="str">
        <f>ServerSales</f>
        <v>#ERROR!</v>
      </c>
      <c r="EG1169" s="17" t="str">
        <f>ServerSales</f>
        <v>#ERROR!</v>
      </c>
      <c r="EH1169" s="18" t="str">
        <f>ServerSales</f>
        <v>#ERROR!</v>
      </c>
      <c r="EI1169" s="25" t="str">
        <f>ServerSales</f>
        <v>#ERROR!</v>
      </c>
      <c r="EJ1169" s="17" t="str">
        <f>ServerSales</f>
        <v>#ERROR!</v>
      </c>
      <c r="EK1169" s="17" t="str">
        <f>ServerSales</f>
        <v>#ERROR!</v>
      </c>
      <c r="EL1169" s="17" t="str">
        <f>ServerSales</f>
        <v>#ERROR!</v>
      </c>
      <c r="EM1169" s="18" t="str">
        <f>ServerSales</f>
        <v>#ERROR!</v>
      </c>
      <c r="EN1169" s="17" t="str">
        <f>ServerSales</f>
        <v>#ERROR!</v>
      </c>
      <c r="EO1169" s="17" t="str">
        <f>ServerSales</f>
        <v>#ERROR!</v>
      </c>
      <c r="EP1169" s="17" t="str">
        <f>ServerSales</f>
        <v>#ERROR!</v>
      </c>
      <c r="EQ1169" s="17" t="str">
        <f>ServerSales</f>
        <v>#ERROR!</v>
      </c>
      <c r="ER1169" s="18" t="str">
        <f>ServerSales</f>
        <v>#ERROR!</v>
      </c>
      <c r="ES1169" s="17" t="str">
        <f>ServerSales</f>
        <v>#ERROR!</v>
      </c>
      <c r="ET1169" s="17" t="str">
        <f>ServerSales</f>
        <v>#ERROR!</v>
      </c>
      <c r="EU1169" s="17" t="str">
        <f>ServerSales</f>
        <v>#ERROR!</v>
      </c>
      <c r="EV1169" s="17" t="str">
        <f>ServerSales</f>
        <v>#ERROR!</v>
      </c>
      <c r="EW1169" s="18" t="str">
        <f>ServerSales</f>
        <v>#ERROR!</v>
      </c>
      <c r="EX1169" s="17" t="str">
        <f>ServerSales</f>
        <v>#ERROR!</v>
      </c>
      <c r="EY1169" s="17" t="str">
        <f>ServerSales</f>
        <v>#ERROR!</v>
      </c>
      <c r="EZ1169" s="17" t="str">
        <f>ServerSales</f>
        <v>#ERROR!</v>
      </c>
      <c r="FA1169" s="17" t="str">
        <f>ServerSales</f>
        <v>#ERROR!</v>
      </c>
      <c r="FB1169" s="18" t="str">
        <f>ServerSales</f>
        <v>#ERROR!</v>
      </c>
      <c r="FC1169" s="17" t="str">
        <f>ServerSales</f>
        <v>#ERROR!</v>
      </c>
      <c r="FD1169" s="17" t="str">
        <f>ServerSales</f>
        <v>#ERROR!</v>
      </c>
      <c r="FE1169" s="17" t="str">
        <f>ServerSales</f>
        <v>#ERROR!</v>
      </c>
      <c r="FF1169" s="17" t="str">
        <f>ServerSales</f>
        <v>#ERROR!</v>
      </c>
      <c r="FG1169" s="18" t="str">
        <f>ServerSales</f>
        <v>#ERROR!</v>
      </c>
      <c r="FH1169" s="74"/>
      <c r="FI1169" s="17"/>
      <c r="FJ1169" s="17"/>
      <c r="FK1169" s="73"/>
      <c r="FL1169" s="17"/>
    </row>
    <row r="1170" ht="12.75" hidden="1" customHeight="1" outlineLevel="2">
      <c r="A1170" s="4"/>
      <c r="B1170" s="4" t="s">
        <v>440</v>
      </c>
      <c r="C1170" s="4"/>
      <c r="D1170" s="17"/>
      <c r="E1170" s="17"/>
      <c r="F1170" s="17"/>
      <c r="G1170" s="17"/>
      <c r="H1170" s="73"/>
      <c r="I1170" s="17"/>
      <c r="J1170" s="17"/>
      <c r="K1170" s="17"/>
      <c r="L1170" s="17"/>
      <c r="M1170" s="73"/>
      <c r="N1170" s="17"/>
      <c r="O1170" s="17" t="e">
        <v>#REF!</v>
      </c>
      <c r="P1170" s="17" t="e">
        <v>#REF!</v>
      </c>
      <c r="Q1170" s="17" t="e">
        <v>#REF!</v>
      </c>
      <c r="R1170" s="73" t="e">
        <v>#REF!</v>
      </c>
      <c r="S1170" s="17" t="e">
        <v>#REF!</v>
      </c>
      <c r="T1170" s="17" t="e">
        <v>#REF!</v>
      </c>
      <c r="U1170" s="17" t="e">
        <v>#REF!</v>
      </c>
      <c r="V1170" s="17" t="e">
        <v>#REF!</v>
      </c>
      <c r="W1170" s="73" t="e">
        <v>#REF!</v>
      </c>
      <c r="X1170" s="17" t="e">
        <v>#REF!</v>
      </c>
      <c r="Y1170" s="17" t="e">
        <v>#REF!</v>
      </c>
      <c r="Z1170" s="17" t="e">
        <v>#REF!</v>
      </c>
      <c r="AA1170" s="17" t="e">
        <v>#REF!</v>
      </c>
      <c r="AB1170" s="73" t="e">
        <v>#REF!</v>
      </c>
      <c r="AC1170" s="17" t="e">
        <v>#REF!</v>
      </c>
      <c r="AD1170" s="17" t="e">
        <v>#REF!</v>
      </c>
      <c r="AE1170" s="17" t="e">
        <v>#REF!</v>
      </c>
      <c r="AF1170" s="17" t="e">
        <v>#REF!</v>
      </c>
      <c r="AG1170" s="73" t="e">
        <v>#REF!</v>
      </c>
      <c r="AH1170" s="17" t="e">
        <v>#REF!</v>
      </c>
      <c r="AI1170" s="17" t="e">
        <v>#REF!</v>
      </c>
      <c r="AJ1170" s="17" t="e">
        <v>#REF!</v>
      </c>
      <c r="AK1170" s="17" t="e">
        <v>#REF!</v>
      </c>
      <c r="AL1170" s="73" t="e">
        <v>#REF!</v>
      </c>
      <c r="AM1170" s="17" t="e">
        <v>#REF!</v>
      </c>
      <c r="AN1170" s="17" t="e">
        <v>#REF!</v>
      </c>
      <c r="AO1170" s="17" t="e">
        <v>#REF!</v>
      </c>
      <c r="AP1170" s="17" t="e">
        <v>#REF!</v>
      </c>
      <c r="AQ1170" s="73" t="e">
        <v>#REF!</v>
      </c>
      <c r="AR1170" s="17" t="e">
        <v>#REF!</v>
      </c>
      <c r="AS1170" s="17" t="e">
        <v>#REF!</v>
      </c>
      <c r="AT1170" s="17" t="e">
        <v>#REF!</v>
      </c>
      <c r="AU1170" s="17" t="e">
        <v>#REF!</v>
      </c>
      <c r="AV1170" s="73" t="e">
        <v>#REF!</v>
      </c>
      <c r="AW1170" s="17" t="e">
        <v>#REF!</v>
      </c>
      <c r="AX1170" s="17" t="e">
        <v>#REF!</v>
      </c>
      <c r="AY1170" s="17" t="e">
        <v>#REF!</v>
      </c>
      <c r="AZ1170" s="17" t="e">
        <v>#REF!</v>
      </c>
      <c r="BA1170" s="73" t="e">
        <v>#REF!</v>
      </c>
      <c r="BB1170" s="17" t="e">
        <v>#REF!</v>
      </c>
      <c r="BC1170" s="17" t="e">
        <v>#REF!</v>
      </c>
      <c r="BD1170" s="17" t="e">
        <v>#REF!</v>
      </c>
      <c r="BE1170" s="17" t="e">
        <v>#REF!</v>
      </c>
      <c r="BF1170" s="73" t="e">
        <v>#REF!</v>
      </c>
      <c r="BG1170" s="17" t="e">
        <v>#REF!</v>
      </c>
      <c r="BH1170" s="17" t="e">
        <v>#REF!</v>
      </c>
      <c r="BI1170" s="17" t="e">
        <v>#REF!</v>
      </c>
      <c r="BJ1170" s="17" t="e">
        <v>#REF!</v>
      </c>
      <c r="BK1170" s="73" t="e">
        <v>#REF!</v>
      </c>
      <c r="BL1170" s="17" t="e">
        <v>#REF!</v>
      </c>
      <c r="BM1170" s="17" t="e">
        <v>#REF!</v>
      </c>
      <c r="BN1170" s="17" t="e">
        <v>#REF!</v>
      </c>
      <c r="BO1170" s="17" t="e">
        <v>#REF!</v>
      </c>
      <c r="BP1170" s="73" t="e">
        <v>#REF!</v>
      </c>
      <c r="BQ1170" s="17" t="e">
        <v>#REF!</v>
      </c>
      <c r="BR1170" s="17" t="e">
        <v>#REF!</v>
      </c>
      <c r="BS1170" s="17" t="e">
        <v>#REF!</v>
      </c>
      <c r="BT1170" s="17" t="e">
        <v>#REF!</v>
      </c>
      <c r="BU1170" s="73" t="e">
        <v>#REF!</v>
      </c>
      <c r="BV1170" s="17" t="e">
        <v>#REF!</v>
      </c>
      <c r="BW1170" s="17" t="e">
        <v>#REF!</v>
      </c>
      <c r="BX1170" s="17" t="e">
        <v>#REF!</v>
      </c>
      <c r="BY1170" s="17" t="e">
        <v>#REF!</v>
      </c>
      <c r="BZ1170" s="18" t="e">
        <v>#REF!</v>
      </c>
      <c r="CA1170" s="17" t="e">
        <v>#REF!</v>
      </c>
      <c r="CB1170" s="17" t="e">
        <v>#REF!</v>
      </c>
      <c r="CC1170" s="17" t="e">
        <v>#REF!</v>
      </c>
      <c r="CD1170" s="17" t="e">
        <v>#REF!</v>
      </c>
      <c r="CE1170" s="18" t="e">
        <v>#REF!</v>
      </c>
      <c r="CF1170" s="17" t="e">
        <v>#REF!</v>
      </c>
      <c r="CG1170" s="17" t="e">
        <v>#REF!</v>
      </c>
      <c r="CH1170" s="17" t="e">
        <v>#REF!</v>
      </c>
      <c r="CI1170" s="17" t="e">
        <v>#REF!</v>
      </c>
      <c r="CJ1170" s="18" t="e">
        <v>#REF!</v>
      </c>
      <c r="CK1170" s="17" t="e">
        <v>#REF!</v>
      </c>
      <c r="CL1170" s="17" t="e">
        <v>#REF!</v>
      </c>
      <c r="CM1170" s="17" t="e">
        <v>#REF!</v>
      </c>
      <c r="CN1170" s="19" t="e">
        <v>#REF!</v>
      </c>
      <c r="CO1170" s="18" t="e">
        <v>#REF!</v>
      </c>
      <c r="CP1170" s="19" t="e">
        <v>#REF!</v>
      </c>
      <c r="CQ1170" s="17" t="e">
        <v>#REF!</v>
      </c>
      <c r="CR1170" s="17" t="e">
        <v>#REF!</v>
      </c>
      <c r="CS1170" s="17" t="e">
        <v>#REF!</v>
      </c>
      <c r="CT1170" s="18" t="e">
        <v>#REF!</v>
      </c>
      <c r="CU1170" s="17" t="e">
        <v>#REF!</v>
      </c>
      <c r="CV1170" s="17" t="e">
        <v>#REF!</v>
      </c>
      <c r="CW1170" s="17" t="e">
        <v>#REF!</v>
      </c>
      <c r="CX1170" s="17" t="e">
        <v>#REF!</v>
      </c>
      <c r="CY1170" s="18" t="e">
        <v>#REF!</v>
      </c>
      <c r="CZ1170" s="17" t="e">
        <v>#REF!</v>
      </c>
      <c r="DA1170" s="17" t="e">
        <v>#REF!</v>
      </c>
      <c r="DB1170" s="17" t="e">
        <v>#REF!</v>
      </c>
      <c r="DC1170" s="17" t="e">
        <v>#REF!</v>
      </c>
      <c r="DD1170" s="18" t="e">
        <v>#REF!</v>
      </c>
      <c r="DE1170" s="17" t="e">
        <v>#REF!</v>
      </c>
      <c r="DF1170" s="17" t="e">
        <v>#REF!</v>
      </c>
      <c r="DG1170" s="19" t="e">
        <v>#REF!</v>
      </c>
      <c r="DH1170" s="17" t="e">
        <v>#REF!</v>
      </c>
      <c r="DI1170" s="18" t="e">
        <v>#REF!</v>
      </c>
      <c r="DJ1170" s="19" t="e">
        <v>#REF!</v>
      </c>
      <c r="DK1170" s="19" t="e">
        <v>#REF!</v>
      </c>
      <c r="DL1170" s="19" t="e">
        <v>#REF!</v>
      </c>
      <c r="DM1170" s="17" t="e">
        <v>#REF!</v>
      </c>
      <c r="DN1170" s="18" t="e">
        <v>#REF!</v>
      </c>
      <c r="DO1170" s="17" t="e">
        <v>#REF!</v>
      </c>
      <c r="DP1170" s="17" t="e">
        <v>#REF!</v>
      </c>
      <c r="DQ1170" s="17" t="e">
        <v>#REF!</v>
      </c>
      <c r="DR1170" s="17" t="e">
        <v>#REF!</v>
      </c>
      <c r="DS1170" s="18" t="e">
        <v>#REF!</v>
      </c>
      <c r="DT1170" s="17" t="e">
        <v>#REF!</v>
      </c>
      <c r="DU1170" s="17" t="e">
        <v>#REF!</v>
      </c>
      <c r="DV1170" s="17" t="e">
        <v>#REF!</v>
      </c>
      <c r="DW1170" s="17" t="e">
        <v>#REF!</v>
      </c>
      <c r="DX1170" s="18" t="e">
        <v>#REF!</v>
      </c>
      <c r="DY1170" s="17" t="e">
        <v>#REF!</v>
      </c>
      <c r="DZ1170" s="17" t="e">
        <v>#REF!</v>
      </c>
      <c r="EA1170" s="17" t="e">
        <v>#REF!</v>
      </c>
      <c r="EB1170" s="17" t="e">
        <v>#REF!</v>
      </c>
      <c r="EC1170" s="18" t="e">
        <v>#REF!</v>
      </c>
      <c r="ED1170" s="17" t="e">
        <v>#REF!</v>
      </c>
      <c r="EE1170" s="17" t="e">
        <v>#REF!</v>
      </c>
      <c r="EF1170" s="17" t="e">
        <v>#REF!</v>
      </c>
      <c r="EG1170" s="17" t="e">
        <v>#REF!</v>
      </c>
      <c r="EH1170" s="18" t="e">
        <v>#REF!</v>
      </c>
      <c r="EI1170" s="25" t="e">
        <v>#REF!</v>
      </c>
      <c r="EJ1170" s="17" t="e">
        <v>#REF!</v>
      </c>
      <c r="EK1170" s="17" t="e">
        <v>#REF!</v>
      </c>
      <c r="EL1170" s="17" t="e">
        <v>#REF!</v>
      </c>
      <c r="EM1170" s="18" t="e">
        <v>#REF!</v>
      </c>
      <c r="EN1170" s="17" t="e">
        <v>#REF!</v>
      </c>
      <c r="EO1170" s="17" t="e">
        <v>#REF!</v>
      </c>
      <c r="EP1170" s="17" t="e">
        <v>#REF!</v>
      </c>
      <c r="EQ1170" s="17" t="e">
        <v>#REF!</v>
      </c>
      <c r="ER1170" s="18" t="e">
        <v>#REF!</v>
      </c>
      <c r="ES1170" s="17" t="e">
        <v>#REF!</v>
      </c>
      <c r="ET1170" s="17" t="e">
        <v>#REF!</v>
      </c>
      <c r="EU1170" s="17" t="e">
        <v>#REF!</v>
      </c>
      <c r="EV1170" s="17" t="e">
        <v>#REF!</v>
      </c>
      <c r="EW1170" s="18" t="e">
        <v>#REF!</v>
      </c>
      <c r="EX1170" s="17" t="e">
        <v>#REF!</v>
      </c>
      <c r="EY1170" s="17" t="e">
        <v>#REF!</v>
      </c>
      <c r="EZ1170" s="17" t="e">
        <v>#REF!</v>
      </c>
      <c r="FA1170" s="17" t="e">
        <v>#REF!</v>
      </c>
      <c r="FB1170" s="18" t="e">
        <v>#REF!</v>
      </c>
      <c r="FC1170" s="17" t="e">
        <v>#REF!</v>
      </c>
      <c r="FD1170" s="17" t="e">
        <v>#REF!</v>
      </c>
      <c r="FE1170" s="17" t="e">
        <v>#REF!</v>
      </c>
      <c r="FF1170" s="17" t="e">
        <v>#REF!</v>
      </c>
      <c r="FG1170" s="18" t="e">
        <v>#REF!</v>
      </c>
      <c r="FH1170" s="74"/>
      <c r="FI1170" s="17"/>
      <c r="FJ1170" s="17"/>
      <c r="FK1170" s="73"/>
      <c r="FL1170" s="17"/>
    </row>
    <row r="1171" ht="13.5" hidden="1" customHeight="1" outlineLevel="2">
      <c r="A1171" s="4"/>
      <c r="B1171" s="529" t="s">
        <v>291</v>
      </c>
      <c r="C1171" s="529"/>
      <c r="D1171" s="164"/>
      <c r="E1171" s="164"/>
      <c r="F1171" s="164"/>
      <c r="G1171" s="164"/>
      <c r="H1171" s="166"/>
      <c r="I1171" s="164"/>
      <c r="J1171" s="164"/>
      <c r="K1171" s="164"/>
      <c r="L1171" s="164"/>
      <c r="M1171" s="166"/>
      <c r="N1171" s="164"/>
      <c r="O1171" s="164" t="str">
        <f t="shared" ref="O1171:FG1171" si="5545">SUM(O1169,O1170)</f>
        <v>#ERROR!</v>
      </c>
      <c r="P1171" s="164" t="str">
        <f t="shared" si="5545"/>
        <v>#ERROR!</v>
      </c>
      <c r="Q1171" s="164" t="str">
        <f t="shared" si="5545"/>
        <v>#ERROR!</v>
      </c>
      <c r="R1171" s="166" t="str">
        <f t="shared" si="5545"/>
        <v>#ERROR!</v>
      </c>
      <c r="S1171" s="164" t="str">
        <f t="shared" si="5545"/>
        <v>#ERROR!</v>
      </c>
      <c r="T1171" s="164" t="str">
        <f t="shared" si="5545"/>
        <v>#ERROR!</v>
      </c>
      <c r="U1171" s="164" t="str">
        <f t="shared" si="5545"/>
        <v>#ERROR!</v>
      </c>
      <c r="V1171" s="164" t="str">
        <f t="shared" si="5545"/>
        <v>#ERROR!</v>
      </c>
      <c r="W1171" s="166" t="str">
        <f t="shared" si="5545"/>
        <v>#ERROR!</v>
      </c>
      <c r="X1171" s="164" t="str">
        <f t="shared" si="5545"/>
        <v>#ERROR!</v>
      </c>
      <c r="Y1171" s="164" t="str">
        <f t="shared" si="5545"/>
        <v>#ERROR!</v>
      </c>
      <c r="Z1171" s="164" t="str">
        <f t="shared" si="5545"/>
        <v>#ERROR!</v>
      </c>
      <c r="AA1171" s="164" t="str">
        <f t="shared" si="5545"/>
        <v>#ERROR!</v>
      </c>
      <c r="AB1171" s="166" t="str">
        <f t="shared" si="5545"/>
        <v>#ERROR!</v>
      </c>
      <c r="AC1171" s="164" t="str">
        <f t="shared" si="5545"/>
        <v>#ERROR!</v>
      </c>
      <c r="AD1171" s="164" t="str">
        <f t="shared" si="5545"/>
        <v>#ERROR!</v>
      </c>
      <c r="AE1171" s="164" t="str">
        <f t="shared" si="5545"/>
        <v>#ERROR!</v>
      </c>
      <c r="AF1171" s="164" t="str">
        <f t="shared" si="5545"/>
        <v>#ERROR!</v>
      </c>
      <c r="AG1171" s="166" t="str">
        <f t="shared" si="5545"/>
        <v>#ERROR!</v>
      </c>
      <c r="AH1171" s="164" t="str">
        <f t="shared" si="5545"/>
        <v>#ERROR!</v>
      </c>
      <c r="AI1171" s="164" t="str">
        <f t="shared" si="5545"/>
        <v>#ERROR!</v>
      </c>
      <c r="AJ1171" s="164" t="str">
        <f t="shared" si="5545"/>
        <v>#ERROR!</v>
      </c>
      <c r="AK1171" s="164" t="str">
        <f t="shared" si="5545"/>
        <v>#ERROR!</v>
      </c>
      <c r="AL1171" s="166" t="str">
        <f t="shared" si="5545"/>
        <v>#ERROR!</v>
      </c>
      <c r="AM1171" s="164" t="str">
        <f t="shared" si="5545"/>
        <v>#ERROR!</v>
      </c>
      <c r="AN1171" s="164" t="str">
        <f t="shared" si="5545"/>
        <v>#ERROR!</v>
      </c>
      <c r="AO1171" s="164" t="str">
        <f t="shared" si="5545"/>
        <v>#ERROR!</v>
      </c>
      <c r="AP1171" s="164" t="str">
        <f t="shared" si="5545"/>
        <v>#ERROR!</v>
      </c>
      <c r="AQ1171" s="166" t="str">
        <f t="shared" si="5545"/>
        <v>#ERROR!</v>
      </c>
      <c r="AR1171" s="164" t="str">
        <f t="shared" si="5545"/>
        <v>#ERROR!</v>
      </c>
      <c r="AS1171" s="164" t="str">
        <f t="shared" si="5545"/>
        <v>#ERROR!</v>
      </c>
      <c r="AT1171" s="164" t="str">
        <f t="shared" si="5545"/>
        <v>#ERROR!</v>
      </c>
      <c r="AU1171" s="164" t="str">
        <f t="shared" si="5545"/>
        <v>#ERROR!</v>
      </c>
      <c r="AV1171" s="166" t="str">
        <f t="shared" si="5545"/>
        <v>#ERROR!</v>
      </c>
      <c r="AW1171" s="164" t="str">
        <f t="shared" si="5545"/>
        <v>#ERROR!</v>
      </c>
      <c r="AX1171" s="164" t="str">
        <f t="shared" si="5545"/>
        <v>#ERROR!</v>
      </c>
      <c r="AY1171" s="164" t="str">
        <f t="shared" si="5545"/>
        <v>#ERROR!</v>
      </c>
      <c r="AZ1171" s="164" t="str">
        <f t="shared" si="5545"/>
        <v>#ERROR!</v>
      </c>
      <c r="BA1171" s="166" t="str">
        <f t="shared" si="5545"/>
        <v>#ERROR!</v>
      </c>
      <c r="BB1171" s="164" t="str">
        <f t="shared" si="5545"/>
        <v>#ERROR!</v>
      </c>
      <c r="BC1171" s="164" t="str">
        <f t="shared" si="5545"/>
        <v>#ERROR!</v>
      </c>
      <c r="BD1171" s="164" t="str">
        <f t="shared" si="5545"/>
        <v>#ERROR!</v>
      </c>
      <c r="BE1171" s="164" t="str">
        <f t="shared" si="5545"/>
        <v>#ERROR!</v>
      </c>
      <c r="BF1171" s="166" t="str">
        <f t="shared" si="5545"/>
        <v>#ERROR!</v>
      </c>
      <c r="BG1171" s="164" t="str">
        <f t="shared" si="5545"/>
        <v>#ERROR!</v>
      </c>
      <c r="BH1171" s="164" t="str">
        <f t="shared" si="5545"/>
        <v>#ERROR!</v>
      </c>
      <c r="BI1171" s="164" t="str">
        <f t="shared" si="5545"/>
        <v>#ERROR!</v>
      </c>
      <c r="BJ1171" s="164" t="str">
        <f t="shared" si="5545"/>
        <v>#ERROR!</v>
      </c>
      <c r="BK1171" s="166" t="str">
        <f t="shared" si="5545"/>
        <v>#ERROR!</v>
      </c>
      <c r="BL1171" s="164" t="str">
        <f t="shared" si="5545"/>
        <v>#ERROR!</v>
      </c>
      <c r="BM1171" s="164" t="str">
        <f t="shared" si="5545"/>
        <v>#ERROR!</v>
      </c>
      <c r="BN1171" s="164" t="str">
        <f t="shared" si="5545"/>
        <v>#ERROR!</v>
      </c>
      <c r="BO1171" s="164" t="str">
        <f t="shared" si="5545"/>
        <v>#ERROR!</v>
      </c>
      <c r="BP1171" s="166" t="str">
        <f t="shared" si="5545"/>
        <v>#ERROR!</v>
      </c>
      <c r="BQ1171" s="164" t="str">
        <f t="shared" si="5545"/>
        <v>#ERROR!</v>
      </c>
      <c r="BR1171" s="164" t="str">
        <f t="shared" si="5545"/>
        <v>#ERROR!</v>
      </c>
      <c r="BS1171" s="164" t="str">
        <f t="shared" si="5545"/>
        <v>#ERROR!</v>
      </c>
      <c r="BT1171" s="164" t="str">
        <f t="shared" si="5545"/>
        <v>#ERROR!</v>
      </c>
      <c r="BU1171" s="166" t="str">
        <f t="shared" si="5545"/>
        <v>#ERROR!</v>
      </c>
      <c r="BV1171" s="164" t="str">
        <f t="shared" si="5545"/>
        <v>#ERROR!</v>
      </c>
      <c r="BW1171" s="164" t="str">
        <f t="shared" si="5545"/>
        <v>#ERROR!</v>
      </c>
      <c r="BX1171" s="164" t="str">
        <f t="shared" si="5545"/>
        <v>#ERROR!</v>
      </c>
      <c r="BY1171" s="164" t="str">
        <f t="shared" si="5545"/>
        <v>#ERROR!</v>
      </c>
      <c r="BZ1171" s="168" t="str">
        <f t="shared" si="5545"/>
        <v>#ERROR!</v>
      </c>
      <c r="CA1171" s="164" t="str">
        <f t="shared" si="5545"/>
        <v>#ERROR!</v>
      </c>
      <c r="CB1171" s="164" t="str">
        <f t="shared" si="5545"/>
        <v>#ERROR!</v>
      </c>
      <c r="CC1171" s="164" t="str">
        <f t="shared" si="5545"/>
        <v>#ERROR!</v>
      </c>
      <c r="CD1171" s="164" t="str">
        <f t="shared" si="5545"/>
        <v>#ERROR!</v>
      </c>
      <c r="CE1171" s="168" t="str">
        <f t="shared" si="5545"/>
        <v>#ERROR!</v>
      </c>
      <c r="CF1171" s="164" t="str">
        <f t="shared" si="5545"/>
        <v>#ERROR!</v>
      </c>
      <c r="CG1171" s="164" t="str">
        <f t="shared" si="5545"/>
        <v>#ERROR!</v>
      </c>
      <c r="CH1171" s="164" t="str">
        <f t="shared" si="5545"/>
        <v>#ERROR!</v>
      </c>
      <c r="CI1171" s="164" t="str">
        <f t="shared" si="5545"/>
        <v>#ERROR!</v>
      </c>
      <c r="CJ1171" s="168" t="str">
        <f t="shared" si="5545"/>
        <v>#ERROR!</v>
      </c>
      <c r="CK1171" s="164" t="str">
        <f t="shared" si="5545"/>
        <v>#ERROR!</v>
      </c>
      <c r="CL1171" s="164" t="str">
        <f t="shared" si="5545"/>
        <v>#ERROR!</v>
      </c>
      <c r="CM1171" s="164" t="str">
        <f t="shared" si="5545"/>
        <v>#ERROR!</v>
      </c>
      <c r="CN1171" s="583" t="str">
        <f t="shared" si="5545"/>
        <v>#ERROR!</v>
      </c>
      <c r="CO1171" s="168" t="str">
        <f t="shared" si="5545"/>
        <v>#ERROR!</v>
      </c>
      <c r="CP1171" s="583" t="str">
        <f t="shared" si="5545"/>
        <v>#ERROR!</v>
      </c>
      <c r="CQ1171" s="164" t="str">
        <f t="shared" si="5545"/>
        <v>#ERROR!</v>
      </c>
      <c r="CR1171" s="164" t="str">
        <f t="shared" si="5545"/>
        <v>#ERROR!</v>
      </c>
      <c r="CS1171" s="164" t="str">
        <f t="shared" si="5545"/>
        <v>#ERROR!</v>
      </c>
      <c r="CT1171" s="168" t="str">
        <f t="shared" si="5545"/>
        <v>#ERROR!</v>
      </c>
      <c r="CU1171" s="164" t="str">
        <f t="shared" si="5545"/>
        <v>#ERROR!</v>
      </c>
      <c r="CV1171" s="164" t="str">
        <f t="shared" si="5545"/>
        <v>#ERROR!</v>
      </c>
      <c r="CW1171" s="164" t="str">
        <f t="shared" si="5545"/>
        <v>#ERROR!</v>
      </c>
      <c r="CX1171" s="164" t="str">
        <f t="shared" si="5545"/>
        <v>#ERROR!</v>
      </c>
      <c r="CY1171" s="168" t="str">
        <f t="shared" si="5545"/>
        <v>#ERROR!</v>
      </c>
      <c r="CZ1171" s="164" t="str">
        <f t="shared" si="5545"/>
        <v>#ERROR!</v>
      </c>
      <c r="DA1171" s="164" t="str">
        <f t="shared" si="5545"/>
        <v>#ERROR!</v>
      </c>
      <c r="DB1171" s="164" t="str">
        <f t="shared" si="5545"/>
        <v>#ERROR!</v>
      </c>
      <c r="DC1171" s="164" t="str">
        <f t="shared" si="5545"/>
        <v>#ERROR!</v>
      </c>
      <c r="DD1171" s="168" t="str">
        <f t="shared" si="5545"/>
        <v>#ERROR!</v>
      </c>
      <c r="DE1171" s="164" t="str">
        <f t="shared" si="5545"/>
        <v>#ERROR!</v>
      </c>
      <c r="DF1171" s="164" t="str">
        <f t="shared" si="5545"/>
        <v>#ERROR!</v>
      </c>
      <c r="DG1171" s="146" t="str">
        <f t="shared" si="5545"/>
        <v>#ERROR!</v>
      </c>
      <c r="DH1171" s="164" t="str">
        <f t="shared" si="5545"/>
        <v>#ERROR!</v>
      </c>
      <c r="DI1171" s="168" t="str">
        <f t="shared" si="5545"/>
        <v>#ERROR!</v>
      </c>
      <c r="DJ1171" s="583" t="str">
        <f t="shared" si="5545"/>
        <v>#ERROR!</v>
      </c>
      <c r="DK1171" s="583" t="str">
        <f t="shared" si="5545"/>
        <v>#ERROR!</v>
      </c>
      <c r="DL1171" s="583" t="str">
        <f t="shared" si="5545"/>
        <v>#ERROR!</v>
      </c>
      <c r="DM1171" s="164" t="str">
        <f t="shared" si="5545"/>
        <v>#ERROR!</v>
      </c>
      <c r="DN1171" s="168" t="str">
        <f t="shared" si="5545"/>
        <v>#ERROR!</v>
      </c>
      <c r="DO1171" s="164" t="str">
        <f t="shared" si="5545"/>
        <v>#ERROR!</v>
      </c>
      <c r="DP1171" s="164" t="str">
        <f t="shared" si="5545"/>
        <v>#ERROR!</v>
      </c>
      <c r="DQ1171" s="164" t="str">
        <f t="shared" si="5545"/>
        <v>#ERROR!</v>
      </c>
      <c r="DR1171" s="164" t="str">
        <f t="shared" si="5545"/>
        <v>#ERROR!</v>
      </c>
      <c r="DS1171" s="168" t="str">
        <f t="shared" si="5545"/>
        <v>#ERROR!</v>
      </c>
      <c r="DT1171" s="164" t="str">
        <f t="shared" si="5545"/>
        <v>#ERROR!</v>
      </c>
      <c r="DU1171" s="164" t="str">
        <f t="shared" si="5545"/>
        <v>#ERROR!</v>
      </c>
      <c r="DV1171" s="164" t="str">
        <f t="shared" si="5545"/>
        <v>#ERROR!</v>
      </c>
      <c r="DW1171" s="164" t="str">
        <f t="shared" si="5545"/>
        <v>#ERROR!</v>
      </c>
      <c r="DX1171" s="168" t="str">
        <f t="shared" si="5545"/>
        <v>#ERROR!</v>
      </c>
      <c r="DY1171" s="164" t="str">
        <f t="shared" si="5545"/>
        <v>#ERROR!</v>
      </c>
      <c r="DZ1171" s="164" t="str">
        <f t="shared" si="5545"/>
        <v>#ERROR!</v>
      </c>
      <c r="EA1171" s="164" t="str">
        <f t="shared" si="5545"/>
        <v>#ERROR!</v>
      </c>
      <c r="EB1171" s="164" t="str">
        <f t="shared" si="5545"/>
        <v>#ERROR!</v>
      </c>
      <c r="EC1171" s="168" t="str">
        <f t="shared" si="5545"/>
        <v>#ERROR!</v>
      </c>
      <c r="ED1171" s="164" t="str">
        <f t="shared" si="5545"/>
        <v>#ERROR!</v>
      </c>
      <c r="EE1171" s="164" t="str">
        <f t="shared" si="5545"/>
        <v>#ERROR!</v>
      </c>
      <c r="EF1171" s="164" t="str">
        <f t="shared" si="5545"/>
        <v>#ERROR!</v>
      </c>
      <c r="EG1171" s="164" t="str">
        <f t="shared" si="5545"/>
        <v>#ERROR!</v>
      </c>
      <c r="EH1171" s="168" t="str">
        <f t="shared" si="5545"/>
        <v>#ERROR!</v>
      </c>
      <c r="EI1171" s="584" t="str">
        <f t="shared" si="5545"/>
        <v>#ERROR!</v>
      </c>
      <c r="EJ1171" s="164" t="str">
        <f t="shared" si="5545"/>
        <v>#ERROR!</v>
      </c>
      <c r="EK1171" s="164" t="str">
        <f t="shared" si="5545"/>
        <v>#ERROR!</v>
      </c>
      <c r="EL1171" s="164" t="str">
        <f t="shared" si="5545"/>
        <v>#ERROR!</v>
      </c>
      <c r="EM1171" s="168" t="str">
        <f t="shared" si="5545"/>
        <v>#ERROR!</v>
      </c>
      <c r="EN1171" s="164" t="str">
        <f t="shared" si="5545"/>
        <v>#ERROR!</v>
      </c>
      <c r="EO1171" s="164" t="str">
        <f t="shared" si="5545"/>
        <v>#ERROR!</v>
      </c>
      <c r="EP1171" s="164" t="str">
        <f t="shared" si="5545"/>
        <v>#ERROR!</v>
      </c>
      <c r="EQ1171" s="164" t="str">
        <f t="shared" si="5545"/>
        <v>#ERROR!</v>
      </c>
      <c r="ER1171" s="168" t="str">
        <f t="shared" si="5545"/>
        <v>#ERROR!</v>
      </c>
      <c r="ES1171" s="164" t="str">
        <f t="shared" si="5545"/>
        <v>#ERROR!</v>
      </c>
      <c r="ET1171" s="164" t="str">
        <f t="shared" si="5545"/>
        <v>#ERROR!</v>
      </c>
      <c r="EU1171" s="164" t="str">
        <f t="shared" si="5545"/>
        <v>#ERROR!</v>
      </c>
      <c r="EV1171" s="164" t="str">
        <f t="shared" si="5545"/>
        <v>#ERROR!</v>
      </c>
      <c r="EW1171" s="168" t="str">
        <f t="shared" si="5545"/>
        <v>#ERROR!</v>
      </c>
      <c r="EX1171" s="164" t="str">
        <f t="shared" si="5545"/>
        <v>#ERROR!</v>
      </c>
      <c r="EY1171" s="164" t="str">
        <f t="shared" si="5545"/>
        <v>#ERROR!</v>
      </c>
      <c r="EZ1171" s="164" t="str">
        <f t="shared" si="5545"/>
        <v>#ERROR!</v>
      </c>
      <c r="FA1171" s="164" t="str">
        <f t="shared" si="5545"/>
        <v>#ERROR!</v>
      </c>
      <c r="FB1171" s="168" t="str">
        <f t="shared" si="5545"/>
        <v>#ERROR!</v>
      </c>
      <c r="FC1171" s="164" t="str">
        <f t="shared" si="5545"/>
        <v>#ERROR!</v>
      </c>
      <c r="FD1171" s="164" t="str">
        <f t="shared" si="5545"/>
        <v>#ERROR!</v>
      </c>
      <c r="FE1171" s="164" t="str">
        <f t="shared" si="5545"/>
        <v>#ERROR!</v>
      </c>
      <c r="FF1171" s="164" t="str">
        <f t="shared" si="5545"/>
        <v>#ERROR!</v>
      </c>
      <c r="FG1171" s="168" t="str">
        <f t="shared" si="5545"/>
        <v>#ERROR!</v>
      </c>
      <c r="FH1171" s="167"/>
      <c r="FI1171" s="164"/>
      <c r="FJ1171" s="164"/>
      <c r="FK1171" s="166"/>
      <c r="FL1171" s="164"/>
    </row>
    <row r="1172" ht="12.75" hidden="1" customHeight="1" outlineLevel="2">
      <c r="A1172" s="4"/>
      <c r="B1172" s="4"/>
      <c r="C1172" s="4"/>
      <c r="D1172" s="4"/>
      <c r="E1172" s="4"/>
      <c r="F1172" s="4"/>
      <c r="G1172" s="4"/>
      <c r="H1172" s="45"/>
      <c r="I1172" s="4"/>
      <c r="J1172" s="4"/>
      <c r="K1172" s="4"/>
      <c r="L1172" s="4"/>
      <c r="M1172" s="45"/>
      <c r="N1172" s="4"/>
      <c r="O1172" s="4"/>
      <c r="P1172" s="4"/>
      <c r="Q1172" s="4"/>
      <c r="R1172" s="45"/>
      <c r="S1172" s="4"/>
      <c r="T1172" s="4"/>
      <c r="U1172" s="4"/>
      <c r="V1172" s="4"/>
      <c r="W1172" s="45"/>
      <c r="X1172" s="4"/>
      <c r="Y1172" s="4"/>
      <c r="Z1172" s="4"/>
      <c r="AA1172" s="4"/>
      <c r="AB1172" s="45"/>
      <c r="AC1172" s="4"/>
      <c r="AD1172" s="4"/>
      <c r="AE1172" s="4"/>
      <c r="AF1172" s="4"/>
      <c r="AG1172" s="45"/>
      <c r="AH1172" s="4"/>
      <c r="AI1172" s="4"/>
      <c r="AJ1172" s="4"/>
      <c r="AK1172" s="4"/>
      <c r="AL1172" s="45"/>
      <c r="AM1172" s="4"/>
      <c r="AN1172" s="4"/>
      <c r="AO1172" s="4"/>
      <c r="AP1172" s="4"/>
      <c r="AQ1172" s="45"/>
      <c r="AR1172" s="4"/>
      <c r="AS1172" s="4"/>
      <c r="AT1172" s="4"/>
      <c r="AU1172" s="4"/>
      <c r="AV1172" s="45"/>
      <c r="AW1172" s="4"/>
      <c r="AX1172" s="4"/>
      <c r="AY1172" s="4"/>
      <c r="AZ1172" s="4"/>
      <c r="BA1172" s="45"/>
      <c r="BB1172" s="4"/>
      <c r="BC1172" s="4"/>
      <c r="BD1172" s="4"/>
      <c r="BE1172" s="4"/>
      <c r="BF1172" s="45"/>
      <c r="BG1172" s="4"/>
      <c r="BH1172" s="4"/>
      <c r="BI1172" s="4"/>
      <c r="BJ1172" s="4"/>
      <c r="BK1172" s="45"/>
      <c r="BL1172" s="4"/>
      <c r="BM1172" s="4"/>
      <c r="BN1172" s="4"/>
      <c r="BO1172" s="4"/>
      <c r="BP1172" s="45"/>
      <c r="BQ1172" s="4"/>
      <c r="BR1172" s="4"/>
      <c r="BS1172" s="4"/>
      <c r="BT1172" s="4"/>
      <c r="BU1172" s="45"/>
      <c r="BV1172" s="4"/>
      <c r="BW1172" s="4"/>
      <c r="BX1172" s="4"/>
      <c r="BY1172" s="4"/>
      <c r="BZ1172" s="350"/>
      <c r="CA1172" s="4"/>
      <c r="CB1172" s="4"/>
      <c r="CC1172" s="4"/>
      <c r="CD1172" s="4"/>
      <c r="CE1172" s="350"/>
      <c r="CF1172" s="4"/>
      <c r="CG1172" s="4"/>
      <c r="CH1172" s="4"/>
      <c r="CI1172" s="4"/>
      <c r="CJ1172" s="350"/>
      <c r="CK1172" s="4"/>
      <c r="CL1172" s="4"/>
      <c r="CM1172" s="4"/>
      <c r="CN1172" s="16"/>
      <c r="CO1172" s="350"/>
      <c r="CP1172" s="16"/>
      <c r="CQ1172" s="4"/>
      <c r="CR1172" s="4"/>
      <c r="CS1172" s="4"/>
      <c r="CT1172" s="350"/>
      <c r="CU1172" s="4"/>
      <c r="CV1172" s="4"/>
      <c r="CW1172" s="4"/>
      <c r="CX1172" s="4"/>
      <c r="CY1172" s="350"/>
      <c r="CZ1172" s="4"/>
      <c r="DA1172" s="4"/>
      <c r="DB1172" s="4"/>
      <c r="DC1172" s="4"/>
      <c r="DD1172" s="350"/>
      <c r="DE1172" s="4"/>
      <c r="DF1172" s="4"/>
      <c r="DG1172" s="16"/>
      <c r="DH1172" s="4"/>
      <c r="DI1172" s="350"/>
      <c r="DJ1172" s="16"/>
      <c r="DK1172" s="16"/>
      <c r="DL1172" s="16"/>
      <c r="DM1172" s="4"/>
      <c r="DN1172" s="350"/>
      <c r="DO1172" s="4"/>
      <c r="DP1172" s="4"/>
      <c r="DQ1172" s="4"/>
      <c r="DR1172" s="4"/>
      <c r="DS1172" s="350"/>
      <c r="DT1172" s="4"/>
      <c r="DU1172" s="4"/>
      <c r="DV1172" s="4"/>
      <c r="DW1172" s="4"/>
      <c r="DX1172" s="350"/>
      <c r="DY1172" s="4"/>
      <c r="DZ1172" s="4"/>
      <c r="EA1172" s="4"/>
      <c r="EB1172" s="4"/>
      <c r="EC1172" s="350"/>
      <c r="ED1172" s="4"/>
      <c r="EE1172" s="4"/>
      <c r="EF1172" s="4"/>
      <c r="EG1172" s="4"/>
      <c r="EH1172" s="350"/>
      <c r="EI1172" s="214"/>
      <c r="EJ1172" s="4"/>
      <c r="EK1172" s="4"/>
      <c r="EL1172" s="4"/>
      <c r="EM1172" s="350"/>
      <c r="EN1172" s="4"/>
      <c r="EO1172" s="4"/>
      <c r="EP1172" s="4"/>
      <c r="EQ1172" s="4"/>
      <c r="ER1172" s="350"/>
      <c r="ES1172" s="4"/>
      <c r="ET1172" s="4"/>
      <c r="EU1172" s="4"/>
      <c r="EV1172" s="4"/>
      <c r="EW1172" s="350"/>
      <c r="EX1172" s="4"/>
      <c r="EY1172" s="4"/>
      <c r="EZ1172" s="4"/>
      <c r="FA1172" s="4"/>
      <c r="FB1172" s="350"/>
      <c r="FC1172" s="4"/>
      <c r="FD1172" s="4"/>
      <c r="FE1172" s="4"/>
      <c r="FF1172" s="4"/>
      <c r="FG1172" s="350"/>
      <c r="FH1172" s="145"/>
      <c r="FI1172" s="4"/>
      <c r="FJ1172" s="4"/>
      <c r="FK1172" s="45"/>
      <c r="FL1172" s="4"/>
    </row>
    <row r="1173" ht="12.75" hidden="1" customHeight="1" outlineLevel="2">
      <c r="A1173" s="4"/>
      <c r="B1173" s="45" t="s">
        <v>435</v>
      </c>
      <c r="C1173" s="4"/>
      <c r="D1173" s="4"/>
      <c r="E1173" s="4"/>
      <c r="F1173" s="4"/>
      <c r="G1173" s="4"/>
      <c r="H1173" s="45"/>
      <c r="I1173" s="4"/>
      <c r="J1173" s="4"/>
      <c r="K1173" s="4"/>
      <c r="L1173" s="4"/>
      <c r="M1173" s="45"/>
      <c r="N1173" s="4"/>
      <c r="O1173" s="4"/>
      <c r="P1173" s="4"/>
      <c r="Q1173" s="4"/>
      <c r="R1173" s="45"/>
      <c r="S1173" s="4"/>
      <c r="T1173" s="4"/>
      <c r="U1173" s="4"/>
      <c r="V1173" s="4"/>
      <c r="W1173" s="45"/>
      <c r="X1173" s="4"/>
      <c r="Y1173" s="4"/>
      <c r="Z1173" s="4"/>
      <c r="AA1173" s="4"/>
      <c r="AB1173" s="45"/>
      <c r="AC1173" s="4"/>
      <c r="AD1173" s="4"/>
      <c r="AE1173" s="4"/>
      <c r="AF1173" s="4"/>
      <c r="AG1173" s="45"/>
      <c r="AH1173" s="4"/>
      <c r="AI1173" s="4"/>
      <c r="AJ1173" s="4"/>
      <c r="AK1173" s="4"/>
      <c r="AL1173" s="45"/>
      <c r="AM1173" s="4"/>
      <c r="AN1173" s="4"/>
      <c r="AO1173" s="4"/>
      <c r="AP1173" s="4"/>
      <c r="AQ1173" s="45"/>
      <c r="AR1173" s="4"/>
      <c r="AS1173" s="4"/>
      <c r="AT1173" s="4"/>
      <c r="AU1173" s="4"/>
      <c r="AV1173" s="45"/>
      <c r="AW1173" s="4"/>
      <c r="AX1173" s="4"/>
      <c r="AY1173" s="4"/>
      <c r="AZ1173" s="4"/>
      <c r="BA1173" s="45"/>
      <c r="BB1173" s="4"/>
      <c r="BC1173" s="4"/>
      <c r="BD1173" s="4"/>
      <c r="BE1173" s="4"/>
      <c r="BF1173" s="45"/>
      <c r="BG1173" s="4"/>
      <c r="BH1173" s="4"/>
      <c r="BI1173" s="4"/>
      <c r="BJ1173" s="4"/>
      <c r="BK1173" s="45"/>
      <c r="BL1173" s="4"/>
      <c r="BM1173" s="4"/>
      <c r="BN1173" s="4"/>
      <c r="BO1173" s="4"/>
      <c r="BP1173" s="45"/>
      <c r="BQ1173" s="4"/>
      <c r="BR1173" s="4"/>
      <c r="BS1173" s="4"/>
      <c r="BT1173" s="4"/>
      <c r="BU1173" s="45"/>
      <c r="BV1173" s="4"/>
      <c r="BW1173" s="4"/>
      <c r="BX1173" s="4"/>
      <c r="BY1173" s="4"/>
      <c r="BZ1173" s="350"/>
      <c r="CA1173" s="4"/>
      <c r="CB1173" s="4"/>
      <c r="CC1173" s="4"/>
      <c r="CD1173" s="4"/>
      <c r="CE1173" s="350"/>
      <c r="CF1173" s="4"/>
      <c r="CG1173" s="4"/>
      <c r="CH1173" s="4"/>
      <c r="CI1173" s="4"/>
      <c r="CJ1173" s="350"/>
      <c r="CK1173" s="4"/>
      <c r="CL1173" s="4"/>
      <c r="CM1173" s="4"/>
      <c r="CN1173" s="16"/>
      <c r="CO1173" s="350"/>
      <c r="CP1173" s="16"/>
      <c r="CQ1173" s="4"/>
      <c r="CR1173" s="4"/>
      <c r="CS1173" s="4"/>
      <c r="CT1173" s="350"/>
      <c r="CU1173" s="4"/>
      <c r="CV1173" s="4"/>
      <c r="CW1173" s="4"/>
      <c r="CX1173" s="4"/>
      <c r="CY1173" s="350"/>
      <c r="CZ1173" s="4"/>
      <c r="DA1173" s="4"/>
      <c r="DB1173" s="4"/>
      <c r="DC1173" s="4"/>
      <c r="DD1173" s="350"/>
      <c r="DE1173" s="4"/>
      <c r="DF1173" s="4"/>
      <c r="DG1173" s="16"/>
      <c r="DH1173" s="4"/>
      <c r="DI1173" s="350"/>
      <c r="DJ1173" s="16"/>
      <c r="DK1173" s="16"/>
      <c r="DL1173" s="16"/>
      <c r="DM1173" s="4"/>
      <c r="DN1173" s="350"/>
      <c r="DO1173" s="4"/>
      <c r="DP1173" s="4"/>
      <c r="DQ1173" s="4"/>
      <c r="DR1173" s="4"/>
      <c r="DS1173" s="350"/>
      <c r="DT1173" s="4"/>
      <c r="DU1173" s="4"/>
      <c r="DV1173" s="4"/>
      <c r="DW1173" s="4"/>
      <c r="DX1173" s="350"/>
      <c r="DY1173" s="4"/>
      <c r="DZ1173" s="4"/>
      <c r="EA1173" s="4"/>
      <c r="EB1173" s="4"/>
      <c r="EC1173" s="350"/>
      <c r="ED1173" s="4"/>
      <c r="EE1173" s="4"/>
      <c r="EF1173" s="4"/>
      <c r="EG1173" s="4"/>
      <c r="EH1173" s="350"/>
      <c r="EI1173" s="214"/>
      <c r="EJ1173" s="4"/>
      <c r="EK1173" s="4"/>
      <c r="EL1173" s="4"/>
      <c r="EM1173" s="350"/>
      <c r="EN1173" s="4"/>
      <c r="EO1173" s="4"/>
      <c r="EP1173" s="4"/>
      <c r="EQ1173" s="4"/>
      <c r="ER1173" s="350"/>
      <c r="ES1173" s="4"/>
      <c r="ET1173" s="4"/>
      <c r="EU1173" s="4"/>
      <c r="EV1173" s="4"/>
      <c r="EW1173" s="350"/>
      <c r="EX1173" s="4"/>
      <c r="EY1173" s="4"/>
      <c r="EZ1173" s="4"/>
      <c r="FA1173" s="4"/>
      <c r="FB1173" s="350"/>
      <c r="FC1173" s="4"/>
      <c r="FD1173" s="4"/>
      <c r="FE1173" s="4"/>
      <c r="FF1173" s="4"/>
      <c r="FG1173" s="350"/>
      <c r="FH1173" s="145"/>
      <c r="FI1173" s="4"/>
      <c r="FJ1173" s="4"/>
      <c r="FK1173" s="45"/>
      <c r="FL1173" s="4"/>
    </row>
    <row r="1174" ht="12.75" hidden="1" customHeight="1" outlineLevel="2">
      <c r="A1174" s="4"/>
      <c r="B1174" s="4" t="s">
        <v>441</v>
      </c>
      <c r="C1174" s="4"/>
      <c r="D1174" s="15"/>
      <c r="E1174" s="15"/>
      <c r="F1174" s="15"/>
      <c r="G1174" s="15"/>
      <c r="H1174" s="410"/>
      <c r="I1174" s="15"/>
      <c r="J1174" s="15"/>
      <c r="K1174" s="15"/>
      <c r="L1174" s="15"/>
      <c r="M1174" s="410"/>
      <c r="N1174" s="15"/>
      <c r="O1174" s="15" t="str">
        <f t="shared" ref="O1174:FG1174" si="5546">O1169/O$1171</f>
        <v>#ERROR!</v>
      </c>
      <c r="P1174" s="15" t="str">
        <f t="shared" si="5546"/>
        <v>#ERROR!</v>
      </c>
      <c r="Q1174" s="15" t="str">
        <f t="shared" si="5546"/>
        <v>#ERROR!</v>
      </c>
      <c r="R1174" s="410" t="str">
        <f t="shared" si="5546"/>
        <v>#ERROR!</v>
      </c>
      <c r="S1174" s="15" t="str">
        <f t="shared" si="5546"/>
        <v>#ERROR!</v>
      </c>
      <c r="T1174" s="15" t="str">
        <f t="shared" si="5546"/>
        <v>#ERROR!</v>
      </c>
      <c r="U1174" s="15" t="str">
        <f t="shared" si="5546"/>
        <v>#ERROR!</v>
      </c>
      <c r="V1174" s="15" t="str">
        <f t="shared" si="5546"/>
        <v>#ERROR!</v>
      </c>
      <c r="W1174" s="410" t="str">
        <f t="shared" si="5546"/>
        <v>#ERROR!</v>
      </c>
      <c r="X1174" s="15" t="str">
        <f t="shared" si="5546"/>
        <v>#ERROR!</v>
      </c>
      <c r="Y1174" s="15" t="str">
        <f t="shared" si="5546"/>
        <v>#ERROR!</v>
      </c>
      <c r="Z1174" s="15" t="str">
        <f t="shared" si="5546"/>
        <v>#ERROR!</v>
      </c>
      <c r="AA1174" s="15" t="str">
        <f t="shared" si="5546"/>
        <v>#ERROR!</v>
      </c>
      <c r="AB1174" s="410" t="str">
        <f t="shared" si="5546"/>
        <v>#ERROR!</v>
      </c>
      <c r="AC1174" s="15" t="str">
        <f t="shared" si="5546"/>
        <v>#ERROR!</v>
      </c>
      <c r="AD1174" s="15" t="str">
        <f t="shared" si="5546"/>
        <v>#ERROR!</v>
      </c>
      <c r="AE1174" s="15" t="str">
        <f t="shared" si="5546"/>
        <v>#ERROR!</v>
      </c>
      <c r="AF1174" s="15" t="str">
        <f t="shared" si="5546"/>
        <v>#ERROR!</v>
      </c>
      <c r="AG1174" s="410" t="str">
        <f t="shared" si="5546"/>
        <v>#ERROR!</v>
      </c>
      <c r="AH1174" s="15" t="str">
        <f t="shared" si="5546"/>
        <v>#ERROR!</v>
      </c>
      <c r="AI1174" s="15" t="str">
        <f t="shared" si="5546"/>
        <v>#ERROR!</v>
      </c>
      <c r="AJ1174" s="15" t="str">
        <f t="shared" si="5546"/>
        <v>#ERROR!</v>
      </c>
      <c r="AK1174" s="15" t="str">
        <f t="shared" si="5546"/>
        <v>#ERROR!</v>
      </c>
      <c r="AL1174" s="410" t="str">
        <f t="shared" si="5546"/>
        <v>#ERROR!</v>
      </c>
      <c r="AM1174" s="15" t="str">
        <f t="shared" si="5546"/>
        <v>#ERROR!</v>
      </c>
      <c r="AN1174" s="15" t="str">
        <f t="shared" si="5546"/>
        <v>#ERROR!</v>
      </c>
      <c r="AO1174" s="15" t="str">
        <f t="shared" si="5546"/>
        <v>#ERROR!</v>
      </c>
      <c r="AP1174" s="15" t="str">
        <f t="shared" si="5546"/>
        <v>#ERROR!</v>
      </c>
      <c r="AQ1174" s="410" t="str">
        <f t="shared" si="5546"/>
        <v>#ERROR!</v>
      </c>
      <c r="AR1174" s="15" t="str">
        <f t="shared" si="5546"/>
        <v>#ERROR!</v>
      </c>
      <c r="AS1174" s="15" t="str">
        <f t="shared" si="5546"/>
        <v>#ERROR!</v>
      </c>
      <c r="AT1174" s="15" t="str">
        <f t="shared" si="5546"/>
        <v>#ERROR!</v>
      </c>
      <c r="AU1174" s="15" t="str">
        <f t="shared" si="5546"/>
        <v>#ERROR!</v>
      </c>
      <c r="AV1174" s="410" t="str">
        <f t="shared" si="5546"/>
        <v>#ERROR!</v>
      </c>
      <c r="AW1174" s="15" t="str">
        <f t="shared" si="5546"/>
        <v>#ERROR!</v>
      </c>
      <c r="AX1174" s="15" t="str">
        <f t="shared" si="5546"/>
        <v>#ERROR!</v>
      </c>
      <c r="AY1174" s="15" t="str">
        <f t="shared" si="5546"/>
        <v>#ERROR!</v>
      </c>
      <c r="AZ1174" s="15" t="str">
        <f t="shared" si="5546"/>
        <v>#ERROR!</v>
      </c>
      <c r="BA1174" s="410" t="str">
        <f t="shared" si="5546"/>
        <v>#ERROR!</v>
      </c>
      <c r="BB1174" s="15" t="str">
        <f t="shared" si="5546"/>
        <v>#ERROR!</v>
      </c>
      <c r="BC1174" s="15" t="str">
        <f t="shared" si="5546"/>
        <v>#ERROR!</v>
      </c>
      <c r="BD1174" s="15" t="str">
        <f t="shared" si="5546"/>
        <v>#ERROR!</v>
      </c>
      <c r="BE1174" s="15" t="str">
        <f t="shared" si="5546"/>
        <v>#ERROR!</v>
      </c>
      <c r="BF1174" s="410" t="str">
        <f t="shared" si="5546"/>
        <v>#ERROR!</v>
      </c>
      <c r="BG1174" s="15" t="str">
        <f t="shared" si="5546"/>
        <v>#ERROR!</v>
      </c>
      <c r="BH1174" s="15" t="str">
        <f t="shared" si="5546"/>
        <v>#ERROR!</v>
      </c>
      <c r="BI1174" s="15" t="str">
        <f t="shared" si="5546"/>
        <v>#ERROR!</v>
      </c>
      <c r="BJ1174" s="15" t="str">
        <f t="shared" si="5546"/>
        <v>#ERROR!</v>
      </c>
      <c r="BK1174" s="410" t="str">
        <f t="shared" si="5546"/>
        <v>#ERROR!</v>
      </c>
      <c r="BL1174" s="15" t="str">
        <f t="shared" si="5546"/>
        <v>#ERROR!</v>
      </c>
      <c r="BM1174" s="15" t="str">
        <f t="shared" si="5546"/>
        <v>#ERROR!</v>
      </c>
      <c r="BN1174" s="15" t="str">
        <f t="shared" si="5546"/>
        <v>#ERROR!</v>
      </c>
      <c r="BO1174" s="15" t="str">
        <f t="shared" si="5546"/>
        <v>#ERROR!</v>
      </c>
      <c r="BP1174" s="410" t="str">
        <f t="shared" si="5546"/>
        <v>#ERROR!</v>
      </c>
      <c r="BQ1174" s="15" t="str">
        <f t="shared" si="5546"/>
        <v>#ERROR!</v>
      </c>
      <c r="BR1174" s="15" t="str">
        <f t="shared" si="5546"/>
        <v>#ERROR!</v>
      </c>
      <c r="BS1174" s="15" t="str">
        <f t="shared" si="5546"/>
        <v>#ERROR!</v>
      </c>
      <c r="BT1174" s="15" t="str">
        <f t="shared" si="5546"/>
        <v>#ERROR!</v>
      </c>
      <c r="BU1174" s="410" t="str">
        <f t="shared" si="5546"/>
        <v>#ERROR!</v>
      </c>
      <c r="BV1174" s="15" t="str">
        <f t="shared" si="5546"/>
        <v>#ERROR!</v>
      </c>
      <c r="BW1174" s="15" t="str">
        <f t="shared" si="5546"/>
        <v>#ERROR!</v>
      </c>
      <c r="BX1174" s="15" t="str">
        <f t="shared" si="5546"/>
        <v>#ERROR!</v>
      </c>
      <c r="BY1174" s="15" t="str">
        <f t="shared" si="5546"/>
        <v>#ERROR!</v>
      </c>
      <c r="BZ1174" s="24" t="str">
        <f t="shared" si="5546"/>
        <v>#ERROR!</v>
      </c>
      <c r="CA1174" s="15" t="str">
        <f t="shared" si="5546"/>
        <v>#ERROR!</v>
      </c>
      <c r="CB1174" s="15" t="str">
        <f t="shared" si="5546"/>
        <v>#ERROR!</v>
      </c>
      <c r="CC1174" s="15" t="str">
        <f t="shared" si="5546"/>
        <v>#ERROR!</v>
      </c>
      <c r="CD1174" s="15" t="str">
        <f t="shared" si="5546"/>
        <v>#ERROR!</v>
      </c>
      <c r="CE1174" s="24" t="str">
        <f t="shared" si="5546"/>
        <v>#ERROR!</v>
      </c>
      <c r="CF1174" s="15" t="str">
        <f t="shared" si="5546"/>
        <v>#ERROR!</v>
      </c>
      <c r="CG1174" s="15" t="str">
        <f t="shared" si="5546"/>
        <v>#ERROR!</v>
      </c>
      <c r="CH1174" s="15" t="str">
        <f t="shared" si="5546"/>
        <v>#ERROR!</v>
      </c>
      <c r="CI1174" s="15" t="str">
        <f t="shared" si="5546"/>
        <v>#ERROR!</v>
      </c>
      <c r="CJ1174" s="24" t="str">
        <f t="shared" si="5546"/>
        <v>#ERROR!</v>
      </c>
      <c r="CK1174" s="15" t="str">
        <f t="shared" si="5546"/>
        <v>#ERROR!</v>
      </c>
      <c r="CL1174" s="15" t="str">
        <f t="shared" si="5546"/>
        <v>#ERROR!</v>
      </c>
      <c r="CM1174" s="15" t="str">
        <f t="shared" si="5546"/>
        <v>#ERROR!</v>
      </c>
      <c r="CN1174" s="40" t="str">
        <f t="shared" si="5546"/>
        <v>#ERROR!</v>
      </c>
      <c r="CO1174" s="24" t="str">
        <f t="shared" si="5546"/>
        <v>#ERROR!</v>
      </c>
      <c r="CP1174" s="40" t="str">
        <f t="shared" si="5546"/>
        <v>#ERROR!</v>
      </c>
      <c r="CQ1174" s="15" t="str">
        <f t="shared" si="5546"/>
        <v>#ERROR!</v>
      </c>
      <c r="CR1174" s="15" t="str">
        <f t="shared" si="5546"/>
        <v>#ERROR!</v>
      </c>
      <c r="CS1174" s="15" t="str">
        <f t="shared" si="5546"/>
        <v>#ERROR!</v>
      </c>
      <c r="CT1174" s="24" t="str">
        <f t="shared" si="5546"/>
        <v>#ERROR!</v>
      </c>
      <c r="CU1174" s="15" t="str">
        <f t="shared" si="5546"/>
        <v>#ERROR!</v>
      </c>
      <c r="CV1174" s="15" t="str">
        <f t="shared" si="5546"/>
        <v>#ERROR!</v>
      </c>
      <c r="CW1174" s="15" t="str">
        <f t="shared" si="5546"/>
        <v>#ERROR!</v>
      </c>
      <c r="CX1174" s="15" t="str">
        <f t="shared" si="5546"/>
        <v>#ERROR!</v>
      </c>
      <c r="CY1174" s="24" t="str">
        <f t="shared" si="5546"/>
        <v>#ERROR!</v>
      </c>
      <c r="CZ1174" s="15" t="str">
        <f t="shared" si="5546"/>
        <v>#ERROR!</v>
      </c>
      <c r="DA1174" s="15" t="str">
        <f t="shared" si="5546"/>
        <v>#ERROR!</v>
      </c>
      <c r="DB1174" s="15" t="str">
        <f t="shared" si="5546"/>
        <v>#ERROR!</v>
      </c>
      <c r="DC1174" s="15" t="str">
        <f t="shared" si="5546"/>
        <v>#ERROR!</v>
      </c>
      <c r="DD1174" s="24" t="str">
        <f t="shared" si="5546"/>
        <v>#ERROR!</v>
      </c>
      <c r="DE1174" s="15" t="str">
        <f t="shared" si="5546"/>
        <v>#ERROR!</v>
      </c>
      <c r="DF1174" s="15" t="str">
        <f t="shared" si="5546"/>
        <v>#ERROR!</v>
      </c>
      <c r="DG1174" s="40" t="str">
        <f t="shared" si="5546"/>
        <v>#ERROR!</v>
      </c>
      <c r="DH1174" s="15" t="str">
        <f t="shared" si="5546"/>
        <v>#ERROR!</v>
      </c>
      <c r="DI1174" s="24" t="str">
        <f t="shared" si="5546"/>
        <v>#ERROR!</v>
      </c>
      <c r="DJ1174" s="40" t="str">
        <f t="shared" si="5546"/>
        <v>#ERROR!</v>
      </c>
      <c r="DK1174" s="40" t="str">
        <f t="shared" si="5546"/>
        <v>#ERROR!</v>
      </c>
      <c r="DL1174" s="40" t="str">
        <f t="shared" si="5546"/>
        <v>#ERROR!</v>
      </c>
      <c r="DM1174" s="15" t="str">
        <f t="shared" si="5546"/>
        <v>#ERROR!</v>
      </c>
      <c r="DN1174" s="24" t="str">
        <f t="shared" si="5546"/>
        <v>#ERROR!</v>
      </c>
      <c r="DO1174" s="15" t="str">
        <f t="shared" si="5546"/>
        <v>#ERROR!</v>
      </c>
      <c r="DP1174" s="15" t="str">
        <f t="shared" si="5546"/>
        <v>#ERROR!</v>
      </c>
      <c r="DQ1174" s="15" t="str">
        <f t="shared" si="5546"/>
        <v>#ERROR!</v>
      </c>
      <c r="DR1174" s="15" t="str">
        <f t="shared" si="5546"/>
        <v>#ERROR!</v>
      </c>
      <c r="DS1174" s="24" t="str">
        <f t="shared" si="5546"/>
        <v>#ERROR!</v>
      </c>
      <c r="DT1174" s="15" t="str">
        <f t="shared" si="5546"/>
        <v>#ERROR!</v>
      </c>
      <c r="DU1174" s="15" t="str">
        <f t="shared" si="5546"/>
        <v>#ERROR!</v>
      </c>
      <c r="DV1174" s="15" t="str">
        <f t="shared" si="5546"/>
        <v>#ERROR!</v>
      </c>
      <c r="DW1174" s="15" t="str">
        <f t="shared" si="5546"/>
        <v>#ERROR!</v>
      </c>
      <c r="DX1174" s="24" t="str">
        <f t="shared" si="5546"/>
        <v>#ERROR!</v>
      </c>
      <c r="DY1174" s="15" t="str">
        <f t="shared" si="5546"/>
        <v>#ERROR!</v>
      </c>
      <c r="DZ1174" s="15" t="str">
        <f t="shared" si="5546"/>
        <v>#ERROR!</v>
      </c>
      <c r="EA1174" s="15" t="str">
        <f t="shared" si="5546"/>
        <v>#ERROR!</v>
      </c>
      <c r="EB1174" s="15" t="str">
        <f t="shared" si="5546"/>
        <v>#ERROR!</v>
      </c>
      <c r="EC1174" s="24" t="str">
        <f t="shared" si="5546"/>
        <v>#ERROR!</v>
      </c>
      <c r="ED1174" s="15" t="str">
        <f t="shared" si="5546"/>
        <v>#ERROR!</v>
      </c>
      <c r="EE1174" s="15" t="str">
        <f t="shared" si="5546"/>
        <v>#ERROR!</v>
      </c>
      <c r="EF1174" s="15" t="str">
        <f t="shared" si="5546"/>
        <v>#ERROR!</v>
      </c>
      <c r="EG1174" s="15" t="str">
        <f t="shared" si="5546"/>
        <v>#ERROR!</v>
      </c>
      <c r="EH1174" s="24" t="str">
        <f t="shared" si="5546"/>
        <v>#ERROR!</v>
      </c>
      <c r="EI1174" s="82" t="str">
        <f t="shared" si="5546"/>
        <v>#ERROR!</v>
      </c>
      <c r="EJ1174" s="15" t="str">
        <f t="shared" si="5546"/>
        <v>#ERROR!</v>
      </c>
      <c r="EK1174" s="15" t="str">
        <f t="shared" si="5546"/>
        <v>#ERROR!</v>
      </c>
      <c r="EL1174" s="15" t="str">
        <f t="shared" si="5546"/>
        <v>#ERROR!</v>
      </c>
      <c r="EM1174" s="24" t="str">
        <f t="shared" si="5546"/>
        <v>#ERROR!</v>
      </c>
      <c r="EN1174" s="15" t="str">
        <f t="shared" si="5546"/>
        <v>#ERROR!</v>
      </c>
      <c r="EO1174" s="15" t="str">
        <f t="shared" si="5546"/>
        <v>#ERROR!</v>
      </c>
      <c r="EP1174" s="15" t="str">
        <f t="shared" si="5546"/>
        <v>#ERROR!</v>
      </c>
      <c r="EQ1174" s="15" t="str">
        <f t="shared" si="5546"/>
        <v>#ERROR!</v>
      </c>
      <c r="ER1174" s="24" t="str">
        <f t="shared" si="5546"/>
        <v>#ERROR!</v>
      </c>
      <c r="ES1174" s="15" t="str">
        <f t="shared" si="5546"/>
        <v>#ERROR!</v>
      </c>
      <c r="ET1174" s="15" t="str">
        <f t="shared" si="5546"/>
        <v>#ERROR!</v>
      </c>
      <c r="EU1174" s="15" t="str">
        <f t="shared" si="5546"/>
        <v>#ERROR!</v>
      </c>
      <c r="EV1174" s="15" t="str">
        <f t="shared" si="5546"/>
        <v>#ERROR!</v>
      </c>
      <c r="EW1174" s="24" t="str">
        <f t="shared" si="5546"/>
        <v>#ERROR!</v>
      </c>
      <c r="EX1174" s="15" t="str">
        <f t="shared" si="5546"/>
        <v>#ERROR!</v>
      </c>
      <c r="EY1174" s="15" t="str">
        <f t="shared" si="5546"/>
        <v>#ERROR!</v>
      </c>
      <c r="EZ1174" s="15" t="str">
        <f t="shared" si="5546"/>
        <v>#ERROR!</v>
      </c>
      <c r="FA1174" s="15" t="str">
        <f t="shared" si="5546"/>
        <v>#ERROR!</v>
      </c>
      <c r="FB1174" s="24" t="str">
        <f t="shared" si="5546"/>
        <v>#ERROR!</v>
      </c>
      <c r="FC1174" s="15" t="str">
        <f t="shared" si="5546"/>
        <v>#ERROR!</v>
      </c>
      <c r="FD1174" s="15" t="str">
        <f t="shared" si="5546"/>
        <v>#ERROR!</v>
      </c>
      <c r="FE1174" s="15" t="str">
        <f t="shared" si="5546"/>
        <v>#ERROR!</v>
      </c>
      <c r="FF1174" s="15" t="str">
        <f t="shared" si="5546"/>
        <v>#ERROR!</v>
      </c>
      <c r="FG1174" s="24" t="str">
        <f t="shared" si="5546"/>
        <v>#ERROR!</v>
      </c>
      <c r="FH1174" s="104"/>
      <c r="FI1174" s="15"/>
      <c r="FJ1174" s="15"/>
      <c r="FK1174" s="410"/>
      <c r="FL1174" s="15"/>
    </row>
    <row r="1175" ht="12.75" hidden="1" customHeight="1" outlineLevel="2">
      <c r="A1175" s="4"/>
      <c r="B1175" s="4" t="s">
        <v>442</v>
      </c>
      <c r="C1175" s="4"/>
      <c r="D1175" s="15"/>
      <c r="E1175" s="15"/>
      <c r="F1175" s="15"/>
      <c r="G1175" s="15"/>
      <c r="H1175" s="410"/>
      <c r="I1175" s="15"/>
      <c r="J1175" s="15"/>
      <c r="K1175" s="15"/>
      <c r="L1175" s="15"/>
      <c r="M1175" s="410"/>
      <c r="N1175" s="15"/>
      <c r="O1175" s="15" t="str">
        <f t="shared" ref="O1175:FG1175" si="5547">O1170/O$1171</f>
        <v>#REF!</v>
      </c>
      <c r="P1175" s="15" t="str">
        <f t="shared" si="5547"/>
        <v>#REF!</v>
      </c>
      <c r="Q1175" s="15" t="str">
        <f t="shared" si="5547"/>
        <v>#REF!</v>
      </c>
      <c r="R1175" s="410" t="str">
        <f t="shared" si="5547"/>
        <v>#REF!</v>
      </c>
      <c r="S1175" s="15" t="str">
        <f t="shared" si="5547"/>
        <v>#REF!</v>
      </c>
      <c r="T1175" s="15" t="str">
        <f t="shared" si="5547"/>
        <v>#REF!</v>
      </c>
      <c r="U1175" s="15" t="str">
        <f t="shared" si="5547"/>
        <v>#REF!</v>
      </c>
      <c r="V1175" s="15" t="str">
        <f t="shared" si="5547"/>
        <v>#REF!</v>
      </c>
      <c r="W1175" s="410" t="str">
        <f t="shared" si="5547"/>
        <v>#REF!</v>
      </c>
      <c r="X1175" s="15" t="str">
        <f t="shared" si="5547"/>
        <v>#REF!</v>
      </c>
      <c r="Y1175" s="15" t="str">
        <f t="shared" si="5547"/>
        <v>#REF!</v>
      </c>
      <c r="Z1175" s="15" t="str">
        <f t="shared" si="5547"/>
        <v>#REF!</v>
      </c>
      <c r="AA1175" s="15" t="str">
        <f t="shared" si="5547"/>
        <v>#REF!</v>
      </c>
      <c r="AB1175" s="410" t="str">
        <f t="shared" si="5547"/>
        <v>#REF!</v>
      </c>
      <c r="AC1175" s="15" t="str">
        <f t="shared" si="5547"/>
        <v>#REF!</v>
      </c>
      <c r="AD1175" s="15" t="str">
        <f t="shared" si="5547"/>
        <v>#REF!</v>
      </c>
      <c r="AE1175" s="15" t="str">
        <f t="shared" si="5547"/>
        <v>#REF!</v>
      </c>
      <c r="AF1175" s="15" t="str">
        <f t="shared" si="5547"/>
        <v>#REF!</v>
      </c>
      <c r="AG1175" s="410" t="str">
        <f t="shared" si="5547"/>
        <v>#REF!</v>
      </c>
      <c r="AH1175" s="15" t="str">
        <f t="shared" si="5547"/>
        <v>#REF!</v>
      </c>
      <c r="AI1175" s="15" t="str">
        <f t="shared" si="5547"/>
        <v>#REF!</v>
      </c>
      <c r="AJ1175" s="15" t="str">
        <f t="shared" si="5547"/>
        <v>#REF!</v>
      </c>
      <c r="AK1175" s="15" t="str">
        <f t="shared" si="5547"/>
        <v>#REF!</v>
      </c>
      <c r="AL1175" s="410" t="str">
        <f t="shared" si="5547"/>
        <v>#REF!</v>
      </c>
      <c r="AM1175" s="15" t="str">
        <f t="shared" si="5547"/>
        <v>#REF!</v>
      </c>
      <c r="AN1175" s="15" t="str">
        <f t="shared" si="5547"/>
        <v>#REF!</v>
      </c>
      <c r="AO1175" s="15" t="str">
        <f t="shared" si="5547"/>
        <v>#REF!</v>
      </c>
      <c r="AP1175" s="15" t="str">
        <f t="shared" si="5547"/>
        <v>#REF!</v>
      </c>
      <c r="AQ1175" s="410" t="str">
        <f t="shared" si="5547"/>
        <v>#REF!</v>
      </c>
      <c r="AR1175" s="15" t="str">
        <f t="shared" si="5547"/>
        <v>#REF!</v>
      </c>
      <c r="AS1175" s="15" t="str">
        <f t="shared" si="5547"/>
        <v>#REF!</v>
      </c>
      <c r="AT1175" s="15" t="str">
        <f t="shared" si="5547"/>
        <v>#REF!</v>
      </c>
      <c r="AU1175" s="15" t="str">
        <f t="shared" si="5547"/>
        <v>#REF!</v>
      </c>
      <c r="AV1175" s="410" t="str">
        <f t="shared" si="5547"/>
        <v>#REF!</v>
      </c>
      <c r="AW1175" s="15" t="str">
        <f t="shared" si="5547"/>
        <v>#REF!</v>
      </c>
      <c r="AX1175" s="15" t="str">
        <f t="shared" si="5547"/>
        <v>#REF!</v>
      </c>
      <c r="AY1175" s="15" t="str">
        <f t="shared" si="5547"/>
        <v>#REF!</v>
      </c>
      <c r="AZ1175" s="15" t="str">
        <f t="shared" si="5547"/>
        <v>#REF!</v>
      </c>
      <c r="BA1175" s="410" t="str">
        <f t="shared" si="5547"/>
        <v>#REF!</v>
      </c>
      <c r="BB1175" s="15" t="str">
        <f t="shared" si="5547"/>
        <v>#REF!</v>
      </c>
      <c r="BC1175" s="15" t="str">
        <f t="shared" si="5547"/>
        <v>#REF!</v>
      </c>
      <c r="BD1175" s="15" t="str">
        <f t="shared" si="5547"/>
        <v>#REF!</v>
      </c>
      <c r="BE1175" s="15" t="str">
        <f t="shared" si="5547"/>
        <v>#REF!</v>
      </c>
      <c r="BF1175" s="410" t="str">
        <f t="shared" si="5547"/>
        <v>#REF!</v>
      </c>
      <c r="BG1175" s="15" t="str">
        <f t="shared" si="5547"/>
        <v>#REF!</v>
      </c>
      <c r="BH1175" s="15" t="str">
        <f t="shared" si="5547"/>
        <v>#REF!</v>
      </c>
      <c r="BI1175" s="15" t="str">
        <f t="shared" si="5547"/>
        <v>#REF!</v>
      </c>
      <c r="BJ1175" s="15" t="str">
        <f t="shared" si="5547"/>
        <v>#REF!</v>
      </c>
      <c r="BK1175" s="410" t="str">
        <f t="shared" si="5547"/>
        <v>#REF!</v>
      </c>
      <c r="BL1175" s="15" t="str">
        <f t="shared" si="5547"/>
        <v>#REF!</v>
      </c>
      <c r="BM1175" s="15" t="str">
        <f t="shared" si="5547"/>
        <v>#REF!</v>
      </c>
      <c r="BN1175" s="15" t="str">
        <f t="shared" si="5547"/>
        <v>#REF!</v>
      </c>
      <c r="BO1175" s="15" t="str">
        <f t="shared" si="5547"/>
        <v>#REF!</v>
      </c>
      <c r="BP1175" s="410" t="str">
        <f t="shared" si="5547"/>
        <v>#REF!</v>
      </c>
      <c r="BQ1175" s="15" t="str">
        <f t="shared" si="5547"/>
        <v>#REF!</v>
      </c>
      <c r="BR1175" s="15" t="str">
        <f t="shared" si="5547"/>
        <v>#REF!</v>
      </c>
      <c r="BS1175" s="15" t="str">
        <f t="shared" si="5547"/>
        <v>#REF!</v>
      </c>
      <c r="BT1175" s="15" t="str">
        <f t="shared" si="5547"/>
        <v>#REF!</v>
      </c>
      <c r="BU1175" s="410" t="str">
        <f t="shared" si="5547"/>
        <v>#REF!</v>
      </c>
      <c r="BV1175" s="15" t="str">
        <f t="shared" si="5547"/>
        <v>#REF!</v>
      </c>
      <c r="BW1175" s="15" t="str">
        <f t="shared" si="5547"/>
        <v>#REF!</v>
      </c>
      <c r="BX1175" s="15" t="str">
        <f t="shared" si="5547"/>
        <v>#REF!</v>
      </c>
      <c r="BY1175" s="15" t="str">
        <f t="shared" si="5547"/>
        <v>#REF!</v>
      </c>
      <c r="BZ1175" s="24" t="str">
        <f t="shared" si="5547"/>
        <v>#REF!</v>
      </c>
      <c r="CA1175" s="15" t="str">
        <f t="shared" si="5547"/>
        <v>#REF!</v>
      </c>
      <c r="CB1175" s="15" t="str">
        <f t="shared" si="5547"/>
        <v>#REF!</v>
      </c>
      <c r="CC1175" s="15" t="str">
        <f t="shared" si="5547"/>
        <v>#REF!</v>
      </c>
      <c r="CD1175" s="15" t="str">
        <f t="shared" si="5547"/>
        <v>#REF!</v>
      </c>
      <c r="CE1175" s="24" t="str">
        <f t="shared" si="5547"/>
        <v>#REF!</v>
      </c>
      <c r="CF1175" s="15" t="str">
        <f t="shared" si="5547"/>
        <v>#REF!</v>
      </c>
      <c r="CG1175" s="15" t="str">
        <f t="shared" si="5547"/>
        <v>#REF!</v>
      </c>
      <c r="CH1175" s="15" t="str">
        <f t="shared" si="5547"/>
        <v>#REF!</v>
      </c>
      <c r="CI1175" s="15" t="str">
        <f t="shared" si="5547"/>
        <v>#REF!</v>
      </c>
      <c r="CJ1175" s="24" t="str">
        <f t="shared" si="5547"/>
        <v>#REF!</v>
      </c>
      <c r="CK1175" s="15" t="str">
        <f t="shared" si="5547"/>
        <v>#REF!</v>
      </c>
      <c r="CL1175" s="15" t="str">
        <f t="shared" si="5547"/>
        <v>#REF!</v>
      </c>
      <c r="CM1175" s="15" t="str">
        <f t="shared" si="5547"/>
        <v>#REF!</v>
      </c>
      <c r="CN1175" s="40" t="str">
        <f t="shared" si="5547"/>
        <v>#REF!</v>
      </c>
      <c r="CO1175" s="24" t="str">
        <f t="shared" si="5547"/>
        <v>#REF!</v>
      </c>
      <c r="CP1175" s="40" t="str">
        <f t="shared" si="5547"/>
        <v>#REF!</v>
      </c>
      <c r="CQ1175" s="15" t="str">
        <f t="shared" si="5547"/>
        <v>#REF!</v>
      </c>
      <c r="CR1175" s="15" t="str">
        <f t="shared" si="5547"/>
        <v>#REF!</v>
      </c>
      <c r="CS1175" s="15" t="str">
        <f t="shared" si="5547"/>
        <v>#REF!</v>
      </c>
      <c r="CT1175" s="24" t="str">
        <f t="shared" si="5547"/>
        <v>#REF!</v>
      </c>
      <c r="CU1175" s="15" t="str">
        <f t="shared" si="5547"/>
        <v>#REF!</v>
      </c>
      <c r="CV1175" s="15" t="str">
        <f t="shared" si="5547"/>
        <v>#REF!</v>
      </c>
      <c r="CW1175" s="15" t="str">
        <f t="shared" si="5547"/>
        <v>#REF!</v>
      </c>
      <c r="CX1175" s="15" t="str">
        <f t="shared" si="5547"/>
        <v>#REF!</v>
      </c>
      <c r="CY1175" s="24" t="str">
        <f t="shared" si="5547"/>
        <v>#REF!</v>
      </c>
      <c r="CZ1175" s="15" t="str">
        <f t="shared" si="5547"/>
        <v>#REF!</v>
      </c>
      <c r="DA1175" s="15" t="str">
        <f t="shared" si="5547"/>
        <v>#REF!</v>
      </c>
      <c r="DB1175" s="15" t="str">
        <f t="shared" si="5547"/>
        <v>#REF!</v>
      </c>
      <c r="DC1175" s="15" t="str">
        <f t="shared" si="5547"/>
        <v>#REF!</v>
      </c>
      <c r="DD1175" s="24" t="str">
        <f t="shared" si="5547"/>
        <v>#REF!</v>
      </c>
      <c r="DE1175" s="15" t="str">
        <f t="shared" si="5547"/>
        <v>#REF!</v>
      </c>
      <c r="DF1175" s="15" t="str">
        <f t="shared" si="5547"/>
        <v>#REF!</v>
      </c>
      <c r="DG1175" s="40" t="str">
        <f t="shared" si="5547"/>
        <v>#REF!</v>
      </c>
      <c r="DH1175" s="15" t="str">
        <f t="shared" si="5547"/>
        <v>#REF!</v>
      </c>
      <c r="DI1175" s="24" t="str">
        <f t="shared" si="5547"/>
        <v>#REF!</v>
      </c>
      <c r="DJ1175" s="40" t="str">
        <f t="shared" si="5547"/>
        <v>#REF!</v>
      </c>
      <c r="DK1175" s="40" t="str">
        <f t="shared" si="5547"/>
        <v>#REF!</v>
      </c>
      <c r="DL1175" s="40" t="str">
        <f t="shared" si="5547"/>
        <v>#REF!</v>
      </c>
      <c r="DM1175" s="15" t="str">
        <f t="shared" si="5547"/>
        <v>#REF!</v>
      </c>
      <c r="DN1175" s="24" t="str">
        <f t="shared" si="5547"/>
        <v>#REF!</v>
      </c>
      <c r="DO1175" s="15" t="str">
        <f t="shared" si="5547"/>
        <v>#REF!</v>
      </c>
      <c r="DP1175" s="15" t="str">
        <f t="shared" si="5547"/>
        <v>#REF!</v>
      </c>
      <c r="DQ1175" s="15" t="str">
        <f t="shared" si="5547"/>
        <v>#REF!</v>
      </c>
      <c r="DR1175" s="15" t="str">
        <f t="shared" si="5547"/>
        <v>#REF!</v>
      </c>
      <c r="DS1175" s="24" t="str">
        <f t="shared" si="5547"/>
        <v>#REF!</v>
      </c>
      <c r="DT1175" s="15" t="str">
        <f t="shared" si="5547"/>
        <v>#REF!</v>
      </c>
      <c r="DU1175" s="15" t="str">
        <f t="shared" si="5547"/>
        <v>#REF!</v>
      </c>
      <c r="DV1175" s="15" t="str">
        <f t="shared" si="5547"/>
        <v>#REF!</v>
      </c>
      <c r="DW1175" s="15" t="str">
        <f t="shared" si="5547"/>
        <v>#REF!</v>
      </c>
      <c r="DX1175" s="24" t="str">
        <f t="shared" si="5547"/>
        <v>#REF!</v>
      </c>
      <c r="DY1175" s="15" t="str">
        <f t="shared" si="5547"/>
        <v>#REF!</v>
      </c>
      <c r="DZ1175" s="15" t="str">
        <f t="shared" si="5547"/>
        <v>#REF!</v>
      </c>
      <c r="EA1175" s="15" t="str">
        <f t="shared" si="5547"/>
        <v>#REF!</v>
      </c>
      <c r="EB1175" s="15" t="str">
        <f t="shared" si="5547"/>
        <v>#REF!</v>
      </c>
      <c r="EC1175" s="24" t="str">
        <f t="shared" si="5547"/>
        <v>#REF!</v>
      </c>
      <c r="ED1175" s="15" t="str">
        <f t="shared" si="5547"/>
        <v>#REF!</v>
      </c>
      <c r="EE1175" s="15" t="str">
        <f t="shared" si="5547"/>
        <v>#REF!</v>
      </c>
      <c r="EF1175" s="15" t="str">
        <f t="shared" si="5547"/>
        <v>#REF!</v>
      </c>
      <c r="EG1175" s="15" t="str">
        <f t="shared" si="5547"/>
        <v>#REF!</v>
      </c>
      <c r="EH1175" s="24" t="str">
        <f t="shared" si="5547"/>
        <v>#REF!</v>
      </c>
      <c r="EI1175" s="82" t="str">
        <f t="shared" si="5547"/>
        <v>#REF!</v>
      </c>
      <c r="EJ1175" s="15" t="str">
        <f t="shared" si="5547"/>
        <v>#REF!</v>
      </c>
      <c r="EK1175" s="15" t="str">
        <f t="shared" si="5547"/>
        <v>#REF!</v>
      </c>
      <c r="EL1175" s="15" t="str">
        <f t="shared" si="5547"/>
        <v>#REF!</v>
      </c>
      <c r="EM1175" s="24" t="str">
        <f t="shared" si="5547"/>
        <v>#REF!</v>
      </c>
      <c r="EN1175" s="15" t="str">
        <f t="shared" si="5547"/>
        <v>#REF!</v>
      </c>
      <c r="EO1175" s="15" t="str">
        <f t="shared" si="5547"/>
        <v>#REF!</v>
      </c>
      <c r="EP1175" s="15" t="str">
        <f t="shared" si="5547"/>
        <v>#REF!</v>
      </c>
      <c r="EQ1175" s="15" t="str">
        <f t="shared" si="5547"/>
        <v>#REF!</v>
      </c>
      <c r="ER1175" s="24" t="str">
        <f t="shared" si="5547"/>
        <v>#REF!</v>
      </c>
      <c r="ES1175" s="15" t="str">
        <f t="shared" si="5547"/>
        <v>#REF!</v>
      </c>
      <c r="ET1175" s="15" t="str">
        <f t="shared" si="5547"/>
        <v>#REF!</v>
      </c>
      <c r="EU1175" s="15" t="str">
        <f t="shared" si="5547"/>
        <v>#REF!</v>
      </c>
      <c r="EV1175" s="15" t="str">
        <f t="shared" si="5547"/>
        <v>#REF!</v>
      </c>
      <c r="EW1175" s="24" t="str">
        <f t="shared" si="5547"/>
        <v>#REF!</v>
      </c>
      <c r="EX1175" s="15" t="str">
        <f t="shared" si="5547"/>
        <v>#REF!</v>
      </c>
      <c r="EY1175" s="15" t="str">
        <f t="shared" si="5547"/>
        <v>#REF!</v>
      </c>
      <c r="EZ1175" s="15" t="str">
        <f t="shared" si="5547"/>
        <v>#REF!</v>
      </c>
      <c r="FA1175" s="15" t="str">
        <f t="shared" si="5547"/>
        <v>#REF!</v>
      </c>
      <c r="FB1175" s="24" t="str">
        <f t="shared" si="5547"/>
        <v>#REF!</v>
      </c>
      <c r="FC1175" s="15" t="str">
        <f t="shared" si="5547"/>
        <v>#REF!</v>
      </c>
      <c r="FD1175" s="15" t="str">
        <f t="shared" si="5547"/>
        <v>#REF!</v>
      </c>
      <c r="FE1175" s="15" t="str">
        <f t="shared" si="5547"/>
        <v>#REF!</v>
      </c>
      <c r="FF1175" s="15" t="str">
        <f t="shared" si="5547"/>
        <v>#REF!</v>
      </c>
      <c r="FG1175" s="24" t="str">
        <f t="shared" si="5547"/>
        <v>#REF!</v>
      </c>
      <c r="FH1175" s="104"/>
      <c r="FI1175" s="15"/>
      <c r="FJ1175" s="15"/>
      <c r="FK1175" s="410"/>
      <c r="FL1175" s="15"/>
    </row>
    <row r="1176" ht="13.5" hidden="1" customHeight="1" outlineLevel="2">
      <c r="A1176" s="4"/>
      <c r="B1176" s="529" t="s">
        <v>291</v>
      </c>
      <c r="C1176" s="529"/>
      <c r="D1176" s="596"/>
      <c r="E1176" s="596"/>
      <c r="F1176" s="596"/>
      <c r="G1176" s="596"/>
      <c r="H1176" s="596"/>
      <c r="I1176" s="596"/>
      <c r="J1176" s="596"/>
      <c r="K1176" s="596"/>
      <c r="L1176" s="596"/>
      <c r="M1176" s="596"/>
      <c r="N1176" s="596"/>
      <c r="O1176" s="596" t="str">
        <f t="shared" ref="O1176:FG1176" si="5548">O1171/O$1171</f>
        <v>#ERROR!</v>
      </c>
      <c r="P1176" s="596" t="str">
        <f t="shared" si="5548"/>
        <v>#ERROR!</v>
      </c>
      <c r="Q1176" s="596" t="str">
        <f t="shared" si="5548"/>
        <v>#ERROR!</v>
      </c>
      <c r="R1176" s="596" t="str">
        <f t="shared" si="5548"/>
        <v>#ERROR!</v>
      </c>
      <c r="S1176" s="596" t="str">
        <f t="shared" si="5548"/>
        <v>#ERROR!</v>
      </c>
      <c r="T1176" s="596" t="str">
        <f t="shared" si="5548"/>
        <v>#ERROR!</v>
      </c>
      <c r="U1176" s="596" t="str">
        <f t="shared" si="5548"/>
        <v>#ERROR!</v>
      </c>
      <c r="V1176" s="596" t="str">
        <f t="shared" si="5548"/>
        <v>#ERROR!</v>
      </c>
      <c r="W1176" s="596" t="str">
        <f t="shared" si="5548"/>
        <v>#ERROR!</v>
      </c>
      <c r="X1176" s="596" t="str">
        <f t="shared" si="5548"/>
        <v>#ERROR!</v>
      </c>
      <c r="Y1176" s="596" t="str">
        <f t="shared" si="5548"/>
        <v>#ERROR!</v>
      </c>
      <c r="Z1176" s="596" t="str">
        <f t="shared" si="5548"/>
        <v>#ERROR!</v>
      </c>
      <c r="AA1176" s="596" t="str">
        <f t="shared" si="5548"/>
        <v>#ERROR!</v>
      </c>
      <c r="AB1176" s="596" t="str">
        <f t="shared" si="5548"/>
        <v>#ERROR!</v>
      </c>
      <c r="AC1176" s="596" t="str">
        <f t="shared" si="5548"/>
        <v>#ERROR!</v>
      </c>
      <c r="AD1176" s="596" t="str">
        <f t="shared" si="5548"/>
        <v>#ERROR!</v>
      </c>
      <c r="AE1176" s="596" t="str">
        <f t="shared" si="5548"/>
        <v>#ERROR!</v>
      </c>
      <c r="AF1176" s="596" t="str">
        <f t="shared" si="5548"/>
        <v>#ERROR!</v>
      </c>
      <c r="AG1176" s="596" t="str">
        <f t="shared" si="5548"/>
        <v>#ERROR!</v>
      </c>
      <c r="AH1176" s="596" t="str">
        <f t="shared" si="5548"/>
        <v>#ERROR!</v>
      </c>
      <c r="AI1176" s="596" t="str">
        <f t="shared" si="5548"/>
        <v>#ERROR!</v>
      </c>
      <c r="AJ1176" s="596" t="str">
        <f t="shared" si="5548"/>
        <v>#ERROR!</v>
      </c>
      <c r="AK1176" s="596" t="str">
        <f t="shared" si="5548"/>
        <v>#ERROR!</v>
      </c>
      <c r="AL1176" s="596" t="str">
        <f t="shared" si="5548"/>
        <v>#ERROR!</v>
      </c>
      <c r="AM1176" s="596" t="str">
        <f t="shared" si="5548"/>
        <v>#ERROR!</v>
      </c>
      <c r="AN1176" s="596" t="str">
        <f t="shared" si="5548"/>
        <v>#ERROR!</v>
      </c>
      <c r="AO1176" s="596" t="str">
        <f t="shared" si="5548"/>
        <v>#ERROR!</v>
      </c>
      <c r="AP1176" s="596" t="str">
        <f t="shared" si="5548"/>
        <v>#ERROR!</v>
      </c>
      <c r="AQ1176" s="596" t="str">
        <f t="shared" si="5548"/>
        <v>#ERROR!</v>
      </c>
      <c r="AR1176" s="596" t="str">
        <f t="shared" si="5548"/>
        <v>#ERROR!</v>
      </c>
      <c r="AS1176" s="596" t="str">
        <f t="shared" si="5548"/>
        <v>#ERROR!</v>
      </c>
      <c r="AT1176" s="596" t="str">
        <f t="shared" si="5548"/>
        <v>#ERROR!</v>
      </c>
      <c r="AU1176" s="596" t="str">
        <f t="shared" si="5548"/>
        <v>#ERROR!</v>
      </c>
      <c r="AV1176" s="596" t="str">
        <f t="shared" si="5548"/>
        <v>#ERROR!</v>
      </c>
      <c r="AW1176" s="596" t="str">
        <f t="shared" si="5548"/>
        <v>#ERROR!</v>
      </c>
      <c r="AX1176" s="596" t="str">
        <f t="shared" si="5548"/>
        <v>#ERROR!</v>
      </c>
      <c r="AY1176" s="596" t="str">
        <f t="shared" si="5548"/>
        <v>#ERROR!</v>
      </c>
      <c r="AZ1176" s="596" t="str">
        <f t="shared" si="5548"/>
        <v>#ERROR!</v>
      </c>
      <c r="BA1176" s="596" t="str">
        <f t="shared" si="5548"/>
        <v>#ERROR!</v>
      </c>
      <c r="BB1176" s="596" t="str">
        <f t="shared" si="5548"/>
        <v>#ERROR!</v>
      </c>
      <c r="BC1176" s="596" t="str">
        <f t="shared" si="5548"/>
        <v>#ERROR!</v>
      </c>
      <c r="BD1176" s="596" t="str">
        <f t="shared" si="5548"/>
        <v>#ERROR!</v>
      </c>
      <c r="BE1176" s="596" t="str">
        <f t="shared" si="5548"/>
        <v>#ERROR!</v>
      </c>
      <c r="BF1176" s="596" t="str">
        <f t="shared" si="5548"/>
        <v>#ERROR!</v>
      </c>
      <c r="BG1176" s="596" t="str">
        <f t="shared" si="5548"/>
        <v>#ERROR!</v>
      </c>
      <c r="BH1176" s="596" t="str">
        <f t="shared" si="5548"/>
        <v>#ERROR!</v>
      </c>
      <c r="BI1176" s="596" t="str">
        <f t="shared" si="5548"/>
        <v>#ERROR!</v>
      </c>
      <c r="BJ1176" s="596" t="str">
        <f t="shared" si="5548"/>
        <v>#ERROR!</v>
      </c>
      <c r="BK1176" s="596" t="str">
        <f t="shared" si="5548"/>
        <v>#ERROR!</v>
      </c>
      <c r="BL1176" s="596" t="str">
        <f t="shared" si="5548"/>
        <v>#ERROR!</v>
      </c>
      <c r="BM1176" s="596" t="str">
        <f t="shared" si="5548"/>
        <v>#ERROR!</v>
      </c>
      <c r="BN1176" s="596" t="str">
        <f t="shared" si="5548"/>
        <v>#ERROR!</v>
      </c>
      <c r="BO1176" s="596" t="str">
        <f t="shared" si="5548"/>
        <v>#ERROR!</v>
      </c>
      <c r="BP1176" s="596" t="str">
        <f t="shared" si="5548"/>
        <v>#ERROR!</v>
      </c>
      <c r="BQ1176" s="596" t="str">
        <f t="shared" si="5548"/>
        <v>#ERROR!</v>
      </c>
      <c r="BR1176" s="596" t="str">
        <f t="shared" si="5548"/>
        <v>#ERROR!</v>
      </c>
      <c r="BS1176" s="596" t="str">
        <f t="shared" si="5548"/>
        <v>#ERROR!</v>
      </c>
      <c r="BT1176" s="596" t="str">
        <f t="shared" si="5548"/>
        <v>#ERROR!</v>
      </c>
      <c r="BU1176" s="596" t="str">
        <f t="shared" si="5548"/>
        <v>#ERROR!</v>
      </c>
      <c r="BV1176" s="596" t="str">
        <f t="shared" si="5548"/>
        <v>#ERROR!</v>
      </c>
      <c r="BW1176" s="596" t="str">
        <f t="shared" si="5548"/>
        <v>#ERROR!</v>
      </c>
      <c r="BX1176" s="596" t="str">
        <f t="shared" si="5548"/>
        <v>#ERROR!</v>
      </c>
      <c r="BY1176" s="596" t="str">
        <f t="shared" si="5548"/>
        <v>#ERROR!</v>
      </c>
      <c r="BZ1176" s="597" t="str">
        <f t="shared" si="5548"/>
        <v>#ERROR!</v>
      </c>
      <c r="CA1176" s="596" t="str">
        <f t="shared" si="5548"/>
        <v>#ERROR!</v>
      </c>
      <c r="CB1176" s="596" t="str">
        <f t="shared" si="5548"/>
        <v>#ERROR!</v>
      </c>
      <c r="CC1176" s="596" t="str">
        <f t="shared" si="5548"/>
        <v>#ERROR!</v>
      </c>
      <c r="CD1176" s="596" t="str">
        <f t="shared" si="5548"/>
        <v>#ERROR!</v>
      </c>
      <c r="CE1176" s="597" t="str">
        <f t="shared" si="5548"/>
        <v>#ERROR!</v>
      </c>
      <c r="CF1176" s="596" t="str">
        <f t="shared" si="5548"/>
        <v>#ERROR!</v>
      </c>
      <c r="CG1176" s="596" t="str">
        <f t="shared" si="5548"/>
        <v>#ERROR!</v>
      </c>
      <c r="CH1176" s="596" t="str">
        <f t="shared" si="5548"/>
        <v>#ERROR!</v>
      </c>
      <c r="CI1176" s="596" t="str">
        <f t="shared" si="5548"/>
        <v>#ERROR!</v>
      </c>
      <c r="CJ1176" s="597" t="str">
        <f t="shared" si="5548"/>
        <v>#ERROR!</v>
      </c>
      <c r="CK1176" s="596" t="str">
        <f t="shared" si="5548"/>
        <v>#ERROR!</v>
      </c>
      <c r="CL1176" s="596" t="str">
        <f t="shared" si="5548"/>
        <v>#ERROR!</v>
      </c>
      <c r="CM1176" s="596" t="str">
        <f t="shared" si="5548"/>
        <v>#ERROR!</v>
      </c>
      <c r="CN1176" s="595" t="str">
        <f t="shared" si="5548"/>
        <v>#ERROR!</v>
      </c>
      <c r="CO1176" s="597" t="str">
        <f t="shared" si="5548"/>
        <v>#ERROR!</v>
      </c>
      <c r="CP1176" s="595" t="str">
        <f t="shared" si="5548"/>
        <v>#ERROR!</v>
      </c>
      <c r="CQ1176" s="596" t="str">
        <f t="shared" si="5548"/>
        <v>#ERROR!</v>
      </c>
      <c r="CR1176" s="596" t="str">
        <f t="shared" si="5548"/>
        <v>#ERROR!</v>
      </c>
      <c r="CS1176" s="596" t="str">
        <f t="shared" si="5548"/>
        <v>#ERROR!</v>
      </c>
      <c r="CT1176" s="597" t="str">
        <f t="shared" si="5548"/>
        <v>#ERROR!</v>
      </c>
      <c r="CU1176" s="596" t="str">
        <f t="shared" si="5548"/>
        <v>#ERROR!</v>
      </c>
      <c r="CV1176" s="596" t="str">
        <f t="shared" si="5548"/>
        <v>#ERROR!</v>
      </c>
      <c r="CW1176" s="596" t="str">
        <f t="shared" si="5548"/>
        <v>#ERROR!</v>
      </c>
      <c r="CX1176" s="596" t="str">
        <f t="shared" si="5548"/>
        <v>#ERROR!</v>
      </c>
      <c r="CY1176" s="597" t="str">
        <f t="shared" si="5548"/>
        <v>#ERROR!</v>
      </c>
      <c r="CZ1176" s="596" t="str">
        <f t="shared" si="5548"/>
        <v>#ERROR!</v>
      </c>
      <c r="DA1176" s="596" t="str">
        <f t="shared" si="5548"/>
        <v>#ERROR!</v>
      </c>
      <c r="DB1176" s="596" t="str">
        <f t="shared" si="5548"/>
        <v>#ERROR!</v>
      </c>
      <c r="DC1176" s="596" t="str">
        <f t="shared" si="5548"/>
        <v>#ERROR!</v>
      </c>
      <c r="DD1176" s="597" t="str">
        <f t="shared" si="5548"/>
        <v>#ERROR!</v>
      </c>
      <c r="DE1176" s="596" t="str">
        <f t="shared" si="5548"/>
        <v>#ERROR!</v>
      </c>
      <c r="DF1176" s="596" t="str">
        <f t="shared" si="5548"/>
        <v>#ERROR!</v>
      </c>
      <c r="DG1176" s="104" t="str">
        <f t="shared" si="5548"/>
        <v>#ERROR!</v>
      </c>
      <c r="DH1176" s="596" t="str">
        <f t="shared" si="5548"/>
        <v>#ERROR!</v>
      </c>
      <c r="DI1176" s="597" t="str">
        <f t="shared" si="5548"/>
        <v>#ERROR!</v>
      </c>
      <c r="DJ1176" s="595" t="str">
        <f t="shared" si="5548"/>
        <v>#ERROR!</v>
      </c>
      <c r="DK1176" s="595" t="str">
        <f t="shared" si="5548"/>
        <v>#ERROR!</v>
      </c>
      <c r="DL1176" s="595" t="str">
        <f t="shared" si="5548"/>
        <v>#ERROR!</v>
      </c>
      <c r="DM1176" s="596" t="str">
        <f t="shared" si="5548"/>
        <v>#ERROR!</v>
      </c>
      <c r="DN1176" s="597" t="str">
        <f t="shared" si="5548"/>
        <v>#ERROR!</v>
      </c>
      <c r="DO1176" s="596" t="str">
        <f t="shared" si="5548"/>
        <v>#ERROR!</v>
      </c>
      <c r="DP1176" s="596" t="str">
        <f t="shared" si="5548"/>
        <v>#ERROR!</v>
      </c>
      <c r="DQ1176" s="596" t="str">
        <f t="shared" si="5548"/>
        <v>#ERROR!</v>
      </c>
      <c r="DR1176" s="596" t="str">
        <f t="shared" si="5548"/>
        <v>#ERROR!</v>
      </c>
      <c r="DS1176" s="597" t="str">
        <f t="shared" si="5548"/>
        <v>#ERROR!</v>
      </c>
      <c r="DT1176" s="596" t="str">
        <f t="shared" si="5548"/>
        <v>#ERROR!</v>
      </c>
      <c r="DU1176" s="596" t="str">
        <f t="shared" si="5548"/>
        <v>#ERROR!</v>
      </c>
      <c r="DV1176" s="596" t="str">
        <f t="shared" si="5548"/>
        <v>#ERROR!</v>
      </c>
      <c r="DW1176" s="596" t="str">
        <f t="shared" si="5548"/>
        <v>#ERROR!</v>
      </c>
      <c r="DX1176" s="597" t="str">
        <f t="shared" si="5548"/>
        <v>#ERROR!</v>
      </c>
      <c r="DY1176" s="596" t="str">
        <f t="shared" si="5548"/>
        <v>#ERROR!</v>
      </c>
      <c r="DZ1176" s="596" t="str">
        <f t="shared" si="5548"/>
        <v>#ERROR!</v>
      </c>
      <c r="EA1176" s="596" t="str">
        <f t="shared" si="5548"/>
        <v>#ERROR!</v>
      </c>
      <c r="EB1176" s="596" t="str">
        <f t="shared" si="5548"/>
        <v>#ERROR!</v>
      </c>
      <c r="EC1176" s="597" t="str">
        <f t="shared" si="5548"/>
        <v>#ERROR!</v>
      </c>
      <c r="ED1176" s="596" t="str">
        <f t="shared" si="5548"/>
        <v>#ERROR!</v>
      </c>
      <c r="EE1176" s="596" t="str">
        <f t="shared" si="5548"/>
        <v>#ERROR!</v>
      </c>
      <c r="EF1176" s="596" t="str">
        <f t="shared" si="5548"/>
        <v>#ERROR!</v>
      </c>
      <c r="EG1176" s="596" t="str">
        <f t="shared" si="5548"/>
        <v>#ERROR!</v>
      </c>
      <c r="EH1176" s="597" t="str">
        <f t="shared" si="5548"/>
        <v>#ERROR!</v>
      </c>
      <c r="EI1176" s="598" t="str">
        <f t="shared" si="5548"/>
        <v>#ERROR!</v>
      </c>
      <c r="EJ1176" s="596" t="str">
        <f t="shared" si="5548"/>
        <v>#ERROR!</v>
      </c>
      <c r="EK1176" s="596" t="str">
        <f t="shared" si="5548"/>
        <v>#ERROR!</v>
      </c>
      <c r="EL1176" s="596" t="str">
        <f t="shared" si="5548"/>
        <v>#ERROR!</v>
      </c>
      <c r="EM1176" s="597" t="str">
        <f t="shared" si="5548"/>
        <v>#ERROR!</v>
      </c>
      <c r="EN1176" s="596" t="str">
        <f t="shared" si="5548"/>
        <v>#ERROR!</v>
      </c>
      <c r="EO1176" s="596" t="str">
        <f t="shared" si="5548"/>
        <v>#ERROR!</v>
      </c>
      <c r="EP1176" s="596" t="str">
        <f t="shared" si="5548"/>
        <v>#ERROR!</v>
      </c>
      <c r="EQ1176" s="596" t="str">
        <f t="shared" si="5548"/>
        <v>#ERROR!</v>
      </c>
      <c r="ER1176" s="597" t="str">
        <f t="shared" si="5548"/>
        <v>#ERROR!</v>
      </c>
      <c r="ES1176" s="596" t="str">
        <f t="shared" si="5548"/>
        <v>#ERROR!</v>
      </c>
      <c r="ET1176" s="596" t="str">
        <f t="shared" si="5548"/>
        <v>#ERROR!</v>
      </c>
      <c r="EU1176" s="596" t="str">
        <f t="shared" si="5548"/>
        <v>#ERROR!</v>
      </c>
      <c r="EV1176" s="596" t="str">
        <f t="shared" si="5548"/>
        <v>#ERROR!</v>
      </c>
      <c r="EW1176" s="597" t="str">
        <f t="shared" si="5548"/>
        <v>#ERROR!</v>
      </c>
      <c r="EX1176" s="596" t="str">
        <f t="shared" si="5548"/>
        <v>#ERROR!</v>
      </c>
      <c r="EY1176" s="596" t="str">
        <f t="shared" si="5548"/>
        <v>#ERROR!</v>
      </c>
      <c r="EZ1176" s="596" t="str">
        <f t="shared" si="5548"/>
        <v>#ERROR!</v>
      </c>
      <c r="FA1176" s="596" t="str">
        <f t="shared" si="5548"/>
        <v>#ERROR!</v>
      </c>
      <c r="FB1176" s="597" t="str">
        <f t="shared" si="5548"/>
        <v>#ERROR!</v>
      </c>
      <c r="FC1176" s="596" t="str">
        <f t="shared" si="5548"/>
        <v>#ERROR!</v>
      </c>
      <c r="FD1176" s="596" t="str">
        <f t="shared" si="5548"/>
        <v>#ERROR!</v>
      </c>
      <c r="FE1176" s="596" t="str">
        <f t="shared" si="5548"/>
        <v>#ERROR!</v>
      </c>
      <c r="FF1176" s="596" t="str">
        <f t="shared" si="5548"/>
        <v>#ERROR!</v>
      </c>
      <c r="FG1176" s="597" t="str">
        <f t="shared" si="5548"/>
        <v>#ERROR!</v>
      </c>
      <c r="FH1176" s="595"/>
      <c r="FI1176" s="596"/>
      <c r="FJ1176" s="596"/>
      <c r="FK1176" s="596"/>
      <c r="FL1176" s="596"/>
    </row>
    <row r="1177" ht="12.75" hidden="1" customHeight="1" outlineLevel="2">
      <c r="A1177" s="4"/>
      <c r="B1177" s="4"/>
      <c r="C1177" s="4"/>
      <c r="D1177" s="4"/>
      <c r="E1177" s="4"/>
      <c r="F1177" s="4"/>
      <c r="G1177" s="4"/>
      <c r="H1177" s="45"/>
      <c r="I1177" s="4"/>
      <c r="J1177" s="4"/>
      <c r="K1177" s="4"/>
      <c r="L1177" s="4"/>
      <c r="M1177" s="45"/>
      <c r="N1177" s="4"/>
      <c r="O1177" s="4"/>
      <c r="P1177" s="4"/>
      <c r="Q1177" s="4"/>
      <c r="R1177" s="45"/>
      <c r="S1177" s="4"/>
      <c r="T1177" s="4"/>
      <c r="U1177" s="4"/>
      <c r="V1177" s="4"/>
      <c r="W1177" s="45"/>
      <c r="X1177" s="4"/>
      <c r="Y1177" s="4"/>
      <c r="Z1177" s="4"/>
      <c r="AA1177" s="4"/>
      <c r="AB1177" s="45"/>
      <c r="AC1177" s="4"/>
      <c r="AD1177" s="4"/>
      <c r="AE1177" s="4"/>
      <c r="AF1177" s="4"/>
      <c r="AG1177" s="45"/>
      <c r="AH1177" s="4"/>
      <c r="AI1177" s="4"/>
      <c r="AJ1177" s="4"/>
      <c r="AK1177" s="4"/>
      <c r="AL1177" s="45"/>
      <c r="AM1177" s="4"/>
      <c r="AN1177" s="4"/>
      <c r="AO1177" s="4"/>
      <c r="AP1177" s="4"/>
      <c r="AQ1177" s="45"/>
      <c r="AR1177" s="4"/>
      <c r="AS1177" s="4"/>
      <c r="AT1177" s="4"/>
      <c r="AU1177" s="4"/>
      <c r="AV1177" s="45"/>
      <c r="AW1177" s="4"/>
      <c r="AX1177" s="4"/>
      <c r="AY1177" s="4"/>
      <c r="AZ1177" s="4"/>
      <c r="BA1177" s="45"/>
      <c r="BB1177" s="4"/>
      <c r="BC1177" s="4"/>
      <c r="BD1177" s="4"/>
      <c r="BE1177" s="4"/>
      <c r="BF1177" s="45"/>
      <c r="BG1177" s="4"/>
      <c r="BH1177" s="4"/>
      <c r="BI1177" s="4"/>
      <c r="BJ1177" s="4"/>
      <c r="BK1177" s="45"/>
      <c r="BL1177" s="4"/>
      <c r="BM1177" s="4"/>
      <c r="BN1177" s="4"/>
      <c r="BO1177" s="4"/>
      <c r="BP1177" s="45"/>
      <c r="BQ1177" s="4"/>
      <c r="BR1177" s="4"/>
      <c r="BS1177" s="4"/>
      <c r="BT1177" s="4"/>
      <c r="BU1177" s="45"/>
      <c r="BV1177" s="4"/>
      <c r="BW1177" s="4"/>
      <c r="BX1177" s="4"/>
      <c r="BY1177" s="4"/>
      <c r="BZ1177" s="350"/>
      <c r="CA1177" s="4"/>
      <c r="CB1177" s="4"/>
      <c r="CC1177" s="4"/>
      <c r="CD1177" s="4"/>
      <c r="CE1177" s="350"/>
      <c r="CF1177" s="4"/>
      <c r="CG1177" s="4"/>
      <c r="CH1177" s="4"/>
      <c r="CI1177" s="4"/>
      <c r="CJ1177" s="350"/>
      <c r="CK1177" s="4"/>
      <c r="CL1177" s="4"/>
      <c r="CM1177" s="4"/>
      <c r="CN1177" s="16"/>
      <c r="CO1177" s="350"/>
      <c r="CP1177" s="16"/>
      <c r="CQ1177" s="4"/>
      <c r="CR1177" s="4"/>
      <c r="CS1177" s="4"/>
      <c r="CT1177" s="350"/>
      <c r="CU1177" s="4"/>
      <c r="CV1177" s="4"/>
      <c r="CW1177" s="4"/>
      <c r="CX1177" s="4"/>
      <c r="CY1177" s="350"/>
      <c r="CZ1177" s="4"/>
      <c r="DA1177" s="4"/>
      <c r="DB1177" s="4"/>
      <c r="DC1177" s="4"/>
      <c r="DD1177" s="350"/>
      <c r="DE1177" s="4"/>
      <c r="DF1177" s="4"/>
      <c r="DG1177" s="16"/>
      <c r="DH1177" s="4"/>
      <c r="DI1177" s="350"/>
      <c r="DJ1177" s="16"/>
      <c r="DK1177" s="16"/>
      <c r="DL1177" s="16"/>
      <c r="DM1177" s="4"/>
      <c r="DN1177" s="350"/>
      <c r="DO1177" s="4"/>
      <c r="DP1177" s="4"/>
      <c r="DQ1177" s="4"/>
      <c r="DR1177" s="4"/>
      <c r="DS1177" s="350"/>
      <c r="DT1177" s="4"/>
      <c r="DU1177" s="4"/>
      <c r="DV1177" s="4"/>
      <c r="DW1177" s="4"/>
      <c r="DX1177" s="350"/>
      <c r="DY1177" s="4"/>
      <c r="DZ1177" s="4"/>
      <c r="EA1177" s="4"/>
      <c r="EB1177" s="4"/>
      <c r="EC1177" s="350"/>
      <c r="ED1177" s="4"/>
      <c r="EE1177" s="4"/>
      <c r="EF1177" s="4"/>
      <c r="EG1177" s="4"/>
      <c r="EH1177" s="350"/>
      <c r="EI1177" s="214"/>
      <c r="EJ1177" s="4"/>
      <c r="EK1177" s="4"/>
      <c r="EL1177" s="4"/>
      <c r="EM1177" s="350"/>
      <c r="EN1177" s="4"/>
      <c r="EO1177" s="4"/>
      <c r="EP1177" s="4"/>
      <c r="EQ1177" s="4"/>
      <c r="ER1177" s="350"/>
      <c r="ES1177" s="4"/>
      <c r="ET1177" s="4"/>
      <c r="EU1177" s="4"/>
      <c r="EV1177" s="4"/>
      <c r="EW1177" s="350"/>
      <c r="EX1177" s="4"/>
      <c r="EY1177" s="4"/>
      <c r="EZ1177" s="4"/>
      <c r="FA1177" s="4"/>
      <c r="FB1177" s="350"/>
      <c r="FC1177" s="4"/>
      <c r="FD1177" s="4"/>
      <c r="FE1177" s="4"/>
      <c r="FF1177" s="4"/>
      <c r="FG1177" s="350"/>
      <c r="FH1177" s="145"/>
      <c r="FI1177" s="4"/>
      <c r="FJ1177" s="4"/>
      <c r="FK1177" s="45"/>
      <c r="FL1177" s="4"/>
    </row>
    <row r="1178" ht="12.75" hidden="1" customHeight="1" outlineLevel="1">
      <c r="A1178" s="4"/>
      <c r="B1178" s="45" t="s">
        <v>443</v>
      </c>
      <c r="C1178" s="4"/>
      <c r="D1178" s="735"/>
      <c r="E1178" s="735"/>
      <c r="F1178" s="735"/>
      <c r="G1178" s="735"/>
      <c r="H1178" s="735"/>
      <c r="I1178" s="735"/>
      <c r="J1178" s="735"/>
      <c r="K1178" s="735"/>
      <c r="L1178" s="735"/>
      <c r="M1178" s="735"/>
      <c r="N1178" s="735"/>
      <c r="O1178" s="735"/>
      <c r="P1178" s="735"/>
      <c r="Q1178" s="735"/>
      <c r="R1178" s="735"/>
      <c r="S1178" s="735"/>
      <c r="T1178" s="735"/>
      <c r="U1178" s="735"/>
      <c r="V1178" s="735"/>
      <c r="W1178" s="735"/>
      <c r="X1178" s="735"/>
      <c r="Y1178" s="735"/>
      <c r="Z1178" s="735"/>
      <c r="AA1178" s="735"/>
      <c r="AB1178" s="735"/>
      <c r="AC1178" s="735" t="str">
        <f t="shared" ref="AC1178:FG1178" si="5549">1000*AC1171/AC1160</f>
        <v>#ERROR!</v>
      </c>
      <c r="AD1178" s="735" t="str">
        <f t="shared" si="5549"/>
        <v>#ERROR!</v>
      </c>
      <c r="AE1178" s="735" t="str">
        <f t="shared" si="5549"/>
        <v>#ERROR!</v>
      </c>
      <c r="AF1178" s="735" t="str">
        <f t="shared" si="5549"/>
        <v>#ERROR!</v>
      </c>
      <c r="AG1178" s="735" t="str">
        <f t="shared" si="5549"/>
        <v>#ERROR!</v>
      </c>
      <c r="AH1178" s="735" t="str">
        <f t="shared" si="5549"/>
        <v>#ERROR!</v>
      </c>
      <c r="AI1178" s="735" t="str">
        <f t="shared" si="5549"/>
        <v>#ERROR!</v>
      </c>
      <c r="AJ1178" s="735" t="str">
        <f t="shared" si="5549"/>
        <v>#ERROR!</v>
      </c>
      <c r="AK1178" s="735" t="str">
        <f t="shared" si="5549"/>
        <v>#ERROR!</v>
      </c>
      <c r="AL1178" s="735" t="str">
        <f t="shared" si="5549"/>
        <v>#ERROR!</v>
      </c>
      <c r="AM1178" s="735" t="str">
        <f t="shared" si="5549"/>
        <v>#ERROR!</v>
      </c>
      <c r="AN1178" s="735" t="str">
        <f t="shared" si="5549"/>
        <v>#ERROR!</v>
      </c>
      <c r="AO1178" s="735" t="str">
        <f t="shared" si="5549"/>
        <v>#ERROR!</v>
      </c>
      <c r="AP1178" s="735" t="str">
        <f t="shared" si="5549"/>
        <v>#ERROR!</v>
      </c>
      <c r="AQ1178" s="735" t="str">
        <f t="shared" si="5549"/>
        <v>#ERROR!</v>
      </c>
      <c r="AR1178" s="735" t="str">
        <f t="shared" si="5549"/>
        <v>#ERROR!</v>
      </c>
      <c r="AS1178" s="735" t="str">
        <f t="shared" si="5549"/>
        <v>#ERROR!</v>
      </c>
      <c r="AT1178" s="735" t="str">
        <f t="shared" si="5549"/>
        <v>#ERROR!</v>
      </c>
      <c r="AU1178" s="735" t="str">
        <f t="shared" si="5549"/>
        <v>#ERROR!</v>
      </c>
      <c r="AV1178" s="735" t="str">
        <f t="shared" si="5549"/>
        <v>#ERROR!</v>
      </c>
      <c r="AW1178" s="735" t="str">
        <f t="shared" si="5549"/>
        <v>#ERROR!</v>
      </c>
      <c r="AX1178" s="735" t="str">
        <f t="shared" si="5549"/>
        <v>#ERROR!</v>
      </c>
      <c r="AY1178" s="735" t="str">
        <f t="shared" si="5549"/>
        <v>#ERROR!</v>
      </c>
      <c r="AZ1178" s="735" t="str">
        <f t="shared" si="5549"/>
        <v>#ERROR!</v>
      </c>
      <c r="BA1178" s="735" t="str">
        <f t="shared" si="5549"/>
        <v>#ERROR!</v>
      </c>
      <c r="BB1178" s="735" t="str">
        <f t="shared" si="5549"/>
        <v>#ERROR!</v>
      </c>
      <c r="BC1178" s="735" t="str">
        <f t="shared" si="5549"/>
        <v>#ERROR!</v>
      </c>
      <c r="BD1178" s="735" t="str">
        <f t="shared" si="5549"/>
        <v>#ERROR!</v>
      </c>
      <c r="BE1178" s="735" t="str">
        <f t="shared" si="5549"/>
        <v>#ERROR!</v>
      </c>
      <c r="BF1178" s="735" t="str">
        <f t="shared" si="5549"/>
        <v>#ERROR!</v>
      </c>
      <c r="BG1178" s="735" t="str">
        <f t="shared" si="5549"/>
        <v>#ERROR!</v>
      </c>
      <c r="BH1178" s="735" t="str">
        <f t="shared" si="5549"/>
        <v>#ERROR!</v>
      </c>
      <c r="BI1178" s="735" t="str">
        <f t="shared" si="5549"/>
        <v>#ERROR!</v>
      </c>
      <c r="BJ1178" s="735" t="str">
        <f t="shared" si="5549"/>
        <v>#ERROR!</v>
      </c>
      <c r="BK1178" s="735" t="str">
        <f t="shared" si="5549"/>
        <v>#ERROR!</v>
      </c>
      <c r="BL1178" s="735" t="str">
        <f t="shared" si="5549"/>
        <v>#ERROR!</v>
      </c>
      <c r="BM1178" s="735" t="str">
        <f t="shared" si="5549"/>
        <v>#ERROR!</v>
      </c>
      <c r="BN1178" s="735" t="str">
        <f t="shared" si="5549"/>
        <v>#ERROR!</v>
      </c>
      <c r="BO1178" s="735" t="str">
        <f t="shared" si="5549"/>
        <v>#ERROR!</v>
      </c>
      <c r="BP1178" s="735" t="str">
        <f t="shared" si="5549"/>
        <v>#ERROR!</v>
      </c>
      <c r="BQ1178" s="735" t="str">
        <f t="shared" si="5549"/>
        <v>#ERROR!</v>
      </c>
      <c r="BR1178" s="735" t="str">
        <f t="shared" si="5549"/>
        <v>#ERROR!</v>
      </c>
      <c r="BS1178" s="735" t="str">
        <f t="shared" si="5549"/>
        <v>#ERROR!</v>
      </c>
      <c r="BT1178" s="735" t="str">
        <f t="shared" si="5549"/>
        <v>#ERROR!</v>
      </c>
      <c r="BU1178" s="735" t="str">
        <f t="shared" si="5549"/>
        <v>#ERROR!</v>
      </c>
      <c r="BV1178" s="735" t="str">
        <f t="shared" si="5549"/>
        <v>#ERROR!</v>
      </c>
      <c r="BW1178" s="735" t="str">
        <f t="shared" si="5549"/>
        <v>#ERROR!</v>
      </c>
      <c r="BX1178" s="735" t="str">
        <f t="shared" si="5549"/>
        <v>#ERROR!</v>
      </c>
      <c r="BY1178" s="735" t="str">
        <f t="shared" si="5549"/>
        <v>#ERROR!</v>
      </c>
      <c r="BZ1178" s="736" t="str">
        <f t="shared" si="5549"/>
        <v>#ERROR!</v>
      </c>
      <c r="CA1178" s="735" t="str">
        <f t="shared" si="5549"/>
        <v>#ERROR!</v>
      </c>
      <c r="CB1178" s="735" t="str">
        <f t="shared" si="5549"/>
        <v>#ERROR!</v>
      </c>
      <c r="CC1178" s="735" t="str">
        <f t="shared" si="5549"/>
        <v>#ERROR!</v>
      </c>
      <c r="CD1178" s="735" t="str">
        <f t="shared" si="5549"/>
        <v>#ERROR!</v>
      </c>
      <c r="CE1178" s="736" t="str">
        <f t="shared" si="5549"/>
        <v>#ERROR!</v>
      </c>
      <c r="CF1178" s="735" t="str">
        <f t="shared" si="5549"/>
        <v>#ERROR!</v>
      </c>
      <c r="CG1178" s="735" t="str">
        <f t="shared" si="5549"/>
        <v>#ERROR!</v>
      </c>
      <c r="CH1178" s="735" t="str">
        <f t="shared" si="5549"/>
        <v>#ERROR!</v>
      </c>
      <c r="CI1178" s="735" t="str">
        <f t="shared" si="5549"/>
        <v>#ERROR!</v>
      </c>
      <c r="CJ1178" s="736" t="str">
        <f t="shared" si="5549"/>
        <v>#ERROR!</v>
      </c>
      <c r="CK1178" s="735" t="str">
        <f t="shared" si="5549"/>
        <v>#ERROR!</v>
      </c>
      <c r="CL1178" s="735" t="str">
        <f t="shared" si="5549"/>
        <v>#ERROR!</v>
      </c>
      <c r="CM1178" s="735" t="str">
        <f t="shared" si="5549"/>
        <v>#ERROR!</v>
      </c>
      <c r="CN1178" s="737" t="str">
        <f t="shared" si="5549"/>
        <v>#ERROR!</v>
      </c>
      <c r="CO1178" s="736" t="str">
        <f t="shared" si="5549"/>
        <v>#ERROR!</v>
      </c>
      <c r="CP1178" s="737" t="str">
        <f t="shared" si="5549"/>
        <v>#ERROR!</v>
      </c>
      <c r="CQ1178" s="735" t="str">
        <f t="shared" si="5549"/>
        <v>#ERROR!</v>
      </c>
      <c r="CR1178" s="735" t="str">
        <f t="shared" si="5549"/>
        <v>#ERROR!</v>
      </c>
      <c r="CS1178" s="735" t="str">
        <f t="shared" si="5549"/>
        <v>#ERROR!</v>
      </c>
      <c r="CT1178" s="736" t="str">
        <f t="shared" si="5549"/>
        <v>#ERROR!</v>
      </c>
      <c r="CU1178" s="735" t="str">
        <f t="shared" si="5549"/>
        <v>#ERROR!</v>
      </c>
      <c r="CV1178" s="735" t="str">
        <f t="shared" si="5549"/>
        <v>#ERROR!</v>
      </c>
      <c r="CW1178" s="735" t="str">
        <f t="shared" si="5549"/>
        <v>#ERROR!</v>
      </c>
      <c r="CX1178" s="735" t="str">
        <f t="shared" si="5549"/>
        <v>#ERROR!</v>
      </c>
      <c r="CY1178" s="736" t="str">
        <f t="shared" si="5549"/>
        <v>#ERROR!</v>
      </c>
      <c r="CZ1178" s="735" t="str">
        <f t="shared" si="5549"/>
        <v>#ERROR!</v>
      </c>
      <c r="DA1178" s="735" t="str">
        <f t="shared" si="5549"/>
        <v>#ERROR!</v>
      </c>
      <c r="DB1178" s="735" t="str">
        <f t="shared" si="5549"/>
        <v>#ERROR!</v>
      </c>
      <c r="DC1178" s="735" t="str">
        <f t="shared" si="5549"/>
        <v>#ERROR!</v>
      </c>
      <c r="DD1178" s="736" t="str">
        <f t="shared" si="5549"/>
        <v>#ERROR!</v>
      </c>
      <c r="DE1178" s="735" t="str">
        <f t="shared" si="5549"/>
        <v>#ERROR!</v>
      </c>
      <c r="DF1178" s="735" t="str">
        <f t="shared" si="5549"/>
        <v>#ERROR!</v>
      </c>
      <c r="DG1178" s="667" t="str">
        <f t="shared" si="5549"/>
        <v>#ERROR!</v>
      </c>
      <c r="DH1178" s="735" t="str">
        <f t="shared" si="5549"/>
        <v>#ERROR!</v>
      </c>
      <c r="DI1178" s="736" t="str">
        <f t="shared" si="5549"/>
        <v>#ERROR!</v>
      </c>
      <c r="DJ1178" s="737" t="str">
        <f t="shared" si="5549"/>
        <v>#ERROR!</v>
      </c>
      <c r="DK1178" s="737" t="str">
        <f t="shared" si="5549"/>
        <v>#ERROR!</v>
      </c>
      <c r="DL1178" s="737" t="str">
        <f t="shared" si="5549"/>
        <v>#ERROR!</v>
      </c>
      <c r="DM1178" s="735" t="str">
        <f t="shared" si="5549"/>
        <v>#ERROR!</v>
      </c>
      <c r="DN1178" s="736" t="str">
        <f t="shared" si="5549"/>
        <v>#ERROR!</v>
      </c>
      <c r="DO1178" s="735" t="str">
        <f t="shared" si="5549"/>
        <v>#ERROR!</v>
      </c>
      <c r="DP1178" s="735" t="str">
        <f t="shared" si="5549"/>
        <v>#ERROR!</v>
      </c>
      <c r="DQ1178" s="735" t="str">
        <f t="shared" si="5549"/>
        <v>#ERROR!</v>
      </c>
      <c r="DR1178" s="735" t="str">
        <f t="shared" si="5549"/>
        <v>#ERROR!</v>
      </c>
      <c r="DS1178" s="736" t="str">
        <f t="shared" si="5549"/>
        <v>#ERROR!</v>
      </c>
      <c r="DT1178" s="735" t="str">
        <f t="shared" si="5549"/>
        <v>#ERROR!</v>
      </c>
      <c r="DU1178" s="735" t="str">
        <f t="shared" si="5549"/>
        <v>#ERROR!</v>
      </c>
      <c r="DV1178" s="735" t="str">
        <f t="shared" si="5549"/>
        <v>#ERROR!</v>
      </c>
      <c r="DW1178" s="735" t="str">
        <f t="shared" si="5549"/>
        <v>#ERROR!</v>
      </c>
      <c r="DX1178" s="736" t="str">
        <f t="shared" si="5549"/>
        <v>#ERROR!</v>
      </c>
      <c r="DY1178" s="735" t="str">
        <f t="shared" si="5549"/>
        <v>#ERROR!</v>
      </c>
      <c r="DZ1178" s="735" t="str">
        <f t="shared" si="5549"/>
        <v>#ERROR!</v>
      </c>
      <c r="EA1178" s="735" t="str">
        <f t="shared" si="5549"/>
        <v>#ERROR!</v>
      </c>
      <c r="EB1178" s="735" t="str">
        <f t="shared" si="5549"/>
        <v>#ERROR!</v>
      </c>
      <c r="EC1178" s="736" t="str">
        <f t="shared" si="5549"/>
        <v>#ERROR!</v>
      </c>
      <c r="ED1178" s="735" t="str">
        <f t="shared" si="5549"/>
        <v>#ERROR!</v>
      </c>
      <c r="EE1178" s="735" t="str">
        <f t="shared" si="5549"/>
        <v>#ERROR!</v>
      </c>
      <c r="EF1178" s="735" t="str">
        <f t="shared" si="5549"/>
        <v>#ERROR!</v>
      </c>
      <c r="EG1178" s="735" t="str">
        <f t="shared" si="5549"/>
        <v>#ERROR!</v>
      </c>
      <c r="EH1178" s="736" t="str">
        <f t="shared" si="5549"/>
        <v>#ERROR!</v>
      </c>
      <c r="EI1178" s="738" t="str">
        <f t="shared" si="5549"/>
        <v>#ERROR!</v>
      </c>
      <c r="EJ1178" s="735" t="str">
        <f t="shared" si="5549"/>
        <v>#ERROR!</v>
      </c>
      <c r="EK1178" s="735" t="str">
        <f t="shared" si="5549"/>
        <v>#ERROR!</v>
      </c>
      <c r="EL1178" s="735" t="str">
        <f t="shared" si="5549"/>
        <v>#ERROR!</v>
      </c>
      <c r="EM1178" s="736" t="str">
        <f t="shared" si="5549"/>
        <v>#ERROR!</v>
      </c>
      <c r="EN1178" s="735" t="str">
        <f t="shared" si="5549"/>
        <v>#ERROR!</v>
      </c>
      <c r="EO1178" s="735" t="str">
        <f t="shared" si="5549"/>
        <v>#ERROR!</v>
      </c>
      <c r="EP1178" s="735" t="str">
        <f t="shared" si="5549"/>
        <v>#ERROR!</v>
      </c>
      <c r="EQ1178" s="735" t="str">
        <f t="shared" si="5549"/>
        <v>#ERROR!</v>
      </c>
      <c r="ER1178" s="736" t="str">
        <f t="shared" si="5549"/>
        <v>#ERROR!</v>
      </c>
      <c r="ES1178" s="735" t="str">
        <f t="shared" si="5549"/>
        <v>#ERROR!</v>
      </c>
      <c r="ET1178" s="735" t="str">
        <f t="shared" si="5549"/>
        <v>#ERROR!</v>
      </c>
      <c r="EU1178" s="735" t="str">
        <f t="shared" si="5549"/>
        <v>#ERROR!</v>
      </c>
      <c r="EV1178" s="735" t="str">
        <f t="shared" si="5549"/>
        <v>#ERROR!</v>
      </c>
      <c r="EW1178" s="736" t="str">
        <f t="shared" si="5549"/>
        <v>#ERROR!</v>
      </c>
      <c r="EX1178" s="735" t="str">
        <f t="shared" si="5549"/>
        <v>#ERROR!</v>
      </c>
      <c r="EY1178" s="735" t="str">
        <f t="shared" si="5549"/>
        <v>#ERROR!</v>
      </c>
      <c r="EZ1178" s="735" t="str">
        <f t="shared" si="5549"/>
        <v>#ERROR!</v>
      </c>
      <c r="FA1178" s="735" t="str">
        <f t="shared" si="5549"/>
        <v>#ERROR!</v>
      </c>
      <c r="FB1178" s="736" t="str">
        <f t="shared" si="5549"/>
        <v>#ERROR!</v>
      </c>
      <c r="FC1178" s="735" t="str">
        <f t="shared" si="5549"/>
        <v>#ERROR!</v>
      </c>
      <c r="FD1178" s="735" t="str">
        <f t="shared" si="5549"/>
        <v>#ERROR!</v>
      </c>
      <c r="FE1178" s="735" t="str">
        <f t="shared" si="5549"/>
        <v>#ERROR!</v>
      </c>
      <c r="FF1178" s="735" t="str">
        <f t="shared" si="5549"/>
        <v>#ERROR!</v>
      </c>
      <c r="FG1178" s="736" t="str">
        <f t="shared" si="5549"/>
        <v>#ERROR!</v>
      </c>
      <c r="FH1178" s="737"/>
      <c r="FI1178" s="735"/>
      <c r="FJ1178" s="735"/>
      <c r="FK1178" s="735"/>
      <c r="FL1178" s="735"/>
    </row>
    <row r="1179" ht="12.75" hidden="1" customHeight="1" outlineLevel="1">
      <c r="A1179" s="4"/>
      <c r="B1179" s="4" t="s">
        <v>444</v>
      </c>
      <c r="C1179" s="4"/>
      <c r="D1179" s="377"/>
      <c r="E1179" s="377"/>
      <c r="F1179" s="377"/>
      <c r="G1179" s="377"/>
      <c r="H1179" s="665"/>
      <c r="I1179" s="377"/>
      <c r="J1179" s="377"/>
      <c r="K1179" s="377"/>
      <c r="L1179" s="377"/>
      <c r="M1179" s="665"/>
      <c r="N1179" s="377"/>
      <c r="O1179" s="377" t="str">
        <f>serverBlendedASP</f>
        <v>#ERROR!</v>
      </c>
      <c r="P1179" s="377" t="str">
        <f>serverBlendedASP</f>
        <v>#ERROR!</v>
      </c>
      <c r="Q1179" s="377" t="str">
        <f>serverBlendedASP</f>
        <v>#ERROR!</v>
      </c>
      <c r="R1179" s="665" t="str">
        <f>serverBlendedASP</f>
        <v>#ERROR!</v>
      </c>
      <c r="S1179" s="377" t="str">
        <f>serverBlendedASP</f>
        <v>#ERROR!</v>
      </c>
      <c r="T1179" s="377" t="str">
        <f>serverBlendedASP</f>
        <v>#ERROR!</v>
      </c>
      <c r="U1179" s="377" t="str">
        <f>serverBlendedASP</f>
        <v>#ERROR!</v>
      </c>
      <c r="V1179" s="377" t="str">
        <f>serverBlendedASP</f>
        <v>#ERROR!</v>
      </c>
      <c r="W1179" s="665" t="str">
        <f>serverBlendedASP</f>
        <v>#ERROR!</v>
      </c>
      <c r="X1179" s="377" t="str">
        <f>serverBlendedASP</f>
        <v>#ERROR!</v>
      </c>
      <c r="Y1179" s="377" t="str">
        <f>serverBlendedASP</f>
        <v>#ERROR!</v>
      </c>
      <c r="Z1179" s="377" t="str">
        <f>serverBlendedASP</f>
        <v>#ERROR!</v>
      </c>
      <c r="AA1179" s="377" t="str">
        <f>serverBlendedASP</f>
        <v>#ERROR!</v>
      </c>
      <c r="AB1179" s="665" t="str">
        <f>serverBlendedASP</f>
        <v>#ERROR!</v>
      </c>
      <c r="AC1179" s="377" t="str">
        <f>serverBlendedASP</f>
        <v>#ERROR!</v>
      </c>
      <c r="AD1179" s="377" t="str">
        <f>serverBlendedASP</f>
        <v>#ERROR!</v>
      </c>
      <c r="AE1179" s="377" t="str">
        <f>serverBlendedASP</f>
        <v>#ERROR!</v>
      </c>
      <c r="AF1179" s="377" t="str">
        <f>serverBlendedASP</f>
        <v>#ERROR!</v>
      </c>
      <c r="AG1179" s="665" t="str">
        <f>serverBlendedASP</f>
        <v>#ERROR!</v>
      </c>
      <c r="AH1179" s="377" t="str">
        <f>serverBlendedASP</f>
        <v>#ERROR!</v>
      </c>
      <c r="AI1179" s="377" t="str">
        <f>serverBlendedASP</f>
        <v>#ERROR!</v>
      </c>
      <c r="AJ1179" s="377" t="str">
        <f>serverBlendedASP</f>
        <v>#ERROR!</v>
      </c>
      <c r="AK1179" s="377" t="str">
        <f>serverBlendedASP</f>
        <v>#ERROR!</v>
      </c>
      <c r="AL1179" s="665" t="str">
        <f>serverBlendedASP</f>
        <v>#ERROR!</v>
      </c>
      <c r="AM1179" s="377" t="str">
        <f>serverBlendedASP</f>
        <v>#ERROR!</v>
      </c>
      <c r="AN1179" s="377" t="str">
        <f>serverBlendedASP</f>
        <v>#ERROR!</v>
      </c>
      <c r="AO1179" s="377" t="str">
        <f>serverBlendedASP</f>
        <v>#ERROR!</v>
      </c>
      <c r="AP1179" s="377" t="str">
        <f>serverBlendedASP</f>
        <v>#ERROR!</v>
      </c>
      <c r="AQ1179" s="665" t="str">
        <f>serverBlendedASP</f>
        <v>#ERROR!</v>
      </c>
      <c r="AR1179" s="377" t="str">
        <f>serverBlendedASP</f>
        <v>#ERROR!</v>
      </c>
      <c r="AS1179" s="377" t="str">
        <f>serverBlendedASP</f>
        <v>#ERROR!</v>
      </c>
      <c r="AT1179" s="377" t="str">
        <f>serverBlendedASP</f>
        <v>#ERROR!</v>
      </c>
      <c r="AU1179" s="377" t="str">
        <f>serverBlendedASP</f>
        <v>#ERROR!</v>
      </c>
      <c r="AV1179" s="665" t="str">
        <f>serverBlendedASP</f>
        <v>#ERROR!</v>
      </c>
      <c r="AW1179" s="377" t="str">
        <f>serverBlendedASP</f>
        <v>#ERROR!</v>
      </c>
      <c r="AX1179" s="377" t="str">
        <f>serverBlendedASP</f>
        <v>#ERROR!</v>
      </c>
      <c r="AY1179" s="377" t="str">
        <f>serverBlendedASP</f>
        <v>#ERROR!</v>
      </c>
      <c r="AZ1179" s="377" t="str">
        <f>serverBlendedASP</f>
        <v>#ERROR!</v>
      </c>
      <c r="BA1179" s="665" t="str">
        <f>serverBlendedASP</f>
        <v>#ERROR!</v>
      </c>
      <c r="BB1179" s="377" t="str">
        <f>serverBlendedASP</f>
        <v>#ERROR!</v>
      </c>
      <c r="BC1179" s="377" t="str">
        <f>serverBlendedASP</f>
        <v>#ERROR!</v>
      </c>
      <c r="BD1179" s="377" t="str">
        <f>serverBlendedASP</f>
        <v>#ERROR!</v>
      </c>
      <c r="BE1179" s="377" t="str">
        <f>serverBlendedASP</f>
        <v>#ERROR!</v>
      </c>
      <c r="BF1179" s="665" t="str">
        <f>serverBlendedASP</f>
        <v>#ERROR!</v>
      </c>
      <c r="BG1179" s="377" t="str">
        <f>serverBlendedASP</f>
        <v>#ERROR!</v>
      </c>
      <c r="BH1179" s="377" t="str">
        <f>serverBlendedASP</f>
        <v>#ERROR!</v>
      </c>
      <c r="BI1179" s="377" t="str">
        <f>serverBlendedASP</f>
        <v>#ERROR!</v>
      </c>
      <c r="BJ1179" s="377" t="str">
        <f>serverBlendedASP</f>
        <v>#ERROR!</v>
      </c>
      <c r="BK1179" s="665" t="str">
        <f>serverBlendedASP</f>
        <v>#ERROR!</v>
      </c>
      <c r="BL1179" s="377" t="str">
        <f>serverBlendedASP</f>
        <v>#ERROR!</v>
      </c>
      <c r="BM1179" s="377" t="str">
        <f>serverBlendedASP</f>
        <v>#ERROR!</v>
      </c>
      <c r="BN1179" s="377" t="str">
        <f>serverBlendedASP</f>
        <v>#ERROR!</v>
      </c>
      <c r="BO1179" s="377" t="str">
        <f>serverBlendedASP</f>
        <v>#ERROR!</v>
      </c>
      <c r="BP1179" s="665" t="str">
        <f>serverBlendedASP</f>
        <v>#ERROR!</v>
      </c>
      <c r="BQ1179" s="377" t="str">
        <f>serverBlendedASP</f>
        <v>#ERROR!</v>
      </c>
      <c r="BR1179" s="377" t="str">
        <f>serverBlendedASP</f>
        <v>#ERROR!</v>
      </c>
      <c r="BS1179" s="377" t="str">
        <f>serverBlendedASP</f>
        <v>#ERROR!</v>
      </c>
      <c r="BT1179" s="377" t="str">
        <f>serverBlendedASP</f>
        <v>#ERROR!</v>
      </c>
      <c r="BU1179" s="665" t="str">
        <f>serverBlendedASP</f>
        <v>#ERROR!</v>
      </c>
      <c r="BV1179" s="377" t="str">
        <f>serverBlendedASP</f>
        <v>#ERROR!</v>
      </c>
      <c r="BW1179" s="377" t="str">
        <f>serverBlendedASP</f>
        <v>#ERROR!</v>
      </c>
      <c r="BX1179" s="377" t="str">
        <f>serverBlendedASP</f>
        <v>#ERROR!</v>
      </c>
      <c r="BY1179" s="377" t="str">
        <f>serverBlendedASP</f>
        <v>#ERROR!</v>
      </c>
      <c r="BZ1179" s="666" t="str">
        <f>serverBlendedASP</f>
        <v>#ERROR!</v>
      </c>
      <c r="CA1179" s="377" t="str">
        <f>serverBlendedASP</f>
        <v>#ERROR!</v>
      </c>
      <c r="CB1179" s="377" t="str">
        <f>serverBlendedASP</f>
        <v>#ERROR!</v>
      </c>
      <c r="CC1179" s="377" t="str">
        <f>serverBlendedASP</f>
        <v>#ERROR!</v>
      </c>
      <c r="CD1179" s="377" t="str">
        <f>serverBlendedASP</f>
        <v>#ERROR!</v>
      </c>
      <c r="CE1179" s="666" t="str">
        <f>serverBlendedASP</f>
        <v>#ERROR!</v>
      </c>
      <c r="CF1179" s="377" t="str">
        <f>serverBlendedASP</f>
        <v>#ERROR!</v>
      </c>
      <c r="CG1179" s="377" t="str">
        <f>serverBlendedASP</f>
        <v>#ERROR!</v>
      </c>
      <c r="CH1179" s="377" t="str">
        <f>serverBlendedASP</f>
        <v>#ERROR!</v>
      </c>
      <c r="CI1179" s="377" t="str">
        <f>serverBlendedASP</f>
        <v>#ERROR!</v>
      </c>
      <c r="CJ1179" s="666" t="str">
        <f>serverBlendedASP</f>
        <v>#ERROR!</v>
      </c>
      <c r="CK1179" s="377" t="str">
        <f>serverBlendedASP</f>
        <v>#ERROR!</v>
      </c>
      <c r="CL1179" s="377" t="str">
        <f>serverBlendedASP</f>
        <v>#ERROR!</v>
      </c>
      <c r="CM1179" s="377" t="str">
        <f>serverBlendedASP</f>
        <v>#ERROR!</v>
      </c>
      <c r="CN1179" s="440" t="str">
        <f>serverBlendedASP</f>
        <v>#ERROR!</v>
      </c>
      <c r="CO1179" s="666" t="str">
        <f>serverBlendedASP</f>
        <v>#ERROR!</v>
      </c>
      <c r="CP1179" s="440" t="str">
        <f>serverBlendedASP</f>
        <v>#ERROR!</v>
      </c>
      <c r="CQ1179" s="377" t="str">
        <f>serverBlendedASP</f>
        <v>#ERROR!</v>
      </c>
      <c r="CR1179" s="377" t="str">
        <f>serverBlendedASP</f>
        <v>#ERROR!</v>
      </c>
      <c r="CS1179" s="377" t="str">
        <f>serverBlendedASP</f>
        <v>#ERROR!</v>
      </c>
      <c r="CT1179" s="666" t="str">
        <f>serverBlendedASP</f>
        <v>#ERROR!</v>
      </c>
      <c r="CU1179" s="377" t="str">
        <f>serverBlendedASP</f>
        <v>#ERROR!</v>
      </c>
      <c r="CV1179" s="377" t="str">
        <f>serverBlendedASP</f>
        <v>#ERROR!</v>
      </c>
      <c r="CW1179" s="377" t="str">
        <f>serverBlendedASP</f>
        <v>#ERROR!</v>
      </c>
      <c r="CX1179" s="377" t="str">
        <f>serverBlendedASP</f>
        <v>#ERROR!</v>
      </c>
      <c r="CY1179" s="666" t="str">
        <f>serverBlendedASP</f>
        <v>#ERROR!</v>
      </c>
      <c r="CZ1179" s="377" t="str">
        <f>serverBlendedASP</f>
        <v>#ERROR!</v>
      </c>
      <c r="DA1179" s="377" t="str">
        <f>serverBlendedASP</f>
        <v>#ERROR!</v>
      </c>
      <c r="DB1179" s="377" t="str">
        <f>serverBlendedASP</f>
        <v>#ERROR!</v>
      </c>
      <c r="DC1179" s="377" t="str">
        <f>serverBlendedASP</f>
        <v>#ERROR!</v>
      </c>
      <c r="DD1179" s="666" t="str">
        <f>serverBlendedASP</f>
        <v>#ERROR!</v>
      </c>
      <c r="DE1179" s="377" t="str">
        <f>serverBlendedASP</f>
        <v>#ERROR!</v>
      </c>
      <c r="DF1179" s="377" t="str">
        <f>serverBlendedASP</f>
        <v>#ERROR!</v>
      </c>
      <c r="DG1179" s="440" t="str">
        <f>serverBlendedASP</f>
        <v>#ERROR!</v>
      </c>
      <c r="DH1179" s="377" t="str">
        <f>serverBlendedASP</f>
        <v>#ERROR!</v>
      </c>
      <c r="DI1179" s="666" t="str">
        <f>serverBlendedASP</f>
        <v>#ERROR!</v>
      </c>
      <c r="DJ1179" s="440" t="str">
        <f>serverBlendedASP</f>
        <v>#ERROR!</v>
      </c>
      <c r="DK1179" s="440" t="str">
        <f>serverBlendedASP</f>
        <v>#ERROR!</v>
      </c>
      <c r="DL1179" s="440" t="str">
        <f>serverBlendedASP</f>
        <v>#ERROR!</v>
      </c>
      <c r="DM1179" s="377" t="str">
        <f>serverBlendedASP</f>
        <v>#ERROR!</v>
      </c>
      <c r="DN1179" s="666" t="str">
        <f>serverBlendedASP</f>
        <v>#ERROR!</v>
      </c>
      <c r="DO1179" s="377" t="str">
        <f>serverBlendedASP</f>
        <v>#ERROR!</v>
      </c>
      <c r="DP1179" s="377" t="str">
        <f>serverBlendedASP</f>
        <v>#ERROR!</v>
      </c>
      <c r="DQ1179" s="377" t="str">
        <f>serverBlendedASP</f>
        <v>#ERROR!</v>
      </c>
      <c r="DR1179" s="377" t="str">
        <f>serverBlendedASP</f>
        <v>#ERROR!</v>
      </c>
      <c r="DS1179" s="666" t="str">
        <f>serverBlendedASP</f>
        <v>#ERROR!</v>
      </c>
      <c r="DT1179" s="377" t="str">
        <f>serverBlendedASP</f>
        <v>#ERROR!</v>
      </c>
      <c r="DU1179" s="377" t="str">
        <f>serverBlendedASP</f>
        <v>#ERROR!</v>
      </c>
      <c r="DV1179" s="377" t="str">
        <f>serverBlendedASP</f>
        <v>#ERROR!</v>
      </c>
      <c r="DW1179" s="377" t="str">
        <f>serverBlendedASP</f>
        <v>#ERROR!</v>
      </c>
      <c r="DX1179" s="666" t="str">
        <f>serverBlendedASP</f>
        <v>#ERROR!</v>
      </c>
      <c r="DY1179" s="377" t="str">
        <f>serverBlendedASP</f>
        <v>#ERROR!</v>
      </c>
      <c r="DZ1179" s="377" t="str">
        <f>serverBlendedASP</f>
        <v>#ERROR!</v>
      </c>
      <c r="EA1179" s="377" t="str">
        <f>serverBlendedASP</f>
        <v>#ERROR!</v>
      </c>
      <c r="EB1179" s="377" t="str">
        <f>serverBlendedASP</f>
        <v>#ERROR!</v>
      </c>
      <c r="EC1179" s="666" t="str">
        <f>serverBlendedASP</f>
        <v>#ERROR!</v>
      </c>
      <c r="ED1179" s="377" t="str">
        <f>serverBlendedASP</f>
        <v>#ERROR!</v>
      </c>
      <c r="EE1179" s="377" t="str">
        <f>serverBlendedASP</f>
        <v>#ERROR!</v>
      </c>
      <c r="EF1179" s="377" t="str">
        <f>serverBlendedASP</f>
        <v>#ERROR!</v>
      </c>
      <c r="EG1179" s="377" t="str">
        <f>serverBlendedASP</f>
        <v>#ERROR!</v>
      </c>
      <c r="EH1179" s="666" t="str">
        <f>serverBlendedASP</f>
        <v>#ERROR!</v>
      </c>
      <c r="EI1179" s="442" t="str">
        <f>serverBlendedASP</f>
        <v>#ERROR!</v>
      </c>
      <c r="EJ1179" s="377" t="str">
        <f>serverBlendedASP</f>
        <v>#ERROR!</v>
      </c>
      <c r="EK1179" s="377" t="str">
        <f>serverBlendedASP</f>
        <v>#ERROR!</v>
      </c>
      <c r="EL1179" s="377" t="str">
        <f>serverBlendedASP</f>
        <v>#ERROR!</v>
      </c>
      <c r="EM1179" s="666" t="str">
        <f>serverBlendedASP</f>
        <v>#ERROR!</v>
      </c>
      <c r="EN1179" s="377" t="str">
        <f>serverBlendedASP</f>
        <v>#ERROR!</v>
      </c>
      <c r="EO1179" s="377" t="str">
        <f>serverBlendedASP</f>
        <v>#ERROR!</v>
      </c>
      <c r="EP1179" s="377" t="str">
        <f>serverBlendedASP</f>
        <v>#ERROR!</v>
      </c>
      <c r="EQ1179" s="377" t="str">
        <f>serverBlendedASP</f>
        <v>#ERROR!</v>
      </c>
      <c r="ER1179" s="666" t="str">
        <f>serverBlendedASP</f>
        <v>#ERROR!</v>
      </c>
      <c r="ES1179" s="377" t="str">
        <f>serverBlendedASP</f>
        <v>#ERROR!</v>
      </c>
      <c r="ET1179" s="377" t="str">
        <f>serverBlendedASP</f>
        <v>#ERROR!</v>
      </c>
      <c r="EU1179" s="377" t="str">
        <f>serverBlendedASP</f>
        <v>#ERROR!</v>
      </c>
      <c r="EV1179" s="377" t="str">
        <f>serverBlendedASP</f>
        <v>#ERROR!</v>
      </c>
      <c r="EW1179" s="666" t="str">
        <f>serverBlendedASP</f>
        <v>#ERROR!</v>
      </c>
      <c r="EX1179" s="377" t="str">
        <f>serverBlendedASP</f>
        <v>#ERROR!</v>
      </c>
      <c r="EY1179" s="377" t="str">
        <f>serverBlendedASP</f>
        <v>#ERROR!</v>
      </c>
      <c r="EZ1179" s="377" t="str">
        <f>serverBlendedASP</f>
        <v>#ERROR!</v>
      </c>
      <c r="FA1179" s="377" t="str">
        <f>serverBlendedASP</f>
        <v>#ERROR!</v>
      </c>
      <c r="FB1179" s="666" t="str">
        <f>serverBlendedASP</f>
        <v>#ERROR!</v>
      </c>
      <c r="FC1179" s="377" t="str">
        <f>serverBlendedASP</f>
        <v>#ERROR!</v>
      </c>
      <c r="FD1179" s="377" t="str">
        <f>serverBlendedASP</f>
        <v>#ERROR!</v>
      </c>
      <c r="FE1179" s="377" t="str">
        <f>serverBlendedASP</f>
        <v>#ERROR!</v>
      </c>
      <c r="FF1179" s="377" t="str">
        <f>serverBlendedASP</f>
        <v>#ERROR!</v>
      </c>
      <c r="FG1179" s="666" t="str">
        <f>serverBlendedASP</f>
        <v>#ERROR!</v>
      </c>
      <c r="FH1179" s="667"/>
      <c r="FI1179" s="377"/>
      <c r="FJ1179" s="377"/>
      <c r="FK1179" s="665"/>
      <c r="FL1179" s="377"/>
    </row>
    <row r="1180" ht="12.75" hidden="1" customHeight="1" outlineLevel="1">
      <c r="A1180" s="4"/>
      <c r="B1180" s="4" t="s">
        <v>445</v>
      </c>
      <c r="C1180" s="4"/>
      <c r="D1180" s="377"/>
      <c r="E1180" s="377"/>
      <c r="F1180" s="377"/>
      <c r="G1180" s="377"/>
      <c r="H1180" s="665"/>
      <c r="I1180" s="377"/>
      <c r="J1180" s="377"/>
      <c r="K1180" s="377"/>
      <c r="L1180" s="377"/>
      <c r="M1180" s="665"/>
      <c r="N1180" s="377"/>
      <c r="O1180" s="377" t="e">
        <v>#REF!</v>
      </c>
      <c r="P1180" s="377" t="e">
        <v>#REF!</v>
      </c>
      <c r="Q1180" s="377" t="e">
        <v>#REF!</v>
      </c>
      <c r="R1180" s="665" t="e">
        <v>#REF!</v>
      </c>
      <c r="S1180" s="377" t="e">
        <v>#REF!</v>
      </c>
      <c r="T1180" s="377" t="e">
        <v>#REF!</v>
      </c>
      <c r="U1180" s="377" t="e">
        <v>#REF!</v>
      </c>
      <c r="V1180" s="377" t="e">
        <v>#REF!</v>
      </c>
      <c r="W1180" s="665" t="e">
        <v>#REF!</v>
      </c>
      <c r="X1180" s="377" t="e">
        <v>#REF!</v>
      </c>
      <c r="Y1180" s="377" t="e">
        <v>#REF!</v>
      </c>
      <c r="Z1180" s="377" t="e">
        <v>#REF!</v>
      </c>
      <c r="AA1180" s="377" t="e">
        <v>#REF!</v>
      </c>
      <c r="AB1180" s="665" t="e">
        <v>#REF!</v>
      </c>
      <c r="AC1180" s="377" t="e">
        <v>#REF!</v>
      </c>
      <c r="AD1180" s="377" t="e">
        <v>#REF!</v>
      </c>
      <c r="AE1180" s="377" t="e">
        <v>#REF!</v>
      </c>
      <c r="AF1180" s="377" t="e">
        <v>#REF!</v>
      </c>
      <c r="AG1180" s="665" t="e">
        <v>#REF!</v>
      </c>
      <c r="AH1180" s="377" t="e">
        <v>#REF!</v>
      </c>
      <c r="AI1180" s="377" t="e">
        <v>#REF!</v>
      </c>
      <c r="AJ1180" s="377" t="e">
        <v>#REF!</v>
      </c>
      <c r="AK1180" s="377" t="e">
        <v>#REF!</v>
      </c>
      <c r="AL1180" s="665" t="e">
        <v>#REF!</v>
      </c>
      <c r="AM1180" s="377" t="e">
        <v>#REF!</v>
      </c>
      <c r="AN1180" s="377" t="e">
        <v>#REF!</v>
      </c>
      <c r="AO1180" s="377" t="e">
        <v>#REF!</v>
      </c>
      <c r="AP1180" s="377" t="e">
        <v>#REF!</v>
      </c>
      <c r="AQ1180" s="665" t="e">
        <v>#REF!</v>
      </c>
      <c r="AR1180" s="377" t="e">
        <v>#REF!</v>
      </c>
      <c r="AS1180" s="377" t="e">
        <v>#REF!</v>
      </c>
      <c r="AT1180" s="377" t="e">
        <v>#REF!</v>
      </c>
      <c r="AU1180" s="377" t="e">
        <v>#REF!</v>
      </c>
      <c r="AV1180" s="665" t="e">
        <v>#REF!</v>
      </c>
      <c r="AW1180" s="377" t="e">
        <v>#REF!</v>
      </c>
      <c r="AX1180" s="377" t="e">
        <v>#REF!</v>
      </c>
      <c r="AY1180" s="377" t="e">
        <v>#REF!</v>
      </c>
      <c r="AZ1180" s="377" t="e">
        <v>#REF!</v>
      </c>
      <c r="BA1180" s="665" t="e">
        <v>#REF!</v>
      </c>
      <c r="BB1180" s="377" t="e">
        <v>#REF!</v>
      </c>
      <c r="BC1180" s="377" t="e">
        <v>#REF!</v>
      </c>
      <c r="BD1180" s="377" t="e">
        <v>#REF!</v>
      </c>
      <c r="BE1180" s="377" t="e">
        <v>#REF!</v>
      </c>
      <c r="BF1180" s="665" t="e">
        <v>#REF!</v>
      </c>
      <c r="BG1180" s="377" t="e">
        <v>#REF!</v>
      </c>
      <c r="BH1180" s="377" t="e">
        <v>#REF!</v>
      </c>
      <c r="BI1180" s="377" t="e">
        <v>#REF!</v>
      </c>
      <c r="BJ1180" s="377" t="e">
        <v>#REF!</v>
      </c>
      <c r="BK1180" s="665" t="e">
        <v>#REF!</v>
      </c>
      <c r="BL1180" s="377" t="e">
        <v>#REF!</v>
      </c>
      <c r="BM1180" s="377" t="e">
        <v>#REF!</v>
      </c>
      <c r="BN1180" s="377" t="e">
        <v>#REF!</v>
      </c>
      <c r="BO1180" s="377" t="e">
        <v>#REF!</v>
      </c>
      <c r="BP1180" s="665" t="e">
        <v>#REF!</v>
      </c>
      <c r="BQ1180" s="377" t="e">
        <v>#REF!</v>
      </c>
      <c r="BR1180" s="377" t="e">
        <v>#REF!</v>
      </c>
      <c r="BS1180" s="377" t="e">
        <v>#REF!</v>
      </c>
      <c r="BT1180" s="377" t="e">
        <v>#REF!</v>
      </c>
      <c r="BU1180" s="665" t="e">
        <v>#REF!</v>
      </c>
      <c r="BV1180" s="377" t="e">
        <v>#REF!</v>
      </c>
      <c r="BW1180" s="377" t="e">
        <v>#REF!</v>
      </c>
      <c r="BX1180" s="377" t="e">
        <v>#REF!</v>
      </c>
      <c r="BY1180" s="377" t="e">
        <v>#REF!</v>
      </c>
      <c r="BZ1180" s="666" t="e">
        <v>#REF!</v>
      </c>
      <c r="CA1180" s="377" t="e">
        <v>#REF!</v>
      </c>
      <c r="CB1180" s="377" t="e">
        <v>#REF!</v>
      </c>
      <c r="CC1180" s="377" t="e">
        <v>#REF!</v>
      </c>
      <c r="CD1180" s="377" t="e">
        <v>#REF!</v>
      </c>
      <c r="CE1180" s="666" t="e">
        <v>#REF!</v>
      </c>
      <c r="CF1180" s="377" t="e">
        <v>#REF!</v>
      </c>
      <c r="CG1180" s="377" t="e">
        <v>#REF!</v>
      </c>
      <c r="CH1180" s="377" t="e">
        <v>#REF!</v>
      </c>
      <c r="CI1180" s="377" t="e">
        <v>#REF!</v>
      </c>
      <c r="CJ1180" s="666" t="e">
        <v>#REF!</v>
      </c>
      <c r="CK1180" s="377" t="e">
        <v>#REF!</v>
      </c>
      <c r="CL1180" s="377" t="e">
        <v>#REF!</v>
      </c>
      <c r="CM1180" s="377" t="e">
        <v>#REF!</v>
      </c>
      <c r="CN1180" s="440" t="e">
        <v>#REF!</v>
      </c>
      <c r="CO1180" s="666" t="e">
        <v>#REF!</v>
      </c>
      <c r="CP1180" s="440" t="e">
        <v>#REF!</v>
      </c>
      <c r="CQ1180" s="377" t="e">
        <v>#REF!</v>
      </c>
      <c r="CR1180" s="377" t="e">
        <v>#REF!</v>
      </c>
      <c r="CS1180" s="377" t="e">
        <v>#REF!</v>
      </c>
      <c r="CT1180" s="666" t="e">
        <v>#REF!</v>
      </c>
      <c r="CU1180" s="377" t="e">
        <v>#REF!</v>
      </c>
      <c r="CV1180" s="377" t="e">
        <v>#REF!</v>
      </c>
      <c r="CW1180" s="377" t="e">
        <v>#REF!</v>
      </c>
      <c r="CX1180" s="377" t="e">
        <v>#REF!</v>
      </c>
      <c r="CY1180" s="666" t="e">
        <v>#REF!</v>
      </c>
      <c r="CZ1180" s="377" t="e">
        <v>#REF!</v>
      </c>
      <c r="DA1180" s="377" t="e">
        <v>#REF!</v>
      </c>
      <c r="DB1180" s="377" t="e">
        <v>#REF!</v>
      </c>
      <c r="DC1180" s="377" t="e">
        <v>#REF!</v>
      </c>
      <c r="DD1180" s="666" t="e">
        <v>#REF!</v>
      </c>
      <c r="DE1180" s="377" t="e">
        <v>#REF!</v>
      </c>
      <c r="DF1180" s="377" t="e">
        <v>#REF!</v>
      </c>
      <c r="DG1180" s="440" t="e">
        <v>#REF!</v>
      </c>
      <c r="DH1180" s="377" t="e">
        <v>#REF!</v>
      </c>
      <c r="DI1180" s="666" t="e">
        <v>#REF!</v>
      </c>
      <c r="DJ1180" s="440" t="e">
        <v>#REF!</v>
      </c>
      <c r="DK1180" s="440" t="e">
        <v>#REF!</v>
      </c>
      <c r="DL1180" s="440" t="e">
        <v>#REF!</v>
      </c>
      <c r="DM1180" s="377" t="e">
        <v>#REF!</v>
      </c>
      <c r="DN1180" s="666" t="e">
        <v>#REF!</v>
      </c>
      <c r="DO1180" s="377" t="e">
        <v>#REF!</v>
      </c>
      <c r="DP1180" s="377" t="e">
        <v>#REF!</v>
      </c>
      <c r="DQ1180" s="377" t="e">
        <v>#REF!</v>
      </c>
      <c r="DR1180" s="377" t="e">
        <v>#REF!</v>
      </c>
      <c r="DS1180" s="666" t="e">
        <v>#REF!</v>
      </c>
      <c r="DT1180" s="377" t="e">
        <v>#REF!</v>
      </c>
      <c r="DU1180" s="377" t="e">
        <v>#REF!</v>
      </c>
      <c r="DV1180" s="377" t="e">
        <v>#REF!</v>
      </c>
      <c r="DW1180" s="377" t="e">
        <v>#REF!</v>
      </c>
      <c r="DX1180" s="666" t="e">
        <v>#REF!</v>
      </c>
      <c r="DY1180" s="377" t="e">
        <v>#REF!</v>
      </c>
      <c r="DZ1180" s="377" t="e">
        <v>#REF!</v>
      </c>
      <c r="EA1180" s="377" t="e">
        <v>#REF!</v>
      </c>
      <c r="EB1180" s="377" t="e">
        <v>#REF!</v>
      </c>
      <c r="EC1180" s="666" t="e">
        <v>#REF!</v>
      </c>
      <c r="ED1180" s="377" t="e">
        <v>#REF!</v>
      </c>
      <c r="EE1180" s="377" t="e">
        <v>#REF!</v>
      </c>
      <c r="EF1180" s="377" t="e">
        <v>#REF!</v>
      </c>
      <c r="EG1180" s="377" t="e">
        <v>#REF!</v>
      </c>
      <c r="EH1180" s="666" t="e">
        <v>#REF!</v>
      </c>
      <c r="EI1180" s="442" t="e">
        <v>#REF!</v>
      </c>
      <c r="EJ1180" s="377" t="e">
        <v>#REF!</v>
      </c>
      <c r="EK1180" s="377" t="e">
        <v>#REF!</v>
      </c>
      <c r="EL1180" s="377" t="e">
        <v>#REF!</v>
      </c>
      <c r="EM1180" s="666" t="e">
        <v>#REF!</v>
      </c>
      <c r="EN1180" s="377" t="e">
        <v>#REF!</v>
      </c>
      <c r="EO1180" s="377" t="e">
        <v>#REF!</v>
      </c>
      <c r="EP1180" s="377" t="e">
        <v>#REF!</v>
      </c>
      <c r="EQ1180" s="377" t="e">
        <v>#REF!</v>
      </c>
      <c r="ER1180" s="666" t="e">
        <v>#REF!</v>
      </c>
      <c r="ES1180" s="377" t="e">
        <v>#REF!</v>
      </c>
      <c r="ET1180" s="377" t="e">
        <v>#REF!</v>
      </c>
      <c r="EU1180" s="377" t="e">
        <v>#REF!</v>
      </c>
      <c r="EV1180" s="377" t="e">
        <v>#REF!</v>
      </c>
      <c r="EW1180" s="666" t="e">
        <v>#REF!</v>
      </c>
      <c r="EX1180" s="377" t="e">
        <v>#REF!</v>
      </c>
      <c r="EY1180" s="377" t="e">
        <v>#REF!</v>
      </c>
      <c r="EZ1180" s="377" t="e">
        <v>#REF!</v>
      </c>
      <c r="FA1180" s="377" t="e">
        <v>#REF!</v>
      </c>
      <c r="FB1180" s="666" t="e">
        <v>#REF!</v>
      </c>
      <c r="FC1180" s="377" t="e">
        <v>#REF!</v>
      </c>
      <c r="FD1180" s="377" t="e">
        <v>#REF!</v>
      </c>
      <c r="FE1180" s="377" t="e">
        <v>#REF!</v>
      </c>
      <c r="FF1180" s="377" t="e">
        <v>#REF!</v>
      </c>
      <c r="FG1180" s="666" t="e">
        <v>#REF!</v>
      </c>
      <c r="FH1180" s="667"/>
      <c r="FI1180" s="377"/>
      <c r="FJ1180" s="377"/>
      <c r="FK1180" s="665"/>
      <c r="FL1180" s="377"/>
    </row>
    <row r="1181" ht="12.75" hidden="1" customHeight="1" outlineLevel="1">
      <c r="A1181" s="4"/>
      <c r="B1181" s="4"/>
      <c r="C1181" s="4"/>
      <c r="D1181" s="4"/>
      <c r="E1181" s="4"/>
      <c r="F1181" s="4"/>
      <c r="G1181" s="4"/>
      <c r="H1181" s="8"/>
      <c r="I1181" s="4"/>
      <c r="J1181" s="4"/>
      <c r="K1181" s="4"/>
      <c r="L1181" s="4"/>
      <c r="M1181" s="8"/>
      <c r="N1181" s="4"/>
      <c r="O1181" s="4"/>
      <c r="P1181" s="4"/>
      <c r="Q1181" s="4"/>
      <c r="R1181" s="8"/>
      <c r="S1181" s="4"/>
      <c r="T1181" s="4"/>
      <c r="U1181" s="4"/>
      <c r="V1181" s="4"/>
      <c r="W1181" s="8"/>
      <c r="X1181" s="4"/>
      <c r="Y1181" s="4"/>
      <c r="Z1181" s="4"/>
      <c r="AA1181" s="4"/>
      <c r="AB1181" s="8"/>
      <c r="AC1181" s="4"/>
      <c r="AD1181" s="4"/>
      <c r="AE1181" s="4"/>
      <c r="AF1181" s="4"/>
      <c r="AG1181" s="8"/>
      <c r="AH1181" s="4"/>
      <c r="AI1181" s="4"/>
      <c r="AJ1181" s="4"/>
      <c r="AK1181" s="4"/>
      <c r="AL1181" s="8"/>
      <c r="AM1181" s="4"/>
      <c r="AN1181" s="4"/>
      <c r="AO1181" s="4"/>
      <c r="AP1181" s="4"/>
      <c r="AQ1181" s="8"/>
      <c r="AR1181" s="4"/>
      <c r="AS1181" s="4"/>
      <c r="AT1181" s="4"/>
      <c r="AU1181" s="4"/>
      <c r="AV1181" s="8"/>
      <c r="AW1181" s="4"/>
      <c r="AX1181" s="4"/>
      <c r="AY1181" s="4"/>
      <c r="AZ1181" s="4"/>
      <c r="BA1181" s="8"/>
      <c r="BB1181" s="4"/>
      <c r="BC1181" s="4"/>
      <c r="BD1181" s="4"/>
      <c r="BE1181" s="4"/>
      <c r="BF1181" s="8"/>
      <c r="BG1181" s="4"/>
      <c r="BH1181" s="4"/>
      <c r="BI1181" s="4"/>
      <c r="BJ1181" s="4"/>
      <c r="BK1181" s="8"/>
      <c r="BL1181" s="4"/>
      <c r="BM1181" s="4"/>
      <c r="BN1181" s="4"/>
      <c r="BO1181" s="4"/>
      <c r="BP1181" s="8"/>
      <c r="BQ1181" s="4"/>
      <c r="BR1181" s="4"/>
      <c r="BS1181" s="4"/>
      <c r="BT1181" s="4"/>
      <c r="BU1181" s="8"/>
      <c r="BV1181" s="4"/>
      <c r="BW1181" s="4"/>
      <c r="BX1181" s="4"/>
      <c r="BY1181" s="4"/>
      <c r="BZ1181" s="10"/>
      <c r="CA1181" s="4"/>
      <c r="CB1181" s="4"/>
      <c r="CC1181" s="4"/>
      <c r="CD1181" s="4"/>
      <c r="CE1181" s="10"/>
      <c r="CF1181" s="4"/>
      <c r="CG1181" s="4"/>
      <c r="CH1181" s="4"/>
      <c r="CI1181" s="4"/>
      <c r="CJ1181" s="10"/>
      <c r="CK1181" s="4"/>
      <c r="CL1181" s="4"/>
      <c r="CM1181" s="4"/>
      <c r="CN1181" s="16"/>
      <c r="CO1181" s="10"/>
      <c r="CP1181" s="16"/>
      <c r="CQ1181" s="4"/>
      <c r="CR1181" s="4"/>
      <c r="CS1181" s="4"/>
      <c r="CT1181" s="10"/>
      <c r="CU1181" s="4"/>
      <c r="CV1181" s="4"/>
      <c r="CW1181" s="4"/>
      <c r="CX1181" s="4"/>
      <c r="CY1181" s="10"/>
      <c r="CZ1181" s="4"/>
      <c r="DA1181" s="4"/>
      <c r="DB1181" s="4"/>
      <c r="DC1181" s="4"/>
      <c r="DD1181" s="10"/>
      <c r="DE1181" s="4"/>
      <c r="DF1181" s="4"/>
      <c r="DG1181" s="16"/>
      <c r="DH1181" s="4"/>
      <c r="DI1181" s="10"/>
      <c r="DJ1181" s="16"/>
      <c r="DK1181" s="16"/>
      <c r="DL1181" s="16"/>
      <c r="DM1181" s="4"/>
      <c r="DN1181" s="10"/>
      <c r="DO1181" s="4"/>
      <c r="DP1181" s="4"/>
      <c r="DQ1181" s="4"/>
      <c r="DR1181" s="4"/>
      <c r="DS1181" s="10"/>
      <c r="DT1181" s="4"/>
      <c r="DU1181" s="4"/>
      <c r="DV1181" s="4"/>
      <c r="DW1181" s="4"/>
      <c r="DX1181" s="10"/>
      <c r="DY1181" s="4"/>
      <c r="DZ1181" s="4"/>
      <c r="EA1181" s="4"/>
      <c r="EB1181" s="4"/>
      <c r="EC1181" s="10"/>
      <c r="ED1181" s="4"/>
      <c r="EE1181" s="4"/>
      <c r="EF1181" s="4"/>
      <c r="EG1181" s="4"/>
      <c r="EH1181" s="10"/>
      <c r="EI1181" s="214"/>
      <c r="EJ1181" s="4"/>
      <c r="EK1181" s="4"/>
      <c r="EL1181" s="4"/>
      <c r="EM1181" s="10"/>
      <c r="EN1181" s="4"/>
      <c r="EO1181" s="4"/>
      <c r="EP1181" s="4"/>
      <c r="EQ1181" s="4"/>
      <c r="ER1181" s="10"/>
      <c r="ES1181" s="4"/>
      <c r="ET1181" s="4"/>
      <c r="EU1181" s="4"/>
      <c r="EV1181" s="4"/>
      <c r="EW1181" s="10"/>
      <c r="EX1181" s="4"/>
      <c r="EY1181" s="4"/>
      <c r="EZ1181" s="4"/>
      <c r="FA1181" s="4"/>
      <c r="FB1181" s="10"/>
      <c r="FC1181" s="4"/>
      <c r="FD1181" s="4"/>
      <c r="FE1181" s="4"/>
      <c r="FF1181" s="4"/>
      <c r="FG1181" s="10"/>
      <c r="FH1181" s="21"/>
      <c r="FI1181" s="4"/>
      <c r="FJ1181" s="4"/>
      <c r="FK1181" s="8"/>
      <c r="FL1181" s="4"/>
    </row>
    <row r="1182" ht="12.75" hidden="1" customHeight="1" outlineLevel="1">
      <c r="A1182" s="4"/>
      <c r="B1182" s="299" t="s">
        <v>446</v>
      </c>
      <c r="C1182" s="90"/>
      <c r="D1182" s="728"/>
      <c r="E1182" s="728"/>
      <c r="F1182" s="728"/>
      <c r="G1182" s="728"/>
      <c r="H1182" s="729"/>
      <c r="I1182" s="728"/>
      <c r="J1182" s="728"/>
      <c r="K1182" s="728"/>
      <c r="L1182" s="728"/>
      <c r="M1182" s="729"/>
      <c r="N1182" s="728"/>
      <c r="O1182" s="728"/>
      <c r="P1182" s="728"/>
      <c r="Q1182" s="728"/>
      <c r="R1182" s="729"/>
      <c r="S1182" s="728"/>
      <c r="T1182" s="728"/>
      <c r="U1182" s="728"/>
      <c r="V1182" s="728"/>
      <c r="W1182" s="729"/>
      <c r="X1182" s="728"/>
      <c r="Y1182" s="728"/>
      <c r="Z1182" s="728"/>
      <c r="AA1182" s="728"/>
      <c r="AB1182" s="729"/>
      <c r="AC1182" s="728"/>
      <c r="AD1182" s="728"/>
      <c r="AE1182" s="728"/>
      <c r="AF1182" s="728"/>
      <c r="AG1182" s="729"/>
      <c r="AH1182" s="728"/>
      <c r="AI1182" s="728"/>
      <c r="AJ1182" s="728"/>
      <c r="AK1182" s="728"/>
      <c r="AL1182" s="729"/>
      <c r="AM1182" s="728"/>
      <c r="AN1182" s="728"/>
      <c r="AO1182" s="728"/>
      <c r="AP1182" s="728"/>
      <c r="AQ1182" s="729"/>
      <c r="AR1182" s="728"/>
      <c r="AS1182" s="728"/>
      <c r="AT1182" s="728"/>
      <c r="AU1182" s="728"/>
      <c r="AV1182" s="729"/>
      <c r="AW1182" s="728"/>
      <c r="AX1182" s="728"/>
      <c r="AY1182" s="728"/>
      <c r="AZ1182" s="728"/>
      <c r="BA1182" s="729"/>
      <c r="BB1182" s="728"/>
      <c r="BC1182" s="728"/>
      <c r="BD1182" s="728"/>
      <c r="BE1182" s="728"/>
      <c r="BF1182" s="729"/>
      <c r="BG1182" s="728"/>
      <c r="BH1182" s="728"/>
      <c r="BI1182" s="728"/>
      <c r="BJ1182" s="728"/>
      <c r="BK1182" s="729"/>
      <c r="BL1182" s="728"/>
      <c r="BM1182" s="728"/>
      <c r="BN1182" s="728"/>
      <c r="BO1182" s="728"/>
      <c r="BP1182" s="729"/>
      <c r="BQ1182" s="728"/>
      <c r="BR1182" s="728"/>
      <c r="BS1182" s="728"/>
      <c r="BT1182" s="728"/>
      <c r="BU1182" s="729"/>
      <c r="BV1182" s="728"/>
      <c r="BW1182" s="728"/>
      <c r="BX1182" s="728"/>
      <c r="BY1182" s="728"/>
      <c r="BZ1182" s="730"/>
      <c r="CA1182" s="728"/>
      <c r="CB1182" s="728"/>
      <c r="CC1182" s="728"/>
      <c r="CD1182" s="728"/>
      <c r="CE1182" s="730"/>
      <c r="CF1182" s="728"/>
      <c r="CG1182" s="728"/>
      <c r="CH1182" s="728"/>
      <c r="CI1182" s="728"/>
      <c r="CJ1182" s="730"/>
      <c r="CK1182" s="728"/>
      <c r="CL1182" s="728"/>
      <c r="CM1182" s="728"/>
      <c r="CN1182" s="731"/>
      <c r="CO1182" s="730"/>
      <c r="CP1182" s="731"/>
      <c r="CQ1182" s="728"/>
      <c r="CR1182" s="728"/>
      <c r="CS1182" s="728"/>
      <c r="CT1182" s="730"/>
      <c r="CU1182" s="728"/>
      <c r="CV1182" s="728"/>
      <c r="CW1182" s="728"/>
      <c r="CX1182" s="728"/>
      <c r="CY1182" s="730"/>
      <c r="CZ1182" s="728"/>
      <c r="DA1182" s="728"/>
      <c r="DB1182" s="728"/>
      <c r="DC1182" s="728"/>
      <c r="DD1182" s="730"/>
      <c r="DE1182" s="728"/>
      <c r="DF1182" s="728"/>
      <c r="DG1182" s="732"/>
      <c r="DH1182" s="728"/>
      <c r="DI1182" s="730"/>
      <c r="DJ1182" s="731"/>
      <c r="DK1182" s="731"/>
      <c r="DL1182" s="731"/>
      <c r="DM1182" s="728"/>
      <c r="DN1182" s="730"/>
      <c r="DO1182" s="728"/>
      <c r="DP1182" s="728"/>
      <c r="DQ1182" s="728"/>
      <c r="DR1182" s="728"/>
      <c r="DS1182" s="730"/>
      <c r="DT1182" s="728"/>
      <c r="DU1182" s="728"/>
      <c r="DV1182" s="728"/>
      <c r="DW1182" s="728"/>
      <c r="DX1182" s="730"/>
      <c r="DY1182" s="728"/>
      <c r="DZ1182" s="728"/>
      <c r="EA1182" s="728"/>
      <c r="EB1182" s="728"/>
      <c r="EC1182" s="730"/>
      <c r="ED1182" s="728"/>
      <c r="EE1182" s="728"/>
      <c r="EF1182" s="728"/>
      <c r="EG1182" s="728"/>
      <c r="EH1182" s="730"/>
      <c r="EI1182" s="733"/>
      <c r="EJ1182" s="728"/>
      <c r="EK1182" s="728"/>
      <c r="EL1182" s="728"/>
      <c r="EM1182" s="730"/>
      <c r="EN1182" s="728"/>
      <c r="EO1182" s="728"/>
      <c r="EP1182" s="728"/>
      <c r="EQ1182" s="728"/>
      <c r="ER1182" s="730"/>
      <c r="ES1182" s="728"/>
      <c r="ET1182" s="728"/>
      <c r="EU1182" s="728"/>
      <c r="EV1182" s="728"/>
      <c r="EW1182" s="730"/>
      <c r="EX1182" s="728"/>
      <c r="EY1182" s="728"/>
      <c r="EZ1182" s="728"/>
      <c r="FA1182" s="728"/>
      <c r="FB1182" s="730"/>
      <c r="FC1182" s="728"/>
      <c r="FD1182" s="728"/>
      <c r="FE1182" s="728"/>
      <c r="FF1182" s="728"/>
      <c r="FG1182" s="730"/>
      <c r="FH1182" s="734"/>
      <c r="FI1182" s="728"/>
      <c r="FJ1182" s="728"/>
      <c r="FK1182" s="729"/>
      <c r="FL1182" s="728"/>
    </row>
    <row r="1183" ht="12.75" hidden="1" customHeight="1" outlineLevel="1">
      <c r="A1183" s="263"/>
      <c r="B1183" s="4" t="s">
        <v>447</v>
      </c>
      <c r="C1183" s="4"/>
      <c r="D1183" s="17"/>
      <c r="E1183" s="17"/>
      <c r="F1183" s="17"/>
      <c r="G1183" s="17"/>
      <c r="H1183" s="73"/>
      <c r="I1183" s="17"/>
      <c r="J1183" s="17"/>
      <c r="K1183" s="17"/>
      <c r="L1183" s="17"/>
      <c r="M1183" s="73"/>
      <c r="N1183" s="17"/>
      <c r="O1183" s="17"/>
      <c r="P1183" s="17"/>
      <c r="Q1183" s="17"/>
      <c r="R1183" s="73"/>
      <c r="S1183" s="17"/>
      <c r="T1183" s="17"/>
      <c r="U1183" s="17"/>
      <c r="V1183" s="17"/>
      <c r="W1183" s="73"/>
      <c r="X1183" s="17"/>
      <c r="Y1183" s="17"/>
      <c r="Z1183" s="17"/>
      <c r="AA1183" s="17"/>
      <c r="AB1183" s="73"/>
      <c r="AC1183" s="17"/>
      <c r="AD1183" s="17"/>
      <c r="AE1183" s="17"/>
      <c r="AF1183" s="17"/>
      <c r="AG1183" s="73"/>
      <c r="AH1183" s="17"/>
      <c r="AI1183" s="17"/>
      <c r="AJ1183" s="17"/>
      <c r="AK1183" s="17"/>
      <c r="AL1183" s="73"/>
      <c r="AM1183" s="17"/>
      <c r="AN1183" s="17"/>
      <c r="AO1183" s="17"/>
      <c r="AP1183" s="17"/>
      <c r="AQ1183" s="73"/>
      <c r="AR1183" s="17" t="str">
        <f t="shared" ref="AR1183:DC1183" si="5550">XeonMPUnits</f>
        <v>#NAME?</v>
      </c>
      <c r="AS1183" s="17" t="str">
        <f t="shared" si="5550"/>
        <v>#NAME?</v>
      </c>
      <c r="AT1183" s="17" t="str">
        <f t="shared" si="5550"/>
        <v>#NAME?</v>
      </c>
      <c r="AU1183" s="17" t="str">
        <f t="shared" si="5550"/>
        <v>#NAME?</v>
      </c>
      <c r="AV1183" s="73" t="str">
        <f t="shared" si="5550"/>
        <v>#NAME?</v>
      </c>
      <c r="AW1183" s="17" t="str">
        <f t="shared" si="5550"/>
        <v>#NAME?</v>
      </c>
      <c r="AX1183" s="17" t="str">
        <f t="shared" si="5550"/>
        <v>#NAME?</v>
      </c>
      <c r="AY1183" s="17" t="str">
        <f t="shared" si="5550"/>
        <v>#NAME?</v>
      </c>
      <c r="AZ1183" s="17" t="str">
        <f t="shared" si="5550"/>
        <v>#NAME?</v>
      </c>
      <c r="BA1183" s="73" t="str">
        <f t="shared" si="5550"/>
        <v>#NAME?</v>
      </c>
      <c r="BB1183" s="17" t="str">
        <f t="shared" si="5550"/>
        <v>#NAME?</v>
      </c>
      <c r="BC1183" s="17" t="str">
        <f t="shared" si="5550"/>
        <v>#NAME?</v>
      </c>
      <c r="BD1183" s="17" t="str">
        <f t="shared" si="5550"/>
        <v>#NAME?</v>
      </c>
      <c r="BE1183" s="17" t="str">
        <f t="shared" si="5550"/>
        <v>#NAME?</v>
      </c>
      <c r="BF1183" s="73" t="str">
        <f t="shared" si="5550"/>
        <v>#NAME?</v>
      </c>
      <c r="BG1183" s="17" t="str">
        <f t="shared" si="5550"/>
        <v>#NAME?</v>
      </c>
      <c r="BH1183" s="17" t="str">
        <f t="shared" si="5550"/>
        <v>#NAME?</v>
      </c>
      <c r="BI1183" s="17" t="str">
        <f t="shared" si="5550"/>
        <v>#NAME?</v>
      </c>
      <c r="BJ1183" s="17" t="str">
        <f t="shared" si="5550"/>
        <v>#NAME?</v>
      </c>
      <c r="BK1183" s="73" t="str">
        <f t="shared" si="5550"/>
        <v>#NAME?</v>
      </c>
      <c r="BL1183" s="17" t="str">
        <f t="shared" si="5550"/>
        <v>#NAME?</v>
      </c>
      <c r="BM1183" s="17" t="str">
        <f t="shared" si="5550"/>
        <v>#NAME?</v>
      </c>
      <c r="BN1183" s="17" t="str">
        <f t="shared" si="5550"/>
        <v>#NAME?</v>
      </c>
      <c r="BO1183" s="17" t="str">
        <f t="shared" si="5550"/>
        <v>#NAME?</v>
      </c>
      <c r="BP1183" s="73" t="str">
        <f t="shared" si="5550"/>
        <v>#NAME?</v>
      </c>
      <c r="BQ1183" s="17" t="str">
        <f t="shared" si="5550"/>
        <v>#NAME?</v>
      </c>
      <c r="BR1183" s="17" t="str">
        <f t="shared" si="5550"/>
        <v>#NAME?</v>
      </c>
      <c r="BS1183" s="17" t="str">
        <f t="shared" si="5550"/>
        <v>#NAME?</v>
      </c>
      <c r="BT1183" s="17" t="str">
        <f t="shared" si="5550"/>
        <v>#NAME?</v>
      </c>
      <c r="BU1183" s="73" t="str">
        <f t="shared" si="5550"/>
        <v>#NAME?</v>
      </c>
      <c r="BV1183" s="17" t="str">
        <f t="shared" si="5550"/>
        <v>#NAME?</v>
      </c>
      <c r="BW1183" s="17" t="str">
        <f t="shared" si="5550"/>
        <v>#NAME?</v>
      </c>
      <c r="BX1183" s="17" t="str">
        <f t="shared" si="5550"/>
        <v>#NAME?</v>
      </c>
      <c r="BY1183" s="17" t="str">
        <f t="shared" si="5550"/>
        <v>#NAME?</v>
      </c>
      <c r="BZ1183" s="18" t="str">
        <f t="shared" si="5550"/>
        <v>#NAME?</v>
      </c>
      <c r="CA1183" s="17" t="str">
        <f t="shared" si="5550"/>
        <v>#NAME?</v>
      </c>
      <c r="CB1183" s="17" t="str">
        <f t="shared" si="5550"/>
        <v>#NAME?</v>
      </c>
      <c r="CC1183" s="17" t="str">
        <f t="shared" si="5550"/>
        <v>#NAME?</v>
      </c>
      <c r="CD1183" s="17" t="str">
        <f t="shared" si="5550"/>
        <v>#NAME?</v>
      </c>
      <c r="CE1183" s="18" t="str">
        <f t="shared" si="5550"/>
        <v>#NAME?</v>
      </c>
      <c r="CF1183" s="17" t="str">
        <f t="shared" si="5550"/>
        <v>#NAME?</v>
      </c>
      <c r="CG1183" s="17" t="str">
        <f t="shared" si="5550"/>
        <v>#NAME?</v>
      </c>
      <c r="CH1183" s="17" t="str">
        <f t="shared" si="5550"/>
        <v>#NAME?</v>
      </c>
      <c r="CI1183" s="17" t="str">
        <f t="shared" si="5550"/>
        <v>#NAME?</v>
      </c>
      <c r="CJ1183" s="18" t="str">
        <f t="shared" si="5550"/>
        <v>#NAME?</v>
      </c>
      <c r="CK1183" s="17" t="str">
        <f t="shared" si="5550"/>
        <v>#NAME?</v>
      </c>
      <c r="CL1183" s="17" t="str">
        <f t="shared" si="5550"/>
        <v>#NAME?</v>
      </c>
      <c r="CM1183" s="17" t="str">
        <f t="shared" si="5550"/>
        <v>#NAME?</v>
      </c>
      <c r="CN1183" s="19" t="str">
        <f t="shared" si="5550"/>
        <v>#NAME?</v>
      </c>
      <c r="CO1183" s="18" t="str">
        <f t="shared" si="5550"/>
        <v>#NAME?</v>
      </c>
      <c r="CP1183" s="19" t="str">
        <f t="shared" si="5550"/>
        <v>#NAME?</v>
      </c>
      <c r="CQ1183" s="17" t="str">
        <f t="shared" si="5550"/>
        <v>#NAME?</v>
      </c>
      <c r="CR1183" s="17" t="str">
        <f t="shared" si="5550"/>
        <v>#NAME?</v>
      </c>
      <c r="CS1183" s="17" t="str">
        <f t="shared" si="5550"/>
        <v>#NAME?</v>
      </c>
      <c r="CT1183" s="18" t="str">
        <f t="shared" si="5550"/>
        <v>#NAME?</v>
      </c>
      <c r="CU1183" s="17" t="str">
        <f t="shared" si="5550"/>
        <v>#NAME?</v>
      </c>
      <c r="CV1183" s="17" t="str">
        <f t="shared" si="5550"/>
        <v>#NAME?</v>
      </c>
      <c r="CW1183" s="17" t="str">
        <f t="shared" si="5550"/>
        <v>#NAME?</v>
      </c>
      <c r="CX1183" s="17" t="str">
        <f t="shared" si="5550"/>
        <v>#NAME?</v>
      </c>
      <c r="CY1183" s="18" t="str">
        <f t="shared" si="5550"/>
        <v>#NAME?</v>
      </c>
      <c r="CZ1183" s="17" t="str">
        <f t="shared" si="5550"/>
        <v>#NAME?</v>
      </c>
      <c r="DA1183" s="17" t="str">
        <f t="shared" si="5550"/>
        <v>#NAME?</v>
      </c>
      <c r="DB1183" s="17" t="str">
        <f t="shared" si="5550"/>
        <v>#NAME?</v>
      </c>
      <c r="DC1183" s="17" t="str">
        <f t="shared" si="5550"/>
        <v>#NAME?</v>
      </c>
      <c r="DD1183" s="18">
        <v>883.0</v>
      </c>
      <c r="DE1183" s="17" t="str">
        <f t="shared" ref="DE1183:FG1183" si="5551">XeonMPUnits</f>
        <v>#NAME?</v>
      </c>
      <c r="DF1183" s="17" t="str">
        <f t="shared" si="5551"/>
        <v>#NAME?</v>
      </c>
      <c r="DG1183" s="19" t="str">
        <f t="shared" si="5551"/>
        <v>#NAME?</v>
      </c>
      <c r="DH1183" s="17" t="str">
        <f t="shared" si="5551"/>
        <v>#NAME?</v>
      </c>
      <c r="DI1183" s="18" t="str">
        <f t="shared" si="5551"/>
        <v>#NAME?</v>
      </c>
      <c r="DJ1183" s="19" t="str">
        <f t="shared" si="5551"/>
        <v>#NAME?</v>
      </c>
      <c r="DK1183" s="19" t="str">
        <f t="shared" si="5551"/>
        <v>#NAME?</v>
      </c>
      <c r="DL1183" s="19" t="str">
        <f t="shared" si="5551"/>
        <v>#NAME?</v>
      </c>
      <c r="DM1183" s="17" t="str">
        <f t="shared" si="5551"/>
        <v>#NAME?</v>
      </c>
      <c r="DN1183" s="18" t="str">
        <f t="shared" si="5551"/>
        <v>#NAME?</v>
      </c>
      <c r="DO1183" s="17" t="str">
        <f t="shared" si="5551"/>
        <v>#NAME?</v>
      </c>
      <c r="DP1183" s="17" t="str">
        <f t="shared" si="5551"/>
        <v>#NAME?</v>
      </c>
      <c r="DQ1183" s="17" t="str">
        <f t="shared" si="5551"/>
        <v>#NAME?</v>
      </c>
      <c r="DR1183" s="17" t="str">
        <f t="shared" si="5551"/>
        <v>#NAME?</v>
      </c>
      <c r="DS1183" s="18" t="str">
        <f t="shared" si="5551"/>
        <v>#NAME?</v>
      </c>
      <c r="DT1183" s="17" t="str">
        <f t="shared" si="5551"/>
        <v>#NAME?</v>
      </c>
      <c r="DU1183" s="17" t="str">
        <f t="shared" si="5551"/>
        <v>#NAME?</v>
      </c>
      <c r="DV1183" s="17" t="str">
        <f t="shared" si="5551"/>
        <v>#NAME?</v>
      </c>
      <c r="DW1183" s="17" t="str">
        <f t="shared" si="5551"/>
        <v>#NAME?</v>
      </c>
      <c r="DX1183" s="18" t="str">
        <f t="shared" si="5551"/>
        <v>#NAME?</v>
      </c>
      <c r="DY1183" s="17" t="str">
        <f t="shared" si="5551"/>
        <v>#NAME?</v>
      </c>
      <c r="DZ1183" s="17" t="str">
        <f t="shared" si="5551"/>
        <v>#NAME?</v>
      </c>
      <c r="EA1183" s="17" t="str">
        <f t="shared" si="5551"/>
        <v>#NAME?</v>
      </c>
      <c r="EB1183" s="17" t="str">
        <f t="shared" si="5551"/>
        <v>#NAME?</v>
      </c>
      <c r="EC1183" s="18" t="str">
        <f t="shared" si="5551"/>
        <v>#NAME?</v>
      </c>
      <c r="ED1183" s="17" t="str">
        <f t="shared" si="5551"/>
        <v>#NAME?</v>
      </c>
      <c r="EE1183" s="17" t="str">
        <f t="shared" si="5551"/>
        <v>#NAME?</v>
      </c>
      <c r="EF1183" s="17" t="str">
        <f t="shared" si="5551"/>
        <v>#NAME?</v>
      </c>
      <c r="EG1183" s="17" t="str">
        <f t="shared" si="5551"/>
        <v>#NAME?</v>
      </c>
      <c r="EH1183" s="18" t="str">
        <f t="shared" si="5551"/>
        <v>#NAME?</v>
      </c>
      <c r="EI1183" s="25" t="str">
        <f t="shared" si="5551"/>
        <v>#NAME?</v>
      </c>
      <c r="EJ1183" s="17" t="str">
        <f t="shared" si="5551"/>
        <v>#NAME?</v>
      </c>
      <c r="EK1183" s="17" t="str">
        <f t="shared" si="5551"/>
        <v>#NAME?</v>
      </c>
      <c r="EL1183" s="17" t="str">
        <f t="shared" si="5551"/>
        <v>#NAME?</v>
      </c>
      <c r="EM1183" s="18" t="str">
        <f t="shared" si="5551"/>
        <v>#NAME?</v>
      </c>
      <c r="EN1183" s="17" t="str">
        <f t="shared" si="5551"/>
        <v>#NAME?</v>
      </c>
      <c r="EO1183" s="17" t="str">
        <f t="shared" si="5551"/>
        <v>#NAME?</v>
      </c>
      <c r="EP1183" s="17" t="str">
        <f t="shared" si="5551"/>
        <v>#NAME?</v>
      </c>
      <c r="EQ1183" s="17" t="str">
        <f t="shared" si="5551"/>
        <v>#NAME?</v>
      </c>
      <c r="ER1183" s="18" t="str">
        <f t="shared" si="5551"/>
        <v>#NAME?</v>
      </c>
      <c r="ES1183" s="17" t="str">
        <f t="shared" si="5551"/>
        <v>#NAME?</v>
      </c>
      <c r="ET1183" s="17" t="str">
        <f t="shared" si="5551"/>
        <v>#NAME?</v>
      </c>
      <c r="EU1183" s="17" t="str">
        <f t="shared" si="5551"/>
        <v>#NAME?</v>
      </c>
      <c r="EV1183" s="17" t="str">
        <f t="shared" si="5551"/>
        <v>#NAME?</v>
      </c>
      <c r="EW1183" s="18" t="str">
        <f t="shared" si="5551"/>
        <v>#NAME?</v>
      </c>
      <c r="EX1183" s="17" t="str">
        <f t="shared" si="5551"/>
        <v>#NAME?</v>
      </c>
      <c r="EY1183" s="17" t="str">
        <f t="shared" si="5551"/>
        <v>#NAME?</v>
      </c>
      <c r="EZ1183" s="17" t="str">
        <f t="shared" si="5551"/>
        <v>#NAME?</v>
      </c>
      <c r="FA1183" s="17" t="str">
        <f t="shared" si="5551"/>
        <v>#NAME?</v>
      </c>
      <c r="FB1183" s="18" t="str">
        <f t="shared" si="5551"/>
        <v>#NAME?</v>
      </c>
      <c r="FC1183" s="17" t="str">
        <f t="shared" si="5551"/>
        <v>#NAME?</v>
      </c>
      <c r="FD1183" s="17" t="str">
        <f t="shared" si="5551"/>
        <v>#NAME?</v>
      </c>
      <c r="FE1183" s="17" t="str">
        <f t="shared" si="5551"/>
        <v>#NAME?</v>
      </c>
      <c r="FF1183" s="17" t="str">
        <f t="shared" si="5551"/>
        <v>#NAME?</v>
      </c>
      <c r="FG1183" s="18" t="str">
        <f t="shared" si="5551"/>
        <v>#NAME?</v>
      </c>
      <c r="FH1183" s="74"/>
      <c r="FI1183" s="17"/>
      <c r="FJ1183" s="17"/>
      <c r="FK1183" s="73"/>
      <c r="FL1183" s="17"/>
    </row>
    <row r="1184" ht="12.75" hidden="1" customHeight="1" outlineLevel="1">
      <c r="A1184" s="263"/>
      <c r="B1184" s="4" t="s">
        <v>448</v>
      </c>
      <c r="C1184" s="4"/>
      <c r="D1184" s="17"/>
      <c r="E1184" s="17"/>
      <c r="F1184" s="17"/>
      <c r="G1184" s="17"/>
      <c r="H1184" s="73"/>
      <c r="I1184" s="17"/>
      <c r="J1184" s="17"/>
      <c r="K1184" s="17"/>
      <c r="L1184" s="17"/>
      <c r="M1184" s="73"/>
      <c r="N1184" s="17"/>
      <c r="O1184" s="17"/>
      <c r="P1184" s="17"/>
      <c r="Q1184" s="17"/>
      <c r="R1184" s="73"/>
      <c r="S1184" s="17"/>
      <c r="T1184" s="17"/>
      <c r="U1184" s="17"/>
      <c r="V1184" s="17"/>
      <c r="W1184" s="73"/>
      <c r="X1184" s="17"/>
      <c r="Y1184" s="17"/>
      <c r="Z1184" s="17"/>
      <c r="AA1184" s="17"/>
      <c r="AB1184" s="73"/>
      <c r="AC1184" s="17"/>
      <c r="AD1184" s="17"/>
      <c r="AE1184" s="17"/>
      <c r="AF1184" s="17"/>
      <c r="AG1184" s="73"/>
      <c r="AH1184" s="17"/>
      <c r="AI1184" s="17"/>
      <c r="AJ1184" s="17"/>
      <c r="AK1184" s="17"/>
      <c r="AL1184" s="73"/>
      <c r="AM1184" s="17"/>
      <c r="AN1184" s="17"/>
      <c r="AO1184" s="17"/>
      <c r="AP1184" s="17"/>
      <c r="AQ1184" s="73"/>
      <c r="AR1184" s="17">
        <v>18.0</v>
      </c>
      <c r="AS1184" s="17">
        <v>9.0</v>
      </c>
      <c r="AT1184" s="17">
        <v>17.0</v>
      </c>
      <c r="AU1184" s="17">
        <v>10.0</v>
      </c>
      <c r="AV1184" s="73">
        <f>SUM(AR1184:AU1184)</f>
        <v>54</v>
      </c>
      <c r="AW1184" s="17" t="e">
        <v>#REF!</v>
      </c>
      <c r="AX1184" s="17" t="e">
        <v>#REF!</v>
      </c>
      <c r="AY1184" s="17" t="e">
        <v>#REF!</v>
      </c>
      <c r="AZ1184" s="17" t="e">
        <v>#REF!</v>
      </c>
      <c r="BA1184" s="73" t="str">
        <f>SUM(AW1184:AZ1184)</f>
        <v>#REF!</v>
      </c>
      <c r="BB1184" s="17" t="e">
        <v>#REF!</v>
      </c>
      <c r="BC1184" s="17" t="e">
        <v>#REF!</v>
      </c>
      <c r="BD1184" s="17" t="e">
        <v>#REF!</v>
      </c>
      <c r="BE1184" s="17" t="e">
        <v>#REF!</v>
      </c>
      <c r="BF1184" s="73" t="e">
        <v>#REF!</v>
      </c>
      <c r="BG1184" s="17" t="e">
        <v>#REF!</v>
      </c>
      <c r="BH1184" s="17" t="e">
        <v>#REF!</v>
      </c>
      <c r="BI1184" s="17" t="e">
        <v>#REF!</v>
      </c>
      <c r="BJ1184" s="17" t="e">
        <v>#REF!</v>
      </c>
      <c r="BK1184" s="73" t="e">
        <v>#REF!</v>
      </c>
      <c r="BL1184" s="17" t="e">
        <v>#REF!</v>
      </c>
      <c r="BM1184" s="17" t="e">
        <v>#REF!</v>
      </c>
      <c r="BN1184" s="17" t="e">
        <v>#REF!</v>
      </c>
      <c r="BO1184" s="17" t="e">
        <v>#REF!</v>
      </c>
      <c r="BP1184" s="73" t="e">
        <v>#REF!</v>
      </c>
      <c r="BQ1184" s="17" t="e">
        <v>#REF!</v>
      </c>
      <c r="BR1184" s="17" t="e">
        <v>#REF!</v>
      </c>
      <c r="BS1184" s="17" t="e">
        <v>#REF!</v>
      </c>
      <c r="BT1184" s="17" t="e">
        <v>#REF!</v>
      </c>
      <c r="BU1184" s="73" t="e">
        <v>#REF!</v>
      </c>
      <c r="BV1184" s="17" t="e">
        <v>#REF!</v>
      </c>
      <c r="BW1184" s="17" t="e">
        <v>#REF!</v>
      </c>
      <c r="BX1184" s="17" t="e">
        <v>#REF!</v>
      </c>
      <c r="BY1184" s="17" t="e">
        <v>#REF!</v>
      </c>
      <c r="BZ1184" s="18" t="e">
        <v>#REF!</v>
      </c>
      <c r="CA1184" s="17" t="e">
        <v>#REF!</v>
      </c>
      <c r="CB1184" s="17" t="e">
        <v>#REF!</v>
      </c>
      <c r="CC1184" s="17" t="e">
        <v>#REF!</v>
      </c>
      <c r="CD1184" s="17" t="e">
        <v>#REF!</v>
      </c>
      <c r="CE1184" s="18" t="e">
        <v>#REF!</v>
      </c>
      <c r="CF1184" s="17" t="e">
        <v>#REF!</v>
      </c>
      <c r="CG1184" s="17" t="e">
        <v>#REF!</v>
      </c>
      <c r="CH1184" s="17" t="e">
        <v>#REF!</v>
      </c>
      <c r="CI1184" s="17" t="e">
        <v>#REF!</v>
      </c>
      <c r="CJ1184" s="18" t="e">
        <v>#REF!</v>
      </c>
      <c r="CK1184" s="17" t="e">
        <v>#REF!</v>
      </c>
      <c r="CL1184" s="17" t="e">
        <v>#REF!</v>
      </c>
      <c r="CM1184" s="17" t="e">
        <v>#REF!</v>
      </c>
      <c r="CN1184" s="19" t="e">
        <v>#REF!</v>
      </c>
      <c r="CO1184" s="18" t="e">
        <v>#REF!</v>
      </c>
      <c r="CP1184" s="19" t="e">
        <v>#REF!</v>
      </c>
      <c r="CQ1184" s="17" t="e">
        <v>#REF!</v>
      </c>
      <c r="CR1184" s="17" t="e">
        <v>#REF!</v>
      </c>
      <c r="CS1184" s="17" t="e">
        <v>#REF!</v>
      </c>
      <c r="CT1184" s="18" t="e">
        <v>#REF!</v>
      </c>
      <c r="CU1184" s="17" t="e">
        <v>#REF!</v>
      </c>
      <c r="CV1184" s="17" t="e">
        <v>#REF!</v>
      </c>
      <c r="CW1184" s="17" t="e">
        <v>#REF!</v>
      </c>
      <c r="CX1184" s="17" t="e">
        <v>#REF!</v>
      </c>
      <c r="CY1184" s="18" t="e">
        <v>#REF!</v>
      </c>
      <c r="CZ1184" s="17" t="e">
        <v>#REF!</v>
      </c>
      <c r="DA1184" s="17" t="e">
        <v>#REF!</v>
      </c>
      <c r="DB1184" s="17" t="e">
        <v>#REF!</v>
      </c>
      <c r="DC1184" s="17" t="e">
        <v>#REF!</v>
      </c>
      <c r="DD1184" s="18" t="e">
        <v>#REF!</v>
      </c>
      <c r="DE1184" s="17" t="e">
        <v>#REF!</v>
      </c>
      <c r="DF1184" s="17" t="e">
        <v>#REF!</v>
      </c>
      <c r="DG1184" s="19" t="e">
        <v>#REF!</v>
      </c>
      <c r="DH1184" s="17" t="e">
        <v>#REF!</v>
      </c>
      <c r="DI1184" s="18" t="e">
        <v>#REF!</v>
      </c>
      <c r="DJ1184" s="19" t="e">
        <v>#REF!</v>
      </c>
      <c r="DK1184" s="19" t="e">
        <v>#REF!</v>
      </c>
      <c r="DL1184" s="19" t="e">
        <v>#REF!</v>
      </c>
      <c r="DM1184" s="17" t="e">
        <v>#REF!</v>
      </c>
      <c r="DN1184" s="18" t="e">
        <v>#REF!</v>
      </c>
      <c r="DO1184" s="17" t="e">
        <v>#REF!</v>
      </c>
      <c r="DP1184" s="17" t="e">
        <v>#REF!</v>
      </c>
      <c r="DQ1184" s="17" t="e">
        <v>#REF!</v>
      </c>
      <c r="DR1184" s="17" t="e">
        <v>#REF!</v>
      </c>
      <c r="DS1184" s="18" t="e">
        <v>#REF!</v>
      </c>
      <c r="DT1184" s="17" t="e">
        <v>#REF!</v>
      </c>
      <c r="DU1184" s="17" t="e">
        <v>#REF!</v>
      </c>
      <c r="DV1184" s="17" t="e">
        <v>#REF!</v>
      </c>
      <c r="DW1184" s="17" t="e">
        <v>#REF!</v>
      </c>
      <c r="DX1184" s="18" t="e">
        <v>#REF!</v>
      </c>
      <c r="DY1184" s="17" t="e">
        <v>#REF!</v>
      </c>
      <c r="DZ1184" s="17" t="e">
        <v>#REF!</v>
      </c>
      <c r="EA1184" s="17" t="e">
        <v>#REF!</v>
      </c>
      <c r="EB1184" s="17" t="e">
        <v>#REF!</v>
      </c>
      <c r="EC1184" s="18" t="e">
        <v>#REF!</v>
      </c>
      <c r="ED1184" s="17" t="e">
        <v>#REF!</v>
      </c>
      <c r="EE1184" s="17" t="e">
        <v>#REF!</v>
      </c>
      <c r="EF1184" s="17" t="e">
        <v>#REF!</v>
      </c>
      <c r="EG1184" s="17" t="e">
        <v>#REF!</v>
      </c>
      <c r="EH1184" s="18" t="e">
        <v>#REF!</v>
      </c>
      <c r="EI1184" s="25" t="e">
        <v>#REF!</v>
      </c>
      <c r="EJ1184" s="17" t="e">
        <v>#REF!</v>
      </c>
      <c r="EK1184" s="17" t="e">
        <v>#REF!</v>
      </c>
      <c r="EL1184" s="17" t="e">
        <v>#REF!</v>
      </c>
      <c r="EM1184" s="18" t="e">
        <v>#REF!</v>
      </c>
      <c r="EN1184" s="17" t="e">
        <v>#REF!</v>
      </c>
      <c r="EO1184" s="17" t="e">
        <v>#REF!</v>
      </c>
      <c r="EP1184" s="17" t="e">
        <v>#REF!</v>
      </c>
      <c r="EQ1184" s="17" t="e">
        <v>#REF!</v>
      </c>
      <c r="ER1184" s="18" t="e">
        <v>#REF!</v>
      </c>
      <c r="ES1184" s="17" t="e">
        <v>#REF!</v>
      </c>
      <c r="ET1184" s="17" t="e">
        <v>#REF!</v>
      </c>
      <c r="EU1184" s="17" t="e">
        <v>#REF!</v>
      </c>
      <c r="EV1184" s="17" t="e">
        <v>#REF!</v>
      </c>
      <c r="EW1184" s="18" t="e">
        <v>#REF!</v>
      </c>
      <c r="EX1184" s="17" t="e">
        <v>#REF!</v>
      </c>
      <c r="EY1184" s="17" t="e">
        <v>#REF!</v>
      </c>
      <c r="EZ1184" s="17" t="e">
        <v>#REF!</v>
      </c>
      <c r="FA1184" s="17" t="e">
        <v>#REF!</v>
      </c>
      <c r="FB1184" s="18" t="e">
        <v>#REF!</v>
      </c>
      <c r="FC1184" s="17" t="e">
        <v>#REF!</v>
      </c>
      <c r="FD1184" s="17" t="e">
        <v>#REF!</v>
      </c>
      <c r="FE1184" s="17" t="e">
        <v>#REF!</v>
      </c>
      <c r="FF1184" s="17" t="e">
        <v>#REF!</v>
      </c>
      <c r="FG1184" s="18" t="e">
        <v>#REF!</v>
      </c>
      <c r="FH1184" s="74"/>
      <c r="FI1184" s="17"/>
      <c r="FJ1184" s="17"/>
      <c r="FK1184" s="73"/>
      <c r="FL1184" s="17"/>
    </row>
    <row r="1185" ht="13.5" hidden="1" customHeight="1" outlineLevel="1">
      <c r="A1185" s="4"/>
      <c r="B1185" s="529" t="s">
        <v>291</v>
      </c>
      <c r="C1185" s="529"/>
      <c r="D1185" s="164"/>
      <c r="E1185" s="164"/>
      <c r="F1185" s="164"/>
      <c r="G1185" s="164"/>
      <c r="H1185" s="166"/>
      <c r="I1185" s="164"/>
      <c r="J1185" s="164"/>
      <c r="K1185" s="164"/>
      <c r="L1185" s="164"/>
      <c r="M1185" s="166"/>
      <c r="N1185" s="164"/>
      <c r="O1185" s="164"/>
      <c r="P1185" s="164"/>
      <c r="Q1185" s="164"/>
      <c r="R1185" s="166"/>
      <c r="S1185" s="164"/>
      <c r="T1185" s="164"/>
      <c r="U1185" s="164"/>
      <c r="V1185" s="164"/>
      <c r="W1185" s="166"/>
      <c r="X1185" s="164"/>
      <c r="Y1185" s="164"/>
      <c r="Z1185" s="164"/>
      <c r="AA1185" s="164"/>
      <c r="AB1185" s="166"/>
      <c r="AC1185" s="164"/>
      <c r="AD1185" s="164"/>
      <c r="AE1185" s="164"/>
      <c r="AF1185" s="164"/>
      <c r="AG1185" s="166"/>
      <c r="AH1185" s="164"/>
      <c r="AI1185" s="164"/>
      <c r="AJ1185" s="164"/>
      <c r="AK1185" s="164"/>
      <c r="AL1185" s="166"/>
      <c r="AM1185" s="164"/>
      <c r="AN1185" s="164"/>
      <c r="AO1185" s="164"/>
      <c r="AP1185" s="164"/>
      <c r="AQ1185" s="166"/>
      <c r="AR1185" s="164" t="str">
        <f t="shared" ref="AR1185:FG1185" si="5552">SUM(AR1183,AR1184)</f>
        <v>#NAME?</v>
      </c>
      <c r="AS1185" s="164" t="str">
        <f t="shared" si="5552"/>
        <v>#NAME?</v>
      </c>
      <c r="AT1185" s="164" t="str">
        <f t="shared" si="5552"/>
        <v>#NAME?</v>
      </c>
      <c r="AU1185" s="164" t="str">
        <f t="shared" si="5552"/>
        <v>#NAME?</v>
      </c>
      <c r="AV1185" s="166" t="str">
        <f t="shared" si="5552"/>
        <v>#NAME?</v>
      </c>
      <c r="AW1185" s="164" t="str">
        <f t="shared" si="5552"/>
        <v>#NAME?</v>
      </c>
      <c r="AX1185" s="164" t="str">
        <f t="shared" si="5552"/>
        <v>#NAME?</v>
      </c>
      <c r="AY1185" s="164" t="str">
        <f t="shared" si="5552"/>
        <v>#NAME?</v>
      </c>
      <c r="AZ1185" s="164" t="str">
        <f t="shared" si="5552"/>
        <v>#NAME?</v>
      </c>
      <c r="BA1185" s="166" t="str">
        <f t="shared" si="5552"/>
        <v>#NAME?</v>
      </c>
      <c r="BB1185" s="164" t="str">
        <f t="shared" si="5552"/>
        <v>#NAME?</v>
      </c>
      <c r="BC1185" s="164" t="str">
        <f t="shared" si="5552"/>
        <v>#NAME?</v>
      </c>
      <c r="BD1185" s="164" t="str">
        <f t="shared" si="5552"/>
        <v>#NAME?</v>
      </c>
      <c r="BE1185" s="164" t="str">
        <f t="shared" si="5552"/>
        <v>#NAME?</v>
      </c>
      <c r="BF1185" s="166" t="str">
        <f t="shared" si="5552"/>
        <v>#NAME?</v>
      </c>
      <c r="BG1185" s="164" t="str">
        <f t="shared" si="5552"/>
        <v>#NAME?</v>
      </c>
      <c r="BH1185" s="164" t="str">
        <f t="shared" si="5552"/>
        <v>#NAME?</v>
      </c>
      <c r="BI1185" s="164" t="str">
        <f t="shared" si="5552"/>
        <v>#NAME?</v>
      </c>
      <c r="BJ1185" s="164" t="str">
        <f t="shared" si="5552"/>
        <v>#NAME?</v>
      </c>
      <c r="BK1185" s="166" t="str">
        <f t="shared" si="5552"/>
        <v>#NAME?</v>
      </c>
      <c r="BL1185" s="164" t="str">
        <f t="shared" si="5552"/>
        <v>#NAME?</v>
      </c>
      <c r="BM1185" s="164" t="str">
        <f t="shared" si="5552"/>
        <v>#NAME?</v>
      </c>
      <c r="BN1185" s="164" t="str">
        <f t="shared" si="5552"/>
        <v>#NAME?</v>
      </c>
      <c r="BO1185" s="164" t="str">
        <f t="shared" si="5552"/>
        <v>#NAME?</v>
      </c>
      <c r="BP1185" s="166" t="str">
        <f t="shared" si="5552"/>
        <v>#NAME?</v>
      </c>
      <c r="BQ1185" s="164" t="str">
        <f t="shared" si="5552"/>
        <v>#NAME?</v>
      </c>
      <c r="BR1185" s="164" t="str">
        <f t="shared" si="5552"/>
        <v>#NAME?</v>
      </c>
      <c r="BS1185" s="164" t="str">
        <f t="shared" si="5552"/>
        <v>#NAME?</v>
      </c>
      <c r="BT1185" s="164" t="str">
        <f t="shared" si="5552"/>
        <v>#NAME?</v>
      </c>
      <c r="BU1185" s="166" t="str">
        <f t="shared" si="5552"/>
        <v>#NAME?</v>
      </c>
      <c r="BV1185" s="164" t="str">
        <f t="shared" si="5552"/>
        <v>#NAME?</v>
      </c>
      <c r="BW1185" s="164" t="str">
        <f t="shared" si="5552"/>
        <v>#NAME?</v>
      </c>
      <c r="BX1185" s="164" t="str">
        <f t="shared" si="5552"/>
        <v>#NAME?</v>
      </c>
      <c r="BY1185" s="164" t="str">
        <f t="shared" si="5552"/>
        <v>#NAME?</v>
      </c>
      <c r="BZ1185" s="168" t="str">
        <f t="shared" si="5552"/>
        <v>#NAME?</v>
      </c>
      <c r="CA1185" s="164" t="str">
        <f t="shared" si="5552"/>
        <v>#NAME?</v>
      </c>
      <c r="CB1185" s="164" t="str">
        <f t="shared" si="5552"/>
        <v>#NAME?</v>
      </c>
      <c r="CC1185" s="164" t="str">
        <f t="shared" si="5552"/>
        <v>#NAME?</v>
      </c>
      <c r="CD1185" s="164" t="str">
        <f t="shared" si="5552"/>
        <v>#NAME?</v>
      </c>
      <c r="CE1185" s="168" t="str">
        <f t="shared" si="5552"/>
        <v>#NAME?</v>
      </c>
      <c r="CF1185" s="164" t="str">
        <f t="shared" si="5552"/>
        <v>#NAME?</v>
      </c>
      <c r="CG1185" s="164" t="str">
        <f t="shared" si="5552"/>
        <v>#NAME?</v>
      </c>
      <c r="CH1185" s="164" t="str">
        <f t="shared" si="5552"/>
        <v>#NAME?</v>
      </c>
      <c r="CI1185" s="164" t="str">
        <f t="shared" si="5552"/>
        <v>#NAME?</v>
      </c>
      <c r="CJ1185" s="168" t="str">
        <f t="shared" si="5552"/>
        <v>#NAME?</v>
      </c>
      <c r="CK1185" s="164" t="str">
        <f t="shared" si="5552"/>
        <v>#NAME?</v>
      </c>
      <c r="CL1185" s="164" t="str">
        <f t="shared" si="5552"/>
        <v>#NAME?</v>
      </c>
      <c r="CM1185" s="164" t="str">
        <f t="shared" si="5552"/>
        <v>#NAME?</v>
      </c>
      <c r="CN1185" s="583" t="str">
        <f t="shared" si="5552"/>
        <v>#NAME?</v>
      </c>
      <c r="CO1185" s="168" t="str">
        <f t="shared" si="5552"/>
        <v>#NAME?</v>
      </c>
      <c r="CP1185" s="583" t="str">
        <f t="shared" si="5552"/>
        <v>#NAME?</v>
      </c>
      <c r="CQ1185" s="164" t="str">
        <f t="shared" si="5552"/>
        <v>#NAME?</v>
      </c>
      <c r="CR1185" s="164" t="str">
        <f t="shared" si="5552"/>
        <v>#NAME?</v>
      </c>
      <c r="CS1185" s="164" t="str">
        <f t="shared" si="5552"/>
        <v>#NAME?</v>
      </c>
      <c r="CT1185" s="168" t="str">
        <f t="shared" si="5552"/>
        <v>#NAME?</v>
      </c>
      <c r="CU1185" s="164" t="str">
        <f t="shared" si="5552"/>
        <v>#NAME?</v>
      </c>
      <c r="CV1185" s="164" t="str">
        <f t="shared" si="5552"/>
        <v>#NAME?</v>
      </c>
      <c r="CW1185" s="164" t="str">
        <f t="shared" si="5552"/>
        <v>#NAME?</v>
      </c>
      <c r="CX1185" s="164" t="str">
        <f t="shared" si="5552"/>
        <v>#NAME?</v>
      </c>
      <c r="CY1185" s="168" t="str">
        <f t="shared" si="5552"/>
        <v>#NAME?</v>
      </c>
      <c r="CZ1185" s="164" t="str">
        <f t="shared" si="5552"/>
        <v>#NAME?</v>
      </c>
      <c r="DA1185" s="164" t="str">
        <f t="shared" si="5552"/>
        <v>#NAME?</v>
      </c>
      <c r="DB1185" s="164" t="str">
        <f t="shared" si="5552"/>
        <v>#NAME?</v>
      </c>
      <c r="DC1185" s="164" t="str">
        <f t="shared" si="5552"/>
        <v>#NAME?</v>
      </c>
      <c r="DD1185" s="168" t="str">
        <f t="shared" si="5552"/>
        <v>#REF!</v>
      </c>
      <c r="DE1185" s="164" t="str">
        <f t="shared" si="5552"/>
        <v>#NAME?</v>
      </c>
      <c r="DF1185" s="164" t="str">
        <f t="shared" si="5552"/>
        <v>#NAME?</v>
      </c>
      <c r="DG1185" s="146" t="str">
        <f t="shared" si="5552"/>
        <v>#NAME?</v>
      </c>
      <c r="DH1185" s="164" t="str">
        <f t="shared" si="5552"/>
        <v>#NAME?</v>
      </c>
      <c r="DI1185" s="168" t="str">
        <f t="shared" si="5552"/>
        <v>#NAME?</v>
      </c>
      <c r="DJ1185" s="583" t="str">
        <f t="shared" si="5552"/>
        <v>#NAME?</v>
      </c>
      <c r="DK1185" s="583" t="str">
        <f t="shared" si="5552"/>
        <v>#NAME?</v>
      </c>
      <c r="DL1185" s="583" t="str">
        <f t="shared" si="5552"/>
        <v>#NAME?</v>
      </c>
      <c r="DM1185" s="164" t="str">
        <f t="shared" si="5552"/>
        <v>#NAME?</v>
      </c>
      <c r="DN1185" s="168" t="str">
        <f t="shared" si="5552"/>
        <v>#NAME?</v>
      </c>
      <c r="DO1185" s="164" t="str">
        <f t="shared" si="5552"/>
        <v>#NAME?</v>
      </c>
      <c r="DP1185" s="164" t="str">
        <f t="shared" si="5552"/>
        <v>#NAME?</v>
      </c>
      <c r="DQ1185" s="164" t="str">
        <f t="shared" si="5552"/>
        <v>#NAME?</v>
      </c>
      <c r="DR1185" s="164" t="str">
        <f t="shared" si="5552"/>
        <v>#NAME?</v>
      </c>
      <c r="DS1185" s="168" t="str">
        <f t="shared" si="5552"/>
        <v>#NAME?</v>
      </c>
      <c r="DT1185" s="164" t="str">
        <f t="shared" si="5552"/>
        <v>#NAME?</v>
      </c>
      <c r="DU1185" s="164" t="str">
        <f t="shared" si="5552"/>
        <v>#NAME?</v>
      </c>
      <c r="DV1185" s="164" t="str">
        <f t="shared" si="5552"/>
        <v>#NAME?</v>
      </c>
      <c r="DW1185" s="164" t="str">
        <f t="shared" si="5552"/>
        <v>#NAME?</v>
      </c>
      <c r="DX1185" s="168" t="str">
        <f t="shared" si="5552"/>
        <v>#NAME?</v>
      </c>
      <c r="DY1185" s="164" t="str">
        <f t="shared" si="5552"/>
        <v>#NAME?</v>
      </c>
      <c r="DZ1185" s="164" t="str">
        <f t="shared" si="5552"/>
        <v>#NAME?</v>
      </c>
      <c r="EA1185" s="164" t="str">
        <f t="shared" si="5552"/>
        <v>#NAME?</v>
      </c>
      <c r="EB1185" s="164" t="str">
        <f t="shared" si="5552"/>
        <v>#NAME?</v>
      </c>
      <c r="EC1185" s="168" t="str">
        <f t="shared" si="5552"/>
        <v>#NAME?</v>
      </c>
      <c r="ED1185" s="164" t="str">
        <f t="shared" si="5552"/>
        <v>#NAME?</v>
      </c>
      <c r="EE1185" s="164" t="str">
        <f t="shared" si="5552"/>
        <v>#NAME?</v>
      </c>
      <c r="EF1185" s="164" t="str">
        <f t="shared" si="5552"/>
        <v>#NAME?</v>
      </c>
      <c r="EG1185" s="164" t="str">
        <f t="shared" si="5552"/>
        <v>#NAME?</v>
      </c>
      <c r="EH1185" s="168" t="str">
        <f t="shared" si="5552"/>
        <v>#NAME?</v>
      </c>
      <c r="EI1185" s="584" t="str">
        <f t="shared" si="5552"/>
        <v>#NAME?</v>
      </c>
      <c r="EJ1185" s="164" t="str">
        <f t="shared" si="5552"/>
        <v>#NAME?</v>
      </c>
      <c r="EK1185" s="164" t="str">
        <f t="shared" si="5552"/>
        <v>#NAME?</v>
      </c>
      <c r="EL1185" s="164" t="str">
        <f t="shared" si="5552"/>
        <v>#NAME?</v>
      </c>
      <c r="EM1185" s="168" t="str">
        <f t="shared" si="5552"/>
        <v>#NAME?</v>
      </c>
      <c r="EN1185" s="164" t="str">
        <f t="shared" si="5552"/>
        <v>#NAME?</v>
      </c>
      <c r="EO1185" s="164" t="str">
        <f t="shared" si="5552"/>
        <v>#NAME?</v>
      </c>
      <c r="EP1185" s="164" t="str">
        <f t="shared" si="5552"/>
        <v>#NAME?</v>
      </c>
      <c r="EQ1185" s="164" t="str">
        <f t="shared" si="5552"/>
        <v>#NAME?</v>
      </c>
      <c r="ER1185" s="168" t="str">
        <f t="shared" si="5552"/>
        <v>#NAME?</v>
      </c>
      <c r="ES1185" s="164" t="str">
        <f t="shared" si="5552"/>
        <v>#NAME?</v>
      </c>
      <c r="ET1185" s="164" t="str">
        <f t="shared" si="5552"/>
        <v>#NAME?</v>
      </c>
      <c r="EU1185" s="164" t="str">
        <f t="shared" si="5552"/>
        <v>#NAME?</v>
      </c>
      <c r="EV1185" s="164" t="str">
        <f t="shared" si="5552"/>
        <v>#NAME?</v>
      </c>
      <c r="EW1185" s="168" t="str">
        <f t="shared" si="5552"/>
        <v>#NAME?</v>
      </c>
      <c r="EX1185" s="164" t="str">
        <f t="shared" si="5552"/>
        <v>#NAME?</v>
      </c>
      <c r="EY1185" s="164" t="str">
        <f t="shared" si="5552"/>
        <v>#NAME?</v>
      </c>
      <c r="EZ1185" s="164" t="str">
        <f t="shared" si="5552"/>
        <v>#NAME?</v>
      </c>
      <c r="FA1185" s="164" t="str">
        <f t="shared" si="5552"/>
        <v>#NAME?</v>
      </c>
      <c r="FB1185" s="168" t="str">
        <f t="shared" si="5552"/>
        <v>#NAME?</v>
      </c>
      <c r="FC1185" s="164" t="str">
        <f t="shared" si="5552"/>
        <v>#NAME?</v>
      </c>
      <c r="FD1185" s="164" t="str">
        <f t="shared" si="5552"/>
        <v>#NAME?</v>
      </c>
      <c r="FE1185" s="164" t="str">
        <f t="shared" si="5552"/>
        <v>#NAME?</v>
      </c>
      <c r="FF1185" s="164" t="str">
        <f t="shared" si="5552"/>
        <v>#NAME?</v>
      </c>
      <c r="FG1185" s="168" t="str">
        <f t="shared" si="5552"/>
        <v>#NAME?</v>
      </c>
      <c r="FH1185" s="167"/>
      <c r="FI1185" s="164"/>
      <c r="FJ1185" s="164"/>
      <c r="FK1185" s="166"/>
      <c r="FL1185" s="164"/>
    </row>
    <row r="1186" ht="12.75" hidden="1" customHeight="1" outlineLevel="1">
      <c r="A1186" s="4"/>
      <c r="B1186" s="4"/>
      <c r="C1186" s="4"/>
      <c r="D1186" s="410"/>
      <c r="E1186" s="410"/>
      <c r="F1186" s="410"/>
      <c r="G1186" s="410"/>
      <c r="H1186" s="410"/>
      <c r="I1186" s="410"/>
      <c r="J1186" s="410"/>
      <c r="K1186" s="410"/>
      <c r="L1186" s="410"/>
      <c r="M1186" s="410"/>
      <c r="N1186" s="410"/>
      <c r="O1186" s="410"/>
      <c r="P1186" s="410"/>
      <c r="Q1186" s="410"/>
      <c r="R1186" s="410"/>
      <c r="S1186" s="410"/>
      <c r="T1186" s="410"/>
      <c r="U1186" s="410"/>
      <c r="V1186" s="410"/>
      <c r="W1186" s="410"/>
      <c r="X1186" s="410"/>
      <c r="Y1186" s="410"/>
      <c r="Z1186" s="410"/>
      <c r="AA1186" s="410"/>
      <c r="AB1186" s="410"/>
      <c r="AC1186" s="410"/>
      <c r="AD1186" s="410"/>
      <c r="AE1186" s="410"/>
      <c r="AF1186" s="410"/>
      <c r="AG1186" s="410"/>
      <c r="AH1186" s="410"/>
      <c r="AI1186" s="410"/>
      <c r="AJ1186" s="410"/>
      <c r="AK1186" s="410"/>
      <c r="AL1186" s="410"/>
      <c r="AM1186" s="410"/>
      <c r="AN1186" s="410"/>
      <c r="AO1186" s="410"/>
      <c r="AP1186" s="410"/>
      <c r="AQ1186" s="410"/>
      <c r="AR1186" s="410"/>
      <c r="AS1186" s="410"/>
      <c r="AT1186" s="410"/>
      <c r="AU1186" s="410"/>
      <c r="AV1186" s="410"/>
      <c r="AW1186" s="410" t="str">
        <f t="shared" ref="AW1186:FG1186" si="5553">AW1185/AR1185-1</f>
        <v>#NAME?</v>
      </c>
      <c r="AX1186" s="410" t="str">
        <f t="shared" si="5553"/>
        <v>#NAME?</v>
      </c>
      <c r="AY1186" s="410" t="str">
        <f t="shared" si="5553"/>
        <v>#NAME?</v>
      </c>
      <c r="AZ1186" s="410" t="str">
        <f t="shared" si="5553"/>
        <v>#NAME?</v>
      </c>
      <c r="BA1186" s="410" t="str">
        <f t="shared" si="5553"/>
        <v>#NAME?</v>
      </c>
      <c r="BB1186" s="410" t="str">
        <f t="shared" si="5553"/>
        <v>#NAME?</v>
      </c>
      <c r="BC1186" s="410" t="str">
        <f t="shared" si="5553"/>
        <v>#NAME?</v>
      </c>
      <c r="BD1186" s="410" t="str">
        <f t="shared" si="5553"/>
        <v>#NAME?</v>
      </c>
      <c r="BE1186" s="410" t="str">
        <f t="shared" si="5553"/>
        <v>#NAME?</v>
      </c>
      <c r="BF1186" s="410" t="str">
        <f t="shared" si="5553"/>
        <v>#NAME?</v>
      </c>
      <c r="BG1186" s="410" t="str">
        <f t="shared" si="5553"/>
        <v>#NAME?</v>
      </c>
      <c r="BH1186" s="410" t="str">
        <f t="shared" si="5553"/>
        <v>#NAME?</v>
      </c>
      <c r="BI1186" s="410" t="str">
        <f t="shared" si="5553"/>
        <v>#NAME?</v>
      </c>
      <c r="BJ1186" s="410" t="str">
        <f t="shared" si="5553"/>
        <v>#NAME?</v>
      </c>
      <c r="BK1186" s="410" t="str">
        <f t="shared" si="5553"/>
        <v>#NAME?</v>
      </c>
      <c r="BL1186" s="410" t="str">
        <f t="shared" si="5553"/>
        <v>#NAME?</v>
      </c>
      <c r="BM1186" s="410" t="str">
        <f t="shared" si="5553"/>
        <v>#NAME?</v>
      </c>
      <c r="BN1186" s="410" t="str">
        <f t="shared" si="5553"/>
        <v>#NAME?</v>
      </c>
      <c r="BO1186" s="410" t="str">
        <f t="shared" si="5553"/>
        <v>#NAME?</v>
      </c>
      <c r="BP1186" s="410" t="str">
        <f t="shared" si="5553"/>
        <v>#NAME?</v>
      </c>
      <c r="BQ1186" s="410" t="str">
        <f t="shared" si="5553"/>
        <v>#NAME?</v>
      </c>
      <c r="BR1186" s="410" t="str">
        <f t="shared" si="5553"/>
        <v>#NAME?</v>
      </c>
      <c r="BS1186" s="410" t="str">
        <f t="shared" si="5553"/>
        <v>#NAME?</v>
      </c>
      <c r="BT1186" s="410" t="str">
        <f t="shared" si="5553"/>
        <v>#NAME?</v>
      </c>
      <c r="BU1186" s="410" t="str">
        <f t="shared" si="5553"/>
        <v>#NAME?</v>
      </c>
      <c r="BV1186" s="410" t="str">
        <f t="shared" si="5553"/>
        <v>#NAME?</v>
      </c>
      <c r="BW1186" s="410" t="str">
        <f t="shared" si="5553"/>
        <v>#NAME?</v>
      </c>
      <c r="BX1186" s="410" t="str">
        <f t="shared" si="5553"/>
        <v>#NAME?</v>
      </c>
      <c r="BY1186" s="410" t="str">
        <f t="shared" si="5553"/>
        <v>#NAME?</v>
      </c>
      <c r="BZ1186" s="24" t="str">
        <f t="shared" si="5553"/>
        <v>#NAME?</v>
      </c>
      <c r="CA1186" s="410" t="str">
        <f t="shared" si="5553"/>
        <v>#NAME?</v>
      </c>
      <c r="CB1186" s="410" t="str">
        <f t="shared" si="5553"/>
        <v>#NAME?</v>
      </c>
      <c r="CC1186" s="410" t="str">
        <f t="shared" si="5553"/>
        <v>#NAME?</v>
      </c>
      <c r="CD1186" s="410" t="str">
        <f t="shared" si="5553"/>
        <v>#NAME?</v>
      </c>
      <c r="CE1186" s="24" t="str">
        <f t="shared" si="5553"/>
        <v>#NAME?</v>
      </c>
      <c r="CF1186" s="410" t="str">
        <f t="shared" si="5553"/>
        <v>#NAME?</v>
      </c>
      <c r="CG1186" s="410" t="str">
        <f t="shared" si="5553"/>
        <v>#NAME?</v>
      </c>
      <c r="CH1186" s="410" t="str">
        <f t="shared" si="5553"/>
        <v>#NAME?</v>
      </c>
      <c r="CI1186" s="410" t="str">
        <f t="shared" si="5553"/>
        <v>#NAME?</v>
      </c>
      <c r="CJ1186" s="24" t="str">
        <f t="shared" si="5553"/>
        <v>#NAME?</v>
      </c>
      <c r="CK1186" s="410" t="str">
        <f t="shared" si="5553"/>
        <v>#NAME?</v>
      </c>
      <c r="CL1186" s="410" t="str">
        <f t="shared" si="5553"/>
        <v>#NAME?</v>
      </c>
      <c r="CM1186" s="410" t="str">
        <f t="shared" si="5553"/>
        <v>#NAME?</v>
      </c>
      <c r="CN1186" s="104" t="str">
        <f t="shared" si="5553"/>
        <v>#NAME?</v>
      </c>
      <c r="CO1186" s="24" t="str">
        <f t="shared" si="5553"/>
        <v>#NAME?</v>
      </c>
      <c r="CP1186" s="104" t="str">
        <f t="shared" si="5553"/>
        <v>#NAME?</v>
      </c>
      <c r="CQ1186" s="410" t="str">
        <f t="shared" si="5553"/>
        <v>#NAME?</v>
      </c>
      <c r="CR1186" s="410" t="str">
        <f t="shared" si="5553"/>
        <v>#NAME?</v>
      </c>
      <c r="CS1186" s="410" t="str">
        <f t="shared" si="5553"/>
        <v>#NAME?</v>
      </c>
      <c r="CT1186" s="24" t="str">
        <f t="shared" si="5553"/>
        <v>#NAME?</v>
      </c>
      <c r="CU1186" s="410" t="str">
        <f t="shared" si="5553"/>
        <v>#NAME?</v>
      </c>
      <c r="CV1186" s="410" t="str">
        <f t="shared" si="5553"/>
        <v>#NAME?</v>
      </c>
      <c r="CW1186" s="410" t="str">
        <f t="shared" si="5553"/>
        <v>#NAME?</v>
      </c>
      <c r="CX1186" s="410" t="str">
        <f t="shared" si="5553"/>
        <v>#NAME?</v>
      </c>
      <c r="CY1186" s="24" t="str">
        <f t="shared" si="5553"/>
        <v>#NAME?</v>
      </c>
      <c r="CZ1186" s="410" t="str">
        <f t="shared" si="5553"/>
        <v>#NAME?</v>
      </c>
      <c r="DA1186" s="410" t="str">
        <f t="shared" si="5553"/>
        <v>#NAME?</v>
      </c>
      <c r="DB1186" s="410" t="str">
        <f t="shared" si="5553"/>
        <v>#NAME?</v>
      </c>
      <c r="DC1186" s="410" t="str">
        <f t="shared" si="5553"/>
        <v>#NAME?</v>
      </c>
      <c r="DD1186" s="24" t="str">
        <f t="shared" si="5553"/>
        <v>#REF!</v>
      </c>
      <c r="DE1186" s="410" t="str">
        <f t="shared" si="5553"/>
        <v>#NAME?</v>
      </c>
      <c r="DF1186" s="410" t="str">
        <f t="shared" si="5553"/>
        <v>#NAME?</v>
      </c>
      <c r="DG1186" s="104" t="str">
        <f t="shared" si="5553"/>
        <v>#NAME?</v>
      </c>
      <c r="DH1186" s="410" t="str">
        <f t="shared" si="5553"/>
        <v>#NAME?</v>
      </c>
      <c r="DI1186" s="24" t="str">
        <f t="shared" si="5553"/>
        <v>#NAME?</v>
      </c>
      <c r="DJ1186" s="104" t="str">
        <f t="shared" si="5553"/>
        <v>#NAME?</v>
      </c>
      <c r="DK1186" s="104" t="str">
        <f t="shared" si="5553"/>
        <v>#NAME?</v>
      </c>
      <c r="DL1186" s="104" t="str">
        <f t="shared" si="5553"/>
        <v>#NAME?</v>
      </c>
      <c r="DM1186" s="410" t="str">
        <f t="shared" si="5553"/>
        <v>#NAME?</v>
      </c>
      <c r="DN1186" s="24" t="str">
        <f t="shared" si="5553"/>
        <v>#NAME?</v>
      </c>
      <c r="DO1186" s="410" t="str">
        <f t="shared" si="5553"/>
        <v>#NAME?</v>
      </c>
      <c r="DP1186" s="410" t="str">
        <f t="shared" si="5553"/>
        <v>#NAME?</v>
      </c>
      <c r="DQ1186" s="410" t="str">
        <f t="shared" si="5553"/>
        <v>#NAME?</v>
      </c>
      <c r="DR1186" s="410" t="str">
        <f t="shared" si="5553"/>
        <v>#NAME?</v>
      </c>
      <c r="DS1186" s="24" t="str">
        <f t="shared" si="5553"/>
        <v>#NAME?</v>
      </c>
      <c r="DT1186" s="410" t="str">
        <f t="shared" si="5553"/>
        <v>#NAME?</v>
      </c>
      <c r="DU1186" s="410" t="str">
        <f t="shared" si="5553"/>
        <v>#NAME?</v>
      </c>
      <c r="DV1186" s="410" t="str">
        <f t="shared" si="5553"/>
        <v>#NAME?</v>
      </c>
      <c r="DW1186" s="410" t="str">
        <f t="shared" si="5553"/>
        <v>#NAME?</v>
      </c>
      <c r="DX1186" s="24" t="str">
        <f t="shared" si="5553"/>
        <v>#NAME?</v>
      </c>
      <c r="DY1186" s="410" t="str">
        <f t="shared" si="5553"/>
        <v>#NAME?</v>
      </c>
      <c r="DZ1186" s="410" t="str">
        <f t="shared" si="5553"/>
        <v>#NAME?</v>
      </c>
      <c r="EA1186" s="410" t="str">
        <f t="shared" si="5553"/>
        <v>#NAME?</v>
      </c>
      <c r="EB1186" s="410" t="str">
        <f t="shared" si="5553"/>
        <v>#NAME?</v>
      </c>
      <c r="EC1186" s="24" t="str">
        <f t="shared" si="5553"/>
        <v>#NAME?</v>
      </c>
      <c r="ED1186" s="410" t="str">
        <f t="shared" si="5553"/>
        <v>#NAME?</v>
      </c>
      <c r="EE1186" s="410" t="str">
        <f t="shared" si="5553"/>
        <v>#NAME?</v>
      </c>
      <c r="EF1186" s="410" t="str">
        <f t="shared" si="5553"/>
        <v>#NAME?</v>
      </c>
      <c r="EG1186" s="410" t="str">
        <f t="shared" si="5553"/>
        <v>#NAME?</v>
      </c>
      <c r="EH1186" s="24" t="str">
        <f t="shared" si="5553"/>
        <v>#NAME?</v>
      </c>
      <c r="EI1186" s="317" t="str">
        <f t="shared" si="5553"/>
        <v>#NAME?</v>
      </c>
      <c r="EJ1186" s="410" t="str">
        <f t="shared" si="5553"/>
        <v>#NAME?</v>
      </c>
      <c r="EK1186" s="410" t="str">
        <f t="shared" si="5553"/>
        <v>#NAME?</v>
      </c>
      <c r="EL1186" s="410" t="str">
        <f t="shared" si="5553"/>
        <v>#NAME?</v>
      </c>
      <c r="EM1186" s="24" t="str">
        <f t="shared" si="5553"/>
        <v>#NAME?</v>
      </c>
      <c r="EN1186" s="410" t="str">
        <f t="shared" si="5553"/>
        <v>#NAME?</v>
      </c>
      <c r="EO1186" s="410" t="str">
        <f t="shared" si="5553"/>
        <v>#NAME?</v>
      </c>
      <c r="EP1186" s="410" t="str">
        <f t="shared" si="5553"/>
        <v>#NAME?</v>
      </c>
      <c r="EQ1186" s="410" t="str">
        <f t="shared" si="5553"/>
        <v>#NAME?</v>
      </c>
      <c r="ER1186" s="24" t="str">
        <f t="shared" si="5553"/>
        <v>#NAME?</v>
      </c>
      <c r="ES1186" s="410" t="str">
        <f t="shared" si="5553"/>
        <v>#NAME?</v>
      </c>
      <c r="ET1186" s="410" t="str">
        <f t="shared" si="5553"/>
        <v>#NAME?</v>
      </c>
      <c r="EU1186" s="410" t="str">
        <f t="shared" si="5553"/>
        <v>#NAME?</v>
      </c>
      <c r="EV1186" s="410" t="str">
        <f t="shared" si="5553"/>
        <v>#NAME?</v>
      </c>
      <c r="EW1186" s="24" t="str">
        <f t="shared" si="5553"/>
        <v>#NAME?</v>
      </c>
      <c r="EX1186" s="410" t="str">
        <f t="shared" si="5553"/>
        <v>#NAME?</v>
      </c>
      <c r="EY1186" s="410" t="str">
        <f t="shared" si="5553"/>
        <v>#NAME?</v>
      </c>
      <c r="EZ1186" s="410" t="str">
        <f t="shared" si="5553"/>
        <v>#NAME?</v>
      </c>
      <c r="FA1186" s="410" t="str">
        <f t="shared" si="5553"/>
        <v>#NAME?</v>
      </c>
      <c r="FB1186" s="24" t="str">
        <f t="shared" si="5553"/>
        <v>#NAME?</v>
      </c>
      <c r="FC1186" s="410" t="str">
        <f t="shared" si="5553"/>
        <v>#NAME?</v>
      </c>
      <c r="FD1186" s="410" t="str">
        <f t="shared" si="5553"/>
        <v>#NAME?</v>
      </c>
      <c r="FE1186" s="410" t="str">
        <f t="shared" si="5553"/>
        <v>#NAME?</v>
      </c>
      <c r="FF1186" s="410" t="str">
        <f t="shared" si="5553"/>
        <v>#NAME?</v>
      </c>
      <c r="FG1186" s="24" t="str">
        <f t="shared" si="5553"/>
        <v>#NAME?</v>
      </c>
      <c r="FH1186" s="104"/>
      <c r="FI1186" s="410"/>
      <c r="FJ1186" s="410"/>
      <c r="FK1186" s="410"/>
      <c r="FL1186" s="410"/>
    </row>
    <row r="1187" ht="12.75" hidden="1" customHeight="1" outlineLevel="1">
      <c r="A1187" s="4"/>
      <c r="B1187" s="45" t="s">
        <v>449</v>
      </c>
      <c r="C1187" s="4"/>
      <c r="D1187" s="4"/>
      <c r="E1187" s="4"/>
      <c r="F1187" s="4"/>
      <c r="G1187" s="4"/>
      <c r="H1187" s="45"/>
      <c r="I1187" s="4"/>
      <c r="J1187" s="4"/>
      <c r="K1187" s="4"/>
      <c r="L1187" s="4"/>
      <c r="M1187" s="45"/>
      <c r="N1187" s="4"/>
      <c r="O1187" s="4"/>
      <c r="P1187" s="4"/>
      <c r="Q1187" s="4"/>
      <c r="R1187" s="45"/>
      <c r="S1187" s="4"/>
      <c r="T1187" s="4"/>
      <c r="U1187" s="4"/>
      <c r="V1187" s="4"/>
      <c r="W1187" s="45"/>
      <c r="X1187" s="4"/>
      <c r="Y1187" s="4"/>
      <c r="Z1187" s="4"/>
      <c r="AA1187" s="4"/>
      <c r="AB1187" s="45"/>
      <c r="AC1187" s="4"/>
      <c r="AD1187" s="4"/>
      <c r="AE1187" s="4"/>
      <c r="AF1187" s="4"/>
      <c r="AG1187" s="45"/>
      <c r="AH1187" s="4"/>
      <c r="AI1187" s="4"/>
      <c r="AJ1187" s="4"/>
      <c r="AK1187" s="4"/>
      <c r="AL1187" s="45"/>
      <c r="AM1187" s="4"/>
      <c r="AN1187" s="4"/>
      <c r="AO1187" s="4"/>
      <c r="AP1187" s="4"/>
      <c r="AQ1187" s="45"/>
      <c r="AR1187" s="4"/>
      <c r="AS1187" s="4"/>
      <c r="AT1187" s="4"/>
      <c r="AU1187" s="4"/>
      <c r="AV1187" s="45"/>
      <c r="AW1187" s="4"/>
      <c r="AX1187" s="4"/>
      <c r="AY1187" s="4"/>
      <c r="AZ1187" s="4"/>
      <c r="BA1187" s="45"/>
      <c r="BB1187" s="4"/>
      <c r="BC1187" s="4"/>
      <c r="BD1187" s="4"/>
      <c r="BE1187" s="4"/>
      <c r="BF1187" s="45"/>
      <c r="BG1187" s="4"/>
      <c r="BH1187" s="4"/>
      <c r="BI1187" s="4"/>
      <c r="BJ1187" s="4"/>
      <c r="BK1187" s="45"/>
      <c r="BL1187" s="4"/>
      <c r="BM1187" s="4"/>
      <c r="BN1187" s="4"/>
      <c r="BO1187" s="4"/>
      <c r="BP1187" s="45"/>
      <c r="BQ1187" s="4"/>
      <c r="BR1187" s="4"/>
      <c r="BS1187" s="4"/>
      <c r="BT1187" s="4"/>
      <c r="BU1187" s="45"/>
      <c r="BV1187" s="4"/>
      <c r="BW1187" s="4"/>
      <c r="BX1187" s="4"/>
      <c r="BY1187" s="4"/>
      <c r="BZ1187" s="350"/>
      <c r="CA1187" s="4"/>
      <c r="CB1187" s="4"/>
      <c r="CC1187" s="4"/>
      <c r="CD1187" s="4"/>
      <c r="CE1187" s="350"/>
      <c r="CF1187" s="4"/>
      <c r="CG1187" s="4"/>
      <c r="CH1187" s="4"/>
      <c r="CI1187" s="4"/>
      <c r="CJ1187" s="350"/>
      <c r="CK1187" s="4"/>
      <c r="CL1187" s="4"/>
      <c r="CM1187" s="4"/>
      <c r="CN1187" s="16"/>
      <c r="CO1187" s="350"/>
      <c r="CP1187" s="16"/>
      <c r="CQ1187" s="4"/>
      <c r="CR1187" s="4"/>
      <c r="CS1187" s="4"/>
      <c r="CT1187" s="350"/>
      <c r="CU1187" s="4"/>
      <c r="CV1187" s="4"/>
      <c r="CW1187" s="4"/>
      <c r="CX1187" s="4"/>
      <c r="CY1187" s="350"/>
      <c r="CZ1187" s="4"/>
      <c r="DA1187" s="4"/>
      <c r="DB1187" s="4"/>
      <c r="DC1187" s="4"/>
      <c r="DD1187" s="350"/>
      <c r="DE1187" s="4"/>
      <c r="DF1187" s="4"/>
      <c r="DG1187" s="16"/>
      <c r="DH1187" s="4"/>
      <c r="DI1187" s="350"/>
      <c r="DJ1187" s="16"/>
      <c r="DK1187" s="16"/>
      <c r="DL1187" s="16"/>
      <c r="DM1187" s="4"/>
      <c r="DN1187" s="350"/>
      <c r="DO1187" s="4"/>
      <c r="DP1187" s="4"/>
      <c r="DQ1187" s="4"/>
      <c r="DR1187" s="4"/>
      <c r="DS1187" s="350"/>
      <c r="DT1187" s="4"/>
      <c r="DU1187" s="4"/>
      <c r="DV1187" s="4"/>
      <c r="DW1187" s="4"/>
      <c r="DX1187" s="350"/>
      <c r="DY1187" s="4"/>
      <c r="DZ1187" s="4"/>
      <c r="EA1187" s="4"/>
      <c r="EB1187" s="4"/>
      <c r="EC1187" s="350"/>
      <c r="ED1187" s="4"/>
      <c r="EE1187" s="4"/>
      <c r="EF1187" s="4"/>
      <c r="EG1187" s="4"/>
      <c r="EH1187" s="350"/>
      <c r="EI1187" s="214"/>
      <c r="EJ1187" s="4"/>
      <c r="EK1187" s="4"/>
      <c r="EL1187" s="4"/>
      <c r="EM1187" s="350"/>
      <c r="EN1187" s="4"/>
      <c r="EO1187" s="4"/>
      <c r="EP1187" s="4"/>
      <c r="EQ1187" s="4"/>
      <c r="ER1187" s="350"/>
      <c r="ES1187" s="4"/>
      <c r="ET1187" s="4"/>
      <c r="EU1187" s="4"/>
      <c r="EV1187" s="4"/>
      <c r="EW1187" s="350"/>
      <c r="EX1187" s="4"/>
      <c r="EY1187" s="4"/>
      <c r="EZ1187" s="4"/>
      <c r="FA1187" s="4"/>
      <c r="FB1187" s="350"/>
      <c r="FC1187" s="4"/>
      <c r="FD1187" s="4"/>
      <c r="FE1187" s="4"/>
      <c r="FF1187" s="4"/>
      <c r="FG1187" s="350"/>
      <c r="FH1187" s="145"/>
      <c r="FI1187" s="4"/>
      <c r="FJ1187" s="4"/>
      <c r="FK1187" s="45"/>
      <c r="FL1187" s="4"/>
    </row>
    <row r="1188" ht="12.75" hidden="1" customHeight="1" outlineLevel="1">
      <c r="A1188" s="4"/>
      <c r="B1188" s="4" t="s">
        <v>450</v>
      </c>
      <c r="C1188" s="4"/>
      <c r="D1188" s="15"/>
      <c r="E1188" s="15"/>
      <c r="F1188" s="15"/>
      <c r="G1188" s="15"/>
      <c r="H1188" s="410"/>
      <c r="I1188" s="15"/>
      <c r="J1188" s="15"/>
      <c r="K1188" s="15"/>
      <c r="L1188" s="15"/>
      <c r="M1188" s="410"/>
      <c r="N1188" s="15"/>
      <c r="O1188" s="15"/>
      <c r="P1188" s="15"/>
      <c r="Q1188" s="15"/>
      <c r="R1188" s="410"/>
      <c r="S1188" s="15"/>
      <c r="T1188" s="15"/>
      <c r="U1188" s="15"/>
      <c r="V1188" s="15"/>
      <c r="W1188" s="410"/>
      <c r="X1188" s="15"/>
      <c r="Y1188" s="15"/>
      <c r="Z1188" s="15"/>
      <c r="AA1188" s="15"/>
      <c r="AB1188" s="410"/>
      <c r="AC1188" s="15"/>
      <c r="AD1188" s="15"/>
      <c r="AE1188" s="15"/>
      <c r="AF1188" s="15"/>
      <c r="AG1188" s="410"/>
      <c r="AH1188" s="15"/>
      <c r="AI1188" s="15"/>
      <c r="AJ1188" s="15"/>
      <c r="AK1188" s="15"/>
      <c r="AL1188" s="410"/>
      <c r="AM1188" s="15"/>
      <c r="AN1188" s="15"/>
      <c r="AO1188" s="15"/>
      <c r="AP1188" s="15"/>
      <c r="AQ1188" s="410"/>
      <c r="AR1188" s="15" t="str">
        <f t="shared" ref="AR1188:FG1188" si="5554">AR1183/AR1185</f>
        <v>#NAME?</v>
      </c>
      <c r="AS1188" s="15" t="str">
        <f t="shared" si="5554"/>
        <v>#NAME?</v>
      </c>
      <c r="AT1188" s="15" t="str">
        <f t="shared" si="5554"/>
        <v>#NAME?</v>
      </c>
      <c r="AU1188" s="15" t="str">
        <f t="shared" si="5554"/>
        <v>#NAME?</v>
      </c>
      <c r="AV1188" s="410" t="str">
        <f t="shared" si="5554"/>
        <v>#NAME?</v>
      </c>
      <c r="AW1188" s="15" t="str">
        <f t="shared" si="5554"/>
        <v>#NAME?</v>
      </c>
      <c r="AX1188" s="15" t="str">
        <f t="shared" si="5554"/>
        <v>#NAME?</v>
      </c>
      <c r="AY1188" s="15" t="str">
        <f t="shared" si="5554"/>
        <v>#NAME?</v>
      </c>
      <c r="AZ1188" s="15" t="str">
        <f t="shared" si="5554"/>
        <v>#NAME?</v>
      </c>
      <c r="BA1188" s="410" t="str">
        <f t="shared" si="5554"/>
        <v>#NAME?</v>
      </c>
      <c r="BB1188" s="15" t="str">
        <f t="shared" si="5554"/>
        <v>#NAME?</v>
      </c>
      <c r="BC1188" s="15" t="str">
        <f t="shared" si="5554"/>
        <v>#NAME?</v>
      </c>
      <c r="BD1188" s="15" t="str">
        <f t="shared" si="5554"/>
        <v>#NAME?</v>
      </c>
      <c r="BE1188" s="15" t="str">
        <f t="shared" si="5554"/>
        <v>#NAME?</v>
      </c>
      <c r="BF1188" s="410" t="str">
        <f t="shared" si="5554"/>
        <v>#NAME?</v>
      </c>
      <c r="BG1188" s="15" t="str">
        <f t="shared" si="5554"/>
        <v>#NAME?</v>
      </c>
      <c r="BH1188" s="15" t="str">
        <f t="shared" si="5554"/>
        <v>#NAME?</v>
      </c>
      <c r="BI1188" s="15" t="str">
        <f t="shared" si="5554"/>
        <v>#NAME?</v>
      </c>
      <c r="BJ1188" s="15" t="str">
        <f t="shared" si="5554"/>
        <v>#NAME?</v>
      </c>
      <c r="BK1188" s="410" t="str">
        <f t="shared" si="5554"/>
        <v>#NAME?</v>
      </c>
      <c r="BL1188" s="15" t="str">
        <f t="shared" si="5554"/>
        <v>#NAME?</v>
      </c>
      <c r="BM1188" s="15" t="str">
        <f t="shared" si="5554"/>
        <v>#NAME?</v>
      </c>
      <c r="BN1188" s="15" t="str">
        <f t="shared" si="5554"/>
        <v>#NAME?</v>
      </c>
      <c r="BO1188" s="15" t="str">
        <f t="shared" si="5554"/>
        <v>#NAME?</v>
      </c>
      <c r="BP1188" s="410" t="str">
        <f t="shared" si="5554"/>
        <v>#NAME?</v>
      </c>
      <c r="BQ1188" s="15" t="str">
        <f t="shared" si="5554"/>
        <v>#NAME?</v>
      </c>
      <c r="BR1188" s="15" t="str">
        <f t="shared" si="5554"/>
        <v>#NAME?</v>
      </c>
      <c r="BS1188" s="15" t="str">
        <f t="shared" si="5554"/>
        <v>#NAME?</v>
      </c>
      <c r="BT1188" s="15" t="str">
        <f t="shared" si="5554"/>
        <v>#NAME?</v>
      </c>
      <c r="BU1188" s="410" t="str">
        <f t="shared" si="5554"/>
        <v>#NAME?</v>
      </c>
      <c r="BV1188" s="15" t="str">
        <f t="shared" si="5554"/>
        <v>#NAME?</v>
      </c>
      <c r="BW1188" s="15" t="str">
        <f t="shared" si="5554"/>
        <v>#NAME?</v>
      </c>
      <c r="BX1188" s="15" t="str">
        <f t="shared" si="5554"/>
        <v>#NAME?</v>
      </c>
      <c r="BY1188" s="15" t="str">
        <f t="shared" si="5554"/>
        <v>#NAME?</v>
      </c>
      <c r="BZ1188" s="24" t="str">
        <f t="shared" si="5554"/>
        <v>#NAME?</v>
      </c>
      <c r="CA1188" s="15" t="str">
        <f t="shared" si="5554"/>
        <v>#NAME?</v>
      </c>
      <c r="CB1188" s="15" t="str">
        <f t="shared" si="5554"/>
        <v>#NAME?</v>
      </c>
      <c r="CC1188" s="15" t="str">
        <f t="shared" si="5554"/>
        <v>#NAME?</v>
      </c>
      <c r="CD1188" s="15" t="str">
        <f t="shared" si="5554"/>
        <v>#NAME?</v>
      </c>
      <c r="CE1188" s="24" t="str">
        <f t="shared" si="5554"/>
        <v>#NAME?</v>
      </c>
      <c r="CF1188" s="15" t="str">
        <f t="shared" si="5554"/>
        <v>#NAME?</v>
      </c>
      <c r="CG1188" s="15" t="str">
        <f t="shared" si="5554"/>
        <v>#NAME?</v>
      </c>
      <c r="CH1188" s="15" t="str">
        <f t="shared" si="5554"/>
        <v>#NAME?</v>
      </c>
      <c r="CI1188" s="15" t="str">
        <f t="shared" si="5554"/>
        <v>#NAME?</v>
      </c>
      <c r="CJ1188" s="24" t="str">
        <f t="shared" si="5554"/>
        <v>#NAME?</v>
      </c>
      <c r="CK1188" s="15" t="str">
        <f t="shared" si="5554"/>
        <v>#NAME?</v>
      </c>
      <c r="CL1188" s="15" t="str">
        <f t="shared" si="5554"/>
        <v>#NAME?</v>
      </c>
      <c r="CM1188" s="15" t="str">
        <f t="shared" si="5554"/>
        <v>#NAME?</v>
      </c>
      <c r="CN1188" s="40" t="str">
        <f t="shared" si="5554"/>
        <v>#NAME?</v>
      </c>
      <c r="CO1188" s="24" t="str">
        <f t="shared" si="5554"/>
        <v>#NAME?</v>
      </c>
      <c r="CP1188" s="40" t="str">
        <f t="shared" si="5554"/>
        <v>#NAME?</v>
      </c>
      <c r="CQ1188" s="15" t="str">
        <f t="shared" si="5554"/>
        <v>#NAME?</v>
      </c>
      <c r="CR1188" s="15" t="str">
        <f t="shared" si="5554"/>
        <v>#NAME?</v>
      </c>
      <c r="CS1188" s="15" t="str">
        <f t="shared" si="5554"/>
        <v>#NAME?</v>
      </c>
      <c r="CT1188" s="24" t="str">
        <f t="shared" si="5554"/>
        <v>#NAME?</v>
      </c>
      <c r="CU1188" s="15" t="str">
        <f t="shared" si="5554"/>
        <v>#NAME?</v>
      </c>
      <c r="CV1188" s="15" t="str">
        <f t="shared" si="5554"/>
        <v>#NAME?</v>
      </c>
      <c r="CW1188" s="15" t="str">
        <f t="shared" si="5554"/>
        <v>#NAME?</v>
      </c>
      <c r="CX1188" s="15" t="str">
        <f t="shared" si="5554"/>
        <v>#NAME?</v>
      </c>
      <c r="CY1188" s="24" t="str">
        <f t="shared" si="5554"/>
        <v>#NAME?</v>
      </c>
      <c r="CZ1188" s="15" t="str">
        <f t="shared" si="5554"/>
        <v>#NAME?</v>
      </c>
      <c r="DA1188" s="15" t="str">
        <f t="shared" si="5554"/>
        <v>#NAME?</v>
      </c>
      <c r="DB1188" s="15" t="str">
        <f t="shared" si="5554"/>
        <v>#NAME?</v>
      </c>
      <c r="DC1188" s="15" t="str">
        <f t="shared" si="5554"/>
        <v>#NAME?</v>
      </c>
      <c r="DD1188" s="24" t="str">
        <f t="shared" si="5554"/>
        <v>#REF!</v>
      </c>
      <c r="DE1188" s="15" t="str">
        <f t="shared" si="5554"/>
        <v>#NAME?</v>
      </c>
      <c r="DF1188" s="15" t="str">
        <f t="shared" si="5554"/>
        <v>#NAME?</v>
      </c>
      <c r="DG1188" s="40" t="str">
        <f t="shared" si="5554"/>
        <v>#NAME?</v>
      </c>
      <c r="DH1188" s="15" t="str">
        <f t="shared" si="5554"/>
        <v>#NAME?</v>
      </c>
      <c r="DI1188" s="24" t="str">
        <f t="shared" si="5554"/>
        <v>#NAME?</v>
      </c>
      <c r="DJ1188" s="40" t="str">
        <f t="shared" si="5554"/>
        <v>#NAME?</v>
      </c>
      <c r="DK1188" s="40" t="str">
        <f t="shared" si="5554"/>
        <v>#NAME?</v>
      </c>
      <c r="DL1188" s="40" t="str">
        <f t="shared" si="5554"/>
        <v>#NAME?</v>
      </c>
      <c r="DM1188" s="15" t="str">
        <f t="shared" si="5554"/>
        <v>#NAME?</v>
      </c>
      <c r="DN1188" s="24" t="str">
        <f t="shared" si="5554"/>
        <v>#NAME?</v>
      </c>
      <c r="DO1188" s="15" t="str">
        <f t="shared" si="5554"/>
        <v>#NAME?</v>
      </c>
      <c r="DP1188" s="15" t="str">
        <f t="shared" si="5554"/>
        <v>#NAME?</v>
      </c>
      <c r="DQ1188" s="15" t="str">
        <f t="shared" si="5554"/>
        <v>#NAME?</v>
      </c>
      <c r="DR1188" s="15" t="str">
        <f t="shared" si="5554"/>
        <v>#NAME?</v>
      </c>
      <c r="DS1188" s="24" t="str">
        <f t="shared" si="5554"/>
        <v>#NAME?</v>
      </c>
      <c r="DT1188" s="15" t="str">
        <f t="shared" si="5554"/>
        <v>#NAME?</v>
      </c>
      <c r="DU1188" s="15" t="str">
        <f t="shared" si="5554"/>
        <v>#NAME?</v>
      </c>
      <c r="DV1188" s="15" t="str">
        <f t="shared" si="5554"/>
        <v>#NAME?</v>
      </c>
      <c r="DW1188" s="15" t="str">
        <f t="shared" si="5554"/>
        <v>#NAME?</v>
      </c>
      <c r="DX1188" s="24" t="str">
        <f t="shared" si="5554"/>
        <v>#NAME?</v>
      </c>
      <c r="DY1188" s="15" t="str">
        <f t="shared" si="5554"/>
        <v>#NAME?</v>
      </c>
      <c r="DZ1188" s="15" t="str">
        <f t="shared" si="5554"/>
        <v>#NAME?</v>
      </c>
      <c r="EA1188" s="15" t="str">
        <f t="shared" si="5554"/>
        <v>#NAME?</v>
      </c>
      <c r="EB1188" s="15" t="str">
        <f t="shared" si="5554"/>
        <v>#NAME?</v>
      </c>
      <c r="EC1188" s="24" t="str">
        <f t="shared" si="5554"/>
        <v>#NAME?</v>
      </c>
      <c r="ED1188" s="15" t="str">
        <f t="shared" si="5554"/>
        <v>#NAME?</v>
      </c>
      <c r="EE1188" s="15" t="str">
        <f t="shared" si="5554"/>
        <v>#NAME?</v>
      </c>
      <c r="EF1188" s="15" t="str">
        <f t="shared" si="5554"/>
        <v>#NAME?</v>
      </c>
      <c r="EG1188" s="15" t="str">
        <f t="shared" si="5554"/>
        <v>#NAME?</v>
      </c>
      <c r="EH1188" s="24" t="str">
        <f t="shared" si="5554"/>
        <v>#NAME?</v>
      </c>
      <c r="EI1188" s="82" t="str">
        <f t="shared" si="5554"/>
        <v>#NAME?</v>
      </c>
      <c r="EJ1188" s="15" t="str">
        <f t="shared" si="5554"/>
        <v>#NAME?</v>
      </c>
      <c r="EK1188" s="15" t="str">
        <f t="shared" si="5554"/>
        <v>#NAME?</v>
      </c>
      <c r="EL1188" s="15" t="str">
        <f t="shared" si="5554"/>
        <v>#NAME?</v>
      </c>
      <c r="EM1188" s="24" t="str">
        <f t="shared" si="5554"/>
        <v>#NAME?</v>
      </c>
      <c r="EN1188" s="15" t="str">
        <f t="shared" si="5554"/>
        <v>#NAME?</v>
      </c>
      <c r="EO1188" s="15" t="str">
        <f t="shared" si="5554"/>
        <v>#NAME?</v>
      </c>
      <c r="EP1188" s="15" t="str">
        <f t="shared" si="5554"/>
        <v>#NAME?</v>
      </c>
      <c r="EQ1188" s="15" t="str">
        <f t="shared" si="5554"/>
        <v>#NAME?</v>
      </c>
      <c r="ER1188" s="24" t="str">
        <f t="shared" si="5554"/>
        <v>#NAME?</v>
      </c>
      <c r="ES1188" s="15" t="str">
        <f t="shared" si="5554"/>
        <v>#NAME?</v>
      </c>
      <c r="ET1188" s="15" t="str">
        <f t="shared" si="5554"/>
        <v>#NAME?</v>
      </c>
      <c r="EU1188" s="15" t="str">
        <f t="shared" si="5554"/>
        <v>#NAME?</v>
      </c>
      <c r="EV1188" s="15" t="str">
        <f t="shared" si="5554"/>
        <v>#NAME?</v>
      </c>
      <c r="EW1188" s="24" t="str">
        <f t="shared" si="5554"/>
        <v>#NAME?</v>
      </c>
      <c r="EX1188" s="15" t="str">
        <f t="shared" si="5554"/>
        <v>#NAME?</v>
      </c>
      <c r="EY1188" s="15" t="str">
        <f t="shared" si="5554"/>
        <v>#NAME?</v>
      </c>
      <c r="EZ1188" s="15" t="str">
        <f t="shared" si="5554"/>
        <v>#NAME?</v>
      </c>
      <c r="FA1188" s="15" t="str">
        <f t="shared" si="5554"/>
        <v>#NAME?</v>
      </c>
      <c r="FB1188" s="24" t="str">
        <f t="shared" si="5554"/>
        <v>#NAME?</v>
      </c>
      <c r="FC1188" s="15" t="str">
        <f t="shared" si="5554"/>
        <v>#NAME?</v>
      </c>
      <c r="FD1188" s="15" t="str">
        <f t="shared" si="5554"/>
        <v>#NAME?</v>
      </c>
      <c r="FE1188" s="15" t="str">
        <f t="shared" si="5554"/>
        <v>#NAME?</v>
      </c>
      <c r="FF1188" s="15" t="str">
        <f t="shared" si="5554"/>
        <v>#NAME?</v>
      </c>
      <c r="FG1188" s="24" t="str">
        <f t="shared" si="5554"/>
        <v>#NAME?</v>
      </c>
      <c r="FH1188" s="104"/>
      <c r="FI1188" s="15"/>
      <c r="FJ1188" s="15"/>
      <c r="FK1188" s="410"/>
      <c r="FL1188" s="15"/>
    </row>
    <row r="1189" ht="12.75" hidden="1" customHeight="1" outlineLevel="1">
      <c r="A1189" s="4"/>
      <c r="B1189" s="4" t="s">
        <v>451</v>
      </c>
      <c r="C1189" s="4"/>
      <c r="D1189" s="15"/>
      <c r="E1189" s="15"/>
      <c r="F1189" s="15"/>
      <c r="G1189" s="15"/>
      <c r="H1189" s="410"/>
      <c r="I1189" s="15"/>
      <c r="J1189" s="15"/>
      <c r="K1189" s="15"/>
      <c r="L1189" s="15"/>
      <c r="M1189" s="410"/>
      <c r="N1189" s="15"/>
      <c r="O1189" s="15"/>
      <c r="P1189" s="15"/>
      <c r="Q1189" s="15"/>
      <c r="R1189" s="410"/>
      <c r="S1189" s="15"/>
      <c r="T1189" s="15"/>
      <c r="U1189" s="15"/>
      <c r="V1189" s="15"/>
      <c r="W1189" s="410"/>
      <c r="X1189" s="15"/>
      <c r="Y1189" s="15"/>
      <c r="Z1189" s="15"/>
      <c r="AA1189" s="15"/>
      <c r="AB1189" s="410"/>
      <c r="AC1189" s="15"/>
      <c r="AD1189" s="15"/>
      <c r="AE1189" s="15"/>
      <c r="AF1189" s="15"/>
      <c r="AG1189" s="410"/>
      <c r="AH1189" s="15"/>
      <c r="AI1189" s="15"/>
      <c r="AJ1189" s="15"/>
      <c r="AK1189" s="15"/>
      <c r="AL1189" s="410"/>
      <c r="AM1189" s="15"/>
      <c r="AN1189" s="15"/>
      <c r="AO1189" s="15"/>
      <c r="AP1189" s="15"/>
      <c r="AQ1189" s="410"/>
      <c r="AR1189" s="15" t="str">
        <f t="shared" ref="AR1189:FG1189" si="5555">AR1184/AR1185</f>
        <v>#NAME?</v>
      </c>
      <c r="AS1189" s="15" t="str">
        <f t="shared" si="5555"/>
        <v>#NAME?</v>
      </c>
      <c r="AT1189" s="15" t="str">
        <f t="shared" si="5555"/>
        <v>#NAME?</v>
      </c>
      <c r="AU1189" s="15" t="str">
        <f t="shared" si="5555"/>
        <v>#NAME?</v>
      </c>
      <c r="AV1189" s="410" t="str">
        <f t="shared" si="5555"/>
        <v>#NAME?</v>
      </c>
      <c r="AW1189" s="15" t="str">
        <f t="shared" si="5555"/>
        <v>#REF!</v>
      </c>
      <c r="AX1189" s="15" t="str">
        <f t="shared" si="5555"/>
        <v>#REF!</v>
      </c>
      <c r="AY1189" s="15" t="str">
        <f t="shared" si="5555"/>
        <v>#REF!</v>
      </c>
      <c r="AZ1189" s="15" t="str">
        <f t="shared" si="5555"/>
        <v>#REF!</v>
      </c>
      <c r="BA1189" s="410" t="str">
        <f t="shared" si="5555"/>
        <v>#REF!</v>
      </c>
      <c r="BB1189" s="15" t="str">
        <f t="shared" si="5555"/>
        <v>#REF!</v>
      </c>
      <c r="BC1189" s="15" t="str">
        <f t="shared" si="5555"/>
        <v>#REF!</v>
      </c>
      <c r="BD1189" s="15" t="str">
        <f t="shared" si="5555"/>
        <v>#REF!</v>
      </c>
      <c r="BE1189" s="15" t="str">
        <f t="shared" si="5555"/>
        <v>#REF!</v>
      </c>
      <c r="BF1189" s="410" t="str">
        <f t="shared" si="5555"/>
        <v>#REF!</v>
      </c>
      <c r="BG1189" s="15" t="str">
        <f t="shared" si="5555"/>
        <v>#REF!</v>
      </c>
      <c r="BH1189" s="15" t="str">
        <f t="shared" si="5555"/>
        <v>#REF!</v>
      </c>
      <c r="BI1189" s="15" t="str">
        <f t="shared" si="5555"/>
        <v>#REF!</v>
      </c>
      <c r="BJ1189" s="15" t="str">
        <f t="shared" si="5555"/>
        <v>#REF!</v>
      </c>
      <c r="BK1189" s="410" t="str">
        <f t="shared" si="5555"/>
        <v>#REF!</v>
      </c>
      <c r="BL1189" s="15" t="str">
        <f t="shared" si="5555"/>
        <v>#REF!</v>
      </c>
      <c r="BM1189" s="15" t="str">
        <f t="shared" si="5555"/>
        <v>#REF!</v>
      </c>
      <c r="BN1189" s="15" t="str">
        <f t="shared" si="5555"/>
        <v>#REF!</v>
      </c>
      <c r="BO1189" s="15" t="str">
        <f t="shared" si="5555"/>
        <v>#REF!</v>
      </c>
      <c r="BP1189" s="410" t="str">
        <f t="shared" si="5555"/>
        <v>#REF!</v>
      </c>
      <c r="BQ1189" s="15" t="str">
        <f t="shared" si="5555"/>
        <v>#REF!</v>
      </c>
      <c r="BR1189" s="15" t="str">
        <f t="shared" si="5555"/>
        <v>#REF!</v>
      </c>
      <c r="BS1189" s="15" t="str">
        <f t="shared" si="5555"/>
        <v>#REF!</v>
      </c>
      <c r="BT1189" s="15" t="str">
        <f t="shared" si="5555"/>
        <v>#REF!</v>
      </c>
      <c r="BU1189" s="410" t="str">
        <f t="shared" si="5555"/>
        <v>#REF!</v>
      </c>
      <c r="BV1189" s="15" t="str">
        <f t="shared" si="5555"/>
        <v>#REF!</v>
      </c>
      <c r="BW1189" s="15" t="str">
        <f t="shared" si="5555"/>
        <v>#REF!</v>
      </c>
      <c r="BX1189" s="15" t="str">
        <f t="shared" si="5555"/>
        <v>#REF!</v>
      </c>
      <c r="BY1189" s="15" t="str">
        <f t="shared" si="5555"/>
        <v>#REF!</v>
      </c>
      <c r="BZ1189" s="24" t="str">
        <f t="shared" si="5555"/>
        <v>#REF!</v>
      </c>
      <c r="CA1189" s="15" t="str">
        <f t="shared" si="5555"/>
        <v>#REF!</v>
      </c>
      <c r="CB1189" s="15" t="str">
        <f t="shared" si="5555"/>
        <v>#REF!</v>
      </c>
      <c r="CC1189" s="15" t="str">
        <f t="shared" si="5555"/>
        <v>#REF!</v>
      </c>
      <c r="CD1189" s="15" t="str">
        <f t="shared" si="5555"/>
        <v>#REF!</v>
      </c>
      <c r="CE1189" s="24" t="str">
        <f t="shared" si="5555"/>
        <v>#REF!</v>
      </c>
      <c r="CF1189" s="15" t="str">
        <f t="shared" si="5555"/>
        <v>#REF!</v>
      </c>
      <c r="CG1189" s="15" t="str">
        <f t="shared" si="5555"/>
        <v>#REF!</v>
      </c>
      <c r="CH1189" s="15" t="str">
        <f t="shared" si="5555"/>
        <v>#REF!</v>
      </c>
      <c r="CI1189" s="15" t="str">
        <f t="shared" si="5555"/>
        <v>#REF!</v>
      </c>
      <c r="CJ1189" s="24" t="str">
        <f t="shared" si="5555"/>
        <v>#REF!</v>
      </c>
      <c r="CK1189" s="15" t="str">
        <f t="shared" si="5555"/>
        <v>#REF!</v>
      </c>
      <c r="CL1189" s="15" t="str">
        <f t="shared" si="5555"/>
        <v>#REF!</v>
      </c>
      <c r="CM1189" s="15" t="str">
        <f t="shared" si="5555"/>
        <v>#REF!</v>
      </c>
      <c r="CN1189" s="40" t="str">
        <f t="shared" si="5555"/>
        <v>#REF!</v>
      </c>
      <c r="CO1189" s="24" t="str">
        <f t="shared" si="5555"/>
        <v>#REF!</v>
      </c>
      <c r="CP1189" s="40" t="str">
        <f t="shared" si="5555"/>
        <v>#REF!</v>
      </c>
      <c r="CQ1189" s="15" t="str">
        <f t="shared" si="5555"/>
        <v>#REF!</v>
      </c>
      <c r="CR1189" s="15" t="str">
        <f t="shared" si="5555"/>
        <v>#REF!</v>
      </c>
      <c r="CS1189" s="15" t="str">
        <f t="shared" si="5555"/>
        <v>#REF!</v>
      </c>
      <c r="CT1189" s="24" t="str">
        <f t="shared" si="5555"/>
        <v>#REF!</v>
      </c>
      <c r="CU1189" s="15" t="str">
        <f t="shared" si="5555"/>
        <v>#REF!</v>
      </c>
      <c r="CV1189" s="15" t="str">
        <f t="shared" si="5555"/>
        <v>#REF!</v>
      </c>
      <c r="CW1189" s="15" t="str">
        <f t="shared" si="5555"/>
        <v>#REF!</v>
      </c>
      <c r="CX1189" s="15" t="str">
        <f t="shared" si="5555"/>
        <v>#REF!</v>
      </c>
      <c r="CY1189" s="24" t="str">
        <f t="shared" si="5555"/>
        <v>#REF!</v>
      </c>
      <c r="CZ1189" s="15" t="str">
        <f t="shared" si="5555"/>
        <v>#REF!</v>
      </c>
      <c r="DA1189" s="15" t="str">
        <f t="shared" si="5555"/>
        <v>#REF!</v>
      </c>
      <c r="DB1189" s="15" t="str">
        <f t="shared" si="5555"/>
        <v>#REF!</v>
      </c>
      <c r="DC1189" s="15" t="str">
        <f t="shared" si="5555"/>
        <v>#REF!</v>
      </c>
      <c r="DD1189" s="24" t="str">
        <f t="shared" si="5555"/>
        <v>#REF!</v>
      </c>
      <c r="DE1189" s="15" t="str">
        <f t="shared" si="5555"/>
        <v>#REF!</v>
      </c>
      <c r="DF1189" s="15" t="str">
        <f t="shared" si="5555"/>
        <v>#REF!</v>
      </c>
      <c r="DG1189" s="40" t="str">
        <f t="shared" si="5555"/>
        <v>#REF!</v>
      </c>
      <c r="DH1189" s="15" t="str">
        <f t="shared" si="5555"/>
        <v>#REF!</v>
      </c>
      <c r="DI1189" s="24" t="str">
        <f t="shared" si="5555"/>
        <v>#REF!</v>
      </c>
      <c r="DJ1189" s="40" t="str">
        <f t="shared" si="5555"/>
        <v>#REF!</v>
      </c>
      <c r="DK1189" s="40" t="str">
        <f t="shared" si="5555"/>
        <v>#REF!</v>
      </c>
      <c r="DL1189" s="40" t="str">
        <f t="shared" si="5555"/>
        <v>#REF!</v>
      </c>
      <c r="DM1189" s="15" t="str">
        <f t="shared" si="5555"/>
        <v>#REF!</v>
      </c>
      <c r="DN1189" s="24" t="str">
        <f t="shared" si="5555"/>
        <v>#REF!</v>
      </c>
      <c r="DO1189" s="15" t="str">
        <f t="shared" si="5555"/>
        <v>#REF!</v>
      </c>
      <c r="DP1189" s="15" t="str">
        <f t="shared" si="5555"/>
        <v>#REF!</v>
      </c>
      <c r="DQ1189" s="15" t="str">
        <f t="shared" si="5555"/>
        <v>#REF!</v>
      </c>
      <c r="DR1189" s="15" t="str">
        <f t="shared" si="5555"/>
        <v>#REF!</v>
      </c>
      <c r="DS1189" s="24" t="str">
        <f t="shared" si="5555"/>
        <v>#REF!</v>
      </c>
      <c r="DT1189" s="15" t="str">
        <f t="shared" si="5555"/>
        <v>#REF!</v>
      </c>
      <c r="DU1189" s="15" t="str">
        <f t="shared" si="5555"/>
        <v>#REF!</v>
      </c>
      <c r="DV1189" s="15" t="str">
        <f t="shared" si="5555"/>
        <v>#REF!</v>
      </c>
      <c r="DW1189" s="15" t="str">
        <f t="shared" si="5555"/>
        <v>#REF!</v>
      </c>
      <c r="DX1189" s="24" t="str">
        <f t="shared" si="5555"/>
        <v>#REF!</v>
      </c>
      <c r="DY1189" s="15" t="str">
        <f t="shared" si="5555"/>
        <v>#REF!</v>
      </c>
      <c r="DZ1189" s="15" t="str">
        <f t="shared" si="5555"/>
        <v>#REF!</v>
      </c>
      <c r="EA1189" s="15" t="str">
        <f t="shared" si="5555"/>
        <v>#REF!</v>
      </c>
      <c r="EB1189" s="15" t="str">
        <f t="shared" si="5555"/>
        <v>#REF!</v>
      </c>
      <c r="EC1189" s="24" t="str">
        <f t="shared" si="5555"/>
        <v>#REF!</v>
      </c>
      <c r="ED1189" s="15" t="str">
        <f t="shared" si="5555"/>
        <v>#REF!</v>
      </c>
      <c r="EE1189" s="15" t="str">
        <f t="shared" si="5555"/>
        <v>#REF!</v>
      </c>
      <c r="EF1189" s="15" t="str">
        <f t="shared" si="5555"/>
        <v>#REF!</v>
      </c>
      <c r="EG1189" s="15" t="str">
        <f t="shared" si="5555"/>
        <v>#REF!</v>
      </c>
      <c r="EH1189" s="24" t="str">
        <f t="shared" si="5555"/>
        <v>#REF!</v>
      </c>
      <c r="EI1189" s="82" t="str">
        <f t="shared" si="5555"/>
        <v>#REF!</v>
      </c>
      <c r="EJ1189" s="15" t="str">
        <f t="shared" si="5555"/>
        <v>#REF!</v>
      </c>
      <c r="EK1189" s="15" t="str">
        <f t="shared" si="5555"/>
        <v>#REF!</v>
      </c>
      <c r="EL1189" s="15" t="str">
        <f t="shared" si="5555"/>
        <v>#REF!</v>
      </c>
      <c r="EM1189" s="24" t="str">
        <f t="shared" si="5555"/>
        <v>#REF!</v>
      </c>
      <c r="EN1189" s="15" t="str">
        <f t="shared" si="5555"/>
        <v>#REF!</v>
      </c>
      <c r="EO1189" s="15" t="str">
        <f t="shared" si="5555"/>
        <v>#REF!</v>
      </c>
      <c r="EP1189" s="15" t="str">
        <f t="shared" si="5555"/>
        <v>#REF!</v>
      </c>
      <c r="EQ1189" s="15" t="str">
        <f t="shared" si="5555"/>
        <v>#REF!</v>
      </c>
      <c r="ER1189" s="24" t="str">
        <f t="shared" si="5555"/>
        <v>#REF!</v>
      </c>
      <c r="ES1189" s="15" t="str">
        <f t="shared" si="5555"/>
        <v>#REF!</v>
      </c>
      <c r="ET1189" s="15" t="str">
        <f t="shared" si="5555"/>
        <v>#REF!</v>
      </c>
      <c r="EU1189" s="15" t="str">
        <f t="shared" si="5555"/>
        <v>#REF!</v>
      </c>
      <c r="EV1189" s="15" t="str">
        <f t="shared" si="5555"/>
        <v>#REF!</v>
      </c>
      <c r="EW1189" s="24" t="str">
        <f t="shared" si="5555"/>
        <v>#REF!</v>
      </c>
      <c r="EX1189" s="15" t="str">
        <f t="shared" si="5555"/>
        <v>#REF!</v>
      </c>
      <c r="EY1189" s="15" t="str">
        <f t="shared" si="5555"/>
        <v>#REF!</v>
      </c>
      <c r="EZ1189" s="15" t="str">
        <f t="shared" si="5555"/>
        <v>#REF!</v>
      </c>
      <c r="FA1189" s="15" t="str">
        <f t="shared" si="5555"/>
        <v>#REF!</v>
      </c>
      <c r="FB1189" s="24" t="str">
        <f t="shared" si="5555"/>
        <v>#REF!</v>
      </c>
      <c r="FC1189" s="15" t="str">
        <f t="shared" si="5555"/>
        <v>#REF!</v>
      </c>
      <c r="FD1189" s="15" t="str">
        <f t="shared" si="5555"/>
        <v>#REF!</v>
      </c>
      <c r="FE1189" s="15" t="str">
        <f t="shared" si="5555"/>
        <v>#REF!</v>
      </c>
      <c r="FF1189" s="15" t="str">
        <f t="shared" si="5555"/>
        <v>#REF!</v>
      </c>
      <c r="FG1189" s="24" t="str">
        <f t="shared" si="5555"/>
        <v>#REF!</v>
      </c>
      <c r="FH1189" s="104"/>
      <c r="FI1189" s="15"/>
      <c r="FJ1189" s="15"/>
      <c r="FK1189" s="410"/>
      <c r="FL1189" s="15"/>
    </row>
    <row r="1190" ht="13.5" hidden="1" customHeight="1" outlineLevel="1">
      <c r="A1190" s="4"/>
      <c r="B1190" s="529" t="s">
        <v>291</v>
      </c>
      <c r="C1190" s="529"/>
      <c r="D1190" s="596"/>
      <c r="E1190" s="596"/>
      <c r="F1190" s="596"/>
      <c r="G1190" s="596"/>
      <c r="H1190" s="596"/>
      <c r="I1190" s="596"/>
      <c r="J1190" s="596"/>
      <c r="K1190" s="596"/>
      <c r="L1190" s="596"/>
      <c r="M1190" s="596"/>
      <c r="N1190" s="596"/>
      <c r="O1190" s="596"/>
      <c r="P1190" s="596"/>
      <c r="Q1190" s="596"/>
      <c r="R1190" s="596"/>
      <c r="S1190" s="596"/>
      <c r="T1190" s="596"/>
      <c r="U1190" s="596"/>
      <c r="V1190" s="596"/>
      <c r="W1190" s="596"/>
      <c r="X1190" s="596"/>
      <c r="Y1190" s="596"/>
      <c r="Z1190" s="596"/>
      <c r="AA1190" s="596"/>
      <c r="AB1190" s="596"/>
      <c r="AC1190" s="596"/>
      <c r="AD1190" s="596"/>
      <c r="AE1190" s="596"/>
      <c r="AF1190" s="596"/>
      <c r="AG1190" s="596"/>
      <c r="AH1190" s="596"/>
      <c r="AI1190" s="596"/>
      <c r="AJ1190" s="596"/>
      <c r="AK1190" s="596"/>
      <c r="AL1190" s="596"/>
      <c r="AM1190" s="596"/>
      <c r="AN1190" s="596"/>
      <c r="AO1190" s="596"/>
      <c r="AP1190" s="596"/>
      <c r="AQ1190" s="596"/>
      <c r="AR1190" s="596" t="str">
        <f t="shared" ref="AR1190:FG1190" si="5556">AR1185/AR1185</f>
        <v>#NAME?</v>
      </c>
      <c r="AS1190" s="596" t="str">
        <f t="shared" si="5556"/>
        <v>#NAME?</v>
      </c>
      <c r="AT1190" s="596" t="str">
        <f t="shared" si="5556"/>
        <v>#NAME?</v>
      </c>
      <c r="AU1190" s="596" t="str">
        <f t="shared" si="5556"/>
        <v>#NAME?</v>
      </c>
      <c r="AV1190" s="596" t="str">
        <f t="shared" si="5556"/>
        <v>#NAME?</v>
      </c>
      <c r="AW1190" s="596" t="str">
        <f t="shared" si="5556"/>
        <v>#NAME?</v>
      </c>
      <c r="AX1190" s="596" t="str">
        <f t="shared" si="5556"/>
        <v>#NAME?</v>
      </c>
      <c r="AY1190" s="596" t="str">
        <f t="shared" si="5556"/>
        <v>#NAME?</v>
      </c>
      <c r="AZ1190" s="596" t="str">
        <f t="shared" si="5556"/>
        <v>#NAME?</v>
      </c>
      <c r="BA1190" s="596" t="str">
        <f t="shared" si="5556"/>
        <v>#NAME?</v>
      </c>
      <c r="BB1190" s="596" t="str">
        <f t="shared" si="5556"/>
        <v>#NAME?</v>
      </c>
      <c r="BC1190" s="596" t="str">
        <f t="shared" si="5556"/>
        <v>#NAME?</v>
      </c>
      <c r="BD1190" s="596" t="str">
        <f t="shared" si="5556"/>
        <v>#NAME?</v>
      </c>
      <c r="BE1190" s="596" t="str">
        <f t="shared" si="5556"/>
        <v>#NAME?</v>
      </c>
      <c r="BF1190" s="596" t="str">
        <f t="shared" si="5556"/>
        <v>#NAME?</v>
      </c>
      <c r="BG1190" s="596" t="str">
        <f t="shared" si="5556"/>
        <v>#NAME?</v>
      </c>
      <c r="BH1190" s="596" t="str">
        <f t="shared" si="5556"/>
        <v>#NAME?</v>
      </c>
      <c r="BI1190" s="596" t="str">
        <f t="shared" si="5556"/>
        <v>#NAME?</v>
      </c>
      <c r="BJ1190" s="596" t="str">
        <f t="shared" si="5556"/>
        <v>#NAME?</v>
      </c>
      <c r="BK1190" s="596" t="str">
        <f t="shared" si="5556"/>
        <v>#NAME?</v>
      </c>
      <c r="BL1190" s="596" t="str">
        <f t="shared" si="5556"/>
        <v>#NAME?</v>
      </c>
      <c r="BM1190" s="596" t="str">
        <f t="shared" si="5556"/>
        <v>#NAME?</v>
      </c>
      <c r="BN1190" s="596" t="str">
        <f t="shared" si="5556"/>
        <v>#NAME?</v>
      </c>
      <c r="BO1190" s="596" t="str">
        <f t="shared" si="5556"/>
        <v>#NAME?</v>
      </c>
      <c r="BP1190" s="596" t="str">
        <f t="shared" si="5556"/>
        <v>#NAME?</v>
      </c>
      <c r="BQ1190" s="596" t="str">
        <f t="shared" si="5556"/>
        <v>#NAME?</v>
      </c>
      <c r="BR1190" s="596" t="str">
        <f t="shared" si="5556"/>
        <v>#NAME?</v>
      </c>
      <c r="BS1190" s="596" t="str">
        <f t="shared" si="5556"/>
        <v>#NAME?</v>
      </c>
      <c r="BT1190" s="596" t="str">
        <f t="shared" si="5556"/>
        <v>#NAME?</v>
      </c>
      <c r="BU1190" s="596" t="str">
        <f t="shared" si="5556"/>
        <v>#NAME?</v>
      </c>
      <c r="BV1190" s="596" t="str">
        <f t="shared" si="5556"/>
        <v>#NAME?</v>
      </c>
      <c r="BW1190" s="596" t="str">
        <f t="shared" si="5556"/>
        <v>#NAME?</v>
      </c>
      <c r="BX1190" s="596" t="str">
        <f t="shared" si="5556"/>
        <v>#NAME?</v>
      </c>
      <c r="BY1190" s="596" t="str">
        <f t="shared" si="5556"/>
        <v>#NAME?</v>
      </c>
      <c r="BZ1190" s="597" t="str">
        <f t="shared" si="5556"/>
        <v>#NAME?</v>
      </c>
      <c r="CA1190" s="596" t="str">
        <f t="shared" si="5556"/>
        <v>#NAME?</v>
      </c>
      <c r="CB1190" s="596" t="str">
        <f t="shared" si="5556"/>
        <v>#NAME?</v>
      </c>
      <c r="CC1190" s="596" t="str">
        <f t="shared" si="5556"/>
        <v>#NAME?</v>
      </c>
      <c r="CD1190" s="596" t="str">
        <f t="shared" si="5556"/>
        <v>#NAME?</v>
      </c>
      <c r="CE1190" s="597" t="str">
        <f t="shared" si="5556"/>
        <v>#NAME?</v>
      </c>
      <c r="CF1190" s="596" t="str">
        <f t="shared" si="5556"/>
        <v>#NAME?</v>
      </c>
      <c r="CG1190" s="596" t="str">
        <f t="shared" si="5556"/>
        <v>#NAME?</v>
      </c>
      <c r="CH1190" s="596" t="str">
        <f t="shared" si="5556"/>
        <v>#NAME?</v>
      </c>
      <c r="CI1190" s="596" t="str">
        <f t="shared" si="5556"/>
        <v>#NAME?</v>
      </c>
      <c r="CJ1190" s="597" t="str">
        <f t="shared" si="5556"/>
        <v>#NAME?</v>
      </c>
      <c r="CK1190" s="596" t="str">
        <f t="shared" si="5556"/>
        <v>#NAME?</v>
      </c>
      <c r="CL1190" s="596" t="str">
        <f t="shared" si="5556"/>
        <v>#NAME?</v>
      </c>
      <c r="CM1190" s="596" t="str">
        <f t="shared" si="5556"/>
        <v>#NAME?</v>
      </c>
      <c r="CN1190" s="595" t="str">
        <f t="shared" si="5556"/>
        <v>#NAME?</v>
      </c>
      <c r="CO1190" s="597" t="str">
        <f t="shared" si="5556"/>
        <v>#NAME?</v>
      </c>
      <c r="CP1190" s="595" t="str">
        <f t="shared" si="5556"/>
        <v>#NAME?</v>
      </c>
      <c r="CQ1190" s="596" t="str">
        <f t="shared" si="5556"/>
        <v>#NAME?</v>
      </c>
      <c r="CR1190" s="596" t="str">
        <f t="shared" si="5556"/>
        <v>#NAME?</v>
      </c>
      <c r="CS1190" s="596" t="str">
        <f t="shared" si="5556"/>
        <v>#NAME?</v>
      </c>
      <c r="CT1190" s="597" t="str">
        <f t="shared" si="5556"/>
        <v>#NAME?</v>
      </c>
      <c r="CU1190" s="596" t="str">
        <f t="shared" si="5556"/>
        <v>#NAME?</v>
      </c>
      <c r="CV1190" s="596" t="str">
        <f t="shared" si="5556"/>
        <v>#NAME?</v>
      </c>
      <c r="CW1190" s="596" t="str">
        <f t="shared" si="5556"/>
        <v>#NAME?</v>
      </c>
      <c r="CX1190" s="596" t="str">
        <f t="shared" si="5556"/>
        <v>#NAME?</v>
      </c>
      <c r="CY1190" s="597" t="str">
        <f t="shared" si="5556"/>
        <v>#NAME?</v>
      </c>
      <c r="CZ1190" s="596" t="str">
        <f t="shared" si="5556"/>
        <v>#NAME?</v>
      </c>
      <c r="DA1190" s="596" t="str">
        <f t="shared" si="5556"/>
        <v>#NAME?</v>
      </c>
      <c r="DB1190" s="596" t="str">
        <f t="shared" si="5556"/>
        <v>#NAME?</v>
      </c>
      <c r="DC1190" s="596" t="str">
        <f t="shared" si="5556"/>
        <v>#NAME?</v>
      </c>
      <c r="DD1190" s="597" t="str">
        <f t="shared" si="5556"/>
        <v>#REF!</v>
      </c>
      <c r="DE1190" s="596" t="str">
        <f t="shared" si="5556"/>
        <v>#NAME?</v>
      </c>
      <c r="DF1190" s="596" t="str">
        <f t="shared" si="5556"/>
        <v>#NAME?</v>
      </c>
      <c r="DG1190" s="104" t="str">
        <f t="shared" si="5556"/>
        <v>#NAME?</v>
      </c>
      <c r="DH1190" s="596" t="str">
        <f t="shared" si="5556"/>
        <v>#NAME?</v>
      </c>
      <c r="DI1190" s="597" t="str">
        <f t="shared" si="5556"/>
        <v>#NAME?</v>
      </c>
      <c r="DJ1190" s="595" t="str">
        <f t="shared" si="5556"/>
        <v>#NAME?</v>
      </c>
      <c r="DK1190" s="595" t="str">
        <f t="shared" si="5556"/>
        <v>#NAME?</v>
      </c>
      <c r="DL1190" s="595" t="str">
        <f t="shared" si="5556"/>
        <v>#NAME?</v>
      </c>
      <c r="DM1190" s="596" t="str">
        <f t="shared" si="5556"/>
        <v>#NAME?</v>
      </c>
      <c r="DN1190" s="597" t="str">
        <f t="shared" si="5556"/>
        <v>#NAME?</v>
      </c>
      <c r="DO1190" s="596" t="str">
        <f t="shared" si="5556"/>
        <v>#NAME?</v>
      </c>
      <c r="DP1190" s="596" t="str">
        <f t="shared" si="5556"/>
        <v>#NAME?</v>
      </c>
      <c r="DQ1190" s="596" t="str">
        <f t="shared" si="5556"/>
        <v>#NAME?</v>
      </c>
      <c r="DR1190" s="596" t="str">
        <f t="shared" si="5556"/>
        <v>#NAME?</v>
      </c>
      <c r="DS1190" s="597" t="str">
        <f t="shared" si="5556"/>
        <v>#NAME?</v>
      </c>
      <c r="DT1190" s="596" t="str">
        <f t="shared" si="5556"/>
        <v>#NAME?</v>
      </c>
      <c r="DU1190" s="596" t="str">
        <f t="shared" si="5556"/>
        <v>#NAME?</v>
      </c>
      <c r="DV1190" s="596" t="str">
        <f t="shared" si="5556"/>
        <v>#NAME?</v>
      </c>
      <c r="DW1190" s="596" t="str">
        <f t="shared" si="5556"/>
        <v>#NAME?</v>
      </c>
      <c r="DX1190" s="597" t="str">
        <f t="shared" si="5556"/>
        <v>#NAME?</v>
      </c>
      <c r="DY1190" s="596" t="str">
        <f t="shared" si="5556"/>
        <v>#NAME?</v>
      </c>
      <c r="DZ1190" s="596" t="str">
        <f t="shared" si="5556"/>
        <v>#NAME?</v>
      </c>
      <c r="EA1190" s="596" t="str">
        <f t="shared" si="5556"/>
        <v>#NAME?</v>
      </c>
      <c r="EB1190" s="596" t="str">
        <f t="shared" si="5556"/>
        <v>#NAME?</v>
      </c>
      <c r="EC1190" s="597" t="str">
        <f t="shared" si="5556"/>
        <v>#NAME?</v>
      </c>
      <c r="ED1190" s="596" t="str">
        <f t="shared" si="5556"/>
        <v>#NAME?</v>
      </c>
      <c r="EE1190" s="596" t="str">
        <f t="shared" si="5556"/>
        <v>#NAME?</v>
      </c>
      <c r="EF1190" s="596" t="str">
        <f t="shared" si="5556"/>
        <v>#NAME?</v>
      </c>
      <c r="EG1190" s="596" t="str">
        <f t="shared" si="5556"/>
        <v>#NAME?</v>
      </c>
      <c r="EH1190" s="597" t="str">
        <f t="shared" si="5556"/>
        <v>#NAME?</v>
      </c>
      <c r="EI1190" s="598" t="str">
        <f t="shared" si="5556"/>
        <v>#NAME?</v>
      </c>
      <c r="EJ1190" s="596" t="str">
        <f t="shared" si="5556"/>
        <v>#NAME?</v>
      </c>
      <c r="EK1190" s="596" t="str">
        <f t="shared" si="5556"/>
        <v>#NAME?</v>
      </c>
      <c r="EL1190" s="596" t="str">
        <f t="shared" si="5556"/>
        <v>#NAME?</v>
      </c>
      <c r="EM1190" s="597" t="str">
        <f t="shared" si="5556"/>
        <v>#NAME?</v>
      </c>
      <c r="EN1190" s="596" t="str">
        <f t="shared" si="5556"/>
        <v>#NAME?</v>
      </c>
      <c r="EO1190" s="596" t="str">
        <f t="shared" si="5556"/>
        <v>#NAME?</v>
      </c>
      <c r="EP1190" s="596" t="str">
        <f t="shared" si="5556"/>
        <v>#NAME?</v>
      </c>
      <c r="EQ1190" s="596" t="str">
        <f t="shared" si="5556"/>
        <v>#NAME?</v>
      </c>
      <c r="ER1190" s="597" t="str">
        <f t="shared" si="5556"/>
        <v>#NAME?</v>
      </c>
      <c r="ES1190" s="596" t="str">
        <f t="shared" si="5556"/>
        <v>#NAME?</v>
      </c>
      <c r="ET1190" s="596" t="str">
        <f t="shared" si="5556"/>
        <v>#NAME?</v>
      </c>
      <c r="EU1190" s="596" t="str">
        <f t="shared" si="5556"/>
        <v>#NAME?</v>
      </c>
      <c r="EV1190" s="596" t="str">
        <f t="shared" si="5556"/>
        <v>#NAME?</v>
      </c>
      <c r="EW1190" s="597" t="str">
        <f t="shared" si="5556"/>
        <v>#NAME?</v>
      </c>
      <c r="EX1190" s="596" t="str">
        <f t="shared" si="5556"/>
        <v>#NAME?</v>
      </c>
      <c r="EY1190" s="596" t="str">
        <f t="shared" si="5556"/>
        <v>#NAME?</v>
      </c>
      <c r="EZ1190" s="596" t="str">
        <f t="shared" si="5556"/>
        <v>#NAME?</v>
      </c>
      <c r="FA1190" s="596" t="str">
        <f t="shared" si="5556"/>
        <v>#NAME?</v>
      </c>
      <c r="FB1190" s="597" t="str">
        <f t="shared" si="5556"/>
        <v>#NAME?</v>
      </c>
      <c r="FC1190" s="596" t="str">
        <f t="shared" si="5556"/>
        <v>#NAME?</v>
      </c>
      <c r="FD1190" s="596" t="str">
        <f t="shared" si="5556"/>
        <v>#NAME?</v>
      </c>
      <c r="FE1190" s="596" t="str">
        <f t="shared" si="5556"/>
        <v>#NAME?</v>
      </c>
      <c r="FF1190" s="596" t="str">
        <f t="shared" si="5556"/>
        <v>#NAME?</v>
      </c>
      <c r="FG1190" s="597" t="str">
        <f t="shared" si="5556"/>
        <v>#NAME?</v>
      </c>
      <c r="FH1190" s="595"/>
      <c r="FI1190" s="596"/>
      <c r="FJ1190" s="596"/>
      <c r="FK1190" s="596"/>
      <c r="FL1190" s="596"/>
    </row>
    <row r="1191" ht="12.75" hidden="1" customHeight="1" outlineLevel="1">
      <c r="A1191" s="4"/>
      <c r="B1191" s="4"/>
      <c r="C1191" s="4"/>
      <c r="D1191" s="4"/>
      <c r="E1191" s="4"/>
      <c r="F1191" s="4"/>
      <c r="G1191" s="4"/>
      <c r="H1191" s="45"/>
      <c r="I1191" s="4"/>
      <c r="J1191" s="4"/>
      <c r="K1191" s="4"/>
      <c r="L1191" s="4"/>
      <c r="M1191" s="45"/>
      <c r="N1191" s="4"/>
      <c r="O1191" s="4"/>
      <c r="P1191" s="4"/>
      <c r="Q1191" s="4"/>
      <c r="R1191" s="45"/>
      <c r="S1191" s="4"/>
      <c r="T1191" s="4"/>
      <c r="U1191" s="4"/>
      <c r="V1191" s="4"/>
      <c r="W1191" s="45"/>
      <c r="X1191" s="4"/>
      <c r="Y1191" s="4"/>
      <c r="Z1191" s="4"/>
      <c r="AA1191" s="4"/>
      <c r="AB1191" s="45"/>
      <c r="AC1191" s="4"/>
      <c r="AD1191" s="4"/>
      <c r="AE1191" s="4"/>
      <c r="AF1191" s="4"/>
      <c r="AG1191" s="45"/>
      <c r="AH1191" s="4"/>
      <c r="AI1191" s="4"/>
      <c r="AJ1191" s="4"/>
      <c r="AK1191" s="4"/>
      <c r="AL1191" s="45"/>
      <c r="AM1191" s="4"/>
      <c r="AN1191" s="4"/>
      <c r="AO1191" s="4"/>
      <c r="AP1191" s="4"/>
      <c r="AQ1191" s="45"/>
      <c r="AR1191" s="4"/>
      <c r="AS1191" s="4"/>
      <c r="AT1191" s="4"/>
      <c r="AU1191" s="4"/>
      <c r="AV1191" s="45"/>
      <c r="AW1191" s="4"/>
      <c r="AX1191" s="4"/>
      <c r="AY1191" s="4"/>
      <c r="AZ1191" s="4"/>
      <c r="BA1191" s="45"/>
      <c r="BB1191" s="4"/>
      <c r="BC1191" s="4"/>
      <c r="BD1191" s="4"/>
      <c r="BE1191" s="4"/>
      <c r="BF1191" s="45"/>
      <c r="BG1191" s="4"/>
      <c r="BH1191" s="4"/>
      <c r="BI1191" s="4"/>
      <c r="BJ1191" s="4"/>
      <c r="BK1191" s="45"/>
      <c r="BL1191" s="4"/>
      <c r="BM1191" s="4"/>
      <c r="BN1191" s="4"/>
      <c r="BO1191" s="4"/>
      <c r="BP1191" s="45"/>
      <c r="BQ1191" s="4"/>
      <c r="BR1191" s="4"/>
      <c r="BS1191" s="4"/>
      <c r="BT1191" s="4"/>
      <c r="BU1191" s="45"/>
      <c r="BV1191" s="4"/>
      <c r="BW1191" s="4"/>
      <c r="BX1191" s="4"/>
      <c r="BY1191" s="4"/>
      <c r="BZ1191" s="350"/>
      <c r="CA1191" s="4"/>
      <c r="CB1191" s="4"/>
      <c r="CC1191" s="4"/>
      <c r="CD1191" s="4"/>
      <c r="CE1191" s="350"/>
      <c r="CF1191" s="4"/>
      <c r="CG1191" s="4"/>
      <c r="CH1191" s="4"/>
      <c r="CI1191" s="4"/>
      <c r="CJ1191" s="350"/>
      <c r="CK1191" s="4"/>
      <c r="CL1191" s="4"/>
      <c r="CM1191" s="4"/>
      <c r="CN1191" s="16"/>
      <c r="CO1191" s="350"/>
      <c r="CP1191" s="16"/>
      <c r="CQ1191" s="4"/>
      <c r="CR1191" s="4"/>
      <c r="CS1191" s="4"/>
      <c r="CT1191" s="350"/>
      <c r="CU1191" s="4"/>
      <c r="CV1191" s="4"/>
      <c r="CW1191" s="4"/>
      <c r="CX1191" s="4"/>
      <c r="CY1191" s="350"/>
      <c r="CZ1191" s="4"/>
      <c r="DA1191" s="4"/>
      <c r="DB1191" s="4"/>
      <c r="DC1191" s="4"/>
      <c r="DD1191" s="350"/>
      <c r="DE1191" s="4"/>
      <c r="DF1191" s="4"/>
      <c r="DG1191" s="16"/>
      <c r="DH1191" s="4"/>
      <c r="DI1191" s="350"/>
      <c r="DJ1191" s="16"/>
      <c r="DK1191" s="16"/>
      <c r="DL1191" s="16"/>
      <c r="DM1191" s="4"/>
      <c r="DN1191" s="350"/>
      <c r="DO1191" s="4"/>
      <c r="DP1191" s="4"/>
      <c r="DQ1191" s="4"/>
      <c r="DR1191" s="4"/>
      <c r="DS1191" s="350"/>
      <c r="DT1191" s="4"/>
      <c r="DU1191" s="4"/>
      <c r="DV1191" s="4"/>
      <c r="DW1191" s="4"/>
      <c r="DX1191" s="350"/>
      <c r="DY1191" s="4"/>
      <c r="DZ1191" s="4"/>
      <c r="EA1191" s="4"/>
      <c r="EB1191" s="4"/>
      <c r="EC1191" s="350"/>
      <c r="ED1191" s="4"/>
      <c r="EE1191" s="4"/>
      <c r="EF1191" s="4"/>
      <c r="EG1191" s="4"/>
      <c r="EH1191" s="350"/>
      <c r="EI1191" s="214"/>
      <c r="EJ1191" s="4"/>
      <c r="EK1191" s="4"/>
      <c r="EL1191" s="4"/>
      <c r="EM1191" s="350"/>
      <c r="EN1191" s="4"/>
      <c r="EO1191" s="4"/>
      <c r="EP1191" s="4"/>
      <c r="EQ1191" s="4"/>
      <c r="ER1191" s="350"/>
      <c r="ES1191" s="4"/>
      <c r="ET1191" s="4"/>
      <c r="EU1191" s="4"/>
      <c r="EV1191" s="4"/>
      <c r="EW1191" s="350"/>
      <c r="EX1191" s="4"/>
      <c r="EY1191" s="4"/>
      <c r="EZ1191" s="4"/>
      <c r="FA1191" s="4"/>
      <c r="FB1191" s="350"/>
      <c r="FC1191" s="4"/>
      <c r="FD1191" s="4"/>
      <c r="FE1191" s="4"/>
      <c r="FF1191" s="4"/>
      <c r="FG1191" s="350"/>
      <c r="FH1191" s="145"/>
      <c r="FI1191" s="4"/>
      <c r="FJ1191" s="4"/>
      <c r="FK1191" s="45"/>
      <c r="FL1191" s="4"/>
    </row>
    <row r="1192" ht="12.75" hidden="1" customHeight="1" outlineLevel="1">
      <c r="A1192" s="4"/>
      <c r="B1192" s="299" t="s">
        <v>452</v>
      </c>
      <c r="C1192" s="90"/>
      <c r="D1192" s="728"/>
      <c r="E1192" s="728"/>
      <c r="F1192" s="728"/>
      <c r="G1192" s="728"/>
      <c r="H1192" s="729"/>
      <c r="I1192" s="728"/>
      <c r="J1192" s="728"/>
      <c r="K1192" s="728"/>
      <c r="L1192" s="728"/>
      <c r="M1192" s="729"/>
      <c r="N1192" s="728"/>
      <c r="O1192" s="728"/>
      <c r="P1192" s="728"/>
      <c r="Q1192" s="728"/>
      <c r="R1192" s="729"/>
      <c r="S1192" s="728"/>
      <c r="T1192" s="728"/>
      <c r="U1192" s="728"/>
      <c r="V1192" s="728"/>
      <c r="W1192" s="729"/>
      <c r="X1192" s="728"/>
      <c r="Y1192" s="728"/>
      <c r="Z1192" s="728"/>
      <c r="AA1192" s="728"/>
      <c r="AB1192" s="729"/>
      <c r="AC1192" s="728"/>
      <c r="AD1192" s="728"/>
      <c r="AE1192" s="728"/>
      <c r="AF1192" s="728"/>
      <c r="AG1192" s="729"/>
      <c r="AH1192" s="728"/>
      <c r="AI1192" s="728"/>
      <c r="AJ1192" s="728"/>
      <c r="AK1192" s="728"/>
      <c r="AL1192" s="729"/>
      <c r="AM1192" s="728"/>
      <c r="AN1192" s="728"/>
      <c r="AO1192" s="728"/>
      <c r="AP1192" s="728"/>
      <c r="AQ1192" s="729"/>
      <c r="AR1192" s="728"/>
      <c r="AS1192" s="728"/>
      <c r="AT1192" s="728"/>
      <c r="AU1192" s="728"/>
      <c r="AV1192" s="729"/>
      <c r="AW1192" s="728"/>
      <c r="AX1192" s="728"/>
      <c r="AY1192" s="728"/>
      <c r="AZ1192" s="728"/>
      <c r="BA1192" s="729"/>
      <c r="BB1192" s="728"/>
      <c r="BC1192" s="728"/>
      <c r="BD1192" s="728"/>
      <c r="BE1192" s="728"/>
      <c r="BF1192" s="729"/>
      <c r="BG1192" s="728"/>
      <c r="BH1192" s="728"/>
      <c r="BI1192" s="728"/>
      <c r="BJ1192" s="728"/>
      <c r="BK1192" s="729"/>
      <c r="BL1192" s="728"/>
      <c r="BM1192" s="728"/>
      <c r="BN1192" s="728"/>
      <c r="BO1192" s="728"/>
      <c r="BP1192" s="729"/>
      <c r="BQ1192" s="728"/>
      <c r="BR1192" s="728"/>
      <c r="BS1192" s="728"/>
      <c r="BT1192" s="728"/>
      <c r="BU1192" s="729"/>
      <c r="BV1192" s="728"/>
      <c r="BW1192" s="728"/>
      <c r="BX1192" s="728"/>
      <c r="BY1192" s="728"/>
      <c r="BZ1192" s="730"/>
      <c r="CA1192" s="728"/>
      <c r="CB1192" s="728"/>
      <c r="CC1192" s="728"/>
      <c r="CD1192" s="728"/>
      <c r="CE1192" s="730"/>
      <c r="CF1192" s="728"/>
      <c r="CG1192" s="728"/>
      <c r="CH1192" s="728"/>
      <c r="CI1192" s="728"/>
      <c r="CJ1192" s="730"/>
      <c r="CK1192" s="728"/>
      <c r="CL1192" s="728"/>
      <c r="CM1192" s="728"/>
      <c r="CN1192" s="731"/>
      <c r="CO1192" s="730"/>
      <c r="CP1192" s="731"/>
      <c r="CQ1192" s="728"/>
      <c r="CR1192" s="728"/>
      <c r="CS1192" s="728"/>
      <c r="CT1192" s="730"/>
      <c r="CU1192" s="728"/>
      <c r="CV1192" s="728"/>
      <c r="CW1192" s="728"/>
      <c r="CX1192" s="728"/>
      <c r="CY1192" s="730"/>
      <c r="CZ1192" s="728"/>
      <c r="DA1192" s="728"/>
      <c r="DB1192" s="728"/>
      <c r="DC1192" s="728"/>
      <c r="DD1192" s="730"/>
      <c r="DE1192" s="728"/>
      <c r="DF1192" s="728"/>
      <c r="DG1192" s="732"/>
      <c r="DH1192" s="728"/>
      <c r="DI1192" s="730"/>
      <c r="DJ1192" s="731"/>
      <c r="DK1192" s="731"/>
      <c r="DL1192" s="731"/>
      <c r="DM1192" s="728"/>
      <c r="DN1192" s="730"/>
      <c r="DO1192" s="728"/>
      <c r="DP1192" s="728"/>
      <c r="DQ1192" s="728"/>
      <c r="DR1192" s="728"/>
      <c r="DS1192" s="730"/>
      <c r="DT1192" s="728"/>
      <c r="DU1192" s="728"/>
      <c r="DV1192" s="728"/>
      <c r="DW1192" s="728"/>
      <c r="DX1192" s="730"/>
      <c r="DY1192" s="728"/>
      <c r="DZ1192" s="728"/>
      <c r="EA1192" s="728"/>
      <c r="EB1192" s="728"/>
      <c r="EC1192" s="730"/>
      <c r="ED1192" s="728"/>
      <c r="EE1192" s="728"/>
      <c r="EF1192" s="728"/>
      <c r="EG1192" s="728"/>
      <c r="EH1192" s="730"/>
      <c r="EI1192" s="733"/>
      <c r="EJ1192" s="728"/>
      <c r="EK1192" s="728"/>
      <c r="EL1192" s="728"/>
      <c r="EM1192" s="730"/>
      <c r="EN1192" s="728"/>
      <c r="EO1192" s="728"/>
      <c r="EP1192" s="728"/>
      <c r="EQ1192" s="728"/>
      <c r="ER1192" s="730"/>
      <c r="ES1192" s="728"/>
      <c r="ET1192" s="728"/>
      <c r="EU1192" s="728"/>
      <c r="EV1192" s="728"/>
      <c r="EW1192" s="730"/>
      <c r="EX1192" s="728"/>
      <c r="EY1192" s="728"/>
      <c r="EZ1192" s="728"/>
      <c r="FA1192" s="728"/>
      <c r="FB1192" s="730"/>
      <c r="FC1192" s="728"/>
      <c r="FD1192" s="728"/>
      <c r="FE1192" s="728"/>
      <c r="FF1192" s="728"/>
      <c r="FG1192" s="730"/>
      <c r="FH1192" s="734"/>
      <c r="FI1192" s="728"/>
      <c r="FJ1192" s="728"/>
      <c r="FK1192" s="729"/>
      <c r="FL1192" s="728"/>
    </row>
    <row r="1193" ht="12.75" hidden="1" customHeight="1" outlineLevel="1">
      <c r="A1193" s="4"/>
      <c r="B1193" s="4" t="s">
        <v>453</v>
      </c>
      <c r="C1193" s="4"/>
      <c r="D1193" s="17"/>
      <c r="E1193" s="17"/>
      <c r="F1193" s="17"/>
      <c r="G1193" s="17"/>
      <c r="H1193" s="112"/>
      <c r="I1193" s="17"/>
      <c r="J1193" s="17"/>
      <c r="K1193" s="17"/>
      <c r="L1193" s="17"/>
      <c r="M1193" s="112"/>
      <c r="N1193" s="17"/>
      <c r="O1193" s="17"/>
      <c r="P1193" s="17"/>
      <c r="Q1193" s="17"/>
      <c r="R1193" s="112"/>
      <c r="S1193" s="17"/>
      <c r="T1193" s="17"/>
      <c r="U1193" s="17"/>
      <c r="V1193" s="17"/>
      <c r="W1193" s="112"/>
      <c r="X1193" s="17"/>
      <c r="Y1193" s="17"/>
      <c r="Z1193" s="17"/>
      <c r="AA1193" s="17"/>
      <c r="AB1193" s="112"/>
      <c r="AC1193" s="17"/>
      <c r="AD1193" s="17"/>
      <c r="AE1193" s="17"/>
      <c r="AF1193" s="17"/>
      <c r="AG1193" s="112"/>
      <c r="AH1193" s="17"/>
      <c r="AI1193" s="17"/>
      <c r="AJ1193" s="17"/>
      <c r="AK1193" s="17"/>
      <c r="AL1193" s="112"/>
      <c r="AM1193" s="17"/>
      <c r="AN1193" s="17"/>
      <c r="AO1193" s="17"/>
      <c r="AP1193" s="17"/>
      <c r="AQ1193" s="112"/>
      <c r="AR1193" s="17" t="str">
        <f t="shared" ref="AR1193:FG1193" si="5557">XeonDPUnits+XeonUPUnits</f>
        <v>#NAME?</v>
      </c>
      <c r="AS1193" s="17" t="str">
        <f t="shared" si="5557"/>
        <v>#NAME?</v>
      </c>
      <c r="AT1193" s="17" t="str">
        <f t="shared" si="5557"/>
        <v>#NAME?</v>
      </c>
      <c r="AU1193" s="17" t="str">
        <f t="shared" si="5557"/>
        <v>#NAME?</v>
      </c>
      <c r="AV1193" s="112" t="str">
        <f t="shared" si="5557"/>
        <v>#NAME?</v>
      </c>
      <c r="AW1193" s="17" t="str">
        <f t="shared" si="5557"/>
        <v>#NAME?</v>
      </c>
      <c r="AX1193" s="17" t="str">
        <f t="shared" si="5557"/>
        <v>#NAME?</v>
      </c>
      <c r="AY1193" s="17" t="str">
        <f t="shared" si="5557"/>
        <v>#NAME?</v>
      </c>
      <c r="AZ1193" s="17" t="str">
        <f t="shared" si="5557"/>
        <v>#NAME?</v>
      </c>
      <c r="BA1193" s="112" t="str">
        <f t="shared" si="5557"/>
        <v>#NAME?</v>
      </c>
      <c r="BB1193" s="17" t="str">
        <f t="shared" si="5557"/>
        <v>#NAME?</v>
      </c>
      <c r="BC1193" s="17" t="str">
        <f t="shared" si="5557"/>
        <v>#NAME?</v>
      </c>
      <c r="BD1193" s="17" t="str">
        <f t="shared" si="5557"/>
        <v>#NAME?</v>
      </c>
      <c r="BE1193" s="17" t="str">
        <f t="shared" si="5557"/>
        <v>#NAME?</v>
      </c>
      <c r="BF1193" s="112" t="str">
        <f t="shared" si="5557"/>
        <v>#NAME?</v>
      </c>
      <c r="BG1193" s="17" t="str">
        <f t="shared" si="5557"/>
        <v>#NAME?</v>
      </c>
      <c r="BH1193" s="17" t="str">
        <f t="shared" si="5557"/>
        <v>#NAME?</v>
      </c>
      <c r="BI1193" s="17" t="str">
        <f t="shared" si="5557"/>
        <v>#NAME?</v>
      </c>
      <c r="BJ1193" s="17" t="str">
        <f t="shared" si="5557"/>
        <v>#NAME?</v>
      </c>
      <c r="BK1193" s="112" t="str">
        <f t="shared" si="5557"/>
        <v>#NAME?</v>
      </c>
      <c r="BL1193" s="17" t="str">
        <f t="shared" si="5557"/>
        <v>#NAME?</v>
      </c>
      <c r="BM1193" s="17" t="str">
        <f t="shared" si="5557"/>
        <v>#NAME?</v>
      </c>
      <c r="BN1193" s="17" t="str">
        <f t="shared" si="5557"/>
        <v>#NAME?</v>
      </c>
      <c r="BO1193" s="17" t="str">
        <f t="shared" si="5557"/>
        <v>#NAME?</v>
      </c>
      <c r="BP1193" s="112" t="str">
        <f t="shared" si="5557"/>
        <v>#NAME?</v>
      </c>
      <c r="BQ1193" s="17" t="str">
        <f t="shared" si="5557"/>
        <v>#NAME?</v>
      </c>
      <c r="BR1193" s="17" t="str">
        <f t="shared" si="5557"/>
        <v>#NAME?</v>
      </c>
      <c r="BS1193" s="17" t="str">
        <f t="shared" si="5557"/>
        <v>#NAME?</v>
      </c>
      <c r="BT1193" s="17" t="str">
        <f t="shared" si="5557"/>
        <v>#NAME?</v>
      </c>
      <c r="BU1193" s="112" t="str">
        <f t="shared" si="5557"/>
        <v>#NAME?</v>
      </c>
      <c r="BV1193" s="17" t="str">
        <f t="shared" si="5557"/>
        <v>#NAME?</v>
      </c>
      <c r="BW1193" s="17" t="str">
        <f t="shared" si="5557"/>
        <v>#NAME?</v>
      </c>
      <c r="BX1193" s="17" t="str">
        <f t="shared" si="5557"/>
        <v>#NAME?</v>
      </c>
      <c r="BY1193" s="17" t="str">
        <f t="shared" si="5557"/>
        <v>#NAME?</v>
      </c>
      <c r="BZ1193" s="80" t="str">
        <f t="shared" si="5557"/>
        <v>#NAME?</v>
      </c>
      <c r="CA1193" s="17" t="str">
        <f t="shared" si="5557"/>
        <v>#NAME?</v>
      </c>
      <c r="CB1193" s="17" t="str">
        <f t="shared" si="5557"/>
        <v>#NAME?</v>
      </c>
      <c r="CC1193" s="17" t="str">
        <f t="shared" si="5557"/>
        <v>#NAME?</v>
      </c>
      <c r="CD1193" s="17" t="str">
        <f t="shared" si="5557"/>
        <v>#NAME?</v>
      </c>
      <c r="CE1193" s="80" t="str">
        <f t="shared" si="5557"/>
        <v>#NAME?</v>
      </c>
      <c r="CF1193" s="17" t="str">
        <f t="shared" si="5557"/>
        <v>#NAME?</v>
      </c>
      <c r="CG1193" s="17" t="str">
        <f t="shared" si="5557"/>
        <v>#NAME?</v>
      </c>
      <c r="CH1193" s="17" t="str">
        <f t="shared" si="5557"/>
        <v>#NAME?</v>
      </c>
      <c r="CI1193" s="17" t="str">
        <f t="shared" si="5557"/>
        <v>#NAME?</v>
      </c>
      <c r="CJ1193" s="80" t="str">
        <f t="shared" si="5557"/>
        <v>#NAME?</v>
      </c>
      <c r="CK1193" s="17" t="str">
        <f t="shared" si="5557"/>
        <v>#NAME?</v>
      </c>
      <c r="CL1193" s="17" t="str">
        <f t="shared" si="5557"/>
        <v>#NAME?</v>
      </c>
      <c r="CM1193" s="17" t="str">
        <f t="shared" si="5557"/>
        <v>#NAME?</v>
      </c>
      <c r="CN1193" s="19" t="str">
        <f t="shared" si="5557"/>
        <v>#NAME?</v>
      </c>
      <c r="CO1193" s="80" t="str">
        <f t="shared" si="5557"/>
        <v>#NAME?</v>
      </c>
      <c r="CP1193" s="19" t="str">
        <f t="shared" si="5557"/>
        <v>#NAME?</v>
      </c>
      <c r="CQ1193" s="17" t="str">
        <f t="shared" si="5557"/>
        <v>#NAME?</v>
      </c>
      <c r="CR1193" s="17" t="str">
        <f t="shared" si="5557"/>
        <v>#NAME?</v>
      </c>
      <c r="CS1193" s="17" t="str">
        <f t="shared" si="5557"/>
        <v>#NAME?</v>
      </c>
      <c r="CT1193" s="80" t="str">
        <f t="shared" si="5557"/>
        <v>#NAME?</v>
      </c>
      <c r="CU1193" s="17" t="str">
        <f t="shared" si="5557"/>
        <v>#NAME?</v>
      </c>
      <c r="CV1193" s="17" t="str">
        <f t="shared" si="5557"/>
        <v>#NAME?</v>
      </c>
      <c r="CW1193" s="17" t="str">
        <f t="shared" si="5557"/>
        <v>#NAME?</v>
      </c>
      <c r="CX1193" s="17" t="str">
        <f t="shared" si="5557"/>
        <v>#NAME?</v>
      </c>
      <c r="CY1193" s="80" t="str">
        <f t="shared" si="5557"/>
        <v>#NAME?</v>
      </c>
      <c r="CZ1193" s="17" t="str">
        <f t="shared" si="5557"/>
        <v>#NAME?</v>
      </c>
      <c r="DA1193" s="17" t="str">
        <f t="shared" si="5557"/>
        <v>#NAME?</v>
      </c>
      <c r="DB1193" s="17" t="str">
        <f t="shared" si="5557"/>
        <v>#NAME?</v>
      </c>
      <c r="DC1193" s="17" t="str">
        <f t="shared" si="5557"/>
        <v>#NAME?</v>
      </c>
      <c r="DD1193" s="80" t="str">
        <f t="shared" si="5557"/>
        <v>#NAME?</v>
      </c>
      <c r="DE1193" s="17" t="str">
        <f t="shared" si="5557"/>
        <v>#NAME?</v>
      </c>
      <c r="DF1193" s="17" t="str">
        <f t="shared" si="5557"/>
        <v>#NAME?</v>
      </c>
      <c r="DG1193" s="19" t="str">
        <f t="shared" si="5557"/>
        <v>#NAME?</v>
      </c>
      <c r="DH1193" s="17" t="str">
        <f t="shared" si="5557"/>
        <v>#NAME?</v>
      </c>
      <c r="DI1193" s="80" t="str">
        <f t="shared" si="5557"/>
        <v>#NAME?</v>
      </c>
      <c r="DJ1193" s="19" t="str">
        <f t="shared" si="5557"/>
        <v>#NAME?</v>
      </c>
      <c r="DK1193" s="19" t="str">
        <f t="shared" si="5557"/>
        <v>#NAME?</v>
      </c>
      <c r="DL1193" s="19" t="str">
        <f t="shared" si="5557"/>
        <v>#NAME?</v>
      </c>
      <c r="DM1193" s="17" t="str">
        <f t="shared" si="5557"/>
        <v>#NAME?</v>
      </c>
      <c r="DN1193" s="80" t="str">
        <f t="shared" si="5557"/>
        <v>#NAME?</v>
      </c>
      <c r="DO1193" s="17" t="str">
        <f t="shared" si="5557"/>
        <v>#NAME?</v>
      </c>
      <c r="DP1193" s="17" t="str">
        <f t="shared" si="5557"/>
        <v>#NAME?</v>
      </c>
      <c r="DQ1193" s="17" t="str">
        <f t="shared" si="5557"/>
        <v>#NAME?</v>
      </c>
      <c r="DR1193" s="17" t="str">
        <f t="shared" si="5557"/>
        <v>#NAME?</v>
      </c>
      <c r="DS1193" s="80" t="str">
        <f t="shared" si="5557"/>
        <v>#NAME?</v>
      </c>
      <c r="DT1193" s="17" t="str">
        <f t="shared" si="5557"/>
        <v>#NAME?</v>
      </c>
      <c r="DU1193" s="17" t="str">
        <f t="shared" si="5557"/>
        <v>#NAME?</v>
      </c>
      <c r="DV1193" s="17" t="str">
        <f t="shared" si="5557"/>
        <v>#NAME?</v>
      </c>
      <c r="DW1193" s="17" t="str">
        <f t="shared" si="5557"/>
        <v>#NAME?</v>
      </c>
      <c r="DX1193" s="80" t="str">
        <f t="shared" si="5557"/>
        <v>#NAME?</v>
      </c>
      <c r="DY1193" s="17" t="str">
        <f t="shared" si="5557"/>
        <v>#NAME?</v>
      </c>
      <c r="DZ1193" s="17" t="str">
        <f t="shared" si="5557"/>
        <v>#NAME?</v>
      </c>
      <c r="EA1193" s="17" t="str">
        <f t="shared" si="5557"/>
        <v>#NAME?</v>
      </c>
      <c r="EB1193" s="17" t="str">
        <f t="shared" si="5557"/>
        <v>#NAME?</v>
      </c>
      <c r="EC1193" s="80" t="str">
        <f t="shared" si="5557"/>
        <v>#NAME?</v>
      </c>
      <c r="ED1193" s="17" t="str">
        <f t="shared" si="5557"/>
        <v>#NAME?</v>
      </c>
      <c r="EE1193" s="17" t="str">
        <f t="shared" si="5557"/>
        <v>#NAME?</v>
      </c>
      <c r="EF1193" s="17" t="str">
        <f t="shared" si="5557"/>
        <v>#NAME?</v>
      </c>
      <c r="EG1193" s="17" t="str">
        <f t="shared" si="5557"/>
        <v>#NAME?</v>
      </c>
      <c r="EH1193" s="80" t="str">
        <f t="shared" si="5557"/>
        <v>#NAME?</v>
      </c>
      <c r="EI1193" s="25" t="str">
        <f t="shared" si="5557"/>
        <v>#NAME?</v>
      </c>
      <c r="EJ1193" s="17" t="str">
        <f t="shared" si="5557"/>
        <v>#NAME?</v>
      </c>
      <c r="EK1193" s="17" t="str">
        <f t="shared" si="5557"/>
        <v>#NAME?</v>
      </c>
      <c r="EL1193" s="17" t="str">
        <f t="shared" si="5557"/>
        <v>#NAME?</v>
      </c>
      <c r="EM1193" s="80" t="str">
        <f t="shared" si="5557"/>
        <v>#NAME?</v>
      </c>
      <c r="EN1193" s="17" t="str">
        <f t="shared" si="5557"/>
        <v>#NAME?</v>
      </c>
      <c r="EO1193" s="17" t="str">
        <f t="shared" si="5557"/>
        <v>#NAME?</v>
      </c>
      <c r="EP1193" s="17" t="str">
        <f t="shared" si="5557"/>
        <v>#NAME?</v>
      </c>
      <c r="EQ1193" s="17" t="str">
        <f t="shared" si="5557"/>
        <v>#NAME?</v>
      </c>
      <c r="ER1193" s="80" t="str">
        <f t="shared" si="5557"/>
        <v>#NAME?</v>
      </c>
      <c r="ES1193" s="17" t="str">
        <f t="shared" si="5557"/>
        <v>#NAME?</v>
      </c>
      <c r="ET1193" s="17" t="str">
        <f t="shared" si="5557"/>
        <v>#NAME?</v>
      </c>
      <c r="EU1193" s="17" t="str">
        <f t="shared" si="5557"/>
        <v>#NAME?</v>
      </c>
      <c r="EV1193" s="17" t="str">
        <f t="shared" si="5557"/>
        <v>#NAME?</v>
      </c>
      <c r="EW1193" s="80" t="str">
        <f t="shared" si="5557"/>
        <v>#NAME?</v>
      </c>
      <c r="EX1193" s="17" t="str">
        <f t="shared" si="5557"/>
        <v>#NAME?</v>
      </c>
      <c r="EY1193" s="17" t="str">
        <f t="shared" si="5557"/>
        <v>#NAME?</v>
      </c>
      <c r="EZ1193" s="17" t="str">
        <f t="shared" si="5557"/>
        <v>#NAME?</v>
      </c>
      <c r="FA1193" s="17" t="str">
        <f t="shared" si="5557"/>
        <v>#NAME?</v>
      </c>
      <c r="FB1193" s="80" t="str">
        <f t="shared" si="5557"/>
        <v>#NAME?</v>
      </c>
      <c r="FC1193" s="17" t="str">
        <f t="shared" si="5557"/>
        <v>#NAME?</v>
      </c>
      <c r="FD1193" s="17" t="str">
        <f t="shared" si="5557"/>
        <v>#NAME?</v>
      </c>
      <c r="FE1193" s="17" t="str">
        <f t="shared" si="5557"/>
        <v>#NAME?</v>
      </c>
      <c r="FF1193" s="17" t="str">
        <f t="shared" si="5557"/>
        <v>#NAME?</v>
      </c>
      <c r="FG1193" s="80" t="str">
        <f t="shared" si="5557"/>
        <v>#NAME?</v>
      </c>
      <c r="FH1193" s="146"/>
      <c r="FI1193" s="17"/>
      <c r="FJ1193" s="17"/>
      <c r="FK1193" s="112"/>
      <c r="FL1193" s="17"/>
    </row>
    <row r="1194" ht="12.75" hidden="1" customHeight="1" outlineLevel="1">
      <c r="A1194" s="4"/>
      <c r="B1194" s="4" t="s">
        <v>454</v>
      </c>
      <c r="C1194" s="4"/>
      <c r="D1194" s="17"/>
      <c r="E1194" s="17"/>
      <c r="F1194" s="17"/>
      <c r="G1194" s="17"/>
      <c r="H1194" s="112"/>
      <c r="I1194" s="17"/>
      <c r="J1194" s="17"/>
      <c r="K1194" s="17"/>
      <c r="L1194" s="17"/>
      <c r="M1194" s="112"/>
      <c r="N1194" s="17"/>
      <c r="O1194" s="17"/>
      <c r="P1194" s="17"/>
      <c r="Q1194" s="17"/>
      <c r="R1194" s="112"/>
      <c r="S1194" s="17"/>
      <c r="T1194" s="17"/>
      <c r="U1194" s="17"/>
      <c r="V1194" s="17"/>
      <c r="W1194" s="112"/>
      <c r="X1194" s="17"/>
      <c r="Y1194" s="17"/>
      <c r="Z1194" s="17"/>
      <c r="AA1194" s="17"/>
      <c r="AB1194" s="112"/>
      <c r="AC1194" s="17"/>
      <c r="AD1194" s="17"/>
      <c r="AE1194" s="17"/>
      <c r="AF1194" s="17"/>
      <c r="AG1194" s="112"/>
      <c r="AH1194" s="17"/>
      <c r="AI1194" s="17"/>
      <c r="AJ1194" s="17"/>
      <c r="AK1194" s="17"/>
      <c r="AL1194" s="112"/>
      <c r="AM1194" s="17"/>
      <c r="AN1194" s="17"/>
      <c r="AO1194" s="17"/>
      <c r="AP1194" s="17"/>
      <c r="AQ1194" s="112"/>
      <c r="AR1194" s="17" t="e">
        <v>#REF!</v>
      </c>
      <c r="AS1194" s="17" t="e">
        <v>#REF!</v>
      </c>
      <c r="AT1194" s="17" t="e">
        <v>#REF!</v>
      </c>
      <c r="AU1194" s="17" t="e">
        <v>#REF!</v>
      </c>
      <c r="AV1194" s="112" t="e">
        <v>#REF!</v>
      </c>
      <c r="AW1194" s="17" t="e">
        <v>#REF!</v>
      </c>
      <c r="AX1194" s="17" t="e">
        <v>#REF!</v>
      </c>
      <c r="AY1194" s="17" t="e">
        <v>#REF!</v>
      </c>
      <c r="AZ1194" s="17" t="e">
        <v>#REF!</v>
      </c>
      <c r="BA1194" s="112" t="e">
        <v>#REF!</v>
      </c>
      <c r="BB1194" s="17" t="e">
        <v>#REF!</v>
      </c>
      <c r="BC1194" s="17" t="e">
        <v>#REF!</v>
      </c>
      <c r="BD1194" s="17" t="e">
        <v>#REF!</v>
      </c>
      <c r="BE1194" s="17" t="e">
        <v>#REF!</v>
      </c>
      <c r="BF1194" s="112" t="e">
        <v>#REF!</v>
      </c>
      <c r="BG1194" s="17" t="e">
        <v>#REF!</v>
      </c>
      <c r="BH1194" s="17" t="e">
        <v>#REF!</v>
      </c>
      <c r="BI1194" s="17" t="e">
        <v>#REF!</v>
      </c>
      <c r="BJ1194" s="17" t="e">
        <v>#REF!</v>
      </c>
      <c r="BK1194" s="112" t="e">
        <v>#REF!</v>
      </c>
      <c r="BL1194" s="17" t="e">
        <v>#REF!</v>
      </c>
      <c r="BM1194" s="17" t="e">
        <v>#REF!</v>
      </c>
      <c r="BN1194" s="17" t="e">
        <v>#REF!</v>
      </c>
      <c r="BO1194" s="17" t="e">
        <v>#REF!</v>
      </c>
      <c r="BP1194" s="112" t="e">
        <v>#REF!</v>
      </c>
      <c r="BQ1194" s="17" t="e">
        <v>#REF!</v>
      </c>
      <c r="BR1194" s="17" t="e">
        <v>#REF!</v>
      </c>
      <c r="BS1194" s="17" t="e">
        <v>#REF!</v>
      </c>
      <c r="BT1194" s="17" t="e">
        <v>#REF!</v>
      </c>
      <c r="BU1194" s="112" t="e">
        <v>#REF!</v>
      </c>
      <c r="BV1194" s="17" t="e">
        <v>#REF!</v>
      </c>
      <c r="BW1194" s="17" t="e">
        <v>#REF!</v>
      </c>
      <c r="BX1194" s="17" t="e">
        <v>#REF!</v>
      </c>
      <c r="BY1194" s="17" t="e">
        <v>#REF!</v>
      </c>
      <c r="BZ1194" s="80" t="e">
        <v>#REF!</v>
      </c>
      <c r="CA1194" s="17" t="e">
        <v>#REF!</v>
      </c>
      <c r="CB1194" s="17" t="e">
        <v>#REF!</v>
      </c>
      <c r="CC1194" s="17" t="e">
        <v>#REF!</v>
      </c>
      <c r="CD1194" s="17" t="e">
        <v>#REF!</v>
      </c>
      <c r="CE1194" s="80" t="e">
        <v>#REF!</v>
      </c>
      <c r="CF1194" s="17" t="e">
        <v>#REF!</v>
      </c>
      <c r="CG1194" s="17" t="e">
        <v>#REF!</v>
      </c>
      <c r="CH1194" s="17" t="e">
        <v>#REF!</v>
      </c>
      <c r="CI1194" s="17" t="e">
        <v>#REF!</v>
      </c>
      <c r="CJ1194" s="80" t="e">
        <v>#REF!</v>
      </c>
      <c r="CK1194" s="17" t="e">
        <v>#REF!</v>
      </c>
      <c r="CL1194" s="17" t="e">
        <v>#REF!</v>
      </c>
      <c r="CM1194" s="17" t="e">
        <v>#REF!</v>
      </c>
      <c r="CN1194" s="19" t="e">
        <v>#REF!</v>
      </c>
      <c r="CO1194" s="80" t="e">
        <v>#REF!</v>
      </c>
      <c r="CP1194" s="19" t="e">
        <v>#REF!</v>
      </c>
      <c r="CQ1194" s="17" t="e">
        <v>#REF!</v>
      </c>
      <c r="CR1194" s="17" t="e">
        <v>#REF!</v>
      </c>
      <c r="CS1194" s="17" t="e">
        <v>#REF!</v>
      </c>
      <c r="CT1194" s="80" t="e">
        <v>#REF!</v>
      </c>
      <c r="CU1194" s="17" t="e">
        <v>#REF!</v>
      </c>
      <c r="CV1194" s="17" t="e">
        <v>#REF!</v>
      </c>
      <c r="CW1194" s="17" t="e">
        <v>#REF!</v>
      </c>
      <c r="CX1194" s="17" t="e">
        <v>#REF!</v>
      </c>
      <c r="CY1194" s="80" t="e">
        <v>#REF!</v>
      </c>
      <c r="CZ1194" s="17" t="e">
        <v>#REF!</v>
      </c>
      <c r="DA1194" s="17" t="e">
        <v>#REF!</v>
      </c>
      <c r="DB1194" s="17" t="e">
        <v>#REF!</v>
      </c>
      <c r="DC1194" s="17" t="e">
        <v>#REF!</v>
      </c>
      <c r="DD1194" s="80" t="e">
        <v>#REF!</v>
      </c>
      <c r="DE1194" s="17" t="e">
        <v>#REF!</v>
      </c>
      <c r="DF1194" s="17" t="e">
        <v>#REF!</v>
      </c>
      <c r="DG1194" s="19" t="e">
        <v>#REF!</v>
      </c>
      <c r="DH1194" s="17" t="e">
        <v>#REF!</v>
      </c>
      <c r="DI1194" s="80" t="e">
        <v>#REF!</v>
      </c>
      <c r="DJ1194" s="19" t="e">
        <v>#REF!</v>
      </c>
      <c r="DK1194" s="19" t="e">
        <v>#REF!</v>
      </c>
      <c r="DL1194" s="19" t="e">
        <v>#REF!</v>
      </c>
      <c r="DM1194" s="17" t="e">
        <v>#REF!</v>
      </c>
      <c r="DN1194" s="80" t="e">
        <v>#REF!</v>
      </c>
      <c r="DO1194" s="17" t="e">
        <v>#REF!</v>
      </c>
      <c r="DP1194" s="17" t="e">
        <v>#REF!</v>
      </c>
      <c r="DQ1194" s="17" t="e">
        <v>#REF!</v>
      </c>
      <c r="DR1194" s="17" t="e">
        <v>#REF!</v>
      </c>
      <c r="DS1194" s="80" t="e">
        <v>#REF!</v>
      </c>
      <c r="DT1194" s="17" t="e">
        <v>#REF!</v>
      </c>
      <c r="DU1194" s="17" t="e">
        <v>#REF!</v>
      </c>
      <c r="DV1194" s="17" t="e">
        <v>#REF!</v>
      </c>
      <c r="DW1194" s="17" t="e">
        <v>#REF!</v>
      </c>
      <c r="DX1194" s="80" t="e">
        <v>#REF!</v>
      </c>
      <c r="DY1194" s="17" t="e">
        <v>#REF!</v>
      </c>
      <c r="DZ1194" s="17" t="e">
        <v>#REF!</v>
      </c>
      <c r="EA1194" s="17" t="e">
        <v>#REF!</v>
      </c>
      <c r="EB1194" s="17" t="e">
        <v>#REF!</v>
      </c>
      <c r="EC1194" s="80" t="e">
        <v>#REF!</v>
      </c>
      <c r="ED1194" s="17" t="e">
        <v>#REF!</v>
      </c>
      <c r="EE1194" s="17" t="e">
        <v>#REF!</v>
      </c>
      <c r="EF1194" s="17" t="e">
        <v>#REF!</v>
      </c>
      <c r="EG1194" s="17" t="e">
        <v>#REF!</v>
      </c>
      <c r="EH1194" s="80" t="e">
        <v>#REF!</v>
      </c>
      <c r="EI1194" s="25" t="e">
        <v>#REF!</v>
      </c>
      <c r="EJ1194" s="17" t="e">
        <v>#REF!</v>
      </c>
      <c r="EK1194" s="17" t="e">
        <v>#REF!</v>
      </c>
      <c r="EL1194" s="17" t="e">
        <v>#REF!</v>
      </c>
      <c r="EM1194" s="80" t="e">
        <v>#REF!</v>
      </c>
      <c r="EN1194" s="17" t="e">
        <v>#REF!</v>
      </c>
      <c r="EO1194" s="17" t="e">
        <v>#REF!</v>
      </c>
      <c r="EP1194" s="17" t="e">
        <v>#REF!</v>
      </c>
      <c r="EQ1194" s="17" t="e">
        <v>#REF!</v>
      </c>
      <c r="ER1194" s="80" t="e">
        <v>#REF!</v>
      </c>
      <c r="ES1194" s="17" t="e">
        <v>#REF!</v>
      </c>
      <c r="ET1194" s="17" t="e">
        <v>#REF!</v>
      </c>
      <c r="EU1194" s="17" t="e">
        <v>#REF!</v>
      </c>
      <c r="EV1194" s="17" t="e">
        <v>#REF!</v>
      </c>
      <c r="EW1194" s="80" t="e">
        <v>#REF!</v>
      </c>
      <c r="EX1194" s="17" t="e">
        <v>#REF!</v>
      </c>
      <c r="EY1194" s="17" t="e">
        <v>#REF!</v>
      </c>
      <c r="EZ1194" s="17" t="e">
        <v>#REF!</v>
      </c>
      <c r="FA1194" s="17" t="e">
        <v>#REF!</v>
      </c>
      <c r="FB1194" s="80" t="e">
        <v>#REF!</v>
      </c>
      <c r="FC1194" s="17" t="e">
        <v>#REF!</v>
      </c>
      <c r="FD1194" s="17" t="e">
        <v>#REF!</v>
      </c>
      <c r="FE1194" s="17" t="e">
        <v>#REF!</v>
      </c>
      <c r="FF1194" s="17" t="e">
        <v>#REF!</v>
      </c>
      <c r="FG1194" s="80" t="e">
        <v>#REF!</v>
      </c>
      <c r="FH1194" s="146"/>
      <c r="FI1194" s="17"/>
      <c r="FJ1194" s="17"/>
      <c r="FK1194" s="112"/>
      <c r="FL1194" s="17"/>
    </row>
    <row r="1195" ht="13.5" hidden="1" customHeight="1" outlineLevel="1">
      <c r="A1195" s="4"/>
      <c r="B1195" s="529" t="s">
        <v>291</v>
      </c>
      <c r="C1195" s="529"/>
      <c r="D1195" s="164"/>
      <c r="E1195" s="164"/>
      <c r="F1195" s="164"/>
      <c r="G1195" s="164"/>
      <c r="H1195" s="166"/>
      <c r="I1195" s="164"/>
      <c r="J1195" s="164"/>
      <c r="K1195" s="164"/>
      <c r="L1195" s="164"/>
      <c r="M1195" s="166"/>
      <c r="N1195" s="164"/>
      <c r="O1195" s="164"/>
      <c r="P1195" s="164"/>
      <c r="Q1195" s="164"/>
      <c r="R1195" s="166"/>
      <c r="S1195" s="164"/>
      <c r="T1195" s="164"/>
      <c r="U1195" s="164"/>
      <c r="V1195" s="164"/>
      <c r="W1195" s="166"/>
      <c r="X1195" s="164"/>
      <c r="Y1195" s="164"/>
      <c r="Z1195" s="164"/>
      <c r="AA1195" s="164"/>
      <c r="AB1195" s="166"/>
      <c r="AC1195" s="164"/>
      <c r="AD1195" s="164"/>
      <c r="AE1195" s="164"/>
      <c r="AF1195" s="164"/>
      <c r="AG1195" s="166"/>
      <c r="AH1195" s="164"/>
      <c r="AI1195" s="164"/>
      <c r="AJ1195" s="164"/>
      <c r="AK1195" s="164"/>
      <c r="AL1195" s="166"/>
      <c r="AM1195" s="164"/>
      <c r="AN1195" s="164"/>
      <c r="AO1195" s="164"/>
      <c r="AP1195" s="164"/>
      <c r="AQ1195" s="166"/>
      <c r="AR1195" s="164" t="str">
        <f t="shared" ref="AR1195:FG1195" si="5558">SUM(AR1193,AR1194)</f>
        <v>#NAME?</v>
      </c>
      <c r="AS1195" s="164" t="str">
        <f t="shared" si="5558"/>
        <v>#NAME?</v>
      </c>
      <c r="AT1195" s="164" t="str">
        <f t="shared" si="5558"/>
        <v>#NAME?</v>
      </c>
      <c r="AU1195" s="164" t="str">
        <f t="shared" si="5558"/>
        <v>#NAME?</v>
      </c>
      <c r="AV1195" s="166" t="str">
        <f t="shared" si="5558"/>
        <v>#NAME?</v>
      </c>
      <c r="AW1195" s="164" t="str">
        <f t="shared" si="5558"/>
        <v>#NAME?</v>
      </c>
      <c r="AX1195" s="164" t="str">
        <f t="shared" si="5558"/>
        <v>#NAME?</v>
      </c>
      <c r="AY1195" s="164" t="str">
        <f t="shared" si="5558"/>
        <v>#NAME?</v>
      </c>
      <c r="AZ1195" s="164" t="str">
        <f t="shared" si="5558"/>
        <v>#NAME?</v>
      </c>
      <c r="BA1195" s="166" t="str">
        <f t="shared" si="5558"/>
        <v>#NAME?</v>
      </c>
      <c r="BB1195" s="164" t="str">
        <f t="shared" si="5558"/>
        <v>#NAME?</v>
      </c>
      <c r="BC1195" s="164" t="str">
        <f t="shared" si="5558"/>
        <v>#NAME?</v>
      </c>
      <c r="BD1195" s="164" t="str">
        <f t="shared" si="5558"/>
        <v>#NAME?</v>
      </c>
      <c r="BE1195" s="164" t="str">
        <f t="shared" si="5558"/>
        <v>#NAME?</v>
      </c>
      <c r="BF1195" s="166" t="str">
        <f t="shared" si="5558"/>
        <v>#NAME?</v>
      </c>
      <c r="BG1195" s="164" t="str">
        <f t="shared" si="5558"/>
        <v>#NAME?</v>
      </c>
      <c r="BH1195" s="164" t="str">
        <f t="shared" si="5558"/>
        <v>#NAME?</v>
      </c>
      <c r="BI1195" s="164" t="str">
        <f t="shared" si="5558"/>
        <v>#NAME?</v>
      </c>
      <c r="BJ1195" s="164" t="str">
        <f t="shared" si="5558"/>
        <v>#NAME?</v>
      </c>
      <c r="BK1195" s="166" t="str">
        <f t="shared" si="5558"/>
        <v>#NAME?</v>
      </c>
      <c r="BL1195" s="164" t="str">
        <f t="shared" si="5558"/>
        <v>#NAME?</v>
      </c>
      <c r="BM1195" s="164" t="str">
        <f t="shared" si="5558"/>
        <v>#NAME?</v>
      </c>
      <c r="BN1195" s="164" t="str">
        <f t="shared" si="5558"/>
        <v>#NAME?</v>
      </c>
      <c r="BO1195" s="164" t="str">
        <f t="shared" si="5558"/>
        <v>#NAME?</v>
      </c>
      <c r="BP1195" s="166" t="str">
        <f t="shared" si="5558"/>
        <v>#NAME?</v>
      </c>
      <c r="BQ1195" s="164" t="str">
        <f t="shared" si="5558"/>
        <v>#NAME?</v>
      </c>
      <c r="BR1195" s="164" t="str">
        <f t="shared" si="5558"/>
        <v>#NAME?</v>
      </c>
      <c r="BS1195" s="164" t="str">
        <f t="shared" si="5558"/>
        <v>#NAME?</v>
      </c>
      <c r="BT1195" s="164" t="str">
        <f t="shared" si="5558"/>
        <v>#NAME?</v>
      </c>
      <c r="BU1195" s="166" t="str">
        <f t="shared" si="5558"/>
        <v>#NAME?</v>
      </c>
      <c r="BV1195" s="164" t="str">
        <f t="shared" si="5558"/>
        <v>#NAME?</v>
      </c>
      <c r="BW1195" s="164" t="str">
        <f t="shared" si="5558"/>
        <v>#NAME?</v>
      </c>
      <c r="BX1195" s="164" t="str">
        <f t="shared" si="5558"/>
        <v>#NAME?</v>
      </c>
      <c r="BY1195" s="164" t="str">
        <f t="shared" si="5558"/>
        <v>#NAME?</v>
      </c>
      <c r="BZ1195" s="168" t="str">
        <f t="shared" si="5558"/>
        <v>#NAME?</v>
      </c>
      <c r="CA1195" s="164" t="str">
        <f t="shared" si="5558"/>
        <v>#NAME?</v>
      </c>
      <c r="CB1195" s="164" t="str">
        <f t="shared" si="5558"/>
        <v>#NAME?</v>
      </c>
      <c r="CC1195" s="164" t="str">
        <f t="shared" si="5558"/>
        <v>#NAME?</v>
      </c>
      <c r="CD1195" s="164" t="str">
        <f t="shared" si="5558"/>
        <v>#NAME?</v>
      </c>
      <c r="CE1195" s="168" t="str">
        <f t="shared" si="5558"/>
        <v>#NAME?</v>
      </c>
      <c r="CF1195" s="164" t="str">
        <f t="shared" si="5558"/>
        <v>#NAME?</v>
      </c>
      <c r="CG1195" s="164" t="str">
        <f t="shared" si="5558"/>
        <v>#NAME?</v>
      </c>
      <c r="CH1195" s="164" t="str">
        <f t="shared" si="5558"/>
        <v>#NAME?</v>
      </c>
      <c r="CI1195" s="164" t="str">
        <f t="shared" si="5558"/>
        <v>#NAME?</v>
      </c>
      <c r="CJ1195" s="168" t="str">
        <f t="shared" si="5558"/>
        <v>#NAME?</v>
      </c>
      <c r="CK1195" s="164" t="str">
        <f t="shared" si="5558"/>
        <v>#NAME?</v>
      </c>
      <c r="CL1195" s="164" t="str">
        <f t="shared" si="5558"/>
        <v>#NAME?</v>
      </c>
      <c r="CM1195" s="164" t="str">
        <f t="shared" si="5558"/>
        <v>#NAME?</v>
      </c>
      <c r="CN1195" s="583" t="str">
        <f t="shared" si="5558"/>
        <v>#NAME?</v>
      </c>
      <c r="CO1195" s="168" t="str">
        <f t="shared" si="5558"/>
        <v>#NAME?</v>
      </c>
      <c r="CP1195" s="583" t="str">
        <f t="shared" si="5558"/>
        <v>#NAME?</v>
      </c>
      <c r="CQ1195" s="164" t="str">
        <f t="shared" si="5558"/>
        <v>#NAME?</v>
      </c>
      <c r="CR1195" s="164" t="str">
        <f t="shared" si="5558"/>
        <v>#NAME?</v>
      </c>
      <c r="CS1195" s="164" t="str">
        <f t="shared" si="5558"/>
        <v>#NAME?</v>
      </c>
      <c r="CT1195" s="168" t="str">
        <f t="shared" si="5558"/>
        <v>#NAME?</v>
      </c>
      <c r="CU1195" s="164" t="str">
        <f t="shared" si="5558"/>
        <v>#NAME?</v>
      </c>
      <c r="CV1195" s="164" t="str">
        <f t="shared" si="5558"/>
        <v>#NAME?</v>
      </c>
      <c r="CW1195" s="164" t="str">
        <f t="shared" si="5558"/>
        <v>#NAME?</v>
      </c>
      <c r="CX1195" s="164" t="str">
        <f t="shared" si="5558"/>
        <v>#NAME?</v>
      </c>
      <c r="CY1195" s="168" t="str">
        <f t="shared" si="5558"/>
        <v>#NAME?</v>
      </c>
      <c r="CZ1195" s="164" t="str">
        <f t="shared" si="5558"/>
        <v>#NAME?</v>
      </c>
      <c r="DA1195" s="164" t="str">
        <f t="shared" si="5558"/>
        <v>#NAME?</v>
      </c>
      <c r="DB1195" s="164" t="str">
        <f t="shared" si="5558"/>
        <v>#NAME?</v>
      </c>
      <c r="DC1195" s="164" t="str">
        <f t="shared" si="5558"/>
        <v>#NAME?</v>
      </c>
      <c r="DD1195" s="168" t="str">
        <f t="shared" si="5558"/>
        <v>#NAME?</v>
      </c>
      <c r="DE1195" s="164" t="str">
        <f t="shared" si="5558"/>
        <v>#NAME?</v>
      </c>
      <c r="DF1195" s="164" t="str">
        <f t="shared" si="5558"/>
        <v>#NAME?</v>
      </c>
      <c r="DG1195" s="146" t="str">
        <f t="shared" si="5558"/>
        <v>#NAME?</v>
      </c>
      <c r="DH1195" s="164" t="str">
        <f t="shared" si="5558"/>
        <v>#NAME?</v>
      </c>
      <c r="DI1195" s="168" t="str">
        <f t="shared" si="5558"/>
        <v>#NAME?</v>
      </c>
      <c r="DJ1195" s="583" t="str">
        <f t="shared" si="5558"/>
        <v>#NAME?</v>
      </c>
      <c r="DK1195" s="583" t="str">
        <f t="shared" si="5558"/>
        <v>#NAME?</v>
      </c>
      <c r="DL1195" s="583" t="str">
        <f t="shared" si="5558"/>
        <v>#NAME?</v>
      </c>
      <c r="DM1195" s="164" t="str">
        <f t="shared" si="5558"/>
        <v>#NAME?</v>
      </c>
      <c r="DN1195" s="168" t="str">
        <f t="shared" si="5558"/>
        <v>#NAME?</v>
      </c>
      <c r="DO1195" s="164" t="str">
        <f t="shared" si="5558"/>
        <v>#NAME?</v>
      </c>
      <c r="DP1195" s="164" t="str">
        <f t="shared" si="5558"/>
        <v>#NAME?</v>
      </c>
      <c r="DQ1195" s="164" t="str">
        <f t="shared" si="5558"/>
        <v>#NAME?</v>
      </c>
      <c r="DR1195" s="164" t="str">
        <f t="shared" si="5558"/>
        <v>#NAME?</v>
      </c>
      <c r="DS1195" s="168" t="str">
        <f t="shared" si="5558"/>
        <v>#NAME?</v>
      </c>
      <c r="DT1195" s="164" t="str">
        <f t="shared" si="5558"/>
        <v>#NAME?</v>
      </c>
      <c r="DU1195" s="164" t="str">
        <f t="shared" si="5558"/>
        <v>#NAME?</v>
      </c>
      <c r="DV1195" s="164" t="str">
        <f t="shared" si="5558"/>
        <v>#NAME?</v>
      </c>
      <c r="DW1195" s="164" t="str">
        <f t="shared" si="5558"/>
        <v>#NAME?</v>
      </c>
      <c r="DX1195" s="168" t="str">
        <f t="shared" si="5558"/>
        <v>#NAME?</v>
      </c>
      <c r="DY1195" s="164" t="str">
        <f t="shared" si="5558"/>
        <v>#NAME?</v>
      </c>
      <c r="DZ1195" s="164" t="str">
        <f t="shared" si="5558"/>
        <v>#NAME?</v>
      </c>
      <c r="EA1195" s="164" t="str">
        <f t="shared" si="5558"/>
        <v>#NAME?</v>
      </c>
      <c r="EB1195" s="164" t="str">
        <f t="shared" si="5558"/>
        <v>#NAME?</v>
      </c>
      <c r="EC1195" s="168" t="str">
        <f t="shared" si="5558"/>
        <v>#NAME?</v>
      </c>
      <c r="ED1195" s="164" t="str">
        <f t="shared" si="5558"/>
        <v>#NAME?</v>
      </c>
      <c r="EE1195" s="164" t="str">
        <f t="shared" si="5558"/>
        <v>#NAME?</v>
      </c>
      <c r="EF1195" s="164" t="str">
        <f t="shared" si="5558"/>
        <v>#NAME?</v>
      </c>
      <c r="EG1195" s="164" t="str">
        <f t="shared" si="5558"/>
        <v>#NAME?</v>
      </c>
      <c r="EH1195" s="168" t="str">
        <f t="shared" si="5558"/>
        <v>#NAME?</v>
      </c>
      <c r="EI1195" s="584" t="str">
        <f t="shared" si="5558"/>
        <v>#NAME?</v>
      </c>
      <c r="EJ1195" s="164" t="str">
        <f t="shared" si="5558"/>
        <v>#NAME?</v>
      </c>
      <c r="EK1195" s="164" t="str">
        <f t="shared" si="5558"/>
        <v>#NAME?</v>
      </c>
      <c r="EL1195" s="164" t="str">
        <f t="shared" si="5558"/>
        <v>#NAME?</v>
      </c>
      <c r="EM1195" s="168" t="str">
        <f t="shared" si="5558"/>
        <v>#NAME?</v>
      </c>
      <c r="EN1195" s="164" t="str">
        <f t="shared" si="5558"/>
        <v>#NAME?</v>
      </c>
      <c r="EO1195" s="164" t="str">
        <f t="shared" si="5558"/>
        <v>#NAME?</v>
      </c>
      <c r="EP1195" s="164" t="str">
        <f t="shared" si="5558"/>
        <v>#NAME?</v>
      </c>
      <c r="EQ1195" s="164" t="str">
        <f t="shared" si="5558"/>
        <v>#NAME?</v>
      </c>
      <c r="ER1195" s="168" t="str">
        <f t="shared" si="5558"/>
        <v>#NAME?</v>
      </c>
      <c r="ES1195" s="164" t="str">
        <f t="shared" si="5558"/>
        <v>#NAME?</v>
      </c>
      <c r="ET1195" s="164" t="str">
        <f t="shared" si="5558"/>
        <v>#NAME?</v>
      </c>
      <c r="EU1195" s="164" t="str">
        <f t="shared" si="5558"/>
        <v>#NAME?</v>
      </c>
      <c r="EV1195" s="164" t="str">
        <f t="shared" si="5558"/>
        <v>#NAME?</v>
      </c>
      <c r="EW1195" s="168" t="str">
        <f t="shared" si="5558"/>
        <v>#NAME?</v>
      </c>
      <c r="EX1195" s="164" t="str">
        <f t="shared" si="5558"/>
        <v>#NAME?</v>
      </c>
      <c r="EY1195" s="164" t="str">
        <f t="shared" si="5558"/>
        <v>#NAME?</v>
      </c>
      <c r="EZ1195" s="164" t="str">
        <f t="shared" si="5558"/>
        <v>#NAME?</v>
      </c>
      <c r="FA1195" s="164" t="str">
        <f t="shared" si="5558"/>
        <v>#NAME?</v>
      </c>
      <c r="FB1195" s="168" t="str">
        <f t="shared" si="5558"/>
        <v>#NAME?</v>
      </c>
      <c r="FC1195" s="164" t="str">
        <f t="shared" si="5558"/>
        <v>#NAME?</v>
      </c>
      <c r="FD1195" s="164" t="str">
        <f t="shared" si="5558"/>
        <v>#NAME?</v>
      </c>
      <c r="FE1195" s="164" t="str">
        <f t="shared" si="5558"/>
        <v>#NAME?</v>
      </c>
      <c r="FF1195" s="164" t="str">
        <f t="shared" si="5558"/>
        <v>#NAME?</v>
      </c>
      <c r="FG1195" s="168" t="str">
        <f t="shared" si="5558"/>
        <v>#NAME?</v>
      </c>
      <c r="FH1195" s="167"/>
      <c r="FI1195" s="164"/>
      <c r="FJ1195" s="164"/>
      <c r="FK1195" s="166"/>
      <c r="FL1195" s="164"/>
    </row>
    <row r="1196" ht="12.75" hidden="1" customHeight="1" outlineLevel="1">
      <c r="A1196" s="4"/>
      <c r="B1196" s="4"/>
      <c r="C1196" s="4"/>
      <c r="D1196" s="410"/>
      <c r="E1196" s="410"/>
      <c r="F1196" s="410"/>
      <c r="G1196" s="410"/>
      <c r="H1196" s="410"/>
      <c r="I1196" s="410"/>
      <c r="J1196" s="410"/>
      <c r="K1196" s="410"/>
      <c r="L1196" s="410"/>
      <c r="M1196" s="410"/>
      <c r="N1196" s="410"/>
      <c r="O1196" s="410"/>
      <c r="P1196" s="410"/>
      <c r="Q1196" s="410"/>
      <c r="R1196" s="410"/>
      <c r="S1196" s="410"/>
      <c r="T1196" s="410"/>
      <c r="U1196" s="410"/>
      <c r="V1196" s="410"/>
      <c r="W1196" s="410"/>
      <c r="X1196" s="410"/>
      <c r="Y1196" s="410"/>
      <c r="Z1196" s="410"/>
      <c r="AA1196" s="410"/>
      <c r="AB1196" s="410"/>
      <c r="AC1196" s="410"/>
      <c r="AD1196" s="410"/>
      <c r="AE1196" s="410"/>
      <c r="AF1196" s="410"/>
      <c r="AG1196" s="410"/>
      <c r="AH1196" s="410"/>
      <c r="AI1196" s="410"/>
      <c r="AJ1196" s="410"/>
      <c r="AK1196" s="410"/>
      <c r="AL1196" s="410"/>
      <c r="AM1196" s="410"/>
      <c r="AN1196" s="410"/>
      <c r="AO1196" s="410"/>
      <c r="AP1196" s="410"/>
      <c r="AQ1196" s="410"/>
      <c r="AR1196" s="410"/>
      <c r="AS1196" s="410"/>
      <c r="AT1196" s="410"/>
      <c r="AU1196" s="410"/>
      <c r="AV1196" s="410"/>
      <c r="AW1196" s="410" t="str">
        <f t="shared" ref="AW1196:FG1196" si="5559">AW1195/AR1195-1</f>
        <v>#NAME?</v>
      </c>
      <c r="AX1196" s="410" t="str">
        <f t="shared" si="5559"/>
        <v>#NAME?</v>
      </c>
      <c r="AY1196" s="410" t="str">
        <f t="shared" si="5559"/>
        <v>#NAME?</v>
      </c>
      <c r="AZ1196" s="410" t="str">
        <f t="shared" si="5559"/>
        <v>#NAME?</v>
      </c>
      <c r="BA1196" s="410" t="str">
        <f t="shared" si="5559"/>
        <v>#NAME?</v>
      </c>
      <c r="BB1196" s="410" t="str">
        <f t="shared" si="5559"/>
        <v>#NAME?</v>
      </c>
      <c r="BC1196" s="410" t="str">
        <f t="shared" si="5559"/>
        <v>#NAME?</v>
      </c>
      <c r="BD1196" s="410" t="str">
        <f t="shared" si="5559"/>
        <v>#NAME?</v>
      </c>
      <c r="BE1196" s="410" t="str">
        <f t="shared" si="5559"/>
        <v>#NAME?</v>
      </c>
      <c r="BF1196" s="410" t="str">
        <f t="shared" si="5559"/>
        <v>#NAME?</v>
      </c>
      <c r="BG1196" s="410" t="str">
        <f t="shared" si="5559"/>
        <v>#NAME?</v>
      </c>
      <c r="BH1196" s="410" t="str">
        <f t="shared" si="5559"/>
        <v>#NAME?</v>
      </c>
      <c r="BI1196" s="410" t="str">
        <f t="shared" si="5559"/>
        <v>#NAME?</v>
      </c>
      <c r="BJ1196" s="410" t="str">
        <f t="shared" si="5559"/>
        <v>#NAME?</v>
      </c>
      <c r="BK1196" s="410" t="str">
        <f t="shared" si="5559"/>
        <v>#NAME?</v>
      </c>
      <c r="BL1196" s="410" t="str">
        <f t="shared" si="5559"/>
        <v>#NAME?</v>
      </c>
      <c r="BM1196" s="410" t="str">
        <f t="shared" si="5559"/>
        <v>#NAME?</v>
      </c>
      <c r="BN1196" s="410" t="str">
        <f t="shared" si="5559"/>
        <v>#NAME?</v>
      </c>
      <c r="BO1196" s="410" t="str">
        <f t="shared" si="5559"/>
        <v>#NAME?</v>
      </c>
      <c r="BP1196" s="410" t="str">
        <f t="shared" si="5559"/>
        <v>#NAME?</v>
      </c>
      <c r="BQ1196" s="410" t="str">
        <f t="shared" si="5559"/>
        <v>#NAME?</v>
      </c>
      <c r="BR1196" s="410" t="str">
        <f t="shared" si="5559"/>
        <v>#NAME?</v>
      </c>
      <c r="BS1196" s="410" t="str">
        <f t="shared" si="5559"/>
        <v>#NAME?</v>
      </c>
      <c r="BT1196" s="410" t="str">
        <f t="shared" si="5559"/>
        <v>#NAME?</v>
      </c>
      <c r="BU1196" s="410" t="str">
        <f t="shared" si="5559"/>
        <v>#NAME?</v>
      </c>
      <c r="BV1196" s="410" t="str">
        <f t="shared" si="5559"/>
        <v>#NAME?</v>
      </c>
      <c r="BW1196" s="410" t="str">
        <f t="shared" si="5559"/>
        <v>#NAME?</v>
      </c>
      <c r="BX1196" s="410" t="str">
        <f t="shared" si="5559"/>
        <v>#NAME?</v>
      </c>
      <c r="BY1196" s="410" t="str">
        <f t="shared" si="5559"/>
        <v>#NAME?</v>
      </c>
      <c r="BZ1196" s="24" t="str">
        <f t="shared" si="5559"/>
        <v>#NAME?</v>
      </c>
      <c r="CA1196" s="410" t="str">
        <f t="shared" si="5559"/>
        <v>#NAME?</v>
      </c>
      <c r="CB1196" s="410" t="str">
        <f t="shared" si="5559"/>
        <v>#NAME?</v>
      </c>
      <c r="CC1196" s="410" t="str">
        <f t="shared" si="5559"/>
        <v>#NAME?</v>
      </c>
      <c r="CD1196" s="410" t="str">
        <f t="shared" si="5559"/>
        <v>#NAME?</v>
      </c>
      <c r="CE1196" s="24" t="str">
        <f t="shared" si="5559"/>
        <v>#NAME?</v>
      </c>
      <c r="CF1196" s="410" t="str">
        <f t="shared" si="5559"/>
        <v>#NAME?</v>
      </c>
      <c r="CG1196" s="410" t="str">
        <f t="shared" si="5559"/>
        <v>#NAME?</v>
      </c>
      <c r="CH1196" s="410" t="str">
        <f t="shared" si="5559"/>
        <v>#NAME?</v>
      </c>
      <c r="CI1196" s="410" t="str">
        <f t="shared" si="5559"/>
        <v>#NAME?</v>
      </c>
      <c r="CJ1196" s="24" t="str">
        <f t="shared" si="5559"/>
        <v>#NAME?</v>
      </c>
      <c r="CK1196" s="410" t="str">
        <f t="shared" si="5559"/>
        <v>#NAME?</v>
      </c>
      <c r="CL1196" s="410" t="str">
        <f t="shared" si="5559"/>
        <v>#NAME?</v>
      </c>
      <c r="CM1196" s="410" t="str">
        <f t="shared" si="5559"/>
        <v>#NAME?</v>
      </c>
      <c r="CN1196" s="104" t="str">
        <f t="shared" si="5559"/>
        <v>#NAME?</v>
      </c>
      <c r="CO1196" s="24" t="str">
        <f t="shared" si="5559"/>
        <v>#NAME?</v>
      </c>
      <c r="CP1196" s="104" t="str">
        <f t="shared" si="5559"/>
        <v>#NAME?</v>
      </c>
      <c r="CQ1196" s="410" t="str">
        <f t="shared" si="5559"/>
        <v>#NAME?</v>
      </c>
      <c r="CR1196" s="410" t="str">
        <f t="shared" si="5559"/>
        <v>#NAME?</v>
      </c>
      <c r="CS1196" s="410" t="str">
        <f t="shared" si="5559"/>
        <v>#NAME?</v>
      </c>
      <c r="CT1196" s="24" t="str">
        <f t="shared" si="5559"/>
        <v>#NAME?</v>
      </c>
      <c r="CU1196" s="410" t="str">
        <f t="shared" si="5559"/>
        <v>#NAME?</v>
      </c>
      <c r="CV1196" s="410" t="str">
        <f t="shared" si="5559"/>
        <v>#NAME?</v>
      </c>
      <c r="CW1196" s="410" t="str">
        <f t="shared" si="5559"/>
        <v>#NAME?</v>
      </c>
      <c r="CX1196" s="410" t="str">
        <f t="shared" si="5559"/>
        <v>#NAME?</v>
      </c>
      <c r="CY1196" s="24" t="str">
        <f t="shared" si="5559"/>
        <v>#NAME?</v>
      </c>
      <c r="CZ1196" s="410" t="str">
        <f t="shared" si="5559"/>
        <v>#NAME?</v>
      </c>
      <c r="DA1196" s="410" t="str">
        <f t="shared" si="5559"/>
        <v>#NAME?</v>
      </c>
      <c r="DB1196" s="410" t="str">
        <f t="shared" si="5559"/>
        <v>#NAME?</v>
      </c>
      <c r="DC1196" s="410" t="str">
        <f t="shared" si="5559"/>
        <v>#NAME?</v>
      </c>
      <c r="DD1196" s="24" t="str">
        <f t="shared" si="5559"/>
        <v>#NAME?</v>
      </c>
      <c r="DE1196" s="410" t="str">
        <f t="shared" si="5559"/>
        <v>#NAME?</v>
      </c>
      <c r="DF1196" s="410" t="str">
        <f t="shared" si="5559"/>
        <v>#NAME?</v>
      </c>
      <c r="DG1196" s="104" t="str">
        <f t="shared" si="5559"/>
        <v>#NAME?</v>
      </c>
      <c r="DH1196" s="410" t="str">
        <f t="shared" si="5559"/>
        <v>#NAME?</v>
      </c>
      <c r="DI1196" s="24" t="str">
        <f t="shared" si="5559"/>
        <v>#NAME?</v>
      </c>
      <c r="DJ1196" s="104" t="str">
        <f t="shared" si="5559"/>
        <v>#NAME?</v>
      </c>
      <c r="DK1196" s="104" t="str">
        <f t="shared" si="5559"/>
        <v>#NAME?</v>
      </c>
      <c r="DL1196" s="104" t="str">
        <f t="shared" si="5559"/>
        <v>#NAME?</v>
      </c>
      <c r="DM1196" s="410" t="str">
        <f t="shared" si="5559"/>
        <v>#NAME?</v>
      </c>
      <c r="DN1196" s="24" t="str">
        <f t="shared" si="5559"/>
        <v>#NAME?</v>
      </c>
      <c r="DO1196" s="410" t="str">
        <f t="shared" si="5559"/>
        <v>#NAME?</v>
      </c>
      <c r="DP1196" s="410" t="str">
        <f t="shared" si="5559"/>
        <v>#NAME?</v>
      </c>
      <c r="DQ1196" s="410" t="str">
        <f t="shared" si="5559"/>
        <v>#NAME?</v>
      </c>
      <c r="DR1196" s="410" t="str">
        <f t="shared" si="5559"/>
        <v>#NAME?</v>
      </c>
      <c r="DS1196" s="24" t="str">
        <f t="shared" si="5559"/>
        <v>#NAME?</v>
      </c>
      <c r="DT1196" s="410" t="str">
        <f t="shared" si="5559"/>
        <v>#NAME?</v>
      </c>
      <c r="DU1196" s="410" t="str">
        <f t="shared" si="5559"/>
        <v>#NAME?</v>
      </c>
      <c r="DV1196" s="410" t="str">
        <f t="shared" si="5559"/>
        <v>#NAME?</v>
      </c>
      <c r="DW1196" s="410" t="str">
        <f t="shared" si="5559"/>
        <v>#NAME?</v>
      </c>
      <c r="DX1196" s="24" t="str">
        <f t="shared" si="5559"/>
        <v>#NAME?</v>
      </c>
      <c r="DY1196" s="410" t="str">
        <f t="shared" si="5559"/>
        <v>#NAME?</v>
      </c>
      <c r="DZ1196" s="410" t="str">
        <f t="shared" si="5559"/>
        <v>#NAME?</v>
      </c>
      <c r="EA1196" s="410" t="str">
        <f t="shared" si="5559"/>
        <v>#NAME?</v>
      </c>
      <c r="EB1196" s="410" t="str">
        <f t="shared" si="5559"/>
        <v>#NAME?</v>
      </c>
      <c r="EC1196" s="24" t="str">
        <f t="shared" si="5559"/>
        <v>#NAME?</v>
      </c>
      <c r="ED1196" s="410" t="str">
        <f t="shared" si="5559"/>
        <v>#NAME?</v>
      </c>
      <c r="EE1196" s="410" t="str">
        <f t="shared" si="5559"/>
        <v>#NAME?</v>
      </c>
      <c r="EF1196" s="410" t="str">
        <f t="shared" si="5559"/>
        <v>#NAME?</v>
      </c>
      <c r="EG1196" s="410" t="str">
        <f t="shared" si="5559"/>
        <v>#NAME?</v>
      </c>
      <c r="EH1196" s="24" t="str">
        <f t="shared" si="5559"/>
        <v>#NAME?</v>
      </c>
      <c r="EI1196" s="317" t="str">
        <f t="shared" si="5559"/>
        <v>#NAME?</v>
      </c>
      <c r="EJ1196" s="410" t="str">
        <f t="shared" si="5559"/>
        <v>#NAME?</v>
      </c>
      <c r="EK1196" s="410" t="str">
        <f t="shared" si="5559"/>
        <v>#NAME?</v>
      </c>
      <c r="EL1196" s="410" t="str">
        <f t="shared" si="5559"/>
        <v>#NAME?</v>
      </c>
      <c r="EM1196" s="24" t="str">
        <f t="shared" si="5559"/>
        <v>#NAME?</v>
      </c>
      <c r="EN1196" s="410" t="str">
        <f t="shared" si="5559"/>
        <v>#NAME?</v>
      </c>
      <c r="EO1196" s="410" t="str">
        <f t="shared" si="5559"/>
        <v>#NAME?</v>
      </c>
      <c r="EP1196" s="410" t="str">
        <f t="shared" si="5559"/>
        <v>#NAME?</v>
      </c>
      <c r="EQ1196" s="410" t="str">
        <f t="shared" si="5559"/>
        <v>#NAME?</v>
      </c>
      <c r="ER1196" s="24" t="str">
        <f t="shared" si="5559"/>
        <v>#NAME?</v>
      </c>
      <c r="ES1196" s="410" t="str">
        <f t="shared" si="5559"/>
        <v>#NAME?</v>
      </c>
      <c r="ET1196" s="410" t="str">
        <f t="shared" si="5559"/>
        <v>#NAME?</v>
      </c>
      <c r="EU1196" s="410" t="str">
        <f t="shared" si="5559"/>
        <v>#NAME?</v>
      </c>
      <c r="EV1196" s="410" t="str">
        <f t="shared" si="5559"/>
        <v>#NAME?</v>
      </c>
      <c r="EW1196" s="24" t="str">
        <f t="shared" si="5559"/>
        <v>#NAME?</v>
      </c>
      <c r="EX1196" s="410" t="str">
        <f t="shared" si="5559"/>
        <v>#NAME?</v>
      </c>
      <c r="EY1196" s="410" t="str">
        <f t="shared" si="5559"/>
        <v>#NAME?</v>
      </c>
      <c r="EZ1196" s="410" t="str">
        <f t="shared" si="5559"/>
        <v>#NAME?</v>
      </c>
      <c r="FA1196" s="410" t="str">
        <f t="shared" si="5559"/>
        <v>#NAME?</v>
      </c>
      <c r="FB1196" s="24" t="str">
        <f t="shared" si="5559"/>
        <v>#NAME?</v>
      </c>
      <c r="FC1196" s="410" t="str">
        <f t="shared" si="5559"/>
        <v>#NAME?</v>
      </c>
      <c r="FD1196" s="410" t="str">
        <f t="shared" si="5559"/>
        <v>#NAME?</v>
      </c>
      <c r="FE1196" s="410" t="str">
        <f t="shared" si="5559"/>
        <v>#NAME?</v>
      </c>
      <c r="FF1196" s="410" t="str">
        <f t="shared" si="5559"/>
        <v>#NAME?</v>
      </c>
      <c r="FG1196" s="24" t="str">
        <f t="shared" si="5559"/>
        <v>#NAME?</v>
      </c>
      <c r="FH1196" s="104"/>
      <c r="FI1196" s="410"/>
      <c r="FJ1196" s="410"/>
      <c r="FK1196" s="410"/>
      <c r="FL1196" s="410"/>
    </row>
    <row r="1197" ht="12.75" hidden="1" customHeight="1" outlineLevel="1">
      <c r="A1197" s="4"/>
      <c r="B1197" s="45" t="s">
        <v>455</v>
      </c>
      <c r="C1197" s="4"/>
      <c r="D1197" s="4"/>
      <c r="E1197" s="4"/>
      <c r="F1197" s="4"/>
      <c r="G1197" s="4"/>
      <c r="H1197" s="45"/>
      <c r="I1197" s="4"/>
      <c r="J1197" s="4"/>
      <c r="K1197" s="4"/>
      <c r="L1197" s="4"/>
      <c r="M1197" s="45"/>
      <c r="N1197" s="4"/>
      <c r="O1197" s="4"/>
      <c r="P1197" s="4"/>
      <c r="Q1197" s="4"/>
      <c r="R1197" s="45"/>
      <c r="S1197" s="4"/>
      <c r="T1197" s="4"/>
      <c r="U1197" s="4"/>
      <c r="V1197" s="4"/>
      <c r="W1197" s="45"/>
      <c r="X1197" s="4"/>
      <c r="Y1197" s="4"/>
      <c r="Z1197" s="4"/>
      <c r="AA1197" s="4"/>
      <c r="AB1197" s="45"/>
      <c r="AC1197" s="4"/>
      <c r="AD1197" s="4"/>
      <c r="AE1197" s="4"/>
      <c r="AF1197" s="4"/>
      <c r="AG1197" s="45"/>
      <c r="AH1197" s="4"/>
      <c r="AI1197" s="4"/>
      <c r="AJ1197" s="4"/>
      <c r="AK1197" s="4"/>
      <c r="AL1197" s="45"/>
      <c r="AM1197" s="4"/>
      <c r="AN1197" s="4"/>
      <c r="AO1197" s="4"/>
      <c r="AP1197" s="4"/>
      <c r="AQ1197" s="45"/>
      <c r="AR1197" s="4"/>
      <c r="AS1197" s="4"/>
      <c r="AT1197" s="4"/>
      <c r="AU1197" s="4"/>
      <c r="AV1197" s="45"/>
      <c r="AW1197" s="4"/>
      <c r="AX1197" s="4"/>
      <c r="AY1197" s="4"/>
      <c r="AZ1197" s="4"/>
      <c r="BA1197" s="45"/>
      <c r="BB1197" s="4"/>
      <c r="BC1197" s="4"/>
      <c r="BD1197" s="4"/>
      <c r="BE1197" s="4"/>
      <c r="BF1197" s="45"/>
      <c r="BG1197" s="4"/>
      <c r="BH1197" s="4"/>
      <c r="BI1197" s="4"/>
      <c r="BJ1197" s="4"/>
      <c r="BK1197" s="45"/>
      <c r="BL1197" s="4"/>
      <c r="BM1197" s="4"/>
      <c r="BN1197" s="4"/>
      <c r="BO1197" s="4"/>
      <c r="BP1197" s="45"/>
      <c r="BQ1197" s="4"/>
      <c r="BR1197" s="4"/>
      <c r="BS1197" s="4"/>
      <c r="BT1197" s="4"/>
      <c r="BU1197" s="45"/>
      <c r="BV1197" s="4"/>
      <c r="BW1197" s="4"/>
      <c r="BX1197" s="4"/>
      <c r="BY1197" s="4"/>
      <c r="BZ1197" s="350"/>
      <c r="CA1197" s="4"/>
      <c r="CB1197" s="4"/>
      <c r="CC1197" s="4"/>
      <c r="CD1197" s="4"/>
      <c r="CE1197" s="350"/>
      <c r="CF1197" s="4"/>
      <c r="CG1197" s="4"/>
      <c r="CH1197" s="4"/>
      <c r="CI1197" s="4"/>
      <c r="CJ1197" s="350"/>
      <c r="CK1197" s="4"/>
      <c r="CL1197" s="4"/>
      <c r="CM1197" s="4"/>
      <c r="CN1197" s="16"/>
      <c r="CO1197" s="350"/>
      <c r="CP1197" s="16"/>
      <c r="CQ1197" s="4"/>
      <c r="CR1197" s="4"/>
      <c r="CS1197" s="4"/>
      <c r="CT1197" s="350"/>
      <c r="CU1197" s="4"/>
      <c r="CV1197" s="4"/>
      <c r="CW1197" s="4"/>
      <c r="CX1197" s="4"/>
      <c r="CY1197" s="350"/>
      <c r="CZ1197" s="4"/>
      <c r="DA1197" s="4"/>
      <c r="DB1197" s="4"/>
      <c r="DC1197" s="4"/>
      <c r="DD1197" s="350"/>
      <c r="DE1197" s="4"/>
      <c r="DF1197" s="4"/>
      <c r="DG1197" s="16"/>
      <c r="DH1197" s="4"/>
      <c r="DI1197" s="350"/>
      <c r="DJ1197" s="16"/>
      <c r="DK1197" s="16"/>
      <c r="DL1197" s="16"/>
      <c r="DM1197" s="4"/>
      <c r="DN1197" s="350"/>
      <c r="DO1197" s="4"/>
      <c r="DP1197" s="4"/>
      <c r="DQ1197" s="4"/>
      <c r="DR1197" s="4"/>
      <c r="DS1197" s="350"/>
      <c r="DT1197" s="4"/>
      <c r="DU1197" s="4"/>
      <c r="DV1197" s="4"/>
      <c r="DW1197" s="4"/>
      <c r="DX1197" s="350"/>
      <c r="DY1197" s="4"/>
      <c r="DZ1197" s="4"/>
      <c r="EA1197" s="4"/>
      <c r="EB1197" s="4"/>
      <c r="EC1197" s="350"/>
      <c r="ED1197" s="4"/>
      <c r="EE1197" s="4"/>
      <c r="EF1197" s="4"/>
      <c r="EG1197" s="4"/>
      <c r="EH1197" s="350"/>
      <c r="EI1197" s="214"/>
      <c r="EJ1197" s="4"/>
      <c r="EK1197" s="4"/>
      <c r="EL1197" s="4"/>
      <c r="EM1197" s="350"/>
      <c r="EN1197" s="4"/>
      <c r="EO1197" s="4"/>
      <c r="EP1197" s="4"/>
      <c r="EQ1197" s="4"/>
      <c r="ER1197" s="350"/>
      <c r="ES1197" s="4"/>
      <c r="ET1197" s="4"/>
      <c r="EU1197" s="4"/>
      <c r="EV1197" s="4"/>
      <c r="EW1197" s="350"/>
      <c r="EX1197" s="4"/>
      <c r="EY1197" s="4"/>
      <c r="EZ1197" s="4"/>
      <c r="FA1197" s="4"/>
      <c r="FB1197" s="350"/>
      <c r="FC1197" s="4"/>
      <c r="FD1197" s="4"/>
      <c r="FE1197" s="4"/>
      <c r="FF1197" s="4"/>
      <c r="FG1197" s="350"/>
      <c r="FH1197" s="145"/>
      <c r="FI1197" s="4"/>
      <c r="FJ1197" s="4"/>
      <c r="FK1197" s="45"/>
      <c r="FL1197" s="4"/>
    </row>
    <row r="1198" ht="12.75" hidden="1" customHeight="1" outlineLevel="1">
      <c r="A1198" s="4"/>
      <c r="B1198" s="4" t="s">
        <v>456</v>
      </c>
      <c r="C1198" s="4"/>
      <c r="D1198" s="15"/>
      <c r="E1198" s="15"/>
      <c r="F1198" s="15"/>
      <c r="G1198" s="15"/>
      <c r="H1198" s="410"/>
      <c r="I1198" s="15"/>
      <c r="J1198" s="15"/>
      <c r="K1198" s="15"/>
      <c r="L1198" s="15"/>
      <c r="M1198" s="410"/>
      <c r="N1198" s="15"/>
      <c r="O1198" s="15"/>
      <c r="P1198" s="15"/>
      <c r="Q1198" s="15"/>
      <c r="R1198" s="410"/>
      <c r="S1198" s="15"/>
      <c r="T1198" s="15"/>
      <c r="U1198" s="15"/>
      <c r="V1198" s="15"/>
      <c r="W1198" s="410"/>
      <c r="X1198" s="15"/>
      <c r="Y1198" s="15"/>
      <c r="Z1198" s="15"/>
      <c r="AA1198" s="15"/>
      <c r="AB1198" s="410"/>
      <c r="AC1198" s="15"/>
      <c r="AD1198" s="15"/>
      <c r="AE1198" s="15"/>
      <c r="AF1198" s="15"/>
      <c r="AG1198" s="410"/>
      <c r="AH1198" s="15"/>
      <c r="AI1198" s="15"/>
      <c r="AJ1198" s="15"/>
      <c r="AK1198" s="15"/>
      <c r="AL1198" s="410"/>
      <c r="AM1198" s="15"/>
      <c r="AN1198" s="15"/>
      <c r="AO1198" s="15"/>
      <c r="AP1198" s="15"/>
      <c r="AQ1198" s="410"/>
      <c r="AR1198" s="15" t="str">
        <f t="shared" ref="AR1198:FG1198" si="5560">AR1193/AR1195</f>
        <v>#NAME?</v>
      </c>
      <c r="AS1198" s="15" t="str">
        <f t="shared" si="5560"/>
        <v>#NAME?</v>
      </c>
      <c r="AT1198" s="15" t="str">
        <f t="shared" si="5560"/>
        <v>#NAME?</v>
      </c>
      <c r="AU1198" s="15" t="str">
        <f t="shared" si="5560"/>
        <v>#NAME?</v>
      </c>
      <c r="AV1198" s="410" t="str">
        <f t="shared" si="5560"/>
        <v>#NAME?</v>
      </c>
      <c r="AW1198" s="15" t="str">
        <f t="shared" si="5560"/>
        <v>#NAME?</v>
      </c>
      <c r="AX1198" s="15" t="str">
        <f t="shared" si="5560"/>
        <v>#NAME?</v>
      </c>
      <c r="AY1198" s="15" t="str">
        <f t="shared" si="5560"/>
        <v>#NAME?</v>
      </c>
      <c r="AZ1198" s="15" t="str">
        <f t="shared" si="5560"/>
        <v>#NAME?</v>
      </c>
      <c r="BA1198" s="410" t="str">
        <f t="shared" si="5560"/>
        <v>#NAME?</v>
      </c>
      <c r="BB1198" s="15" t="str">
        <f t="shared" si="5560"/>
        <v>#NAME?</v>
      </c>
      <c r="BC1198" s="15" t="str">
        <f t="shared" si="5560"/>
        <v>#NAME?</v>
      </c>
      <c r="BD1198" s="15" t="str">
        <f t="shared" si="5560"/>
        <v>#NAME?</v>
      </c>
      <c r="BE1198" s="15" t="str">
        <f t="shared" si="5560"/>
        <v>#NAME?</v>
      </c>
      <c r="BF1198" s="410" t="str">
        <f t="shared" si="5560"/>
        <v>#NAME?</v>
      </c>
      <c r="BG1198" s="15" t="str">
        <f t="shared" si="5560"/>
        <v>#NAME?</v>
      </c>
      <c r="BH1198" s="15" t="str">
        <f t="shared" si="5560"/>
        <v>#NAME?</v>
      </c>
      <c r="BI1198" s="15" t="str">
        <f t="shared" si="5560"/>
        <v>#NAME?</v>
      </c>
      <c r="BJ1198" s="15" t="str">
        <f t="shared" si="5560"/>
        <v>#NAME?</v>
      </c>
      <c r="BK1198" s="410" t="str">
        <f t="shared" si="5560"/>
        <v>#NAME?</v>
      </c>
      <c r="BL1198" s="15" t="str">
        <f t="shared" si="5560"/>
        <v>#NAME?</v>
      </c>
      <c r="BM1198" s="15" t="str">
        <f t="shared" si="5560"/>
        <v>#NAME?</v>
      </c>
      <c r="BN1198" s="15" t="str">
        <f t="shared" si="5560"/>
        <v>#NAME?</v>
      </c>
      <c r="BO1198" s="15" t="str">
        <f t="shared" si="5560"/>
        <v>#NAME?</v>
      </c>
      <c r="BP1198" s="410" t="str">
        <f t="shared" si="5560"/>
        <v>#NAME?</v>
      </c>
      <c r="BQ1198" s="15" t="str">
        <f t="shared" si="5560"/>
        <v>#NAME?</v>
      </c>
      <c r="BR1198" s="15" t="str">
        <f t="shared" si="5560"/>
        <v>#NAME?</v>
      </c>
      <c r="BS1198" s="15" t="str">
        <f t="shared" si="5560"/>
        <v>#NAME?</v>
      </c>
      <c r="BT1198" s="15" t="str">
        <f t="shared" si="5560"/>
        <v>#NAME?</v>
      </c>
      <c r="BU1198" s="410" t="str">
        <f t="shared" si="5560"/>
        <v>#NAME?</v>
      </c>
      <c r="BV1198" s="15" t="str">
        <f t="shared" si="5560"/>
        <v>#NAME?</v>
      </c>
      <c r="BW1198" s="15" t="str">
        <f t="shared" si="5560"/>
        <v>#NAME?</v>
      </c>
      <c r="BX1198" s="15" t="str">
        <f t="shared" si="5560"/>
        <v>#NAME?</v>
      </c>
      <c r="BY1198" s="15" t="str">
        <f t="shared" si="5560"/>
        <v>#NAME?</v>
      </c>
      <c r="BZ1198" s="24" t="str">
        <f t="shared" si="5560"/>
        <v>#NAME?</v>
      </c>
      <c r="CA1198" s="15" t="str">
        <f t="shared" si="5560"/>
        <v>#NAME?</v>
      </c>
      <c r="CB1198" s="15" t="str">
        <f t="shared" si="5560"/>
        <v>#NAME?</v>
      </c>
      <c r="CC1198" s="15" t="str">
        <f t="shared" si="5560"/>
        <v>#NAME?</v>
      </c>
      <c r="CD1198" s="15" t="str">
        <f t="shared" si="5560"/>
        <v>#NAME?</v>
      </c>
      <c r="CE1198" s="24" t="str">
        <f t="shared" si="5560"/>
        <v>#NAME?</v>
      </c>
      <c r="CF1198" s="15" t="str">
        <f t="shared" si="5560"/>
        <v>#NAME?</v>
      </c>
      <c r="CG1198" s="15" t="str">
        <f t="shared" si="5560"/>
        <v>#NAME?</v>
      </c>
      <c r="CH1198" s="15" t="str">
        <f t="shared" si="5560"/>
        <v>#NAME?</v>
      </c>
      <c r="CI1198" s="15" t="str">
        <f t="shared" si="5560"/>
        <v>#NAME?</v>
      </c>
      <c r="CJ1198" s="24" t="str">
        <f t="shared" si="5560"/>
        <v>#NAME?</v>
      </c>
      <c r="CK1198" s="15" t="str">
        <f t="shared" si="5560"/>
        <v>#NAME?</v>
      </c>
      <c r="CL1198" s="15" t="str">
        <f t="shared" si="5560"/>
        <v>#NAME?</v>
      </c>
      <c r="CM1198" s="15" t="str">
        <f t="shared" si="5560"/>
        <v>#NAME?</v>
      </c>
      <c r="CN1198" s="40" t="str">
        <f t="shared" si="5560"/>
        <v>#NAME?</v>
      </c>
      <c r="CO1198" s="24" t="str">
        <f t="shared" si="5560"/>
        <v>#NAME?</v>
      </c>
      <c r="CP1198" s="40" t="str">
        <f t="shared" si="5560"/>
        <v>#NAME?</v>
      </c>
      <c r="CQ1198" s="15" t="str">
        <f t="shared" si="5560"/>
        <v>#NAME?</v>
      </c>
      <c r="CR1198" s="15" t="str">
        <f t="shared" si="5560"/>
        <v>#NAME?</v>
      </c>
      <c r="CS1198" s="15" t="str">
        <f t="shared" si="5560"/>
        <v>#NAME?</v>
      </c>
      <c r="CT1198" s="24" t="str">
        <f t="shared" si="5560"/>
        <v>#NAME?</v>
      </c>
      <c r="CU1198" s="15" t="str">
        <f t="shared" si="5560"/>
        <v>#NAME?</v>
      </c>
      <c r="CV1198" s="15" t="str">
        <f t="shared" si="5560"/>
        <v>#NAME?</v>
      </c>
      <c r="CW1198" s="15" t="str">
        <f t="shared" si="5560"/>
        <v>#NAME?</v>
      </c>
      <c r="CX1198" s="15" t="str">
        <f t="shared" si="5560"/>
        <v>#NAME?</v>
      </c>
      <c r="CY1198" s="24" t="str">
        <f t="shared" si="5560"/>
        <v>#NAME?</v>
      </c>
      <c r="CZ1198" s="15" t="str">
        <f t="shared" si="5560"/>
        <v>#NAME?</v>
      </c>
      <c r="DA1198" s="15" t="str">
        <f t="shared" si="5560"/>
        <v>#NAME?</v>
      </c>
      <c r="DB1198" s="15" t="str">
        <f t="shared" si="5560"/>
        <v>#NAME?</v>
      </c>
      <c r="DC1198" s="15" t="str">
        <f t="shared" si="5560"/>
        <v>#NAME?</v>
      </c>
      <c r="DD1198" s="24" t="str">
        <f t="shared" si="5560"/>
        <v>#NAME?</v>
      </c>
      <c r="DE1198" s="15" t="str">
        <f t="shared" si="5560"/>
        <v>#NAME?</v>
      </c>
      <c r="DF1198" s="15" t="str">
        <f t="shared" si="5560"/>
        <v>#NAME?</v>
      </c>
      <c r="DG1198" s="40" t="str">
        <f t="shared" si="5560"/>
        <v>#NAME?</v>
      </c>
      <c r="DH1198" s="15" t="str">
        <f t="shared" si="5560"/>
        <v>#NAME?</v>
      </c>
      <c r="DI1198" s="24" t="str">
        <f t="shared" si="5560"/>
        <v>#NAME?</v>
      </c>
      <c r="DJ1198" s="40" t="str">
        <f t="shared" si="5560"/>
        <v>#NAME?</v>
      </c>
      <c r="DK1198" s="40" t="str">
        <f t="shared" si="5560"/>
        <v>#NAME?</v>
      </c>
      <c r="DL1198" s="40" t="str">
        <f t="shared" si="5560"/>
        <v>#NAME?</v>
      </c>
      <c r="DM1198" s="15" t="str">
        <f t="shared" si="5560"/>
        <v>#NAME?</v>
      </c>
      <c r="DN1198" s="24" t="str">
        <f t="shared" si="5560"/>
        <v>#NAME?</v>
      </c>
      <c r="DO1198" s="15" t="str">
        <f t="shared" si="5560"/>
        <v>#NAME?</v>
      </c>
      <c r="DP1198" s="15" t="str">
        <f t="shared" si="5560"/>
        <v>#NAME?</v>
      </c>
      <c r="DQ1198" s="15" t="str">
        <f t="shared" si="5560"/>
        <v>#NAME?</v>
      </c>
      <c r="DR1198" s="15" t="str">
        <f t="shared" si="5560"/>
        <v>#NAME?</v>
      </c>
      <c r="DS1198" s="24" t="str">
        <f t="shared" si="5560"/>
        <v>#NAME?</v>
      </c>
      <c r="DT1198" s="15" t="str">
        <f t="shared" si="5560"/>
        <v>#NAME?</v>
      </c>
      <c r="DU1198" s="15" t="str">
        <f t="shared" si="5560"/>
        <v>#NAME?</v>
      </c>
      <c r="DV1198" s="15" t="str">
        <f t="shared" si="5560"/>
        <v>#NAME?</v>
      </c>
      <c r="DW1198" s="15" t="str">
        <f t="shared" si="5560"/>
        <v>#NAME?</v>
      </c>
      <c r="DX1198" s="24" t="str">
        <f t="shared" si="5560"/>
        <v>#NAME?</v>
      </c>
      <c r="DY1198" s="15" t="str">
        <f t="shared" si="5560"/>
        <v>#NAME?</v>
      </c>
      <c r="DZ1198" s="15" t="str">
        <f t="shared" si="5560"/>
        <v>#NAME?</v>
      </c>
      <c r="EA1198" s="15" t="str">
        <f t="shared" si="5560"/>
        <v>#NAME?</v>
      </c>
      <c r="EB1198" s="15" t="str">
        <f t="shared" si="5560"/>
        <v>#NAME?</v>
      </c>
      <c r="EC1198" s="24" t="str">
        <f t="shared" si="5560"/>
        <v>#NAME?</v>
      </c>
      <c r="ED1198" s="15" t="str">
        <f t="shared" si="5560"/>
        <v>#NAME?</v>
      </c>
      <c r="EE1198" s="15" t="str">
        <f t="shared" si="5560"/>
        <v>#NAME?</v>
      </c>
      <c r="EF1198" s="15" t="str">
        <f t="shared" si="5560"/>
        <v>#NAME?</v>
      </c>
      <c r="EG1198" s="15" t="str">
        <f t="shared" si="5560"/>
        <v>#NAME?</v>
      </c>
      <c r="EH1198" s="24" t="str">
        <f t="shared" si="5560"/>
        <v>#NAME?</v>
      </c>
      <c r="EI1198" s="82" t="str">
        <f t="shared" si="5560"/>
        <v>#NAME?</v>
      </c>
      <c r="EJ1198" s="15" t="str">
        <f t="shared" si="5560"/>
        <v>#NAME?</v>
      </c>
      <c r="EK1198" s="15" t="str">
        <f t="shared" si="5560"/>
        <v>#NAME?</v>
      </c>
      <c r="EL1198" s="15" t="str">
        <f t="shared" si="5560"/>
        <v>#NAME?</v>
      </c>
      <c r="EM1198" s="24" t="str">
        <f t="shared" si="5560"/>
        <v>#NAME?</v>
      </c>
      <c r="EN1198" s="15" t="str">
        <f t="shared" si="5560"/>
        <v>#NAME?</v>
      </c>
      <c r="EO1198" s="15" t="str">
        <f t="shared" si="5560"/>
        <v>#NAME?</v>
      </c>
      <c r="EP1198" s="15" t="str">
        <f t="shared" si="5560"/>
        <v>#NAME?</v>
      </c>
      <c r="EQ1198" s="15" t="str">
        <f t="shared" si="5560"/>
        <v>#NAME?</v>
      </c>
      <c r="ER1198" s="24" t="str">
        <f t="shared" si="5560"/>
        <v>#NAME?</v>
      </c>
      <c r="ES1198" s="15" t="str">
        <f t="shared" si="5560"/>
        <v>#NAME?</v>
      </c>
      <c r="ET1198" s="15" t="str">
        <f t="shared" si="5560"/>
        <v>#NAME?</v>
      </c>
      <c r="EU1198" s="15" t="str">
        <f t="shared" si="5560"/>
        <v>#NAME?</v>
      </c>
      <c r="EV1198" s="15" t="str">
        <f t="shared" si="5560"/>
        <v>#NAME?</v>
      </c>
      <c r="EW1198" s="24" t="str">
        <f t="shared" si="5560"/>
        <v>#NAME?</v>
      </c>
      <c r="EX1198" s="15" t="str">
        <f t="shared" si="5560"/>
        <v>#NAME?</v>
      </c>
      <c r="EY1198" s="15" t="str">
        <f t="shared" si="5560"/>
        <v>#NAME?</v>
      </c>
      <c r="EZ1198" s="15" t="str">
        <f t="shared" si="5560"/>
        <v>#NAME?</v>
      </c>
      <c r="FA1198" s="15" t="str">
        <f t="shared" si="5560"/>
        <v>#NAME?</v>
      </c>
      <c r="FB1198" s="24" t="str">
        <f t="shared" si="5560"/>
        <v>#NAME?</v>
      </c>
      <c r="FC1198" s="15" t="str">
        <f t="shared" si="5560"/>
        <v>#NAME?</v>
      </c>
      <c r="FD1198" s="15" t="str">
        <f t="shared" si="5560"/>
        <v>#NAME?</v>
      </c>
      <c r="FE1198" s="15" t="str">
        <f t="shared" si="5560"/>
        <v>#NAME?</v>
      </c>
      <c r="FF1198" s="15" t="str">
        <f t="shared" si="5560"/>
        <v>#NAME?</v>
      </c>
      <c r="FG1198" s="24" t="str">
        <f t="shared" si="5560"/>
        <v>#NAME?</v>
      </c>
      <c r="FH1198" s="104"/>
      <c r="FI1198" s="15"/>
      <c r="FJ1198" s="15"/>
      <c r="FK1198" s="410"/>
      <c r="FL1198" s="15"/>
    </row>
    <row r="1199" ht="12.75" hidden="1" customHeight="1" outlineLevel="1">
      <c r="A1199" s="4"/>
      <c r="B1199" s="4" t="s">
        <v>457</v>
      </c>
      <c r="C1199" s="4"/>
      <c r="D1199" s="15"/>
      <c r="E1199" s="15"/>
      <c r="F1199" s="15"/>
      <c r="G1199" s="15"/>
      <c r="H1199" s="410"/>
      <c r="I1199" s="15"/>
      <c r="J1199" s="15"/>
      <c r="K1199" s="15"/>
      <c r="L1199" s="15"/>
      <c r="M1199" s="410"/>
      <c r="N1199" s="15"/>
      <c r="O1199" s="15"/>
      <c r="P1199" s="15"/>
      <c r="Q1199" s="15"/>
      <c r="R1199" s="410"/>
      <c r="S1199" s="15"/>
      <c r="T1199" s="15"/>
      <c r="U1199" s="15"/>
      <c r="V1199" s="15"/>
      <c r="W1199" s="410"/>
      <c r="X1199" s="15"/>
      <c r="Y1199" s="15"/>
      <c r="Z1199" s="15"/>
      <c r="AA1199" s="15"/>
      <c r="AB1199" s="410"/>
      <c r="AC1199" s="15"/>
      <c r="AD1199" s="15"/>
      <c r="AE1199" s="15"/>
      <c r="AF1199" s="15"/>
      <c r="AG1199" s="410"/>
      <c r="AH1199" s="15"/>
      <c r="AI1199" s="15"/>
      <c r="AJ1199" s="15"/>
      <c r="AK1199" s="15"/>
      <c r="AL1199" s="410"/>
      <c r="AM1199" s="15"/>
      <c r="AN1199" s="15"/>
      <c r="AO1199" s="15"/>
      <c r="AP1199" s="15"/>
      <c r="AQ1199" s="410"/>
      <c r="AR1199" s="15" t="str">
        <f t="shared" ref="AR1199:FG1199" si="5561">AR1194/AR1195</f>
        <v>#REF!</v>
      </c>
      <c r="AS1199" s="15" t="str">
        <f t="shared" si="5561"/>
        <v>#REF!</v>
      </c>
      <c r="AT1199" s="15" t="str">
        <f t="shared" si="5561"/>
        <v>#REF!</v>
      </c>
      <c r="AU1199" s="15" t="str">
        <f t="shared" si="5561"/>
        <v>#REF!</v>
      </c>
      <c r="AV1199" s="410" t="str">
        <f t="shared" si="5561"/>
        <v>#REF!</v>
      </c>
      <c r="AW1199" s="15" t="str">
        <f t="shared" si="5561"/>
        <v>#REF!</v>
      </c>
      <c r="AX1199" s="15" t="str">
        <f t="shared" si="5561"/>
        <v>#REF!</v>
      </c>
      <c r="AY1199" s="15" t="str">
        <f t="shared" si="5561"/>
        <v>#REF!</v>
      </c>
      <c r="AZ1199" s="15" t="str">
        <f t="shared" si="5561"/>
        <v>#REF!</v>
      </c>
      <c r="BA1199" s="410" t="str">
        <f t="shared" si="5561"/>
        <v>#REF!</v>
      </c>
      <c r="BB1199" s="15" t="str">
        <f t="shared" si="5561"/>
        <v>#REF!</v>
      </c>
      <c r="BC1199" s="15" t="str">
        <f t="shared" si="5561"/>
        <v>#REF!</v>
      </c>
      <c r="BD1199" s="15" t="str">
        <f t="shared" si="5561"/>
        <v>#REF!</v>
      </c>
      <c r="BE1199" s="15" t="str">
        <f t="shared" si="5561"/>
        <v>#REF!</v>
      </c>
      <c r="BF1199" s="410" t="str">
        <f t="shared" si="5561"/>
        <v>#REF!</v>
      </c>
      <c r="BG1199" s="15" t="str">
        <f t="shared" si="5561"/>
        <v>#REF!</v>
      </c>
      <c r="BH1199" s="15" t="str">
        <f t="shared" si="5561"/>
        <v>#REF!</v>
      </c>
      <c r="BI1199" s="15" t="str">
        <f t="shared" si="5561"/>
        <v>#REF!</v>
      </c>
      <c r="BJ1199" s="15" t="str">
        <f t="shared" si="5561"/>
        <v>#REF!</v>
      </c>
      <c r="BK1199" s="410" t="str">
        <f t="shared" si="5561"/>
        <v>#REF!</v>
      </c>
      <c r="BL1199" s="15" t="str">
        <f t="shared" si="5561"/>
        <v>#REF!</v>
      </c>
      <c r="BM1199" s="15" t="str">
        <f t="shared" si="5561"/>
        <v>#REF!</v>
      </c>
      <c r="BN1199" s="15" t="str">
        <f t="shared" si="5561"/>
        <v>#REF!</v>
      </c>
      <c r="BO1199" s="15" t="str">
        <f t="shared" si="5561"/>
        <v>#REF!</v>
      </c>
      <c r="BP1199" s="410" t="str">
        <f t="shared" si="5561"/>
        <v>#REF!</v>
      </c>
      <c r="BQ1199" s="15" t="str">
        <f t="shared" si="5561"/>
        <v>#REF!</v>
      </c>
      <c r="BR1199" s="15" t="str">
        <f t="shared" si="5561"/>
        <v>#REF!</v>
      </c>
      <c r="BS1199" s="15" t="str">
        <f t="shared" si="5561"/>
        <v>#REF!</v>
      </c>
      <c r="BT1199" s="15" t="str">
        <f t="shared" si="5561"/>
        <v>#REF!</v>
      </c>
      <c r="BU1199" s="410" t="str">
        <f t="shared" si="5561"/>
        <v>#REF!</v>
      </c>
      <c r="BV1199" s="15" t="str">
        <f t="shared" si="5561"/>
        <v>#REF!</v>
      </c>
      <c r="BW1199" s="15" t="str">
        <f t="shared" si="5561"/>
        <v>#REF!</v>
      </c>
      <c r="BX1199" s="15" t="str">
        <f t="shared" si="5561"/>
        <v>#REF!</v>
      </c>
      <c r="BY1199" s="15" t="str">
        <f t="shared" si="5561"/>
        <v>#REF!</v>
      </c>
      <c r="BZ1199" s="24" t="str">
        <f t="shared" si="5561"/>
        <v>#REF!</v>
      </c>
      <c r="CA1199" s="15" t="str">
        <f t="shared" si="5561"/>
        <v>#REF!</v>
      </c>
      <c r="CB1199" s="15" t="str">
        <f t="shared" si="5561"/>
        <v>#REF!</v>
      </c>
      <c r="CC1199" s="15" t="str">
        <f t="shared" si="5561"/>
        <v>#REF!</v>
      </c>
      <c r="CD1199" s="15" t="str">
        <f t="shared" si="5561"/>
        <v>#REF!</v>
      </c>
      <c r="CE1199" s="24" t="str">
        <f t="shared" si="5561"/>
        <v>#REF!</v>
      </c>
      <c r="CF1199" s="15" t="str">
        <f t="shared" si="5561"/>
        <v>#REF!</v>
      </c>
      <c r="CG1199" s="15" t="str">
        <f t="shared" si="5561"/>
        <v>#REF!</v>
      </c>
      <c r="CH1199" s="15" t="str">
        <f t="shared" si="5561"/>
        <v>#REF!</v>
      </c>
      <c r="CI1199" s="15" t="str">
        <f t="shared" si="5561"/>
        <v>#REF!</v>
      </c>
      <c r="CJ1199" s="24" t="str">
        <f t="shared" si="5561"/>
        <v>#REF!</v>
      </c>
      <c r="CK1199" s="15" t="str">
        <f t="shared" si="5561"/>
        <v>#REF!</v>
      </c>
      <c r="CL1199" s="15" t="str">
        <f t="shared" si="5561"/>
        <v>#REF!</v>
      </c>
      <c r="CM1199" s="15" t="str">
        <f t="shared" si="5561"/>
        <v>#REF!</v>
      </c>
      <c r="CN1199" s="40" t="str">
        <f t="shared" si="5561"/>
        <v>#REF!</v>
      </c>
      <c r="CO1199" s="24" t="str">
        <f t="shared" si="5561"/>
        <v>#REF!</v>
      </c>
      <c r="CP1199" s="40" t="str">
        <f t="shared" si="5561"/>
        <v>#REF!</v>
      </c>
      <c r="CQ1199" s="15" t="str">
        <f t="shared" si="5561"/>
        <v>#REF!</v>
      </c>
      <c r="CR1199" s="15" t="str">
        <f t="shared" si="5561"/>
        <v>#REF!</v>
      </c>
      <c r="CS1199" s="15" t="str">
        <f t="shared" si="5561"/>
        <v>#REF!</v>
      </c>
      <c r="CT1199" s="24" t="str">
        <f t="shared" si="5561"/>
        <v>#REF!</v>
      </c>
      <c r="CU1199" s="15" t="str">
        <f t="shared" si="5561"/>
        <v>#REF!</v>
      </c>
      <c r="CV1199" s="15" t="str">
        <f t="shared" si="5561"/>
        <v>#REF!</v>
      </c>
      <c r="CW1199" s="15" t="str">
        <f t="shared" si="5561"/>
        <v>#REF!</v>
      </c>
      <c r="CX1199" s="15" t="str">
        <f t="shared" si="5561"/>
        <v>#REF!</v>
      </c>
      <c r="CY1199" s="24" t="str">
        <f t="shared" si="5561"/>
        <v>#REF!</v>
      </c>
      <c r="CZ1199" s="15" t="str">
        <f t="shared" si="5561"/>
        <v>#REF!</v>
      </c>
      <c r="DA1199" s="15" t="str">
        <f t="shared" si="5561"/>
        <v>#REF!</v>
      </c>
      <c r="DB1199" s="15" t="str">
        <f t="shared" si="5561"/>
        <v>#REF!</v>
      </c>
      <c r="DC1199" s="15" t="str">
        <f t="shared" si="5561"/>
        <v>#REF!</v>
      </c>
      <c r="DD1199" s="24" t="str">
        <f t="shared" si="5561"/>
        <v>#REF!</v>
      </c>
      <c r="DE1199" s="15" t="str">
        <f t="shared" si="5561"/>
        <v>#REF!</v>
      </c>
      <c r="DF1199" s="15" t="str">
        <f t="shared" si="5561"/>
        <v>#REF!</v>
      </c>
      <c r="DG1199" s="40" t="str">
        <f t="shared" si="5561"/>
        <v>#REF!</v>
      </c>
      <c r="DH1199" s="15" t="str">
        <f t="shared" si="5561"/>
        <v>#REF!</v>
      </c>
      <c r="DI1199" s="24" t="str">
        <f t="shared" si="5561"/>
        <v>#REF!</v>
      </c>
      <c r="DJ1199" s="40" t="str">
        <f t="shared" si="5561"/>
        <v>#REF!</v>
      </c>
      <c r="DK1199" s="40" t="str">
        <f t="shared" si="5561"/>
        <v>#REF!</v>
      </c>
      <c r="DL1199" s="40" t="str">
        <f t="shared" si="5561"/>
        <v>#REF!</v>
      </c>
      <c r="DM1199" s="15" t="str">
        <f t="shared" si="5561"/>
        <v>#REF!</v>
      </c>
      <c r="DN1199" s="24" t="str">
        <f t="shared" si="5561"/>
        <v>#REF!</v>
      </c>
      <c r="DO1199" s="15" t="str">
        <f t="shared" si="5561"/>
        <v>#REF!</v>
      </c>
      <c r="DP1199" s="15" t="str">
        <f t="shared" si="5561"/>
        <v>#REF!</v>
      </c>
      <c r="DQ1199" s="15" t="str">
        <f t="shared" si="5561"/>
        <v>#REF!</v>
      </c>
      <c r="DR1199" s="15" t="str">
        <f t="shared" si="5561"/>
        <v>#REF!</v>
      </c>
      <c r="DS1199" s="24" t="str">
        <f t="shared" si="5561"/>
        <v>#REF!</v>
      </c>
      <c r="DT1199" s="15" t="str">
        <f t="shared" si="5561"/>
        <v>#REF!</v>
      </c>
      <c r="DU1199" s="15" t="str">
        <f t="shared" si="5561"/>
        <v>#REF!</v>
      </c>
      <c r="DV1199" s="15" t="str">
        <f t="shared" si="5561"/>
        <v>#REF!</v>
      </c>
      <c r="DW1199" s="15" t="str">
        <f t="shared" si="5561"/>
        <v>#REF!</v>
      </c>
      <c r="DX1199" s="24" t="str">
        <f t="shared" si="5561"/>
        <v>#REF!</v>
      </c>
      <c r="DY1199" s="15" t="str">
        <f t="shared" si="5561"/>
        <v>#REF!</v>
      </c>
      <c r="DZ1199" s="15" t="str">
        <f t="shared" si="5561"/>
        <v>#REF!</v>
      </c>
      <c r="EA1199" s="15" t="str">
        <f t="shared" si="5561"/>
        <v>#REF!</v>
      </c>
      <c r="EB1199" s="15" t="str">
        <f t="shared" si="5561"/>
        <v>#REF!</v>
      </c>
      <c r="EC1199" s="24" t="str">
        <f t="shared" si="5561"/>
        <v>#REF!</v>
      </c>
      <c r="ED1199" s="15" t="str">
        <f t="shared" si="5561"/>
        <v>#REF!</v>
      </c>
      <c r="EE1199" s="15" t="str">
        <f t="shared" si="5561"/>
        <v>#REF!</v>
      </c>
      <c r="EF1199" s="15" t="str">
        <f t="shared" si="5561"/>
        <v>#REF!</v>
      </c>
      <c r="EG1199" s="15" t="str">
        <f t="shared" si="5561"/>
        <v>#REF!</v>
      </c>
      <c r="EH1199" s="24" t="str">
        <f t="shared" si="5561"/>
        <v>#REF!</v>
      </c>
      <c r="EI1199" s="82" t="str">
        <f t="shared" si="5561"/>
        <v>#REF!</v>
      </c>
      <c r="EJ1199" s="15" t="str">
        <f t="shared" si="5561"/>
        <v>#REF!</v>
      </c>
      <c r="EK1199" s="15" t="str">
        <f t="shared" si="5561"/>
        <v>#REF!</v>
      </c>
      <c r="EL1199" s="15" t="str">
        <f t="shared" si="5561"/>
        <v>#REF!</v>
      </c>
      <c r="EM1199" s="24" t="str">
        <f t="shared" si="5561"/>
        <v>#REF!</v>
      </c>
      <c r="EN1199" s="15" t="str">
        <f t="shared" si="5561"/>
        <v>#REF!</v>
      </c>
      <c r="EO1199" s="15" t="str">
        <f t="shared" si="5561"/>
        <v>#REF!</v>
      </c>
      <c r="EP1199" s="15" t="str">
        <f t="shared" si="5561"/>
        <v>#REF!</v>
      </c>
      <c r="EQ1199" s="15" t="str">
        <f t="shared" si="5561"/>
        <v>#REF!</v>
      </c>
      <c r="ER1199" s="24" t="str">
        <f t="shared" si="5561"/>
        <v>#REF!</v>
      </c>
      <c r="ES1199" s="15" t="str">
        <f t="shared" si="5561"/>
        <v>#REF!</v>
      </c>
      <c r="ET1199" s="15" t="str">
        <f t="shared" si="5561"/>
        <v>#REF!</v>
      </c>
      <c r="EU1199" s="15" t="str">
        <f t="shared" si="5561"/>
        <v>#REF!</v>
      </c>
      <c r="EV1199" s="15" t="str">
        <f t="shared" si="5561"/>
        <v>#REF!</v>
      </c>
      <c r="EW1199" s="24" t="str">
        <f t="shared" si="5561"/>
        <v>#REF!</v>
      </c>
      <c r="EX1199" s="15" t="str">
        <f t="shared" si="5561"/>
        <v>#REF!</v>
      </c>
      <c r="EY1199" s="15" t="str">
        <f t="shared" si="5561"/>
        <v>#REF!</v>
      </c>
      <c r="EZ1199" s="15" t="str">
        <f t="shared" si="5561"/>
        <v>#REF!</v>
      </c>
      <c r="FA1199" s="15" t="str">
        <f t="shared" si="5561"/>
        <v>#REF!</v>
      </c>
      <c r="FB1199" s="24" t="str">
        <f t="shared" si="5561"/>
        <v>#REF!</v>
      </c>
      <c r="FC1199" s="15" t="str">
        <f t="shared" si="5561"/>
        <v>#REF!</v>
      </c>
      <c r="FD1199" s="15" t="str">
        <f t="shared" si="5561"/>
        <v>#REF!</v>
      </c>
      <c r="FE1199" s="15" t="str">
        <f t="shared" si="5561"/>
        <v>#REF!</v>
      </c>
      <c r="FF1199" s="15" t="str">
        <f t="shared" si="5561"/>
        <v>#REF!</v>
      </c>
      <c r="FG1199" s="24" t="str">
        <f t="shared" si="5561"/>
        <v>#REF!</v>
      </c>
      <c r="FH1199" s="104"/>
      <c r="FI1199" s="15"/>
      <c r="FJ1199" s="15"/>
      <c r="FK1199" s="410"/>
      <c r="FL1199" s="15"/>
    </row>
    <row r="1200" ht="13.5" hidden="1" customHeight="1" outlineLevel="1">
      <c r="A1200" s="4"/>
      <c r="B1200" s="529" t="s">
        <v>291</v>
      </c>
      <c r="C1200" s="529"/>
      <c r="D1200" s="596"/>
      <c r="E1200" s="596"/>
      <c r="F1200" s="596"/>
      <c r="G1200" s="596"/>
      <c r="H1200" s="596"/>
      <c r="I1200" s="596"/>
      <c r="J1200" s="596"/>
      <c r="K1200" s="596"/>
      <c r="L1200" s="596"/>
      <c r="M1200" s="596"/>
      <c r="N1200" s="596"/>
      <c r="O1200" s="596"/>
      <c r="P1200" s="596"/>
      <c r="Q1200" s="596"/>
      <c r="R1200" s="596"/>
      <c r="S1200" s="596"/>
      <c r="T1200" s="596"/>
      <c r="U1200" s="596"/>
      <c r="V1200" s="596"/>
      <c r="W1200" s="596"/>
      <c r="X1200" s="596"/>
      <c r="Y1200" s="596"/>
      <c r="Z1200" s="596"/>
      <c r="AA1200" s="596"/>
      <c r="AB1200" s="596"/>
      <c r="AC1200" s="596"/>
      <c r="AD1200" s="596"/>
      <c r="AE1200" s="596"/>
      <c r="AF1200" s="596"/>
      <c r="AG1200" s="596"/>
      <c r="AH1200" s="596"/>
      <c r="AI1200" s="596"/>
      <c r="AJ1200" s="596"/>
      <c r="AK1200" s="596"/>
      <c r="AL1200" s="596"/>
      <c r="AM1200" s="596"/>
      <c r="AN1200" s="596"/>
      <c r="AO1200" s="596"/>
      <c r="AP1200" s="596"/>
      <c r="AQ1200" s="596"/>
      <c r="AR1200" s="596" t="str">
        <f t="shared" ref="AR1200:FG1200" si="5562">AR1195/AR1195</f>
        <v>#NAME?</v>
      </c>
      <c r="AS1200" s="596" t="str">
        <f t="shared" si="5562"/>
        <v>#NAME?</v>
      </c>
      <c r="AT1200" s="596" t="str">
        <f t="shared" si="5562"/>
        <v>#NAME?</v>
      </c>
      <c r="AU1200" s="596" t="str">
        <f t="shared" si="5562"/>
        <v>#NAME?</v>
      </c>
      <c r="AV1200" s="596" t="str">
        <f t="shared" si="5562"/>
        <v>#NAME?</v>
      </c>
      <c r="AW1200" s="596" t="str">
        <f t="shared" si="5562"/>
        <v>#NAME?</v>
      </c>
      <c r="AX1200" s="596" t="str">
        <f t="shared" si="5562"/>
        <v>#NAME?</v>
      </c>
      <c r="AY1200" s="596" t="str">
        <f t="shared" si="5562"/>
        <v>#NAME?</v>
      </c>
      <c r="AZ1200" s="596" t="str">
        <f t="shared" si="5562"/>
        <v>#NAME?</v>
      </c>
      <c r="BA1200" s="596" t="str">
        <f t="shared" si="5562"/>
        <v>#NAME?</v>
      </c>
      <c r="BB1200" s="596" t="str">
        <f t="shared" si="5562"/>
        <v>#NAME?</v>
      </c>
      <c r="BC1200" s="596" t="str">
        <f t="shared" si="5562"/>
        <v>#NAME?</v>
      </c>
      <c r="BD1200" s="596" t="str">
        <f t="shared" si="5562"/>
        <v>#NAME?</v>
      </c>
      <c r="BE1200" s="596" t="str">
        <f t="shared" si="5562"/>
        <v>#NAME?</v>
      </c>
      <c r="BF1200" s="596" t="str">
        <f t="shared" si="5562"/>
        <v>#NAME?</v>
      </c>
      <c r="BG1200" s="596" t="str">
        <f t="shared" si="5562"/>
        <v>#NAME?</v>
      </c>
      <c r="BH1200" s="596" t="str">
        <f t="shared" si="5562"/>
        <v>#NAME?</v>
      </c>
      <c r="BI1200" s="596" t="str">
        <f t="shared" si="5562"/>
        <v>#NAME?</v>
      </c>
      <c r="BJ1200" s="596" t="str">
        <f t="shared" si="5562"/>
        <v>#NAME?</v>
      </c>
      <c r="BK1200" s="596" t="str">
        <f t="shared" si="5562"/>
        <v>#NAME?</v>
      </c>
      <c r="BL1200" s="596" t="str">
        <f t="shared" si="5562"/>
        <v>#NAME?</v>
      </c>
      <c r="BM1200" s="596" t="str">
        <f t="shared" si="5562"/>
        <v>#NAME?</v>
      </c>
      <c r="BN1200" s="596" t="str">
        <f t="shared" si="5562"/>
        <v>#NAME?</v>
      </c>
      <c r="BO1200" s="596" t="str">
        <f t="shared" si="5562"/>
        <v>#NAME?</v>
      </c>
      <c r="BP1200" s="596" t="str">
        <f t="shared" si="5562"/>
        <v>#NAME?</v>
      </c>
      <c r="BQ1200" s="596" t="str">
        <f t="shared" si="5562"/>
        <v>#NAME?</v>
      </c>
      <c r="BR1200" s="596" t="str">
        <f t="shared" si="5562"/>
        <v>#NAME?</v>
      </c>
      <c r="BS1200" s="596" t="str">
        <f t="shared" si="5562"/>
        <v>#NAME?</v>
      </c>
      <c r="BT1200" s="596" t="str">
        <f t="shared" si="5562"/>
        <v>#NAME?</v>
      </c>
      <c r="BU1200" s="596" t="str">
        <f t="shared" si="5562"/>
        <v>#NAME?</v>
      </c>
      <c r="BV1200" s="596" t="str">
        <f t="shared" si="5562"/>
        <v>#NAME?</v>
      </c>
      <c r="BW1200" s="596" t="str">
        <f t="shared" si="5562"/>
        <v>#NAME?</v>
      </c>
      <c r="BX1200" s="596" t="str">
        <f t="shared" si="5562"/>
        <v>#NAME?</v>
      </c>
      <c r="BY1200" s="596" t="str">
        <f t="shared" si="5562"/>
        <v>#NAME?</v>
      </c>
      <c r="BZ1200" s="597" t="str">
        <f t="shared" si="5562"/>
        <v>#NAME?</v>
      </c>
      <c r="CA1200" s="596" t="str">
        <f t="shared" si="5562"/>
        <v>#NAME?</v>
      </c>
      <c r="CB1200" s="596" t="str">
        <f t="shared" si="5562"/>
        <v>#NAME?</v>
      </c>
      <c r="CC1200" s="596" t="str">
        <f t="shared" si="5562"/>
        <v>#NAME?</v>
      </c>
      <c r="CD1200" s="596" t="str">
        <f t="shared" si="5562"/>
        <v>#NAME?</v>
      </c>
      <c r="CE1200" s="597" t="str">
        <f t="shared" si="5562"/>
        <v>#NAME?</v>
      </c>
      <c r="CF1200" s="596" t="str">
        <f t="shared" si="5562"/>
        <v>#NAME?</v>
      </c>
      <c r="CG1200" s="596" t="str">
        <f t="shared" si="5562"/>
        <v>#NAME?</v>
      </c>
      <c r="CH1200" s="596" t="str">
        <f t="shared" si="5562"/>
        <v>#NAME?</v>
      </c>
      <c r="CI1200" s="596" t="str">
        <f t="shared" si="5562"/>
        <v>#NAME?</v>
      </c>
      <c r="CJ1200" s="597" t="str">
        <f t="shared" si="5562"/>
        <v>#NAME?</v>
      </c>
      <c r="CK1200" s="596" t="str">
        <f t="shared" si="5562"/>
        <v>#NAME?</v>
      </c>
      <c r="CL1200" s="596" t="str">
        <f t="shared" si="5562"/>
        <v>#NAME?</v>
      </c>
      <c r="CM1200" s="596" t="str">
        <f t="shared" si="5562"/>
        <v>#NAME?</v>
      </c>
      <c r="CN1200" s="595" t="str">
        <f t="shared" si="5562"/>
        <v>#NAME?</v>
      </c>
      <c r="CO1200" s="597" t="str">
        <f t="shared" si="5562"/>
        <v>#NAME?</v>
      </c>
      <c r="CP1200" s="595" t="str">
        <f t="shared" si="5562"/>
        <v>#NAME?</v>
      </c>
      <c r="CQ1200" s="596" t="str">
        <f t="shared" si="5562"/>
        <v>#NAME?</v>
      </c>
      <c r="CR1200" s="596" t="str">
        <f t="shared" si="5562"/>
        <v>#NAME?</v>
      </c>
      <c r="CS1200" s="596" t="str">
        <f t="shared" si="5562"/>
        <v>#NAME?</v>
      </c>
      <c r="CT1200" s="597" t="str">
        <f t="shared" si="5562"/>
        <v>#NAME?</v>
      </c>
      <c r="CU1200" s="596" t="str">
        <f t="shared" si="5562"/>
        <v>#NAME?</v>
      </c>
      <c r="CV1200" s="596" t="str">
        <f t="shared" si="5562"/>
        <v>#NAME?</v>
      </c>
      <c r="CW1200" s="596" t="str">
        <f t="shared" si="5562"/>
        <v>#NAME?</v>
      </c>
      <c r="CX1200" s="596" t="str">
        <f t="shared" si="5562"/>
        <v>#NAME?</v>
      </c>
      <c r="CY1200" s="597" t="str">
        <f t="shared" si="5562"/>
        <v>#NAME?</v>
      </c>
      <c r="CZ1200" s="596" t="str">
        <f t="shared" si="5562"/>
        <v>#NAME?</v>
      </c>
      <c r="DA1200" s="596" t="str">
        <f t="shared" si="5562"/>
        <v>#NAME?</v>
      </c>
      <c r="DB1200" s="596" t="str">
        <f t="shared" si="5562"/>
        <v>#NAME?</v>
      </c>
      <c r="DC1200" s="596" t="str">
        <f t="shared" si="5562"/>
        <v>#NAME?</v>
      </c>
      <c r="DD1200" s="597" t="str">
        <f t="shared" si="5562"/>
        <v>#NAME?</v>
      </c>
      <c r="DE1200" s="596" t="str">
        <f t="shared" si="5562"/>
        <v>#NAME?</v>
      </c>
      <c r="DF1200" s="596" t="str">
        <f t="shared" si="5562"/>
        <v>#NAME?</v>
      </c>
      <c r="DG1200" s="104" t="str">
        <f t="shared" si="5562"/>
        <v>#NAME?</v>
      </c>
      <c r="DH1200" s="596" t="str">
        <f t="shared" si="5562"/>
        <v>#NAME?</v>
      </c>
      <c r="DI1200" s="597" t="str">
        <f t="shared" si="5562"/>
        <v>#NAME?</v>
      </c>
      <c r="DJ1200" s="595" t="str">
        <f t="shared" si="5562"/>
        <v>#NAME?</v>
      </c>
      <c r="DK1200" s="595" t="str">
        <f t="shared" si="5562"/>
        <v>#NAME?</v>
      </c>
      <c r="DL1200" s="595" t="str">
        <f t="shared" si="5562"/>
        <v>#NAME?</v>
      </c>
      <c r="DM1200" s="596" t="str">
        <f t="shared" si="5562"/>
        <v>#NAME?</v>
      </c>
      <c r="DN1200" s="597" t="str">
        <f t="shared" si="5562"/>
        <v>#NAME?</v>
      </c>
      <c r="DO1200" s="596" t="str">
        <f t="shared" si="5562"/>
        <v>#NAME?</v>
      </c>
      <c r="DP1200" s="596" t="str">
        <f t="shared" si="5562"/>
        <v>#NAME?</v>
      </c>
      <c r="DQ1200" s="596" t="str">
        <f t="shared" si="5562"/>
        <v>#NAME?</v>
      </c>
      <c r="DR1200" s="596" t="str">
        <f t="shared" si="5562"/>
        <v>#NAME?</v>
      </c>
      <c r="DS1200" s="597" t="str">
        <f t="shared" si="5562"/>
        <v>#NAME?</v>
      </c>
      <c r="DT1200" s="596" t="str">
        <f t="shared" si="5562"/>
        <v>#NAME?</v>
      </c>
      <c r="DU1200" s="596" t="str">
        <f t="shared" si="5562"/>
        <v>#NAME?</v>
      </c>
      <c r="DV1200" s="596" t="str">
        <f t="shared" si="5562"/>
        <v>#NAME?</v>
      </c>
      <c r="DW1200" s="596" t="str">
        <f t="shared" si="5562"/>
        <v>#NAME?</v>
      </c>
      <c r="DX1200" s="597" t="str">
        <f t="shared" si="5562"/>
        <v>#NAME?</v>
      </c>
      <c r="DY1200" s="596" t="str">
        <f t="shared" si="5562"/>
        <v>#NAME?</v>
      </c>
      <c r="DZ1200" s="596" t="str">
        <f t="shared" si="5562"/>
        <v>#NAME?</v>
      </c>
      <c r="EA1200" s="596" t="str">
        <f t="shared" si="5562"/>
        <v>#NAME?</v>
      </c>
      <c r="EB1200" s="596" t="str">
        <f t="shared" si="5562"/>
        <v>#NAME?</v>
      </c>
      <c r="EC1200" s="597" t="str">
        <f t="shared" si="5562"/>
        <v>#NAME?</v>
      </c>
      <c r="ED1200" s="596" t="str">
        <f t="shared" si="5562"/>
        <v>#NAME?</v>
      </c>
      <c r="EE1200" s="596" t="str">
        <f t="shared" si="5562"/>
        <v>#NAME?</v>
      </c>
      <c r="EF1200" s="596" t="str">
        <f t="shared" si="5562"/>
        <v>#NAME?</v>
      </c>
      <c r="EG1200" s="596" t="str">
        <f t="shared" si="5562"/>
        <v>#NAME?</v>
      </c>
      <c r="EH1200" s="597" t="str">
        <f t="shared" si="5562"/>
        <v>#NAME?</v>
      </c>
      <c r="EI1200" s="598" t="str">
        <f t="shared" si="5562"/>
        <v>#NAME?</v>
      </c>
      <c r="EJ1200" s="596" t="str">
        <f t="shared" si="5562"/>
        <v>#NAME?</v>
      </c>
      <c r="EK1200" s="596" t="str">
        <f t="shared" si="5562"/>
        <v>#NAME?</v>
      </c>
      <c r="EL1200" s="596" t="str">
        <f t="shared" si="5562"/>
        <v>#NAME?</v>
      </c>
      <c r="EM1200" s="597" t="str">
        <f t="shared" si="5562"/>
        <v>#NAME?</v>
      </c>
      <c r="EN1200" s="596" t="str">
        <f t="shared" si="5562"/>
        <v>#NAME?</v>
      </c>
      <c r="EO1200" s="596" t="str">
        <f t="shared" si="5562"/>
        <v>#NAME?</v>
      </c>
      <c r="EP1200" s="596" t="str">
        <f t="shared" si="5562"/>
        <v>#NAME?</v>
      </c>
      <c r="EQ1200" s="596" t="str">
        <f t="shared" si="5562"/>
        <v>#NAME?</v>
      </c>
      <c r="ER1200" s="597" t="str">
        <f t="shared" si="5562"/>
        <v>#NAME?</v>
      </c>
      <c r="ES1200" s="596" t="str">
        <f t="shared" si="5562"/>
        <v>#NAME?</v>
      </c>
      <c r="ET1200" s="596" t="str">
        <f t="shared" si="5562"/>
        <v>#NAME?</v>
      </c>
      <c r="EU1200" s="596" t="str">
        <f t="shared" si="5562"/>
        <v>#NAME?</v>
      </c>
      <c r="EV1200" s="596" t="str">
        <f t="shared" si="5562"/>
        <v>#NAME?</v>
      </c>
      <c r="EW1200" s="597" t="str">
        <f t="shared" si="5562"/>
        <v>#NAME?</v>
      </c>
      <c r="EX1200" s="596" t="str">
        <f t="shared" si="5562"/>
        <v>#NAME?</v>
      </c>
      <c r="EY1200" s="596" t="str">
        <f t="shared" si="5562"/>
        <v>#NAME?</v>
      </c>
      <c r="EZ1200" s="596" t="str">
        <f t="shared" si="5562"/>
        <v>#NAME?</v>
      </c>
      <c r="FA1200" s="596" t="str">
        <f t="shared" si="5562"/>
        <v>#NAME?</v>
      </c>
      <c r="FB1200" s="597" t="str">
        <f t="shared" si="5562"/>
        <v>#NAME?</v>
      </c>
      <c r="FC1200" s="596" t="str">
        <f t="shared" si="5562"/>
        <v>#NAME?</v>
      </c>
      <c r="FD1200" s="596" t="str">
        <f t="shared" si="5562"/>
        <v>#NAME?</v>
      </c>
      <c r="FE1200" s="596" t="str">
        <f t="shared" si="5562"/>
        <v>#NAME?</v>
      </c>
      <c r="FF1200" s="596" t="str">
        <f t="shared" si="5562"/>
        <v>#NAME?</v>
      </c>
      <c r="FG1200" s="597" t="str">
        <f t="shared" si="5562"/>
        <v>#NAME?</v>
      </c>
      <c r="FH1200" s="595"/>
      <c r="FI1200" s="596"/>
      <c r="FJ1200" s="596"/>
      <c r="FK1200" s="596"/>
      <c r="FL1200" s="596"/>
    </row>
    <row r="1201" ht="12.75" hidden="1" customHeight="1" outlineLevel="1">
      <c r="A1201" s="4"/>
      <c r="B1201" s="4"/>
      <c r="C1201" s="4"/>
      <c r="D1201" s="4"/>
      <c r="E1201" s="4"/>
      <c r="F1201" s="4"/>
      <c r="G1201" s="4"/>
      <c r="H1201" s="45"/>
      <c r="I1201" s="4"/>
      <c r="J1201" s="4"/>
      <c r="K1201" s="4"/>
      <c r="L1201" s="4"/>
      <c r="M1201" s="45"/>
      <c r="N1201" s="4"/>
      <c r="O1201" s="4"/>
      <c r="P1201" s="4"/>
      <c r="Q1201" s="4"/>
      <c r="R1201" s="45"/>
      <c r="S1201" s="4"/>
      <c r="T1201" s="4"/>
      <c r="U1201" s="4"/>
      <c r="V1201" s="4"/>
      <c r="W1201" s="45"/>
      <c r="X1201" s="4"/>
      <c r="Y1201" s="4"/>
      <c r="Z1201" s="4"/>
      <c r="AA1201" s="4"/>
      <c r="AB1201" s="45"/>
      <c r="AC1201" s="4"/>
      <c r="AD1201" s="4"/>
      <c r="AE1201" s="4"/>
      <c r="AF1201" s="4"/>
      <c r="AG1201" s="45"/>
      <c r="AH1201" s="4"/>
      <c r="AI1201" s="4"/>
      <c r="AJ1201" s="4"/>
      <c r="AK1201" s="4"/>
      <c r="AL1201" s="45"/>
      <c r="AM1201" s="4"/>
      <c r="AN1201" s="4"/>
      <c r="AO1201" s="4"/>
      <c r="AP1201" s="4"/>
      <c r="AQ1201" s="45"/>
      <c r="AR1201" s="4"/>
      <c r="AS1201" s="4"/>
      <c r="AT1201" s="4"/>
      <c r="AU1201" s="4"/>
      <c r="AV1201" s="45"/>
      <c r="AW1201" s="4"/>
      <c r="AX1201" s="4"/>
      <c r="AY1201" s="4"/>
      <c r="AZ1201" s="4"/>
      <c r="BA1201" s="45"/>
      <c r="BB1201" s="4"/>
      <c r="BC1201" s="4"/>
      <c r="BD1201" s="4"/>
      <c r="BE1201" s="4"/>
      <c r="BF1201" s="45"/>
      <c r="BG1201" s="4"/>
      <c r="BH1201" s="4"/>
      <c r="BI1201" s="4"/>
      <c r="BJ1201" s="4"/>
      <c r="BK1201" s="45"/>
      <c r="BL1201" s="4"/>
      <c r="BM1201" s="4"/>
      <c r="BN1201" s="4"/>
      <c r="BO1201" s="4"/>
      <c r="BP1201" s="45"/>
      <c r="BQ1201" s="4"/>
      <c r="BR1201" s="4"/>
      <c r="BS1201" s="4"/>
      <c r="BT1201" s="4"/>
      <c r="BU1201" s="45"/>
      <c r="BV1201" s="4"/>
      <c r="BW1201" s="4"/>
      <c r="BX1201" s="4"/>
      <c r="BY1201" s="4"/>
      <c r="BZ1201" s="350"/>
      <c r="CA1201" s="4"/>
      <c r="CB1201" s="4"/>
      <c r="CC1201" s="4"/>
      <c r="CD1201" s="4"/>
      <c r="CE1201" s="350"/>
      <c r="CF1201" s="4"/>
      <c r="CG1201" s="4"/>
      <c r="CH1201" s="4"/>
      <c r="CI1201" s="4"/>
      <c r="CJ1201" s="350"/>
      <c r="CK1201" s="4"/>
      <c r="CL1201" s="4"/>
      <c r="CM1201" s="4"/>
      <c r="CN1201" s="16"/>
      <c r="CO1201" s="350"/>
      <c r="CP1201" s="16"/>
      <c r="CQ1201" s="4"/>
      <c r="CR1201" s="4"/>
      <c r="CS1201" s="4"/>
      <c r="CT1201" s="350"/>
      <c r="CU1201" s="4"/>
      <c r="CV1201" s="4"/>
      <c r="CW1201" s="4"/>
      <c r="CX1201" s="4"/>
      <c r="CY1201" s="350"/>
      <c r="CZ1201" s="4"/>
      <c r="DA1201" s="4"/>
      <c r="DB1201" s="4"/>
      <c r="DC1201" s="4"/>
      <c r="DD1201" s="350"/>
      <c r="DE1201" s="4"/>
      <c r="DF1201" s="4"/>
      <c r="DG1201" s="16"/>
      <c r="DH1201" s="4"/>
      <c r="DI1201" s="350"/>
      <c r="DJ1201" s="16"/>
      <c r="DK1201" s="16"/>
      <c r="DL1201" s="16"/>
      <c r="DM1201" s="4"/>
      <c r="DN1201" s="350"/>
      <c r="DO1201" s="4"/>
      <c r="DP1201" s="4"/>
      <c r="DQ1201" s="4"/>
      <c r="DR1201" s="4"/>
      <c r="DS1201" s="350"/>
      <c r="DT1201" s="4"/>
      <c r="DU1201" s="4"/>
      <c r="DV1201" s="4"/>
      <c r="DW1201" s="4"/>
      <c r="DX1201" s="350"/>
      <c r="DY1201" s="4"/>
      <c r="DZ1201" s="4"/>
      <c r="EA1201" s="4"/>
      <c r="EB1201" s="4"/>
      <c r="EC1201" s="350"/>
      <c r="ED1201" s="4"/>
      <c r="EE1201" s="4"/>
      <c r="EF1201" s="4"/>
      <c r="EG1201" s="4"/>
      <c r="EH1201" s="350"/>
      <c r="EI1201" s="214"/>
      <c r="EJ1201" s="4"/>
      <c r="EK1201" s="4"/>
      <c r="EL1201" s="4"/>
      <c r="EM1201" s="350"/>
      <c r="EN1201" s="4"/>
      <c r="EO1201" s="4"/>
      <c r="EP1201" s="4"/>
      <c r="EQ1201" s="4"/>
      <c r="ER1201" s="350"/>
      <c r="ES1201" s="4"/>
      <c r="ET1201" s="4"/>
      <c r="EU1201" s="4"/>
      <c r="EV1201" s="4"/>
      <c r="EW1201" s="350"/>
      <c r="EX1201" s="4"/>
      <c r="EY1201" s="4"/>
      <c r="EZ1201" s="4"/>
      <c r="FA1201" s="4"/>
      <c r="FB1201" s="350"/>
      <c r="FC1201" s="4"/>
      <c r="FD1201" s="4"/>
      <c r="FE1201" s="4"/>
      <c r="FF1201" s="4"/>
      <c r="FG1201" s="350"/>
      <c r="FH1201" s="145"/>
      <c r="FI1201" s="4"/>
      <c r="FJ1201" s="4"/>
      <c r="FK1201" s="45"/>
      <c r="FL1201" s="4"/>
    </row>
    <row r="1202" ht="12.75" hidden="1" customHeight="1" outlineLevel="1">
      <c r="A1202" s="739"/>
      <c r="B1202" s="740" t="s">
        <v>458</v>
      </c>
      <c r="C1202" s="741"/>
      <c r="D1202" s="741"/>
      <c r="E1202" s="741"/>
      <c r="F1202" s="741"/>
      <c r="G1202" s="741"/>
      <c r="H1202" s="740"/>
      <c r="I1202" s="741"/>
      <c r="J1202" s="741"/>
      <c r="K1202" s="741"/>
      <c r="L1202" s="741"/>
      <c r="M1202" s="740"/>
      <c r="N1202" s="741"/>
      <c r="O1202" s="741"/>
      <c r="P1202" s="741"/>
      <c r="Q1202" s="741"/>
      <c r="R1202" s="740"/>
      <c r="S1202" s="741"/>
      <c r="T1202" s="741"/>
      <c r="U1202" s="741"/>
      <c r="V1202" s="741"/>
      <c r="W1202" s="740"/>
      <c r="X1202" s="741">
        <v>71.7</v>
      </c>
      <c r="Y1202" s="741">
        <v>76.6</v>
      </c>
      <c r="Z1202" s="741">
        <v>82.2</v>
      </c>
      <c r="AA1202" s="741">
        <v>86.1</v>
      </c>
      <c r="AB1202" s="740">
        <f>AA1202</f>
        <v>86.1</v>
      </c>
      <c r="AC1202" s="741">
        <v>90.2</v>
      </c>
      <c r="AD1202" s="741">
        <v>88.2</v>
      </c>
      <c r="AE1202" s="741">
        <v>86.2</v>
      </c>
      <c r="AF1202" s="741">
        <v>83.4</v>
      </c>
      <c r="AG1202" s="740">
        <f>AF1202</f>
        <v>83.4</v>
      </c>
      <c r="AH1202" s="741">
        <v>82.9</v>
      </c>
      <c r="AI1202" s="741">
        <v>83.2</v>
      </c>
      <c r="AJ1202" s="741">
        <v>81.7</v>
      </c>
      <c r="AK1202" s="741">
        <v>78.7</v>
      </c>
      <c r="AL1202" s="740">
        <f>AK1202</f>
        <v>78.7</v>
      </c>
      <c r="AM1202" s="741">
        <v>79.2</v>
      </c>
      <c r="AN1202" s="741">
        <v>78.7</v>
      </c>
      <c r="AO1202" s="741">
        <v>79.1</v>
      </c>
      <c r="AP1202" s="741">
        <v>79.7</v>
      </c>
      <c r="AQ1202" s="740">
        <f>AP1202</f>
        <v>79.7</v>
      </c>
      <c r="AR1202" s="741">
        <v>80.5</v>
      </c>
      <c r="AS1202" s="741">
        <v>81.7</v>
      </c>
      <c r="AT1202" s="741">
        <v>84.2</v>
      </c>
      <c r="AU1202" s="741">
        <v>85.0</v>
      </c>
      <c r="AV1202" s="740">
        <f>AU1202</f>
        <v>85</v>
      </c>
      <c r="AW1202" s="741">
        <v>87.1</v>
      </c>
      <c r="AX1202" s="741">
        <v>91.0</v>
      </c>
      <c r="AY1202" s="741">
        <v>96.0</v>
      </c>
      <c r="AZ1202" s="741">
        <v>99.9</v>
      </c>
      <c r="BA1202" s="740">
        <f>AZ1202</f>
        <v>99.9</v>
      </c>
      <c r="BB1202" s="741">
        <v>103.3</v>
      </c>
      <c r="BC1202" s="741">
        <v>102.5</v>
      </c>
      <c r="BD1202" s="741">
        <v>99.9</v>
      </c>
      <c r="BE1202" s="741">
        <v>94.1</v>
      </c>
      <c r="BF1202" s="740">
        <f>BE1202</f>
        <v>94.1</v>
      </c>
      <c r="BG1202" s="741">
        <v>91.8</v>
      </c>
      <c r="BH1202" s="741">
        <v>90.3</v>
      </c>
      <c r="BI1202" s="741">
        <v>88.1</v>
      </c>
      <c r="BJ1202" s="741">
        <v>86.3</v>
      </c>
      <c r="BK1202" s="740">
        <f>BJ1202</f>
        <v>86.3</v>
      </c>
      <c r="BL1202" s="741">
        <v>84.6</v>
      </c>
      <c r="BM1202" s="741">
        <v>81.8</v>
      </c>
      <c r="BN1202" s="741">
        <v>83.5</v>
      </c>
      <c r="BO1202" s="741">
        <v>83.9</v>
      </c>
      <c r="BP1202" s="740">
        <f>BO1202</f>
        <v>83.9</v>
      </c>
      <c r="BQ1202" s="741">
        <v>82.5</v>
      </c>
      <c r="BR1202" s="741">
        <v>80.5</v>
      </c>
      <c r="BS1202" s="741">
        <v>80.8</v>
      </c>
      <c r="BT1202" s="741">
        <v>79.8</v>
      </c>
      <c r="BU1202" s="740">
        <f>BT1202</f>
        <v>79.8</v>
      </c>
      <c r="BV1202" s="741">
        <v>79.9</v>
      </c>
      <c r="BW1202" s="741">
        <v>80.4</v>
      </c>
      <c r="BX1202" s="741">
        <v>81.7</v>
      </c>
      <c r="BY1202" s="741">
        <v>82.5</v>
      </c>
      <c r="BZ1202" s="742">
        <f>BY1202</f>
        <v>82.5</v>
      </c>
      <c r="CA1202" s="741">
        <v>93.5</v>
      </c>
      <c r="CB1202" s="741">
        <v>96.5</v>
      </c>
      <c r="CC1202" s="741">
        <v>99.9</v>
      </c>
      <c r="CD1202" s="741">
        <v>100.1</v>
      </c>
      <c r="CE1202" s="742">
        <f>CD1202</f>
        <v>100.1</v>
      </c>
      <c r="CF1202" s="741">
        <f>CD1202+0.7</f>
        <v>100.8</v>
      </c>
      <c r="CG1202" s="741">
        <v>102.8</v>
      </c>
      <c r="CH1202" s="741">
        <v>104.7</v>
      </c>
      <c r="CI1202" s="741">
        <v>105.0</v>
      </c>
      <c r="CJ1202" s="742">
        <f>CI1202</f>
        <v>105</v>
      </c>
      <c r="CK1202" s="741">
        <v>105.4</v>
      </c>
      <c r="CL1202" s="741">
        <v>106.0</v>
      </c>
      <c r="CM1202" s="741">
        <v>107.2</v>
      </c>
      <c r="CN1202" s="743"/>
      <c r="CO1202" s="742"/>
      <c r="CP1202" s="743"/>
      <c r="CQ1202" s="741"/>
      <c r="CR1202" s="741"/>
      <c r="CS1202" s="741"/>
      <c r="CT1202" s="742"/>
      <c r="CU1202" s="741">
        <v>106.4</v>
      </c>
      <c r="CV1202" s="741"/>
      <c r="CW1202" s="741"/>
      <c r="CX1202" s="741">
        <v>107.3</v>
      </c>
      <c r="CY1202" s="742">
        <f>CX1202</f>
        <v>107.3</v>
      </c>
      <c r="CZ1202" s="741">
        <v>112.4</v>
      </c>
      <c r="DA1202" s="744">
        <f t="shared" ref="DA1202:DC1202" si="5563">CZ1202-3.5</f>
        <v>108.9</v>
      </c>
      <c r="DB1202" s="744">
        <f t="shared" si="5563"/>
        <v>105.4</v>
      </c>
      <c r="DC1202" s="744">
        <f t="shared" si="5563"/>
        <v>101.9</v>
      </c>
      <c r="DD1202" s="742">
        <f>DC1202</f>
        <v>101.9</v>
      </c>
      <c r="DE1202" s="744">
        <f>DD1202-1</f>
        <v>100.9</v>
      </c>
      <c r="DF1202" s="744">
        <f>DE1202-0.5</f>
        <v>100.4</v>
      </c>
      <c r="DG1202" s="743"/>
      <c r="DH1202" s="744"/>
      <c r="DI1202" s="742"/>
      <c r="DJ1202" s="743"/>
      <c r="DK1202" s="743"/>
      <c r="DL1202" s="743"/>
      <c r="DM1202" s="741"/>
      <c r="DN1202" s="742"/>
      <c r="DO1202" s="741"/>
      <c r="DP1202" s="741"/>
      <c r="DQ1202" s="741"/>
      <c r="DR1202" s="741"/>
      <c r="DS1202" s="742"/>
      <c r="DT1202" s="741"/>
      <c r="DU1202" s="741"/>
      <c r="DV1202" s="741"/>
      <c r="DW1202" s="741"/>
      <c r="DX1202" s="742"/>
      <c r="DY1202" s="741"/>
      <c r="DZ1202" s="741"/>
      <c r="EA1202" s="741"/>
      <c r="EB1202" s="741"/>
      <c r="EC1202" s="742"/>
      <c r="ED1202" s="741"/>
      <c r="EE1202" s="741"/>
      <c r="EF1202" s="741"/>
      <c r="EG1202" s="741"/>
      <c r="EH1202" s="742"/>
      <c r="EI1202" s="745"/>
      <c r="EJ1202" s="741"/>
      <c r="EK1202" s="741"/>
      <c r="EL1202" s="741"/>
      <c r="EM1202" s="742"/>
      <c r="EN1202" s="741"/>
      <c r="EO1202" s="741"/>
      <c r="EP1202" s="741"/>
      <c r="EQ1202" s="741"/>
      <c r="ER1202" s="742"/>
      <c r="ES1202" s="741"/>
      <c r="ET1202" s="741"/>
      <c r="EU1202" s="741"/>
      <c r="EV1202" s="741"/>
      <c r="EW1202" s="742"/>
      <c r="EX1202" s="741"/>
      <c r="EY1202" s="741"/>
      <c r="EZ1202" s="741"/>
      <c r="FA1202" s="741"/>
      <c r="FB1202" s="742"/>
      <c r="FC1202" s="741"/>
      <c r="FD1202" s="741"/>
      <c r="FE1202" s="741"/>
      <c r="FF1202" s="741"/>
      <c r="FG1202" s="742"/>
      <c r="FH1202" s="746"/>
      <c r="FI1202" s="741"/>
      <c r="FJ1202" s="741"/>
      <c r="FK1202" s="740"/>
      <c r="FL1202" s="741"/>
    </row>
    <row r="1203" ht="12.75" hidden="1" customHeight="1" outlineLevel="1">
      <c r="A1203" s="4"/>
      <c r="B1203" s="4"/>
      <c r="C1203" s="4"/>
      <c r="D1203" s="4"/>
      <c r="E1203" s="4"/>
      <c r="F1203" s="4"/>
      <c r="G1203" s="4"/>
      <c r="H1203" s="8"/>
      <c r="I1203" s="4"/>
      <c r="J1203" s="4"/>
      <c r="K1203" s="4"/>
      <c r="L1203" s="4"/>
      <c r="M1203" s="8"/>
      <c r="N1203" s="4"/>
      <c r="O1203" s="4"/>
      <c r="P1203" s="4"/>
      <c r="Q1203" s="4"/>
      <c r="R1203" s="8"/>
      <c r="S1203" s="4"/>
      <c r="T1203" s="4"/>
      <c r="U1203" s="4"/>
      <c r="V1203" s="4"/>
      <c r="W1203" s="8"/>
      <c r="X1203" s="4"/>
      <c r="Y1203" s="4"/>
      <c r="Z1203" s="4"/>
      <c r="AA1203" s="4"/>
      <c r="AB1203" s="8"/>
      <c r="AC1203" s="4"/>
      <c r="AD1203" s="4"/>
      <c r="AE1203" s="4"/>
      <c r="AF1203" s="4"/>
      <c r="AG1203" s="8"/>
      <c r="AH1203" s="4"/>
      <c r="AI1203" s="4"/>
      <c r="AJ1203" s="4"/>
      <c r="AK1203" s="4"/>
      <c r="AL1203" s="8"/>
      <c r="AM1203" s="4"/>
      <c r="AN1203" s="4"/>
      <c r="AO1203" s="4"/>
      <c r="AP1203" s="4"/>
      <c r="AQ1203" s="8"/>
      <c r="AR1203" s="4"/>
      <c r="AS1203" s="4"/>
      <c r="AT1203" s="4"/>
      <c r="AU1203" s="4"/>
      <c r="AV1203" s="8"/>
      <c r="AW1203" s="4"/>
      <c r="AX1203" s="4"/>
      <c r="AY1203" s="4"/>
      <c r="AZ1203" s="4"/>
      <c r="BA1203" s="8"/>
      <c r="BB1203" s="4"/>
      <c r="BC1203" s="4"/>
      <c r="BD1203" s="4"/>
      <c r="BE1203" s="4"/>
      <c r="BF1203" s="8"/>
      <c r="BG1203" s="4"/>
      <c r="BH1203" s="4"/>
      <c r="BI1203" s="4"/>
      <c r="BJ1203" s="4"/>
      <c r="BK1203" s="8"/>
      <c r="BL1203" s="4"/>
      <c r="BM1203" s="4"/>
      <c r="BN1203" s="4"/>
      <c r="BO1203" s="4"/>
      <c r="BP1203" s="8"/>
      <c r="BQ1203" s="4"/>
      <c r="BR1203" s="4"/>
      <c r="BS1203" s="4"/>
      <c r="BT1203" s="4"/>
      <c r="BU1203" s="8"/>
      <c r="BV1203" s="4"/>
      <c r="BW1203" s="4"/>
      <c r="BX1203" s="4"/>
      <c r="BY1203" s="4"/>
      <c r="BZ1203" s="10"/>
      <c r="CA1203" s="4"/>
      <c r="CB1203" s="4"/>
      <c r="CC1203" s="4"/>
      <c r="CD1203" s="4"/>
      <c r="CE1203" s="10"/>
      <c r="CF1203" s="4"/>
      <c r="CG1203" s="4"/>
      <c r="CH1203" s="4"/>
      <c r="CI1203" s="4"/>
      <c r="CJ1203" s="10"/>
      <c r="CK1203" s="4"/>
      <c r="CL1203" s="4"/>
      <c r="CM1203" s="4"/>
      <c r="CN1203" s="16"/>
      <c r="CO1203" s="10"/>
      <c r="CP1203" s="16"/>
      <c r="CQ1203" s="4"/>
      <c r="CR1203" s="4"/>
      <c r="CS1203" s="4"/>
      <c r="CT1203" s="10"/>
      <c r="CU1203" s="4"/>
      <c r="CV1203" s="4"/>
      <c r="CW1203" s="4"/>
      <c r="CX1203" s="4"/>
      <c r="CY1203" s="10"/>
      <c r="CZ1203" s="4"/>
      <c r="DA1203" s="4"/>
      <c r="DB1203" s="4"/>
      <c r="DC1203" s="4"/>
      <c r="DD1203" s="10"/>
      <c r="DE1203" s="4"/>
      <c r="DF1203" s="4"/>
      <c r="DG1203" s="16"/>
      <c r="DH1203" s="4"/>
      <c r="DI1203" s="10"/>
      <c r="DJ1203" s="16"/>
      <c r="DK1203" s="16"/>
      <c r="DL1203" s="16"/>
      <c r="DM1203" s="4"/>
      <c r="DN1203" s="10"/>
      <c r="DO1203" s="4"/>
      <c r="DP1203" s="4"/>
      <c r="DQ1203" s="4"/>
      <c r="DR1203" s="4"/>
      <c r="DS1203" s="10"/>
      <c r="DT1203" s="4"/>
      <c r="DU1203" s="4"/>
      <c r="DV1203" s="4"/>
      <c r="DW1203" s="4"/>
      <c r="DX1203" s="10"/>
      <c r="DY1203" s="4"/>
      <c r="DZ1203" s="4"/>
      <c r="EA1203" s="4"/>
      <c r="EB1203" s="4"/>
      <c r="EC1203" s="10"/>
      <c r="ED1203" s="4"/>
      <c r="EE1203" s="4"/>
      <c r="EF1203" s="4"/>
      <c r="EG1203" s="4"/>
      <c r="EH1203" s="10"/>
      <c r="EI1203" s="214"/>
      <c r="EJ1203" s="4"/>
      <c r="EK1203" s="4"/>
      <c r="EL1203" s="4"/>
      <c r="EM1203" s="10"/>
      <c r="EN1203" s="4"/>
      <c r="EO1203" s="4"/>
      <c r="EP1203" s="4"/>
      <c r="EQ1203" s="4"/>
      <c r="ER1203" s="10"/>
      <c r="ES1203" s="4"/>
      <c r="ET1203" s="4"/>
      <c r="EU1203" s="4"/>
      <c r="EV1203" s="4"/>
      <c r="EW1203" s="10"/>
      <c r="EX1203" s="4"/>
      <c r="EY1203" s="4"/>
      <c r="EZ1203" s="4"/>
      <c r="FA1203" s="4"/>
      <c r="FB1203" s="10"/>
      <c r="FC1203" s="4"/>
      <c r="FD1203" s="4"/>
      <c r="FE1203" s="4"/>
      <c r="FF1203" s="4"/>
      <c r="FG1203" s="10"/>
      <c r="FH1203" s="21"/>
      <c r="FI1203" s="4"/>
      <c r="FJ1203" s="4"/>
      <c r="FK1203" s="8"/>
      <c r="FL1203" s="4"/>
    </row>
    <row r="1204" ht="12.75" hidden="1" customHeight="1" outlineLevel="1">
      <c r="A1204" s="4"/>
      <c r="B1204" s="45" t="s">
        <v>459</v>
      </c>
      <c r="C1204" s="4"/>
      <c r="D1204" s="4"/>
      <c r="E1204" s="4"/>
      <c r="F1204" s="4"/>
      <c r="G1204" s="4"/>
      <c r="H1204" s="8"/>
      <c r="I1204" s="4"/>
      <c r="J1204" s="4"/>
      <c r="K1204" s="4"/>
      <c r="L1204" s="4"/>
      <c r="M1204" s="8"/>
      <c r="N1204" s="4"/>
      <c r="O1204" s="4"/>
      <c r="P1204" s="4"/>
      <c r="Q1204" s="4"/>
      <c r="R1204" s="8"/>
      <c r="S1204" s="4"/>
      <c r="T1204" s="4"/>
      <c r="U1204" s="4"/>
      <c r="V1204" s="4"/>
      <c r="W1204" s="8"/>
      <c r="X1204" s="4"/>
      <c r="Y1204" s="4"/>
      <c r="Z1204" s="4"/>
      <c r="AA1204" s="4"/>
      <c r="AB1204" s="8"/>
      <c r="AC1204" s="4"/>
      <c r="AD1204" s="4"/>
      <c r="AE1204" s="4"/>
      <c r="AF1204" s="4"/>
      <c r="AG1204" s="8"/>
      <c r="AH1204" s="4"/>
      <c r="AI1204" s="4"/>
      <c r="AJ1204" s="4"/>
      <c r="AK1204" s="4"/>
      <c r="AL1204" s="8"/>
      <c r="AM1204" s="4"/>
      <c r="AN1204" s="4"/>
      <c r="AO1204" s="4"/>
      <c r="AP1204" s="4"/>
      <c r="AQ1204" s="8"/>
      <c r="AR1204" s="4"/>
      <c r="AS1204" s="4"/>
      <c r="AT1204" s="4"/>
      <c r="AU1204" s="4"/>
      <c r="AV1204" s="8"/>
      <c r="AW1204" s="4"/>
      <c r="AX1204" s="4"/>
      <c r="AY1204" s="4"/>
      <c r="AZ1204" s="4"/>
      <c r="BA1204" s="8"/>
      <c r="BB1204" s="4"/>
      <c r="BC1204" s="4"/>
      <c r="BD1204" s="4"/>
      <c r="BE1204" s="4"/>
      <c r="BF1204" s="8"/>
      <c r="BG1204" s="4"/>
      <c r="BH1204" s="4"/>
      <c r="BI1204" s="4"/>
      <c r="BJ1204" s="4"/>
      <c r="BK1204" s="8"/>
      <c r="BL1204" s="4"/>
      <c r="BM1204" s="4"/>
      <c r="BN1204" s="4"/>
      <c r="BO1204" s="4"/>
      <c r="BP1204" s="8"/>
      <c r="BQ1204" s="4"/>
      <c r="BR1204" s="4"/>
      <c r="BS1204" s="4"/>
      <c r="BT1204" s="4"/>
      <c r="BU1204" s="8"/>
      <c r="BV1204" s="4"/>
      <c r="BW1204" s="4"/>
      <c r="BX1204" s="4"/>
      <c r="BY1204" s="4"/>
      <c r="BZ1204" s="10"/>
      <c r="CA1204" s="4"/>
      <c r="CB1204" s="4"/>
      <c r="CC1204" s="4"/>
      <c r="CD1204" s="4"/>
      <c r="CE1204" s="10"/>
      <c r="CF1204" s="4"/>
      <c r="CG1204" s="4"/>
      <c r="CH1204" s="4"/>
      <c r="CI1204" s="4"/>
      <c r="CJ1204" s="10"/>
      <c r="CK1204" s="4"/>
      <c r="CL1204" s="4"/>
      <c r="CM1204" s="4"/>
      <c r="CN1204" s="16"/>
      <c r="CO1204" s="10"/>
      <c r="CP1204" s="16"/>
      <c r="CQ1204" s="4"/>
      <c r="CR1204" s="4"/>
      <c r="CS1204" s="4"/>
      <c r="CT1204" s="10"/>
      <c r="CU1204" s="4"/>
      <c r="CV1204" s="4"/>
      <c r="CW1204" s="4"/>
      <c r="CX1204" s="4"/>
      <c r="CY1204" s="10"/>
      <c r="CZ1204" s="4"/>
      <c r="DA1204" s="4"/>
      <c r="DB1204" s="4"/>
      <c r="DC1204" s="4"/>
      <c r="DD1204" s="10"/>
      <c r="DE1204" s="4"/>
      <c r="DF1204" s="4"/>
      <c r="DG1204" s="16"/>
      <c r="DH1204" s="4"/>
      <c r="DI1204" s="10"/>
      <c r="DJ1204" s="16"/>
      <c r="DK1204" s="16"/>
      <c r="DL1204" s="16"/>
      <c r="DM1204" s="4"/>
      <c r="DN1204" s="10"/>
      <c r="DO1204" s="4"/>
      <c r="DP1204" s="4"/>
      <c r="DQ1204" s="4"/>
      <c r="DR1204" s="4"/>
      <c r="DS1204" s="10"/>
      <c r="DT1204" s="4"/>
      <c r="DU1204" s="4"/>
      <c r="DV1204" s="4"/>
      <c r="DW1204" s="4"/>
      <c r="DX1204" s="10"/>
      <c r="DY1204" s="4"/>
      <c r="DZ1204" s="4"/>
      <c r="EA1204" s="4"/>
      <c r="EB1204" s="4"/>
      <c r="EC1204" s="10"/>
      <c r="ED1204" s="4"/>
      <c r="EE1204" s="4"/>
      <c r="EF1204" s="4"/>
      <c r="EG1204" s="4"/>
      <c r="EH1204" s="10"/>
      <c r="EI1204" s="214"/>
      <c r="EJ1204" s="4"/>
      <c r="EK1204" s="4"/>
      <c r="EL1204" s="4"/>
      <c r="EM1204" s="10"/>
      <c r="EN1204" s="4"/>
      <c r="EO1204" s="4"/>
      <c r="EP1204" s="4"/>
      <c r="EQ1204" s="4"/>
      <c r="ER1204" s="10"/>
      <c r="ES1204" s="4"/>
      <c r="ET1204" s="4"/>
      <c r="EU1204" s="4"/>
      <c r="EV1204" s="4"/>
      <c r="EW1204" s="10"/>
      <c r="EX1204" s="4"/>
      <c r="EY1204" s="4"/>
      <c r="EZ1204" s="4"/>
      <c r="FA1204" s="4"/>
      <c r="FB1204" s="10"/>
      <c r="FC1204" s="4"/>
      <c r="FD1204" s="4"/>
      <c r="FE1204" s="4"/>
      <c r="FF1204" s="4"/>
      <c r="FG1204" s="10"/>
      <c r="FH1204" s="21"/>
      <c r="FI1204" s="4"/>
      <c r="FJ1204" s="4"/>
      <c r="FK1204" s="8"/>
      <c r="FL1204" s="4"/>
    </row>
    <row r="1205" ht="12.75" hidden="1" customHeight="1" outlineLevel="1">
      <c r="A1205" s="377"/>
      <c r="B1205" s="456" t="str">
        <f t="shared" ref="B1205:B1213" si="5565">B849</f>
        <v>   Microprocessor</v>
      </c>
      <c r="C1205" s="377"/>
      <c r="D1205" s="377"/>
      <c r="E1205" s="377"/>
      <c r="F1205" s="377"/>
      <c r="G1205" s="377"/>
      <c r="H1205" s="747"/>
      <c r="I1205" s="377"/>
      <c r="J1205" s="377"/>
      <c r="K1205" s="377"/>
      <c r="L1205" s="377"/>
      <c r="M1205" s="747"/>
      <c r="N1205" s="377"/>
      <c r="O1205" s="377"/>
      <c r="P1205" s="377"/>
      <c r="Q1205" s="377"/>
      <c r="R1205" s="747"/>
      <c r="S1205" s="377"/>
      <c r="T1205" s="377"/>
      <c r="U1205" s="377"/>
      <c r="V1205" s="377"/>
      <c r="W1205" s="747"/>
      <c r="X1205" s="377"/>
      <c r="Y1205" s="377"/>
      <c r="Z1205" s="377"/>
      <c r="AA1205" s="377"/>
      <c r="AB1205" s="747"/>
      <c r="AC1205" s="377"/>
      <c r="AD1205" s="377"/>
      <c r="AE1205" s="377"/>
      <c r="AF1205" s="377"/>
      <c r="AG1205" s="747"/>
      <c r="AH1205" s="377"/>
      <c r="AI1205" s="377"/>
      <c r="AJ1205" s="377"/>
      <c r="AK1205" s="377"/>
      <c r="AL1205" s="747"/>
      <c r="AM1205" s="377"/>
      <c r="AN1205" s="377"/>
      <c r="AO1205" s="377">
        <f t="shared" ref="AO1205:FG1205" si="5564">AO849</f>
        <v>5698</v>
      </c>
      <c r="AP1205" s="377">
        <f t="shared" si="5564"/>
        <v>6488</v>
      </c>
      <c r="AQ1205" s="747">
        <f t="shared" si="5564"/>
        <v>21863</v>
      </c>
      <c r="AR1205" s="377">
        <f t="shared" si="5564"/>
        <v>5980</v>
      </c>
      <c r="AS1205" s="377">
        <f t="shared" si="5564"/>
        <v>5751</v>
      </c>
      <c r="AT1205" s="377">
        <f t="shared" si="5564"/>
        <v>5928</v>
      </c>
      <c r="AU1205" s="377">
        <f t="shared" si="5564"/>
        <v>6804</v>
      </c>
      <c r="AV1205" s="747">
        <f t="shared" si="5564"/>
        <v>24463</v>
      </c>
      <c r="AW1205" s="377" t="str">
        <f t="shared" si="5564"/>
        <v>#ERROR!</v>
      </c>
      <c r="AX1205" s="377" t="str">
        <f t="shared" si="5564"/>
        <v>#ERROR!</v>
      </c>
      <c r="AY1205" s="377" t="str">
        <f t="shared" si="5564"/>
        <v>#ERROR!</v>
      </c>
      <c r="AZ1205" s="377" t="str">
        <f t="shared" si="5564"/>
        <v>#ERROR!</v>
      </c>
      <c r="BA1205" s="747" t="str">
        <f t="shared" si="5564"/>
        <v>#ERROR!</v>
      </c>
      <c r="BB1205" s="377" t="str">
        <f t="shared" si="5564"/>
        <v>#ERROR!</v>
      </c>
      <c r="BC1205" s="377" t="str">
        <f t="shared" si="5564"/>
        <v>#ERROR!</v>
      </c>
      <c r="BD1205" s="377" t="str">
        <f t="shared" si="5564"/>
        <v>#ERROR!</v>
      </c>
      <c r="BE1205" s="377" t="str">
        <f t="shared" si="5564"/>
        <v>#ERROR!</v>
      </c>
      <c r="BF1205" s="747" t="str">
        <f t="shared" si="5564"/>
        <v>#ERROR!</v>
      </c>
      <c r="BG1205" s="377" t="str">
        <f t="shared" si="5564"/>
        <v>#ERROR!</v>
      </c>
      <c r="BH1205" s="377" t="str">
        <f t="shared" si="5564"/>
        <v>#ERROR!</v>
      </c>
      <c r="BI1205" s="377" t="str">
        <f t="shared" si="5564"/>
        <v>#ERROR!</v>
      </c>
      <c r="BJ1205" s="377" t="str">
        <f t="shared" si="5564"/>
        <v>#ERROR!</v>
      </c>
      <c r="BK1205" s="747" t="str">
        <f t="shared" si="5564"/>
        <v>#ERROR!</v>
      </c>
      <c r="BL1205" s="377" t="str">
        <f t="shared" si="5564"/>
        <v>#ERROR!</v>
      </c>
      <c r="BM1205" s="377" t="str">
        <f t="shared" si="5564"/>
        <v>#ERROR!</v>
      </c>
      <c r="BN1205" s="377" t="str">
        <f t="shared" si="5564"/>
        <v>#ERROR!</v>
      </c>
      <c r="BO1205" s="377" t="str">
        <f t="shared" si="5564"/>
        <v>#ERROR!</v>
      </c>
      <c r="BP1205" s="747" t="str">
        <f t="shared" si="5564"/>
        <v>#ERROR!</v>
      </c>
      <c r="BQ1205" s="377" t="str">
        <f t="shared" si="5564"/>
        <v>#ERROR!</v>
      </c>
      <c r="BR1205" s="377" t="str">
        <f t="shared" si="5564"/>
        <v>#ERROR!</v>
      </c>
      <c r="BS1205" s="377" t="str">
        <f t="shared" si="5564"/>
        <v>#ERROR!</v>
      </c>
      <c r="BT1205" s="377" t="str">
        <f t="shared" si="5564"/>
        <v>#ERROR!</v>
      </c>
      <c r="BU1205" s="747" t="str">
        <f t="shared" si="5564"/>
        <v>#ERROR!</v>
      </c>
      <c r="BV1205" s="377" t="str">
        <f t="shared" si="5564"/>
        <v>#ERROR!</v>
      </c>
      <c r="BW1205" s="377" t="str">
        <f t="shared" si="5564"/>
        <v>#ERROR!</v>
      </c>
      <c r="BX1205" s="377" t="str">
        <f t="shared" si="5564"/>
        <v>#ERROR!</v>
      </c>
      <c r="BY1205" s="377" t="str">
        <f t="shared" si="5564"/>
        <v>#ERROR!</v>
      </c>
      <c r="BZ1205" s="441" t="str">
        <f t="shared" si="5564"/>
        <v>#ERROR!</v>
      </c>
      <c r="CA1205" s="377" t="str">
        <f t="shared" si="5564"/>
        <v>#ERROR!</v>
      </c>
      <c r="CB1205" s="377" t="str">
        <f t="shared" si="5564"/>
        <v>#ERROR!</v>
      </c>
      <c r="CC1205" s="377" t="str">
        <f t="shared" si="5564"/>
        <v>#ERROR!</v>
      </c>
      <c r="CD1205" s="377" t="str">
        <f t="shared" si="5564"/>
        <v>#ERROR!</v>
      </c>
      <c r="CE1205" s="441" t="str">
        <f t="shared" si="5564"/>
        <v>#ERROR!</v>
      </c>
      <c r="CF1205" s="377" t="str">
        <f t="shared" si="5564"/>
        <v>#ERROR!</v>
      </c>
      <c r="CG1205" s="377" t="str">
        <f t="shared" si="5564"/>
        <v>#ERROR!</v>
      </c>
      <c r="CH1205" s="377" t="str">
        <f t="shared" si="5564"/>
        <v>#ERROR!</v>
      </c>
      <c r="CI1205" s="377" t="str">
        <f t="shared" si="5564"/>
        <v>#ERROR!</v>
      </c>
      <c r="CJ1205" s="441" t="str">
        <f t="shared" si="5564"/>
        <v>#ERROR!</v>
      </c>
      <c r="CK1205" s="377" t="str">
        <f t="shared" si="5564"/>
        <v>#ERROR!</v>
      </c>
      <c r="CL1205" s="377" t="str">
        <f t="shared" si="5564"/>
        <v>#ERROR!</v>
      </c>
      <c r="CM1205" s="377" t="str">
        <f t="shared" si="5564"/>
        <v>#ERROR!</v>
      </c>
      <c r="CN1205" s="440" t="str">
        <f t="shared" si="5564"/>
        <v>#ERROR!</v>
      </c>
      <c r="CO1205" s="441" t="str">
        <f t="shared" si="5564"/>
        <v>#ERROR!</v>
      </c>
      <c r="CP1205" s="440" t="str">
        <f t="shared" si="5564"/>
        <v>#ERROR!</v>
      </c>
      <c r="CQ1205" s="377" t="str">
        <f t="shared" si="5564"/>
        <v>#ERROR!</v>
      </c>
      <c r="CR1205" s="377" t="str">
        <f t="shared" si="5564"/>
        <v>#ERROR!</v>
      </c>
      <c r="CS1205" s="377" t="str">
        <f t="shared" si="5564"/>
        <v>#ERROR!</v>
      </c>
      <c r="CT1205" s="441" t="str">
        <f t="shared" si="5564"/>
        <v>#ERROR!</v>
      </c>
      <c r="CU1205" s="377" t="str">
        <f t="shared" si="5564"/>
        <v>#ERROR!</v>
      </c>
      <c r="CV1205" s="377" t="str">
        <f t="shared" si="5564"/>
        <v>#ERROR!</v>
      </c>
      <c r="CW1205" s="377" t="str">
        <f t="shared" si="5564"/>
        <v>#ERROR!</v>
      </c>
      <c r="CX1205" s="377" t="str">
        <f t="shared" si="5564"/>
        <v>#ERROR!</v>
      </c>
      <c r="CY1205" s="441" t="str">
        <f t="shared" si="5564"/>
        <v>#ERROR!</v>
      </c>
      <c r="CZ1205" s="377" t="str">
        <f t="shared" si="5564"/>
        <v>#ERROR!</v>
      </c>
      <c r="DA1205" s="377" t="str">
        <f t="shared" si="5564"/>
        <v>#ERROR!</v>
      </c>
      <c r="DB1205" s="377" t="str">
        <f t="shared" si="5564"/>
        <v>#ERROR!</v>
      </c>
      <c r="DC1205" s="377" t="str">
        <f t="shared" si="5564"/>
        <v>#ERROR!</v>
      </c>
      <c r="DD1205" s="441" t="str">
        <f t="shared" si="5564"/>
        <v>#ERROR!</v>
      </c>
      <c r="DE1205" s="377" t="str">
        <f t="shared" si="5564"/>
        <v>#ERROR!</v>
      </c>
      <c r="DF1205" s="377" t="str">
        <f t="shared" si="5564"/>
        <v>#ERROR!</v>
      </c>
      <c r="DG1205" s="440" t="str">
        <f t="shared" si="5564"/>
        <v>#ERROR!</v>
      </c>
      <c r="DH1205" s="377" t="str">
        <f t="shared" si="5564"/>
        <v>#ERROR!</v>
      </c>
      <c r="DI1205" s="441" t="str">
        <f t="shared" si="5564"/>
        <v>#ERROR!</v>
      </c>
      <c r="DJ1205" s="440" t="str">
        <f t="shared" si="5564"/>
        <v>#ERROR!</v>
      </c>
      <c r="DK1205" s="440" t="str">
        <f t="shared" si="5564"/>
        <v>#ERROR!</v>
      </c>
      <c r="DL1205" s="440" t="str">
        <f t="shared" si="5564"/>
        <v>#ERROR!</v>
      </c>
      <c r="DM1205" s="377" t="str">
        <f t="shared" si="5564"/>
        <v>#ERROR!</v>
      </c>
      <c r="DN1205" s="441" t="str">
        <f t="shared" si="5564"/>
        <v>#ERROR!</v>
      </c>
      <c r="DO1205" s="377" t="str">
        <f t="shared" si="5564"/>
        <v>#ERROR!</v>
      </c>
      <c r="DP1205" s="377" t="str">
        <f t="shared" si="5564"/>
        <v>#ERROR!</v>
      </c>
      <c r="DQ1205" s="377" t="str">
        <f t="shared" si="5564"/>
        <v>#ERROR!</v>
      </c>
      <c r="DR1205" s="377" t="str">
        <f t="shared" si="5564"/>
        <v>#ERROR!</v>
      </c>
      <c r="DS1205" s="441" t="str">
        <f t="shared" si="5564"/>
        <v>#ERROR!</v>
      </c>
      <c r="DT1205" s="377" t="str">
        <f t="shared" si="5564"/>
        <v>#ERROR!</v>
      </c>
      <c r="DU1205" s="377" t="str">
        <f t="shared" si="5564"/>
        <v>#ERROR!</v>
      </c>
      <c r="DV1205" s="377" t="str">
        <f t="shared" si="5564"/>
        <v>#ERROR!</v>
      </c>
      <c r="DW1205" s="377" t="str">
        <f t="shared" si="5564"/>
        <v>#ERROR!</v>
      </c>
      <c r="DX1205" s="441" t="str">
        <f t="shared" si="5564"/>
        <v>#ERROR!</v>
      </c>
      <c r="DY1205" s="377" t="str">
        <f t="shared" si="5564"/>
        <v>#ERROR!</v>
      </c>
      <c r="DZ1205" s="377" t="str">
        <f t="shared" si="5564"/>
        <v>#ERROR!</v>
      </c>
      <c r="EA1205" s="377" t="str">
        <f t="shared" si="5564"/>
        <v>#ERROR!</v>
      </c>
      <c r="EB1205" s="377" t="str">
        <f t="shared" si="5564"/>
        <v>#ERROR!</v>
      </c>
      <c r="EC1205" s="441" t="str">
        <f t="shared" si="5564"/>
        <v>#ERROR!</v>
      </c>
      <c r="ED1205" s="377" t="str">
        <f t="shared" si="5564"/>
        <v>#ERROR!</v>
      </c>
      <c r="EE1205" s="377" t="str">
        <f t="shared" si="5564"/>
        <v>#ERROR!</v>
      </c>
      <c r="EF1205" s="377" t="str">
        <f t="shared" si="5564"/>
        <v>#ERROR!</v>
      </c>
      <c r="EG1205" s="377" t="str">
        <f t="shared" si="5564"/>
        <v>#ERROR!</v>
      </c>
      <c r="EH1205" s="441" t="str">
        <f t="shared" si="5564"/>
        <v>#ERROR!</v>
      </c>
      <c r="EI1205" s="442" t="str">
        <f t="shared" si="5564"/>
        <v>#ERROR!</v>
      </c>
      <c r="EJ1205" s="377" t="str">
        <f t="shared" si="5564"/>
        <v>#ERROR!</v>
      </c>
      <c r="EK1205" s="377" t="str">
        <f t="shared" si="5564"/>
        <v>#ERROR!</v>
      </c>
      <c r="EL1205" s="377" t="str">
        <f t="shared" si="5564"/>
        <v>#ERROR!</v>
      </c>
      <c r="EM1205" s="441" t="str">
        <f t="shared" si="5564"/>
        <v>#ERROR!</v>
      </c>
      <c r="EN1205" s="377" t="str">
        <f t="shared" si="5564"/>
        <v>#ERROR!</v>
      </c>
      <c r="EO1205" s="377" t="str">
        <f t="shared" si="5564"/>
        <v>#ERROR!</v>
      </c>
      <c r="EP1205" s="377" t="str">
        <f t="shared" si="5564"/>
        <v>#ERROR!</v>
      </c>
      <c r="EQ1205" s="377" t="str">
        <f t="shared" si="5564"/>
        <v>#ERROR!</v>
      </c>
      <c r="ER1205" s="441" t="str">
        <f t="shared" si="5564"/>
        <v>#ERROR!</v>
      </c>
      <c r="ES1205" s="377" t="str">
        <f t="shared" si="5564"/>
        <v>#ERROR!</v>
      </c>
      <c r="ET1205" s="377" t="str">
        <f t="shared" si="5564"/>
        <v>#ERROR!</v>
      </c>
      <c r="EU1205" s="377" t="str">
        <f t="shared" si="5564"/>
        <v>#ERROR!</v>
      </c>
      <c r="EV1205" s="377" t="str">
        <f t="shared" si="5564"/>
        <v>#ERROR!</v>
      </c>
      <c r="EW1205" s="441" t="str">
        <f t="shared" si="5564"/>
        <v>#ERROR!</v>
      </c>
      <c r="EX1205" s="377" t="str">
        <f t="shared" si="5564"/>
        <v>#ERROR!</v>
      </c>
      <c r="EY1205" s="377" t="str">
        <f t="shared" si="5564"/>
        <v>#ERROR!</v>
      </c>
      <c r="EZ1205" s="377" t="str">
        <f t="shared" si="5564"/>
        <v>#ERROR!</v>
      </c>
      <c r="FA1205" s="377" t="str">
        <f t="shared" si="5564"/>
        <v>#ERROR!</v>
      </c>
      <c r="FB1205" s="441" t="str">
        <f t="shared" si="5564"/>
        <v>#ERROR!</v>
      </c>
      <c r="FC1205" s="377" t="str">
        <f t="shared" si="5564"/>
        <v>#ERROR!</v>
      </c>
      <c r="FD1205" s="377" t="str">
        <f t="shared" si="5564"/>
        <v>#ERROR!</v>
      </c>
      <c r="FE1205" s="377" t="str">
        <f t="shared" si="5564"/>
        <v>#ERROR!</v>
      </c>
      <c r="FF1205" s="377" t="str">
        <f t="shared" si="5564"/>
        <v>#ERROR!</v>
      </c>
      <c r="FG1205" s="441" t="str">
        <f t="shared" si="5564"/>
        <v>#ERROR!</v>
      </c>
      <c r="FH1205" s="443"/>
      <c r="FI1205" s="377"/>
      <c r="FJ1205" s="377"/>
      <c r="FK1205" s="747"/>
      <c r="FL1205" s="377"/>
    </row>
    <row r="1206" ht="12.75" hidden="1" customHeight="1" outlineLevel="1">
      <c r="A1206" s="377"/>
      <c r="B1206" s="456" t="str">
        <f t="shared" si="5565"/>
        <v>   Chipset</v>
      </c>
      <c r="C1206" s="377"/>
      <c r="D1206" s="377"/>
      <c r="E1206" s="377"/>
      <c r="F1206" s="377"/>
      <c r="G1206" s="377"/>
      <c r="H1206" s="747"/>
      <c r="I1206" s="377"/>
      <c r="J1206" s="377"/>
      <c r="K1206" s="377"/>
      <c r="L1206" s="377"/>
      <c r="M1206" s="747"/>
      <c r="N1206" s="377"/>
      <c r="O1206" s="377"/>
      <c r="P1206" s="377"/>
      <c r="Q1206" s="377"/>
      <c r="R1206" s="747"/>
      <c r="S1206" s="377"/>
      <c r="T1206" s="377"/>
      <c r="U1206" s="377"/>
      <c r="V1206" s="377"/>
      <c r="W1206" s="747"/>
      <c r="X1206" s="377"/>
      <c r="Y1206" s="377"/>
      <c r="Z1206" s="377"/>
      <c r="AA1206" s="377"/>
      <c r="AB1206" s="747"/>
      <c r="AC1206" s="377"/>
      <c r="AD1206" s="377"/>
      <c r="AE1206" s="377"/>
      <c r="AF1206" s="377"/>
      <c r="AG1206" s="747"/>
      <c r="AH1206" s="377"/>
      <c r="AI1206" s="377"/>
      <c r="AJ1206" s="377"/>
      <c r="AK1206" s="377"/>
      <c r="AL1206" s="747"/>
      <c r="AM1206" s="377"/>
      <c r="AN1206" s="377"/>
      <c r="AO1206" s="377">
        <f t="shared" ref="AO1206:FG1206" si="5566">AO850</f>
        <v>772.69</v>
      </c>
      <c r="AP1206" s="377">
        <f t="shared" si="5566"/>
        <v>780</v>
      </c>
      <c r="AQ1206" s="747">
        <f t="shared" si="5566"/>
        <v>2811.57</v>
      </c>
      <c r="AR1206" s="377">
        <f t="shared" si="5566"/>
        <v>725</v>
      </c>
      <c r="AS1206" s="377">
        <f t="shared" si="5566"/>
        <v>703</v>
      </c>
      <c r="AT1206" s="377">
        <f t="shared" si="5566"/>
        <v>807</v>
      </c>
      <c r="AU1206" s="377">
        <f t="shared" si="5566"/>
        <v>930</v>
      </c>
      <c r="AV1206" s="747">
        <f t="shared" si="5566"/>
        <v>3165</v>
      </c>
      <c r="AW1206" s="377">
        <f t="shared" si="5566"/>
        <v>876.4</v>
      </c>
      <c r="AX1206" s="377">
        <f t="shared" si="5566"/>
        <v>898.8</v>
      </c>
      <c r="AY1206" s="377">
        <f t="shared" si="5566"/>
        <v>957.6</v>
      </c>
      <c r="AZ1206" s="377">
        <f t="shared" si="5566"/>
        <v>1013.4</v>
      </c>
      <c r="BA1206" s="747">
        <f t="shared" si="5566"/>
        <v>3746.2</v>
      </c>
      <c r="BB1206" s="377">
        <f t="shared" si="5566"/>
        <v>881.2</v>
      </c>
      <c r="BC1206" s="377">
        <f t="shared" si="5566"/>
        <v>814.55</v>
      </c>
      <c r="BD1206" s="377">
        <f t="shared" si="5566"/>
        <v>903.25</v>
      </c>
      <c r="BE1206" s="377">
        <f t="shared" si="5566"/>
        <v>984.6</v>
      </c>
      <c r="BF1206" s="747">
        <f t="shared" si="5566"/>
        <v>3583.6</v>
      </c>
      <c r="BG1206" s="377">
        <f t="shared" si="5566"/>
        <v>936.5</v>
      </c>
      <c r="BH1206" s="377">
        <f t="shared" si="5566"/>
        <v>1105.2</v>
      </c>
      <c r="BI1206" s="377">
        <f t="shared" si="5566"/>
        <v>1397.9</v>
      </c>
      <c r="BJ1206" s="377">
        <f t="shared" si="5566"/>
        <v>1436.25</v>
      </c>
      <c r="BK1206" s="747">
        <f t="shared" si="5566"/>
        <v>4875.85</v>
      </c>
      <c r="BL1206" s="377">
        <f t="shared" si="5566"/>
        <v>1330.7</v>
      </c>
      <c r="BM1206" s="377">
        <f t="shared" si="5566"/>
        <v>1350</v>
      </c>
      <c r="BN1206" s="377">
        <f t="shared" si="5566"/>
        <v>1409.9</v>
      </c>
      <c r="BO1206" s="377">
        <f t="shared" si="5566"/>
        <v>1025.85</v>
      </c>
      <c r="BP1206" s="747">
        <f t="shared" si="5566"/>
        <v>5116.45</v>
      </c>
      <c r="BQ1206" s="377">
        <f t="shared" si="5566"/>
        <v>843.65</v>
      </c>
      <c r="BR1206" s="377">
        <f t="shared" si="5566"/>
        <v>1051.7</v>
      </c>
      <c r="BS1206" s="377">
        <f t="shared" si="5566"/>
        <v>1329.6</v>
      </c>
      <c r="BT1206" s="377" t="str">
        <f t="shared" si="5566"/>
        <v>#ERROR!</v>
      </c>
      <c r="BU1206" s="747" t="str">
        <f t="shared" si="5566"/>
        <v>#ERROR!</v>
      </c>
      <c r="BV1206" s="377" t="str">
        <f t="shared" si="5566"/>
        <v>#ERROR!</v>
      </c>
      <c r="BW1206" s="377" t="str">
        <f t="shared" si="5566"/>
        <v>#ERROR!</v>
      </c>
      <c r="BX1206" s="377" t="str">
        <f t="shared" si="5566"/>
        <v>#ERROR!</v>
      </c>
      <c r="BY1206" s="377" t="str">
        <f t="shared" si="5566"/>
        <v>#ERROR!</v>
      </c>
      <c r="BZ1206" s="441" t="str">
        <f t="shared" si="5566"/>
        <v>#ERROR!</v>
      </c>
      <c r="CA1206" s="377" t="str">
        <f t="shared" si="5566"/>
        <v>#ERROR!</v>
      </c>
      <c r="CB1206" s="377" t="str">
        <f t="shared" si="5566"/>
        <v>#ERROR!</v>
      </c>
      <c r="CC1206" s="377" t="str">
        <f t="shared" si="5566"/>
        <v>#ERROR!</v>
      </c>
      <c r="CD1206" s="377" t="str">
        <f t="shared" si="5566"/>
        <v>#ERROR!</v>
      </c>
      <c r="CE1206" s="441" t="str">
        <f t="shared" si="5566"/>
        <v>#ERROR!</v>
      </c>
      <c r="CF1206" s="377" t="str">
        <f t="shared" si="5566"/>
        <v>#ERROR!</v>
      </c>
      <c r="CG1206" s="377" t="str">
        <f t="shared" si="5566"/>
        <v>#ERROR!</v>
      </c>
      <c r="CH1206" s="377" t="str">
        <f t="shared" si="5566"/>
        <v>#ERROR!</v>
      </c>
      <c r="CI1206" s="377" t="str">
        <f t="shared" si="5566"/>
        <v>#ERROR!</v>
      </c>
      <c r="CJ1206" s="441" t="str">
        <f t="shared" si="5566"/>
        <v>#ERROR!</v>
      </c>
      <c r="CK1206" s="377" t="str">
        <f t="shared" si="5566"/>
        <v>#ERROR!</v>
      </c>
      <c r="CL1206" s="377" t="str">
        <f t="shared" si="5566"/>
        <v>#ERROR!</v>
      </c>
      <c r="CM1206" s="377" t="str">
        <f t="shared" si="5566"/>
        <v>#ERROR!</v>
      </c>
      <c r="CN1206" s="440" t="str">
        <f t="shared" si="5566"/>
        <v>#ERROR!</v>
      </c>
      <c r="CO1206" s="441" t="str">
        <f t="shared" si="5566"/>
        <v>#ERROR!</v>
      </c>
      <c r="CP1206" s="440" t="str">
        <f t="shared" si="5566"/>
        <v>#ERROR!</v>
      </c>
      <c r="CQ1206" s="377" t="str">
        <f t="shared" si="5566"/>
        <v>#ERROR!</v>
      </c>
      <c r="CR1206" s="377" t="str">
        <f t="shared" si="5566"/>
        <v>#ERROR!</v>
      </c>
      <c r="CS1206" s="377" t="str">
        <f t="shared" si="5566"/>
        <v>#ERROR!</v>
      </c>
      <c r="CT1206" s="441" t="str">
        <f t="shared" si="5566"/>
        <v>#ERROR!</v>
      </c>
      <c r="CU1206" s="377" t="str">
        <f t="shared" si="5566"/>
        <v>#ERROR!</v>
      </c>
      <c r="CV1206" s="377" t="str">
        <f t="shared" si="5566"/>
        <v>#ERROR!</v>
      </c>
      <c r="CW1206" s="377" t="str">
        <f t="shared" si="5566"/>
        <v>#ERROR!</v>
      </c>
      <c r="CX1206" s="377" t="str">
        <f t="shared" si="5566"/>
        <v>#ERROR!</v>
      </c>
      <c r="CY1206" s="441" t="str">
        <f t="shared" si="5566"/>
        <v>#ERROR!</v>
      </c>
      <c r="CZ1206" s="377" t="str">
        <f t="shared" si="5566"/>
        <v>#ERROR!</v>
      </c>
      <c r="DA1206" s="377" t="str">
        <f t="shared" si="5566"/>
        <v>#ERROR!</v>
      </c>
      <c r="DB1206" s="377" t="str">
        <f t="shared" si="5566"/>
        <v>#ERROR!</v>
      </c>
      <c r="DC1206" s="377" t="str">
        <f t="shared" si="5566"/>
        <v>#ERROR!</v>
      </c>
      <c r="DD1206" s="441" t="str">
        <f t="shared" si="5566"/>
        <v>#ERROR!</v>
      </c>
      <c r="DE1206" s="377" t="str">
        <f t="shared" si="5566"/>
        <v>#ERROR!</v>
      </c>
      <c r="DF1206" s="377" t="str">
        <f t="shared" si="5566"/>
        <v>#ERROR!</v>
      </c>
      <c r="DG1206" s="440" t="str">
        <f t="shared" si="5566"/>
        <v>#ERROR!</v>
      </c>
      <c r="DH1206" s="377" t="str">
        <f t="shared" si="5566"/>
        <v>#ERROR!</v>
      </c>
      <c r="DI1206" s="441" t="str">
        <f t="shared" si="5566"/>
        <v>#ERROR!</v>
      </c>
      <c r="DJ1206" s="440" t="str">
        <f t="shared" si="5566"/>
        <v>#ERROR!</v>
      </c>
      <c r="DK1206" s="440" t="str">
        <f t="shared" si="5566"/>
        <v>#ERROR!</v>
      </c>
      <c r="DL1206" s="440" t="str">
        <f t="shared" si="5566"/>
        <v>#ERROR!</v>
      </c>
      <c r="DM1206" s="377" t="str">
        <f t="shared" si="5566"/>
        <v>#ERROR!</v>
      </c>
      <c r="DN1206" s="441" t="str">
        <f t="shared" si="5566"/>
        <v>#ERROR!</v>
      </c>
      <c r="DO1206" s="377" t="str">
        <f t="shared" si="5566"/>
        <v>#ERROR!</v>
      </c>
      <c r="DP1206" s="377" t="str">
        <f t="shared" si="5566"/>
        <v>#ERROR!</v>
      </c>
      <c r="DQ1206" s="377" t="str">
        <f t="shared" si="5566"/>
        <v>#ERROR!</v>
      </c>
      <c r="DR1206" s="377" t="str">
        <f t="shared" si="5566"/>
        <v>#ERROR!</v>
      </c>
      <c r="DS1206" s="441" t="str">
        <f t="shared" si="5566"/>
        <v>#ERROR!</v>
      </c>
      <c r="DT1206" s="377" t="str">
        <f t="shared" si="5566"/>
        <v>#ERROR!</v>
      </c>
      <c r="DU1206" s="377" t="str">
        <f t="shared" si="5566"/>
        <v>#ERROR!</v>
      </c>
      <c r="DV1206" s="377" t="str">
        <f t="shared" si="5566"/>
        <v>#ERROR!</v>
      </c>
      <c r="DW1206" s="377" t="str">
        <f t="shared" si="5566"/>
        <v>#ERROR!</v>
      </c>
      <c r="DX1206" s="441" t="str">
        <f t="shared" si="5566"/>
        <v>#ERROR!</v>
      </c>
      <c r="DY1206" s="377" t="str">
        <f t="shared" si="5566"/>
        <v>#ERROR!</v>
      </c>
      <c r="DZ1206" s="377" t="str">
        <f t="shared" si="5566"/>
        <v>#ERROR!</v>
      </c>
      <c r="EA1206" s="377" t="str">
        <f t="shared" si="5566"/>
        <v>#ERROR!</v>
      </c>
      <c r="EB1206" s="377" t="str">
        <f t="shared" si="5566"/>
        <v>#ERROR!</v>
      </c>
      <c r="EC1206" s="441" t="str">
        <f t="shared" si="5566"/>
        <v>#ERROR!</v>
      </c>
      <c r="ED1206" s="377" t="str">
        <f t="shared" si="5566"/>
        <v>#ERROR!</v>
      </c>
      <c r="EE1206" s="377" t="str">
        <f t="shared" si="5566"/>
        <v>#ERROR!</v>
      </c>
      <c r="EF1206" s="377" t="str">
        <f t="shared" si="5566"/>
        <v>#ERROR!</v>
      </c>
      <c r="EG1206" s="377" t="str">
        <f t="shared" si="5566"/>
        <v>#ERROR!</v>
      </c>
      <c r="EH1206" s="441" t="str">
        <f t="shared" si="5566"/>
        <v>#ERROR!</v>
      </c>
      <c r="EI1206" s="442" t="str">
        <f t="shared" si="5566"/>
        <v>#ERROR!</v>
      </c>
      <c r="EJ1206" s="377" t="str">
        <f t="shared" si="5566"/>
        <v>#ERROR!</v>
      </c>
      <c r="EK1206" s="377" t="str">
        <f t="shared" si="5566"/>
        <v>#ERROR!</v>
      </c>
      <c r="EL1206" s="377" t="str">
        <f t="shared" si="5566"/>
        <v>#ERROR!</v>
      </c>
      <c r="EM1206" s="441" t="str">
        <f t="shared" si="5566"/>
        <v>#ERROR!</v>
      </c>
      <c r="EN1206" s="377" t="str">
        <f t="shared" si="5566"/>
        <v>#ERROR!</v>
      </c>
      <c r="EO1206" s="377" t="str">
        <f t="shared" si="5566"/>
        <v>#ERROR!</v>
      </c>
      <c r="EP1206" s="377" t="str">
        <f t="shared" si="5566"/>
        <v>#ERROR!</v>
      </c>
      <c r="EQ1206" s="377" t="str">
        <f t="shared" si="5566"/>
        <v>#ERROR!</v>
      </c>
      <c r="ER1206" s="441" t="str">
        <f t="shared" si="5566"/>
        <v>#ERROR!</v>
      </c>
      <c r="ES1206" s="377" t="str">
        <f t="shared" si="5566"/>
        <v>#ERROR!</v>
      </c>
      <c r="ET1206" s="377" t="str">
        <f t="shared" si="5566"/>
        <v>#ERROR!</v>
      </c>
      <c r="EU1206" s="377" t="str">
        <f t="shared" si="5566"/>
        <v>#ERROR!</v>
      </c>
      <c r="EV1206" s="377" t="str">
        <f t="shared" si="5566"/>
        <v>#ERROR!</v>
      </c>
      <c r="EW1206" s="441" t="str">
        <f t="shared" si="5566"/>
        <v>#ERROR!</v>
      </c>
      <c r="EX1206" s="377" t="str">
        <f t="shared" si="5566"/>
        <v>#ERROR!</v>
      </c>
      <c r="EY1206" s="377" t="str">
        <f t="shared" si="5566"/>
        <v>#ERROR!</v>
      </c>
      <c r="EZ1206" s="377" t="str">
        <f t="shared" si="5566"/>
        <v>#ERROR!</v>
      </c>
      <c r="FA1206" s="377" t="str">
        <f t="shared" si="5566"/>
        <v>#ERROR!</v>
      </c>
      <c r="FB1206" s="441" t="str">
        <f t="shared" si="5566"/>
        <v>#ERROR!</v>
      </c>
      <c r="FC1206" s="377" t="str">
        <f t="shared" si="5566"/>
        <v>#ERROR!</v>
      </c>
      <c r="FD1206" s="377" t="str">
        <f t="shared" si="5566"/>
        <v>#ERROR!</v>
      </c>
      <c r="FE1206" s="377" t="str">
        <f t="shared" si="5566"/>
        <v>#ERROR!</v>
      </c>
      <c r="FF1206" s="377" t="str">
        <f t="shared" si="5566"/>
        <v>#ERROR!</v>
      </c>
      <c r="FG1206" s="441" t="str">
        <f t="shared" si="5566"/>
        <v>#ERROR!</v>
      </c>
      <c r="FH1206" s="443"/>
      <c r="FI1206" s="377"/>
      <c r="FJ1206" s="377"/>
      <c r="FK1206" s="747"/>
      <c r="FL1206" s="377"/>
    </row>
    <row r="1207" ht="12.75" hidden="1" customHeight="1" outlineLevel="1">
      <c r="A1207" s="377"/>
      <c r="B1207" s="456" t="str">
        <f t="shared" si="5565"/>
        <v>   Motherboard</v>
      </c>
      <c r="C1207" s="377"/>
      <c r="D1207" s="377"/>
      <c r="E1207" s="377"/>
      <c r="F1207" s="377"/>
      <c r="G1207" s="377"/>
      <c r="H1207" s="747"/>
      <c r="I1207" s="377"/>
      <c r="J1207" s="377"/>
      <c r="K1207" s="377"/>
      <c r="L1207" s="377"/>
      <c r="M1207" s="747"/>
      <c r="N1207" s="377"/>
      <c r="O1207" s="377"/>
      <c r="P1207" s="377"/>
      <c r="Q1207" s="377"/>
      <c r="R1207" s="747"/>
      <c r="S1207" s="377"/>
      <c r="T1207" s="377"/>
      <c r="U1207" s="377"/>
      <c r="V1207" s="377"/>
      <c r="W1207" s="747"/>
      <c r="X1207" s="377"/>
      <c r="Y1207" s="377"/>
      <c r="Z1207" s="377"/>
      <c r="AA1207" s="377"/>
      <c r="AB1207" s="747"/>
      <c r="AC1207" s="377"/>
      <c r="AD1207" s="377"/>
      <c r="AE1207" s="377"/>
      <c r="AF1207" s="377"/>
      <c r="AG1207" s="747"/>
      <c r="AH1207" s="377"/>
      <c r="AI1207" s="377"/>
      <c r="AJ1207" s="377"/>
      <c r="AK1207" s="377"/>
      <c r="AL1207" s="747"/>
      <c r="AM1207" s="377"/>
      <c r="AN1207" s="377"/>
      <c r="AO1207" s="377">
        <f t="shared" ref="AO1207:FG1207" si="5567">AO851</f>
        <v>367.31</v>
      </c>
      <c r="AP1207" s="377">
        <f t="shared" si="5567"/>
        <v>403</v>
      </c>
      <c r="AQ1207" s="747">
        <f t="shared" si="5567"/>
        <v>1427.43</v>
      </c>
      <c r="AR1207" s="377">
        <f t="shared" si="5567"/>
        <v>320</v>
      </c>
      <c r="AS1207" s="377">
        <f t="shared" si="5567"/>
        <v>320</v>
      </c>
      <c r="AT1207" s="377">
        <f t="shared" si="5567"/>
        <v>403</v>
      </c>
      <c r="AU1207" s="377">
        <f t="shared" si="5567"/>
        <v>496</v>
      </c>
      <c r="AV1207" s="747">
        <f t="shared" si="5567"/>
        <v>1539</v>
      </c>
      <c r="AW1207" s="377">
        <f t="shared" si="5567"/>
        <v>566.8</v>
      </c>
      <c r="AX1207" s="377">
        <f t="shared" si="5567"/>
        <v>559.2</v>
      </c>
      <c r="AY1207" s="377">
        <f t="shared" si="5567"/>
        <v>573.6</v>
      </c>
      <c r="AZ1207" s="377">
        <f t="shared" si="5567"/>
        <v>590.4</v>
      </c>
      <c r="BA1207" s="747">
        <f t="shared" si="5567"/>
        <v>2290</v>
      </c>
      <c r="BB1207" s="377">
        <f t="shared" si="5567"/>
        <v>502</v>
      </c>
      <c r="BC1207" s="377">
        <f t="shared" si="5567"/>
        <v>577.35</v>
      </c>
      <c r="BD1207" s="377">
        <f t="shared" si="5567"/>
        <v>641.25</v>
      </c>
      <c r="BE1207" s="377">
        <f t="shared" si="5567"/>
        <v>718.85</v>
      </c>
      <c r="BF1207" s="747">
        <f t="shared" si="5567"/>
        <v>2439.45</v>
      </c>
      <c r="BG1207" s="377">
        <f t="shared" si="5567"/>
        <v>715.8</v>
      </c>
      <c r="BH1207" s="377">
        <f t="shared" si="5567"/>
        <v>589</v>
      </c>
      <c r="BI1207" s="377">
        <f t="shared" si="5567"/>
        <v>628.9</v>
      </c>
      <c r="BJ1207" s="377">
        <f t="shared" si="5567"/>
        <v>634.95</v>
      </c>
      <c r="BK1207" s="747">
        <f t="shared" si="5567"/>
        <v>2568.65</v>
      </c>
      <c r="BL1207" s="377">
        <f t="shared" si="5567"/>
        <v>542.25</v>
      </c>
      <c r="BM1207" s="377">
        <f t="shared" si="5567"/>
        <v>569.25</v>
      </c>
      <c r="BN1207" s="377">
        <f t="shared" si="5567"/>
        <v>562.05</v>
      </c>
      <c r="BO1207" s="377">
        <f t="shared" si="5567"/>
        <v>375.75</v>
      </c>
      <c r="BP1207" s="747">
        <f t="shared" si="5567"/>
        <v>2049.3</v>
      </c>
      <c r="BQ1207" s="377">
        <f t="shared" si="5567"/>
        <v>337.95</v>
      </c>
      <c r="BR1207" s="377">
        <f t="shared" si="5567"/>
        <v>398.7</v>
      </c>
      <c r="BS1207" s="377">
        <f t="shared" si="5567"/>
        <v>468</v>
      </c>
      <c r="BT1207" s="377">
        <f t="shared" si="5567"/>
        <v>97.6108058</v>
      </c>
      <c r="BU1207" s="747">
        <f t="shared" si="5567"/>
        <v>1302.260806</v>
      </c>
      <c r="BV1207" s="377">
        <f t="shared" si="5567"/>
        <v>88.68452139</v>
      </c>
      <c r="BW1207" s="377">
        <f t="shared" si="5567"/>
        <v>102.4073613</v>
      </c>
      <c r="BX1207" s="377">
        <f t="shared" si="5567"/>
        <v>106.0602749</v>
      </c>
      <c r="BY1207" s="377">
        <f t="shared" si="5567"/>
        <v>123.2473503</v>
      </c>
      <c r="BZ1207" s="441">
        <f t="shared" si="5567"/>
        <v>420.3995079</v>
      </c>
      <c r="CA1207" s="377">
        <f t="shared" si="5567"/>
        <v>98.74042108</v>
      </c>
      <c r="CB1207" s="377">
        <f t="shared" si="5567"/>
        <v>100.6092984</v>
      </c>
      <c r="CC1207" s="377">
        <f t="shared" si="5567"/>
        <v>103.1028352</v>
      </c>
      <c r="CD1207" s="377">
        <f t="shared" si="5567"/>
        <v>110.6589515</v>
      </c>
      <c r="CE1207" s="441">
        <f t="shared" si="5567"/>
        <v>413.1115062</v>
      </c>
      <c r="CF1207" s="377">
        <f t="shared" si="5567"/>
        <v>99.38608255</v>
      </c>
      <c r="CG1207" s="377">
        <f t="shared" si="5567"/>
        <v>113.505297</v>
      </c>
      <c r="CH1207" s="377">
        <f t="shared" si="5567"/>
        <v>111.4187464</v>
      </c>
      <c r="CI1207" s="377">
        <f t="shared" si="5567"/>
        <v>116.8218492</v>
      </c>
      <c r="CJ1207" s="441">
        <f t="shared" si="5567"/>
        <v>441.1319752</v>
      </c>
      <c r="CK1207" s="377">
        <f t="shared" si="5567"/>
        <v>111.3290388</v>
      </c>
      <c r="CL1207" s="377">
        <f t="shared" si="5567"/>
        <v>115.1395513</v>
      </c>
      <c r="CM1207" s="377">
        <f t="shared" si="5567"/>
        <v>123.9727368</v>
      </c>
      <c r="CN1207" s="440">
        <f t="shared" si="5567"/>
        <v>127.9528765</v>
      </c>
      <c r="CO1207" s="441">
        <f t="shared" si="5567"/>
        <v>478.3942033</v>
      </c>
      <c r="CP1207" s="440">
        <f t="shared" si="5567"/>
        <v>120.4303451</v>
      </c>
      <c r="CQ1207" s="377">
        <f t="shared" si="5567"/>
        <v>141.0293593</v>
      </c>
      <c r="CR1207" s="377">
        <f t="shared" si="5567"/>
        <v>155.4847313</v>
      </c>
      <c r="CS1207" s="377">
        <f t="shared" si="5567"/>
        <v>171.7150269</v>
      </c>
      <c r="CT1207" s="441">
        <f t="shared" si="5567"/>
        <v>588.6594626</v>
      </c>
      <c r="CU1207" s="377">
        <f t="shared" si="5567"/>
        <v>157.4435163</v>
      </c>
      <c r="CV1207" s="377">
        <f t="shared" si="5567"/>
        <v>164.9873456</v>
      </c>
      <c r="CW1207" s="377">
        <f t="shared" si="5567"/>
        <v>192.7886354</v>
      </c>
      <c r="CX1207" s="377">
        <f t="shared" si="5567"/>
        <v>184.254998</v>
      </c>
      <c r="CY1207" s="441">
        <f t="shared" si="5567"/>
        <v>699.4744954</v>
      </c>
      <c r="CZ1207" s="377">
        <f t="shared" si="5567"/>
        <v>168.2193817</v>
      </c>
      <c r="DA1207" s="377">
        <f t="shared" si="5567"/>
        <v>177.9325301</v>
      </c>
      <c r="DB1207" s="377">
        <f t="shared" si="5567"/>
        <v>193.097551</v>
      </c>
      <c r="DC1207" s="377">
        <f t="shared" si="5567"/>
        <v>201.9776982</v>
      </c>
      <c r="DD1207" s="441">
        <f t="shared" si="5567"/>
        <v>741.2271609</v>
      </c>
      <c r="DE1207" s="377">
        <f t="shared" si="5567"/>
        <v>186.0676364</v>
      </c>
      <c r="DF1207" s="377">
        <f t="shared" si="5567"/>
        <v>191.1355854</v>
      </c>
      <c r="DG1207" s="440">
        <f t="shared" si="5567"/>
        <v>209.6160533</v>
      </c>
      <c r="DH1207" s="377">
        <f t="shared" si="5567"/>
        <v>209.1362655</v>
      </c>
      <c r="DI1207" s="441">
        <f t="shared" si="5567"/>
        <v>795.9555406</v>
      </c>
      <c r="DJ1207" s="440">
        <f t="shared" si="5567"/>
        <v>201.7689967</v>
      </c>
      <c r="DK1207" s="440">
        <f t="shared" si="5567"/>
        <v>219.7270539</v>
      </c>
      <c r="DL1207" s="440">
        <f t="shared" si="5567"/>
        <v>243.7398908</v>
      </c>
      <c r="DM1207" s="377">
        <f t="shared" si="5567"/>
        <v>242.8347417</v>
      </c>
      <c r="DN1207" s="441">
        <f t="shared" si="5567"/>
        <v>908.0706831</v>
      </c>
      <c r="DO1207" s="377">
        <f t="shared" si="5567"/>
        <v>229.3859964</v>
      </c>
      <c r="DP1207" s="377">
        <f t="shared" si="5567"/>
        <v>245.7330798</v>
      </c>
      <c r="DQ1207" s="377">
        <f t="shared" si="5567"/>
        <v>266.2534766</v>
      </c>
      <c r="DR1207" s="377">
        <f t="shared" si="5567"/>
        <v>276.9712434</v>
      </c>
      <c r="DS1207" s="441">
        <f t="shared" si="5567"/>
        <v>1018.343796</v>
      </c>
      <c r="DT1207" s="377">
        <f t="shared" si="5567"/>
        <v>261.5935542</v>
      </c>
      <c r="DU1207" s="377">
        <f t="shared" si="5567"/>
        <v>280.342716</v>
      </c>
      <c r="DV1207" s="377">
        <f t="shared" si="5567"/>
        <v>303.8567532</v>
      </c>
      <c r="DW1207" s="377">
        <f t="shared" si="5567"/>
        <v>316.1076606</v>
      </c>
      <c r="DX1207" s="441">
        <f t="shared" si="5567"/>
        <v>1161.900684</v>
      </c>
      <c r="DY1207" s="377">
        <f t="shared" si="5567"/>
        <v>298.5854031</v>
      </c>
      <c r="DZ1207" s="377">
        <f t="shared" si="5567"/>
        <v>320.0899058</v>
      </c>
      <c r="EA1207" s="377">
        <f t="shared" si="5567"/>
        <v>347.0429128</v>
      </c>
      <c r="EB1207" s="377">
        <f t="shared" si="5567"/>
        <v>361.0562954</v>
      </c>
      <c r="EC1207" s="441">
        <f t="shared" si="5567"/>
        <v>1326.774517</v>
      </c>
      <c r="ED1207" s="377">
        <f t="shared" si="5567"/>
        <v>0</v>
      </c>
      <c r="EE1207" s="377">
        <f t="shared" si="5567"/>
        <v>0</v>
      </c>
      <c r="EF1207" s="377">
        <f t="shared" si="5567"/>
        <v>0</v>
      </c>
      <c r="EG1207" s="377">
        <f t="shared" si="5567"/>
        <v>0</v>
      </c>
      <c r="EH1207" s="441">
        <f t="shared" si="5567"/>
        <v>0</v>
      </c>
      <c r="EI1207" s="442">
        <f t="shared" si="5567"/>
        <v>0</v>
      </c>
      <c r="EJ1207" s="377">
        <f t="shared" si="5567"/>
        <v>0</v>
      </c>
      <c r="EK1207" s="377">
        <f t="shared" si="5567"/>
        <v>0</v>
      </c>
      <c r="EL1207" s="377">
        <f t="shared" si="5567"/>
        <v>0</v>
      </c>
      <c r="EM1207" s="441">
        <f t="shared" si="5567"/>
        <v>0</v>
      </c>
      <c r="EN1207" s="377">
        <f t="shared" si="5567"/>
        <v>0</v>
      </c>
      <c r="EO1207" s="377">
        <f t="shared" si="5567"/>
        <v>0</v>
      </c>
      <c r="EP1207" s="377">
        <f t="shared" si="5567"/>
        <v>0</v>
      </c>
      <c r="EQ1207" s="377">
        <f t="shared" si="5567"/>
        <v>0</v>
      </c>
      <c r="ER1207" s="441">
        <f t="shared" si="5567"/>
        <v>0</v>
      </c>
      <c r="ES1207" s="377">
        <f t="shared" si="5567"/>
        <v>0</v>
      </c>
      <c r="ET1207" s="377">
        <f t="shared" si="5567"/>
        <v>0</v>
      </c>
      <c r="EU1207" s="377">
        <f t="shared" si="5567"/>
        <v>0</v>
      </c>
      <c r="EV1207" s="377">
        <f t="shared" si="5567"/>
        <v>0</v>
      </c>
      <c r="EW1207" s="441">
        <f t="shared" si="5567"/>
        <v>0</v>
      </c>
      <c r="EX1207" s="377">
        <f t="shared" si="5567"/>
        <v>0</v>
      </c>
      <c r="EY1207" s="377">
        <f t="shared" si="5567"/>
        <v>0</v>
      </c>
      <c r="EZ1207" s="377">
        <f t="shared" si="5567"/>
        <v>0</v>
      </c>
      <c r="FA1207" s="377">
        <f t="shared" si="5567"/>
        <v>0</v>
      </c>
      <c r="FB1207" s="441">
        <f t="shared" si="5567"/>
        <v>0</v>
      </c>
      <c r="FC1207" s="377">
        <f t="shared" si="5567"/>
        <v>0</v>
      </c>
      <c r="FD1207" s="377">
        <f t="shared" si="5567"/>
        <v>0</v>
      </c>
      <c r="FE1207" s="377">
        <f t="shared" si="5567"/>
        <v>0</v>
      </c>
      <c r="FF1207" s="377">
        <f t="shared" si="5567"/>
        <v>0</v>
      </c>
      <c r="FG1207" s="441">
        <f t="shared" si="5567"/>
        <v>0</v>
      </c>
      <c r="FH1207" s="443"/>
      <c r="FI1207" s="377"/>
      <c r="FJ1207" s="377"/>
      <c r="FK1207" s="747"/>
      <c r="FL1207" s="377"/>
    </row>
    <row r="1208" ht="12.75" hidden="1" customHeight="1" outlineLevel="1">
      <c r="A1208" s="377"/>
      <c r="B1208" s="456" t="str">
        <f t="shared" si="5565"/>
        <v>Architecture group - IAG</v>
      </c>
      <c r="C1208" s="377"/>
      <c r="D1208" s="377"/>
      <c r="E1208" s="377"/>
      <c r="F1208" s="377"/>
      <c r="G1208" s="377"/>
      <c r="H1208" s="747"/>
      <c r="I1208" s="377"/>
      <c r="J1208" s="377"/>
      <c r="K1208" s="377"/>
      <c r="L1208" s="377"/>
      <c r="M1208" s="747"/>
      <c r="N1208" s="377"/>
      <c r="O1208" s="377"/>
      <c r="P1208" s="377"/>
      <c r="Q1208" s="377"/>
      <c r="R1208" s="747"/>
      <c r="S1208" s="377"/>
      <c r="T1208" s="377"/>
      <c r="U1208" s="377"/>
      <c r="V1208" s="377"/>
      <c r="W1208" s="747"/>
      <c r="X1208" s="377"/>
      <c r="Y1208" s="377"/>
      <c r="Z1208" s="377"/>
      <c r="AA1208" s="377"/>
      <c r="AB1208" s="747"/>
      <c r="AC1208" s="377"/>
      <c r="AD1208" s="377"/>
      <c r="AE1208" s="377"/>
      <c r="AF1208" s="377"/>
      <c r="AG1208" s="747"/>
      <c r="AH1208" s="377"/>
      <c r="AI1208" s="377"/>
      <c r="AJ1208" s="377"/>
      <c r="AK1208" s="377"/>
      <c r="AL1208" s="747"/>
      <c r="AM1208" s="377"/>
      <c r="AN1208" s="377"/>
      <c r="AO1208" s="377">
        <f t="shared" ref="AO1208:FG1208" si="5568">SUM(AO1205:AO1207)</f>
        <v>6838</v>
      </c>
      <c r="AP1208" s="377">
        <f t="shared" si="5568"/>
        <v>7671</v>
      </c>
      <c r="AQ1208" s="747">
        <f t="shared" si="5568"/>
        <v>26102</v>
      </c>
      <c r="AR1208" s="377">
        <f t="shared" si="5568"/>
        <v>7025</v>
      </c>
      <c r="AS1208" s="377">
        <f t="shared" si="5568"/>
        <v>6774</v>
      </c>
      <c r="AT1208" s="377">
        <f t="shared" si="5568"/>
        <v>7138</v>
      </c>
      <c r="AU1208" s="377">
        <f t="shared" si="5568"/>
        <v>8230</v>
      </c>
      <c r="AV1208" s="747">
        <f t="shared" si="5568"/>
        <v>29167</v>
      </c>
      <c r="AW1208" s="377" t="str">
        <f t="shared" si="5568"/>
        <v>#ERROR!</v>
      </c>
      <c r="AX1208" s="377" t="str">
        <f t="shared" si="5568"/>
        <v>#ERROR!</v>
      </c>
      <c r="AY1208" s="377" t="str">
        <f t="shared" si="5568"/>
        <v>#ERROR!</v>
      </c>
      <c r="AZ1208" s="377" t="str">
        <f t="shared" si="5568"/>
        <v>#ERROR!</v>
      </c>
      <c r="BA1208" s="747" t="str">
        <f t="shared" si="5568"/>
        <v>#ERROR!</v>
      </c>
      <c r="BB1208" s="377" t="str">
        <f t="shared" si="5568"/>
        <v>#ERROR!</v>
      </c>
      <c r="BC1208" s="377" t="str">
        <f t="shared" si="5568"/>
        <v>#ERROR!</v>
      </c>
      <c r="BD1208" s="377" t="str">
        <f t="shared" si="5568"/>
        <v>#ERROR!</v>
      </c>
      <c r="BE1208" s="377" t="str">
        <f t="shared" si="5568"/>
        <v>#ERROR!</v>
      </c>
      <c r="BF1208" s="747" t="str">
        <f t="shared" si="5568"/>
        <v>#ERROR!</v>
      </c>
      <c r="BG1208" s="377" t="str">
        <f t="shared" si="5568"/>
        <v>#ERROR!</v>
      </c>
      <c r="BH1208" s="377" t="str">
        <f t="shared" si="5568"/>
        <v>#ERROR!</v>
      </c>
      <c r="BI1208" s="377" t="str">
        <f t="shared" si="5568"/>
        <v>#ERROR!</v>
      </c>
      <c r="BJ1208" s="377" t="str">
        <f t="shared" si="5568"/>
        <v>#ERROR!</v>
      </c>
      <c r="BK1208" s="747" t="str">
        <f t="shared" si="5568"/>
        <v>#ERROR!</v>
      </c>
      <c r="BL1208" s="377" t="str">
        <f t="shared" si="5568"/>
        <v>#ERROR!</v>
      </c>
      <c r="BM1208" s="377" t="str">
        <f t="shared" si="5568"/>
        <v>#ERROR!</v>
      </c>
      <c r="BN1208" s="377" t="str">
        <f t="shared" si="5568"/>
        <v>#ERROR!</v>
      </c>
      <c r="BO1208" s="377" t="str">
        <f t="shared" si="5568"/>
        <v>#ERROR!</v>
      </c>
      <c r="BP1208" s="747" t="str">
        <f t="shared" si="5568"/>
        <v>#ERROR!</v>
      </c>
      <c r="BQ1208" s="377" t="str">
        <f t="shared" si="5568"/>
        <v>#ERROR!</v>
      </c>
      <c r="BR1208" s="377" t="str">
        <f t="shared" si="5568"/>
        <v>#ERROR!</v>
      </c>
      <c r="BS1208" s="377" t="str">
        <f t="shared" si="5568"/>
        <v>#ERROR!</v>
      </c>
      <c r="BT1208" s="377" t="str">
        <f t="shared" si="5568"/>
        <v>#ERROR!</v>
      </c>
      <c r="BU1208" s="747" t="str">
        <f t="shared" si="5568"/>
        <v>#ERROR!</v>
      </c>
      <c r="BV1208" s="377" t="str">
        <f t="shared" si="5568"/>
        <v>#ERROR!</v>
      </c>
      <c r="BW1208" s="377" t="str">
        <f t="shared" si="5568"/>
        <v>#ERROR!</v>
      </c>
      <c r="BX1208" s="377" t="str">
        <f t="shared" si="5568"/>
        <v>#ERROR!</v>
      </c>
      <c r="BY1208" s="377" t="str">
        <f t="shared" si="5568"/>
        <v>#ERROR!</v>
      </c>
      <c r="BZ1208" s="441" t="str">
        <f t="shared" si="5568"/>
        <v>#ERROR!</v>
      </c>
      <c r="CA1208" s="377" t="str">
        <f t="shared" si="5568"/>
        <v>#ERROR!</v>
      </c>
      <c r="CB1208" s="377" t="str">
        <f t="shared" si="5568"/>
        <v>#ERROR!</v>
      </c>
      <c r="CC1208" s="377" t="str">
        <f t="shared" si="5568"/>
        <v>#ERROR!</v>
      </c>
      <c r="CD1208" s="377" t="str">
        <f t="shared" si="5568"/>
        <v>#ERROR!</v>
      </c>
      <c r="CE1208" s="441" t="str">
        <f t="shared" si="5568"/>
        <v>#ERROR!</v>
      </c>
      <c r="CF1208" s="377" t="str">
        <f t="shared" si="5568"/>
        <v>#ERROR!</v>
      </c>
      <c r="CG1208" s="377" t="str">
        <f t="shared" si="5568"/>
        <v>#ERROR!</v>
      </c>
      <c r="CH1208" s="377" t="str">
        <f t="shared" si="5568"/>
        <v>#ERROR!</v>
      </c>
      <c r="CI1208" s="377" t="str">
        <f t="shared" si="5568"/>
        <v>#ERROR!</v>
      </c>
      <c r="CJ1208" s="441" t="str">
        <f t="shared" si="5568"/>
        <v>#ERROR!</v>
      </c>
      <c r="CK1208" s="377" t="str">
        <f t="shared" si="5568"/>
        <v>#ERROR!</v>
      </c>
      <c r="CL1208" s="377" t="str">
        <f t="shared" si="5568"/>
        <v>#ERROR!</v>
      </c>
      <c r="CM1208" s="377" t="str">
        <f t="shared" si="5568"/>
        <v>#ERROR!</v>
      </c>
      <c r="CN1208" s="440" t="str">
        <f t="shared" si="5568"/>
        <v>#ERROR!</v>
      </c>
      <c r="CO1208" s="441" t="str">
        <f t="shared" si="5568"/>
        <v>#ERROR!</v>
      </c>
      <c r="CP1208" s="440" t="str">
        <f t="shared" si="5568"/>
        <v>#ERROR!</v>
      </c>
      <c r="CQ1208" s="377" t="str">
        <f t="shared" si="5568"/>
        <v>#ERROR!</v>
      </c>
      <c r="CR1208" s="377" t="str">
        <f t="shared" si="5568"/>
        <v>#ERROR!</v>
      </c>
      <c r="CS1208" s="377" t="str">
        <f t="shared" si="5568"/>
        <v>#ERROR!</v>
      </c>
      <c r="CT1208" s="441" t="str">
        <f t="shared" si="5568"/>
        <v>#ERROR!</v>
      </c>
      <c r="CU1208" s="377" t="str">
        <f t="shared" si="5568"/>
        <v>#ERROR!</v>
      </c>
      <c r="CV1208" s="377" t="str">
        <f t="shared" si="5568"/>
        <v>#ERROR!</v>
      </c>
      <c r="CW1208" s="377" t="str">
        <f t="shared" si="5568"/>
        <v>#ERROR!</v>
      </c>
      <c r="CX1208" s="377" t="str">
        <f t="shared" si="5568"/>
        <v>#ERROR!</v>
      </c>
      <c r="CY1208" s="441" t="str">
        <f t="shared" si="5568"/>
        <v>#ERROR!</v>
      </c>
      <c r="CZ1208" s="377" t="str">
        <f t="shared" si="5568"/>
        <v>#ERROR!</v>
      </c>
      <c r="DA1208" s="377" t="str">
        <f t="shared" si="5568"/>
        <v>#ERROR!</v>
      </c>
      <c r="DB1208" s="377" t="str">
        <f t="shared" si="5568"/>
        <v>#ERROR!</v>
      </c>
      <c r="DC1208" s="377" t="str">
        <f t="shared" si="5568"/>
        <v>#ERROR!</v>
      </c>
      <c r="DD1208" s="441" t="str">
        <f t="shared" si="5568"/>
        <v>#ERROR!</v>
      </c>
      <c r="DE1208" s="377" t="str">
        <f t="shared" si="5568"/>
        <v>#ERROR!</v>
      </c>
      <c r="DF1208" s="377" t="str">
        <f t="shared" si="5568"/>
        <v>#ERROR!</v>
      </c>
      <c r="DG1208" s="440" t="str">
        <f t="shared" si="5568"/>
        <v>#ERROR!</v>
      </c>
      <c r="DH1208" s="377" t="str">
        <f t="shared" si="5568"/>
        <v>#ERROR!</v>
      </c>
      <c r="DI1208" s="441" t="str">
        <f t="shared" si="5568"/>
        <v>#ERROR!</v>
      </c>
      <c r="DJ1208" s="440" t="str">
        <f t="shared" si="5568"/>
        <v>#ERROR!</v>
      </c>
      <c r="DK1208" s="440" t="str">
        <f t="shared" si="5568"/>
        <v>#ERROR!</v>
      </c>
      <c r="DL1208" s="440" t="str">
        <f t="shared" si="5568"/>
        <v>#ERROR!</v>
      </c>
      <c r="DM1208" s="377" t="str">
        <f t="shared" si="5568"/>
        <v>#ERROR!</v>
      </c>
      <c r="DN1208" s="441" t="str">
        <f t="shared" si="5568"/>
        <v>#ERROR!</v>
      </c>
      <c r="DO1208" s="377" t="str">
        <f t="shared" si="5568"/>
        <v>#ERROR!</v>
      </c>
      <c r="DP1208" s="377" t="str">
        <f t="shared" si="5568"/>
        <v>#ERROR!</v>
      </c>
      <c r="DQ1208" s="377" t="str">
        <f t="shared" si="5568"/>
        <v>#ERROR!</v>
      </c>
      <c r="DR1208" s="377" t="str">
        <f t="shared" si="5568"/>
        <v>#ERROR!</v>
      </c>
      <c r="DS1208" s="441" t="str">
        <f t="shared" si="5568"/>
        <v>#ERROR!</v>
      </c>
      <c r="DT1208" s="377" t="str">
        <f t="shared" si="5568"/>
        <v>#ERROR!</v>
      </c>
      <c r="DU1208" s="377" t="str">
        <f t="shared" si="5568"/>
        <v>#ERROR!</v>
      </c>
      <c r="DV1208" s="377" t="str">
        <f t="shared" si="5568"/>
        <v>#ERROR!</v>
      </c>
      <c r="DW1208" s="377" t="str">
        <f t="shared" si="5568"/>
        <v>#ERROR!</v>
      </c>
      <c r="DX1208" s="441" t="str">
        <f t="shared" si="5568"/>
        <v>#ERROR!</v>
      </c>
      <c r="DY1208" s="377" t="str">
        <f t="shared" si="5568"/>
        <v>#ERROR!</v>
      </c>
      <c r="DZ1208" s="377" t="str">
        <f t="shared" si="5568"/>
        <v>#ERROR!</v>
      </c>
      <c r="EA1208" s="377" t="str">
        <f t="shared" si="5568"/>
        <v>#ERROR!</v>
      </c>
      <c r="EB1208" s="377" t="str">
        <f t="shared" si="5568"/>
        <v>#ERROR!</v>
      </c>
      <c r="EC1208" s="441" t="str">
        <f t="shared" si="5568"/>
        <v>#ERROR!</v>
      </c>
      <c r="ED1208" s="377" t="str">
        <f t="shared" si="5568"/>
        <v>#ERROR!</v>
      </c>
      <c r="EE1208" s="377" t="str">
        <f t="shared" si="5568"/>
        <v>#ERROR!</v>
      </c>
      <c r="EF1208" s="377" t="str">
        <f t="shared" si="5568"/>
        <v>#ERROR!</v>
      </c>
      <c r="EG1208" s="377" t="str">
        <f t="shared" si="5568"/>
        <v>#ERROR!</v>
      </c>
      <c r="EH1208" s="441" t="str">
        <f t="shared" si="5568"/>
        <v>#ERROR!</v>
      </c>
      <c r="EI1208" s="442" t="str">
        <f t="shared" si="5568"/>
        <v>#ERROR!</v>
      </c>
      <c r="EJ1208" s="377" t="str">
        <f t="shared" si="5568"/>
        <v>#ERROR!</v>
      </c>
      <c r="EK1208" s="377" t="str">
        <f t="shared" si="5568"/>
        <v>#ERROR!</v>
      </c>
      <c r="EL1208" s="377" t="str">
        <f t="shared" si="5568"/>
        <v>#ERROR!</v>
      </c>
      <c r="EM1208" s="441" t="str">
        <f t="shared" si="5568"/>
        <v>#ERROR!</v>
      </c>
      <c r="EN1208" s="377" t="str">
        <f t="shared" si="5568"/>
        <v>#ERROR!</v>
      </c>
      <c r="EO1208" s="377" t="str">
        <f t="shared" si="5568"/>
        <v>#ERROR!</v>
      </c>
      <c r="EP1208" s="377" t="str">
        <f t="shared" si="5568"/>
        <v>#ERROR!</v>
      </c>
      <c r="EQ1208" s="377" t="str">
        <f t="shared" si="5568"/>
        <v>#ERROR!</v>
      </c>
      <c r="ER1208" s="441" t="str">
        <f t="shared" si="5568"/>
        <v>#ERROR!</v>
      </c>
      <c r="ES1208" s="377" t="str">
        <f t="shared" si="5568"/>
        <v>#ERROR!</v>
      </c>
      <c r="ET1208" s="377" t="str">
        <f t="shared" si="5568"/>
        <v>#ERROR!</v>
      </c>
      <c r="EU1208" s="377" t="str">
        <f t="shared" si="5568"/>
        <v>#ERROR!</v>
      </c>
      <c r="EV1208" s="377" t="str">
        <f t="shared" si="5568"/>
        <v>#ERROR!</v>
      </c>
      <c r="EW1208" s="441" t="str">
        <f t="shared" si="5568"/>
        <v>#ERROR!</v>
      </c>
      <c r="EX1208" s="377" t="str">
        <f t="shared" si="5568"/>
        <v>#ERROR!</v>
      </c>
      <c r="EY1208" s="377" t="str">
        <f t="shared" si="5568"/>
        <v>#ERROR!</v>
      </c>
      <c r="EZ1208" s="377" t="str">
        <f t="shared" si="5568"/>
        <v>#ERROR!</v>
      </c>
      <c r="FA1208" s="377" t="str">
        <f t="shared" si="5568"/>
        <v>#ERROR!</v>
      </c>
      <c r="FB1208" s="441" t="str">
        <f t="shared" si="5568"/>
        <v>#ERROR!</v>
      </c>
      <c r="FC1208" s="377" t="str">
        <f t="shared" si="5568"/>
        <v>#ERROR!</v>
      </c>
      <c r="FD1208" s="377" t="str">
        <f t="shared" si="5568"/>
        <v>#ERROR!</v>
      </c>
      <c r="FE1208" s="377" t="str">
        <f t="shared" si="5568"/>
        <v>#ERROR!</v>
      </c>
      <c r="FF1208" s="377" t="str">
        <f t="shared" si="5568"/>
        <v>#ERROR!</v>
      </c>
      <c r="FG1208" s="441" t="str">
        <f t="shared" si="5568"/>
        <v>#ERROR!</v>
      </c>
      <c r="FH1208" s="443"/>
      <c r="FI1208" s="377"/>
      <c r="FJ1208" s="377"/>
      <c r="FK1208" s="747"/>
      <c r="FL1208" s="377"/>
    </row>
    <row r="1209" ht="12.75" hidden="1" customHeight="1" outlineLevel="1">
      <c r="A1209" s="377"/>
      <c r="B1209" s="456" t="str">
        <f t="shared" si="5565"/>
        <v>WCCG</v>
      </c>
      <c r="C1209" s="377"/>
      <c r="D1209" s="377"/>
      <c r="E1209" s="377"/>
      <c r="F1209" s="377"/>
      <c r="G1209" s="377"/>
      <c r="H1209" s="747"/>
      <c r="I1209" s="377"/>
      <c r="J1209" s="377"/>
      <c r="K1209" s="377"/>
      <c r="L1209" s="377"/>
      <c r="M1209" s="747"/>
      <c r="N1209" s="377"/>
      <c r="O1209" s="377"/>
      <c r="P1209" s="377"/>
      <c r="Q1209" s="377"/>
      <c r="R1209" s="747"/>
      <c r="S1209" s="377"/>
      <c r="T1209" s="377"/>
      <c r="U1209" s="377"/>
      <c r="V1209" s="377"/>
      <c r="W1209" s="747"/>
      <c r="X1209" s="377"/>
      <c r="Y1209" s="377"/>
      <c r="Z1209" s="377"/>
      <c r="AA1209" s="377"/>
      <c r="AB1209" s="747"/>
      <c r="AC1209" s="377"/>
      <c r="AD1209" s="377"/>
      <c r="AE1209" s="377"/>
      <c r="AF1209" s="377"/>
      <c r="AG1209" s="747"/>
      <c r="AH1209" s="377"/>
      <c r="AI1209" s="377"/>
      <c r="AJ1209" s="377"/>
      <c r="AK1209" s="377"/>
      <c r="AL1209" s="747"/>
      <c r="AM1209" s="377"/>
      <c r="AN1209" s="377"/>
      <c r="AO1209" s="377">
        <f t="shared" ref="AO1209:FG1209" si="5569">AO853</f>
        <v>450</v>
      </c>
      <c r="AP1209" s="377">
        <f t="shared" si="5569"/>
        <v>469</v>
      </c>
      <c r="AQ1209" s="747">
        <f t="shared" si="5569"/>
        <v>1857</v>
      </c>
      <c r="AR1209" s="377" t="str">
        <f t="shared" si="5569"/>
        <v/>
      </c>
      <c r="AS1209" s="377" t="str">
        <f t="shared" si="5569"/>
        <v/>
      </c>
      <c r="AT1209" s="377" t="str">
        <f t="shared" si="5569"/>
        <v/>
      </c>
      <c r="AU1209" s="377" t="str">
        <f t="shared" si="5569"/>
        <v/>
      </c>
      <c r="AV1209" s="747" t="str">
        <f t="shared" si="5569"/>
        <v/>
      </c>
      <c r="AW1209" s="377" t="str">
        <f t="shared" si="5569"/>
        <v/>
      </c>
      <c r="AX1209" s="377" t="str">
        <f t="shared" si="5569"/>
        <v/>
      </c>
      <c r="AY1209" s="377" t="str">
        <f t="shared" si="5569"/>
        <v/>
      </c>
      <c r="AZ1209" s="377" t="str">
        <f t="shared" si="5569"/>
        <v/>
      </c>
      <c r="BA1209" s="747" t="str">
        <f t="shared" si="5569"/>
        <v/>
      </c>
      <c r="BB1209" s="377" t="str">
        <f t="shared" si="5569"/>
        <v/>
      </c>
      <c r="BC1209" s="377" t="str">
        <f t="shared" si="5569"/>
        <v/>
      </c>
      <c r="BD1209" s="377" t="str">
        <f t="shared" si="5569"/>
        <v/>
      </c>
      <c r="BE1209" s="377" t="str">
        <f t="shared" si="5569"/>
        <v/>
      </c>
      <c r="BF1209" s="747" t="str">
        <f t="shared" si="5569"/>
        <v/>
      </c>
      <c r="BG1209" s="377" t="str">
        <f t="shared" si="5569"/>
        <v/>
      </c>
      <c r="BH1209" s="377" t="str">
        <f t="shared" si="5569"/>
        <v/>
      </c>
      <c r="BI1209" s="377" t="str">
        <f t="shared" si="5569"/>
        <v/>
      </c>
      <c r="BJ1209" s="377" t="str">
        <f t="shared" si="5569"/>
        <v/>
      </c>
      <c r="BK1209" s="747" t="str">
        <f t="shared" si="5569"/>
        <v/>
      </c>
      <c r="BL1209" s="377" t="str">
        <f t="shared" si="5569"/>
        <v/>
      </c>
      <c r="BM1209" s="377" t="str">
        <f t="shared" si="5569"/>
        <v/>
      </c>
      <c r="BN1209" s="377" t="str">
        <f t="shared" si="5569"/>
        <v/>
      </c>
      <c r="BO1209" s="377" t="str">
        <f t="shared" si="5569"/>
        <v/>
      </c>
      <c r="BP1209" s="747" t="str">
        <f t="shared" si="5569"/>
        <v/>
      </c>
      <c r="BQ1209" s="377" t="str">
        <f t="shared" si="5569"/>
        <v/>
      </c>
      <c r="BR1209" s="377" t="str">
        <f t="shared" si="5569"/>
        <v/>
      </c>
      <c r="BS1209" s="377" t="str">
        <f t="shared" si="5569"/>
        <v/>
      </c>
      <c r="BT1209" s="377" t="str">
        <f t="shared" si="5569"/>
        <v/>
      </c>
      <c r="BU1209" s="747" t="str">
        <f t="shared" si="5569"/>
        <v/>
      </c>
      <c r="BV1209" s="377" t="str">
        <f t="shared" si="5569"/>
        <v/>
      </c>
      <c r="BW1209" s="377" t="str">
        <f t="shared" si="5569"/>
        <v/>
      </c>
      <c r="BX1209" s="377" t="str">
        <f t="shared" si="5569"/>
        <v/>
      </c>
      <c r="BY1209" s="377" t="str">
        <f t="shared" si="5569"/>
        <v/>
      </c>
      <c r="BZ1209" s="441" t="str">
        <f t="shared" si="5569"/>
        <v/>
      </c>
      <c r="CA1209" s="377" t="str">
        <f t="shared" si="5569"/>
        <v/>
      </c>
      <c r="CB1209" s="377" t="str">
        <f t="shared" si="5569"/>
        <v/>
      </c>
      <c r="CC1209" s="377" t="str">
        <f t="shared" si="5569"/>
        <v/>
      </c>
      <c r="CD1209" s="377" t="str">
        <f t="shared" si="5569"/>
        <v/>
      </c>
      <c r="CE1209" s="441" t="str">
        <f t="shared" si="5569"/>
        <v/>
      </c>
      <c r="CF1209" s="377" t="str">
        <f t="shared" si="5569"/>
        <v/>
      </c>
      <c r="CG1209" s="377" t="str">
        <f t="shared" si="5569"/>
        <v/>
      </c>
      <c r="CH1209" s="377" t="str">
        <f t="shared" si="5569"/>
        <v/>
      </c>
      <c r="CI1209" s="377" t="str">
        <f t="shared" si="5569"/>
        <v/>
      </c>
      <c r="CJ1209" s="441" t="str">
        <f t="shared" si="5569"/>
        <v/>
      </c>
      <c r="CK1209" s="377" t="str">
        <f t="shared" si="5569"/>
        <v/>
      </c>
      <c r="CL1209" s="377" t="str">
        <f t="shared" si="5569"/>
        <v/>
      </c>
      <c r="CM1209" s="377" t="str">
        <f t="shared" si="5569"/>
        <v/>
      </c>
      <c r="CN1209" s="440" t="str">
        <f t="shared" si="5569"/>
        <v/>
      </c>
      <c r="CO1209" s="441" t="str">
        <f t="shared" si="5569"/>
        <v/>
      </c>
      <c r="CP1209" s="440" t="str">
        <f t="shared" si="5569"/>
        <v/>
      </c>
      <c r="CQ1209" s="377" t="str">
        <f t="shared" si="5569"/>
        <v/>
      </c>
      <c r="CR1209" s="377" t="str">
        <f t="shared" si="5569"/>
        <v/>
      </c>
      <c r="CS1209" s="377" t="str">
        <f t="shared" si="5569"/>
        <v/>
      </c>
      <c r="CT1209" s="441" t="str">
        <f t="shared" si="5569"/>
        <v/>
      </c>
      <c r="CU1209" s="377" t="str">
        <f t="shared" si="5569"/>
        <v/>
      </c>
      <c r="CV1209" s="377" t="str">
        <f t="shared" si="5569"/>
        <v/>
      </c>
      <c r="CW1209" s="377" t="str">
        <f t="shared" si="5569"/>
        <v/>
      </c>
      <c r="CX1209" s="377" t="str">
        <f t="shared" si="5569"/>
        <v/>
      </c>
      <c r="CY1209" s="441" t="str">
        <f t="shared" si="5569"/>
        <v/>
      </c>
      <c r="CZ1209" s="377" t="str">
        <f t="shared" si="5569"/>
        <v/>
      </c>
      <c r="DA1209" s="377" t="str">
        <f t="shared" si="5569"/>
        <v/>
      </c>
      <c r="DB1209" s="377" t="str">
        <f t="shared" si="5569"/>
        <v/>
      </c>
      <c r="DC1209" s="377" t="str">
        <f t="shared" si="5569"/>
        <v/>
      </c>
      <c r="DD1209" s="441" t="str">
        <f t="shared" si="5569"/>
        <v/>
      </c>
      <c r="DE1209" s="377" t="str">
        <f t="shared" si="5569"/>
        <v/>
      </c>
      <c r="DF1209" s="377" t="str">
        <f t="shared" si="5569"/>
        <v/>
      </c>
      <c r="DG1209" s="440" t="str">
        <f t="shared" si="5569"/>
        <v/>
      </c>
      <c r="DH1209" s="377" t="str">
        <f t="shared" si="5569"/>
        <v/>
      </c>
      <c r="DI1209" s="441" t="str">
        <f t="shared" si="5569"/>
        <v/>
      </c>
      <c r="DJ1209" s="440" t="str">
        <f t="shared" si="5569"/>
        <v/>
      </c>
      <c r="DK1209" s="440" t="str">
        <f t="shared" si="5569"/>
        <v/>
      </c>
      <c r="DL1209" s="440" t="str">
        <f t="shared" si="5569"/>
        <v/>
      </c>
      <c r="DM1209" s="377" t="str">
        <f t="shared" si="5569"/>
        <v/>
      </c>
      <c r="DN1209" s="441" t="str">
        <f t="shared" si="5569"/>
        <v/>
      </c>
      <c r="DO1209" s="377" t="str">
        <f t="shared" si="5569"/>
        <v/>
      </c>
      <c r="DP1209" s="377" t="str">
        <f t="shared" si="5569"/>
        <v/>
      </c>
      <c r="DQ1209" s="377" t="str">
        <f t="shared" si="5569"/>
        <v/>
      </c>
      <c r="DR1209" s="377" t="str">
        <f t="shared" si="5569"/>
        <v/>
      </c>
      <c r="DS1209" s="441" t="str">
        <f t="shared" si="5569"/>
        <v/>
      </c>
      <c r="DT1209" s="377" t="str">
        <f t="shared" si="5569"/>
        <v/>
      </c>
      <c r="DU1209" s="377" t="str">
        <f t="shared" si="5569"/>
        <v/>
      </c>
      <c r="DV1209" s="377" t="str">
        <f t="shared" si="5569"/>
        <v/>
      </c>
      <c r="DW1209" s="377" t="str">
        <f t="shared" si="5569"/>
        <v/>
      </c>
      <c r="DX1209" s="441" t="str">
        <f t="shared" si="5569"/>
        <v/>
      </c>
      <c r="DY1209" s="377" t="str">
        <f t="shared" si="5569"/>
        <v/>
      </c>
      <c r="DZ1209" s="377" t="str">
        <f t="shared" si="5569"/>
        <v/>
      </c>
      <c r="EA1209" s="377" t="str">
        <f t="shared" si="5569"/>
        <v/>
      </c>
      <c r="EB1209" s="377" t="str">
        <f t="shared" si="5569"/>
        <v/>
      </c>
      <c r="EC1209" s="441" t="str">
        <f t="shared" si="5569"/>
        <v/>
      </c>
      <c r="ED1209" s="377" t="str">
        <f t="shared" si="5569"/>
        <v/>
      </c>
      <c r="EE1209" s="377" t="str">
        <f t="shared" si="5569"/>
        <v/>
      </c>
      <c r="EF1209" s="377" t="str">
        <f t="shared" si="5569"/>
        <v/>
      </c>
      <c r="EG1209" s="377" t="str">
        <f t="shared" si="5569"/>
        <v/>
      </c>
      <c r="EH1209" s="441" t="str">
        <f t="shared" si="5569"/>
        <v/>
      </c>
      <c r="EI1209" s="442" t="str">
        <f t="shared" si="5569"/>
        <v/>
      </c>
      <c r="EJ1209" s="377" t="str">
        <f t="shared" si="5569"/>
        <v/>
      </c>
      <c r="EK1209" s="377" t="str">
        <f t="shared" si="5569"/>
        <v/>
      </c>
      <c r="EL1209" s="377" t="str">
        <f t="shared" si="5569"/>
        <v/>
      </c>
      <c r="EM1209" s="441" t="str">
        <f t="shared" si="5569"/>
        <v/>
      </c>
      <c r="EN1209" s="377" t="str">
        <f t="shared" si="5569"/>
        <v/>
      </c>
      <c r="EO1209" s="377" t="str">
        <f t="shared" si="5569"/>
        <v/>
      </c>
      <c r="EP1209" s="377" t="str">
        <f t="shared" si="5569"/>
        <v/>
      </c>
      <c r="EQ1209" s="377" t="str">
        <f t="shared" si="5569"/>
        <v/>
      </c>
      <c r="ER1209" s="441" t="str">
        <f t="shared" si="5569"/>
        <v/>
      </c>
      <c r="ES1209" s="377" t="str">
        <f t="shared" si="5569"/>
        <v/>
      </c>
      <c r="ET1209" s="377" t="str">
        <f t="shared" si="5569"/>
        <v/>
      </c>
      <c r="EU1209" s="377" t="str">
        <f t="shared" si="5569"/>
        <v/>
      </c>
      <c r="EV1209" s="377" t="str">
        <f t="shared" si="5569"/>
        <v/>
      </c>
      <c r="EW1209" s="441" t="str">
        <f t="shared" si="5569"/>
        <v/>
      </c>
      <c r="EX1209" s="377" t="str">
        <f t="shared" si="5569"/>
        <v/>
      </c>
      <c r="EY1209" s="377" t="str">
        <f t="shared" si="5569"/>
        <v/>
      </c>
      <c r="EZ1209" s="377" t="str">
        <f t="shared" si="5569"/>
        <v/>
      </c>
      <c r="FA1209" s="377" t="str">
        <f t="shared" si="5569"/>
        <v/>
      </c>
      <c r="FB1209" s="441" t="str">
        <f t="shared" si="5569"/>
        <v/>
      </c>
      <c r="FC1209" s="377" t="str">
        <f t="shared" si="5569"/>
        <v/>
      </c>
      <c r="FD1209" s="377" t="str">
        <f t="shared" si="5569"/>
        <v/>
      </c>
      <c r="FE1209" s="377" t="str">
        <f t="shared" si="5569"/>
        <v/>
      </c>
      <c r="FF1209" s="377" t="str">
        <f t="shared" si="5569"/>
        <v/>
      </c>
      <c r="FG1209" s="441" t="str">
        <f t="shared" si="5569"/>
        <v/>
      </c>
      <c r="FH1209" s="443"/>
      <c r="FI1209" s="377"/>
      <c r="FJ1209" s="377"/>
      <c r="FK1209" s="747"/>
      <c r="FL1209" s="377"/>
    </row>
    <row r="1210" ht="12.75" hidden="1" customHeight="1" outlineLevel="1">
      <c r="A1210" s="377"/>
      <c r="B1210" s="456" t="str">
        <f t="shared" si="5565"/>
        <v>Flash</v>
      </c>
      <c r="C1210" s="377"/>
      <c r="D1210" s="377"/>
      <c r="E1210" s="377"/>
      <c r="F1210" s="377"/>
      <c r="G1210" s="377"/>
      <c r="H1210" s="377"/>
      <c r="I1210" s="377"/>
      <c r="J1210" s="377"/>
      <c r="K1210" s="377"/>
      <c r="L1210" s="377"/>
      <c r="M1210" s="377"/>
      <c r="N1210" s="377"/>
      <c r="O1210" s="377"/>
      <c r="P1210" s="377"/>
      <c r="Q1210" s="377"/>
      <c r="R1210" s="377"/>
      <c r="S1210" s="377"/>
      <c r="T1210" s="377"/>
      <c r="U1210" s="377"/>
      <c r="V1210" s="377"/>
      <c r="W1210" s="377"/>
      <c r="X1210" s="377"/>
      <c r="Y1210" s="377"/>
      <c r="Z1210" s="377"/>
      <c r="AA1210" s="377"/>
      <c r="AB1210" s="377"/>
      <c r="AC1210" s="377"/>
      <c r="AD1210" s="377"/>
      <c r="AE1210" s="377"/>
      <c r="AF1210" s="377"/>
      <c r="AG1210" s="377"/>
      <c r="AH1210" s="377"/>
      <c r="AI1210" s="377"/>
      <c r="AJ1210" s="377"/>
      <c r="AK1210" s="377"/>
      <c r="AL1210" s="377"/>
      <c r="AM1210" s="377"/>
      <c r="AN1210" s="377"/>
      <c r="AO1210" s="377"/>
      <c r="AP1210" s="377"/>
      <c r="AQ1210" s="377"/>
      <c r="AR1210" s="377">
        <f t="shared" ref="AR1210:FG1210" si="5570">AR854</f>
        <v>417</v>
      </c>
      <c r="AS1210" s="377">
        <f t="shared" si="5570"/>
        <v>587</v>
      </c>
      <c r="AT1210" s="377">
        <f t="shared" si="5570"/>
        <v>638</v>
      </c>
      <c r="AU1210" s="377">
        <f t="shared" si="5570"/>
        <v>643</v>
      </c>
      <c r="AV1210" s="377">
        <f t="shared" si="5570"/>
        <v>2285</v>
      </c>
      <c r="AW1210" s="377">
        <f t="shared" si="5570"/>
        <v>578</v>
      </c>
      <c r="AX1210" s="377">
        <f t="shared" si="5570"/>
        <v>528</v>
      </c>
      <c r="AY1210" s="377">
        <f t="shared" si="5570"/>
        <v>572</v>
      </c>
      <c r="AZ1210" s="377">
        <f t="shared" si="5570"/>
        <v>600</v>
      </c>
      <c r="BA1210" s="377">
        <f t="shared" si="5570"/>
        <v>2278</v>
      </c>
      <c r="BB1210" s="377">
        <f t="shared" si="5570"/>
        <v>544</v>
      </c>
      <c r="BC1210" s="377">
        <f t="shared" si="5570"/>
        <v>536</v>
      </c>
      <c r="BD1210" s="377">
        <f t="shared" si="5570"/>
        <v>507</v>
      </c>
      <c r="BE1210" s="377">
        <f t="shared" si="5570"/>
        <v>576</v>
      </c>
      <c r="BF1210" s="377">
        <f t="shared" si="5570"/>
        <v>2163</v>
      </c>
      <c r="BG1210" s="377">
        <f t="shared" si="5570"/>
        <v>469</v>
      </c>
      <c r="BH1210" s="377">
        <f t="shared" si="5570"/>
        <v>494</v>
      </c>
      <c r="BI1210" s="377">
        <f t="shared" si="5570"/>
        <v>553</v>
      </c>
      <c r="BJ1210" s="377">
        <f t="shared" si="5570"/>
        <v>586</v>
      </c>
      <c r="BK1210" s="377">
        <f t="shared" si="5570"/>
        <v>2102</v>
      </c>
      <c r="BL1210" s="377">
        <f t="shared" si="5570"/>
        <v>499</v>
      </c>
      <c r="BM1210" s="377">
        <f t="shared" si="5570"/>
        <v>250</v>
      </c>
      <c r="BN1210" s="377">
        <f t="shared" si="5570"/>
        <v>185</v>
      </c>
      <c r="BO1210" s="377">
        <f t="shared" si="5570"/>
        <v>170</v>
      </c>
      <c r="BP1210" s="377">
        <f t="shared" si="5570"/>
        <v>1104</v>
      </c>
      <c r="BQ1210" s="377">
        <f t="shared" si="5570"/>
        <v>155</v>
      </c>
      <c r="BR1210" s="377">
        <f t="shared" si="5570"/>
        <v>193</v>
      </c>
      <c r="BS1210" s="377">
        <f t="shared" si="5570"/>
        <v>219</v>
      </c>
      <c r="BT1210" s="377">
        <f t="shared" si="5570"/>
        <v>270</v>
      </c>
      <c r="BU1210" s="377">
        <f t="shared" si="5570"/>
        <v>837</v>
      </c>
      <c r="BV1210" s="377">
        <f t="shared" si="5570"/>
        <v>314.234375</v>
      </c>
      <c r="BW1210" s="377">
        <f t="shared" si="5570"/>
        <v>304.8073438</v>
      </c>
      <c r="BX1210" s="377">
        <f t="shared" si="5570"/>
        <v>365.7688125</v>
      </c>
      <c r="BY1210" s="377">
        <f t="shared" si="5570"/>
        <v>402.3456938</v>
      </c>
      <c r="BZ1210" s="719">
        <f t="shared" si="5570"/>
        <v>1387.156225</v>
      </c>
      <c r="CA1210" s="377">
        <f t="shared" si="5570"/>
        <v>341.9938397</v>
      </c>
      <c r="CB1210" s="377">
        <f t="shared" si="5570"/>
        <v>331.7340245</v>
      </c>
      <c r="CC1210" s="377">
        <f t="shared" si="5570"/>
        <v>398.0808294</v>
      </c>
      <c r="CD1210" s="377">
        <f t="shared" si="5570"/>
        <v>437.8889123</v>
      </c>
      <c r="CE1210" s="719">
        <f t="shared" si="5570"/>
        <v>1509.697606</v>
      </c>
      <c r="CF1210" s="377">
        <f t="shared" si="5570"/>
        <v>372.2055755</v>
      </c>
      <c r="CG1210" s="377">
        <f t="shared" si="5570"/>
        <v>361.0394082</v>
      </c>
      <c r="CH1210" s="377">
        <f t="shared" si="5570"/>
        <v>433.2472899</v>
      </c>
      <c r="CI1210" s="377">
        <f t="shared" si="5570"/>
        <v>476.5720189</v>
      </c>
      <c r="CJ1210" s="719">
        <f t="shared" si="5570"/>
        <v>1643.064292</v>
      </c>
      <c r="CK1210" s="377">
        <f t="shared" si="5570"/>
        <v>405.086216</v>
      </c>
      <c r="CL1210" s="377">
        <f t="shared" si="5570"/>
        <v>392.9336295</v>
      </c>
      <c r="CM1210" s="377">
        <f t="shared" si="5570"/>
        <v>471.5203555</v>
      </c>
      <c r="CN1210" s="440">
        <f t="shared" si="5570"/>
        <v>518.672391</v>
      </c>
      <c r="CO1210" s="719">
        <f t="shared" si="5570"/>
        <v>1788.212592</v>
      </c>
      <c r="CP1210" s="440">
        <f t="shared" si="5570"/>
        <v>440.8715323</v>
      </c>
      <c r="CQ1210" s="377">
        <f t="shared" si="5570"/>
        <v>427.6453864</v>
      </c>
      <c r="CR1210" s="377">
        <f t="shared" si="5570"/>
        <v>513.1744637</v>
      </c>
      <c r="CS1210" s="377">
        <f t="shared" si="5570"/>
        <v>564.49191</v>
      </c>
      <c r="CT1210" s="719">
        <f t="shared" si="5570"/>
        <v>1946.183292</v>
      </c>
      <c r="CU1210" s="377">
        <f t="shared" si="5570"/>
        <v>479.8181235</v>
      </c>
      <c r="CV1210" s="377">
        <f t="shared" si="5570"/>
        <v>465.4235798</v>
      </c>
      <c r="CW1210" s="377">
        <f t="shared" si="5570"/>
        <v>558.5082958</v>
      </c>
      <c r="CX1210" s="377">
        <f t="shared" si="5570"/>
        <v>614.3591253</v>
      </c>
      <c r="CY1210" s="719">
        <f t="shared" si="5570"/>
        <v>2118.109124</v>
      </c>
      <c r="CZ1210" s="377">
        <f t="shared" si="5570"/>
        <v>522.2052565</v>
      </c>
      <c r="DA1210" s="377">
        <f t="shared" si="5570"/>
        <v>506.5390988</v>
      </c>
      <c r="DB1210" s="377">
        <f t="shared" si="5570"/>
        <v>607.8469186</v>
      </c>
      <c r="DC1210" s="377">
        <f t="shared" si="5570"/>
        <v>668.6316105</v>
      </c>
      <c r="DD1210" s="719">
        <f t="shared" si="5570"/>
        <v>2305.222884</v>
      </c>
      <c r="DE1210" s="377">
        <f t="shared" si="5570"/>
        <v>568.3368689</v>
      </c>
      <c r="DF1210" s="377">
        <f t="shared" si="5570"/>
        <v>551.2867628</v>
      </c>
      <c r="DG1210" s="440">
        <f t="shared" si="5570"/>
        <v>661.5441154</v>
      </c>
      <c r="DH1210" s="377">
        <f t="shared" si="5570"/>
        <v>727.698527</v>
      </c>
      <c r="DI1210" s="719">
        <f t="shared" si="5570"/>
        <v>2508.866274</v>
      </c>
      <c r="DJ1210" s="440">
        <f t="shared" si="5570"/>
        <v>618.5437479</v>
      </c>
      <c r="DK1210" s="440">
        <f t="shared" si="5570"/>
        <v>599.9874355</v>
      </c>
      <c r="DL1210" s="440">
        <f t="shared" si="5570"/>
        <v>719.9849226</v>
      </c>
      <c r="DM1210" s="377">
        <f t="shared" si="5570"/>
        <v>791.9834148</v>
      </c>
      <c r="DN1210" s="719">
        <f t="shared" si="5570"/>
        <v>2730.499521</v>
      </c>
      <c r="DO1210" s="377">
        <f t="shared" si="5570"/>
        <v>673.1859026</v>
      </c>
      <c r="DP1210" s="377">
        <f t="shared" si="5570"/>
        <v>652.9903255</v>
      </c>
      <c r="DQ1210" s="377">
        <f t="shared" si="5570"/>
        <v>783.5883906</v>
      </c>
      <c r="DR1210" s="377">
        <f t="shared" si="5570"/>
        <v>861.9472297</v>
      </c>
      <c r="DS1210" s="719">
        <f t="shared" si="5570"/>
        <v>2971.711848</v>
      </c>
      <c r="DT1210" s="377">
        <f t="shared" si="5570"/>
        <v>732.6551452</v>
      </c>
      <c r="DU1210" s="377">
        <f t="shared" si="5570"/>
        <v>710.6754909</v>
      </c>
      <c r="DV1210" s="377">
        <f t="shared" si="5570"/>
        <v>852.8105891</v>
      </c>
      <c r="DW1210" s="377">
        <f t="shared" si="5570"/>
        <v>938.091648</v>
      </c>
      <c r="DX1210" s="719">
        <f t="shared" si="5570"/>
        <v>3234.232873</v>
      </c>
      <c r="DY1210" s="377">
        <f t="shared" si="5570"/>
        <v>797.3779008</v>
      </c>
      <c r="DZ1210" s="377">
        <f t="shared" si="5570"/>
        <v>773.4565637</v>
      </c>
      <c r="EA1210" s="377">
        <f t="shared" si="5570"/>
        <v>928.1478765</v>
      </c>
      <c r="EB1210" s="377">
        <f t="shared" si="5570"/>
        <v>1020.962664</v>
      </c>
      <c r="EC1210" s="719">
        <f t="shared" si="5570"/>
        <v>3519.945005</v>
      </c>
      <c r="ED1210" s="377">
        <f t="shared" si="5570"/>
        <v>867.8182645</v>
      </c>
      <c r="EE1210" s="377">
        <f t="shared" si="5570"/>
        <v>841.7837166</v>
      </c>
      <c r="EF1210" s="377">
        <f t="shared" si="5570"/>
        <v>1010.14046</v>
      </c>
      <c r="EG1210" s="377">
        <f t="shared" si="5570"/>
        <v>1111.154506</v>
      </c>
      <c r="EH1210" s="719">
        <f t="shared" si="5570"/>
        <v>3830.896947</v>
      </c>
      <c r="EI1210" s="442">
        <f t="shared" si="5570"/>
        <v>944.48133</v>
      </c>
      <c r="EJ1210" s="377">
        <f t="shared" si="5570"/>
        <v>916.1468901</v>
      </c>
      <c r="EK1210" s="377">
        <f t="shared" si="5570"/>
        <v>1099.376268</v>
      </c>
      <c r="EL1210" s="377">
        <f t="shared" si="5570"/>
        <v>1209.313895</v>
      </c>
      <c r="EM1210" s="719">
        <f t="shared" si="5570"/>
        <v>4169.318383</v>
      </c>
      <c r="EN1210" s="377">
        <f t="shared" si="5570"/>
        <v>1027.916811</v>
      </c>
      <c r="EO1210" s="377">
        <f t="shared" si="5570"/>
        <v>997.0793064</v>
      </c>
      <c r="EP1210" s="377">
        <f t="shared" si="5570"/>
        <v>1196.495168</v>
      </c>
      <c r="EQ1210" s="377">
        <f t="shared" si="5570"/>
        <v>1316.144684</v>
      </c>
      <c r="ER1210" s="719">
        <f t="shared" si="5570"/>
        <v>4537.635969</v>
      </c>
      <c r="ES1210" s="377">
        <f t="shared" si="5570"/>
        <v>1118.722982</v>
      </c>
      <c r="ET1210" s="377">
        <f t="shared" si="5570"/>
        <v>1085.161292</v>
      </c>
      <c r="EU1210" s="377">
        <f t="shared" si="5570"/>
        <v>1302.193551</v>
      </c>
      <c r="EV1210" s="377">
        <f t="shared" si="5570"/>
        <v>1432.412906</v>
      </c>
      <c r="EW1210" s="719">
        <f t="shared" si="5570"/>
        <v>4938.490731</v>
      </c>
      <c r="EX1210" s="377">
        <f t="shared" si="5570"/>
        <v>1217.55097</v>
      </c>
      <c r="EY1210" s="377">
        <f t="shared" si="5570"/>
        <v>1181.024441</v>
      </c>
      <c r="EZ1210" s="377">
        <f t="shared" si="5570"/>
        <v>1417.229329</v>
      </c>
      <c r="FA1210" s="377">
        <f t="shared" si="5570"/>
        <v>1558.952262</v>
      </c>
      <c r="FB1210" s="719">
        <f t="shared" si="5570"/>
        <v>5374.757002</v>
      </c>
      <c r="FC1210" s="377">
        <f t="shared" si="5570"/>
        <v>1325.109423</v>
      </c>
      <c r="FD1210" s="377">
        <f t="shared" si="5570"/>
        <v>1285.35614</v>
      </c>
      <c r="FE1210" s="377">
        <f t="shared" si="5570"/>
        <v>1542.427368</v>
      </c>
      <c r="FF1210" s="377">
        <f t="shared" si="5570"/>
        <v>1696.670105</v>
      </c>
      <c r="FG1210" s="719">
        <f t="shared" si="5570"/>
        <v>5849.563035</v>
      </c>
      <c r="FH1210" s="440"/>
      <c r="FI1210" s="377"/>
      <c r="FJ1210" s="377"/>
      <c r="FK1210" s="377"/>
      <c r="FL1210" s="377"/>
    </row>
    <row r="1211" ht="12.75" hidden="1" customHeight="1" outlineLevel="1">
      <c r="A1211" s="377"/>
      <c r="B1211" s="456" t="str">
        <f t="shared" si="5565"/>
        <v>Comm/Embedded (former ICG)</v>
      </c>
      <c r="C1211" s="377"/>
      <c r="D1211" s="377"/>
      <c r="E1211" s="377"/>
      <c r="F1211" s="377"/>
      <c r="G1211" s="377"/>
      <c r="H1211" s="747"/>
      <c r="I1211" s="377"/>
      <c r="J1211" s="377"/>
      <c r="K1211" s="377"/>
      <c r="L1211" s="377"/>
      <c r="M1211" s="747"/>
      <c r="N1211" s="377"/>
      <c r="O1211" s="377"/>
      <c r="P1211" s="377"/>
      <c r="Q1211" s="377"/>
      <c r="R1211" s="747"/>
      <c r="S1211" s="377"/>
      <c r="T1211" s="377"/>
      <c r="U1211" s="377"/>
      <c r="V1211" s="377"/>
      <c r="W1211" s="747"/>
      <c r="X1211" s="377"/>
      <c r="Y1211" s="377"/>
      <c r="Z1211" s="377"/>
      <c r="AA1211" s="377"/>
      <c r="AB1211" s="747"/>
      <c r="AC1211" s="377"/>
      <c r="AD1211" s="377"/>
      <c r="AE1211" s="377"/>
      <c r="AF1211" s="377"/>
      <c r="AG1211" s="747"/>
      <c r="AH1211" s="377"/>
      <c r="AI1211" s="377"/>
      <c r="AJ1211" s="377"/>
      <c r="AK1211" s="377"/>
      <c r="AL1211" s="747"/>
      <c r="AM1211" s="377"/>
      <c r="AN1211" s="377"/>
      <c r="AO1211" s="377">
        <f t="shared" ref="AO1211:FG1211" si="5571">AO855</f>
        <v>544</v>
      </c>
      <c r="AP1211" s="377">
        <f t="shared" si="5571"/>
        <v>592</v>
      </c>
      <c r="AQ1211" s="747">
        <f t="shared" si="5571"/>
        <v>2147</v>
      </c>
      <c r="AR1211" s="377">
        <f t="shared" si="5571"/>
        <v>648</v>
      </c>
      <c r="AS1211" s="377">
        <f t="shared" si="5571"/>
        <v>684</v>
      </c>
      <c r="AT1211" s="377">
        <f t="shared" si="5571"/>
        <v>689</v>
      </c>
      <c r="AU1211" s="377">
        <f t="shared" si="5571"/>
        <v>721</v>
      </c>
      <c r="AV1211" s="747">
        <f t="shared" si="5571"/>
        <v>2742</v>
      </c>
      <c r="AW1211" s="377" t="str">
        <f t="shared" si="5571"/>
        <v>#ERROR!</v>
      </c>
      <c r="AX1211" s="377" t="str">
        <f t="shared" si="5571"/>
        <v>#ERROR!</v>
      </c>
      <c r="AY1211" s="377" t="str">
        <f t="shared" si="5571"/>
        <v>#ERROR!</v>
      </c>
      <c r="AZ1211" s="377" t="str">
        <f t="shared" si="5571"/>
        <v>#ERROR!</v>
      </c>
      <c r="BA1211" s="747" t="str">
        <f t="shared" si="5571"/>
        <v>#ERROR!</v>
      </c>
      <c r="BB1211" s="377" t="str">
        <f t="shared" si="5571"/>
        <v>#ERROR!</v>
      </c>
      <c r="BC1211" s="377" t="str">
        <f t="shared" si="5571"/>
        <v>#ERROR!</v>
      </c>
      <c r="BD1211" s="377" t="str">
        <f t="shared" si="5571"/>
        <v>#ERROR!</v>
      </c>
      <c r="BE1211" s="377" t="str">
        <f t="shared" si="5571"/>
        <v>#ERROR!</v>
      </c>
      <c r="BF1211" s="747" t="str">
        <f t="shared" si="5571"/>
        <v>#ERROR!</v>
      </c>
      <c r="BG1211" s="377" t="str">
        <f t="shared" si="5571"/>
        <v>#ERROR!</v>
      </c>
      <c r="BH1211" s="377" t="str">
        <f t="shared" si="5571"/>
        <v>#ERROR!</v>
      </c>
      <c r="BI1211" s="377" t="str">
        <f t="shared" si="5571"/>
        <v>#ERROR!</v>
      </c>
      <c r="BJ1211" s="377" t="str">
        <f t="shared" si="5571"/>
        <v>#ERROR!</v>
      </c>
      <c r="BK1211" s="747" t="str">
        <f t="shared" si="5571"/>
        <v>#ERROR!</v>
      </c>
      <c r="BL1211" s="377" t="str">
        <f t="shared" si="5571"/>
        <v>#ERROR!</v>
      </c>
      <c r="BM1211" s="377" t="str">
        <f t="shared" si="5571"/>
        <v>#ERROR!</v>
      </c>
      <c r="BN1211" s="377" t="str">
        <f t="shared" si="5571"/>
        <v>#ERROR!</v>
      </c>
      <c r="BO1211" s="377" t="str">
        <f t="shared" si="5571"/>
        <v>#ERROR!</v>
      </c>
      <c r="BP1211" s="747" t="str">
        <f t="shared" si="5571"/>
        <v>#ERROR!</v>
      </c>
      <c r="BQ1211" s="377" t="str">
        <f t="shared" si="5571"/>
        <v>#ERROR!</v>
      </c>
      <c r="BR1211" s="377" t="str">
        <f t="shared" si="5571"/>
        <v>#ERROR!</v>
      </c>
      <c r="BS1211" s="377">
        <f t="shared" si="5571"/>
        <v>570.4</v>
      </c>
      <c r="BT1211" s="377" t="str">
        <f t="shared" si="5571"/>
        <v>#ERROR!</v>
      </c>
      <c r="BU1211" s="747" t="str">
        <f t="shared" si="5571"/>
        <v>#ERROR!</v>
      </c>
      <c r="BV1211" s="377" t="str">
        <f t="shared" si="5571"/>
        <v>#ERROR!</v>
      </c>
      <c r="BW1211" s="377" t="str">
        <f t="shared" si="5571"/>
        <v>#ERROR!</v>
      </c>
      <c r="BX1211" s="377" t="str">
        <f t="shared" si="5571"/>
        <v>#ERROR!</v>
      </c>
      <c r="BY1211" s="377" t="str">
        <f t="shared" si="5571"/>
        <v>#ERROR!</v>
      </c>
      <c r="BZ1211" s="441" t="str">
        <f t="shared" si="5571"/>
        <v>#ERROR!</v>
      </c>
      <c r="CA1211" s="377" t="str">
        <f t="shared" si="5571"/>
        <v>#ERROR!</v>
      </c>
      <c r="CB1211" s="377" t="str">
        <f t="shared" si="5571"/>
        <v>#ERROR!</v>
      </c>
      <c r="CC1211" s="377" t="str">
        <f t="shared" si="5571"/>
        <v>#ERROR!</v>
      </c>
      <c r="CD1211" s="377" t="str">
        <f t="shared" si="5571"/>
        <v>#ERROR!</v>
      </c>
      <c r="CE1211" s="441" t="str">
        <f t="shared" si="5571"/>
        <v>#ERROR!</v>
      </c>
      <c r="CF1211" s="377" t="str">
        <f t="shared" si="5571"/>
        <v>#ERROR!</v>
      </c>
      <c r="CG1211" s="377" t="str">
        <f t="shared" si="5571"/>
        <v>#ERROR!</v>
      </c>
      <c r="CH1211" s="377" t="str">
        <f t="shared" si="5571"/>
        <v>#ERROR!</v>
      </c>
      <c r="CI1211" s="377" t="str">
        <f t="shared" si="5571"/>
        <v>#ERROR!</v>
      </c>
      <c r="CJ1211" s="441" t="str">
        <f t="shared" si="5571"/>
        <v>#ERROR!</v>
      </c>
      <c r="CK1211" s="377" t="str">
        <f t="shared" si="5571"/>
        <v>#ERROR!</v>
      </c>
      <c r="CL1211" s="377" t="str">
        <f t="shared" si="5571"/>
        <v>#ERROR!</v>
      </c>
      <c r="CM1211" s="377" t="str">
        <f t="shared" si="5571"/>
        <v>#ERROR!</v>
      </c>
      <c r="CN1211" s="440" t="str">
        <f t="shared" si="5571"/>
        <v>#ERROR!</v>
      </c>
      <c r="CO1211" s="441" t="str">
        <f t="shared" si="5571"/>
        <v>#ERROR!</v>
      </c>
      <c r="CP1211" s="440" t="str">
        <f t="shared" si="5571"/>
        <v>#ERROR!</v>
      </c>
      <c r="CQ1211" s="377" t="str">
        <f t="shared" si="5571"/>
        <v>#ERROR!</v>
      </c>
      <c r="CR1211" s="377" t="str">
        <f t="shared" si="5571"/>
        <v>#ERROR!</v>
      </c>
      <c r="CS1211" s="377" t="str">
        <f t="shared" si="5571"/>
        <v>#ERROR!</v>
      </c>
      <c r="CT1211" s="441" t="str">
        <f t="shared" si="5571"/>
        <v>#ERROR!</v>
      </c>
      <c r="CU1211" s="377" t="str">
        <f t="shared" si="5571"/>
        <v>#ERROR!</v>
      </c>
      <c r="CV1211" s="377" t="str">
        <f t="shared" si="5571"/>
        <v>#ERROR!</v>
      </c>
      <c r="CW1211" s="377" t="str">
        <f t="shared" si="5571"/>
        <v>#ERROR!</v>
      </c>
      <c r="CX1211" s="377" t="str">
        <f t="shared" si="5571"/>
        <v>#ERROR!</v>
      </c>
      <c r="CY1211" s="441" t="str">
        <f t="shared" si="5571"/>
        <v>#ERROR!</v>
      </c>
      <c r="CZ1211" s="377" t="str">
        <f t="shared" si="5571"/>
        <v>#ERROR!</v>
      </c>
      <c r="DA1211" s="377" t="str">
        <f t="shared" si="5571"/>
        <v>#ERROR!</v>
      </c>
      <c r="DB1211" s="377" t="str">
        <f t="shared" si="5571"/>
        <v>#ERROR!</v>
      </c>
      <c r="DC1211" s="377" t="str">
        <f t="shared" si="5571"/>
        <v>#ERROR!</v>
      </c>
      <c r="DD1211" s="441" t="str">
        <f t="shared" si="5571"/>
        <v>#ERROR!</v>
      </c>
      <c r="DE1211" s="377" t="str">
        <f t="shared" si="5571"/>
        <v>#ERROR!</v>
      </c>
      <c r="DF1211" s="377" t="str">
        <f t="shared" si="5571"/>
        <v>#ERROR!</v>
      </c>
      <c r="DG1211" s="440" t="str">
        <f t="shared" si="5571"/>
        <v>#ERROR!</v>
      </c>
      <c r="DH1211" s="377" t="str">
        <f t="shared" si="5571"/>
        <v>#ERROR!</v>
      </c>
      <c r="DI1211" s="441" t="str">
        <f t="shared" si="5571"/>
        <v>#ERROR!</v>
      </c>
      <c r="DJ1211" s="440" t="str">
        <f t="shared" si="5571"/>
        <v>#ERROR!</v>
      </c>
      <c r="DK1211" s="440" t="str">
        <f t="shared" si="5571"/>
        <v>#ERROR!</v>
      </c>
      <c r="DL1211" s="440" t="str">
        <f t="shared" si="5571"/>
        <v>#ERROR!</v>
      </c>
      <c r="DM1211" s="377" t="str">
        <f t="shared" si="5571"/>
        <v>#ERROR!</v>
      </c>
      <c r="DN1211" s="441" t="str">
        <f t="shared" si="5571"/>
        <v>#ERROR!</v>
      </c>
      <c r="DO1211" s="377" t="str">
        <f t="shared" si="5571"/>
        <v>#ERROR!</v>
      </c>
      <c r="DP1211" s="377" t="str">
        <f t="shared" si="5571"/>
        <v>#ERROR!</v>
      </c>
      <c r="DQ1211" s="377" t="str">
        <f t="shared" si="5571"/>
        <v>#ERROR!</v>
      </c>
      <c r="DR1211" s="377" t="str">
        <f t="shared" si="5571"/>
        <v>#ERROR!</v>
      </c>
      <c r="DS1211" s="441" t="str">
        <f t="shared" si="5571"/>
        <v>#ERROR!</v>
      </c>
      <c r="DT1211" s="377" t="str">
        <f t="shared" si="5571"/>
        <v>#ERROR!</v>
      </c>
      <c r="DU1211" s="377" t="str">
        <f t="shared" si="5571"/>
        <v>#ERROR!</v>
      </c>
      <c r="DV1211" s="377" t="str">
        <f t="shared" si="5571"/>
        <v>#ERROR!</v>
      </c>
      <c r="DW1211" s="377" t="str">
        <f t="shared" si="5571"/>
        <v>#ERROR!</v>
      </c>
      <c r="DX1211" s="441" t="str">
        <f t="shared" si="5571"/>
        <v>#ERROR!</v>
      </c>
      <c r="DY1211" s="377" t="str">
        <f t="shared" si="5571"/>
        <v>#ERROR!</v>
      </c>
      <c r="DZ1211" s="377" t="str">
        <f t="shared" si="5571"/>
        <v>#ERROR!</v>
      </c>
      <c r="EA1211" s="377" t="str">
        <f t="shared" si="5571"/>
        <v>#ERROR!</v>
      </c>
      <c r="EB1211" s="377" t="str">
        <f t="shared" si="5571"/>
        <v>#ERROR!</v>
      </c>
      <c r="EC1211" s="441" t="str">
        <f t="shared" si="5571"/>
        <v>#ERROR!</v>
      </c>
      <c r="ED1211" s="377" t="str">
        <f t="shared" si="5571"/>
        <v>#ERROR!</v>
      </c>
      <c r="EE1211" s="377" t="str">
        <f t="shared" si="5571"/>
        <v>#ERROR!</v>
      </c>
      <c r="EF1211" s="377" t="str">
        <f t="shared" si="5571"/>
        <v>#ERROR!</v>
      </c>
      <c r="EG1211" s="377" t="str">
        <f t="shared" si="5571"/>
        <v>#ERROR!</v>
      </c>
      <c r="EH1211" s="441" t="str">
        <f t="shared" si="5571"/>
        <v>#ERROR!</v>
      </c>
      <c r="EI1211" s="442" t="str">
        <f t="shared" si="5571"/>
        <v>#ERROR!</v>
      </c>
      <c r="EJ1211" s="377" t="str">
        <f t="shared" si="5571"/>
        <v>#ERROR!</v>
      </c>
      <c r="EK1211" s="377" t="str">
        <f t="shared" si="5571"/>
        <v>#ERROR!</v>
      </c>
      <c r="EL1211" s="377" t="str">
        <f t="shared" si="5571"/>
        <v>#ERROR!</v>
      </c>
      <c r="EM1211" s="441" t="str">
        <f t="shared" si="5571"/>
        <v>#ERROR!</v>
      </c>
      <c r="EN1211" s="377" t="str">
        <f t="shared" si="5571"/>
        <v>#ERROR!</v>
      </c>
      <c r="EO1211" s="377" t="str">
        <f t="shared" si="5571"/>
        <v>#ERROR!</v>
      </c>
      <c r="EP1211" s="377" t="str">
        <f t="shared" si="5571"/>
        <v>#ERROR!</v>
      </c>
      <c r="EQ1211" s="377" t="str">
        <f t="shared" si="5571"/>
        <v>#ERROR!</v>
      </c>
      <c r="ER1211" s="441" t="str">
        <f t="shared" si="5571"/>
        <v>#ERROR!</v>
      </c>
      <c r="ES1211" s="377" t="str">
        <f t="shared" si="5571"/>
        <v>#ERROR!</v>
      </c>
      <c r="ET1211" s="377" t="str">
        <f t="shared" si="5571"/>
        <v>#ERROR!</v>
      </c>
      <c r="EU1211" s="377" t="str">
        <f t="shared" si="5571"/>
        <v>#ERROR!</v>
      </c>
      <c r="EV1211" s="377" t="str">
        <f t="shared" si="5571"/>
        <v>#ERROR!</v>
      </c>
      <c r="EW1211" s="441" t="str">
        <f t="shared" si="5571"/>
        <v>#ERROR!</v>
      </c>
      <c r="EX1211" s="377" t="str">
        <f t="shared" si="5571"/>
        <v>#ERROR!</v>
      </c>
      <c r="EY1211" s="377" t="str">
        <f t="shared" si="5571"/>
        <v>#ERROR!</v>
      </c>
      <c r="EZ1211" s="377" t="str">
        <f t="shared" si="5571"/>
        <v>#ERROR!</v>
      </c>
      <c r="FA1211" s="377" t="str">
        <f t="shared" si="5571"/>
        <v>#ERROR!</v>
      </c>
      <c r="FB1211" s="441" t="str">
        <f t="shared" si="5571"/>
        <v>#ERROR!</v>
      </c>
      <c r="FC1211" s="377" t="str">
        <f t="shared" si="5571"/>
        <v>#ERROR!</v>
      </c>
      <c r="FD1211" s="377" t="str">
        <f t="shared" si="5571"/>
        <v>#ERROR!</v>
      </c>
      <c r="FE1211" s="377" t="str">
        <f t="shared" si="5571"/>
        <v>#ERROR!</v>
      </c>
      <c r="FF1211" s="377" t="str">
        <f t="shared" si="5571"/>
        <v>#ERROR!</v>
      </c>
      <c r="FG1211" s="441" t="str">
        <f t="shared" si="5571"/>
        <v>#ERROR!</v>
      </c>
      <c r="FH1211" s="443"/>
      <c r="FI1211" s="377"/>
      <c r="FJ1211" s="377"/>
      <c r="FK1211" s="747"/>
      <c r="FL1211" s="377"/>
    </row>
    <row r="1212" ht="12.75" hidden="1" customHeight="1" outlineLevel="1">
      <c r="A1212" s="377"/>
      <c r="B1212" s="456" t="str">
        <f t="shared" si="5565"/>
        <v>All other</v>
      </c>
      <c r="C1212" s="377"/>
      <c r="D1212" s="377"/>
      <c r="E1212" s="377"/>
      <c r="F1212" s="377"/>
      <c r="G1212" s="377"/>
      <c r="H1212" s="747"/>
      <c r="I1212" s="377"/>
      <c r="J1212" s="377"/>
      <c r="K1212" s="377"/>
      <c r="L1212" s="377"/>
      <c r="M1212" s="747"/>
      <c r="N1212" s="377"/>
      <c r="O1212" s="377"/>
      <c r="P1212" s="377"/>
      <c r="Q1212" s="377"/>
      <c r="R1212" s="747"/>
      <c r="S1212" s="377"/>
      <c r="T1212" s="377"/>
      <c r="U1212" s="377"/>
      <c r="V1212" s="377"/>
      <c r="W1212" s="747"/>
      <c r="X1212" s="377"/>
      <c r="Y1212" s="377"/>
      <c r="Z1212" s="377"/>
      <c r="AA1212" s="377"/>
      <c r="AB1212" s="747"/>
      <c r="AC1212" s="377"/>
      <c r="AD1212" s="377"/>
      <c r="AE1212" s="377"/>
      <c r="AF1212" s="377"/>
      <c r="AG1212" s="747"/>
      <c r="AH1212" s="377"/>
      <c r="AI1212" s="377"/>
      <c r="AJ1212" s="377"/>
      <c r="AK1212" s="377"/>
      <c r="AL1212" s="747"/>
      <c r="AM1212" s="377"/>
      <c r="AN1212" s="377"/>
      <c r="AO1212" s="377">
        <f t="shared" ref="AO1212:FG1212" si="5572">AO856</f>
        <v>1</v>
      </c>
      <c r="AP1212" s="377">
        <f t="shared" si="5572"/>
        <v>9</v>
      </c>
      <c r="AQ1212" s="747">
        <f t="shared" si="5572"/>
        <v>35</v>
      </c>
      <c r="AR1212" s="377">
        <f t="shared" si="5572"/>
        <v>1</v>
      </c>
      <c r="AS1212" s="377">
        <f t="shared" si="5572"/>
        <v>4</v>
      </c>
      <c r="AT1212" s="377">
        <f t="shared" si="5572"/>
        <v>6</v>
      </c>
      <c r="AU1212" s="377">
        <f t="shared" si="5572"/>
        <v>4</v>
      </c>
      <c r="AV1212" s="747">
        <f t="shared" si="5572"/>
        <v>15</v>
      </c>
      <c r="AW1212" s="377">
        <f t="shared" si="5572"/>
        <v>15</v>
      </c>
      <c r="AX1212" s="377">
        <f t="shared" si="5572"/>
        <v>15</v>
      </c>
      <c r="AY1212" s="377">
        <f t="shared" si="5572"/>
        <v>15</v>
      </c>
      <c r="AZ1212" s="377">
        <f t="shared" si="5572"/>
        <v>15</v>
      </c>
      <c r="BA1212" s="747">
        <f t="shared" si="5572"/>
        <v>60</v>
      </c>
      <c r="BB1212" s="377">
        <f t="shared" si="5572"/>
        <v>15</v>
      </c>
      <c r="BC1212" s="377">
        <f t="shared" si="5572"/>
        <v>15</v>
      </c>
      <c r="BD1212" s="377">
        <f t="shared" si="5572"/>
        <v>15</v>
      </c>
      <c r="BE1212" s="377">
        <f t="shared" si="5572"/>
        <v>15</v>
      </c>
      <c r="BF1212" s="747">
        <f t="shared" si="5572"/>
        <v>60</v>
      </c>
      <c r="BG1212" s="377">
        <f t="shared" si="5572"/>
        <v>15</v>
      </c>
      <c r="BH1212" s="377">
        <f t="shared" si="5572"/>
        <v>15</v>
      </c>
      <c r="BI1212" s="377">
        <f t="shared" si="5572"/>
        <v>15</v>
      </c>
      <c r="BJ1212" s="377">
        <f t="shared" si="5572"/>
        <v>15</v>
      </c>
      <c r="BK1212" s="747">
        <f t="shared" si="5572"/>
        <v>60</v>
      </c>
      <c r="BL1212" s="377">
        <f t="shared" si="5572"/>
        <v>15</v>
      </c>
      <c r="BM1212" s="377">
        <f t="shared" si="5572"/>
        <v>15</v>
      </c>
      <c r="BN1212" s="377">
        <f t="shared" si="5572"/>
        <v>15</v>
      </c>
      <c r="BO1212" s="377">
        <f t="shared" si="5572"/>
        <v>15</v>
      </c>
      <c r="BP1212" s="747">
        <f t="shared" si="5572"/>
        <v>60</v>
      </c>
      <c r="BQ1212" s="377">
        <f t="shared" si="5572"/>
        <v>15</v>
      </c>
      <c r="BR1212" s="377">
        <f t="shared" si="5572"/>
        <v>15</v>
      </c>
      <c r="BS1212" s="377">
        <f t="shared" si="5572"/>
        <v>15</v>
      </c>
      <c r="BT1212" s="377">
        <f t="shared" si="5572"/>
        <v>15</v>
      </c>
      <c r="BU1212" s="747">
        <f t="shared" si="5572"/>
        <v>60</v>
      </c>
      <c r="BV1212" s="377">
        <f t="shared" si="5572"/>
        <v>15</v>
      </c>
      <c r="BW1212" s="377">
        <f t="shared" si="5572"/>
        <v>15</v>
      </c>
      <c r="BX1212" s="377">
        <f t="shared" si="5572"/>
        <v>15</v>
      </c>
      <c r="BY1212" s="377">
        <f t="shared" si="5572"/>
        <v>15</v>
      </c>
      <c r="BZ1212" s="441">
        <f t="shared" si="5572"/>
        <v>60</v>
      </c>
      <c r="CA1212" s="377">
        <f t="shared" si="5572"/>
        <v>15</v>
      </c>
      <c r="CB1212" s="377">
        <f t="shared" si="5572"/>
        <v>15</v>
      </c>
      <c r="CC1212" s="377">
        <f t="shared" si="5572"/>
        <v>15</v>
      </c>
      <c r="CD1212" s="377">
        <f t="shared" si="5572"/>
        <v>15</v>
      </c>
      <c r="CE1212" s="441">
        <f t="shared" si="5572"/>
        <v>60</v>
      </c>
      <c r="CF1212" s="377">
        <f t="shared" si="5572"/>
        <v>15</v>
      </c>
      <c r="CG1212" s="377">
        <f t="shared" si="5572"/>
        <v>15</v>
      </c>
      <c r="CH1212" s="377">
        <f t="shared" si="5572"/>
        <v>15</v>
      </c>
      <c r="CI1212" s="377">
        <f t="shared" si="5572"/>
        <v>15</v>
      </c>
      <c r="CJ1212" s="441">
        <f t="shared" si="5572"/>
        <v>60</v>
      </c>
      <c r="CK1212" s="377">
        <f t="shared" si="5572"/>
        <v>15</v>
      </c>
      <c r="CL1212" s="377">
        <f t="shared" si="5572"/>
        <v>15</v>
      </c>
      <c r="CM1212" s="377">
        <f t="shared" si="5572"/>
        <v>15</v>
      </c>
      <c r="CN1212" s="440">
        <f t="shared" si="5572"/>
        <v>15</v>
      </c>
      <c r="CO1212" s="441">
        <f t="shared" si="5572"/>
        <v>60</v>
      </c>
      <c r="CP1212" s="440">
        <f t="shared" si="5572"/>
        <v>15</v>
      </c>
      <c r="CQ1212" s="377">
        <f t="shared" si="5572"/>
        <v>15</v>
      </c>
      <c r="CR1212" s="377">
        <f t="shared" si="5572"/>
        <v>15</v>
      </c>
      <c r="CS1212" s="377">
        <f t="shared" si="5572"/>
        <v>15</v>
      </c>
      <c r="CT1212" s="441">
        <f t="shared" si="5572"/>
        <v>60</v>
      </c>
      <c r="CU1212" s="377">
        <f t="shared" si="5572"/>
        <v>15</v>
      </c>
      <c r="CV1212" s="377">
        <f t="shared" si="5572"/>
        <v>15</v>
      </c>
      <c r="CW1212" s="377">
        <f t="shared" si="5572"/>
        <v>15</v>
      </c>
      <c r="CX1212" s="377">
        <f t="shared" si="5572"/>
        <v>15</v>
      </c>
      <c r="CY1212" s="441">
        <f t="shared" si="5572"/>
        <v>60</v>
      </c>
      <c r="CZ1212" s="377">
        <f t="shared" si="5572"/>
        <v>15</v>
      </c>
      <c r="DA1212" s="377">
        <f t="shared" si="5572"/>
        <v>15</v>
      </c>
      <c r="DB1212" s="377">
        <f t="shared" si="5572"/>
        <v>15</v>
      </c>
      <c r="DC1212" s="377">
        <f t="shared" si="5572"/>
        <v>15</v>
      </c>
      <c r="DD1212" s="441">
        <f t="shared" si="5572"/>
        <v>60</v>
      </c>
      <c r="DE1212" s="377">
        <f t="shared" si="5572"/>
        <v>15</v>
      </c>
      <c r="DF1212" s="377">
        <f t="shared" si="5572"/>
        <v>15</v>
      </c>
      <c r="DG1212" s="440">
        <f t="shared" si="5572"/>
        <v>15</v>
      </c>
      <c r="DH1212" s="377">
        <f t="shared" si="5572"/>
        <v>15</v>
      </c>
      <c r="DI1212" s="441">
        <f t="shared" si="5572"/>
        <v>60</v>
      </c>
      <c r="DJ1212" s="440">
        <f t="shared" si="5572"/>
        <v>15</v>
      </c>
      <c r="DK1212" s="440">
        <f t="shared" si="5572"/>
        <v>15</v>
      </c>
      <c r="DL1212" s="440">
        <f t="shared" si="5572"/>
        <v>15</v>
      </c>
      <c r="DM1212" s="377">
        <f t="shared" si="5572"/>
        <v>15</v>
      </c>
      <c r="DN1212" s="441">
        <f t="shared" si="5572"/>
        <v>60</v>
      </c>
      <c r="DO1212" s="377">
        <f t="shared" si="5572"/>
        <v>15</v>
      </c>
      <c r="DP1212" s="377">
        <f t="shared" si="5572"/>
        <v>15</v>
      </c>
      <c r="DQ1212" s="377">
        <f t="shared" si="5572"/>
        <v>15</v>
      </c>
      <c r="DR1212" s="377">
        <f t="shared" si="5572"/>
        <v>15</v>
      </c>
      <c r="DS1212" s="441">
        <f t="shared" si="5572"/>
        <v>60</v>
      </c>
      <c r="DT1212" s="377">
        <f t="shared" si="5572"/>
        <v>15</v>
      </c>
      <c r="DU1212" s="377">
        <f t="shared" si="5572"/>
        <v>15</v>
      </c>
      <c r="DV1212" s="377">
        <f t="shared" si="5572"/>
        <v>15</v>
      </c>
      <c r="DW1212" s="377">
        <f t="shared" si="5572"/>
        <v>15</v>
      </c>
      <c r="DX1212" s="441">
        <f t="shared" si="5572"/>
        <v>60</v>
      </c>
      <c r="DY1212" s="377">
        <f t="shared" si="5572"/>
        <v>15</v>
      </c>
      <c r="DZ1212" s="377">
        <f t="shared" si="5572"/>
        <v>15</v>
      </c>
      <c r="EA1212" s="377">
        <f t="shared" si="5572"/>
        <v>15</v>
      </c>
      <c r="EB1212" s="377">
        <f t="shared" si="5572"/>
        <v>15</v>
      </c>
      <c r="EC1212" s="441">
        <f t="shared" si="5572"/>
        <v>60</v>
      </c>
      <c r="ED1212" s="377">
        <f t="shared" si="5572"/>
        <v>15</v>
      </c>
      <c r="EE1212" s="377">
        <f t="shared" si="5572"/>
        <v>15</v>
      </c>
      <c r="EF1212" s="377">
        <f t="shared" si="5572"/>
        <v>15</v>
      </c>
      <c r="EG1212" s="377">
        <f t="shared" si="5572"/>
        <v>15</v>
      </c>
      <c r="EH1212" s="441">
        <f t="shared" si="5572"/>
        <v>60</v>
      </c>
      <c r="EI1212" s="442">
        <f t="shared" si="5572"/>
        <v>15</v>
      </c>
      <c r="EJ1212" s="377">
        <f t="shared" si="5572"/>
        <v>15</v>
      </c>
      <c r="EK1212" s="377">
        <f t="shared" si="5572"/>
        <v>15</v>
      </c>
      <c r="EL1212" s="377">
        <f t="shared" si="5572"/>
        <v>15</v>
      </c>
      <c r="EM1212" s="441">
        <f t="shared" si="5572"/>
        <v>60</v>
      </c>
      <c r="EN1212" s="377">
        <f t="shared" si="5572"/>
        <v>15</v>
      </c>
      <c r="EO1212" s="377">
        <f t="shared" si="5572"/>
        <v>15</v>
      </c>
      <c r="EP1212" s="377">
        <f t="shared" si="5572"/>
        <v>15</v>
      </c>
      <c r="EQ1212" s="377">
        <f t="shared" si="5572"/>
        <v>15</v>
      </c>
      <c r="ER1212" s="441">
        <f t="shared" si="5572"/>
        <v>60</v>
      </c>
      <c r="ES1212" s="377">
        <f t="shared" si="5572"/>
        <v>15</v>
      </c>
      <c r="ET1212" s="377">
        <f t="shared" si="5572"/>
        <v>15</v>
      </c>
      <c r="EU1212" s="377">
        <f t="shared" si="5572"/>
        <v>15</v>
      </c>
      <c r="EV1212" s="377">
        <f t="shared" si="5572"/>
        <v>15</v>
      </c>
      <c r="EW1212" s="441">
        <f t="shared" si="5572"/>
        <v>60</v>
      </c>
      <c r="EX1212" s="377">
        <f t="shared" si="5572"/>
        <v>15</v>
      </c>
      <c r="EY1212" s="377">
        <f t="shared" si="5572"/>
        <v>15</v>
      </c>
      <c r="EZ1212" s="377">
        <f t="shared" si="5572"/>
        <v>15</v>
      </c>
      <c r="FA1212" s="377">
        <f t="shared" si="5572"/>
        <v>15</v>
      </c>
      <c r="FB1212" s="441">
        <f t="shared" si="5572"/>
        <v>60</v>
      </c>
      <c r="FC1212" s="377">
        <f t="shared" si="5572"/>
        <v>15</v>
      </c>
      <c r="FD1212" s="377">
        <f t="shared" si="5572"/>
        <v>15</v>
      </c>
      <c r="FE1212" s="377">
        <f t="shared" si="5572"/>
        <v>15</v>
      </c>
      <c r="FF1212" s="377">
        <f t="shared" si="5572"/>
        <v>15</v>
      </c>
      <c r="FG1212" s="441">
        <f t="shared" si="5572"/>
        <v>60</v>
      </c>
      <c r="FH1212" s="443"/>
      <c r="FI1212" s="377"/>
      <c r="FJ1212" s="377"/>
      <c r="FK1212" s="747"/>
      <c r="FL1212" s="377"/>
    </row>
    <row r="1213" ht="12.75" hidden="1" customHeight="1" outlineLevel="1">
      <c r="A1213" s="377"/>
      <c r="B1213" s="456" t="str">
        <f t="shared" si="5565"/>
        <v>ICG/All other</v>
      </c>
      <c r="C1213" s="377"/>
      <c r="D1213" s="377"/>
      <c r="E1213" s="377"/>
      <c r="F1213" s="377"/>
      <c r="G1213" s="377"/>
      <c r="H1213" s="747"/>
      <c r="I1213" s="377"/>
      <c r="J1213" s="377"/>
      <c r="K1213" s="377"/>
      <c r="L1213" s="377"/>
      <c r="M1213" s="747"/>
      <c r="N1213" s="377"/>
      <c r="O1213" s="377"/>
      <c r="P1213" s="377"/>
      <c r="Q1213" s="377"/>
      <c r="R1213" s="747"/>
      <c r="S1213" s="377"/>
      <c r="T1213" s="377"/>
      <c r="U1213" s="377"/>
      <c r="V1213" s="377"/>
      <c r="W1213" s="747"/>
      <c r="X1213" s="377"/>
      <c r="Y1213" s="377"/>
      <c r="Z1213" s="377"/>
      <c r="AA1213" s="377"/>
      <c r="AB1213" s="747"/>
      <c r="AC1213" s="377"/>
      <c r="AD1213" s="377"/>
      <c r="AE1213" s="377"/>
      <c r="AF1213" s="377"/>
      <c r="AG1213" s="747"/>
      <c r="AH1213" s="377"/>
      <c r="AI1213" s="377"/>
      <c r="AJ1213" s="377"/>
      <c r="AK1213" s="377"/>
      <c r="AL1213" s="747"/>
      <c r="AM1213" s="377"/>
      <c r="AN1213" s="377"/>
      <c r="AO1213" s="377">
        <f t="shared" ref="AO1213:AP1213" si="5573">AO1211+AO1210+AO856</f>
        <v>545</v>
      </c>
      <c r="AP1213" s="377">
        <f t="shared" si="5573"/>
        <v>601</v>
      </c>
      <c r="AQ1213" s="747">
        <f>AQ1211+AQ1209</f>
        <v>4004</v>
      </c>
      <c r="AR1213" s="377">
        <f t="shared" ref="AR1213:AU1213" si="5574">AR1211+AR1210+AR856</f>
        <v>1066</v>
      </c>
      <c r="AS1213" s="377">
        <f t="shared" si="5574"/>
        <v>1275</v>
      </c>
      <c r="AT1213" s="377">
        <f t="shared" si="5574"/>
        <v>1333</v>
      </c>
      <c r="AU1213" s="377">
        <f t="shared" si="5574"/>
        <v>1368</v>
      </c>
      <c r="AV1213" s="747">
        <f>AV1211+AV1209</f>
        <v>2742</v>
      </c>
      <c r="AW1213" s="377" t="str">
        <f t="shared" ref="AW1213:AZ1213" si="5575">AW1211+AW1210+AW856</f>
        <v>#ERROR!</v>
      </c>
      <c r="AX1213" s="377" t="str">
        <f t="shared" si="5575"/>
        <v>#ERROR!</v>
      </c>
      <c r="AY1213" s="377" t="str">
        <f t="shared" si="5575"/>
        <v>#ERROR!</v>
      </c>
      <c r="AZ1213" s="377" t="str">
        <f t="shared" si="5575"/>
        <v>#ERROR!</v>
      </c>
      <c r="BA1213" s="747" t="str">
        <f>BA1211+BA1209</f>
        <v>#ERROR!</v>
      </c>
      <c r="BB1213" s="377" t="str">
        <f t="shared" ref="BB1213:BE1213" si="5576">BB1211+BB1210+BB856</f>
        <v>#ERROR!</v>
      </c>
      <c r="BC1213" s="377" t="str">
        <f t="shared" si="5576"/>
        <v>#ERROR!</v>
      </c>
      <c r="BD1213" s="377" t="str">
        <f t="shared" si="5576"/>
        <v>#ERROR!</v>
      </c>
      <c r="BE1213" s="377" t="str">
        <f t="shared" si="5576"/>
        <v>#ERROR!</v>
      </c>
      <c r="BF1213" s="747" t="str">
        <f>BF1211+BF1209</f>
        <v>#ERROR!</v>
      </c>
      <c r="BG1213" s="377" t="str">
        <f t="shared" ref="BG1213:BJ1213" si="5577">BG1211+BG1210+BG856</f>
        <v>#ERROR!</v>
      </c>
      <c r="BH1213" s="377" t="str">
        <f t="shared" si="5577"/>
        <v>#ERROR!</v>
      </c>
      <c r="BI1213" s="377" t="str">
        <f t="shared" si="5577"/>
        <v>#ERROR!</v>
      </c>
      <c r="BJ1213" s="377" t="str">
        <f t="shared" si="5577"/>
        <v>#ERROR!</v>
      </c>
      <c r="BK1213" s="747" t="str">
        <f>BK1211+BK1209</f>
        <v>#ERROR!</v>
      </c>
      <c r="BL1213" s="377" t="str">
        <f t="shared" ref="BL1213:BO1213" si="5578">BL1211+BL1210+BL856</f>
        <v>#ERROR!</v>
      </c>
      <c r="BM1213" s="377" t="str">
        <f t="shared" si="5578"/>
        <v>#ERROR!</v>
      </c>
      <c r="BN1213" s="377" t="str">
        <f t="shared" si="5578"/>
        <v>#ERROR!</v>
      </c>
      <c r="BO1213" s="377" t="str">
        <f t="shared" si="5578"/>
        <v>#ERROR!</v>
      </c>
      <c r="BP1213" s="747" t="str">
        <f>BP1211+BP1209</f>
        <v>#ERROR!</v>
      </c>
      <c r="BQ1213" s="377" t="str">
        <f t="shared" ref="BQ1213:BT1213" si="5579">BQ1211+BQ1210+BQ856</f>
        <v>#ERROR!</v>
      </c>
      <c r="BR1213" s="377" t="str">
        <f t="shared" si="5579"/>
        <v>#ERROR!</v>
      </c>
      <c r="BS1213" s="377">
        <f t="shared" si="5579"/>
        <v>804.4</v>
      </c>
      <c r="BT1213" s="377" t="str">
        <f t="shared" si="5579"/>
        <v>#ERROR!</v>
      </c>
      <c r="BU1213" s="747" t="str">
        <f>BU1211+BU1209</f>
        <v>#ERROR!</v>
      </c>
      <c r="BV1213" s="377" t="str">
        <f t="shared" ref="BV1213:BY1213" si="5580">BV1211+BV1210+BV856</f>
        <v>#ERROR!</v>
      </c>
      <c r="BW1213" s="377" t="str">
        <f t="shared" si="5580"/>
        <v>#ERROR!</v>
      </c>
      <c r="BX1213" s="377" t="str">
        <f t="shared" si="5580"/>
        <v>#ERROR!</v>
      </c>
      <c r="BY1213" s="377" t="str">
        <f t="shared" si="5580"/>
        <v>#ERROR!</v>
      </c>
      <c r="BZ1213" s="441" t="str">
        <f>BZ1211+BZ1209</f>
        <v>#ERROR!</v>
      </c>
      <c r="CA1213" s="377" t="str">
        <f t="shared" ref="CA1213:CD1213" si="5581">CA1211+CA1210+CA856</f>
        <v>#ERROR!</v>
      </c>
      <c r="CB1213" s="377" t="str">
        <f t="shared" si="5581"/>
        <v>#ERROR!</v>
      </c>
      <c r="CC1213" s="377" t="str">
        <f t="shared" si="5581"/>
        <v>#ERROR!</v>
      </c>
      <c r="CD1213" s="377" t="str">
        <f t="shared" si="5581"/>
        <v>#ERROR!</v>
      </c>
      <c r="CE1213" s="441" t="str">
        <f>CE1211+CE1209</f>
        <v>#ERROR!</v>
      </c>
      <c r="CF1213" s="377" t="str">
        <f t="shared" ref="CF1213:CI1213" si="5582">CF1211+CF1210+CF856</f>
        <v>#ERROR!</v>
      </c>
      <c r="CG1213" s="377" t="str">
        <f t="shared" si="5582"/>
        <v>#ERROR!</v>
      </c>
      <c r="CH1213" s="377" t="str">
        <f t="shared" si="5582"/>
        <v>#ERROR!</v>
      </c>
      <c r="CI1213" s="377" t="str">
        <f t="shared" si="5582"/>
        <v>#ERROR!</v>
      </c>
      <c r="CJ1213" s="441" t="str">
        <f>CJ1211+CJ1209</f>
        <v>#ERROR!</v>
      </c>
      <c r="CK1213" s="377" t="str">
        <f t="shared" ref="CK1213:CN1213" si="5583">CK1211+CK1210+CK856</f>
        <v>#ERROR!</v>
      </c>
      <c r="CL1213" s="377" t="str">
        <f t="shared" si="5583"/>
        <v>#ERROR!</v>
      </c>
      <c r="CM1213" s="377" t="str">
        <f t="shared" si="5583"/>
        <v>#ERROR!</v>
      </c>
      <c r="CN1213" s="440" t="str">
        <f t="shared" si="5583"/>
        <v>#ERROR!</v>
      </c>
      <c r="CO1213" s="441" t="str">
        <f>CO1211+CO1209</f>
        <v>#ERROR!</v>
      </c>
      <c r="CP1213" s="440" t="str">
        <f t="shared" ref="CP1213:CS1213" si="5584">CP1211+CP1210+CP856</f>
        <v>#ERROR!</v>
      </c>
      <c r="CQ1213" s="377" t="str">
        <f t="shared" si="5584"/>
        <v>#ERROR!</v>
      </c>
      <c r="CR1213" s="377" t="str">
        <f t="shared" si="5584"/>
        <v>#ERROR!</v>
      </c>
      <c r="CS1213" s="377" t="str">
        <f t="shared" si="5584"/>
        <v>#ERROR!</v>
      </c>
      <c r="CT1213" s="441" t="str">
        <f>CT1211+CT1209</f>
        <v>#ERROR!</v>
      </c>
      <c r="CU1213" s="377" t="str">
        <f t="shared" ref="CU1213:CX1213" si="5585">CU1211+CU1210+CU856</f>
        <v>#ERROR!</v>
      </c>
      <c r="CV1213" s="377" t="str">
        <f t="shared" si="5585"/>
        <v>#ERROR!</v>
      </c>
      <c r="CW1213" s="377" t="str">
        <f t="shared" si="5585"/>
        <v>#ERROR!</v>
      </c>
      <c r="CX1213" s="377" t="str">
        <f t="shared" si="5585"/>
        <v>#ERROR!</v>
      </c>
      <c r="CY1213" s="441" t="str">
        <f>CY1211+CY1209</f>
        <v>#ERROR!</v>
      </c>
      <c r="CZ1213" s="377" t="str">
        <f t="shared" ref="CZ1213:DC1213" si="5586">CZ1211+CZ1210+CZ856</f>
        <v>#ERROR!</v>
      </c>
      <c r="DA1213" s="377" t="str">
        <f t="shared" si="5586"/>
        <v>#ERROR!</v>
      </c>
      <c r="DB1213" s="377" t="str">
        <f t="shared" si="5586"/>
        <v>#ERROR!</v>
      </c>
      <c r="DC1213" s="377" t="str">
        <f t="shared" si="5586"/>
        <v>#ERROR!</v>
      </c>
      <c r="DD1213" s="441" t="str">
        <f>DD1211+DD1209</f>
        <v>#ERROR!</v>
      </c>
      <c r="DE1213" s="377" t="str">
        <f t="shared" ref="DE1213:DH1213" si="5587">DE1211+DE1210+DE856</f>
        <v>#ERROR!</v>
      </c>
      <c r="DF1213" s="377" t="str">
        <f t="shared" si="5587"/>
        <v>#ERROR!</v>
      </c>
      <c r="DG1213" s="440" t="str">
        <f t="shared" si="5587"/>
        <v>#ERROR!</v>
      </c>
      <c r="DH1213" s="377" t="str">
        <f t="shared" si="5587"/>
        <v>#ERROR!</v>
      </c>
      <c r="DI1213" s="441" t="str">
        <f>DI1211+DI1209</f>
        <v>#ERROR!</v>
      </c>
      <c r="DJ1213" s="440" t="str">
        <f t="shared" ref="DJ1213:DM1213" si="5588">DJ1211+DJ1210+DJ856</f>
        <v>#ERROR!</v>
      </c>
      <c r="DK1213" s="440" t="str">
        <f t="shared" si="5588"/>
        <v>#ERROR!</v>
      </c>
      <c r="DL1213" s="440" t="str">
        <f t="shared" si="5588"/>
        <v>#ERROR!</v>
      </c>
      <c r="DM1213" s="377" t="str">
        <f t="shared" si="5588"/>
        <v>#ERROR!</v>
      </c>
      <c r="DN1213" s="441" t="str">
        <f>DN1211+DN1209</f>
        <v>#ERROR!</v>
      </c>
      <c r="DO1213" s="377" t="str">
        <f t="shared" ref="DO1213:DR1213" si="5589">DO1211+DO1210+DO856</f>
        <v>#ERROR!</v>
      </c>
      <c r="DP1213" s="377" t="str">
        <f t="shared" si="5589"/>
        <v>#ERROR!</v>
      </c>
      <c r="DQ1213" s="377" t="str">
        <f t="shared" si="5589"/>
        <v>#ERROR!</v>
      </c>
      <c r="DR1213" s="377" t="str">
        <f t="shared" si="5589"/>
        <v>#ERROR!</v>
      </c>
      <c r="DS1213" s="441" t="str">
        <f>DS1211+DS1209</f>
        <v>#ERROR!</v>
      </c>
      <c r="DT1213" s="377" t="str">
        <f t="shared" ref="DT1213:DW1213" si="5590">DT1211+DT1210+DT856</f>
        <v>#ERROR!</v>
      </c>
      <c r="DU1213" s="377" t="str">
        <f t="shared" si="5590"/>
        <v>#ERROR!</v>
      </c>
      <c r="DV1213" s="377" t="str">
        <f t="shared" si="5590"/>
        <v>#ERROR!</v>
      </c>
      <c r="DW1213" s="377" t="str">
        <f t="shared" si="5590"/>
        <v>#ERROR!</v>
      </c>
      <c r="DX1213" s="441" t="str">
        <f>DX1211+DX1209</f>
        <v>#ERROR!</v>
      </c>
      <c r="DY1213" s="377" t="str">
        <f t="shared" ref="DY1213:EB1213" si="5591">DY1211+DY1210+DY856</f>
        <v>#ERROR!</v>
      </c>
      <c r="DZ1213" s="377" t="str">
        <f t="shared" si="5591"/>
        <v>#ERROR!</v>
      </c>
      <c r="EA1213" s="377" t="str">
        <f t="shared" si="5591"/>
        <v>#ERROR!</v>
      </c>
      <c r="EB1213" s="377" t="str">
        <f t="shared" si="5591"/>
        <v>#ERROR!</v>
      </c>
      <c r="EC1213" s="441" t="str">
        <f>EC1211+EC1209</f>
        <v>#ERROR!</v>
      </c>
      <c r="ED1213" s="377" t="str">
        <f t="shared" ref="ED1213:EG1213" si="5592">ED1211+ED1210+ED856</f>
        <v>#ERROR!</v>
      </c>
      <c r="EE1213" s="377" t="str">
        <f t="shared" si="5592"/>
        <v>#ERROR!</v>
      </c>
      <c r="EF1213" s="377" t="str">
        <f t="shared" si="5592"/>
        <v>#ERROR!</v>
      </c>
      <c r="EG1213" s="377" t="str">
        <f t="shared" si="5592"/>
        <v>#ERROR!</v>
      </c>
      <c r="EH1213" s="441" t="str">
        <f>EH1211+EH1209</f>
        <v>#ERROR!</v>
      </c>
      <c r="EI1213" s="442" t="str">
        <f t="shared" ref="EI1213:EL1213" si="5593">EI1211+EI1210+EI856</f>
        <v>#ERROR!</v>
      </c>
      <c r="EJ1213" s="377" t="str">
        <f t="shared" si="5593"/>
        <v>#ERROR!</v>
      </c>
      <c r="EK1213" s="377" t="str">
        <f t="shared" si="5593"/>
        <v>#ERROR!</v>
      </c>
      <c r="EL1213" s="377" t="str">
        <f t="shared" si="5593"/>
        <v>#ERROR!</v>
      </c>
      <c r="EM1213" s="441" t="str">
        <f>EM1211+EM1209</f>
        <v>#ERROR!</v>
      </c>
      <c r="EN1213" s="377" t="str">
        <f t="shared" ref="EN1213:EQ1213" si="5594">EN1211+EN1210+EN856</f>
        <v>#ERROR!</v>
      </c>
      <c r="EO1213" s="377" t="str">
        <f t="shared" si="5594"/>
        <v>#ERROR!</v>
      </c>
      <c r="EP1213" s="377" t="str">
        <f t="shared" si="5594"/>
        <v>#ERROR!</v>
      </c>
      <c r="EQ1213" s="377" t="str">
        <f t="shared" si="5594"/>
        <v>#ERROR!</v>
      </c>
      <c r="ER1213" s="441" t="str">
        <f>ER1211+ER1209</f>
        <v>#ERROR!</v>
      </c>
      <c r="ES1213" s="377" t="str">
        <f t="shared" ref="ES1213:EV1213" si="5595">ES1211+ES1210+ES856</f>
        <v>#ERROR!</v>
      </c>
      <c r="ET1213" s="377" t="str">
        <f t="shared" si="5595"/>
        <v>#ERROR!</v>
      </c>
      <c r="EU1213" s="377" t="str">
        <f t="shared" si="5595"/>
        <v>#ERROR!</v>
      </c>
      <c r="EV1213" s="377" t="str">
        <f t="shared" si="5595"/>
        <v>#ERROR!</v>
      </c>
      <c r="EW1213" s="441" t="str">
        <f>EW1211+EW1209</f>
        <v>#ERROR!</v>
      </c>
      <c r="EX1213" s="377" t="str">
        <f t="shared" ref="EX1213:FA1213" si="5596">EX1211+EX1210+EX856</f>
        <v>#ERROR!</v>
      </c>
      <c r="EY1213" s="377" t="str">
        <f t="shared" si="5596"/>
        <v>#ERROR!</v>
      </c>
      <c r="EZ1213" s="377" t="str">
        <f t="shared" si="5596"/>
        <v>#ERROR!</v>
      </c>
      <c r="FA1213" s="377" t="str">
        <f t="shared" si="5596"/>
        <v>#ERROR!</v>
      </c>
      <c r="FB1213" s="441" t="str">
        <f>FB1211+FB1209</f>
        <v>#ERROR!</v>
      </c>
      <c r="FC1213" s="377" t="str">
        <f t="shared" ref="FC1213:FF1213" si="5597">FC1211+FC1210+FC856</f>
        <v>#ERROR!</v>
      </c>
      <c r="FD1213" s="377" t="str">
        <f t="shared" si="5597"/>
        <v>#ERROR!</v>
      </c>
      <c r="FE1213" s="377" t="str">
        <f t="shared" si="5597"/>
        <v>#ERROR!</v>
      </c>
      <c r="FF1213" s="377" t="str">
        <f t="shared" si="5597"/>
        <v>#ERROR!</v>
      </c>
      <c r="FG1213" s="441" t="str">
        <f>FG1211+FG1209</f>
        <v>#ERROR!</v>
      </c>
      <c r="FH1213" s="443"/>
      <c r="FI1213" s="377"/>
      <c r="FJ1213" s="377"/>
      <c r="FK1213" s="747"/>
      <c r="FL1213" s="377"/>
    </row>
    <row r="1214" ht="13.5" hidden="1" customHeight="1" outlineLevel="1">
      <c r="A1214" s="665"/>
      <c r="B1214" s="748" t="s">
        <v>291</v>
      </c>
      <c r="C1214" s="748"/>
      <c r="D1214" s="748"/>
      <c r="E1214" s="748"/>
      <c r="F1214" s="748"/>
      <c r="G1214" s="748"/>
      <c r="H1214" s="749"/>
      <c r="I1214" s="748"/>
      <c r="J1214" s="748"/>
      <c r="K1214" s="748"/>
      <c r="L1214" s="748"/>
      <c r="M1214" s="749"/>
      <c r="N1214" s="748"/>
      <c r="O1214" s="748"/>
      <c r="P1214" s="748"/>
      <c r="Q1214" s="748"/>
      <c r="R1214" s="749"/>
      <c r="S1214" s="748"/>
      <c r="T1214" s="748"/>
      <c r="U1214" s="748"/>
      <c r="V1214" s="748"/>
      <c r="W1214" s="749"/>
      <c r="X1214" s="748"/>
      <c r="Y1214" s="748"/>
      <c r="Z1214" s="748"/>
      <c r="AA1214" s="748"/>
      <c r="AB1214" s="749"/>
      <c r="AC1214" s="748"/>
      <c r="AD1214" s="748"/>
      <c r="AE1214" s="748"/>
      <c r="AF1214" s="748"/>
      <c r="AG1214" s="749"/>
      <c r="AH1214" s="748"/>
      <c r="AI1214" s="748"/>
      <c r="AJ1214" s="748"/>
      <c r="AK1214" s="748"/>
      <c r="AL1214" s="749"/>
      <c r="AM1214" s="748"/>
      <c r="AN1214" s="748"/>
      <c r="AO1214" s="748">
        <f t="shared" ref="AO1214:AQ1214" si="5598">SUM(AO1208:AO1211)</f>
        <v>7832</v>
      </c>
      <c r="AP1214" s="748">
        <f t="shared" si="5598"/>
        <v>8732</v>
      </c>
      <c r="AQ1214" s="749">
        <f t="shared" si="5598"/>
        <v>30106</v>
      </c>
      <c r="AR1214" s="748">
        <f t="shared" ref="AR1214:AU1214" si="5599">AR1208+AR1213</f>
        <v>8091</v>
      </c>
      <c r="AS1214" s="748">
        <f t="shared" si="5599"/>
        <v>8049</v>
      </c>
      <c r="AT1214" s="748">
        <f t="shared" si="5599"/>
        <v>8471</v>
      </c>
      <c r="AU1214" s="748">
        <f t="shared" si="5599"/>
        <v>9598</v>
      </c>
      <c r="AV1214" s="749">
        <f>SUM(AV1208:AV1211)</f>
        <v>34194</v>
      </c>
      <c r="AW1214" s="748" t="str">
        <f t="shared" ref="AW1214:AZ1214" si="5600">AW1208+AW1213</f>
        <v>#ERROR!</v>
      </c>
      <c r="AX1214" s="748" t="str">
        <f t="shared" si="5600"/>
        <v>#ERROR!</v>
      </c>
      <c r="AY1214" s="748" t="str">
        <f t="shared" si="5600"/>
        <v>#ERROR!</v>
      </c>
      <c r="AZ1214" s="748" t="str">
        <f t="shared" si="5600"/>
        <v>#ERROR!</v>
      </c>
      <c r="BA1214" s="749" t="str">
        <f>SUM(BA1208:BA1211)</f>
        <v>#ERROR!</v>
      </c>
      <c r="BB1214" s="748" t="str">
        <f t="shared" ref="BB1214:BE1214" si="5601">BB1208+BB1213</f>
        <v>#ERROR!</v>
      </c>
      <c r="BC1214" s="748" t="str">
        <f t="shared" si="5601"/>
        <v>#ERROR!</v>
      </c>
      <c r="BD1214" s="748" t="str">
        <f t="shared" si="5601"/>
        <v>#ERROR!</v>
      </c>
      <c r="BE1214" s="748" t="str">
        <f t="shared" si="5601"/>
        <v>#ERROR!</v>
      </c>
      <c r="BF1214" s="749" t="str">
        <f>SUM(BF1208:BF1211)</f>
        <v>#ERROR!</v>
      </c>
      <c r="BG1214" s="748" t="str">
        <f t="shared" ref="BG1214:BJ1214" si="5602">BG1208+BG1213</f>
        <v>#ERROR!</v>
      </c>
      <c r="BH1214" s="748" t="str">
        <f t="shared" si="5602"/>
        <v>#ERROR!</v>
      </c>
      <c r="BI1214" s="748" t="str">
        <f t="shared" si="5602"/>
        <v>#ERROR!</v>
      </c>
      <c r="BJ1214" s="748" t="str">
        <f t="shared" si="5602"/>
        <v>#ERROR!</v>
      </c>
      <c r="BK1214" s="749" t="str">
        <f>SUM(BK1208:BK1211)</f>
        <v>#ERROR!</v>
      </c>
      <c r="BL1214" s="748" t="str">
        <f t="shared" ref="BL1214:BO1214" si="5603">BL1208+BL1213</f>
        <v>#ERROR!</v>
      </c>
      <c r="BM1214" s="748" t="str">
        <f t="shared" si="5603"/>
        <v>#ERROR!</v>
      </c>
      <c r="BN1214" s="748" t="str">
        <f t="shared" si="5603"/>
        <v>#ERROR!</v>
      </c>
      <c r="BO1214" s="748" t="str">
        <f t="shared" si="5603"/>
        <v>#ERROR!</v>
      </c>
      <c r="BP1214" s="749" t="str">
        <f>SUM(BP1208:BP1211)</f>
        <v>#ERROR!</v>
      </c>
      <c r="BQ1214" s="748" t="str">
        <f t="shared" ref="BQ1214:BT1214" si="5604">BQ1208+BQ1213</f>
        <v>#ERROR!</v>
      </c>
      <c r="BR1214" s="748" t="str">
        <f t="shared" si="5604"/>
        <v>#ERROR!</v>
      </c>
      <c r="BS1214" s="748" t="str">
        <f t="shared" si="5604"/>
        <v>#ERROR!</v>
      </c>
      <c r="BT1214" s="748" t="str">
        <f t="shared" si="5604"/>
        <v>#ERROR!</v>
      </c>
      <c r="BU1214" s="749" t="str">
        <f>SUM(BU1208:BU1211)</f>
        <v>#ERROR!</v>
      </c>
      <c r="BV1214" s="748" t="str">
        <f t="shared" ref="BV1214:BY1214" si="5605">BV1208+BV1213</f>
        <v>#ERROR!</v>
      </c>
      <c r="BW1214" s="748" t="str">
        <f t="shared" si="5605"/>
        <v>#ERROR!</v>
      </c>
      <c r="BX1214" s="748" t="str">
        <f t="shared" si="5605"/>
        <v>#ERROR!</v>
      </c>
      <c r="BY1214" s="748" t="str">
        <f t="shared" si="5605"/>
        <v>#ERROR!</v>
      </c>
      <c r="BZ1214" s="750" t="str">
        <f>SUM(BZ1208:BZ1211)</f>
        <v>#ERROR!</v>
      </c>
      <c r="CA1214" s="748" t="str">
        <f t="shared" ref="CA1214:CD1214" si="5606">CA1208+CA1213</f>
        <v>#ERROR!</v>
      </c>
      <c r="CB1214" s="748" t="str">
        <f t="shared" si="5606"/>
        <v>#ERROR!</v>
      </c>
      <c r="CC1214" s="748" t="str">
        <f t="shared" si="5606"/>
        <v>#ERROR!</v>
      </c>
      <c r="CD1214" s="748" t="str">
        <f t="shared" si="5606"/>
        <v>#ERROR!</v>
      </c>
      <c r="CE1214" s="750" t="str">
        <f>SUM(CE1208:CE1211)</f>
        <v>#ERROR!</v>
      </c>
      <c r="CF1214" s="748" t="str">
        <f t="shared" ref="CF1214:CI1214" si="5607">CF1208+CF1213</f>
        <v>#ERROR!</v>
      </c>
      <c r="CG1214" s="748" t="str">
        <f t="shared" si="5607"/>
        <v>#ERROR!</v>
      </c>
      <c r="CH1214" s="748" t="str">
        <f t="shared" si="5607"/>
        <v>#ERROR!</v>
      </c>
      <c r="CI1214" s="748" t="str">
        <f t="shared" si="5607"/>
        <v>#ERROR!</v>
      </c>
      <c r="CJ1214" s="750" t="str">
        <f>SUM(CJ1208:CJ1211)</f>
        <v>#ERROR!</v>
      </c>
      <c r="CK1214" s="748" t="str">
        <f t="shared" ref="CK1214:CN1214" si="5608">CK1208+CK1213</f>
        <v>#ERROR!</v>
      </c>
      <c r="CL1214" s="748" t="str">
        <f t="shared" si="5608"/>
        <v>#ERROR!</v>
      </c>
      <c r="CM1214" s="748" t="str">
        <f t="shared" si="5608"/>
        <v>#ERROR!</v>
      </c>
      <c r="CN1214" s="751" t="str">
        <f t="shared" si="5608"/>
        <v>#ERROR!</v>
      </c>
      <c r="CO1214" s="750" t="str">
        <f>SUM(CO1208:CO1211)</f>
        <v>#ERROR!</v>
      </c>
      <c r="CP1214" s="751" t="str">
        <f t="shared" ref="CP1214:CS1214" si="5609">CP1208+CP1213</f>
        <v>#ERROR!</v>
      </c>
      <c r="CQ1214" s="748" t="str">
        <f t="shared" si="5609"/>
        <v>#ERROR!</v>
      </c>
      <c r="CR1214" s="748" t="str">
        <f t="shared" si="5609"/>
        <v>#ERROR!</v>
      </c>
      <c r="CS1214" s="748" t="str">
        <f t="shared" si="5609"/>
        <v>#ERROR!</v>
      </c>
      <c r="CT1214" s="750" t="str">
        <f>SUM(CT1208:CT1211)</f>
        <v>#ERROR!</v>
      </c>
      <c r="CU1214" s="748" t="str">
        <f t="shared" ref="CU1214:CX1214" si="5610">CU1208+CU1213</f>
        <v>#ERROR!</v>
      </c>
      <c r="CV1214" s="748" t="str">
        <f t="shared" si="5610"/>
        <v>#ERROR!</v>
      </c>
      <c r="CW1214" s="748" t="str">
        <f t="shared" si="5610"/>
        <v>#ERROR!</v>
      </c>
      <c r="CX1214" s="748" t="str">
        <f t="shared" si="5610"/>
        <v>#ERROR!</v>
      </c>
      <c r="CY1214" s="750" t="str">
        <f>SUM(CY1208:CY1211)</f>
        <v>#ERROR!</v>
      </c>
      <c r="CZ1214" s="748" t="str">
        <f t="shared" ref="CZ1214:DC1214" si="5611">CZ1208+CZ1213</f>
        <v>#ERROR!</v>
      </c>
      <c r="DA1214" s="748" t="str">
        <f t="shared" si="5611"/>
        <v>#ERROR!</v>
      </c>
      <c r="DB1214" s="748" t="str">
        <f t="shared" si="5611"/>
        <v>#ERROR!</v>
      </c>
      <c r="DC1214" s="748" t="str">
        <f t="shared" si="5611"/>
        <v>#ERROR!</v>
      </c>
      <c r="DD1214" s="750" t="str">
        <f>SUM(DD1208:DD1211)</f>
        <v>#ERROR!</v>
      </c>
      <c r="DE1214" s="748" t="str">
        <f t="shared" ref="DE1214:DH1214" si="5612">DE1208+DE1213</f>
        <v>#ERROR!</v>
      </c>
      <c r="DF1214" s="748" t="str">
        <f t="shared" si="5612"/>
        <v>#ERROR!</v>
      </c>
      <c r="DG1214" s="667" t="str">
        <f t="shared" si="5612"/>
        <v>#ERROR!</v>
      </c>
      <c r="DH1214" s="748" t="str">
        <f t="shared" si="5612"/>
        <v>#ERROR!</v>
      </c>
      <c r="DI1214" s="750" t="str">
        <f>SUM(DI1208:DI1211)</f>
        <v>#ERROR!</v>
      </c>
      <c r="DJ1214" s="751" t="str">
        <f t="shared" ref="DJ1214:DM1214" si="5613">DJ1208+DJ1213</f>
        <v>#ERROR!</v>
      </c>
      <c r="DK1214" s="751" t="str">
        <f t="shared" si="5613"/>
        <v>#ERROR!</v>
      </c>
      <c r="DL1214" s="751" t="str">
        <f t="shared" si="5613"/>
        <v>#ERROR!</v>
      </c>
      <c r="DM1214" s="748" t="str">
        <f t="shared" si="5613"/>
        <v>#ERROR!</v>
      </c>
      <c r="DN1214" s="750" t="str">
        <f>SUM(DN1208:DN1211)</f>
        <v>#ERROR!</v>
      </c>
      <c r="DO1214" s="748" t="str">
        <f t="shared" ref="DO1214:DR1214" si="5614">DO1208+DO1213</f>
        <v>#ERROR!</v>
      </c>
      <c r="DP1214" s="748" t="str">
        <f t="shared" si="5614"/>
        <v>#ERROR!</v>
      </c>
      <c r="DQ1214" s="748" t="str">
        <f t="shared" si="5614"/>
        <v>#ERROR!</v>
      </c>
      <c r="DR1214" s="748" t="str">
        <f t="shared" si="5614"/>
        <v>#ERROR!</v>
      </c>
      <c r="DS1214" s="750" t="str">
        <f>SUM(DS1208:DS1211)</f>
        <v>#ERROR!</v>
      </c>
      <c r="DT1214" s="748" t="str">
        <f t="shared" ref="DT1214:DW1214" si="5615">DT1208+DT1213</f>
        <v>#ERROR!</v>
      </c>
      <c r="DU1214" s="748" t="str">
        <f t="shared" si="5615"/>
        <v>#ERROR!</v>
      </c>
      <c r="DV1214" s="748" t="str">
        <f t="shared" si="5615"/>
        <v>#ERROR!</v>
      </c>
      <c r="DW1214" s="748" t="str">
        <f t="shared" si="5615"/>
        <v>#ERROR!</v>
      </c>
      <c r="DX1214" s="750" t="str">
        <f>SUM(DX1208:DX1211)</f>
        <v>#ERROR!</v>
      </c>
      <c r="DY1214" s="748" t="str">
        <f t="shared" ref="DY1214:EB1214" si="5616">DY1208+DY1213</f>
        <v>#ERROR!</v>
      </c>
      <c r="DZ1214" s="748" t="str">
        <f t="shared" si="5616"/>
        <v>#ERROR!</v>
      </c>
      <c r="EA1214" s="748" t="str">
        <f t="shared" si="5616"/>
        <v>#ERROR!</v>
      </c>
      <c r="EB1214" s="748" t="str">
        <f t="shared" si="5616"/>
        <v>#ERROR!</v>
      </c>
      <c r="EC1214" s="750" t="str">
        <f>SUM(EC1208:EC1211)</f>
        <v>#ERROR!</v>
      </c>
      <c r="ED1214" s="748" t="str">
        <f t="shared" ref="ED1214:EG1214" si="5617">ED1208+ED1213</f>
        <v>#ERROR!</v>
      </c>
      <c r="EE1214" s="748" t="str">
        <f t="shared" si="5617"/>
        <v>#ERROR!</v>
      </c>
      <c r="EF1214" s="748" t="str">
        <f t="shared" si="5617"/>
        <v>#ERROR!</v>
      </c>
      <c r="EG1214" s="748" t="str">
        <f t="shared" si="5617"/>
        <v>#ERROR!</v>
      </c>
      <c r="EH1214" s="750" t="str">
        <f>SUM(EH1208:EH1211)</f>
        <v>#ERROR!</v>
      </c>
      <c r="EI1214" s="752" t="str">
        <f t="shared" ref="EI1214:EL1214" si="5618">EI1208+EI1213</f>
        <v>#ERROR!</v>
      </c>
      <c r="EJ1214" s="748" t="str">
        <f t="shared" si="5618"/>
        <v>#ERROR!</v>
      </c>
      <c r="EK1214" s="748" t="str">
        <f t="shared" si="5618"/>
        <v>#ERROR!</v>
      </c>
      <c r="EL1214" s="748" t="str">
        <f t="shared" si="5618"/>
        <v>#ERROR!</v>
      </c>
      <c r="EM1214" s="750" t="str">
        <f>SUM(EM1208:EM1211)</f>
        <v>#ERROR!</v>
      </c>
      <c r="EN1214" s="748" t="str">
        <f t="shared" ref="EN1214:EQ1214" si="5619">EN1208+EN1213</f>
        <v>#ERROR!</v>
      </c>
      <c r="EO1214" s="748" t="str">
        <f t="shared" si="5619"/>
        <v>#ERROR!</v>
      </c>
      <c r="EP1214" s="748" t="str">
        <f t="shared" si="5619"/>
        <v>#ERROR!</v>
      </c>
      <c r="EQ1214" s="748" t="str">
        <f t="shared" si="5619"/>
        <v>#ERROR!</v>
      </c>
      <c r="ER1214" s="750" t="str">
        <f>SUM(ER1208:ER1211)</f>
        <v>#ERROR!</v>
      </c>
      <c r="ES1214" s="748" t="str">
        <f t="shared" ref="ES1214:EV1214" si="5620">ES1208+ES1213</f>
        <v>#ERROR!</v>
      </c>
      <c r="ET1214" s="748" t="str">
        <f t="shared" si="5620"/>
        <v>#ERROR!</v>
      </c>
      <c r="EU1214" s="748" t="str">
        <f t="shared" si="5620"/>
        <v>#ERROR!</v>
      </c>
      <c r="EV1214" s="748" t="str">
        <f t="shared" si="5620"/>
        <v>#ERROR!</v>
      </c>
      <c r="EW1214" s="750" t="str">
        <f>SUM(EW1208:EW1211)</f>
        <v>#ERROR!</v>
      </c>
      <c r="EX1214" s="748" t="str">
        <f t="shared" ref="EX1214:FA1214" si="5621">EX1208+EX1213</f>
        <v>#ERROR!</v>
      </c>
      <c r="EY1214" s="748" t="str">
        <f t="shared" si="5621"/>
        <v>#ERROR!</v>
      </c>
      <c r="EZ1214" s="748" t="str">
        <f t="shared" si="5621"/>
        <v>#ERROR!</v>
      </c>
      <c r="FA1214" s="748" t="str">
        <f t="shared" si="5621"/>
        <v>#ERROR!</v>
      </c>
      <c r="FB1214" s="750" t="str">
        <f>SUM(FB1208:FB1211)</f>
        <v>#ERROR!</v>
      </c>
      <c r="FC1214" s="748" t="str">
        <f t="shared" ref="FC1214:FF1214" si="5622">FC1208+FC1213</f>
        <v>#ERROR!</v>
      </c>
      <c r="FD1214" s="748" t="str">
        <f t="shared" si="5622"/>
        <v>#ERROR!</v>
      </c>
      <c r="FE1214" s="748" t="str">
        <f t="shared" si="5622"/>
        <v>#ERROR!</v>
      </c>
      <c r="FF1214" s="748" t="str">
        <f t="shared" si="5622"/>
        <v>#ERROR!</v>
      </c>
      <c r="FG1214" s="750" t="str">
        <f>SUM(FG1208:FG1211)</f>
        <v>#ERROR!</v>
      </c>
      <c r="FH1214" s="753"/>
      <c r="FI1214" s="748"/>
      <c r="FJ1214" s="748"/>
      <c r="FK1214" s="749"/>
      <c r="FL1214" s="748"/>
    </row>
    <row r="1215" ht="12.75" hidden="1" customHeight="1" outlineLevel="1">
      <c r="A1215" s="4"/>
      <c r="B1215" s="4"/>
      <c r="C1215" s="4"/>
      <c r="D1215" s="4"/>
      <c r="E1215" s="4"/>
      <c r="F1215" s="4"/>
      <c r="G1215" s="4"/>
      <c r="H1215" s="8"/>
      <c r="I1215" s="4"/>
      <c r="J1215" s="4"/>
      <c r="K1215" s="4"/>
      <c r="L1215" s="4"/>
      <c r="M1215" s="8"/>
      <c r="N1215" s="4"/>
      <c r="O1215" s="4"/>
      <c r="P1215" s="4"/>
      <c r="Q1215" s="4"/>
      <c r="R1215" s="8"/>
      <c r="S1215" s="4"/>
      <c r="T1215" s="4"/>
      <c r="U1215" s="4"/>
      <c r="V1215" s="4"/>
      <c r="W1215" s="8"/>
      <c r="X1215" s="4"/>
      <c r="Y1215" s="4"/>
      <c r="Z1215" s="4"/>
      <c r="AA1215" s="4"/>
      <c r="AB1215" s="8"/>
      <c r="AC1215" s="4"/>
      <c r="AD1215" s="4"/>
      <c r="AE1215" s="4"/>
      <c r="AF1215" s="4"/>
      <c r="AG1215" s="8"/>
      <c r="AH1215" s="4"/>
      <c r="AI1215" s="4"/>
      <c r="AJ1215" s="4"/>
      <c r="AK1215" s="4"/>
      <c r="AL1215" s="8"/>
      <c r="AM1215" s="4"/>
      <c r="AN1215" s="4"/>
      <c r="AO1215" s="4"/>
      <c r="AP1215" s="4"/>
      <c r="AQ1215" s="8"/>
      <c r="AR1215" s="4"/>
      <c r="AS1215" s="4"/>
      <c r="AT1215" s="4"/>
      <c r="AU1215" s="4"/>
      <c r="AV1215" s="8"/>
      <c r="AW1215" s="4"/>
      <c r="AX1215" s="4"/>
      <c r="AY1215" s="4"/>
      <c r="AZ1215" s="4"/>
      <c r="BA1215" s="8"/>
      <c r="BB1215" s="4"/>
      <c r="BC1215" s="4"/>
      <c r="BD1215" s="4"/>
      <c r="BE1215" s="4"/>
      <c r="BF1215" s="8"/>
      <c r="BG1215" s="4"/>
      <c r="BH1215" s="4"/>
      <c r="BI1215" s="4"/>
      <c r="BJ1215" s="4"/>
      <c r="BK1215" s="8"/>
      <c r="BL1215" s="4"/>
      <c r="BM1215" s="4"/>
      <c r="BN1215" s="4"/>
      <c r="BO1215" s="4"/>
      <c r="BP1215" s="8"/>
      <c r="BQ1215" s="4"/>
      <c r="BR1215" s="4"/>
      <c r="BS1215" s="4"/>
      <c r="BT1215" s="4"/>
      <c r="BU1215" s="8"/>
      <c r="BV1215" s="4"/>
      <c r="BW1215" s="4"/>
      <c r="BX1215" s="4"/>
      <c r="BY1215" s="4"/>
      <c r="BZ1215" s="10"/>
      <c r="CA1215" s="4"/>
      <c r="CB1215" s="4"/>
      <c r="CC1215" s="4"/>
      <c r="CD1215" s="4"/>
      <c r="CE1215" s="10"/>
      <c r="CF1215" s="4"/>
      <c r="CG1215" s="4"/>
      <c r="CH1215" s="4"/>
      <c r="CI1215" s="4"/>
      <c r="CJ1215" s="10"/>
      <c r="CK1215" s="4"/>
      <c r="CL1215" s="4"/>
      <c r="CM1215" s="4"/>
      <c r="CN1215" s="16"/>
      <c r="CO1215" s="10"/>
      <c r="CP1215" s="16"/>
      <c r="CQ1215" s="4"/>
      <c r="CR1215" s="4"/>
      <c r="CS1215" s="4"/>
      <c r="CT1215" s="10"/>
      <c r="CU1215" s="4"/>
      <c r="CV1215" s="4"/>
      <c r="CW1215" s="4"/>
      <c r="CX1215" s="4"/>
      <c r="CY1215" s="10"/>
      <c r="CZ1215" s="4"/>
      <c r="DA1215" s="4"/>
      <c r="DB1215" s="4"/>
      <c r="DC1215" s="4"/>
      <c r="DD1215" s="10"/>
      <c r="DE1215" s="4"/>
      <c r="DF1215" s="4"/>
      <c r="DG1215" s="16"/>
      <c r="DH1215" s="4"/>
      <c r="DI1215" s="10"/>
      <c r="DJ1215" s="16"/>
      <c r="DK1215" s="16"/>
      <c r="DL1215" s="16"/>
      <c r="DM1215" s="4"/>
      <c r="DN1215" s="10"/>
      <c r="DO1215" s="4"/>
      <c r="DP1215" s="4"/>
      <c r="DQ1215" s="4"/>
      <c r="DR1215" s="4"/>
      <c r="DS1215" s="10"/>
      <c r="DT1215" s="4"/>
      <c r="DU1215" s="4"/>
      <c r="DV1215" s="4"/>
      <c r="DW1215" s="4"/>
      <c r="DX1215" s="10"/>
      <c r="DY1215" s="4"/>
      <c r="DZ1215" s="4"/>
      <c r="EA1215" s="4"/>
      <c r="EB1215" s="4"/>
      <c r="EC1215" s="10"/>
      <c r="ED1215" s="4"/>
      <c r="EE1215" s="4"/>
      <c r="EF1215" s="4"/>
      <c r="EG1215" s="4"/>
      <c r="EH1215" s="10"/>
      <c r="EI1215" s="214"/>
      <c r="EJ1215" s="4"/>
      <c r="EK1215" s="4"/>
      <c r="EL1215" s="4"/>
      <c r="EM1215" s="10"/>
      <c r="EN1215" s="4"/>
      <c r="EO1215" s="4"/>
      <c r="EP1215" s="4"/>
      <c r="EQ1215" s="4"/>
      <c r="ER1215" s="10"/>
      <c r="ES1215" s="4"/>
      <c r="ET1215" s="4"/>
      <c r="EU1215" s="4"/>
      <c r="EV1215" s="4"/>
      <c r="EW1215" s="10"/>
      <c r="EX1215" s="4"/>
      <c r="EY1215" s="4"/>
      <c r="EZ1215" s="4"/>
      <c r="FA1215" s="4"/>
      <c r="FB1215" s="10"/>
      <c r="FC1215" s="4"/>
      <c r="FD1215" s="4"/>
      <c r="FE1215" s="4"/>
      <c r="FF1215" s="4"/>
      <c r="FG1215" s="10"/>
      <c r="FH1215" s="21"/>
      <c r="FI1215" s="4"/>
      <c r="FJ1215" s="4"/>
      <c r="FK1215" s="8"/>
      <c r="FL1215" s="4"/>
    </row>
    <row r="1216" ht="12.75" hidden="1" customHeight="1" outlineLevel="2">
      <c r="A1216" s="4"/>
      <c r="B1216" s="601" t="s">
        <v>460</v>
      </c>
      <c r="C1216" s="4"/>
      <c r="D1216" s="4"/>
      <c r="E1216" s="4"/>
      <c r="F1216" s="4"/>
      <c r="G1216" s="4"/>
      <c r="H1216" s="8"/>
      <c r="I1216" s="4"/>
      <c r="J1216" s="4"/>
      <c r="K1216" s="4"/>
      <c r="L1216" s="4"/>
      <c r="M1216" s="8"/>
      <c r="N1216" s="4"/>
      <c r="O1216" s="4"/>
      <c r="P1216" s="4"/>
      <c r="Q1216" s="4"/>
      <c r="R1216" s="8"/>
      <c r="S1216" s="4"/>
      <c r="T1216" s="4"/>
      <c r="U1216" s="4"/>
      <c r="V1216" s="4"/>
      <c r="W1216" s="8"/>
      <c r="X1216" s="4"/>
      <c r="Y1216" s="4"/>
      <c r="Z1216" s="4"/>
      <c r="AA1216" s="4"/>
      <c r="AB1216" s="8"/>
      <c r="AC1216" s="4"/>
      <c r="AD1216" s="4"/>
      <c r="AE1216" s="4"/>
      <c r="AF1216" s="4"/>
      <c r="AG1216" s="8"/>
      <c r="AH1216" s="4"/>
      <c r="AI1216" s="4"/>
      <c r="AJ1216" s="4"/>
      <c r="AK1216" s="4"/>
      <c r="AL1216" s="8"/>
      <c r="AM1216" s="4"/>
      <c r="AN1216" s="4"/>
      <c r="AO1216" s="4"/>
      <c r="AP1216" s="4"/>
      <c r="AQ1216" s="8"/>
      <c r="AR1216" s="4"/>
      <c r="AS1216" s="4"/>
      <c r="AT1216" s="4"/>
      <c r="AU1216" s="4"/>
      <c r="AV1216" s="8"/>
      <c r="AW1216" s="4"/>
      <c r="AX1216" s="4"/>
      <c r="AY1216" s="4"/>
      <c r="AZ1216" s="4"/>
      <c r="BA1216" s="8"/>
      <c r="BB1216" s="4"/>
      <c r="BC1216" s="4"/>
      <c r="BD1216" s="4"/>
      <c r="BE1216" s="4"/>
      <c r="BF1216" s="8"/>
      <c r="BG1216" s="4"/>
      <c r="BH1216" s="4"/>
      <c r="BI1216" s="4"/>
      <c r="BJ1216" s="4"/>
      <c r="BK1216" s="8"/>
      <c r="BL1216" s="4"/>
      <c r="BM1216" s="4"/>
      <c r="BN1216" s="4"/>
      <c r="BO1216" s="4"/>
      <c r="BP1216" s="8"/>
      <c r="BQ1216" s="4"/>
      <c r="BR1216" s="4"/>
      <c r="BS1216" s="4"/>
      <c r="BT1216" s="4"/>
      <c r="BU1216" s="8"/>
      <c r="BV1216" s="4"/>
      <c r="BW1216" s="4"/>
      <c r="BX1216" s="4"/>
      <c r="BY1216" s="4"/>
      <c r="BZ1216" s="10"/>
      <c r="CA1216" s="4"/>
      <c r="CB1216" s="4"/>
      <c r="CC1216" s="4"/>
      <c r="CD1216" s="4"/>
      <c r="CE1216" s="10"/>
      <c r="CF1216" s="4"/>
      <c r="CG1216" s="4"/>
      <c r="CH1216" s="4"/>
      <c r="CI1216" s="4"/>
      <c r="CJ1216" s="10"/>
      <c r="CK1216" s="4"/>
      <c r="CL1216" s="4"/>
      <c r="CM1216" s="4"/>
      <c r="CN1216" s="16"/>
      <c r="CO1216" s="10"/>
      <c r="CP1216" s="16"/>
      <c r="CQ1216" s="4"/>
      <c r="CR1216" s="4"/>
      <c r="CS1216" s="4"/>
      <c r="CT1216" s="10"/>
      <c r="CU1216" s="4"/>
      <c r="CV1216" s="4"/>
      <c r="CW1216" s="4"/>
      <c r="CX1216" s="4"/>
      <c r="CY1216" s="10"/>
      <c r="CZ1216" s="4"/>
      <c r="DA1216" s="4"/>
      <c r="DB1216" s="4"/>
      <c r="DC1216" s="4"/>
      <c r="DD1216" s="10"/>
      <c r="DE1216" s="4"/>
      <c r="DF1216" s="4"/>
      <c r="DG1216" s="16"/>
      <c r="DH1216" s="4"/>
      <c r="DI1216" s="10"/>
      <c r="DJ1216" s="16"/>
      <c r="DK1216" s="16"/>
      <c r="DL1216" s="16"/>
      <c r="DM1216" s="4"/>
      <c r="DN1216" s="10"/>
      <c r="DO1216" s="4"/>
      <c r="DP1216" s="4"/>
      <c r="DQ1216" s="4"/>
      <c r="DR1216" s="4"/>
      <c r="DS1216" s="10"/>
      <c r="DT1216" s="4"/>
      <c r="DU1216" s="4"/>
      <c r="DV1216" s="4"/>
      <c r="DW1216" s="4"/>
      <c r="DX1216" s="10"/>
      <c r="DY1216" s="4"/>
      <c r="DZ1216" s="4"/>
      <c r="EA1216" s="4"/>
      <c r="EB1216" s="4"/>
      <c r="EC1216" s="10"/>
      <c r="ED1216" s="4"/>
      <c r="EE1216" s="4"/>
      <c r="EF1216" s="4"/>
      <c r="EG1216" s="4"/>
      <c r="EH1216" s="10"/>
      <c r="EI1216" s="214"/>
      <c r="EJ1216" s="4"/>
      <c r="EK1216" s="4"/>
      <c r="EL1216" s="4"/>
      <c r="EM1216" s="10"/>
      <c r="EN1216" s="4"/>
      <c r="EO1216" s="4"/>
      <c r="EP1216" s="4"/>
      <c r="EQ1216" s="4"/>
      <c r="ER1216" s="10"/>
      <c r="ES1216" s="4"/>
      <c r="ET1216" s="4"/>
      <c r="EU1216" s="4"/>
      <c r="EV1216" s="4"/>
      <c r="EW1216" s="10"/>
      <c r="EX1216" s="4"/>
      <c r="EY1216" s="4"/>
      <c r="EZ1216" s="4"/>
      <c r="FA1216" s="4"/>
      <c r="FB1216" s="10"/>
      <c r="FC1216" s="4"/>
      <c r="FD1216" s="4"/>
      <c r="FE1216" s="4"/>
      <c r="FF1216" s="4"/>
      <c r="FG1216" s="10"/>
      <c r="FH1216" s="21"/>
      <c r="FI1216" s="4"/>
      <c r="FJ1216" s="4"/>
      <c r="FK1216" s="8"/>
      <c r="FL1216" s="4"/>
    </row>
    <row r="1217" ht="12.75" hidden="1" customHeight="1" outlineLevel="2">
      <c r="A1217" s="754"/>
      <c r="B1217" s="456" t="str">
        <f t="shared" ref="B1217:B1225" si="5623">B849</f>
        <v>   Microprocessor</v>
      </c>
      <c r="C1217" s="15"/>
      <c r="D1217" s="15"/>
      <c r="E1217" s="15"/>
      <c r="F1217" s="15"/>
      <c r="G1217" s="15"/>
      <c r="H1217" s="410"/>
      <c r="I1217" s="15"/>
      <c r="J1217" s="15"/>
      <c r="K1217" s="15"/>
      <c r="L1217" s="15"/>
      <c r="M1217" s="410"/>
      <c r="N1217" s="15"/>
      <c r="O1217" s="15"/>
      <c r="P1217" s="15"/>
      <c r="Q1217" s="15"/>
      <c r="R1217" s="410"/>
      <c r="S1217" s="15"/>
      <c r="T1217" s="15"/>
      <c r="U1217" s="15"/>
      <c r="V1217" s="15"/>
      <c r="W1217" s="410"/>
      <c r="X1217" s="15"/>
      <c r="Y1217" s="15"/>
      <c r="Z1217" s="15"/>
      <c r="AA1217" s="15"/>
      <c r="AB1217" s="410"/>
      <c r="AC1217" s="15"/>
      <c r="AD1217" s="15"/>
      <c r="AE1217" s="15"/>
      <c r="AF1217" s="15"/>
      <c r="AG1217" s="410"/>
      <c r="AH1217" s="15"/>
      <c r="AI1217" s="15"/>
      <c r="AJ1217" s="15"/>
      <c r="AK1217" s="15"/>
      <c r="AL1217" s="410"/>
      <c r="AM1217" s="15"/>
      <c r="AN1217" s="15"/>
      <c r="AO1217" s="15">
        <v>0.665</v>
      </c>
      <c r="AP1217" s="15">
        <v>0.72</v>
      </c>
      <c r="AQ1217" s="410"/>
      <c r="AR1217" s="15" t="str">
        <f>[2]MPU!#REF!</f>
        <v>#ERROR!</v>
      </c>
      <c r="AS1217" s="15" t="str">
        <f>[2]MPU!#REF!</f>
        <v>#ERROR!</v>
      </c>
      <c r="AT1217" s="15" t="str">
        <f>[2]MPU!#REF!</f>
        <v>#ERROR!</v>
      </c>
      <c r="AU1217" s="15" t="str">
        <f>[2]MPU!#REF!</f>
        <v>#ERROR!</v>
      </c>
      <c r="AV1217" s="410" t="str">
        <f>[2]MPU!#REF!</f>
        <v>#ERROR!</v>
      </c>
      <c r="AW1217" s="15" t="str">
        <f>[2]MPU!#REF!</f>
        <v>#ERROR!</v>
      </c>
      <c r="AX1217" s="15" t="str">
        <f>[2]MPU!#REF!</f>
        <v>#ERROR!</v>
      </c>
      <c r="AY1217" s="15" t="str">
        <f>[2]MPU!#REF!</f>
        <v>#ERROR!</v>
      </c>
      <c r="AZ1217" s="15" t="str">
        <f>[2]MPU!#REF!</f>
        <v>#ERROR!</v>
      </c>
      <c r="BA1217" s="410" t="str">
        <f>[2]MPU!#REF!</f>
        <v>#ERROR!</v>
      </c>
      <c r="BB1217" s="15" t="str">
        <f>[2]MPU!#REF!</f>
        <v>#ERROR!</v>
      </c>
      <c r="BC1217" s="15" t="str">
        <f>[2]MPU!#REF!</f>
        <v>#ERROR!</v>
      </c>
      <c r="BD1217" s="15" t="str">
        <f>[2]MPU!#REF!</f>
        <v>#ERROR!</v>
      </c>
      <c r="BE1217" s="15" t="str">
        <f>[2]MPU!#REF!</f>
        <v>#ERROR!</v>
      </c>
      <c r="BF1217" s="410" t="str">
        <f>[2]MPU!#REF!</f>
        <v>#ERROR!</v>
      </c>
      <c r="BG1217" s="15" t="str">
        <f>[2]MPU!#REF!</f>
        <v>#ERROR!</v>
      </c>
      <c r="BH1217" s="15" t="str">
        <f>[2]MPU!#REF!</f>
        <v>#ERROR!</v>
      </c>
      <c r="BI1217" s="15" t="str">
        <f>[2]MPU!#REF!</f>
        <v>#ERROR!</v>
      </c>
      <c r="BJ1217" s="15" t="str">
        <f>[2]MPU!#REF!</f>
        <v>#ERROR!</v>
      </c>
      <c r="BK1217" s="410" t="str">
        <f>[2]MPU!#REF!</f>
        <v>#ERROR!</v>
      </c>
      <c r="BL1217" s="15" t="str">
        <f>[2]MPU!#REF!</f>
        <v>#ERROR!</v>
      </c>
      <c r="BM1217" s="15" t="str">
        <f>[2]MPU!#REF!</f>
        <v>#ERROR!</v>
      </c>
      <c r="BN1217" s="15" t="str">
        <f>[2]MPU!#REF!</f>
        <v>#ERROR!</v>
      </c>
      <c r="BO1217" s="15" t="str">
        <f>[2]MPU!#REF!</f>
        <v>#ERROR!</v>
      </c>
      <c r="BP1217" s="410" t="str">
        <f>[2]MPU!#REF!</f>
        <v>#ERROR!</v>
      </c>
      <c r="BQ1217" s="15" t="str">
        <f>[2]MPU!#REF!</f>
        <v>#ERROR!</v>
      </c>
      <c r="BR1217" s="15" t="str">
        <f>[2]MPU!#REF!</f>
        <v>#ERROR!</v>
      </c>
      <c r="BS1217" s="15" t="str">
        <f>[2]MPU!#REF!</f>
        <v>#ERROR!</v>
      </c>
      <c r="BT1217" s="15" t="str">
        <f>[2]MPU!#REF!</f>
        <v>#ERROR!</v>
      </c>
      <c r="BU1217" s="410" t="str">
        <f>[2]MPU!#REF!</f>
        <v>#ERROR!</v>
      </c>
      <c r="BV1217" s="15" t="str">
        <f>[2]MPU!#REF!</f>
        <v>#ERROR!</v>
      </c>
      <c r="BW1217" s="15" t="str">
        <f>[2]MPU!#REF!</f>
        <v>#ERROR!</v>
      </c>
      <c r="BX1217" s="15" t="str">
        <f>[2]MPU!#REF!</f>
        <v>#ERROR!</v>
      </c>
      <c r="BY1217" s="15" t="str">
        <f>[2]MPU!#REF!</f>
        <v>#ERROR!</v>
      </c>
      <c r="BZ1217" s="24" t="str">
        <f>[2]MPU!#REF!</f>
        <v>#ERROR!</v>
      </c>
      <c r="CA1217" s="15" t="str">
        <f>[2]MPU!#REF!</f>
        <v>#ERROR!</v>
      </c>
      <c r="CB1217" s="15" t="str">
        <f>[2]MPU!#REF!</f>
        <v>#ERROR!</v>
      </c>
      <c r="CC1217" s="15" t="str">
        <f>[2]MPU!#REF!</f>
        <v>#ERROR!</v>
      </c>
      <c r="CD1217" s="15" t="str">
        <f>[2]MPU!#REF!</f>
        <v>#ERROR!</v>
      </c>
      <c r="CE1217" s="24" t="str">
        <f>[2]MPU!#REF!</f>
        <v>#ERROR!</v>
      </c>
      <c r="CF1217" s="15" t="str">
        <f>[2]MPU!#REF!</f>
        <v>#ERROR!</v>
      </c>
      <c r="CG1217" s="15" t="str">
        <f>[2]MPU!#REF!</f>
        <v>#ERROR!</v>
      </c>
      <c r="CH1217" s="15" t="str">
        <f>[2]MPU!#REF!</f>
        <v>#ERROR!</v>
      </c>
      <c r="CI1217" s="15" t="str">
        <f>[2]MPU!#REF!</f>
        <v>#ERROR!</v>
      </c>
      <c r="CJ1217" s="24" t="str">
        <f>[2]MPU!#REF!</f>
        <v>#ERROR!</v>
      </c>
      <c r="CK1217" s="15" t="str">
        <f>[2]MPU!#REF!</f>
        <v>#ERROR!</v>
      </c>
      <c r="CL1217" s="15" t="str">
        <f>[2]MPU!#REF!</f>
        <v>#ERROR!</v>
      </c>
      <c r="CM1217" s="15" t="str">
        <f>[2]MPU!#REF!</f>
        <v>#ERROR!</v>
      </c>
      <c r="CN1217" s="40" t="str">
        <f>[2]MPU!#REF!</f>
        <v>#ERROR!</v>
      </c>
      <c r="CO1217" s="24" t="str">
        <f>[2]MPU!#REF!</f>
        <v>#ERROR!</v>
      </c>
      <c r="CP1217" s="40" t="str">
        <f>[2]MPU!#REF!</f>
        <v>#ERROR!</v>
      </c>
      <c r="CQ1217" s="15" t="str">
        <f>[2]MPU!#REF!</f>
        <v>#ERROR!</v>
      </c>
      <c r="CR1217" s="15" t="str">
        <f>[2]MPU!#REF!</f>
        <v>#ERROR!</v>
      </c>
      <c r="CS1217" s="15" t="str">
        <f>[2]MPU!#REF!</f>
        <v>#ERROR!</v>
      </c>
      <c r="CT1217" s="24" t="str">
        <f>[2]MPU!#REF!</f>
        <v>#ERROR!</v>
      </c>
      <c r="CU1217" s="15" t="str">
        <f>[2]MPU!#REF!</f>
        <v>#ERROR!</v>
      </c>
      <c r="CV1217" s="15" t="str">
        <f>[2]MPU!#REF!</f>
        <v>#ERROR!</v>
      </c>
      <c r="CW1217" s="15" t="str">
        <f>[2]MPU!#REF!</f>
        <v>#ERROR!</v>
      </c>
      <c r="CX1217" s="15" t="str">
        <f>[2]MPU!#REF!</f>
        <v>#ERROR!</v>
      </c>
      <c r="CY1217" s="24" t="str">
        <f>[2]MPU!#REF!</f>
        <v>#ERROR!</v>
      </c>
      <c r="CZ1217" s="15" t="str">
        <f>[2]MPU!#REF!</f>
        <v>#ERROR!</v>
      </c>
      <c r="DA1217" s="15" t="str">
        <f>[2]MPU!#REF!</f>
        <v>#ERROR!</v>
      </c>
      <c r="DB1217" s="15" t="str">
        <f>[2]MPU!#REF!</f>
        <v>#ERROR!</v>
      </c>
      <c r="DC1217" s="15" t="str">
        <f>[2]MPU!#REF!</f>
        <v>#ERROR!</v>
      </c>
      <c r="DD1217" s="24" t="str">
        <f>[2]MPU!#REF!</f>
        <v>#ERROR!</v>
      </c>
      <c r="DE1217" s="15" t="str">
        <f>[2]MPU!#REF!</f>
        <v>#ERROR!</v>
      </c>
      <c r="DF1217" s="15" t="str">
        <f>[2]MPU!#REF!</f>
        <v>#ERROR!</v>
      </c>
      <c r="DG1217" s="40" t="str">
        <f>[2]MPU!#REF!</f>
        <v>#ERROR!</v>
      </c>
      <c r="DH1217" s="15" t="str">
        <f>[2]MPU!#REF!</f>
        <v>#ERROR!</v>
      </c>
      <c r="DI1217" s="24" t="str">
        <f>[2]MPU!#REF!</f>
        <v>#ERROR!</v>
      </c>
      <c r="DJ1217" s="40" t="str">
        <f>[2]MPU!#REF!</f>
        <v>#ERROR!</v>
      </c>
      <c r="DK1217" s="40" t="str">
        <f>[2]MPU!#REF!</f>
        <v>#ERROR!</v>
      </c>
      <c r="DL1217" s="40" t="str">
        <f>[2]MPU!#REF!</f>
        <v>#ERROR!</v>
      </c>
      <c r="DM1217" s="15" t="str">
        <f>[2]MPU!#REF!</f>
        <v>#ERROR!</v>
      </c>
      <c r="DN1217" s="24" t="str">
        <f>[2]MPU!#REF!</f>
        <v>#ERROR!</v>
      </c>
      <c r="DO1217" s="15" t="str">
        <f>[2]MPU!#REF!</f>
        <v>#ERROR!</v>
      </c>
      <c r="DP1217" s="15" t="str">
        <f>[2]MPU!#REF!</f>
        <v>#ERROR!</v>
      </c>
      <c r="DQ1217" s="15" t="str">
        <f>[2]MPU!#REF!</f>
        <v>#ERROR!</v>
      </c>
      <c r="DR1217" s="15" t="str">
        <f>[2]MPU!#REF!</f>
        <v>#ERROR!</v>
      </c>
      <c r="DS1217" s="24" t="str">
        <f>[2]MPU!#REF!</f>
        <v>#ERROR!</v>
      </c>
      <c r="DT1217" s="15" t="str">
        <f>[2]MPU!#REF!</f>
        <v>#ERROR!</v>
      </c>
      <c r="DU1217" s="15" t="str">
        <f>[2]MPU!#REF!</f>
        <v>#ERROR!</v>
      </c>
      <c r="DV1217" s="15" t="str">
        <f>[2]MPU!#REF!</f>
        <v>#ERROR!</v>
      </c>
      <c r="DW1217" s="15" t="str">
        <f>[2]MPU!#REF!</f>
        <v>#ERROR!</v>
      </c>
      <c r="DX1217" s="24" t="str">
        <f>[2]MPU!#REF!</f>
        <v>#ERROR!</v>
      </c>
      <c r="DY1217" s="15" t="str">
        <f>[2]MPU!#REF!</f>
        <v>#ERROR!</v>
      </c>
      <c r="DZ1217" s="15" t="str">
        <f>[2]MPU!#REF!</f>
        <v>#ERROR!</v>
      </c>
      <c r="EA1217" s="15" t="str">
        <f>[2]MPU!#REF!</f>
        <v>#ERROR!</v>
      </c>
      <c r="EB1217" s="15" t="str">
        <f>[2]MPU!#REF!</f>
        <v>#ERROR!</v>
      </c>
      <c r="EC1217" s="24" t="str">
        <f>[2]MPU!#REF!</f>
        <v>#ERROR!</v>
      </c>
      <c r="ED1217" s="15" t="str">
        <f>[2]MPU!#REF!</f>
        <v>#ERROR!</v>
      </c>
      <c r="EE1217" s="15" t="str">
        <f>[2]MPU!#REF!</f>
        <v>#ERROR!</v>
      </c>
      <c r="EF1217" s="15" t="str">
        <f>[2]MPU!#REF!</f>
        <v>#ERROR!</v>
      </c>
      <c r="EG1217" s="15" t="str">
        <f>[2]MPU!#REF!</f>
        <v>#ERROR!</v>
      </c>
      <c r="EH1217" s="24" t="str">
        <f>[2]MPU!#REF!</f>
        <v>#ERROR!</v>
      </c>
      <c r="EI1217" s="82" t="str">
        <f>[2]MPU!#REF!</f>
        <v>#ERROR!</v>
      </c>
      <c r="EJ1217" s="15" t="str">
        <f>[2]MPU!#REF!</f>
        <v>#ERROR!</v>
      </c>
      <c r="EK1217" s="15" t="str">
        <f>[2]MPU!#REF!</f>
        <v>#ERROR!</v>
      </c>
      <c r="EL1217" s="15" t="str">
        <f>[2]MPU!#REF!</f>
        <v>#ERROR!</v>
      </c>
      <c r="EM1217" s="24" t="str">
        <f>[2]MPU!#REF!</f>
        <v>#ERROR!</v>
      </c>
      <c r="EN1217" s="15" t="str">
        <f>[2]MPU!#REF!</f>
        <v>#ERROR!</v>
      </c>
      <c r="EO1217" s="15" t="str">
        <f>[2]MPU!#REF!</f>
        <v>#ERROR!</v>
      </c>
      <c r="EP1217" s="15" t="str">
        <f>[2]MPU!#REF!</f>
        <v>#ERROR!</v>
      </c>
      <c r="EQ1217" s="15" t="str">
        <f>[2]MPU!#REF!</f>
        <v>#ERROR!</v>
      </c>
      <c r="ER1217" s="24" t="str">
        <f>[2]MPU!#REF!</f>
        <v>#ERROR!</v>
      </c>
      <c r="ES1217" s="15" t="str">
        <f>[2]MPU!#REF!</f>
        <v>#ERROR!</v>
      </c>
      <c r="ET1217" s="15" t="str">
        <f>[2]MPU!#REF!</f>
        <v>#ERROR!</v>
      </c>
      <c r="EU1217" s="15" t="str">
        <f>[2]MPU!#REF!</f>
        <v>#ERROR!</v>
      </c>
      <c r="EV1217" s="15" t="str">
        <f>[2]MPU!#REF!</f>
        <v>#ERROR!</v>
      </c>
      <c r="EW1217" s="24" t="str">
        <f>[2]MPU!#REF!</f>
        <v>#ERROR!</v>
      </c>
      <c r="EX1217" s="15" t="str">
        <f>[2]MPU!#REF!</f>
        <v>#ERROR!</v>
      </c>
      <c r="EY1217" s="15" t="str">
        <f>[2]MPU!#REF!</f>
        <v>#ERROR!</v>
      </c>
      <c r="EZ1217" s="15" t="str">
        <f>[2]MPU!#REF!</f>
        <v>#ERROR!</v>
      </c>
      <c r="FA1217" s="15" t="str">
        <f>[2]MPU!#REF!</f>
        <v>#ERROR!</v>
      </c>
      <c r="FB1217" s="24" t="str">
        <f>[2]MPU!#REF!</f>
        <v>#ERROR!</v>
      </c>
      <c r="FC1217" s="15" t="str">
        <f>[2]MPU!#REF!</f>
        <v>#ERROR!</v>
      </c>
      <c r="FD1217" s="15" t="str">
        <f>[2]MPU!#REF!</f>
        <v>#ERROR!</v>
      </c>
      <c r="FE1217" s="15" t="str">
        <f>[2]MPU!#REF!</f>
        <v>#ERROR!</v>
      </c>
      <c r="FF1217" s="15" t="str">
        <f>[2]MPU!#REF!</f>
        <v>#ERROR!</v>
      </c>
      <c r="FG1217" s="24" t="str">
        <f>[2]MPU!#REF!</f>
        <v>#ERROR!</v>
      </c>
      <c r="FH1217" s="104"/>
      <c r="FI1217" s="15"/>
      <c r="FJ1217" s="15"/>
      <c r="FK1217" s="410"/>
      <c r="FL1217" s="15"/>
    </row>
    <row r="1218" ht="12.75" hidden="1" customHeight="1" outlineLevel="2">
      <c r="A1218" s="15"/>
      <c r="B1218" s="456" t="str">
        <f t="shared" si="5623"/>
        <v>   Chipset</v>
      </c>
      <c r="C1218" s="15"/>
      <c r="D1218" s="315"/>
      <c r="E1218" s="315"/>
      <c r="F1218" s="315"/>
      <c r="G1218" s="315"/>
      <c r="H1218" s="410"/>
      <c r="I1218" s="315"/>
      <c r="J1218" s="315"/>
      <c r="K1218" s="315"/>
      <c r="L1218" s="315"/>
      <c r="M1218" s="410"/>
      <c r="N1218" s="315"/>
      <c r="O1218" s="315"/>
      <c r="P1218" s="315"/>
      <c r="Q1218" s="315"/>
      <c r="R1218" s="410"/>
      <c r="S1218" s="315"/>
      <c r="T1218" s="315"/>
      <c r="U1218" s="315"/>
      <c r="V1218" s="315"/>
      <c r="W1218" s="410"/>
      <c r="X1218" s="315"/>
      <c r="Y1218" s="315"/>
      <c r="Z1218" s="315"/>
      <c r="AA1218" s="315"/>
      <c r="AB1218" s="410"/>
      <c r="AC1218" s="315"/>
      <c r="AD1218" s="315"/>
      <c r="AE1218" s="315"/>
      <c r="AF1218" s="315"/>
      <c r="AG1218" s="410"/>
      <c r="AH1218" s="315"/>
      <c r="AI1218" s="315"/>
      <c r="AJ1218" s="315"/>
      <c r="AK1218" s="315"/>
      <c r="AL1218" s="410"/>
      <c r="AM1218" s="315"/>
      <c r="AN1218" s="315"/>
      <c r="AO1218" s="315">
        <v>0.4</v>
      </c>
      <c r="AP1218" s="315">
        <v>0.4</v>
      </c>
      <c r="AQ1218" s="410"/>
      <c r="AR1218" s="315">
        <v>0.4</v>
      </c>
      <c r="AS1218" s="315">
        <v>0.4</v>
      </c>
      <c r="AT1218" s="315">
        <v>0.4</v>
      </c>
      <c r="AU1218" s="315">
        <v>0.4</v>
      </c>
      <c r="AV1218" s="410">
        <f t="shared" ref="AV1218:AV1219" si="5624">AV1231/AV1206</f>
        <v>0.4</v>
      </c>
      <c r="AW1218" s="315">
        <v>0.45</v>
      </c>
      <c r="AX1218" s="315">
        <v>0.45</v>
      </c>
      <c r="AY1218" s="315">
        <v>0.45</v>
      </c>
      <c r="AZ1218" s="315">
        <v>0.45</v>
      </c>
      <c r="BA1218" s="410">
        <f t="shared" ref="BA1218:BA1219" si="5625">BA1231/BA1206</f>
        <v>0.45</v>
      </c>
      <c r="BB1218" s="315">
        <v>0.45</v>
      </c>
      <c r="BC1218" s="315">
        <v>0.45</v>
      </c>
      <c r="BD1218" s="315">
        <v>0.45</v>
      </c>
      <c r="BE1218" s="315">
        <v>0.45</v>
      </c>
      <c r="BF1218" s="410">
        <f t="shared" ref="BF1218:BF1219" si="5626">BF1231/BF1206</f>
        <v>0.45</v>
      </c>
      <c r="BG1218" s="315">
        <v>0.36</v>
      </c>
      <c r="BH1218" s="315">
        <v>0.36</v>
      </c>
      <c r="BI1218" s="315">
        <v>0.36</v>
      </c>
      <c r="BJ1218" s="315">
        <v>0.38</v>
      </c>
      <c r="BK1218" s="410">
        <f t="shared" ref="BK1218:BK1219" si="5627">BK1231/BK1206</f>
        <v>0.3658912805</v>
      </c>
      <c r="BL1218" s="315">
        <v>0.36</v>
      </c>
      <c r="BM1218" s="315">
        <v>0.36</v>
      </c>
      <c r="BN1218" s="315">
        <v>0.36</v>
      </c>
      <c r="BO1218" s="315">
        <v>0.38</v>
      </c>
      <c r="BP1218" s="410">
        <f t="shared" ref="BP1218:BP1219" si="5628">BP1231/BP1206</f>
        <v>0.3640100069</v>
      </c>
      <c r="BQ1218" s="315">
        <v>0.36</v>
      </c>
      <c r="BR1218" s="315">
        <v>0.36</v>
      </c>
      <c r="BS1218" s="315">
        <v>0.36</v>
      </c>
      <c r="BT1218" s="315">
        <v>0.38</v>
      </c>
      <c r="BU1218" s="410" t="str">
        <f t="shared" ref="BU1218:BU1219" si="5629">BU1231/BU1206</f>
        <v>#ERROR!</v>
      </c>
      <c r="BV1218" s="315">
        <v>0.36</v>
      </c>
      <c r="BW1218" s="315">
        <v>0.36</v>
      </c>
      <c r="BX1218" s="315">
        <v>0.36</v>
      </c>
      <c r="BY1218" s="315">
        <v>0.38</v>
      </c>
      <c r="BZ1218" s="24" t="str">
        <f t="shared" ref="BZ1218:BZ1219" si="5630">BZ1231/BZ1206</f>
        <v>#ERROR!</v>
      </c>
      <c r="CA1218" s="315">
        <v>0.36</v>
      </c>
      <c r="CB1218" s="315">
        <v>0.36</v>
      </c>
      <c r="CC1218" s="315">
        <v>0.36</v>
      </c>
      <c r="CD1218" s="315">
        <v>0.38</v>
      </c>
      <c r="CE1218" s="24" t="str">
        <f t="shared" ref="CE1218:CE1219" si="5631">CE1231/CE1206</f>
        <v>#ERROR!</v>
      </c>
      <c r="CF1218" s="315">
        <v>0.36</v>
      </c>
      <c r="CG1218" s="315">
        <v>0.36</v>
      </c>
      <c r="CH1218" s="315">
        <v>0.36</v>
      </c>
      <c r="CI1218" s="315">
        <v>0.38</v>
      </c>
      <c r="CJ1218" s="24" t="str">
        <f t="shared" ref="CJ1218:CJ1219" si="5632">CJ1231/CJ1206</f>
        <v>#ERROR!</v>
      </c>
      <c r="CK1218" s="315">
        <v>0.36</v>
      </c>
      <c r="CL1218" s="315">
        <v>0.36</v>
      </c>
      <c r="CM1218" s="315">
        <v>0.36</v>
      </c>
      <c r="CN1218" s="365">
        <v>0.38</v>
      </c>
      <c r="CO1218" s="24" t="str">
        <f t="shared" ref="CO1218:CO1219" si="5633">CO1231/CO1206</f>
        <v>#ERROR!</v>
      </c>
      <c r="CP1218" s="365">
        <v>0.36</v>
      </c>
      <c r="CQ1218" s="315">
        <v>0.36</v>
      </c>
      <c r="CR1218" s="315">
        <v>0.36</v>
      </c>
      <c r="CS1218" s="315">
        <v>0.38</v>
      </c>
      <c r="CT1218" s="24" t="str">
        <f t="shared" ref="CT1218:CT1219" si="5634">CT1231/CT1206</f>
        <v>#ERROR!</v>
      </c>
      <c r="CU1218" s="315">
        <v>0.36</v>
      </c>
      <c r="CV1218" s="315">
        <v>0.36</v>
      </c>
      <c r="CW1218" s="315">
        <v>0.36</v>
      </c>
      <c r="CX1218" s="315">
        <v>0.38</v>
      </c>
      <c r="CY1218" s="24" t="str">
        <f t="shared" ref="CY1218:CY1219" si="5635">CY1231/CY1206</f>
        <v>#ERROR!</v>
      </c>
      <c r="CZ1218" s="315">
        <v>0.36</v>
      </c>
      <c r="DA1218" s="315">
        <v>0.36</v>
      </c>
      <c r="DB1218" s="315">
        <v>0.36</v>
      </c>
      <c r="DC1218" s="315">
        <v>0.38</v>
      </c>
      <c r="DD1218" s="24" t="str">
        <f t="shared" ref="DD1218:DD1219" si="5636">DD1231/DD1206</f>
        <v>#ERROR!</v>
      </c>
      <c r="DE1218" s="315">
        <v>0.36</v>
      </c>
      <c r="DF1218" s="315">
        <v>0.36</v>
      </c>
      <c r="DG1218" s="365">
        <v>0.36</v>
      </c>
      <c r="DH1218" s="315">
        <v>0.38</v>
      </c>
      <c r="DI1218" s="24" t="str">
        <f t="shared" ref="DI1218:DI1219" si="5637">DI1231/DI1206</f>
        <v>#ERROR!</v>
      </c>
      <c r="DJ1218" s="365">
        <v>0.36</v>
      </c>
      <c r="DK1218" s="365">
        <v>0.36</v>
      </c>
      <c r="DL1218" s="365">
        <v>0.36</v>
      </c>
      <c r="DM1218" s="315">
        <v>0.38</v>
      </c>
      <c r="DN1218" s="24" t="str">
        <f t="shared" ref="DN1218:DN1219" si="5638">DN1231/DN1206</f>
        <v>#ERROR!</v>
      </c>
      <c r="DO1218" s="315">
        <v>0.36</v>
      </c>
      <c r="DP1218" s="315">
        <v>0.36</v>
      </c>
      <c r="DQ1218" s="315">
        <v>0.36</v>
      </c>
      <c r="DR1218" s="315">
        <v>0.38</v>
      </c>
      <c r="DS1218" s="24" t="str">
        <f t="shared" ref="DS1218:DS1219" si="5639">DS1231/DS1206</f>
        <v>#ERROR!</v>
      </c>
      <c r="DT1218" s="315">
        <v>0.36</v>
      </c>
      <c r="DU1218" s="315">
        <v>0.36</v>
      </c>
      <c r="DV1218" s="315">
        <v>0.36</v>
      </c>
      <c r="DW1218" s="315">
        <v>0.38</v>
      </c>
      <c r="DX1218" s="24" t="str">
        <f t="shared" ref="DX1218:DX1219" si="5640">DX1231/DX1206</f>
        <v>#ERROR!</v>
      </c>
      <c r="DY1218" s="315">
        <v>0.36</v>
      </c>
      <c r="DZ1218" s="315">
        <v>0.36</v>
      </c>
      <c r="EA1218" s="315">
        <v>0.36</v>
      </c>
      <c r="EB1218" s="315">
        <v>0.38</v>
      </c>
      <c r="EC1218" s="24" t="str">
        <f t="shared" ref="EC1218:EC1219" si="5641">EC1231/EC1206</f>
        <v>#ERROR!</v>
      </c>
      <c r="ED1218" s="315">
        <v>0.36</v>
      </c>
      <c r="EE1218" s="315">
        <v>0.36</v>
      </c>
      <c r="EF1218" s="315">
        <v>0.36</v>
      </c>
      <c r="EG1218" s="315">
        <v>0.38</v>
      </c>
      <c r="EH1218" s="24" t="str">
        <f t="shared" ref="EH1218:EH1219" si="5642">EH1231/EH1206</f>
        <v>#ERROR!</v>
      </c>
      <c r="EI1218" s="314">
        <v>0.36</v>
      </c>
      <c r="EJ1218" s="315">
        <v>0.36</v>
      </c>
      <c r="EK1218" s="315">
        <v>0.36</v>
      </c>
      <c r="EL1218" s="315">
        <v>0.38</v>
      </c>
      <c r="EM1218" s="24" t="str">
        <f t="shared" ref="EM1218:EM1219" si="5643">EM1231/EM1206</f>
        <v>#ERROR!</v>
      </c>
      <c r="EN1218" s="315">
        <v>0.36</v>
      </c>
      <c r="EO1218" s="315">
        <v>0.36</v>
      </c>
      <c r="EP1218" s="315">
        <v>0.36</v>
      </c>
      <c r="EQ1218" s="315">
        <v>0.38</v>
      </c>
      <c r="ER1218" s="24" t="str">
        <f t="shared" ref="ER1218:ER1219" si="5644">ER1231/ER1206</f>
        <v>#ERROR!</v>
      </c>
      <c r="ES1218" s="315">
        <v>0.36</v>
      </c>
      <c r="ET1218" s="315">
        <v>0.36</v>
      </c>
      <c r="EU1218" s="315">
        <v>0.36</v>
      </c>
      <c r="EV1218" s="315">
        <v>0.38</v>
      </c>
      <c r="EW1218" s="24" t="str">
        <f t="shared" ref="EW1218:EW1219" si="5645">EW1231/EW1206</f>
        <v>#ERROR!</v>
      </c>
      <c r="EX1218" s="315">
        <v>0.36</v>
      </c>
      <c r="EY1218" s="315">
        <v>0.36</v>
      </c>
      <c r="EZ1218" s="315">
        <v>0.36</v>
      </c>
      <c r="FA1218" s="315">
        <v>0.38</v>
      </c>
      <c r="FB1218" s="24" t="str">
        <f t="shared" ref="FB1218:FB1219" si="5646">FB1231/FB1206</f>
        <v>#ERROR!</v>
      </c>
      <c r="FC1218" s="315">
        <v>0.36</v>
      </c>
      <c r="FD1218" s="315">
        <v>0.36</v>
      </c>
      <c r="FE1218" s="315">
        <v>0.36</v>
      </c>
      <c r="FF1218" s="315">
        <v>0.38</v>
      </c>
      <c r="FG1218" s="24" t="str">
        <f t="shared" ref="FG1218:FG1219" si="5647">FG1231/FG1206</f>
        <v>#ERROR!</v>
      </c>
      <c r="FH1218" s="104"/>
      <c r="FI1218" s="315"/>
      <c r="FJ1218" s="315"/>
      <c r="FK1218" s="410"/>
      <c r="FL1218" s="315"/>
    </row>
    <row r="1219" ht="12.75" hidden="1" customHeight="1" outlineLevel="2">
      <c r="A1219" s="15"/>
      <c r="B1219" s="456" t="str">
        <f t="shared" si="5623"/>
        <v>   Motherboard</v>
      </c>
      <c r="C1219" s="15"/>
      <c r="D1219" s="315"/>
      <c r="E1219" s="315"/>
      <c r="F1219" s="315"/>
      <c r="G1219" s="315"/>
      <c r="H1219" s="410"/>
      <c r="I1219" s="315"/>
      <c r="J1219" s="315"/>
      <c r="K1219" s="315"/>
      <c r="L1219" s="315"/>
      <c r="M1219" s="410"/>
      <c r="N1219" s="315"/>
      <c r="O1219" s="315"/>
      <c r="P1219" s="315"/>
      <c r="Q1219" s="315"/>
      <c r="R1219" s="410"/>
      <c r="S1219" s="315"/>
      <c r="T1219" s="315"/>
      <c r="U1219" s="315"/>
      <c r="V1219" s="315"/>
      <c r="W1219" s="410"/>
      <c r="X1219" s="315"/>
      <c r="Y1219" s="315"/>
      <c r="Z1219" s="315"/>
      <c r="AA1219" s="315"/>
      <c r="AB1219" s="410"/>
      <c r="AC1219" s="315"/>
      <c r="AD1219" s="315"/>
      <c r="AE1219" s="315"/>
      <c r="AF1219" s="315"/>
      <c r="AG1219" s="410"/>
      <c r="AH1219" s="315"/>
      <c r="AI1219" s="315"/>
      <c r="AJ1219" s="315"/>
      <c r="AK1219" s="315"/>
      <c r="AL1219" s="410"/>
      <c r="AM1219" s="315"/>
      <c r="AN1219" s="315"/>
      <c r="AO1219" s="315">
        <v>0.2</v>
      </c>
      <c r="AP1219" s="315">
        <v>0.2</v>
      </c>
      <c r="AQ1219" s="410"/>
      <c r="AR1219" s="315">
        <v>0.32</v>
      </c>
      <c r="AS1219" s="315">
        <v>0.32</v>
      </c>
      <c r="AT1219" s="315">
        <v>0.32</v>
      </c>
      <c r="AU1219" s="315">
        <v>0.32</v>
      </c>
      <c r="AV1219" s="410">
        <f t="shared" si="5624"/>
        <v>0.32</v>
      </c>
      <c r="AW1219" s="315">
        <v>0.33</v>
      </c>
      <c r="AX1219" s="315">
        <v>0.33</v>
      </c>
      <c r="AY1219" s="315">
        <v>0.33</v>
      </c>
      <c r="AZ1219" s="315">
        <v>0.33</v>
      </c>
      <c r="BA1219" s="410">
        <f t="shared" si="5625"/>
        <v>0.33</v>
      </c>
      <c r="BB1219" s="315">
        <v>0.33</v>
      </c>
      <c r="BC1219" s="315">
        <v>0.33</v>
      </c>
      <c r="BD1219" s="315">
        <v>0.33</v>
      </c>
      <c r="BE1219" s="315">
        <v>0.33</v>
      </c>
      <c r="BF1219" s="410">
        <f t="shared" si="5626"/>
        <v>0.33</v>
      </c>
      <c r="BG1219" s="315">
        <v>0.28</v>
      </c>
      <c r="BH1219" s="315">
        <v>0.28</v>
      </c>
      <c r="BI1219" s="315">
        <v>0.26</v>
      </c>
      <c r="BJ1219" s="315">
        <v>0.26</v>
      </c>
      <c r="BK1219" s="410">
        <f t="shared" si="5627"/>
        <v>0.2701594223</v>
      </c>
      <c r="BL1219" s="315">
        <v>0.28</v>
      </c>
      <c r="BM1219" s="315">
        <v>0.28</v>
      </c>
      <c r="BN1219" s="315">
        <v>0.26</v>
      </c>
      <c r="BO1219" s="315">
        <v>0.26</v>
      </c>
      <c r="BP1219" s="410">
        <f t="shared" si="5628"/>
        <v>0.2708476065</v>
      </c>
      <c r="BQ1219" s="315">
        <v>0.28</v>
      </c>
      <c r="BR1219" s="315">
        <v>0.28</v>
      </c>
      <c r="BS1219" s="315">
        <v>0.26</v>
      </c>
      <c r="BT1219" s="315">
        <v>0.26</v>
      </c>
      <c r="BU1219" s="410">
        <f t="shared" si="5629"/>
        <v>0.271313402</v>
      </c>
      <c r="BV1219" s="315">
        <v>0.28</v>
      </c>
      <c r="BW1219" s="315">
        <v>0.28</v>
      </c>
      <c r="BX1219" s="315">
        <v>0.26</v>
      </c>
      <c r="BY1219" s="315">
        <v>0.26</v>
      </c>
      <c r="BZ1219" s="24">
        <f t="shared" si="5630"/>
        <v>0.2690909661</v>
      </c>
      <c r="CA1219" s="315">
        <v>0.28</v>
      </c>
      <c r="CB1219" s="315">
        <v>0.28</v>
      </c>
      <c r="CC1219" s="315">
        <v>0.26</v>
      </c>
      <c r="CD1219" s="315">
        <v>0.26</v>
      </c>
      <c r="CE1219" s="24">
        <f t="shared" si="5631"/>
        <v>0.2696511337</v>
      </c>
      <c r="CF1219" s="315">
        <v>0.28</v>
      </c>
      <c r="CG1219" s="315">
        <v>0.28</v>
      </c>
      <c r="CH1219" s="315">
        <v>0.26</v>
      </c>
      <c r="CI1219" s="315">
        <v>0.26</v>
      </c>
      <c r="CJ1219" s="24">
        <f t="shared" si="5632"/>
        <v>0.2696520493</v>
      </c>
      <c r="CK1219" s="315">
        <v>0.28</v>
      </c>
      <c r="CL1219" s="315">
        <v>0.28</v>
      </c>
      <c r="CM1219" s="315">
        <v>0.26</v>
      </c>
      <c r="CN1219" s="365">
        <v>0.26</v>
      </c>
      <c r="CO1219" s="24">
        <f t="shared" si="5633"/>
        <v>0.2694678651</v>
      </c>
      <c r="CP1219" s="365">
        <v>0.28</v>
      </c>
      <c r="CQ1219" s="315">
        <v>0.28</v>
      </c>
      <c r="CR1219" s="315">
        <v>0.26</v>
      </c>
      <c r="CS1219" s="315">
        <v>0.26</v>
      </c>
      <c r="CT1219" s="24">
        <f t="shared" si="5634"/>
        <v>0.2688832244</v>
      </c>
      <c r="CU1219" s="315">
        <v>0.28</v>
      </c>
      <c r="CV1219" s="315">
        <v>0.28</v>
      </c>
      <c r="CW1219" s="315">
        <v>0.26</v>
      </c>
      <c r="CX1219" s="315">
        <v>0.26</v>
      </c>
      <c r="CY1219" s="24">
        <f t="shared" si="5635"/>
        <v>0.2692192314</v>
      </c>
      <c r="CZ1219" s="315">
        <v>0.28</v>
      </c>
      <c r="DA1219" s="315">
        <v>0.28</v>
      </c>
      <c r="DB1219" s="315">
        <v>0.26</v>
      </c>
      <c r="DC1219" s="315">
        <v>0.26</v>
      </c>
      <c r="DD1219" s="24">
        <f t="shared" si="5636"/>
        <v>0.2693399684</v>
      </c>
      <c r="DE1219" s="315">
        <v>0.28</v>
      </c>
      <c r="DF1219" s="315">
        <v>0.28</v>
      </c>
      <c r="DG1219" s="365">
        <v>0.26</v>
      </c>
      <c r="DH1219" s="315">
        <v>0.26</v>
      </c>
      <c r="DI1219" s="24">
        <f t="shared" si="5637"/>
        <v>0.2694779973</v>
      </c>
      <c r="DJ1219" s="365">
        <v>0.28</v>
      </c>
      <c r="DK1219" s="365">
        <v>0.28</v>
      </c>
      <c r="DL1219" s="365">
        <v>0.26</v>
      </c>
      <c r="DM1219" s="315">
        <v>0.26</v>
      </c>
      <c r="DN1219" s="24">
        <f t="shared" si="5638"/>
        <v>0.2692833313</v>
      </c>
      <c r="DO1219" s="315">
        <v>0.28</v>
      </c>
      <c r="DP1219" s="315">
        <v>0.28</v>
      </c>
      <c r="DQ1219" s="315">
        <v>0.26</v>
      </c>
      <c r="DR1219" s="315">
        <v>0.26</v>
      </c>
      <c r="DS1219" s="24">
        <f t="shared" si="5639"/>
        <v>0.2693312117</v>
      </c>
      <c r="DT1219" s="315">
        <v>0.28</v>
      </c>
      <c r="DU1219" s="315">
        <v>0.28</v>
      </c>
      <c r="DV1219" s="315">
        <v>0.26</v>
      </c>
      <c r="DW1219" s="315">
        <v>0.26</v>
      </c>
      <c r="DX1219" s="24">
        <f t="shared" si="5640"/>
        <v>0.2693284439</v>
      </c>
      <c r="DY1219" s="315">
        <v>0.28</v>
      </c>
      <c r="DZ1219" s="315">
        <v>0.28</v>
      </c>
      <c r="EA1219" s="315">
        <v>0.26</v>
      </c>
      <c r="EB1219" s="315">
        <v>0.26</v>
      </c>
      <c r="EC1219" s="24">
        <f t="shared" si="5641"/>
        <v>0.2693260053</v>
      </c>
      <c r="ED1219" s="315">
        <v>0.28</v>
      </c>
      <c r="EE1219" s="315">
        <v>0.28</v>
      </c>
      <c r="EF1219" s="315">
        <v>0.26</v>
      </c>
      <c r="EG1219" s="315">
        <v>0.26</v>
      </c>
      <c r="EH1219" s="24" t="str">
        <f t="shared" si="5642"/>
        <v>#DIV/0!</v>
      </c>
      <c r="EI1219" s="314">
        <v>0.28</v>
      </c>
      <c r="EJ1219" s="315">
        <v>0.28</v>
      </c>
      <c r="EK1219" s="315">
        <v>0.26</v>
      </c>
      <c r="EL1219" s="315">
        <v>0.26</v>
      </c>
      <c r="EM1219" s="24" t="str">
        <f t="shared" si="5643"/>
        <v>#DIV/0!</v>
      </c>
      <c r="EN1219" s="315">
        <v>0.28</v>
      </c>
      <c r="EO1219" s="315">
        <v>0.28</v>
      </c>
      <c r="EP1219" s="315">
        <v>0.26</v>
      </c>
      <c r="EQ1219" s="315">
        <v>0.26</v>
      </c>
      <c r="ER1219" s="24" t="str">
        <f t="shared" si="5644"/>
        <v>#DIV/0!</v>
      </c>
      <c r="ES1219" s="315">
        <v>0.28</v>
      </c>
      <c r="ET1219" s="315">
        <v>0.28</v>
      </c>
      <c r="EU1219" s="315">
        <v>0.26</v>
      </c>
      <c r="EV1219" s="315">
        <v>0.26</v>
      </c>
      <c r="EW1219" s="24" t="str">
        <f t="shared" si="5645"/>
        <v>#DIV/0!</v>
      </c>
      <c r="EX1219" s="315">
        <v>0.28</v>
      </c>
      <c r="EY1219" s="315">
        <v>0.28</v>
      </c>
      <c r="EZ1219" s="315">
        <v>0.26</v>
      </c>
      <c r="FA1219" s="315">
        <v>0.26</v>
      </c>
      <c r="FB1219" s="24" t="str">
        <f t="shared" si="5646"/>
        <v>#DIV/0!</v>
      </c>
      <c r="FC1219" s="315">
        <v>0.28</v>
      </c>
      <c r="FD1219" s="315">
        <v>0.28</v>
      </c>
      <c r="FE1219" s="315">
        <v>0.26</v>
      </c>
      <c r="FF1219" s="315">
        <v>0.26</v>
      </c>
      <c r="FG1219" s="24" t="str">
        <f t="shared" si="5647"/>
        <v>#DIV/0!</v>
      </c>
      <c r="FH1219" s="104"/>
      <c r="FI1219" s="315"/>
      <c r="FJ1219" s="315"/>
      <c r="FK1219" s="410"/>
      <c r="FL1219" s="315"/>
    </row>
    <row r="1220" ht="12.75" hidden="1" customHeight="1" outlineLevel="2">
      <c r="A1220" s="15"/>
      <c r="B1220" s="456" t="str">
        <f t="shared" si="5623"/>
        <v>Architecture group - IAG</v>
      </c>
      <c r="C1220" s="15"/>
      <c r="D1220" s="15"/>
      <c r="E1220" s="15"/>
      <c r="F1220" s="15"/>
      <c r="G1220" s="15"/>
      <c r="H1220" s="410"/>
      <c r="I1220" s="15"/>
      <c r="J1220" s="15"/>
      <c r="K1220" s="15"/>
      <c r="L1220" s="15"/>
      <c r="M1220" s="410"/>
      <c r="N1220" s="15"/>
      <c r="O1220" s="15"/>
      <c r="P1220" s="15"/>
      <c r="Q1220" s="15"/>
      <c r="R1220" s="410"/>
      <c r="S1220" s="15"/>
      <c r="T1220" s="15"/>
      <c r="U1220" s="15"/>
      <c r="V1220" s="15"/>
      <c r="W1220" s="410"/>
      <c r="X1220" s="15"/>
      <c r="Y1220" s="15"/>
      <c r="Z1220" s="15"/>
      <c r="AA1220" s="15"/>
      <c r="AB1220" s="410"/>
      <c r="AC1220" s="15"/>
      <c r="AD1220" s="15"/>
      <c r="AE1220" s="15"/>
      <c r="AF1220" s="15"/>
      <c r="AG1220" s="410"/>
      <c r="AH1220" s="15"/>
      <c r="AI1220" s="15"/>
      <c r="AJ1220" s="15"/>
      <c r="AK1220" s="15"/>
      <c r="AL1220" s="410"/>
      <c r="AM1220" s="15"/>
      <c r="AN1220" s="15"/>
      <c r="AO1220" s="15">
        <f t="shared" ref="AO1220:AP1220" si="5648">AO1233/AO1208</f>
        <v>0.6100772156</v>
      </c>
      <c r="AP1220" s="15">
        <f t="shared" si="5648"/>
        <v>0.6601433972</v>
      </c>
      <c r="AQ1220" s="410"/>
      <c r="AR1220" s="15" t="str">
        <f t="shared" ref="AR1220:FG1220" si="5649">AR1233/AR1208</f>
        <v>#ERROR!</v>
      </c>
      <c r="AS1220" s="15" t="str">
        <f t="shared" si="5649"/>
        <v>#ERROR!</v>
      </c>
      <c r="AT1220" s="15" t="str">
        <f t="shared" si="5649"/>
        <v>#ERROR!</v>
      </c>
      <c r="AU1220" s="15" t="str">
        <f t="shared" si="5649"/>
        <v>#ERROR!</v>
      </c>
      <c r="AV1220" s="410" t="str">
        <f t="shared" si="5649"/>
        <v>#ERROR!</v>
      </c>
      <c r="AW1220" s="15" t="str">
        <f t="shared" si="5649"/>
        <v>#ERROR!</v>
      </c>
      <c r="AX1220" s="15" t="str">
        <f t="shared" si="5649"/>
        <v>#ERROR!</v>
      </c>
      <c r="AY1220" s="15" t="str">
        <f t="shared" si="5649"/>
        <v>#ERROR!</v>
      </c>
      <c r="AZ1220" s="15" t="str">
        <f t="shared" si="5649"/>
        <v>#ERROR!</v>
      </c>
      <c r="BA1220" s="410" t="str">
        <f t="shared" si="5649"/>
        <v>#ERROR!</v>
      </c>
      <c r="BB1220" s="15" t="str">
        <f t="shared" si="5649"/>
        <v>#ERROR!</v>
      </c>
      <c r="BC1220" s="15" t="str">
        <f t="shared" si="5649"/>
        <v>#ERROR!</v>
      </c>
      <c r="BD1220" s="15" t="str">
        <f t="shared" si="5649"/>
        <v>#ERROR!</v>
      </c>
      <c r="BE1220" s="15" t="str">
        <f t="shared" si="5649"/>
        <v>#ERROR!</v>
      </c>
      <c r="BF1220" s="410" t="str">
        <f t="shared" si="5649"/>
        <v>#ERROR!</v>
      </c>
      <c r="BG1220" s="15" t="str">
        <f t="shared" si="5649"/>
        <v>#ERROR!</v>
      </c>
      <c r="BH1220" s="15" t="str">
        <f t="shared" si="5649"/>
        <v>#ERROR!</v>
      </c>
      <c r="BI1220" s="15" t="str">
        <f t="shared" si="5649"/>
        <v>#ERROR!</v>
      </c>
      <c r="BJ1220" s="15" t="str">
        <f t="shared" si="5649"/>
        <v>#ERROR!</v>
      </c>
      <c r="BK1220" s="410" t="str">
        <f t="shared" si="5649"/>
        <v>#ERROR!</v>
      </c>
      <c r="BL1220" s="15" t="str">
        <f t="shared" si="5649"/>
        <v>#ERROR!</v>
      </c>
      <c r="BM1220" s="15" t="str">
        <f t="shared" si="5649"/>
        <v>#ERROR!</v>
      </c>
      <c r="BN1220" s="15" t="str">
        <f t="shared" si="5649"/>
        <v>#ERROR!</v>
      </c>
      <c r="BO1220" s="15" t="str">
        <f t="shared" si="5649"/>
        <v>#ERROR!</v>
      </c>
      <c r="BP1220" s="410" t="str">
        <f t="shared" si="5649"/>
        <v>#ERROR!</v>
      </c>
      <c r="BQ1220" s="15" t="str">
        <f t="shared" si="5649"/>
        <v>#ERROR!</v>
      </c>
      <c r="BR1220" s="15" t="str">
        <f t="shared" si="5649"/>
        <v>#ERROR!</v>
      </c>
      <c r="BS1220" s="15" t="str">
        <f t="shared" si="5649"/>
        <v>#ERROR!</v>
      </c>
      <c r="BT1220" s="15" t="str">
        <f t="shared" si="5649"/>
        <v>#ERROR!</v>
      </c>
      <c r="BU1220" s="410" t="str">
        <f t="shared" si="5649"/>
        <v>#ERROR!</v>
      </c>
      <c r="BV1220" s="15" t="str">
        <f t="shared" si="5649"/>
        <v>#ERROR!</v>
      </c>
      <c r="BW1220" s="15" t="str">
        <f t="shared" si="5649"/>
        <v>#ERROR!</v>
      </c>
      <c r="BX1220" s="15" t="str">
        <f t="shared" si="5649"/>
        <v>#ERROR!</v>
      </c>
      <c r="BY1220" s="15" t="str">
        <f t="shared" si="5649"/>
        <v>#ERROR!</v>
      </c>
      <c r="BZ1220" s="24" t="str">
        <f t="shared" si="5649"/>
        <v>#ERROR!</v>
      </c>
      <c r="CA1220" s="15" t="str">
        <f t="shared" si="5649"/>
        <v>#ERROR!</v>
      </c>
      <c r="CB1220" s="15" t="str">
        <f t="shared" si="5649"/>
        <v>#ERROR!</v>
      </c>
      <c r="CC1220" s="15" t="str">
        <f t="shared" si="5649"/>
        <v>#ERROR!</v>
      </c>
      <c r="CD1220" s="15" t="str">
        <f t="shared" si="5649"/>
        <v>#ERROR!</v>
      </c>
      <c r="CE1220" s="24" t="str">
        <f t="shared" si="5649"/>
        <v>#ERROR!</v>
      </c>
      <c r="CF1220" s="15" t="str">
        <f t="shared" si="5649"/>
        <v>#ERROR!</v>
      </c>
      <c r="CG1220" s="15" t="str">
        <f t="shared" si="5649"/>
        <v>#ERROR!</v>
      </c>
      <c r="CH1220" s="15" t="str">
        <f t="shared" si="5649"/>
        <v>#ERROR!</v>
      </c>
      <c r="CI1220" s="15" t="str">
        <f t="shared" si="5649"/>
        <v>#ERROR!</v>
      </c>
      <c r="CJ1220" s="24" t="str">
        <f t="shared" si="5649"/>
        <v>#ERROR!</v>
      </c>
      <c r="CK1220" s="15" t="str">
        <f t="shared" si="5649"/>
        <v>#ERROR!</v>
      </c>
      <c r="CL1220" s="15" t="str">
        <f t="shared" si="5649"/>
        <v>#ERROR!</v>
      </c>
      <c r="CM1220" s="15" t="str">
        <f t="shared" si="5649"/>
        <v>#ERROR!</v>
      </c>
      <c r="CN1220" s="40" t="str">
        <f t="shared" si="5649"/>
        <v>#ERROR!</v>
      </c>
      <c r="CO1220" s="24" t="str">
        <f t="shared" si="5649"/>
        <v>#ERROR!</v>
      </c>
      <c r="CP1220" s="40" t="str">
        <f t="shared" si="5649"/>
        <v>#ERROR!</v>
      </c>
      <c r="CQ1220" s="15" t="str">
        <f t="shared" si="5649"/>
        <v>#ERROR!</v>
      </c>
      <c r="CR1220" s="15" t="str">
        <f t="shared" si="5649"/>
        <v>#ERROR!</v>
      </c>
      <c r="CS1220" s="15" t="str">
        <f t="shared" si="5649"/>
        <v>#ERROR!</v>
      </c>
      <c r="CT1220" s="24" t="str">
        <f t="shared" si="5649"/>
        <v>#ERROR!</v>
      </c>
      <c r="CU1220" s="15" t="str">
        <f t="shared" si="5649"/>
        <v>#ERROR!</v>
      </c>
      <c r="CV1220" s="15" t="str">
        <f t="shared" si="5649"/>
        <v>#ERROR!</v>
      </c>
      <c r="CW1220" s="15" t="str">
        <f t="shared" si="5649"/>
        <v>#ERROR!</v>
      </c>
      <c r="CX1220" s="15" t="str">
        <f t="shared" si="5649"/>
        <v>#ERROR!</v>
      </c>
      <c r="CY1220" s="24" t="str">
        <f t="shared" si="5649"/>
        <v>#ERROR!</v>
      </c>
      <c r="CZ1220" s="15" t="str">
        <f t="shared" si="5649"/>
        <v>#ERROR!</v>
      </c>
      <c r="DA1220" s="15" t="str">
        <f t="shared" si="5649"/>
        <v>#ERROR!</v>
      </c>
      <c r="DB1220" s="15" t="str">
        <f t="shared" si="5649"/>
        <v>#ERROR!</v>
      </c>
      <c r="DC1220" s="15" t="str">
        <f t="shared" si="5649"/>
        <v>#ERROR!</v>
      </c>
      <c r="DD1220" s="24" t="str">
        <f t="shared" si="5649"/>
        <v>#ERROR!</v>
      </c>
      <c r="DE1220" s="15" t="str">
        <f t="shared" si="5649"/>
        <v>#ERROR!</v>
      </c>
      <c r="DF1220" s="15" t="str">
        <f t="shared" si="5649"/>
        <v>#ERROR!</v>
      </c>
      <c r="DG1220" s="40" t="str">
        <f t="shared" si="5649"/>
        <v>#ERROR!</v>
      </c>
      <c r="DH1220" s="15" t="str">
        <f t="shared" si="5649"/>
        <v>#ERROR!</v>
      </c>
      <c r="DI1220" s="24" t="str">
        <f t="shared" si="5649"/>
        <v>#ERROR!</v>
      </c>
      <c r="DJ1220" s="40" t="str">
        <f t="shared" si="5649"/>
        <v>#ERROR!</v>
      </c>
      <c r="DK1220" s="40" t="str">
        <f t="shared" si="5649"/>
        <v>#ERROR!</v>
      </c>
      <c r="DL1220" s="40" t="str">
        <f t="shared" si="5649"/>
        <v>#ERROR!</v>
      </c>
      <c r="DM1220" s="15" t="str">
        <f t="shared" si="5649"/>
        <v>#ERROR!</v>
      </c>
      <c r="DN1220" s="24" t="str">
        <f t="shared" si="5649"/>
        <v>#ERROR!</v>
      </c>
      <c r="DO1220" s="15" t="str">
        <f t="shared" si="5649"/>
        <v>#ERROR!</v>
      </c>
      <c r="DP1220" s="15" t="str">
        <f t="shared" si="5649"/>
        <v>#ERROR!</v>
      </c>
      <c r="DQ1220" s="15" t="str">
        <f t="shared" si="5649"/>
        <v>#ERROR!</v>
      </c>
      <c r="DR1220" s="15" t="str">
        <f t="shared" si="5649"/>
        <v>#ERROR!</v>
      </c>
      <c r="DS1220" s="24" t="str">
        <f t="shared" si="5649"/>
        <v>#ERROR!</v>
      </c>
      <c r="DT1220" s="15" t="str">
        <f t="shared" si="5649"/>
        <v>#ERROR!</v>
      </c>
      <c r="DU1220" s="15" t="str">
        <f t="shared" si="5649"/>
        <v>#ERROR!</v>
      </c>
      <c r="DV1220" s="15" t="str">
        <f t="shared" si="5649"/>
        <v>#ERROR!</v>
      </c>
      <c r="DW1220" s="15" t="str">
        <f t="shared" si="5649"/>
        <v>#ERROR!</v>
      </c>
      <c r="DX1220" s="24" t="str">
        <f t="shared" si="5649"/>
        <v>#ERROR!</v>
      </c>
      <c r="DY1220" s="15" t="str">
        <f t="shared" si="5649"/>
        <v>#ERROR!</v>
      </c>
      <c r="DZ1220" s="15" t="str">
        <f t="shared" si="5649"/>
        <v>#ERROR!</v>
      </c>
      <c r="EA1220" s="15" t="str">
        <f t="shared" si="5649"/>
        <v>#ERROR!</v>
      </c>
      <c r="EB1220" s="15" t="str">
        <f t="shared" si="5649"/>
        <v>#ERROR!</v>
      </c>
      <c r="EC1220" s="24" t="str">
        <f t="shared" si="5649"/>
        <v>#ERROR!</v>
      </c>
      <c r="ED1220" s="15" t="str">
        <f t="shared" si="5649"/>
        <v>#ERROR!</v>
      </c>
      <c r="EE1220" s="15" t="str">
        <f t="shared" si="5649"/>
        <v>#ERROR!</v>
      </c>
      <c r="EF1220" s="15" t="str">
        <f t="shared" si="5649"/>
        <v>#ERROR!</v>
      </c>
      <c r="EG1220" s="15" t="str">
        <f t="shared" si="5649"/>
        <v>#ERROR!</v>
      </c>
      <c r="EH1220" s="24" t="str">
        <f t="shared" si="5649"/>
        <v>#ERROR!</v>
      </c>
      <c r="EI1220" s="82" t="str">
        <f t="shared" si="5649"/>
        <v>#ERROR!</v>
      </c>
      <c r="EJ1220" s="15" t="str">
        <f t="shared" si="5649"/>
        <v>#ERROR!</v>
      </c>
      <c r="EK1220" s="15" t="str">
        <f t="shared" si="5649"/>
        <v>#ERROR!</v>
      </c>
      <c r="EL1220" s="15" t="str">
        <f t="shared" si="5649"/>
        <v>#ERROR!</v>
      </c>
      <c r="EM1220" s="24" t="str">
        <f t="shared" si="5649"/>
        <v>#ERROR!</v>
      </c>
      <c r="EN1220" s="15" t="str">
        <f t="shared" si="5649"/>
        <v>#ERROR!</v>
      </c>
      <c r="EO1220" s="15" t="str">
        <f t="shared" si="5649"/>
        <v>#ERROR!</v>
      </c>
      <c r="EP1220" s="15" t="str">
        <f t="shared" si="5649"/>
        <v>#ERROR!</v>
      </c>
      <c r="EQ1220" s="15" t="str">
        <f t="shared" si="5649"/>
        <v>#ERROR!</v>
      </c>
      <c r="ER1220" s="24" t="str">
        <f t="shared" si="5649"/>
        <v>#ERROR!</v>
      </c>
      <c r="ES1220" s="15" t="str">
        <f t="shared" si="5649"/>
        <v>#ERROR!</v>
      </c>
      <c r="ET1220" s="15" t="str">
        <f t="shared" si="5649"/>
        <v>#ERROR!</v>
      </c>
      <c r="EU1220" s="15" t="str">
        <f t="shared" si="5649"/>
        <v>#ERROR!</v>
      </c>
      <c r="EV1220" s="15" t="str">
        <f t="shared" si="5649"/>
        <v>#ERROR!</v>
      </c>
      <c r="EW1220" s="24" t="str">
        <f t="shared" si="5649"/>
        <v>#ERROR!</v>
      </c>
      <c r="EX1220" s="15" t="str">
        <f t="shared" si="5649"/>
        <v>#ERROR!</v>
      </c>
      <c r="EY1220" s="15" t="str">
        <f t="shared" si="5649"/>
        <v>#ERROR!</v>
      </c>
      <c r="EZ1220" s="15" t="str">
        <f t="shared" si="5649"/>
        <v>#ERROR!</v>
      </c>
      <c r="FA1220" s="15" t="str">
        <f t="shared" si="5649"/>
        <v>#ERROR!</v>
      </c>
      <c r="FB1220" s="24" t="str">
        <f t="shared" si="5649"/>
        <v>#ERROR!</v>
      </c>
      <c r="FC1220" s="15" t="str">
        <f t="shared" si="5649"/>
        <v>#ERROR!</v>
      </c>
      <c r="FD1220" s="15" t="str">
        <f t="shared" si="5649"/>
        <v>#ERROR!</v>
      </c>
      <c r="FE1220" s="15" t="str">
        <f t="shared" si="5649"/>
        <v>#ERROR!</v>
      </c>
      <c r="FF1220" s="15" t="str">
        <f t="shared" si="5649"/>
        <v>#ERROR!</v>
      </c>
      <c r="FG1220" s="24" t="str">
        <f t="shared" si="5649"/>
        <v>#ERROR!</v>
      </c>
      <c r="FH1220" s="104"/>
      <c r="FI1220" s="15"/>
      <c r="FJ1220" s="15"/>
      <c r="FK1220" s="410"/>
      <c r="FL1220" s="15"/>
    </row>
    <row r="1221" ht="12.75" hidden="1" customHeight="1" outlineLevel="2">
      <c r="A1221" s="15"/>
      <c r="B1221" s="456" t="str">
        <f t="shared" si="5623"/>
        <v>WCCG</v>
      </c>
      <c r="C1221" s="15"/>
      <c r="D1221" s="315"/>
      <c r="E1221" s="315"/>
      <c r="F1221" s="315"/>
      <c r="G1221" s="315"/>
      <c r="H1221" s="410"/>
      <c r="I1221" s="315"/>
      <c r="J1221" s="315"/>
      <c r="K1221" s="315"/>
      <c r="L1221" s="315"/>
      <c r="M1221" s="410"/>
      <c r="N1221" s="315"/>
      <c r="O1221" s="315"/>
      <c r="P1221" s="315"/>
      <c r="Q1221" s="315"/>
      <c r="R1221" s="410"/>
      <c r="S1221" s="315"/>
      <c r="T1221" s="315"/>
      <c r="U1221" s="315"/>
      <c r="V1221" s="315"/>
      <c r="W1221" s="410"/>
      <c r="X1221" s="315"/>
      <c r="Y1221" s="315"/>
      <c r="Z1221" s="315"/>
      <c r="AA1221" s="315"/>
      <c r="AB1221" s="410"/>
      <c r="AC1221" s="315"/>
      <c r="AD1221" s="315"/>
      <c r="AE1221" s="315"/>
      <c r="AF1221" s="315"/>
      <c r="AG1221" s="410"/>
      <c r="AH1221" s="315"/>
      <c r="AI1221" s="315"/>
      <c r="AJ1221" s="315"/>
      <c r="AK1221" s="315"/>
      <c r="AL1221" s="410"/>
      <c r="AM1221" s="315"/>
      <c r="AN1221" s="315"/>
      <c r="AO1221" s="315">
        <v>0.35</v>
      </c>
      <c r="AP1221" s="315">
        <v>0.4</v>
      </c>
      <c r="AQ1221" s="410"/>
      <c r="AR1221" s="315"/>
      <c r="AS1221" s="315"/>
      <c r="AT1221" s="315"/>
      <c r="AU1221" s="315"/>
      <c r="AV1221" s="410"/>
      <c r="AW1221" s="315"/>
      <c r="AX1221" s="315"/>
      <c r="AY1221" s="315"/>
      <c r="AZ1221" s="315"/>
      <c r="BA1221" s="410"/>
      <c r="BB1221" s="315"/>
      <c r="BC1221" s="315"/>
      <c r="BD1221" s="315"/>
      <c r="BE1221" s="315"/>
      <c r="BF1221" s="410"/>
      <c r="BG1221" s="315"/>
      <c r="BH1221" s="315"/>
      <c r="BI1221" s="315"/>
      <c r="BJ1221" s="315"/>
      <c r="BK1221" s="410"/>
      <c r="BL1221" s="315"/>
      <c r="BM1221" s="315"/>
      <c r="BN1221" s="315"/>
      <c r="BO1221" s="315"/>
      <c r="BP1221" s="410"/>
      <c r="BQ1221" s="315"/>
      <c r="BR1221" s="315"/>
      <c r="BS1221" s="315"/>
      <c r="BT1221" s="315"/>
      <c r="BU1221" s="410"/>
      <c r="BV1221" s="315"/>
      <c r="BW1221" s="315"/>
      <c r="BX1221" s="315"/>
      <c r="BY1221" s="315"/>
      <c r="BZ1221" s="24"/>
      <c r="CA1221" s="315"/>
      <c r="CB1221" s="315"/>
      <c r="CC1221" s="315"/>
      <c r="CD1221" s="315"/>
      <c r="CE1221" s="24"/>
      <c r="CF1221" s="315"/>
      <c r="CG1221" s="315"/>
      <c r="CH1221" s="315"/>
      <c r="CI1221" s="315"/>
      <c r="CJ1221" s="24"/>
      <c r="CK1221" s="315"/>
      <c r="CL1221" s="315"/>
      <c r="CM1221" s="315"/>
      <c r="CN1221" s="365"/>
      <c r="CO1221" s="24"/>
      <c r="CP1221" s="365"/>
      <c r="CQ1221" s="315"/>
      <c r="CR1221" s="315"/>
      <c r="CS1221" s="315"/>
      <c r="CT1221" s="24"/>
      <c r="CU1221" s="315"/>
      <c r="CV1221" s="315"/>
      <c r="CW1221" s="315"/>
      <c r="CX1221" s="315"/>
      <c r="CY1221" s="24"/>
      <c r="CZ1221" s="315"/>
      <c r="DA1221" s="315"/>
      <c r="DB1221" s="315"/>
      <c r="DC1221" s="315"/>
      <c r="DD1221" s="24"/>
      <c r="DE1221" s="315"/>
      <c r="DF1221" s="315"/>
      <c r="DG1221" s="365"/>
      <c r="DH1221" s="315"/>
      <c r="DI1221" s="24"/>
      <c r="DJ1221" s="365"/>
      <c r="DK1221" s="365"/>
      <c r="DL1221" s="365"/>
      <c r="DM1221" s="315"/>
      <c r="DN1221" s="24"/>
      <c r="DO1221" s="315"/>
      <c r="DP1221" s="315"/>
      <c r="DQ1221" s="315"/>
      <c r="DR1221" s="315"/>
      <c r="DS1221" s="24"/>
      <c r="DT1221" s="315"/>
      <c r="DU1221" s="315"/>
      <c r="DV1221" s="315"/>
      <c r="DW1221" s="315"/>
      <c r="DX1221" s="24"/>
      <c r="DY1221" s="315"/>
      <c r="DZ1221" s="315"/>
      <c r="EA1221" s="315"/>
      <c r="EB1221" s="315"/>
      <c r="EC1221" s="24"/>
      <c r="ED1221" s="315"/>
      <c r="EE1221" s="315"/>
      <c r="EF1221" s="315"/>
      <c r="EG1221" s="315"/>
      <c r="EH1221" s="24"/>
      <c r="EI1221" s="314"/>
      <c r="EJ1221" s="315"/>
      <c r="EK1221" s="315"/>
      <c r="EL1221" s="315"/>
      <c r="EM1221" s="24"/>
      <c r="EN1221" s="315"/>
      <c r="EO1221" s="315"/>
      <c r="EP1221" s="315"/>
      <c r="EQ1221" s="315"/>
      <c r="ER1221" s="24"/>
      <c r="ES1221" s="315"/>
      <c r="ET1221" s="315"/>
      <c r="EU1221" s="315"/>
      <c r="EV1221" s="315"/>
      <c r="EW1221" s="24"/>
      <c r="EX1221" s="315"/>
      <c r="EY1221" s="315"/>
      <c r="EZ1221" s="315"/>
      <c r="FA1221" s="315"/>
      <c r="FB1221" s="24"/>
      <c r="FC1221" s="315"/>
      <c r="FD1221" s="315"/>
      <c r="FE1221" s="315"/>
      <c r="FF1221" s="315"/>
      <c r="FG1221" s="24"/>
      <c r="FH1221" s="104"/>
      <c r="FI1221" s="315"/>
      <c r="FJ1221" s="315"/>
      <c r="FK1221" s="410"/>
      <c r="FL1221" s="315"/>
    </row>
    <row r="1222" ht="12.75" hidden="1" customHeight="1" outlineLevel="2">
      <c r="A1222" s="15"/>
      <c r="B1222" s="456" t="str">
        <f t="shared" si="5623"/>
        <v>Flash</v>
      </c>
      <c r="C1222" s="15"/>
      <c r="D1222" s="315"/>
      <c r="E1222" s="315"/>
      <c r="F1222" s="315"/>
      <c r="G1222" s="315"/>
      <c r="H1222" s="410"/>
      <c r="I1222" s="315"/>
      <c r="J1222" s="315"/>
      <c r="K1222" s="315"/>
      <c r="L1222" s="315"/>
      <c r="M1222" s="410"/>
      <c r="N1222" s="315"/>
      <c r="O1222" s="315"/>
      <c r="P1222" s="315"/>
      <c r="Q1222" s="315"/>
      <c r="R1222" s="410"/>
      <c r="S1222" s="315"/>
      <c r="T1222" s="315"/>
      <c r="U1222" s="315"/>
      <c r="V1222" s="315"/>
      <c r="W1222" s="410"/>
      <c r="X1222" s="315"/>
      <c r="Y1222" s="315"/>
      <c r="Z1222" s="315"/>
      <c r="AA1222" s="315"/>
      <c r="AB1222" s="410"/>
      <c r="AC1222" s="315"/>
      <c r="AD1222" s="315"/>
      <c r="AE1222" s="315"/>
      <c r="AF1222" s="315"/>
      <c r="AG1222" s="410"/>
      <c r="AH1222" s="315"/>
      <c r="AI1222" s="315"/>
      <c r="AJ1222" s="315"/>
      <c r="AK1222" s="315"/>
      <c r="AL1222" s="410"/>
      <c r="AM1222" s="315"/>
      <c r="AN1222" s="315"/>
      <c r="AO1222" s="315"/>
      <c r="AP1222" s="315"/>
      <c r="AQ1222" s="410"/>
      <c r="AR1222" s="315">
        <v>0.4</v>
      </c>
      <c r="AS1222" s="315">
        <v>0.45</v>
      </c>
      <c r="AT1222" s="315">
        <v>0.23</v>
      </c>
      <c r="AU1222" s="315">
        <v>0.27</v>
      </c>
      <c r="AV1222" s="410">
        <f t="shared" ref="AV1222:AV1224" si="5650">AV1235/AV1210</f>
        <v>0.3287964989</v>
      </c>
      <c r="AW1222" s="315">
        <v>0.27</v>
      </c>
      <c r="AX1222" s="315">
        <v>0.29</v>
      </c>
      <c r="AY1222" s="315">
        <v>0.31</v>
      </c>
      <c r="AZ1222" s="315">
        <v>0.33</v>
      </c>
      <c r="BA1222" s="410">
        <f t="shared" ref="BA1222:BA1224" si="5651">BA1235/BA1210</f>
        <v>0.3004828797</v>
      </c>
      <c r="BB1222" s="315">
        <v>0.29</v>
      </c>
      <c r="BC1222" s="315">
        <v>0.29</v>
      </c>
      <c r="BD1222" s="315">
        <v>0.31</v>
      </c>
      <c r="BE1222" s="315">
        <v>0.31</v>
      </c>
      <c r="BF1222" s="410">
        <f t="shared" ref="BF1222:BF1224" si="5652">BF1235/BF1210</f>
        <v>0.3000138696</v>
      </c>
      <c r="BG1222" s="315">
        <v>0.3</v>
      </c>
      <c r="BH1222" s="315">
        <v>0.33</v>
      </c>
      <c r="BI1222" s="315">
        <v>0.35</v>
      </c>
      <c r="BJ1222" s="315">
        <v>0.37</v>
      </c>
      <c r="BK1222" s="410">
        <f t="shared" ref="BK1222:BK1224" si="5653">BK1235/BK1210</f>
        <v>0.3397193149</v>
      </c>
      <c r="BL1222" s="315">
        <v>0.3</v>
      </c>
      <c r="BM1222" s="315">
        <v>0.33</v>
      </c>
      <c r="BN1222" s="315">
        <v>0.35</v>
      </c>
      <c r="BO1222" s="315">
        <v>0.37</v>
      </c>
      <c r="BP1222" s="410">
        <f t="shared" ref="BP1222:BP1224" si="5654">BP1235/BP1210</f>
        <v>0.325951087</v>
      </c>
      <c r="BQ1222" s="315">
        <v>0.3</v>
      </c>
      <c r="BR1222" s="315">
        <v>0.33</v>
      </c>
      <c r="BS1222" s="315">
        <v>0.35</v>
      </c>
      <c r="BT1222" s="315">
        <v>0.37</v>
      </c>
      <c r="BU1222" s="410">
        <f t="shared" ref="BU1222:BU1224" si="5655">BU1235/BU1210</f>
        <v>0.3425806452</v>
      </c>
      <c r="BV1222" s="315">
        <v>0.3</v>
      </c>
      <c r="BW1222" s="315">
        <v>0.33</v>
      </c>
      <c r="BX1222" s="315">
        <v>0.35</v>
      </c>
      <c r="BY1222" s="315">
        <v>0.37</v>
      </c>
      <c r="BZ1222" s="24">
        <f t="shared" ref="BZ1222:BZ1224" si="5656">BZ1235/BZ1210</f>
        <v>0.340079739</v>
      </c>
      <c r="CA1222" s="315">
        <v>0.3</v>
      </c>
      <c r="CB1222" s="315">
        <v>0.33</v>
      </c>
      <c r="CC1222" s="315">
        <v>0.35</v>
      </c>
      <c r="CD1222" s="315">
        <v>0.37</v>
      </c>
      <c r="CE1222" s="24">
        <f t="shared" ref="CE1222:CE1224" si="5657">CE1235/CE1210</f>
        <v>0.340079739</v>
      </c>
      <c r="CF1222" s="315">
        <v>0.3</v>
      </c>
      <c r="CG1222" s="315">
        <v>0.33</v>
      </c>
      <c r="CH1222" s="315">
        <v>0.35</v>
      </c>
      <c r="CI1222" s="315">
        <v>0.37</v>
      </c>
      <c r="CJ1222" s="24">
        <f t="shared" ref="CJ1222:CJ1224" si="5658">CJ1235/CJ1210</f>
        <v>0.340079739</v>
      </c>
      <c r="CK1222" s="315">
        <v>0.3</v>
      </c>
      <c r="CL1222" s="315">
        <v>0.33</v>
      </c>
      <c r="CM1222" s="315">
        <v>0.35</v>
      </c>
      <c r="CN1222" s="365">
        <v>0.37</v>
      </c>
      <c r="CO1222" s="24">
        <f t="shared" ref="CO1222:CO1224" si="5659">CO1235/CO1210</f>
        <v>0.340079739</v>
      </c>
      <c r="CP1222" s="365">
        <v>0.3</v>
      </c>
      <c r="CQ1222" s="315">
        <v>0.33</v>
      </c>
      <c r="CR1222" s="315">
        <v>0.35</v>
      </c>
      <c r="CS1222" s="315">
        <v>0.37</v>
      </c>
      <c r="CT1222" s="24">
        <f t="shared" ref="CT1222:CT1224" si="5660">CT1235/CT1210</f>
        <v>0.340079739</v>
      </c>
      <c r="CU1222" s="315">
        <v>0.3</v>
      </c>
      <c r="CV1222" s="315">
        <v>0.33</v>
      </c>
      <c r="CW1222" s="315">
        <v>0.35</v>
      </c>
      <c r="CX1222" s="315">
        <v>0.37</v>
      </c>
      <c r="CY1222" s="24">
        <f t="shared" ref="CY1222:CY1224" si="5661">CY1235/CY1210</f>
        <v>0.340079739</v>
      </c>
      <c r="CZ1222" s="315">
        <v>0.3</v>
      </c>
      <c r="DA1222" s="315">
        <v>0.33</v>
      </c>
      <c r="DB1222" s="315">
        <v>0.35</v>
      </c>
      <c r="DC1222" s="315">
        <v>0.37</v>
      </c>
      <c r="DD1222" s="24">
        <f t="shared" ref="DD1222:DD1224" si="5662">DD1235/DD1210</f>
        <v>0.340079739</v>
      </c>
      <c r="DE1222" s="315">
        <v>0.3</v>
      </c>
      <c r="DF1222" s="315">
        <v>0.33</v>
      </c>
      <c r="DG1222" s="365">
        <v>0.35</v>
      </c>
      <c r="DH1222" s="315">
        <v>0.37</v>
      </c>
      <c r="DI1222" s="24">
        <f t="shared" ref="DI1222:DI1224" si="5663">DI1235/DI1210</f>
        <v>0.340079739</v>
      </c>
      <c r="DJ1222" s="365">
        <v>0.3</v>
      </c>
      <c r="DK1222" s="365">
        <v>0.33</v>
      </c>
      <c r="DL1222" s="365">
        <v>0.35</v>
      </c>
      <c r="DM1222" s="315">
        <v>0.37</v>
      </c>
      <c r="DN1222" s="24">
        <f t="shared" ref="DN1222:DN1224" si="5664">DN1235/DN1210</f>
        <v>0.340079739</v>
      </c>
      <c r="DO1222" s="315">
        <v>0.3</v>
      </c>
      <c r="DP1222" s="315">
        <v>0.33</v>
      </c>
      <c r="DQ1222" s="315">
        <v>0.35</v>
      </c>
      <c r="DR1222" s="315">
        <v>0.37</v>
      </c>
      <c r="DS1222" s="24">
        <f t="shared" ref="DS1222:DS1224" si="5665">DS1235/DS1210</f>
        <v>0.340079739</v>
      </c>
      <c r="DT1222" s="315">
        <v>0.3</v>
      </c>
      <c r="DU1222" s="315">
        <v>0.33</v>
      </c>
      <c r="DV1222" s="315">
        <v>0.35</v>
      </c>
      <c r="DW1222" s="315">
        <v>0.37</v>
      </c>
      <c r="DX1222" s="24">
        <f t="shared" ref="DX1222:DX1224" si="5666">DX1235/DX1210</f>
        <v>0.340079739</v>
      </c>
      <c r="DY1222" s="315">
        <v>0.3</v>
      </c>
      <c r="DZ1222" s="315">
        <v>0.33</v>
      </c>
      <c r="EA1222" s="315">
        <v>0.35</v>
      </c>
      <c r="EB1222" s="315">
        <v>0.37</v>
      </c>
      <c r="EC1222" s="24">
        <f t="shared" ref="EC1222:EC1224" si="5667">EC1235/EC1210</f>
        <v>0.340079739</v>
      </c>
      <c r="ED1222" s="315">
        <v>0.3</v>
      </c>
      <c r="EE1222" s="315">
        <v>0.33</v>
      </c>
      <c r="EF1222" s="315">
        <v>0.35</v>
      </c>
      <c r="EG1222" s="315">
        <v>0.37</v>
      </c>
      <c r="EH1222" s="24">
        <f t="shared" ref="EH1222:EH1224" si="5668">EH1235/EH1210</f>
        <v>0.340079739</v>
      </c>
      <c r="EI1222" s="314">
        <v>0.3</v>
      </c>
      <c r="EJ1222" s="315">
        <v>0.33</v>
      </c>
      <c r="EK1222" s="315">
        <v>0.35</v>
      </c>
      <c r="EL1222" s="315">
        <v>0.37</v>
      </c>
      <c r="EM1222" s="24">
        <f t="shared" ref="EM1222:EM1224" si="5669">EM1235/EM1210</f>
        <v>0.340079739</v>
      </c>
      <c r="EN1222" s="315">
        <v>0.3</v>
      </c>
      <c r="EO1222" s="315">
        <v>0.33</v>
      </c>
      <c r="EP1222" s="315">
        <v>0.35</v>
      </c>
      <c r="EQ1222" s="315">
        <v>0.37</v>
      </c>
      <c r="ER1222" s="24">
        <f t="shared" ref="ER1222:ER1224" si="5670">ER1235/ER1210</f>
        <v>0.340079739</v>
      </c>
      <c r="ES1222" s="315">
        <v>0.3</v>
      </c>
      <c r="ET1222" s="315">
        <v>0.33</v>
      </c>
      <c r="EU1222" s="315">
        <v>0.35</v>
      </c>
      <c r="EV1222" s="315">
        <v>0.37</v>
      </c>
      <c r="EW1222" s="24">
        <f t="shared" ref="EW1222:EW1224" si="5671">EW1235/EW1210</f>
        <v>0.340079739</v>
      </c>
      <c r="EX1222" s="315">
        <v>0.3</v>
      </c>
      <c r="EY1222" s="315">
        <v>0.33</v>
      </c>
      <c r="EZ1222" s="315">
        <v>0.35</v>
      </c>
      <c r="FA1222" s="315">
        <v>0.37</v>
      </c>
      <c r="FB1222" s="24">
        <f t="shared" ref="FB1222:FB1224" si="5672">FB1235/FB1210</f>
        <v>0.340079739</v>
      </c>
      <c r="FC1222" s="315">
        <v>0.3</v>
      </c>
      <c r="FD1222" s="315">
        <v>0.33</v>
      </c>
      <c r="FE1222" s="315">
        <v>0.35</v>
      </c>
      <c r="FF1222" s="315">
        <v>0.37</v>
      </c>
      <c r="FG1222" s="24">
        <f t="shared" ref="FG1222:FG1224" si="5673">FG1235/FG1210</f>
        <v>0.340079739</v>
      </c>
      <c r="FH1222" s="104"/>
      <c r="FI1222" s="315"/>
      <c r="FJ1222" s="315"/>
      <c r="FK1222" s="410"/>
      <c r="FL1222" s="315"/>
    </row>
    <row r="1223" ht="12.75" hidden="1" customHeight="1" outlineLevel="2">
      <c r="A1223" s="15"/>
      <c r="B1223" s="456" t="str">
        <f t="shared" si="5623"/>
        <v>Comm/Embedded (former ICG)</v>
      </c>
      <c r="C1223" s="15"/>
      <c r="D1223" s="315"/>
      <c r="E1223" s="315"/>
      <c r="F1223" s="315"/>
      <c r="G1223" s="315"/>
      <c r="H1223" s="410"/>
      <c r="I1223" s="315"/>
      <c r="J1223" s="315"/>
      <c r="K1223" s="315"/>
      <c r="L1223" s="315"/>
      <c r="M1223" s="410"/>
      <c r="N1223" s="315"/>
      <c r="O1223" s="315"/>
      <c r="P1223" s="315"/>
      <c r="Q1223" s="315"/>
      <c r="R1223" s="410"/>
      <c r="S1223" s="315"/>
      <c r="T1223" s="315"/>
      <c r="U1223" s="315"/>
      <c r="V1223" s="315"/>
      <c r="W1223" s="410"/>
      <c r="X1223" s="315"/>
      <c r="Y1223" s="315"/>
      <c r="Z1223" s="315"/>
      <c r="AA1223" s="315"/>
      <c r="AB1223" s="410"/>
      <c r="AC1223" s="315"/>
      <c r="AD1223" s="315"/>
      <c r="AE1223" s="315"/>
      <c r="AF1223" s="315"/>
      <c r="AG1223" s="410"/>
      <c r="AH1223" s="315"/>
      <c r="AI1223" s="315"/>
      <c r="AJ1223" s="315"/>
      <c r="AK1223" s="315"/>
      <c r="AL1223" s="410"/>
      <c r="AM1223" s="315"/>
      <c r="AN1223" s="315"/>
      <c r="AO1223" s="315">
        <v>0.4</v>
      </c>
      <c r="AP1223" s="315">
        <v>0.4</v>
      </c>
      <c r="AQ1223" s="410"/>
      <c r="AR1223" s="315">
        <v>0.36</v>
      </c>
      <c r="AS1223" s="315">
        <v>0.35</v>
      </c>
      <c r="AT1223" s="315">
        <v>0.35</v>
      </c>
      <c r="AU1223" s="315">
        <v>0.35</v>
      </c>
      <c r="AV1223" s="410">
        <f t="shared" si="5650"/>
        <v>0.3523632385</v>
      </c>
      <c r="AW1223" s="315">
        <v>0.35</v>
      </c>
      <c r="AX1223" s="315">
        <v>0.35</v>
      </c>
      <c r="AY1223" s="315">
        <v>0.4</v>
      </c>
      <c r="AZ1223" s="315">
        <v>0.42</v>
      </c>
      <c r="BA1223" s="410" t="str">
        <f t="shared" si="5651"/>
        <v>#ERROR!</v>
      </c>
      <c r="BB1223" s="315">
        <v>0.45</v>
      </c>
      <c r="BC1223" s="315">
        <v>0.45</v>
      </c>
      <c r="BD1223" s="315">
        <v>0.45</v>
      </c>
      <c r="BE1223" s="315">
        <v>0.45</v>
      </c>
      <c r="BF1223" s="410" t="str">
        <f t="shared" si="5652"/>
        <v>#ERROR!</v>
      </c>
      <c r="BG1223" s="315">
        <v>0.45</v>
      </c>
      <c r="BH1223" s="315">
        <v>0.45</v>
      </c>
      <c r="BI1223" s="315">
        <v>0.45</v>
      </c>
      <c r="BJ1223" s="315">
        <v>0.45</v>
      </c>
      <c r="BK1223" s="410" t="str">
        <f t="shared" si="5653"/>
        <v>#ERROR!</v>
      </c>
      <c r="BL1223" s="315">
        <v>0.45</v>
      </c>
      <c r="BM1223" s="315">
        <v>0.45</v>
      </c>
      <c r="BN1223" s="315">
        <v>0.45</v>
      </c>
      <c r="BO1223" s="315">
        <v>0.45</v>
      </c>
      <c r="BP1223" s="410" t="str">
        <f t="shared" si="5654"/>
        <v>#ERROR!</v>
      </c>
      <c r="BQ1223" s="315">
        <v>0.45</v>
      </c>
      <c r="BR1223" s="315">
        <v>0.45</v>
      </c>
      <c r="BS1223" s="315">
        <v>0.45</v>
      </c>
      <c r="BT1223" s="315">
        <v>0.45</v>
      </c>
      <c r="BU1223" s="410" t="str">
        <f t="shared" si="5655"/>
        <v>#ERROR!</v>
      </c>
      <c r="BV1223" s="315">
        <v>0.45</v>
      </c>
      <c r="BW1223" s="315">
        <v>0.45</v>
      </c>
      <c r="BX1223" s="315">
        <v>0.45</v>
      </c>
      <c r="BY1223" s="315">
        <v>0.45</v>
      </c>
      <c r="BZ1223" s="24" t="str">
        <f t="shared" si="5656"/>
        <v>#ERROR!</v>
      </c>
      <c r="CA1223" s="315">
        <v>0.45</v>
      </c>
      <c r="CB1223" s="315">
        <v>0.45</v>
      </c>
      <c r="CC1223" s="315">
        <v>0.45</v>
      </c>
      <c r="CD1223" s="315">
        <v>0.45</v>
      </c>
      <c r="CE1223" s="24" t="str">
        <f t="shared" si="5657"/>
        <v>#ERROR!</v>
      </c>
      <c r="CF1223" s="315">
        <v>0.45</v>
      </c>
      <c r="CG1223" s="315">
        <v>0.45</v>
      </c>
      <c r="CH1223" s="315">
        <v>0.45</v>
      </c>
      <c r="CI1223" s="315">
        <v>0.45</v>
      </c>
      <c r="CJ1223" s="24" t="str">
        <f t="shared" si="5658"/>
        <v>#ERROR!</v>
      </c>
      <c r="CK1223" s="315">
        <v>0.45</v>
      </c>
      <c r="CL1223" s="315">
        <v>0.45</v>
      </c>
      <c r="CM1223" s="315">
        <v>0.45</v>
      </c>
      <c r="CN1223" s="365">
        <v>0.45</v>
      </c>
      <c r="CO1223" s="24" t="str">
        <f t="shared" si="5659"/>
        <v>#ERROR!</v>
      </c>
      <c r="CP1223" s="365">
        <v>0.45</v>
      </c>
      <c r="CQ1223" s="315">
        <v>0.45</v>
      </c>
      <c r="CR1223" s="315">
        <v>0.45</v>
      </c>
      <c r="CS1223" s="315">
        <v>0.45</v>
      </c>
      <c r="CT1223" s="24" t="str">
        <f t="shared" si="5660"/>
        <v>#ERROR!</v>
      </c>
      <c r="CU1223" s="315">
        <v>0.45</v>
      </c>
      <c r="CV1223" s="315">
        <v>0.45</v>
      </c>
      <c r="CW1223" s="315">
        <v>0.45</v>
      </c>
      <c r="CX1223" s="315">
        <v>0.45</v>
      </c>
      <c r="CY1223" s="24" t="str">
        <f t="shared" si="5661"/>
        <v>#ERROR!</v>
      </c>
      <c r="CZ1223" s="315">
        <v>0.45</v>
      </c>
      <c r="DA1223" s="315">
        <v>0.45</v>
      </c>
      <c r="DB1223" s="315">
        <v>0.45</v>
      </c>
      <c r="DC1223" s="315">
        <v>0.45</v>
      </c>
      <c r="DD1223" s="24" t="str">
        <f t="shared" si="5662"/>
        <v>#ERROR!</v>
      </c>
      <c r="DE1223" s="315">
        <v>0.45</v>
      </c>
      <c r="DF1223" s="315">
        <v>0.45</v>
      </c>
      <c r="DG1223" s="365">
        <v>0.45</v>
      </c>
      <c r="DH1223" s="315">
        <v>0.45</v>
      </c>
      <c r="DI1223" s="24" t="str">
        <f t="shared" si="5663"/>
        <v>#ERROR!</v>
      </c>
      <c r="DJ1223" s="365">
        <v>0.45</v>
      </c>
      <c r="DK1223" s="365">
        <v>0.45</v>
      </c>
      <c r="DL1223" s="365">
        <v>0.45</v>
      </c>
      <c r="DM1223" s="315">
        <v>0.45</v>
      </c>
      <c r="DN1223" s="24" t="str">
        <f t="shared" si="5664"/>
        <v>#ERROR!</v>
      </c>
      <c r="DO1223" s="315">
        <v>0.45</v>
      </c>
      <c r="DP1223" s="315">
        <v>0.45</v>
      </c>
      <c r="DQ1223" s="315">
        <v>0.45</v>
      </c>
      <c r="DR1223" s="315">
        <v>0.45</v>
      </c>
      <c r="DS1223" s="24" t="str">
        <f t="shared" si="5665"/>
        <v>#ERROR!</v>
      </c>
      <c r="DT1223" s="315">
        <v>0.45</v>
      </c>
      <c r="DU1223" s="315">
        <v>0.45</v>
      </c>
      <c r="DV1223" s="315">
        <v>0.45</v>
      </c>
      <c r="DW1223" s="315">
        <v>0.45</v>
      </c>
      <c r="DX1223" s="24" t="str">
        <f t="shared" si="5666"/>
        <v>#ERROR!</v>
      </c>
      <c r="DY1223" s="315">
        <v>0.45</v>
      </c>
      <c r="DZ1223" s="315">
        <v>0.45</v>
      </c>
      <c r="EA1223" s="315">
        <v>0.45</v>
      </c>
      <c r="EB1223" s="315">
        <v>0.45</v>
      </c>
      <c r="EC1223" s="24" t="str">
        <f t="shared" si="5667"/>
        <v>#ERROR!</v>
      </c>
      <c r="ED1223" s="315">
        <v>0.45</v>
      </c>
      <c r="EE1223" s="315">
        <v>0.45</v>
      </c>
      <c r="EF1223" s="315">
        <v>0.45</v>
      </c>
      <c r="EG1223" s="315">
        <v>0.45</v>
      </c>
      <c r="EH1223" s="24" t="str">
        <f t="shared" si="5668"/>
        <v>#ERROR!</v>
      </c>
      <c r="EI1223" s="314">
        <v>0.45</v>
      </c>
      <c r="EJ1223" s="315">
        <v>0.45</v>
      </c>
      <c r="EK1223" s="315">
        <v>0.45</v>
      </c>
      <c r="EL1223" s="315">
        <v>0.45</v>
      </c>
      <c r="EM1223" s="24" t="str">
        <f t="shared" si="5669"/>
        <v>#ERROR!</v>
      </c>
      <c r="EN1223" s="315">
        <v>0.45</v>
      </c>
      <c r="EO1223" s="315">
        <v>0.45</v>
      </c>
      <c r="EP1223" s="315">
        <v>0.45</v>
      </c>
      <c r="EQ1223" s="315">
        <v>0.45</v>
      </c>
      <c r="ER1223" s="24" t="str">
        <f t="shared" si="5670"/>
        <v>#ERROR!</v>
      </c>
      <c r="ES1223" s="315">
        <v>0.45</v>
      </c>
      <c r="ET1223" s="315">
        <v>0.45</v>
      </c>
      <c r="EU1223" s="315">
        <v>0.45</v>
      </c>
      <c r="EV1223" s="315">
        <v>0.45</v>
      </c>
      <c r="EW1223" s="24" t="str">
        <f t="shared" si="5671"/>
        <v>#ERROR!</v>
      </c>
      <c r="EX1223" s="315">
        <v>0.45</v>
      </c>
      <c r="EY1223" s="315">
        <v>0.45</v>
      </c>
      <c r="EZ1223" s="315">
        <v>0.45</v>
      </c>
      <c r="FA1223" s="315">
        <v>0.45</v>
      </c>
      <c r="FB1223" s="24" t="str">
        <f t="shared" si="5672"/>
        <v>#ERROR!</v>
      </c>
      <c r="FC1223" s="315">
        <v>0.45</v>
      </c>
      <c r="FD1223" s="315">
        <v>0.45</v>
      </c>
      <c r="FE1223" s="315">
        <v>0.45</v>
      </c>
      <c r="FF1223" s="315">
        <v>0.45</v>
      </c>
      <c r="FG1223" s="24" t="str">
        <f t="shared" si="5673"/>
        <v>#ERROR!</v>
      </c>
      <c r="FH1223" s="104"/>
      <c r="FI1223" s="315"/>
      <c r="FJ1223" s="315"/>
      <c r="FK1223" s="410"/>
      <c r="FL1223" s="315"/>
    </row>
    <row r="1224" ht="12.75" hidden="1" customHeight="1" outlineLevel="2">
      <c r="A1224" s="4"/>
      <c r="B1224" s="456" t="str">
        <f t="shared" si="5623"/>
        <v>All other</v>
      </c>
      <c r="C1224" s="4"/>
      <c r="D1224" s="315"/>
      <c r="E1224" s="315"/>
      <c r="F1224" s="315"/>
      <c r="G1224" s="315"/>
      <c r="H1224" s="410"/>
      <c r="I1224" s="315"/>
      <c r="J1224" s="315"/>
      <c r="K1224" s="315"/>
      <c r="L1224" s="315"/>
      <c r="M1224" s="410"/>
      <c r="N1224" s="315"/>
      <c r="O1224" s="315"/>
      <c r="P1224" s="315"/>
      <c r="Q1224" s="315"/>
      <c r="R1224" s="410"/>
      <c r="S1224" s="315"/>
      <c r="T1224" s="315"/>
      <c r="U1224" s="315"/>
      <c r="V1224" s="315"/>
      <c r="W1224" s="410"/>
      <c r="X1224" s="315"/>
      <c r="Y1224" s="315"/>
      <c r="Z1224" s="315"/>
      <c r="AA1224" s="315"/>
      <c r="AB1224" s="410"/>
      <c r="AC1224" s="315"/>
      <c r="AD1224" s="315"/>
      <c r="AE1224" s="315"/>
      <c r="AF1224" s="315"/>
      <c r="AG1224" s="410"/>
      <c r="AH1224" s="315"/>
      <c r="AI1224" s="315"/>
      <c r="AJ1224" s="315"/>
      <c r="AK1224" s="315"/>
      <c r="AL1224" s="410"/>
      <c r="AM1224" s="315"/>
      <c r="AN1224" s="315"/>
      <c r="AO1224" s="315">
        <v>0.3</v>
      </c>
      <c r="AP1224" s="315">
        <v>0.3</v>
      </c>
      <c r="AQ1224" s="410"/>
      <c r="AR1224" s="315">
        <v>0.3</v>
      </c>
      <c r="AS1224" s="315">
        <v>0.3</v>
      </c>
      <c r="AT1224" s="315">
        <v>0.3</v>
      </c>
      <c r="AU1224" s="315">
        <v>0.3</v>
      </c>
      <c r="AV1224" s="410">
        <f t="shared" si="5650"/>
        <v>0.3</v>
      </c>
      <c r="AW1224" s="315">
        <v>0.3</v>
      </c>
      <c r="AX1224" s="315">
        <v>0.3</v>
      </c>
      <c r="AY1224" s="315">
        <v>0.3</v>
      </c>
      <c r="AZ1224" s="315">
        <v>0.3</v>
      </c>
      <c r="BA1224" s="410">
        <f t="shared" si="5651"/>
        <v>0.3</v>
      </c>
      <c r="BB1224" s="315">
        <v>0.3</v>
      </c>
      <c r="BC1224" s="315">
        <v>0.3</v>
      </c>
      <c r="BD1224" s="315">
        <v>0.3</v>
      </c>
      <c r="BE1224" s="315">
        <v>0.3</v>
      </c>
      <c r="BF1224" s="410">
        <f t="shared" si="5652"/>
        <v>0.3</v>
      </c>
      <c r="BG1224" s="315">
        <v>0.3</v>
      </c>
      <c r="BH1224" s="315">
        <v>0.3</v>
      </c>
      <c r="BI1224" s="315">
        <v>0.3</v>
      </c>
      <c r="BJ1224" s="315">
        <v>0.3</v>
      </c>
      <c r="BK1224" s="410">
        <f t="shared" si="5653"/>
        <v>0.3</v>
      </c>
      <c r="BL1224" s="315">
        <v>0.3</v>
      </c>
      <c r="BM1224" s="315">
        <v>0.3</v>
      </c>
      <c r="BN1224" s="315">
        <v>0.3</v>
      </c>
      <c r="BO1224" s="315">
        <v>0.3</v>
      </c>
      <c r="BP1224" s="410">
        <f t="shared" si="5654"/>
        <v>0.3</v>
      </c>
      <c r="BQ1224" s="315">
        <v>0.3</v>
      </c>
      <c r="BR1224" s="315">
        <v>0.3</v>
      </c>
      <c r="BS1224" s="315">
        <v>0.3</v>
      </c>
      <c r="BT1224" s="315">
        <v>0.3</v>
      </c>
      <c r="BU1224" s="410">
        <f t="shared" si="5655"/>
        <v>0.3</v>
      </c>
      <c r="BV1224" s="315">
        <v>0.3</v>
      </c>
      <c r="BW1224" s="315">
        <v>0.3</v>
      </c>
      <c r="BX1224" s="315">
        <v>0.3</v>
      </c>
      <c r="BY1224" s="315">
        <v>0.3</v>
      </c>
      <c r="BZ1224" s="24">
        <f t="shared" si="5656"/>
        <v>0.3</v>
      </c>
      <c r="CA1224" s="315">
        <v>0.3</v>
      </c>
      <c r="CB1224" s="315">
        <v>0.3</v>
      </c>
      <c r="CC1224" s="315">
        <v>0.3</v>
      </c>
      <c r="CD1224" s="315">
        <v>0.3</v>
      </c>
      <c r="CE1224" s="24">
        <f t="shared" si="5657"/>
        <v>0.3</v>
      </c>
      <c r="CF1224" s="315">
        <v>0.3</v>
      </c>
      <c r="CG1224" s="315">
        <v>0.3</v>
      </c>
      <c r="CH1224" s="315">
        <v>0.3</v>
      </c>
      <c r="CI1224" s="315">
        <v>0.3</v>
      </c>
      <c r="CJ1224" s="24">
        <f t="shared" si="5658"/>
        <v>0.3</v>
      </c>
      <c r="CK1224" s="315">
        <v>0.3</v>
      </c>
      <c r="CL1224" s="315">
        <v>0.3</v>
      </c>
      <c r="CM1224" s="315">
        <v>0.3</v>
      </c>
      <c r="CN1224" s="365">
        <v>0.3</v>
      </c>
      <c r="CO1224" s="24">
        <f t="shared" si="5659"/>
        <v>0.3</v>
      </c>
      <c r="CP1224" s="365">
        <v>0.3</v>
      </c>
      <c r="CQ1224" s="315">
        <v>0.3</v>
      </c>
      <c r="CR1224" s="315">
        <v>0.3</v>
      </c>
      <c r="CS1224" s="315">
        <v>0.3</v>
      </c>
      <c r="CT1224" s="24">
        <f t="shared" si="5660"/>
        <v>0.3</v>
      </c>
      <c r="CU1224" s="315">
        <v>0.3</v>
      </c>
      <c r="CV1224" s="315">
        <v>0.3</v>
      </c>
      <c r="CW1224" s="315">
        <v>0.3</v>
      </c>
      <c r="CX1224" s="315">
        <v>0.3</v>
      </c>
      <c r="CY1224" s="24">
        <f t="shared" si="5661"/>
        <v>0.3</v>
      </c>
      <c r="CZ1224" s="315">
        <v>0.3</v>
      </c>
      <c r="DA1224" s="315">
        <v>0.3</v>
      </c>
      <c r="DB1224" s="315">
        <v>0.3</v>
      </c>
      <c r="DC1224" s="315">
        <v>0.3</v>
      </c>
      <c r="DD1224" s="24">
        <f t="shared" si="5662"/>
        <v>0.3</v>
      </c>
      <c r="DE1224" s="315">
        <v>0.3</v>
      </c>
      <c r="DF1224" s="315">
        <v>0.3</v>
      </c>
      <c r="DG1224" s="365">
        <v>0.3</v>
      </c>
      <c r="DH1224" s="315">
        <v>0.3</v>
      </c>
      <c r="DI1224" s="24">
        <f t="shared" si="5663"/>
        <v>0.3</v>
      </c>
      <c r="DJ1224" s="365">
        <v>0.3</v>
      </c>
      <c r="DK1224" s="365">
        <v>0.3</v>
      </c>
      <c r="DL1224" s="365">
        <v>0.3</v>
      </c>
      <c r="DM1224" s="315">
        <v>0.3</v>
      </c>
      <c r="DN1224" s="24">
        <f t="shared" si="5664"/>
        <v>0.3</v>
      </c>
      <c r="DO1224" s="315">
        <v>0.3</v>
      </c>
      <c r="DP1224" s="315">
        <v>0.3</v>
      </c>
      <c r="DQ1224" s="315">
        <v>0.3</v>
      </c>
      <c r="DR1224" s="315">
        <v>0.3</v>
      </c>
      <c r="DS1224" s="24">
        <f t="shared" si="5665"/>
        <v>0.3</v>
      </c>
      <c r="DT1224" s="315">
        <v>0.3</v>
      </c>
      <c r="DU1224" s="315">
        <v>0.3</v>
      </c>
      <c r="DV1224" s="315">
        <v>0.3</v>
      </c>
      <c r="DW1224" s="315">
        <v>0.3</v>
      </c>
      <c r="DX1224" s="24">
        <f t="shared" si="5666"/>
        <v>0.3</v>
      </c>
      <c r="DY1224" s="315">
        <v>0.3</v>
      </c>
      <c r="DZ1224" s="315">
        <v>0.3</v>
      </c>
      <c r="EA1224" s="315">
        <v>0.3</v>
      </c>
      <c r="EB1224" s="315">
        <v>0.3</v>
      </c>
      <c r="EC1224" s="24">
        <f t="shared" si="5667"/>
        <v>0.3</v>
      </c>
      <c r="ED1224" s="315">
        <v>0.3</v>
      </c>
      <c r="EE1224" s="315">
        <v>0.3</v>
      </c>
      <c r="EF1224" s="315">
        <v>0.3</v>
      </c>
      <c r="EG1224" s="315">
        <v>0.3</v>
      </c>
      <c r="EH1224" s="24">
        <f t="shared" si="5668"/>
        <v>0.3</v>
      </c>
      <c r="EI1224" s="314">
        <v>0.3</v>
      </c>
      <c r="EJ1224" s="315">
        <v>0.3</v>
      </c>
      <c r="EK1224" s="315">
        <v>0.3</v>
      </c>
      <c r="EL1224" s="315">
        <v>0.3</v>
      </c>
      <c r="EM1224" s="24">
        <f t="shared" si="5669"/>
        <v>0.3</v>
      </c>
      <c r="EN1224" s="315">
        <v>0.3</v>
      </c>
      <c r="EO1224" s="315">
        <v>0.3</v>
      </c>
      <c r="EP1224" s="315">
        <v>0.3</v>
      </c>
      <c r="EQ1224" s="315">
        <v>0.3</v>
      </c>
      <c r="ER1224" s="24">
        <f t="shared" si="5670"/>
        <v>0.3</v>
      </c>
      <c r="ES1224" s="315">
        <v>0.3</v>
      </c>
      <c r="ET1224" s="315">
        <v>0.3</v>
      </c>
      <c r="EU1224" s="315">
        <v>0.3</v>
      </c>
      <c r="EV1224" s="315">
        <v>0.3</v>
      </c>
      <c r="EW1224" s="24">
        <f t="shared" si="5671"/>
        <v>0.3</v>
      </c>
      <c r="EX1224" s="315">
        <v>0.3</v>
      </c>
      <c r="EY1224" s="315">
        <v>0.3</v>
      </c>
      <c r="EZ1224" s="315">
        <v>0.3</v>
      </c>
      <c r="FA1224" s="315">
        <v>0.3</v>
      </c>
      <c r="FB1224" s="24">
        <f t="shared" si="5672"/>
        <v>0.3</v>
      </c>
      <c r="FC1224" s="315">
        <v>0.3</v>
      </c>
      <c r="FD1224" s="315">
        <v>0.3</v>
      </c>
      <c r="FE1224" s="315">
        <v>0.3</v>
      </c>
      <c r="FF1224" s="315">
        <v>0.3</v>
      </c>
      <c r="FG1224" s="24">
        <f t="shared" si="5673"/>
        <v>0.3</v>
      </c>
      <c r="FH1224" s="104"/>
      <c r="FI1224" s="315"/>
      <c r="FJ1224" s="315"/>
      <c r="FK1224" s="410"/>
      <c r="FL1224" s="315"/>
    </row>
    <row r="1225" ht="12.75" hidden="1" customHeight="1" outlineLevel="2">
      <c r="A1225" s="15"/>
      <c r="B1225" s="456" t="str">
        <f t="shared" si="5623"/>
        <v>ICG/All other</v>
      </c>
      <c r="C1225" s="15"/>
      <c r="D1225" s="15"/>
      <c r="E1225" s="15"/>
      <c r="F1225" s="15"/>
      <c r="G1225" s="15"/>
      <c r="H1225" s="309"/>
      <c r="I1225" s="15"/>
      <c r="J1225" s="15"/>
      <c r="K1225" s="15"/>
      <c r="L1225" s="15"/>
      <c r="M1225" s="309"/>
      <c r="N1225" s="15"/>
      <c r="O1225" s="15"/>
      <c r="P1225" s="15"/>
      <c r="Q1225" s="15"/>
      <c r="R1225" s="309"/>
      <c r="S1225" s="15"/>
      <c r="T1225" s="15"/>
      <c r="U1225" s="15"/>
      <c r="V1225" s="15"/>
      <c r="W1225" s="309"/>
      <c r="X1225" s="15"/>
      <c r="Y1225" s="15"/>
      <c r="Z1225" s="15"/>
      <c r="AA1225" s="15"/>
      <c r="AB1225" s="309"/>
      <c r="AC1225" s="15"/>
      <c r="AD1225" s="15"/>
      <c r="AE1225" s="15"/>
      <c r="AF1225" s="15"/>
      <c r="AG1225" s="309"/>
      <c r="AH1225" s="15"/>
      <c r="AI1225" s="15"/>
      <c r="AJ1225" s="15"/>
      <c r="AK1225" s="15"/>
      <c r="AL1225" s="309"/>
      <c r="AM1225" s="15"/>
      <c r="AN1225" s="15"/>
      <c r="AO1225" s="15">
        <f t="shared" ref="AO1225:AP1225" si="5674">AO1238/AO1213</f>
        <v>0.6888073394</v>
      </c>
      <c r="AP1225" s="15">
        <f t="shared" si="5674"/>
        <v>0.7106489185</v>
      </c>
      <c r="AQ1225" s="309"/>
      <c r="AR1225" s="15">
        <f t="shared" ref="AR1225:FG1225" si="5675">AR1238/AR1213</f>
        <v>0.3755909944</v>
      </c>
      <c r="AS1225" s="15">
        <f t="shared" si="5675"/>
        <v>0.3958823529</v>
      </c>
      <c r="AT1225" s="15">
        <f t="shared" si="5675"/>
        <v>0.2923405851</v>
      </c>
      <c r="AU1225" s="15">
        <f t="shared" si="5675"/>
        <v>0.312251462</v>
      </c>
      <c r="AV1225" s="309">
        <f t="shared" si="5675"/>
        <v>0.3523632385</v>
      </c>
      <c r="AW1225" s="15" t="str">
        <f t="shared" si="5675"/>
        <v>#ERROR!</v>
      </c>
      <c r="AX1225" s="15" t="str">
        <f t="shared" si="5675"/>
        <v>#ERROR!</v>
      </c>
      <c r="AY1225" s="15" t="str">
        <f t="shared" si="5675"/>
        <v>#ERROR!</v>
      </c>
      <c r="AZ1225" s="15" t="str">
        <f t="shared" si="5675"/>
        <v>#ERROR!</v>
      </c>
      <c r="BA1225" s="309" t="str">
        <f t="shared" si="5675"/>
        <v>#ERROR!</v>
      </c>
      <c r="BB1225" s="15" t="str">
        <f t="shared" si="5675"/>
        <v>#ERROR!</v>
      </c>
      <c r="BC1225" s="15" t="str">
        <f t="shared" si="5675"/>
        <v>#ERROR!</v>
      </c>
      <c r="BD1225" s="15" t="str">
        <f t="shared" si="5675"/>
        <v>#ERROR!</v>
      </c>
      <c r="BE1225" s="15" t="str">
        <f t="shared" si="5675"/>
        <v>#ERROR!</v>
      </c>
      <c r="BF1225" s="309" t="str">
        <f t="shared" si="5675"/>
        <v>#ERROR!</v>
      </c>
      <c r="BG1225" s="15" t="str">
        <f t="shared" si="5675"/>
        <v>#ERROR!</v>
      </c>
      <c r="BH1225" s="15" t="str">
        <f t="shared" si="5675"/>
        <v>#ERROR!</v>
      </c>
      <c r="BI1225" s="15" t="str">
        <f t="shared" si="5675"/>
        <v>#ERROR!</v>
      </c>
      <c r="BJ1225" s="15" t="str">
        <f t="shared" si="5675"/>
        <v>#ERROR!</v>
      </c>
      <c r="BK1225" s="309" t="str">
        <f t="shared" si="5675"/>
        <v>#ERROR!</v>
      </c>
      <c r="BL1225" s="15" t="str">
        <f t="shared" si="5675"/>
        <v>#ERROR!</v>
      </c>
      <c r="BM1225" s="15" t="str">
        <f t="shared" si="5675"/>
        <v>#ERROR!</v>
      </c>
      <c r="BN1225" s="15" t="str">
        <f t="shared" si="5675"/>
        <v>#ERROR!</v>
      </c>
      <c r="BO1225" s="15" t="str">
        <f t="shared" si="5675"/>
        <v>#ERROR!</v>
      </c>
      <c r="BP1225" s="309" t="str">
        <f t="shared" si="5675"/>
        <v>#ERROR!</v>
      </c>
      <c r="BQ1225" s="15" t="str">
        <f t="shared" si="5675"/>
        <v>#ERROR!</v>
      </c>
      <c r="BR1225" s="15" t="str">
        <f t="shared" si="5675"/>
        <v>#ERROR!</v>
      </c>
      <c r="BS1225" s="15">
        <f t="shared" si="5675"/>
        <v>0.4199776231</v>
      </c>
      <c r="BT1225" s="15" t="str">
        <f t="shared" si="5675"/>
        <v>#ERROR!</v>
      </c>
      <c r="BU1225" s="309" t="str">
        <f t="shared" si="5675"/>
        <v>#ERROR!</v>
      </c>
      <c r="BV1225" s="15" t="str">
        <f t="shared" si="5675"/>
        <v>#ERROR!</v>
      </c>
      <c r="BW1225" s="15" t="str">
        <f t="shared" si="5675"/>
        <v>#ERROR!</v>
      </c>
      <c r="BX1225" s="15" t="str">
        <f t="shared" si="5675"/>
        <v>#ERROR!</v>
      </c>
      <c r="BY1225" s="15" t="str">
        <f t="shared" si="5675"/>
        <v>#ERROR!</v>
      </c>
      <c r="BZ1225" s="37" t="str">
        <f t="shared" si="5675"/>
        <v>#ERROR!</v>
      </c>
      <c r="CA1225" s="15" t="str">
        <f t="shared" si="5675"/>
        <v>#ERROR!</v>
      </c>
      <c r="CB1225" s="15" t="str">
        <f t="shared" si="5675"/>
        <v>#ERROR!</v>
      </c>
      <c r="CC1225" s="15" t="str">
        <f t="shared" si="5675"/>
        <v>#ERROR!</v>
      </c>
      <c r="CD1225" s="15" t="str">
        <f t="shared" si="5675"/>
        <v>#ERROR!</v>
      </c>
      <c r="CE1225" s="37" t="str">
        <f t="shared" si="5675"/>
        <v>#ERROR!</v>
      </c>
      <c r="CF1225" s="15" t="str">
        <f t="shared" si="5675"/>
        <v>#ERROR!</v>
      </c>
      <c r="CG1225" s="15" t="str">
        <f t="shared" si="5675"/>
        <v>#ERROR!</v>
      </c>
      <c r="CH1225" s="15" t="str">
        <f t="shared" si="5675"/>
        <v>#ERROR!</v>
      </c>
      <c r="CI1225" s="15" t="str">
        <f t="shared" si="5675"/>
        <v>#ERROR!</v>
      </c>
      <c r="CJ1225" s="37" t="str">
        <f t="shared" si="5675"/>
        <v>#ERROR!</v>
      </c>
      <c r="CK1225" s="15" t="str">
        <f t="shared" si="5675"/>
        <v>#ERROR!</v>
      </c>
      <c r="CL1225" s="15" t="str">
        <f t="shared" si="5675"/>
        <v>#ERROR!</v>
      </c>
      <c r="CM1225" s="15" t="str">
        <f t="shared" si="5675"/>
        <v>#ERROR!</v>
      </c>
      <c r="CN1225" s="40" t="str">
        <f t="shared" si="5675"/>
        <v>#ERROR!</v>
      </c>
      <c r="CO1225" s="37" t="str">
        <f t="shared" si="5675"/>
        <v>#ERROR!</v>
      </c>
      <c r="CP1225" s="40" t="str">
        <f t="shared" si="5675"/>
        <v>#ERROR!</v>
      </c>
      <c r="CQ1225" s="15" t="str">
        <f t="shared" si="5675"/>
        <v>#ERROR!</v>
      </c>
      <c r="CR1225" s="15" t="str">
        <f t="shared" si="5675"/>
        <v>#ERROR!</v>
      </c>
      <c r="CS1225" s="15" t="str">
        <f t="shared" si="5675"/>
        <v>#ERROR!</v>
      </c>
      <c r="CT1225" s="37" t="str">
        <f t="shared" si="5675"/>
        <v>#ERROR!</v>
      </c>
      <c r="CU1225" s="15" t="str">
        <f t="shared" si="5675"/>
        <v>#ERROR!</v>
      </c>
      <c r="CV1225" s="15" t="str">
        <f t="shared" si="5675"/>
        <v>#ERROR!</v>
      </c>
      <c r="CW1225" s="15" t="str">
        <f t="shared" si="5675"/>
        <v>#ERROR!</v>
      </c>
      <c r="CX1225" s="15" t="str">
        <f t="shared" si="5675"/>
        <v>#ERROR!</v>
      </c>
      <c r="CY1225" s="37" t="str">
        <f t="shared" si="5675"/>
        <v>#ERROR!</v>
      </c>
      <c r="CZ1225" s="15" t="str">
        <f t="shared" si="5675"/>
        <v>#ERROR!</v>
      </c>
      <c r="DA1225" s="15" t="str">
        <f t="shared" si="5675"/>
        <v>#ERROR!</v>
      </c>
      <c r="DB1225" s="15" t="str">
        <f t="shared" si="5675"/>
        <v>#ERROR!</v>
      </c>
      <c r="DC1225" s="15" t="str">
        <f t="shared" si="5675"/>
        <v>#ERROR!</v>
      </c>
      <c r="DD1225" s="37" t="str">
        <f t="shared" si="5675"/>
        <v>#ERROR!</v>
      </c>
      <c r="DE1225" s="15" t="str">
        <f t="shared" si="5675"/>
        <v>#ERROR!</v>
      </c>
      <c r="DF1225" s="15" t="str">
        <f t="shared" si="5675"/>
        <v>#ERROR!</v>
      </c>
      <c r="DG1225" s="40" t="str">
        <f t="shared" si="5675"/>
        <v>#ERROR!</v>
      </c>
      <c r="DH1225" s="15" t="str">
        <f t="shared" si="5675"/>
        <v>#ERROR!</v>
      </c>
      <c r="DI1225" s="37" t="str">
        <f t="shared" si="5675"/>
        <v>#ERROR!</v>
      </c>
      <c r="DJ1225" s="40" t="str">
        <f t="shared" si="5675"/>
        <v>#ERROR!</v>
      </c>
      <c r="DK1225" s="40" t="str">
        <f t="shared" si="5675"/>
        <v>#ERROR!</v>
      </c>
      <c r="DL1225" s="40" t="str">
        <f t="shared" si="5675"/>
        <v>#ERROR!</v>
      </c>
      <c r="DM1225" s="15" t="str">
        <f t="shared" si="5675"/>
        <v>#ERROR!</v>
      </c>
      <c r="DN1225" s="37" t="str">
        <f t="shared" si="5675"/>
        <v>#ERROR!</v>
      </c>
      <c r="DO1225" s="15" t="str">
        <f t="shared" si="5675"/>
        <v>#ERROR!</v>
      </c>
      <c r="DP1225" s="15" t="str">
        <f t="shared" si="5675"/>
        <v>#ERROR!</v>
      </c>
      <c r="DQ1225" s="15" t="str">
        <f t="shared" si="5675"/>
        <v>#ERROR!</v>
      </c>
      <c r="DR1225" s="15" t="str">
        <f t="shared" si="5675"/>
        <v>#ERROR!</v>
      </c>
      <c r="DS1225" s="37" t="str">
        <f t="shared" si="5675"/>
        <v>#ERROR!</v>
      </c>
      <c r="DT1225" s="15" t="str">
        <f t="shared" si="5675"/>
        <v>#ERROR!</v>
      </c>
      <c r="DU1225" s="15" t="str">
        <f t="shared" si="5675"/>
        <v>#ERROR!</v>
      </c>
      <c r="DV1225" s="15" t="str">
        <f t="shared" si="5675"/>
        <v>#ERROR!</v>
      </c>
      <c r="DW1225" s="15" t="str">
        <f t="shared" si="5675"/>
        <v>#ERROR!</v>
      </c>
      <c r="DX1225" s="37" t="str">
        <f t="shared" si="5675"/>
        <v>#ERROR!</v>
      </c>
      <c r="DY1225" s="15" t="str">
        <f t="shared" si="5675"/>
        <v>#ERROR!</v>
      </c>
      <c r="DZ1225" s="15" t="str">
        <f t="shared" si="5675"/>
        <v>#ERROR!</v>
      </c>
      <c r="EA1225" s="15" t="str">
        <f t="shared" si="5675"/>
        <v>#ERROR!</v>
      </c>
      <c r="EB1225" s="15" t="str">
        <f t="shared" si="5675"/>
        <v>#ERROR!</v>
      </c>
      <c r="EC1225" s="37" t="str">
        <f t="shared" si="5675"/>
        <v>#ERROR!</v>
      </c>
      <c r="ED1225" s="15" t="str">
        <f t="shared" si="5675"/>
        <v>#ERROR!</v>
      </c>
      <c r="EE1225" s="15" t="str">
        <f t="shared" si="5675"/>
        <v>#ERROR!</v>
      </c>
      <c r="EF1225" s="15" t="str">
        <f t="shared" si="5675"/>
        <v>#ERROR!</v>
      </c>
      <c r="EG1225" s="15" t="str">
        <f t="shared" si="5675"/>
        <v>#ERROR!</v>
      </c>
      <c r="EH1225" s="37" t="str">
        <f t="shared" si="5675"/>
        <v>#ERROR!</v>
      </c>
      <c r="EI1225" s="82" t="str">
        <f t="shared" si="5675"/>
        <v>#ERROR!</v>
      </c>
      <c r="EJ1225" s="15" t="str">
        <f t="shared" si="5675"/>
        <v>#ERROR!</v>
      </c>
      <c r="EK1225" s="15" t="str">
        <f t="shared" si="5675"/>
        <v>#ERROR!</v>
      </c>
      <c r="EL1225" s="15" t="str">
        <f t="shared" si="5675"/>
        <v>#ERROR!</v>
      </c>
      <c r="EM1225" s="37" t="str">
        <f t="shared" si="5675"/>
        <v>#ERROR!</v>
      </c>
      <c r="EN1225" s="15" t="str">
        <f t="shared" si="5675"/>
        <v>#ERROR!</v>
      </c>
      <c r="EO1225" s="15" t="str">
        <f t="shared" si="5675"/>
        <v>#ERROR!</v>
      </c>
      <c r="EP1225" s="15" t="str">
        <f t="shared" si="5675"/>
        <v>#ERROR!</v>
      </c>
      <c r="EQ1225" s="15" t="str">
        <f t="shared" si="5675"/>
        <v>#ERROR!</v>
      </c>
      <c r="ER1225" s="37" t="str">
        <f t="shared" si="5675"/>
        <v>#ERROR!</v>
      </c>
      <c r="ES1225" s="15" t="str">
        <f t="shared" si="5675"/>
        <v>#ERROR!</v>
      </c>
      <c r="ET1225" s="15" t="str">
        <f t="shared" si="5675"/>
        <v>#ERROR!</v>
      </c>
      <c r="EU1225" s="15" t="str">
        <f t="shared" si="5675"/>
        <v>#ERROR!</v>
      </c>
      <c r="EV1225" s="15" t="str">
        <f t="shared" si="5675"/>
        <v>#ERROR!</v>
      </c>
      <c r="EW1225" s="37" t="str">
        <f t="shared" si="5675"/>
        <v>#ERROR!</v>
      </c>
      <c r="EX1225" s="15" t="str">
        <f t="shared" si="5675"/>
        <v>#ERROR!</v>
      </c>
      <c r="EY1225" s="15" t="str">
        <f t="shared" si="5675"/>
        <v>#ERROR!</v>
      </c>
      <c r="EZ1225" s="15" t="str">
        <f t="shared" si="5675"/>
        <v>#ERROR!</v>
      </c>
      <c r="FA1225" s="15" t="str">
        <f t="shared" si="5675"/>
        <v>#ERROR!</v>
      </c>
      <c r="FB1225" s="37" t="str">
        <f t="shared" si="5675"/>
        <v>#ERROR!</v>
      </c>
      <c r="FC1225" s="15" t="str">
        <f t="shared" si="5675"/>
        <v>#ERROR!</v>
      </c>
      <c r="FD1225" s="15" t="str">
        <f t="shared" si="5675"/>
        <v>#ERROR!</v>
      </c>
      <c r="FE1225" s="15" t="str">
        <f t="shared" si="5675"/>
        <v>#ERROR!</v>
      </c>
      <c r="FF1225" s="15" t="str">
        <f t="shared" si="5675"/>
        <v>#ERROR!</v>
      </c>
      <c r="FG1225" s="37" t="str">
        <f t="shared" si="5675"/>
        <v>#ERROR!</v>
      </c>
      <c r="FH1225" s="35"/>
      <c r="FI1225" s="15"/>
      <c r="FJ1225" s="15"/>
      <c r="FK1225" s="309"/>
      <c r="FL1225" s="15"/>
    </row>
    <row r="1226" ht="13.5" hidden="1" customHeight="1" outlineLevel="2">
      <c r="A1226" s="410"/>
      <c r="B1226" s="596" t="s">
        <v>291</v>
      </c>
      <c r="C1226" s="596"/>
      <c r="D1226" s="596"/>
      <c r="E1226" s="596"/>
      <c r="F1226" s="596"/>
      <c r="G1226" s="596"/>
      <c r="H1226" s="596"/>
      <c r="I1226" s="596"/>
      <c r="J1226" s="596"/>
      <c r="K1226" s="596"/>
      <c r="L1226" s="596"/>
      <c r="M1226" s="596"/>
      <c r="N1226" s="596"/>
      <c r="O1226" s="596"/>
      <c r="P1226" s="596"/>
      <c r="Q1226" s="596"/>
      <c r="R1226" s="596"/>
      <c r="S1226" s="596"/>
      <c r="T1226" s="596"/>
      <c r="U1226" s="596"/>
      <c r="V1226" s="596"/>
      <c r="W1226" s="596"/>
      <c r="X1226" s="596"/>
      <c r="Y1226" s="596"/>
      <c r="Z1226" s="596"/>
      <c r="AA1226" s="596"/>
      <c r="AB1226" s="596"/>
      <c r="AC1226" s="596"/>
      <c r="AD1226" s="596"/>
      <c r="AE1226" s="596"/>
      <c r="AF1226" s="596"/>
      <c r="AG1226" s="596"/>
      <c r="AH1226" s="596"/>
      <c r="AI1226" s="596"/>
      <c r="AJ1226" s="596"/>
      <c r="AK1226" s="596"/>
      <c r="AL1226" s="596"/>
      <c r="AM1226" s="596"/>
      <c r="AN1226" s="596"/>
      <c r="AO1226" s="596">
        <f t="shared" ref="AO1226:AP1226" si="5676">AO1239/AO1214</f>
        <v>0.5805423902</v>
      </c>
      <c r="AP1226" s="596">
        <f t="shared" si="5676"/>
        <v>0.6285341273</v>
      </c>
      <c r="AQ1226" s="596"/>
      <c r="AR1226" s="596" t="str">
        <f t="shared" ref="AR1226:FG1226" si="5677">AR1239/AR1214</f>
        <v>#ERROR!</v>
      </c>
      <c r="AS1226" s="596" t="str">
        <f t="shared" si="5677"/>
        <v>#ERROR!</v>
      </c>
      <c r="AT1226" s="596" t="str">
        <f t="shared" si="5677"/>
        <v>#ERROR!</v>
      </c>
      <c r="AU1226" s="596" t="str">
        <f t="shared" si="5677"/>
        <v>#ERROR!</v>
      </c>
      <c r="AV1226" s="596" t="str">
        <f t="shared" si="5677"/>
        <v>#ERROR!</v>
      </c>
      <c r="AW1226" s="596" t="str">
        <f t="shared" si="5677"/>
        <v>#ERROR!</v>
      </c>
      <c r="AX1226" s="596" t="str">
        <f t="shared" si="5677"/>
        <v>#ERROR!</v>
      </c>
      <c r="AY1226" s="596" t="str">
        <f t="shared" si="5677"/>
        <v>#ERROR!</v>
      </c>
      <c r="AZ1226" s="596" t="str">
        <f t="shared" si="5677"/>
        <v>#ERROR!</v>
      </c>
      <c r="BA1226" s="596" t="str">
        <f t="shared" si="5677"/>
        <v>#ERROR!</v>
      </c>
      <c r="BB1226" s="596" t="str">
        <f t="shared" si="5677"/>
        <v>#ERROR!</v>
      </c>
      <c r="BC1226" s="596" t="str">
        <f t="shared" si="5677"/>
        <v>#ERROR!</v>
      </c>
      <c r="BD1226" s="596" t="str">
        <f t="shared" si="5677"/>
        <v>#ERROR!</v>
      </c>
      <c r="BE1226" s="596" t="str">
        <f t="shared" si="5677"/>
        <v>#ERROR!</v>
      </c>
      <c r="BF1226" s="596" t="str">
        <f t="shared" si="5677"/>
        <v>#ERROR!</v>
      </c>
      <c r="BG1226" s="596" t="str">
        <f t="shared" si="5677"/>
        <v>#ERROR!</v>
      </c>
      <c r="BH1226" s="596" t="str">
        <f t="shared" si="5677"/>
        <v>#ERROR!</v>
      </c>
      <c r="BI1226" s="596" t="str">
        <f t="shared" si="5677"/>
        <v>#ERROR!</v>
      </c>
      <c r="BJ1226" s="596" t="str">
        <f t="shared" si="5677"/>
        <v>#ERROR!</v>
      </c>
      <c r="BK1226" s="596" t="str">
        <f t="shared" si="5677"/>
        <v>#ERROR!</v>
      </c>
      <c r="BL1226" s="596" t="str">
        <f t="shared" si="5677"/>
        <v>#ERROR!</v>
      </c>
      <c r="BM1226" s="596" t="str">
        <f t="shared" si="5677"/>
        <v>#ERROR!</v>
      </c>
      <c r="BN1226" s="596" t="str">
        <f t="shared" si="5677"/>
        <v>#ERROR!</v>
      </c>
      <c r="BO1226" s="596" t="str">
        <f t="shared" si="5677"/>
        <v>#ERROR!</v>
      </c>
      <c r="BP1226" s="596" t="str">
        <f t="shared" si="5677"/>
        <v>#ERROR!</v>
      </c>
      <c r="BQ1226" s="596" t="str">
        <f t="shared" si="5677"/>
        <v>#ERROR!</v>
      </c>
      <c r="BR1226" s="596" t="str">
        <f t="shared" si="5677"/>
        <v>#ERROR!</v>
      </c>
      <c r="BS1226" s="596" t="str">
        <f t="shared" si="5677"/>
        <v>#ERROR!</v>
      </c>
      <c r="BT1226" s="596" t="str">
        <f t="shared" si="5677"/>
        <v>#ERROR!</v>
      </c>
      <c r="BU1226" s="596" t="str">
        <f t="shared" si="5677"/>
        <v>#ERROR!</v>
      </c>
      <c r="BV1226" s="596" t="str">
        <f t="shared" si="5677"/>
        <v>#ERROR!</v>
      </c>
      <c r="BW1226" s="596" t="str">
        <f t="shared" si="5677"/>
        <v>#ERROR!</v>
      </c>
      <c r="BX1226" s="596" t="str">
        <f t="shared" si="5677"/>
        <v>#ERROR!</v>
      </c>
      <c r="BY1226" s="596" t="str">
        <f t="shared" si="5677"/>
        <v>#ERROR!</v>
      </c>
      <c r="BZ1226" s="597" t="str">
        <f t="shared" si="5677"/>
        <v>#ERROR!</v>
      </c>
      <c r="CA1226" s="596" t="str">
        <f t="shared" si="5677"/>
        <v>#ERROR!</v>
      </c>
      <c r="CB1226" s="596" t="str">
        <f t="shared" si="5677"/>
        <v>#ERROR!</v>
      </c>
      <c r="CC1226" s="596" t="str">
        <f t="shared" si="5677"/>
        <v>#ERROR!</v>
      </c>
      <c r="CD1226" s="596" t="str">
        <f t="shared" si="5677"/>
        <v>#ERROR!</v>
      </c>
      <c r="CE1226" s="597" t="str">
        <f t="shared" si="5677"/>
        <v>#ERROR!</v>
      </c>
      <c r="CF1226" s="596" t="str">
        <f t="shared" si="5677"/>
        <v>#ERROR!</v>
      </c>
      <c r="CG1226" s="596" t="str">
        <f t="shared" si="5677"/>
        <v>#ERROR!</v>
      </c>
      <c r="CH1226" s="596" t="str">
        <f t="shared" si="5677"/>
        <v>#ERROR!</v>
      </c>
      <c r="CI1226" s="596" t="str">
        <f t="shared" si="5677"/>
        <v>#ERROR!</v>
      </c>
      <c r="CJ1226" s="597" t="str">
        <f t="shared" si="5677"/>
        <v>#ERROR!</v>
      </c>
      <c r="CK1226" s="596" t="str">
        <f t="shared" si="5677"/>
        <v>#ERROR!</v>
      </c>
      <c r="CL1226" s="596" t="str">
        <f t="shared" si="5677"/>
        <v>#ERROR!</v>
      </c>
      <c r="CM1226" s="596" t="str">
        <f t="shared" si="5677"/>
        <v>#ERROR!</v>
      </c>
      <c r="CN1226" s="595" t="str">
        <f t="shared" si="5677"/>
        <v>#ERROR!</v>
      </c>
      <c r="CO1226" s="597" t="str">
        <f t="shared" si="5677"/>
        <v>#ERROR!</v>
      </c>
      <c r="CP1226" s="595" t="str">
        <f t="shared" si="5677"/>
        <v>#ERROR!</v>
      </c>
      <c r="CQ1226" s="596" t="str">
        <f t="shared" si="5677"/>
        <v>#ERROR!</v>
      </c>
      <c r="CR1226" s="596" t="str">
        <f t="shared" si="5677"/>
        <v>#ERROR!</v>
      </c>
      <c r="CS1226" s="596" t="str">
        <f t="shared" si="5677"/>
        <v>#ERROR!</v>
      </c>
      <c r="CT1226" s="597" t="str">
        <f t="shared" si="5677"/>
        <v>#ERROR!</v>
      </c>
      <c r="CU1226" s="596" t="str">
        <f t="shared" si="5677"/>
        <v>#ERROR!</v>
      </c>
      <c r="CV1226" s="596" t="str">
        <f t="shared" si="5677"/>
        <v>#ERROR!</v>
      </c>
      <c r="CW1226" s="596" t="str">
        <f t="shared" si="5677"/>
        <v>#ERROR!</v>
      </c>
      <c r="CX1226" s="596" t="str">
        <f t="shared" si="5677"/>
        <v>#ERROR!</v>
      </c>
      <c r="CY1226" s="597" t="str">
        <f t="shared" si="5677"/>
        <v>#ERROR!</v>
      </c>
      <c r="CZ1226" s="596" t="str">
        <f t="shared" si="5677"/>
        <v>#ERROR!</v>
      </c>
      <c r="DA1226" s="596" t="str">
        <f t="shared" si="5677"/>
        <v>#ERROR!</v>
      </c>
      <c r="DB1226" s="596" t="str">
        <f t="shared" si="5677"/>
        <v>#ERROR!</v>
      </c>
      <c r="DC1226" s="596" t="str">
        <f t="shared" si="5677"/>
        <v>#ERROR!</v>
      </c>
      <c r="DD1226" s="597" t="str">
        <f t="shared" si="5677"/>
        <v>#ERROR!</v>
      </c>
      <c r="DE1226" s="596" t="str">
        <f t="shared" si="5677"/>
        <v>#ERROR!</v>
      </c>
      <c r="DF1226" s="596" t="str">
        <f t="shared" si="5677"/>
        <v>#ERROR!</v>
      </c>
      <c r="DG1226" s="104" t="str">
        <f t="shared" si="5677"/>
        <v>#ERROR!</v>
      </c>
      <c r="DH1226" s="596" t="str">
        <f t="shared" si="5677"/>
        <v>#ERROR!</v>
      </c>
      <c r="DI1226" s="597" t="str">
        <f t="shared" si="5677"/>
        <v>#ERROR!</v>
      </c>
      <c r="DJ1226" s="595" t="str">
        <f t="shared" si="5677"/>
        <v>#ERROR!</v>
      </c>
      <c r="DK1226" s="595" t="str">
        <f t="shared" si="5677"/>
        <v>#ERROR!</v>
      </c>
      <c r="DL1226" s="595" t="str">
        <f t="shared" si="5677"/>
        <v>#ERROR!</v>
      </c>
      <c r="DM1226" s="596" t="str">
        <f t="shared" si="5677"/>
        <v>#ERROR!</v>
      </c>
      <c r="DN1226" s="597" t="str">
        <f t="shared" si="5677"/>
        <v>#ERROR!</v>
      </c>
      <c r="DO1226" s="596" t="str">
        <f t="shared" si="5677"/>
        <v>#ERROR!</v>
      </c>
      <c r="DP1226" s="596" t="str">
        <f t="shared" si="5677"/>
        <v>#ERROR!</v>
      </c>
      <c r="DQ1226" s="596" t="str">
        <f t="shared" si="5677"/>
        <v>#ERROR!</v>
      </c>
      <c r="DR1226" s="596" t="str">
        <f t="shared" si="5677"/>
        <v>#ERROR!</v>
      </c>
      <c r="DS1226" s="597" t="str">
        <f t="shared" si="5677"/>
        <v>#ERROR!</v>
      </c>
      <c r="DT1226" s="596" t="str">
        <f t="shared" si="5677"/>
        <v>#ERROR!</v>
      </c>
      <c r="DU1226" s="596" t="str">
        <f t="shared" si="5677"/>
        <v>#ERROR!</v>
      </c>
      <c r="DV1226" s="596" t="str">
        <f t="shared" si="5677"/>
        <v>#ERROR!</v>
      </c>
      <c r="DW1226" s="596" t="str">
        <f t="shared" si="5677"/>
        <v>#ERROR!</v>
      </c>
      <c r="DX1226" s="597" t="str">
        <f t="shared" si="5677"/>
        <v>#ERROR!</v>
      </c>
      <c r="DY1226" s="596" t="str">
        <f t="shared" si="5677"/>
        <v>#ERROR!</v>
      </c>
      <c r="DZ1226" s="596" t="str">
        <f t="shared" si="5677"/>
        <v>#ERROR!</v>
      </c>
      <c r="EA1226" s="596" t="str">
        <f t="shared" si="5677"/>
        <v>#ERROR!</v>
      </c>
      <c r="EB1226" s="596" t="str">
        <f t="shared" si="5677"/>
        <v>#ERROR!</v>
      </c>
      <c r="EC1226" s="597" t="str">
        <f t="shared" si="5677"/>
        <v>#ERROR!</v>
      </c>
      <c r="ED1226" s="596" t="str">
        <f t="shared" si="5677"/>
        <v>#ERROR!</v>
      </c>
      <c r="EE1226" s="596" t="str">
        <f t="shared" si="5677"/>
        <v>#ERROR!</v>
      </c>
      <c r="EF1226" s="596" t="str">
        <f t="shared" si="5677"/>
        <v>#ERROR!</v>
      </c>
      <c r="EG1226" s="596" t="str">
        <f t="shared" si="5677"/>
        <v>#ERROR!</v>
      </c>
      <c r="EH1226" s="597" t="str">
        <f t="shared" si="5677"/>
        <v>#ERROR!</v>
      </c>
      <c r="EI1226" s="598" t="str">
        <f t="shared" si="5677"/>
        <v>#ERROR!</v>
      </c>
      <c r="EJ1226" s="596" t="str">
        <f t="shared" si="5677"/>
        <v>#ERROR!</v>
      </c>
      <c r="EK1226" s="596" t="str">
        <f t="shared" si="5677"/>
        <v>#ERROR!</v>
      </c>
      <c r="EL1226" s="596" t="str">
        <f t="shared" si="5677"/>
        <v>#ERROR!</v>
      </c>
      <c r="EM1226" s="597" t="str">
        <f t="shared" si="5677"/>
        <v>#ERROR!</v>
      </c>
      <c r="EN1226" s="596" t="str">
        <f t="shared" si="5677"/>
        <v>#ERROR!</v>
      </c>
      <c r="EO1226" s="596" t="str">
        <f t="shared" si="5677"/>
        <v>#ERROR!</v>
      </c>
      <c r="EP1226" s="596" t="str">
        <f t="shared" si="5677"/>
        <v>#ERROR!</v>
      </c>
      <c r="EQ1226" s="596" t="str">
        <f t="shared" si="5677"/>
        <v>#ERROR!</v>
      </c>
      <c r="ER1226" s="597" t="str">
        <f t="shared" si="5677"/>
        <v>#ERROR!</v>
      </c>
      <c r="ES1226" s="596" t="str">
        <f t="shared" si="5677"/>
        <v>#ERROR!</v>
      </c>
      <c r="ET1226" s="596" t="str">
        <f t="shared" si="5677"/>
        <v>#ERROR!</v>
      </c>
      <c r="EU1226" s="596" t="str">
        <f t="shared" si="5677"/>
        <v>#ERROR!</v>
      </c>
      <c r="EV1226" s="596" t="str">
        <f t="shared" si="5677"/>
        <v>#ERROR!</v>
      </c>
      <c r="EW1226" s="597" t="str">
        <f t="shared" si="5677"/>
        <v>#ERROR!</v>
      </c>
      <c r="EX1226" s="596" t="str">
        <f t="shared" si="5677"/>
        <v>#ERROR!</v>
      </c>
      <c r="EY1226" s="596" t="str">
        <f t="shared" si="5677"/>
        <v>#ERROR!</v>
      </c>
      <c r="EZ1226" s="596" t="str">
        <f t="shared" si="5677"/>
        <v>#ERROR!</v>
      </c>
      <c r="FA1226" s="596" t="str">
        <f t="shared" si="5677"/>
        <v>#ERROR!</v>
      </c>
      <c r="FB1226" s="597" t="str">
        <f t="shared" si="5677"/>
        <v>#ERROR!</v>
      </c>
      <c r="FC1226" s="596" t="str">
        <f t="shared" si="5677"/>
        <v>#ERROR!</v>
      </c>
      <c r="FD1226" s="596" t="str">
        <f t="shared" si="5677"/>
        <v>#ERROR!</v>
      </c>
      <c r="FE1226" s="596" t="str">
        <f t="shared" si="5677"/>
        <v>#ERROR!</v>
      </c>
      <c r="FF1226" s="596" t="str">
        <f t="shared" si="5677"/>
        <v>#ERROR!</v>
      </c>
      <c r="FG1226" s="597" t="str">
        <f t="shared" si="5677"/>
        <v>#ERROR!</v>
      </c>
      <c r="FH1226" s="595"/>
      <c r="FI1226" s="596"/>
      <c r="FJ1226" s="596"/>
      <c r="FK1226" s="596"/>
      <c r="FL1226" s="596"/>
    </row>
    <row r="1227" ht="12.75" hidden="1" customHeight="1" outlineLevel="2">
      <c r="A1227" s="755">
        <v>0.01</v>
      </c>
      <c r="B1227" s="15" t="s">
        <v>461</v>
      </c>
      <c r="C1227" s="15"/>
      <c r="D1227" s="15"/>
      <c r="E1227" s="15"/>
      <c r="F1227" s="15"/>
      <c r="G1227" s="15"/>
      <c r="H1227" s="309"/>
      <c r="I1227" s="15"/>
      <c r="J1227" s="15"/>
      <c r="K1227" s="15"/>
      <c r="L1227" s="15"/>
      <c r="M1227" s="309"/>
      <c r="N1227" s="15"/>
      <c r="O1227" s="15"/>
      <c r="P1227" s="15"/>
      <c r="Q1227" s="15"/>
      <c r="R1227" s="309"/>
      <c r="S1227" s="15"/>
      <c r="T1227" s="15"/>
      <c r="U1227" s="15"/>
      <c r="V1227" s="15"/>
      <c r="W1227" s="309"/>
      <c r="X1227" s="15"/>
      <c r="Y1227" s="15"/>
      <c r="Z1227" s="15"/>
      <c r="AA1227" s="15"/>
      <c r="AB1227" s="309"/>
      <c r="AC1227" s="15"/>
      <c r="AD1227" s="15"/>
      <c r="AE1227" s="15"/>
      <c r="AF1227" s="15"/>
      <c r="AG1227" s="309">
        <f>GM</f>
        <v>0.4918045141</v>
      </c>
      <c r="AH1227" s="15">
        <f>GM</f>
        <v>0.5131986433</v>
      </c>
      <c r="AI1227" s="15">
        <f>GM</f>
        <v>0.4698528248</v>
      </c>
      <c r="AJ1227" s="15">
        <f>GM</f>
        <v>0.4878536285</v>
      </c>
      <c r="AK1227" s="15">
        <f>GM</f>
        <v>0.5162011173</v>
      </c>
      <c r="AL1227" s="309">
        <f>GM</f>
        <v>0.4976087281</v>
      </c>
      <c r="AM1227" s="15">
        <f>GM</f>
        <v>0.5202192268</v>
      </c>
      <c r="AN1227" s="15">
        <f>GM</f>
        <v>0.5088028169</v>
      </c>
      <c r="AO1227" s="15">
        <f>GM</f>
        <v>0.581897102</v>
      </c>
      <c r="AP1227" s="15">
        <f>GM</f>
        <v>0.6356252145</v>
      </c>
      <c r="AQ1227" s="309">
        <f>GM</f>
        <v>0.567134468</v>
      </c>
      <c r="AR1227" s="15">
        <f>GM</f>
        <v>0.6019033494</v>
      </c>
      <c r="AS1227" s="15">
        <f>GM</f>
        <v>0.5938625916</v>
      </c>
      <c r="AT1227" s="15">
        <f>GM</f>
        <v>0.5570770865</v>
      </c>
      <c r="AU1227" s="15">
        <f>GM</f>
        <v>0.5602208793</v>
      </c>
      <c r="AV1227" s="309">
        <f>GM</f>
        <v>0.577216522</v>
      </c>
      <c r="AW1227" s="15">
        <f>GM</f>
        <v>0.5933856265</v>
      </c>
      <c r="AX1227" s="15">
        <f>GM</f>
        <v>0.5636442422</v>
      </c>
      <c r="AY1227" s="15">
        <f>GM</f>
        <v>0.6112449799</v>
      </c>
      <c r="AZ1227" s="15">
        <f>GM</f>
        <v>0.6175865111</v>
      </c>
      <c r="BA1227" s="309">
        <f>GM</f>
        <v>0.5972544171</v>
      </c>
      <c r="BB1227" s="15">
        <f>GM</f>
        <v>0.5529082774</v>
      </c>
      <c r="BC1227" s="15">
        <f>GM</f>
        <v>0.5207891122</v>
      </c>
      <c r="BD1227" s="15">
        <f>GM</f>
        <v>0.4913605676</v>
      </c>
      <c r="BE1227" s="15">
        <f>GM</f>
        <v>0.4961832061</v>
      </c>
      <c r="BF1227" s="309">
        <f>GM</f>
        <v>0.5148945792</v>
      </c>
      <c r="BG1227" s="15">
        <f>GM</f>
        <v>0.5006778129</v>
      </c>
      <c r="BH1227" s="15">
        <f>GM</f>
        <v>0.4694700461</v>
      </c>
      <c r="BI1227" s="15">
        <f>GM</f>
        <v>0.5236868186</v>
      </c>
      <c r="BJ1227" s="15">
        <f>GM</f>
        <v>0.5812173264</v>
      </c>
      <c r="BK1227" s="309">
        <f>GM</f>
        <v>0.5221735274</v>
      </c>
      <c r="BL1227" s="15">
        <f>GM</f>
        <v>0.5383024915</v>
      </c>
      <c r="BM1227" s="15">
        <f>GM</f>
        <v>0.5542766631</v>
      </c>
      <c r="BN1227" s="15">
        <f>GM</f>
        <v>0.5891161789</v>
      </c>
      <c r="BO1227" s="15">
        <f>GM</f>
        <v>0.5311208364</v>
      </c>
      <c r="BP1227" s="309">
        <f>GM</f>
        <v>0.5545681903</v>
      </c>
      <c r="BQ1227" s="15">
        <f>GM</f>
        <v>0.4531840448</v>
      </c>
      <c r="BR1227" s="15">
        <f>GM</f>
        <v>0.5083499501</v>
      </c>
      <c r="BS1227" s="15">
        <f>GM</f>
        <v>0.5755671531</v>
      </c>
      <c r="BT1227" s="15">
        <f>GM</f>
        <v>0.6471757025</v>
      </c>
      <c r="BU1227" s="309">
        <f>GM</f>
        <v>0.5568650895</v>
      </c>
      <c r="BV1227" s="15">
        <f>GM</f>
        <v>0.6339450432</v>
      </c>
      <c r="BW1227" s="15">
        <f>GM</f>
        <v>0.6720854621</v>
      </c>
      <c r="BX1227" s="15">
        <f>GM</f>
        <v>0.6594307332</v>
      </c>
      <c r="BY1227" s="15">
        <f>GM</f>
        <v>0.6464170376</v>
      </c>
      <c r="BZ1227" s="37">
        <f>GM</f>
        <v>0.6531187676</v>
      </c>
      <c r="CA1227" s="15">
        <f>GM</f>
        <v>0.6137619678</v>
      </c>
      <c r="CB1227" s="15">
        <f>GM</f>
        <v>0.6063535912</v>
      </c>
      <c r="CC1227" s="15">
        <f>GM</f>
        <v>0.6335979765</v>
      </c>
      <c r="CD1227" s="15">
        <f>GM</f>
        <v>0.6446316699</v>
      </c>
      <c r="CE1227" s="37">
        <f>GM</f>
        <v>0.6251412063</v>
      </c>
      <c r="CF1227" s="15">
        <f>GM</f>
        <v>0.640399814</v>
      </c>
      <c r="CG1227" s="15">
        <f>GM</f>
        <v>0.6335826976</v>
      </c>
      <c r="CH1227" s="15">
        <f>GM</f>
        <v>0.6327561864</v>
      </c>
      <c r="CI1227" s="15">
        <f>GM</f>
        <v>0.5800252282</v>
      </c>
      <c r="CJ1227" s="37">
        <f>GM</f>
        <v>0.6214919105</v>
      </c>
      <c r="CK1227" s="15">
        <f>GM</f>
        <v>0.5616852146</v>
      </c>
      <c r="CL1227" s="15">
        <f>GM</f>
        <v>0.5830926547</v>
      </c>
      <c r="CM1227" s="15">
        <f>GM</f>
        <v>0.6240450938</v>
      </c>
      <c r="CN1227" s="40">
        <f>GM</f>
        <v>0.6195605031</v>
      </c>
      <c r="CO1227" s="37">
        <f>GM</f>
        <v>0.5980306595</v>
      </c>
      <c r="CP1227" s="40">
        <f>GM</f>
        <v>0.5974616108</v>
      </c>
      <c r="CQ1227" s="15">
        <f>GM</f>
        <v>0.6447111561</v>
      </c>
      <c r="CR1227" s="15">
        <f>GM</f>
        <v>0.6498557098</v>
      </c>
      <c r="CS1227" s="15">
        <f>GM</f>
        <v>0.6535561443</v>
      </c>
      <c r="CT1227" s="37">
        <f>GM</f>
        <v>0.6375872561</v>
      </c>
      <c r="CU1227" s="15">
        <f>GM</f>
        <v>0.6048040059</v>
      </c>
      <c r="CV1227" s="15">
        <f>GM</f>
        <v>0.6250852596</v>
      </c>
      <c r="CW1227" s="15">
        <f>GM</f>
        <v>0.6298651918</v>
      </c>
      <c r="CX1227" s="15">
        <f>GM</f>
        <v>0.6430199812</v>
      </c>
      <c r="CY1227" s="37">
        <f>GM</f>
        <v>0.6264836058</v>
      </c>
      <c r="CZ1227" s="15">
        <f>GM</f>
        <v>0.5890877473</v>
      </c>
      <c r="DA1227" s="15">
        <f>GM</f>
        <v>0.5891524422</v>
      </c>
      <c r="DB1227" s="15">
        <f>GM</f>
        <v>0.6327164406</v>
      </c>
      <c r="DC1227" s="15">
        <f>GM</f>
        <v>0.6171369244</v>
      </c>
      <c r="DD1227" s="37">
        <f>GM</f>
        <v>0.6083952527</v>
      </c>
      <c r="DE1227" s="15">
        <f>GM</f>
        <v>0.6182076237</v>
      </c>
      <c r="DF1227" s="15">
        <f>GM</f>
        <v>0.6162704057</v>
      </c>
      <c r="DG1227" s="40">
        <f>GM</f>
        <v>0.6227630194</v>
      </c>
      <c r="DH1227" s="15">
        <f>GM</f>
        <v>0.6313845071</v>
      </c>
      <c r="DI1227" s="37">
        <f>GM</f>
        <v>0.6225044215</v>
      </c>
      <c r="DJ1227" s="40">
        <f>GM</f>
        <v>0.6056890327</v>
      </c>
      <c r="DK1227" s="40">
        <f>GM</f>
        <v>0.6142553944</v>
      </c>
      <c r="DL1227" s="40">
        <f>GM</f>
        <v>0.6449929552</v>
      </c>
      <c r="DM1227" s="15">
        <f>GM</f>
        <v>0.6017580533</v>
      </c>
      <c r="DN1227" s="37">
        <f>GM</f>
        <v>0.6173357046</v>
      </c>
      <c r="DO1227" s="15">
        <f>GM</f>
        <v>0.5659049872</v>
      </c>
      <c r="DP1227" s="15">
        <f>GM</f>
        <v>0.5984853075</v>
      </c>
      <c r="DQ1227" s="15">
        <f>GM</f>
        <v>0.5885878061</v>
      </c>
      <c r="DR1227" s="15">
        <f>GM</f>
        <v>0.5877579296</v>
      </c>
      <c r="DS1227" s="37">
        <f>GM</f>
        <v>0.5855624262</v>
      </c>
      <c r="DT1227" s="15">
        <f>GM</f>
        <v>0.6060117006</v>
      </c>
      <c r="DU1227" s="15">
        <f>GM</f>
        <v>0.5325932685</v>
      </c>
      <c r="DV1227" s="15">
        <f>GM</f>
        <v>0.5313369334</v>
      </c>
      <c r="DW1227" s="15">
        <f>GM</f>
        <v>0.5680248273</v>
      </c>
      <c r="DX1227" s="37">
        <f>GM</f>
        <v>0.5600832188</v>
      </c>
      <c r="DY1227" s="15">
        <f>GM</f>
        <v>0.5846170419</v>
      </c>
      <c r="DZ1227" s="15">
        <f>GM</f>
        <v>0.6046511628</v>
      </c>
      <c r="EA1227" s="15">
        <f>GM</f>
        <v>0.5941283795</v>
      </c>
      <c r="EB1227" s="15">
        <f>GM</f>
        <v>0.5636391563</v>
      </c>
      <c r="EC1227" s="37">
        <f>GM</f>
        <v>0.5864048824</v>
      </c>
      <c r="ED1227" s="15">
        <f>GM</f>
        <v>0.5036778728</v>
      </c>
      <c r="EE1227" s="15">
        <f>GM</f>
        <v>0.364662881</v>
      </c>
      <c r="EF1227" s="15">
        <f>GM</f>
        <v>0.4260659799</v>
      </c>
      <c r="EG1227" s="15">
        <f>GM</f>
        <v>0.3916820966</v>
      </c>
      <c r="EH1227" s="37">
        <f>GM</f>
        <v>0.4260792337</v>
      </c>
      <c r="EI1227" s="82" t="str">
        <f>GM</f>
        <v>#ERROR!</v>
      </c>
      <c r="EJ1227" s="15" t="str">
        <f>GM</f>
        <v>#ERROR!</v>
      </c>
      <c r="EK1227" s="15" t="str">
        <f>GM</f>
        <v>#ERROR!</v>
      </c>
      <c r="EL1227" s="15" t="str">
        <f>GM</f>
        <v>#ERROR!</v>
      </c>
      <c r="EM1227" s="37" t="str">
        <f>GM</f>
        <v>#ERROR!</v>
      </c>
      <c r="EN1227" s="15" t="str">
        <f>GM</f>
        <v>#ERROR!</v>
      </c>
      <c r="EO1227" s="15" t="str">
        <f>GM</f>
        <v>#ERROR!</v>
      </c>
      <c r="EP1227" s="15" t="str">
        <f>GM</f>
        <v>#ERROR!</v>
      </c>
      <c r="EQ1227" s="15" t="str">
        <f>GM</f>
        <v>#ERROR!</v>
      </c>
      <c r="ER1227" s="37" t="str">
        <f>GM</f>
        <v>#ERROR!</v>
      </c>
      <c r="ES1227" s="15" t="str">
        <f>GM</f>
        <v>#ERROR!</v>
      </c>
      <c r="ET1227" s="15" t="str">
        <f>GM</f>
        <v>#ERROR!</v>
      </c>
      <c r="EU1227" s="15" t="str">
        <f>GM</f>
        <v>#ERROR!</v>
      </c>
      <c r="EV1227" s="15" t="str">
        <f>GM</f>
        <v>#ERROR!</v>
      </c>
      <c r="EW1227" s="37" t="str">
        <f>GM</f>
        <v>#ERROR!</v>
      </c>
      <c r="EX1227" s="15" t="str">
        <f>GM</f>
        <v>#ERROR!</v>
      </c>
      <c r="EY1227" s="15" t="str">
        <f>GM</f>
        <v>#ERROR!</v>
      </c>
      <c r="EZ1227" s="15" t="str">
        <f>GM</f>
        <v>#ERROR!</v>
      </c>
      <c r="FA1227" s="15" t="str">
        <f>GM</f>
        <v>#ERROR!</v>
      </c>
      <c r="FB1227" s="37" t="str">
        <f>GM</f>
        <v>#ERROR!</v>
      </c>
      <c r="FC1227" s="15" t="str">
        <f>GM</f>
        <v>#ERROR!</v>
      </c>
      <c r="FD1227" s="15" t="str">
        <f>GM</f>
        <v>#ERROR!</v>
      </c>
      <c r="FE1227" s="15" t="str">
        <f>GM</f>
        <v>#ERROR!</v>
      </c>
      <c r="FF1227" s="15" t="str">
        <f>GM</f>
        <v>#ERROR!</v>
      </c>
      <c r="FG1227" s="37" t="str">
        <f>GM</f>
        <v>#ERROR!</v>
      </c>
      <c r="FH1227" s="35"/>
      <c r="FI1227" s="15"/>
      <c r="FJ1227" s="15"/>
      <c r="FK1227" s="309"/>
      <c r="FL1227" s="15"/>
    </row>
    <row r="1228" ht="12.75" hidden="1" customHeight="1" outlineLevel="2">
      <c r="A1228" s="4"/>
      <c r="B1228" s="4"/>
      <c r="C1228" s="4"/>
      <c r="D1228" s="4"/>
      <c r="E1228" s="4"/>
      <c r="F1228" s="4"/>
      <c r="G1228" s="4"/>
      <c r="H1228" s="8"/>
      <c r="I1228" s="4"/>
      <c r="J1228" s="4"/>
      <c r="K1228" s="4"/>
      <c r="L1228" s="4"/>
      <c r="M1228" s="8"/>
      <c r="N1228" s="4"/>
      <c r="O1228" s="4"/>
      <c r="P1228" s="4"/>
      <c r="Q1228" s="4"/>
      <c r="R1228" s="8"/>
      <c r="S1228" s="4"/>
      <c r="T1228" s="4"/>
      <c r="U1228" s="4"/>
      <c r="V1228" s="4"/>
      <c r="W1228" s="8"/>
      <c r="X1228" s="4"/>
      <c r="Y1228" s="4"/>
      <c r="Z1228" s="4"/>
      <c r="AA1228" s="4"/>
      <c r="AB1228" s="8"/>
      <c r="AC1228" s="4"/>
      <c r="AD1228" s="4"/>
      <c r="AE1228" s="4"/>
      <c r="AF1228" s="4"/>
      <c r="AG1228" s="8"/>
      <c r="AH1228" s="4"/>
      <c r="AI1228" s="4"/>
      <c r="AJ1228" s="4"/>
      <c r="AK1228" s="4"/>
      <c r="AL1228" s="8"/>
      <c r="AM1228" s="4"/>
      <c r="AN1228" s="4"/>
      <c r="AO1228" s="4"/>
      <c r="AP1228" s="4"/>
      <c r="AQ1228" s="8"/>
      <c r="AR1228" s="4"/>
      <c r="AS1228" s="4"/>
      <c r="AT1228" s="4"/>
      <c r="AU1228" s="4"/>
      <c r="AV1228" s="8"/>
      <c r="AW1228" s="4"/>
      <c r="AX1228" s="4"/>
      <c r="AY1228" s="4"/>
      <c r="AZ1228" s="4"/>
      <c r="BA1228" s="8"/>
      <c r="BB1228" s="4"/>
      <c r="BC1228" s="4"/>
      <c r="BD1228" s="4"/>
      <c r="BE1228" s="4"/>
      <c r="BF1228" s="8"/>
      <c r="BG1228" s="4"/>
      <c r="BH1228" s="4"/>
      <c r="BI1228" s="4"/>
      <c r="BJ1228" s="4"/>
      <c r="BK1228" s="8"/>
      <c r="BL1228" s="4"/>
      <c r="BM1228" s="4"/>
      <c r="BN1228" s="4"/>
      <c r="BO1228" s="4"/>
      <c r="BP1228" s="8"/>
      <c r="BQ1228" s="4"/>
      <c r="BR1228" s="4"/>
      <c r="BS1228" s="4"/>
      <c r="BT1228" s="4"/>
      <c r="BU1228" s="8"/>
      <c r="BV1228" s="4"/>
      <c r="BW1228" s="4"/>
      <c r="BX1228" s="4"/>
      <c r="BY1228" s="4"/>
      <c r="BZ1228" s="10"/>
      <c r="CA1228" s="4"/>
      <c r="CB1228" s="4"/>
      <c r="CC1228" s="4"/>
      <c r="CD1228" s="4"/>
      <c r="CE1228" s="10"/>
      <c r="CF1228" s="4"/>
      <c r="CG1228" s="4"/>
      <c r="CH1228" s="4"/>
      <c r="CI1228" s="4"/>
      <c r="CJ1228" s="10"/>
      <c r="CK1228" s="4"/>
      <c r="CL1228" s="4"/>
      <c r="CM1228" s="4"/>
      <c r="CN1228" s="16"/>
      <c r="CO1228" s="10"/>
      <c r="CP1228" s="16"/>
      <c r="CQ1228" s="4"/>
      <c r="CR1228" s="4"/>
      <c r="CS1228" s="4"/>
      <c r="CT1228" s="10"/>
      <c r="CU1228" s="4"/>
      <c r="CV1228" s="4"/>
      <c r="CW1228" s="4"/>
      <c r="CX1228" s="4"/>
      <c r="CY1228" s="10"/>
      <c r="CZ1228" s="4"/>
      <c r="DA1228" s="4"/>
      <c r="DB1228" s="4"/>
      <c r="DC1228" s="4"/>
      <c r="DD1228" s="10"/>
      <c r="DE1228" s="4"/>
      <c r="DF1228" s="4"/>
      <c r="DG1228" s="16"/>
      <c r="DH1228" s="4"/>
      <c r="DI1228" s="10"/>
      <c r="DJ1228" s="16"/>
      <c r="DK1228" s="16"/>
      <c r="DL1228" s="16"/>
      <c r="DM1228" s="4"/>
      <c r="DN1228" s="10"/>
      <c r="DO1228" s="4"/>
      <c r="DP1228" s="4"/>
      <c r="DQ1228" s="4"/>
      <c r="DR1228" s="4"/>
      <c r="DS1228" s="10"/>
      <c r="DT1228" s="4"/>
      <c r="DU1228" s="4"/>
      <c r="DV1228" s="4"/>
      <c r="DW1228" s="4"/>
      <c r="DX1228" s="10"/>
      <c r="DY1228" s="4"/>
      <c r="DZ1228" s="4"/>
      <c r="EA1228" s="4"/>
      <c r="EB1228" s="4"/>
      <c r="EC1228" s="10"/>
      <c r="ED1228" s="4"/>
      <c r="EE1228" s="4"/>
      <c r="EF1228" s="4"/>
      <c r="EG1228" s="4"/>
      <c r="EH1228" s="10"/>
      <c r="EI1228" s="214"/>
      <c r="EJ1228" s="4"/>
      <c r="EK1228" s="4"/>
      <c r="EL1228" s="4"/>
      <c r="EM1228" s="10"/>
      <c r="EN1228" s="4"/>
      <c r="EO1228" s="4"/>
      <c r="EP1228" s="4"/>
      <c r="EQ1228" s="4"/>
      <c r="ER1228" s="10"/>
      <c r="ES1228" s="4"/>
      <c r="ET1228" s="4"/>
      <c r="EU1228" s="4"/>
      <c r="EV1228" s="4"/>
      <c r="EW1228" s="10"/>
      <c r="EX1228" s="4"/>
      <c r="EY1228" s="4"/>
      <c r="EZ1228" s="4"/>
      <c r="FA1228" s="4"/>
      <c r="FB1228" s="10"/>
      <c r="FC1228" s="4"/>
      <c r="FD1228" s="4"/>
      <c r="FE1228" s="4"/>
      <c r="FF1228" s="4"/>
      <c r="FG1228" s="10"/>
      <c r="FH1228" s="21"/>
      <c r="FI1228" s="4"/>
      <c r="FJ1228" s="4"/>
      <c r="FK1228" s="8"/>
      <c r="FL1228" s="4"/>
    </row>
    <row r="1229" ht="12.75" hidden="1" customHeight="1" outlineLevel="2">
      <c r="A1229" s="4"/>
      <c r="B1229" s="601" t="s">
        <v>45</v>
      </c>
      <c r="C1229" s="4"/>
      <c r="D1229" s="4"/>
      <c r="E1229" s="4"/>
      <c r="F1229" s="4"/>
      <c r="G1229" s="4"/>
      <c r="H1229" s="8"/>
      <c r="I1229" s="4"/>
      <c r="J1229" s="4"/>
      <c r="K1229" s="4"/>
      <c r="L1229" s="4"/>
      <c r="M1229" s="8"/>
      <c r="N1229" s="4"/>
      <c r="O1229" s="4"/>
      <c r="P1229" s="4"/>
      <c r="Q1229" s="4"/>
      <c r="R1229" s="8"/>
      <c r="S1229" s="4"/>
      <c r="T1229" s="4"/>
      <c r="U1229" s="4"/>
      <c r="V1229" s="4"/>
      <c r="W1229" s="8"/>
      <c r="X1229" s="4"/>
      <c r="Y1229" s="4"/>
      <c r="Z1229" s="4"/>
      <c r="AA1229" s="4"/>
      <c r="AB1229" s="8"/>
      <c r="AC1229" s="4"/>
      <c r="AD1229" s="4"/>
      <c r="AE1229" s="4"/>
      <c r="AF1229" s="4"/>
      <c r="AG1229" s="8"/>
      <c r="AH1229" s="4"/>
      <c r="AI1229" s="4"/>
      <c r="AJ1229" s="4"/>
      <c r="AK1229" s="4"/>
      <c r="AL1229" s="8"/>
      <c r="AM1229" s="4"/>
      <c r="AN1229" s="4"/>
      <c r="AO1229" s="4"/>
      <c r="AP1229" s="4"/>
      <c r="AQ1229" s="8"/>
      <c r="AR1229" s="4"/>
      <c r="AS1229" s="4"/>
      <c r="AT1229" s="4"/>
      <c r="AU1229" s="4"/>
      <c r="AV1229" s="8"/>
      <c r="AW1229" s="4"/>
      <c r="AX1229" s="4"/>
      <c r="AY1229" s="4"/>
      <c r="AZ1229" s="4"/>
      <c r="BA1229" s="8"/>
      <c r="BB1229" s="4"/>
      <c r="BC1229" s="4"/>
      <c r="BD1229" s="4"/>
      <c r="BE1229" s="4"/>
      <c r="BF1229" s="8"/>
      <c r="BG1229" s="4"/>
      <c r="BH1229" s="4"/>
      <c r="BI1229" s="4"/>
      <c r="BJ1229" s="4"/>
      <c r="BK1229" s="8"/>
      <c r="BL1229" s="4"/>
      <c r="BM1229" s="4"/>
      <c r="BN1229" s="4"/>
      <c r="BO1229" s="4"/>
      <c r="BP1229" s="8"/>
      <c r="BQ1229" s="4"/>
      <c r="BR1229" s="4"/>
      <c r="BS1229" s="4"/>
      <c r="BT1229" s="4"/>
      <c r="BU1229" s="8"/>
      <c r="BV1229" s="4"/>
      <c r="BW1229" s="4"/>
      <c r="BX1229" s="4"/>
      <c r="BY1229" s="4"/>
      <c r="BZ1229" s="10"/>
      <c r="CA1229" s="4"/>
      <c r="CB1229" s="4"/>
      <c r="CC1229" s="4"/>
      <c r="CD1229" s="4"/>
      <c r="CE1229" s="10"/>
      <c r="CF1229" s="4"/>
      <c r="CG1229" s="4"/>
      <c r="CH1229" s="4"/>
      <c r="CI1229" s="4"/>
      <c r="CJ1229" s="10"/>
      <c r="CK1229" s="4"/>
      <c r="CL1229" s="4"/>
      <c r="CM1229" s="4"/>
      <c r="CN1229" s="16"/>
      <c r="CO1229" s="10"/>
      <c r="CP1229" s="16"/>
      <c r="CQ1229" s="4"/>
      <c r="CR1229" s="4"/>
      <c r="CS1229" s="4"/>
      <c r="CT1229" s="10"/>
      <c r="CU1229" s="4"/>
      <c r="CV1229" s="4"/>
      <c r="CW1229" s="4"/>
      <c r="CX1229" s="4"/>
      <c r="CY1229" s="10"/>
      <c r="CZ1229" s="4"/>
      <c r="DA1229" s="4"/>
      <c r="DB1229" s="4"/>
      <c r="DC1229" s="4"/>
      <c r="DD1229" s="10"/>
      <c r="DE1229" s="4"/>
      <c r="DF1229" s="4"/>
      <c r="DG1229" s="16"/>
      <c r="DH1229" s="4"/>
      <c r="DI1229" s="10"/>
      <c r="DJ1229" s="16"/>
      <c r="DK1229" s="16"/>
      <c r="DL1229" s="16"/>
      <c r="DM1229" s="4"/>
      <c r="DN1229" s="10"/>
      <c r="DO1229" s="4"/>
      <c r="DP1229" s="4"/>
      <c r="DQ1229" s="4"/>
      <c r="DR1229" s="4"/>
      <c r="DS1229" s="10"/>
      <c r="DT1229" s="4"/>
      <c r="DU1229" s="4"/>
      <c r="DV1229" s="4"/>
      <c r="DW1229" s="4"/>
      <c r="DX1229" s="10"/>
      <c r="DY1229" s="4"/>
      <c r="DZ1229" s="4"/>
      <c r="EA1229" s="4"/>
      <c r="EB1229" s="4"/>
      <c r="EC1229" s="10"/>
      <c r="ED1229" s="4"/>
      <c r="EE1229" s="4"/>
      <c r="EF1229" s="4"/>
      <c r="EG1229" s="4"/>
      <c r="EH1229" s="10"/>
      <c r="EI1229" s="214"/>
      <c r="EJ1229" s="4"/>
      <c r="EK1229" s="4"/>
      <c r="EL1229" s="4"/>
      <c r="EM1229" s="10"/>
      <c r="EN1229" s="4"/>
      <c r="EO1229" s="4"/>
      <c r="EP1229" s="4"/>
      <c r="EQ1229" s="4"/>
      <c r="ER1229" s="10"/>
      <c r="ES1229" s="4"/>
      <c r="ET1229" s="4"/>
      <c r="EU1229" s="4"/>
      <c r="EV1229" s="4"/>
      <c r="EW1229" s="10"/>
      <c r="EX1229" s="4"/>
      <c r="EY1229" s="4"/>
      <c r="EZ1229" s="4"/>
      <c r="FA1229" s="4"/>
      <c r="FB1229" s="10"/>
      <c r="FC1229" s="4"/>
      <c r="FD1229" s="4"/>
      <c r="FE1229" s="4"/>
      <c r="FF1229" s="4"/>
      <c r="FG1229" s="10"/>
      <c r="FH1229" s="21"/>
      <c r="FI1229" s="4"/>
      <c r="FJ1229" s="4"/>
      <c r="FK1229" s="8"/>
      <c r="FL1229" s="4"/>
    </row>
    <row r="1230" ht="12.75" hidden="1" customHeight="1" outlineLevel="2">
      <c r="A1230" s="665"/>
      <c r="B1230" s="756" t="str">
        <f t="shared" ref="B1230:B1237" si="5703">B849</f>
        <v>   Microprocessor</v>
      </c>
      <c r="C1230" s="665"/>
      <c r="D1230" s="377"/>
      <c r="E1230" s="377"/>
      <c r="F1230" s="377"/>
      <c r="G1230" s="377"/>
      <c r="H1230" s="665"/>
      <c r="I1230" s="377"/>
      <c r="J1230" s="377"/>
      <c r="K1230" s="377"/>
      <c r="L1230" s="377"/>
      <c r="M1230" s="665"/>
      <c r="N1230" s="377"/>
      <c r="O1230" s="377"/>
      <c r="P1230" s="377"/>
      <c r="Q1230" s="377"/>
      <c r="R1230" s="665"/>
      <c r="S1230" s="377"/>
      <c r="T1230" s="377"/>
      <c r="U1230" s="377"/>
      <c r="V1230" s="377"/>
      <c r="W1230" s="665"/>
      <c r="X1230" s="377"/>
      <c r="Y1230" s="377"/>
      <c r="Z1230" s="377"/>
      <c r="AA1230" s="377"/>
      <c r="AB1230" s="665"/>
      <c r="AC1230" s="377"/>
      <c r="AD1230" s="377"/>
      <c r="AE1230" s="377"/>
      <c r="AF1230" s="377"/>
      <c r="AG1230" s="665"/>
      <c r="AH1230" s="377"/>
      <c r="AI1230" s="377"/>
      <c r="AJ1230" s="377"/>
      <c r="AK1230" s="377"/>
      <c r="AL1230" s="665"/>
      <c r="AM1230" s="377"/>
      <c r="AN1230" s="377"/>
      <c r="AO1230" s="377">
        <f t="shared" ref="AO1230:AP1230" si="5678">AO1205*AO1217</f>
        <v>3789.17</v>
      </c>
      <c r="AP1230" s="377">
        <f t="shared" si="5678"/>
        <v>4671.36</v>
      </c>
      <c r="AQ1230" s="665"/>
      <c r="AR1230" s="377" t="str">
        <f t="shared" ref="AR1230:AU1230" si="5679">AR1205*AR1217</f>
        <v>#ERROR!</v>
      </c>
      <c r="AS1230" s="377" t="str">
        <f t="shared" si="5679"/>
        <v>#ERROR!</v>
      </c>
      <c r="AT1230" s="377" t="str">
        <f t="shared" si="5679"/>
        <v>#ERROR!</v>
      </c>
      <c r="AU1230" s="377" t="str">
        <f t="shared" si="5679"/>
        <v>#ERROR!</v>
      </c>
      <c r="AV1230" s="665" t="str">
        <f t="shared" ref="AV1230:AV1237" si="5706">SUM(AR1230:AU1230)</f>
        <v>#ERROR!</v>
      </c>
      <c r="AW1230" s="377" t="str">
        <f t="shared" ref="AW1230:AZ1230" si="5680">AW1205*AW1217</f>
        <v>#ERROR!</v>
      </c>
      <c r="AX1230" s="377" t="str">
        <f t="shared" si="5680"/>
        <v>#ERROR!</v>
      </c>
      <c r="AY1230" s="377" t="str">
        <f t="shared" si="5680"/>
        <v>#ERROR!</v>
      </c>
      <c r="AZ1230" s="377" t="str">
        <f t="shared" si="5680"/>
        <v>#ERROR!</v>
      </c>
      <c r="BA1230" s="665" t="str">
        <f t="shared" ref="BA1230:BA1237" si="5708">SUM(AW1230:AZ1230)</f>
        <v>#ERROR!</v>
      </c>
      <c r="BB1230" s="377" t="str">
        <f t="shared" ref="BB1230:BE1230" si="5681">BB1205*BB1217</f>
        <v>#ERROR!</v>
      </c>
      <c r="BC1230" s="377" t="str">
        <f t="shared" si="5681"/>
        <v>#ERROR!</v>
      </c>
      <c r="BD1230" s="377" t="str">
        <f t="shared" si="5681"/>
        <v>#ERROR!</v>
      </c>
      <c r="BE1230" s="377" t="str">
        <f t="shared" si="5681"/>
        <v>#ERROR!</v>
      </c>
      <c r="BF1230" s="665" t="str">
        <f t="shared" ref="BF1230:BF1237" si="5710">SUM(BB1230:BE1230)</f>
        <v>#ERROR!</v>
      </c>
      <c r="BG1230" s="377" t="str">
        <f t="shared" ref="BG1230:BJ1230" si="5682">BG1205*BG1217</f>
        <v>#ERROR!</v>
      </c>
      <c r="BH1230" s="377" t="str">
        <f t="shared" si="5682"/>
        <v>#ERROR!</v>
      </c>
      <c r="BI1230" s="377" t="str">
        <f t="shared" si="5682"/>
        <v>#ERROR!</v>
      </c>
      <c r="BJ1230" s="377" t="str">
        <f t="shared" si="5682"/>
        <v>#ERROR!</v>
      </c>
      <c r="BK1230" s="665" t="str">
        <f t="shared" ref="BK1230:BK1237" si="5712">SUM(BG1230:BJ1230)</f>
        <v>#ERROR!</v>
      </c>
      <c r="BL1230" s="377" t="str">
        <f t="shared" ref="BL1230:BO1230" si="5683">BL1205*BL1217</f>
        <v>#ERROR!</v>
      </c>
      <c r="BM1230" s="377" t="str">
        <f t="shared" si="5683"/>
        <v>#ERROR!</v>
      </c>
      <c r="BN1230" s="377" t="str">
        <f t="shared" si="5683"/>
        <v>#ERROR!</v>
      </c>
      <c r="BO1230" s="377" t="str">
        <f t="shared" si="5683"/>
        <v>#ERROR!</v>
      </c>
      <c r="BP1230" s="665" t="str">
        <f t="shared" ref="BP1230:BP1237" si="5714">SUM(BL1230:BO1230)</f>
        <v>#ERROR!</v>
      </c>
      <c r="BQ1230" s="377" t="str">
        <f t="shared" ref="BQ1230:BT1230" si="5684">BQ1205*BQ1217</f>
        <v>#ERROR!</v>
      </c>
      <c r="BR1230" s="377" t="str">
        <f t="shared" si="5684"/>
        <v>#ERROR!</v>
      </c>
      <c r="BS1230" s="377" t="str">
        <f t="shared" si="5684"/>
        <v>#ERROR!</v>
      </c>
      <c r="BT1230" s="377" t="str">
        <f t="shared" si="5684"/>
        <v>#ERROR!</v>
      </c>
      <c r="BU1230" s="665" t="str">
        <f t="shared" ref="BU1230:BU1237" si="5716">SUM(BQ1230:BT1230)</f>
        <v>#ERROR!</v>
      </c>
      <c r="BV1230" s="377" t="str">
        <f t="shared" ref="BV1230:BY1230" si="5685">BV1205*BV1217</f>
        <v>#ERROR!</v>
      </c>
      <c r="BW1230" s="377" t="str">
        <f t="shared" si="5685"/>
        <v>#ERROR!</v>
      </c>
      <c r="BX1230" s="377" t="str">
        <f t="shared" si="5685"/>
        <v>#ERROR!</v>
      </c>
      <c r="BY1230" s="377" t="str">
        <f t="shared" si="5685"/>
        <v>#ERROR!</v>
      </c>
      <c r="BZ1230" s="666" t="str">
        <f t="shared" ref="BZ1230:BZ1237" si="5718">SUM(BV1230:BY1230)</f>
        <v>#ERROR!</v>
      </c>
      <c r="CA1230" s="377" t="str">
        <f t="shared" ref="CA1230:CD1230" si="5686">CA1205*CA1217</f>
        <v>#ERROR!</v>
      </c>
      <c r="CB1230" s="377" t="str">
        <f t="shared" si="5686"/>
        <v>#ERROR!</v>
      </c>
      <c r="CC1230" s="377" t="str">
        <f t="shared" si="5686"/>
        <v>#ERROR!</v>
      </c>
      <c r="CD1230" s="377" t="str">
        <f t="shared" si="5686"/>
        <v>#ERROR!</v>
      </c>
      <c r="CE1230" s="666" t="str">
        <f t="shared" ref="CE1230:CE1237" si="5720">SUM(CA1230:CD1230)</f>
        <v>#ERROR!</v>
      </c>
      <c r="CF1230" s="377" t="str">
        <f t="shared" ref="CF1230:CI1230" si="5687">CF1205*CF1217</f>
        <v>#ERROR!</v>
      </c>
      <c r="CG1230" s="377" t="str">
        <f t="shared" si="5687"/>
        <v>#ERROR!</v>
      </c>
      <c r="CH1230" s="377" t="str">
        <f t="shared" si="5687"/>
        <v>#ERROR!</v>
      </c>
      <c r="CI1230" s="377" t="str">
        <f t="shared" si="5687"/>
        <v>#ERROR!</v>
      </c>
      <c r="CJ1230" s="666" t="str">
        <f t="shared" ref="CJ1230:CJ1237" si="5722">SUM(CF1230:CI1230)</f>
        <v>#ERROR!</v>
      </c>
      <c r="CK1230" s="377" t="str">
        <f t="shared" ref="CK1230:CN1230" si="5688">CK1205*CK1217</f>
        <v>#ERROR!</v>
      </c>
      <c r="CL1230" s="377" t="str">
        <f t="shared" si="5688"/>
        <v>#ERROR!</v>
      </c>
      <c r="CM1230" s="377" t="str">
        <f t="shared" si="5688"/>
        <v>#ERROR!</v>
      </c>
      <c r="CN1230" s="440" t="str">
        <f t="shared" si="5688"/>
        <v>#ERROR!</v>
      </c>
      <c r="CO1230" s="666" t="str">
        <f t="shared" ref="CO1230:CO1237" si="5724">SUM(CK1230:CN1230)</f>
        <v>#ERROR!</v>
      </c>
      <c r="CP1230" s="440" t="str">
        <f t="shared" ref="CP1230:CS1230" si="5689">CP1205*CP1217</f>
        <v>#ERROR!</v>
      </c>
      <c r="CQ1230" s="377" t="str">
        <f t="shared" si="5689"/>
        <v>#ERROR!</v>
      </c>
      <c r="CR1230" s="377" t="str">
        <f t="shared" si="5689"/>
        <v>#ERROR!</v>
      </c>
      <c r="CS1230" s="377" t="str">
        <f t="shared" si="5689"/>
        <v>#ERROR!</v>
      </c>
      <c r="CT1230" s="666" t="str">
        <f t="shared" ref="CT1230:CT1237" si="5726">SUM(CP1230:CS1230)</f>
        <v>#ERROR!</v>
      </c>
      <c r="CU1230" s="377" t="str">
        <f t="shared" ref="CU1230:CX1230" si="5690">CU1205*CU1217</f>
        <v>#ERROR!</v>
      </c>
      <c r="CV1230" s="377" t="str">
        <f t="shared" si="5690"/>
        <v>#ERROR!</v>
      </c>
      <c r="CW1230" s="377" t="str">
        <f t="shared" si="5690"/>
        <v>#ERROR!</v>
      </c>
      <c r="CX1230" s="377" t="str">
        <f t="shared" si="5690"/>
        <v>#ERROR!</v>
      </c>
      <c r="CY1230" s="666" t="str">
        <f t="shared" ref="CY1230:CY1237" si="5728">SUM(CU1230:CX1230)</f>
        <v>#ERROR!</v>
      </c>
      <c r="CZ1230" s="377" t="str">
        <f t="shared" ref="CZ1230:DC1230" si="5691">CZ1205*CZ1217</f>
        <v>#ERROR!</v>
      </c>
      <c r="DA1230" s="377" t="str">
        <f t="shared" si="5691"/>
        <v>#ERROR!</v>
      </c>
      <c r="DB1230" s="377" t="str">
        <f t="shared" si="5691"/>
        <v>#ERROR!</v>
      </c>
      <c r="DC1230" s="377" t="str">
        <f t="shared" si="5691"/>
        <v>#ERROR!</v>
      </c>
      <c r="DD1230" s="666" t="str">
        <f t="shared" ref="DD1230:DD1237" si="5730">SUM(CZ1230:DC1230)</f>
        <v>#ERROR!</v>
      </c>
      <c r="DE1230" s="377" t="str">
        <f t="shared" ref="DE1230:DH1230" si="5692">DE1205*DE1217</f>
        <v>#ERROR!</v>
      </c>
      <c r="DF1230" s="377" t="str">
        <f t="shared" si="5692"/>
        <v>#ERROR!</v>
      </c>
      <c r="DG1230" s="440" t="str">
        <f t="shared" si="5692"/>
        <v>#ERROR!</v>
      </c>
      <c r="DH1230" s="377" t="str">
        <f t="shared" si="5692"/>
        <v>#ERROR!</v>
      </c>
      <c r="DI1230" s="666" t="str">
        <f t="shared" ref="DI1230:DI1237" si="5732">SUM(DE1230:DH1230)</f>
        <v>#ERROR!</v>
      </c>
      <c r="DJ1230" s="440" t="str">
        <f t="shared" ref="DJ1230:DM1230" si="5693">DJ1205*DJ1217</f>
        <v>#ERROR!</v>
      </c>
      <c r="DK1230" s="440" t="str">
        <f t="shared" si="5693"/>
        <v>#ERROR!</v>
      </c>
      <c r="DL1230" s="440" t="str">
        <f t="shared" si="5693"/>
        <v>#ERROR!</v>
      </c>
      <c r="DM1230" s="377" t="str">
        <f t="shared" si="5693"/>
        <v>#ERROR!</v>
      </c>
      <c r="DN1230" s="666" t="str">
        <f t="shared" ref="DN1230:DN1237" si="5734">SUM(DJ1230:DM1230)</f>
        <v>#ERROR!</v>
      </c>
      <c r="DO1230" s="377" t="str">
        <f t="shared" ref="DO1230:DR1230" si="5694">DO1205*DO1217</f>
        <v>#ERROR!</v>
      </c>
      <c r="DP1230" s="377" t="str">
        <f t="shared" si="5694"/>
        <v>#ERROR!</v>
      </c>
      <c r="DQ1230" s="377" t="str">
        <f t="shared" si="5694"/>
        <v>#ERROR!</v>
      </c>
      <c r="DR1230" s="377" t="str">
        <f t="shared" si="5694"/>
        <v>#ERROR!</v>
      </c>
      <c r="DS1230" s="666" t="str">
        <f t="shared" ref="DS1230:DS1237" si="5736">SUM(DO1230:DR1230)</f>
        <v>#ERROR!</v>
      </c>
      <c r="DT1230" s="377" t="str">
        <f t="shared" ref="DT1230:DW1230" si="5695">DT1205*DT1217</f>
        <v>#ERROR!</v>
      </c>
      <c r="DU1230" s="377" t="str">
        <f t="shared" si="5695"/>
        <v>#ERROR!</v>
      </c>
      <c r="DV1230" s="377" t="str">
        <f t="shared" si="5695"/>
        <v>#ERROR!</v>
      </c>
      <c r="DW1230" s="377" t="str">
        <f t="shared" si="5695"/>
        <v>#ERROR!</v>
      </c>
      <c r="DX1230" s="666" t="str">
        <f t="shared" ref="DX1230:DX1237" si="5738">SUM(DT1230:DW1230)</f>
        <v>#ERROR!</v>
      </c>
      <c r="DY1230" s="377" t="str">
        <f t="shared" ref="DY1230:EB1230" si="5696">DY1205*DY1217</f>
        <v>#ERROR!</v>
      </c>
      <c r="DZ1230" s="377" t="str">
        <f t="shared" si="5696"/>
        <v>#ERROR!</v>
      </c>
      <c r="EA1230" s="377" t="str">
        <f t="shared" si="5696"/>
        <v>#ERROR!</v>
      </c>
      <c r="EB1230" s="377" t="str">
        <f t="shared" si="5696"/>
        <v>#ERROR!</v>
      </c>
      <c r="EC1230" s="666" t="str">
        <f t="shared" ref="EC1230:EC1237" si="5740">SUM(DY1230:EB1230)</f>
        <v>#ERROR!</v>
      </c>
      <c r="ED1230" s="377" t="str">
        <f t="shared" ref="ED1230:EG1230" si="5697">ED1205*ED1217</f>
        <v>#ERROR!</v>
      </c>
      <c r="EE1230" s="377" t="str">
        <f t="shared" si="5697"/>
        <v>#ERROR!</v>
      </c>
      <c r="EF1230" s="377" t="str">
        <f t="shared" si="5697"/>
        <v>#ERROR!</v>
      </c>
      <c r="EG1230" s="377" t="str">
        <f t="shared" si="5697"/>
        <v>#ERROR!</v>
      </c>
      <c r="EH1230" s="666" t="str">
        <f t="shared" ref="EH1230:EH1237" si="5742">SUM(ED1230:EG1230)</f>
        <v>#ERROR!</v>
      </c>
      <c r="EI1230" s="442" t="str">
        <f t="shared" ref="EI1230:EL1230" si="5698">EI1205*EI1217</f>
        <v>#ERROR!</v>
      </c>
      <c r="EJ1230" s="377" t="str">
        <f t="shared" si="5698"/>
        <v>#ERROR!</v>
      </c>
      <c r="EK1230" s="377" t="str">
        <f t="shared" si="5698"/>
        <v>#ERROR!</v>
      </c>
      <c r="EL1230" s="377" t="str">
        <f t="shared" si="5698"/>
        <v>#ERROR!</v>
      </c>
      <c r="EM1230" s="666" t="str">
        <f t="shared" ref="EM1230:EM1237" si="5744">SUM(EI1230:EL1230)</f>
        <v>#ERROR!</v>
      </c>
      <c r="EN1230" s="377" t="str">
        <f t="shared" ref="EN1230:EQ1230" si="5699">EN1205*EN1217</f>
        <v>#ERROR!</v>
      </c>
      <c r="EO1230" s="377" t="str">
        <f t="shared" si="5699"/>
        <v>#ERROR!</v>
      </c>
      <c r="EP1230" s="377" t="str">
        <f t="shared" si="5699"/>
        <v>#ERROR!</v>
      </c>
      <c r="EQ1230" s="377" t="str">
        <f t="shared" si="5699"/>
        <v>#ERROR!</v>
      </c>
      <c r="ER1230" s="666" t="str">
        <f t="shared" ref="ER1230:ER1237" si="5746">SUM(EN1230:EQ1230)</f>
        <v>#ERROR!</v>
      </c>
      <c r="ES1230" s="377" t="str">
        <f t="shared" ref="ES1230:EV1230" si="5700">ES1205*ES1217</f>
        <v>#ERROR!</v>
      </c>
      <c r="ET1230" s="377" t="str">
        <f t="shared" si="5700"/>
        <v>#ERROR!</v>
      </c>
      <c r="EU1230" s="377" t="str">
        <f t="shared" si="5700"/>
        <v>#ERROR!</v>
      </c>
      <c r="EV1230" s="377" t="str">
        <f t="shared" si="5700"/>
        <v>#ERROR!</v>
      </c>
      <c r="EW1230" s="666" t="str">
        <f t="shared" ref="EW1230:EW1237" si="5748">SUM(ES1230:EV1230)</f>
        <v>#ERROR!</v>
      </c>
      <c r="EX1230" s="377" t="str">
        <f t="shared" ref="EX1230:FA1230" si="5701">EX1205*EX1217</f>
        <v>#ERROR!</v>
      </c>
      <c r="EY1230" s="377" t="str">
        <f t="shared" si="5701"/>
        <v>#ERROR!</v>
      </c>
      <c r="EZ1230" s="377" t="str">
        <f t="shared" si="5701"/>
        <v>#ERROR!</v>
      </c>
      <c r="FA1230" s="377" t="str">
        <f t="shared" si="5701"/>
        <v>#ERROR!</v>
      </c>
      <c r="FB1230" s="666" t="str">
        <f t="shared" ref="FB1230:FB1237" si="5750">SUM(EX1230:FA1230)</f>
        <v>#ERROR!</v>
      </c>
      <c r="FC1230" s="377" t="str">
        <f t="shared" ref="FC1230:FF1230" si="5702">FC1205*FC1217</f>
        <v>#ERROR!</v>
      </c>
      <c r="FD1230" s="377" t="str">
        <f t="shared" si="5702"/>
        <v>#ERROR!</v>
      </c>
      <c r="FE1230" s="377" t="str">
        <f t="shared" si="5702"/>
        <v>#ERROR!</v>
      </c>
      <c r="FF1230" s="377" t="str">
        <f t="shared" si="5702"/>
        <v>#ERROR!</v>
      </c>
      <c r="FG1230" s="666" t="str">
        <f t="shared" ref="FG1230:FG1237" si="5752">SUM(FC1230:FF1230)</f>
        <v>#ERROR!</v>
      </c>
      <c r="FH1230" s="667"/>
      <c r="FI1230" s="377"/>
      <c r="FJ1230" s="377"/>
      <c r="FK1230" s="665"/>
      <c r="FL1230" s="377"/>
    </row>
    <row r="1231" ht="12.75" hidden="1" customHeight="1" outlineLevel="2">
      <c r="A1231" s="377"/>
      <c r="B1231" s="756" t="str">
        <f t="shared" si="5703"/>
        <v>   Chipset</v>
      </c>
      <c r="C1231" s="377"/>
      <c r="D1231" s="377"/>
      <c r="E1231" s="377"/>
      <c r="F1231" s="377"/>
      <c r="G1231" s="377"/>
      <c r="H1231" s="665"/>
      <c r="I1231" s="377"/>
      <c r="J1231" s="377"/>
      <c r="K1231" s="377"/>
      <c r="L1231" s="377"/>
      <c r="M1231" s="665"/>
      <c r="N1231" s="377"/>
      <c r="O1231" s="377"/>
      <c r="P1231" s="377"/>
      <c r="Q1231" s="377"/>
      <c r="R1231" s="665"/>
      <c r="S1231" s="377"/>
      <c r="T1231" s="377"/>
      <c r="U1231" s="377"/>
      <c r="V1231" s="377"/>
      <c r="W1231" s="665"/>
      <c r="X1231" s="377"/>
      <c r="Y1231" s="377"/>
      <c r="Z1231" s="377"/>
      <c r="AA1231" s="377"/>
      <c r="AB1231" s="665"/>
      <c r="AC1231" s="377"/>
      <c r="AD1231" s="377"/>
      <c r="AE1231" s="377"/>
      <c r="AF1231" s="377"/>
      <c r="AG1231" s="665"/>
      <c r="AH1231" s="377"/>
      <c r="AI1231" s="377"/>
      <c r="AJ1231" s="377"/>
      <c r="AK1231" s="377"/>
      <c r="AL1231" s="665"/>
      <c r="AM1231" s="377"/>
      <c r="AN1231" s="377"/>
      <c r="AO1231" s="377">
        <f t="shared" ref="AO1231:AP1231" si="5704">AO1206*AO1218</f>
        <v>309.076</v>
      </c>
      <c r="AP1231" s="377">
        <f t="shared" si="5704"/>
        <v>312</v>
      </c>
      <c r="AQ1231" s="665"/>
      <c r="AR1231" s="377">
        <f t="shared" ref="AR1231:AU1231" si="5705">AR1206*AR1218</f>
        <v>290</v>
      </c>
      <c r="AS1231" s="377">
        <f t="shared" si="5705"/>
        <v>281.2</v>
      </c>
      <c r="AT1231" s="377">
        <f t="shared" si="5705"/>
        <v>322.8</v>
      </c>
      <c r="AU1231" s="377">
        <f t="shared" si="5705"/>
        <v>372</v>
      </c>
      <c r="AV1231" s="665">
        <f t="shared" si="5706"/>
        <v>1266</v>
      </c>
      <c r="AW1231" s="377">
        <f t="shared" ref="AW1231:AZ1231" si="5707">AW1206*AW1218</f>
        <v>394.38</v>
      </c>
      <c r="AX1231" s="377">
        <f t="shared" si="5707"/>
        <v>404.46</v>
      </c>
      <c r="AY1231" s="377">
        <f t="shared" si="5707"/>
        <v>430.92</v>
      </c>
      <c r="AZ1231" s="377">
        <f t="shared" si="5707"/>
        <v>456.03</v>
      </c>
      <c r="BA1231" s="665">
        <f t="shared" si="5708"/>
        <v>1685.79</v>
      </c>
      <c r="BB1231" s="377">
        <f t="shared" ref="BB1231:BE1231" si="5709">BB1206*BB1218</f>
        <v>396.54</v>
      </c>
      <c r="BC1231" s="377">
        <f t="shared" si="5709"/>
        <v>366.5475</v>
      </c>
      <c r="BD1231" s="377">
        <f t="shared" si="5709"/>
        <v>406.4625</v>
      </c>
      <c r="BE1231" s="377">
        <f t="shared" si="5709"/>
        <v>443.07</v>
      </c>
      <c r="BF1231" s="665">
        <f t="shared" si="5710"/>
        <v>1612.62</v>
      </c>
      <c r="BG1231" s="377">
        <f t="shared" ref="BG1231:BJ1231" si="5711">BG1206*BG1218</f>
        <v>337.14</v>
      </c>
      <c r="BH1231" s="377">
        <f t="shared" si="5711"/>
        <v>397.872</v>
      </c>
      <c r="BI1231" s="377">
        <f t="shared" si="5711"/>
        <v>503.244</v>
      </c>
      <c r="BJ1231" s="377">
        <f t="shared" si="5711"/>
        <v>545.775</v>
      </c>
      <c r="BK1231" s="665">
        <f t="shared" si="5712"/>
        <v>1784.031</v>
      </c>
      <c r="BL1231" s="377">
        <f t="shared" ref="BL1231:BO1231" si="5713">BL1206*BL1218</f>
        <v>479.052</v>
      </c>
      <c r="BM1231" s="377">
        <f t="shared" si="5713"/>
        <v>486</v>
      </c>
      <c r="BN1231" s="377">
        <f t="shared" si="5713"/>
        <v>507.564</v>
      </c>
      <c r="BO1231" s="377">
        <f t="shared" si="5713"/>
        <v>389.823</v>
      </c>
      <c r="BP1231" s="665">
        <f t="shared" si="5714"/>
        <v>1862.439</v>
      </c>
      <c r="BQ1231" s="377">
        <f t="shared" ref="BQ1231:BT1231" si="5715">BQ1206*BQ1218</f>
        <v>303.714</v>
      </c>
      <c r="BR1231" s="377">
        <f t="shared" si="5715"/>
        <v>378.612</v>
      </c>
      <c r="BS1231" s="377">
        <f t="shared" si="5715"/>
        <v>478.656</v>
      </c>
      <c r="BT1231" s="377" t="str">
        <f t="shared" si="5715"/>
        <v>#ERROR!</v>
      </c>
      <c r="BU1231" s="665" t="str">
        <f t="shared" si="5716"/>
        <v>#ERROR!</v>
      </c>
      <c r="BV1231" s="377" t="str">
        <f t="shared" ref="BV1231:BY1231" si="5717">BV1206*BV1218</f>
        <v>#ERROR!</v>
      </c>
      <c r="BW1231" s="377" t="str">
        <f t="shared" si="5717"/>
        <v>#ERROR!</v>
      </c>
      <c r="BX1231" s="377" t="str">
        <f t="shared" si="5717"/>
        <v>#ERROR!</v>
      </c>
      <c r="BY1231" s="377" t="str">
        <f t="shared" si="5717"/>
        <v>#ERROR!</v>
      </c>
      <c r="BZ1231" s="666" t="str">
        <f t="shared" si="5718"/>
        <v>#ERROR!</v>
      </c>
      <c r="CA1231" s="377" t="str">
        <f t="shared" ref="CA1231:CD1231" si="5719">CA1206*CA1218</f>
        <v>#ERROR!</v>
      </c>
      <c r="CB1231" s="377" t="str">
        <f t="shared" si="5719"/>
        <v>#ERROR!</v>
      </c>
      <c r="CC1231" s="377" t="str">
        <f t="shared" si="5719"/>
        <v>#ERROR!</v>
      </c>
      <c r="CD1231" s="377" t="str">
        <f t="shared" si="5719"/>
        <v>#ERROR!</v>
      </c>
      <c r="CE1231" s="666" t="str">
        <f t="shared" si="5720"/>
        <v>#ERROR!</v>
      </c>
      <c r="CF1231" s="377" t="str">
        <f t="shared" ref="CF1231:CI1231" si="5721">CF1206*CF1218</f>
        <v>#ERROR!</v>
      </c>
      <c r="CG1231" s="377" t="str">
        <f t="shared" si="5721"/>
        <v>#ERROR!</v>
      </c>
      <c r="CH1231" s="377" t="str">
        <f t="shared" si="5721"/>
        <v>#ERROR!</v>
      </c>
      <c r="CI1231" s="377" t="str">
        <f t="shared" si="5721"/>
        <v>#ERROR!</v>
      </c>
      <c r="CJ1231" s="666" t="str">
        <f t="shared" si="5722"/>
        <v>#ERROR!</v>
      </c>
      <c r="CK1231" s="377" t="str">
        <f t="shared" ref="CK1231:CN1231" si="5723">CK1206*CK1218</f>
        <v>#ERROR!</v>
      </c>
      <c r="CL1231" s="377" t="str">
        <f t="shared" si="5723"/>
        <v>#ERROR!</v>
      </c>
      <c r="CM1231" s="377" t="str">
        <f t="shared" si="5723"/>
        <v>#ERROR!</v>
      </c>
      <c r="CN1231" s="440" t="str">
        <f t="shared" si="5723"/>
        <v>#ERROR!</v>
      </c>
      <c r="CO1231" s="666" t="str">
        <f t="shared" si="5724"/>
        <v>#ERROR!</v>
      </c>
      <c r="CP1231" s="440" t="str">
        <f t="shared" ref="CP1231:CS1231" si="5725">CP1206*CP1218</f>
        <v>#ERROR!</v>
      </c>
      <c r="CQ1231" s="377" t="str">
        <f t="shared" si="5725"/>
        <v>#ERROR!</v>
      </c>
      <c r="CR1231" s="377" t="str">
        <f t="shared" si="5725"/>
        <v>#ERROR!</v>
      </c>
      <c r="CS1231" s="377" t="str">
        <f t="shared" si="5725"/>
        <v>#ERROR!</v>
      </c>
      <c r="CT1231" s="666" t="str">
        <f t="shared" si="5726"/>
        <v>#ERROR!</v>
      </c>
      <c r="CU1231" s="377" t="str">
        <f t="shared" ref="CU1231:CX1231" si="5727">CU1206*CU1218</f>
        <v>#ERROR!</v>
      </c>
      <c r="CV1231" s="377" t="str">
        <f t="shared" si="5727"/>
        <v>#ERROR!</v>
      </c>
      <c r="CW1231" s="377" t="str">
        <f t="shared" si="5727"/>
        <v>#ERROR!</v>
      </c>
      <c r="CX1231" s="377" t="str">
        <f t="shared" si="5727"/>
        <v>#ERROR!</v>
      </c>
      <c r="CY1231" s="666" t="str">
        <f t="shared" si="5728"/>
        <v>#ERROR!</v>
      </c>
      <c r="CZ1231" s="377" t="str">
        <f t="shared" ref="CZ1231:DC1231" si="5729">CZ1206*CZ1218</f>
        <v>#ERROR!</v>
      </c>
      <c r="DA1231" s="377" t="str">
        <f t="shared" si="5729"/>
        <v>#ERROR!</v>
      </c>
      <c r="DB1231" s="377" t="str">
        <f t="shared" si="5729"/>
        <v>#ERROR!</v>
      </c>
      <c r="DC1231" s="377" t="str">
        <f t="shared" si="5729"/>
        <v>#ERROR!</v>
      </c>
      <c r="DD1231" s="666" t="str">
        <f t="shared" si="5730"/>
        <v>#ERROR!</v>
      </c>
      <c r="DE1231" s="377" t="str">
        <f t="shared" ref="DE1231:DH1231" si="5731">DE1206*DE1218</f>
        <v>#ERROR!</v>
      </c>
      <c r="DF1231" s="377" t="str">
        <f t="shared" si="5731"/>
        <v>#ERROR!</v>
      </c>
      <c r="DG1231" s="440" t="str">
        <f t="shared" si="5731"/>
        <v>#ERROR!</v>
      </c>
      <c r="DH1231" s="377" t="str">
        <f t="shared" si="5731"/>
        <v>#ERROR!</v>
      </c>
      <c r="DI1231" s="666" t="str">
        <f t="shared" si="5732"/>
        <v>#ERROR!</v>
      </c>
      <c r="DJ1231" s="440" t="str">
        <f t="shared" ref="DJ1231:DM1231" si="5733">DJ1206*DJ1218</f>
        <v>#ERROR!</v>
      </c>
      <c r="DK1231" s="440" t="str">
        <f t="shared" si="5733"/>
        <v>#ERROR!</v>
      </c>
      <c r="DL1231" s="440" t="str">
        <f t="shared" si="5733"/>
        <v>#ERROR!</v>
      </c>
      <c r="DM1231" s="377" t="str">
        <f t="shared" si="5733"/>
        <v>#ERROR!</v>
      </c>
      <c r="DN1231" s="666" t="str">
        <f t="shared" si="5734"/>
        <v>#ERROR!</v>
      </c>
      <c r="DO1231" s="377" t="str">
        <f t="shared" ref="DO1231:DR1231" si="5735">DO1206*DO1218</f>
        <v>#ERROR!</v>
      </c>
      <c r="DP1231" s="377" t="str">
        <f t="shared" si="5735"/>
        <v>#ERROR!</v>
      </c>
      <c r="DQ1231" s="377" t="str">
        <f t="shared" si="5735"/>
        <v>#ERROR!</v>
      </c>
      <c r="DR1231" s="377" t="str">
        <f t="shared" si="5735"/>
        <v>#ERROR!</v>
      </c>
      <c r="DS1231" s="666" t="str">
        <f t="shared" si="5736"/>
        <v>#ERROR!</v>
      </c>
      <c r="DT1231" s="377" t="str">
        <f t="shared" ref="DT1231:DW1231" si="5737">DT1206*DT1218</f>
        <v>#ERROR!</v>
      </c>
      <c r="DU1231" s="377" t="str">
        <f t="shared" si="5737"/>
        <v>#ERROR!</v>
      </c>
      <c r="DV1231" s="377" t="str">
        <f t="shared" si="5737"/>
        <v>#ERROR!</v>
      </c>
      <c r="DW1231" s="377" t="str">
        <f t="shared" si="5737"/>
        <v>#ERROR!</v>
      </c>
      <c r="DX1231" s="666" t="str">
        <f t="shared" si="5738"/>
        <v>#ERROR!</v>
      </c>
      <c r="DY1231" s="377" t="str">
        <f t="shared" ref="DY1231:EB1231" si="5739">DY1206*DY1218</f>
        <v>#ERROR!</v>
      </c>
      <c r="DZ1231" s="377" t="str">
        <f t="shared" si="5739"/>
        <v>#ERROR!</v>
      </c>
      <c r="EA1231" s="377" t="str">
        <f t="shared" si="5739"/>
        <v>#ERROR!</v>
      </c>
      <c r="EB1231" s="377" t="str">
        <f t="shared" si="5739"/>
        <v>#ERROR!</v>
      </c>
      <c r="EC1231" s="666" t="str">
        <f t="shared" si="5740"/>
        <v>#ERROR!</v>
      </c>
      <c r="ED1231" s="377" t="str">
        <f t="shared" ref="ED1231:EG1231" si="5741">ED1206*ED1218</f>
        <v>#ERROR!</v>
      </c>
      <c r="EE1231" s="377" t="str">
        <f t="shared" si="5741"/>
        <v>#ERROR!</v>
      </c>
      <c r="EF1231" s="377" t="str">
        <f t="shared" si="5741"/>
        <v>#ERROR!</v>
      </c>
      <c r="EG1231" s="377" t="str">
        <f t="shared" si="5741"/>
        <v>#ERROR!</v>
      </c>
      <c r="EH1231" s="666" t="str">
        <f t="shared" si="5742"/>
        <v>#ERROR!</v>
      </c>
      <c r="EI1231" s="442" t="str">
        <f t="shared" ref="EI1231:EL1231" si="5743">EI1206*EI1218</f>
        <v>#ERROR!</v>
      </c>
      <c r="EJ1231" s="377" t="str">
        <f t="shared" si="5743"/>
        <v>#ERROR!</v>
      </c>
      <c r="EK1231" s="377" t="str">
        <f t="shared" si="5743"/>
        <v>#ERROR!</v>
      </c>
      <c r="EL1231" s="377" t="str">
        <f t="shared" si="5743"/>
        <v>#ERROR!</v>
      </c>
      <c r="EM1231" s="666" t="str">
        <f t="shared" si="5744"/>
        <v>#ERROR!</v>
      </c>
      <c r="EN1231" s="377" t="str">
        <f t="shared" ref="EN1231:EQ1231" si="5745">EN1206*EN1218</f>
        <v>#ERROR!</v>
      </c>
      <c r="EO1231" s="377" t="str">
        <f t="shared" si="5745"/>
        <v>#ERROR!</v>
      </c>
      <c r="EP1231" s="377" t="str">
        <f t="shared" si="5745"/>
        <v>#ERROR!</v>
      </c>
      <c r="EQ1231" s="377" t="str">
        <f t="shared" si="5745"/>
        <v>#ERROR!</v>
      </c>
      <c r="ER1231" s="666" t="str">
        <f t="shared" si="5746"/>
        <v>#ERROR!</v>
      </c>
      <c r="ES1231" s="377" t="str">
        <f t="shared" ref="ES1231:EV1231" si="5747">ES1206*ES1218</f>
        <v>#ERROR!</v>
      </c>
      <c r="ET1231" s="377" t="str">
        <f t="shared" si="5747"/>
        <v>#ERROR!</v>
      </c>
      <c r="EU1231" s="377" t="str">
        <f t="shared" si="5747"/>
        <v>#ERROR!</v>
      </c>
      <c r="EV1231" s="377" t="str">
        <f t="shared" si="5747"/>
        <v>#ERROR!</v>
      </c>
      <c r="EW1231" s="666" t="str">
        <f t="shared" si="5748"/>
        <v>#ERROR!</v>
      </c>
      <c r="EX1231" s="377" t="str">
        <f t="shared" ref="EX1231:FA1231" si="5749">EX1206*EX1218</f>
        <v>#ERROR!</v>
      </c>
      <c r="EY1231" s="377" t="str">
        <f t="shared" si="5749"/>
        <v>#ERROR!</v>
      </c>
      <c r="EZ1231" s="377" t="str">
        <f t="shared" si="5749"/>
        <v>#ERROR!</v>
      </c>
      <c r="FA1231" s="377" t="str">
        <f t="shared" si="5749"/>
        <v>#ERROR!</v>
      </c>
      <c r="FB1231" s="666" t="str">
        <f t="shared" si="5750"/>
        <v>#ERROR!</v>
      </c>
      <c r="FC1231" s="377" t="str">
        <f t="shared" ref="FC1231:FF1231" si="5751">FC1206*FC1218</f>
        <v>#ERROR!</v>
      </c>
      <c r="FD1231" s="377" t="str">
        <f t="shared" si="5751"/>
        <v>#ERROR!</v>
      </c>
      <c r="FE1231" s="377" t="str">
        <f t="shared" si="5751"/>
        <v>#ERROR!</v>
      </c>
      <c r="FF1231" s="377" t="str">
        <f t="shared" si="5751"/>
        <v>#ERROR!</v>
      </c>
      <c r="FG1231" s="666" t="str">
        <f t="shared" si="5752"/>
        <v>#ERROR!</v>
      </c>
      <c r="FH1231" s="667"/>
      <c r="FI1231" s="377"/>
      <c r="FJ1231" s="377"/>
      <c r="FK1231" s="665"/>
      <c r="FL1231" s="377"/>
    </row>
    <row r="1232" ht="12.75" hidden="1" customHeight="1" outlineLevel="2">
      <c r="A1232" s="377"/>
      <c r="B1232" s="756" t="str">
        <f t="shared" si="5703"/>
        <v>   Motherboard</v>
      </c>
      <c r="C1232" s="377"/>
      <c r="D1232" s="377"/>
      <c r="E1232" s="377"/>
      <c r="F1232" s="377"/>
      <c r="G1232" s="377"/>
      <c r="H1232" s="665"/>
      <c r="I1232" s="377"/>
      <c r="J1232" s="377"/>
      <c r="K1232" s="377"/>
      <c r="L1232" s="377"/>
      <c r="M1232" s="665"/>
      <c r="N1232" s="377"/>
      <c r="O1232" s="377"/>
      <c r="P1232" s="377"/>
      <c r="Q1232" s="377"/>
      <c r="R1232" s="665"/>
      <c r="S1232" s="377"/>
      <c r="T1232" s="377"/>
      <c r="U1232" s="377"/>
      <c r="V1232" s="377"/>
      <c r="W1232" s="665"/>
      <c r="X1232" s="377"/>
      <c r="Y1232" s="377"/>
      <c r="Z1232" s="377"/>
      <c r="AA1232" s="377"/>
      <c r="AB1232" s="665"/>
      <c r="AC1232" s="377"/>
      <c r="AD1232" s="377"/>
      <c r="AE1232" s="377"/>
      <c r="AF1232" s="377"/>
      <c r="AG1232" s="665"/>
      <c r="AH1232" s="377"/>
      <c r="AI1232" s="377"/>
      <c r="AJ1232" s="377"/>
      <c r="AK1232" s="377"/>
      <c r="AL1232" s="665"/>
      <c r="AM1232" s="377"/>
      <c r="AN1232" s="377"/>
      <c r="AO1232" s="377">
        <f t="shared" ref="AO1232:AP1232" si="5753">AO1207*AO1219</f>
        <v>73.462</v>
      </c>
      <c r="AP1232" s="377">
        <f t="shared" si="5753"/>
        <v>80.6</v>
      </c>
      <c r="AQ1232" s="665"/>
      <c r="AR1232" s="377">
        <f t="shared" ref="AR1232:AU1232" si="5754">AR1207*AR1219</f>
        <v>102.4</v>
      </c>
      <c r="AS1232" s="377">
        <f t="shared" si="5754"/>
        <v>102.4</v>
      </c>
      <c r="AT1232" s="377">
        <f t="shared" si="5754"/>
        <v>128.96</v>
      </c>
      <c r="AU1232" s="377">
        <f t="shared" si="5754"/>
        <v>158.72</v>
      </c>
      <c r="AV1232" s="665">
        <f t="shared" si="5706"/>
        <v>492.48</v>
      </c>
      <c r="AW1232" s="377">
        <f t="shared" ref="AW1232:AZ1232" si="5755">AW1207*AW1219</f>
        <v>187.044</v>
      </c>
      <c r="AX1232" s="377">
        <f t="shared" si="5755"/>
        <v>184.536</v>
      </c>
      <c r="AY1232" s="377">
        <f t="shared" si="5755"/>
        <v>189.288</v>
      </c>
      <c r="AZ1232" s="377">
        <f t="shared" si="5755"/>
        <v>194.832</v>
      </c>
      <c r="BA1232" s="665">
        <f t="shared" si="5708"/>
        <v>755.7</v>
      </c>
      <c r="BB1232" s="377">
        <f t="shared" ref="BB1232:BE1232" si="5756">BB1207*BB1219</f>
        <v>165.66</v>
      </c>
      <c r="BC1232" s="377">
        <f t="shared" si="5756"/>
        <v>190.5255</v>
      </c>
      <c r="BD1232" s="377">
        <f t="shared" si="5756"/>
        <v>211.6125</v>
      </c>
      <c r="BE1232" s="377">
        <f t="shared" si="5756"/>
        <v>237.2205</v>
      </c>
      <c r="BF1232" s="665">
        <f t="shared" si="5710"/>
        <v>805.0185</v>
      </c>
      <c r="BG1232" s="377">
        <f t="shared" ref="BG1232:BJ1232" si="5757">BG1207*BG1219</f>
        <v>200.424</v>
      </c>
      <c r="BH1232" s="377">
        <f t="shared" si="5757"/>
        <v>164.92</v>
      </c>
      <c r="BI1232" s="377">
        <f t="shared" si="5757"/>
        <v>163.514</v>
      </c>
      <c r="BJ1232" s="377">
        <f t="shared" si="5757"/>
        <v>165.087</v>
      </c>
      <c r="BK1232" s="665">
        <f t="shared" si="5712"/>
        <v>693.945</v>
      </c>
      <c r="BL1232" s="377">
        <f t="shared" ref="BL1232:BO1232" si="5758">BL1207*BL1219</f>
        <v>151.83</v>
      </c>
      <c r="BM1232" s="377">
        <f t="shared" si="5758"/>
        <v>159.39</v>
      </c>
      <c r="BN1232" s="377">
        <f t="shared" si="5758"/>
        <v>146.133</v>
      </c>
      <c r="BO1232" s="377">
        <f t="shared" si="5758"/>
        <v>97.695</v>
      </c>
      <c r="BP1232" s="665">
        <f t="shared" si="5714"/>
        <v>555.048</v>
      </c>
      <c r="BQ1232" s="377">
        <f t="shared" ref="BQ1232:BT1232" si="5759">BQ1207*BQ1219</f>
        <v>94.626</v>
      </c>
      <c r="BR1232" s="377">
        <f t="shared" si="5759"/>
        <v>111.636</v>
      </c>
      <c r="BS1232" s="377">
        <f t="shared" si="5759"/>
        <v>121.68</v>
      </c>
      <c r="BT1232" s="377">
        <f t="shared" si="5759"/>
        <v>25.37880951</v>
      </c>
      <c r="BU1232" s="665">
        <f t="shared" si="5716"/>
        <v>353.3208095</v>
      </c>
      <c r="BV1232" s="377">
        <f t="shared" ref="BV1232:BY1232" si="5760">BV1207*BV1219</f>
        <v>24.83166599</v>
      </c>
      <c r="BW1232" s="377">
        <f t="shared" si="5760"/>
        <v>28.67406116</v>
      </c>
      <c r="BX1232" s="377">
        <f t="shared" si="5760"/>
        <v>27.57567147</v>
      </c>
      <c r="BY1232" s="377">
        <f t="shared" si="5760"/>
        <v>32.04431107</v>
      </c>
      <c r="BZ1232" s="666">
        <f t="shared" si="5718"/>
        <v>113.1257097</v>
      </c>
      <c r="CA1232" s="377">
        <f t="shared" ref="CA1232:CD1232" si="5761">CA1207*CA1219</f>
        <v>27.6473179</v>
      </c>
      <c r="CB1232" s="377">
        <f t="shared" si="5761"/>
        <v>28.17060355</v>
      </c>
      <c r="CC1232" s="377">
        <f t="shared" si="5761"/>
        <v>26.80673716</v>
      </c>
      <c r="CD1232" s="377">
        <f t="shared" si="5761"/>
        <v>28.77132739</v>
      </c>
      <c r="CE1232" s="666">
        <f t="shared" si="5720"/>
        <v>111.395986</v>
      </c>
      <c r="CF1232" s="377">
        <f t="shared" ref="CF1232:CI1232" si="5762">CF1207*CF1219</f>
        <v>27.82810311</v>
      </c>
      <c r="CG1232" s="377">
        <f t="shared" si="5762"/>
        <v>31.78148315</v>
      </c>
      <c r="CH1232" s="377">
        <f t="shared" si="5762"/>
        <v>28.96887407</v>
      </c>
      <c r="CI1232" s="377">
        <f t="shared" si="5762"/>
        <v>30.37368079</v>
      </c>
      <c r="CJ1232" s="666">
        <f t="shared" si="5722"/>
        <v>118.9521411</v>
      </c>
      <c r="CK1232" s="377">
        <f t="shared" ref="CK1232:CN1232" si="5763">CK1207*CK1219</f>
        <v>31.17213086</v>
      </c>
      <c r="CL1232" s="377">
        <f t="shared" si="5763"/>
        <v>32.23907436</v>
      </c>
      <c r="CM1232" s="377">
        <f t="shared" si="5763"/>
        <v>32.23291157</v>
      </c>
      <c r="CN1232" s="440">
        <f t="shared" si="5763"/>
        <v>33.26774788</v>
      </c>
      <c r="CO1232" s="666">
        <f t="shared" si="5724"/>
        <v>128.9118647</v>
      </c>
      <c r="CP1232" s="440">
        <f t="shared" ref="CP1232:CS1232" si="5764">CP1207*CP1219</f>
        <v>33.72049662</v>
      </c>
      <c r="CQ1232" s="377">
        <f t="shared" si="5764"/>
        <v>39.48822061</v>
      </c>
      <c r="CR1232" s="377">
        <f t="shared" si="5764"/>
        <v>40.42603015</v>
      </c>
      <c r="CS1232" s="377">
        <f t="shared" si="5764"/>
        <v>44.64590699</v>
      </c>
      <c r="CT1232" s="666">
        <f t="shared" si="5726"/>
        <v>158.2806544</v>
      </c>
      <c r="CU1232" s="377">
        <f t="shared" ref="CU1232:CX1232" si="5765">CU1207*CU1219</f>
        <v>44.08418457</v>
      </c>
      <c r="CV1232" s="377">
        <f t="shared" si="5765"/>
        <v>46.19645678</v>
      </c>
      <c r="CW1232" s="377">
        <f t="shared" si="5765"/>
        <v>50.12504521</v>
      </c>
      <c r="CX1232" s="377">
        <f t="shared" si="5765"/>
        <v>47.90629949</v>
      </c>
      <c r="CY1232" s="666">
        <f t="shared" si="5728"/>
        <v>188.311986</v>
      </c>
      <c r="CZ1232" s="377">
        <f t="shared" ref="CZ1232:DC1232" si="5766">CZ1207*CZ1219</f>
        <v>47.10142686</v>
      </c>
      <c r="DA1232" s="377">
        <f t="shared" si="5766"/>
        <v>49.82110842</v>
      </c>
      <c r="DB1232" s="377">
        <f t="shared" si="5766"/>
        <v>50.20536327</v>
      </c>
      <c r="DC1232" s="377">
        <f t="shared" si="5766"/>
        <v>52.51420152</v>
      </c>
      <c r="DD1232" s="666">
        <f t="shared" si="5730"/>
        <v>199.6421001</v>
      </c>
      <c r="DE1232" s="377">
        <f t="shared" ref="DE1232:DH1232" si="5767">DE1207*DE1219</f>
        <v>52.09893818</v>
      </c>
      <c r="DF1232" s="377">
        <f t="shared" si="5767"/>
        <v>53.51796391</v>
      </c>
      <c r="DG1232" s="440">
        <f t="shared" si="5767"/>
        <v>54.50017385</v>
      </c>
      <c r="DH1232" s="377">
        <f t="shared" si="5767"/>
        <v>54.37542903</v>
      </c>
      <c r="DI1232" s="666">
        <f t="shared" si="5732"/>
        <v>214.492505</v>
      </c>
      <c r="DJ1232" s="440">
        <f t="shared" ref="DJ1232:DM1232" si="5768">DJ1207*DJ1219</f>
        <v>56.49531906</v>
      </c>
      <c r="DK1232" s="440">
        <f t="shared" si="5768"/>
        <v>61.5235751</v>
      </c>
      <c r="DL1232" s="440">
        <f t="shared" si="5768"/>
        <v>63.37237161</v>
      </c>
      <c r="DM1232" s="377">
        <f t="shared" si="5768"/>
        <v>63.13703283</v>
      </c>
      <c r="DN1232" s="666">
        <f t="shared" si="5734"/>
        <v>244.5282986</v>
      </c>
      <c r="DO1232" s="377">
        <f t="shared" ref="DO1232:DR1232" si="5769">DO1207*DO1219</f>
        <v>64.22807898</v>
      </c>
      <c r="DP1232" s="377">
        <f t="shared" si="5769"/>
        <v>68.80526235</v>
      </c>
      <c r="DQ1232" s="377">
        <f t="shared" si="5769"/>
        <v>69.22590391</v>
      </c>
      <c r="DR1232" s="377">
        <f t="shared" si="5769"/>
        <v>72.01252329</v>
      </c>
      <c r="DS1232" s="666">
        <f t="shared" si="5736"/>
        <v>274.2717685</v>
      </c>
      <c r="DT1232" s="377">
        <f t="shared" ref="DT1232:DW1232" si="5770">DT1207*DT1219</f>
        <v>73.24619519</v>
      </c>
      <c r="DU1232" s="377">
        <f t="shared" si="5770"/>
        <v>78.49596048</v>
      </c>
      <c r="DV1232" s="377">
        <f t="shared" si="5770"/>
        <v>79.00275583</v>
      </c>
      <c r="DW1232" s="377">
        <f t="shared" si="5770"/>
        <v>82.18799175</v>
      </c>
      <c r="DX1232" s="666">
        <f t="shared" si="5738"/>
        <v>312.9329032</v>
      </c>
      <c r="DY1232" s="377">
        <f t="shared" ref="DY1232:EB1232" si="5771">DY1207*DY1219</f>
        <v>83.60391288</v>
      </c>
      <c r="DZ1232" s="377">
        <f t="shared" si="5771"/>
        <v>89.62517363</v>
      </c>
      <c r="EA1232" s="377">
        <f t="shared" si="5771"/>
        <v>90.23115734</v>
      </c>
      <c r="EB1232" s="377">
        <f t="shared" si="5771"/>
        <v>93.8746368</v>
      </c>
      <c r="EC1232" s="666">
        <f t="shared" si="5740"/>
        <v>357.3348806</v>
      </c>
      <c r="ED1232" s="377">
        <f t="shared" ref="ED1232:EG1232" si="5772">ED1207*ED1219</f>
        <v>0</v>
      </c>
      <c r="EE1232" s="377">
        <f t="shared" si="5772"/>
        <v>0</v>
      </c>
      <c r="EF1232" s="377">
        <f t="shared" si="5772"/>
        <v>0</v>
      </c>
      <c r="EG1232" s="377">
        <f t="shared" si="5772"/>
        <v>0</v>
      </c>
      <c r="EH1232" s="666">
        <f t="shared" si="5742"/>
        <v>0</v>
      </c>
      <c r="EI1232" s="442">
        <f t="shared" ref="EI1232:EL1232" si="5773">EI1207*EI1219</f>
        <v>0</v>
      </c>
      <c r="EJ1232" s="377">
        <f t="shared" si="5773"/>
        <v>0</v>
      </c>
      <c r="EK1232" s="377">
        <f t="shared" si="5773"/>
        <v>0</v>
      </c>
      <c r="EL1232" s="377">
        <f t="shared" si="5773"/>
        <v>0</v>
      </c>
      <c r="EM1232" s="666">
        <f t="shared" si="5744"/>
        <v>0</v>
      </c>
      <c r="EN1232" s="377">
        <f t="shared" ref="EN1232:EQ1232" si="5774">EN1207*EN1219</f>
        <v>0</v>
      </c>
      <c r="EO1232" s="377">
        <f t="shared" si="5774"/>
        <v>0</v>
      </c>
      <c r="EP1232" s="377">
        <f t="shared" si="5774"/>
        <v>0</v>
      </c>
      <c r="EQ1232" s="377">
        <f t="shared" si="5774"/>
        <v>0</v>
      </c>
      <c r="ER1232" s="666">
        <f t="shared" si="5746"/>
        <v>0</v>
      </c>
      <c r="ES1232" s="377">
        <f t="shared" ref="ES1232:EV1232" si="5775">ES1207*ES1219</f>
        <v>0</v>
      </c>
      <c r="ET1232" s="377">
        <f t="shared" si="5775"/>
        <v>0</v>
      </c>
      <c r="EU1232" s="377">
        <f t="shared" si="5775"/>
        <v>0</v>
      </c>
      <c r="EV1232" s="377">
        <f t="shared" si="5775"/>
        <v>0</v>
      </c>
      <c r="EW1232" s="666">
        <f t="shared" si="5748"/>
        <v>0</v>
      </c>
      <c r="EX1232" s="377">
        <f t="shared" ref="EX1232:FA1232" si="5776">EX1207*EX1219</f>
        <v>0</v>
      </c>
      <c r="EY1232" s="377">
        <f t="shared" si="5776"/>
        <v>0</v>
      </c>
      <c r="EZ1232" s="377">
        <f t="shared" si="5776"/>
        <v>0</v>
      </c>
      <c r="FA1232" s="377">
        <f t="shared" si="5776"/>
        <v>0</v>
      </c>
      <c r="FB1232" s="666">
        <f t="shared" si="5750"/>
        <v>0</v>
      </c>
      <c r="FC1232" s="377">
        <f t="shared" ref="FC1232:FF1232" si="5777">FC1207*FC1219</f>
        <v>0</v>
      </c>
      <c r="FD1232" s="377">
        <f t="shared" si="5777"/>
        <v>0</v>
      </c>
      <c r="FE1232" s="377">
        <f t="shared" si="5777"/>
        <v>0</v>
      </c>
      <c r="FF1232" s="377">
        <f t="shared" si="5777"/>
        <v>0</v>
      </c>
      <c r="FG1232" s="666">
        <f t="shared" si="5752"/>
        <v>0</v>
      </c>
      <c r="FH1232" s="667"/>
      <c r="FI1232" s="377"/>
      <c r="FJ1232" s="377"/>
      <c r="FK1232" s="665"/>
      <c r="FL1232" s="377"/>
    </row>
    <row r="1233" ht="12.75" hidden="1" customHeight="1" outlineLevel="2">
      <c r="A1233" s="377"/>
      <c r="B1233" s="756" t="str">
        <f t="shared" si="5703"/>
        <v>Architecture group - IAG</v>
      </c>
      <c r="C1233" s="377"/>
      <c r="D1233" s="377"/>
      <c r="E1233" s="377"/>
      <c r="F1233" s="377"/>
      <c r="G1233" s="377"/>
      <c r="H1233" s="665"/>
      <c r="I1233" s="377"/>
      <c r="J1233" s="377"/>
      <c r="K1233" s="377"/>
      <c r="L1233" s="377"/>
      <c r="M1233" s="665"/>
      <c r="N1233" s="377"/>
      <c r="O1233" s="377"/>
      <c r="P1233" s="377"/>
      <c r="Q1233" s="377"/>
      <c r="R1233" s="665"/>
      <c r="S1233" s="377"/>
      <c r="T1233" s="377"/>
      <c r="U1233" s="377"/>
      <c r="V1233" s="377"/>
      <c r="W1233" s="665"/>
      <c r="X1233" s="377"/>
      <c r="Y1233" s="377"/>
      <c r="Z1233" s="377"/>
      <c r="AA1233" s="377"/>
      <c r="AB1233" s="665"/>
      <c r="AC1233" s="377"/>
      <c r="AD1233" s="377"/>
      <c r="AE1233" s="377"/>
      <c r="AF1233" s="377"/>
      <c r="AG1233" s="665"/>
      <c r="AH1233" s="377"/>
      <c r="AI1233" s="377"/>
      <c r="AJ1233" s="377"/>
      <c r="AK1233" s="377"/>
      <c r="AL1233" s="665"/>
      <c r="AM1233" s="377"/>
      <c r="AN1233" s="377"/>
      <c r="AO1233" s="377">
        <f t="shared" ref="AO1233:AP1233" si="5778">SUM(AO1230:AO1232)</f>
        <v>4171.708</v>
      </c>
      <c r="AP1233" s="377">
        <f t="shared" si="5778"/>
        <v>5063.96</v>
      </c>
      <c r="AQ1233" s="665"/>
      <c r="AR1233" s="377" t="str">
        <f t="shared" ref="AR1233:AU1233" si="5779">SUM(AR1230:AR1232)</f>
        <v>#ERROR!</v>
      </c>
      <c r="AS1233" s="377" t="str">
        <f t="shared" si="5779"/>
        <v>#ERROR!</v>
      </c>
      <c r="AT1233" s="377" t="str">
        <f t="shared" si="5779"/>
        <v>#ERROR!</v>
      </c>
      <c r="AU1233" s="377" t="str">
        <f t="shared" si="5779"/>
        <v>#ERROR!</v>
      </c>
      <c r="AV1233" s="665" t="str">
        <f t="shared" si="5706"/>
        <v>#ERROR!</v>
      </c>
      <c r="AW1233" s="377" t="str">
        <f t="shared" ref="AW1233:AZ1233" si="5780">SUM(AW1230:AW1232)</f>
        <v>#ERROR!</v>
      </c>
      <c r="AX1233" s="377" t="str">
        <f t="shared" si="5780"/>
        <v>#ERROR!</v>
      </c>
      <c r="AY1233" s="377" t="str">
        <f t="shared" si="5780"/>
        <v>#ERROR!</v>
      </c>
      <c r="AZ1233" s="377" t="str">
        <f t="shared" si="5780"/>
        <v>#ERROR!</v>
      </c>
      <c r="BA1233" s="665" t="str">
        <f t="shared" si="5708"/>
        <v>#ERROR!</v>
      </c>
      <c r="BB1233" s="377" t="str">
        <f t="shared" ref="BB1233:BE1233" si="5781">SUM(BB1230:BB1232)</f>
        <v>#ERROR!</v>
      </c>
      <c r="BC1233" s="377" t="str">
        <f t="shared" si="5781"/>
        <v>#ERROR!</v>
      </c>
      <c r="BD1233" s="377" t="str">
        <f t="shared" si="5781"/>
        <v>#ERROR!</v>
      </c>
      <c r="BE1233" s="377" t="str">
        <f t="shared" si="5781"/>
        <v>#ERROR!</v>
      </c>
      <c r="BF1233" s="665" t="str">
        <f t="shared" si="5710"/>
        <v>#ERROR!</v>
      </c>
      <c r="BG1233" s="377" t="str">
        <f t="shared" ref="BG1233:BJ1233" si="5782">SUM(BG1230:BG1232)</f>
        <v>#ERROR!</v>
      </c>
      <c r="BH1233" s="377" t="str">
        <f t="shared" si="5782"/>
        <v>#ERROR!</v>
      </c>
      <c r="BI1233" s="377" t="str">
        <f t="shared" si="5782"/>
        <v>#ERROR!</v>
      </c>
      <c r="BJ1233" s="377" t="str">
        <f t="shared" si="5782"/>
        <v>#ERROR!</v>
      </c>
      <c r="BK1233" s="665" t="str">
        <f t="shared" si="5712"/>
        <v>#ERROR!</v>
      </c>
      <c r="BL1233" s="377" t="str">
        <f t="shared" ref="BL1233:BO1233" si="5783">SUM(BL1230:BL1232)</f>
        <v>#ERROR!</v>
      </c>
      <c r="BM1233" s="377" t="str">
        <f t="shared" si="5783"/>
        <v>#ERROR!</v>
      </c>
      <c r="BN1233" s="377" t="str">
        <f t="shared" si="5783"/>
        <v>#ERROR!</v>
      </c>
      <c r="BO1233" s="377" t="str">
        <f t="shared" si="5783"/>
        <v>#ERROR!</v>
      </c>
      <c r="BP1233" s="665" t="str">
        <f t="shared" si="5714"/>
        <v>#ERROR!</v>
      </c>
      <c r="BQ1233" s="377" t="str">
        <f t="shared" ref="BQ1233:BT1233" si="5784">SUM(BQ1230:BQ1232)</f>
        <v>#ERROR!</v>
      </c>
      <c r="BR1233" s="377" t="str">
        <f t="shared" si="5784"/>
        <v>#ERROR!</v>
      </c>
      <c r="BS1233" s="377" t="str">
        <f t="shared" si="5784"/>
        <v>#ERROR!</v>
      </c>
      <c r="BT1233" s="377" t="str">
        <f t="shared" si="5784"/>
        <v>#ERROR!</v>
      </c>
      <c r="BU1233" s="665" t="str">
        <f t="shared" si="5716"/>
        <v>#ERROR!</v>
      </c>
      <c r="BV1233" s="377" t="str">
        <f t="shared" ref="BV1233:BY1233" si="5785">SUM(BV1230:BV1232)</f>
        <v>#ERROR!</v>
      </c>
      <c r="BW1233" s="377" t="str">
        <f t="shared" si="5785"/>
        <v>#ERROR!</v>
      </c>
      <c r="BX1233" s="377" t="str">
        <f t="shared" si="5785"/>
        <v>#ERROR!</v>
      </c>
      <c r="BY1233" s="377" t="str">
        <f t="shared" si="5785"/>
        <v>#ERROR!</v>
      </c>
      <c r="BZ1233" s="666" t="str">
        <f t="shared" si="5718"/>
        <v>#ERROR!</v>
      </c>
      <c r="CA1233" s="377" t="str">
        <f t="shared" ref="CA1233:CD1233" si="5786">SUM(CA1230:CA1232)</f>
        <v>#ERROR!</v>
      </c>
      <c r="CB1233" s="377" t="str">
        <f t="shared" si="5786"/>
        <v>#ERROR!</v>
      </c>
      <c r="CC1233" s="377" t="str">
        <f t="shared" si="5786"/>
        <v>#ERROR!</v>
      </c>
      <c r="CD1233" s="377" t="str">
        <f t="shared" si="5786"/>
        <v>#ERROR!</v>
      </c>
      <c r="CE1233" s="666" t="str">
        <f t="shared" si="5720"/>
        <v>#ERROR!</v>
      </c>
      <c r="CF1233" s="377" t="str">
        <f t="shared" ref="CF1233:CI1233" si="5787">SUM(CF1230:CF1232)</f>
        <v>#ERROR!</v>
      </c>
      <c r="CG1233" s="377" t="str">
        <f t="shared" si="5787"/>
        <v>#ERROR!</v>
      </c>
      <c r="CH1233" s="377" t="str">
        <f t="shared" si="5787"/>
        <v>#ERROR!</v>
      </c>
      <c r="CI1233" s="377" t="str">
        <f t="shared" si="5787"/>
        <v>#ERROR!</v>
      </c>
      <c r="CJ1233" s="666" t="str">
        <f t="shared" si="5722"/>
        <v>#ERROR!</v>
      </c>
      <c r="CK1233" s="377" t="str">
        <f t="shared" ref="CK1233:CN1233" si="5788">SUM(CK1230:CK1232)</f>
        <v>#ERROR!</v>
      </c>
      <c r="CL1233" s="377" t="str">
        <f t="shared" si="5788"/>
        <v>#ERROR!</v>
      </c>
      <c r="CM1233" s="377" t="str">
        <f t="shared" si="5788"/>
        <v>#ERROR!</v>
      </c>
      <c r="CN1233" s="440" t="str">
        <f t="shared" si="5788"/>
        <v>#ERROR!</v>
      </c>
      <c r="CO1233" s="666" t="str">
        <f t="shared" si="5724"/>
        <v>#ERROR!</v>
      </c>
      <c r="CP1233" s="440" t="str">
        <f t="shared" ref="CP1233:CS1233" si="5789">SUM(CP1230:CP1232)</f>
        <v>#ERROR!</v>
      </c>
      <c r="CQ1233" s="377" t="str">
        <f t="shared" si="5789"/>
        <v>#ERROR!</v>
      </c>
      <c r="CR1233" s="377" t="str">
        <f t="shared" si="5789"/>
        <v>#ERROR!</v>
      </c>
      <c r="CS1233" s="377" t="str">
        <f t="shared" si="5789"/>
        <v>#ERROR!</v>
      </c>
      <c r="CT1233" s="666" t="str">
        <f t="shared" si="5726"/>
        <v>#ERROR!</v>
      </c>
      <c r="CU1233" s="377" t="str">
        <f t="shared" ref="CU1233:CX1233" si="5790">SUM(CU1230:CU1232)</f>
        <v>#ERROR!</v>
      </c>
      <c r="CV1233" s="377" t="str">
        <f t="shared" si="5790"/>
        <v>#ERROR!</v>
      </c>
      <c r="CW1233" s="377" t="str">
        <f t="shared" si="5790"/>
        <v>#ERROR!</v>
      </c>
      <c r="CX1233" s="377" t="str">
        <f t="shared" si="5790"/>
        <v>#ERROR!</v>
      </c>
      <c r="CY1233" s="666" t="str">
        <f t="shared" si="5728"/>
        <v>#ERROR!</v>
      </c>
      <c r="CZ1233" s="377" t="str">
        <f t="shared" ref="CZ1233:DC1233" si="5791">SUM(CZ1230:CZ1232)</f>
        <v>#ERROR!</v>
      </c>
      <c r="DA1233" s="377" t="str">
        <f t="shared" si="5791"/>
        <v>#ERROR!</v>
      </c>
      <c r="DB1233" s="377" t="str">
        <f t="shared" si="5791"/>
        <v>#ERROR!</v>
      </c>
      <c r="DC1233" s="377" t="str">
        <f t="shared" si="5791"/>
        <v>#ERROR!</v>
      </c>
      <c r="DD1233" s="666" t="str">
        <f t="shared" si="5730"/>
        <v>#ERROR!</v>
      </c>
      <c r="DE1233" s="377" t="str">
        <f t="shared" ref="DE1233:DH1233" si="5792">SUM(DE1230:DE1232)</f>
        <v>#ERROR!</v>
      </c>
      <c r="DF1233" s="377" t="str">
        <f t="shared" si="5792"/>
        <v>#ERROR!</v>
      </c>
      <c r="DG1233" s="440" t="str">
        <f t="shared" si="5792"/>
        <v>#ERROR!</v>
      </c>
      <c r="DH1233" s="377" t="str">
        <f t="shared" si="5792"/>
        <v>#ERROR!</v>
      </c>
      <c r="DI1233" s="666" t="str">
        <f t="shared" si="5732"/>
        <v>#ERROR!</v>
      </c>
      <c r="DJ1233" s="440" t="str">
        <f t="shared" ref="DJ1233:DM1233" si="5793">SUM(DJ1230:DJ1232)</f>
        <v>#ERROR!</v>
      </c>
      <c r="DK1233" s="440" t="str">
        <f t="shared" si="5793"/>
        <v>#ERROR!</v>
      </c>
      <c r="DL1233" s="440" t="str">
        <f t="shared" si="5793"/>
        <v>#ERROR!</v>
      </c>
      <c r="DM1233" s="377" t="str">
        <f t="shared" si="5793"/>
        <v>#ERROR!</v>
      </c>
      <c r="DN1233" s="666" t="str">
        <f t="shared" si="5734"/>
        <v>#ERROR!</v>
      </c>
      <c r="DO1233" s="377" t="str">
        <f t="shared" ref="DO1233:DR1233" si="5794">SUM(DO1230:DO1232)</f>
        <v>#ERROR!</v>
      </c>
      <c r="DP1233" s="377" t="str">
        <f t="shared" si="5794"/>
        <v>#ERROR!</v>
      </c>
      <c r="DQ1233" s="377" t="str">
        <f t="shared" si="5794"/>
        <v>#ERROR!</v>
      </c>
      <c r="DR1233" s="377" t="str">
        <f t="shared" si="5794"/>
        <v>#ERROR!</v>
      </c>
      <c r="DS1233" s="666" t="str">
        <f t="shared" si="5736"/>
        <v>#ERROR!</v>
      </c>
      <c r="DT1233" s="377" t="str">
        <f t="shared" ref="DT1233:DW1233" si="5795">SUM(DT1230:DT1232)</f>
        <v>#ERROR!</v>
      </c>
      <c r="DU1233" s="377" t="str">
        <f t="shared" si="5795"/>
        <v>#ERROR!</v>
      </c>
      <c r="DV1233" s="377" t="str">
        <f t="shared" si="5795"/>
        <v>#ERROR!</v>
      </c>
      <c r="DW1233" s="377" t="str">
        <f t="shared" si="5795"/>
        <v>#ERROR!</v>
      </c>
      <c r="DX1233" s="666" t="str">
        <f t="shared" si="5738"/>
        <v>#ERROR!</v>
      </c>
      <c r="DY1233" s="377" t="str">
        <f t="shared" ref="DY1233:EB1233" si="5796">SUM(DY1230:DY1232)</f>
        <v>#ERROR!</v>
      </c>
      <c r="DZ1233" s="377" t="str">
        <f t="shared" si="5796"/>
        <v>#ERROR!</v>
      </c>
      <c r="EA1233" s="377" t="str">
        <f t="shared" si="5796"/>
        <v>#ERROR!</v>
      </c>
      <c r="EB1233" s="377" t="str">
        <f t="shared" si="5796"/>
        <v>#ERROR!</v>
      </c>
      <c r="EC1233" s="666" t="str">
        <f t="shared" si="5740"/>
        <v>#ERROR!</v>
      </c>
      <c r="ED1233" s="377" t="str">
        <f t="shared" ref="ED1233:EG1233" si="5797">SUM(ED1230:ED1232)</f>
        <v>#ERROR!</v>
      </c>
      <c r="EE1233" s="377" t="str">
        <f t="shared" si="5797"/>
        <v>#ERROR!</v>
      </c>
      <c r="EF1233" s="377" t="str">
        <f t="shared" si="5797"/>
        <v>#ERROR!</v>
      </c>
      <c r="EG1233" s="377" t="str">
        <f t="shared" si="5797"/>
        <v>#ERROR!</v>
      </c>
      <c r="EH1233" s="666" t="str">
        <f t="shared" si="5742"/>
        <v>#ERROR!</v>
      </c>
      <c r="EI1233" s="442" t="str">
        <f t="shared" ref="EI1233:EL1233" si="5798">SUM(EI1230:EI1232)</f>
        <v>#ERROR!</v>
      </c>
      <c r="EJ1233" s="377" t="str">
        <f t="shared" si="5798"/>
        <v>#ERROR!</v>
      </c>
      <c r="EK1233" s="377" t="str">
        <f t="shared" si="5798"/>
        <v>#ERROR!</v>
      </c>
      <c r="EL1233" s="377" t="str">
        <f t="shared" si="5798"/>
        <v>#ERROR!</v>
      </c>
      <c r="EM1233" s="666" t="str">
        <f t="shared" si="5744"/>
        <v>#ERROR!</v>
      </c>
      <c r="EN1233" s="377" t="str">
        <f t="shared" ref="EN1233:EQ1233" si="5799">SUM(EN1230:EN1232)</f>
        <v>#ERROR!</v>
      </c>
      <c r="EO1233" s="377" t="str">
        <f t="shared" si="5799"/>
        <v>#ERROR!</v>
      </c>
      <c r="EP1233" s="377" t="str">
        <f t="shared" si="5799"/>
        <v>#ERROR!</v>
      </c>
      <c r="EQ1233" s="377" t="str">
        <f t="shared" si="5799"/>
        <v>#ERROR!</v>
      </c>
      <c r="ER1233" s="666" t="str">
        <f t="shared" si="5746"/>
        <v>#ERROR!</v>
      </c>
      <c r="ES1233" s="377" t="str">
        <f t="shared" ref="ES1233:EV1233" si="5800">SUM(ES1230:ES1232)</f>
        <v>#ERROR!</v>
      </c>
      <c r="ET1233" s="377" t="str">
        <f t="shared" si="5800"/>
        <v>#ERROR!</v>
      </c>
      <c r="EU1233" s="377" t="str">
        <f t="shared" si="5800"/>
        <v>#ERROR!</v>
      </c>
      <c r="EV1233" s="377" t="str">
        <f t="shared" si="5800"/>
        <v>#ERROR!</v>
      </c>
      <c r="EW1233" s="666" t="str">
        <f t="shared" si="5748"/>
        <v>#ERROR!</v>
      </c>
      <c r="EX1233" s="377" t="str">
        <f t="shared" ref="EX1233:FA1233" si="5801">SUM(EX1230:EX1232)</f>
        <v>#ERROR!</v>
      </c>
      <c r="EY1233" s="377" t="str">
        <f t="shared" si="5801"/>
        <v>#ERROR!</v>
      </c>
      <c r="EZ1233" s="377" t="str">
        <f t="shared" si="5801"/>
        <v>#ERROR!</v>
      </c>
      <c r="FA1233" s="377" t="str">
        <f t="shared" si="5801"/>
        <v>#ERROR!</v>
      </c>
      <c r="FB1233" s="666" t="str">
        <f t="shared" si="5750"/>
        <v>#ERROR!</v>
      </c>
      <c r="FC1233" s="377" t="str">
        <f t="shared" ref="FC1233:FF1233" si="5802">SUM(FC1230:FC1232)</f>
        <v>#ERROR!</v>
      </c>
      <c r="FD1233" s="377" t="str">
        <f t="shared" si="5802"/>
        <v>#ERROR!</v>
      </c>
      <c r="FE1233" s="377" t="str">
        <f t="shared" si="5802"/>
        <v>#ERROR!</v>
      </c>
      <c r="FF1233" s="377" t="str">
        <f t="shared" si="5802"/>
        <v>#ERROR!</v>
      </c>
      <c r="FG1233" s="666" t="str">
        <f t="shared" si="5752"/>
        <v>#ERROR!</v>
      </c>
      <c r="FH1233" s="667"/>
      <c r="FI1233" s="377"/>
      <c r="FJ1233" s="377"/>
      <c r="FK1233" s="665"/>
      <c r="FL1233" s="377"/>
    </row>
    <row r="1234" ht="12.75" hidden="1" customHeight="1" outlineLevel="2">
      <c r="A1234" s="377"/>
      <c r="B1234" s="756" t="str">
        <f t="shared" si="5703"/>
        <v>WCCG</v>
      </c>
      <c r="C1234" s="377"/>
      <c r="D1234" s="377"/>
      <c r="E1234" s="377"/>
      <c r="F1234" s="377"/>
      <c r="G1234" s="377"/>
      <c r="H1234" s="665"/>
      <c r="I1234" s="377"/>
      <c r="J1234" s="377"/>
      <c r="K1234" s="377"/>
      <c r="L1234" s="377"/>
      <c r="M1234" s="665"/>
      <c r="N1234" s="377"/>
      <c r="O1234" s="377"/>
      <c r="P1234" s="377"/>
      <c r="Q1234" s="377"/>
      <c r="R1234" s="665"/>
      <c r="S1234" s="377"/>
      <c r="T1234" s="377"/>
      <c r="U1234" s="377"/>
      <c r="V1234" s="377"/>
      <c r="W1234" s="665"/>
      <c r="X1234" s="377"/>
      <c r="Y1234" s="377"/>
      <c r="Z1234" s="377"/>
      <c r="AA1234" s="377"/>
      <c r="AB1234" s="665"/>
      <c r="AC1234" s="377"/>
      <c r="AD1234" s="377"/>
      <c r="AE1234" s="377"/>
      <c r="AF1234" s="377"/>
      <c r="AG1234" s="665"/>
      <c r="AH1234" s="377"/>
      <c r="AI1234" s="377"/>
      <c r="AJ1234" s="377"/>
      <c r="AK1234" s="377"/>
      <c r="AL1234" s="665"/>
      <c r="AM1234" s="377"/>
      <c r="AN1234" s="377"/>
      <c r="AO1234" s="377">
        <f t="shared" ref="AO1234:AP1234" si="5803">AO1209*AO1221</f>
        <v>157.5</v>
      </c>
      <c r="AP1234" s="377">
        <f t="shared" si="5803"/>
        <v>187.6</v>
      </c>
      <c r="AQ1234" s="665"/>
      <c r="AR1234" s="377">
        <f t="shared" ref="AR1234:AU1234" si="5804">AR1209*AR1221</f>
        <v>0</v>
      </c>
      <c r="AS1234" s="377">
        <f t="shared" si="5804"/>
        <v>0</v>
      </c>
      <c r="AT1234" s="377">
        <f t="shared" si="5804"/>
        <v>0</v>
      </c>
      <c r="AU1234" s="377">
        <f t="shared" si="5804"/>
        <v>0</v>
      </c>
      <c r="AV1234" s="665">
        <f t="shared" si="5706"/>
        <v>0</v>
      </c>
      <c r="AW1234" s="377">
        <f t="shared" ref="AW1234:AZ1234" si="5805">AW1209*AW1221</f>
        <v>0</v>
      </c>
      <c r="AX1234" s="377">
        <f t="shared" si="5805"/>
        <v>0</v>
      </c>
      <c r="AY1234" s="377">
        <f t="shared" si="5805"/>
        <v>0</v>
      </c>
      <c r="AZ1234" s="377">
        <f t="shared" si="5805"/>
        <v>0</v>
      </c>
      <c r="BA1234" s="665">
        <f t="shared" si="5708"/>
        <v>0</v>
      </c>
      <c r="BB1234" s="377">
        <f t="shared" ref="BB1234:BE1234" si="5806">BB1209*BB1221</f>
        <v>0</v>
      </c>
      <c r="BC1234" s="377">
        <f t="shared" si="5806"/>
        <v>0</v>
      </c>
      <c r="BD1234" s="377">
        <f t="shared" si="5806"/>
        <v>0</v>
      </c>
      <c r="BE1234" s="377">
        <f t="shared" si="5806"/>
        <v>0</v>
      </c>
      <c r="BF1234" s="665">
        <f t="shared" si="5710"/>
        <v>0</v>
      </c>
      <c r="BG1234" s="377">
        <f t="shared" ref="BG1234:BJ1234" si="5807">BG1209*BG1221</f>
        <v>0</v>
      </c>
      <c r="BH1234" s="377">
        <f t="shared" si="5807"/>
        <v>0</v>
      </c>
      <c r="BI1234" s="377">
        <f t="shared" si="5807"/>
        <v>0</v>
      </c>
      <c r="BJ1234" s="377">
        <f t="shared" si="5807"/>
        <v>0</v>
      </c>
      <c r="BK1234" s="665">
        <f t="shared" si="5712"/>
        <v>0</v>
      </c>
      <c r="BL1234" s="377">
        <f t="shared" ref="BL1234:BO1234" si="5808">BL1209*BL1221</f>
        <v>0</v>
      </c>
      <c r="BM1234" s="377">
        <f t="shared" si="5808"/>
        <v>0</v>
      </c>
      <c r="BN1234" s="377">
        <f t="shared" si="5808"/>
        <v>0</v>
      </c>
      <c r="BO1234" s="377">
        <f t="shared" si="5808"/>
        <v>0</v>
      </c>
      <c r="BP1234" s="665">
        <f t="shared" si="5714"/>
        <v>0</v>
      </c>
      <c r="BQ1234" s="377">
        <f t="shared" ref="BQ1234:BT1234" si="5809">BQ1209*BQ1221</f>
        <v>0</v>
      </c>
      <c r="BR1234" s="377">
        <f t="shared" si="5809"/>
        <v>0</v>
      </c>
      <c r="BS1234" s="377">
        <f t="shared" si="5809"/>
        <v>0</v>
      </c>
      <c r="BT1234" s="377">
        <f t="shared" si="5809"/>
        <v>0</v>
      </c>
      <c r="BU1234" s="665">
        <f t="shared" si="5716"/>
        <v>0</v>
      </c>
      <c r="BV1234" s="377">
        <f t="shared" ref="BV1234:BY1234" si="5810">BV1209*BV1221</f>
        <v>0</v>
      </c>
      <c r="BW1234" s="377">
        <f t="shared" si="5810"/>
        <v>0</v>
      </c>
      <c r="BX1234" s="377">
        <f t="shared" si="5810"/>
        <v>0</v>
      </c>
      <c r="BY1234" s="377">
        <f t="shared" si="5810"/>
        <v>0</v>
      </c>
      <c r="BZ1234" s="666">
        <f t="shared" si="5718"/>
        <v>0</v>
      </c>
      <c r="CA1234" s="377">
        <f t="shared" ref="CA1234:CD1234" si="5811">CA1209*CA1221</f>
        <v>0</v>
      </c>
      <c r="CB1234" s="377">
        <f t="shared" si="5811"/>
        <v>0</v>
      </c>
      <c r="CC1234" s="377">
        <f t="shared" si="5811"/>
        <v>0</v>
      </c>
      <c r="CD1234" s="377">
        <f t="shared" si="5811"/>
        <v>0</v>
      </c>
      <c r="CE1234" s="666">
        <f t="shared" si="5720"/>
        <v>0</v>
      </c>
      <c r="CF1234" s="377">
        <f t="shared" ref="CF1234:CI1234" si="5812">CF1209*CF1221</f>
        <v>0</v>
      </c>
      <c r="CG1234" s="377">
        <f t="shared" si="5812"/>
        <v>0</v>
      </c>
      <c r="CH1234" s="377">
        <f t="shared" si="5812"/>
        <v>0</v>
      </c>
      <c r="CI1234" s="377">
        <f t="shared" si="5812"/>
        <v>0</v>
      </c>
      <c r="CJ1234" s="666">
        <f t="shared" si="5722"/>
        <v>0</v>
      </c>
      <c r="CK1234" s="377">
        <f t="shared" ref="CK1234:CN1234" si="5813">CK1209*CK1221</f>
        <v>0</v>
      </c>
      <c r="CL1234" s="377">
        <f t="shared" si="5813"/>
        <v>0</v>
      </c>
      <c r="CM1234" s="377">
        <f t="shared" si="5813"/>
        <v>0</v>
      </c>
      <c r="CN1234" s="440">
        <f t="shared" si="5813"/>
        <v>0</v>
      </c>
      <c r="CO1234" s="666">
        <f t="shared" si="5724"/>
        <v>0</v>
      </c>
      <c r="CP1234" s="440">
        <f t="shared" ref="CP1234:CS1234" si="5814">CP1209*CP1221</f>
        <v>0</v>
      </c>
      <c r="CQ1234" s="377">
        <f t="shared" si="5814"/>
        <v>0</v>
      </c>
      <c r="CR1234" s="377">
        <f t="shared" si="5814"/>
        <v>0</v>
      </c>
      <c r="CS1234" s="377">
        <f t="shared" si="5814"/>
        <v>0</v>
      </c>
      <c r="CT1234" s="666">
        <f t="shared" si="5726"/>
        <v>0</v>
      </c>
      <c r="CU1234" s="377">
        <f t="shared" ref="CU1234:CX1234" si="5815">CU1209*CU1221</f>
        <v>0</v>
      </c>
      <c r="CV1234" s="377">
        <f t="shared" si="5815"/>
        <v>0</v>
      </c>
      <c r="CW1234" s="377">
        <f t="shared" si="5815"/>
        <v>0</v>
      </c>
      <c r="CX1234" s="377">
        <f t="shared" si="5815"/>
        <v>0</v>
      </c>
      <c r="CY1234" s="666">
        <f t="shared" si="5728"/>
        <v>0</v>
      </c>
      <c r="CZ1234" s="377">
        <f t="shared" ref="CZ1234:DC1234" si="5816">CZ1209*CZ1221</f>
        <v>0</v>
      </c>
      <c r="DA1234" s="377">
        <f t="shared" si="5816"/>
        <v>0</v>
      </c>
      <c r="DB1234" s="377">
        <f t="shared" si="5816"/>
        <v>0</v>
      </c>
      <c r="DC1234" s="377">
        <f t="shared" si="5816"/>
        <v>0</v>
      </c>
      <c r="DD1234" s="666">
        <f t="shared" si="5730"/>
        <v>0</v>
      </c>
      <c r="DE1234" s="377">
        <f t="shared" ref="DE1234:DH1234" si="5817">DE1209*DE1221</f>
        <v>0</v>
      </c>
      <c r="DF1234" s="377">
        <f t="shared" si="5817"/>
        <v>0</v>
      </c>
      <c r="DG1234" s="440">
        <f t="shared" si="5817"/>
        <v>0</v>
      </c>
      <c r="DH1234" s="377">
        <f t="shared" si="5817"/>
        <v>0</v>
      </c>
      <c r="DI1234" s="666">
        <f t="shared" si="5732"/>
        <v>0</v>
      </c>
      <c r="DJ1234" s="440">
        <f t="shared" ref="DJ1234:DM1234" si="5818">DJ1209*DJ1221</f>
        <v>0</v>
      </c>
      <c r="DK1234" s="440">
        <f t="shared" si="5818"/>
        <v>0</v>
      </c>
      <c r="DL1234" s="440">
        <f t="shared" si="5818"/>
        <v>0</v>
      </c>
      <c r="DM1234" s="377">
        <f t="shared" si="5818"/>
        <v>0</v>
      </c>
      <c r="DN1234" s="666">
        <f t="shared" si="5734"/>
        <v>0</v>
      </c>
      <c r="DO1234" s="377">
        <f t="shared" ref="DO1234:DR1234" si="5819">DO1209*DO1221</f>
        <v>0</v>
      </c>
      <c r="DP1234" s="377">
        <f t="shared" si="5819"/>
        <v>0</v>
      </c>
      <c r="DQ1234" s="377">
        <f t="shared" si="5819"/>
        <v>0</v>
      </c>
      <c r="DR1234" s="377">
        <f t="shared" si="5819"/>
        <v>0</v>
      </c>
      <c r="DS1234" s="666">
        <f t="shared" si="5736"/>
        <v>0</v>
      </c>
      <c r="DT1234" s="377">
        <f t="shared" ref="DT1234:DW1234" si="5820">DT1209*DT1221</f>
        <v>0</v>
      </c>
      <c r="DU1234" s="377">
        <f t="shared" si="5820"/>
        <v>0</v>
      </c>
      <c r="DV1234" s="377">
        <f t="shared" si="5820"/>
        <v>0</v>
      </c>
      <c r="DW1234" s="377">
        <f t="shared" si="5820"/>
        <v>0</v>
      </c>
      <c r="DX1234" s="666">
        <f t="shared" si="5738"/>
        <v>0</v>
      </c>
      <c r="DY1234" s="377">
        <f t="shared" ref="DY1234:EB1234" si="5821">DY1209*DY1221</f>
        <v>0</v>
      </c>
      <c r="DZ1234" s="377">
        <f t="shared" si="5821"/>
        <v>0</v>
      </c>
      <c r="EA1234" s="377">
        <f t="shared" si="5821"/>
        <v>0</v>
      </c>
      <c r="EB1234" s="377">
        <f t="shared" si="5821"/>
        <v>0</v>
      </c>
      <c r="EC1234" s="666">
        <f t="shared" si="5740"/>
        <v>0</v>
      </c>
      <c r="ED1234" s="377">
        <f t="shared" ref="ED1234:EG1234" si="5822">ED1209*ED1221</f>
        <v>0</v>
      </c>
      <c r="EE1234" s="377">
        <f t="shared" si="5822"/>
        <v>0</v>
      </c>
      <c r="EF1234" s="377">
        <f t="shared" si="5822"/>
        <v>0</v>
      </c>
      <c r="EG1234" s="377">
        <f t="shared" si="5822"/>
        <v>0</v>
      </c>
      <c r="EH1234" s="666">
        <f t="shared" si="5742"/>
        <v>0</v>
      </c>
      <c r="EI1234" s="442">
        <f t="shared" ref="EI1234:EL1234" si="5823">EI1209*EI1221</f>
        <v>0</v>
      </c>
      <c r="EJ1234" s="377">
        <f t="shared" si="5823"/>
        <v>0</v>
      </c>
      <c r="EK1234" s="377">
        <f t="shared" si="5823"/>
        <v>0</v>
      </c>
      <c r="EL1234" s="377">
        <f t="shared" si="5823"/>
        <v>0</v>
      </c>
      <c r="EM1234" s="666">
        <f t="shared" si="5744"/>
        <v>0</v>
      </c>
      <c r="EN1234" s="377">
        <f t="shared" ref="EN1234:EQ1234" si="5824">EN1209*EN1221</f>
        <v>0</v>
      </c>
      <c r="EO1234" s="377">
        <f t="shared" si="5824"/>
        <v>0</v>
      </c>
      <c r="EP1234" s="377">
        <f t="shared" si="5824"/>
        <v>0</v>
      </c>
      <c r="EQ1234" s="377">
        <f t="shared" si="5824"/>
        <v>0</v>
      </c>
      <c r="ER1234" s="666">
        <f t="shared" si="5746"/>
        <v>0</v>
      </c>
      <c r="ES1234" s="377">
        <f t="shared" ref="ES1234:EV1234" si="5825">ES1209*ES1221</f>
        <v>0</v>
      </c>
      <c r="ET1234" s="377">
        <f t="shared" si="5825"/>
        <v>0</v>
      </c>
      <c r="EU1234" s="377">
        <f t="shared" si="5825"/>
        <v>0</v>
      </c>
      <c r="EV1234" s="377">
        <f t="shared" si="5825"/>
        <v>0</v>
      </c>
      <c r="EW1234" s="666">
        <f t="shared" si="5748"/>
        <v>0</v>
      </c>
      <c r="EX1234" s="377">
        <f t="shared" ref="EX1234:FA1234" si="5826">EX1209*EX1221</f>
        <v>0</v>
      </c>
      <c r="EY1234" s="377">
        <f t="shared" si="5826"/>
        <v>0</v>
      </c>
      <c r="EZ1234" s="377">
        <f t="shared" si="5826"/>
        <v>0</v>
      </c>
      <c r="FA1234" s="377">
        <f t="shared" si="5826"/>
        <v>0</v>
      </c>
      <c r="FB1234" s="666">
        <f t="shared" si="5750"/>
        <v>0</v>
      </c>
      <c r="FC1234" s="377">
        <f t="shared" ref="FC1234:FF1234" si="5827">FC1209*FC1221</f>
        <v>0</v>
      </c>
      <c r="FD1234" s="377">
        <f t="shared" si="5827"/>
        <v>0</v>
      </c>
      <c r="FE1234" s="377">
        <f t="shared" si="5827"/>
        <v>0</v>
      </c>
      <c r="FF1234" s="377">
        <f t="shared" si="5827"/>
        <v>0</v>
      </c>
      <c r="FG1234" s="666">
        <f t="shared" si="5752"/>
        <v>0</v>
      </c>
      <c r="FH1234" s="667"/>
      <c r="FI1234" s="377"/>
      <c r="FJ1234" s="377"/>
      <c r="FK1234" s="665"/>
      <c r="FL1234" s="377"/>
    </row>
    <row r="1235" ht="12.75" hidden="1" customHeight="1" outlineLevel="2">
      <c r="A1235" s="377"/>
      <c r="B1235" s="756" t="str">
        <f t="shared" si="5703"/>
        <v>Flash</v>
      </c>
      <c r="C1235" s="377"/>
      <c r="D1235" s="377"/>
      <c r="E1235" s="377"/>
      <c r="F1235" s="377"/>
      <c r="G1235" s="377"/>
      <c r="H1235" s="665"/>
      <c r="I1235" s="377"/>
      <c r="J1235" s="377"/>
      <c r="K1235" s="377"/>
      <c r="L1235" s="377"/>
      <c r="M1235" s="665"/>
      <c r="N1235" s="377"/>
      <c r="O1235" s="377"/>
      <c r="P1235" s="377"/>
      <c r="Q1235" s="377"/>
      <c r="R1235" s="665"/>
      <c r="S1235" s="377"/>
      <c r="T1235" s="377"/>
      <c r="U1235" s="377"/>
      <c r="V1235" s="377"/>
      <c r="W1235" s="665"/>
      <c r="X1235" s="377"/>
      <c r="Y1235" s="377"/>
      <c r="Z1235" s="377"/>
      <c r="AA1235" s="377"/>
      <c r="AB1235" s="665"/>
      <c r="AC1235" s="377"/>
      <c r="AD1235" s="377"/>
      <c r="AE1235" s="377"/>
      <c r="AF1235" s="377"/>
      <c r="AG1235" s="665"/>
      <c r="AH1235" s="377"/>
      <c r="AI1235" s="377"/>
      <c r="AJ1235" s="377"/>
      <c r="AK1235" s="377"/>
      <c r="AL1235" s="665"/>
      <c r="AM1235" s="377"/>
      <c r="AN1235" s="377"/>
      <c r="AO1235" s="377">
        <f t="shared" ref="AO1235:AP1235" si="5828">AO1210*AO1222</f>
        <v>0</v>
      </c>
      <c r="AP1235" s="377">
        <f t="shared" si="5828"/>
        <v>0</v>
      </c>
      <c r="AQ1235" s="665"/>
      <c r="AR1235" s="377">
        <f t="shared" ref="AR1235:AU1235" si="5829">AR1210*AR1222</f>
        <v>166.8</v>
      </c>
      <c r="AS1235" s="377">
        <f t="shared" si="5829"/>
        <v>264.15</v>
      </c>
      <c r="AT1235" s="377">
        <f t="shared" si="5829"/>
        <v>146.74</v>
      </c>
      <c r="AU1235" s="377">
        <f t="shared" si="5829"/>
        <v>173.61</v>
      </c>
      <c r="AV1235" s="665">
        <f t="shared" si="5706"/>
        <v>751.3</v>
      </c>
      <c r="AW1235" s="377">
        <f t="shared" ref="AW1235:AZ1235" si="5830">AW1210*AW1222</f>
        <v>156.06</v>
      </c>
      <c r="AX1235" s="377">
        <f t="shared" si="5830"/>
        <v>153.12</v>
      </c>
      <c r="AY1235" s="377">
        <f t="shared" si="5830"/>
        <v>177.32</v>
      </c>
      <c r="AZ1235" s="377">
        <f t="shared" si="5830"/>
        <v>198</v>
      </c>
      <c r="BA1235" s="665">
        <f t="shared" si="5708"/>
        <v>684.5</v>
      </c>
      <c r="BB1235" s="377">
        <f t="shared" ref="BB1235:BE1235" si="5831">BB1210*BB1222</f>
        <v>157.76</v>
      </c>
      <c r="BC1235" s="377">
        <f t="shared" si="5831"/>
        <v>155.44</v>
      </c>
      <c r="BD1235" s="377">
        <f t="shared" si="5831"/>
        <v>157.17</v>
      </c>
      <c r="BE1235" s="377">
        <f t="shared" si="5831"/>
        <v>178.56</v>
      </c>
      <c r="BF1235" s="665">
        <f t="shared" si="5710"/>
        <v>648.93</v>
      </c>
      <c r="BG1235" s="377">
        <f t="shared" ref="BG1235:BJ1235" si="5832">BG1210*BG1222</f>
        <v>140.7</v>
      </c>
      <c r="BH1235" s="377">
        <f t="shared" si="5832"/>
        <v>163.02</v>
      </c>
      <c r="BI1235" s="377">
        <f t="shared" si="5832"/>
        <v>193.55</v>
      </c>
      <c r="BJ1235" s="377">
        <f t="shared" si="5832"/>
        <v>216.82</v>
      </c>
      <c r="BK1235" s="665">
        <f t="shared" si="5712"/>
        <v>714.09</v>
      </c>
      <c r="BL1235" s="377">
        <f t="shared" ref="BL1235:BO1235" si="5833">BL1210*BL1222</f>
        <v>149.7</v>
      </c>
      <c r="BM1235" s="377">
        <f t="shared" si="5833"/>
        <v>82.5</v>
      </c>
      <c r="BN1235" s="377">
        <f t="shared" si="5833"/>
        <v>64.75</v>
      </c>
      <c r="BO1235" s="377">
        <f t="shared" si="5833"/>
        <v>62.9</v>
      </c>
      <c r="BP1235" s="665">
        <f t="shared" si="5714"/>
        <v>359.85</v>
      </c>
      <c r="BQ1235" s="377">
        <f t="shared" ref="BQ1235:BT1235" si="5834">BQ1210*BQ1222</f>
        <v>46.5</v>
      </c>
      <c r="BR1235" s="377">
        <f t="shared" si="5834"/>
        <v>63.69</v>
      </c>
      <c r="BS1235" s="377">
        <f t="shared" si="5834"/>
        <v>76.65</v>
      </c>
      <c r="BT1235" s="377">
        <f t="shared" si="5834"/>
        <v>99.9</v>
      </c>
      <c r="BU1235" s="665">
        <f t="shared" si="5716"/>
        <v>286.74</v>
      </c>
      <c r="BV1235" s="377">
        <f t="shared" ref="BV1235:BY1235" si="5835">BV1210*BV1222</f>
        <v>94.2703125</v>
      </c>
      <c r="BW1235" s="377">
        <f t="shared" si="5835"/>
        <v>100.5864234</v>
      </c>
      <c r="BX1235" s="377">
        <f t="shared" si="5835"/>
        <v>128.0190844</v>
      </c>
      <c r="BY1235" s="377">
        <f t="shared" si="5835"/>
        <v>148.8679067</v>
      </c>
      <c r="BZ1235" s="666">
        <f t="shared" si="5718"/>
        <v>471.743727</v>
      </c>
      <c r="CA1235" s="377">
        <f t="shared" ref="CA1235:CD1235" si="5836">CA1210*CA1222</f>
        <v>102.5981519</v>
      </c>
      <c r="CB1235" s="377">
        <f t="shared" si="5836"/>
        <v>109.4722281</v>
      </c>
      <c r="CC1235" s="377">
        <f t="shared" si="5836"/>
        <v>139.3282903</v>
      </c>
      <c r="CD1235" s="377">
        <f t="shared" si="5836"/>
        <v>162.0188976</v>
      </c>
      <c r="CE1235" s="666">
        <f t="shared" si="5720"/>
        <v>513.4175678</v>
      </c>
      <c r="CF1235" s="377">
        <f t="shared" ref="CF1235:CI1235" si="5837">CF1210*CF1222</f>
        <v>111.6616726</v>
      </c>
      <c r="CG1235" s="377">
        <f t="shared" si="5837"/>
        <v>119.1430047</v>
      </c>
      <c r="CH1235" s="377">
        <f t="shared" si="5837"/>
        <v>151.6365515</v>
      </c>
      <c r="CI1235" s="377">
        <f t="shared" si="5837"/>
        <v>176.331647</v>
      </c>
      <c r="CJ1235" s="666">
        <f t="shared" si="5722"/>
        <v>558.7728758</v>
      </c>
      <c r="CK1235" s="377">
        <f t="shared" ref="CK1235:CN1235" si="5838">CK1210*CK1222</f>
        <v>121.5258648</v>
      </c>
      <c r="CL1235" s="377">
        <f t="shared" si="5838"/>
        <v>129.6680977</v>
      </c>
      <c r="CM1235" s="377">
        <f t="shared" si="5838"/>
        <v>165.0321244</v>
      </c>
      <c r="CN1235" s="440">
        <f t="shared" si="5838"/>
        <v>191.9087847</v>
      </c>
      <c r="CO1235" s="666">
        <f t="shared" si="5724"/>
        <v>608.1348716</v>
      </c>
      <c r="CP1235" s="440">
        <f t="shared" ref="CP1235:CS1235" si="5839">CP1210*CP1222</f>
        <v>132.2614597</v>
      </c>
      <c r="CQ1235" s="377">
        <f t="shared" si="5839"/>
        <v>141.1229775</v>
      </c>
      <c r="CR1235" s="377">
        <f t="shared" si="5839"/>
        <v>179.6110623</v>
      </c>
      <c r="CS1235" s="377">
        <f t="shared" si="5839"/>
        <v>208.8620067</v>
      </c>
      <c r="CT1235" s="666">
        <f t="shared" si="5726"/>
        <v>661.8575062</v>
      </c>
      <c r="CU1235" s="377">
        <f t="shared" ref="CU1235:CX1235" si="5840">CU1210*CU1222</f>
        <v>143.9454371</v>
      </c>
      <c r="CV1235" s="377">
        <f t="shared" si="5840"/>
        <v>153.5897813</v>
      </c>
      <c r="CW1235" s="377">
        <f t="shared" si="5840"/>
        <v>195.4779035</v>
      </c>
      <c r="CX1235" s="377">
        <f t="shared" si="5840"/>
        <v>227.3128764</v>
      </c>
      <c r="CY1235" s="666">
        <f t="shared" si="5728"/>
        <v>720.3259983</v>
      </c>
      <c r="CZ1235" s="377">
        <f t="shared" ref="CZ1235:DC1235" si="5841">CZ1210*CZ1222</f>
        <v>156.661577</v>
      </c>
      <c r="DA1235" s="377">
        <f t="shared" si="5841"/>
        <v>167.1579026</v>
      </c>
      <c r="DB1235" s="377">
        <f t="shared" si="5841"/>
        <v>212.7464215</v>
      </c>
      <c r="DC1235" s="377">
        <f t="shared" si="5841"/>
        <v>247.3936959</v>
      </c>
      <c r="DD1235" s="666">
        <f t="shared" si="5730"/>
        <v>783.959597</v>
      </c>
      <c r="DE1235" s="377">
        <f t="shared" ref="DE1235:DH1235" si="5842">DE1210*DE1222</f>
        <v>170.5010607</v>
      </c>
      <c r="DF1235" s="377">
        <f t="shared" si="5842"/>
        <v>181.9246317</v>
      </c>
      <c r="DG1235" s="440">
        <f t="shared" si="5842"/>
        <v>231.5404404</v>
      </c>
      <c r="DH1235" s="377">
        <f t="shared" si="5842"/>
        <v>269.248455</v>
      </c>
      <c r="DI1235" s="666">
        <f t="shared" si="5732"/>
        <v>853.2145878</v>
      </c>
      <c r="DJ1235" s="440">
        <f t="shared" ref="DJ1235:DM1235" si="5843">DJ1210*DJ1222</f>
        <v>185.5631244</v>
      </c>
      <c r="DK1235" s="440">
        <f t="shared" si="5843"/>
        <v>197.9958537</v>
      </c>
      <c r="DL1235" s="440">
        <f t="shared" si="5843"/>
        <v>251.9947229</v>
      </c>
      <c r="DM1235" s="377">
        <f t="shared" si="5843"/>
        <v>293.0338635</v>
      </c>
      <c r="DN1235" s="666">
        <f t="shared" si="5734"/>
        <v>928.5875645</v>
      </c>
      <c r="DO1235" s="377">
        <f t="shared" ref="DO1235:DR1235" si="5844">DO1210*DO1222</f>
        <v>201.9557708</v>
      </c>
      <c r="DP1235" s="377">
        <f t="shared" si="5844"/>
        <v>215.4868074</v>
      </c>
      <c r="DQ1235" s="377">
        <f t="shared" si="5844"/>
        <v>274.2559367</v>
      </c>
      <c r="DR1235" s="377">
        <f t="shared" si="5844"/>
        <v>318.920475</v>
      </c>
      <c r="DS1235" s="666">
        <f t="shared" si="5736"/>
        <v>1010.61899</v>
      </c>
      <c r="DT1235" s="377">
        <f t="shared" ref="DT1235:DW1235" si="5845">DT1210*DT1222</f>
        <v>219.7965436</v>
      </c>
      <c r="DU1235" s="377">
        <f t="shared" si="5845"/>
        <v>234.522912</v>
      </c>
      <c r="DV1235" s="377">
        <f t="shared" si="5845"/>
        <v>298.4837062</v>
      </c>
      <c r="DW1235" s="377">
        <f t="shared" si="5845"/>
        <v>347.0939097</v>
      </c>
      <c r="DX1235" s="666">
        <f t="shared" si="5738"/>
        <v>1099.897071</v>
      </c>
      <c r="DY1235" s="377">
        <f t="shared" ref="DY1235:EB1235" si="5846">DY1210*DY1222</f>
        <v>239.2133702</v>
      </c>
      <c r="DZ1235" s="377">
        <f t="shared" si="5846"/>
        <v>255.240666</v>
      </c>
      <c r="EA1235" s="377">
        <f t="shared" si="5846"/>
        <v>324.8517568</v>
      </c>
      <c r="EB1235" s="377">
        <f t="shared" si="5846"/>
        <v>377.7561857</v>
      </c>
      <c r="EC1235" s="666">
        <f t="shared" si="5740"/>
        <v>1197.061979</v>
      </c>
      <c r="ED1235" s="377">
        <f t="shared" ref="ED1235:EG1235" si="5847">ED1210*ED1222</f>
        <v>260.3454794</v>
      </c>
      <c r="EE1235" s="377">
        <f t="shared" si="5847"/>
        <v>277.7886265</v>
      </c>
      <c r="EF1235" s="377">
        <f t="shared" si="5847"/>
        <v>353.549161</v>
      </c>
      <c r="EG1235" s="377">
        <f t="shared" si="5847"/>
        <v>411.1271672</v>
      </c>
      <c r="EH1235" s="666">
        <f t="shared" si="5742"/>
        <v>1302.810434</v>
      </c>
      <c r="EI1235" s="442">
        <f t="shared" ref="EI1235:EL1235" si="5848">EI1210*EI1222</f>
        <v>283.344399</v>
      </c>
      <c r="EJ1235" s="377">
        <f t="shared" si="5848"/>
        <v>302.3284737</v>
      </c>
      <c r="EK1235" s="377">
        <f t="shared" si="5848"/>
        <v>384.7816938</v>
      </c>
      <c r="EL1235" s="377">
        <f t="shared" si="5848"/>
        <v>447.4461411</v>
      </c>
      <c r="EM1235" s="666">
        <f t="shared" si="5744"/>
        <v>1417.900708</v>
      </c>
      <c r="EN1235" s="377">
        <f t="shared" ref="EN1235:EQ1235" si="5849">EN1210*EN1222</f>
        <v>308.3750432</v>
      </c>
      <c r="EO1235" s="377">
        <f t="shared" si="5849"/>
        <v>329.0361711</v>
      </c>
      <c r="EP1235" s="377">
        <f t="shared" si="5849"/>
        <v>418.7733087</v>
      </c>
      <c r="EQ1235" s="377">
        <f t="shared" si="5849"/>
        <v>486.9735332</v>
      </c>
      <c r="ER1235" s="666">
        <f t="shared" si="5746"/>
        <v>1543.158056</v>
      </c>
      <c r="ES1235" s="377">
        <f t="shared" ref="ES1235:EV1235" si="5850">ES1210*ES1222</f>
        <v>335.6168945</v>
      </c>
      <c r="ET1235" s="377">
        <f t="shared" si="5850"/>
        <v>358.1032265</v>
      </c>
      <c r="EU1235" s="377">
        <f t="shared" si="5850"/>
        <v>455.7677428</v>
      </c>
      <c r="EV1235" s="377">
        <f t="shared" si="5850"/>
        <v>529.9927752</v>
      </c>
      <c r="EW1235" s="666">
        <f t="shared" si="5748"/>
        <v>1679.480639</v>
      </c>
      <c r="EX1235" s="377">
        <f t="shared" ref="EX1235:FA1235" si="5851">EX1210*EX1222</f>
        <v>365.265291</v>
      </c>
      <c r="EY1235" s="377">
        <f t="shared" si="5851"/>
        <v>389.7380655</v>
      </c>
      <c r="EZ1235" s="377">
        <f t="shared" si="5851"/>
        <v>496.0302652</v>
      </c>
      <c r="FA1235" s="377">
        <f t="shared" si="5851"/>
        <v>576.8123369</v>
      </c>
      <c r="FB1235" s="666">
        <f t="shared" si="5750"/>
        <v>1827.845959</v>
      </c>
      <c r="FC1235" s="377">
        <f t="shared" ref="FC1235:FF1235" si="5852">FC1210*FC1222</f>
        <v>397.5328268</v>
      </c>
      <c r="FD1235" s="377">
        <f t="shared" si="5852"/>
        <v>424.1675262</v>
      </c>
      <c r="FE1235" s="377">
        <f t="shared" si="5852"/>
        <v>539.8495788</v>
      </c>
      <c r="FF1235" s="377">
        <f t="shared" si="5852"/>
        <v>627.7679388</v>
      </c>
      <c r="FG1235" s="666">
        <f t="shared" si="5752"/>
        <v>1989.317871</v>
      </c>
      <c r="FH1235" s="667"/>
      <c r="FI1235" s="377"/>
      <c r="FJ1235" s="377"/>
      <c r="FK1235" s="665"/>
      <c r="FL1235" s="377"/>
    </row>
    <row r="1236" ht="12.75" hidden="1" customHeight="1" outlineLevel="2">
      <c r="A1236" s="377"/>
      <c r="B1236" s="756" t="str">
        <f t="shared" si="5703"/>
        <v>Comm/Embedded (former ICG)</v>
      </c>
      <c r="C1236" s="377"/>
      <c r="D1236" s="377"/>
      <c r="E1236" s="377"/>
      <c r="F1236" s="377"/>
      <c r="G1236" s="377"/>
      <c r="H1236" s="665"/>
      <c r="I1236" s="377"/>
      <c r="J1236" s="377"/>
      <c r="K1236" s="377"/>
      <c r="L1236" s="377"/>
      <c r="M1236" s="665"/>
      <c r="N1236" s="377"/>
      <c r="O1236" s="377"/>
      <c r="P1236" s="377"/>
      <c r="Q1236" s="377"/>
      <c r="R1236" s="665"/>
      <c r="S1236" s="377"/>
      <c r="T1236" s="377"/>
      <c r="U1236" s="377"/>
      <c r="V1236" s="377"/>
      <c r="W1236" s="665"/>
      <c r="X1236" s="377"/>
      <c r="Y1236" s="377"/>
      <c r="Z1236" s="377"/>
      <c r="AA1236" s="377"/>
      <c r="AB1236" s="665"/>
      <c r="AC1236" s="377"/>
      <c r="AD1236" s="377"/>
      <c r="AE1236" s="377"/>
      <c r="AF1236" s="377"/>
      <c r="AG1236" s="665"/>
      <c r="AH1236" s="377"/>
      <c r="AI1236" s="377"/>
      <c r="AJ1236" s="377"/>
      <c r="AK1236" s="377"/>
      <c r="AL1236" s="665"/>
      <c r="AM1236" s="377"/>
      <c r="AN1236" s="377"/>
      <c r="AO1236" s="377">
        <f t="shared" ref="AO1236:AP1236" si="5853">AO1211*AO1223</f>
        <v>217.6</v>
      </c>
      <c r="AP1236" s="377">
        <f t="shared" si="5853"/>
        <v>236.8</v>
      </c>
      <c r="AQ1236" s="665"/>
      <c r="AR1236" s="377">
        <f t="shared" ref="AR1236:AU1236" si="5854">AR1211*AR1223</f>
        <v>233.28</v>
      </c>
      <c r="AS1236" s="377">
        <f t="shared" si="5854"/>
        <v>239.4</v>
      </c>
      <c r="AT1236" s="377">
        <f t="shared" si="5854"/>
        <v>241.15</v>
      </c>
      <c r="AU1236" s="377">
        <f t="shared" si="5854"/>
        <v>252.35</v>
      </c>
      <c r="AV1236" s="665">
        <f t="shared" si="5706"/>
        <v>966.18</v>
      </c>
      <c r="AW1236" s="377" t="str">
        <f t="shared" ref="AW1236:AZ1236" si="5855">AW1211*AW1223</f>
        <v>#ERROR!</v>
      </c>
      <c r="AX1236" s="377" t="str">
        <f t="shared" si="5855"/>
        <v>#ERROR!</v>
      </c>
      <c r="AY1236" s="377" t="str">
        <f t="shared" si="5855"/>
        <v>#ERROR!</v>
      </c>
      <c r="AZ1236" s="377" t="str">
        <f t="shared" si="5855"/>
        <v>#ERROR!</v>
      </c>
      <c r="BA1236" s="665" t="str">
        <f t="shared" si="5708"/>
        <v>#ERROR!</v>
      </c>
      <c r="BB1236" s="377" t="str">
        <f t="shared" ref="BB1236:BE1236" si="5856">BB1211*BB1223</f>
        <v>#ERROR!</v>
      </c>
      <c r="BC1236" s="377" t="str">
        <f t="shared" si="5856"/>
        <v>#ERROR!</v>
      </c>
      <c r="BD1236" s="377" t="str">
        <f t="shared" si="5856"/>
        <v>#ERROR!</v>
      </c>
      <c r="BE1236" s="377" t="str">
        <f t="shared" si="5856"/>
        <v>#ERROR!</v>
      </c>
      <c r="BF1236" s="665" t="str">
        <f t="shared" si="5710"/>
        <v>#ERROR!</v>
      </c>
      <c r="BG1236" s="377" t="str">
        <f t="shared" ref="BG1236:BJ1236" si="5857">BG1211*BG1223</f>
        <v>#ERROR!</v>
      </c>
      <c r="BH1236" s="377" t="str">
        <f t="shared" si="5857"/>
        <v>#ERROR!</v>
      </c>
      <c r="BI1236" s="377" t="str">
        <f t="shared" si="5857"/>
        <v>#ERROR!</v>
      </c>
      <c r="BJ1236" s="377" t="str">
        <f t="shared" si="5857"/>
        <v>#ERROR!</v>
      </c>
      <c r="BK1236" s="665" t="str">
        <f t="shared" si="5712"/>
        <v>#ERROR!</v>
      </c>
      <c r="BL1236" s="377" t="str">
        <f t="shared" ref="BL1236:BO1236" si="5858">BL1211*BL1223</f>
        <v>#ERROR!</v>
      </c>
      <c r="BM1236" s="377" t="str">
        <f t="shared" si="5858"/>
        <v>#ERROR!</v>
      </c>
      <c r="BN1236" s="377" t="str">
        <f t="shared" si="5858"/>
        <v>#ERROR!</v>
      </c>
      <c r="BO1236" s="377" t="str">
        <f t="shared" si="5858"/>
        <v>#ERROR!</v>
      </c>
      <c r="BP1236" s="665" t="str">
        <f t="shared" si="5714"/>
        <v>#ERROR!</v>
      </c>
      <c r="BQ1236" s="377" t="str">
        <f t="shared" ref="BQ1236:BT1236" si="5859">BQ1211*BQ1223</f>
        <v>#ERROR!</v>
      </c>
      <c r="BR1236" s="377" t="str">
        <f t="shared" si="5859"/>
        <v>#ERROR!</v>
      </c>
      <c r="BS1236" s="377">
        <f t="shared" si="5859"/>
        <v>256.68</v>
      </c>
      <c r="BT1236" s="377" t="str">
        <f t="shared" si="5859"/>
        <v>#ERROR!</v>
      </c>
      <c r="BU1236" s="665" t="str">
        <f t="shared" si="5716"/>
        <v>#ERROR!</v>
      </c>
      <c r="BV1236" s="377" t="str">
        <f t="shared" ref="BV1236:BY1236" si="5860">BV1211*BV1223</f>
        <v>#ERROR!</v>
      </c>
      <c r="BW1236" s="377" t="str">
        <f t="shared" si="5860"/>
        <v>#ERROR!</v>
      </c>
      <c r="BX1236" s="377" t="str">
        <f t="shared" si="5860"/>
        <v>#ERROR!</v>
      </c>
      <c r="BY1236" s="377" t="str">
        <f t="shared" si="5860"/>
        <v>#ERROR!</v>
      </c>
      <c r="BZ1236" s="666" t="str">
        <f t="shared" si="5718"/>
        <v>#ERROR!</v>
      </c>
      <c r="CA1236" s="377" t="str">
        <f t="shared" ref="CA1236:CD1236" si="5861">CA1211*CA1223</f>
        <v>#ERROR!</v>
      </c>
      <c r="CB1236" s="377" t="str">
        <f t="shared" si="5861"/>
        <v>#ERROR!</v>
      </c>
      <c r="CC1236" s="377" t="str">
        <f t="shared" si="5861"/>
        <v>#ERROR!</v>
      </c>
      <c r="CD1236" s="377" t="str">
        <f t="shared" si="5861"/>
        <v>#ERROR!</v>
      </c>
      <c r="CE1236" s="666" t="str">
        <f t="shared" si="5720"/>
        <v>#ERROR!</v>
      </c>
      <c r="CF1236" s="377" t="str">
        <f t="shared" ref="CF1236:CI1236" si="5862">CF1211*CF1223</f>
        <v>#ERROR!</v>
      </c>
      <c r="CG1236" s="377" t="str">
        <f t="shared" si="5862"/>
        <v>#ERROR!</v>
      </c>
      <c r="CH1236" s="377" t="str">
        <f t="shared" si="5862"/>
        <v>#ERROR!</v>
      </c>
      <c r="CI1236" s="377" t="str">
        <f t="shared" si="5862"/>
        <v>#ERROR!</v>
      </c>
      <c r="CJ1236" s="666" t="str">
        <f t="shared" si="5722"/>
        <v>#ERROR!</v>
      </c>
      <c r="CK1236" s="377" t="str">
        <f t="shared" ref="CK1236:CN1236" si="5863">CK1211*CK1223</f>
        <v>#ERROR!</v>
      </c>
      <c r="CL1236" s="377" t="str">
        <f t="shared" si="5863"/>
        <v>#ERROR!</v>
      </c>
      <c r="CM1236" s="377" t="str">
        <f t="shared" si="5863"/>
        <v>#ERROR!</v>
      </c>
      <c r="CN1236" s="440" t="str">
        <f t="shared" si="5863"/>
        <v>#ERROR!</v>
      </c>
      <c r="CO1236" s="666" t="str">
        <f t="shared" si="5724"/>
        <v>#ERROR!</v>
      </c>
      <c r="CP1236" s="440" t="str">
        <f t="shared" ref="CP1236:CS1236" si="5864">CP1211*CP1223</f>
        <v>#ERROR!</v>
      </c>
      <c r="CQ1236" s="377" t="str">
        <f t="shared" si="5864"/>
        <v>#ERROR!</v>
      </c>
      <c r="CR1236" s="377" t="str">
        <f t="shared" si="5864"/>
        <v>#ERROR!</v>
      </c>
      <c r="CS1236" s="377" t="str">
        <f t="shared" si="5864"/>
        <v>#ERROR!</v>
      </c>
      <c r="CT1236" s="666" t="str">
        <f t="shared" si="5726"/>
        <v>#ERROR!</v>
      </c>
      <c r="CU1236" s="377" t="str">
        <f t="shared" ref="CU1236:CX1236" si="5865">CU1211*CU1223</f>
        <v>#ERROR!</v>
      </c>
      <c r="CV1236" s="377" t="str">
        <f t="shared" si="5865"/>
        <v>#ERROR!</v>
      </c>
      <c r="CW1236" s="377" t="str">
        <f t="shared" si="5865"/>
        <v>#ERROR!</v>
      </c>
      <c r="CX1236" s="377" t="str">
        <f t="shared" si="5865"/>
        <v>#ERROR!</v>
      </c>
      <c r="CY1236" s="666" t="str">
        <f t="shared" si="5728"/>
        <v>#ERROR!</v>
      </c>
      <c r="CZ1236" s="377" t="str">
        <f t="shared" ref="CZ1236:DC1236" si="5866">CZ1211*CZ1223</f>
        <v>#ERROR!</v>
      </c>
      <c r="DA1236" s="377" t="str">
        <f t="shared" si="5866"/>
        <v>#ERROR!</v>
      </c>
      <c r="DB1236" s="377" t="str">
        <f t="shared" si="5866"/>
        <v>#ERROR!</v>
      </c>
      <c r="DC1236" s="377" t="str">
        <f t="shared" si="5866"/>
        <v>#ERROR!</v>
      </c>
      <c r="DD1236" s="666" t="str">
        <f t="shared" si="5730"/>
        <v>#ERROR!</v>
      </c>
      <c r="DE1236" s="377" t="str">
        <f t="shared" ref="DE1236:DH1236" si="5867">DE1211*DE1223</f>
        <v>#ERROR!</v>
      </c>
      <c r="DF1236" s="377" t="str">
        <f t="shared" si="5867"/>
        <v>#ERROR!</v>
      </c>
      <c r="DG1236" s="440" t="str">
        <f t="shared" si="5867"/>
        <v>#ERROR!</v>
      </c>
      <c r="DH1236" s="377" t="str">
        <f t="shared" si="5867"/>
        <v>#ERROR!</v>
      </c>
      <c r="DI1236" s="666" t="str">
        <f t="shared" si="5732"/>
        <v>#ERROR!</v>
      </c>
      <c r="DJ1236" s="440" t="str">
        <f t="shared" ref="DJ1236:DM1236" si="5868">DJ1211*DJ1223</f>
        <v>#ERROR!</v>
      </c>
      <c r="DK1236" s="440" t="str">
        <f t="shared" si="5868"/>
        <v>#ERROR!</v>
      </c>
      <c r="DL1236" s="440" t="str">
        <f t="shared" si="5868"/>
        <v>#ERROR!</v>
      </c>
      <c r="DM1236" s="377" t="str">
        <f t="shared" si="5868"/>
        <v>#ERROR!</v>
      </c>
      <c r="DN1236" s="666" t="str">
        <f t="shared" si="5734"/>
        <v>#ERROR!</v>
      </c>
      <c r="DO1236" s="377" t="str">
        <f t="shared" ref="DO1236:DR1236" si="5869">DO1211*DO1223</f>
        <v>#ERROR!</v>
      </c>
      <c r="DP1236" s="377" t="str">
        <f t="shared" si="5869"/>
        <v>#ERROR!</v>
      </c>
      <c r="DQ1236" s="377" t="str">
        <f t="shared" si="5869"/>
        <v>#ERROR!</v>
      </c>
      <c r="DR1236" s="377" t="str">
        <f t="shared" si="5869"/>
        <v>#ERROR!</v>
      </c>
      <c r="DS1236" s="666" t="str">
        <f t="shared" si="5736"/>
        <v>#ERROR!</v>
      </c>
      <c r="DT1236" s="377" t="str">
        <f t="shared" ref="DT1236:DW1236" si="5870">DT1211*DT1223</f>
        <v>#ERROR!</v>
      </c>
      <c r="DU1236" s="377" t="str">
        <f t="shared" si="5870"/>
        <v>#ERROR!</v>
      </c>
      <c r="DV1236" s="377" t="str">
        <f t="shared" si="5870"/>
        <v>#ERROR!</v>
      </c>
      <c r="DW1236" s="377" t="str">
        <f t="shared" si="5870"/>
        <v>#ERROR!</v>
      </c>
      <c r="DX1236" s="666" t="str">
        <f t="shared" si="5738"/>
        <v>#ERROR!</v>
      </c>
      <c r="DY1236" s="377" t="str">
        <f t="shared" ref="DY1236:EB1236" si="5871">DY1211*DY1223</f>
        <v>#ERROR!</v>
      </c>
      <c r="DZ1236" s="377" t="str">
        <f t="shared" si="5871"/>
        <v>#ERROR!</v>
      </c>
      <c r="EA1236" s="377" t="str">
        <f t="shared" si="5871"/>
        <v>#ERROR!</v>
      </c>
      <c r="EB1236" s="377" t="str">
        <f t="shared" si="5871"/>
        <v>#ERROR!</v>
      </c>
      <c r="EC1236" s="666" t="str">
        <f t="shared" si="5740"/>
        <v>#ERROR!</v>
      </c>
      <c r="ED1236" s="377" t="str">
        <f t="shared" ref="ED1236:EG1236" si="5872">ED1211*ED1223</f>
        <v>#ERROR!</v>
      </c>
      <c r="EE1236" s="377" t="str">
        <f t="shared" si="5872"/>
        <v>#ERROR!</v>
      </c>
      <c r="EF1236" s="377" t="str">
        <f t="shared" si="5872"/>
        <v>#ERROR!</v>
      </c>
      <c r="EG1236" s="377" t="str">
        <f t="shared" si="5872"/>
        <v>#ERROR!</v>
      </c>
      <c r="EH1236" s="666" t="str">
        <f t="shared" si="5742"/>
        <v>#ERROR!</v>
      </c>
      <c r="EI1236" s="442" t="str">
        <f t="shared" ref="EI1236:EL1236" si="5873">EI1211*EI1223</f>
        <v>#ERROR!</v>
      </c>
      <c r="EJ1236" s="377" t="str">
        <f t="shared" si="5873"/>
        <v>#ERROR!</v>
      </c>
      <c r="EK1236" s="377" t="str">
        <f t="shared" si="5873"/>
        <v>#ERROR!</v>
      </c>
      <c r="EL1236" s="377" t="str">
        <f t="shared" si="5873"/>
        <v>#ERROR!</v>
      </c>
      <c r="EM1236" s="666" t="str">
        <f t="shared" si="5744"/>
        <v>#ERROR!</v>
      </c>
      <c r="EN1236" s="377" t="str">
        <f t="shared" ref="EN1236:EQ1236" si="5874">EN1211*EN1223</f>
        <v>#ERROR!</v>
      </c>
      <c r="EO1236" s="377" t="str">
        <f t="shared" si="5874"/>
        <v>#ERROR!</v>
      </c>
      <c r="EP1236" s="377" t="str">
        <f t="shared" si="5874"/>
        <v>#ERROR!</v>
      </c>
      <c r="EQ1236" s="377" t="str">
        <f t="shared" si="5874"/>
        <v>#ERROR!</v>
      </c>
      <c r="ER1236" s="666" t="str">
        <f t="shared" si="5746"/>
        <v>#ERROR!</v>
      </c>
      <c r="ES1236" s="377" t="str">
        <f t="shared" ref="ES1236:EV1236" si="5875">ES1211*ES1223</f>
        <v>#ERROR!</v>
      </c>
      <c r="ET1236" s="377" t="str">
        <f t="shared" si="5875"/>
        <v>#ERROR!</v>
      </c>
      <c r="EU1236" s="377" t="str">
        <f t="shared" si="5875"/>
        <v>#ERROR!</v>
      </c>
      <c r="EV1236" s="377" t="str">
        <f t="shared" si="5875"/>
        <v>#ERROR!</v>
      </c>
      <c r="EW1236" s="666" t="str">
        <f t="shared" si="5748"/>
        <v>#ERROR!</v>
      </c>
      <c r="EX1236" s="377" t="str">
        <f t="shared" ref="EX1236:FA1236" si="5876">EX1211*EX1223</f>
        <v>#ERROR!</v>
      </c>
      <c r="EY1236" s="377" t="str">
        <f t="shared" si="5876"/>
        <v>#ERROR!</v>
      </c>
      <c r="EZ1236" s="377" t="str">
        <f t="shared" si="5876"/>
        <v>#ERROR!</v>
      </c>
      <c r="FA1236" s="377" t="str">
        <f t="shared" si="5876"/>
        <v>#ERROR!</v>
      </c>
      <c r="FB1236" s="666" t="str">
        <f t="shared" si="5750"/>
        <v>#ERROR!</v>
      </c>
      <c r="FC1236" s="377" t="str">
        <f t="shared" ref="FC1236:FF1236" si="5877">FC1211*FC1223</f>
        <v>#ERROR!</v>
      </c>
      <c r="FD1236" s="377" t="str">
        <f t="shared" si="5877"/>
        <v>#ERROR!</v>
      </c>
      <c r="FE1236" s="377" t="str">
        <f t="shared" si="5877"/>
        <v>#ERROR!</v>
      </c>
      <c r="FF1236" s="377" t="str">
        <f t="shared" si="5877"/>
        <v>#ERROR!</v>
      </c>
      <c r="FG1236" s="666" t="str">
        <f t="shared" si="5752"/>
        <v>#ERROR!</v>
      </c>
      <c r="FH1236" s="667"/>
      <c r="FI1236" s="377"/>
      <c r="FJ1236" s="377"/>
      <c r="FK1236" s="665"/>
      <c r="FL1236" s="377"/>
    </row>
    <row r="1237" ht="12.75" hidden="1" customHeight="1" outlineLevel="2">
      <c r="A1237" s="377"/>
      <c r="B1237" s="756" t="str">
        <f t="shared" si="5703"/>
        <v>All other</v>
      </c>
      <c r="C1237" s="377"/>
      <c r="D1237" s="377"/>
      <c r="E1237" s="377"/>
      <c r="F1237" s="377"/>
      <c r="G1237" s="377"/>
      <c r="H1237" s="665"/>
      <c r="I1237" s="377"/>
      <c r="J1237" s="377"/>
      <c r="K1237" s="377"/>
      <c r="L1237" s="377"/>
      <c r="M1237" s="665"/>
      <c r="N1237" s="377"/>
      <c r="O1237" s="377"/>
      <c r="P1237" s="377"/>
      <c r="Q1237" s="377"/>
      <c r="R1237" s="665"/>
      <c r="S1237" s="377"/>
      <c r="T1237" s="377"/>
      <c r="U1237" s="377"/>
      <c r="V1237" s="377"/>
      <c r="W1237" s="665"/>
      <c r="X1237" s="377"/>
      <c r="Y1237" s="377"/>
      <c r="Z1237" s="377"/>
      <c r="AA1237" s="377"/>
      <c r="AB1237" s="665"/>
      <c r="AC1237" s="377"/>
      <c r="AD1237" s="377"/>
      <c r="AE1237" s="377"/>
      <c r="AF1237" s="377"/>
      <c r="AG1237" s="665"/>
      <c r="AH1237" s="377"/>
      <c r="AI1237" s="377"/>
      <c r="AJ1237" s="377"/>
      <c r="AK1237" s="377"/>
      <c r="AL1237" s="665"/>
      <c r="AM1237" s="377"/>
      <c r="AN1237" s="377"/>
      <c r="AO1237" s="377">
        <f t="shared" ref="AO1237:AP1237" si="5878">AO1212*AO1224</f>
        <v>0.3</v>
      </c>
      <c r="AP1237" s="377">
        <f t="shared" si="5878"/>
        <v>2.7</v>
      </c>
      <c r="AQ1237" s="665"/>
      <c r="AR1237" s="377">
        <f t="shared" ref="AR1237:AU1237" si="5879">AR1212*AR1224</f>
        <v>0.3</v>
      </c>
      <c r="AS1237" s="377">
        <f t="shared" si="5879"/>
        <v>1.2</v>
      </c>
      <c r="AT1237" s="377">
        <f t="shared" si="5879"/>
        <v>1.8</v>
      </c>
      <c r="AU1237" s="377">
        <f t="shared" si="5879"/>
        <v>1.2</v>
      </c>
      <c r="AV1237" s="665">
        <f t="shared" si="5706"/>
        <v>4.5</v>
      </c>
      <c r="AW1237" s="377">
        <f t="shared" ref="AW1237:AZ1237" si="5880">AW1212*AW1224</f>
        <v>4.5</v>
      </c>
      <c r="AX1237" s="377">
        <f t="shared" si="5880"/>
        <v>4.5</v>
      </c>
      <c r="AY1237" s="377">
        <f t="shared" si="5880"/>
        <v>4.5</v>
      </c>
      <c r="AZ1237" s="377">
        <f t="shared" si="5880"/>
        <v>4.5</v>
      </c>
      <c r="BA1237" s="665">
        <f t="shared" si="5708"/>
        <v>18</v>
      </c>
      <c r="BB1237" s="377">
        <f t="shared" ref="BB1237:BE1237" si="5881">BB1212*BB1224</f>
        <v>4.5</v>
      </c>
      <c r="BC1237" s="377">
        <f t="shared" si="5881"/>
        <v>4.5</v>
      </c>
      <c r="BD1237" s="377">
        <f t="shared" si="5881"/>
        <v>4.5</v>
      </c>
      <c r="BE1237" s="377">
        <f t="shared" si="5881"/>
        <v>4.5</v>
      </c>
      <c r="BF1237" s="665">
        <f t="shared" si="5710"/>
        <v>18</v>
      </c>
      <c r="BG1237" s="377">
        <f t="shared" ref="BG1237:BJ1237" si="5882">BG1212*BG1224</f>
        <v>4.5</v>
      </c>
      <c r="BH1237" s="377">
        <f t="shared" si="5882"/>
        <v>4.5</v>
      </c>
      <c r="BI1237" s="377">
        <f t="shared" si="5882"/>
        <v>4.5</v>
      </c>
      <c r="BJ1237" s="377">
        <f t="shared" si="5882"/>
        <v>4.5</v>
      </c>
      <c r="BK1237" s="665">
        <f t="shared" si="5712"/>
        <v>18</v>
      </c>
      <c r="BL1237" s="377">
        <f t="shared" ref="BL1237:BO1237" si="5883">BL1212*BL1224</f>
        <v>4.5</v>
      </c>
      <c r="BM1237" s="377">
        <f t="shared" si="5883"/>
        <v>4.5</v>
      </c>
      <c r="BN1237" s="377">
        <f t="shared" si="5883"/>
        <v>4.5</v>
      </c>
      <c r="BO1237" s="377">
        <f t="shared" si="5883"/>
        <v>4.5</v>
      </c>
      <c r="BP1237" s="665">
        <f t="shared" si="5714"/>
        <v>18</v>
      </c>
      <c r="BQ1237" s="377">
        <f t="shared" ref="BQ1237:BT1237" si="5884">BQ1212*BQ1224</f>
        <v>4.5</v>
      </c>
      <c r="BR1237" s="377">
        <f t="shared" si="5884"/>
        <v>4.5</v>
      </c>
      <c r="BS1237" s="377">
        <f t="shared" si="5884"/>
        <v>4.5</v>
      </c>
      <c r="BT1237" s="377">
        <f t="shared" si="5884"/>
        <v>4.5</v>
      </c>
      <c r="BU1237" s="665">
        <f t="shared" si="5716"/>
        <v>18</v>
      </c>
      <c r="BV1237" s="377">
        <f t="shared" ref="BV1237:BY1237" si="5885">BV1212*BV1224</f>
        <v>4.5</v>
      </c>
      <c r="BW1237" s="377">
        <f t="shared" si="5885"/>
        <v>4.5</v>
      </c>
      <c r="BX1237" s="377">
        <f t="shared" si="5885"/>
        <v>4.5</v>
      </c>
      <c r="BY1237" s="377">
        <f t="shared" si="5885"/>
        <v>4.5</v>
      </c>
      <c r="BZ1237" s="666">
        <f t="shared" si="5718"/>
        <v>18</v>
      </c>
      <c r="CA1237" s="377">
        <f t="shared" ref="CA1237:CD1237" si="5886">CA1212*CA1224</f>
        <v>4.5</v>
      </c>
      <c r="CB1237" s="377">
        <f t="shared" si="5886"/>
        <v>4.5</v>
      </c>
      <c r="CC1237" s="377">
        <f t="shared" si="5886"/>
        <v>4.5</v>
      </c>
      <c r="CD1237" s="377">
        <f t="shared" si="5886"/>
        <v>4.5</v>
      </c>
      <c r="CE1237" s="666">
        <f t="shared" si="5720"/>
        <v>18</v>
      </c>
      <c r="CF1237" s="377">
        <f t="shared" ref="CF1237:CI1237" si="5887">CF1212*CF1224</f>
        <v>4.5</v>
      </c>
      <c r="CG1237" s="377">
        <f t="shared" si="5887"/>
        <v>4.5</v>
      </c>
      <c r="CH1237" s="377">
        <f t="shared" si="5887"/>
        <v>4.5</v>
      </c>
      <c r="CI1237" s="377">
        <f t="shared" si="5887"/>
        <v>4.5</v>
      </c>
      <c r="CJ1237" s="666">
        <f t="shared" si="5722"/>
        <v>18</v>
      </c>
      <c r="CK1237" s="377">
        <f t="shared" ref="CK1237:CN1237" si="5888">CK1212*CK1224</f>
        <v>4.5</v>
      </c>
      <c r="CL1237" s="377">
        <f t="shared" si="5888"/>
        <v>4.5</v>
      </c>
      <c r="CM1237" s="377">
        <f t="shared" si="5888"/>
        <v>4.5</v>
      </c>
      <c r="CN1237" s="440">
        <f t="shared" si="5888"/>
        <v>4.5</v>
      </c>
      <c r="CO1237" s="666">
        <f t="shared" si="5724"/>
        <v>18</v>
      </c>
      <c r="CP1237" s="440">
        <f t="shared" ref="CP1237:CS1237" si="5889">CP1212*CP1224</f>
        <v>4.5</v>
      </c>
      <c r="CQ1237" s="377">
        <f t="shared" si="5889"/>
        <v>4.5</v>
      </c>
      <c r="CR1237" s="377">
        <f t="shared" si="5889"/>
        <v>4.5</v>
      </c>
      <c r="CS1237" s="377">
        <f t="shared" si="5889"/>
        <v>4.5</v>
      </c>
      <c r="CT1237" s="666">
        <f t="shared" si="5726"/>
        <v>18</v>
      </c>
      <c r="CU1237" s="377">
        <f t="shared" ref="CU1237:CX1237" si="5890">CU1212*CU1224</f>
        <v>4.5</v>
      </c>
      <c r="CV1237" s="377">
        <f t="shared" si="5890"/>
        <v>4.5</v>
      </c>
      <c r="CW1237" s="377">
        <f t="shared" si="5890"/>
        <v>4.5</v>
      </c>
      <c r="CX1237" s="377">
        <f t="shared" si="5890"/>
        <v>4.5</v>
      </c>
      <c r="CY1237" s="666">
        <f t="shared" si="5728"/>
        <v>18</v>
      </c>
      <c r="CZ1237" s="377">
        <f t="shared" ref="CZ1237:DC1237" si="5891">CZ1212*CZ1224</f>
        <v>4.5</v>
      </c>
      <c r="DA1237" s="377">
        <f t="shared" si="5891"/>
        <v>4.5</v>
      </c>
      <c r="DB1237" s="377">
        <f t="shared" si="5891"/>
        <v>4.5</v>
      </c>
      <c r="DC1237" s="377">
        <f t="shared" si="5891"/>
        <v>4.5</v>
      </c>
      <c r="DD1237" s="666">
        <f t="shared" si="5730"/>
        <v>18</v>
      </c>
      <c r="DE1237" s="377">
        <f t="shared" ref="DE1237:DH1237" si="5892">DE1212*DE1224</f>
        <v>4.5</v>
      </c>
      <c r="DF1237" s="377">
        <f t="shared" si="5892"/>
        <v>4.5</v>
      </c>
      <c r="DG1237" s="440">
        <f t="shared" si="5892"/>
        <v>4.5</v>
      </c>
      <c r="DH1237" s="377">
        <f t="shared" si="5892"/>
        <v>4.5</v>
      </c>
      <c r="DI1237" s="666">
        <f t="shared" si="5732"/>
        <v>18</v>
      </c>
      <c r="DJ1237" s="440">
        <f t="shared" ref="DJ1237:DM1237" si="5893">DJ1212*DJ1224</f>
        <v>4.5</v>
      </c>
      <c r="DK1237" s="440">
        <f t="shared" si="5893"/>
        <v>4.5</v>
      </c>
      <c r="DL1237" s="440">
        <f t="shared" si="5893"/>
        <v>4.5</v>
      </c>
      <c r="DM1237" s="377">
        <f t="shared" si="5893"/>
        <v>4.5</v>
      </c>
      <c r="DN1237" s="666">
        <f t="shared" si="5734"/>
        <v>18</v>
      </c>
      <c r="DO1237" s="377">
        <f t="shared" ref="DO1237:DR1237" si="5894">DO1212*DO1224</f>
        <v>4.5</v>
      </c>
      <c r="DP1237" s="377">
        <f t="shared" si="5894"/>
        <v>4.5</v>
      </c>
      <c r="DQ1237" s="377">
        <f t="shared" si="5894"/>
        <v>4.5</v>
      </c>
      <c r="DR1237" s="377">
        <f t="shared" si="5894"/>
        <v>4.5</v>
      </c>
      <c r="DS1237" s="666">
        <f t="shared" si="5736"/>
        <v>18</v>
      </c>
      <c r="DT1237" s="377">
        <f t="shared" ref="DT1237:DW1237" si="5895">DT1212*DT1224</f>
        <v>4.5</v>
      </c>
      <c r="DU1237" s="377">
        <f t="shared" si="5895"/>
        <v>4.5</v>
      </c>
      <c r="DV1237" s="377">
        <f t="shared" si="5895"/>
        <v>4.5</v>
      </c>
      <c r="DW1237" s="377">
        <f t="shared" si="5895"/>
        <v>4.5</v>
      </c>
      <c r="DX1237" s="666">
        <f t="shared" si="5738"/>
        <v>18</v>
      </c>
      <c r="DY1237" s="377">
        <f t="shared" ref="DY1237:EB1237" si="5896">DY1212*DY1224</f>
        <v>4.5</v>
      </c>
      <c r="DZ1237" s="377">
        <f t="shared" si="5896"/>
        <v>4.5</v>
      </c>
      <c r="EA1237" s="377">
        <f t="shared" si="5896"/>
        <v>4.5</v>
      </c>
      <c r="EB1237" s="377">
        <f t="shared" si="5896"/>
        <v>4.5</v>
      </c>
      <c r="EC1237" s="666">
        <f t="shared" si="5740"/>
        <v>18</v>
      </c>
      <c r="ED1237" s="377">
        <f t="shared" ref="ED1237:EG1237" si="5897">ED1212*ED1224</f>
        <v>4.5</v>
      </c>
      <c r="EE1237" s="377">
        <f t="shared" si="5897"/>
        <v>4.5</v>
      </c>
      <c r="EF1237" s="377">
        <f t="shared" si="5897"/>
        <v>4.5</v>
      </c>
      <c r="EG1237" s="377">
        <f t="shared" si="5897"/>
        <v>4.5</v>
      </c>
      <c r="EH1237" s="666">
        <f t="shared" si="5742"/>
        <v>18</v>
      </c>
      <c r="EI1237" s="442">
        <f t="shared" ref="EI1237:EL1237" si="5898">EI1212*EI1224</f>
        <v>4.5</v>
      </c>
      <c r="EJ1237" s="377">
        <f t="shared" si="5898"/>
        <v>4.5</v>
      </c>
      <c r="EK1237" s="377">
        <f t="shared" si="5898"/>
        <v>4.5</v>
      </c>
      <c r="EL1237" s="377">
        <f t="shared" si="5898"/>
        <v>4.5</v>
      </c>
      <c r="EM1237" s="666">
        <f t="shared" si="5744"/>
        <v>18</v>
      </c>
      <c r="EN1237" s="377">
        <f t="shared" ref="EN1237:EQ1237" si="5899">EN1212*EN1224</f>
        <v>4.5</v>
      </c>
      <c r="EO1237" s="377">
        <f t="shared" si="5899"/>
        <v>4.5</v>
      </c>
      <c r="EP1237" s="377">
        <f t="shared" si="5899"/>
        <v>4.5</v>
      </c>
      <c r="EQ1237" s="377">
        <f t="shared" si="5899"/>
        <v>4.5</v>
      </c>
      <c r="ER1237" s="666">
        <f t="shared" si="5746"/>
        <v>18</v>
      </c>
      <c r="ES1237" s="377">
        <f t="shared" ref="ES1237:EV1237" si="5900">ES1212*ES1224</f>
        <v>4.5</v>
      </c>
      <c r="ET1237" s="377">
        <f t="shared" si="5900"/>
        <v>4.5</v>
      </c>
      <c r="EU1237" s="377">
        <f t="shared" si="5900"/>
        <v>4.5</v>
      </c>
      <c r="EV1237" s="377">
        <f t="shared" si="5900"/>
        <v>4.5</v>
      </c>
      <c r="EW1237" s="666">
        <f t="shared" si="5748"/>
        <v>18</v>
      </c>
      <c r="EX1237" s="377">
        <f t="shared" ref="EX1237:FA1237" si="5901">EX1212*EX1224</f>
        <v>4.5</v>
      </c>
      <c r="EY1237" s="377">
        <f t="shared" si="5901"/>
        <v>4.5</v>
      </c>
      <c r="EZ1237" s="377">
        <f t="shared" si="5901"/>
        <v>4.5</v>
      </c>
      <c r="FA1237" s="377">
        <f t="shared" si="5901"/>
        <v>4.5</v>
      </c>
      <c r="FB1237" s="666">
        <f t="shared" si="5750"/>
        <v>18</v>
      </c>
      <c r="FC1237" s="377">
        <f t="shared" ref="FC1237:FF1237" si="5902">FC1212*FC1224</f>
        <v>4.5</v>
      </c>
      <c r="FD1237" s="377">
        <f t="shared" si="5902"/>
        <v>4.5</v>
      </c>
      <c r="FE1237" s="377">
        <f t="shared" si="5902"/>
        <v>4.5</v>
      </c>
      <c r="FF1237" s="377">
        <f t="shared" si="5902"/>
        <v>4.5</v>
      </c>
      <c r="FG1237" s="666">
        <f t="shared" si="5752"/>
        <v>18</v>
      </c>
      <c r="FH1237" s="667"/>
      <c r="FI1237" s="377"/>
      <c r="FJ1237" s="377"/>
      <c r="FK1237" s="665"/>
      <c r="FL1237" s="377"/>
    </row>
    <row r="1238" ht="12.75" hidden="1" customHeight="1" outlineLevel="2">
      <c r="A1238" s="377"/>
      <c r="B1238" s="756" t="str">
        <f>B856</f>
        <v>All other</v>
      </c>
      <c r="C1238" s="377"/>
      <c r="D1238" s="377"/>
      <c r="E1238" s="377"/>
      <c r="F1238" s="377"/>
      <c r="G1238" s="377"/>
      <c r="H1238" s="747"/>
      <c r="I1238" s="377"/>
      <c r="J1238" s="377"/>
      <c r="K1238" s="377"/>
      <c r="L1238" s="377"/>
      <c r="M1238" s="747"/>
      <c r="N1238" s="377"/>
      <c r="O1238" s="377"/>
      <c r="P1238" s="377"/>
      <c r="Q1238" s="377"/>
      <c r="R1238" s="747"/>
      <c r="S1238" s="377"/>
      <c r="T1238" s="377"/>
      <c r="U1238" s="377"/>
      <c r="V1238" s="377"/>
      <c r="W1238" s="747"/>
      <c r="X1238" s="377"/>
      <c r="Y1238" s="377"/>
      <c r="Z1238" s="377"/>
      <c r="AA1238" s="377"/>
      <c r="AB1238" s="747"/>
      <c r="AC1238" s="377"/>
      <c r="AD1238" s="377"/>
      <c r="AE1238" s="377"/>
      <c r="AF1238" s="377"/>
      <c r="AG1238" s="747"/>
      <c r="AH1238" s="377"/>
      <c r="AI1238" s="377"/>
      <c r="AJ1238" s="377"/>
      <c r="AK1238" s="377"/>
      <c r="AL1238" s="747"/>
      <c r="AM1238" s="377"/>
      <c r="AN1238" s="377"/>
      <c r="AO1238" s="377">
        <f t="shared" ref="AO1238:AP1238" si="5903">SUM(AO1234:AO1237)</f>
        <v>375.4</v>
      </c>
      <c r="AP1238" s="377">
        <f t="shared" si="5903"/>
        <v>427.1</v>
      </c>
      <c r="AQ1238" s="747"/>
      <c r="AR1238" s="377">
        <f t="shared" ref="AR1238:AU1238" si="5904">SUM(AR1234:AR1237)</f>
        <v>400.38</v>
      </c>
      <c r="AS1238" s="377">
        <f t="shared" si="5904"/>
        <v>504.75</v>
      </c>
      <c r="AT1238" s="377">
        <f t="shared" si="5904"/>
        <v>389.69</v>
      </c>
      <c r="AU1238" s="377">
        <f t="shared" si="5904"/>
        <v>427.16</v>
      </c>
      <c r="AV1238" s="747">
        <f>AV1236+AV1234</f>
        <v>966.18</v>
      </c>
      <c r="AW1238" s="377" t="str">
        <f t="shared" ref="AW1238:AZ1238" si="5905">SUM(AW1234:AW1237)</f>
        <v>#ERROR!</v>
      </c>
      <c r="AX1238" s="377" t="str">
        <f t="shared" si="5905"/>
        <v>#ERROR!</v>
      </c>
      <c r="AY1238" s="377" t="str">
        <f t="shared" si="5905"/>
        <v>#ERROR!</v>
      </c>
      <c r="AZ1238" s="377" t="str">
        <f t="shared" si="5905"/>
        <v>#ERROR!</v>
      </c>
      <c r="BA1238" s="747" t="str">
        <f>BA1236+BA1234</f>
        <v>#ERROR!</v>
      </c>
      <c r="BB1238" s="377" t="str">
        <f t="shared" ref="BB1238:BE1238" si="5906">SUM(BB1234:BB1237)</f>
        <v>#ERROR!</v>
      </c>
      <c r="BC1238" s="377" t="str">
        <f t="shared" si="5906"/>
        <v>#ERROR!</v>
      </c>
      <c r="BD1238" s="377" t="str">
        <f t="shared" si="5906"/>
        <v>#ERROR!</v>
      </c>
      <c r="BE1238" s="377" t="str">
        <f t="shared" si="5906"/>
        <v>#ERROR!</v>
      </c>
      <c r="BF1238" s="747" t="str">
        <f>BF1236+BF1234</f>
        <v>#ERROR!</v>
      </c>
      <c r="BG1238" s="377" t="str">
        <f t="shared" ref="BG1238:BJ1238" si="5907">SUM(BG1234:BG1237)</f>
        <v>#ERROR!</v>
      </c>
      <c r="BH1238" s="377" t="str">
        <f t="shared" si="5907"/>
        <v>#ERROR!</v>
      </c>
      <c r="BI1238" s="377" t="str">
        <f t="shared" si="5907"/>
        <v>#ERROR!</v>
      </c>
      <c r="BJ1238" s="377" t="str">
        <f t="shared" si="5907"/>
        <v>#ERROR!</v>
      </c>
      <c r="BK1238" s="747" t="str">
        <f>BK1236+BK1234</f>
        <v>#ERROR!</v>
      </c>
      <c r="BL1238" s="377" t="str">
        <f t="shared" ref="BL1238:BO1238" si="5908">SUM(BL1234:BL1237)</f>
        <v>#ERROR!</v>
      </c>
      <c r="BM1238" s="377" t="str">
        <f t="shared" si="5908"/>
        <v>#ERROR!</v>
      </c>
      <c r="BN1238" s="377" t="str">
        <f t="shared" si="5908"/>
        <v>#ERROR!</v>
      </c>
      <c r="BO1238" s="377" t="str">
        <f t="shared" si="5908"/>
        <v>#ERROR!</v>
      </c>
      <c r="BP1238" s="747" t="str">
        <f>BP1236+BP1234</f>
        <v>#ERROR!</v>
      </c>
      <c r="BQ1238" s="377" t="str">
        <f t="shared" ref="BQ1238:BT1238" si="5909">SUM(BQ1234:BQ1237)</f>
        <v>#ERROR!</v>
      </c>
      <c r="BR1238" s="377" t="str">
        <f t="shared" si="5909"/>
        <v>#ERROR!</v>
      </c>
      <c r="BS1238" s="377">
        <f t="shared" si="5909"/>
        <v>337.83</v>
      </c>
      <c r="BT1238" s="377" t="str">
        <f t="shared" si="5909"/>
        <v>#ERROR!</v>
      </c>
      <c r="BU1238" s="747" t="str">
        <f>BU1236+BU1234</f>
        <v>#ERROR!</v>
      </c>
      <c r="BV1238" s="377" t="str">
        <f t="shared" ref="BV1238:BY1238" si="5910">SUM(BV1234:BV1237)</f>
        <v>#ERROR!</v>
      </c>
      <c r="BW1238" s="377" t="str">
        <f t="shared" si="5910"/>
        <v>#ERROR!</v>
      </c>
      <c r="BX1238" s="377" t="str">
        <f t="shared" si="5910"/>
        <v>#ERROR!</v>
      </c>
      <c r="BY1238" s="377" t="str">
        <f t="shared" si="5910"/>
        <v>#ERROR!</v>
      </c>
      <c r="BZ1238" s="441" t="str">
        <f>BZ1236+BZ1234</f>
        <v>#ERROR!</v>
      </c>
      <c r="CA1238" s="377" t="str">
        <f t="shared" ref="CA1238:CD1238" si="5911">SUM(CA1234:CA1237)</f>
        <v>#ERROR!</v>
      </c>
      <c r="CB1238" s="377" t="str">
        <f t="shared" si="5911"/>
        <v>#ERROR!</v>
      </c>
      <c r="CC1238" s="377" t="str">
        <f t="shared" si="5911"/>
        <v>#ERROR!</v>
      </c>
      <c r="CD1238" s="377" t="str">
        <f t="shared" si="5911"/>
        <v>#ERROR!</v>
      </c>
      <c r="CE1238" s="441" t="str">
        <f>CE1236+CE1234</f>
        <v>#ERROR!</v>
      </c>
      <c r="CF1238" s="377" t="str">
        <f t="shared" ref="CF1238:CI1238" si="5912">SUM(CF1234:CF1237)</f>
        <v>#ERROR!</v>
      </c>
      <c r="CG1238" s="377" t="str">
        <f t="shared" si="5912"/>
        <v>#ERROR!</v>
      </c>
      <c r="CH1238" s="377" t="str">
        <f t="shared" si="5912"/>
        <v>#ERROR!</v>
      </c>
      <c r="CI1238" s="377" t="str">
        <f t="shared" si="5912"/>
        <v>#ERROR!</v>
      </c>
      <c r="CJ1238" s="441" t="str">
        <f>CJ1236+CJ1234</f>
        <v>#ERROR!</v>
      </c>
      <c r="CK1238" s="377" t="str">
        <f t="shared" ref="CK1238:CN1238" si="5913">SUM(CK1234:CK1237)</f>
        <v>#ERROR!</v>
      </c>
      <c r="CL1238" s="377" t="str">
        <f t="shared" si="5913"/>
        <v>#ERROR!</v>
      </c>
      <c r="CM1238" s="377" t="str">
        <f t="shared" si="5913"/>
        <v>#ERROR!</v>
      </c>
      <c r="CN1238" s="440" t="str">
        <f t="shared" si="5913"/>
        <v>#ERROR!</v>
      </c>
      <c r="CO1238" s="441" t="str">
        <f>CO1236+CO1234</f>
        <v>#ERROR!</v>
      </c>
      <c r="CP1238" s="440" t="str">
        <f t="shared" ref="CP1238:CS1238" si="5914">SUM(CP1234:CP1237)</f>
        <v>#ERROR!</v>
      </c>
      <c r="CQ1238" s="377" t="str">
        <f t="shared" si="5914"/>
        <v>#ERROR!</v>
      </c>
      <c r="CR1238" s="377" t="str">
        <f t="shared" si="5914"/>
        <v>#ERROR!</v>
      </c>
      <c r="CS1238" s="377" t="str">
        <f t="shared" si="5914"/>
        <v>#ERROR!</v>
      </c>
      <c r="CT1238" s="441" t="str">
        <f>CT1236+CT1234</f>
        <v>#ERROR!</v>
      </c>
      <c r="CU1238" s="377" t="str">
        <f t="shared" ref="CU1238:CX1238" si="5915">SUM(CU1234:CU1237)</f>
        <v>#ERROR!</v>
      </c>
      <c r="CV1238" s="377" t="str">
        <f t="shared" si="5915"/>
        <v>#ERROR!</v>
      </c>
      <c r="CW1238" s="377" t="str">
        <f t="shared" si="5915"/>
        <v>#ERROR!</v>
      </c>
      <c r="CX1238" s="377" t="str">
        <f t="shared" si="5915"/>
        <v>#ERROR!</v>
      </c>
      <c r="CY1238" s="441" t="str">
        <f>CY1236+CY1234</f>
        <v>#ERROR!</v>
      </c>
      <c r="CZ1238" s="377" t="str">
        <f t="shared" ref="CZ1238:DC1238" si="5916">SUM(CZ1234:CZ1237)</f>
        <v>#ERROR!</v>
      </c>
      <c r="DA1238" s="377" t="str">
        <f t="shared" si="5916"/>
        <v>#ERROR!</v>
      </c>
      <c r="DB1238" s="377" t="str">
        <f t="shared" si="5916"/>
        <v>#ERROR!</v>
      </c>
      <c r="DC1238" s="377" t="str">
        <f t="shared" si="5916"/>
        <v>#ERROR!</v>
      </c>
      <c r="DD1238" s="441" t="str">
        <f>DD1236+DD1234</f>
        <v>#ERROR!</v>
      </c>
      <c r="DE1238" s="377" t="str">
        <f t="shared" ref="DE1238:DH1238" si="5917">SUM(DE1234:DE1237)</f>
        <v>#ERROR!</v>
      </c>
      <c r="DF1238" s="377" t="str">
        <f t="shared" si="5917"/>
        <v>#ERROR!</v>
      </c>
      <c r="DG1238" s="440" t="str">
        <f t="shared" si="5917"/>
        <v>#ERROR!</v>
      </c>
      <c r="DH1238" s="377" t="str">
        <f t="shared" si="5917"/>
        <v>#ERROR!</v>
      </c>
      <c r="DI1238" s="441" t="str">
        <f>DI1236+DI1234</f>
        <v>#ERROR!</v>
      </c>
      <c r="DJ1238" s="440" t="str">
        <f t="shared" ref="DJ1238:DM1238" si="5918">SUM(DJ1234:DJ1237)</f>
        <v>#ERROR!</v>
      </c>
      <c r="DK1238" s="440" t="str">
        <f t="shared" si="5918"/>
        <v>#ERROR!</v>
      </c>
      <c r="DL1238" s="440" t="str">
        <f t="shared" si="5918"/>
        <v>#ERROR!</v>
      </c>
      <c r="DM1238" s="377" t="str">
        <f t="shared" si="5918"/>
        <v>#ERROR!</v>
      </c>
      <c r="DN1238" s="441" t="str">
        <f>DN1236+DN1234</f>
        <v>#ERROR!</v>
      </c>
      <c r="DO1238" s="377" t="str">
        <f t="shared" ref="DO1238:DR1238" si="5919">SUM(DO1234:DO1237)</f>
        <v>#ERROR!</v>
      </c>
      <c r="DP1238" s="377" t="str">
        <f t="shared" si="5919"/>
        <v>#ERROR!</v>
      </c>
      <c r="DQ1238" s="377" t="str">
        <f t="shared" si="5919"/>
        <v>#ERROR!</v>
      </c>
      <c r="DR1238" s="377" t="str">
        <f t="shared" si="5919"/>
        <v>#ERROR!</v>
      </c>
      <c r="DS1238" s="441" t="str">
        <f>DS1236+DS1234</f>
        <v>#ERROR!</v>
      </c>
      <c r="DT1238" s="377" t="str">
        <f t="shared" ref="DT1238:DW1238" si="5920">SUM(DT1234:DT1237)</f>
        <v>#ERROR!</v>
      </c>
      <c r="DU1238" s="377" t="str">
        <f t="shared" si="5920"/>
        <v>#ERROR!</v>
      </c>
      <c r="DV1238" s="377" t="str">
        <f t="shared" si="5920"/>
        <v>#ERROR!</v>
      </c>
      <c r="DW1238" s="377" t="str">
        <f t="shared" si="5920"/>
        <v>#ERROR!</v>
      </c>
      <c r="DX1238" s="441" t="str">
        <f>DX1236+DX1234</f>
        <v>#ERROR!</v>
      </c>
      <c r="DY1238" s="377" t="str">
        <f t="shared" ref="DY1238:EB1238" si="5921">SUM(DY1234:DY1237)</f>
        <v>#ERROR!</v>
      </c>
      <c r="DZ1238" s="377" t="str">
        <f t="shared" si="5921"/>
        <v>#ERROR!</v>
      </c>
      <c r="EA1238" s="377" t="str">
        <f t="shared" si="5921"/>
        <v>#ERROR!</v>
      </c>
      <c r="EB1238" s="377" t="str">
        <f t="shared" si="5921"/>
        <v>#ERROR!</v>
      </c>
      <c r="EC1238" s="441" t="str">
        <f>EC1236+EC1234</f>
        <v>#ERROR!</v>
      </c>
      <c r="ED1238" s="377" t="str">
        <f t="shared" ref="ED1238:EG1238" si="5922">SUM(ED1234:ED1237)</f>
        <v>#ERROR!</v>
      </c>
      <c r="EE1238" s="377" t="str">
        <f t="shared" si="5922"/>
        <v>#ERROR!</v>
      </c>
      <c r="EF1238" s="377" t="str">
        <f t="shared" si="5922"/>
        <v>#ERROR!</v>
      </c>
      <c r="EG1238" s="377" t="str">
        <f t="shared" si="5922"/>
        <v>#ERROR!</v>
      </c>
      <c r="EH1238" s="441" t="str">
        <f>EH1236+EH1234</f>
        <v>#ERROR!</v>
      </c>
      <c r="EI1238" s="442" t="str">
        <f t="shared" ref="EI1238:EL1238" si="5923">SUM(EI1234:EI1237)</f>
        <v>#ERROR!</v>
      </c>
      <c r="EJ1238" s="377" t="str">
        <f t="shared" si="5923"/>
        <v>#ERROR!</v>
      </c>
      <c r="EK1238" s="377" t="str">
        <f t="shared" si="5923"/>
        <v>#ERROR!</v>
      </c>
      <c r="EL1238" s="377" t="str">
        <f t="shared" si="5923"/>
        <v>#ERROR!</v>
      </c>
      <c r="EM1238" s="441" t="str">
        <f>EM1236+EM1234</f>
        <v>#ERROR!</v>
      </c>
      <c r="EN1238" s="377" t="str">
        <f t="shared" ref="EN1238:EQ1238" si="5924">SUM(EN1234:EN1237)</f>
        <v>#ERROR!</v>
      </c>
      <c r="EO1238" s="377" t="str">
        <f t="shared" si="5924"/>
        <v>#ERROR!</v>
      </c>
      <c r="EP1238" s="377" t="str">
        <f t="shared" si="5924"/>
        <v>#ERROR!</v>
      </c>
      <c r="EQ1238" s="377" t="str">
        <f t="shared" si="5924"/>
        <v>#ERROR!</v>
      </c>
      <c r="ER1238" s="441" t="str">
        <f>ER1236+ER1234</f>
        <v>#ERROR!</v>
      </c>
      <c r="ES1238" s="377" t="str">
        <f t="shared" ref="ES1238:EV1238" si="5925">SUM(ES1234:ES1237)</f>
        <v>#ERROR!</v>
      </c>
      <c r="ET1238" s="377" t="str">
        <f t="shared" si="5925"/>
        <v>#ERROR!</v>
      </c>
      <c r="EU1238" s="377" t="str">
        <f t="shared" si="5925"/>
        <v>#ERROR!</v>
      </c>
      <c r="EV1238" s="377" t="str">
        <f t="shared" si="5925"/>
        <v>#ERROR!</v>
      </c>
      <c r="EW1238" s="441" t="str">
        <f>EW1236+EW1234</f>
        <v>#ERROR!</v>
      </c>
      <c r="EX1238" s="377" t="str">
        <f t="shared" ref="EX1238:FA1238" si="5926">SUM(EX1234:EX1237)</f>
        <v>#ERROR!</v>
      </c>
      <c r="EY1238" s="377" t="str">
        <f t="shared" si="5926"/>
        <v>#ERROR!</v>
      </c>
      <c r="EZ1238" s="377" t="str">
        <f t="shared" si="5926"/>
        <v>#ERROR!</v>
      </c>
      <c r="FA1238" s="377" t="str">
        <f t="shared" si="5926"/>
        <v>#ERROR!</v>
      </c>
      <c r="FB1238" s="441" t="str">
        <f>FB1236+FB1234</f>
        <v>#ERROR!</v>
      </c>
      <c r="FC1238" s="377" t="str">
        <f t="shared" ref="FC1238:FF1238" si="5927">SUM(FC1234:FC1237)</f>
        <v>#ERROR!</v>
      </c>
      <c r="FD1238" s="377" t="str">
        <f t="shared" si="5927"/>
        <v>#ERROR!</v>
      </c>
      <c r="FE1238" s="377" t="str">
        <f t="shared" si="5927"/>
        <v>#ERROR!</v>
      </c>
      <c r="FF1238" s="377" t="str">
        <f t="shared" si="5927"/>
        <v>#ERROR!</v>
      </c>
      <c r="FG1238" s="441" t="str">
        <f>FG1236+FG1234</f>
        <v>#ERROR!</v>
      </c>
      <c r="FH1238" s="443"/>
      <c r="FI1238" s="377"/>
      <c r="FJ1238" s="377"/>
      <c r="FK1238" s="747"/>
      <c r="FL1238" s="377"/>
    </row>
    <row r="1239" ht="13.5" hidden="1" customHeight="1" outlineLevel="2">
      <c r="A1239" s="665"/>
      <c r="B1239" s="748" t="s">
        <v>291</v>
      </c>
      <c r="C1239" s="748"/>
      <c r="D1239" s="748"/>
      <c r="E1239" s="748"/>
      <c r="F1239" s="748"/>
      <c r="G1239" s="748"/>
      <c r="H1239" s="748"/>
      <c r="I1239" s="748"/>
      <c r="J1239" s="748"/>
      <c r="K1239" s="748"/>
      <c r="L1239" s="748"/>
      <c r="M1239" s="748"/>
      <c r="N1239" s="748"/>
      <c r="O1239" s="748"/>
      <c r="P1239" s="748"/>
      <c r="Q1239" s="748"/>
      <c r="R1239" s="748"/>
      <c r="S1239" s="748"/>
      <c r="T1239" s="748"/>
      <c r="U1239" s="748"/>
      <c r="V1239" s="748"/>
      <c r="W1239" s="748"/>
      <c r="X1239" s="748"/>
      <c r="Y1239" s="748"/>
      <c r="Z1239" s="748"/>
      <c r="AA1239" s="748"/>
      <c r="AB1239" s="748"/>
      <c r="AC1239" s="748"/>
      <c r="AD1239" s="748"/>
      <c r="AE1239" s="748"/>
      <c r="AF1239" s="748"/>
      <c r="AG1239" s="748"/>
      <c r="AH1239" s="748"/>
      <c r="AI1239" s="748"/>
      <c r="AJ1239" s="748"/>
      <c r="AK1239" s="748"/>
      <c r="AL1239" s="748"/>
      <c r="AM1239" s="748"/>
      <c r="AN1239" s="748"/>
      <c r="AO1239" s="748">
        <f t="shared" ref="AO1239:AP1239" si="5928">SUM(AO1233:AO1236)</f>
        <v>4546.808</v>
      </c>
      <c r="AP1239" s="748">
        <f t="shared" si="5928"/>
        <v>5488.36</v>
      </c>
      <c r="AQ1239" s="748"/>
      <c r="AR1239" s="748" t="str">
        <f t="shared" ref="AR1239:AU1239" si="5929">SUM(AR1233:AR1236)</f>
        <v>#ERROR!</v>
      </c>
      <c r="AS1239" s="748" t="str">
        <f t="shared" si="5929"/>
        <v>#ERROR!</v>
      </c>
      <c r="AT1239" s="748" t="str">
        <f t="shared" si="5929"/>
        <v>#ERROR!</v>
      </c>
      <c r="AU1239" s="748" t="str">
        <f t="shared" si="5929"/>
        <v>#ERROR!</v>
      </c>
      <c r="AV1239" s="748" t="str">
        <f>SUM(AR1239:AU1239)</f>
        <v>#ERROR!</v>
      </c>
      <c r="AW1239" s="748" t="str">
        <f t="shared" ref="AW1239:AZ1239" si="5930">SUM(AW1233:AW1236)</f>
        <v>#ERROR!</v>
      </c>
      <c r="AX1239" s="748" t="str">
        <f t="shared" si="5930"/>
        <v>#ERROR!</v>
      </c>
      <c r="AY1239" s="748" t="str">
        <f t="shared" si="5930"/>
        <v>#ERROR!</v>
      </c>
      <c r="AZ1239" s="748" t="str">
        <f t="shared" si="5930"/>
        <v>#ERROR!</v>
      </c>
      <c r="BA1239" s="748" t="str">
        <f>SUM(AW1239:AZ1239)</f>
        <v>#ERROR!</v>
      </c>
      <c r="BB1239" s="748" t="str">
        <f t="shared" ref="BB1239:BE1239" si="5931">SUM(BB1233:BB1236)</f>
        <v>#ERROR!</v>
      </c>
      <c r="BC1239" s="748" t="str">
        <f t="shared" si="5931"/>
        <v>#ERROR!</v>
      </c>
      <c r="BD1239" s="748" t="str">
        <f t="shared" si="5931"/>
        <v>#ERROR!</v>
      </c>
      <c r="BE1239" s="748" t="str">
        <f t="shared" si="5931"/>
        <v>#ERROR!</v>
      </c>
      <c r="BF1239" s="748" t="str">
        <f>SUM(BB1239:BE1239)</f>
        <v>#ERROR!</v>
      </c>
      <c r="BG1239" s="748" t="str">
        <f t="shared" ref="BG1239:BJ1239" si="5932">SUM(BG1233:BG1236)</f>
        <v>#ERROR!</v>
      </c>
      <c r="BH1239" s="748" t="str">
        <f t="shared" si="5932"/>
        <v>#ERROR!</v>
      </c>
      <c r="BI1239" s="748" t="str">
        <f t="shared" si="5932"/>
        <v>#ERROR!</v>
      </c>
      <c r="BJ1239" s="748" t="str">
        <f t="shared" si="5932"/>
        <v>#ERROR!</v>
      </c>
      <c r="BK1239" s="748" t="str">
        <f>SUM(BG1239:BJ1239)</f>
        <v>#ERROR!</v>
      </c>
      <c r="BL1239" s="748" t="str">
        <f t="shared" ref="BL1239:BO1239" si="5933">SUM(BL1233:BL1236)</f>
        <v>#ERROR!</v>
      </c>
      <c r="BM1239" s="748" t="str">
        <f t="shared" si="5933"/>
        <v>#ERROR!</v>
      </c>
      <c r="BN1239" s="748" t="str">
        <f t="shared" si="5933"/>
        <v>#ERROR!</v>
      </c>
      <c r="BO1239" s="748" t="str">
        <f t="shared" si="5933"/>
        <v>#ERROR!</v>
      </c>
      <c r="BP1239" s="748" t="str">
        <f>SUM(BL1239:BO1239)</f>
        <v>#ERROR!</v>
      </c>
      <c r="BQ1239" s="748" t="str">
        <f t="shared" ref="BQ1239:BT1239" si="5934">SUM(BQ1233:BQ1236)</f>
        <v>#ERROR!</v>
      </c>
      <c r="BR1239" s="748" t="str">
        <f t="shared" si="5934"/>
        <v>#ERROR!</v>
      </c>
      <c r="BS1239" s="748" t="str">
        <f t="shared" si="5934"/>
        <v>#ERROR!</v>
      </c>
      <c r="BT1239" s="748" t="str">
        <f t="shared" si="5934"/>
        <v>#ERROR!</v>
      </c>
      <c r="BU1239" s="748" t="str">
        <f>SUM(BQ1239:BT1239)</f>
        <v>#ERROR!</v>
      </c>
      <c r="BV1239" s="748" t="str">
        <f t="shared" ref="BV1239:BY1239" si="5935">SUM(BV1233:BV1236)</f>
        <v>#ERROR!</v>
      </c>
      <c r="BW1239" s="748" t="str">
        <f t="shared" si="5935"/>
        <v>#ERROR!</v>
      </c>
      <c r="BX1239" s="748" t="str">
        <f t="shared" si="5935"/>
        <v>#ERROR!</v>
      </c>
      <c r="BY1239" s="748" t="str">
        <f t="shared" si="5935"/>
        <v>#ERROR!</v>
      </c>
      <c r="BZ1239" s="757" t="str">
        <f>SUM(BV1239:BY1239)</f>
        <v>#ERROR!</v>
      </c>
      <c r="CA1239" s="748" t="str">
        <f t="shared" ref="CA1239:CD1239" si="5936">SUM(CA1233:CA1236)</f>
        <v>#ERROR!</v>
      </c>
      <c r="CB1239" s="748" t="str">
        <f t="shared" si="5936"/>
        <v>#ERROR!</v>
      </c>
      <c r="CC1239" s="748" t="str">
        <f t="shared" si="5936"/>
        <v>#ERROR!</v>
      </c>
      <c r="CD1239" s="748" t="str">
        <f t="shared" si="5936"/>
        <v>#ERROR!</v>
      </c>
      <c r="CE1239" s="757" t="str">
        <f>SUM(CA1239:CD1239)</f>
        <v>#ERROR!</v>
      </c>
      <c r="CF1239" s="748" t="str">
        <f t="shared" ref="CF1239:CI1239" si="5937">SUM(CF1233:CF1236)</f>
        <v>#ERROR!</v>
      </c>
      <c r="CG1239" s="748" t="str">
        <f t="shared" si="5937"/>
        <v>#ERROR!</v>
      </c>
      <c r="CH1239" s="748" t="str">
        <f t="shared" si="5937"/>
        <v>#ERROR!</v>
      </c>
      <c r="CI1239" s="748" t="str">
        <f t="shared" si="5937"/>
        <v>#ERROR!</v>
      </c>
      <c r="CJ1239" s="757" t="str">
        <f>SUM(CF1239:CI1239)</f>
        <v>#ERROR!</v>
      </c>
      <c r="CK1239" s="748" t="str">
        <f t="shared" ref="CK1239:CN1239" si="5938">SUM(CK1233:CK1236)</f>
        <v>#ERROR!</v>
      </c>
      <c r="CL1239" s="748" t="str">
        <f t="shared" si="5938"/>
        <v>#ERROR!</v>
      </c>
      <c r="CM1239" s="748" t="str">
        <f t="shared" si="5938"/>
        <v>#ERROR!</v>
      </c>
      <c r="CN1239" s="751" t="str">
        <f t="shared" si="5938"/>
        <v>#ERROR!</v>
      </c>
      <c r="CO1239" s="757" t="str">
        <f>SUM(CK1239:CN1239)</f>
        <v>#ERROR!</v>
      </c>
      <c r="CP1239" s="751" t="str">
        <f t="shared" ref="CP1239:CS1239" si="5939">SUM(CP1233:CP1236)</f>
        <v>#ERROR!</v>
      </c>
      <c r="CQ1239" s="748" t="str">
        <f t="shared" si="5939"/>
        <v>#ERROR!</v>
      </c>
      <c r="CR1239" s="748" t="str">
        <f t="shared" si="5939"/>
        <v>#ERROR!</v>
      </c>
      <c r="CS1239" s="748" t="str">
        <f t="shared" si="5939"/>
        <v>#ERROR!</v>
      </c>
      <c r="CT1239" s="757" t="str">
        <f>SUM(CP1239:CS1239)</f>
        <v>#ERROR!</v>
      </c>
      <c r="CU1239" s="748" t="str">
        <f t="shared" ref="CU1239:CX1239" si="5940">SUM(CU1233:CU1236)</f>
        <v>#ERROR!</v>
      </c>
      <c r="CV1239" s="748" t="str">
        <f t="shared" si="5940"/>
        <v>#ERROR!</v>
      </c>
      <c r="CW1239" s="748" t="str">
        <f t="shared" si="5940"/>
        <v>#ERROR!</v>
      </c>
      <c r="CX1239" s="748" t="str">
        <f t="shared" si="5940"/>
        <v>#ERROR!</v>
      </c>
      <c r="CY1239" s="757" t="str">
        <f>SUM(CU1239:CX1239)</f>
        <v>#ERROR!</v>
      </c>
      <c r="CZ1239" s="748" t="str">
        <f t="shared" ref="CZ1239:DC1239" si="5941">SUM(CZ1233:CZ1236)</f>
        <v>#ERROR!</v>
      </c>
      <c r="DA1239" s="748" t="str">
        <f t="shared" si="5941"/>
        <v>#ERROR!</v>
      </c>
      <c r="DB1239" s="748" t="str">
        <f t="shared" si="5941"/>
        <v>#ERROR!</v>
      </c>
      <c r="DC1239" s="748" t="str">
        <f t="shared" si="5941"/>
        <v>#ERROR!</v>
      </c>
      <c r="DD1239" s="757" t="str">
        <f>SUM(CZ1239:DC1239)</f>
        <v>#ERROR!</v>
      </c>
      <c r="DE1239" s="748" t="str">
        <f t="shared" ref="DE1239:DH1239" si="5942">SUM(DE1233:DE1236)</f>
        <v>#ERROR!</v>
      </c>
      <c r="DF1239" s="748" t="str">
        <f t="shared" si="5942"/>
        <v>#ERROR!</v>
      </c>
      <c r="DG1239" s="667" t="str">
        <f t="shared" si="5942"/>
        <v>#ERROR!</v>
      </c>
      <c r="DH1239" s="748" t="str">
        <f t="shared" si="5942"/>
        <v>#ERROR!</v>
      </c>
      <c r="DI1239" s="757" t="str">
        <f>SUM(DE1239:DH1239)</f>
        <v>#ERROR!</v>
      </c>
      <c r="DJ1239" s="751" t="str">
        <f t="shared" ref="DJ1239:DM1239" si="5943">SUM(DJ1233:DJ1236)</f>
        <v>#ERROR!</v>
      </c>
      <c r="DK1239" s="751" t="str">
        <f t="shared" si="5943"/>
        <v>#ERROR!</v>
      </c>
      <c r="DL1239" s="751" t="str">
        <f t="shared" si="5943"/>
        <v>#ERROR!</v>
      </c>
      <c r="DM1239" s="748" t="str">
        <f t="shared" si="5943"/>
        <v>#ERROR!</v>
      </c>
      <c r="DN1239" s="757" t="str">
        <f>SUM(DJ1239:DM1239)</f>
        <v>#ERROR!</v>
      </c>
      <c r="DO1239" s="748" t="str">
        <f t="shared" ref="DO1239:DR1239" si="5944">SUM(DO1233:DO1236)</f>
        <v>#ERROR!</v>
      </c>
      <c r="DP1239" s="748" t="str">
        <f t="shared" si="5944"/>
        <v>#ERROR!</v>
      </c>
      <c r="DQ1239" s="748" t="str">
        <f t="shared" si="5944"/>
        <v>#ERROR!</v>
      </c>
      <c r="DR1239" s="748" t="str">
        <f t="shared" si="5944"/>
        <v>#ERROR!</v>
      </c>
      <c r="DS1239" s="757" t="str">
        <f>SUM(DO1239:DR1239)</f>
        <v>#ERROR!</v>
      </c>
      <c r="DT1239" s="748" t="str">
        <f t="shared" ref="DT1239:DW1239" si="5945">SUM(DT1233:DT1236)</f>
        <v>#ERROR!</v>
      </c>
      <c r="DU1239" s="748" t="str">
        <f t="shared" si="5945"/>
        <v>#ERROR!</v>
      </c>
      <c r="DV1239" s="748" t="str">
        <f t="shared" si="5945"/>
        <v>#ERROR!</v>
      </c>
      <c r="DW1239" s="748" t="str">
        <f t="shared" si="5945"/>
        <v>#ERROR!</v>
      </c>
      <c r="DX1239" s="757" t="str">
        <f>SUM(DT1239:DW1239)</f>
        <v>#ERROR!</v>
      </c>
      <c r="DY1239" s="748" t="str">
        <f t="shared" ref="DY1239:EB1239" si="5946">SUM(DY1233:DY1236)</f>
        <v>#ERROR!</v>
      </c>
      <c r="DZ1239" s="748" t="str">
        <f t="shared" si="5946"/>
        <v>#ERROR!</v>
      </c>
      <c r="EA1239" s="748" t="str">
        <f t="shared" si="5946"/>
        <v>#ERROR!</v>
      </c>
      <c r="EB1239" s="748" t="str">
        <f t="shared" si="5946"/>
        <v>#ERROR!</v>
      </c>
      <c r="EC1239" s="757" t="str">
        <f>SUM(DY1239:EB1239)</f>
        <v>#ERROR!</v>
      </c>
      <c r="ED1239" s="748" t="str">
        <f t="shared" ref="ED1239:EG1239" si="5947">SUM(ED1233:ED1236)</f>
        <v>#ERROR!</v>
      </c>
      <c r="EE1239" s="748" t="str">
        <f t="shared" si="5947"/>
        <v>#ERROR!</v>
      </c>
      <c r="EF1239" s="748" t="str">
        <f t="shared" si="5947"/>
        <v>#ERROR!</v>
      </c>
      <c r="EG1239" s="748" t="str">
        <f t="shared" si="5947"/>
        <v>#ERROR!</v>
      </c>
      <c r="EH1239" s="757" t="str">
        <f>SUM(ED1239:EG1239)</f>
        <v>#ERROR!</v>
      </c>
      <c r="EI1239" s="752" t="str">
        <f t="shared" ref="EI1239:EL1239" si="5948">SUM(EI1233:EI1236)</f>
        <v>#ERROR!</v>
      </c>
      <c r="EJ1239" s="748" t="str">
        <f t="shared" si="5948"/>
        <v>#ERROR!</v>
      </c>
      <c r="EK1239" s="748" t="str">
        <f t="shared" si="5948"/>
        <v>#ERROR!</v>
      </c>
      <c r="EL1239" s="748" t="str">
        <f t="shared" si="5948"/>
        <v>#ERROR!</v>
      </c>
      <c r="EM1239" s="757" t="str">
        <f>SUM(EI1239:EL1239)</f>
        <v>#ERROR!</v>
      </c>
      <c r="EN1239" s="748" t="str">
        <f t="shared" ref="EN1239:EQ1239" si="5949">SUM(EN1233:EN1236)</f>
        <v>#ERROR!</v>
      </c>
      <c r="EO1239" s="748" t="str">
        <f t="shared" si="5949"/>
        <v>#ERROR!</v>
      </c>
      <c r="EP1239" s="748" t="str">
        <f t="shared" si="5949"/>
        <v>#ERROR!</v>
      </c>
      <c r="EQ1239" s="748" t="str">
        <f t="shared" si="5949"/>
        <v>#ERROR!</v>
      </c>
      <c r="ER1239" s="757" t="str">
        <f>SUM(EN1239:EQ1239)</f>
        <v>#ERROR!</v>
      </c>
      <c r="ES1239" s="748" t="str">
        <f t="shared" ref="ES1239:EV1239" si="5950">SUM(ES1233:ES1236)</f>
        <v>#ERROR!</v>
      </c>
      <c r="ET1239" s="748" t="str">
        <f t="shared" si="5950"/>
        <v>#ERROR!</v>
      </c>
      <c r="EU1239" s="748" t="str">
        <f t="shared" si="5950"/>
        <v>#ERROR!</v>
      </c>
      <c r="EV1239" s="748" t="str">
        <f t="shared" si="5950"/>
        <v>#ERROR!</v>
      </c>
      <c r="EW1239" s="757" t="str">
        <f>SUM(ES1239:EV1239)</f>
        <v>#ERROR!</v>
      </c>
      <c r="EX1239" s="748" t="str">
        <f t="shared" ref="EX1239:FA1239" si="5951">SUM(EX1233:EX1236)</f>
        <v>#ERROR!</v>
      </c>
      <c r="EY1239" s="748" t="str">
        <f t="shared" si="5951"/>
        <v>#ERROR!</v>
      </c>
      <c r="EZ1239" s="748" t="str">
        <f t="shared" si="5951"/>
        <v>#ERROR!</v>
      </c>
      <c r="FA1239" s="748" t="str">
        <f t="shared" si="5951"/>
        <v>#ERROR!</v>
      </c>
      <c r="FB1239" s="757" t="str">
        <f>SUM(EX1239:FA1239)</f>
        <v>#ERROR!</v>
      </c>
      <c r="FC1239" s="748" t="str">
        <f t="shared" ref="FC1239:FF1239" si="5952">SUM(FC1233:FC1236)</f>
        <v>#ERROR!</v>
      </c>
      <c r="FD1239" s="748" t="str">
        <f t="shared" si="5952"/>
        <v>#ERROR!</v>
      </c>
      <c r="FE1239" s="748" t="str">
        <f t="shared" si="5952"/>
        <v>#ERROR!</v>
      </c>
      <c r="FF1239" s="748" t="str">
        <f t="shared" si="5952"/>
        <v>#ERROR!</v>
      </c>
      <c r="FG1239" s="757" t="str">
        <f>SUM(FC1239:FF1239)</f>
        <v>#ERROR!</v>
      </c>
      <c r="FH1239" s="751"/>
      <c r="FI1239" s="748"/>
      <c r="FJ1239" s="748"/>
      <c r="FK1239" s="748"/>
      <c r="FL1239" s="748"/>
    </row>
    <row r="1240" ht="13.5" hidden="1" customHeight="1" outlineLevel="4">
      <c r="A1240" s="4"/>
      <c r="B1240" s="4" t="s">
        <v>462</v>
      </c>
      <c r="C1240" s="4"/>
      <c r="D1240" s="377"/>
      <c r="E1240" s="377"/>
      <c r="F1240" s="377"/>
      <c r="G1240" s="377"/>
      <c r="H1240" s="747"/>
      <c r="I1240" s="377"/>
      <c r="J1240" s="377"/>
      <c r="K1240" s="377"/>
      <c r="L1240" s="377"/>
      <c r="M1240" s="747"/>
      <c r="N1240" s="377"/>
      <c r="O1240" s="377"/>
      <c r="P1240" s="377"/>
      <c r="Q1240" s="377"/>
      <c r="R1240" s="747"/>
      <c r="S1240" s="377"/>
      <c r="T1240" s="377"/>
      <c r="U1240" s="377"/>
      <c r="V1240" s="377"/>
      <c r="W1240" s="747"/>
      <c r="X1240" s="377"/>
      <c r="Y1240" s="377"/>
      <c r="Z1240" s="377"/>
      <c r="AA1240" s="377"/>
      <c r="AB1240" s="747"/>
      <c r="AC1240" s="377"/>
      <c r="AD1240" s="377"/>
      <c r="AE1240" s="377"/>
      <c r="AF1240" s="377"/>
      <c r="AG1240" s="747">
        <f>grossProfit</f>
        <v>13052</v>
      </c>
      <c r="AH1240" s="377">
        <f>grossProfit</f>
        <v>3480</v>
      </c>
      <c r="AI1240" s="377">
        <f>grossProfit</f>
        <v>2969</v>
      </c>
      <c r="AJ1240" s="377">
        <f>grossProfit</f>
        <v>3173</v>
      </c>
      <c r="AK1240" s="377">
        <f>grossProfit</f>
        <v>3696</v>
      </c>
      <c r="AL1240" s="747">
        <f>grossProfit</f>
        <v>13318</v>
      </c>
      <c r="AM1240" s="377">
        <f>grossProfit</f>
        <v>3512</v>
      </c>
      <c r="AN1240" s="377">
        <f>grossProfit</f>
        <v>3468</v>
      </c>
      <c r="AO1240" s="377">
        <f>grossProfit</f>
        <v>4558</v>
      </c>
      <c r="AP1240" s="377">
        <f>grossProfit</f>
        <v>5556</v>
      </c>
      <c r="AQ1240" s="747">
        <f>grossProfit</f>
        <v>17094</v>
      </c>
      <c r="AR1240" s="377">
        <f>grossProfit</f>
        <v>4870</v>
      </c>
      <c r="AS1240" s="377">
        <f>grossProfit</f>
        <v>4780</v>
      </c>
      <c r="AT1240" s="377">
        <f>grossProfit</f>
        <v>4719</v>
      </c>
      <c r="AU1240" s="377">
        <f>grossProfit</f>
        <v>5377</v>
      </c>
      <c r="AV1240" s="747">
        <f>grossProfit</f>
        <v>19746</v>
      </c>
      <c r="AW1240" s="377">
        <f>grossProfit</f>
        <v>5598</v>
      </c>
      <c r="AX1240" s="377">
        <f>grossProfit</f>
        <v>5203</v>
      </c>
      <c r="AY1240" s="377">
        <f>grossProfit</f>
        <v>6088</v>
      </c>
      <c r="AZ1240" s="377">
        <f>grossProfit</f>
        <v>6300</v>
      </c>
      <c r="BA1240" s="747">
        <f>grossProfit</f>
        <v>23189</v>
      </c>
      <c r="BB1240" s="377">
        <f>grossProfit</f>
        <v>4943</v>
      </c>
      <c r="BC1240" s="377">
        <f>grossProfit</f>
        <v>4171</v>
      </c>
      <c r="BD1240" s="377">
        <f>grossProfit</f>
        <v>4294</v>
      </c>
      <c r="BE1240" s="377">
        <f>grossProfit</f>
        <v>4810</v>
      </c>
      <c r="BF1240" s="747">
        <f>grossProfit</f>
        <v>18218</v>
      </c>
      <c r="BG1240" s="377">
        <f>grossProfit</f>
        <v>4432</v>
      </c>
      <c r="BH1240" s="377">
        <f>grossProfit</f>
        <v>4075</v>
      </c>
      <c r="BI1240" s="377">
        <f>grossProfit</f>
        <v>5284</v>
      </c>
      <c r="BJ1240" s="377">
        <f>grossProfit</f>
        <v>6226</v>
      </c>
      <c r="BK1240" s="747">
        <f>grossProfit</f>
        <v>20017</v>
      </c>
      <c r="BL1240" s="377">
        <f>grossProfit</f>
        <v>5207</v>
      </c>
      <c r="BM1240" s="377">
        <f>grossProfit</f>
        <v>5249</v>
      </c>
      <c r="BN1240" s="377">
        <f>grossProfit</f>
        <v>6019</v>
      </c>
      <c r="BO1240" s="377">
        <f>grossProfit</f>
        <v>4369</v>
      </c>
      <c r="BP1240" s="747">
        <f>grossProfit</f>
        <v>20844</v>
      </c>
      <c r="BQ1240" s="377">
        <f>grossProfit</f>
        <v>3238</v>
      </c>
      <c r="BR1240" s="377">
        <f>grossProfit</f>
        <v>4079</v>
      </c>
      <c r="BS1240" s="377">
        <f>grossProfit</f>
        <v>5404</v>
      </c>
      <c r="BT1240" s="377">
        <f>grossProfit</f>
        <v>6840</v>
      </c>
      <c r="BU1240" s="747">
        <f>grossProfit</f>
        <v>19561</v>
      </c>
      <c r="BV1240" s="377">
        <f>grossProfit</f>
        <v>6529</v>
      </c>
      <c r="BW1240" s="377">
        <f>grossProfit</f>
        <v>7235</v>
      </c>
      <c r="BX1240" s="377">
        <f>grossProfit</f>
        <v>7321</v>
      </c>
      <c r="BY1240" s="377">
        <f>grossProfit</f>
        <v>7406</v>
      </c>
      <c r="BZ1240" s="441">
        <f>grossProfit</f>
        <v>28491</v>
      </c>
      <c r="CA1240" s="377">
        <f>grossProfit</f>
        <v>7885</v>
      </c>
      <c r="CB1240" s="377">
        <f>grossProfit</f>
        <v>7902</v>
      </c>
      <c r="CC1240" s="377">
        <f>grossProfit</f>
        <v>9018</v>
      </c>
      <c r="CD1240" s="377">
        <f>grossProfit</f>
        <v>8952</v>
      </c>
      <c r="CE1240" s="441">
        <f>grossProfit</f>
        <v>33757</v>
      </c>
      <c r="CF1240" s="377">
        <f>grossProfit</f>
        <v>8265</v>
      </c>
      <c r="CG1240" s="377">
        <f>grossProfit</f>
        <v>8554</v>
      </c>
      <c r="CH1240" s="377">
        <f>grossProfit</f>
        <v>8515</v>
      </c>
      <c r="CI1240" s="377">
        <f>grossProfit</f>
        <v>7817</v>
      </c>
      <c r="CJ1240" s="441">
        <f>grossProfit</f>
        <v>33151</v>
      </c>
      <c r="CK1240" s="377">
        <f>grossProfit</f>
        <v>7066</v>
      </c>
      <c r="CL1240" s="377">
        <f>grossProfit</f>
        <v>7470</v>
      </c>
      <c r="CM1240" s="377">
        <f>grossProfit</f>
        <v>8414</v>
      </c>
      <c r="CN1240" s="440">
        <f>grossProfit</f>
        <v>8571</v>
      </c>
      <c r="CO1240" s="441">
        <f>grossProfit</f>
        <v>31521</v>
      </c>
      <c r="CP1240" s="440">
        <f>grossProfit</f>
        <v>7626</v>
      </c>
      <c r="CQ1240" s="377">
        <f>grossProfit</f>
        <v>8917</v>
      </c>
      <c r="CR1240" s="377">
        <f>grossProfit</f>
        <v>9458</v>
      </c>
      <c r="CS1240" s="377">
        <f>grossProfit</f>
        <v>9621</v>
      </c>
      <c r="CT1240" s="441">
        <f>grossProfit</f>
        <v>35622</v>
      </c>
      <c r="CU1240" s="377">
        <f>grossProfit</f>
        <v>7730</v>
      </c>
      <c r="CV1240" s="377">
        <f>grossProfit</f>
        <v>8248</v>
      </c>
      <c r="CW1240" s="377">
        <f>grossProfit</f>
        <v>9111</v>
      </c>
      <c r="CX1240" s="377">
        <f>grossProfit</f>
        <v>9590</v>
      </c>
      <c r="CY1240" s="441">
        <f>grossProfit</f>
        <v>34679</v>
      </c>
      <c r="CZ1240" s="377">
        <f>grossProfit</f>
        <v>8130</v>
      </c>
      <c r="DA1240" s="377">
        <f>grossProfit</f>
        <v>7973</v>
      </c>
      <c r="DB1240" s="377">
        <f>grossProfit</f>
        <v>9983</v>
      </c>
      <c r="DC1240" s="377">
        <f>grossProfit</f>
        <v>10105</v>
      </c>
      <c r="DD1240" s="441">
        <f>grossProfit</f>
        <v>36191</v>
      </c>
      <c r="DE1240" s="377">
        <f>grossProfit</f>
        <v>9147</v>
      </c>
      <c r="DF1240" s="377">
        <f>grossProfit</f>
        <v>9098</v>
      </c>
      <c r="DG1240" s="440">
        <f>grossProfit</f>
        <v>10057</v>
      </c>
      <c r="DH1240" s="377">
        <f>grossProfit</f>
        <v>10767</v>
      </c>
      <c r="DI1240" s="441">
        <f>grossProfit</f>
        <v>39069</v>
      </c>
      <c r="DJ1240" s="440">
        <f>grossProfit</f>
        <v>9731</v>
      </c>
      <c r="DK1240" s="440">
        <f>grossProfit</f>
        <v>10419</v>
      </c>
      <c r="DL1240" s="440">
        <f>grossProfit</f>
        <v>12360</v>
      </c>
      <c r="DM1240" s="377">
        <f>grossProfit</f>
        <v>11227</v>
      </c>
      <c r="DN1240" s="441">
        <f>grossProfit</f>
        <v>43737</v>
      </c>
      <c r="DO1240" s="377">
        <f>grossProfit</f>
        <v>9089</v>
      </c>
      <c r="DP1240" s="377">
        <f>grossProfit</f>
        <v>9878</v>
      </c>
      <c r="DQ1240" s="377">
        <f>grossProfit</f>
        <v>11295</v>
      </c>
      <c r="DR1240" s="377">
        <f>grossProfit</f>
        <v>11878</v>
      </c>
      <c r="DS1240" s="441">
        <f>grossProfit</f>
        <v>42140</v>
      </c>
      <c r="DT1240" s="377">
        <f>grossProfit</f>
        <v>12016</v>
      </c>
      <c r="DU1240" s="377">
        <f>grossProfit</f>
        <v>10507</v>
      </c>
      <c r="DV1240" s="377">
        <f>grossProfit</f>
        <v>9741</v>
      </c>
      <c r="DW1240" s="377">
        <f>grossProfit</f>
        <v>11348</v>
      </c>
      <c r="DX1240" s="441">
        <f>grossProfit</f>
        <v>43612</v>
      </c>
      <c r="DY1240" s="377">
        <f>grossProfit</f>
        <v>10854</v>
      </c>
      <c r="DZ1240" s="377">
        <f>grossProfit</f>
        <v>11206</v>
      </c>
      <c r="EA1240" s="377">
        <f>grossProfit</f>
        <v>10746</v>
      </c>
      <c r="EB1240" s="377">
        <f>grossProfit</f>
        <v>11009</v>
      </c>
      <c r="EC1240" s="441">
        <f>grossProfit</f>
        <v>43815</v>
      </c>
      <c r="ED1240" s="377">
        <f>grossProfit</f>
        <v>9244</v>
      </c>
      <c r="EE1240" s="377">
        <f>grossProfit</f>
        <v>5587</v>
      </c>
      <c r="EF1240" s="377">
        <f>grossProfit</f>
        <v>6535</v>
      </c>
      <c r="EG1240" s="377">
        <f>grossProfit</f>
        <v>5500</v>
      </c>
      <c r="EH1240" s="441">
        <f>grossProfit</f>
        <v>26866</v>
      </c>
      <c r="EI1240" s="442" t="str">
        <f>grossProfit</f>
        <v>#ERROR!</v>
      </c>
      <c r="EJ1240" s="377" t="str">
        <f>grossProfit</f>
        <v>#ERROR!</v>
      </c>
      <c r="EK1240" s="377" t="str">
        <f>grossProfit</f>
        <v>#ERROR!</v>
      </c>
      <c r="EL1240" s="377" t="str">
        <f>grossProfit</f>
        <v>#ERROR!</v>
      </c>
      <c r="EM1240" s="441" t="str">
        <f>grossProfit</f>
        <v>#ERROR!</v>
      </c>
      <c r="EN1240" s="377" t="str">
        <f>grossProfit</f>
        <v>#ERROR!</v>
      </c>
      <c r="EO1240" s="377" t="str">
        <f>grossProfit</f>
        <v>#ERROR!</v>
      </c>
      <c r="EP1240" s="377" t="str">
        <f>grossProfit</f>
        <v>#ERROR!</v>
      </c>
      <c r="EQ1240" s="377" t="str">
        <f>grossProfit</f>
        <v>#ERROR!</v>
      </c>
      <c r="ER1240" s="441" t="str">
        <f>grossProfit</f>
        <v>#ERROR!</v>
      </c>
      <c r="ES1240" s="377" t="str">
        <f>grossProfit</f>
        <v>#ERROR!</v>
      </c>
      <c r="ET1240" s="377" t="str">
        <f>grossProfit</f>
        <v>#ERROR!</v>
      </c>
      <c r="EU1240" s="377" t="str">
        <f>grossProfit</f>
        <v>#ERROR!</v>
      </c>
      <c r="EV1240" s="377" t="str">
        <f>grossProfit</f>
        <v>#ERROR!</v>
      </c>
      <c r="EW1240" s="441" t="str">
        <f>grossProfit</f>
        <v>#ERROR!</v>
      </c>
      <c r="EX1240" s="377" t="str">
        <f>grossProfit</f>
        <v>#ERROR!</v>
      </c>
      <c r="EY1240" s="377" t="str">
        <f>grossProfit</f>
        <v>#ERROR!</v>
      </c>
      <c r="EZ1240" s="377" t="str">
        <f>grossProfit</f>
        <v>#ERROR!</v>
      </c>
      <c r="FA1240" s="377" t="str">
        <f>grossProfit</f>
        <v>#ERROR!</v>
      </c>
      <c r="FB1240" s="441" t="str">
        <f>grossProfit</f>
        <v>#ERROR!</v>
      </c>
      <c r="FC1240" s="377" t="str">
        <f>grossProfit</f>
        <v>#ERROR!</v>
      </c>
      <c r="FD1240" s="377" t="str">
        <f>grossProfit</f>
        <v>#ERROR!</v>
      </c>
      <c r="FE1240" s="377" t="str">
        <f>grossProfit</f>
        <v>#ERROR!</v>
      </c>
      <c r="FF1240" s="377" t="str">
        <f>grossProfit</f>
        <v>#ERROR!</v>
      </c>
      <c r="FG1240" s="441" t="str">
        <f>grossProfit</f>
        <v>#ERROR!</v>
      </c>
      <c r="FH1240" s="443"/>
      <c r="FI1240" s="377"/>
      <c r="FJ1240" s="377"/>
      <c r="FK1240" s="747"/>
      <c r="FL1240" s="377"/>
    </row>
    <row r="1241" ht="12.75" hidden="1" customHeight="1" outlineLevel="2">
      <c r="A1241" s="4"/>
      <c r="B1241" s="4"/>
      <c r="C1241" s="4"/>
      <c r="D1241" s="4"/>
      <c r="E1241" s="4"/>
      <c r="F1241" s="4"/>
      <c r="G1241" s="4"/>
      <c r="H1241" s="8"/>
      <c r="I1241" s="4"/>
      <c r="J1241" s="4"/>
      <c r="K1241" s="4"/>
      <c r="L1241" s="4"/>
      <c r="M1241" s="8"/>
      <c r="N1241" s="4"/>
      <c r="O1241" s="4"/>
      <c r="P1241" s="4"/>
      <c r="Q1241" s="4"/>
      <c r="R1241" s="8"/>
      <c r="S1241" s="4"/>
      <c r="T1241" s="4"/>
      <c r="U1241" s="4"/>
      <c r="V1241" s="4"/>
      <c r="W1241" s="8"/>
      <c r="X1241" s="4"/>
      <c r="Y1241" s="4"/>
      <c r="Z1241" s="4"/>
      <c r="AA1241" s="4"/>
      <c r="AB1241" s="8"/>
      <c r="AC1241" s="4"/>
      <c r="AD1241" s="4"/>
      <c r="AE1241" s="4"/>
      <c r="AF1241" s="4"/>
      <c r="AG1241" s="8"/>
      <c r="AH1241" s="4"/>
      <c r="AI1241" s="4"/>
      <c r="AJ1241" s="4"/>
      <c r="AK1241" s="4"/>
      <c r="AL1241" s="8"/>
      <c r="AM1241" s="4"/>
      <c r="AN1241" s="4"/>
      <c r="AO1241" s="4"/>
      <c r="AP1241" s="4"/>
      <c r="AQ1241" s="8"/>
      <c r="AR1241" s="4"/>
      <c r="AS1241" s="4"/>
      <c r="AT1241" s="4"/>
      <c r="AU1241" s="4"/>
      <c r="AV1241" s="8"/>
      <c r="AW1241" s="4"/>
      <c r="AX1241" s="4"/>
      <c r="AY1241" s="4"/>
      <c r="AZ1241" s="4"/>
      <c r="BA1241" s="8"/>
      <c r="BB1241" s="4"/>
      <c r="BC1241" s="4"/>
      <c r="BD1241" s="4"/>
      <c r="BE1241" s="4"/>
      <c r="BF1241" s="8"/>
      <c r="BG1241" s="4"/>
      <c r="BH1241" s="4"/>
      <c r="BI1241" s="4"/>
      <c r="BJ1241" s="4"/>
      <c r="BK1241" s="8"/>
      <c r="BL1241" s="4"/>
      <c r="BM1241" s="4"/>
      <c r="BN1241" s="4"/>
      <c r="BO1241" s="4"/>
      <c r="BP1241" s="8"/>
      <c r="BQ1241" s="4"/>
      <c r="BR1241" s="4"/>
      <c r="BS1241" s="4"/>
      <c r="BT1241" s="4"/>
      <c r="BU1241" s="8"/>
      <c r="BV1241" s="4"/>
      <c r="BW1241" s="4"/>
      <c r="BX1241" s="4"/>
      <c r="BY1241" s="4"/>
      <c r="BZ1241" s="10"/>
      <c r="CA1241" s="4"/>
      <c r="CB1241" s="4"/>
      <c r="CC1241" s="4"/>
      <c r="CD1241" s="4"/>
      <c r="CE1241" s="10"/>
      <c r="CF1241" s="4"/>
      <c r="CG1241" s="4"/>
      <c r="CH1241" s="4"/>
      <c r="CI1241" s="4"/>
      <c r="CJ1241" s="10"/>
      <c r="CK1241" s="4"/>
      <c r="CL1241" s="4"/>
      <c r="CM1241" s="4"/>
      <c r="CN1241" s="16"/>
      <c r="CO1241" s="10"/>
      <c r="CP1241" s="16"/>
      <c r="CQ1241" s="4"/>
      <c r="CR1241" s="4"/>
      <c r="CS1241" s="4"/>
      <c r="CT1241" s="10"/>
      <c r="CU1241" s="4"/>
      <c r="CV1241" s="4"/>
      <c r="CW1241" s="4"/>
      <c r="CX1241" s="4"/>
      <c r="CY1241" s="10"/>
      <c r="CZ1241" s="4"/>
      <c r="DA1241" s="4"/>
      <c r="DB1241" s="4"/>
      <c r="DC1241" s="4"/>
      <c r="DD1241" s="10"/>
      <c r="DE1241" s="4"/>
      <c r="DF1241" s="4"/>
      <c r="DG1241" s="16"/>
      <c r="DH1241" s="4"/>
      <c r="DI1241" s="10"/>
      <c r="DJ1241" s="16"/>
      <c r="DK1241" s="16"/>
      <c r="DL1241" s="16"/>
      <c r="DM1241" s="4"/>
      <c r="DN1241" s="10"/>
      <c r="DO1241" s="4"/>
      <c r="DP1241" s="4"/>
      <c r="DQ1241" s="4"/>
      <c r="DR1241" s="4"/>
      <c r="DS1241" s="10"/>
      <c r="DT1241" s="4"/>
      <c r="DU1241" s="4"/>
      <c r="DV1241" s="4"/>
      <c r="DW1241" s="4"/>
      <c r="DX1241" s="10"/>
      <c r="DY1241" s="4"/>
      <c r="DZ1241" s="4"/>
      <c r="EA1241" s="4"/>
      <c r="EB1241" s="4"/>
      <c r="EC1241" s="10"/>
      <c r="ED1241" s="4"/>
      <c r="EE1241" s="4"/>
      <c r="EF1241" s="4"/>
      <c r="EG1241" s="4"/>
      <c r="EH1241" s="10"/>
      <c r="EI1241" s="214"/>
      <c r="EJ1241" s="4"/>
      <c r="EK1241" s="4"/>
      <c r="EL1241" s="4"/>
      <c r="EM1241" s="10"/>
      <c r="EN1241" s="4"/>
      <c r="EO1241" s="4"/>
      <c r="EP1241" s="4"/>
      <c r="EQ1241" s="4"/>
      <c r="ER1241" s="10"/>
      <c r="ES1241" s="4"/>
      <c r="ET1241" s="4"/>
      <c r="EU1241" s="4"/>
      <c r="EV1241" s="4"/>
      <c r="EW1241" s="10"/>
      <c r="EX1241" s="4"/>
      <c r="EY1241" s="4"/>
      <c r="EZ1241" s="4"/>
      <c r="FA1241" s="4"/>
      <c r="FB1241" s="10"/>
      <c r="FC1241" s="4"/>
      <c r="FD1241" s="4"/>
      <c r="FE1241" s="4"/>
      <c r="FF1241" s="4"/>
      <c r="FG1241" s="10"/>
      <c r="FH1241" s="21"/>
      <c r="FI1241" s="4"/>
      <c r="FJ1241" s="4"/>
      <c r="FK1241" s="8"/>
      <c r="FL1241" s="4"/>
    </row>
    <row r="1242" ht="12.75" hidden="1" customHeight="1" outlineLevel="3">
      <c r="A1242" s="15"/>
      <c r="B1242" s="15" t="s">
        <v>463</v>
      </c>
      <c r="C1242" s="15"/>
      <c r="D1242" s="15"/>
      <c r="E1242" s="15"/>
      <c r="F1242" s="15"/>
      <c r="G1242" s="15"/>
      <c r="H1242" s="309"/>
      <c r="I1242" s="15"/>
      <c r="J1242" s="15"/>
      <c r="K1242" s="15"/>
      <c r="L1242" s="15"/>
      <c r="M1242" s="309"/>
      <c r="N1242" s="15"/>
      <c r="O1242" s="15"/>
      <c r="P1242" s="15"/>
      <c r="Q1242" s="15"/>
      <c r="R1242" s="309"/>
      <c r="S1242" s="15"/>
      <c r="T1242" s="15"/>
      <c r="U1242" s="15"/>
      <c r="V1242" s="15"/>
      <c r="W1242" s="309"/>
      <c r="X1242" s="15"/>
      <c r="Y1242" s="15"/>
      <c r="Z1242" s="15"/>
      <c r="AA1242" s="15"/>
      <c r="AB1242" s="309"/>
      <c r="AC1242" s="15"/>
      <c r="AD1242" s="15"/>
      <c r="AE1242" s="15"/>
      <c r="AF1242" s="15"/>
      <c r="AG1242" s="309"/>
      <c r="AH1242" s="15"/>
      <c r="AI1242" s="15"/>
      <c r="AJ1242" s="15"/>
      <c r="AK1242" s="15"/>
      <c r="AL1242" s="309"/>
      <c r="AM1242" s="15"/>
      <c r="AN1242" s="15"/>
      <c r="AO1242" s="15">
        <v>0.71</v>
      </c>
      <c r="AP1242" s="15">
        <v>0.71</v>
      </c>
      <c r="AQ1242" s="309"/>
      <c r="AR1242" s="15">
        <f t="shared" ref="AR1242:AR1243" si="5977">AP1242</f>
        <v>0.71</v>
      </c>
      <c r="AS1242" s="15">
        <f t="shared" ref="AS1242:AU1242" si="5953">AR1242</f>
        <v>0.71</v>
      </c>
      <c r="AT1242" s="15">
        <f t="shared" si="5953"/>
        <v>0.71</v>
      </c>
      <c r="AU1242" s="15">
        <f t="shared" si="5953"/>
        <v>0.71</v>
      </c>
      <c r="AV1242" s="309"/>
      <c r="AW1242" s="15">
        <f t="shared" ref="AW1242:AW1243" si="5979">AU1242</f>
        <v>0.71</v>
      </c>
      <c r="AX1242" s="15">
        <f t="shared" ref="AX1242:AZ1242" si="5954">AW1242</f>
        <v>0.71</v>
      </c>
      <c r="AY1242" s="15">
        <f t="shared" si="5954"/>
        <v>0.71</v>
      </c>
      <c r="AZ1242" s="15">
        <f t="shared" si="5954"/>
        <v>0.71</v>
      </c>
      <c r="BA1242" s="309"/>
      <c r="BB1242" s="15">
        <f t="shared" ref="BB1242:BB1243" si="5981">AZ1242</f>
        <v>0.71</v>
      </c>
      <c r="BC1242" s="15">
        <f t="shared" ref="BC1242:BE1242" si="5955">BB1242</f>
        <v>0.71</v>
      </c>
      <c r="BD1242" s="15">
        <f t="shared" si="5955"/>
        <v>0.71</v>
      </c>
      <c r="BE1242" s="15">
        <f t="shared" si="5955"/>
        <v>0.71</v>
      </c>
      <c r="BF1242" s="309"/>
      <c r="BG1242" s="15">
        <f t="shared" ref="BG1242:BG1243" si="5983">BE1242</f>
        <v>0.71</v>
      </c>
      <c r="BH1242" s="15">
        <f t="shared" ref="BH1242:BJ1242" si="5956">BG1242</f>
        <v>0.71</v>
      </c>
      <c r="BI1242" s="15">
        <f t="shared" si="5956"/>
        <v>0.71</v>
      </c>
      <c r="BJ1242" s="15">
        <f t="shared" si="5956"/>
        <v>0.71</v>
      </c>
      <c r="BK1242" s="309"/>
      <c r="BL1242" s="15">
        <f t="shared" ref="BL1242:BL1243" si="5985">BJ1242</f>
        <v>0.71</v>
      </c>
      <c r="BM1242" s="15">
        <f t="shared" ref="BM1242:BO1242" si="5957">BL1242</f>
        <v>0.71</v>
      </c>
      <c r="BN1242" s="15">
        <f t="shared" si="5957"/>
        <v>0.71</v>
      </c>
      <c r="BO1242" s="15">
        <f t="shared" si="5957"/>
        <v>0.71</v>
      </c>
      <c r="BP1242" s="309"/>
      <c r="BQ1242" s="15">
        <f t="shared" ref="BQ1242:BQ1243" si="5987">BO1242</f>
        <v>0.71</v>
      </c>
      <c r="BR1242" s="15">
        <f t="shared" ref="BR1242:BT1242" si="5958">BQ1242</f>
        <v>0.71</v>
      </c>
      <c r="BS1242" s="15">
        <f t="shared" si="5958"/>
        <v>0.71</v>
      </c>
      <c r="BT1242" s="15">
        <f t="shared" si="5958"/>
        <v>0.71</v>
      </c>
      <c r="BU1242" s="309"/>
      <c r="BV1242" s="15">
        <f t="shared" ref="BV1242:BV1243" si="5989">BT1242</f>
        <v>0.71</v>
      </c>
      <c r="BW1242" s="15">
        <f t="shared" ref="BW1242:BY1242" si="5959">BV1242</f>
        <v>0.71</v>
      </c>
      <c r="BX1242" s="15">
        <f t="shared" si="5959"/>
        <v>0.71</v>
      </c>
      <c r="BY1242" s="15">
        <f t="shared" si="5959"/>
        <v>0.71</v>
      </c>
      <c r="BZ1242" s="37"/>
      <c r="CA1242" s="15">
        <f t="shared" ref="CA1242:CA1243" si="5991">BY1242</f>
        <v>0.71</v>
      </c>
      <c r="CB1242" s="15">
        <f t="shared" ref="CB1242:CD1242" si="5960">CA1242</f>
        <v>0.71</v>
      </c>
      <c r="CC1242" s="15">
        <f t="shared" si="5960"/>
        <v>0.71</v>
      </c>
      <c r="CD1242" s="15">
        <f t="shared" si="5960"/>
        <v>0.71</v>
      </c>
      <c r="CE1242" s="37"/>
      <c r="CF1242" s="15">
        <f t="shared" ref="CF1242:CF1243" si="5993">CD1242</f>
        <v>0.71</v>
      </c>
      <c r="CG1242" s="15">
        <f t="shared" ref="CG1242:CI1242" si="5961">CF1242</f>
        <v>0.71</v>
      </c>
      <c r="CH1242" s="15">
        <f t="shared" si="5961"/>
        <v>0.71</v>
      </c>
      <c r="CI1242" s="15">
        <f t="shared" si="5961"/>
        <v>0.71</v>
      </c>
      <c r="CJ1242" s="37"/>
      <c r="CK1242" s="15">
        <f t="shared" ref="CK1242:CK1243" si="5995">CI1242</f>
        <v>0.71</v>
      </c>
      <c r="CL1242" s="15">
        <f t="shared" ref="CL1242:CN1242" si="5962">CK1242</f>
        <v>0.71</v>
      </c>
      <c r="CM1242" s="15">
        <f t="shared" si="5962"/>
        <v>0.71</v>
      </c>
      <c r="CN1242" s="40">
        <f t="shared" si="5962"/>
        <v>0.71</v>
      </c>
      <c r="CO1242" s="37"/>
      <c r="CP1242" s="40">
        <f t="shared" ref="CP1242:CP1243" si="5997">CN1242</f>
        <v>0.71</v>
      </c>
      <c r="CQ1242" s="15">
        <f t="shared" ref="CQ1242:CS1242" si="5963">CP1242</f>
        <v>0.71</v>
      </c>
      <c r="CR1242" s="15">
        <f t="shared" si="5963"/>
        <v>0.71</v>
      </c>
      <c r="CS1242" s="15">
        <f t="shared" si="5963"/>
        <v>0.71</v>
      </c>
      <c r="CT1242" s="37"/>
      <c r="CU1242" s="15">
        <f t="shared" ref="CU1242:CU1243" si="5999">CS1242</f>
        <v>0.71</v>
      </c>
      <c r="CV1242" s="15">
        <f t="shared" ref="CV1242:CX1242" si="5964">CU1242</f>
        <v>0.71</v>
      </c>
      <c r="CW1242" s="15">
        <f t="shared" si="5964"/>
        <v>0.71</v>
      </c>
      <c r="CX1242" s="15">
        <f t="shared" si="5964"/>
        <v>0.71</v>
      </c>
      <c r="CY1242" s="37"/>
      <c r="CZ1242" s="15">
        <f t="shared" ref="CZ1242:CZ1243" si="6001">CX1242</f>
        <v>0.71</v>
      </c>
      <c r="DA1242" s="15">
        <f t="shared" ref="DA1242:DC1242" si="5965">CZ1242</f>
        <v>0.71</v>
      </c>
      <c r="DB1242" s="15">
        <f t="shared" si="5965"/>
        <v>0.71</v>
      </c>
      <c r="DC1242" s="15">
        <f t="shared" si="5965"/>
        <v>0.71</v>
      </c>
      <c r="DD1242" s="37"/>
      <c r="DE1242" s="15">
        <f t="shared" ref="DE1242:DE1243" si="6003">DC1242</f>
        <v>0.71</v>
      </c>
      <c r="DF1242" s="15">
        <f t="shared" ref="DF1242:DH1242" si="5966">DE1242</f>
        <v>0.71</v>
      </c>
      <c r="DG1242" s="40">
        <f t="shared" si="5966"/>
        <v>0.71</v>
      </c>
      <c r="DH1242" s="15">
        <f t="shared" si="5966"/>
        <v>0.71</v>
      </c>
      <c r="DI1242" s="37"/>
      <c r="DJ1242" s="40">
        <f t="shared" ref="DJ1242:DJ1243" si="6005">DH1242</f>
        <v>0.71</v>
      </c>
      <c r="DK1242" s="40">
        <f t="shared" ref="DK1242:DM1242" si="5967">DJ1242</f>
        <v>0.71</v>
      </c>
      <c r="DL1242" s="40">
        <f t="shared" si="5967"/>
        <v>0.71</v>
      </c>
      <c r="DM1242" s="15">
        <f t="shared" si="5967"/>
        <v>0.71</v>
      </c>
      <c r="DN1242" s="37"/>
      <c r="DO1242" s="15">
        <f t="shared" ref="DO1242:DO1243" si="6007">DM1242</f>
        <v>0.71</v>
      </c>
      <c r="DP1242" s="15">
        <f t="shared" ref="DP1242:DR1242" si="5968">DO1242</f>
        <v>0.71</v>
      </c>
      <c r="DQ1242" s="15">
        <f t="shared" si="5968"/>
        <v>0.71</v>
      </c>
      <c r="DR1242" s="15">
        <f t="shared" si="5968"/>
        <v>0.71</v>
      </c>
      <c r="DS1242" s="37"/>
      <c r="DT1242" s="15">
        <f t="shared" ref="DT1242:DT1243" si="6009">DR1242</f>
        <v>0.71</v>
      </c>
      <c r="DU1242" s="15">
        <f t="shared" ref="DU1242:DW1242" si="5969">DT1242</f>
        <v>0.71</v>
      </c>
      <c r="DV1242" s="15">
        <f t="shared" si="5969"/>
        <v>0.71</v>
      </c>
      <c r="DW1242" s="15">
        <f t="shared" si="5969"/>
        <v>0.71</v>
      </c>
      <c r="DX1242" s="37"/>
      <c r="DY1242" s="15">
        <f t="shared" ref="DY1242:DY1243" si="6011">DW1242</f>
        <v>0.71</v>
      </c>
      <c r="DZ1242" s="15">
        <f t="shared" ref="DZ1242:EB1242" si="5970">DY1242</f>
        <v>0.71</v>
      </c>
      <c r="EA1242" s="15">
        <f t="shared" si="5970"/>
        <v>0.71</v>
      </c>
      <c r="EB1242" s="15">
        <f t="shared" si="5970"/>
        <v>0.71</v>
      </c>
      <c r="EC1242" s="37"/>
      <c r="ED1242" s="15">
        <f t="shared" ref="ED1242:ED1243" si="6013">EB1242</f>
        <v>0.71</v>
      </c>
      <c r="EE1242" s="15">
        <f t="shared" ref="EE1242:EG1242" si="5971">ED1242</f>
        <v>0.71</v>
      </c>
      <c r="EF1242" s="15">
        <f t="shared" si="5971"/>
        <v>0.71</v>
      </c>
      <c r="EG1242" s="15">
        <f t="shared" si="5971"/>
        <v>0.71</v>
      </c>
      <c r="EH1242" s="37"/>
      <c r="EI1242" s="82">
        <f t="shared" ref="EI1242:EI1243" si="6015">EG1242</f>
        <v>0.71</v>
      </c>
      <c r="EJ1242" s="15">
        <f t="shared" ref="EJ1242:EL1242" si="5972">EI1242</f>
        <v>0.71</v>
      </c>
      <c r="EK1242" s="15">
        <f t="shared" si="5972"/>
        <v>0.71</v>
      </c>
      <c r="EL1242" s="15">
        <f t="shared" si="5972"/>
        <v>0.71</v>
      </c>
      <c r="EM1242" s="37"/>
      <c r="EN1242" s="15">
        <f t="shared" ref="EN1242:EN1243" si="6017">EL1242</f>
        <v>0.71</v>
      </c>
      <c r="EO1242" s="15">
        <f t="shared" ref="EO1242:EQ1242" si="5973">EN1242</f>
        <v>0.71</v>
      </c>
      <c r="EP1242" s="15">
        <f t="shared" si="5973"/>
        <v>0.71</v>
      </c>
      <c r="EQ1242" s="15">
        <f t="shared" si="5973"/>
        <v>0.71</v>
      </c>
      <c r="ER1242" s="37"/>
      <c r="ES1242" s="15">
        <f t="shared" ref="ES1242:ES1243" si="6019">EQ1242</f>
        <v>0.71</v>
      </c>
      <c r="ET1242" s="15">
        <f t="shared" ref="ET1242:EV1242" si="5974">ES1242</f>
        <v>0.71</v>
      </c>
      <c r="EU1242" s="15">
        <f t="shared" si="5974"/>
        <v>0.71</v>
      </c>
      <c r="EV1242" s="15">
        <f t="shared" si="5974"/>
        <v>0.71</v>
      </c>
      <c r="EW1242" s="37"/>
      <c r="EX1242" s="15">
        <f t="shared" ref="EX1242:EX1243" si="6021">EV1242</f>
        <v>0.71</v>
      </c>
      <c r="EY1242" s="15">
        <f t="shared" ref="EY1242:FA1242" si="5975">EX1242</f>
        <v>0.71</v>
      </c>
      <c r="EZ1242" s="15">
        <f t="shared" si="5975"/>
        <v>0.71</v>
      </c>
      <c r="FA1242" s="15">
        <f t="shared" si="5975"/>
        <v>0.71</v>
      </c>
      <c r="FB1242" s="37"/>
      <c r="FC1242" s="15">
        <f t="shared" ref="FC1242:FC1243" si="6023">FA1242</f>
        <v>0.71</v>
      </c>
      <c r="FD1242" s="15">
        <f t="shared" ref="FD1242:FF1242" si="5976">FC1242</f>
        <v>0.71</v>
      </c>
      <c r="FE1242" s="15">
        <f t="shared" si="5976"/>
        <v>0.71</v>
      </c>
      <c r="FF1242" s="15">
        <f t="shared" si="5976"/>
        <v>0.71</v>
      </c>
      <c r="FG1242" s="37"/>
      <c r="FH1242" s="35"/>
      <c r="FI1242" s="15"/>
      <c r="FJ1242" s="15"/>
      <c r="FK1242" s="309"/>
      <c r="FL1242" s="15"/>
    </row>
    <row r="1243" ht="12.75" hidden="1" customHeight="1" outlineLevel="3">
      <c r="A1243" s="15"/>
      <c r="B1243" s="15" t="s">
        <v>464</v>
      </c>
      <c r="C1243" s="15"/>
      <c r="D1243" s="15"/>
      <c r="E1243" s="15"/>
      <c r="F1243" s="15"/>
      <c r="G1243" s="15"/>
      <c r="H1243" s="309"/>
      <c r="I1243" s="15"/>
      <c r="J1243" s="15"/>
      <c r="K1243" s="15"/>
      <c r="L1243" s="15"/>
      <c r="M1243" s="309"/>
      <c r="N1243" s="15"/>
      <c r="O1243" s="15"/>
      <c r="P1243" s="15"/>
      <c r="Q1243" s="15"/>
      <c r="R1243" s="309"/>
      <c r="S1243" s="15"/>
      <c r="T1243" s="15"/>
      <c r="U1243" s="15"/>
      <c r="V1243" s="15"/>
      <c r="W1243" s="309"/>
      <c r="X1243" s="15"/>
      <c r="Y1243" s="15"/>
      <c r="Z1243" s="15"/>
      <c r="AA1243" s="15"/>
      <c r="AB1243" s="309"/>
      <c r="AC1243" s="15"/>
      <c r="AD1243" s="15"/>
      <c r="AE1243" s="15"/>
      <c r="AF1243" s="15"/>
      <c r="AG1243" s="309"/>
      <c r="AH1243" s="15"/>
      <c r="AI1243" s="15"/>
      <c r="AJ1243" s="15"/>
      <c r="AK1243" s="15"/>
      <c r="AL1243" s="309"/>
      <c r="AM1243" s="15"/>
      <c r="AN1243" s="15"/>
      <c r="AO1243" s="15">
        <v>0.66</v>
      </c>
      <c r="AP1243" s="15">
        <v>0.66</v>
      </c>
      <c r="AQ1243" s="309"/>
      <c r="AR1243" s="15">
        <f t="shared" si="5977"/>
        <v>0.66</v>
      </c>
      <c r="AS1243" s="15">
        <f t="shared" ref="AS1243:AU1243" si="5978">AR1243</f>
        <v>0.66</v>
      </c>
      <c r="AT1243" s="15">
        <f t="shared" si="5978"/>
        <v>0.66</v>
      </c>
      <c r="AU1243" s="15">
        <f t="shared" si="5978"/>
        <v>0.66</v>
      </c>
      <c r="AV1243" s="309"/>
      <c r="AW1243" s="15">
        <f t="shared" si="5979"/>
        <v>0.66</v>
      </c>
      <c r="AX1243" s="15">
        <f t="shared" ref="AX1243:AZ1243" si="5980">AW1243</f>
        <v>0.66</v>
      </c>
      <c r="AY1243" s="15">
        <f t="shared" si="5980"/>
        <v>0.66</v>
      </c>
      <c r="AZ1243" s="15">
        <f t="shared" si="5980"/>
        <v>0.66</v>
      </c>
      <c r="BA1243" s="309"/>
      <c r="BB1243" s="15">
        <f t="shared" si="5981"/>
        <v>0.66</v>
      </c>
      <c r="BC1243" s="15">
        <f t="shared" ref="BC1243:BE1243" si="5982">BB1243</f>
        <v>0.66</v>
      </c>
      <c r="BD1243" s="15">
        <f t="shared" si="5982"/>
        <v>0.66</v>
      </c>
      <c r="BE1243" s="15">
        <f t="shared" si="5982"/>
        <v>0.66</v>
      </c>
      <c r="BF1243" s="309"/>
      <c r="BG1243" s="15">
        <f t="shared" si="5983"/>
        <v>0.66</v>
      </c>
      <c r="BH1243" s="15">
        <f t="shared" ref="BH1243:BJ1243" si="5984">BG1243</f>
        <v>0.66</v>
      </c>
      <c r="BI1243" s="15">
        <f t="shared" si="5984"/>
        <v>0.66</v>
      </c>
      <c r="BJ1243" s="15">
        <f t="shared" si="5984"/>
        <v>0.66</v>
      </c>
      <c r="BK1243" s="309"/>
      <c r="BL1243" s="15">
        <f t="shared" si="5985"/>
        <v>0.66</v>
      </c>
      <c r="BM1243" s="15">
        <f t="shared" ref="BM1243:BO1243" si="5986">BL1243</f>
        <v>0.66</v>
      </c>
      <c r="BN1243" s="15">
        <f t="shared" si="5986"/>
        <v>0.66</v>
      </c>
      <c r="BO1243" s="15">
        <f t="shared" si="5986"/>
        <v>0.66</v>
      </c>
      <c r="BP1243" s="309"/>
      <c r="BQ1243" s="15">
        <f t="shared" si="5987"/>
        <v>0.66</v>
      </c>
      <c r="BR1243" s="15">
        <f t="shared" ref="BR1243:BT1243" si="5988">BQ1243</f>
        <v>0.66</v>
      </c>
      <c r="BS1243" s="15">
        <f t="shared" si="5988"/>
        <v>0.66</v>
      </c>
      <c r="BT1243" s="15">
        <f t="shared" si="5988"/>
        <v>0.66</v>
      </c>
      <c r="BU1243" s="309"/>
      <c r="BV1243" s="15">
        <f t="shared" si="5989"/>
        <v>0.66</v>
      </c>
      <c r="BW1243" s="15">
        <f t="shared" ref="BW1243:BY1243" si="5990">BV1243</f>
        <v>0.66</v>
      </c>
      <c r="BX1243" s="15">
        <f t="shared" si="5990"/>
        <v>0.66</v>
      </c>
      <c r="BY1243" s="15">
        <f t="shared" si="5990"/>
        <v>0.66</v>
      </c>
      <c r="BZ1243" s="37"/>
      <c r="CA1243" s="15">
        <f t="shared" si="5991"/>
        <v>0.66</v>
      </c>
      <c r="CB1243" s="15">
        <f t="shared" ref="CB1243:CD1243" si="5992">CA1243</f>
        <v>0.66</v>
      </c>
      <c r="CC1243" s="15">
        <f t="shared" si="5992"/>
        <v>0.66</v>
      </c>
      <c r="CD1243" s="15">
        <f t="shared" si="5992"/>
        <v>0.66</v>
      </c>
      <c r="CE1243" s="37"/>
      <c r="CF1243" s="15">
        <f t="shared" si="5993"/>
        <v>0.66</v>
      </c>
      <c r="CG1243" s="15">
        <f t="shared" ref="CG1243:CI1243" si="5994">CF1243</f>
        <v>0.66</v>
      </c>
      <c r="CH1243" s="15">
        <f t="shared" si="5994"/>
        <v>0.66</v>
      </c>
      <c r="CI1243" s="15">
        <f t="shared" si="5994"/>
        <v>0.66</v>
      </c>
      <c r="CJ1243" s="37"/>
      <c r="CK1243" s="15">
        <f t="shared" si="5995"/>
        <v>0.66</v>
      </c>
      <c r="CL1243" s="15">
        <f t="shared" ref="CL1243:CN1243" si="5996">CK1243</f>
        <v>0.66</v>
      </c>
      <c r="CM1243" s="15">
        <f t="shared" si="5996"/>
        <v>0.66</v>
      </c>
      <c r="CN1243" s="40">
        <f t="shared" si="5996"/>
        <v>0.66</v>
      </c>
      <c r="CO1243" s="37"/>
      <c r="CP1243" s="40">
        <f t="shared" si="5997"/>
        <v>0.66</v>
      </c>
      <c r="CQ1243" s="15">
        <f t="shared" ref="CQ1243:CS1243" si="5998">CP1243</f>
        <v>0.66</v>
      </c>
      <c r="CR1243" s="15">
        <f t="shared" si="5998"/>
        <v>0.66</v>
      </c>
      <c r="CS1243" s="15">
        <f t="shared" si="5998"/>
        <v>0.66</v>
      </c>
      <c r="CT1243" s="37"/>
      <c r="CU1243" s="15">
        <f t="shared" si="5999"/>
        <v>0.66</v>
      </c>
      <c r="CV1243" s="15">
        <f t="shared" ref="CV1243:CX1243" si="6000">CU1243</f>
        <v>0.66</v>
      </c>
      <c r="CW1243" s="15">
        <f t="shared" si="6000"/>
        <v>0.66</v>
      </c>
      <c r="CX1243" s="15">
        <f t="shared" si="6000"/>
        <v>0.66</v>
      </c>
      <c r="CY1243" s="37"/>
      <c r="CZ1243" s="15">
        <f t="shared" si="6001"/>
        <v>0.66</v>
      </c>
      <c r="DA1243" s="15">
        <f t="shared" ref="DA1243:DC1243" si="6002">CZ1243</f>
        <v>0.66</v>
      </c>
      <c r="DB1243" s="15">
        <f t="shared" si="6002"/>
        <v>0.66</v>
      </c>
      <c r="DC1243" s="15">
        <f t="shared" si="6002"/>
        <v>0.66</v>
      </c>
      <c r="DD1243" s="37"/>
      <c r="DE1243" s="15">
        <f t="shared" si="6003"/>
        <v>0.66</v>
      </c>
      <c r="DF1243" s="15">
        <f t="shared" ref="DF1243:DH1243" si="6004">DE1243</f>
        <v>0.66</v>
      </c>
      <c r="DG1243" s="40">
        <f t="shared" si="6004"/>
        <v>0.66</v>
      </c>
      <c r="DH1243" s="15">
        <f t="shared" si="6004"/>
        <v>0.66</v>
      </c>
      <c r="DI1243" s="37"/>
      <c r="DJ1243" s="40">
        <f t="shared" si="6005"/>
        <v>0.66</v>
      </c>
      <c r="DK1243" s="40">
        <f t="shared" ref="DK1243:DM1243" si="6006">DJ1243</f>
        <v>0.66</v>
      </c>
      <c r="DL1243" s="40">
        <f t="shared" si="6006"/>
        <v>0.66</v>
      </c>
      <c r="DM1243" s="15">
        <f t="shared" si="6006"/>
        <v>0.66</v>
      </c>
      <c r="DN1243" s="37"/>
      <c r="DO1243" s="15">
        <f t="shared" si="6007"/>
        <v>0.66</v>
      </c>
      <c r="DP1243" s="15">
        <f t="shared" ref="DP1243:DR1243" si="6008">DO1243</f>
        <v>0.66</v>
      </c>
      <c r="DQ1243" s="15">
        <f t="shared" si="6008"/>
        <v>0.66</v>
      </c>
      <c r="DR1243" s="15">
        <f t="shared" si="6008"/>
        <v>0.66</v>
      </c>
      <c r="DS1243" s="37"/>
      <c r="DT1243" s="15">
        <f t="shared" si="6009"/>
        <v>0.66</v>
      </c>
      <c r="DU1243" s="15">
        <f t="shared" ref="DU1243:DW1243" si="6010">DT1243</f>
        <v>0.66</v>
      </c>
      <c r="DV1243" s="15">
        <f t="shared" si="6010"/>
        <v>0.66</v>
      </c>
      <c r="DW1243" s="15">
        <f t="shared" si="6010"/>
        <v>0.66</v>
      </c>
      <c r="DX1243" s="37"/>
      <c r="DY1243" s="15">
        <f t="shared" si="6011"/>
        <v>0.66</v>
      </c>
      <c r="DZ1243" s="15">
        <f t="shared" ref="DZ1243:EB1243" si="6012">DY1243</f>
        <v>0.66</v>
      </c>
      <c r="EA1243" s="15">
        <f t="shared" si="6012"/>
        <v>0.66</v>
      </c>
      <c r="EB1243" s="15">
        <f t="shared" si="6012"/>
        <v>0.66</v>
      </c>
      <c r="EC1243" s="37"/>
      <c r="ED1243" s="15">
        <f t="shared" si="6013"/>
        <v>0.66</v>
      </c>
      <c r="EE1243" s="15">
        <f t="shared" ref="EE1243:EG1243" si="6014">ED1243</f>
        <v>0.66</v>
      </c>
      <c r="EF1243" s="15">
        <f t="shared" si="6014"/>
        <v>0.66</v>
      </c>
      <c r="EG1243" s="15">
        <f t="shared" si="6014"/>
        <v>0.66</v>
      </c>
      <c r="EH1243" s="37"/>
      <c r="EI1243" s="82">
        <f t="shared" si="6015"/>
        <v>0.66</v>
      </c>
      <c r="EJ1243" s="15">
        <f t="shared" ref="EJ1243:EL1243" si="6016">EI1243</f>
        <v>0.66</v>
      </c>
      <c r="EK1243" s="15">
        <f t="shared" si="6016"/>
        <v>0.66</v>
      </c>
      <c r="EL1243" s="15">
        <f t="shared" si="6016"/>
        <v>0.66</v>
      </c>
      <c r="EM1243" s="37"/>
      <c r="EN1243" s="15">
        <f t="shared" si="6017"/>
        <v>0.66</v>
      </c>
      <c r="EO1243" s="15">
        <f t="shared" ref="EO1243:EQ1243" si="6018">EN1243</f>
        <v>0.66</v>
      </c>
      <c r="EP1243" s="15">
        <f t="shared" si="6018"/>
        <v>0.66</v>
      </c>
      <c r="EQ1243" s="15">
        <f t="shared" si="6018"/>
        <v>0.66</v>
      </c>
      <c r="ER1243" s="37"/>
      <c r="ES1243" s="15">
        <f t="shared" si="6019"/>
        <v>0.66</v>
      </c>
      <c r="ET1243" s="15">
        <f t="shared" ref="ET1243:EV1243" si="6020">ES1243</f>
        <v>0.66</v>
      </c>
      <c r="EU1243" s="15">
        <f t="shared" si="6020"/>
        <v>0.66</v>
      </c>
      <c r="EV1243" s="15">
        <f t="shared" si="6020"/>
        <v>0.66</v>
      </c>
      <c r="EW1243" s="37"/>
      <c r="EX1243" s="15">
        <f t="shared" si="6021"/>
        <v>0.66</v>
      </c>
      <c r="EY1243" s="15">
        <f t="shared" ref="EY1243:FA1243" si="6022">EX1243</f>
        <v>0.66</v>
      </c>
      <c r="EZ1243" s="15">
        <f t="shared" si="6022"/>
        <v>0.66</v>
      </c>
      <c r="FA1243" s="15">
        <f t="shared" si="6022"/>
        <v>0.66</v>
      </c>
      <c r="FB1243" s="37"/>
      <c r="FC1243" s="15">
        <f t="shared" si="6023"/>
        <v>0.66</v>
      </c>
      <c r="FD1243" s="15">
        <f t="shared" ref="FD1243:FF1243" si="6024">FC1243</f>
        <v>0.66</v>
      </c>
      <c r="FE1243" s="15">
        <f t="shared" si="6024"/>
        <v>0.66</v>
      </c>
      <c r="FF1243" s="15">
        <f t="shared" si="6024"/>
        <v>0.66</v>
      </c>
      <c r="FG1243" s="37"/>
      <c r="FH1243" s="35"/>
      <c r="FI1243" s="15"/>
      <c r="FJ1243" s="15"/>
      <c r="FK1243" s="309"/>
      <c r="FL1243" s="15"/>
    </row>
    <row r="1244" ht="12.75" hidden="1" customHeight="1" outlineLevel="3">
      <c r="A1244" s="15"/>
      <c r="B1244" s="410" t="s">
        <v>465</v>
      </c>
      <c r="C1244" s="410"/>
      <c r="D1244" s="410"/>
      <c r="E1244" s="410"/>
      <c r="F1244" s="410"/>
      <c r="G1244" s="410"/>
      <c r="H1244" s="309"/>
      <c r="I1244" s="410"/>
      <c r="J1244" s="410"/>
      <c r="K1244" s="410"/>
      <c r="L1244" s="410"/>
      <c r="M1244" s="309"/>
      <c r="N1244" s="410"/>
      <c r="O1244" s="410"/>
      <c r="P1244" s="410"/>
      <c r="Q1244" s="410"/>
      <c r="R1244" s="309"/>
      <c r="S1244" s="410"/>
      <c r="T1244" s="410"/>
      <c r="U1244" s="410"/>
      <c r="V1244" s="410"/>
      <c r="W1244" s="309"/>
      <c r="X1244" s="410"/>
      <c r="Y1244" s="410"/>
      <c r="Z1244" s="410"/>
      <c r="AA1244" s="410"/>
      <c r="AB1244" s="309"/>
      <c r="AC1244" s="410"/>
      <c r="AD1244" s="410"/>
      <c r="AE1244" s="410"/>
      <c r="AF1244" s="410"/>
      <c r="AG1244" s="309"/>
      <c r="AH1244" s="410"/>
      <c r="AI1244" s="410"/>
      <c r="AJ1244" s="410"/>
      <c r="AK1244" s="410"/>
      <c r="AL1244" s="309"/>
      <c r="AM1244" s="410"/>
      <c r="AN1244" s="410"/>
      <c r="AO1244" s="410">
        <f t="shared" ref="AO1244:AP1244" si="6025">AO1242*AO1245+AO1243*AO1246</f>
        <v>0.66</v>
      </c>
      <c r="AP1244" s="410">
        <f t="shared" si="6025"/>
        <v>0.662</v>
      </c>
      <c r="AQ1244" s="309"/>
      <c r="AR1244" s="410">
        <f t="shared" ref="AR1244:AU1244" si="6026">AR1242*AR1245+AR1243*AR1246</f>
        <v>0.6675</v>
      </c>
      <c r="AS1244" s="410">
        <f t="shared" si="6026"/>
        <v>0.685</v>
      </c>
      <c r="AT1244" s="410">
        <f t="shared" si="6026"/>
        <v>0.7025</v>
      </c>
      <c r="AU1244" s="410">
        <f t="shared" si="6026"/>
        <v>0.71</v>
      </c>
      <c r="AV1244" s="309"/>
      <c r="AW1244" s="410">
        <f t="shared" ref="AW1244:AZ1244" si="6027">AW1242*AW1245+AW1243*AW1246</f>
        <v>0.71</v>
      </c>
      <c r="AX1244" s="410">
        <f t="shared" si="6027"/>
        <v>0.71</v>
      </c>
      <c r="AY1244" s="410">
        <f t="shared" si="6027"/>
        <v>0.71</v>
      </c>
      <c r="AZ1244" s="410">
        <f t="shared" si="6027"/>
        <v>0.71</v>
      </c>
      <c r="BA1244" s="309"/>
      <c r="BB1244" s="410">
        <f t="shared" ref="BB1244:BE1244" si="6028">BB1242*BB1245+BB1243*BB1246</f>
        <v>0.71</v>
      </c>
      <c r="BC1244" s="410">
        <f t="shared" si="6028"/>
        <v>0.71</v>
      </c>
      <c r="BD1244" s="410">
        <f t="shared" si="6028"/>
        <v>0.71</v>
      </c>
      <c r="BE1244" s="410">
        <f t="shared" si="6028"/>
        <v>0.71</v>
      </c>
      <c r="BF1244" s="309"/>
      <c r="BG1244" s="410">
        <f t="shared" ref="BG1244:BJ1244" si="6029">BG1242*BG1245+BG1243*BG1246</f>
        <v>0.71</v>
      </c>
      <c r="BH1244" s="410">
        <f t="shared" si="6029"/>
        <v>0.71</v>
      </c>
      <c r="BI1244" s="410">
        <f t="shared" si="6029"/>
        <v>0.71</v>
      </c>
      <c r="BJ1244" s="410">
        <f t="shared" si="6029"/>
        <v>0.71</v>
      </c>
      <c r="BK1244" s="309"/>
      <c r="BL1244" s="410">
        <f t="shared" ref="BL1244:BO1244" si="6030">BL1242*BL1245+BL1243*BL1246</f>
        <v>0.71</v>
      </c>
      <c r="BM1244" s="410">
        <f t="shared" si="6030"/>
        <v>0.71</v>
      </c>
      <c r="BN1244" s="410">
        <f t="shared" si="6030"/>
        <v>0.71</v>
      </c>
      <c r="BO1244" s="410">
        <f t="shared" si="6030"/>
        <v>0.71</v>
      </c>
      <c r="BP1244" s="309"/>
      <c r="BQ1244" s="410">
        <f t="shared" ref="BQ1244:BT1244" si="6031">BQ1242*BQ1245+BQ1243*BQ1246</f>
        <v>0.71</v>
      </c>
      <c r="BR1244" s="410">
        <f t="shared" si="6031"/>
        <v>0.71</v>
      </c>
      <c r="BS1244" s="410">
        <f t="shared" si="6031"/>
        <v>0.71</v>
      </c>
      <c r="BT1244" s="410">
        <f t="shared" si="6031"/>
        <v>0.71</v>
      </c>
      <c r="BU1244" s="309"/>
      <c r="BV1244" s="410">
        <f t="shared" ref="BV1244:BY1244" si="6032">BV1242*BV1245+BV1243*BV1246</f>
        <v>0.71</v>
      </c>
      <c r="BW1244" s="410">
        <f t="shared" si="6032"/>
        <v>0.71</v>
      </c>
      <c r="BX1244" s="410">
        <f t="shared" si="6032"/>
        <v>0.71</v>
      </c>
      <c r="BY1244" s="410">
        <f t="shared" si="6032"/>
        <v>0.71</v>
      </c>
      <c r="BZ1244" s="37"/>
      <c r="CA1244" s="410">
        <f t="shared" ref="CA1244:CD1244" si="6033">CA1242*CA1245+CA1243*CA1246</f>
        <v>0.71</v>
      </c>
      <c r="CB1244" s="410">
        <f t="shared" si="6033"/>
        <v>0.71</v>
      </c>
      <c r="CC1244" s="410">
        <f t="shared" si="6033"/>
        <v>0.71</v>
      </c>
      <c r="CD1244" s="410">
        <f t="shared" si="6033"/>
        <v>0.71</v>
      </c>
      <c r="CE1244" s="37"/>
      <c r="CF1244" s="410">
        <f t="shared" ref="CF1244:CI1244" si="6034">CF1242*CF1245+CF1243*CF1246</f>
        <v>0.71</v>
      </c>
      <c r="CG1244" s="410">
        <f t="shared" si="6034"/>
        <v>0.71</v>
      </c>
      <c r="CH1244" s="410">
        <f t="shared" si="6034"/>
        <v>0.71</v>
      </c>
      <c r="CI1244" s="410">
        <f t="shared" si="6034"/>
        <v>0.71</v>
      </c>
      <c r="CJ1244" s="37"/>
      <c r="CK1244" s="410">
        <f t="shared" ref="CK1244:CN1244" si="6035">CK1242*CK1245+CK1243*CK1246</f>
        <v>0.71</v>
      </c>
      <c r="CL1244" s="410">
        <f t="shared" si="6035"/>
        <v>0.71</v>
      </c>
      <c r="CM1244" s="410">
        <f t="shared" si="6035"/>
        <v>0.71</v>
      </c>
      <c r="CN1244" s="104">
        <f t="shared" si="6035"/>
        <v>0.71</v>
      </c>
      <c r="CO1244" s="37"/>
      <c r="CP1244" s="104">
        <f t="shared" ref="CP1244:CS1244" si="6036">CP1242*CP1245+CP1243*CP1246</f>
        <v>0.71</v>
      </c>
      <c r="CQ1244" s="410">
        <f t="shared" si="6036"/>
        <v>0.71</v>
      </c>
      <c r="CR1244" s="410">
        <f t="shared" si="6036"/>
        <v>0.71</v>
      </c>
      <c r="CS1244" s="410">
        <f t="shared" si="6036"/>
        <v>0.71</v>
      </c>
      <c r="CT1244" s="37"/>
      <c r="CU1244" s="410">
        <f t="shared" ref="CU1244:CX1244" si="6037">CU1242*CU1245+CU1243*CU1246</f>
        <v>0.71</v>
      </c>
      <c r="CV1244" s="410">
        <f t="shared" si="6037"/>
        <v>0.71</v>
      </c>
      <c r="CW1244" s="410">
        <f t="shared" si="6037"/>
        <v>0.71</v>
      </c>
      <c r="CX1244" s="410">
        <f t="shared" si="6037"/>
        <v>0.71</v>
      </c>
      <c r="CY1244" s="37"/>
      <c r="CZ1244" s="410">
        <f t="shared" ref="CZ1244:DC1244" si="6038">CZ1242*CZ1245+CZ1243*CZ1246</f>
        <v>0.71</v>
      </c>
      <c r="DA1244" s="410">
        <f t="shared" si="6038"/>
        <v>0.71</v>
      </c>
      <c r="DB1244" s="410">
        <f t="shared" si="6038"/>
        <v>0.71</v>
      </c>
      <c r="DC1244" s="410">
        <f t="shared" si="6038"/>
        <v>0.71</v>
      </c>
      <c r="DD1244" s="37"/>
      <c r="DE1244" s="410">
        <f t="shared" ref="DE1244:DH1244" si="6039">DE1242*DE1245+DE1243*DE1246</f>
        <v>0.71</v>
      </c>
      <c r="DF1244" s="410">
        <f t="shared" si="6039"/>
        <v>0.71</v>
      </c>
      <c r="DG1244" s="104">
        <f t="shared" si="6039"/>
        <v>0.71</v>
      </c>
      <c r="DH1244" s="410">
        <f t="shared" si="6039"/>
        <v>0.71</v>
      </c>
      <c r="DI1244" s="37"/>
      <c r="DJ1244" s="104">
        <f t="shared" ref="DJ1244:DM1244" si="6040">DJ1242*DJ1245+DJ1243*DJ1246</f>
        <v>0.71</v>
      </c>
      <c r="DK1244" s="104">
        <f t="shared" si="6040"/>
        <v>0.71</v>
      </c>
      <c r="DL1244" s="104">
        <f t="shared" si="6040"/>
        <v>0.71</v>
      </c>
      <c r="DM1244" s="410">
        <f t="shared" si="6040"/>
        <v>0.71</v>
      </c>
      <c r="DN1244" s="37"/>
      <c r="DO1244" s="410">
        <f t="shared" ref="DO1244:DR1244" si="6041">DO1242*DO1245+DO1243*DO1246</f>
        <v>0.71</v>
      </c>
      <c r="DP1244" s="410">
        <f t="shared" si="6041"/>
        <v>0.71</v>
      </c>
      <c r="DQ1244" s="410">
        <f t="shared" si="6041"/>
        <v>0.71</v>
      </c>
      <c r="DR1244" s="410">
        <f t="shared" si="6041"/>
        <v>0.71</v>
      </c>
      <c r="DS1244" s="37"/>
      <c r="DT1244" s="410">
        <f t="shared" ref="DT1244:DW1244" si="6042">DT1242*DT1245+DT1243*DT1246</f>
        <v>0.71</v>
      </c>
      <c r="DU1244" s="410">
        <f t="shared" si="6042"/>
        <v>0.71</v>
      </c>
      <c r="DV1244" s="410">
        <f t="shared" si="6042"/>
        <v>0.71</v>
      </c>
      <c r="DW1244" s="410">
        <f t="shared" si="6042"/>
        <v>0.71</v>
      </c>
      <c r="DX1244" s="37"/>
      <c r="DY1244" s="410">
        <f t="shared" ref="DY1244:EB1244" si="6043">DY1242*DY1245+DY1243*DY1246</f>
        <v>0.71</v>
      </c>
      <c r="DZ1244" s="410">
        <f t="shared" si="6043"/>
        <v>0.71</v>
      </c>
      <c r="EA1244" s="410">
        <f t="shared" si="6043"/>
        <v>0.71</v>
      </c>
      <c r="EB1244" s="410">
        <f t="shared" si="6043"/>
        <v>0.71</v>
      </c>
      <c r="EC1244" s="37"/>
      <c r="ED1244" s="410">
        <f t="shared" ref="ED1244:EG1244" si="6044">ED1242*ED1245+ED1243*ED1246</f>
        <v>0.71</v>
      </c>
      <c r="EE1244" s="410">
        <f t="shared" si="6044"/>
        <v>0.71</v>
      </c>
      <c r="EF1244" s="410">
        <f t="shared" si="6044"/>
        <v>0.71</v>
      </c>
      <c r="EG1244" s="410">
        <f t="shared" si="6044"/>
        <v>0.71</v>
      </c>
      <c r="EH1244" s="37"/>
      <c r="EI1244" s="317">
        <f t="shared" ref="EI1244:EL1244" si="6045">EI1242*EI1245+EI1243*EI1246</f>
        <v>0.71</v>
      </c>
      <c r="EJ1244" s="410">
        <f t="shared" si="6045"/>
        <v>0.71</v>
      </c>
      <c r="EK1244" s="410">
        <f t="shared" si="6045"/>
        <v>0.71</v>
      </c>
      <c r="EL1244" s="410">
        <f t="shared" si="6045"/>
        <v>0.71</v>
      </c>
      <c r="EM1244" s="37"/>
      <c r="EN1244" s="410">
        <f t="shared" ref="EN1244:EQ1244" si="6046">EN1242*EN1245+EN1243*EN1246</f>
        <v>0.71</v>
      </c>
      <c r="EO1244" s="410">
        <f t="shared" si="6046"/>
        <v>0.71</v>
      </c>
      <c r="EP1244" s="410">
        <f t="shared" si="6046"/>
        <v>0.71</v>
      </c>
      <c r="EQ1244" s="410">
        <f t="shared" si="6046"/>
        <v>0.71</v>
      </c>
      <c r="ER1244" s="37"/>
      <c r="ES1244" s="410">
        <f t="shared" ref="ES1244:EV1244" si="6047">ES1242*ES1245+ES1243*ES1246</f>
        <v>0.71</v>
      </c>
      <c r="ET1244" s="410">
        <f t="shared" si="6047"/>
        <v>0.71</v>
      </c>
      <c r="EU1244" s="410">
        <f t="shared" si="6047"/>
        <v>0.71</v>
      </c>
      <c r="EV1244" s="410">
        <f t="shared" si="6047"/>
        <v>0.71</v>
      </c>
      <c r="EW1244" s="37"/>
      <c r="EX1244" s="410">
        <f t="shared" ref="EX1244:FA1244" si="6048">EX1242*EX1245+EX1243*EX1246</f>
        <v>0.71</v>
      </c>
      <c r="EY1244" s="410">
        <f t="shared" si="6048"/>
        <v>0.71</v>
      </c>
      <c r="EZ1244" s="410">
        <f t="shared" si="6048"/>
        <v>0.71</v>
      </c>
      <c r="FA1244" s="410">
        <f t="shared" si="6048"/>
        <v>0.71</v>
      </c>
      <c r="FB1244" s="37"/>
      <c r="FC1244" s="410">
        <f t="shared" ref="FC1244:FF1244" si="6049">FC1242*FC1245+FC1243*FC1246</f>
        <v>0.71</v>
      </c>
      <c r="FD1244" s="410">
        <f t="shared" si="6049"/>
        <v>0.71</v>
      </c>
      <c r="FE1244" s="410">
        <f t="shared" si="6049"/>
        <v>0.71</v>
      </c>
      <c r="FF1244" s="410">
        <f t="shared" si="6049"/>
        <v>0.71</v>
      </c>
      <c r="FG1244" s="37"/>
      <c r="FH1244" s="35"/>
      <c r="FI1244" s="410"/>
      <c r="FJ1244" s="410"/>
      <c r="FK1244" s="309"/>
      <c r="FL1244" s="410"/>
    </row>
    <row r="1245" ht="12.75" hidden="1" customHeight="1" outlineLevel="3">
      <c r="A1245" s="15"/>
      <c r="B1245" s="15" t="s">
        <v>466</v>
      </c>
      <c r="C1245" s="15"/>
      <c r="D1245" s="315"/>
      <c r="E1245" s="315"/>
      <c r="F1245" s="315"/>
      <c r="G1245" s="315"/>
      <c r="H1245" s="309"/>
      <c r="I1245" s="315"/>
      <c r="J1245" s="315"/>
      <c r="K1245" s="315"/>
      <c r="L1245" s="315"/>
      <c r="M1245" s="309"/>
      <c r="N1245" s="315"/>
      <c r="O1245" s="315"/>
      <c r="P1245" s="315"/>
      <c r="Q1245" s="315"/>
      <c r="R1245" s="309"/>
      <c r="S1245" s="315"/>
      <c r="T1245" s="315"/>
      <c r="U1245" s="315"/>
      <c r="V1245" s="315"/>
      <c r="W1245" s="309"/>
      <c r="X1245" s="315"/>
      <c r="Y1245" s="315"/>
      <c r="Z1245" s="315"/>
      <c r="AA1245" s="315"/>
      <c r="AB1245" s="309"/>
      <c r="AC1245" s="315"/>
      <c r="AD1245" s="315"/>
      <c r="AE1245" s="315"/>
      <c r="AF1245" s="315"/>
      <c r="AG1245" s="309"/>
      <c r="AH1245" s="315"/>
      <c r="AI1245" s="315"/>
      <c r="AJ1245" s="315"/>
      <c r="AK1245" s="315"/>
      <c r="AL1245" s="309"/>
      <c r="AM1245" s="315"/>
      <c r="AN1245" s="315"/>
      <c r="AO1245" s="315">
        <v>0.0</v>
      </c>
      <c r="AP1245" s="315">
        <v>0.04</v>
      </c>
      <c r="AQ1245" s="309"/>
      <c r="AR1245" s="315">
        <v>0.15</v>
      </c>
      <c r="AS1245" s="315">
        <v>0.5</v>
      </c>
      <c r="AT1245" s="315">
        <v>0.85</v>
      </c>
      <c r="AU1245" s="315">
        <v>1.0</v>
      </c>
      <c r="AV1245" s="309"/>
      <c r="AW1245" s="315">
        <v>1.0</v>
      </c>
      <c r="AX1245" s="315">
        <v>1.0</v>
      </c>
      <c r="AY1245" s="315">
        <v>1.0</v>
      </c>
      <c r="AZ1245" s="315">
        <v>1.0</v>
      </c>
      <c r="BA1245" s="309"/>
      <c r="BB1245" s="315">
        <v>1.0</v>
      </c>
      <c r="BC1245" s="315">
        <v>1.0</v>
      </c>
      <c r="BD1245" s="315">
        <v>1.0</v>
      </c>
      <c r="BE1245" s="315">
        <v>1.0</v>
      </c>
      <c r="BF1245" s="309"/>
      <c r="BG1245" s="315">
        <v>1.0</v>
      </c>
      <c r="BH1245" s="315">
        <v>1.0</v>
      </c>
      <c r="BI1245" s="315">
        <v>1.0</v>
      </c>
      <c r="BJ1245" s="315">
        <v>1.0</v>
      </c>
      <c r="BK1245" s="309"/>
      <c r="BL1245" s="315">
        <v>1.0</v>
      </c>
      <c r="BM1245" s="315">
        <v>1.0</v>
      </c>
      <c r="BN1245" s="315">
        <v>1.0</v>
      </c>
      <c r="BO1245" s="315">
        <v>1.0</v>
      </c>
      <c r="BP1245" s="309"/>
      <c r="BQ1245" s="315">
        <v>1.0</v>
      </c>
      <c r="BR1245" s="315">
        <v>1.0</v>
      </c>
      <c r="BS1245" s="315">
        <v>1.0</v>
      </c>
      <c r="BT1245" s="315">
        <v>1.0</v>
      </c>
      <c r="BU1245" s="309"/>
      <c r="BV1245" s="315">
        <v>1.0</v>
      </c>
      <c r="BW1245" s="315">
        <v>1.0</v>
      </c>
      <c r="BX1245" s="315">
        <v>1.0</v>
      </c>
      <c r="BY1245" s="315">
        <v>1.0</v>
      </c>
      <c r="BZ1245" s="37"/>
      <c r="CA1245" s="315">
        <v>1.0</v>
      </c>
      <c r="CB1245" s="315">
        <v>1.0</v>
      </c>
      <c r="CC1245" s="315">
        <v>1.0</v>
      </c>
      <c r="CD1245" s="315">
        <v>1.0</v>
      </c>
      <c r="CE1245" s="37"/>
      <c r="CF1245" s="315">
        <v>1.0</v>
      </c>
      <c r="CG1245" s="315">
        <v>1.0</v>
      </c>
      <c r="CH1245" s="315">
        <v>1.0</v>
      </c>
      <c r="CI1245" s="315">
        <v>1.0</v>
      </c>
      <c r="CJ1245" s="37"/>
      <c r="CK1245" s="315">
        <v>1.0</v>
      </c>
      <c r="CL1245" s="315">
        <v>1.0</v>
      </c>
      <c r="CM1245" s="315">
        <v>1.0</v>
      </c>
      <c r="CN1245" s="365">
        <v>1.0</v>
      </c>
      <c r="CO1245" s="37"/>
      <c r="CP1245" s="365">
        <v>1.0</v>
      </c>
      <c r="CQ1245" s="315">
        <v>1.0</v>
      </c>
      <c r="CR1245" s="315">
        <v>1.0</v>
      </c>
      <c r="CS1245" s="315">
        <v>1.0</v>
      </c>
      <c r="CT1245" s="37"/>
      <c r="CU1245" s="315">
        <v>1.0</v>
      </c>
      <c r="CV1245" s="315">
        <v>1.0</v>
      </c>
      <c r="CW1245" s="315">
        <v>1.0</v>
      </c>
      <c r="CX1245" s="315">
        <v>1.0</v>
      </c>
      <c r="CY1245" s="37"/>
      <c r="CZ1245" s="315">
        <v>1.0</v>
      </c>
      <c r="DA1245" s="315">
        <v>1.0</v>
      </c>
      <c r="DB1245" s="315">
        <v>1.0</v>
      </c>
      <c r="DC1245" s="315">
        <v>1.0</v>
      </c>
      <c r="DD1245" s="37"/>
      <c r="DE1245" s="315">
        <v>1.0</v>
      </c>
      <c r="DF1245" s="315">
        <v>1.0</v>
      </c>
      <c r="DG1245" s="365">
        <v>1.0</v>
      </c>
      <c r="DH1245" s="315">
        <v>1.0</v>
      </c>
      <c r="DI1245" s="37"/>
      <c r="DJ1245" s="365">
        <v>1.0</v>
      </c>
      <c r="DK1245" s="365">
        <v>1.0</v>
      </c>
      <c r="DL1245" s="365">
        <v>1.0</v>
      </c>
      <c r="DM1245" s="315">
        <v>1.0</v>
      </c>
      <c r="DN1245" s="37"/>
      <c r="DO1245" s="315">
        <v>1.0</v>
      </c>
      <c r="DP1245" s="315">
        <v>1.0</v>
      </c>
      <c r="DQ1245" s="315">
        <v>1.0</v>
      </c>
      <c r="DR1245" s="315">
        <v>1.0</v>
      </c>
      <c r="DS1245" s="37"/>
      <c r="DT1245" s="315">
        <v>1.0</v>
      </c>
      <c r="DU1245" s="315">
        <v>1.0</v>
      </c>
      <c r="DV1245" s="315">
        <v>1.0</v>
      </c>
      <c r="DW1245" s="315">
        <v>1.0</v>
      </c>
      <c r="DX1245" s="37"/>
      <c r="DY1245" s="315">
        <v>1.0</v>
      </c>
      <c r="DZ1245" s="315">
        <v>1.0</v>
      </c>
      <c r="EA1245" s="315">
        <v>1.0</v>
      </c>
      <c r="EB1245" s="315">
        <v>1.0</v>
      </c>
      <c r="EC1245" s="37"/>
      <c r="ED1245" s="315">
        <v>1.0</v>
      </c>
      <c r="EE1245" s="315">
        <v>1.0</v>
      </c>
      <c r="EF1245" s="315">
        <v>1.0</v>
      </c>
      <c r="EG1245" s="315">
        <v>1.0</v>
      </c>
      <c r="EH1245" s="37"/>
      <c r="EI1245" s="314">
        <v>1.0</v>
      </c>
      <c r="EJ1245" s="315">
        <v>1.0</v>
      </c>
      <c r="EK1245" s="315">
        <v>1.0</v>
      </c>
      <c r="EL1245" s="315">
        <v>1.0</v>
      </c>
      <c r="EM1245" s="37"/>
      <c r="EN1245" s="315">
        <v>1.0</v>
      </c>
      <c r="EO1245" s="315">
        <v>1.0</v>
      </c>
      <c r="EP1245" s="315">
        <v>1.0</v>
      </c>
      <c r="EQ1245" s="315">
        <v>1.0</v>
      </c>
      <c r="ER1245" s="37"/>
      <c r="ES1245" s="315">
        <v>1.0</v>
      </c>
      <c r="ET1245" s="315">
        <v>1.0</v>
      </c>
      <c r="EU1245" s="315">
        <v>1.0</v>
      </c>
      <c r="EV1245" s="315">
        <v>1.0</v>
      </c>
      <c r="EW1245" s="37"/>
      <c r="EX1245" s="315">
        <v>1.0</v>
      </c>
      <c r="EY1245" s="315">
        <v>1.0</v>
      </c>
      <c r="EZ1245" s="315">
        <v>1.0</v>
      </c>
      <c r="FA1245" s="315">
        <v>1.0</v>
      </c>
      <c r="FB1245" s="37"/>
      <c r="FC1245" s="315">
        <v>1.0</v>
      </c>
      <c r="FD1245" s="315">
        <v>1.0</v>
      </c>
      <c r="FE1245" s="315">
        <v>1.0</v>
      </c>
      <c r="FF1245" s="315">
        <v>1.0</v>
      </c>
      <c r="FG1245" s="37"/>
      <c r="FH1245" s="35"/>
      <c r="FI1245" s="315"/>
      <c r="FJ1245" s="315"/>
      <c r="FK1245" s="309"/>
      <c r="FL1245" s="315"/>
    </row>
    <row r="1246" ht="12.75" hidden="1" customHeight="1" outlineLevel="3">
      <c r="A1246" s="15"/>
      <c r="B1246" s="15" t="s">
        <v>467</v>
      </c>
      <c r="C1246" s="15"/>
      <c r="D1246" s="15"/>
      <c r="E1246" s="15"/>
      <c r="F1246" s="15"/>
      <c r="G1246" s="15"/>
      <c r="H1246" s="309"/>
      <c r="I1246" s="15"/>
      <c r="J1246" s="15"/>
      <c r="K1246" s="15"/>
      <c r="L1246" s="15"/>
      <c r="M1246" s="309"/>
      <c r="N1246" s="15"/>
      <c r="O1246" s="15"/>
      <c r="P1246" s="15"/>
      <c r="Q1246" s="15"/>
      <c r="R1246" s="309"/>
      <c r="S1246" s="15"/>
      <c r="T1246" s="15"/>
      <c r="U1246" s="15"/>
      <c r="V1246" s="15"/>
      <c r="W1246" s="309"/>
      <c r="X1246" s="15"/>
      <c r="Y1246" s="15"/>
      <c r="Z1246" s="15"/>
      <c r="AA1246" s="15"/>
      <c r="AB1246" s="309"/>
      <c r="AC1246" s="15"/>
      <c r="AD1246" s="15"/>
      <c r="AE1246" s="15"/>
      <c r="AF1246" s="15"/>
      <c r="AG1246" s="309"/>
      <c r="AH1246" s="15"/>
      <c r="AI1246" s="15"/>
      <c r="AJ1246" s="15"/>
      <c r="AK1246" s="15"/>
      <c r="AL1246" s="309"/>
      <c r="AM1246" s="15"/>
      <c r="AN1246" s="15"/>
      <c r="AO1246" s="15">
        <f t="shared" ref="AO1246:AP1246" si="6050">1-AO1245</f>
        <v>1</v>
      </c>
      <c r="AP1246" s="15">
        <f t="shared" si="6050"/>
        <v>0.96</v>
      </c>
      <c r="AQ1246" s="309"/>
      <c r="AR1246" s="15">
        <f t="shared" ref="AR1246:AU1246" si="6051">1-AR1245</f>
        <v>0.85</v>
      </c>
      <c r="AS1246" s="15">
        <f t="shared" si="6051"/>
        <v>0.5</v>
      </c>
      <c r="AT1246" s="15">
        <f t="shared" si="6051"/>
        <v>0.15</v>
      </c>
      <c r="AU1246" s="15">
        <f t="shared" si="6051"/>
        <v>0</v>
      </c>
      <c r="AV1246" s="309"/>
      <c r="AW1246" s="15">
        <f t="shared" ref="AW1246:AZ1246" si="6052">1-AW1245</f>
        <v>0</v>
      </c>
      <c r="AX1246" s="15">
        <f t="shared" si="6052"/>
        <v>0</v>
      </c>
      <c r="AY1246" s="15">
        <f t="shared" si="6052"/>
        <v>0</v>
      </c>
      <c r="AZ1246" s="15">
        <f t="shared" si="6052"/>
        <v>0</v>
      </c>
      <c r="BA1246" s="309"/>
      <c r="BB1246" s="15">
        <f t="shared" ref="BB1246:BE1246" si="6053">1-BB1245</f>
        <v>0</v>
      </c>
      <c r="BC1246" s="15">
        <f t="shared" si="6053"/>
        <v>0</v>
      </c>
      <c r="BD1246" s="15">
        <f t="shared" si="6053"/>
        <v>0</v>
      </c>
      <c r="BE1246" s="15">
        <f t="shared" si="6053"/>
        <v>0</v>
      </c>
      <c r="BF1246" s="309"/>
      <c r="BG1246" s="15">
        <f t="shared" ref="BG1246:BJ1246" si="6054">1-BG1245</f>
        <v>0</v>
      </c>
      <c r="BH1246" s="15">
        <f t="shared" si="6054"/>
        <v>0</v>
      </c>
      <c r="BI1246" s="15">
        <f t="shared" si="6054"/>
        <v>0</v>
      </c>
      <c r="BJ1246" s="15">
        <f t="shared" si="6054"/>
        <v>0</v>
      </c>
      <c r="BK1246" s="309"/>
      <c r="BL1246" s="15">
        <f t="shared" ref="BL1246:BO1246" si="6055">1-BL1245</f>
        <v>0</v>
      </c>
      <c r="BM1246" s="15">
        <f t="shared" si="6055"/>
        <v>0</v>
      </c>
      <c r="BN1246" s="15">
        <f t="shared" si="6055"/>
        <v>0</v>
      </c>
      <c r="BO1246" s="15">
        <f t="shared" si="6055"/>
        <v>0</v>
      </c>
      <c r="BP1246" s="309"/>
      <c r="BQ1246" s="15">
        <f t="shared" ref="BQ1246:BT1246" si="6056">1-BQ1245</f>
        <v>0</v>
      </c>
      <c r="BR1246" s="15">
        <f t="shared" si="6056"/>
        <v>0</v>
      </c>
      <c r="BS1246" s="15">
        <f t="shared" si="6056"/>
        <v>0</v>
      </c>
      <c r="BT1246" s="15">
        <f t="shared" si="6056"/>
        <v>0</v>
      </c>
      <c r="BU1246" s="309"/>
      <c r="BV1246" s="15">
        <f t="shared" ref="BV1246:BY1246" si="6057">1-BV1245</f>
        <v>0</v>
      </c>
      <c r="BW1246" s="15">
        <f t="shared" si="6057"/>
        <v>0</v>
      </c>
      <c r="BX1246" s="15">
        <f t="shared" si="6057"/>
        <v>0</v>
      </c>
      <c r="BY1246" s="15">
        <f t="shared" si="6057"/>
        <v>0</v>
      </c>
      <c r="BZ1246" s="37"/>
      <c r="CA1246" s="15">
        <f t="shared" ref="CA1246:CD1246" si="6058">1-CA1245</f>
        <v>0</v>
      </c>
      <c r="CB1246" s="15">
        <f t="shared" si="6058"/>
        <v>0</v>
      </c>
      <c r="CC1246" s="15">
        <f t="shared" si="6058"/>
        <v>0</v>
      </c>
      <c r="CD1246" s="15">
        <f t="shared" si="6058"/>
        <v>0</v>
      </c>
      <c r="CE1246" s="37"/>
      <c r="CF1246" s="15">
        <f t="shared" ref="CF1246:CI1246" si="6059">1-CF1245</f>
        <v>0</v>
      </c>
      <c r="CG1246" s="15">
        <f t="shared" si="6059"/>
        <v>0</v>
      </c>
      <c r="CH1246" s="15">
        <f t="shared" si="6059"/>
        <v>0</v>
      </c>
      <c r="CI1246" s="15">
        <f t="shared" si="6059"/>
        <v>0</v>
      </c>
      <c r="CJ1246" s="37"/>
      <c r="CK1246" s="15">
        <f t="shared" ref="CK1246:CN1246" si="6060">1-CK1245</f>
        <v>0</v>
      </c>
      <c r="CL1246" s="15">
        <f t="shared" si="6060"/>
        <v>0</v>
      </c>
      <c r="CM1246" s="15">
        <f t="shared" si="6060"/>
        <v>0</v>
      </c>
      <c r="CN1246" s="40">
        <f t="shared" si="6060"/>
        <v>0</v>
      </c>
      <c r="CO1246" s="37"/>
      <c r="CP1246" s="40">
        <f t="shared" ref="CP1246:CS1246" si="6061">1-CP1245</f>
        <v>0</v>
      </c>
      <c r="CQ1246" s="15">
        <f t="shared" si="6061"/>
        <v>0</v>
      </c>
      <c r="CR1246" s="15">
        <f t="shared" si="6061"/>
        <v>0</v>
      </c>
      <c r="CS1246" s="15">
        <f t="shared" si="6061"/>
        <v>0</v>
      </c>
      <c r="CT1246" s="37"/>
      <c r="CU1246" s="15">
        <f t="shared" ref="CU1246:CX1246" si="6062">1-CU1245</f>
        <v>0</v>
      </c>
      <c r="CV1246" s="15">
        <f t="shared" si="6062"/>
        <v>0</v>
      </c>
      <c r="CW1246" s="15">
        <f t="shared" si="6062"/>
        <v>0</v>
      </c>
      <c r="CX1246" s="15">
        <f t="shared" si="6062"/>
        <v>0</v>
      </c>
      <c r="CY1246" s="37"/>
      <c r="CZ1246" s="15">
        <f t="shared" ref="CZ1246:DC1246" si="6063">1-CZ1245</f>
        <v>0</v>
      </c>
      <c r="DA1246" s="15">
        <f t="shared" si="6063"/>
        <v>0</v>
      </c>
      <c r="DB1246" s="15">
        <f t="shared" si="6063"/>
        <v>0</v>
      </c>
      <c r="DC1246" s="15">
        <f t="shared" si="6063"/>
        <v>0</v>
      </c>
      <c r="DD1246" s="37"/>
      <c r="DE1246" s="15">
        <f t="shared" ref="DE1246:DH1246" si="6064">1-DE1245</f>
        <v>0</v>
      </c>
      <c r="DF1246" s="15">
        <f t="shared" si="6064"/>
        <v>0</v>
      </c>
      <c r="DG1246" s="40">
        <f t="shared" si="6064"/>
        <v>0</v>
      </c>
      <c r="DH1246" s="15">
        <f t="shared" si="6064"/>
        <v>0</v>
      </c>
      <c r="DI1246" s="37"/>
      <c r="DJ1246" s="40">
        <f t="shared" ref="DJ1246:DM1246" si="6065">1-DJ1245</f>
        <v>0</v>
      </c>
      <c r="DK1246" s="40">
        <f t="shared" si="6065"/>
        <v>0</v>
      </c>
      <c r="DL1246" s="40">
        <f t="shared" si="6065"/>
        <v>0</v>
      </c>
      <c r="DM1246" s="15">
        <f t="shared" si="6065"/>
        <v>0</v>
      </c>
      <c r="DN1246" s="37"/>
      <c r="DO1246" s="15">
        <f t="shared" ref="DO1246:DR1246" si="6066">1-DO1245</f>
        <v>0</v>
      </c>
      <c r="DP1246" s="15">
        <f t="shared" si="6066"/>
        <v>0</v>
      </c>
      <c r="DQ1246" s="15">
        <f t="shared" si="6066"/>
        <v>0</v>
      </c>
      <c r="DR1246" s="15">
        <f t="shared" si="6066"/>
        <v>0</v>
      </c>
      <c r="DS1246" s="37"/>
      <c r="DT1246" s="15">
        <f t="shared" ref="DT1246:DW1246" si="6067">1-DT1245</f>
        <v>0</v>
      </c>
      <c r="DU1246" s="15">
        <f t="shared" si="6067"/>
        <v>0</v>
      </c>
      <c r="DV1246" s="15">
        <f t="shared" si="6067"/>
        <v>0</v>
      </c>
      <c r="DW1246" s="15">
        <f t="shared" si="6067"/>
        <v>0</v>
      </c>
      <c r="DX1246" s="37"/>
      <c r="DY1246" s="15">
        <f t="shared" ref="DY1246:EB1246" si="6068">1-DY1245</f>
        <v>0</v>
      </c>
      <c r="DZ1246" s="15">
        <f t="shared" si="6068"/>
        <v>0</v>
      </c>
      <c r="EA1246" s="15">
        <f t="shared" si="6068"/>
        <v>0</v>
      </c>
      <c r="EB1246" s="15">
        <f t="shared" si="6068"/>
        <v>0</v>
      </c>
      <c r="EC1246" s="37"/>
      <c r="ED1246" s="15">
        <f t="shared" ref="ED1246:EG1246" si="6069">1-ED1245</f>
        <v>0</v>
      </c>
      <c r="EE1246" s="15">
        <f t="shared" si="6069"/>
        <v>0</v>
      </c>
      <c r="EF1246" s="15">
        <f t="shared" si="6069"/>
        <v>0</v>
      </c>
      <c r="EG1246" s="15">
        <f t="shared" si="6069"/>
        <v>0</v>
      </c>
      <c r="EH1246" s="37"/>
      <c r="EI1246" s="82">
        <f t="shared" ref="EI1246:EL1246" si="6070">1-EI1245</f>
        <v>0</v>
      </c>
      <c r="EJ1246" s="15">
        <f t="shared" si="6070"/>
        <v>0</v>
      </c>
      <c r="EK1246" s="15">
        <f t="shared" si="6070"/>
        <v>0</v>
      </c>
      <c r="EL1246" s="15">
        <f t="shared" si="6070"/>
        <v>0</v>
      </c>
      <c r="EM1246" s="37"/>
      <c r="EN1246" s="15">
        <f t="shared" ref="EN1246:EQ1246" si="6071">1-EN1245</f>
        <v>0</v>
      </c>
      <c r="EO1246" s="15">
        <f t="shared" si="6071"/>
        <v>0</v>
      </c>
      <c r="EP1246" s="15">
        <f t="shared" si="6071"/>
        <v>0</v>
      </c>
      <c r="EQ1246" s="15">
        <f t="shared" si="6071"/>
        <v>0</v>
      </c>
      <c r="ER1246" s="37"/>
      <c r="ES1246" s="15">
        <f t="shared" ref="ES1246:EV1246" si="6072">1-ES1245</f>
        <v>0</v>
      </c>
      <c r="ET1246" s="15">
        <f t="shared" si="6072"/>
        <v>0</v>
      </c>
      <c r="EU1246" s="15">
        <f t="shared" si="6072"/>
        <v>0</v>
      </c>
      <c r="EV1246" s="15">
        <f t="shared" si="6072"/>
        <v>0</v>
      </c>
      <c r="EW1246" s="37"/>
      <c r="EX1246" s="15">
        <f t="shared" ref="EX1246:FA1246" si="6073">1-EX1245</f>
        <v>0</v>
      </c>
      <c r="EY1246" s="15">
        <f t="shared" si="6073"/>
        <v>0</v>
      </c>
      <c r="EZ1246" s="15">
        <f t="shared" si="6073"/>
        <v>0</v>
      </c>
      <c r="FA1246" s="15">
        <f t="shared" si="6073"/>
        <v>0</v>
      </c>
      <c r="FB1246" s="37"/>
      <c r="FC1246" s="15">
        <f t="shared" ref="FC1246:FF1246" si="6074">1-FC1245</f>
        <v>0</v>
      </c>
      <c r="FD1246" s="15">
        <f t="shared" si="6074"/>
        <v>0</v>
      </c>
      <c r="FE1246" s="15">
        <f t="shared" si="6074"/>
        <v>0</v>
      </c>
      <c r="FF1246" s="15">
        <f t="shared" si="6074"/>
        <v>0</v>
      </c>
      <c r="FG1246" s="37"/>
      <c r="FH1246" s="35"/>
      <c r="FI1246" s="15"/>
      <c r="FJ1246" s="15"/>
      <c r="FK1246" s="309"/>
      <c r="FL1246" s="15"/>
    </row>
    <row r="1247" ht="12.75" hidden="1" customHeight="1" outlineLevel="3">
      <c r="A1247" s="15"/>
      <c r="B1247" s="15"/>
      <c r="C1247" s="15"/>
      <c r="D1247" s="15"/>
      <c r="E1247" s="15"/>
      <c r="F1247" s="15"/>
      <c r="G1247" s="15"/>
      <c r="H1247" s="309"/>
      <c r="I1247" s="15"/>
      <c r="J1247" s="15"/>
      <c r="K1247" s="15"/>
      <c r="L1247" s="15"/>
      <c r="M1247" s="309"/>
      <c r="N1247" s="15"/>
      <c r="O1247" s="15"/>
      <c r="P1247" s="15"/>
      <c r="Q1247" s="15"/>
      <c r="R1247" s="309"/>
      <c r="S1247" s="15"/>
      <c r="T1247" s="15"/>
      <c r="U1247" s="15"/>
      <c r="V1247" s="15"/>
      <c r="W1247" s="309"/>
      <c r="X1247" s="15"/>
      <c r="Y1247" s="15"/>
      <c r="Z1247" s="15"/>
      <c r="AA1247" s="15"/>
      <c r="AB1247" s="309"/>
      <c r="AC1247" s="15"/>
      <c r="AD1247" s="15"/>
      <c r="AE1247" s="15"/>
      <c r="AF1247" s="15"/>
      <c r="AG1247" s="309"/>
      <c r="AH1247" s="15"/>
      <c r="AI1247" s="15"/>
      <c r="AJ1247" s="15"/>
      <c r="AK1247" s="15"/>
      <c r="AL1247" s="309"/>
      <c r="AM1247" s="15"/>
      <c r="AN1247" s="15"/>
      <c r="AO1247" s="15"/>
      <c r="AP1247" s="15"/>
      <c r="AQ1247" s="309"/>
      <c r="AR1247" s="15"/>
      <c r="AS1247" s="15"/>
      <c r="AT1247" s="15"/>
      <c r="AU1247" s="15"/>
      <c r="AV1247" s="309"/>
      <c r="AW1247" s="15"/>
      <c r="AX1247" s="15"/>
      <c r="AY1247" s="15"/>
      <c r="AZ1247" s="15"/>
      <c r="BA1247" s="309"/>
      <c r="BB1247" s="15"/>
      <c r="BC1247" s="15"/>
      <c r="BD1247" s="15"/>
      <c r="BE1247" s="15"/>
      <c r="BF1247" s="309"/>
      <c r="BG1247" s="15"/>
      <c r="BH1247" s="15"/>
      <c r="BI1247" s="15"/>
      <c r="BJ1247" s="15"/>
      <c r="BK1247" s="309"/>
      <c r="BL1247" s="15"/>
      <c r="BM1247" s="15"/>
      <c r="BN1247" s="15"/>
      <c r="BO1247" s="15"/>
      <c r="BP1247" s="309"/>
      <c r="BQ1247" s="15"/>
      <c r="BR1247" s="15"/>
      <c r="BS1247" s="15"/>
      <c r="BT1247" s="15"/>
      <c r="BU1247" s="309"/>
      <c r="BV1247" s="15"/>
      <c r="BW1247" s="15"/>
      <c r="BX1247" s="15"/>
      <c r="BY1247" s="15"/>
      <c r="BZ1247" s="37"/>
      <c r="CA1247" s="15"/>
      <c r="CB1247" s="15"/>
      <c r="CC1247" s="15"/>
      <c r="CD1247" s="15"/>
      <c r="CE1247" s="37"/>
      <c r="CF1247" s="15"/>
      <c r="CG1247" s="15"/>
      <c r="CH1247" s="15"/>
      <c r="CI1247" s="15"/>
      <c r="CJ1247" s="37"/>
      <c r="CK1247" s="15"/>
      <c r="CL1247" s="15"/>
      <c r="CM1247" s="15"/>
      <c r="CN1247" s="40"/>
      <c r="CO1247" s="37"/>
      <c r="CP1247" s="40"/>
      <c r="CQ1247" s="15"/>
      <c r="CR1247" s="15"/>
      <c r="CS1247" s="15"/>
      <c r="CT1247" s="37"/>
      <c r="CU1247" s="15"/>
      <c r="CV1247" s="15"/>
      <c r="CW1247" s="15"/>
      <c r="CX1247" s="15"/>
      <c r="CY1247" s="37"/>
      <c r="CZ1247" s="15"/>
      <c r="DA1247" s="15"/>
      <c r="DB1247" s="15"/>
      <c r="DC1247" s="15"/>
      <c r="DD1247" s="37"/>
      <c r="DE1247" s="15"/>
      <c r="DF1247" s="15"/>
      <c r="DG1247" s="40"/>
      <c r="DH1247" s="15"/>
      <c r="DI1247" s="37"/>
      <c r="DJ1247" s="40"/>
      <c r="DK1247" s="40"/>
      <c r="DL1247" s="40"/>
      <c r="DM1247" s="15"/>
      <c r="DN1247" s="37"/>
      <c r="DO1247" s="15"/>
      <c r="DP1247" s="15"/>
      <c r="DQ1247" s="15"/>
      <c r="DR1247" s="15"/>
      <c r="DS1247" s="37"/>
      <c r="DT1247" s="15"/>
      <c r="DU1247" s="15"/>
      <c r="DV1247" s="15"/>
      <c r="DW1247" s="15"/>
      <c r="DX1247" s="37"/>
      <c r="DY1247" s="15"/>
      <c r="DZ1247" s="15"/>
      <c r="EA1247" s="15"/>
      <c r="EB1247" s="15"/>
      <c r="EC1247" s="37"/>
      <c r="ED1247" s="15"/>
      <c r="EE1247" s="15"/>
      <c r="EF1247" s="15"/>
      <c r="EG1247" s="15"/>
      <c r="EH1247" s="37"/>
      <c r="EI1247" s="82"/>
      <c r="EJ1247" s="15"/>
      <c r="EK1247" s="15"/>
      <c r="EL1247" s="15"/>
      <c r="EM1247" s="37"/>
      <c r="EN1247" s="15"/>
      <c r="EO1247" s="15"/>
      <c r="EP1247" s="15"/>
      <c r="EQ1247" s="15"/>
      <c r="ER1247" s="37"/>
      <c r="ES1247" s="15"/>
      <c r="ET1247" s="15"/>
      <c r="EU1247" s="15"/>
      <c r="EV1247" s="15"/>
      <c r="EW1247" s="37"/>
      <c r="EX1247" s="15"/>
      <c r="EY1247" s="15"/>
      <c r="EZ1247" s="15"/>
      <c r="FA1247" s="15"/>
      <c r="FB1247" s="37"/>
      <c r="FC1247" s="15"/>
      <c r="FD1247" s="15"/>
      <c r="FE1247" s="15"/>
      <c r="FF1247" s="15"/>
      <c r="FG1247" s="37"/>
      <c r="FH1247" s="35"/>
      <c r="FI1247" s="15"/>
      <c r="FJ1247" s="15"/>
      <c r="FK1247" s="309"/>
      <c r="FL1247" s="15"/>
    </row>
    <row r="1248" ht="12.75" hidden="1" customHeight="1" outlineLevel="3">
      <c r="A1248" s="4"/>
      <c r="B1248" s="601" t="s">
        <v>468</v>
      </c>
      <c r="C1248" s="4"/>
      <c r="D1248" s="4"/>
      <c r="E1248" s="4"/>
      <c r="F1248" s="4"/>
      <c r="G1248" s="4"/>
      <c r="H1248" s="8"/>
      <c r="I1248" s="4"/>
      <c r="J1248" s="4"/>
      <c r="K1248" s="4"/>
      <c r="L1248" s="4"/>
      <c r="M1248" s="8"/>
      <c r="N1248" s="4"/>
      <c r="O1248" s="4"/>
      <c r="P1248" s="4"/>
      <c r="Q1248" s="4"/>
      <c r="R1248" s="8"/>
      <c r="S1248" s="4"/>
      <c r="T1248" s="4"/>
      <c r="U1248" s="4"/>
      <c r="V1248" s="4"/>
      <c r="W1248" s="8"/>
      <c r="X1248" s="4"/>
      <c r="Y1248" s="4"/>
      <c r="Z1248" s="4"/>
      <c r="AA1248" s="4"/>
      <c r="AB1248" s="8"/>
      <c r="AC1248" s="4"/>
      <c r="AD1248" s="4"/>
      <c r="AE1248" s="4"/>
      <c r="AF1248" s="4"/>
      <c r="AG1248" s="8"/>
      <c r="AH1248" s="4"/>
      <c r="AI1248" s="4"/>
      <c r="AJ1248" s="4"/>
      <c r="AK1248" s="4"/>
      <c r="AL1248" s="8"/>
      <c r="AM1248" s="4"/>
      <c r="AN1248" s="4"/>
      <c r="AO1248" s="4"/>
      <c r="AP1248" s="4"/>
      <c r="AQ1248" s="8"/>
      <c r="AR1248" s="4"/>
      <c r="AS1248" s="4"/>
      <c r="AT1248" s="4"/>
      <c r="AU1248" s="4"/>
      <c r="AV1248" s="8"/>
      <c r="AW1248" s="4"/>
      <c r="AX1248" s="4"/>
      <c r="AY1248" s="4"/>
      <c r="AZ1248" s="4"/>
      <c r="BA1248" s="8"/>
      <c r="BB1248" s="4"/>
      <c r="BC1248" s="4"/>
      <c r="BD1248" s="4"/>
      <c r="BE1248" s="4"/>
      <c r="BF1248" s="8"/>
      <c r="BG1248" s="4"/>
      <c r="BH1248" s="4"/>
      <c r="BI1248" s="4"/>
      <c r="BJ1248" s="4"/>
      <c r="BK1248" s="8"/>
      <c r="BL1248" s="4"/>
      <c r="BM1248" s="4"/>
      <c r="BN1248" s="4"/>
      <c r="BO1248" s="4"/>
      <c r="BP1248" s="8"/>
      <c r="BQ1248" s="4"/>
      <c r="BR1248" s="4"/>
      <c r="BS1248" s="4"/>
      <c r="BT1248" s="4"/>
      <c r="BU1248" s="8"/>
      <c r="BV1248" s="4"/>
      <c r="BW1248" s="4"/>
      <c r="BX1248" s="4"/>
      <c r="BY1248" s="4"/>
      <c r="BZ1248" s="10"/>
      <c r="CA1248" s="4"/>
      <c r="CB1248" s="4"/>
      <c r="CC1248" s="4"/>
      <c r="CD1248" s="4"/>
      <c r="CE1248" s="10"/>
      <c r="CF1248" s="4"/>
      <c r="CG1248" s="4"/>
      <c r="CH1248" s="4"/>
      <c r="CI1248" s="4"/>
      <c r="CJ1248" s="10"/>
      <c r="CK1248" s="4"/>
      <c r="CL1248" s="4"/>
      <c r="CM1248" s="4"/>
      <c r="CN1248" s="16"/>
      <c r="CO1248" s="10"/>
      <c r="CP1248" s="16"/>
      <c r="CQ1248" s="4"/>
      <c r="CR1248" s="4"/>
      <c r="CS1248" s="4"/>
      <c r="CT1248" s="10"/>
      <c r="CU1248" s="4"/>
      <c r="CV1248" s="4"/>
      <c r="CW1248" s="4"/>
      <c r="CX1248" s="4"/>
      <c r="CY1248" s="10"/>
      <c r="CZ1248" s="4"/>
      <c r="DA1248" s="4"/>
      <c r="DB1248" s="4"/>
      <c r="DC1248" s="4"/>
      <c r="DD1248" s="10"/>
      <c r="DE1248" s="4"/>
      <c r="DF1248" s="4"/>
      <c r="DG1248" s="16"/>
      <c r="DH1248" s="4"/>
      <c r="DI1248" s="10"/>
      <c r="DJ1248" s="16"/>
      <c r="DK1248" s="16"/>
      <c r="DL1248" s="16"/>
      <c r="DM1248" s="4"/>
      <c r="DN1248" s="10"/>
      <c r="DO1248" s="4"/>
      <c r="DP1248" s="4"/>
      <c r="DQ1248" s="4"/>
      <c r="DR1248" s="4"/>
      <c r="DS1248" s="10"/>
      <c r="DT1248" s="4"/>
      <c r="DU1248" s="4"/>
      <c r="DV1248" s="4"/>
      <c r="DW1248" s="4"/>
      <c r="DX1248" s="10"/>
      <c r="DY1248" s="4"/>
      <c r="DZ1248" s="4"/>
      <c r="EA1248" s="4"/>
      <c r="EB1248" s="4"/>
      <c r="EC1248" s="10"/>
      <c r="ED1248" s="4"/>
      <c r="EE1248" s="4"/>
      <c r="EF1248" s="4"/>
      <c r="EG1248" s="4"/>
      <c r="EH1248" s="10"/>
      <c r="EI1248" s="214"/>
      <c r="EJ1248" s="4"/>
      <c r="EK1248" s="4"/>
      <c r="EL1248" s="4"/>
      <c r="EM1248" s="10"/>
      <c r="EN1248" s="4"/>
      <c r="EO1248" s="4"/>
      <c r="EP1248" s="4"/>
      <c r="EQ1248" s="4"/>
      <c r="ER1248" s="10"/>
      <c r="ES1248" s="4"/>
      <c r="ET1248" s="4"/>
      <c r="EU1248" s="4"/>
      <c r="EV1248" s="4"/>
      <c r="EW1248" s="10"/>
      <c r="EX1248" s="4"/>
      <c r="EY1248" s="4"/>
      <c r="EZ1248" s="4"/>
      <c r="FA1248" s="4"/>
      <c r="FB1248" s="10"/>
      <c r="FC1248" s="4"/>
      <c r="FD1248" s="4"/>
      <c r="FE1248" s="4"/>
      <c r="FF1248" s="4"/>
      <c r="FG1248" s="10"/>
      <c r="FH1248" s="21"/>
      <c r="FI1248" s="4"/>
      <c r="FJ1248" s="4"/>
      <c r="FK1248" s="8"/>
      <c r="FL1248" s="4"/>
    </row>
    <row r="1249" ht="12.75" hidden="1" customHeight="1" outlineLevel="3">
      <c r="A1249" s="4"/>
      <c r="B1249" s="4"/>
      <c r="C1249" s="4"/>
      <c r="D1249" s="4"/>
      <c r="E1249" s="4"/>
      <c r="F1249" s="4"/>
      <c r="G1249" s="4"/>
      <c r="H1249" s="8"/>
      <c r="I1249" s="4"/>
      <c r="J1249" s="4"/>
      <c r="K1249" s="4"/>
      <c r="L1249" s="4"/>
      <c r="M1249" s="8"/>
      <c r="N1249" s="4"/>
      <c r="O1249" s="4"/>
      <c r="P1249" s="4"/>
      <c r="Q1249" s="4"/>
      <c r="R1249" s="8"/>
      <c r="S1249" s="4"/>
      <c r="T1249" s="4"/>
      <c r="U1249" s="4"/>
      <c r="V1249" s="4"/>
      <c r="W1249" s="8"/>
      <c r="X1249" s="4"/>
      <c r="Y1249" s="4"/>
      <c r="Z1249" s="4"/>
      <c r="AA1249" s="4"/>
      <c r="AB1249" s="8"/>
      <c r="AC1249" s="4"/>
      <c r="AD1249" s="4"/>
      <c r="AE1249" s="4"/>
      <c r="AF1249" s="4"/>
      <c r="AG1249" s="8"/>
      <c r="AH1249" s="4"/>
      <c r="AI1249" s="4"/>
      <c r="AJ1249" s="4"/>
      <c r="AK1249" s="4"/>
      <c r="AL1249" s="8"/>
      <c r="AM1249" s="4"/>
      <c r="AN1249" s="4"/>
      <c r="AO1249" s="4"/>
      <c r="AP1249" s="4"/>
      <c r="AQ1249" s="8"/>
      <c r="AR1249" s="4"/>
      <c r="AS1249" s="4"/>
      <c r="AT1249" s="4"/>
      <c r="AU1249" s="4"/>
      <c r="AV1249" s="8"/>
      <c r="AW1249" s="4"/>
      <c r="AX1249" s="4"/>
      <c r="AY1249" s="4"/>
      <c r="AZ1249" s="4"/>
      <c r="BA1249" s="8"/>
      <c r="BB1249" s="4"/>
      <c r="BC1249" s="4"/>
      <c r="BD1249" s="4"/>
      <c r="BE1249" s="4"/>
      <c r="BF1249" s="8"/>
      <c r="BG1249" s="4"/>
      <c r="BH1249" s="4"/>
      <c r="BI1249" s="4"/>
      <c r="BJ1249" s="4"/>
      <c r="BK1249" s="8"/>
      <c r="BL1249" s="4"/>
      <c r="BM1249" s="4"/>
      <c r="BN1249" s="4"/>
      <c r="BO1249" s="4"/>
      <c r="BP1249" s="8"/>
      <c r="BQ1249" s="4"/>
      <c r="BR1249" s="4"/>
      <c r="BS1249" s="4"/>
      <c r="BT1249" s="4"/>
      <c r="BU1249" s="8"/>
      <c r="BV1249" s="4"/>
      <c r="BW1249" s="4"/>
      <c r="BX1249" s="4"/>
      <c r="BY1249" s="4"/>
      <c r="BZ1249" s="10"/>
      <c r="CA1249" s="4"/>
      <c r="CB1249" s="4"/>
      <c r="CC1249" s="4"/>
      <c r="CD1249" s="4"/>
      <c r="CE1249" s="10"/>
      <c r="CF1249" s="4"/>
      <c r="CG1249" s="4"/>
      <c r="CH1249" s="4"/>
      <c r="CI1249" s="4"/>
      <c r="CJ1249" s="10"/>
      <c r="CK1249" s="4"/>
      <c r="CL1249" s="4"/>
      <c r="CM1249" s="4"/>
      <c r="CN1249" s="16"/>
      <c r="CO1249" s="10"/>
      <c r="CP1249" s="16"/>
      <c r="CQ1249" s="4"/>
      <c r="CR1249" s="4"/>
      <c r="CS1249" s="4"/>
      <c r="CT1249" s="10"/>
      <c r="CU1249" s="4"/>
      <c r="CV1249" s="4"/>
      <c r="CW1249" s="4"/>
      <c r="CX1249" s="4"/>
      <c r="CY1249" s="10"/>
      <c r="CZ1249" s="4"/>
      <c r="DA1249" s="4"/>
      <c r="DB1249" s="4"/>
      <c r="DC1249" s="4"/>
      <c r="DD1249" s="10"/>
      <c r="DE1249" s="4"/>
      <c r="DF1249" s="4"/>
      <c r="DG1249" s="16"/>
      <c r="DH1249" s="4"/>
      <c r="DI1249" s="10"/>
      <c r="DJ1249" s="16"/>
      <c r="DK1249" s="16"/>
      <c r="DL1249" s="16"/>
      <c r="DM1249" s="4"/>
      <c r="DN1249" s="10"/>
      <c r="DO1249" s="4"/>
      <c r="DP1249" s="4"/>
      <c r="DQ1249" s="4"/>
      <c r="DR1249" s="4"/>
      <c r="DS1249" s="10"/>
      <c r="DT1249" s="4"/>
      <c r="DU1249" s="4"/>
      <c r="DV1249" s="4"/>
      <c r="DW1249" s="4"/>
      <c r="DX1249" s="10"/>
      <c r="DY1249" s="4"/>
      <c r="DZ1249" s="4"/>
      <c r="EA1249" s="4"/>
      <c r="EB1249" s="4"/>
      <c r="EC1249" s="10"/>
      <c r="ED1249" s="4"/>
      <c r="EE1249" s="4"/>
      <c r="EF1249" s="4"/>
      <c r="EG1249" s="4"/>
      <c r="EH1249" s="10"/>
      <c r="EI1249" s="214"/>
      <c r="EJ1249" s="4"/>
      <c r="EK1249" s="4"/>
      <c r="EL1249" s="4"/>
      <c r="EM1249" s="10"/>
      <c r="EN1249" s="4"/>
      <c r="EO1249" s="4"/>
      <c r="EP1249" s="4"/>
      <c r="EQ1249" s="4"/>
      <c r="ER1249" s="10"/>
      <c r="ES1249" s="4"/>
      <c r="ET1249" s="4"/>
      <c r="EU1249" s="4"/>
      <c r="EV1249" s="4"/>
      <c r="EW1249" s="10"/>
      <c r="EX1249" s="4"/>
      <c r="EY1249" s="4"/>
      <c r="EZ1249" s="4"/>
      <c r="FA1249" s="4"/>
      <c r="FB1249" s="10"/>
      <c r="FC1249" s="4"/>
      <c r="FD1249" s="4"/>
      <c r="FE1249" s="4"/>
      <c r="FF1249" s="4"/>
      <c r="FG1249" s="10"/>
      <c r="FH1249" s="21"/>
      <c r="FI1249" s="4"/>
      <c r="FJ1249" s="4"/>
      <c r="FK1249" s="8"/>
      <c r="FL1249" s="4"/>
    </row>
    <row r="1250" ht="12.75" hidden="1" customHeight="1" outlineLevel="3">
      <c r="A1250" s="377"/>
      <c r="B1250" s="4" t="s">
        <v>469</v>
      </c>
      <c r="C1250" s="377"/>
      <c r="D1250" s="377"/>
      <c r="E1250" s="377"/>
      <c r="F1250" s="377"/>
      <c r="G1250" s="377"/>
      <c r="H1250" s="665"/>
      <c r="I1250" s="377"/>
      <c r="J1250" s="377"/>
      <c r="K1250" s="377"/>
      <c r="L1250" s="377"/>
      <c r="M1250" s="665"/>
      <c r="N1250" s="377">
        <f>COGS</f>
        <v>2749</v>
      </c>
      <c r="O1250" s="377">
        <f>COGS</f>
        <v>3027</v>
      </c>
      <c r="P1250" s="377">
        <f>COGS</f>
        <v>3176</v>
      </c>
      <c r="Q1250" s="377">
        <f>COGS</f>
        <v>3136</v>
      </c>
      <c r="R1250" s="665">
        <f>COGS</f>
        <v>12088</v>
      </c>
      <c r="S1250" s="377">
        <f>COGS</f>
        <v>2894</v>
      </c>
      <c r="T1250" s="377">
        <f>COGS</f>
        <v>2740</v>
      </c>
      <c r="U1250" s="377">
        <f>COGS</f>
        <v>3026</v>
      </c>
      <c r="V1250" s="377">
        <f>COGS</f>
        <v>3176</v>
      </c>
      <c r="W1250" s="665">
        <f>COGS</f>
        <v>11836</v>
      </c>
      <c r="X1250" s="377">
        <f>COGS</f>
        <v>2989</v>
      </c>
      <c r="Y1250" s="377">
        <f>COGS</f>
        <v>3283</v>
      </c>
      <c r="Z1250" s="377">
        <f>COGS</f>
        <v>3148</v>
      </c>
      <c r="AA1250" s="377">
        <f>COGS</f>
        <v>3230</v>
      </c>
      <c r="AB1250" s="665">
        <f>COGS</f>
        <v>12650</v>
      </c>
      <c r="AC1250" s="377">
        <f>COGS</f>
        <v>3225</v>
      </c>
      <c r="AD1250" s="377">
        <f>COGS</f>
        <v>3307</v>
      </c>
      <c r="AE1250" s="377">
        <f>COGS</f>
        <v>3553</v>
      </c>
      <c r="AF1250" s="377">
        <f>COGS</f>
        <v>3402</v>
      </c>
      <c r="AG1250" s="665">
        <f>COGS</f>
        <v>13487</v>
      </c>
      <c r="AH1250" s="377">
        <f>COGS</f>
        <v>3301</v>
      </c>
      <c r="AI1250" s="377">
        <f>COGS</f>
        <v>3350</v>
      </c>
      <c r="AJ1250" s="377">
        <f>COGS</f>
        <v>3331</v>
      </c>
      <c r="AK1250" s="377">
        <f>COGS</f>
        <v>3464</v>
      </c>
      <c r="AL1250" s="665">
        <f>COGS</f>
        <v>13446</v>
      </c>
      <c r="AM1250" s="377">
        <f>COGS</f>
        <v>3239</v>
      </c>
      <c r="AN1250" s="377">
        <f>COGS</f>
        <v>3348</v>
      </c>
      <c r="AO1250" s="377">
        <f>COGS</f>
        <v>3275</v>
      </c>
      <c r="AP1250" s="377">
        <f>COGS</f>
        <v>3185</v>
      </c>
      <c r="AQ1250" s="665">
        <f>COGS</f>
        <v>13047</v>
      </c>
      <c r="AR1250" s="377">
        <f>COGS</f>
        <v>3221</v>
      </c>
      <c r="AS1250" s="377">
        <f>COGS</f>
        <v>3269</v>
      </c>
      <c r="AT1250" s="377">
        <f>COGS</f>
        <v>3752</v>
      </c>
      <c r="AU1250" s="377">
        <f>COGS</f>
        <v>4221</v>
      </c>
      <c r="AV1250" s="665">
        <f>COGS</f>
        <v>14463</v>
      </c>
      <c r="AW1250" s="377">
        <f>COGS</f>
        <v>3836</v>
      </c>
      <c r="AX1250" s="377">
        <f>COGS</f>
        <v>4028</v>
      </c>
      <c r="AY1250" s="377">
        <f>COGS</f>
        <v>3872</v>
      </c>
      <c r="AZ1250" s="377">
        <f>COGS</f>
        <v>3901</v>
      </c>
      <c r="BA1250" s="665">
        <f>COGS</f>
        <v>15637</v>
      </c>
      <c r="BB1250" s="377">
        <f>COGS</f>
        <v>3997</v>
      </c>
      <c r="BC1250" s="377">
        <f>COGS</f>
        <v>3838</v>
      </c>
      <c r="BD1250" s="377">
        <f>COGS</f>
        <v>4445</v>
      </c>
      <c r="BE1250" s="377">
        <f>COGS</f>
        <v>4884</v>
      </c>
      <c r="BF1250" s="665">
        <f>COGS</f>
        <v>17164</v>
      </c>
      <c r="BG1250" s="377">
        <f>COGS</f>
        <v>4420</v>
      </c>
      <c r="BH1250" s="377">
        <f>COGS</f>
        <v>4605</v>
      </c>
      <c r="BI1250" s="377">
        <f>COGS</f>
        <v>4806</v>
      </c>
      <c r="BJ1250" s="377">
        <f>COGS</f>
        <v>4486</v>
      </c>
      <c r="BK1250" s="665">
        <f>COGS</f>
        <v>18317</v>
      </c>
      <c r="BL1250" s="377">
        <f>COGS</f>
        <v>4466</v>
      </c>
      <c r="BM1250" s="377">
        <f>COGS</f>
        <v>4221</v>
      </c>
      <c r="BN1250" s="377">
        <f>COGS</f>
        <v>4198</v>
      </c>
      <c r="BO1250" s="377">
        <f>COGS</f>
        <v>3857</v>
      </c>
      <c r="BP1250" s="665">
        <f>COGS</f>
        <v>16742</v>
      </c>
      <c r="BQ1250" s="377">
        <f>COGS</f>
        <v>3907</v>
      </c>
      <c r="BR1250" s="377">
        <f>COGS</f>
        <v>3945</v>
      </c>
      <c r="BS1250" s="377">
        <f>COGS</f>
        <v>3985</v>
      </c>
      <c r="BT1250" s="377">
        <f>COGS</f>
        <v>3729</v>
      </c>
      <c r="BU1250" s="665">
        <f>COGS</f>
        <v>15566</v>
      </c>
      <c r="BV1250" s="377">
        <f>COGS</f>
        <v>3770</v>
      </c>
      <c r="BW1250" s="377">
        <f>COGS</f>
        <v>3530</v>
      </c>
      <c r="BX1250" s="377">
        <f>COGS</f>
        <v>3781</v>
      </c>
      <c r="BY1250" s="377">
        <f>COGS</f>
        <v>4051</v>
      </c>
      <c r="BZ1250" s="666">
        <f>COGS</f>
        <v>15132</v>
      </c>
      <c r="CA1250" s="377">
        <f>COGS</f>
        <v>4962</v>
      </c>
      <c r="CB1250" s="377">
        <f>COGS</f>
        <v>5130</v>
      </c>
      <c r="CC1250" s="377">
        <f>COGS</f>
        <v>5215</v>
      </c>
      <c r="CD1250" s="377">
        <f>COGS</f>
        <v>4935</v>
      </c>
      <c r="CE1250" s="666">
        <f>COGS</f>
        <v>20242</v>
      </c>
      <c r="CF1250" s="377">
        <f>COGS</f>
        <v>4641</v>
      </c>
      <c r="CG1250" s="377">
        <f>COGS</f>
        <v>4947</v>
      </c>
      <c r="CH1250" s="377">
        <f>COGS</f>
        <v>4942</v>
      </c>
      <c r="CI1250" s="377">
        <f>COGS</f>
        <v>5660</v>
      </c>
      <c r="CJ1250" s="666">
        <f>COGS</f>
        <v>20190</v>
      </c>
      <c r="CK1250" s="377">
        <f>COGS</f>
        <v>5514</v>
      </c>
      <c r="CL1250" s="377">
        <f>COGS</f>
        <v>5341</v>
      </c>
      <c r="CM1250" s="377">
        <f>COGS</f>
        <v>5069</v>
      </c>
      <c r="CN1250" s="440">
        <f>COGS</f>
        <v>5263</v>
      </c>
      <c r="CO1250" s="666">
        <f>COGS</f>
        <v>21187</v>
      </c>
      <c r="CP1250" s="440">
        <f>COGS</f>
        <v>5138</v>
      </c>
      <c r="CQ1250" s="377">
        <f>COGS</f>
        <v>4914</v>
      </c>
      <c r="CR1250" s="377">
        <f>COGS</f>
        <v>5096</v>
      </c>
      <c r="CS1250" s="377">
        <f>COGS</f>
        <v>5100</v>
      </c>
      <c r="CT1250" s="666">
        <f>COGS</f>
        <v>20248</v>
      </c>
      <c r="CU1250" s="377">
        <f>COGS</f>
        <v>5051</v>
      </c>
      <c r="CV1250" s="377">
        <f>COGS</f>
        <v>4947</v>
      </c>
      <c r="CW1250" s="377">
        <f>COGS</f>
        <v>5354</v>
      </c>
      <c r="CX1250" s="377">
        <f>COGS</f>
        <v>5324</v>
      </c>
      <c r="CY1250" s="666">
        <f>COGS</f>
        <v>20676</v>
      </c>
      <c r="CZ1250" s="377">
        <f>COGS</f>
        <v>5572</v>
      </c>
      <c r="DA1250" s="377">
        <f>COGS</f>
        <v>5560</v>
      </c>
      <c r="DB1250" s="377">
        <f>COGS</f>
        <v>5795</v>
      </c>
      <c r="DC1250" s="377">
        <f>COGS</f>
        <v>6269</v>
      </c>
      <c r="DD1250" s="666">
        <f>COGS</f>
        <v>23196</v>
      </c>
      <c r="DE1250" s="377">
        <f>COGS</f>
        <v>5649</v>
      </c>
      <c r="DF1250" s="377">
        <f>COGS</f>
        <v>5665</v>
      </c>
      <c r="DG1250" s="440">
        <f>COGS</f>
        <v>6092</v>
      </c>
      <c r="DH1250" s="377">
        <f>COGS</f>
        <v>6286</v>
      </c>
      <c r="DI1250" s="666">
        <f>COGS</f>
        <v>23692</v>
      </c>
      <c r="DJ1250" s="440">
        <f>COGS</f>
        <v>6335</v>
      </c>
      <c r="DK1250" s="440">
        <f>COGS</f>
        <v>6543</v>
      </c>
      <c r="DL1250" s="440">
        <f>COGS</f>
        <v>6803</v>
      </c>
      <c r="DM1250" s="377">
        <f>COGS</f>
        <v>7430</v>
      </c>
      <c r="DN1250" s="666">
        <f>COGS</f>
        <v>27111</v>
      </c>
      <c r="DO1250" s="377">
        <f>COGS</f>
        <v>6972</v>
      </c>
      <c r="DP1250" s="377">
        <f>COGS</f>
        <v>6627</v>
      </c>
      <c r="DQ1250" s="377">
        <f>COGS</f>
        <v>7895</v>
      </c>
      <c r="DR1250" s="377">
        <f>COGS</f>
        <v>8331</v>
      </c>
      <c r="DS1250" s="666">
        <f>COGS</f>
        <v>29825</v>
      </c>
      <c r="DT1250" s="377">
        <f>COGS</f>
        <v>7812</v>
      </c>
      <c r="DU1250" s="377">
        <f>COGS</f>
        <v>9221</v>
      </c>
      <c r="DV1250" s="377">
        <f>COGS</f>
        <v>8592</v>
      </c>
      <c r="DW1250" s="377">
        <f>COGS</f>
        <v>8630</v>
      </c>
      <c r="DX1250" s="666">
        <f>COGS</f>
        <v>34255</v>
      </c>
      <c r="DY1250" s="377">
        <f>COGS</f>
        <v>8819</v>
      </c>
      <c r="DZ1250" s="377">
        <f>COGS</f>
        <v>8425</v>
      </c>
      <c r="EA1250" s="377">
        <f>COGS</f>
        <v>8446</v>
      </c>
      <c r="EB1250" s="377">
        <f>COGS</f>
        <v>9519</v>
      </c>
      <c r="EC1250" s="666">
        <f>COGS</f>
        <v>35209</v>
      </c>
      <c r="ED1250" s="377">
        <f>COGS</f>
        <v>9109</v>
      </c>
      <c r="EE1250" s="377">
        <f>COGS</f>
        <v>9734</v>
      </c>
      <c r="EF1250" s="377">
        <f>COGS</f>
        <v>8803</v>
      </c>
      <c r="EG1250" s="377">
        <f>COGS</f>
        <v>8542</v>
      </c>
      <c r="EH1250" s="666">
        <f>COGS</f>
        <v>36188</v>
      </c>
      <c r="EI1250" s="442" t="str">
        <f>COGS</f>
        <v>#ERROR!</v>
      </c>
      <c r="EJ1250" s="377" t="str">
        <f>COGS</f>
        <v>#ERROR!</v>
      </c>
      <c r="EK1250" s="377" t="str">
        <f>COGS</f>
        <v>#ERROR!</v>
      </c>
      <c r="EL1250" s="377" t="str">
        <f>COGS</f>
        <v>#ERROR!</v>
      </c>
      <c r="EM1250" s="666" t="str">
        <f>COGS</f>
        <v>#ERROR!</v>
      </c>
      <c r="EN1250" s="377" t="str">
        <f>COGS</f>
        <v>#ERROR!</v>
      </c>
      <c r="EO1250" s="377" t="str">
        <f>COGS</f>
        <v>#ERROR!</v>
      </c>
      <c r="EP1250" s="377" t="str">
        <f>COGS</f>
        <v>#ERROR!</v>
      </c>
      <c r="EQ1250" s="377" t="str">
        <f>COGS</f>
        <v>#ERROR!</v>
      </c>
      <c r="ER1250" s="666" t="str">
        <f>COGS</f>
        <v>#ERROR!</v>
      </c>
      <c r="ES1250" s="377" t="str">
        <f>COGS</f>
        <v>#ERROR!</v>
      </c>
      <c r="ET1250" s="377" t="str">
        <f>COGS</f>
        <v>#ERROR!</v>
      </c>
      <c r="EU1250" s="377" t="str">
        <f>COGS</f>
        <v>#ERROR!</v>
      </c>
      <c r="EV1250" s="377" t="str">
        <f>COGS</f>
        <v>#ERROR!</v>
      </c>
      <c r="EW1250" s="666" t="str">
        <f>COGS</f>
        <v>#ERROR!</v>
      </c>
      <c r="EX1250" s="377" t="str">
        <f>COGS</f>
        <v>#ERROR!</v>
      </c>
      <c r="EY1250" s="377" t="str">
        <f>COGS</f>
        <v>#ERROR!</v>
      </c>
      <c r="EZ1250" s="377" t="str">
        <f>COGS</f>
        <v>#ERROR!</v>
      </c>
      <c r="FA1250" s="377" t="str">
        <f>COGS</f>
        <v>#ERROR!</v>
      </c>
      <c r="FB1250" s="666" t="str">
        <f>COGS</f>
        <v>#ERROR!</v>
      </c>
      <c r="FC1250" s="377" t="str">
        <f>COGS</f>
        <v>#ERROR!</v>
      </c>
      <c r="FD1250" s="377" t="str">
        <f>COGS</f>
        <v>#ERROR!</v>
      </c>
      <c r="FE1250" s="377" t="str">
        <f>COGS</f>
        <v>#ERROR!</v>
      </c>
      <c r="FF1250" s="377" t="str">
        <f>COGS</f>
        <v>#ERROR!</v>
      </c>
      <c r="FG1250" s="666" t="str">
        <f>COGS</f>
        <v>#ERROR!</v>
      </c>
      <c r="FH1250" s="667"/>
      <c r="FI1250" s="377"/>
      <c r="FJ1250" s="377"/>
      <c r="FK1250" s="665"/>
      <c r="FL1250" s="377"/>
    </row>
    <row r="1251" ht="12.75" hidden="1" customHeight="1" outlineLevel="3">
      <c r="A1251" s="4"/>
      <c r="B1251" s="4" t="s">
        <v>470</v>
      </c>
      <c r="C1251" s="4"/>
      <c r="D1251" s="377"/>
      <c r="E1251" s="377"/>
      <c r="F1251" s="377"/>
      <c r="G1251" s="377"/>
      <c r="H1251" s="665"/>
      <c r="I1251" s="377"/>
      <c r="J1251" s="377"/>
      <c r="K1251" s="377"/>
      <c r="L1251" s="377"/>
      <c r="M1251" s="665"/>
      <c r="N1251" s="377">
        <f>depreciation</f>
        <v>630</v>
      </c>
      <c r="O1251" s="377">
        <f>depreciation</f>
        <v>674</v>
      </c>
      <c r="P1251" s="377">
        <f>depreciation</f>
        <v>734</v>
      </c>
      <c r="Q1251" s="377">
        <f>depreciation</f>
        <v>769</v>
      </c>
      <c r="R1251" s="665">
        <f>depreciation</f>
        <v>2807</v>
      </c>
      <c r="S1251" s="377">
        <f>depreciation</f>
        <v>774</v>
      </c>
      <c r="T1251" s="377">
        <f>depreciation</f>
        <v>760</v>
      </c>
      <c r="U1251" s="377">
        <f>depreciation</f>
        <v>804</v>
      </c>
      <c r="V1251" s="377">
        <f>depreciation</f>
        <v>848</v>
      </c>
      <c r="W1251" s="665">
        <f>depreciation</f>
        <v>3186</v>
      </c>
      <c r="X1251" s="377">
        <f>depreciation</f>
        <v>897</v>
      </c>
      <c r="Y1251" s="377">
        <f>depreciation</f>
        <v>764</v>
      </c>
      <c r="Z1251" s="377">
        <f>depreciation</f>
        <v>802</v>
      </c>
      <c r="AA1251" s="377">
        <f>depreciation</f>
        <v>786</v>
      </c>
      <c r="AB1251" s="665">
        <f>depreciation</f>
        <v>3249</v>
      </c>
      <c r="AC1251" s="377">
        <f>depreciation</f>
        <v>934</v>
      </c>
      <c r="AD1251" s="377">
        <f>depreciation</f>
        <v>1050</v>
      </c>
      <c r="AE1251" s="377">
        <f>depreciation</f>
        <v>1054</v>
      </c>
      <c r="AF1251" s="377">
        <f>depreciation</f>
        <v>1093</v>
      </c>
      <c r="AG1251" s="665">
        <f>depreciation</f>
        <v>4131</v>
      </c>
      <c r="AH1251" s="377">
        <f>depreciation</f>
        <v>1161</v>
      </c>
      <c r="AI1251" s="377">
        <f>depreciation</f>
        <v>1135</v>
      </c>
      <c r="AJ1251" s="377">
        <f>depreciation</f>
        <v>1136</v>
      </c>
      <c r="AK1251" s="377">
        <f>depreciation</f>
        <v>1244</v>
      </c>
      <c r="AL1251" s="665">
        <f>depreciation</f>
        <v>4676</v>
      </c>
      <c r="AM1251" s="377">
        <f>depreciation</f>
        <v>1145</v>
      </c>
      <c r="AN1251" s="377">
        <f>depreciation</f>
        <v>1162</v>
      </c>
      <c r="AO1251" s="377">
        <f>depreciation</f>
        <v>1167</v>
      </c>
      <c r="AP1251" s="377">
        <f>depreciation</f>
        <v>1177</v>
      </c>
      <c r="AQ1251" s="665">
        <f>depreciation</f>
        <v>4651</v>
      </c>
      <c r="AR1251" s="377">
        <f>depreciation</f>
        <v>1140</v>
      </c>
      <c r="AS1251" s="377">
        <f>depreciation</f>
        <v>1151</v>
      </c>
      <c r="AT1251" s="377">
        <f>depreciation</f>
        <v>1155</v>
      </c>
      <c r="AU1251" s="377">
        <f>depreciation</f>
        <v>1144</v>
      </c>
      <c r="AV1251" s="665">
        <f>depreciation</f>
        <v>4590</v>
      </c>
      <c r="AW1251" s="377">
        <f>depreciation</f>
        <v>1189</v>
      </c>
      <c r="AX1251" s="377">
        <f>depreciation</f>
        <v>1051</v>
      </c>
      <c r="AY1251" s="377">
        <f>depreciation</f>
        <v>1055</v>
      </c>
      <c r="AZ1251" s="377">
        <f>depreciation</f>
        <v>1050</v>
      </c>
      <c r="BA1251" s="665">
        <f>depreciation</f>
        <v>4345</v>
      </c>
      <c r="BB1251" s="377">
        <f>depreciation</f>
        <v>1139</v>
      </c>
      <c r="BC1251" s="377">
        <f>depreciation</f>
        <v>1156</v>
      </c>
      <c r="BD1251" s="377">
        <f>depreciation</f>
        <v>1193</v>
      </c>
      <c r="BE1251" s="377">
        <f>depreciation</f>
        <v>1166</v>
      </c>
      <c r="BF1251" s="665">
        <f>depreciation</f>
        <v>4654</v>
      </c>
      <c r="BG1251" s="377">
        <f>depreciation</f>
        <v>1187</v>
      </c>
      <c r="BH1251" s="377">
        <f>depreciation</f>
        <v>1153</v>
      </c>
      <c r="BI1251" s="377">
        <f>depreciation</f>
        <v>1098</v>
      </c>
      <c r="BJ1251" s="377">
        <f>depreciation</f>
        <v>1108</v>
      </c>
      <c r="BK1251" s="665">
        <f>depreciation</f>
        <v>4546</v>
      </c>
      <c r="BL1251" s="377">
        <f>depreciation</f>
        <v>1102</v>
      </c>
      <c r="BM1251" s="377">
        <f>depreciation</f>
        <v>1042</v>
      </c>
      <c r="BN1251" s="377">
        <f>depreciation</f>
        <v>1059</v>
      </c>
      <c r="BO1251" s="377">
        <f>depreciation</f>
        <v>1157</v>
      </c>
      <c r="BP1251" s="665">
        <f>depreciation</f>
        <v>4360</v>
      </c>
      <c r="BQ1251" s="377">
        <f>depreciation</f>
        <v>1208</v>
      </c>
      <c r="BR1251" s="377">
        <f>depreciation</f>
        <v>1211</v>
      </c>
      <c r="BS1251" s="377">
        <f>depreciation</f>
        <v>1153</v>
      </c>
      <c r="BT1251" s="377">
        <f>depreciation</f>
        <v>1172</v>
      </c>
      <c r="BU1251" s="665">
        <f>depreciation</f>
        <v>4744</v>
      </c>
      <c r="BV1251" s="377">
        <f>depreciation</f>
        <v>1080</v>
      </c>
      <c r="BW1251" s="377">
        <f>depreciation</f>
        <v>1086</v>
      </c>
      <c r="BX1251" s="377">
        <f>depreciation</f>
        <v>1086</v>
      </c>
      <c r="BY1251" s="377">
        <f>depreciation</f>
        <v>1146</v>
      </c>
      <c r="BZ1251" s="666">
        <f>depreciation</f>
        <v>4398</v>
      </c>
      <c r="CA1251" s="377">
        <f>depreciation</f>
        <v>1287</v>
      </c>
      <c r="CB1251" s="377">
        <f>depreciation</f>
        <v>1248</v>
      </c>
      <c r="CC1251" s="377">
        <f>depreciation</f>
        <v>1273</v>
      </c>
      <c r="CD1251" s="377">
        <f>depreciation</f>
        <v>1333</v>
      </c>
      <c r="CE1251" s="666">
        <f>depreciation</f>
        <v>5141</v>
      </c>
      <c r="CF1251" s="377">
        <f>depreciation</f>
        <v>1519</v>
      </c>
      <c r="CG1251" s="377">
        <f>depreciation</f>
        <v>1572</v>
      </c>
      <c r="CH1251" s="377">
        <f>depreciation</f>
        <v>1625</v>
      </c>
      <c r="CI1251" s="377">
        <f>depreciation</f>
        <v>1641</v>
      </c>
      <c r="CJ1251" s="666">
        <f>depreciation</f>
        <v>6357</v>
      </c>
      <c r="CK1251" s="377">
        <f>depreciation</f>
        <v>1682</v>
      </c>
      <c r="CL1251" s="377">
        <f>depreciation</f>
        <v>1712</v>
      </c>
      <c r="CM1251" s="377">
        <f>depreciation</f>
        <v>1729</v>
      </c>
      <c r="CN1251" s="440">
        <f>depreciation</f>
        <v>1667</v>
      </c>
      <c r="CO1251" s="666">
        <f>depreciation</f>
        <v>6790</v>
      </c>
      <c r="CP1251" s="440">
        <f>depreciation</f>
        <v>1720</v>
      </c>
      <c r="CQ1251" s="377">
        <f>depreciation</f>
        <v>1880</v>
      </c>
      <c r="CR1251" s="377">
        <f>depreciation</f>
        <v>1891</v>
      </c>
      <c r="CS1251" s="377">
        <f>depreciation</f>
        <v>1889</v>
      </c>
      <c r="CT1251" s="666">
        <f>depreciation</f>
        <v>7380</v>
      </c>
      <c r="CU1251" s="377">
        <f>depreciation</f>
        <v>1848</v>
      </c>
      <c r="CV1251" s="377">
        <f>depreciation</f>
        <v>1977</v>
      </c>
      <c r="CW1251" s="377">
        <f>depreciation</f>
        <v>2060</v>
      </c>
      <c r="CX1251" s="377">
        <f>depreciation</f>
        <v>1936</v>
      </c>
      <c r="CY1251" s="666">
        <f>depreciation</f>
        <v>7821</v>
      </c>
      <c r="CZ1251" s="377">
        <f>depreciation</f>
        <v>1619</v>
      </c>
      <c r="DA1251" s="377">
        <f>depreciation</f>
        <v>1522</v>
      </c>
      <c r="DB1251" s="377">
        <f>depreciation</f>
        <v>1543</v>
      </c>
      <c r="DC1251" s="377">
        <f>depreciation</f>
        <v>1582</v>
      </c>
      <c r="DD1251" s="666">
        <f>depreciation</f>
        <v>6266</v>
      </c>
      <c r="DE1251" s="377">
        <f>depreciation</f>
        <v>1625</v>
      </c>
      <c r="DF1251" s="377">
        <f>depreciation</f>
        <v>1675</v>
      </c>
      <c r="DG1251" s="440">
        <f>depreciation</f>
        <v>1690</v>
      </c>
      <c r="DH1251" s="377">
        <f>depreciation</f>
        <v>1762</v>
      </c>
      <c r="DI1251" s="666">
        <f>depreciation</f>
        <v>6752</v>
      </c>
      <c r="DJ1251" s="440">
        <f>depreciation</f>
        <v>1806</v>
      </c>
      <c r="DK1251" s="440">
        <f>depreciation</f>
        <v>1730</v>
      </c>
      <c r="DL1251" s="440">
        <f>depreciation</f>
        <v>1884</v>
      </c>
      <c r="DM1251" s="377">
        <f>depreciation</f>
        <v>2100</v>
      </c>
      <c r="DN1251" s="666">
        <f>depreciation</f>
        <v>7520</v>
      </c>
      <c r="DO1251" s="377">
        <f>depreciation</f>
        <v>2229</v>
      </c>
      <c r="DP1251" s="377">
        <f>depreciation</f>
        <v>2150</v>
      </c>
      <c r="DQ1251" s="377">
        <f>depreciation</f>
        <v>2268</v>
      </c>
      <c r="DR1251" s="377">
        <f>depreciation</f>
        <v>2557</v>
      </c>
      <c r="DS1251" s="666">
        <f>depreciation</f>
        <v>9204</v>
      </c>
      <c r="DT1251" s="377">
        <f>depreciation</f>
        <v>2623</v>
      </c>
      <c r="DU1251" s="377">
        <f>depreciation</f>
        <v>2625</v>
      </c>
      <c r="DV1251" s="377">
        <f>depreciation</f>
        <v>2677</v>
      </c>
      <c r="DW1251" s="377">
        <f>depreciation</f>
        <v>2557</v>
      </c>
      <c r="DX1251" s="666">
        <f>depreciation</f>
        <v>10482</v>
      </c>
      <c r="DY1251" s="377">
        <f>depreciation</f>
        <v>2454</v>
      </c>
      <c r="DZ1251" s="377">
        <f>depreciation</f>
        <v>2408</v>
      </c>
      <c r="EA1251" s="377">
        <f>depreciation</f>
        <v>2495</v>
      </c>
      <c r="EB1251" s="377">
        <f>depreciation</f>
        <v>2596</v>
      </c>
      <c r="EC1251" s="666">
        <f>depreciation</f>
        <v>9953</v>
      </c>
      <c r="ED1251" s="377">
        <f>depreciation</f>
        <v>2847</v>
      </c>
      <c r="EE1251" s="377">
        <f>depreciation</f>
        <v>2681</v>
      </c>
      <c r="EF1251" s="377">
        <f>depreciation</f>
        <v>2781</v>
      </c>
      <c r="EG1251" s="377">
        <f>depreciation</f>
        <v>2819</v>
      </c>
      <c r="EH1251" s="666">
        <f>depreciation</f>
        <v>11128</v>
      </c>
      <c r="EI1251" s="442">
        <f>depreciation</f>
        <v>2855.984375</v>
      </c>
      <c r="EJ1251" s="377">
        <f>depreciation</f>
        <v>2891.812988</v>
      </c>
      <c r="EK1251" s="377">
        <f>depreciation</f>
        <v>2926.365707</v>
      </c>
      <c r="EL1251" s="377">
        <f>depreciation</f>
        <v>2959.838654</v>
      </c>
      <c r="EM1251" s="666">
        <f>depreciation</f>
        <v>11634.00172</v>
      </c>
      <c r="EN1251" s="377">
        <f>depreciation</f>
        <v>2977.109321</v>
      </c>
      <c r="EO1251" s="377">
        <f>depreciation</f>
        <v>3021.18403</v>
      </c>
      <c r="EP1251" s="377">
        <f>depreciation</f>
        <v>3091.225154</v>
      </c>
      <c r="EQ1251" s="377">
        <f>depreciation</f>
        <v>3159.077493</v>
      </c>
      <c r="ER1251" s="666">
        <f>depreciation</f>
        <v>12248.596</v>
      </c>
      <c r="ES1251" s="377">
        <f>depreciation</f>
        <v>3224.809446</v>
      </c>
      <c r="ET1251" s="377">
        <f>depreciation</f>
        <v>3288.487276</v>
      </c>
      <c r="EU1251" s="377">
        <f>depreciation</f>
        <v>3350.175174</v>
      </c>
      <c r="EV1251" s="377">
        <f>depreciation</f>
        <v>3409.935324</v>
      </c>
      <c r="EW1251" s="666">
        <f>depreciation</f>
        <v>13273.40722</v>
      </c>
      <c r="EX1251" s="377">
        <f>depreciation</f>
        <v>3467.827971</v>
      </c>
      <c r="EY1251" s="377">
        <f>depreciation</f>
        <v>3523.911471</v>
      </c>
      <c r="EZ1251" s="377">
        <f>depreciation</f>
        <v>3591.914238</v>
      </c>
      <c r="FA1251" s="377">
        <f>depreciation</f>
        <v>3657.791918</v>
      </c>
      <c r="FB1251" s="666">
        <f>depreciation</f>
        <v>14241.4456</v>
      </c>
      <c r="FC1251" s="377">
        <f>depreciation</f>
        <v>3707.939046</v>
      </c>
      <c r="FD1251" s="377">
        <f>depreciation</f>
        <v>3756.519075</v>
      </c>
      <c r="FE1251" s="377">
        <f>depreciation</f>
        <v>3817.252854</v>
      </c>
      <c r="FF1251" s="377">
        <f>depreciation</f>
        <v>3876.088703</v>
      </c>
      <c r="FG1251" s="666">
        <f>depreciation</f>
        <v>15157.79968</v>
      </c>
      <c r="FH1251" s="667"/>
      <c r="FI1251" s="377"/>
      <c r="FJ1251" s="377"/>
      <c r="FK1251" s="665"/>
      <c r="FL1251" s="377"/>
    </row>
    <row r="1252" ht="12.75" hidden="1" customHeight="1" outlineLevel="3">
      <c r="A1252" s="4"/>
      <c r="B1252" s="4" t="s">
        <v>471</v>
      </c>
      <c r="C1252" s="4"/>
      <c r="D1252" s="4"/>
      <c r="E1252" s="4"/>
      <c r="F1252" s="4"/>
      <c r="G1252" s="4"/>
      <c r="H1252" s="45"/>
      <c r="I1252" s="4"/>
      <c r="J1252" s="4"/>
      <c r="K1252" s="4"/>
      <c r="L1252" s="4"/>
      <c r="M1252" s="45"/>
      <c r="N1252" s="4"/>
      <c r="O1252" s="4"/>
      <c r="P1252" s="4"/>
      <c r="Q1252" s="4"/>
      <c r="R1252" s="45"/>
      <c r="S1252" s="4"/>
      <c r="T1252" s="4"/>
      <c r="U1252" s="4"/>
      <c r="V1252" s="4"/>
      <c r="W1252" s="45">
        <f t="shared" ref="W1252:W1253" si="6075">W1250*W1257</f>
        <v>5693.116</v>
      </c>
      <c r="X1252" s="4"/>
      <c r="Y1252" s="4"/>
      <c r="Z1252" s="4"/>
      <c r="AA1252" s="4"/>
      <c r="AB1252" s="45">
        <f t="shared" ref="AB1252:AB1253" si="6076">AB1250*AB1257</f>
        <v>5060</v>
      </c>
      <c r="AC1252" s="4"/>
      <c r="AD1252" s="4"/>
      <c r="AE1252" s="4"/>
      <c r="AF1252" s="4"/>
      <c r="AG1252" s="45">
        <f t="shared" ref="AG1252:AG1253" si="6077">AG1250*AG1257</f>
        <v>4787.885</v>
      </c>
      <c r="AH1252" s="4"/>
      <c r="AI1252" s="4"/>
      <c r="AJ1252" s="4"/>
      <c r="AK1252" s="4"/>
      <c r="AL1252" s="45">
        <f t="shared" ref="AL1252:AL1253" si="6078">AL1250*AL1257</f>
        <v>4302.72</v>
      </c>
      <c r="AM1252" s="4"/>
      <c r="AN1252" s="4"/>
      <c r="AO1252" s="4"/>
      <c r="AP1252" s="4"/>
      <c r="AQ1252" s="45">
        <f t="shared" ref="AQ1252:AQ1253" si="6079">AQ1250*AQ1257</f>
        <v>4566.45</v>
      </c>
      <c r="AR1252" s="4"/>
      <c r="AS1252" s="4"/>
      <c r="AT1252" s="4"/>
      <c r="AU1252" s="4"/>
      <c r="AV1252" s="45"/>
      <c r="AW1252" s="4"/>
      <c r="AX1252" s="4"/>
      <c r="AY1252" s="4"/>
      <c r="AZ1252" s="4"/>
      <c r="BA1252" s="45"/>
      <c r="BB1252" s="4"/>
      <c r="BC1252" s="4"/>
      <c r="BD1252" s="4"/>
      <c r="BE1252" s="4"/>
      <c r="BF1252" s="45"/>
      <c r="BG1252" s="4"/>
      <c r="BH1252" s="4"/>
      <c r="BI1252" s="4"/>
      <c r="BJ1252" s="4"/>
      <c r="BK1252" s="45"/>
      <c r="BL1252" s="4"/>
      <c r="BM1252" s="4"/>
      <c r="BN1252" s="4"/>
      <c r="BO1252" s="4"/>
      <c r="BP1252" s="45"/>
      <c r="BQ1252" s="4"/>
      <c r="BR1252" s="4"/>
      <c r="BS1252" s="4"/>
      <c r="BT1252" s="4"/>
      <c r="BU1252" s="45"/>
      <c r="BV1252" s="4"/>
      <c r="BW1252" s="4"/>
      <c r="BX1252" s="4"/>
      <c r="BY1252" s="4"/>
      <c r="BZ1252" s="350"/>
      <c r="CA1252" s="4"/>
      <c r="CB1252" s="4"/>
      <c r="CC1252" s="4"/>
      <c r="CD1252" s="4"/>
      <c r="CE1252" s="350"/>
      <c r="CF1252" s="4"/>
      <c r="CG1252" s="4"/>
      <c r="CH1252" s="4"/>
      <c r="CI1252" s="4"/>
      <c r="CJ1252" s="350"/>
      <c r="CK1252" s="4"/>
      <c r="CL1252" s="4"/>
      <c r="CM1252" s="4"/>
      <c r="CN1252" s="16"/>
      <c r="CO1252" s="350"/>
      <c r="CP1252" s="16"/>
      <c r="CQ1252" s="4"/>
      <c r="CR1252" s="4"/>
      <c r="CS1252" s="4"/>
      <c r="CT1252" s="350"/>
      <c r="CU1252" s="4"/>
      <c r="CV1252" s="4"/>
      <c r="CW1252" s="4"/>
      <c r="CX1252" s="4"/>
      <c r="CY1252" s="350"/>
      <c r="CZ1252" s="4"/>
      <c r="DA1252" s="4"/>
      <c r="DB1252" s="4"/>
      <c r="DC1252" s="4"/>
      <c r="DD1252" s="350"/>
      <c r="DE1252" s="4"/>
      <c r="DF1252" s="4"/>
      <c r="DG1252" s="16"/>
      <c r="DH1252" s="4"/>
      <c r="DI1252" s="350"/>
      <c r="DJ1252" s="16"/>
      <c r="DK1252" s="16"/>
      <c r="DL1252" s="16"/>
      <c r="DM1252" s="4"/>
      <c r="DN1252" s="350"/>
      <c r="DO1252" s="4"/>
      <c r="DP1252" s="4"/>
      <c r="DQ1252" s="4"/>
      <c r="DR1252" s="4"/>
      <c r="DS1252" s="350"/>
      <c r="DT1252" s="4"/>
      <c r="DU1252" s="4"/>
      <c r="DV1252" s="4"/>
      <c r="DW1252" s="4"/>
      <c r="DX1252" s="350"/>
      <c r="DY1252" s="4"/>
      <c r="DZ1252" s="4"/>
      <c r="EA1252" s="4"/>
      <c r="EB1252" s="4"/>
      <c r="EC1252" s="350"/>
      <c r="ED1252" s="4"/>
      <c r="EE1252" s="4"/>
      <c r="EF1252" s="4"/>
      <c r="EG1252" s="4"/>
      <c r="EH1252" s="350"/>
      <c r="EI1252" s="214"/>
      <c r="EJ1252" s="4"/>
      <c r="EK1252" s="4"/>
      <c r="EL1252" s="4"/>
      <c r="EM1252" s="350"/>
      <c r="EN1252" s="4"/>
      <c r="EO1252" s="4"/>
      <c r="EP1252" s="4"/>
      <c r="EQ1252" s="4"/>
      <c r="ER1252" s="350"/>
      <c r="ES1252" s="4"/>
      <c r="ET1252" s="4"/>
      <c r="EU1252" s="4"/>
      <c r="EV1252" s="4"/>
      <c r="EW1252" s="350"/>
      <c r="EX1252" s="4"/>
      <c r="EY1252" s="4"/>
      <c r="EZ1252" s="4"/>
      <c r="FA1252" s="4"/>
      <c r="FB1252" s="350"/>
      <c r="FC1252" s="4"/>
      <c r="FD1252" s="4"/>
      <c r="FE1252" s="4"/>
      <c r="FF1252" s="4"/>
      <c r="FG1252" s="350"/>
      <c r="FH1252" s="145"/>
      <c r="FI1252" s="4"/>
      <c r="FJ1252" s="4"/>
      <c r="FK1252" s="45"/>
      <c r="FL1252" s="4"/>
    </row>
    <row r="1253" ht="12.75" hidden="1" customHeight="1" outlineLevel="3">
      <c r="A1253" s="4"/>
      <c r="B1253" s="4" t="s">
        <v>472</v>
      </c>
      <c r="C1253" s="4"/>
      <c r="D1253" s="4"/>
      <c r="E1253" s="4"/>
      <c r="F1253" s="4"/>
      <c r="G1253" s="4"/>
      <c r="H1253" s="45"/>
      <c r="I1253" s="4"/>
      <c r="J1253" s="4"/>
      <c r="K1253" s="4"/>
      <c r="L1253" s="4"/>
      <c r="M1253" s="45"/>
      <c r="N1253" s="4"/>
      <c r="O1253" s="4"/>
      <c r="P1253" s="4"/>
      <c r="Q1253" s="4"/>
      <c r="R1253" s="45"/>
      <c r="S1253" s="4"/>
      <c r="T1253" s="4"/>
      <c r="U1253" s="4"/>
      <c r="V1253" s="4"/>
      <c r="W1253" s="45">
        <f t="shared" si="6075"/>
        <v>796.5</v>
      </c>
      <c r="X1253" s="4"/>
      <c r="Y1253" s="4"/>
      <c r="Z1253" s="4"/>
      <c r="AA1253" s="4"/>
      <c r="AB1253" s="45">
        <f t="shared" si="6076"/>
        <v>1114.407</v>
      </c>
      <c r="AC1253" s="4"/>
      <c r="AD1253" s="4"/>
      <c r="AE1253" s="4"/>
      <c r="AF1253" s="4"/>
      <c r="AG1253" s="45">
        <f t="shared" si="6077"/>
        <v>1400.409</v>
      </c>
      <c r="AH1253" s="4"/>
      <c r="AI1253" s="4"/>
      <c r="AJ1253" s="4"/>
      <c r="AK1253" s="4"/>
      <c r="AL1253" s="45">
        <f t="shared" si="6078"/>
        <v>1552.432</v>
      </c>
      <c r="AM1253" s="4"/>
      <c r="AN1253" s="4"/>
      <c r="AO1253" s="4"/>
      <c r="AP1253" s="4"/>
      <c r="AQ1253" s="45">
        <f t="shared" si="6079"/>
        <v>1399.951</v>
      </c>
      <c r="AR1253" s="4"/>
      <c r="AS1253" s="4"/>
      <c r="AT1253" s="4"/>
      <c r="AU1253" s="4"/>
      <c r="AV1253" s="45"/>
      <c r="AW1253" s="4"/>
      <c r="AX1253" s="4"/>
      <c r="AY1253" s="4"/>
      <c r="AZ1253" s="4"/>
      <c r="BA1253" s="45"/>
      <c r="BB1253" s="4"/>
      <c r="BC1253" s="4"/>
      <c r="BD1253" s="4"/>
      <c r="BE1253" s="4"/>
      <c r="BF1253" s="45"/>
      <c r="BG1253" s="4"/>
      <c r="BH1253" s="4"/>
      <c r="BI1253" s="4"/>
      <c r="BJ1253" s="4"/>
      <c r="BK1253" s="45"/>
      <c r="BL1253" s="4"/>
      <c r="BM1253" s="4"/>
      <c r="BN1253" s="4"/>
      <c r="BO1253" s="4"/>
      <c r="BP1253" s="45"/>
      <c r="BQ1253" s="4"/>
      <c r="BR1253" s="4"/>
      <c r="BS1253" s="4"/>
      <c r="BT1253" s="4"/>
      <c r="BU1253" s="45"/>
      <c r="BV1253" s="4"/>
      <c r="BW1253" s="4"/>
      <c r="BX1253" s="4"/>
      <c r="BY1253" s="4"/>
      <c r="BZ1253" s="350"/>
      <c r="CA1253" s="4"/>
      <c r="CB1253" s="4"/>
      <c r="CC1253" s="4"/>
      <c r="CD1253" s="4"/>
      <c r="CE1253" s="350"/>
      <c r="CF1253" s="4"/>
      <c r="CG1253" s="4"/>
      <c r="CH1253" s="4"/>
      <c r="CI1253" s="4"/>
      <c r="CJ1253" s="350"/>
      <c r="CK1253" s="4"/>
      <c r="CL1253" s="4"/>
      <c r="CM1253" s="4"/>
      <c r="CN1253" s="16"/>
      <c r="CO1253" s="350"/>
      <c r="CP1253" s="16"/>
      <c r="CQ1253" s="4"/>
      <c r="CR1253" s="4"/>
      <c r="CS1253" s="4"/>
      <c r="CT1253" s="350"/>
      <c r="CU1253" s="4"/>
      <c r="CV1253" s="4"/>
      <c r="CW1253" s="4"/>
      <c r="CX1253" s="4"/>
      <c r="CY1253" s="350"/>
      <c r="CZ1253" s="4"/>
      <c r="DA1253" s="4"/>
      <c r="DB1253" s="4"/>
      <c r="DC1253" s="4"/>
      <c r="DD1253" s="350"/>
      <c r="DE1253" s="4"/>
      <c r="DF1253" s="4"/>
      <c r="DG1253" s="16"/>
      <c r="DH1253" s="4"/>
      <c r="DI1253" s="350"/>
      <c r="DJ1253" s="16"/>
      <c r="DK1253" s="16"/>
      <c r="DL1253" s="16"/>
      <c r="DM1253" s="4"/>
      <c r="DN1253" s="350"/>
      <c r="DO1253" s="4"/>
      <c r="DP1253" s="4"/>
      <c r="DQ1253" s="4"/>
      <c r="DR1253" s="4"/>
      <c r="DS1253" s="350"/>
      <c r="DT1253" s="4"/>
      <c r="DU1253" s="4"/>
      <c r="DV1253" s="4"/>
      <c r="DW1253" s="4"/>
      <c r="DX1253" s="350"/>
      <c r="DY1253" s="4"/>
      <c r="DZ1253" s="4"/>
      <c r="EA1253" s="4"/>
      <c r="EB1253" s="4"/>
      <c r="EC1253" s="350"/>
      <c r="ED1253" s="4"/>
      <c r="EE1253" s="4"/>
      <c r="EF1253" s="4"/>
      <c r="EG1253" s="4"/>
      <c r="EH1253" s="350"/>
      <c r="EI1253" s="214"/>
      <c r="EJ1253" s="4"/>
      <c r="EK1253" s="4"/>
      <c r="EL1253" s="4"/>
      <c r="EM1253" s="350"/>
      <c r="EN1253" s="4"/>
      <c r="EO1253" s="4"/>
      <c r="EP1253" s="4"/>
      <c r="EQ1253" s="4"/>
      <c r="ER1253" s="350"/>
      <c r="ES1253" s="4"/>
      <c r="ET1253" s="4"/>
      <c r="EU1253" s="4"/>
      <c r="EV1253" s="4"/>
      <c r="EW1253" s="350"/>
      <c r="EX1253" s="4"/>
      <c r="EY1253" s="4"/>
      <c r="EZ1253" s="4"/>
      <c r="FA1253" s="4"/>
      <c r="FB1253" s="350"/>
      <c r="FC1253" s="4"/>
      <c r="FD1253" s="4"/>
      <c r="FE1253" s="4"/>
      <c r="FF1253" s="4"/>
      <c r="FG1253" s="350"/>
      <c r="FH1253" s="145"/>
      <c r="FI1253" s="4"/>
      <c r="FJ1253" s="4"/>
      <c r="FK1253" s="45"/>
      <c r="FL1253" s="4"/>
    </row>
    <row r="1254" ht="12.75" hidden="1" customHeight="1" outlineLevel="3">
      <c r="A1254" s="4"/>
      <c r="B1254" s="4"/>
      <c r="C1254" s="4"/>
      <c r="D1254" s="4"/>
      <c r="E1254" s="4"/>
      <c r="F1254" s="4"/>
      <c r="G1254" s="4"/>
      <c r="H1254" s="45"/>
      <c r="I1254" s="4"/>
      <c r="J1254" s="4"/>
      <c r="K1254" s="4"/>
      <c r="L1254" s="4"/>
      <c r="M1254" s="45"/>
      <c r="N1254" s="4"/>
      <c r="O1254" s="4"/>
      <c r="P1254" s="4"/>
      <c r="Q1254" s="4"/>
      <c r="R1254" s="45"/>
      <c r="S1254" s="4"/>
      <c r="T1254" s="4"/>
      <c r="U1254" s="4"/>
      <c r="V1254" s="4"/>
      <c r="W1254" s="45"/>
      <c r="X1254" s="4"/>
      <c r="Y1254" s="4"/>
      <c r="Z1254" s="4"/>
      <c r="AA1254" s="4"/>
      <c r="AB1254" s="45"/>
      <c r="AC1254" s="4"/>
      <c r="AD1254" s="4"/>
      <c r="AE1254" s="4"/>
      <c r="AF1254" s="4"/>
      <c r="AG1254" s="45"/>
      <c r="AH1254" s="4"/>
      <c r="AI1254" s="4"/>
      <c r="AJ1254" s="4"/>
      <c r="AK1254" s="4"/>
      <c r="AL1254" s="45"/>
      <c r="AM1254" s="4"/>
      <c r="AN1254" s="4"/>
      <c r="AO1254" s="4"/>
      <c r="AP1254" s="4"/>
      <c r="AQ1254" s="45"/>
      <c r="AR1254" s="4"/>
      <c r="AS1254" s="4"/>
      <c r="AT1254" s="4"/>
      <c r="AU1254" s="4"/>
      <c r="AV1254" s="45"/>
      <c r="AW1254" s="4"/>
      <c r="AX1254" s="4"/>
      <c r="AY1254" s="4"/>
      <c r="AZ1254" s="4"/>
      <c r="BA1254" s="45"/>
      <c r="BB1254" s="4"/>
      <c r="BC1254" s="4"/>
      <c r="BD1254" s="4"/>
      <c r="BE1254" s="4"/>
      <c r="BF1254" s="45"/>
      <c r="BG1254" s="4"/>
      <c r="BH1254" s="4"/>
      <c r="BI1254" s="4"/>
      <c r="BJ1254" s="4"/>
      <c r="BK1254" s="45"/>
      <c r="BL1254" s="4"/>
      <c r="BM1254" s="4"/>
      <c r="BN1254" s="4"/>
      <c r="BO1254" s="4"/>
      <c r="BP1254" s="45"/>
      <c r="BQ1254" s="4"/>
      <c r="BR1254" s="4"/>
      <c r="BS1254" s="4"/>
      <c r="BT1254" s="4"/>
      <c r="BU1254" s="45"/>
      <c r="BV1254" s="4"/>
      <c r="BW1254" s="4"/>
      <c r="BX1254" s="4"/>
      <c r="BY1254" s="4"/>
      <c r="BZ1254" s="350"/>
      <c r="CA1254" s="4"/>
      <c r="CB1254" s="4"/>
      <c r="CC1254" s="4"/>
      <c r="CD1254" s="4"/>
      <c r="CE1254" s="350"/>
      <c r="CF1254" s="4"/>
      <c r="CG1254" s="4"/>
      <c r="CH1254" s="4"/>
      <c r="CI1254" s="4"/>
      <c r="CJ1254" s="350"/>
      <c r="CK1254" s="4"/>
      <c r="CL1254" s="4"/>
      <c r="CM1254" s="4"/>
      <c r="CN1254" s="16"/>
      <c r="CO1254" s="350"/>
      <c r="CP1254" s="16"/>
      <c r="CQ1254" s="4"/>
      <c r="CR1254" s="4"/>
      <c r="CS1254" s="4"/>
      <c r="CT1254" s="350"/>
      <c r="CU1254" s="4"/>
      <c r="CV1254" s="4"/>
      <c r="CW1254" s="4"/>
      <c r="CX1254" s="4"/>
      <c r="CY1254" s="350"/>
      <c r="CZ1254" s="4"/>
      <c r="DA1254" s="4"/>
      <c r="DB1254" s="4"/>
      <c r="DC1254" s="4"/>
      <c r="DD1254" s="350"/>
      <c r="DE1254" s="4"/>
      <c r="DF1254" s="4"/>
      <c r="DG1254" s="16"/>
      <c r="DH1254" s="4"/>
      <c r="DI1254" s="350"/>
      <c r="DJ1254" s="16"/>
      <c r="DK1254" s="16"/>
      <c r="DL1254" s="16"/>
      <c r="DM1254" s="4"/>
      <c r="DN1254" s="350"/>
      <c r="DO1254" s="4"/>
      <c r="DP1254" s="4"/>
      <c r="DQ1254" s="4"/>
      <c r="DR1254" s="4"/>
      <c r="DS1254" s="350"/>
      <c r="DT1254" s="4"/>
      <c r="DU1254" s="4"/>
      <c r="DV1254" s="4"/>
      <c r="DW1254" s="4"/>
      <c r="DX1254" s="350"/>
      <c r="DY1254" s="4"/>
      <c r="DZ1254" s="4"/>
      <c r="EA1254" s="4"/>
      <c r="EB1254" s="4"/>
      <c r="EC1254" s="350"/>
      <c r="ED1254" s="4"/>
      <c r="EE1254" s="4"/>
      <c r="EF1254" s="4"/>
      <c r="EG1254" s="4"/>
      <c r="EH1254" s="350"/>
      <c r="EI1254" s="214"/>
      <c r="EJ1254" s="4"/>
      <c r="EK1254" s="4"/>
      <c r="EL1254" s="4"/>
      <c r="EM1254" s="350"/>
      <c r="EN1254" s="4"/>
      <c r="EO1254" s="4"/>
      <c r="EP1254" s="4"/>
      <c r="EQ1254" s="4"/>
      <c r="ER1254" s="350"/>
      <c r="ES1254" s="4"/>
      <c r="ET1254" s="4"/>
      <c r="EU1254" s="4"/>
      <c r="EV1254" s="4"/>
      <c r="EW1254" s="350"/>
      <c r="EX1254" s="4"/>
      <c r="EY1254" s="4"/>
      <c r="EZ1254" s="4"/>
      <c r="FA1254" s="4"/>
      <c r="FB1254" s="350"/>
      <c r="FC1254" s="4"/>
      <c r="FD1254" s="4"/>
      <c r="FE1254" s="4"/>
      <c r="FF1254" s="4"/>
      <c r="FG1254" s="350"/>
      <c r="FH1254" s="145"/>
      <c r="FI1254" s="4"/>
      <c r="FJ1254" s="4"/>
      <c r="FK1254" s="45"/>
      <c r="FL1254" s="4"/>
    </row>
    <row r="1255" ht="12.75" hidden="1" customHeight="1" outlineLevel="3">
      <c r="A1255" s="4"/>
      <c r="B1255" s="45" t="s">
        <v>473</v>
      </c>
      <c r="C1255" s="4"/>
      <c r="D1255" s="4"/>
      <c r="E1255" s="4"/>
      <c r="F1255" s="4"/>
      <c r="G1255" s="4"/>
      <c r="H1255" s="45"/>
      <c r="I1255" s="4"/>
      <c r="J1255" s="4"/>
      <c r="K1255" s="4"/>
      <c r="L1255" s="4"/>
      <c r="M1255" s="45"/>
      <c r="N1255" s="4"/>
      <c r="O1255" s="4"/>
      <c r="P1255" s="4"/>
      <c r="Q1255" s="4"/>
      <c r="R1255" s="45"/>
      <c r="S1255" s="4"/>
      <c r="T1255" s="4"/>
      <c r="U1255" s="4"/>
      <c r="V1255" s="4"/>
      <c r="W1255" s="45"/>
      <c r="X1255" s="4"/>
      <c r="Y1255" s="4"/>
      <c r="Z1255" s="4"/>
      <c r="AA1255" s="4"/>
      <c r="AB1255" s="45"/>
      <c r="AC1255" s="4"/>
      <c r="AD1255" s="4"/>
      <c r="AE1255" s="4"/>
      <c r="AF1255" s="4"/>
      <c r="AG1255" s="45"/>
      <c r="AH1255" s="4"/>
      <c r="AI1255" s="4"/>
      <c r="AJ1255" s="4"/>
      <c r="AK1255" s="4"/>
      <c r="AL1255" s="45"/>
      <c r="AM1255" s="4"/>
      <c r="AN1255" s="4"/>
      <c r="AO1255" s="4"/>
      <c r="AP1255" s="4"/>
      <c r="AQ1255" s="45"/>
      <c r="AR1255" s="4"/>
      <c r="AS1255" s="4"/>
      <c r="AT1255" s="4"/>
      <c r="AU1255" s="4"/>
      <c r="AV1255" s="45"/>
      <c r="AW1255" s="4"/>
      <c r="AX1255" s="4"/>
      <c r="AY1255" s="4"/>
      <c r="AZ1255" s="4"/>
      <c r="BA1255" s="45"/>
      <c r="BB1255" s="4"/>
      <c r="BC1255" s="4"/>
      <c r="BD1255" s="4"/>
      <c r="BE1255" s="4"/>
      <c r="BF1255" s="45"/>
      <c r="BG1255" s="4"/>
      <c r="BH1255" s="4"/>
      <c r="BI1255" s="4"/>
      <c r="BJ1255" s="4"/>
      <c r="BK1255" s="45"/>
      <c r="BL1255" s="4"/>
      <c r="BM1255" s="4"/>
      <c r="BN1255" s="4"/>
      <c r="BO1255" s="4"/>
      <c r="BP1255" s="45"/>
      <c r="BQ1255" s="4"/>
      <c r="BR1255" s="4"/>
      <c r="BS1255" s="4"/>
      <c r="BT1255" s="4"/>
      <c r="BU1255" s="45"/>
      <c r="BV1255" s="4"/>
      <c r="BW1255" s="4"/>
      <c r="BX1255" s="4"/>
      <c r="BY1255" s="4"/>
      <c r="BZ1255" s="350"/>
      <c r="CA1255" s="4"/>
      <c r="CB1255" s="4"/>
      <c r="CC1255" s="4"/>
      <c r="CD1255" s="4"/>
      <c r="CE1255" s="350"/>
      <c r="CF1255" s="4"/>
      <c r="CG1255" s="4"/>
      <c r="CH1255" s="4"/>
      <c r="CI1255" s="4"/>
      <c r="CJ1255" s="350"/>
      <c r="CK1255" s="4"/>
      <c r="CL1255" s="4"/>
      <c r="CM1255" s="4"/>
      <c r="CN1255" s="16"/>
      <c r="CO1255" s="350"/>
      <c r="CP1255" s="16"/>
      <c r="CQ1255" s="4"/>
      <c r="CR1255" s="4"/>
      <c r="CS1255" s="4"/>
      <c r="CT1255" s="350"/>
      <c r="CU1255" s="4"/>
      <c r="CV1255" s="4"/>
      <c r="CW1255" s="4"/>
      <c r="CX1255" s="4"/>
      <c r="CY1255" s="350"/>
      <c r="CZ1255" s="4"/>
      <c r="DA1255" s="4"/>
      <c r="DB1255" s="4"/>
      <c r="DC1255" s="4"/>
      <c r="DD1255" s="350"/>
      <c r="DE1255" s="4"/>
      <c r="DF1255" s="4"/>
      <c r="DG1255" s="16"/>
      <c r="DH1255" s="4"/>
      <c r="DI1255" s="350"/>
      <c r="DJ1255" s="16"/>
      <c r="DK1255" s="16"/>
      <c r="DL1255" s="16"/>
      <c r="DM1255" s="4"/>
      <c r="DN1255" s="350"/>
      <c r="DO1255" s="4"/>
      <c r="DP1255" s="4"/>
      <c r="DQ1255" s="4"/>
      <c r="DR1255" s="4"/>
      <c r="DS1255" s="350"/>
      <c r="DT1255" s="4"/>
      <c r="DU1255" s="4"/>
      <c r="DV1255" s="4"/>
      <c r="DW1255" s="4"/>
      <c r="DX1255" s="350"/>
      <c r="DY1255" s="4"/>
      <c r="DZ1255" s="4"/>
      <c r="EA1255" s="4"/>
      <c r="EB1255" s="4"/>
      <c r="EC1255" s="350"/>
      <c r="ED1255" s="4"/>
      <c r="EE1255" s="4"/>
      <c r="EF1255" s="4"/>
      <c r="EG1255" s="4"/>
      <c r="EH1255" s="350"/>
      <c r="EI1255" s="214"/>
      <c r="EJ1255" s="4"/>
      <c r="EK1255" s="4"/>
      <c r="EL1255" s="4"/>
      <c r="EM1255" s="350"/>
      <c r="EN1255" s="4"/>
      <c r="EO1255" s="4"/>
      <c r="EP1255" s="4"/>
      <c r="EQ1255" s="4"/>
      <c r="ER1255" s="350"/>
      <c r="ES1255" s="4"/>
      <c r="ET1255" s="4"/>
      <c r="EU1255" s="4"/>
      <c r="EV1255" s="4"/>
      <c r="EW1255" s="350"/>
      <c r="EX1255" s="4"/>
      <c r="EY1255" s="4"/>
      <c r="EZ1255" s="4"/>
      <c r="FA1255" s="4"/>
      <c r="FB1255" s="350"/>
      <c r="FC1255" s="4"/>
      <c r="FD1255" s="4"/>
      <c r="FE1255" s="4"/>
      <c r="FF1255" s="4"/>
      <c r="FG1255" s="350"/>
      <c r="FH1255" s="145"/>
      <c r="FI1255" s="4"/>
      <c r="FJ1255" s="4"/>
      <c r="FK1255" s="45"/>
      <c r="FL1255" s="4"/>
    </row>
    <row r="1256" ht="12.75" hidden="1" customHeight="1" outlineLevel="3">
      <c r="A1256" s="4"/>
      <c r="B1256" s="4" t="str">
        <f t="shared" ref="B1256:B1258" si="6081">B1251</f>
        <v>Depreciation</v>
      </c>
      <c r="C1256" s="4"/>
      <c r="D1256" s="15"/>
      <c r="E1256" s="15"/>
      <c r="F1256" s="15"/>
      <c r="G1256" s="15"/>
      <c r="H1256" s="410"/>
      <c r="I1256" s="15"/>
      <c r="J1256" s="15"/>
      <c r="K1256" s="15"/>
      <c r="L1256" s="15"/>
      <c r="M1256" s="410"/>
      <c r="N1256" s="15">
        <f t="shared" ref="N1256:FG1256" si="6080">N1251/N$1250</f>
        <v>0.2291742452</v>
      </c>
      <c r="O1256" s="15">
        <f t="shared" si="6080"/>
        <v>0.2226627023</v>
      </c>
      <c r="P1256" s="15">
        <f t="shared" si="6080"/>
        <v>0.2311083123</v>
      </c>
      <c r="Q1256" s="15">
        <f t="shared" si="6080"/>
        <v>0.2452168367</v>
      </c>
      <c r="R1256" s="410">
        <f t="shared" si="6080"/>
        <v>0.2322137657</v>
      </c>
      <c r="S1256" s="15">
        <f t="shared" si="6080"/>
        <v>0.2674498963</v>
      </c>
      <c r="T1256" s="15">
        <f t="shared" si="6080"/>
        <v>0.2773722628</v>
      </c>
      <c r="U1256" s="15">
        <f t="shared" si="6080"/>
        <v>0.2656972902</v>
      </c>
      <c r="V1256" s="15">
        <f t="shared" si="6080"/>
        <v>0.2670025189</v>
      </c>
      <c r="W1256" s="410">
        <f t="shared" si="6080"/>
        <v>0.2691787766</v>
      </c>
      <c r="X1256" s="15">
        <f t="shared" si="6080"/>
        <v>0.300100368</v>
      </c>
      <c r="Y1256" s="15">
        <f t="shared" si="6080"/>
        <v>0.2327139811</v>
      </c>
      <c r="Z1256" s="15">
        <f t="shared" si="6080"/>
        <v>0.2547649301</v>
      </c>
      <c r="AA1256" s="15">
        <f t="shared" si="6080"/>
        <v>0.2433436533</v>
      </c>
      <c r="AB1256" s="410">
        <f t="shared" si="6080"/>
        <v>0.2568379447</v>
      </c>
      <c r="AC1256" s="15">
        <f t="shared" si="6080"/>
        <v>0.2896124031</v>
      </c>
      <c r="AD1256" s="15">
        <f t="shared" si="6080"/>
        <v>0.3175083157</v>
      </c>
      <c r="AE1256" s="15">
        <f t="shared" si="6080"/>
        <v>0.2966507177</v>
      </c>
      <c r="AF1256" s="15">
        <f t="shared" si="6080"/>
        <v>0.3212815991</v>
      </c>
      <c r="AG1256" s="410">
        <f t="shared" si="6080"/>
        <v>0.3062949507</v>
      </c>
      <c r="AH1256" s="15">
        <f t="shared" si="6080"/>
        <v>0.3517116025</v>
      </c>
      <c r="AI1256" s="15">
        <f t="shared" si="6080"/>
        <v>0.3388059701</v>
      </c>
      <c r="AJ1256" s="15">
        <f t="shared" si="6080"/>
        <v>0.3410387271</v>
      </c>
      <c r="AK1256" s="15">
        <f t="shared" si="6080"/>
        <v>0.3591224018</v>
      </c>
      <c r="AL1256" s="410">
        <f t="shared" si="6080"/>
        <v>0.347761416</v>
      </c>
      <c r="AM1256" s="15">
        <f t="shared" si="6080"/>
        <v>0.353504168</v>
      </c>
      <c r="AN1256" s="15">
        <f t="shared" si="6080"/>
        <v>0.3470728793</v>
      </c>
      <c r="AO1256" s="15">
        <f t="shared" si="6080"/>
        <v>0.3563358779</v>
      </c>
      <c r="AP1256" s="15">
        <f t="shared" si="6080"/>
        <v>0.369544741</v>
      </c>
      <c r="AQ1256" s="410">
        <f t="shared" si="6080"/>
        <v>0.356480417</v>
      </c>
      <c r="AR1256" s="15">
        <f t="shared" si="6080"/>
        <v>0.3539273518</v>
      </c>
      <c r="AS1256" s="15">
        <f t="shared" si="6080"/>
        <v>0.352095442</v>
      </c>
      <c r="AT1256" s="15">
        <f t="shared" si="6080"/>
        <v>0.3078358209</v>
      </c>
      <c r="AU1256" s="15">
        <f t="shared" si="6080"/>
        <v>0.2710258233</v>
      </c>
      <c r="AV1256" s="410">
        <f t="shared" si="6080"/>
        <v>0.3173615432</v>
      </c>
      <c r="AW1256" s="15">
        <f t="shared" si="6080"/>
        <v>0.3099582899</v>
      </c>
      <c r="AX1256" s="15">
        <f t="shared" si="6080"/>
        <v>0.2609235353</v>
      </c>
      <c r="AY1256" s="15">
        <f t="shared" si="6080"/>
        <v>0.2724690083</v>
      </c>
      <c r="AZ1256" s="15">
        <f t="shared" si="6080"/>
        <v>0.2691617534</v>
      </c>
      <c r="BA1256" s="410">
        <f t="shared" si="6080"/>
        <v>0.2778665985</v>
      </c>
      <c r="BB1256" s="15">
        <f t="shared" si="6080"/>
        <v>0.2849637228</v>
      </c>
      <c r="BC1256" s="15">
        <f t="shared" si="6080"/>
        <v>0.3011985409</v>
      </c>
      <c r="BD1256" s="15">
        <f t="shared" si="6080"/>
        <v>0.2683914511</v>
      </c>
      <c r="BE1256" s="15">
        <f t="shared" si="6080"/>
        <v>0.2387387387</v>
      </c>
      <c r="BF1256" s="410">
        <f t="shared" si="6080"/>
        <v>0.2711489163</v>
      </c>
      <c r="BG1256" s="15">
        <f t="shared" si="6080"/>
        <v>0.2685520362</v>
      </c>
      <c r="BH1256" s="15">
        <f t="shared" si="6080"/>
        <v>0.2503800217</v>
      </c>
      <c r="BI1256" s="15">
        <f t="shared" si="6080"/>
        <v>0.2284644195</v>
      </c>
      <c r="BJ1256" s="15">
        <f t="shared" si="6080"/>
        <v>0.2469906375</v>
      </c>
      <c r="BK1256" s="410">
        <f t="shared" si="6080"/>
        <v>0.2481847464</v>
      </c>
      <c r="BL1256" s="15">
        <f t="shared" si="6080"/>
        <v>0.2467532468</v>
      </c>
      <c r="BM1256" s="15">
        <f t="shared" si="6080"/>
        <v>0.2468609334</v>
      </c>
      <c r="BN1256" s="15">
        <f t="shared" si="6080"/>
        <v>0.2522629824</v>
      </c>
      <c r="BO1256" s="15">
        <f t="shared" si="6080"/>
        <v>0.2999740731</v>
      </c>
      <c r="BP1256" s="410">
        <f t="shared" si="6080"/>
        <v>0.2604228885</v>
      </c>
      <c r="BQ1256" s="15">
        <f t="shared" si="6080"/>
        <v>0.3091886358</v>
      </c>
      <c r="BR1256" s="15">
        <f t="shared" si="6080"/>
        <v>0.3069708492</v>
      </c>
      <c r="BS1256" s="15">
        <f t="shared" si="6080"/>
        <v>0.2893350063</v>
      </c>
      <c r="BT1256" s="15">
        <f t="shared" si="6080"/>
        <v>0.3142933762</v>
      </c>
      <c r="BU1256" s="410">
        <f t="shared" si="6080"/>
        <v>0.3047667994</v>
      </c>
      <c r="BV1256" s="15">
        <f t="shared" si="6080"/>
        <v>0.2864721485</v>
      </c>
      <c r="BW1256" s="15">
        <f t="shared" si="6080"/>
        <v>0.3076487252</v>
      </c>
      <c r="BX1256" s="15">
        <f t="shared" si="6080"/>
        <v>0.2872256017</v>
      </c>
      <c r="BY1256" s="15">
        <f t="shared" si="6080"/>
        <v>0.2828931128</v>
      </c>
      <c r="BZ1256" s="24">
        <f t="shared" si="6080"/>
        <v>0.2906423473</v>
      </c>
      <c r="CA1256" s="15">
        <f t="shared" si="6080"/>
        <v>0.2593712213</v>
      </c>
      <c r="CB1256" s="15">
        <f t="shared" si="6080"/>
        <v>0.2432748538</v>
      </c>
      <c r="CC1256" s="15">
        <f t="shared" si="6080"/>
        <v>0.2441035475</v>
      </c>
      <c r="CD1256" s="15">
        <f t="shared" si="6080"/>
        <v>0.2701114488</v>
      </c>
      <c r="CE1256" s="24">
        <f t="shared" si="6080"/>
        <v>0.2539768798</v>
      </c>
      <c r="CF1256" s="15">
        <f t="shared" si="6080"/>
        <v>0.3273001508</v>
      </c>
      <c r="CG1256" s="15">
        <f t="shared" si="6080"/>
        <v>0.3177683445</v>
      </c>
      <c r="CH1256" s="15">
        <f t="shared" si="6080"/>
        <v>0.3288142452</v>
      </c>
      <c r="CI1256" s="15">
        <f t="shared" si="6080"/>
        <v>0.2899293286</v>
      </c>
      <c r="CJ1256" s="24">
        <f t="shared" si="6080"/>
        <v>0.314858841</v>
      </c>
      <c r="CK1256" s="15">
        <f t="shared" si="6080"/>
        <v>0.305041712</v>
      </c>
      <c r="CL1256" s="15">
        <f t="shared" si="6080"/>
        <v>0.3205392249</v>
      </c>
      <c r="CM1256" s="15">
        <f t="shared" si="6080"/>
        <v>0.3410929177</v>
      </c>
      <c r="CN1256" s="40">
        <f t="shared" si="6080"/>
        <v>0.3167395022</v>
      </c>
      <c r="CO1256" s="24">
        <f t="shared" si="6080"/>
        <v>0.3204795393</v>
      </c>
      <c r="CP1256" s="40">
        <f t="shared" si="6080"/>
        <v>0.3347606072</v>
      </c>
      <c r="CQ1256" s="15">
        <f t="shared" si="6080"/>
        <v>0.3825803826</v>
      </c>
      <c r="CR1256" s="15">
        <f t="shared" si="6080"/>
        <v>0.3710753532</v>
      </c>
      <c r="CS1256" s="15">
        <f t="shared" si="6080"/>
        <v>0.3703921569</v>
      </c>
      <c r="CT1256" s="24">
        <f t="shared" si="6080"/>
        <v>0.3644804425</v>
      </c>
      <c r="CU1256" s="15">
        <f t="shared" si="6080"/>
        <v>0.3658681449</v>
      </c>
      <c r="CV1256" s="15">
        <f t="shared" si="6080"/>
        <v>0.3996361431</v>
      </c>
      <c r="CW1256" s="15">
        <f t="shared" si="6080"/>
        <v>0.3847590586</v>
      </c>
      <c r="CX1256" s="15">
        <f t="shared" si="6080"/>
        <v>0.3636363636</v>
      </c>
      <c r="CY1256" s="24">
        <f t="shared" si="6080"/>
        <v>0.3782646547</v>
      </c>
      <c r="CZ1256" s="15">
        <f t="shared" si="6080"/>
        <v>0.2905599426</v>
      </c>
      <c r="DA1256" s="15">
        <f t="shared" si="6080"/>
        <v>0.2737410072</v>
      </c>
      <c r="DB1256" s="15">
        <f t="shared" si="6080"/>
        <v>0.2662640207</v>
      </c>
      <c r="DC1256" s="15">
        <f t="shared" si="6080"/>
        <v>0.2523528473</v>
      </c>
      <c r="DD1256" s="24">
        <f t="shared" si="6080"/>
        <v>0.2701327815</v>
      </c>
      <c r="DE1256" s="15">
        <f t="shared" si="6080"/>
        <v>0.287661533</v>
      </c>
      <c r="DF1256" s="15">
        <f t="shared" si="6080"/>
        <v>0.2956751986</v>
      </c>
      <c r="DG1256" s="40">
        <f t="shared" si="6080"/>
        <v>0.2774130007</v>
      </c>
      <c r="DH1256" s="15">
        <f t="shared" si="6080"/>
        <v>0.2803054407</v>
      </c>
      <c r="DI1256" s="24">
        <f t="shared" si="6080"/>
        <v>0.2849907142</v>
      </c>
      <c r="DJ1256" s="40">
        <f t="shared" si="6080"/>
        <v>0.2850828729</v>
      </c>
      <c r="DK1256" s="40">
        <f t="shared" si="6080"/>
        <v>0.2644047073</v>
      </c>
      <c r="DL1256" s="40">
        <f t="shared" si="6080"/>
        <v>0.2769366456</v>
      </c>
      <c r="DM1256" s="15">
        <f t="shared" si="6080"/>
        <v>0.2826379542</v>
      </c>
      <c r="DN1256" s="24">
        <f t="shared" si="6080"/>
        <v>0.277378186</v>
      </c>
      <c r="DO1256" s="15">
        <f t="shared" si="6080"/>
        <v>0.319707401</v>
      </c>
      <c r="DP1256" s="15">
        <f t="shared" si="6080"/>
        <v>0.3244303606</v>
      </c>
      <c r="DQ1256" s="15">
        <f t="shared" si="6080"/>
        <v>0.2872704243</v>
      </c>
      <c r="DR1256" s="15">
        <f t="shared" si="6080"/>
        <v>0.3069259393</v>
      </c>
      <c r="DS1256" s="24">
        <f t="shared" si="6080"/>
        <v>0.3086001676</v>
      </c>
      <c r="DT1256" s="15">
        <f t="shared" si="6080"/>
        <v>0.335765489</v>
      </c>
      <c r="DU1256" s="15">
        <f t="shared" si="6080"/>
        <v>0.2846762824</v>
      </c>
      <c r="DV1256" s="15">
        <f t="shared" si="6080"/>
        <v>0.3115689013</v>
      </c>
      <c r="DW1256" s="15">
        <f t="shared" si="6080"/>
        <v>0.2962920046</v>
      </c>
      <c r="DX1256" s="24">
        <f t="shared" si="6080"/>
        <v>0.3059991242</v>
      </c>
      <c r="DY1256" s="15">
        <f t="shared" si="6080"/>
        <v>0.2782628416</v>
      </c>
      <c r="DZ1256" s="15">
        <f t="shared" si="6080"/>
        <v>0.2858160237</v>
      </c>
      <c r="EA1256" s="15">
        <f t="shared" si="6080"/>
        <v>0.2954061094</v>
      </c>
      <c r="EB1256" s="15">
        <f t="shared" si="6080"/>
        <v>0.2727177224</v>
      </c>
      <c r="EC1256" s="24">
        <f t="shared" si="6080"/>
        <v>0.2826834048</v>
      </c>
      <c r="ED1256" s="15">
        <f t="shared" si="6080"/>
        <v>0.3125480294</v>
      </c>
      <c r="EE1256" s="15">
        <f t="shared" si="6080"/>
        <v>0.2754263407</v>
      </c>
      <c r="EF1256" s="15">
        <f t="shared" si="6080"/>
        <v>0.315915029</v>
      </c>
      <c r="EG1256" s="15">
        <f t="shared" si="6080"/>
        <v>0.3300163896</v>
      </c>
      <c r="EH1256" s="24">
        <f t="shared" si="6080"/>
        <v>0.3075052504</v>
      </c>
      <c r="EI1256" s="82" t="str">
        <f t="shared" si="6080"/>
        <v>#ERROR!</v>
      </c>
      <c r="EJ1256" s="15" t="str">
        <f t="shared" si="6080"/>
        <v>#ERROR!</v>
      </c>
      <c r="EK1256" s="15" t="str">
        <f t="shared" si="6080"/>
        <v>#ERROR!</v>
      </c>
      <c r="EL1256" s="15" t="str">
        <f t="shared" si="6080"/>
        <v>#ERROR!</v>
      </c>
      <c r="EM1256" s="24" t="str">
        <f t="shared" si="6080"/>
        <v>#ERROR!</v>
      </c>
      <c r="EN1256" s="15" t="str">
        <f t="shared" si="6080"/>
        <v>#ERROR!</v>
      </c>
      <c r="EO1256" s="15" t="str">
        <f t="shared" si="6080"/>
        <v>#ERROR!</v>
      </c>
      <c r="EP1256" s="15" t="str">
        <f t="shared" si="6080"/>
        <v>#ERROR!</v>
      </c>
      <c r="EQ1256" s="15" t="str">
        <f t="shared" si="6080"/>
        <v>#ERROR!</v>
      </c>
      <c r="ER1256" s="24" t="str">
        <f t="shared" si="6080"/>
        <v>#ERROR!</v>
      </c>
      <c r="ES1256" s="15" t="str">
        <f t="shared" si="6080"/>
        <v>#ERROR!</v>
      </c>
      <c r="ET1256" s="15" t="str">
        <f t="shared" si="6080"/>
        <v>#ERROR!</v>
      </c>
      <c r="EU1256" s="15" t="str">
        <f t="shared" si="6080"/>
        <v>#ERROR!</v>
      </c>
      <c r="EV1256" s="15" t="str">
        <f t="shared" si="6080"/>
        <v>#ERROR!</v>
      </c>
      <c r="EW1256" s="24" t="str">
        <f t="shared" si="6080"/>
        <v>#ERROR!</v>
      </c>
      <c r="EX1256" s="15" t="str">
        <f t="shared" si="6080"/>
        <v>#ERROR!</v>
      </c>
      <c r="EY1256" s="15" t="str">
        <f t="shared" si="6080"/>
        <v>#ERROR!</v>
      </c>
      <c r="EZ1256" s="15" t="str">
        <f t="shared" si="6080"/>
        <v>#ERROR!</v>
      </c>
      <c r="FA1256" s="15" t="str">
        <f t="shared" si="6080"/>
        <v>#ERROR!</v>
      </c>
      <c r="FB1256" s="24" t="str">
        <f t="shared" si="6080"/>
        <v>#ERROR!</v>
      </c>
      <c r="FC1256" s="15" t="str">
        <f t="shared" si="6080"/>
        <v>#ERROR!</v>
      </c>
      <c r="FD1256" s="15" t="str">
        <f t="shared" si="6080"/>
        <v>#ERROR!</v>
      </c>
      <c r="FE1256" s="15" t="str">
        <f t="shared" si="6080"/>
        <v>#ERROR!</v>
      </c>
      <c r="FF1256" s="15" t="str">
        <f t="shared" si="6080"/>
        <v>#ERROR!</v>
      </c>
      <c r="FG1256" s="24" t="str">
        <f t="shared" si="6080"/>
        <v>#ERROR!</v>
      </c>
      <c r="FH1256" s="104"/>
      <c r="FI1256" s="15"/>
      <c r="FJ1256" s="15"/>
      <c r="FK1256" s="410"/>
      <c r="FL1256" s="15"/>
    </row>
    <row r="1257" ht="12.75" hidden="1" customHeight="1" outlineLevel="3">
      <c r="A1257" s="4"/>
      <c r="B1257" s="4" t="str">
        <f t="shared" si="6081"/>
        <v>Materials</v>
      </c>
      <c r="C1257" s="4"/>
      <c r="D1257" s="15"/>
      <c r="E1257" s="15"/>
      <c r="F1257" s="15"/>
      <c r="G1257" s="15"/>
      <c r="H1257" s="410"/>
      <c r="I1257" s="15"/>
      <c r="J1257" s="15"/>
      <c r="K1257" s="15"/>
      <c r="L1257" s="15"/>
      <c r="M1257" s="410"/>
      <c r="N1257" s="15">
        <f t="shared" ref="N1257:V1257" si="6082">N1252/N$1250</f>
        <v>0</v>
      </c>
      <c r="O1257" s="15">
        <f t="shared" si="6082"/>
        <v>0</v>
      </c>
      <c r="P1257" s="15">
        <f t="shared" si="6082"/>
        <v>0</v>
      </c>
      <c r="Q1257" s="15">
        <f t="shared" si="6082"/>
        <v>0</v>
      </c>
      <c r="R1257" s="410">
        <f t="shared" si="6082"/>
        <v>0</v>
      </c>
      <c r="S1257" s="15">
        <f t="shared" si="6082"/>
        <v>0</v>
      </c>
      <c r="T1257" s="15">
        <f t="shared" si="6082"/>
        <v>0</v>
      </c>
      <c r="U1257" s="15">
        <f t="shared" si="6082"/>
        <v>0</v>
      </c>
      <c r="V1257" s="15">
        <f t="shared" si="6082"/>
        <v>0</v>
      </c>
      <c r="W1257" s="410">
        <v>0.481</v>
      </c>
      <c r="X1257" s="15">
        <f t="shared" ref="X1257:AA1257" si="6083">X1252/X$1250</f>
        <v>0</v>
      </c>
      <c r="Y1257" s="15">
        <f t="shared" si="6083"/>
        <v>0</v>
      </c>
      <c r="Z1257" s="15">
        <f t="shared" si="6083"/>
        <v>0</v>
      </c>
      <c r="AA1257" s="15">
        <f t="shared" si="6083"/>
        <v>0</v>
      </c>
      <c r="AB1257" s="410">
        <v>0.4</v>
      </c>
      <c r="AC1257" s="15">
        <f t="shared" ref="AC1257:AF1257" si="6084">AC1252/AC$1250</f>
        <v>0</v>
      </c>
      <c r="AD1257" s="15">
        <f t="shared" si="6084"/>
        <v>0</v>
      </c>
      <c r="AE1257" s="15">
        <f t="shared" si="6084"/>
        <v>0</v>
      </c>
      <c r="AF1257" s="15">
        <f t="shared" si="6084"/>
        <v>0</v>
      </c>
      <c r="AG1257" s="410">
        <v>0.355</v>
      </c>
      <c r="AH1257" s="15">
        <f t="shared" ref="AH1257:AK1257" si="6085">AH1252/AH$1250</f>
        <v>0</v>
      </c>
      <c r="AI1257" s="15">
        <f t="shared" si="6085"/>
        <v>0</v>
      </c>
      <c r="AJ1257" s="15">
        <f t="shared" si="6085"/>
        <v>0</v>
      </c>
      <c r="AK1257" s="15">
        <f t="shared" si="6085"/>
        <v>0</v>
      </c>
      <c r="AL1257" s="410">
        <v>0.32</v>
      </c>
      <c r="AM1257" s="15">
        <f t="shared" ref="AM1257:AP1257" si="6086">AM1252/AM$1250</f>
        <v>0</v>
      </c>
      <c r="AN1257" s="15">
        <f t="shared" si="6086"/>
        <v>0</v>
      </c>
      <c r="AO1257" s="15">
        <f t="shared" si="6086"/>
        <v>0</v>
      </c>
      <c r="AP1257" s="15">
        <f t="shared" si="6086"/>
        <v>0</v>
      </c>
      <c r="AQ1257" s="410">
        <v>0.35</v>
      </c>
      <c r="AR1257" s="15">
        <f t="shared" ref="AR1257:FG1257" si="6087">AR1252/AR$1250</f>
        <v>0</v>
      </c>
      <c r="AS1257" s="15">
        <f t="shared" si="6087"/>
        <v>0</v>
      </c>
      <c r="AT1257" s="15">
        <f t="shared" si="6087"/>
        <v>0</v>
      </c>
      <c r="AU1257" s="15">
        <f t="shared" si="6087"/>
        <v>0</v>
      </c>
      <c r="AV1257" s="410">
        <f t="shared" si="6087"/>
        <v>0</v>
      </c>
      <c r="AW1257" s="15">
        <f t="shared" si="6087"/>
        <v>0</v>
      </c>
      <c r="AX1257" s="15">
        <f t="shared" si="6087"/>
        <v>0</v>
      </c>
      <c r="AY1257" s="15">
        <f t="shared" si="6087"/>
        <v>0</v>
      </c>
      <c r="AZ1257" s="15">
        <f t="shared" si="6087"/>
        <v>0</v>
      </c>
      <c r="BA1257" s="410">
        <f t="shared" si="6087"/>
        <v>0</v>
      </c>
      <c r="BB1257" s="15">
        <f t="shared" si="6087"/>
        <v>0</v>
      </c>
      <c r="BC1257" s="15">
        <f t="shared" si="6087"/>
        <v>0</v>
      </c>
      <c r="BD1257" s="15">
        <f t="shared" si="6087"/>
        <v>0</v>
      </c>
      <c r="BE1257" s="15">
        <f t="shared" si="6087"/>
        <v>0</v>
      </c>
      <c r="BF1257" s="410">
        <f t="shared" si="6087"/>
        <v>0</v>
      </c>
      <c r="BG1257" s="15">
        <f t="shared" si="6087"/>
        <v>0</v>
      </c>
      <c r="BH1257" s="15">
        <f t="shared" si="6087"/>
        <v>0</v>
      </c>
      <c r="BI1257" s="15">
        <f t="shared" si="6087"/>
        <v>0</v>
      </c>
      <c r="BJ1257" s="15">
        <f t="shared" si="6087"/>
        <v>0</v>
      </c>
      <c r="BK1257" s="410">
        <f t="shared" si="6087"/>
        <v>0</v>
      </c>
      <c r="BL1257" s="15">
        <f t="shared" si="6087"/>
        <v>0</v>
      </c>
      <c r="BM1257" s="15">
        <f t="shared" si="6087"/>
        <v>0</v>
      </c>
      <c r="BN1257" s="15">
        <f t="shared" si="6087"/>
        <v>0</v>
      </c>
      <c r="BO1257" s="15">
        <f t="shared" si="6087"/>
        <v>0</v>
      </c>
      <c r="BP1257" s="410">
        <f t="shared" si="6087"/>
        <v>0</v>
      </c>
      <c r="BQ1257" s="15">
        <f t="shared" si="6087"/>
        <v>0</v>
      </c>
      <c r="BR1257" s="15">
        <f t="shared" si="6087"/>
        <v>0</v>
      </c>
      <c r="BS1257" s="15">
        <f t="shared" si="6087"/>
        <v>0</v>
      </c>
      <c r="BT1257" s="15">
        <f t="shared" si="6087"/>
        <v>0</v>
      </c>
      <c r="BU1257" s="410">
        <f t="shared" si="6087"/>
        <v>0</v>
      </c>
      <c r="BV1257" s="15">
        <f t="shared" si="6087"/>
        <v>0</v>
      </c>
      <c r="BW1257" s="15">
        <f t="shared" si="6087"/>
        <v>0</v>
      </c>
      <c r="BX1257" s="15">
        <f t="shared" si="6087"/>
        <v>0</v>
      </c>
      <c r="BY1257" s="15">
        <f t="shared" si="6087"/>
        <v>0</v>
      </c>
      <c r="BZ1257" s="24">
        <f t="shared" si="6087"/>
        <v>0</v>
      </c>
      <c r="CA1257" s="15">
        <f t="shared" si="6087"/>
        <v>0</v>
      </c>
      <c r="CB1257" s="15">
        <f t="shared" si="6087"/>
        <v>0</v>
      </c>
      <c r="CC1257" s="15">
        <f t="shared" si="6087"/>
        <v>0</v>
      </c>
      <c r="CD1257" s="15">
        <f t="shared" si="6087"/>
        <v>0</v>
      </c>
      <c r="CE1257" s="24">
        <f t="shared" si="6087"/>
        <v>0</v>
      </c>
      <c r="CF1257" s="15">
        <f t="shared" si="6087"/>
        <v>0</v>
      </c>
      <c r="CG1257" s="15">
        <f t="shared" si="6087"/>
        <v>0</v>
      </c>
      <c r="CH1257" s="15">
        <f t="shared" si="6087"/>
        <v>0</v>
      </c>
      <c r="CI1257" s="15">
        <f t="shared" si="6087"/>
        <v>0</v>
      </c>
      <c r="CJ1257" s="24">
        <f t="shared" si="6087"/>
        <v>0</v>
      </c>
      <c r="CK1257" s="15">
        <f t="shared" si="6087"/>
        <v>0</v>
      </c>
      <c r="CL1257" s="15">
        <f t="shared" si="6087"/>
        <v>0</v>
      </c>
      <c r="CM1257" s="15">
        <f t="shared" si="6087"/>
        <v>0</v>
      </c>
      <c r="CN1257" s="40">
        <f t="shared" si="6087"/>
        <v>0</v>
      </c>
      <c r="CO1257" s="24">
        <f t="shared" si="6087"/>
        <v>0</v>
      </c>
      <c r="CP1257" s="40">
        <f t="shared" si="6087"/>
        <v>0</v>
      </c>
      <c r="CQ1257" s="15">
        <f t="shared" si="6087"/>
        <v>0</v>
      </c>
      <c r="CR1257" s="15">
        <f t="shared" si="6087"/>
        <v>0</v>
      </c>
      <c r="CS1257" s="15">
        <f t="shared" si="6087"/>
        <v>0</v>
      </c>
      <c r="CT1257" s="24">
        <f t="shared" si="6087"/>
        <v>0</v>
      </c>
      <c r="CU1257" s="15">
        <f t="shared" si="6087"/>
        <v>0</v>
      </c>
      <c r="CV1257" s="15">
        <f t="shared" si="6087"/>
        <v>0</v>
      </c>
      <c r="CW1257" s="15">
        <f t="shared" si="6087"/>
        <v>0</v>
      </c>
      <c r="CX1257" s="15">
        <f t="shared" si="6087"/>
        <v>0</v>
      </c>
      <c r="CY1257" s="24">
        <f t="shared" si="6087"/>
        <v>0</v>
      </c>
      <c r="CZ1257" s="15">
        <f t="shared" si="6087"/>
        <v>0</v>
      </c>
      <c r="DA1257" s="15">
        <f t="shared" si="6087"/>
        <v>0</v>
      </c>
      <c r="DB1257" s="15">
        <f t="shared" si="6087"/>
        <v>0</v>
      </c>
      <c r="DC1257" s="15">
        <f t="shared" si="6087"/>
        <v>0</v>
      </c>
      <c r="DD1257" s="24">
        <f t="shared" si="6087"/>
        <v>0</v>
      </c>
      <c r="DE1257" s="15">
        <f t="shared" si="6087"/>
        <v>0</v>
      </c>
      <c r="DF1257" s="15">
        <f t="shared" si="6087"/>
        <v>0</v>
      </c>
      <c r="DG1257" s="40">
        <f t="shared" si="6087"/>
        <v>0</v>
      </c>
      <c r="DH1257" s="15">
        <f t="shared" si="6087"/>
        <v>0</v>
      </c>
      <c r="DI1257" s="24">
        <f t="shared" si="6087"/>
        <v>0</v>
      </c>
      <c r="DJ1257" s="40">
        <f t="shared" si="6087"/>
        <v>0</v>
      </c>
      <c r="DK1257" s="40">
        <f t="shared" si="6087"/>
        <v>0</v>
      </c>
      <c r="DL1257" s="40">
        <f t="shared" si="6087"/>
        <v>0</v>
      </c>
      <c r="DM1257" s="15">
        <f t="shared" si="6087"/>
        <v>0</v>
      </c>
      <c r="DN1257" s="24">
        <f t="shared" si="6087"/>
        <v>0</v>
      </c>
      <c r="DO1257" s="15">
        <f t="shared" si="6087"/>
        <v>0</v>
      </c>
      <c r="DP1257" s="15">
        <f t="shared" si="6087"/>
        <v>0</v>
      </c>
      <c r="DQ1257" s="15">
        <f t="shared" si="6087"/>
        <v>0</v>
      </c>
      <c r="DR1257" s="15">
        <f t="shared" si="6087"/>
        <v>0</v>
      </c>
      <c r="DS1257" s="24">
        <f t="shared" si="6087"/>
        <v>0</v>
      </c>
      <c r="DT1257" s="15">
        <f t="shared" si="6087"/>
        <v>0</v>
      </c>
      <c r="DU1257" s="15">
        <f t="shared" si="6087"/>
        <v>0</v>
      </c>
      <c r="DV1257" s="15">
        <f t="shared" si="6087"/>
        <v>0</v>
      </c>
      <c r="DW1257" s="15">
        <f t="shared" si="6087"/>
        <v>0</v>
      </c>
      <c r="DX1257" s="24">
        <f t="shared" si="6087"/>
        <v>0</v>
      </c>
      <c r="DY1257" s="15">
        <f t="shared" si="6087"/>
        <v>0</v>
      </c>
      <c r="DZ1257" s="15">
        <f t="shared" si="6087"/>
        <v>0</v>
      </c>
      <c r="EA1257" s="15">
        <f t="shared" si="6087"/>
        <v>0</v>
      </c>
      <c r="EB1257" s="15">
        <f t="shared" si="6087"/>
        <v>0</v>
      </c>
      <c r="EC1257" s="24">
        <f t="shared" si="6087"/>
        <v>0</v>
      </c>
      <c r="ED1257" s="15">
        <f t="shared" si="6087"/>
        <v>0</v>
      </c>
      <c r="EE1257" s="15">
        <f t="shared" si="6087"/>
        <v>0</v>
      </c>
      <c r="EF1257" s="15">
        <f t="shared" si="6087"/>
        <v>0</v>
      </c>
      <c r="EG1257" s="15">
        <f t="shared" si="6087"/>
        <v>0</v>
      </c>
      <c r="EH1257" s="24">
        <f t="shared" si="6087"/>
        <v>0</v>
      </c>
      <c r="EI1257" s="82" t="str">
        <f t="shared" si="6087"/>
        <v>#ERROR!</v>
      </c>
      <c r="EJ1257" s="15" t="str">
        <f t="shared" si="6087"/>
        <v>#ERROR!</v>
      </c>
      <c r="EK1257" s="15" t="str">
        <f t="shared" si="6087"/>
        <v>#ERROR!</v>
      </c>
      <c r="EL1257" s="15" t="str">
        <f t="shared" si="6087"/>
        <v>#ERROR!</v>
      </c>
      <c r="EM1257" s="24" t="str">
        <f t="shared" si="6087"/>
        <v>#ERROR!</v>
      </c>
      <c r="EN1257" s="15" t="str">
        <f t="shared" si="6087"/>
        <v>#ERROR!</v>
      </c>
      <c r="EO1257" s="15" t="str">
        <f t="shared" si="6087"/>
        <v>#ERROR!</v>
      </c>
      <c r="EP1257" s="15" t="str">
        <f t="shared" si="6087"/>
        <v>#ERROR!</v>
      </c>
      <c r="EQ1257" s="15" t="str">
        <f t="shared" si="6087"/>
        <v>#ERROR!</v>
      </c>
      <c r="ER1257" s="24" t="str">
        <f t="shared" si="6087"/>
        <v>#ERROR!</v>
      </c>
      <c r="ES1257" s="15" t="str">
        <f t="shared" si="6087"/>
        <v>#ERROR!</v>
      </c>
      <c r="ET1257" s="15" t="str">
        <f t="shared" si="6087"/>
        <v>#ERROR!</v>
      </c>
      <c r="EU1257" s="15" t="str">
        <f t="shared" si="6087"/>
        <v>#ERROR!</v>
      </c>
      <c r="EV1257" s="15" t="str">
        <f t="shared" si="6087"/>
        <v>#ERROR!</v>
      </c>
      <c r="EW1257" s="24" t="str">
        <f t="shared" si="6087"/>
        <v>#ERROR!</v>
      </c>
      <c r="EX1257" s="15" t="str">
        <f t="shared" si="6087"/>
        <v>#ERROR!</v>
      </c>
      <c r="EY1257" s="15" t="str">
        <f t="shared" si="6087"/>
        <v>#ERROR!</v>
      </c>
      <c r="EZ1257" s="15" t="str">
        <f t="shared" si="6087"/>
        <v>#ERROR!</v>
      </c>
      <c r="FA1257" s="15" t="str">
        <f t="shared" si="6087"/>
        <v>#ERROR!</v>
      </c>
      <c r="FB1257" s="24" t="str">
        <f t="shared" si="6087"/>
        <v>#ERROR!</v>
      </c>
      <c r="FC1257" s="15" t="str">
        <f t="shared" si="6087"/>
        <v>#ERROR!</v>
      </c>
      <c r="FD1257" s="15" t="str">
        <f t="shared" si="6087"/>
        <v>#ERROR!</v>
      </c>
      <c r="FE1257" s="15" t="str">
        <f t="shared" si="6087"/>
        <v>#ERROR!</v>
      </c>
      <c r="FF1257" s="15" t="str">
        <f t="shared" si="6087"/>
        <v>#ERROR!</v>
      </c>
      <c r="FG1257" s="24" t="str">
        <f t="shared" si="6087"/>
        <v>#ERROR!</v>
      </c>
      <c r="FH1257" s="104"/>
      <c r="FI1257" s="15"/>
      <c r="FJ1257" s="15"/>
      <c r="FK1257" s="410"/>
      <c r="FL1257" s="15"/>
    </row>
    <row r="1258" ht="12.75" hidden="1" customHeight="1" outlineLevel="3">
      <c r="A1258" s="4"/>
      <c r="B1258" s="4" t="str">
        <f t="shared" si="6081"/>
        <v>Labor overhead</v>
      </c>
      <c r="C1258" s="4"/>
      <c r="D1258" s="15"/>
      <c r="E1258" s="15"/>
      <c r="F1258" s="15"/>
      <c r="G1258" s="15"/>
      <c r="H1258" s="410"/>
      <c r="I1258" s="15"/>
      <c r="J1258" s="15"/>
      <c r="K1258" s="15"/>
      <c r="L1258" s="15"/>
      <c r="M1258" s="410"/>
      <c r="N1258" s="15">
        <f t="shared" ref="N1258:V1258" si="6088">N1253/N$1250</f>
        <v>0</v>
      </c>
      <c r="O1258" s="15">
        <f t="shared" si="6088"/>
        <v>0</v>
      </c>
      <c r="P1258" s="15">
        <f t="shared" si="6088"/>
        <v>0</v>
      </c>
      <c r="Q1258" s="15">
        <f t="shared" si="6088"/>
        <v>0</v>
      </c>
      <c r="R1258" s="410">
        <f t="shared" si="6088"/>
        <v>0</v>
      </c>
      <c r="S1258" s="15">
        <f t="shared" si="6088"/>
        <v>0</v>
      </c>
      <c r="T1258" s="15">
        <f t="shared" si="6088"/>
        <v>0</v>
      </c>
      <c r="U1258" s="15">
        <f t="shared" si="6088"/>
        <v>0</v>
      </c>
      <c r="V1258" s="15">
        <f t="shared" si="6088"/>
        <v>0</v>
      </c>
      <c r="W1258" s="410">
        <v>0.25</v>
      </c>
      <c r="X1258" s="15">
        <f t="shared" ref="X1258:AA1258" si="6089">X1253/X$1250</f>
        <v>0</v>
      </c>
      <c r="Y1258" s="15">
        <f t="shared" si="6089"/>
        <v>0</v>
      </c>
      <c r="Z1258" s="15">
        <f t="shared" si="6089"/>
        <v>0</v>
      </c>
      <c r="AA1258" s="15">
        <f t="shared" si="6089"/>
        <v>0</v>
      </c>
      <c r="AB1258" s="410">
        <v>0.343</v>
      </c>
      <c r="AC1258" s="15">
        <f t="shared" ref="AC1258:AF1258" si="6090">AC1253/AC$1250</f>
        <v>0</v>
      </c>
      <c r="AD1258" s="15">
        <f t="shared" si="6090"/>
        <v>0</v>
      </c>
      <c r="AE1258" s="15">
        <f t="shared" si="6090"/>
        <v>0</v>
      </c>
      <c r="AF1258" s="15">
        <f t="shared" si="6090"/>
        <v>0</v>
      </c>
      <c r="AG1258" s="410">
        <v>0.339</v>
      </c>
      <c r="AH1258" s="15">
        <f t="shared" ref="AH1258:AK1258" si="6091">AH1253/AH$1250</f>
        <v>0</v>
      </c>
      <c r="AI1258" s="15">
        <f t="shared" si="6091"/>
        <v>0</v>
      </c>
      <c r="AJ1258" s="15">
        <f t="shared" si="6091"/>
        <v>0</v>
      </c>
      <c r="AK1258" s="15">
        <f t="shared" si="6091"/>
        <v>0</v>
      </c>
      <c r="AL1258" s="410">
        <v>0.332</v>
      </c>
      <c r="AM1258" s="15">
        <f t="shared" ref="AM1258:AP1258" si="6092">AM1253/AM$1250</f>
        <v>0</v>
      </c>
      <c r="AN1258" s="15">
        <f t="shared" si="6092"/>
        <v>0</v>
      </c>
      <c r="AO1258" s="15">
        <f t="shared" si="6092"/>
        <v>0</v>
      </c>
      <c r="AP1258" s="15">
        <f t="shared" si="6092"/>
        <v>0</v>
      </c>
      <c r="AQ1258" s="410">
        <v>0.301</v>
      </c>
      <c r="AR1258" s="15">
        <f t="shared" ref="AR1258:FG1258" si="6093">AR1253/AR$1250</f>
        <v>0</v>
      </c>
      <c r="AS1258" s="15">
        <f t="shared" si="6093"/>
        <v>0</v>
      </c>
      <c r="AT1258" s="15">
        <f t="shared" si="6093"/>
        <v>0</v>
      </c>
      <c r="AU1258" s="15">
        <f t="shared" si="6093"/>
        <v>0</v>
      </c>
      <c r="AV1258" s="410">
        <f t="shared" si="6093"/>
        <v>0</v>
      </c>
      <c r="AW1258" s="15">
        <f t="shared" si="6093"/>
        <v>0</v>
      </c>
      <c r="AX1258" s="15">
        <f t="shared" si="6093"/>
        <v>0</v>
      </c>
      <c r="AY1258" s="15">
        <f t="shared" si="6093"/>
        <v>0</v>
      </c>
      <c r="AZ1258" s="15">
        <f t="shared" si="6093"/>
        <v>0</v>
      </c>
      <c r="BA1258" s="410">
        <f t="shared" si="6093"/>
        <v>0</v>
      </c>
      <c r="BB1258" s="15">
        <f t="shared" si="6093"/>
        <v>0</v>
      </c>
      <c r="BC1258" s="15">
        <f t="shared" si="6093"/>
        <v>0</v>
      </c>
      <c r="BD1258" s="15">
        <f t="shared" si="6093"/>
        <v>0</v>
      </c>
      <c r="BE1258" s="15">
        <f t="shared" si="6093"/>
        <v>0</v>
      </c>
      <c r="BF1258" s="410">
        <f t="shared" si="6093"/>
        <v>0</v>
      </c>
      <c r="BG1258" s="15">
        <f t="shared" si="6093"/>
        <v>0</v>
      </c>
      <c r="BH1258" s="15">
        <f t="shared" si="6093"/>
        <v>0</v>
      </c>
      <c r="BI1258" s="15">
        <f t="shared" si="6093"/>
        <v>0</v>
      </c>
      <c r="BJ1258" s="15">
        <f t="shared" si="6093"/>
        <v>0</v>
      </c>
      <c r="BK1258" s="410">
        <f t="shared" si="6093"/>
        <v>0</v>
      </c>
      <c r="BL1258" s="15">
        <f t="shared" si="6093"/>
        <v>0</v>
      </c>
      <c r="BM1258" s="15">
        <f t="shared" si="6093"/>
        <v>0</v>
      </c>
      <c r="BN1258" s="15">
        <f t="shared" si="6093"/>
        <v>0</v>
      </c>
      <c r="BO1258" s="15">
        <f t="shared" si="6093"/>
        <v>0</v>
      </c>
      <c r="BP1258" s="410">
        <f t="shared" si="6093"/>
        <v>0</v>
      </c>
      <c r="BQ1258" s="15">
        <f t="shared" si="6093"/>
        <v>0</v>
      </c>
      <c r="BR1258" s="15">
        <f t="shared" si="6093"/>
        <v>0</v>
      </c>
      <c r="BS1258" s="15">
        <f t="shared" si="6093"/>
        <v>0</v>
      </c>
      <c r="BT1258" s="15">
        <f t="shared" si="6093"/>
        <v>0</v>
      </c>
      <c r="BU1258" s="410">
        <f t="shared" si="6093"/>
        <v>0</v>
      </c>
      <c r="BV1258" s="15">
        <f t="shared" si="6093"/>
        <v>0</v>
      </c>
      <c r="BW1258" s="15">
        <f t="shared" si="6093"/>
        <v>0</v>
      </c>
      <c r="BX1258" s="15">
        <f t="shared" si="6093"/>
        <v>0</v>
      </c>
      <c r="BY1258" s="15">
        <f t="shared" si="6093"/>
        <v>0</v>
      </c>
      <c r="BZ1258" s="24">
        <f t="shared" si="6093"/>
        <v>0</v>
      </c>
      <c r="CA1258" s="15">
        <f t="shared" si="6093"/>
        <v>0</v>
      </c>
      <c r="CB1258" s="15">
        <f t="shared" si="6093"/>
        <v>0</v>
      </c>
      <c r="CC1258" s="15">
        <f t="shared" si="6093"/>
        <v>0</v>
      </c>
      <c r="CD1258" s="15">
        <f t="shared" si="6093"/>
        <v>0</v>
      </c>
      <c r="CE1258" s="24">
        <f t="shared" si="6093"/>
        <v>0</v>
      </c>
      <c r="CF1258" s="15">
        <f t="shared" si="6093"/>
        <v>0</v>
      </c>
      <c r="CG1258" s="15">
        <f t="shared" si="6093"/>
        <v>0</v>
      </c>
      <c r="CH1258" s="15">
        <f t="shared" si="6093"/>
        <v>0</v>
      </c>
      <c r="CI1258" s="15">
        <f t="shared" si="6093"/>
        <v>0</v>
      </c>
      <c r="CJ1258" s="24">
        <f t="shared" si="6093"/>
        <v>0</v>
      </c>
      <c r="CK1258" s="15">
        <f t="shared" si="6093"/>
        <v>0</v>
      </c>
      <c r="CL1258" s="15">
        <f t="shared" si="6093"/>
        <v>0</v>
      </c>
      <c r="CM1258" s="15">
        <f t="shared" si="6093"/>
        <v>0</v>
      </c>
      <c r="CN1258" s="40">
        <f t="shared" si="6093"/>
        <v>0</v>
      </c>
      <c r="CO1258" s="24">
        <f t="shared" si="6093"/>
        <v>0</v>
      </c>
      <c r="CP1258" s="40">
        <f t="shared" si="6093"/>
        <v>0</v>
      </c>
      <c r="CQ1258" s="15">
        <f t="shared" si="6093"/>
        <v>0</v>
      </c>
      <c r="CR1258" s="15">
        <f t="shared" si="6093"/>
        <v>0</v>
      </c>
      <c r="CS1258" s="15">
        <f t="shared" si="6093"/>
        <v>0</v>
      </c>
      <c r="CT1258" s="24">
        <f t="shared" si="6093"/>
        <v>0</v>
      </c>
      <c r="CU1258" s="15">
        <f t="shared" si="6093"/>
        <v>0</v>
      </c>
      <c r="CV1258" s="15">
        <f t="shared" si="6093"/>
        <v>0</v>
      </c>
      <c r="CW1258" s="15">
        <f t="shared" si="6093"/>
        <v>0</v>
      </c>
      <c r="CX1258" s="15">
        <f t="shared" si="6093"/>
        <v>0</v>
      </c>
      <c r="CY1258" s="24">
        <f t="shared" si="6093"/>
        <v>0</v>
      </c>
      <c r="CZ1258" s="15">
        <f t="shared" si="6093"/>
        <v>0</v>
      </c>
      <c r="DA1258" s="15">
        <f t="shared" si="6093"/>
        <v>0</v>
      </c>
      <c r="DB1258" s="15">
        <f t="shared" si="6093"/>
        <v>0</v>
      </c>
      <c r="DC1258" s="15">
        <f t="shared" si="6093"/>
        <v>0</v>
      </c>
      <c r="DD1258" s="24">
        <f t="shared" si="6093"/>
        <v>0</v>
      </c>
      <c r="DE1258" s="15">
        <f t="shared" si="6093"/>
        <v>0</v>
      </c>
      <c r="DF1258" s="15">
        <f t="shared" si="6093"/>
        <v>0</v>
      </c>
      <c r="DG1258" s="40">
        <f t="shared" si="6093"/>
        <v>0</v>
      </c>
      <c r="DH1258" s="15">
        <f t="shared" si="6093"/>
        <v>0</v>
      </c>
      <c r="DI1258" s="24">
        <f t="shared" si="6093"/>
        <v>0</v>
      </c>
      <c r="DJ1258" s="40">
        <f t="shared" si="6093"/>
        <v>0</v>
      </c>
      <c r="DK1258" s="40">
        <f t="shared" si="6093"/>
        <v>0</v>
      </c>
      <c r="DL1258" s="40">
        <f t="shared" si="6093"/>
        <v>0</v>
      </c>
      <c r="DM1258" s="15">
        <f t="shared" si="6093"/>
        <v>0</v>
      </c>
      <c r="DN1258" s="24">
        <f t="shared" si="6093"/>
        <v>0</v>
      </c>
      <c r="DO1258" s="15">
        <f t="shared" si="6093"/>
        <v>0</v>
      </c>
      <c r="DP1258" s="15">
        <f t="shared" si="6093"/>
        <v>0</v>
      </c>
      <c r="DQ1258" s="15">
        <f t="shared" si="6093"/>
        <v>0</v>
      </c>
      <c r="DR1258" s="15">
        <f t="shared" si="6093"/>
        <v>0</v>
      </c>
      <c r="DS1258" s="24">
        <f t="shared" si="6093"/>
        <v>0</v>
      </c>
      <c r="DT1258" s="15">
        <f t="shared" si="6093"/>
        <v>0</v>
      </c>
      <c r="DU1258" s="15">
        <f t="shared" si="6093"/>
        <v>0</v>
      </c>
      <c r="DV1258" s="15">
        <f t="shared" si="6093"/>
        <v>0</v>
      </c>
      <c r="DW1258" s="15">
        <f t="shared" si="6093"/>
        <v>0</v>
      </c>
      <c r="DX1258" s="24">
        <f t="shared" si="6093"/>
        <v>0</v>
      </c>
      <c r="DY1258" s="15">
        <f t="shared" si="6093"/>
        <v>0</v>
      </c>
      <c r="DZ1258" s="15">
        <f t="shared" si="6093"/>
        <v>0</v>
      </c>
      <c r="EA1258" s="15">
        <f t="shared" si="6093"/>
        <v>0</v>
      </c>
      <c r="EB1258" s="15">
        <f t="shared" si="6093"/>
        <v>0</v>
      </c>
      <c r="EC1258" s="24">
        <f t="shared" si="6093"/>
        <v>0</v>
      </c>
      <c r="ED1258" s="15">
        <f t="shared" si="6093"/>
        <v>0</v>
      </c>
      <c r="EE1258" s="15">
        <f t="shared" si="6093"/>
        <v>0</v>
      </c>
      <c r="EF1258" s="15">
        <f t="shared" si="6093"/>
        <v>0</v>
      </c>
      <c r="EG1258" s="15">
        <f t="shared" si="6093"/>
        <v>0</v>
      </c>
      <c r="EH1258" s="24">
        <f t="shared" si="6093"/>
        <v>0</v>
      </c>
      <c r="EI1258" s="82" t="str">
        <f t="shared" si="6093"/>
        <v>#ERROR!</v>
      </c>
      <c r="EJ1258" s="15" t="str">
        <f t="shared" si="6093"/>
        <v>#ERROR!</v>
      </c>
      <c r="EK1258" s="15" t="str">
        <f t="shared" si="6093"/>
        <v>#ERROR!</v>
      </c>
      <c r="EL1258" s="15" t="str">
        <f t="shared" si="6093"/>
        <v>#ERROR!</v>
      </c>
      <c r="EM1258" s="24" t="str">
        <f t="shared" si="6093"/>
        <v>#ERROR!</v>
      </c>
      <c r="EN1258" s="15" t="str">
        <f t="shared" si="6093"/>
        <v>#ERROR!</v>
      </c>
      <c r="EO1258" s="15" t="str">
        <f t="shared" si="6093"/>
        <v>#ERROR!</v>
      </c>
      <c r="EP1258" s="15" t="str">
        <f t="shared" si="6093"/>
        <v>#ERROR!</v>
      </c>
      <c r="EQ1258" s="15" t="str">
        <f t="shared" si="6093"/>
        <v>#ERROR!</v>
      </c>
      <c r="ER1258" s="24" t="str">
        <f t="shared" si="6093"/>
        <v>#ERROR!</v>
      </c>
      <c r="ES1258" s="15" t="str">
        <f t="shared" si="6093"/>
        <v>#ERROR!</v>
      </c>
      <c r="ET1258" s="15" t="str">
        <f t="shared" si="6093"/>
        <v>#ERROR!</v>
      </c>
      <c r="EU1258" s="15" t="str">
        <f t="shared" si="6093"/>
        <v>#ERROR!</v>
      </c>
      <c r="EV1258" s="15" t="str">
        <f t="shared" si="6093"/>
        <v>#ERROR!</v>
      </c>
      <c r="EW1258" s="24" t="str">
        <f t="shared" si="6093"/>
        <v>#ERROR!</v>
      </c>
      <c r="EX1258" s="15" t="str">
        <f t="shared" si="6093"/>
        <v>#ERROR!</v>
      </c>
      <c r="EY1258" s="15" t="str">
        <f t="shared" si="6093"/>
        <v>#ERROR!</v>
      </c>
      <c r="EZ1258" s="15" t="str">
        <f t="shared" si="6093"/>
        <v>#ERROR!</v>
      </c>
      <c r="FA1258" s="15" t="str">
        <f t="shared" si="6093"/>
        <v>#ERROR!</v>
      </c>
      <c r="FB1258" s="24" t="str">
        <f t="shared" si="6093"/>
        <v>#ERROR!</v>
      </c>
      <c r="FC1258" s="15" t="str">
        <f t="shared" si="6093"/>
        <v>#ERROR!</v>
      </c>
      <c r="FD1258" s="15" t="str">
        <f t="shared" si="6093"/>
        <v>#ERROR!</v>
      </c>
      <c r="FE1258" s="15" t="str">
        <f t="shared" si="6093"/>
        <v>#ERROR!</v>
      </c>
      <c r="FF1258" s="15" t="str">
        <f t="shared" si="6093"/>
        <v>#ERROR!</v>
      </c>
      <c r="FG1258" s="24" t="str">
        <f t="shared" si="6093"/>
        <v>#ERROR!</v>
      </c>
      <c r="FH1258" s="104"/>
      <c r="FI1258" s="15"/>
      <c r="FJ1258" s="15"/>
      <c r="FK1258" s="410"/>
      <c r="FL1258" s="15"/>
    </row>
    <row r="1259" ht="12.75" hidden="1" customHeight="1" outlineLevel="3">
      <c r="A1259" s="45"/>
      <c r="B1259" s="45" t="s">
        <v>291</v>
      </c>
      <c r="C1259" s="45"/>
      <c r="D1259" s="410"/>
      <c r="E1259" s="410"/>
      <c r="F1259" s="410"/>
      <c r="G1259" s="410"/>
      <c r="H1259" s="410"/>
      <c r="I1259" s="410"/>
      <c r="J1259" s="410"/>
      <c r="K1259" s="410"/>
      <c r="L1259" s="410"/>
      <c r="M1259" s="410"/>
      <c r="N1259" s="410">
        <f t="shared" ref="N1259:FG1259" si="6094">SUM(N1256:N1258)</f>
        <v>0.2291742452</v>
      </c>
      <c r="O1259" s="410">
        <f t="shared" si="6094"/>
        <v>0.2226627023</v>
      </c>
      <c r="P1259" s="410">
        <f t="shared" si="6094"/>
        <v>0.2311083123</v>
      </c>
      <c r="Q1259" s="410">
        <f t="shared" si="6094"/>
        <v>0.2452168367</v>
      </c>
      <c r="R1259" s="410">
        <f t="shared" si="6094"/>
        <v>0.2322137657</v>
      </c>
      <c r="S1259" s="410">
        <f t="shared" si="6094"/>
        <v>0.2674498963</v>
      </c>
      <c r="T1259" s="410">
        <f t="shared" si="6094"/>
        <v>0.2773722628</v>
      </c>
      <c r="U1259" s="410">
        <f t="shared" si="6094"/>
        <v>0.2656972902</v>
      </c>
      <c r="V1259" s="410">
        <f t="shared" si="6094"/>
        <v>0.2670025189</v>
      </c>
      <c r="W1259" s="410">
        <f t="shared" si="6094"/>
        <v>1.000178777</v>
      </c>
      <c r="X1259" s="410">
        <f t="shared" si="6094"/>
        <v>0.300100368</v>
      </c>
      <c r="Y1259" s="410">
        <f t="shared" si="6094"/>
        <v>0.2327139811</v>
      </c>
      <c r="Z1259" s="410">
        <f t="shared" si="6094"/>
        <v>0.2547649301</v>
      </c>
      <c r="AA1259" s="410">
        <f t="shared" si="6094"/>
        <v>0.2433436533</v>
      </c>
      <c r="AB1259" s="410">
        <f t="shared" si="6094"/>
        <v>0.9998379447</v>
      </c>
      <c r="AC1259" s="410">
        <f t="shared" si="6094"/>
        <v>0.2896124031</v>
      </c>
      <c r="AD1259" s="410">
        <f t="shared" si="6094"/>
        <v>0.3175083157</v>
      </c>
      <c r="AE1259" s="410">
        <f t="shared" si="6094"/>
        <v>0.2966507177</v>
      </c>
      <c r="AF1259" s="410">
        <f t="shared" si="6094"/>
        <v>0.3212815991</v>
      </c>
      <c r="AG1259" s="410">
        <f t="shared" si="6094"/>
        <v>1.000294951</v>
      </c>
      <c r="AH1259" s="410">
        <f t="shared" si="6094"/>
        <v>0.3517116025</v>
      </c>
      <c r="AI1259" s="410">
        <f t="shared" si="6094"/>
        <v>0.3388059701</v>
      </c>
      <c r="AJ1259" s="410">
        <f t="shared" si="6094"/>
        <v>0.3410387271</v>
      </c>
      <c r="AK1259" s="410">
        <f t="shared" si="6094"/>
        <v>0.3591224018</v>
      </c>
      <c r="AL1259" s="410">
        <f t="shared" si="6094"/>
        <v>0.999761416</v>
      </c>
      <c r="AM1259" s="410">
        <f t="shared" si="6094"/>
        <v>0.353504168</v>
      </c>
      <c r="AN1259" s="410">
        <f t="shared" si="6094"/>
        <v>0.3470728793</v>
      </c>
      <c r="AO1259" s="410">
        <f t="shared" si="6094"/>
        <v>0.3563358779</v>
      </c>
      <c r="AP1259" s="410">
        <f t="shared" si="6094"/>
        <v>0.369544741</v>
      </c>
      <c r="AQ1259" s="410">
        <f t="shared" si="6094"/>
        <v>1.007480417</v>
      </c>
      <c r="AR1259" s="410">
        <f t="shared" si="6094"/>
        <v>0.3539273518</v>
      </c>
      <c r="AS1259" s="410">
        <f t="shared" si="6094"/>
        <v>0.352095442</v>
      </c>
      <c r="AT1259" s="410">
        <f t="shared" si="6094"/>
        <v>0.3078358209</v>
      </c>
      <c r="AU1259" s="410">
        <f t="shared" si="6094"/>
        <v>0.2710258233</v>
      </c>
      <c r="AV1259" s="410">
        <f t="shared" si="6094"/>
        <v>0.3173615432</v>
      </c>
      <c r="AW1259" s="410">
        <f t="shared" si="6094"/>
        <v>0.3099582899</v>
      </c>
      <c r="AX1259" s="410">
        <f t="shared" si="6094"/>
        <v>0.2609235353</v>
      </c>
      <c r="AY1259" s="410">
        <f t="shared" si="6094"/>
        <v>0.2724690083</v>
      </c>
      <c r="AZ1259" s="410">
        <f t="shared" si="6094"/>
        <v>0.2691617534</v>
      </c>
      <c r="BA1259" s="410">
        <f t="shared" si="6094"/>
        <v>0.2778665985</v>
      </c>
      <c r="BB1259" s="410">
        <f t="shared" si="6094"/>
        <v>0.2849637228</v>
      </c>
      <c r="BC1259" s="410">
        <f t="shared" si="6094"/>
        <v>0.3011985409</v>
      </c>
      <c r="BD1259" s="410">
        <f t="shared" si="6094"/>
        <v>0.2683914511</v>
      </c>
      <c r="BE1259" s="410">
        <f t="shared" si="6094"/>
        <v>0.2387387387</v>
      </c>
      <c r="BF1259" s="410">
        <f t="shared" si="6094"/>
        <v>0.2711489163</v>
      </c>
      <c r="BG1259" s="410">
        <f t="shared" si="6094"/>
        <v>0.2685520362</v>
      </c>
      <c r="BH1259" s="410">
        <f t="shared" si="6094"/>
        <v>0.2503800217</v>
      </c>
      <c r="BI1259" s="410">
        <f t="shared" si="6094"/>
        <v>0.2284644195</v>
      </c>
      <c r="BJ1259" s="410">
        <f t="shared" si="6094"/>
        <v>0.2469906375</v>
      </c>
      <c r="BK1259" s="410">
        <f t="shared" si="6094"/>
        <v>0.2481847464</v>
      </c>
      <c r="BL1259" s="410">
        <f t="shared" si="6094"/>
        <v>0.2467532468</v>
      </c>
      <c r="BM1259" s="410">
        <f t="shared" si="6094"/>
        <v>0.2468609334</v>
      </c>
      <c r="BN1259" s="410">
        <f t="shared" si="6094"/>
        <v>0.2522629824</v>
      </c>
      <c r="BO1259" s="410">
        <f t="shared" si="6094"/>
        <v>0.2999740731</v>
      </c>
      <c r="BP1259" s="410">
        <f t="shared" si="6094"/>
        <v>0.2604228885</v>
      </c>
      <c r="BQ1259" s="410">
        <f t="shared" si="6094"/>
        <v>0.3091886358</v>
      </c>
      <c r="BR1259" s="410">
        <f t="shared" si="6094"/>
        <v>0.3069708492</v>
      </c>
      <c r="BS1259" s="410">
        <f t="shared" si="6094"/>
        <v>0.2893350063</v>
      </c>
      <c r="BT1259" s="410">
        <f t="shared" si="6094"/>
        <v>0.3142933762</v>
      </c>
      <c r="BU1259" s="410">
        <f t="shared" si="6094"/>
        <v>0.3047667994</v>
      </c>
      <c r="BV1259" s="410">
        <f t="shared" si="6094"/>
        <v>0.2864721485</v>
      </c>
      <c r="BW1259" s="410">
        <f t="shared" si="6094"/>
        <v>0.3076487252</v>
      </c>
      <c r="BX1259" s="410">
        <f t="shared" si="6094"/>
        <v>0.2872256017</v>
      </c>
      <c r="BY1259" s="410">
        <f t="shared" si="6094"/>
        <v>0.2828931128</v>
      </c>
      <c r="BZ1259" s="24">
        <f t="shared" si="6094"/>
        <v>0.2906423473</v>
      </c>
      <c r="CA1259" s="410">
        <f t="shared" si="6094"/>
        <v>0.2593712213</v>
      </c>
      <c r="CB1259" s="410">
        <f t="shared" si="6094"/>
        <v>0.2432748538</v>
      </c>
      <c r="CC1259" s="410">
        <f t="shared" si="6094"/>
        <v>0.2441035475</v>
      </c>
      <c r="CD1259" s="410">
        <f t="shared" si="6094"/>
        <v>0.2701114488</v>
      </c>
      <c r="CE1259" s="24">
        <f t="shared" si="6094"/>
        <v>0.2539768798</v>
      </c>
      <c r="CF1259" s="410">
        <f t="shared" si="6094"/>
        <v>0.3273001508</v>
      </c>
      <c r="CG1259" s="410">
        <f t="shared" si="6094"/>
        <v>0.3177683445</v>
      </c>
      <c r="CH1259" s="410">
        <f t="shared" si="6094"/>
        <v>0.3288142452</v>
      </c>
      <c r="CI1259" s="410">
        <f t="shared" si="6094"/>
        <v>0.2899293286</v>
      </c>
      <c r="CJ1259" s="24">
        <f t="shared" si="6094"/>
        <v>0.314858841</v>
      </c>
      <c r="CK1259" s="410">
        <f t="shared" si="6094"/>
        <v>0.305041712</v>
      </c>
      <c r="CL1259" s="410">
        <f t="shared" si="6094"/>
        <v>0.3205392249</v>
      </c>
      <c r="CM1259" s="410">
        <f t="shared" si="6094"/>
        <v>0.3410929177</v>
      </c>
      <c r="CN1259" s="104">
        <f t="shared" si="6094"/>
        <v>0.3167395022</v>
      </c>
      <c r="CO1259" s="24">
        <f t="shared" si="6094"/>
        <v>0.3204795393</v>
      </c>
      <c r="CP1259" s="104">
        <f t="shared" si="6094"/>
        <v>0.3347606072</v>
      </c>
      <c r="CQ1259" s="410">
        <f t="shared" si="6094"/>
        <v>0.3825803826</v>
      </c>
      <c r="CR1259" s="410">
        <f t="shared" si="6094"/>
        <v>0.3710753532</v>
      </c>
      <c r="CS1259" s="410">
        <f t="shared" si="6094"/>
        <v>0.3703921569</v>
      </c>
      <c r="CT1259" s="24">
        <f t="shared" si="6094"/>
        <v>0.3644804425</v>
      </c>
      <c r="CU1259" s="410">
        <f t="shared" si="6094"/>
        <v>0.3658681449</v>
      </c>
      <c r="CV1259" s="410">
        <f t="shared" si="6094"/>
        <v>0.3996361431</v>
      </c>
      <c r="CW1259" s="410">
        <f t="shared" si="6094"/>
        <v>0.3847590586</v>
      </c>
      <c r="CX1259" s="410">
        <f t="shared" si="6094"/>
        <v>0.3636363636</v>
      </c>
      <c r="CY1259" s="24">
        <f t="shared" si="6094"/>
        <v>0.3782646547</v>
      </c>
      <c r="CZ1259" s="410">
        <f t="shared" si="6094"/>
        <v>0.2905599426</v>
      </c>
      <c r="DA1259" s="410">
        <f t="shared" si="6094"/>
        <v>0.2737410072</v>
      </c>
      <c r="DB1259" s="410">
        <f t="shared" si="6094"/>
        <v>0.2662640207</v>
      </c>
      <c r="DC1259" s="410">
        <f t="shared" si="6094"/>
        <v>0.2523528473</v>
      </c>
      <c r="DD1259" s="24">
        <f t="shared" si="6094"/>
        <v>0.2701327815</v>
      </c>
      <c r="DE1259" s="410">
        <f t="shared" si="6094"/>
        <v>0.287661533</v>
      </c>
      <c r="DF1259" s="410">
        <f t="shared" si="6094"/>
        <v>0.2956751986</v>
      </c>
      <c r="DG1259" s="104">
        <f t="shared" si="6094"/>
        <v>0.2774130007</v>
      </c>
      <c r="DH1259" s="410">
        <f t="shared" si="6094"/>
        <v>0.2803054407</v>
      </c>
      <c r="DI1259" s="24">
        <f t="shared" si="6094"/>
        <v>0.2849907142</v>
      </c>
      <c r="DJ1259" s="104">
        <f t="shared" si="6094"/>
        <v>0.2850828729</v>
      </c>
      <c r="DK1259" s="104">
        <f t="shared" si="6094"/>
        <v>0.2644047073</v>
      </c>
      <c r="DL1259" s="104">
        <f t="shared" si="6094"/>
        <v>0.2769366456</v>
      </c>
      <c r="DM1259" s="410">
        <f t="shared" si="6094"/>
        <v>0.2826379542</v>
      </c>
      <c r="DN1259" s="24">
        <f t="shared" si="6094"/>
        <v>0.277378186</v>
      </c>
      <c r="DO1259" s="410">
        <f t="shared" si="6094"/>
        <v>0.319707401</v>
      </c>
      <c r="DP1259" s="410">
        <f t="shared" si="6094"/>
        <v>0.3244303606</v>
      </c>
      <c r="DQ1259" s="410">
        <f t="shared" si="6094"/>
        <v>0.2872704243</v>
      </c>
      <c r="DR1259" s="410">
        <f t="shared" si="6094"/>
        <v>0.3069259393</v>
      </c>
      <c r="DS1259" s="24">
        <f t="shared" si="6094"/>
        <v>0.3086001676</v>
      </c>
      <c r="DT1259" s="410">
        <f t="shared" si="6094"/>
        <v>0.335765489</v>
      </c>
      <c r="DU1259" s="410">
        <f t="shared" si="6094"/>
        <v>0.2846762824</v>
      </c>
      <c r="DV1259" s="410">
        <f t="shared" si="6094"/>
        <v>0.3115689013</v>
      </c>
      <c r="DW1259" s="410">
        <f t="shared" si="6094"/>
        <v>0.2962920046</v>
      </c>
      <c r="DX1259" s="24">
        <f t="shared" si="6094"/>
        <v>0.3059991242</v>
      </c>
      <c r="DY1259" s="410">
        <f t="shared" si="6094"/>
        <v>0.2782628416</v>
      </c>
      <c r="DZ1259" s="410">
        <f t="shared" si="6094"/>
        <v>0.2858160237</v>
      </c>
      <c r="EA1259" s="410">
        <f t="shared" si="6094"/>
        <v>0.2954061094</v>
      </c>
      <c r="EB1259" s="410">
        <f t="shared" si="6094"/>
        <v>0.2727177224</v>
      </c>
      <c r="EC1259" s="24">
        <f t="shared" si="6094"/>
        <v>0.2826834048</v>
      </c>
      <c r="ED1259" s="410">
        <f t="shared" si="6094"/>
        <v>0.3125480294</v>
      </c>
      <c r="EE1259" s="410">
        <f t="shared" si="6094"/>
        <v>0.2754263407</v>
      </c>
      <c r="EF1259" s="410">
        <f t="shared" si="6094"/>
        <v>0.315915029</v>
      </c>
      <c r="EG1259" s="410">
        <f t="shared" si="6094"/>
        <v>0.3300163896</v>
      </c>
      <c r="EH1259" s="24">
        <f t="shared" si="6094"/>
        <v>0.3075052504</v>
      </c>
      <c r="EI1259" s="317" t="str">
        <f t="shared" si="6094"/>
        <v>#ERROR!</v>
      </c>
      <c r="EJ1259" s="410" t="str">
        <f t="shared" si="6094"/>
        <v>#ERROR!</v>
      </c>
      <c r="EK1259" s="410" t="str">
        <f t="shared" si="6094"/>
        <v>#ERROR!</v>
      </c>
      <c r="EL1259" s="410" t="str">
        <f t="shared" si="6094"/>
        <v>#ERROR!</v>
      </c>
      <c r="EM1259" s="24" t="str">
        <f t="shared" si="6094"/>
        <v>#ERROR!</v>
      </c>
      <c r="EN1259" s="410" t="str">
        <f t="shared" si="6094"/>
        <v>#ERROR!</v>
      </c>
      <c r="EO1259" s="410" t="str">
        <f t="shared" si="6094"/>
        <v>#ERROR!</v>
      </c>
      <c r="EP1259" s="410" t="str">
        <f t="shared" si="6094"/>
        <v>#ERROR!</v>
      </c>
      <c r="EQ1259" s="410" t="str">
        <f t="shared" si="6094"/>
        <v>#ERROR!</v>
      </c>
      <c r="ER1259" s="24" t="str">
        <f t="shared" si="6094"/>
        <v>#ERROR!</v>
      </c>
      <c r="ES1259" s="410" t="str">
        <f t="shared" si="6094"/>
        <v>#ERROR!</v>
      </c>
      <c r="ET1259" s="410" t="str">
        <f t="shared" si="6094"/>
        <v>#ERROR!</v>
      </c>
      <c r="EU1259" s="410" t="str">
        <f t="shared" si="6094"/>
        <v>#ERROR!</v>
      </c>
      <c r="EV1259" s="410" t="str">
        <f t="shared" si="6094"/>
        <v>#ERROR!</v>
      </c>
      <c r="EW1259" s="24" t="str">
        <f t="shared" si="6094"/>
        <v>#ERROR!</v>
      </c>
      <c r="EX1259" s="410" t="str">
        <f t="shared" si="6094"/>
        <v>#ERROR!</v>
      </c>
      <c r="EY1259" s="410" t="str">
        <f t="shared" si="6094"/>
        <v>#ERROR!</v>
      </c>
      <c r="EZ1259" s="410" t="str">
        <f t="shared" si="6094"/>
        <v>#ERROR!</v>
      </c>
      <c r="FA1259" s="410" t="str">
        <f t="shared" si="6094"/>
        <v>#ERROR!</v>
      </c>
      <c r="FB1259" s="24" t="str">
        <f t="shared" si="6094"/>
        <v>#ERROR!</v>
      </c>
      <c r="FC1259" s="410" t="str">
        <f t="shared" si="6094"/>
        <v>#ERROR!</v>
      </c>
      <c r="FD1259" s="410" t="str">
        <f t="shared" si="6094"/>
        <v>#ERROR!</v>
      </c>
      <c r="FE1259" s="410" t="str">
        <f t="shared" si="6094"/>
        <v>#ERROR!</v>
      </c>
      <c r="FF1259" s="410" t="str">
        <f t="shared" si="6094"/>
        <v>#ERROR!</v>
      </c>
      <c r="FG1259" s="24" t="str">
        <f t="shared" si="6094"/>
        <v>#ERROR!</v>
      </c>
      <c r="FH1259" s="104"/>
      <c r="FI1259" s="410"/>
      <c r="FJ1259" s="410"/>
      <c r="FK1259" s="410"/>
      <c r="FL1259" s="410"/>
    </row>
    <row r="1260" ht="12.75" hidden="1" customHeight="1" outlineLevel="3">
      <c r="A1260" s="4"/>
      <c r="B1260" s="4"/>
      <c r="C1260" s="4"/>
      <c r="D1260" s="4"/>
      <c r="E1260" s="4"/>
      <c r="F1260" s="4"/>
      <c r="G1260" s="4"/>
      <c r="H1260" s="8"/>
      <c r="I1260" s="4"/>
      <c r="J1260" s="4"/>
      <c r="K1260" s="4"/>
      <c r="L1260" s="4"/>
      <c r="M1260" s="8"/>
      <c r="N1260" s="4"/>
      <c r="O1260" s="4"/>
      <c r="P1260" s="4"/>
      <c r="Q1260" s="4"/>
      <c r="R1260" s="8"/>
      <c r="S1260" s="4"/>
      <c r="T1260" s="4"/>
      <c r="U1260" s="4"/>
      <c r="V1260" s="4"/>
      <c r="W1260" s="8"/>
      <c r="X1260" s="4"/>
      <c r="Y1260" s="4"/>
      <c r="Z1260" s="4"/>
      <c r="AA1260" s="4"/>
      <c r="AB1260" s="8"/>
      <c r="AC1260" s="4"/>
      <c r="AD1260" s="4"/>
      <c r="AE1260" s="4"/>
      <c r="AF1260" s="4"/>
      <c r="AG1260" s="8"/>
      <c r="AH1260" s="4"/>
      <c r="AI1260" s="4"/>
      <c r="AJ1260" s="4"/>
      <c r="AK1260" s="4"/>
      <c r="AL1260" s="8"/>
      <c r="AM1260" s="4"/>
      <c r="AN1260" s="4"/>
      <c r="AO1260" s="4"/>
      <c r="AP1260" s="4"/>
      <c r="AQ1260" s="8"/>
      <c r="AR1260" s="4"/>
      <c r="AS1260" s="4"/>
      <c r="AT1260" s="4"/>
      <c r="AU1260" s="4"/>
      <c r="AV1260" s="8"/>
      <c r="AW1260" s="4"/>
      <c r="AX1260" s="4"/>
      <c r="AY1260" s="4"/>
      <c r="AZ1260" s="4"/>
      <c r="BA1260" s="8"/>
      <c r="BB1260" s="4"/>
      <c r="BC1260" s="4"/>
      <c r="BD1260" s="4"/>
      <c r="BE1260" s="4"/>
      <c r="BF1260" s="8"/>
      <c r="BG1260" s="4"/>
      <c r="BH1260" s="4"/>
      <c r="BI1260" s="4"/>
      <c r="BJ1260" s="4"/>
      <c r="BK1260" s="8"/>
      <c r="BL1260" s="4"/>
      <c r="BM1260" s="4"/>
      <c r="BN1260" s="4"/>
      <c r="BO1260" s="4"/>
      <c r="BP1260" s="8"/>
      <c r="BQ1260" s="4"/>
      <c r="BR1260" s="4"/>
      <c r="BS1260" s="4"/>
      <c r="BT1260" s="4"/>
      <c r="BU1260" s="8"/>
      <c r="BV1260" s="4"/>
      <c r="BW1260" s="4"/>
      <c r="BX1260" s="4"/>
      <c r="BY1260" s="4"/>
      <c r="BZ1260" s="10"/>
      <c r="CA1260" s="4"/>
      <c r="CB1260" s="4"/>
      <c r="CC1260" s="4"/>
      <c r="CD1260" s="4"/>
      <c r="CE1260" s="10"/>
      <c r="CF1260" s="4"/>
      <c r="CG1260" s="4"/>
      <c r="CH1260" s="4"/>
      <c r="CI1260" s="4"/>
      <c r="CJ1260" s="10"/>
      <c r="CK1260" s="4"/>
      <c r="CL1260" s="4"/>
      <c r="CM1260" s="4"/>
      <c r="CN1260" s="16"/>
      <c r="CO1260" s="10"/>
      <c r="CP1260" s="16"/>
      <c r="CQ1260" s="4"/>
      <c r="CR1260" s="4"/>
      <c r="CS1260" s="4"/>
      <c r="CT1260" s="10"/>
      <c r="CU1260" s="4"/>
      <c r="CV1260" s="4"/>
      <c r="CW1260" s="4"/>
      <c r="CX1260" s="4"/>
      <c r="CY1260" s="10"/>
      <c r="CZ1260" s="4"/>
      <c r="DA1260" s="4"/>
      <c r="DB1260" s="4"/>
      <c r="DC1260" s="4"/>
      <c r="DD1260" s="10"/>
      <c r="DE1260" s="4"/>
      <c r="DF1260" s="4"/>
      <c r="DG1260" s="16"/>
      <c r="DH1260" s="4"/>
      <c r="DI1260" s="10"/>
      <c r="DJ1260" s="16"/>
      <c r="DK1260" s="16"/>
      <c r="DL1260" s="16"/>
      <c r="DM1260" s="4"/>
      <c r="DN1260" s="10"/>
      <c r="DO1260" s="4"/>
      <c r="DP1260" s="4"/>
      <c r="DQ1260" s="4"/>
      <c r="DR1260" s="4"/>
      <c r="DS1260" s="10"/>
      <c r="DT1260" s="4"/>
      <c r="DU1260" s="4"/>
      <c r="DV1260" s="4"/>
      <c r="DW1260" s="4"/>
      <c r="DX1260" s="10"/>
      <c r="DY1260" s="4"/>
      <c r="DZ1260" s="4"/>
      <c r="EA1260" s="4"/>
      <c r="EB1260" s="4"/>
      <c r="EC1260" s="10"/>
      <c r="ED1260" s="4"/>
      <c r="EE1260" s="4"/>
      <c r="EF1260" s="4"/>
      <c r="EG1260" s="4"/>
      <c r="EH1260" s="10"/>
      <c r="EI1260" s="214"/>
      <c r="EJ1260" s="4"/>
      <c r="EK1260" s="4"/>
      <c r="EL1260" s="4"/>
      <c r="EM1260" s="10"/>
      <c r="EN1260" s="4"/>
      <c r="EO1260" s="4"/>
      <c r="EP1260" s="4"/>
      <c r="EQ1260" s="4"/>
      <c r="ER1260" s="10"/>
      <c r="ES1260" s="4"/>
      <c r="ET1260" s="4"/>
      <c r="EU1260" s="4"/>
      <c r="EV1260" s="4"/>
      <c r="EW1260" s="10"/>
      <c r="EX1260" s="4"/>
      <c r="EY1260" s="4"/>
      <c r="EZ1260" s="4"/>
      <c r="FA1260" s="4"/>
      <c r="FB1260" s="10"/>
      <c r="FC1260" s="4"/>
      <c r="FD1260" s="4"/>
      <c r="FE1260" s="4"/>
      <c r="FF1260" s="4"/>
      <c r="FG1260" s="10"/>
      <c r="FH1260" s="21"/>
      <c r="FI1260" s="4"/>
      <c r="FJ1260" s="4"/>
      <c r="FK1260" s="8"/>
      <c r="FL1260" s="4"/>
    </row>
    <row r="1261" ht="12.75" hidden="1" customHeight="1" outlineLevel="3">
      <c r="A1261" s="4"/>
      <c r="B1261" s="4" t="s">
        <v>474</v>
      </c>
      <c r="C1261" s="4"/>
      <c r="D1261" s="4"/>
      <c r="E1261" s="4"/>
      <c r="F1261" s="4"/>
      <c r="G1261" s="4"/>
      <c r="H1261" s="8"/>
      <c r="I1261" s="4"/>
      <c r="J1261" s="4"/>
      <c r="K1261" s="4"/>
      <c r="L1261" s="4"/>
      <c r="M1261" s="8"/>
      <c r="N1261" s="4"/>
      <c r="O1261" s="4"/>
      <c r="P1261" s="4"/>
      <c r="Q1261" s="4"/>
      <c r="R1261" s="8"/>
      <c r="S1261" s="4"/>
      <c r="T1261" s="4"/>
      <c r="U1261" s="4"/>
      <c r="V1261" s="4"/>
      <c r="W1261" s="8" t="str">
        <f>W1252/W960*1000</f>
        <v>#ERROR!</v>
      </c>
      <c r="X1261" s="4"/>
      <c r="Y1261" s="4"/>
      <c r="Z1261" s="4"/>
      <c r="AA1261" s="4"/>
      <c r="AB1261" s="8" t="str">
        <f>AB1252/AB960*1000</f>
        <v>#ERROR!</v>
      </c>
      <c r="AC1261" s="4"/>
      <c r="AD1261" s="4"/>
      <c r="AE1261" s="4"/>
      <c r="AF1261" s="4"/>
      <c r="AG1261" s="8" t="str">
        <f>AG1252/AG960*1000</f>
        <v>#ERROR!</v>
      </c>
      <c r="AH1261" s="4"/>
      <c r="AI1261" s="4"/>
      <c r="AJ1261" s="4"/>
      <c r="AK1261" s="4"/>
      <c r="AL1261" s="8" t="str">
        <f>AL1252/AL960*1000</f>
        <v>#ERROR!</v>
      </c>
      <c r="AM1261" s="4"/>
      <c r="AN1261" s="4"/>
      <c r="AO1261" s="4"/>
      <c r="AP1261" s="4"/>
      <c r="AQ1261" s="8" t="str">
        <f>AQ1252/AQ960*1000</f>
        <v>#ERROR!</v>
      </c>
      <c r="AR1261" s="4"/>
      <c r="AS1261" s="4"/>
      <c r="AT1261" s="4"/>
      <c r="AU1261" s="4"/>
      <c r="AV1261" s="8"/>
      <c r="AW1261" s="4"/>
      <c r="AX1261" s="4"/>
      <c r="AY1261" s="4"/>
      <c r="AZ1261" s="4"/>
      <c r="BA1261" s="8"/>
      <c r="BB1261" s="4"/>
      <c r="BC1261" s="4"/>
      <c r="BD1261" s="4"/>
      <c r="BE1261" s="4"/>
      <c r="BF1261" s="8"/>
      <c r="BG1261" s="4"/>
      <c r="BH1261" s="4"/>
      <c r="BI1261" s="4"/>
      <c r="BJ1261" s="4"/>
      <c r="BK1261" s="8"/>
      <c r="BL1261" s="4"/>
      <c r="BM1261" s="4"/>
      <c r="BN1261" s="4"/>
      <c r="BO1261" s="4"/>
      <c r="BP1261" s="8"/>
      <c r="BQ1261" s="4"/>
      <c r="BR1261" s="4"/>
      <c r="BS1261" s="4"/>
      <c r="BT1261" s="4"/>
      <c r="BU1261" s="8"/>
      <c r="BV1261" s="4"/>
      <c r="BW1261" s="4"/>
      <c r="BX1261" s="4"/>
      <c r="BY1261" s="4"/>
      <c r="BZ1261" s="10"/>
      <c r="CA1261" s="4"/>
      <c r="CB1261" s="4"/>
      <c r="CC1261" s="4"/>
      <c r="CD1261" s="4"/>
      <c r="CE1261" s="10"/>
      <c r="CF1261" s="4"/>
      <c r="CG1261" s="4"/>
      <c r="CH1261" s="4"/>
      <c r="CI1261" s="4"/>
      <c r="CJ1261" s="10"/>
      <c r="CK1261" s="4"/>
      <c r="CL1261" s="4"/>
      <c r="CM1261" s="4"/>
      <c r="CN1261" s="16"/>
      <c r="CO1261" s="10"/>
      <c r="CP1261" s="16"/>
      <c r="CQ1261" s="4"/>
      <c r="CR1261" s="4"/>
      <c r="CS1261" s="4"/>
      <c r="CT1261" s="10"/>
      <c r="CU1261" s="4"/>
      <c r="CV1261" s="4"/>
      <c r="CW1261" s="4"/>
      <c r="CX1261" s="4"/>
      <c r="CY1261" s="10"/>
      <c r="CZ1261" s="4"/>
      <c r="DA1261" s="4"/>
      <c r="DB1261" s="4"/>
      <c r="DC1261" s="4"/>
      <c r="DD1261" s="10"/>
      <c r="DE1261" s="4"/>
      <c r="DF1261" s="4"/>
      <c r="DG1261" s="16"/>
      <c r="DH1261" s="4"/>
      <c r="DI1261" s="10"/>
      <c r="DJ1261" s="16"/>
      <c r="DK1261" s="16"/>
      <c r="DL1261" s="16"/>
      <c r="DM1261" s="4"/>
      <c r="DN1261" s="10"/>
      <c r="DO1261" s="4"/>
      <c r="DP1261" s="4"/>
      <c r="DQ1261" s="4"/>
      <c r="DR1261" s="4"/>
      <c r="DS1261" s="10"/>
      <c r="DT1261" s="4"/>
      <c r="DU1261" s="4"/>
      <c r="DV1261" s="4"/>
      <c r="DW1261" s="4"/>
      <c r="DX1261" s="10"/>
      <c r="DY1261" s="4"/>
      <c r="DZ1261" s="4"/>
      <c r="EA1261" s="4"/>
      <c r="EB1261" s="4"/>
      <c r="EC1261" s="10"/>
      <c r="ED1261" s="4"/>
      <c r="EE1261" s="4"/>
      <c r="EF1261" s="4"/>
      <c r="EG1261" s="4"/>
      <c r="EH1261" s="10"/>
      <c r="EI1261" s="214"/>
      <c r="EJ1261" s="4"/>
      <c r="EK1261" s="4"/>
      <c r="EL1261" s="4"/>
      <c r="EM1261" s="10"/>
      <c r="EN1261" s="4"/>
      <c r="EO1261" s="4"/>
      <c r="EP1261" s="4"/>
      <c r="EQ1261" s="4"/>
      <c r="ER1261" s="10"/>
      <c r="ES1261" s="4"/>
      <c r="ET1261" s="4"/>
      <c r="EU1261" s="4"/>
      <c r="EV1261" s="4"/>
      <c r="EW1261" s="10"/>
      <c r="EX1261" s="4"/>
      <c r="EY1261" s="4"/>
      <c r="EZ1261" s="4"/>
      <c r="FA1261" s="4"/>
      <c r="FB1261" s="10"/>
      <c r="FC1261" s="4"/>
      <c r="FD1261" s="4"/>
      <c r="FE1261" s="4"/>
      <c r="FF1261" s="4"/>
      <c r="FG1261" s="10"/>
      <c r="FH1261" s="21"/>
      <c r="FI1261" s="4"/>
      <c r="FJ1261" s="4"/>
      <c r="FK1261" s="8"/>
      <c r="FL1261" s="4"/>
    </row>
    <row r="1262" ht="12.75" hidden="1" customHeight="1" outlineLevel="3">
      <c r="A1262" s="4"/>
      <c r="B1262" s="4"/>
      <c r="C1262" s="4"/>
      <c r="D1262" s="4"/>
      <c r="E1262" s="4"/>
      <c r="F1262" s="4"/>
      <c r="G1262" s="4"/>
      <c r="H1262" s="5"/>
      <c r="I1262" s="6"/>
      <c r="J1262" s="6"/>
      <c r="K1262" s="6"/>
      <c r="L1262" s="6"/>
      <c r="M1262" s="6"/>
      <c r="N1262" s="6"/>
      <c r="O1262" s="6"/>
      <c r="P1262" s="6"/>
      <c r="Q1262" s="6"/>
      <c r="R1262" s="7"/>
      <c r="S1262" s="6"/>
      <c r="T1262" s="6"/>
      <c r="U1262" s="6"/>
      <c r="V1262" s="6"/>
      <c r="W1262" s="7"/>
      <c r="X1262" s="6"/>
      <c r="Y1262" s="6"/>
      <c r="Z1262" s="6"/>
      <c r="AA1262" s="6"/>
      <c r="AB1262" s="5"/>
      <c r="AC1262" s="6"/>
      <c r="AD1262" s="6"/>
      <c r="AE1262" s="6"/>
      <c r="AF1262" s="6"/>
      <c r="AG1262" s="5"/>
      <c r="AH1262" s="6"/>
      <c r="AI1262" s="6"/>
      <c r="AJ1262" s="6"/>
      <c r="AK1262" s="6"/>
      <c r="AL1262" s="5"/>
      <c r="AM1262" s="6"/>
      <c r="AN1262" s="6"/>
      <c r="AO1262" s="6"/>
      <c r="AP1262" s="6"/>
      <c r="AQ1262" s="5"/>
      <c r="AR1262" s="6"/>
      <c r="AS1262" s="6"/>
      <c r="AT1262" s="6"/>
      <c r="AU1262" s="6"/>
      <c r="AV1262" s="5"/>
      <c r="AW1262" s="6"/>
      <c r="AX1262" s="6"/>
      <c r="AY1262" s="6"/>
      <c r="AZ1262" s="6"/>
      <c r="BA1262" s="7"/>
      <c r="BB1262" s="6"/>
      <c r="BC1262" s="6"/>
      <c r="BD1262" s="6"/>
      <c r="BE1262" s="6"/>
      <c r="BF1262" s="7"/>
      <c r="BG1262" s="6"/>
      <c r="BH1262" s="6"/>
      <c r="BI1262" s="6"/>
      <c r="BJ1262" s="6"/>
      <c r="BK1262" s="7"/>
      <c r="BL1262" s="6"/>
      <c r="BM1262" s="6"/>
      <c r="BN1262" s="6"/>
      <c r="BO1262" s="6"/>
      <c r="BP1262" s="7"/>
      <c r="BQ1262" s="4"/>
      <c r="BR1262" s="4"/>
      <c r="BS1262" s="4"/>
      <c r="BT1262" s="4"/>
      <c r="BU1262" s="8"/>
      <c r="BV1262" s="4"/>
      <c r="BW1262" s="4"/>
      <c r="BX1262" s="4"/>
      <c r="BY1262" s="4"/>
      <c r="BZ1262" s="10"/>
      <c r="CA1262" s="4"/>
      <c r="CB1262" s="4"/>
      <c r="CC1262" s="4"/>
      <c r="CD1262" s="4"/>
      <c r="CE1262" s="10"/>
      <c r="CF1262" s="4"/>
      <c r="CG1262" s="4"/>
      <c r="CH1262" s="4"/>
      <c r="CI1262" s="4"/>
      <c r="CJ1262" s="10"/>
      <c r="CK1262" s="4"/>
      <c r="CL1262" s="4"/>
      <c r="CM1262" s="4"/>
      <c r="CN1262" s="16"/>
      <c r="CO1262" s="10"/>
      <c r="CP1262" s="16"/>
      <c r="CQ1262" s="4"/>
      <c r="CR1262" s="4"/>
      <c r="CS1262" s="4"/>
      <c r="CT1262" s="10"/>
      <c r="CU1262" s="4"/>
      <c r="CV1262" s="4"/>
      <c r="CW1262" s="4"/>
      <c r="CX1262" s="4"/>
      <c r="CY1262" s="10"/>
      <c r="CZ1262" s="4"/>
      <c r="DA1262" s="4"/>
      <c r="DB1262" s="4"/>
      <c r="DC1262" s="4"/>
      <c r="DD1262" s="10"/>
      <c r="DE1262" s="4"/>
      <c r="DF1262" s="4"/>
      <c r="DG1262" s="16"/>
      <c r="DH1262" s="4"/>
      <c r="DI1262" s="10"/>
      <c r="DJ1262" s="16"/>
      <c r="DK1262" s="16"/>
      <c r="DL1262" s="16"/>
      <c r="DM1262" s="4"/>
      <c r="DN1262" s="10"/>
      <c r="DO1262" s="4"/>
      <c r="DP1262" s="4"/>
      <c r="DQ1262" s="4"/>
      <c r="DR1262" s="4"/>
      <c r="DS1262" s="10"/>
      <c r="DT1262" s="4"/>
      <c r="DU1262" s="4"/>
      <c r="DV1262" s="4"/>
      <c r="DW1262" s="4"/>
      <c r="DX1262" s="10"/>
      <c r="DY1262" s="4"/>
      <c r="DZ1262" s="4"/>
      <c r="EA1262" s="4"/>
      <c r="EB1262" s="4"/>
      <c r="EC1262" s="10"/>
      <c r="ED1262" s="4"/>
      <c r="EE1262" s="4"/>
      <c r="EF1262" s="4"/>
      <c r="EG1262" s="4"/>
      <c r="EH1262" s="10"/>
      <c r="EI1262" s="214"/>
      <c r="EJ1262" s="4"/>
      <c r="EK1262" s="4"/>
      <c r="EL1262" s="4"/>
      <c r="EM1262" s="10"/>
      <c r="EN1262" s="4"/>
      <c r="EO1262" s="4"/>
      <c r="EP1262" s="4"/>
      <c r="EQ1262" s="4"/>
      <c r="ER1262" s="10"/>
      <c r="ES1262" s="4"/>
      <c r="ET1262" s="4"/>
      <c r="EU1262" s="4"/>
      <c r="EV1262" s="4"/>
      <c r="EW1262" s="10"/>
      <c r="EX1262" s="4"/>
      <c r="EY1262" s="4"/>
      <c r="EZ1262" s="4"/>
      <c r="FA1262" s="4"/>
      <c r="FB1262" s="10"/>
      <c r="FC1262" s="4"/>
      <c r="FD1262" s="4"/>
      <c r="FE1262" s="4"/>
      <c r="FF1262" s="4"/>
      <c r="FG1262" s="10"/>
      <c r="FH1262" s="21"/>
      <c r="FI1262" s="4"/>
      <c r="FJ1262" s="4"/>
      <c r="FK1262" s="4"/>
      <c r="FL1262" s="4"/>
    </row>
    <row r="1263" ht="12.75" hidden="1" customHeight="1" outlineLevel="3">
      <c r="A1263" s="45"/>
      <c r="B1263" s="45" t="s">
        <v>475</v>
      </c>
      <c r="C1263" s="45"/>
      <c r="D1263" s="45"/>
      <c r="E1263" s="45"/>
      <c r="F1263" s="45"/>
      <c r="G1263" s="45"/>
      <c r="H1263" s="5"/>
      <c r="I1263" s="5"/>
      <c r="J1263" s="5"/>
      <c r="K1263" s="5"/>
      <c r="L1263" s="5"/>
      <c r="M1263" s="5"/>
      <c r="N1263" s="5"/>
      <c r="O1263" s="5"/>
      <c r="P1263" s="5"/>
      <c r="Q1263" s="5"/>
      <c r="R1263" s="7"/>
      <c r="S1263" s="5"/>
      <c r="T1263" s="5"/>
      <c r="U1263" s="5"/>
      <c r="V1263" s="5"/>
      <c r="W1263" s="7"/>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c r="AT1263" s="5"/>
      <c r="AU1263" s="5"/>
      <c r="AV1263" s="5"/>
      <c r="AW1263" s="5"/>
      <c r="AX1263" s="5"/>
      <c r="AY1263" s="5"/>
      <c r="AZ1263" s="5"/>
      <c r="BA1263" s="7"/>
      <c r="BB1263" s="5"/>
      <c r="BC1263" s="5"/>
      <c r="BD1263" s="5"/>
      <c r="BE1263" s="5"/>
      <c r="BF1263" s="7"/>
      <c r="BG1263" s="5"/>
      <c r="BH1263" s="5"/>
      <c r="BI1263" s="5"/>
      <c r="BJ1263" s="5"/>
      <c r="BK1263" s="7"/>
      <c r="BL1263" s="5"/>
      <c r="BM1263" s="5"/>
      <c r="BN1263" s="5"/>
      <c r="BO1263" s="5"/>
      <c r="BP1263" s="7"/>
      <c r="BQ1263" s="45"/>
      <c r="BR1263" s="45"/>
      <c r="BS1263" s="45"/>
      <c r="BT1263" s="45"/>
      <c r="BU1263" s="8"/>
      <c r="BV1263" s="45"/>
      <c r="BW1263" s="45"/>
      <c r="BX1263" s="45"/>
      <c r="BY1263" s="45"/>
      <c r="BZ1263" s="10"/>
      <c r="CA1263" s="45"/>
      <c r="CB1263" s="45"/>
      <c r="CC1263" s="45"/>
      <c r="CD1263" s="45"/>
      <c r="CE1263" s="10"/>
      <c r="CF1263" s="45"/>
      <c r="CG1263" s="45"/>
      <c r="CH1263" s="45"/>
      <c r="CI1263" s="45"/>
      <c r="CJ1263" s="10"/>
      <c r="CK1263" s="45"/>
      <c r="CL1263" s="45"/>
      <c r="CM1263" s="45"/>
      <c r="CN1263" s="145"/>
      <c r="CO1263" s="10"/>
      <c r="CP1263" s="145"/>
      <c r="CQ1263" s="45"/>
      <c r="CR1263" s="45"/>
      <c r="CS1263" s="45"/>
      <c r="CT1263" s="10"/>
      <c r="CU1263" s="45"/>
      <c r="CV1263" s="45"/>
      <c r="CW1263" s="45"/>
      <c r="CX1263" s="45"/>
      <c r="CY1263" s="10"/>
      <c r="CZ1263" s="45"/>
      <c r="DA1263" s="45"/>
      <c r="DB1263" s="45"/>
      <c r="DC1263" s="45"/>
      <c r="DD1263" s="10"/>
      <c r="DE1263" s="45"/>
      <c r="DF1263" s="45"/>
      <c r="DG1263" s="145"/>
      <c r="DH1263" s="45"/>
      <c r="DI1263" s="10"/>
      <c r="DJ1263" s="145"/>
      <c r="DK1263" s="145"/>
      <c r="DL1263" s="145"/>
      <c r="DM1263" s="45"/>
      <c r="DN1263" s="10"/>
      <c r="DO1263" s="45"/>
      <c r="DP1263" s="45"/>
      <c r="DQ1263" s="45"/>
      <c r="DR1263" s="45"/>
      <c r="DS1263" s="10"/>
      <c r="DT1263" s="45"/>
      <c r="DU1263" s="45"/>
      <c r="DV1263" s="45"/>
      <c r="DW1263" s="45"/>
      <c r="DX1263" s="10"/>
      <c r="DY1263" s="45"/>
      <c r="DZ1263" s="45"/>
      <c r="EA1263" s="45"/>
      <c r="EB1263" s="45"/>
      <c r="EC1263" s="10"/>
      <c r="ED1263" s="45"/>
      <c r="EE1263" s="45"/>
      <c r="EF1263" s="45"/>
      <c r="EG1263" s="45"/>
      <c r="EH1263" s="10"/>
      <c r="EI1263" s="758"/>
      <c r="EJ1263" s="45"/>
      <c r="EK1263" s="45"/>
      <c r="EL1263" s="45"/>
      <c r="EM1263" s="10"/>
      <c r="EN1263" s="45"/>
      <c r="EO1263" s="45"/>
      <c r="EP1263" s="45"/>
      <c r="EQ1263" s="45"/>
      <c r="ER1263" s="10"/>
      <c r="ES1263" s="45"/>
      <c r="ET1263" s="45"/>
      <c r="EU1263" s="45"/>
      <c r="EV1263" s="45"/>
      <c r="EW1263" s="10"/>
      <c r="EX1263" s="45"/>
      <c r="EY1263" s="45"/>
      <c r="EZ1263" s="45"/>
      <c r="FA1263" s="45"/>
      <c r="FB1263" s="10"/>
      <c r="FC1263" s="45"/>
      <c r="FD1263" s="45"/>
      <c r="FE1263" s="45"/>
      <c r="FF1263" s="45"/>
      <c r="FG1263" s="10"/>
      <c r="FH1263" s="21"/>
      <c r="FI1263" s="45"/>
      <c r="FJ1263" s="45"/>
      <c r="FK1263" s="45"/>
      <c r="FL1263" s="45"/>
    </row>
    <row r="1264" ht="12.75" hidden="1" customHeight="1" outlineLevel="3">
      <c r="A1264" s="4"/>
      <c r="B1264" s="4" t="s">
        <v>476</v>
      </c>
      <c r="C1264" s="4"/>
      <c r="D1264" s="4"/>
      <c r="E1264" s="4"/>
      <c r="F1264" s="4"/>
      <c r="G1264" s="4"/>
      <c r="H1264" s="8"/>
      <c r="I1264" s="4"/>
      <c r="J1264" s="4"/>
      <c r="K1264" s="4"/>
      <c r="L1264" s="4"/>
      <c r="M1264" s="8">
        <v>1.8</v>
      </c>
      <c r="N1264" s="4">
        <f t="shared" ref="N1264:N1267" si="6095">M1264/M$1267</f>
        <v>0.2975206612</v>
      </c>
      <c r="O1264" s="4"/>
      <c r="P1264" s="4"/>
      <c r="Q1264" s="4"/>
      <c r="R1264" s="8">
        <v>1.35</v>
      </c>
      <c r="S1264" s="4">
        <f t="shared" ref="S1264:S1267" si="6096">R1264/R$1267</f>
        <v>0.2231404959</v>
      </c>
      <c r="T1264" s="4"/>
      <c r="U1264" s="4"/>
      <c r="V1264" s="4"/>
      <c r="W1264" s="8">
        <v>1.35</v>
      </c>
      <c r="X1264" s="4">
        <f t="shared" ref="X1264:X1267" si="6097">W1264/W$1267</f>
        <v>0.2231404959</v>
      </c>
      <c r="Y1264" s="4"/>
      <c r="Z1264" s="4"/>
      <c r="AA1264" s="4"/>
      <c r="AB1264" s="8">
        <v>2.3</v>
      </c>
      <c r="AC1264" s="4">
        <f t="shared" ref="AC1264:AC1267" si="6098">AB1264/AB$1267</f>
        <v>0.3801652893</v>
      </c>
      <c r="AD1264" s="4"/>
      <c r="AE1264" s="4"/>
      <c r="AF1264" s="4"/>
      <c r="AG1264" s="8">
        <v>2.3</v>
      </c>
      <c r="AH1264" s="4">
        <f t="shared" ref="AH1264:AH1267" si="6099">AG1264/AG$1267</f>
        <v>0.3801652893</v>
      </c>
      <c r="AI1264" s="4"/>
      <c r="AJ1264" s="4"/>
      <c r="AK1264" s="4"/>
      <c r="AL1264" s="8">
        <v>2.4</v>
      </c>
      <c r="AM1264" s="4">
        <f t="shared" ref="AM1264:AM1267" si="6100">AL1264/AL$1267</f>
        <v>0.3966942149</v>
      </c>
      <c r="AN1264" s="4"/>
      <c r="AO1264" s="4"/>
      <c r="AP1264" s="4"/>
      <c r="AQ1264" s="8">
        <v>2.3</v>
      </c>
      <c r="AR1264" s="4">
        <f t="shared" ref="AR1264:AR1267" si="6101">AQ1264/AQ$1267</f>
        <v>0.3801652893</v>
      </c>
      <c r="AS1264" s="4"/>
      <c r="AT1264" s="4"/>
      <c r="AU1264" s="4"/>
      <c r="AV1264" s="8"/>
      <c r="AW1264" s="4"/>
      <c r="AX1264" s="4"/>
      <c r="AY1264" s="4"/>
      <c r="AZ1264" s="4"/>
      <c r="BA1264" s="8"/>
      <c r="BB1264" s="4"/>
      <c r="BC1264" s="4"/>
      <c r="BD1264" s="4"/>
      <c r="BE1264" s="4"/>
      <c r="BF1264" s="8"/>
      <c r="BG1264" s="4"/>
      <c r="BH1264" s="4"/>
      <c r="BI1264" s="4"/>
      <c r="BJ1264" s="4"/>
      <c r="BK1264" s="8"/>
      <c r="BL1264" s="4"/>
      <c r="BM1264" s="4"/>
      <c r="BN1264" s="4"/>
      <c r="BO1264" s="4"/>
      <c r="BP1264" s="8"/>
      <c r="BQ1264" s="4"/>
      <c r="BR1264" s="4"/>
      <c r="BS1264" s="4"/>
      <c r="BT1264" s="4"/>
      <c r="BU1264" s="8"/>
      <c r="BV1264" s="4"/>
      <c r="BW1264" s="4"/>
      <c r="BX1264" s="4"/>
      <c r="BY1264" s="4"/>
      <c r="BZ1264" s="10"/>
      <c r="CA1264" s="4"/>
      <c r="CB1264" s="4"/>
      <c r="CC1264" s="4"/>
      <c r="CD1264" s="4"/>
      <c r="CE1264" s="10"/>
      <c r="CF1264" s="4"/>
      <c r="CG1264" s="4"/>
      <c r="CH1264" s="4"/>
      <c r="CI1264" s="4"/>
      <c r="CJ1264" s="10"/>
      <c r="CK1264" s="4"/>
      <c r="CL1264" s="4"/>
      <c r="CM1264" s="4"/>
      <c r="CN1264" s="16"/>
      <c r="CO1264" s="10"/>
      <c r="CP1264" s="16"/>
      <c r="CQ1264" s="4"/>
      <c r="CR1264" s="4"/>
      <c r="CS1264" s="4"/>
      <c r="CT1264" s="10"/>
      <c r="CU1264" s="4"/>
      <c r="CV1264" s="4"/>
      <c r="CW1264" s="4"/>
      <c r="CX1264" s="4"/>
      <c r="CY1264" s="10"/>
      <c r="CZ1264" s="4"/>
      <c r="DA1264" s="4"/>
      <c r="DB1264" s="4"/>
      <c r="DC1264" s="4"/>
      <c r="DD1264" s="10"/>
      <c r="DE1264" s="4"/>
      <c r="DF1264" s="4"/>
      <c r="DG1264" s="16"/>
      <c r="DH1264" s="4"/>
      <c r="DI1264" s="10"/>
      <c r="DJ1264" s="16"/>
      <c r="DK1264" s="16"/>
      <c r="DL1264" s="16"/>
      <c r="DM1264" s="4"/>
      <c r="DN1264" s="10"/>
      <c r="DO1264" s="4"/>
      <c r="DP1264" s="4"/>
      <c r="DQ1264" s="4"/>
      <c r="DR1264" s="4"/>
      <c r="DS1264" s="10"/>
      <c r="DT1264" s="4"/>
      <c r="DU1264" s="4"/>
      <c r="DV1264" s="4"/>
      <c r="DW1264" s="4"/>
      <c r="DX1264" s="10"/>
      <c r="DY1264" s="4"/>
      <c r="DZ1264" s="4"/>
      <c r="EA1264" s="4"/>
      <c r="EB1264" s="4"/>
      <c r="EC1264" s="10"/>
      <c r="ED1264" s="4"/>
      <c r="EE1264" s="4"/>
      <c r="EF1264" s="4"/>
      <c r="EG1264" s="4"/>
      <c r="EH1264" s="10"/>
      <c r="EI1264" s="214"/>
      <c r="EJ1264" s="4"/>
      <c r="EK1264" s="4"/>
      <c r="EL1264" s="4"/>
      <c r="EM1264" s="10"/>
      <c r="EN1264" s="4"/>
      <c r="EO1264" s="4"/>
      <c r="EP1264" s="4"/>
      <c r="EQ1264" s="4"/>
      <c r="ER1264" s="10"/>
      <c r="ES1264" s="4"/>
      <c r="ET1264" s="4"/>
      <c r="EU1264" s="4"/>
      <c r="EV1264" s="4"/>
      <c r="EW1264" s="10"/>
      <c r="EX1264" s="4"/>
      <c r="EY1264" s="4"/>
      <c r="EZ1264" s="4"/>
      <c r="FA1264" s="4"/>
      <c r="FB1264" s="10"/>
      <c r="FC1264" s="4"/>
      <c r="FD1264" s="4"/>
      <c r="FE1264" s="4"/>
      <c r="FF1264" s="4"/>
      <c r="FG1264" s="10"/>
      <c r="FH1264" s="21"/>
      <c r="FI1264" s="4"/>
      <c r="FJ1264" s="4"/>
      <c r="FK1264" s="4"/>
      <c r="FL1264" s="4"/>
    </row>
    <row r="1265" ht="12.75" hidden="1" customHeight="1" outlineLevel="3">
      <c r="A1265" s="4"/>
      <c r="B1265" s="4" t="s">
        <v>471</v>
      </c>
      <c r="C1265" s="4"/>
      <c r="D1265" s="4"/>
      <c r="E1265" s="4"/>
      <c r="F1265" s="4"/>
      <c r="G1265" s="4"/>
      <c r="H1265" s="8"/>
      <c r="I1265" s="4"/>
      <c r="J1265" s="4"/>
      <c r="K1265" s="4"/>
      <c r="L1265" s="4"/>
      <c r="M1265" s="8">
        <v>2.7</v>
      </c>
      <c r="N1265" s="4">
        <f t="shared" si="6095"/>
        <v>0.4462809917</v>
      </c>
      <c r="O1265" s="4"/>
      <c r="P1265" s="4"/>
      <c r="Q1265" s="4"/>
      <c r="R1265" s="8">
        <v>3.7</v>
      </c>
      <c r="S1265" s="4">
        <f t="shared" si="6096"/>
        <v>0.6115702479</v>
      </c>
      <c r="T1265" s="4"/>
      <c r="U1265" s="4"/>
      <c r="V1265" s="4"/>
      <c r="W1265" s="8">
        <v>3.45</v>
      </c>
      <c r="X1265" s="4">
        <f t="shared" si="6097"/>
        <v>0.5702479339</v>
      </c>
      <c r="Y1265" s="4"/>
      <c r="Z1265" s="4"/>
      <c r="AA1265" s="4"/>
      <c r="AB1265" s="8">
        <v>2.35</v>
      </c>
      <c r="AC1265" s="4">
        <f t="shared" si="6098"/>
        <v>0.3884297521</v>
      </c>
      <c r="AD1265" s="4"/>
      <c r="AE1265" s="4"/>
      <c r="AF1265" s="4"/>
      <c r="AG1265" s="8">
        <v>1.95</v>
      </c>
      <c r="AH1265" s="4">
        <f t="shared" si="6099"/>
        <v>0.3223140496</v>
      </c>
      <c r="AI1265" s="4"/>
      <c r="AJ1265" s="4"/>
      <c r="AK1265" s="4"/>
      <c r="AL1265" s="8">
        <v>1.8</v>
      </c>
      <c r="AM1265" s="4">
        <f t="shared" si="6100"/>
        <v>0.2975206612</v>
      </c>
      <c r="AN1265" s="4"/>
      <c r="AO1265" s="4"/>
      <c r="AP1265" s="4"/>
      <c r="AQ1265" s="8">
        <v>2.0</v>
      </c>
      <c r="AR1265" s="4">
        <f t="shared" si="6101"/>
        <v>0.3305785124</v>
      </c>
      <c r="AS1265" s="4"/>
      <c r="AT1265" s="4"/>
      <c r="AU1265" s="4"/>
      <c r="AV1265" s="8"/>
      <c r="AW1265" s="4"/>
      <c r="AX1265" s="4"/>
      <c r="AY1265" s="4"/>
      <c r="AZ1265" s="4"/>
      <c r="BA1265" s="8"/>
      <c r="BB1265" s="4"/>
      <c r="BC1265" s="4"/>
      <c r="BD1265" s="4"/>
      <c r="BE1265" s="4"/>
      <c r="BF1265" s="8"/>
      <c r="BG1265" s="4"/>
      <c r="BH1265" s="4"/>
      <c r="BI1265" s="4"/>
      <c r="BJ1265" s="4"/>
      <c r="BK1265" s="8"/>
      <c r="BL1265" s="4"/>
      <c r="BM1265" s="4"/>
      <c r="BN1265" s="4"/>
      <c r="BO1265" s="4"/>
      <c r="BP1265" s="8"/>
      <c r="BQ1265" s="4"/>
      <c r="BR1265" s="4"/>
      <c r="BS1265" s="4"/>
      <c r="BT1265" s="4"/>
      <c r="BU1265" s="8"/>
      <c r="BV1265" s="4"/>
      <c r="BW1265" s="4"/>
      <c r="BX1265" s="4"/>
      <c r="BY1265" s="4"/>
      <c r="BZ1265" s="10"/>
      <c r="CA1265" s="4"/>
      <c r="CB1265" s="4"/>
      <c r="CC1265" s="4"/>
      <c r="CD1265" s="4"/>
      <c r="CE1265" s="10"/>
      <c r="CF1265" s="4"/>
      <c r="CG1265" s="4"/>
      <c r="CH1265" s="4"/>
      <c r="CI1265" s="4"/>
      <c r="CJ1265" s="10"/>
      <c r="CK1265" s="4"/>
      <c r="CL1265" s="4"/>
      <c r="CM1265" s="4"/>
      <c r="CN1265" s="16"/>
      <c r="CO1265" s="10"/>
      <c r="CP1265" s="16"/>
      <c r="CQ1265" s="4"/>
      <c r="CR1265" s="4"/>
      <c r="CS1265" s="4"/>
      <c r="CT1265" s="10"/>
      <c r="CU1265" s="4"/>
      <c r="CV1265" s="4"/>
      <c r="CW1265" s="4"/>
      <c r="CX1265" s="4"/>
      <c r="CY1265" s="10"/>
      <c r="CZ1265" s="4"/>
      <c r="DA1265" s="4"/>
      <c r="DB1265" s="4"/>
      <c r="DC1265" s="4"/>
      <c r="DD1265" s="10"/>
      <c r="DE1265" s="4"/>
      <c r="DF1265" s="4"/>
      <c r="DG1265" s="16"/>
      <c r="DH1265" s="4"/>
      <c r="DI1265" s="10"/>
      <c r="DJ1265" s="16"/>
      <c r="DK1265" s="16"/>
      <c r="DL1265" s="16"/>
      <c r="DM1265" s="4"/>
      <c r="DN1265" s="10"/>
      <c r="DO1265" s="4"/>
      <c r="DP1265" s="4"/>
      <c r="DQ1265" s="4"/>
      <c r="DR1265" s="4"/>
      <c r="DS1265" s="10"/>
      <c r="DT1265" s="4"/>
      <c r="DU1265" s="4"/>
      <c r="DV1265" s="4"/>
      <c r="DW1265" s="4"/>
      <c r="DX1265" s="10"/>
      <c r="DY1265" s="4"/>
      <c r="DZ1265" s="4"/>
      <c r="EA1265" s="4"/>
      <c r="EB1265" s="4"/>
      <c r="EC1265" s="10"/>
      <c r="ED1265" s="4"/>
      <c r="EE1265" s="4"/>
      <c r="EF1265" s="4"/>
      <c r="EG1265" s="4"/>
      <c r="EH1265" s="10"/>
      <c r="EI1265" s="214"/>
      <c r="EJ1265" s="4"/>
      <c r="EK1265" s="4"/>
      <c r="EL1265" s="4"/>
      <c r="EM1265" s="10"/>
      <c r="EN1265" s="4"/>
      <c r="EO1265" s="4"/>
      <c r="EP1265" s="4"/>
      <c r="EQ1265" s="4"/>
      <c r="ER1265" s="10"/>
      <c r="ES1265" s="4"/>
      <c r="ET1265" s="4"/>
      <c r="EU1265" s="4"/>
      <c r="EV1265" s="4"/>
      <c r="EW1265" s="10"/>
      <c r="EX1265" s="4"/>
      <c r="EY1265" s="4"/>
      <c r="EZ1265" s="4"/>
      <c r="FA1265" s="4"/>
      <c r="FB1265" s="10"/>
      <c r="FC1265" s="4"/>
      <c r="FD1265" s="4"/>
      <c r="FE1265" s="4"/>
      <c r="FF1265" s="4"/>
      <c r="FG1265" s="10"/>
      <c r="FH1265" s="21"/>
      <c r="FI1265" s="4"/>
      <c r="FJ1265" s="4"/>
      <c r="FK1265" s="4"/>
      <c r="FL1265" s="4"/>
    </row>
    <row r="1266" ht="12.75" hidden="1" customHeight="1" outlineLevel="3">
      <c r="A1266" s="4"/>
      <c r="B1266" s="4" t="s">
        <v>477</v>
      </c>
      <c r="C1266" s="4"/>
      <c r="D1266" s="4"/>
      <c r="E1266" s="4"/>
      <c r="F1266" s="4"/>
      <c r="G1266" s="4"/>
      <c r="H1266" s="8"/>
      <c r="I1266" s="4"/>
      <c r="J1266" s="4"/>
      <c r="K1266" s="4"/>
      <c r="L1266" s="4"/>
      <c r="M1266" s="8">
        <v>1.55</v>
      </c>
      <c r="N1266" s="4">
        <f t="shared" si="6095"/>
        <v>0.2561983471</v>
      </c>
      <c r="O1266" s="4"/>
      <c r="P1266" s="4"/>
      <c r="Q1266" s="4"/>
      <c r="R1266" s="8">
        <v>1.0</v>
      </c>
      <c r="S1266" s="4">
        <f t="shared" si="6096"/>
        <v>0.1652892562</v>
      </c>
      <c r="T1266" s="4"/>
      <c r="U1266" s="4"/>
      <c r="V1266" s="4"/>
      <c r="W1266" s="8">
        <v>1.25</v>
      </c>
      <c r="X1266" s="4">
        <f t="shared" si="6097"/>
        <v>0.2066115702</v>
      </c>
      <c r="Y1266" s="4"/>
      <c r="Z1266" s="4"/>
      <c r="AA1266" s="4"/>
      <c r="AB1266" s="8">
        <v>1.4</v>
      </c>
      <c r="AC1266" s="4">
        <f t="shared" si="6098"/>
        <v>0.2314049587</v>
      </c>
      <c r="AD1266" s="4"/>
      <c r="AE1266" s="4"/>
      <c r="AF1266" s="4"/>
      <c r="AG1266" s="8">
        <v>1.8</v>
      </c>
      <c r="AH1266" s="4">
        <f t="shared" si="6099"/>
        <v>0.2975206612</v>
      </c>
      <c r="AI1266" s="4"/>
      <c r="AJ1266" s="4"/>
      <c r="AK1266" s="4"/>
      <c r="AL1266" s="8">
        <v>1.85</v>
      </c>
      <c r="AM1266" s="4">
        <f t="shared" si="6100"/>
        <v>0.305785124</v>
      </c>
      <c r="AN1266" s="4"/>
      <c r="AO1266" s="4"/>
      <c r="AP1266" s="4"/>
      <c r="AQ1266" s="8">
        <v>1.75</v>
      </c>
      <c r="AR1266" s="4">
        <f t="shared" si="6101"/>
        <v>0.2892561983</v>
      </c>
      <c r="AS1266" s="4"/>
      <c r="AT1266" s="4"/>
      <c r="AU1266" s="4"/>
      <c r="AV1266" s="8"/>
      <c r="AW1266" s="4"/>
      <c r="AX1266" s="4"/>
      <c r="AY1266" s="4"/>
      <c r="AZ1266" s="4"/>
      <c r="BA1266" s="8"/>
      <c r="BB1266" s="4"/>
      <c r="BC1266" s="4"/>
      <c r="BD1266" s="4"/>
      <c r="BE1266" s="4"/>
      <c r="BF1266" s="8"/>
      <c r="BG1266" s="4"/>
      <c r="BH1266" s="4"/>
      <c r="BI1266" s="4"/>
      <c r="BJ1266" s="4"/>
      <c r="BK1266" s="8"/>
      <c r="BL1266" s="4"/>
      <c r="BM1266" s="4"/>
      <c r="BN1266" s="4"/>
      <c r="BO1266" s="4"/>
      <c r="BP1266" s="8"/>
      <c r="BQ1266" s="4"/>
      <c r="BR1266" s="4"/>
      <c r="BS1266" s="4"/>
      <c r="BT1266" s="4"/>
      <c r="BU1266" s="8"/>
      <c r="BV1266" s="4"/>
      <c r="BW1266" s="4"/>
      <c r="BX1266" s="4"/>
      <c r="BY1266" s="4"/>
      <c r="BZ1266" s="10"/>
      <c r="CA1266" s="4"/>
      <c r="CB1266" s="4"/>
      <c r="CC1266" s="4"/>
      <c r="CD1266" s="4"/>
      <c r="CE1266" s="10"/>
      <c r="CF1266" s="4"/>
      <c r="CG1266" s="4"/>
      <c r="CH1266" s="4"/>
      <c r="CI1266" s="4"/>
      <c r="CJ1266" s="10"/>
      <c r="CK1266" s="4"/>
      <c r="CL1266" s="4"/>
      <c r="CM1266" s="4"/>
      <c r="CN1266" s="16"/>
      <c r="CO1266" s="10"/>
      <c r="CP1266" s="16"/>
      <c r="CQ1266" s="4"/>
      <c r="CR1266" s="4"/>
      <c r="CS1266" s="4"/>
      <c r="CT1266" s="10"/>
      <c r="CU1266" s="4"/>
      <c r="CV1266" s="4"/>
      <c r="CW1266" s="4"/>
      <c r="CX1266" s="4"/>
      <c r="CY1266" s="10"/>
      <c r="CZ1266" s="4"/>
      <c r="DA1266" s="4"/>
      <c r="DB1266" s="4"/>
      <c r="DC1266" s="4"/>
      <c r="DD1266" s="10"/>
      <c r="DE1266" s="4"/>
      <c r="DF1266" s="4"/>
      <c r="DG1266" s="16"/>
      <c r="DH1266" s="4"/>
      <c r="DI1266" s="10"/>
      <c r="DJ1266" s="16"/>
      <c r="DK1266" s="16"/>
      <c r="DL1266" s="16"/>
      <c r="DM1266" s="4"/>
      <c r="DN1266" s="10"/>
      <c r="DO1266" s="4"/>
      <c r="DP1266" s="4"/>
      <c r="DQ1266" s="4"/>
      <c r="DR1266" s="4"/>
      <c r="DS1266" s="10"/>
      <c r="DT1266" s="4"/>
      <c r="DU1266" s="4"/>
      <c r="DV1266" s="4"/>
      <c r="DW1266" s="4"/>
      <c r="DX1266" s="10"/>
      <c r="DY1266" s="4"/>
      <c r="DZ1266" s="4"/>
      <c r="EA1266" s="4"/>
      <c r="EB1266" s="4"/>
      <c r="EC1266" s="10"/>
      <c r="ED1266" s="4"/>
      <c r="EE1266" s="4"/>
      <c r="EF1266" s="4"/>
      <c r="EG1266" s="4"/>
      <c r="EH1266" s="10"/>
      <c r="EI1266" s="214"/>
      <c r="EJ1266" s="4"/>
      <c r="EK1266" s="4"/>
      <c r="EL1266" s="4"/>
      <c r="EM1266" s="10"/>
      <c r="EN1266" s="4"/>
      <c r="EO1266" s="4"/>
      <c r="EP1266" s="4"/>
      <c r="EQ1266" s="4"/>
      <c r="ER1266" s="10"/>
      <c r="ES1266" s="4"/>
      <c r="ET1266" s="4"/>
      <c r="EU1266" s="4"/>
      <c r="EV1266" s="4"/>
      <c r="EW1266" s="10"/>
      <c r="EX1266" s="4"/>
      <c r="EY1266" s="4"/>
      <c r="EZ1266" s="4"/>
      <c r="FA1266" s="4"/>
      <c r="FB1266" s="10"/>
      <c r="FC1266" s="4"/>
      <c r="FD1266" s="4"/>
      <c r="FE1266" s="4"/>
      <c r="FF1266" s="4"/>
      <c r="FG1266" s="10"/>
      <c r="FH1266" s="21"/>
      <c r="FI1266" s="4"/>
      <c r="FJ1266" s="4"/>
      <c r="FK1266" s="4"/>
      <c r="FL1266" s="4"/>
    </row>
    <row r="1267" ht="12.75" hidden="1" customHeight="1" outlineLevel="3">
      <c r="A1267" s="45"/>
      <c r="B1267" s="45" t="s">
        <v>291</v>
      </c>
      <c r="C1267" s="45"/>
      <c r="D1267" s="45"/>
      <c r="E1267" s="45"/>
      <c r="F1267" s="45"/>
      <c r="G1267" s="45"/>
      <c r="H1267" s="8"/>
      <c r="I1267" s="45"/>
      <c r="J1267" s="45"/>
      <c r="K1267" s="45"/>
      <c r="L1267" s="45"/>
      <c r="M1267" s="8">
        <v>6.05</v>
      </c>
      <c r="N1267" s="45">
        <f t="shared" si="6095"/>
        <v>1</v>
      </c>
      <c r="O1267" s="45"/>
      <c r="P1267" s="45"/>
      <c r="Q1267" s="45"/>
      <c r="R1267" s="8">
        <v>6.05</v>
      </c>
      <c r="S1267" s="45">
        <f t="shared" si="6096"/>
        <v>1</v>
      </c>
      <c r="T1267" s="45"/>
      <c r="U1267" s="45"/>
      <c r="V1267" s="45"/>
      <c r="W1267" s="8">
        <v>6.05</v>
      </c>
      <c r="X1267" s="45">
        <f t="shared" si="6097"/>
        <v>1</v>
      </c>
      <c r="Y1267" s="45"/>
      <c r="Z1267" s="45"/>
      <c r="AA1267" s="45"/>
      <c r="AB1267" s="8">
        <v>6.05</v>
      </c>
      <c r="AC1267" s="45">
        <f t="shared" si="6098"/>
        <v>1</v>
      </c>
      <c r="AD1267" s="45"/>
      <c r="AE1267" s="45"/>
      <c r="AF1267" s="45"/>
      <c r="AG1267" s="8">
        <v>6.05</v>
      </c>
      <c r="AH1267" s="45">
        <f t="shared" si="6099"/>
        <v>1</v>
      </c>
      <c r="AI1267" s="45"/>
      <c r="AJ1267" s="45"/>
      <c r="AK1267" s="45"/>
      <c r="AL1267" s="8">
        <v>6.05</v>
      </c>
      <c r="AM1267" s="45">
        <f t="shared" si="6100"/>
        <v>1</v>
      </c>
      <c r="AN1267" s="45"/>
      <c r="AO1267" s="45"/>
      <c r="AP1267" s="45"/>
      <c r="AQ1267" s="8">
        <v>6.05</v>
      </c>
      <c r="AR1267" s="45">
        <f t="shared" si="6101"/>
        <v>1</v>
      </c>
      <c r="AS1267" s="45"/>
      <c r="AT1267" s="45"/>
      <c r="AU1267" s="45"/>
      <c r="AV1267" s="8"/>
      <c r="AW1267" s="45"/>
      <c r="AX1267" s="45"/>
      <c r="AY1267" s="45"/>
      <c r="AZ1267" s="45"/>
      <c r="BA1267" s="8"/>
      <c r="BB1267" s="45"/>
      <c r="BC1267" s="45"/>
      <c r="BD1267" s="45"/>
      <c r="BE1267" s="45"/>
      <c r="BF1267" s="8"/>
      <c r="BG1267" s="45"/>
      <c r="BH1267" s="45"/>
      <c r="BI1267" s="45"/>
      <c r="BJ1267" s="45"/>
      <c r="BK1267" s="8"/>
      <c r="BL1267" s="45"/>
      <c r="BM1267" s="45"/>
      <c r="BN1267" s="45"/>
      <c r="BO1267" s="45"/>
      <c r="BP1267" s="8"/>
      <c r="BQ1267" s="45"/>
      <c r="BR1267" s="45"/>
      <c r="BS1267" s="45"/>
      <c r="BT1267" s="45"/>
      <c r="BU1267" s="8"/>
      <c r="BV1267" s="45"/>
      <c r="BW1267" s="45"/>
      <c r="BX1267" s="45"/>
      <c r="BY1267" s="45"/>
      <c r="BZ1267" s="10"/>
      <c r="CA1267" s="45"/>
      <c r="CB1267" s="45"/>
      <c r="CC1267" s="45"/>
      <c r="CD1267" s="45"/>
      <c r="CE1267" s="10"/>
      <c r="CF1267" s="45"/>
      <c r="CG1267" s="45"/>
      <c r="CH1267" s="45"/>
      <c r="CI1267" s="45"/>
      <c r="CJ1267" s="10"/>
      <c r="CK1267" s="45"/>
      <c r="CL1267" s="45"/>
      <c r="CM1267" s="45"/>
      <c r="CN1267" s="145"/>
      <c r="CO1267" s="10"/>
      <c r="CP1267" s="145"/>
      <c r="CQ1267" s="45"/>
      <c r="CR1267" s="45"/>
      <c r="CS1267" s="45"/>
      <c r="CT1267" s="10"/>
      <c r="CU1267" s="45"/>
      <c r="CV1267" s="45"/>
      <c r="CW1267" s="45"/>
      <c r="CX1267" s="45"/>
      <c r="CY1267" s="10"/>
      <c r="CZ1267" s="45"/>
      <c r="DA1267" s="45"/>
      <c r="DB1267" s="45"/>
      <c r="DC1267" s="45"/>
      <c r="DD1267" s="10"/>
      <c r="DE1267" s="45"/>
      <c r="DF1267" s="45"/>
      <c r="DG1267" s="145"/>
      <c r="DH1267" s="45"/>
      <c r="DI1267" s="10"/>
      <c r="DJ1267" s="145"/>
      <c r="DK1267" s="145"/>
      <c r="DL1267" s="145"/>
      <c r="DM1267" s="45"/>
      <c r="DN1267" s="10"/>
      <c r="DO1267" s="45"/>
      <c r="DP1267" s="45"/>
      <c r="DQ1267" s="45"/>
      <c r="DR1267" s="45"/>
      <c r="DS1267" s="10"/>
      <c r="DT1267" s="45"/>
      <c r="DU1267" s="45"/>
      <c r="DV1267" s="45"/>
      <c r="DW1267" s="45"/>
      <c r="DX1267" s="10"/>
      <c r="DY1267" s="45"/>
      <c r="DZ1267" s="45"/>
      <c r="EA1267" s="45"/>
      <c r="EB1267" s="45"/>
      <c r="EC1267" s="10"/>
      <c r="ED1267" s="45"/>
      <c r="EE1267" s="45"/>
      <c r="EF1267" s="45"/>
      <c r="EG1267" s="45"/>
      <c r="EH1267" s="10"/>
      <c r="EI1267" s="758"/>
      <c r="EJ1267" s="45"/>
      <c r="EK1267" s="45"/>
      <c r="EL1267" s="45"/>
      <c r="EM1267" s="10"/>
      <c r="EN1267" s="45"/>
      <c r="EO1267" s="45"/>
      <c r="EP1267" s="45"/>
      <c r="EQ1267" s="45"/>
      <c r="ER1267" s="10"/>
      <c r="ES1267" s="45"/>
      <c r="ET1267" s="45"/>
      <c r="EU1267" s="45"/>
      <c r="EV1267" s="45"/>
      <c r="EW1267" s="10"/>
      <c r="EX1267" s="45"/>
      <c r="EY1267" s="45"/>
      <c r="EZ1267" s="45"/>
      <c r="FA1267" s="45"/>
      <c r="FB1267" s="10"/>
      <c r="FC1267" s="45"/>
      <c r="FD1267" s="45"/>
      <c r="FE1267" s="45"/>
      <c r="FF1267" s="45"/>
      <c r="FG1267" s="10"/>
      <c r="FH1267" s="21"/>
      <c r="FI1267" s="45"/>
      <c r="FJ1267" s="45"/>
      <c r="FK1267" s="45"/>
      <c r="FL1267" s="45"/>
    </row>
    <row r="1268" ht="12.75" hidden="1" customHeight="1" outlineLevel="3">
      <c r="A1268" s="4"/>
      <c r="B1268" s="4"/>
      <c r="C1268" s="4"/>
      <c r="D1268" s="4"/>
      <c r="E1268" s="4"/>
      <c r="F1268" s="4"/>
      <c r="G1268" s="4"/>
      <c r="H1268" s="8"/>
      <c r="I1268" s="4"/>
      <c r="J1268" s="4"/>
      <c r="K1268" s="4"/>
      <c r="L1268" s="4"/>
      <c r="M1268" s="8"/>
      <c r="N1268" s="4"/>
      <c r="O1268" s="4"/>
      <c r="P1268" s="4"/>
      <c r="Q1268" s="4"/>
      <c r="R1268" s="8"/>
      <c r="S1268" s="4"/>
      <c r="T1268" s="4"/>
      <c r="U1268" s="4"/>
      <c r="V1268" s="4"/>
      <c r="W1268" s="8"/>
      <c r="X1268" s="4"/>
      <c r="Y1268" s="4"/>
      <c r="Z1268" s="4"/>
      <c r="AA1268" s="4"/>
      <c r="AB1268" s="8"/>
      <c r="AC1268" s="4"/>
      <c r="AD1268" s="4"/>
      <c r="AE1268" s="4"/>
      <c r="AF1268" s="4"/>
      <c r="AG1268" s="8"/>
      <c r="AH1268" s="4"/>
      <c r="AI1268" s="4"/>
      <c r="AJ1268" s="4"/>
      <c r="AK1268" s="4"/>
      <c r="AL1268" s="8"/>
      <c r="AM1268" s="4"/>
      <c r="AN1268" s="4"/>
      <c r="AO1268" s="4"/>
      <c r="AP1268" s="4"/>
      <c r="AQ1268" s="8"/>
      <c r="AR1268" s="4"/>
      <c r="AS1268" s="4"/>
      <c r="AT1268" s="4"/>
      <c r="AU1268" s="4"/>
      <c r="AV1268" s="8"/>
      <c r="AW1268" s="4"/>
      <c r="AX1268" s="4"/>
      <c r="AY1268" s="4"/>
      <c r="AZ1268" s="4"/>
      <c r="BA1268" s="8"/>
      <c r="BB1268" s="4"/>
      <c r="BC1268" s="4"/>
      <c r="BD1268" s="4"/>
      <c r="BE1268" s="4"/>
      <c r="BF1268" s="8"/>
      <c r="BG1268" s="4"/>
      <c r="BH1268" s="4"/>
      <c r="BI1268" s="4"/>
      <c r="BJ1268" s="4"/>
      <c r="BK1268" s="8"/>
      <c r="BL1268" s="4"/>
      <c r="BM1268" s="4"/>
      <c r="BN1268" s="4"/>
      <c r="BO1268" s="4"/>
      <c r="BP1268" s="8"/>
      <c r="BQ1268" s="4"/>
      <c r="BR1268" s="4"/>
      <c r="BS1268" s="4"/>
      <c r="BT1268" s="4"/>
      <c r="BU1268" s="8"/>
      <c r="BV1268" s="4"/>
      <c r="BW1268" s="4"/>
      <c r="BX1268" s="4"/>
      <c r="BY1268" s="4"/>
      <c r="BZ1268" s="10"/>
      <c r="CA1268" s="4"/>
      <c r="CB1268" s="4"/>
      <c r="CC1268" s="4"/>
      <c r="CD1268" s="4"/>
      <c r="CE1268" s="10"/>
      <c r="CF1268" s="4"/>
      <c r="CG1268" s="4"/>
      <c r="CH1268" s="4"/>
      <c r="CI1268" s="4"/>
      <c r="CJ1268" s="10"/>
      <c r="CK1268" s="4"/>
      <c r="CL1268" s="4"/>
      <c r="CM1268" s="4"/>
      <c r="CN1268" s="16"/>
      <c r="CO1268" s="10"/>
      <c r="CP1268" s="16"/>
      <c r="CQ1268" s="4"/>
      <c r="CR1268" s="4"/>
      <c r="CS1268" s="4"/>
      <c r="CT1268" s="10"/>
      <c r="CU1268" s="4"/>
      <c r="CV1268" s="4"/>
      <c r="CW1268" s="4"/>
      <c r="CX1268" s="4"/>
      <c r="CY1268" s="10"/>
      <c r="CZ1268" s="4"/>
      <c r="DA1268" s="4"/>
      <c r="DB1268" s="4"/>
      <c r="DC1268" s="4"/>
      <c r="DD1268" s="10"/>
      <c r="DE1268" s="4"/>
      <c r="DF1268" s="4"/>
      <c r="DG1268" s="16"/>
      <c r="DH1268" s="4"/>
      <c r="DI1268" s="10"/>
      <c r="DJ1268" s="16"/>
      <c r="DK1268" s="16"/>
      <c r="DL1268" s="16"/>
      <c r="DM1268" s="4"/>
      <c r="DN1268" s="10"/>
      <c r="DO1268" s="4"/>
      <c r="DP1268" s="4"/>
      <c r="DQ1268" s="4"/>
      <c r="DR1268" s="4"/>
      <c r="DS1268" s="10"/>
      <c r="DT1268" s="4"/>
      <c r="DU1268" s="4"/>
      <c r="DV1268" s="4"/>
      <c r="DW1268" s="4"/>
      <c r="DX1268" s="10"/>
      <c r="DY1268" s="4"/>
      <c r="DZ1268" s="4"/>
      <c r="EA1268" s="4"/>
      <c r="EB1268" s="4"/>
      <c r="EC1268" s="10"/>
      <c r="ED1268" s="4"/>
      <c r="EE1268" s="4"/>
      <c r="EF1268" s="4"/>
      <c r="EG1268" s="4"/>
      <c r="EH1268" s="10"/>
      <c r="EI1268" s="214"/>
      <c r="EJ1268" s="4"/>
      <c r="EK1268" s="4"/>
      <c r="EL1268" s="4"/>
      <c r="EM1268" s="10"/>
      <c r="EN1268" s="4"/>
      <c r="EO1268" s="4"/>
      <c r="EP1268" s="4"/>
      <c r="EQ1268" s="4"/>
      <c r="ER1268" s="10"/>
      <c r="ES1268" s="4"/>
      <c r="ET1268" s="4"/>
      <c r="EU1268" s="4"/>
      <c r="EV1268" s="4"/>
      <c r="EW1268" s="10"/>
      <c r="EX1268" s="4"/>
      <c r="EY1268" s="4"/>
      <c r="EZ1268" s="4"/>
      <c r="FA1268" s="4"/>
      <c r="FB1268" s="10"/>
      <c r="FC1268" s="4"/>
      <c r="FD1268" s="4"/>
      <c r="FE1268" s="4"/>
      <c r="FF1268" s="4"/>
      <c r="FG1268" s="10"/>
      <c r="FH1268" s="21"/>
      <c r="FI1268" s="4"/>
      <c r="FJ1268" s="4"/>
      <c r="FK1268" s="4"/>
      <c r="FL1268" s="4"/>
    </row>
    <row r="1269" ht="12.75" hidden="1" customHeight="1" outlineLevel="3">
      <c r="A1269" s="4"/>
      <c r="B1269" s="4"/>
      <c r="C1269" s="4"/>
      <c r="D1269" s="4"/>
      <c r="E1269" s="4"/>
      <c r="F1269" s="4"/>
      <c r="G1269" s="4"/>
      <c r="H1269" s="8"/>
      <c r="I1269" s="4"/>
      <c r="J1269" s="4"/>
      <c r="K1269" s="4"/>
      <c r="L1269" s="4"/>
      <c r="M1269" s="8"/>
      <c r="N1269" s="4"/>
      <c r="O1269" s="4"/>
      <c r="P1269" s="4"/>
      <c r="Q1269" s="4"/>
      <c r="R1269" s="8"/>
      <c r="S1269" s="4"/>
      <c r="T1269" s="4"/>
      <c r="U1269" s="4"/>
      <c r="V1269" s="4"/>
      <c r="W1269" s="8"/>
      <c r="X1269" s="4"/>
      <c r="Y1269" s="4"/>
      <c r="Z1269" s="4"/>
      <c r="AA1269" s="4"/>
      <c r="AB1269" s="8"/>
      <c r="AC1269" s="4"/>
      <c r="AD1269" s="4"/>
      <c r="AE1269" s="4"/>
      <c r="AF1269" s="4"/>
      <c r="AG1269" s="8"/>
      <c r="AH1269" s="4"/>
      <c r="AI1269" s="4"/>
      <c r="AJ1269" s="4"/>
      <c r="AK1269" s="4"/>
      <c r="AL1269" s="8"/>
      <c r="AM1269" s="4"/>
      <c r="AN1269" s="4"/>
      <c r="AO1269" s="4"/>
      <c r="AP1269" s="4"/>
      <c r="AQ1269" s="8"/>
      <c r="AR1269" s="4"/>
      <c r="AS1269" s="4"/>
      <c r="AT1269" s="4"/>
      <c r="AU1269" s="4"/>
      <c r="AV1269" s="8"/>
      <c r="AW1269" s="4"/>
      <c r="AX1269" s="4"/>
      <c r="AY1269" s="4"/>
      <c r="AZ1269" s="4"/>
      <c r="BA1269" s="8"/>
      <c r="BB1269" s="4"/>
      <c r="BC1269" s="4"/>
      <c r="BD1269" s="4"/>
      <c r="BE1269" s="4"/>
      <c r="BF1269" s="8"/>
      <c r="BG1269" s="4"/>
      <c r="BH1269" s="4"/>
      <c r="BI1269" s="4"/>
      <c r="BJ1269" s="4"/>
      <c r="BK1269" s="8"/>
      <c r="BL1269" s="4"/>
      <c r="BM1269" s="4"/>
      <c r="BN1269" s="4"/>
      <c r="BO1269" s="4"/>
      <c r="BP1269" s="8"/>
      <c r="BQ1269" s="4"/>
      <c r="BR1269" s="4"/>
      <c r="BS1269" s="4"/>
      <c r="BT1269" s="4"/>
      <c r="BU1269" s="8"/>
      <c r="BV1269" s="4"/>
      <c r="BW1269" s="4"/>
      <c r="BX1269" s="4"/>
      <c r="BY1269" s="4"/>
      <c r="BZ1269" s="10"/>
      <c r="CA1269" s="4"/>
      <c r="CB1269" s="4"/>
      <c r="CC1269" s="4"/>
      <c r="CD1269" s="4"/>
      <c r="CE1269" s="10"/>
      <c r="CF1269" s="4"/>
      <c r="CG1269" s="4"/>
      <c r="CH1269" s="4"/>
      <c r="CI1269" s="4"/>
      <c r="CJ1269" s="10"/>
      <c r="CK1269" s="4"/>
      <c r="CL1269" s="4"/>
      <c r="CM1269" s="4"/>
      <c r="CN1269" s="16"/>
      <c r="CO1269" s="10"/>
      <c r="CP1269" s="16"/>
      <c r="CQ1269" s="4"/>
      <c r="CR1269" s="4"/>
      <c r="CS1269" s="4"/>
      <c r="CT1269" s="10"/>
      <c r="CU1269" s="4"/>
      <c r="CV1269" s="4"/>
      <c r="CW1269" s="4"/>
      <c r="CX1269" s="4"/>
      <c r="CY1269" s="10"/>
      <c r="CZ1269" s="4"/>
      <c r="DA1269" s="4"/>
      <c r="DB1269" s="4"/>
      <c r="DC1269" s="4"/>
      <c r="DD1269" s="10"/>
      <c r="DE1269" s="4"/>
      <c r="DF1269" s="4"/>
      <c r="DG1269" s="16"/>
      <c r="DH1269" s="4"/>
      <c r="DI1269" s="10"/>
      <c r="DJ1269" s="16"/>
      <c r="DK1269" s="16"/>
      <c r="DL1269" s="16"/>
      <c r="DM1269" s="4"/>
      <c r="DN1269" s="10"/>
      <c r="DO1269" s="4"/>
      <c r="DP1269" s="4"/>
      <c r="DQ1269" s="4"/>
      <c r="DR1269" s="4"/>
      <c r="DS1269" s="10"/>
      <c r="DT1269" s="4"/>
      <c r="DU1269" s="4"/>
      <c r="DV1269" s="4"/>
      <c r="DW1269" s="4"/>
      <c r="DX1269" s="10"/>
      <c r="DY1269" s="4"/>
      <c r="DZ1269" s="4"/>
      <c r="EA1269" s="4"/>
      <c r="EB1269" s="4"/>
      <c r="EC1269" s="10"/>
      <c r="ED1269" s="4"/>
      <c r="EE1269" s="4"/>
      <c r="EF1269" s="4"/>
      <c r="EG1269" s="4"/>
      <c r="EH1269" s="10"/>
      <c r="EI1269" s="214"/>
      <c r="EJ1269" s="4"/>
      <c r="EK1269" s="4"/>
      <c r="EL1269" s="4"/>
      <c r="EM1269" s="10"/>
      <c r="EN1269" s="4"/>
      <c r="EO1269" s="4"/>
      <c r="EP1269" s="4"/>
      <c r="EQ1269" s="4"/>
      <c r="ER1269" s="10"/>
      <c r="ES1269" s="4"/>
      <c r="ET1269" s="4"/>
      <c r="EU1269" s="4"/>
      <c r="EV1269" s="4"/>
      <c r="EW1269" s="10"/>
      <c r="EX1269" s="4"/>
      <c r="EY1269" s="4"/>
      <c r="EZ1269" s="4"/>
      <c r="FA1269" s="4"/>
      <c r="FB1269" s="10"/>
      <c r="FC1269" s="4"/>
      <c r="FD1269" s="4"/>
      <c r="FE1269" s="4"/>
      <c r="FF1269" s="4"/>
      <c r="FG1269" s="10"/>
      <c r="FH1269" s="21"/>
      <c r="FI1269" s="4"/>
      <c r="FJ1269" s="4"/>
      <c r="FK1269" s="4"/>
      <c r="FL1269" s="4"/>
    </row>
    <row r="1270" ht="12.75" hidden="1" customHeight="1" outlineLevel="3">
      <c r="A1270" s="4"/>
      <c r="B1270" s="4" t="str">
        <f>B4</f>
        <v>Intel Corporation</v>
      </c>
      <c r="C1270" s="4"/>
      <c r="D1270" s="4"/>
      <c r="E1270" s="4"/>
      <c r="F1270" s="4"/>
      <c r="G1270" s="4"/>
      <c r="H1270" s="8"/>
      <c r="I1270" s="4"/>
      <c r="J1270" s="4"/>
      <c r="K1270" s="4"/>
      <c r="L1270" s="4"/>
      <c r="M1270" s="8"/>
      <c r="N1270" s="4"/>
      <c r="O1270" s="4"/>
      <c r="P1270" s="4"/>
      <c r="Q1270" s="4"/>
      <c r="R1270" s="8"/>
      <c r="S1270" s="4"/>
      <c r="T1270" s="4"/>
      <c r="U1270" s="4"/>
      <c r="V1270" s="4"/>
      <c r="W1270" s="8"/>
      <c r="X1270" s="4"/>
      <c r="Y1270" s="4"/>
      <c r="Z1270" s="4"/>
      <c r="AA1270" s="4"/>
      <c r="AB1270" s="8"/>
      <c r="AC1270" s="4"/>
      <c r="AD1270" s="4"/>
      <c r="AE1270" s="4"/>
      <c r="AF1270" s="4"/>
      <c r="AG1270" s="8"/>
      <c r="AH1270" s="4"/>
      <c r="AI1270" s="4"/>
      <c r="AJ1270" s="4"/>
      <c r="AK1270" s="4"/>
      <c r="AL1270" s="8"/>
      <c r="AM1270" s="4"/>
      <c r="AN1270" s="4"/>
      <c r="AO1270" s="4"/>
      <c r="AP1270" s="4"/>
      <c r="AQ1270" s="8"/>
      <c r="AR1270" s="4"/>
      <c r="AS1270" s="4"/>
      <c r="AT1270" s="4"/>
      <c r="AU1270" s="4"/>
      <c r="AV1270" s="8"/>
      <c r="AW1270" s="4"/>
      <c r="AX1270" s="4"/>
      <c r="AY1270" s="4"/>
      <c r="AZ1270" s="4"/>
      <c r="BA1270" s="8"/>
      <c r="BB1270" s="4"/>
      <c r="BC1270" s="4"/>
      <c r="BD1270" s="4"/>
      <c r="BE1270" s="4"/>
      <c r="BF1270" s="8"/>
      <c r="BG1270" s="4"/>
      <c r="BH1270" s="4"/>
      <c r="BI1270" s="4"/>
      <c r="BJ1270" s="4"/>
      <c r="BK1270" s="8"/>
      <c r="BL1270" s="4"/>
      <c r="BM1270" s="4"/>
      <c r="BN1270" s="4"/>
      <c r="BO1270" s="4"/>
      <c r="BP1270" s="8"/>
      <c r="BQ1270" s="4"/>
      <c r="BR1270" s="4"/>
      <c r="BS1270" s="4"/>
      <c r="BT1270" s="4"/>
      <c r="BU1270" s="8"/>
      <c r="BV1270" s="4"/>
      <c r="BW1270" s="4"/>
      <c r="BX1270" s="4"/>
      <c r="BY1270" s="4"/>
      <c r="BZ1270" s="10"/>
      <c r="CA1270" s="4"/>
      <c r="CB1270" s="4"/>
      <c r="CC1270" s="4"/>
      <c r="CD1270" s="4"/>
      <c r="CE1270" s="10"/>
      <c r="CF1270" s="4"/>
      <c r="CG1270" s="4"/>
      <c r="CH1270" s="4"/>
      <c r="CI1270" s="4"/>
      <c r="CJ1270" s="10"/>
      <c r="CK1270" s="4"/>
      <c r="CL1270" s="4"/>
      <c r="CM1270" s="4"/>
      <c r="CN1270" s="16"/>
      <c r="CO1270" s="10"/>
      <c r="CP1270" s="16"/>
      <c r="CQ1270" s="4"/>
      <c r="CR1270" s="4"/>
      <c r="CS1270" s="4"/>
      <c r="CT1270" s="10"/>
      <c r="CU1270" s="4"/>
      <c r="CV1270" s="4"/>
      <c r="CW1270" s="4"/>
      <c r="CX1270" s="4"/>
      <c r="CY1270" s="10"/>
      <c r="CZ1270" s="4"/>
      <c r="DA1270" s="4"/>
      <c r="DB1270" s="4"/>
      <c r="DC1270" s="4"/>
      <c r="DD1270" s="10"/>
      <c r="DE1270" s="4"/>
      <c r="DF1270" s="4"/>
      <c r="DG1270" s="16"/>
      <c r="DH1270" s="4"/>
      <c r="DI1270" s="10"/>
      <c r="DJ1270" s="16"/>
      <c r="DK1270" s="16"/>
      <c r="DL1270" s="16"/>
      <c r="DM1270" s="4"/>
      <c r="DN1270" s="10"/>
      <c r="DO1270" s="4"/>
      <c r="DP1270" s="4"/>
      <c r="DQ1270" s="4"/>
      <c r="DR1270" s="4"/>
      <c r="DS1270" s="10"/>
      <c r="DT1270" s="4"/>
      <c r="DU1270" s="4"/>
      <c r="DV1270" s="4"/>
      <c r="DW1270" s="4"/>
      <c r="DX1270" s="10"/>
      <c r="DY1270" s="4"/>
      <c r="DZ1270" s="4"/>
      <c r="EA1270" s="4"/>
      <c r="EB1270" s="4"/>
      <c r="EC1270" s="10"/>
      <c r="ED1270" s="4"/>
      <c r="EE1270" s="4"/>
      <c r="EF1270" s="4"/>
      <c r="EG1270" s="4"/>
      <c r="EH1270" s="10"/>
      <c r="EI1270" s="214"/>
      <c r="EJ1270" s="4"/>
      <c r="EK1270" s="4"/>
      <c r="EL1270" s="4"/>
      <c r="EM1270" s="10"/>
      <c r="EN1270" s="4"/>
      <c r="EO1270" s="4"/>
      <c r="EP1270" s="4"/>
      <c r="EQ1270" s="4"/>
      <c r="ER1270" s="10"/>
      <c r="ES1270" s="4"/>
      <c r="ET1270" s="4"/>
      <c r="EU1270" s="4"/>
      <c r="EV1270" s="4"/>
      <c r="EW1270" s="10"/>
      <c r="EX1270" s="4"/>
      <c r="EY1270" s="4"/>
      <c r="EZ1270" s="4"/>
      <c r="FA1270" s="4"/>
      <c r="FB1270" s="10"/>
      <c r="FC1270" s="4"/>
      <c r="FD1270" s="4"/>
      <c r="FE1270" s="4"/>
      <c r="FF1270" s="4"/>
      <c r="FG1270" s="10"/>
      <c r="FH1270" s="21"/>
      <c r="FI1270" s="4"/>
      <c r="FJ1270" s="4"/>
      <c r="FK1270" s="4"/>
      <c r="FL1270" s="4"/>
    </row>
    <row r="1271" ht="12.75" hidden="1" customHeight="1" outlineLevel="3">
      <c r="A1271" s="4"/>
      <c r="B1271" s="759" t="s">
        <v>478</v>
      </c>
      <c r="C1271" s="4"/>
      <c r="D1271" s="4"/>
      <c r="E1271" s="4"/>
      <c r="F1271" s="4"/>
      <c r="G1271" s="4"/>
      <c r="H1271" s="8"/>
      <c r="I1271" s="4"/>
      <c r="J1271" s="4"/>
      <c r="K1271" s="4"/>
      <c r="L1271" s="4"/>
      <c r="M1271" s="8"/>
      <c r="N1271" s="4"/>
      <c r="O1271" s="4"/>
      <c r="P1271" s="4"/>
      <c r="Q1271" s="4"/>
      <c r="R1271" s="8"/>
      <c r="S1271" s="4"/>
      <c r="T1271" s="4"/>
      <c r="U1271" s="4"/>
      <c r="V1271" s="4"/>
      <c r="W1271" s="8"/>
      <c r="X1271" s="4"/>
      <c r="Y1271" s="4"/>
      <c r="Z1271" s="4"/>
      <c r="AA1271" s="4"/>
      <c r="AB1271" s="8"/>
      <c r="AC1271" s="4"/>
      <c r="AD1271" s="4"/>
      <c r="AE1271" s="4"/>
      <c r="AF1271" s="4"/>
      <c r="AG1271" s="8"/>
      <c r="AH1271" s="4"/>
      <c r="AI1271" s="4"/>
      <c r="AJ1271" s="4"/>
      <c r="AK1271" s="4"/>
      <c r="AL1271" s="8"/>
      <c r="AM1271" s="4"/>
      <c r="AN1271" s="4"/>
      <c r="AO1271" s="4"/>
      <c r="AP1271" s="4"/>
      <c r="AQ1271" s="8"/>
      <c r="AR1271" s="4"/>
      <c r="AS1271" s="4"/>
      <c r="AT1271" s="4"/>
      <c r="AU1271" s="4"/>
      <c r="AV1271" s="8"/>
      <c r="AW1271" s="4"/>
      <c r="AX1271" s="4"/>
      <c r="AY1271" s="4"/>
      <c r="AZ1271" s="4"/>
      <c r="BA1271" s="8"/>
      <c r="BB1271" s="4"/>
      <c r="BC1271" s="4"/>
      <c r="BD1271" s="4"/>
      <c r="BE1271" s="4"/>
      <c r="BF1271" s="8"/>
      <c r="BG1271" s="4"/>
      <c r="BH1271" s="4"/>
      <c r="BI1271" s="4"/>
      <c r="BJ1271" s="4"/>
      <c r="BK1271" s="8"/>
      <c r="BL1271" s="4"/>
      <c r="BM1271" s="4"/>
      <c r="BN1271" s="4"/>
      <c r="BO1271" s="4"/>
      <c r="BP1271" s="8"/>
      <c r="BQ1271" s="4"/>
      <c r="BR1271" s="4"/>
      <c r="BS1271" s="4"/>
      <c r="BT1271" s="4"/>
      <c r="BU1271" s="8"/>
      <c r="BV1271" s="4"/>
      <c r="BW1271" s="4"/>
      <c r="BX1271" s="4"/>
      <c r="BY1271" s="4"/>
      <c r="BZ1271" s="10"/>
      <c r="CA1271" s="4"/>
      <c r="CB1271" s="4"/>
      <c r="CC1271" s="4"/>
      <c r="CD1271" s="4"/>
      <c r="CE1271" s="10"/>
      <c r="CF1271" s="4"/>
      <c r="CG1271" s="4"/>
      <c r="CH1271" s="4"/>
      <c r="CI1271" s="4"/>
      <c r="CJ1271" s="10"/>
      <c r="CK1271" s="4"/>
      <c r="CL1271" s="4"/>
      <c r="CM1271" s="4"/>
      <c r="CN1271" s="16"/>
      <c r="CO1271" s="10"/>
      <c r="CP1271" s="16"/>
      <c r="CQ1271" s="4"/>
      <c r="CR1271" s="4"/>
      <c r="CS1271" s="4"/>
      <c r="CT1271" s="10"/>
      <c r="CU1271" s="4"/>
      <c r="CV1271" s="4"/>
      <c r="CW1271" s="4"/>
      <c r="CX1271" s="4"/>
      <c r="CY1271" s="10"/>
      <c r="CZ1271" s="4"/>
      <c r="DA1271" s="4"/>
      <c r="DB1271" s="4"/>
      <c r="DC1271" s="4"/>
      <c r="DD1271" s="10"/>
      <c r="DE1271" s="4"/>
      <c r="DF1271" s="4"/>
      <c r="DG1271" s="16"/>
      <c r="DH1271" s="4"/>
      <c r="DI1271" s="10"/>
      <c r="DJ1271" s="16"/>
      <c r="DK1271" s="16"/>
      <c r="DL1271" s="16"/>
      <c r="DM1271" s="4"/>
      <c r="DN1271" s="10"/>
      <c r="DO1271" s="4"/>
      <c r="DP1271" s="4"/>
      <c r="DQ1271" s="4"/>
      <c r="DR1271" s="4"/>
      <c r="DS1271" s="10"/>
      <c r="DT1271" s="4"/>
      <c r="DU1271" s="4"/>
      <c r="DV1271" s="4"/>
      <c r="DW1271" s="4"/>
      <c r="DX1271" s="10"/>
      <c r="DY1271" s="4"/>
      <c r="DZ1271" s="4"/>
      <c r="EA1271" s="4"/>
      <c r="EB1271" s="4"/>
      <c r="EC1271" s="10"/>
      <c r="ED1271" s="4"/>
      <c r="EE1271" s="4"/>
      <c r="EF1271" s="4"/>
      <c r="EG1271" s="4"/>
      <c r="EH1271" s="10"/>
      <c r="EI1271" s="214"/>
      <c r="EJ1271" s="4"/>
      <c r="EK1271" s="4"/>
      <c r="EL1271" s="4"/>
      <c r="EM1271" s="10"/>
      <c r="EN1271" s="4"/>
      <c r="EO1271" s="4"/>
      <c r="EP1271" s="4"/>
      <c r="EQ1271" s="4"/>
      <c r="ER1271" s="10"/>
      <c r="ES1271" s="4"/>
      <c r="ET1271" s="4"/>
      <c r="EU1271" s="4"/>
      <c r="EV1271" s="4"/>
      <c r="EW1271" s="10"/>
      <c r="EX1271" s="4"/>
      <c r="EY1271" s="4"/>
      <c r="EZ1271" s="4"/>
      <c r="FA1271" s="4"/>
      <c r="FB1271" s="10"/>
      <c r="FC1271" s="4"/>
      <c r="FD1271" s="4"/>
      <c r="FE1271" s="4"/>
      <c r="FF1271" s="4"/>
      <c r="FG1271" s="10"/>
      <c r="FH1271" s="21"/>
      <c r="FI1271" s="4"/>
      <c r="FJ1271" s="4"/>
      <c r="FK1271" s="4"/>
      <c r="FL1271" s="4"/>
    </row>
    <row r="1272" ht="12.75" hidden="1" customHeight="1" outlineLevel="3">
      <c r="A1272" s="4"/>
      <c r="B1272" s="4"/>
      <c r="C1272" s="4"/>
      <c r="D1272" s="4"/>
      <c r="E1272" s="4"/>
      <c r="F1272" s="4"/>
      <c r="G1272" s="4"/>
      <c r="H1272" s="8"/>
      <c r="I1272" s="4"/>
      <c r="J1272" s="4"/>
      <c r="K1272" s="4"/>
      <c r="L1272" s="4"/>
      <c r="M1272" s="8"/>
      <c r="N1272" s="4"/>
      <c r="O1272" s="4"/>
      <c r="P1272" s="4"/>
      <c r="Q1272" s="4"/>
      <c r="R1272" s="8"/>
      <c r="S1272" s="4"/>
      <c r="T1272" s="4"/>
      <c r="U1272" s="4"/>
      <c r="V1272" s="4"/>
      <c r="W1272" s="8"/>
      <c r="X1272" s="4"/>
      <c r="Y1272" s="4"/>
      <c r="Z1272" s="4"/>
      <c r="AA1272" s="4"/>
      <c r="AB1272" s="8"/>
      <c r="AC1272" s="4"/>
      <c r="AD1272" s="4"/>
      <c r="AE1272" s="4"/>
      <c r="AF1272" s="4"/>
      <c r="AG1272" s="8"/>
      <c r="AH1272" s="4"/>
      <c r="AI1272" s="4"/>
      <c r="AJ1272" s="4"/>
      <c r="AK1272" s="4"/>
      <c r="AL1272" s="8"/>
      <c r="AM1272" s="4"/>
      <c r="AN1272" s="4"/>
      <c r="AO1272" s="4"/>
      <c r="AP1272" s="4"/>
      <c r="AQ1272" s="8"/>
      <c r="AR1272" s="4"/>
      <c r="AS1272" s="4"/>
      <c r="AT1272" s="4"/>
      <c r="AU1272" s="4"/>
      <c r="AV1272" s="8"/>
      <c r="AW1272" s="4"/>
      <c r="AX1272" s="4"/>
      <c r="AY1272" s="4"/>
      <c r="AZ1272" s="4"/>
      <c r="BA1272" s="8"/>
      <c r="BB1272" s="4"/>
      <c r="BC1272" s="4"/>
      <c r="BD1272" s="4"/>
      <c r="BE1272" s="4"/>
      <c r="BF1272" s="8"/>
      <c r="BG1272" s="4"/>
      <c r="BH1272" s="4"/>
      <c r="BI1272" s="4"/>
      <c r="BJ1272" s="4"/>
      <c r="BK1272" s="8"/>
      <c r="BL1272" s="4"/>
      <c r="BM1272" s="4"/>
      <c r="BN1272" s="4"/>
      <c r="BO1272" s="4"/>
      <c r="BP1272" s="8"/>
      <c r="BQ1272" s="4"/>
      <c r="BR1272" s="4"/>
      <c r="BS1272" s="4"/>
      <c r="BT1272" s="4"/>
      <c r="BU1272" s="8"/>
      <c r="BV1272" s="4"/>
      <c r="BW1272" s="4"/>
      <c r="BX1272" s="4"/>
      <c r="BY1272" s="4"/>
      <c r="BZ1272" s="10"/>
      <c r="CA1272" s="4"/>
      <c r="CB1272" s="4"/>
      <c r="CC1272" s="4"/>
      <c r="CD1272" s="4"/>
      <c r="CE1272" s="10"/>
      <c r="CF1272" s="4"/>
      <c r="CG1272" s="4"/>
      <c r="CH1272" s="4"/>
      <c r="CI1272" s="4"/>
      <c r="CJ1272" s="10"/>
      <c r="CK1272" s="4"/>
      <c r="CL1272" s="4"/>
      <c r="CM1272" s="4"/>
      <c r="CN1272" s="16"/>
      <c r="CO1272" s="10"/>
      <c r="CP1272" s="16"/>
      <c r="CQ1272" s="4"/>
      <c r="CR1272" s="4"/>
      <c r="CS1272" s="4"/>
      <c r="CT1272" s="10"/>
      <c r="CU1272" s="4"/>
      <c r="CV1272" s="4"/>
      <c r="CW1272" s="4"/>
      <c r="CX1272" s="4"/>
      <c r="CY1272" s="10"/>
      <c r="CZ1272" s="4"/>
      <c r="DA1272" s="4"/>
      <c r="DB1272" s="4"/>
      <c r="DC1272" s="4"/>
      <c r="DD1272" s="10"/>
      <c r="DE1272" s="4"/>
      <c r="DF1272" s="4"/>
      <c r="DG1272" s="16"/>
      <c r="DH1272" s="4"/>
      <c r="DI1272" s="10"/>
      <c r="DJ1272" s="16"/>
      <c r="DK1272" s="16"/>
      <c r="DL1272" s="16"/>
      <c r="DM1272" s="4"/>
      <c r="DN1272" s="10"/>
      <c r="DO1272" s="4"/>
      <c r="DP1272" s="4"/>
      <c r="DQ1272" s="4"/>
      <c r="DR1272" s="4"/>
      <c r="DS1272" s="10"/>
      <c r="DT1272" s="4"/>
      <c r="DU1272" s="4"/>
      <c r="DV1272" s="4"/>
      <c r="DW1272" s="4"/>
      <c r="DX1272" s="10"/>
      <c r="DY1272" s="4"/>
      <c r="DZ1272" s="4"/>
      <c r="EA1272" s="4"/>
      <c r="EB1272" s="4"/>
      <c r="EC1272" s="10"/>
      <c r="ED1272" s="4"/>
      <c r="EE1272" s="4"/>
      <c r="EF1272" s="4"/>
      <c r="EG1272" s="4"/>
      <c r="EH1272" s="10"/>
      <c r="EI1272" s="214"/>
      <c r="EJ1272" s="4"/>
      <c r="EK1272" s="4"/>
      <c r="EL1272" s="4"/>
      <c r="EM1272" s="10"/>
      <c r="EN1272" s="4"/>
      <c r="EO1272" s="4"/>
      <c r="EP1272" s="4"/>
      <c r="EQ1272" s="4"/>
      <c r="ER1272" s="10"/>
      <c r="ES1272" s="4"/>
      <c r="ET1272" s="4"/>
      <c r="EU1272" s="4"/>
      <c r="EV1272" s="4"/>
      <c r="EW1272" s="10"/>
      <c r="EX1272" s="4"/>
      <c r="EY1272" s="4"/>
      <c r="EZ1272" s="4"/>
      <c r="FA1272" s="4"/>
      <c r="FB1272" s="10"/>
      <c r="FC1272" s="4"/>
      <c r="FD1272" s="4"/>
      <c r="FE1272" s="4"/>
      <c r="FF1272" s="4"/>
      <c r="FG1272" s="10"/>
      <c r="FH1272" s="21"/>
      <c r="FI1272" s="4"/>
      <c r="FJ1272" s="4"/>
      <c r="FK1272" s="4"/>
      <c r="FL1272" s="4"/>
    </row>
    <row r="1273" ht="12.75" hidden="1" customHeight="1" outlineLevel="3">
      <c r="A1273" s="4"/>
      <c r="B1273" s="299" t="s">
        <v>479</v>
      </c>
      <c r="C1273" s="299"/>
      <c r="D1273" s="90"/>
      <c r="E1273" s="90"/>
      <c r="F1273" s="90"/>
      <c r="G1273" s="90"/>
      <c r="H1273" s="726"/>
      <c r="I1273" s="90"/>
      <c r="J1273" s="90"/>
      <c r="K1273" s="90"/>
      <c r="L1273" s="90"/>
      <c r="M1273" s="726"/>
      <c r="N1273" s="90"/>
      <c r="O1273" s="90"/>
      <c r="P1273" s="90"/>
      <c r="Q1273" s="90"/>
      <c r="R1273" s="726"/>
      <c r="S1273" s="90"/>
      <c r="T1273" s="90"/>
      <c r="U1273" s="90"/>
      <c r="V1273" s="90"/>
      <c r="W1273" s="726"/>
      <c r="X1273" s="90"/>
      <c r="Y1273" s="90"/>
      <c r="Z1273" s="90"/>
      <c r="AA1273" s="90"/>
      <c r="AB1273" s="726"/>
      <c r="AC1273" s="90"/>
      <c r="AD1273" s="90"/>
      <c r="AE1273" s="90"/>
      <c r="AF1273" s="90"/>
      <c r="AG1273" s="726"/>
      <c r="AH1273" s="90"/>
      <c r="AI1273" s="90"/>
      <c r="AJ1273" s="90"/>
      <c r="AK1273" s="90"/>
      <c r="AL1273" s="726"/>
      <c r="AM1273" s="90"/>
      <c r="AN1273" s="90"/>
      <c r="AO1273" s="90"/>
      <c r="AP1273" s="90"/>
      <c r="AQ1273" s="726"/>
      <c r="AR1273" s="90"/>
      <c r="AS1273" s="90"/>
      <c r="AT1273" s="90"/>
      <c r="AU1273" s="90"/>
      <c r="AV1273" s="726"/>
      <c r="AW1273" s="90"/>
      <c r="AX1273" s="90"/>
      <c r="AY1273" s="90"/>
      <c r="AZ1273" s="90"/>
      <c r="BA1273" s="726"/>
      <c r="BB1273" s="90"/>
      <c r="BC1273" s="90"/>
      <c r="BD1273" s="90"/>
      <c r="BE1273" s="90"/>
      <c r="BF1273" s="726"/>
      <c r="BG1273" s="90"/>
      <c r="BH1273" s="90"/>
      <c r="BI1273" s="90"/>
      <c r="BJ1273" s="90"/>
      <c r="BK1273" s="726"/>
      <c r="BL1273" s="90"/>
      <c r="BM1273" s="90"/>
      <c r="BN1273" s="90"/>
      <c r="BO1273" s="90"/>
      <c r="BP1273" s="726"/>
      <c r="BQ1273" s="90"/>
      <c r="BR1273" s="90"/>
      <c r="BS1273" s="90"/>
      <c r="BT1273" s="90"/>
      <c r="BU1273" s="726"/>
      <c r="BV1273" s="90"/>
      <c r="BW1273" s="90"/>
      <c r="BX1273" s="90"/>
      <c r="BY1273" s="90"/>
      <c r="BZ1273" s="303"/>
      <c r="CA1273" s="90"/>
      <c r="CB1273" s="90"/>
      <c r="CC1273" s="90"/>
      <c r="CD1273" s="90"/>
      <c r="CE1273" s="303"/>
      <c r="CF1273" s="90"/>
      <c r="CG1273" s="90"/>
      <c r="CH1273" s="90"/>
      <c r="CI1273" s="90"/>
      <c r="CJ1273" s="303"/>
      <c r="CK1273" s="90"/>
      <c r="CL1273" s="90"/>
      <c r="CM1273" s="90"/>
      <c r="CN1273" s="135"/>
      <c r="CO1273" s="303"/>
      <c r="CP1273" s="135"/>
      <c r="CQ1273" s="90"/>
      <c r="CR1273" s="90"/>
      <c r="CS1273" s="90"/>
      <c r="CT1273" s="303"/>
      <c r="CU1273" s="90"/>
      <c r="CV1273" s="90"/>
      <c r="CW1273" s="90"/>
      <c r="CX1273" s="90"/>
      <c r="CY1273" s="303"/>
      <c r="CZ1273" s="90"/>
      <c r="DA1273" s="90"/>
      <c r="DB1273" s="90"/>
      <c r="DC1273" s="90"/>
      <c r="DD1273" s="303"/>
      <c r="DE1273" s="90"/>
      <c r="DF1273" s="90"/>
      <c r="DG1273" s="16"/>
      <c r="DH1273" s="90"/>
      <c r="DI1273" s="303"/>
      <c r="DJ1273" s="135"/>
      <c r="DK1273" s="135"/>
      <c r="DL1273" s="135"/>
      <c r="DM1273" s="90"/>
      <c r="DN1273" s="303"/>
      <c r="DO1273" s="90"/>
      <c r="DP1273" s="90"/>
      <c r="DQ1273" s="90"/>
      <c r="DR1273" s="90"/>
      <c r="DS1273" s="303"/>
      <c r="DT1273" s="90"/>
      <c r="DU1273" s="90"/>
      <c r="DV1273" s="90"/>
      <c r="DW1273" s="90"/>
      <c r="DX1273" s="303"/>
      <c r="DY1273" s="90"/>
      <c r="DZ1273" s="90"/>
      <c r="EA1273" s="90"/>
      <c r="EB1273" s="90"/>
      <c r="EC1273" s="303"/>
      <c r="ED1273" s="90"/>
      <c r="EE1273" s="90"/>
      <c r="EF1273" s="90"/>
      <c r="EG1273" s="90"/>
      <c r="EH1273" s="303"/>
      <c r="EI1273" s="389"/>
      <c r="EJ1273" s="90"/>
      <c r="EK1273" s="90"/>
      <c r="EL1273" s="90"/>
      <c r="EM1273" s="303"/>
      <c r="EN1273" s="90"/>
      <c r="EO1273" s="90"/>
      <c r="EP1273" s="90"/>
      <c r="EQ1273" s="90"/>
      <c r="ER1273" s="303"/>
      <c r="ES1273" s="90"/>
      <c r="ET1273" s="90"/>
      <c r="EU1273" s="90"/>
      <c r="EV1273" s="90"/>
      <c r="EW1273" s="303"/>
      <c r="EX1273" s="90"/>
      <c r="EY1273" s="90"/>
      <c r="EZ1273" s="90"/>
      <c r="FA1273" s="90"/>
      <c r="FB1273" s="303"/>
      <c r="FC1273" s="90"/>
      <c r="FD1273" s="90"/>
      <c r="FE1273" s="90"/>
      <c r="FF1273" s="90"/>
      <c r="FG1273" s="303"/>
      <c r="FH1273" s="21"/>
      <c r="FI1273" s="4"/>
      <c r="FJ1273" s="4"/>
      <c r="FK1273" s="4"/>
      <c r="FL1273" s="4"/>
    </row>
    <row r="1274" ht="12.75" hidden="1" customHeight="1" outlineLevel="3">
      <c r="A1274" s="4"/>
      <c r="B1274" s="4" t="str">
        <f t="shared" ref="B1274:B1282" si="6130">+B849</f>
        <v>   Microprocessor</v>
      </c>
      <c r="C1274" s="4"/>
      <c r="D1274" s="162"/>
      <c r="E1274" s="162"/>
      <c r="F1274" s="162"/>
      <c r="G1274" s="162"/>
      <c r="H1274" s="112"/>
      <c r="I1274" s="162"/>
      <c r="J1274" s="162"/>
      <c r="K1274" s="162"/>
      <c r="L1274" s="162"/>
      <c r="M1274" s="112"/>
      <c r="N1274" s="162"/>
      <c r="O1274" s="162"/>
      <c r="P1274" s="162"/>
      <c r="Q1274" s="162"/>
      <c r="R1274" s="112"/>
      <c r="S1274" s="162"/>
      <c r="T1274" s="162"/>
      <c r="U1274" s="162"/>
      <c r="V1274" s="162"/>
      <c r="W1274" s="112"/>
      <c r="X1274" s="162">
        <f t="shared" ref="X1274:AA1274" si="6102">+X1287*X849</f>
        <v>4140.75</v>
      </c>
      <c r="Y1274" s="162">
        <f t="shared" si="6102"/>
        <v>4121.136</v>
      </c>
      <c r="Z1274" s="162">
        <f t="shared" si="6102"/>
        <v>4499.0936</v>
      </c>
      <c r="AA1274" s="162">
        <f t="shared" si="6102"/>
        <v>4396.543608</v>
      </c>
      <c r="AB1274" s="112">
        <f t="shared" ref="AB1274:AB1278" si="6132">+SUM(X1274:AA1274)</f>
        <v>17157.52321</v>
      </c>
      <c r="AC1274" s="162" t="str">
        <f t="shared" ref="AC1274:AF1274" si="6103">+AC1287*AC849</f>
        <v>#ERROR!</v>
      </c>
      <c r="AD1274" s="162" t="str">
        <f t="shared" si="6103"/>
        <v>#ERROR!</v>
      </c>
      <c r="AE1274" s="162" t="str">
        <f t="shared" si="6103"/>
        <v>#ERROR!</v>
      </c>
      <c r="AF1274" s="162" t="str">
        <f t="shared" si="6103"/>
        <v>#ERROR!</v>
      </c>
      <c r="AG1274" s="112" t="str">
        <f t="shared" ref="AG1274:AG1278" si="6134">+SUM(AC1274:AF1274)</f>
        <v>#ERROR!</v>
      </c>
      <c r="AH1274" s="162">
        <f t="shared" ref="AH1274:AK1274" si="6104">+AH1287*AH849</f>
        <v>2931.05</v>
      </c>
      <c r="AI1274" s="162">
        <f t="shared" si="6104"/>
        <v>2445.52</v>
      </c>
      <c r="AJ1274" s="162">
        <f t="shared" si="6104"/>
        <v>2620.44</v>
      </c>
      <c r="AK1274" s="162">
        <f t="shared" si="6104"/>
        <v>3080.16</v>
      </c>
      <c r="AL1274" s="112">
        <f t="shared" ref="AL1274:AL1278" si="6136">+SUM(AH1274:AK1274)</f>
        <v>11077.17</v>
      </c>
      <c r="AM1274" s="162">
        <f t="shared" ref="AM1274:AP1274" si="6105">+AM1287*AM849</f>
        <v>2763.36</v>
      </c>
      <c r="AN1274" s="162">
        <f t="shared" si="6105"/>
        <v>2945.69</v>
      </c>
      <c r="AO1274" s="162">
        <f t="shared" si="6105"/>
        <v>3789.17</v>
      </c>
      <c r="AP1274" s="162">
        <f t="shared" si="6105"/>
        <v>4671.36</v>
      </c>
      <c r="AQ1274" s="112">
        <f t="shared" ref="AQ1274:AQ1283" si="6138">+SUM(AM1274:AP1274)</f>
        <v>14169.58</v>
      </c>
      <c r="AR1274" s="162" t="str">
        <f t="shared" ref="AR1274:AU1274" si="6106">+AR1287*AR849</f>
        <v>#ERROR!</v>
      </c>
      <c r="AS1274" s="162" t="str">
        <f t="shared" si="6106"/>
        <v>#ERROR!</v>
      </c>
      <c r="AT1274" s="162" t="str">
        <f t="shared" si="6106"/>
        <v>#ERROR!</v>
      </c>
      <c r="AU1274" s="162" t="str">
        <f t="shared" si="6106"/>
        <v>#ERROR!</v>
      </c>
      <c r="AV1274" s="112" t="str">
        <f t="shared" ref="AV1274:AV1277" si="6140">+SUM(AR1274:AU1274)</f>
        <v>#ERROR!</v>
      </c>
      <c r="AW1274" s="162" t="str">
        <f t="shared" ref="AW1274:AZ1274" si="6107">+AW1287*AW849</f>
        <v>#ERROR!</v>
      </c>
      <c r="AX1274" s="162" t="str">
        <f t="shared" si="6107"/>
        <v>#ERROR!</v>
      </c>
      <c r="AY1274" s="162" t="str">
        <f t="shared" si="6107"/>
        <v>#ERROR!</v>
      </c>
      <c r="AZ1274" s="162" t="str">
        <f t="shared" si="6107"/>
        <v>#ERROR!</v>
      </c>
      <c r="BA1274" s="112" t="str">
        <f t="shared" ref="BA1274:BA1277" si="6142">+SUM(AW1274:AZ1274)</f>
        <v>#ERROR!</v>
      </c>
      <c r="BB1274" s="162" t="str">
        <f t="shared" ref="BB1274:BE1274" si="6108">+BB1287*BB849</f>
        <v>#ERROR!</v>
      </c>
      <c r="BC1274" s="162" t="str">
        <f t="shared" si="6108"/>
        <v>#ERROR!</v>
      </c>
      <c r="BD1274" s="162" t="str">
        <f t="shared" si="6108"/>
        <v>#ERROR!</v>
      </c>
      <c r="BE1274" s="162" t="str">
        <f t="shared" si="6108"/>
        <v>#ERROR!</v>
      </c>
      <c r="BF1274" s="112" t="str">
        <f t="shared" ref="BF1274:BF1277" si="6144">+SUM(BB1274:BE1274)</f>
        <v>#ERROR!</v>
      </c>
      <c r="BG1274" s="162" t="str">
        <f t="shared" ref="BG1274:BJ1274" si="6109">+BG1287*BG849</f>
        <v>#ERROR!</v>
      </c>
      <c r="BH1274" s="162" t="str">
        <f t="shared" si="6109"/>
        <v>#ERROR!</v>
      </c>
      <c r="BI1274" s="162" t="str">
        <f t="shared" si="6109"/>
        <v>#ERROR!</v>
      </c>
      <c r="BJ1274" s="162" t="str">
        <f t="shared" si="6109"/>
        <v>#ERROR!</v>
      </c>
      <c r="BK1274" s="112" t="str">
        <f t="shared" ref="BK1274:BK1277" si="6146">+SUM(BG1274:BJ1274)</f>
        <v>#ERROR!</v>
      </c>
      <c r="BL1274" s="162" t="str">
        <f t="shared" ref="BL1274:BO1274" si="6110">+BL1287*BL849</f>
        <v>#ERROR!</v>
      </c>
      <c r="BM1274" s="162" t="str">
        <f t="shared" si="6110"/>
        <v>#ERROR!</v>
      </c>
      <c r="BN1274" s="162" t="str">
        <f t="shared" si="6110"/>
        <v>#ERROR!</v>
      </c>
      <c r="BO1274" s="162" t="str">
        <f t="shared" si="6110"/>
        <v>#ERROR!</v>
      </c>
      <c r="BP1274" s="112" t="str">
        <f t="shared" ref="BP1274:BP1277" si="6148">+SUM(BL1274:BO1274)</f>
        <v>#ERROR!</v>
      </c>
      <c r="BQ1274" s="162" t="str">
        <f t="shared" ref="BQ1274:BT1274" si="6111">+BQ1287*BQ849</f>
        <v>#ERROR!</v>
      </c>
      <c r="BR1274" s="162" t="str">
        <f t="shared" si="6111"/>
        <v>#ERROR!</v>
      </c>
      <c r="BS1274" s="162" t="str">
        <f t="shared" si="6111"/>
        <v>#ERROR!</v>
      </c>
      <c r="BT1274" s="162" t="str">
        <f t="shared" si="6111"/>
        <v>#ERROR!</v>
      </c>
      <c r="BU1274" s="112" t="str">
        <f t="shared" ref="BU1274:BU1277" si="6150">+SUM(BQ1274:BT1274)</f>
        <v>#ERROR!</v>
      </c>
      <c r="BV1274" s="162" t="str">
        <f t="shared" ref="BV1274:BY1274" si="6112">+BV1287*BV849</f>
        <v>#ERROR!</v>
      </c>
      <c r="BW1274" s="162" t="str">
        <f t="shared" si="6112"/>
        <v>#ERROR!</v>
      </c>
      <c r="BX1274" s="162" t="str">
        <f t="shared" si="6112"/>
        <v>#ERROR!</v>
      </c>
      <c r="BY1274" s="162" t="str">
        <f t="shared" si="6112"/>
        <v>#ERROR!</v>
      </c>
      <c r="BZ1274" s="80" t="str">
        <f t="shared" ref="BZ1274:BZ1277" si="6152">+SUM(BV1274:BY1274)</f>
        <v>#ERROR!</v>
      </c>
      <c r="CA1274" s="162" t="str">
        <f t="shared" ref="CA1274:CD1274" si="6113">+CA1287*CA849</f>
        <v>#ERROR!</v>
      </c>
      <c r="CB1274" s="162" t="str">
        <f t="shared" si="6113"/>
        <v>#ERROR!</v>
      </c>
      <c r="CC1274" s="162" t="str">
        <f t="shared" si="6113"/>
        <v>#ERROR!</v>
      </c>
      <c r="CD1274" s="162" t="str">
        <f t="shared" si="6113"/>
        <v>#ERROR!</v>
      </c>
      <c r="CE1274" s="80" t="str">
        <f t="shared" ref="CE1274:CE1277" si="6154">+SUM(CA1274:CD1274)</f>
        <v>#ERROR!</v>
      </c>
      <c r="CF1274" s="162" t="str">
        <f t="shared" ref="CF1274:CI1274" si="6114">+CF1287*CF849</f>
        <v>#ERROR!</v>
      </c>
      <c r="CG1274" s="162" t="str">
        <f t="shared" si="6114"/>
        <v>#ERROR!</v>
      </c>
      <c r="CH1274" s="162" t="str">
        <f t="shared" si="6114"/>
        <v>#ERROR!</v>
      </c>
      <c r="CI1274" s="162" t="str">
        <f t="shared" si="6114"/>
        <v>#ERROR!</v>
      </c>
      <c r="CJ1274" s="80" t="str">
        <f t="shared" ref="CJ1274:CJ1277" si="6156">+SUM(CF1274:CI1274)</f>
        <v>#ERROR!</v>
      </c>
      <c r="CK1274" s="162" t="str">
        <f t="shared" ref="CK1274:CN1274" si="6115">+CK1287*CK849</f>
        <v>#ERROR!</v>
      </c>
      <c r="CL1274" s="162" t="str">
        <f t="shared" si="6115"/>
        <v>#ERROR!</v>
      </c>
      <c r="CM1274" s="162" t="str">
        <f t="shared" si="6115"/>
        <v>#ERROR!</v>
      </c>
      <c r="CN1274" s="708" t="str">
        <f t="shared" si="6115"/>
        <v>#ERROR!</v>
      </c>
      <c r="CO1274" s="80" t="str">
        <f t="shared" ref="CO1274:CO1277" si="6158">+SUM(CK1274:CN1274)</f>
        <v>#ERROR!</v>
      </c>
      <c r="CP1274" s="708" t="str">
        <f t="shared" ref="CP1274:CS1274" si="6116">+CP1287*CP849</f>
        <v>#ERROR!</v>
      </c>
      <c r="CQ1274" s="162" t="str">
        <f t="shared" si="6116"/>
        <v>#ERROR!</v>
      </c>
      <c r="CR1274" s="162" t="str">
        <f t="shared" si="6116"/>
        <v>#ERROR!</v>
      </c>
      <c r="CS1274" s="162" t="str">
        <f t="shared" si="6116"/>
        <v>#ERROR!</v>
      </c>
      <c r="CT1274" s="80" t="str">
        <f t="shared" ref="CT1274:CT1277" si="6160">+SUM(CP1274:CS1274)</f>
        <v>#ERROR!</v>
      </c>
      <c r="CU1274" s="162" t="str">
        <f t="shared" ref="CU1274:CX1274" si="6117">+CU1287*CU849</f>
        <v>#ERROR!</v>
      </c>
      <c r="CV1274" s="162" t="str">
        <f t="shared" si="6117"/>
        <v>#ERROR!</v>
      </c>
      <c r="CW1274" s="162" t="str">
        <f t="shared" si="6117"/>
        <v>#ERROR!</v>
      </c>
      <c r="CX1274" s="162" t="str">
        <f t="shared" si="6117"/>
        <v>#ERROR!</v>
      </c>
      <c r="CY1274" s="80" t="str">
        <f t="shared" ref="CY1274:CY1277" si="6162">+SUM(CU1274:CX1274)</f>
        <v>#ERROR!</v>
      </c>
      <c r="CZ1274" s="162" t="str">
        <f t="shared" ref="CZ1274:DC1274" si="6118">+CZ1287*CZ849</f>
        <v>#ERROR!</v>
      </c>
      <c r="DA1274" s="162" t="str">
        <f t="shared" si="6118"/>
        <v>#ERROR!</v>
      </c>
      <c r="DB1274" s="162" t="str">
        <f t="shared" si="6118"/>
        <v>#ERROR!</v>
      </c>
      <c r="DC1274" s="162" t="str">
        <f t="shared" si="6118"/>
        <v>#ERROR!</v>
      </c>
      <c r="DD1274" s="80" t="str">
        <f t="shared" ref="DD1274:DD1277" si="6164">+SUM(CZ1274:DC1274)</f>
        <v>#ERROR!</v>
      </c>
      <c r="DE1274" s="162" t="str">
        <f t="shared" ref="DE1274:DH1274" si="6119">+DE1287*DE849</f>
        <v>#ERROR!</v>
      </c>
      <c r="DF1274" s="162" t="str">
        <f t="shared" si="6119"/>
        <v>#ERROR!</v>
      </c>
      <c r="DG1274" s="708" t="str">
        <f t="shared" si="6119"/>
        <v>#ERROR!</v>
      </c>
      <c r="DH1274" s="162" t="str">
        <f t="shared" si="6119"/>
        <v>#ERROR!</v>
      </c>
      <c r="DI1274" s="80" t="str">
        <f t="shared" ref="DI1274:DI1277" si="6166">+SUM(DE1274:DH1274)</f>
        <v>#ERROR!</v>
      </c>
      <c r="DJ1274" s="708" t="str">
        <f t="shared" ref="DJ1274:DM1274" si="6120">+DJ1287*DJ849</f>
        <v>#ERROR!</v>
      </c>
      <c r="DK1274" s="708" t="str">
        <f t="shared" si="6120"/>
        <v>#ERROR!</v>
      </c>
      <c r="DL1274" s="708" t="str">
        <f t="shared" si="6120"/>
        <v>#ERROR!</v>
      </c>
      <c r="DM1274" s="162" t="str">
        <f t="shared" si="6120"/>
        <v>#ERROR!</v>
      </c>
      <c r="DN1274" s="80" t="str">
        <f t="shared" ref="DN1274:DN1277" si="6168">+SUM(DJ1274:DM1274)</f>
        <v>#ERROR!</v>
      </c>
      <c r="DO1274" s="162" t="str">
        <f t="shared" ref="DO1274:DR1274" si="6121">+DO1287*DO849</f>
        <v>#ERROR!</v>
      </c>
      <c r="DP1274" s="162" t="str">
        <f t="shared" si="6121"/>
        <v>#ERROR!</v>
      </c>
      <c r="DQ1274" s="162" t="str">
        <f t="shared" si="6121"/>
        <v>#ERROR!</v>
      </c>
      <c r="DR1274" s="162" t="str">
        <f t="shared" si="6121"/>
        <v>#ERROR!</v>
      </c>
      <c r="DS1274" s="80" t="str">
        <f t="shared" ref="DS1274:DS1277" si="6170">+SUM(DO1274:DR1274)</f>
        <v>#ERROR!</v>
      </c>
      <c r="DT1274" s="162" t="str">
        <f t="shared" ref="DT1274:DW1274" si="6122">+DT1287*DT849</f>
        <v>#ERROR!</v>
      </c>
      <c r="DU1274" s="162" t="str">
        <f t="shared" si="6122"/>
        <v>#ERROR!</v>
      </c>
      <c r="DV1274" s="162" t="str">
        <f t="shared" si="6122"/>
        <v>#ERROR!</v>
      </c>
      <c r="DW1274" s="162" t="str">
        <f t="shared" si="6122"/>
        <v>#ERROR!</v>
      </c>
      <c r="DX1274" s="80" t="str">
        <f t="shared" ref="DX1274:DX1277" si="6172">+SUM(DT1274:DW1274)</f>
        <v>#ERROR!</v>
      </c>
      <c r="DY1274" s="162" t="str">
        <f t="shared" ref="DY1274:EB1274" si="6123">+DY1287*DY849</f>
        <v>#ERROR!</v>
      </c>
      <c r="DZ1274" s="162" t="str">
        <f t="shared" si="6123"/>
        <v>#ERROR!</v>
      </c>
      <c r="EA1274" s="162" t="str">
        <f t="shared" si="6123"/>
        <v>#ERROR!</v>
      </c>
      <c r="EB1274" s="162" t="str">
        <f t="shared" si="6123"/>
        <v>#ERROR!</v>
      </c>
      <c r="EC1274" s="80" t="str">
        <f t="shared" ref="EC1274:EC1277" si="6174">+SUM(DY1274:EB1274)</f>
        <v>#ERROR!</v>
      </c>
      <c r="ED1274" s="162" t="str">
        <f t="shared" ref="ED1274:EG1274" si="6124">+ED1287*ED849</f>
        <v>#ERROR!</v>
      </c>
      <c r="EE1274" s="162" t="str">
        <f t="shared" si="6124"/>
        <v>#ERROR!</v>
      </c>
      <c r="EF1274" s="162" t="str">
        <f t="shared" si="6124"/>
        <v>#ERROR!</v>
      </c>
      <c r="EG1274" s="162" t="str">
        <f t="shared" si="6124"/>
        <v>#ERROR!</v>
      </c>
      <c r="EH1274" s="80" t="str">
        <f t="shared" ref="EH1274:EH1277" si="6176">+SUM(ED1274:EG1274)</f>
        <v>#ERROR!</v>
      </c>
      <c r="EI1274" s="709" t="str">
        <f t="shared" ref="EI1274:EL1274" si="6125">+EI1287*EI849</f>
        <v>#ERROR!</v>
      </c>
      <c r="EJ1274" s="162" t="str">
        <f t="shared" si="6125"/>
        <v>#ERROR!</v>
      </c>
      <c r="EK1274" s="162" t="str">
        <f t="shared" si="6125"/>
        <v>#ERROR!</v>
      </c>
      <c r="EL1274" s="162" t="str">
        <f t="shared" si="6125"/>
        <v>#ERROR!</v>
      </c>
      <c r="EM1274" s="80" t="str">
        <f t="shared" ref="EM1274:EM1277" si="6178">+SUM(EI1274:EL1274)</f>
        <v>#ERROR!</v>
      </c>
      <c r="EN1274" s="162" t="str">
        <f t="shared" ref="EN1274:EQ1274" si="6126">+EN1287*EN849</f>
        <v>#ERROR!</v>
      </c>
      <c r="EO1274" s="162" t="str">
        <f t="shared" si="6126"/>
        <v>#ERROR!</v>
      </c>
      <c r="EP1274" s="162" t="str">
        <f t="shared" si="6126"/>
        <v>#ERROR!</v>
      </c>
      <c r="EQ1274" s="162" t="str">
        <f t="shared" si="6126"/>
        <v>#ERROR!</v>
      </c>
      <c r="ER1274" s="80" t="str">
        <f t="shared" ref="ER1274:ER1277" si="6180">+SUM(EN1274:EQ1274)</f>
        <v>#ERROR!</v>
      </c>
      <c r="ES1274" s="162" t="str">
        <f t="shared" ref="ES1274:EV1274" si="6127">+ES1287*ES849</f>
        <v>#ERROR!</v>
      </c>
      <c r="ET1274" s="162" t="str">
        <f t="shared" si="6127"/>
        <v>#ERROR!</v>
      </c>
      <c r="EU1274" s="162" t="str">
        <f t="shared" si="6127"/>
        <v>#ERROR!</v>
      </c>
      <c r="EV1274" s="162" t="str">
        <f t="shared" si="6127"/>
        <v>#ERROR!</v>
      </c>
      <c r="EW1274" s="80" t="str">
        <f t="shared" ref="EW1274:EW1277" si="6182">+SUM(ES1274:EV1274)</f>
        <v>#ERROR!</v>
      </c>
      <c r="EX1274" s="162" t="str">
        <f t="shared" ref="EX1274:FA1274" si="6128">+EX1287*EX849</f>
        <v>#ERROR!</v>
      </c>
      <c r="EY1274" s="162" t="str">
        <f t="shared" si="6128"/>
        <v>#ERROR!</v>
      </c>
      <c r="EZ1274" s="162" t="str">
        <f t="shared" si="6128"/>
        <v>#ERROR!</v>
      </c>
      <c r="FA1274" s="162" t="str">
        <f t="shared" si="6128"/>
        <v>#ERROR!</v>
      </c>
      <c r="FB1274" s="80" t="str">
        <f t="shared" ref="FB1274:FB1277" si="6184">+SUM(EX1274:FA1274)</f>
        <v>#ERROR!</v>
      </c>
      <c r="FC1274" s="162" t="str">
        <f t="shared" ref="FC1274:FF1274" si="6129">+FC1287*FC849</f>
        <v>#ERROR!</v>
      </c>
      <c r="FD1274" s="162" t="str">
        <f t="shared" si="6129"/>
        <v>#ERROR!</v>
      </c>
      <c r="FE1274" s="162" t="str">
        <f t="shared" si="6129"/>
        <v>#ERROR!</v>
      </c>
      <c r="FF1274" s="162" t="str">
        <f t="shared" si="6129"/>
        <v>#ERROR!</v>
      </c>
      <c r="FG1274" s="80" t="str">
        <f t="shared" ref="FG1274:FG1277" si="6186">+SUM(FC1274:FF1274)</f>
        <v>#ERROR!</v>
      </c>
      <c r="FH1274" s="146"/>
      <c r="FI1274" s="4"/>
      <c r="FJ1274" s="4"/>
      <c r="FK1274" s="4"/>
      <c r="FL1274" s="4"/>
    </row>
    <row r="1275" ht="12.75" hidden="1" customHeight="1" outlineLevel="3">
      <c r="A1275" s="4"/>
      <c r="B1275" s="4" t="str">
        <f t="shared" si="6130"/>
        <v>   Chipset</v>
      </c>
      <c r="C1275" s="4"/>
      <c r="D1275" s="162"/>
      <c r="E1275" s="162"/>
      <c r="F1275" s="162"/>
      <c r="G1275" s="162"/>
      <c r="H1275" s="112"/>
      <c r="I1275" s="162"/>
      <c r="J1275" s="162"/>
      <c r="K1275" s="162"/>
      <c r="L1275" s="162"/>
      <c r="M1275" s="112"/>
      <c r="N1275" s="162"/>
      <c r="O1275" s="162"/>
      <c r="P1275" s="162"/>
      <c r="Q1275" s="162"/>
      <c r="R1275" s="112"/>
      <c r="S1275" s="162"/>
      <c r="T1275" s="162"/>
      <c r="U1275" s="162"/>
      <c r="V1275" s="162"/>
      <c r="W1275" s="112"/>
      <c r="X1275" s="162">
        <f t="shared" ref="X1275:AA1275" si="6131">+X1288*X850</f>
        <v>280</v>
      </c>
      <c r="Y1275" s="162">
        <f t="shared" si="6131"/>
        <v>274.4</v>
      </c>
      <c r="Z1275" s="162">
        <f t="shared" si="6131"/>
        <v>293.608</v>
      </c>
      <c r="AA1275" s="162">
        <f t="shared" si="6131"/>
        <v>278.9276</v>
      </c>
      <c r="AB1275" s="112">
        <f t="shared" si="6132"/>
        <v>1126.9356</v>
      </c>
      <c r="AC1275" s="162">
        <f t="shared" ref="AC1275:AF1275" si="6133">+AC1288*AC850</f>
        <v>156.896775</v>
      </c>
      <c r="AD1275" s="162">
        <f t="shared" si="6133"/>
        <v>166.3105815</v>
      </c>
      <c r="AE1275" s="162">
        <f t="shared" si="6133"/>
        <v>181.2785338</v>
      </c>
      <c r="AF1275" s="162">
        <f t="shared" si="6133"/>
        <v>187.6232825</v>
      </c>
      <c r="AG1275" s="112">
        <f t="shared" si="6134"/>
        <v>692.1091729</v>
      </c>
      <c r="AH1275" s="162">
        <f t="shared" ref="AH1275:AK1275" si="6135">+AH1288*AH850</f>
        <v>153.63</v>
      </c>
      <c r="AI1275" s="162">
        <f t="shared" si="6135"/>
        <v>140.91</v>
      </c>
      <c r="AJ1275" s="162">
        <f t="shared" si="6135"/>
        <v>161.4</v>
      </c>
      <c r="AK1275" s="162">
        <f t="shared" si="6135"/>
        <v>170.808</v>
      </c>
      <c r="AL1275" s="112">
        <f t="shared" si="6136"/>
        <v>626.748</v>
      </c>
      <c r="AM1275" s="162">
        <f t="shared" ref="AM1275:AP1275" si="6137">+AM1288*AM850</f>
        <v>181.584</v>
      </c>
      <c r="AN1275" s="162">
        <f t="shared" si="6137"/>
        <v>196.08</v>
      </c>
      <c r="AO1275" s="162">
        <f t="shared" si="6137"/>
        <v>309.076</v>
      </c>
      <c r="AP1275" s="162">
        <f t="shared" si="6137"/>
        <v>312</v>
      </c>
      <c r="AQ1275" s="112">
        <f t="shared" si="6138"/>
        <v>998.74</v>
      </c>
      <c r="AR1275" s="162">
        <f t="shared" ref="AR1275:AU1275" si="6139">+AR1288*AR850</f>
        <v>290</v>
      </c>
      <c r="AS1275" s="162">
        <f t="shared" si="6139"/>
        <v>281.2</v>
      </c>
      <c r="AT1275" s="162">
        <f t="shared" si="6139"/>
        <v>322.8</v>
      </c>
      <c r="AU1275" s="162">
        <f t="shared" si="6139"/>
        <v>372</v>
      </c>
      <c r="AV1275" s="112">
        <f t="shared" si="6140"/>
        <v>1266</v>
      </c>
      <c r="AW1275" s="162">
        <f t="shared" ref="AW1275:AZ1275" si="6141">+AW1288*AW850</f>
        <v>394.38</v>
      </c>
      <c r="AX1275" s="162">
        <f t="shared" si="6141"/>
        <v>404.46</v>
      </c>
      <c r="AY1275" s="162">
        <f t="shared" si="6141"/>
        <v>430.92</v>
      </c>
      <c r="AZ1275" s="162">
        <f t="shared" si="6141"/>
        <v>456.03</v>
      </c>
      <c r="BA1275" s="112">
        <f t="shared" si="6142"/>
        <v>1685.79</v>
      </c>
      <c r="BB1275" s="162">
        <f t="shared" ref="BB1275:BE1275" si="6143">+BB1288*BB850</f>
        <v>396.54</v>
      </c>
      <c r="BC1275" s="162">
        <f t="shared" si="6143"/>
        <v>366.5475</v>
      </c>
      <c r="BD1275" s="162">
        <f t="shared" si="6143"/>
        <v>406.4625</v>
      </c>
      <c r="BE1275" s="162">
        <f t="shared" si="6143"/>
        <v>443.07</v>
      </c>
      <c r="BF1275" s="112">
        <f t="shared" si="6144"/>
        <v>1612.62</v>
      </c>
      <c r="BG1275" s="162">
        <f t="shared" ref="BG1275:BJ1275" si="6145">+BG1288*BG850</f>
        <v>337.14</v>
      </c>
      <c r="BH1275" s="162">
        <f t="shared" si="6145"/>
        <v>397.872</v>
      </c>
      <c r="BI1275" s="162">
        <f t="shared" si="6145"/>
        <v>503.244</v>
      </c>
      <c r="BJ1275" s="162">
        <f t="shared" si="6145"/>
        <v>545.775</v>
      </c>
      <c r="BK1275" s="112">
        <f t="shared" si="6146"/>
        <v>1784.031</v>
      </c>
      <c r="BL1275" s="162">
        <f t="shared" ref="BL1275:BO1275" si="6147">+BL1288*BL850</f>
        <v>479.052</v>
      </c>
      <c r="BM1275" s="162">
        <f t="shared" si="6147"/>
        <v>486</v>
      </c>
      <c r="BN1275" s="162">
        <f t="shared" si="6147"/>
        <v>507.564</v>
      </c>
      <c r="BO1275" s="162">
        <f t="shared" si="6147"/>
        <v>389.823</v>
      </c>
      <c r="BP1275" s="112">
        <f t="shared" si="6148"/>
        <v>1862.439</v>
      </c>
      <c r="BQ1275" s="162">
        <f t="shared" ref="BQ1275:BT1275" si="6149">+BQ1288*BQ850</f>
        <v>303.714</v>
      </c>
      <c r="BR1275" s="162">
        <f t="shared" si="6149"/>
        <v>378.612</v>
      </c>
      <c r="BS1275" s="162">
        <f t="shared" si="6149"/>
        <v>478.656</v>
      </c>
      <c r="BT1275" s="162" t="str">
        <f t="shared" si="6149"/>
        <v>#ERROR!</v>
      </c>
      <c r="BU1275" s="112" t="str">
        <f t="shared" si="6150"/>
        <v>#ERROR!</v>
      </c>
      <c r="BV1275" s="162" t="str">
        <f t="shared" ref="BV1275:BY1275" si="6151">+BV1288*BV850</f>
        <v>#ERROR!</v>
      </c>
      <c r="BW1275" s="162" t="str">
        <f t="shared" si="6151"/>
        <v>#ERROR!</v>
      </c>
      <c r="BX1275" s="162" t="str">
        <f t="shared" si="6151"/>
        <v>#ERROR!</v>
      </c>
      <c r="BY1275" s="162" t="str">
        <f t="shared" si="6151"/>
        <v>#ERROR!</v>
      </c>
      <c r="BZ1275" s="80" t="str">
        <f t="shared" si="6152"/>
        <v>#ERROR!</v>
      </c>
      <c r="CA1275" s="162" t="str">
        <f t="shared" ref="CA1275:CD1275" si="6153">+CA1288*CA850</f>
        <v>#ERROR!</v>
      </c>
      <c r="CB1275" s="162" t="str">
        <f t="shared" si="6153"/>
        <v>#ERROR!</v>
      </c>
      <c r="CC1275" s="162" t="str">
        <f t="shared" si="6153"/>
        <v>#ERROR!</v>
      </c>
      <c r="CD1275" s="162" t="str">
        <f t="shared" si="6153"/>
        <v>#ERROR!</v>
      </c>
      <c r="CE1275" s="80" t="str">
        <f t="shared" si="6154"/>
        <v>#ERROR!</v>
      </c>
      <c r="CF1275" s="162" t="str">
        <f t="shared" ref="CF1275:CI1275" si="6155">+CF1288*CF850</f>
        <v>#ERROR!</v>
      </c>
      <c r="CG1275" s="162" t="str">
        <f t="shared" si="6155"/>
        <v>#ERROR!</v>
      </c>
      <c r="CH1275" s="162" t="str">
        <f t="shared" si="6155"/>
        <v>#ERROR!</v>
      </c>
      <c r="CI1275" s="162" t="str">
        <f t="shared" si="6155"/>
        <v>#ERROR!</v>
      </c>
      <c r="CJ1275" s="80" t="str">
        <f t="shared" si="6156"/>
        <v>#ERROR!</v>
      </c>
      <c r="CK1275" s="162" t="str">
        <f t="shared" ref="CK1275:CN1275" si="6157">+CK1288*CK850</f>
        <v>#ERROR!</v>
      </c>
      <c r="CL1275" s="162" t="str">
        <f t="shared" si="6157"/>
        <v>#ERROR!</v>
      </c>
      <c r="CM1275" s="162" t="str">
        <f t="shared" si="6157"/>
        <v>#ERROR!</v>
      </c>
      <c r="CN1275" s="708" t="str">
        <f t="shared" si="6157"/>
        <v>#ERROR!</v>
      </c>
      <c r="CO1275" s="80" t="str">
        <f t="shared" si="6158"/>
        <v>#ERROR!</v>
      </c>
      <c r="CP1275" s="708" t="str">
        <f t="shared" ref="CP1275:CS1275" si="6159">+CP1288*CP850</f>
        <v>#ERROR!</v>
      </c>
      <c r="CQ1275" s="162" t="str">
        <f t="shared" si="6159"/>
        <v>#ERROR!</v>
      </c>
      <c r="CR1275" s="162" t="str">
        <f t="shared" si="6159"/>
        <v>#ERROR!</v>
      </c>
      <c r="CS1275" s="162" t="str">
        <f t="shared" si="6159"/>
        <v>#ERROR!</v>
      </c>
      <c r="CT1275" s="80" t="str">
        <f t="shared" si="6160"/>
        <v>#ERROR!</v>
      </c>
      <c r="CU1275" s="162" t="str">
        <f t="shared" ref="CU1275:CX1275" si="6161">+CU1288*CU850</f>
        <v>#ERROR!</v>
      </c>
      <c r="CV1275" s="162" t="str">
        <f t="shared" si="6161"/>
        <v>#ERROR!</v>
      </c>
      <c r="CW1275" s="162" t="str">
        <f t="shared" si="6161"/>
        <v>#ERROR!</v>
      </c>
      <c r="CX1275" s="162" t="str">
        <f t="shared" si="6161"/>
        <v>#ERROR!</v>
      </c>
      <c r="CY1275" s="80" t="str">
        <f t="shared" si="6162"/>
        <v>#ERROR!</v>
      </c>
      <c r="CZ1275" s="162" t="str">
        <f t="shared" ref="CZ1275:DC1275" si="6163">+CZ1288*CZ850</f>
        <v>#ERROR!</v>
      </c>
      <c r="DA1275" s="162" t="str">
        <f t="shared" si="6163"/>
        <v>#ERROR!</v>
      </c>
      <c r="DB1275" s="162" t="str">
        <f t="shared" si="6163"/>
        <v>#ERROR!</v>
      </c>
      <c r="DC1275" s="162" t="str">
        <f t="shared" si="6163"/>
        <v>#ERROR!</v>
      </c>
      <c r="DD1275" s="80" t="str">
        <f t="shared" si="6164"/>
        <v>#ERROR!</v>
      </c>
      <c r="DE1275" s="162" t="str">
        <f t="shared" ref="DE1275:DH1275" si="6165">+DE1288*DE850</f>
        <v>#ERROR!</v>
      </c>
      <c r="DF1275" s="162" t="str">
        <f t="shared" si="6165"/>
        <v>#ERROR!</v>
      </c>
      <c r="DG1275" s="708" t="str">
        <f t="shared" si="6165"/>
        <v>#ERROR!</v>
      </c>
      <c r="DH1275" s="162" t="str">
        <f t="shared" si="6165"/>
        <v>#ERROR!</v>
      </c>
      <c r="DI1275" s="80" t="str">
        <f t="shared" si="6166"/>
        <v>#ERROR!</v>
      </c>
      <c r="DJ1275" s="708" t="str">
        <f t="shared" ref="DJ1275:DM1275" si="6167">+DJ1288*DJ850</f>
        <v>#ERROR!</v>
      </c>
      <c r="DK1275" s="708" t="str">
        <f t="shared" si="6167"/>
        <v>#ERROR!</v>
      </c>
      <c r="DL1275" s="708" t="str">
        <f t="shared" si="6167"/>
        <v>#ERROR!</v>
      </c>
      <c r="DM1275" s="162" t="str">
        <f t="shared" si="6167"/>
        <v>#ERROR!</v>
      </c>
      <c r="DN1275" s="80" t="str">
        <f t="shared" si="6168"/>
        <v>#ERROR!</v>
      </c>
      <c r="DO1275" s="162" t="str">
        <f t="shared" ref="DO1275:DR1275" si="6169">+DO1288*DO850</f>
        <v>#ERROR!</v>
      </c>
      <c r="DP1275" s="162" t="str">
        <f t="shared" si="6169"/>
        <v>#ERROR!</v>
      </c>
      <c r="DQ1275" s="162" t="str">
        <f t="shared" si="6169"/>
        <v>#ERROR!</v>
      </c>
      <c r="DR1275" s="162" t="str">
        <f t="shared" si="6169"/>
        <v>#ERROR!</v>
      </c>
      <c r="DS1275" s="80" t="str">
        <f t="shared" si="6170"/>
        <v>#ERROR!</v>
      </c>
      <c r="DT1275" s="162" t="str">
        <f t="shared" ref="DT1275:DW1275" si="6171">+DT1288*DT850</f>
        <v>#ERROR!</v>
      </c>
      <c r="DU1275" s="162" t="str">
        <f t="shared" si="6171"/>
        <v>#ERROR!</v>
      </c>
      <c r="DV1275" s="162" t="str">
        <f t="shared" si="6171"/>
        <v>#ERROR!</v>
      </c>
      <c r="DW1275" s="162" t="str">
        <f t="shared" si="6171"/>
        <v>#ERROR!</v>
      </c>
      <c r="DX1275" s="80" t="str">
        <f t="shared" si="6172"/>
        <v>#ERROR!</v>
      </c>
      <c r="DY1275" s="162" t="str">
        <f t="shared" ref="DY1275:EB1275" si="6173">+DY1288*DY850</f>
        <v>#ERROR!</v>
      </c>
      <c r="DZ1275" s="162" t="str">
        <f t="shared" si="6173"/>
        <v>#ERROR!</v>
      </c>
      <c r="EA1275" s="162" t="str">
        <f t="shared" si="6173"/>
        <v>#ERROR!</v>
      </c>
      <c r="EB1275" s="162" t="str">
        <f t="shared" si="6173"/>
        <v>#ERROR!</v>
      </c>
      <c r="EC1275" s="80" t="str">
        <f t="shared" si="6174"/>
        <v>#ERROR!</v>
      </c>
      <c r="ED1275" s="162" t="str">
        <f t="shared" ref="ED1275:EG1275" si="6175">+ED1288*ED850</f>
        <v>#ERROR!</v>
      </c>
      <c r="EE1275" s="162" t="str">
        <f t="shared" si="6175"/>
        <v>#ERROR!</v>
      </c>
      <c r="EF1275" s="162" t="str">
        <f t="shared" si="6175"/>
        <v>#ERROR!</v>
      </c>
      <c r="EG1275" s="162" t="str">
        <f t="shared" si="6175"/>
        <v>#ERROR!</v>
      </c>
      <c r="EH1275" s="80" t="str">
        <f t="shared" si="6176"/>
        <v>#ERROR!</v>
      </c>
      <c r="EI1275" s="709" t="str">
        <f t="shared" ref="EI1275:EL1275" si="6177">+EI1288*EI850</f>
        <v>#ERROR!</v>
      </c>
      <c r="EJ1275" s="162" t="str">
        <f t="shared" si="6177"/>
        <v>#ERROR!</v>
      </c>
      <c r="EK1275" s="162" t="str">
        <f t="shared" si="6177"/>
        <v>#ERROR!</v>
      </c>
      <c r="EL1275" s="162" t="str">
        <f t="shared" si="6177"/>
        <v>#ERROR!</v>
      </c>
      <c r="EM1275" s="80" t="str">
        <f t="shared" si="6178"/>
        <v>#ERROR!</v>
      </c>
      <c r="EN1275" s="162" t="str">
        <f t="shared" ref="EN1275:EQ1275" si="6179">+EN1288*EN850</f>
        <v>#ERROR!</v>
      </c>
      <c r="EO1275" s="162" t="str">
        <f t="shared" si="6179"/>
        <v>#ERROR!</v>
      </c>
      <c r="EP1275" s="162" t="str">
        <f t="shared" si="6179"/>
        <v>#ERROR!</v>
      </c>
      <c r="EQ1275" s="162" t="str">
        <f t="shared" si="6179"/>
        <v>#ERROR!</v>
      </c>
      <c r="ER1275" s="80" t="str">
        <f t="shared" si="6180"/>
        <v>#ERROR!</v>
      </c>
      <c r="ES1275" s="162" t="str">
        <f t="shared" ref="ES1275:EV1275" si="6181">+ES1288*ES850</f>
        <v>#ERROR!</v>
      </c>
      <c r="ET1275" s="162" t="str">
        <f t="shared" si="6181"/>
        <v>#ERROR!</v>
      </c>
      <c r="EU1275" s="162" t="str">
        <f t="shared" si="6181"/>
        <v>#ERROR!</v>
      </c>
      <c r="EV1275" s="162" t="str">
        <f t="shared" si="6181"/>
        <v>#ERROR!</v>
      </c>
      <c r="EW1275" s="80" t="str">
        <f t="shared" si="6182"/>
        <v>#ERROR!</v>
      </c>
      <c r="EX1275" s="162" t="str">
        <f t="shared" ref="EX1275:FA1275" si="6183">+EX1288*EX850</f>
        <v>#ERROR!</v>
      </c>
      <c r="EY1275" s="162" t="str">
        <f t="shared" si="6183"/>
        <v>#ERROR!</v>
      </c>
      <c r="EZ1275" s="162" t="str">
        <f t="shared" si="6183"/>
        <v>#ERROR!</v>
      </c>
      <c r="FA1275" s="162" t="str">
        <f t="shared" si="6183"/>
        <v>#ERROR!</v>
      </c>
      <c r="FB1275" s="80" t="str">
        <f t="shared" si="6184"/>
        <v>#ERROR!</v>
      </c>
      <c r="FC1275" s="162" t="str">
        <f t="shared" ref="FC1275:FF1275" si="6185">+FC1288*FC850</f>
        <v>#ERROR!</v>
      </c>
      <c r="FD1275" s="162" t="str">
        <f t="shared" si="6185"/>
        <v>#ERROR!</v>
      </c>
      <c r="FE1275" s="162" t="str">
        <f t="shared" si="6185"/>
        <v>#ERROR!</v>
      </c>
      <c r="FF1275" s="162" t="str">
        <f t="shared" si="6185"/>
        <v>#ERROR!</v>
      </c>
      <c r="FG1275" s="80" t="str">
        <f t="shared" si="6186"/>
        <v>#ERROR!</v>
      </c>
      <c r="FH1275" s="146"/>
      <c r="FI1275" s="4"/>
      <c r="FJ1275" s="4"/>
      <c r="FK1275" s="4"/>
      <c r="FL1275" s="4"/>
    </row>
    <row r="1276" ht="12.75" hidden="1" customHeight="1" outlineLevel="3">
      <c r="A1276" s="4"/>
      <c r="B1276" s="4" t="str">
        <f t="shared" si="6130"/>
        <v>   Motherboard</v>
      </c>
      <c r="C1276" s="4"/>
      <c r="D1276" s="162"/>
      <c r="E1276" s="162"/>
      <c r="F1276" s="162"/>
      <c r="G1276" s="162"/>
      <c r="H1276" s="112"/>
      <c r="I1276" s="162"/>
      <c r="J1276" s="162"/>
      <c r="K1276" s="162"/>
      <c r="L1276" s="162"/>
      <c r="M1276" s="112"/>
      <c r="N1276" s="162"/>
      <c r="O1276" s="162"/>
      <c r="P1276" s="162"/>
      <c r="Q1276" s="162"/>
      <c r="R1276" s="112"/>
      <c r="S1276" s="162"/>
      <c r="T1276" s="162"/>
      <c r="U1276" s="162"/>
      <c r="V1276" s="162"/>
      <c r="W1276" s="112"/>
      <c r="X1276" s="162">
        <f t="shared" ref="X1276:AA1276" si="6187">+X1289*X851</f>
        <v>72</v>
      </c>
      <c r="Y1276" s="162">
        <f t="shared" si="6187"/>
        <v>52.38</v>
      </c>
      <c r="Z1276" s="162">
        <f t="shared" si="6187"/>
        <v>76.824</v>
      </c>
      <c r="AA1276" s="162">
        <f t="shared" si="6187"/>
        <v>55.31328</v>
      </c>
      <c r="AB1276" s="112">
        <f t="shared" si="6132"/>
        <v>256.51728</v>
      </c>
      <c r="AC1276" s="162">
        <f t="shared" ref="AC1276:AF1276" si="6188">+AC1289*AC851</f>
        <v>38.719296</v>
      </c>
      <c r="AD1276" s="162">
        <f t="shared" si="6188"/>
        <v>43.8818688</v>
      </c>
      <c r="AE1276" s="162">
        <f t="shared" si="6188"/>
        <v>47.3924183</v>
      </c>
      <c r="AF1276" s="162">
        <f t="shared" si="6188"/>
        <v>49.28811504</v>
      </c>
      <c r="AG1276" s="112">
        <f t="shared" si="6134"/>
        <v>179.2816981</v>
      </c>
      <c r="AH1276" s="162">
        <f t="shared" ref="AH1276:AK1276" si="6189">+AH1289*AH851</f>
        <v>67.635</v>
      </c>
      <c r="AI1276" s="162">
        <f t="shared" si="6189"/>
        <v>56.445</v>
      </c>
      <c r="AJ1276" s="162">
        <f t="shared" si="6189"/>
        <v>52.65</v>
      </c>
      <c r="AK1276" s="162">
        <f t="shared" si="6189"/>
        <v>58.596</v>
      </c>
      <c r="AL1276" s="112">
        <f t="shared" si="6136"/>
        <v>235.326</v>
      </c>
      <c r="AM1276" s="162">
        <f t="shared" ref="AM1276:AP1276" si="6190">+AM1289*AM851</f>
        <v>46.008</v>
      </c>
      <c r="AN1276" s="162">
        <f t="shared" si="6190"/>
        <v>52.56</v>
      </c>
      <c r="AO1276" s="162">
        <f t="shared" si="6190"/>
        <v>73.462</v>
      </c>
      <c r="AP1276" s="162">
        <f t="shared" si="6190"/>
        <v>80.6</v>
      </c>
      <c r="AQ1276" s="112">
        <f t="shared" si="6138"/>
        <v>252.63</v>
      </c>
      <c r="AR1276" s="162">
        <f t="shared" ref="AR1276:AU1276" si="6191">+AR1289*AR851</f>
        <v>102.4</v>
      </c>
      <c r="AS1276" s="162">
        <f t="shared" si="6191"/>
        <v>102.4</v>
      </c>
      <c r="AT1276" s="162">
        <f t="shared" si="6191"/>
        <v>128.96</v>
      </c>
      <c r="AU1276" s="162">
        <f t="shared" si="6191"/>
        <v>158.72</v>
      </c>
      <c r="AV1276" s="112">
        <f t="shared" si="6140"/>
        <v>492.48</v>
      </c>
      <c r="AW1276" s="162">
        <f t="shared" ref="AW1276:AZ1276" si="6192">+AW1289*AW851</f>
        <v>187.044</v>
      </c>
      <c r="AX1276" s="162">
        <f t="shared" si="6192"/>
        <v>184.536</v>
      </c>
      <c r="AY1276" s="162">
        <f t="shared" si="6192"/>
        <v>189.288</v>
      </c>
      <c r="AZ1276" s="162">
        <f t="shared" si="6192"/>
        <v>194.832</v>
      </c>
      <c r="BA1276" s="112">
        <f t="shared" si="6142"/>
        <v>755.7</v>
      </c>
      <c r="BB1276" s="162">
        <f t="shared" ref="BB1276:BE1276" si="6193">+BB1289*BB851</f>
        <v>165.66</v>
      </c>
      <c r="BC1276" s="162">
        <f t="shared" si="6193"/>
        <v>190.5255</v>
      </c>
      <c r="BD1276" s="162">
        <f t="shared" si="6193"/>
        <v>211.6125</v>
      </c>
      <c r="BE1276" s="162">
        <f t="shared" si="6193"/>
        <v>237.2205</v>
      </c>
      <c r="BF1276" s="112">
        <f t="shared" si="6144"/>
        <v>805.0185</v>
      </c>
      <c r="BG1276" s="162">
        <f t="shared" ref="BG1276:BJ1276" si="6194">+BG1289*BG851</f>
        <v>200.424</v>
      </c>
      <c r="BH1276" s="162">
        <f t="shared" si="6194"/>
        <v>164.92</v>
      </c>
      <c r="BI1276" s="162">
        <f t="shared" si="6194"/>
        <v>163.514</v>
      </c>
      <c r="BJ1276" s="162">
        <f t="shared" si="6194"/>
        <v>165.087</v>
      </c>
      <c r="BK1276" s="112">
        <f t="shared" si="6146"/>
        <v>693.945</v>
      </c>
      <c r="BL1276" s="162">
        <f t="shared" ref="BL1276:BO1276" si="6195">+BL1289*BL851</f>
        <v>151.83</v>
      </c>
      <c r="BM1276" s="162">
        <f t="shared" si="6195"/>
        <v>159.39</v>
      </c>
      <c r="BN1276" s="162">
        <f t="shared" si="6195"/>
        <v>146.133</v>
      </c>
      <c r="BO1276" s="162">
        <f t="shared" si="6195"/>
        <v>97.695</v>
      </c>
      <c r="BP1276" s="112">
        <f t="shared" si="6148"/>
        <v>555.048</v>
      </c>
      <c r="BQ1276" s="162">
        <f t="shared" ref="BQ1276:BT1276" si="6196">+BQ1289*BQ851</f>
        <v>94.626</v>
      </c>
      <c r="BR1276" s="162">
        <f t="shared" si="6196"/>
        <v>111.636</v>
      </c>
      <c r="BS1276" s="162">
        <f t="shared" si="6196"/>
        <v>121.68</v>
      </c>
      <c r="BT1276" s="162">
        <f t="shared" si="6196"/>
        <v>25.37880951</v>
      </c>
      <c r="BU1276" s="112">
        <f t="shared" si="6150"/>
        <v>353.3208095</v>
      </c>
      <c r="BV1276" s="162">
        <f t="shared" ref="BV1276:BY1276" si="6197">+BV1289*BV851</f>
        <v>24.83166599</v>
      </c>
      <c r="BW1276" s="162">
        <f t="shared" si="6197"/>
        <v>28.67406116</v>
      </c>
      <c r="BX1276" s="162">
        <f t="shared" si="6197"/>
        <v>27.57567147</v>
      </c>
      <c r="BY1276" s="162">
        <f t="shared" si="6197"/>
        <v>32.04431107</v>
      </c>
      <c r="BZ1276" s="80">
        <f t="shared" si="6152"/>
        <v>113.1257097</v>
      </c>
      <c r="CA1276" s="162">
        <f t="shared" ref="CA1276:CD1276" si="6198">+CA1289*CA851</f>
        <v>27.6473179</v>
      </c>
      <c r="CB1276" s="162">
        <f t="shared" si="6198"/>
        <v>28.17060355</v>
      </c>
      <c r="CC1276" s="162">
        <f t="shared" si="6198"/>
        <v>26.80673716</v>
      </c>
      <c r="CD1276" s="162">
        <f t="shared" si="6198"/>
        <v>28.77132739</v>
      </c>
      <c r="CE1276" s="80">
        <f t="shared" si="6154"/>
        <v>111.395986</v>
      </c>
      <c r="CF1276" s="162">
        <f t="shared" ref="CF1276:CI1276" si="6199">+CF1289*CF851</f>
        <v>27.82810311</v>
      </c>
      <c r="CG1276" s="162">
        <f t="shared" si="6199"/>
        <v>31.78148315</v>
      </c>
      <c r="CH1276" s="162">
        <f t="shared" si="6199"/>
        <v>28.96887407</v>
      </c>
      <c r="CI1276" s="162">
        <f t="shared" si="6199"/>
        <v>30.37368079</v>
      </c>
      <c r="CJ1276" s="80">
        <f t="shared" si="6156"/>
        <v>118.9521411</v>
      </c>
      <c r="CK1276" s="162">
        <f t="shared" ref="CK1276:CN1276" si="6200">+CK1289*CK851</f>
        <v>31.17213086</v>
      </c>
      <c r="CL1276" s="162">
        <f t="shared" si="6200"/>
        <v>32.23907436</v>
      </c>
      <c r="CM1276" s="162">
        <f t="shared" si="6200"/>
        <v>32.23291157</v>
      </c>
      <c r="CN1276" s="708">
        <f t="shared" si="6200"/>
        <v>33.26774788</v>
      </c>
      <c r="CO1276" s="80">
        <f t="shared" si="6158"/>
        <v>128.9118647</v>
      </c>
      <c r="CP1276" s="708">
        <f t="shared" ref="CP1276:CS1276" si="6201">+CP1289*CP851</f>
        <v>33.72049662</v>
      </c>
      <c r="CQ1276" s="162">
        <f t="shared" si="6201"/>
        <v>39.48822061</v>
      </c>
      <c r="CR1276" s="162">
        <f t="shared" si="6201"/>
        <v>40.42603015</v>
      </c>
      <c r="CS1276" s="162">
        <f t="shared" si="6201"/>
        <v>44.64590699</v>
      </c>
      <c r="CT1276" s="80">
        <f t="shared" si="6160"/>
        <v>158.2806544</v>
      </c>
      <c r="CU1276" s="162">
        <f t="shared" ref="CU1276:CX1276" si="6202">+CU1289*CU851</f>
        <v>44.08418457</v>
      </c>
      <c r="CV1276" s="162">
        <f t="shared" si="6202"/>
        <v>46.19645678</v>
      </c>
      <c r="CW1276" s="162">
        <f t="shared" si="6202"/>
        <v>50.12504521</v>
      </c>
      <c r="CX1276" s="162">
        <f t="shared" si="6202"/>
        <v>47.90629949</v>
      </c>
      <c r="CY1276" s="80">
        <f t="shared" si="6162"/>
        <v>188.311986</v>
      </c>
      <c r="CZ1276" s="162">
        <f t="shared" ref="CZ1276:DC1276" si="6203">+CZ1289*CZ851</f>
        <v>47.10142686</v>
      </c>
      <c r="DA1276" s="162">
        <f t="shared" si="6203"/>
        <v>49.82110842</v>
      </c>
      <c r="DB1276" s="162">
        <f t="shared" si="6203"/>
        <v>50.20536327</v>
      </c>
      <c r="DC1276" s="162">
        <f t="shared" si="6203"/>
        <v>52.51420152</v>
      </c>
      <c r="DD1276" s="80">
        <f t="shared" si="6164"/>
        <v>199.6421001</v>
      </c>
      <c r="DE1276" s="162">
        <f t="shared" ref="DE1276:DH1276" si="6204">+DE1289*DE851</f>
        <v>52.09893818</v>
      </c>
      <c r="DF1276" s="162">
        <f t="shared" si="6204"/>
        <v>53.51796391</v>
      </c>
      <c r="DG1276" s="708">
        <f t="shared" si="6204"/>
        <v>54.50017385</v>
      </c>
      <c r="DH1276" s="162">
        <f t="shared" si="6204"/>
        <v>54.37542903</v>
      </c>
      <c r="DI1276" s="80">
        <f t="shared" si="6166"/>
        <v>214.492505</v>
      </c>
      <c r="DJ1276" s="708">
        <f t="shared" ref="DJ1276:DM1276" si="6205">+DJ1289*DJ851</f>
        <v>56.49531906</v>
      </c>
      <c r="DK1276" s="708">
        <f t="shared" si="6205"/>
        <v>61.5235751</v>
      </c>
      <c r="DL1276" s="708">
        <f t="shared" si="6205"/>
        <v>63.37237161</v>
      </c>
      <c r="DM1276" s="162">
        <f t="shared" si="6205"/>
        <v>63.13703283</v>
      </c>
      <c r="DN1276" s="80">
        <f t="shared" si="6168"/>
        <v>244.5282986</v>
      </c>
      <c r="DO1276" s="162">
        <f t="shared" ref="DO1276:DR1276" si="6206">+DO1289*DO851</f>
        <v>64.22807898</v>
      </c>
      <c r="DP1276" s="162">
        <f t="shared" si="6206"/>
        <v>68.80526235</v>
      </c>
      <c r="DQ1276" s="162">
        <f t="shared" si="6206"/>
        <v>69.22590391</v>
      </c>
      <c r="DR1276" s="162">
        <f t="shared" si="6206"/>
        <v>72.01252329</v>
      </c>
      <c r="DS1276" s="80">
        <f t="shared" si="6170"/>
        <v>274.2717685</v>
      </c>
      <c r="DT1276" s="162">
        <f t="shared" ref="DT1276:DW1276" si="6207">+DT1289*DT851</f>
        <v>73.24619519</v>
      </c>
      <c r="DU1276" s="162">
        <f t="shared" si="6207"/>
        <v>78.49596048</v>
      </c>
      <c r="DV1276" s="162">
        <f t="shared" si="6207"/>
        <v>79.00275583</v>
      </c>
      <c r="DW1276" s="162">
        <f t="shared" si="6207"/>
        <v>82.18799175</v>
      </c>
      <c r="DX1276" s="80">
        <f t="shared" si="6172"/>
        <v>312.9329032</v>
      </c>
      <c r="DY1276" s="162">
        <f t="shared" ref="DY1276:EB1276" si="6208">+DY1289*DY851</f>
        <v>83.60391288</v>
      </c>
      <c r="DZ1276" s="162">
        <f t="shared" si="6208"/>
        <v>89.62517363</v>
      </c>
      <c r="EA1276" s="162">
        <f t="shared" si="6208"/>
        <v>90.23115734</v>
      </c>
      <c r="EB1276" s="162">
        <f t="shared" si="6208"/>
        <v>93.8746368</v>
      </c>
      <c r="EC1276" s="80">
        <f t="shared" si="6174"/>
        <v>357.3348806</v>
      </c>
      <c r="ED1276" s="162">
        <f t="shared" ref="ED1276:EG1276" si="6209">+ED1289*ED851</f>
        <v>0</v>
      </c>
      <c r="EE1276" s="162">
        <f t="shared" si="6209"/>
        <v>0</v>
      </c>
      <c r="EF1276" s="162">
        <f t="shared" si="6209"/>
        <v>0</v>
      </c>
      <c r="EG1276" s="162">
        <f t="shared" si="6209"/>
        <v>0</v>
      </c>
      <c r="EH1276" s="80">
        <f t="shared" si="6176"/>
        <v>0</v>
      </c>
      <c r="EI1276" s="709">
        <f t="shared" ref="EI1276:EL1276" si="6210">+EI1289*EI851</f>
        <v>0</v>
      </c>
      <c r="EJ1276" s="162">
        <f t="shared" si="6210"/>
        <v>0</v>
      </c>
      <c r="EK1276" s="162">
        <f t="shared" si="6210"/>
        <v>0</v>
      </c>
      <c r="EL1276" s="162">
        <f t="shared" si="6210"/>
        <v>0</v>
      </c>
      <c r="EM1276" s="80">
        <f t="shared" si="6178"/>
        <v>0</v>
      </c>
      <c r="EN1276" s="162">
        <f t="shared" ref="EN1276:EQ1276" si="6211">+EN1289*EN851</f>
        <v>0</v>
      </c>
      <c r="EO1276" s="162">
        <f t="shared" si="6211"/>
        <v>0</v>
      </c>
      <c r="EP1276" s="162">
        <f t="shared" si="6211"/>
        <v>0</v>
      </c>
      <c r="EQ1276" s="162">
        <f t="shared" si="6211"/>
        <v>0</v>
      </c>
      <c r="ER1276" s="80">
        <f t="shared" si="6180"/>
        <v>0</v>
      </c>
      <c r="ES1276" s="162">
        <f t="shared" ref="ES1276:EV1276" si="6212">+ES1289*ES851</f>
        <v>0</v>
      </c>
      <c r="ET1276" s="162">
        <f t="shared" si="6212"/>
        <v>0</v>
      </c>
      <c r="EU1276" s="162">
        <f t="shared" si="6212"/>
        <v>0</v>
      </c>
      <c r="EV1276" s="162">
        <f t="shared" si="6212"/>
        <v>0</v>
      </c>
      <c r="EW1276" s="80">
        <f t="shared" si="6182"/>
        <v>0</v>
      </c>
      <c r="EX1276" s="162">
        <f t="shared" ref="EX1276:FA1276" si="6213">+EX1289*EX851</f>
        <v>0</v>
      </c>
      <c r="EY1276" s="162">
        <f t="shared" si="6213"/>
        <v>0</v>
      </c>
      <c r="EZ1276" s="162">
        <f t="shared" si="6213"/>
        <v>0</v>
      </c>
      <c r="FA1276" s="162">
        <f t="shared" si="6213"/>
        <v>0</v>
      </c>
      <c r="FB1276" s="80">
        <f t="shared" si="6184"/>
        <v>0</v>
      </c>
      <c r="FC1276" s="162">
        <f t="shared" ref="FC1276:FF1276" si="6214">+FC1289*FC851</f>
        <v>0</v>
      </c>
      <c r="FD1276" s="162">
        <f t="shared" si="6214"/>
        <v>0</v>
      </c>
      <c r="FE1276" s="162">
        <f t="shared" si="6214"/>
        <v>0</v>
      </c>
      <c r="FF1276" s="162">
        <f t="shared" si="6214"/>
        <v>0</v>
      </c>
      <c r="FG1276" s="80">
        <f t="shared" si="6186"/>
        <v>0</v>
      </c>
      <c r="FH1276" s="146"/>
      <c r="FI1276" s="4"/>
      <c r="FJ1276" s="4"/>
      <c r="FK1276" s="4"/>
      <c r="FL1276" s="4"/>
    </row>
    <row r="1277" ht="12.75" hidden="1" customHeight="1" outlineLevel="3">
      <c r="A1277" s="4"/>
      <c r="B1277" s="4" t="str">
        <f t="shared" si="6130"/>
        <v>Architecture group - IAG</v>
      </c>
      <c r="C1277" s="4"/>
      <c r="D1277" s="162"/>
      <c r="E1277" s="162"/>
      <c r="F1277" s="162"/>
      <c r="G1277" s="162"/>
      <c r="H1277" s="112"/>
      <c r="I1277" s="162"/>
      <c r="J1277" s="162"/>
      <c r="K1277" s="162"/>
      <c r="L1277" s="162"/>
      <c r="M1277" s="112"/>
      <c r="N1277" s="162"/>
      <c r="O1277" s="162"/>
      <c r="P1277" s="162"/>
      <c r="Q1277" s="162"/>
      <c r="R1277" s="112"/>
      <c r="S1277" s="162"/>
      <c r="T1277" s="162"/>
      <c r="U1277" s="162"/>
      <c r="V1277" s="162"/>
      <c r="W1277" s="112"/>
      <c r="X1277" s="162">
        <f t="shared" ref="X1277:AA1277" si="6215">+X1274+X1275+X1276</f>
        <v>4492.75</v>
      </c>
      <c r="Y1277" s="162">
        <f t="shared" si="6215"/>
        <v>4447.916</v>
      </c>
      <c r="Z1277" s="162">
        <f t="shared" si="6215"/>
        <v>4869.5256</v>
      </c>
      <c r="AA1277" s="162">
        <f t="shared" si="6215"/>
        <v>4730.784488</v>
      </c>
      <c r="AB1277" s="112">
        <f t="shared" si="6132"/>
        <v>18540.97609</v>
      </c>
      <c r="AC1277" s="162" t="str">
        <f t="shared" ref="AC1277:AF1277" si="6216">+AC1274+AC1275+AC1276</f>
        <v>#ERROR!</v>
      </c>
      <c r="AD1277" s="162" t="str">
        <f t="shared" si="6216"/>
        <v>#ERROR!</v>
      </c>
      <c r="AE1277" s="162" t="str">
        <f t="shared" si="6216"/>
        <v>#ERROR!</v>
      </c>
      <c r="AF1277" s="162" t="str">
        <f t="shared" si="6216"/>
        <v>#ERROR!</v>
      </c>
      <c r="AG1277" s="112" t="str">
        <f t="shared" si="6134"/>
        <v>#ERROR!</v>
      </c>
      <c r="AH1277" s="162">
        <f t="shared" ref="AH1277:AK1277" si="6217">+AH1274+AH1275+AH1276</f>
        <v>3152.315</v>
      </c>
      <c r="AI1277" s="162">
        <f t="shared" si="6217"/>
        <v>2642.875</v>
      </c>
      <c r="AJ1277" s="162">
        <f t="shared" si="6217"/>
        <v>2834.49</v>
      </c>
      <c r="AK1277" s="162">
        <f t="shared" si="6217"/>
        <v>3309.564</v>
      </c>
      <c r="AL1277" s="112">
        <f t="shared" si="6136"/>
        <v>11939.244</v>
      </c>
      <c r="AM1277" s="162">
        <f t="shared" ref="AM1277:AP1277" si="6218">+AM1274+AM1275+AM1276</f>
        <v>2990.952</v>
      </c>
      <c r="AN1277" s="162">
        <f t="shared" si="6218"/>
        <v>3194.33</v>
      </c>
      <c r="AO1277" s="162">
        <f t="shared" si="6218"/>
        <v>4171.708</v>
      </c>
      <c r="AP1277" s="162">
        <f t="shared" si="6218"/>
        <v>5063.96</v>
      </c>
      <c r="AQ1277" s="112">
        <f t="shared" si="6138"/>
        <v>15420.95</v>
      </c>
      <c r="AR1277" s="162" t="str">
        <f t="shared" ref="AR1277:AU1277" si="6219">+AR1274+AR1275+AR1276</f>
        <v>#ERROR!</v>
      </c>
      <c r="AS1277" s="162" t="str">
        <f t="shared" si="6219"/>
        <v>#ERROR!</v>
      </c>
      <c r="AT1277" s="162" t="str">
        <f t="shared" si="6219"/>
        <v>#ERROR!</v>
      </c>
      <c r="AU1277" s="162" t="str">
        <f t="shared" si="6219"/>
        <v>#ERROR!</v>
      </c>
      <c r="AV1277" s="112" t="str">
        <f t="shared" si="6140"/>
        <v>#ERROR!</v>
      </c>
      <c r="AW1277" s="162" t="str">
        <f t="shared" ref="AW1277:AZ1277" si="6220">+AW1274+AW1275+AW1276</f>
        <v>#ERROR!</v>
      </c>
      <c r="AX1277" s="162" t="str">
        <f t="shared" si="6220"/>
        <v>#ERROR!</v>
      </c>
      <c r="AY1277" s="162" t="str">
        <f t="shared" si="6220"/>
        <v>#ERROR!</v>
      </c>
      <c r="AZ1277" s="162" t="str">
        <f t="shared" si="6220"/>
        <v>#ERROR!</v>
      </c>
      <c r="BA1277" s="112" t="str">
        <f t="shared" si="6142"/>
        <v>#ERROR!</v>
      </c>
      <c r="BB1277" s="162" t="str">
        <f t="shared" ref="BB1277:BE1277" si="6221">+BB1274+BB1275+BB1276</f>
        <v>#ERROR!</v>
      </c>
      <c r="BC1277" s="162" t="str">
        <f t="shared" si="6221"/>
        <v>#ERROR!</v>
      </c>
      <c r="BD1277" s="162" t="str">
        <f t="shared" si="6221"/>
        <v>#ERROR!</v>
      </c>
      <c r="BE1277" s="162" t="str">
        <f t="shared" si="6221"/>
        <v>#ERROR!</v>
      </c>
      <c r="BF1277" s="112" t="str">
        <f t="shared" si="6144"/>
        <v>#ERROR!</v>
      </c>
      <c r="BG1277" s="162" t="str">
        <f t="shared" ref="BG1277:BJ1277" si="6222">+BG1274+BG1275+BG1276</f>
        <v>#ERROR!</v>
      </c>
      <c r="BH1277" s="162" t="str">
        <f t="shared" si="6222"/>
        <v>#ERROR!</v>
      </c>
      <c r="BI1277" s="162" t="str">
        <f t="shared" si="6222"/>
        <v>#ERROR!</v>
      </c>
      <c r="BJ1277" s="162" t="str">
        <f t="shared" si="6222"/>
        <v>#ERROR!</v>
      </c>
      <c r="BK1277" s="112" t="str">
        <f t="shared" si="6146"/>
        <v>#ERROR!</v>
      </c>
      <c r="BL1277" s="162" t="str">
        <f t="shared" ref="BL1277:BO1277" si="6223">+BL1274+BL1275+BL1276</f>
        <v>#ERROR!</v>
      </c>
      <c r="BM1277" s="162" t="str">
        <f t="shared" si="6223"/>
        <v>#ERROR!</v>
      </c>
      <c r="BN1277" s="162" t="str">
        <f t="shared" si="6223"/>
        <v>#ERROR!</v>
      </c>
      <c r="BO1277" s="162" t="str">
        <f t="shared" si="6223"/>
        <v>#ERROR!</v>
      </c>
      <c r="BP1277" s="112" t="str">
        <f t="shared" si="6148"/>
        <v>#ERROR!</v>
      </c>
      <c r="BQ1277" s="162" t="str">
        <f t="shared" ref="BQ1277:BT1277" si="6224">+BQ1274+BQ1275+BQ1276</f>
        <v>#ERROR!</v>
      </c>
      <c r="BR1277" s="162" t="str">
        <f t="shared" si="6224"/>
        <v>#ERROR!</v>
      </c>
      <c r="BS1277" s="162" t="str">
        <f t="shared" si="6224"/>
        <v>#ERROR!</v>
      </c>
      <c r="BT1277" s="162" t="str">
        <f t="shared" si="6224"/>
        <v>#ERROR!</v>
      </c>
      <c r="BU1277" s="112" t="str">
        <f t="shared" si="6150"/>
        <v>#ERROR!</v>
      </c>
      <c r="BV1277" s="162" t="str">
        <f t="shared" ref="BV1277:BY1277" si="6225">+BV1274+BV1275+BV1276</f>
        <v>#ERROR!</v>
      </c>
      <c r="BW1277" s="162" t="str">
        <f t="shared" si="6225"/>
        <v>#ERROR!</v>
      </c>
      <c r="BX1277" s="162" t="str">
        <f t="shared" si="6225"/>
        <v>#ERROR!</v>
      </c>
      <c r="BY1277" s="162" t="str">
        <f t="shared" si="6225"/>
        <v>#ERROR!</v>
      </c>
      <c r="BZ1277" s="80" t="str">
        <f t="shared" si="6152"/>
        <v>#ERROR!</v>
      </c>
      <c r="CA1277" s="162" t="str">
        <f t="shared" ref="CA1277:CD1277" si="6226">+CA1274+CA1275+CA1276</f>
        <v>#ERROR!</v>
      </c>
      <c r="CB1277" s="162" t="str">
        <f t="shared" si="6226"/>
        <v>#ERROR!</v>
      </c>
      <c r="CC1277" s="162" t="str">
        <f t="shared" si="6226"/>
        <v>#ERROR!</v>
      </c>
      <c r="CD1277" s="162" t="str">
        <f t="shared" si="6226"/>
        <v>#ERROR!</v>
      </c>
      <c r="CE1277" s="80" t="str">
        <f t="shared" si="6154"/>
        <v>#ERROR!</v>
      </c>
      <c r="CF1277" s="162" t="str">
        <f t="shared" ref="CF1277:CI1277" si="6227">+CF1274+CF1275+CF1276</f>
        <v>#ERROR!</v>
      </c>
      <c r="CG1277" s="162" t="str">
        <f t="shared" si="6227"/>
        <v>#ERROR!</v>
      </c>
      <c r="CH1277" s="162" t="str">
        <f t="shared" si="6227"/>
        <v>#ERROR!</v>
      </c>
      <c r="CI1277" s="162" t="str">
        <f t="shared" si="6227"/>
        <v>#ERROR!</v>
      </c>
      <c r="CJ1277" s="80" t="str">
        <f t="shared" si="6156"/>
        <v>#ERROR!</v>
      </c>
      <c r="CK1277" s="162" t="str">
        <f t="shared" ref="CK1277:CN1277" si="6228">+CK1274+CK1275+CK1276</f>
        <v>#ERROR!</v>
      </c>
      <c r="CL1277" s="162" t="str">
        <f t="shared" si="6228"/>
        <v>#ERROR!</v>
      </c>
      <c r="CM1277" s="162" t="str">
        <f t="shared" si="6228"/>
        <v>#ERROR!</v>
      </c>
      <c r="CN1277" s="708" t="str">
        <f t="shared" si="6228"/>
        <v>#ERROR!</v>
      </c>
      <c r="CO1277" s="80" t="str">
        <f t="shared" si="6158"/>
        <v>#ERROR!</v>
      </c>
      <c r="CP1277" s="708" t="str">
        <f t="shared" ref="CP1277:CS1277" si="6229">+CP1274+CP1275+CP1276</f>
        <v>#ERROR!</v>
      </c>
      <c r="CQ1277" s="162" t="str">
        <f t="shared" si="6229"/>
        <v>#ERROR!</v>
      </c>
      <c r="CR1277" s="162" t="str">
        <f t="shared" si="6229"/>
        <v>#ERROR!</v>
      </c>
      <c r="CS1277" s="162" t="str">
        <f t="shared" si="6229"/>
        <v>#ERROR!</v>
      </c>
      <c r="CT1277" s="80" t="str">
        <f t="shared" si="6160"/>
        <v>#ERROR!</v>
      </c>
      <c r="CU1277" s="162" t="str">
        <f t="shared" ref="CU1277:CX1277" si="6230">+CU1274+CU1275+CU1276</f>
        <v>#ERROR!</v>
      </c>
      <c r="CV1277" s="162" t="str">
        <f t="shared" si="6230"/>
        <v>#ERROR!</v>
      </c>
      <c r="CW1277" s="162" t="str">
        <f t="shared" si="6230"/>
        <v>#ERROR!</v>
      </c>
      <c r="CX1277" s="162" t="str">
        <f t="shared" si="6230"/>
        <v>#ERROR!</v>
      </c>
      <c r="CY1277" s="80" t="str">
        <f t="shared" si="6162"/>
        <v>#ERROR!</v>
      </c>
      <c r="CZ1277" s="162" t="str">
        <f t="shared" ref="CZ1277:DC1277" si="6231">+CZ1274+CZ1275+CZ1276</f>
        <v>#ERROR!</v>
      </c>
      <c r="DA1277" s="162" t="str">
        <f t="shared" si="6231"/>
        <v>#ERROR!</v>
      </c>
      <c r="DB1277" s="162" t="str">
        <f t="shared" si="6231"/>
        <v>#ERROR!</v>
      </c>
      <c r="DC1277" s="162" t="str">
        <f t="shared" si="6231"/>
        <v>#ERROR!</v>
      </c>
      <c r="DD1277" s="80" t="str">
        <f t="shared" si="6164"/>
        <v>#ERROR!</v>
      </c>
      <c r="DE1277" s="162" t="str">
        <f t="shared" ref="DE1277:DH1277" si="6232">+DE1274+DE1275+DE1276</f>
        <v>#ERROR!</v>
      </c>
      <c r="DF1277" s="162" t="str">
        <f t="shared" si="6232"/>
        <v>#ERROR!</v>
      </c>
      <c r="DG1277" s="708" t="str">
        <f t="shared" si="6232"/>
        <v>#ERROR!</v>
      </c>
      <c r="DH1277" s="162" t="str">
        <f t="shared" si="6232"/>
        <v>#ERROR!</v>
      </c>
      <c r="DI1277" s="80" t="str">
        <f t="shared" si="6166"/>
        <v>#ERROR!</v>
      </c>
      <c r="DJ1277" s="708" t="str">
        <f t="shared" ref="DJ1277:DM1277" si="6233">+DJ1274+DJ1275+DJ1276</f>
        <v>#ERROR!</v>
      </c>
      <c r="DK1277" s="708" t="str">
        <f t="shared" si="6233"/>
        <v>#ERROR!</v>
      </c>
      <c r="DL1277" s="708" t="str">
        <f t="shared" si="6233"/>
        <v>#ERROR!</v>
      </c>
      <c r="DM1277" s="162" t="str">
        <f t="shared" si="6233"/>
        <v>#ERROR!</v>
      </c>
      <c r="DN1277" s="80" t="str">
        <f t="shared" si="6168"/>
        <v>#ERROR!</v>
      </c>
      <c r="DO1277" s="162" t="str">
        <f t="shared" ref="DO1277:DR1277" si="6234">+DO1274+DO1275+DO1276</f>
        <v>#ERROR!</v>
      </c>
      <c r="DP1277" s="162" t="str">
        <f t="shared" si="6234"/>
        <v>#ERROR!</v>
      </c>
      <c r="DQ1277" s="162" t="str">
        <f t="shared" si="6234"/>
        <v>#ERROR!</v>
      </c>
      <c r="DR1277" s="162" t="str">
        <f t="shared" si="6234"/>
        <v>#ERROR!</v>
      </c>
      <c r="DS1277" s="80" t="str">
        <f t="shared" si="6170"/>
        <v>#ERROR!</v>
      </c>
      <c r="DT1277" s="162" t="str">
        <f t="shared" ref="DT1277:DW1277" si="6235">+DT1274+DT1275+DT1276</f>
        <v>#ERROR!</v>
      </c>
      <c r="DU1277" s="162" t="str">
        <f t="shared" si="6235"/>
        <v>#ERROR!</v>
      </c>
      <c r="DV1277" s="162" t="str">
        <f t="shared" si="6235"/>
        <v>#ERROR!</v>
      </c>
      <c r="DW1277" s="162" t="str">
        <f t="shared" si="6235"/>
        <v>#ERROR!</v>
      </c>
      <c r="DX1277" s="80" t="str">
        <f t="shared" si="6172"/>
        <v>#ERROR!</v>
      </c>
      <c r="DY1277" s="162" t="str">
        <f t="shared" ref="DY1277:EB1277" si="6236">+DY1274+DY1275+DY1276</f>
        <v>#ERROR!</v>
      </c>
      <c r="DZ1277" s="162" t="str">
        <f t="shared" si="6236"/>
        <v>#ERROR!</v>
      </c>
      <c r="EA1277" s="162" t="str">
        <f t="shared" si="6236"/>
        <v>#ERROR!</v>
      </c>
      <c r="EB1277" s="162" t="str">
        <f t="shared" si="6236"/>
        <v>#ERROR!</v>
      </c>
      <c r="EC1277" s="80" t="str">
        <f t="shared" si="6174"/>
        <v>#ERROR!</v>
      </c>
      <c r="ED1277" s="162" t="str">
        <f t="shared" ref="ED1277:EG1277" si="6237">+ED1274+ED1275+ED1276</f>
        <v>#ERROR!</v>
      </c>
      <c r="EE1277" s="162" t="str">
        <f t="shared" si="6237"/>
        <v>#ERROR!</v>
      </c>
      <c r="EF1277" s="162" t="str">
        <f t="shared" si="6237"/>
        <v>#ERROR!</v>
      </c>
      <c r="EG1277" s="162" t="str">
        <f t="shared" si="6237"/>
        <v>#ERROR!</v>
      </c>
      <c r="EH1277" s="80" t="str">
        <f t="shared" si="6176"/>
        <v>#ERROR!</v>
      </c>
      <c r="EI1277" s="709" t="str">
        <f t="shared" ref="EI1277:EL1277" si="6238">+EI1274+EI1275+EI1276</f>
        <v>#ERROR!</v>
      </c>
      <c r="EJ1277" s="162" t="str">
        <f t="shared" si="6238"/>
        <v>#ERROR!</v>
      </c>
      <c r="EK1277" s="162" t="str">
        <f t="shared" si="6238"/>
        <v>#ERROR!</v>
      </c>
      <c r="EL1277" s="162" t="str">
        <f t="shared" si="6238"/>
        <v>#ERROR!</v>
      </c>
      <c r="EM1277" s="80" t="str">
        <f t="shared" si="6178"/>
        <v>#ERROR!</v>
      </c>
      <c r="EN1277" s="162" t="str">
        <f t="shared" ref="EN1277:EQ1277" si="6239">+EN1274+EN1275+EN1276</f>
        <v>#ERROR!</v>
      </c>
      <c r="EO1277" s="162" t="str">
        <f t="shared" si="6239"/>
        <v>#ERROR!</v>
      </c>
      <c r="EP1277" s="162" t="str">
        <f t="shared" si="6239"/>
        <v>#ERROR!</v>
      </c>
      <c r="EQ1277" s="162" t="str">
        <f t="shared" si="6239"/>
        <v>#ERROR!</v>
      </c>
      <c r="ER1277" s="80" t="str">
        <f t="shared" si="6180"/>
        <v>#ERROR!</v>
      </c>
      <c r="ES1277" s="162" t="str">
        <f t="shared" ref="ES1277:EV1277" si="6240">+ES1274+ES1275+ES1276</f>
        <v>#ERROR!</v>
      </c>
      <c r="ET1277" s="162" t="str">
        <f t="shared" si="6240"/>
        <v>#ERROR!</v>
      </c>
      <c r="EU1277" s="162" t="str">
        <f t="shared" si="6240"/>
        <v>#ERROR!</v>
      </c>
      <c r="EV1277" s="162" t="str">
        <f t="shared" si="6240"/>
        <v>#ERROR!</v>
      </c>
      <c r="EW1277" s="80" t="str">
        <f t="shared" si="6182"/>
        <v>#ERROR!</v>
      </c>
      <c r="EX1277" s="162" t="str">
        <f t="shared" ref="EX1277:FA1277" si="6241">+EX1274+EX1275+EX1276</f>
        <v>#ERROR!</v>
      </c>
      <c r="EY1277" s="162" t="str">
        <f t="shared" si="6241"/>
        <v>#ERROR!</v>
      </c>
      <c r="EZ1277" s="162" t="str">
        <f t="shared" si="6241"/>
        <v>#ERROR!</v>
      </c>
      <c r="FA1277" s="162" t="str">
        <f t="shared" si="6241"/>
        <v>#ERROR!</v>
      </c>
      <c r="FB1277" s="80" t="str">
        <f t="shared" si="6184"/>
        <v>#ERROR!</v>
      </c>
      <c r="FC1277" s="162" t="str">
        <f t="shared" ref="FC1277:FF1277" si="6242">+FC1274+FC1275+FC1276</f>
        <v>#ERROR!</v>
      </c>
      <c r="FD1277" s="162" t="str">
        <f t="shared" si="6242"/>
        <v>#ERROR!</v>
      </c>
      <c r="FE1277" s="162" t="str">
        <f t="shared" si="6242"/>
        <v>#ERROR!</v>
      </c>
      <c r="FF1277" s="162" t="str">
        <f t="shared" si="6242"/>
        <v>#ERROR!</v>
      </c>
      <c r="FG1277" s="80" t="str">
        <f t="shared" si="6186"/>
        <v>#ERROR!</v>
      </c>
      <c r="FH1277" s="146"/>
      <c r="FI1277" s="4"/>
      <c r="FJ1277" s="4"/>
      <c r="FK1277" s="4"/>
      <c r="FL1277" s="4"/>
    </row>
    <row r="1278" ht="12.75" hidden="1" customHeight="1" outlineLevel="3">
      <c r="A1278" s="4"/>
      <c r="B1278" s="72" t="str">
        <f t="shared" si="6130"/>
        <v>WCCG</v>
      </c>
      <c r="C1278" s="4"/>
      <c r="D1278" s="162"/>
      <c r="E1278" s="162"/>
      <c r="F1278" s="162"/>
      <c r="G1278" s="162"/>
      <c r="H1278" s="112"/>
      <c r="I1278" s="162"/>
      <c r="J1278" s="162"/>
      <c r="K1278" s="162"/>
      <c r="L1278" s="162"/>
      <c r="M1278" s="112"/>
      <c r="N1278" s="162"/>
      <c r="O1278" s="162"/>
      <c r="P1278" s="162"/>
      <c r="Q1278" s="162"/>
      <c r="R1278" s="112"/>
      <c r="S1278" s="162"/>
      <c r="T1278" s="162"/>
      <c r="U1278" s="162"/>
      <c r="V1278" s="162"/>
      <c r="W1278" s="112"/>
      <c r="X1278" s="162">
        <f t="shared" ref="X1278:AA1278" si="6243">+X1291*X853</f>
        <v>139.8775</v>
      </c>
      <c r="Y1278" s="162">
        <f t="shared" si="6243"/>
        <v>165.05545</v>
      </c>
      <c r="Z1278" s="162">
        <f t="shared" si="6243"/>
        <v>200.1</v>
      </c>
      <c r="AA1278" s="162">
        <f t="shared" si="6243"/>
        <v>245.7</v>
      </c>
      <c r="AB1278" s="112">
        <f t="shared" si="6132"/>
        <v>750.73295</v>
      </c>
      <c r="AC1278" s="162">
        <f t="shared" ref="AC1278:AF1278" si="6244">+AC1291*AC853</f>
        <v>104.25</v>
      </c>
      <c r="AD1278" s="162">
        <f t="shared" si="6244"/>
        <v>76.5</v>
      </c>
      <c r="AE1278" s="162">
        <f t="shared" si="6244"/>
        <v>25.45</v>
      </c>
      <c r="AF1278" s="162">
        <f t="shared" si="6244"/>
        <v>77.7</v>
      </c>
      <c r="AG1278" s="112">
        <f t="shared" si="6134"/>
        <v>283.9</v>
      </c>
      <c r="AH1278" s="162">
        <f t="shared" ref="AH1278:AK1278" si="6245">+AH1291*AH853</f>
        <v>68.85</v>
      </c>
      <c r="AI1278" s="162">
        <f t="shared" si="6245"/>
        <v>79.8</v>
      </c>
      <c r="AJ1278" s="162">
        <f t="shared" si="6245"/>
        <v>87.9</v>
      </c>
      <c r="AK1278" s="162">
        <f t="shared" si="6245"/>
        <v>99.3</v>
      </c>
      <c r="AL1278" s="112">
        <f t="shared" si="6136"/>
        <v>335.85</v>
      </c>
      <c r="AM1278" s="162">
        <f t="shared" ref="AM1278:AP1278" si="6246">+AM1291*AM853</f>
        <v>94.6</v>
      </c>
      <c r="AN1278" s="162">
        <f t="shared" si="6246"/>
        <v>116.25</v>
      </c>
      <c r="AO1278" s="162">
        <f t="shared" si="6246"/>
        <v>157.5</v>
      </c>
      <c r="AP1278" s="162">
        <f t="shared" si="6246"/>
        <v>187.6</v>
      </c>
      <c r="AQ1278" s="112">
        <f t="shared" si="6138"/>
        <v>555.95</v>
      </c>
      <c r="AR1278" s="162"/>
      <c r="AS1278" s="162"/>
      <c r="AT1278" s="162"/>
      <c r="AU1278" s="162"/>
      <c r="AV1278" s="112"/>
      <c r="AW1278" s="162"/>
      <c r="AX1278" s="162"/>
      <c r="AY1278" s="162"/>
      <c r="AZ1278" s="162"/>
      <c r="BA1278" s="112"/>
      <c r="BB1278" s="162"/>
      <c r="BC1278" s="162"/>
      <c r="BD1278" s="162"/>
      <c r="BE1278" s="162"/>
      <c r="BF1278" s="112"/>
      <c r="BG1278" s="162"/>
      <c r="BH1278" s="162"/>
      <c r="BI1278" s="162"/>
      <c r="BJ1278" s="162"/>
      <c r="BK1278" s="112"/>
      <c r="BL1278" s="162"/>
      <c r="BM1278" s="162"/>
      <c r="BN1278" s="162"/>
      <c r="BO1278" s="162"/>
      <c r="BP1278" s="112"/>
      <c r="BQ1278" s="162"/>
      <c r="BR1278" s="162"/>
      <c r="BS1278" s="162"/>
      <c r="BT1278" s="162"/>
      <c r="BU1278" s="112"/>
      <c r="BV1278" s="162"/>
      <c r="BW1278" s="162"/>
      <c r="BX1278" s="162"/>
      <c r="BY1278" s="162"/>
      <c r="BZ1278" s="80"/>
      <c r="CA1278" s="162"/>
      <c r="CB1278" s="162"/>
      <c r="CC1278" s="162"/>
      <c r="CD1278" s="162"/>
      <c r="CE1278" s="80"/>
      <c r="CF1278" s="162"/>
      <c r="CG1278" s="162"/>
      <c r="CH1278" s="162"/>
      <c r="CI1278" s="162"/>
      <c r="CJ1278" s="80"/>
      <c r="CK1278" s="162"/>
      <c r="CL1278" s="162"/>
      <c r="CM1278" s="162"/>
      <c r="CN1278" s="708"/>
      <c r="CO1278" s="80"/>
      <c r="CP1278" s="708"/>
      <c r="CQ1278" s="162"/>
      <c r="CR1278" s="162"/>
      <c r="CS1278" s="162"/>
      <c r="CT1278" s="80"/>
      <c r="CU1278" s="162"/>
      <c r="CV1278" s="162"/>
      <c r="CW1278" s="162"/>
      <c r="CX1278" s="162"/>
      <c r="CY1278" s="80"/>
      <c r="CZ1278" s="162"/>
      <c r="DA1278" s="162"/>
      <c r="DB1278" s="162"/>
      <c r="DC1278" s="162"/>
      <c r="DD1278" s="80"/>
      <c r="DE1278" s="162"/>
      <c r="DF1278" s="162"/>
      <c r="DG1278" s="708"/>
      <c r="DH1278" s="162"/>
      <c r="DI1278" s="80"/>
      <c r="DJ1278" s="708"/>
      <c r="DK1278" s="708"/>
      <c r="DL1278" s="708"/>
      <c r="DM1278" s="162"/>
      <c r="DN1278" s="80"/>
      <c r="DO1278" s="162"/>
      <c r="DP1278" s="162"/>
      <c r="DQ1278" s="162"/>
      <c r="DR1278" s="162"/>
      <c r="DS1278" s="80"/>
      <c r="DT1278" s="162"/>
      <c r="DU1278" s="162"/>
      <c r="DV1278" s="162"/>
      <c r="DW1278" s="162"/>
      <c r="DX1278" s="80"/>
      <c r="DY1278" s="162"/>
      <c r="DZ1278" s="162"/>
      <c r="EA1278" s="162"/>
      <c r="EB1278" s="162"/>
      <c r="EC1278" s="80"/>
      <c r="ED1278" s="162"/>
      <c r="EE1278" s="162"/>
      <c r="EF1278" s="162"/>
      <c r="EG1278" s="162"/>
      <c r="EH1278" s="80"/>
      <c r="EI1278" s="709"/>
      <c r="EJ1278" s="162"/>
      <c r="EK1278" s="162"/>
      <c r="EL1278" s="162"/>
      <c r="EM1278" s="80"/>
      <c r="EN1278" s="162"/>
      <c r="EO1278" s="162"/>
      <c r="EP1278" s="162"/>
      <c r="EQ1278" s="162"/>
      <c r="ER1278" s="80"/>
      <c r="ES1278" s="162"/>
      <c r="ET1278" s="162"/>
      <c r="EU1278" s="162"/>
      <c r="EV1278" s="162"/>
      <c r="EW1278" s="80"/>
      <c r="EX1278" s="162"/>
      <c r="EY1278" s="162"/>
      <c r="EZ1278" s="162"/>
      <c r="FA1278" s="162"/>
      <c r="FB1278" s="80"/>
      <c r="FC1278" s="162"/>
      <c r="FD1278" s="162"/>
      <c r="FE1278" s="162"/>
      <c r="FF1278" s="162"/>
      <c r="FG1278" s="80"/>
      <c r="FH1278" s="146"/>
      <c r="FI1278" s="4"/>
      <c r="FJ1278" s="4"/>
      <c r="FK1278" s="4"/>
      <c r="FL1278" s="4"/>
    </row>
    <row r="1279" ht="12.75" hidden="1" customHeight="1" outlineLevel="3">
      <c r="A1279" s="4"/>
      <c r="B1279" s="72" t="str">
        <f t="shared" si="6130"/>
        <v>Flash</v>
      </c>
      <c r="C1279" s="4"/>
      <c r="D1279" s="162"/>
      <c r="E1279" s="162"/>
      <c r="F1279" s="162"/>
      <c r="G1279" s="162"/>
      <c r="H1279" s="112"/>
      <c r="I1279" s="162"/>
      <c r="J1279" s="162"/>
      <c r="K1279" s="162"/>
      <c r="L1279" s="162"/>
      <c r="M1279" s="112"/>
      <c r="N1279" s="162"/>
      <c r="O1279" s="162"/>
      <c r="P1279" s="162"/>
      <c r="Q1279" s="162"/>
      <c r="R1279" s="112"/>
      <c r="S1279" s="162"/>
      <c r="T1279" s="162"/>
      <c r="U1279" s="162"/>
      <c r="V1279" s="162"/>
      <c r="W1279" s="112"/>
      <c r="X1279" s="162"/>
      <c r="Y1279" s="162"/>
      <c r="Z1279" s="162"/>
      <c r="AA1279" s="162"/>
      <c r="AB1279" s="112"/>
      <c r="AC1279" s="162"/>
      <c r="AD1279" s="162"/>
      <c r="AE1279" s="162"/>
      <c r="AF1279" s="162"/>
      <c r="AG1279" s="112"/>
      <c r="AH1279" s="162"/>
      <c r="AI1279" s="162"/>
      <c r="AJ1279" s="162"/>
      <c r="AK1279" s="162"/>
      <c r="AL1279" s="112"/>
      <c r="AM1279" s="162">
        <f>+AM1293*AM854</f>
        <v>163.6</v>
      </c>
      <c r="AN1279" s="162"/>
      <c r="AO1279" s="162"/>
      <c r="AP1279" s="162"/>
      <c r="AQ1279" s="112">
        <f t="shared" si="6138"/>
        <v>163.6</v>
      </c>
      <c r="AR1279" s="162">
        <f t="shared" ref="AR1279:AU1279" si="6247">+AR1292*AR854</f>
        <v>166.8</v>
      </c>
      <c r="AS1279" s="162">
        <f t="shared" si="6247"/>
        <v>264.15</v>
      </c>
      <c r="AT1279" s="162">
        <f t="shared" si="6247"/>
        <v>146.74</v>
      </c>
      <c r="AU1279" s="162">
        <f t="shared" si="6247"/>
        <v>173.61</v>
      </c>
      <c r="AV1279" s="112">
        <f t="shared" ref="AV1279:AV1283" si="6276">+SUM(AR1279:AU1279)</f>
        <v>751.3</v>
      </c>
      <c r="AW1279" s="162">
        <f t="shared" ref="AW1279:AZ1279" si="6248">+AW1292*AW854</f>
        <v>156.06</v>
      </c>
      <c r="AX1279" s="162">
        <f t="shared" si="6248"/>
        <v>153.12</v>
      </c>
      <c r="AY1279" s="162">
        <f t="shared" si="6248"/>
        <v>177.32</v>
      </c>
      <c r="AZ1279" s="162">
        <f t="shared" si="6248"/>
        <v>198</v>
      </c>
      <c r="BA1279" s="112">
        <f t="shared" ref="BA1279:BA1283" si="6278">+SUM(AW1279:AZ1279)</f>
        <v>684.5</v>
      </c>
      <c r="BB1279" s="162">
        <f t="shared" ref="BB1279:BE1279" si="6249">+BB1292*BB854</f>
        <v>157.76</v>
      </c>
      <c r="BC1279" s="162">
        <f t="shared" si="6249"/>
        <v>155.44</v>
      </c>
      <c r="BD1279" s="162">
        <f t="shared" si="6249"/>
        <v>157.17</v>
      </c>
      <c r="BE1279" s="162">
        <f t="shared" si="6249"/>
        <v>178.56</v>
      </c>
      <c r="BF1279" s="112">
        <f t="shared" ref="BF1279:BF1283" si="6280">+SUM(BB1279:BE1279)</f>
        <v>648.93</v>
      </c>
      <c r="BG1279" s="162">
        <f t="shared" ref="BG1279:BJ1279" si="6250">+BG1292*BG854</f>
        <v>140.7</v>
      </c>
      <c r="BH1279" s="162">
        <f t="shared" si="6250"/>
        <v>163.02</v>
      </c>
      <c r="BI1279" s="162">
        <f t="shared" si="6250"/>
        <v>193.55</v>
      </c>
      <c r="BJ1279" s="162">
        <f t="shared" si="6250"/>
        <v>216.82</v>
      </c>
      <c r="BK1279" s="112">
        <f t="shared" ref="BK1279:BK1283" si="6282">+SUM(BG1279:BJ1279)</f>
        <v>714.09</v>
      </c>
      <c r="BL1279" s="162">
        <f t="shared" ref="BL1279:BO1279" si="6251">+BL1292*BL854</f>
        <v>149.7</v>
      </c>
      <c r="BM1279" s="162">
        <f t="shared" si="6251"/>
        <v>82.5</v>
      </c>
      <c r="BN1279" s="162">
        <f t="shared" si="6251"/>
        <v>64.75</v>
      </c>
      <c r="BO1279" s="162">
        <f t="shared" si="6251"/>
        <v>62.9</v>
      </c>
      <c r="BP1279" s="112">
        <f t="shared" ref="BP1279:BP1283" si="6284">+SUM(BL1279:BO1279)</f>
        <v>359.85</v>
      </c>
      <c r="BQ1279" s="162">
        <f t="shared" ref="BQ1279:BT1279" si="6252">+BQ1292*BQ854</f>
        <v>46.5</v>
      </c>
      <c r="BR1279" s="162">
        <f t="shared" si="6252"/>
        <v>63.69</v>
      </c>
      <c r="BS1279" s="162">
        <f t="shared" si="6252"/>
        <v>76.65</v>
      </c>
      <c r="BT1279" s="162">
        <f t="shared" si="6252"/>
        <v>99.9</v>
      </c>
      <c r="BU1279" s="112">
        <f t="shared" ref="BU1279:BU1283" si="6286">+SUM(BQ1279:BT1279)</f>
        <v>286.74</v>
      </c>
      <c r="BV1279" s="162">
        <f t="shared" ref="BV1279:BY1279" si="6253">+BV1292*BV854</f>
        <v>94.2703125</v>
      </c>
      <c r="BW1279" s="162">
        <f t="shared" si="6253"/>
        <v>100.5864234</v>
      </c>
      <c r="BX1279" s="162">
        <f t="shared" si="6253"/>
        <v>128.0190844</v>
      </c>
      <c r="BY1279" s="162">
        <f t="shared" si="6253"/>
        <v>148.8679067</v>
      </c>
      <c r="BZ1279" s="80">
        <f t="shared" ref="BZ1279:BZ1283" si="6288">+SUM(BV1279:BY1279)</f>
        <v>471.743727</v>
      </c>
      <c r="CA1279" s="162">
        <f t="shared" ref="CA1279:CD1279" si="6254">+CA1292*CA854</f>
        <v>102.5981519</v>
      </c>
      <c r="CB1279" s="162">
        <f t="shared" si="6254"/>
        <v>109.4722281</v>
      </c>
      <c r="CC1279" s="162">
        <f t="shared" si="6254"/>
        <v>139.3282903</v>
      </c>
      <c r="CD1279" s="162">
        <f t="shared" si="6254"/>
        <v>162.0188976</v>
      </c>
      <c r="CE1279" s="80">
        <f t="shared" ref="CE1279:CE1283" si="6290">+SUM(CA1279:CD1279)</f>
        <v>513.4175678</v>
      </c>
      <c r="CF1279" s="162">
        <f t="shared" ref="CF1279:CI1279" si="6255">+CF1292*CF854</f>
        <v>111.6616726</v>
      </c>
      <c r="CG1279" s="162">
        <f t="shared" si="6255"/>
        <v>119.1430047</v>
      </c>
      <c r="CH1279" s="162">
        <f t="shared" si="6255"/>
        <v>151.6365515</v>
      </c>
      <c r="CI1279" s="162">
        <f t="shared" si="6255"/>
        <v>176.331647</v>
      </c>
      <c r="CJ1279" s="80">
        <f t="shared" ref="CJ1279:CJ1283" si="6292">+SUM(CF1279:CI1279)</f>
        <v>558.7728758</v>
      </c>
      <c r="CK1279" s="162">
        <f t="shared" ref="CK1279:CN1279" si="6256">+CK1292*CK854</f>
        <v>121.5258648</v>
      </c>
      <c r="CL1279" s="162">
        <f t="shared" si="6256"/>
        <v>129.6680977</v>
      </c>
      <c r="CM1279" s="162">
        <f t="shared" si="6256"/>
        <v>165.0321244</v>
      </c>
      <c r="CN1279" s="708">
        <f t="shared" si="6256"/>
        <v>191.9087847</v>
      </c>
      <c r="CO1279" s="80">
        <f t="shared" ref="CO1279:CO1283" si="6294">+SUM(CK1279:CN1279)</f>
        <v>608.1348716</v>
      </c>
      <c r="CP1279" s="708">
        <f t="shared" ref="CP1279:CS1279" si="6257">+CP1292*CP854</f>
        <v>132.2614597</v>
      </c>
      <c r="CQ1279" s="162">
        <f t="shared" si="6257"/>
        <v>141.1229775</v>
      </c>
      <c r="CR1279" s="162">
        <f t="shared" si="6257"/>
        <v>179.6110623</v>
      </c>
      <c r="CS1279" s="162">
        <f t="shared" si="6257"/>
        <v>208.8620067</v>
      </c>
      <c r="CT1279" s="80">
        <f t="shared" ref="CT1279:CT1283" si="6296">+SUM(CP1279:CS1279)</f>
        <v>661.8575062</v>
      </c>
      <c r="CU1279" s="162">
        <f t="shared" ref="CU1279:CX1279" si="6258">+CU1292*CU854</f>
        <v>143.9454371</v>
      </c>
      <c r="CV1279" s="162">
        <f t="shared" si="6258"/>
        <v>153.5897813</v>
      </c>
      <c r="CW1279" s="162">
        <f t="shared" si="6258"/>
        <v>195.4779035</v>
      </c>
      <c r="CX1279" s="162">
        <f t="shared" si="6258"/>
        <v>227.3128764</v>
      </c>
      <c r="CY1279" s="80">
        <f t="shared" ref="CY1279:CY1283" si="6298">+SUM(CU1279:CX1279)</f>
        <v>720.3259983</v>
      </c>
      <c r="CZ1279" s="162">
        <f t="shared" ref="CZ1279:DC1279" si="6259">+CZ1292*CZ854</f>
        <v>156.661577</v>
      </c>
      <c r="DA1279" s="162">
        <f t="shared" si="6259"/>
        <v>167.1579026</v>
      </c>
      <c r="DB1279" s="162">
        <f t="shared" si="6259"/>
        <v>212.7464215</v>
      </c>
      <c r="DC1279" s="162">
        <f t="shared" si="6259"/>
        <v>247.3936959</v>
      </c>
      <c r="DD1279" s="80">
        <f t="shared" ref="DD1279:DD1283" si="6300">+SUM(CZ1279:DC1279)</f>
        <v>783.959597</v>
      </c>
      <c r="DE1279" s="162">
        <f t="shared" ref="DE1279:DH1279" si="6260">+DE1292*DE854</f>
        <v>170.5010607</v>
      </c>
      <c r="DF1279" s="162">
        <f t="shared" si="6260"/>
        <v>181.9246317</v>
      </c>
      <c r="DG1279" s="708">
        <f t="shared" si="6260"/>
        <v>231.5404404</v>
      </c>
      <c r="DH1279" s="162">
        <f t="shared" si="6260"/>
        <v>269.248455</v>
      </c>
      <c r="DI1279" s="80">
        <f t="shared" ref="DI1279:DI1283" si="6302">+SUM(DE1279:DH1279)</f>
        <v>853.2145878</v>
      </c>
      <c r="DJ1279" s="708">
        <f t="shared" ref="DJ1279:DM1279" si="6261">+DJ1292*DJ854</f>
        <v>185.5631244</v>
      </c>
      <c r="DK1279" s="708">
        <f t="shared" si="6261"/>
        <v>197.9958537</v>
      </c>
      <c r="DL1279" s="708">
        <f t="shared" si="6261"/>
        <v>251.9947229</v>
      </c>
      <c r="DM1279" s="162">
        <f t="shared" si="6261"/>
        <v>293.0338635</v>
      </c>
      <c r="DN1279" s="80">
        <f t="shared" ref="DN1279:DN1283" si="6304">+SUM(DJ1279:DM1279)</f>
        <v>928.5875645</v>
      </c>
      <c r="DO1279" s="162">
        <f t="shared" ref="DO1279:DR1279" si="6262">+DO1292*DO854</f>
        <v>201.9557708</v>
      </c>
      <c r="DP1279" s="162">
        <f t="shared" si="6262"/>
        <v>215.4868074</v>
      </c>
      <c r="DQ1279" s="162">
        <f t="shared" si="6262"/>
        <v>274.2559367</v>
      </c>
      <c r="DR1279" s="162">
        <f t="shared" si="6262"/>
        <v>318.920475</v>
      </c>
      <c r="DS1279" s="80">
        <f t="shared" ref="DS1279:DS1283" si="6306">+SUM(DO1279:DR1279)</f>
        <v>1010.61899</v>
      </c>
      <c r="DT1279" s="162">
        <f t="shared" ref="DT1279:DW1279" si="6263">+DT1292*DT854</f>
        <v>219.7965436</v>
      </c>
      <c r="DU1279" s="162">
        <f t="shared" si="6263"/>
        <v>234.522912</v>
      </c>
      <c r="DV1279" s="162">
        <f t="shared" si="6263"/>
        <v>298.4837062</v>
      </c>
      <c r="DW1279" s="162">
        <f t="shared" si="6263"/>
        <v>347.0939097</v>
      </c>
      <c r="DX1279" s="80">
        <f t="shared" ref="DX1279:DX1283" si="6308">+SUM(DT1279:DW1279)</f>
        <v>1099.897071</v>
      </c>
      <c r="DY1279" s="162">
        <f t="shared" ref="DY1279:EB1279" si="6264">+DY1292*DY854</f>
        <v>239.2133702</v>
      </c>
      <c r="DZ1279" s="162">
        <f t="shared" si="6264"/>
        <v>255.240666</v>
      </c>
      <c r="EA1279" s="162">
        <f t="shared" si="6264"/>
        <v>324.8517568</v>
      </c>
      <c r="EB1279" s="162">
        <f t="shared" si="6264"/>
        <v>377.7561857</v>
      </c>
      <c r="EC1279" s="80">
        <f t="shared" ref="EC1279:EC1283" si="6310">+SUM(DY1279:EB1279)</f>
        <v>1197.061979</v>
      </c>
      <c r="ED1279" s="162">
        <f t="shared" ref="ED1279:EG1279" si="6265">+ED1292*ED854</f>
        <v>260.3454794</v>
      </c>
      <c r="EE1279" s="162">
        <f t="shared" si="6265"/>
        <v>277.7886265</v>
      </c>
      <c r="EF1279" s="162">
        <f t="shared" si="6265"/>
        <v>353.549161</v>
      </c>
      <c r="EG1279" s="162">
        <f t="shared" si="6265"/>
        <v>411.1271672</v>
      </c>
      <c r="EH1279" s="80">
        <f t="shared" ref="EH1279:EH1283" si="6312">+SUM(ED1279:EG1279)</f>
        <v>1302.810434</v>
      </c>
      <c r="EI1279" s="709">
        <f t="shared" ref="EI1279:EL1279" si="6266">+EI1292*EI854</f>
        <v>283.344399</v>
      </c>
      <c r="EJ1279" s="162">
        <f t="shared" si="6266"/>
        <v>302.3284737</v>
      </c>
      <c r="EK1279" s="162">
        <f t="shared" si="6266"/>
        <v>384.7816938</v>
      </c>
      <c r="EL1279" s="162">
        <f t="shared" si="6266"/>
        <v>447.4461411</v>
      </c>
      <c r="EM1279" s="80">
        <f t="shared" ref="EM1279:EM1283" si="6314">+SUM(EI1279:EL1279)</f>
        <v>1417.900708</v>
      </c>
      <c r="EN1279" s="162">
        <f t="shared" ref="EN1279:EQ1279" si="6267">+EN1292*EN854</f>
        <v>308.3750432</v>
      </c>
      <c r="EO1279" s="162">
        <f t="shared" si="6267"/>
        <v>329.0361711</v>
      </c>
      <c r="EP1279" s="162">
        <f t="shared" si="6267"/>
        <v>418.7733087</v>
      </c>
      <c r="EQ1279" s="162">
        <f t="shared" si="6267"/>
        <v>486.9735332</v>
      </c>
      <c r="ER1279" s="80">
        <f t="shared" ref="ER1279:ER1283" si="6316">+SUM(EN1279:EQ1279)</f>
        <v>1543.158056</v>
      </c>
      <c r="ES1279" s="162">
        <f t="shared" ref="ES1279:EV1279" si="6268">+ES1292*ES854</f>
        <v>335.6168945</v>
      </c>
      <c r="ET1279" s="162">
        <f t="shared" si="6268"/>
        <v>358.1032265</v>
      </c>
      <c r="EU1279" s="162">
        <f t="shared" si="6268"/>
        <v>455.7677428</v>
      </c>
      <c r="EV1279" s="162">
        <f t="shared" si="6268"/>
        <v>529.9927752</v>
      </c>
      <c r="EW1279" s="80">
        <f t="shared" ref="EW1279:EW1283" si="6318">+SUM(ES1279:EV1279)</f>
        <v>1679.480639</v>
      </c>
      <c r="EX1279" s="162">
        <f t="shared" ref="EX1279:FA1279" si="6269">+EX1292*EX854</f>
        <v>365.265291</v>
      </c>
      <c r="EY1279" s="162">
        <f t="shared" si="6269"/>
        <v>389.7380655</v>
      </c>
      <c r="EZ1279" s="162">
        <f t="shared" si="6269"/>
        <v>496.0302652</v>
      </c>
      <c r="FA1279" s="162">
        <f t="shared" si="6269"/>
        <v>576.8123369</v>
      </c>
      <c r="FB1279" s="80">
        <f t="shared" ref="FB1279:FB1283" si="6320">+SUM(EX1279:FA1279)</f>
        <v>1827.845959</v>
      </c>
      <c r="FC1279" s="162">
        <f t="shared" ref="FC1279:FF1279" si="6270">+FC1292*FC854</f>
        <v>397.5328268</v>
      </c>
      <c r="FD1279" s="162">
        <f t="shared" si="6270"/>
        <v>424.1675262</v>
      </c>
      <c r="FE1279" s="162">
        <f t="shared" si="6270"/>
        <v>539.8495788</v>
      </c>
      <c r="FF1279" s="162">
        <f t="shared" si="6270"/>
        <v>627.7679388</v>
      </c>
      <c r="FG1279" s="80">
        <f t="shared" ref="FG1279:FG1283" si="6322">+SUM(FC1279:FF1279)</f>
        <v>1989.317871</v>
      </c>
      <c r="FH1279" s="146"/>
      <c r="FI1279" s="4"/>
      <c r="FJ1279" s="4"/>
      <c r="FK1279" s="4"/>
      <c r="FL1279" s="4"/>
    </row>
    <row r="1280" ht="12.75" hidden="1" customHeight="1" outlineLevel="3">
      <c r="A1280" s="4"/>
      <c r="B1280" s="72" t="str">
        <f t="shared" si="6130"/>
        <v>Comm/Embedded (former ICG)</v>
      </c>
      <c r="C1280" s="4"/>
      <c r="D1280" s="162"/>
      <c r="E1280" s="162"/>
      <c r="F1280" s="162"/>
      <c r="G1280" s="162"/>
      <c r="H1280" s="112"/>
      <c r="I1280" s="162"/>
      <c r="J1280" s="162"/>
      <c r="K1280" s="162"/>
      <c r="L1280" s="162"/>
      <c r="M1280" s="112"/>
      <c r="N1280" s="162"/>
      <c r="O1280" s="162"/>
      <c r="P1280" s="162"/>
      <c r="Q1280" s="162"/>
      <c r="R1280" s="112"/>
      <c r="S1280" s="162"/>
      <c r="T1280" s="162"/>
      <c r="U1280" s="162"/>
      <c r="V1280" s="162"/>
      <c r="W1280" s="112"/>
      <c r="X1280" s="162">
        <f t="shared" ref="X1280:AA1280" si="6271">+X1293*X855</f>
        <v>275</v>
      </c>
      <c r="Y1280" s="162">
        <f t="shared" si="6271"/>
        <v>335.5</v>
      </c>
      <c r="Z1280" s="162">
        <f t="shared" si="6271"/>
        <v>474</v>
      </c>
      <c r="AA1280" s="162">
        <f t="shared" si="6271"/>
        <v>462</v>
      </c>
      <c r="AB1280" s="112">
        <f t="shared" ref="AB1280:AB1283" si="6324">+SUM(X1280:AA1280)</f>
        <v>1546.5</v>
      </c>
      <c r="AC1280" s="162">
        <f t="shared" ref="AC1280:AF1280" si="6272">+AC1293*AC855</f>
        <v>387.5</v>
      </c>
      <c r="AD1280" s="162">
        <f t="shared" si="6272"/>
        <v>-88.9</v>
      </c>
      <c r="AE1280" s="162">
        <f t="shared" si="6272"/>
        <v>232</v>
      </c>
      <c r="AF1280" s="162">
        <f t="shared" si="6272"/>
        <v>236</v>
      </c>
      <c r="AG1280" s="112">
        <f t="shared" ref="AG1280:AG1283" si="6326">+SUM(AC1280:AF1280)</f>
        <v>766.6</v>
      </c>
      <c r="AH1280" s="162">
        <f t="shared" ref="AH1280:AK1280" si="6273">+AH1293*AH855</f>
        <v>233.1</v>
      </c>
      <c r="AI1280" s="162">
        <f t="shared" si="6273"/>
        <v>241.2</v>
      </c>
      <c r="AJ1280" s="162">
        <f t="shared" si="6273"/>
        <v>241</v>
      </c>
      <c r="AK1280" s="162">
        <f t="shared" si="6273"/>
        <v>272</v>
      </c>
      <c r="AL1280" s="112">
        <f t="shared" ref="AL1280:AL1283" si="6328">+SUM(AH1280:AK1280)</f>
        <v>987.3</v>
      </c>
      <c r="AM1280" s="162">
        <f t="shared" ref="AM1280:AP1280" si="6274">+AM1293*AM855</f>
        <v>201.2</v>
      </c>
      <c r="AN1280" s="162">
        <f t="shared" si="6274"/>
        <v>152.4</v>
      </c>
      <c r="AO1280" s="162">
        <f t="shared" si="6274"/>
        <v>217.6</v>
      </c>
      <c r="AP1280" s="162">
        <f t="shared" si="6274"/>
        <v>236.8</v>
      </c>
      <c r="AQ1280" s="112">
        <f t="shared" si="6138"/>
        <v>808</v>
      </c>
      <c r="AR1280" s="162">
        <f t="shared" ref="AR1280:AU1280" si="6275">+AR1293*AR855</f>
        <v>233.28</v>
      </c>
      <c r="AS1280" s="162">
        <f t="shared" si="6275"/>
        <v>239.4</v>
      </c>
      <c r="AT1280" s="162">
        <f t="shared" si="6275"/>
        <v>241.15</v>
      </c>
      <c r="AU1280" s="162">
        <f t="shared" si="6275"/>
        <v>252.35</v>
      </c>
      <c r="AV1280" s="112">
        <f t="shared" si="6276"/>
        <v>966.18</v>
      </c>
      <c r="AW1280" s="162" t="str">
        <f t="shared" ref="AW1280:AZ1280" si="6277">+AW1293*AW855</f>
        <v>#ERROR!</v>
      </c>
      <c r="AX1280" s="162" t="str">
        <f t="shared" si="6277"/>
        <v>#ERROR!</v>
      </c>
      <c r="AY1280" s="162" t="str">
        <f t="shared" si="6277"/>
        <v>#ERROR!</v>
      </c>
      <c r="AZ1280" s="162" t="str">
        <f t="shared" si="6277"/>
        <v>#ERROR!</v>
      </c>
      <c r="BA1280" s="112" t="str">
        <f t="shared" si="6278"/>
        <v>#ERROR!</v>
      </c>
      <c r="BB1280" s="162" t="str">
        <f t="shared" ref="BB1280:BE1280" si="6279">+BB1293*BB855</f>
        <v>#ERROR!</v>
      </c>
      <c r="BC1280" s="162" t="str">
        <f t="shared" si="6279"/>
        <v>#ERROR!</v>
      </c>
      <c r="BD1280" s="162" t="str">
        <f t="shared" si="6279"/>
        <v>#ERROR!</v>
      </c>
      <c r="BE1280" s="162" t="str">
        <f t="shared" si="6279"/>
        <v>#ERROR!</v>
      </c>
      <c r="BF1280" s="112" t="str">
        <f t="shared" si="6280"/>
        <v>#ERROR!</v>
      </c>
      <c r="BG1280" s="162" t="str">
        <f t="shared" ref="BG1280:BJ1280" si="6281">+BG1293*BG855</f>
        <v>#ERROR!</v>
      </c>
      <c r="BH1280" s="162" t="str">
        <f t="shared" si="6281"/>
        <v>#ERROR!</v>
      </c>
      <c r="BI1280" s="162" t="str">
        <f t="shared" si="6281"/>
        <v>#ERROR!</v>
      </c>
      <c r="BJ1280" s="162" t="str">
        <f t="shared" si="6281"/>
        <v>#ERROR!</v>
      </c>
      <c r="BK1280" s="112" t="str">
        <f t="shared" si="6282"/>
        <v>#ERROR!</v>
      </c>
      <c r="BL1280" s="162" t="str">
        <f t="shared" ref="BL1280:BO1280" si="6283">+BL1293*BL855</f>
        <v>#ERROR!</v>
      </c>
      <c r="BM1280" s="162" t="str">
        <f t="shared" si="6283"/>
        <v>#ERROR!</v>
      </c>
      <c r="BN1280" s="162" t="str">
        <f t="shared" si="6283"/>
        <v>#ERROR!</v>
      </c>
      <c r="BO1280" s="162" t="str">
        <f t="shared" si="6283"/>
        <v>#ERROR!</v>
      </c>
      <c r="BP1280" s="112" t="str">
        <f t="shared" si="6284"/>
        <v>#ERROR!</v>
      </c>
      <c r="BQ1280" s="162" t="str">
        <f t="shared" ref="BQ1280:BT1280" si="6285">+BQ1293*BQ855</f>
        <v>#ERROR!</v>
      </c>
      <c r="BR1280" s="162" t="str">
        <f t="shared" si="6285"/>
        <v>#ERROR!</v>
      </c>
      <c r="BS1280" s="162">
        <f t="shared" si="6285"/>
        <v>256.68</v>
      </c>
      <c r="BT1280" s="162" t="str">
        <f t="shared" si="6285"/>
        <v>#ERROR!</v>
      </c>
      <c r="BU1280" s="112" t="str">
        <f t="shared" si="6286"/>
        <v>#ERROR!</v>
      </c>
      <c r="BV1280" s="162" t="str">
        <f t="shared" ref="BV1280:BY1280" si="6287">+BV1293*BV855</f>
        <v>#ERROR!</v>
      </c>
      <c r="BW1280" s="162" t="str">
        <f t="shared" si="6287"/>
        <v>#ERROR!</v>
      </c>
      <c r="BX1280" s="162" t="str">
        <f t="shared" si="6287"/>
        <v>#ERROR!</v>
      </c>
      <c r="BY1280" s="162" t="str">
        <f t="shared" si="6287"/>
        <v>#ERROR!</v>
      </c>
      <c r="BZ1280" s="80" t="str">
        <f t="shared" si="6288"/>
        <v>#ERROR!</v>
      </c>
      <c r="CA1280" s="162" t="str">
        <f t="shared" ref="CA1280:CD1280" si="6289">+CA1293*CA855</f>
        <v>#ERROR!</v>
      </c>
      <c r="CB1280" s="162" t="str">
        <f t="shared" si="6289"/>
        <v>#ERROR!</v>
      </c>
      <c r="CC1280" s="162" t="str">
        <f t="shared" si="6289"/>
        <v>#ERROR!</v>
      </c>
      <c r="CD1280" s="162" t="str">
        <f t="shared" si="6289"/>
        <v>#ERROR!</v>
      </c>
      <c r="CE1280" s="80" t="str">
        <f t="shared" si="6290"/>
        <v>#ERROR!</v>
      </c>
      <c r="CF1280" s="162" t="str">
        <f t="shared" ref="CF1280:CI1280" si="6291">+CF1293*CF855</f>
        <v>#ERROR!</v>
      </c>
      <c r="CG1280" s="162" t="str">
        <f t="shared" si="6291"/>
        <v>#ERROR!</v>
      </c>
      <c r="CH1280" s="162" t="str">
        <f t="shared" si="6291"/>
        <v>#ERROR!</v>
      </c>
      <c r="CI1280" s="162" t="str">
        <f t="shared" si="6291"/>
        <v>#ERROR!</v>
      </c>
      <c r="CJ1280" s="80" t="str">
        <f t="shared" si="6292"/>
        <v>#ERROR!</v>
      </c>
      <c r="CK1280" s="162" t="str">
        <f t="shared" ref="CK1280:CN1280" si="6293">+CK1293*CK855</f>
        <v>#ERROR!</v>
      </c>
      <c r="CL1280" s="162" t="str">
        <f t="shared" si="6293"/>
        <v>#ERROR!</v>
      </c>
      <c r="CM1280" s="162" t="str">
        <f t="shared" si="6293"/>
        <v>#ERROR!</v>
      </c>
      <c r="CN1280" s="708" t="str">
        <f t="shared" si="6293"/>
        <v>#ERROR!</v>
      </c>
      <c r="CO1280" s="80" t="str">
        <f t="shared" si="6294"/>
        <v>#ERROR!</v>
      </c>
      <c r="CP1280" s="708" t="str">
        <f t="shared" ref="CP1280:CS1280" si="6295">+CP1293*CP855</f>
        <v>#ERROR!</v>
      </c>
      <c r="CQ1280" s="162" t="str">
        <f t="shared" si="6295"/>
        <v>#ERROR!</v>
      </c>
      <c r="CR1280" s="162" t="str">
        <f t="shared" si="6295"/>
        <v>#ERROR!</v>
      </c>
      <c r="CS1280" s="162" t="str">
        <f t="shared" si="6295"/>
        <v>#ERROR!</v>
      </c>
      <c r="CT1280" s="80" t="str">
        <f t="shared" si="6296"/>
        <v>#ERROR!</v>
      </c>
      <c r="CU1280" s="162" t="str">
        <f t="shared" ref="CU1280:CX1280" si="6297">+CU1293*CU855</f>
        <v>#ERROR!</v>
      </c>
      <c r="CV1280" s="162" t="str">
        <f t="shared" si="6297"/>
        <v>#ERROR!</v>
      </c>
      <c r="CW1280" s="162" t="str">
        <f t="shared" si="6297"/>
        <v>#ERROR!</v>
      </c>
      <c r="CX1280" s="162" t="str">
        <f t="shared" si="6297"/>
        <v>#ERROR!</v>
      </c>
      <c r="CY1280" s="80" t="str">
        <f t="shared" si="6298"/>
        <v>#ERROR!</v>
      </c>
      <c r="CZ1280" s="162" t="str">
        <f t="shared" ref="CZ1280:DC1280" si="6299">+CZ1293*CZ855</f>
        <v>#ERROR!</v>
      </c>
      <c r="DA1280" s="162" t="str">
        <f t="shared" si="6299"/>
        <v>#ERROR!</v>
      </c>
      <c r="DB1280" s="162" t="str">
        <f t="shared" si="6299"/>
        <v>#ERROR!</v>
      </c>
      <c r="DC1280" s="162" t="str">
        <f t="shared" si="6299"/>
        <v>#ERROR!</v>
      </c>
      <c r="DD1280" s="80" t="str">
        <f t="shared" si="6300"/>
        <v>#ERROR!</v>
      </c>
      <c r="DE1280" s="162" t="str">
        <f t="shared" ref="DE1280:DH1280" si="6301">+DE1293*DE855</f>
        <v>#ERROR!</v>
      </c>
      <c r="DF1280" s="162" t="str">
        <f t="shared" si="6301"/>
        <v>#ERROR!</v>
      </c>
      <c r="DG1280" s="708" t="str">
        <f t="shared" si="6301"/>
        <v>#ERROR!</v>
      </c>
      <c r="DH1280" s="162" t="str">
        <f t="shared" si="6301"/>
        <v>#ERROR!</v>
      </c>
      <c r="DI1280" s="80" t="str">
        <f t="shared" si="6302"/>
        <v>#ERROR!</v>
      </c>
      <c r="DJ1280" s="708" t="str">
        <f t="shared" ref="DJ1280:DM1280" si="6303">+DJ1293*DJ855</f>
        <v>#ERROR!</v>
      </c>
      <c r="DK1280" s="708" t="str">
        <f t="shared" si="6303"/>
        <v>#ERROR!</v>
      </c>
      <c r="DL1280" s="708" t="str">
        <f t="shared" si="6303"/>
        <v>#ERROR!</v>
      </c>
      <c r="DM1280" s="162" t="str">
        <f t="shared" si="6303"/>
        <v>#ERROR!</v>
      </c>
      <c r="DN1280" s="80" t="str">
        <f t="shared" si="6304"/>
        <v>#ERROR!</v>
      </c>
      <c r="DO1280" s="162" t="str">
        <f t="shared" ref="DO1280:DR1280" si="6305">+DO1293*DO855</f>
        <v>#ERROR!</v>
      </c>
      <c r="DP1280" s="162" t="str">
        <f t="shared" si="6305"/>
        <v>#ERROR!</v>
      </c>
      <c r="DQ1280" s="162" t="str">
        <f t="shared" si="6305"/>
        <v>#ERROR!</v>
      </c>
      <c r="DR1280" s="162" t="str">
        <f t="shared" si="6305"/>
        <v>#ERROR!</v>
      </c>
      <c r="DS1280" s="80" t="str">
        <f t="shared" si="6306"/>
        <v>#ERROR!</v>
      </c>
      <c r="DT1280" s="162" t="str">
        <f t="shared" ref="DT1280:DW1280" si="6307">+DT1293*DT855</f>
        <v>#ERROR!</v>
      </c>
      <c r="DU1280" s="162" t="str">
        <f t="shared" si="6307"/>
        <v>#ERROR!</v>
      </c>
      <c r="DV1280" s="162" t="str">
        <f t="shared" si="6307"/>
        <v>#ERROR!</v>
      </c>
      <c r="DW1280" s="162" t="str">
        <f t="shared" si="6307"/>
        <v>#ERROR!</v>
      </c>
      <c r="DX1280" s="80" t="str">
        <f t="shared" si="6308"/>
        <v>#ERROR!</v>
      </c>
      <c r="DY1280" s="162" t="str">
        <f t="shared" ref="DY1280:EB1280" si="6309">+DY1293*DY855</f>
        <v>#ERROR!</v>
      </c>
      <c r="DZ1280" s="162" t="str">
        <f t="shared" si="6309"/>
        <v>#ERROR!</v>
      </c>
      <c r="EA1280" s="162" t="str">
        <f t="shared" si="6309"/>
        <v>#ERROR!</v>
      </c>
      <c r="EB1280" s="162" t="str">
        <f t="shared" si="6309"/>
        <v>#ERROR!</v>
      </c>
      <c r="EC1280" s="80" t="str">
        <f t="shared" si="6310"/>
        <v>#ERROR!</v>
      </c>
      <c r="ED1280" s="162" t="str">
        <f t="shared" ref="ED1280:EG1280" si="6311">+ED1293*ED855</f>
        <v>#ERROR!</v>
      </c>
      <c r="EE1280" s="162" t="str">
        <f t="shared" si="6311"/>
        <v>#ERROR!</v>
      </c>
      <c r="EF1280" s="162" t="str">
        <f t="shared" si="6311"/>
        <v>#ERROR!</v>
      </c>
      <c r="EG1280" s="162" t="str">
        <f t="shared" si="6311"/>
        <v>#ERROR!</v>
      </c>
      <c r="EH1280" s="80" t="str">
        <f t="shared" si="6312"/>
        <v>#ERROR!</v>
      </c>
      <c r="EI1280" s="709" t="str">
        <f t="shared" ref="EI1280:EL1280" si="6313">+EI1293*EI855</f>
        <v>#ERROR!</v>
      </c>
      <c r="EJ1280" s="162" t="str">
        <f t="shared" si="6313"/>
        <v>#ERROR!</v>
      </c>
      <c r="EK1280" s="162" t="str">
        <f t="shared" si="6313"/>
        <v>#ERROR!</v>
      </c>
      <c r="EL1280" s="162" t="str">
        <f t="shared" si="6313"/>
        <v>#ERROR!</v>
      </c>
      <c r="EM1280" s="80" t="str">
        <f t="shared" si="6314"/>
        <v>#ERROR!</v>
      </c>
      <c r="EN1280" s="162" t="str">
        <f t="shared" ref="EN1280:EQ1280" si="6315">+EN1293*EN855</f>
        <v>#ERROR!</v>
      </c>
      <c r="EO1280" s="162" t="str">
        <f t="shared" si="6315"/>
        <v>#ERROR!</v>
      </c>
      <c r="EP1280" s="162" t="str">
        <f t="shared" si="6315"/>
        <v>#ERROR!</v>
      </c>
      <c r="EQ1280" s="162" t="str">
        <f t="shared" si="6315"/>
        <v>#ERROR!</v>
      </c>
      <c r="ER1280" s="80" t="str">
        <f t="shared" si="6316"/>
        <v>#ERROR!</v>
      </c>
      <c r="ES1280" s="162" t="str">
        <f t="shared" ref="ES1280:EV1280" si="6317">+ES1293*ES855</f>
        <v>#ERROR!</v>
      </c>
      <c r="ET1280" s="162" t="str">
        <f t="shared" si="6317"/>
        <v>#ERROR!</v>
      </c>
      <c r="EU1280" s="162" t="str">
        <f t="shared" si="6317"/>
        <v>#ERROR!</v>
      </c>
      <c r="EV1280" s="162" t="str">
        <f t="shared" si="6317"/>
        <v>#ERROR!</v>
      </c>
      <c r="EW1280" s="80" t="str">
        <f t="shared" si="6318"/>
        <v>#ERROR!</v>
      </c>
      <c r="EX1280" s="162" t="str">
        <f t="shared" ref="EX1280:FA1280" si="6319">+EX1293*EX855</f>
        <v>#ERROR!</v>
      </c>
      <c r="EY1280" s="162" t="str">
        <f t="shared" si="6319"/>
        <v>#ERROR!</v>
      </c>
      <c r="EZ1280" s="162" t="str">
        <f t="shared" si="6319"/>
        <v>#ERROR!</v>
      </c>
      <c r="FA1280" s="162" t="str">
        <f t="shared" si="6319"/>
        <v>#ERROR!</v>
      </c>
      <c r="FB1280" s="80" t="str">
        <f t="shared" si="6320"/>
        <v>#ERROR!</v>
      </c>
      <c r="FC1280" s="162" t="str">
        <f t="shared" ref="FC1280:FF1280" si="6321">+FC1293*FC855</f>
        <v>#ERROR!</v>
      </c>
      <c r="FD1280" s="162" t="str">
        <f t="shared" si="6321"/>
        <v>#ERROR!</v>
      </c>
      <c r="FE1280" s="162" t="str">
        <f t="shared" si="6321"/>
        <v>#ERROR!</v>
      </c>
      <c r="FF1280" s="162" t="str">
        <f t="shared" si="6321"/>
        <v>#ERROR!</v>
      </c>
      <c r="FG1280" s="80" t="str">
        <f t="shared" si="6322"/>
        <v>#ERROR!</v>
      </c>
      <c r="FH1280" s="146"/>
      <c r="FI1280" s="4"/>
      <c r="FJ1280" s="4"/>
      <c r="FK1280" s="4"/>
      <c r="FL1280" s="4"/>
    </row>
    <row r="1281" ht="12.75" hidden="1" customHeight="1" outlineLevel="3">
      <c r="A1281" s="4"/>
      <c r="B1281" s="72" t="str">
        <f t="shared" si="6130"/>
        <v>All other</v>
      </c>
      <c r="C1281" s="4"/>
      <c r="D1281" s="162"/>
      <c r="E1281" s="162"/>
      <c r="F1281" s="162"/>
      <c r="G1281" s="162"/>
      <c r="H1281" s="112"/>
      <c r="I1281" s="162"/>
      <c r="J1281" s="162"/>
      <c r="K1281" s="162"/>
      <c r="L1281" s="162"/>
      <c r="M1281" s="112"/>
      <c r="N1281" s="162"/>
      <c r="O1281" s="162"/>
      <c r="P1281" s="162"/>
      <c r="Q1281" s="162"/>
      <c r="R1281" s="112"/>
      <c r="S1281" s="162"/>
      <c r="T1281" s="162"/>
      <c r="U1281" s="162"/>
      <c r="V1281" s="162"/>
      <c r="W1281" s="112"/>
      <c r="X1281" s="162">
        <f t="shared" ref="X1281:AA1281" si="6323">+X1294*X856</f>
        <v>90.747</v>
      </c>
      <c r="Y1281" s="162">
        <f t="shared" si="6323"/>
        <v>62.93346</v>
      </c>
      <c r="Z1281" s="162">
        <f t="shared" si="6323"/>
        <v>23.1</v>
      </c>
      <c r="AA1281" s="162">
        <f t="shared" si="6323"/>
        <v>32.4</v>
      </c>
      <c r="AB1281" s="112">
        <f t="shared" si="6324"/>
        <v>209.18046</v>
      </c>
      <c r="AC1281" s="162">
        <f t="shared" ref="AC1281:AF1281" si="6325">+AC1294*AC856</f>
        <v>22.2</v>
      </c>
      <c r="AD1281" s="162">
        <f t="shared" si="6325"/>
        <v>-6.2</v>
      </c>
      <c r="AE1281" s="162">
        <f t="shared" si="6325"/>
        <v>18.9</v>
      </c>
      <c r="AF1281" s="162">
        <f t="shared" si="6325"/>
        <v>24.6</v>
      </c>
      <c r="AG1281" s="112">
        <f t="shared" si="6326"/>
        <v>59.5</v>
      </c>
      <c r="AH1281" s="162">
        <f t="shared" ref="AH1281:AK1281" si="6327">+AH1294*AH856</f>
        <v>10.8</v>
      </c>
      <c r="AI1281" s="162">
        <f t="shared" si="6327"/>
        <v>11.4</v>
      </c>
      <c r="AJ1281" s="162">
        <f t="shared" si="6327"/>
        <v>8.7</v>
      </c>
      <c r="AK1281" s="162">
        <f t="shared" si="6327"/>
        <v>7.8</v>
      </c>
      <c r="AL1281" s="112">
        <f t="shared" si="6328"/>
        <v>38.7</v>
      </c>
      <c r="AM1281" s="162">
        <f t="shared" ref="AM1281:AP1281" si="6329">+AM1294*AM856</f>
        <v>4.5</v>
      </c>
      <c r="AN1281" s="162">
        <f t="shared" si="6329"/>
        <v>3</v>
      </c>
      <c r="AO1281" s="162">
        <f t="shared" si="6329"/>
        <v>0.3</v>
      </c>
      <c r="AP1281" s="162">
        <f t="shared" si="6329"/>
        <v>2.7</v>
      </c>
      <c r="AQ1281" s="112">
        <f t="shared" si="6138"/>
        <v>10.5</v>
      </c>
      <c r="AR1281" s="162">
        <f t="shared" ref="AR1281:AU1281" si="6330">+AR1294*AR856</f>
        <v>0.3</v>
      </c>
      <c r="AS1281" s="162">
        <f t="shared" si="6330"/>
        <v>1.2</v>
      </c>
      <c r="AT1281" s="162">
        <f t="shared" si="6330"/>
        <v>1.8</v>
      </c>
      <c r="AU1281" s="162">
        <f t="shared" si="6330"/>
        <v>1.2</v>
      </c>
      <c r="AV1281" s="112">
        <f t="shared" si="6276"/>
        <v>4.5</v>
      </c>
      <c r="AW1281" s="162">
        <f t="shared" ref="AW1281:AZ1281" si="6331">+AW1294*AW856</f>
        <v>4.5</v>
      </c>
      <c r="AX1281" s="162">
        <f t="shared" si="6331"/>
        <v>4.5</v>
      </c>
      <c r="AY1281" s="162">
        <f t="shared" si="6331"/>
        <v>4.5</v>
      </c>
      <c r="AZ1281" s="162">
        <f t="shared" si="6331"/>
        <v>4.5</v>
      </c>
      <c r="BA1281" s="112">
        <f t="shared" si="6278"/>
        <v>18</v>
      </c>
      <c r="BB1281" s="162">
        <f t="shared" ref="BB1281:BE1281" si="6332">+BB1294*BB856</f>
        <v>4.5</v>
      </c>
      <c r="BC1281" s="162">
        <f t="shared" si="6332"/>
        <v>4.5</v>
      </c>
      <c r="BD1281" s="162">
        <f t="shared" si="6332"/>
        <v>4.5</v>
      </c>
      <c r="BE1281" s="162">
        <f t="shared" si="6332"/>
        <v>4.5</v>
      </c>
      <c r="BF1281" s="112">
        <f t="shared" si="6280"/>
        <v>18</v>
      </c>
      <c r="BG1281" s="162">
        <f t="shared" ref="BG1281:BJ1281" si="6333">+BG1294*BG856</f>
        <v>4.5</v>
      </c>
      <c r="BH1281" s="162">
        <f t="shared" si="6333"/>
        <v>4.5</v>
      </c>
      <c r="BI1281" s="162">
        <f t="shared" si="6333"/>
        <v>4.5</v>
      </c>
      <c r="BJ1281" s="162">
        <f t="shared" si="6333"/>
        <v>4.5</v>
      </c>
      <c r="BK1281" s="112">
        <f t="shared" si="6282"/>
        <v>18</v>
      </c>
      <c r="BL1281" s="162">
        <f t="shared" ref="BL1281:BO1281" si="6334">+BL1294*BL856</f>
        <v>4.5</v>
      </c>
      <c r="BM1281" s="162">
        <f t="shared" si="6334"/>
        <v>4.5</v>
      </c>
      <c r="BN1281" s="162">
        <f t="shared" si="6334"/>
        <v>4.5</v>
      </c>
      <c r="BO1281" s="162">
        <f t="shared" si="6334"/>
        <v>4.5</v>
      </c>
      <c r="BP1281" s="112">
        <f t="shared" si="6284"/>
        <v>18</v>
      </c>
      <c r="BQ1281" s="162">
        <f t="shared" ref="BQ1281:BT1281" si="6335">+BQ1294*BQ856</f>
        <v>4.5</v>
      </c>
      <c r="BR1281" s="162">
        <f t="shared" si="6335"/>
        <v>4.5</v>
      </c>
      <c r="BS1281" s="162">
        <f t="shared" si="6335"/>
        <v>4.5</v>
      </c>
      <c r="BT1281" s="162">
        <f t="shared" si="6335"/>
        <v>4.5</v>
      </c>
      <c r="BU1281" s="112">
        <f t="shared" si="6286"/>
        <v>18</v>
      </c>
      <c r="BV1281" s="162">
        <f t="shared" ref="BV1281:BY1281" si="6336">+BV1294*BV856</f>
        <v>4.5</v>
      </c>
      <c r="BW1281" s="162">
        <f t="shared" si="6336"/>
        <v>4.5</v>
      </c>
      <c r="BX1281" s="162">
        <f t="shared" si="6336"/>
        <v>4.5</v>
      </c>
      <c r="BY1281" s="162">
        <f t="shared" si="6336"/>
        <v>4.5</v>
      </c>
      <c r="BZ1281" s="80">
        <f t="shared" si="6288"/>
        <v>18</v>
      </c>
      <c r="CA1281" s="162">
        <f t="shared" ref="CA1281:CD1281" si="6337">+CA1294*CA856</f>
        <v>4.5</v>
      </c>
      <c r="CB1281" s="162">
        <f t="shared" si="6337"/>
        <v>4.5</v>
      </c>
      <c r="CC1281" s="162">
        <f t="shared" si="6337"/>
        <v>4.5</v>
      </c>
      <c r="CD1281" s="162">
        <f t="shared" si="6337"/>
        <v>4.5</v>
      </c>
      <c r="CE1281" s="80">
        <f t="shared" si="6290"/>
        <v>18</v>
      </c>
      <c r="CF1281" s="162">
        <f t="shared" ref="CF1281:CI1281" si="6338">+CF1294*CF856</f>
        <v>4.5</v>
      </c>
      <c r="CG1281" s="162">
        <f t="shared" si="6338"/>
        <v>4.5</v>
      </c>
      <c r="CH1281" s="162">
        <f t="shared" si="6338"/>
        <v>4.5</v>
      </c>
      <c r="CI1281" s="162">
        <f t="shared" si="6338"/>
        <v>4.5</v>
      </c>
      <c r="CJ1281" s="80">
        <f t="shared" si="6292"/>
        <v>18</v>
      </c>
      <c r="CK1281" s="162">
        <f t="shared" ref="CK1281:CN1281" si="6339">+CK1294*CK856</f>
        <v>4.5</v>
      </c>
      <c r="CL1281" s="162">
        <f t="shared" si="6339"/>
        <v>4.5</v>
      </c>
      <c r="CM1281" s="162">
        <f t="shared" si="6339"/>
        <v>4.5</v>
      </c>
      <c r="CN1281" s="708">
        <f t="shared" si="6339"/>
        <v>4.5</v>
      </c>
      <c r="CO1281" s="80">
        <f t="shared" si="6294"/>
        <v>18</v>
      </c>
      <c r="CP1281" s="708">
        <f t="shared" ref="CP1281:CS1281" si="6340">+CP1294*CP856</f>
        <v>4.5</v>
      </c>
      <c r="CQ1281" s="162">
        <f t="shared" si="6340"/>
        <v>4.5</v>
      </c>
      <c r="CR1281" s="162">
        <f t="shared" si="6340"/>
        <v>4.5</v>
      </c>
      <c r="CS1281" s="162">
        <f t="shared" si="6340"/>
        <v>4.5</v>
      </c>
      <c r="CT1281" s="80">
        <f t="shared" si="6296"/>
        <v>18</v>
      </c>
      <c r="CU1281" s="162">
        <f t="shared" ref="CU1281:CX1281" si="6341">+CU1294*CU856</f>
        <v>4.5</v>
      </c>
      <c r="CV1281" s="162">
        <f t="shared" si="6341"/>
        <v>4.5</v>
      </c>
      <c r="CW1281" s="162">
        <f t="shared" si="6341"/>
        <v>4.5</v>
      </c>
      <c r="CX1281" s="162">
        <f t="shared" si="6341"/>
        <v>4.5</v>
      </c>
      <c r="CY1281" s="80">
        <f t="shared" si="6298"/>
        <v>18</v>
      </c>
      <c r="CZ1281" s="162">
        <f t="shared" ref="CZ1281:DC1281" si="6342">+CZ1294*CZ856</f>
        <v>4.5</v>
      </c>
      <c r="DA1281" s="162">
        <f t="shared" si="6342"/>
        <v>4.5</v>
      </c>
      <c r="DB1281" s="162">
        <f t="shared" si="6342"/>
        <v>4.5</v>
      </c>
      <c r="DC1281" s="162">
        <f t="shared" si="6342"/>
        <v>4.5</v>
      </c>
      <c r="DD1281" s="80">
        <f t="shared" si="6300"/>
        <v>18</v>
      </c>
      <c r="DE1281" s="162">
        <f t="shared" ref="DE1281:DH1281" si="6343">+DE1294*DE856</f>
        <v>4.5</v>
      </c>
      <c r="DF1281" s="162">
        <f t="shared" si="6343"/>
        <v>4.5</v>
      </c>
      <c r="DG1281" s="708">
        <f t="shared" si="6343"/>
        <v>4.5</v>
      </c>
      <c r="DH1281" s="162">
        <f t="shared" si="6343"/>
        <v>4.5</v>
      </c>
      <c r="DI1281" s="80">
        <f t="shared" si="6302"/>
        <v>18</v>
      </c>
      <c r="DJ1281" s="708">
        <f t="shared" ref="DJ1281:DM1281" si="6344">+DJ1294*DJ856</f>
        <v>4.5</v>
      </c>
      <c r="DK1281" s="708">
        <f t="shared" si="6344"/>
        <v>4.5</v>
      </c>
      <c r="DL1281" s="708">
        <f t="shared" si="6344"/>
        <v>4.5</v>
      </c>
      <c r="DM1281" s="162">
        <f t="shared" si="6344"/>
        <v>4.5</v>
      </c>
      <c r="DN1281" s="80">
        <f t="shared" si="6304"/>
        <v>18</v>
      </c>
      <c r="DO1281" s="162">
        <f t="shared" ref="DO1281:DR1281" si="6345">+DO1294*DO856</f>
        <v>4.5</v>
      </c>
      <c r="DP1281" s="162">
        <f t="shared" si="6345"/>
        <v>4.5</v>
      </c>
      <c r="DQ1281" s="162">
        <f t="shared" si="6345"/>
        <v>4.5</v>
      </c>
      <c r="DR1281" s="162">
        <f t="shared" si="6345"/>
        <v>4.5</v>
      </c>
      <c r="DS1281" s="80">
        <f t="shared" si="6306"/>
        <v>18</v>
      </c>
      <c r="DT1281" s="162">
        <f t="shared" ref="DT1281:DW1281" si="6346">+DT1294*DT856</f>
        <v>4.5</v>
      </c>
      <c r="DU1281" s="162">
        <f t="shared" si="6346"/>
        <v>4.5</v>
      </c>
      <c r="DV1281" s="162">
        <f t="shared" si="6346"/>
        <v>4.5</v>
      </c>
      <c r="DW1281" s="162">
        <f t="shared" si="6346"/>
        <v>4.5</v>
      </c>
      <c r="DX1281" s="80">
        <f t="shared" si="6308"/>
        <v>18</v>
      </c>
      <c r="DY1281" s="162">
        <f t="shared" ref="DY1281:EB1281" si="6347">+DY1294*DY856</f>
        <v>4.5</v>
      </c>
      <c r="DZ1281" s="162">
        <f t="shared" si="6347"/>
        <v>4.5</v>
      </c>
      <c r="EA1281" s="162">
        <f t="shared" si="6347"/>
        <v>4.5</v>
      </c>
      <c r="EB1281" s="162">
        <f t="shared" si="6347"/>
        <v>4.5</v>
      </c>
      <c r="EC1281" s="80">
        <f t="shared" si="6310"/>
        <v>18</v>
      </c>
      <c r="ED1281" s="162">
        <f t="shared" ref="ED1281:EG1281" si="6348">+ED1294*ED856</f>
        <v>4.5</v>
      </c>
      <c r="EE1281" s="162">
        <f t="shared" si="6348"/>
        <v>4.5</v>
      </c>
      <c r="EF1281" s="162">
        <f t="shared" si="6348"/>
        <v>4.5</v>
      </c>
      <c r="EG1281" s="162">
        <f t="shared" si="6348"/>
        <v>4.5</v>
      </c>
      <c r="EH1281" s="80">
        <f t="shared" si="6312"/>
        <v>18</v>
      </c>
      <c r="EI1281" s="709">
        <f t="shared" ref="EI1281:EL1281" si="6349">+EI1294*EI856</f>
        <v>4.5</v>
      </c>
      <c r="EJ1281" s="162">
        <f t="shared" si="6349"/>
        <v>4.5</v>
      </c>
      <c r="EK1281" s="162">
        <f t="shared" si="6349"/>
        <v>4.5</v>
      </c>
      <c r="EL1281" s="162">
        <f t="shared" si="6349"/>
        <v>4.5</v>
      </c>
      <c r="EM1281" s="80">
        <f t="shared" si="6314"/>
        <v>18</v>
      </c>
      <c r="EN1281" s="162">
        <f t="shared" ref="EN1281:EQ1281" si="6350">+EN1294*EN856</f>
        <v>4.5</v>
      </c>
      <c r="EO1281" s="162">
        <f t="shared" si="6350"/>
        <v>4.5</v>
      </c>
      <c r="EP1281" s="162">
        <f t="shared" si="6350"/>
        <v>4.5</v>
      </c>
      <c r="EQ1281" s="162">
        <f t="shared" si="6350"/>
        <v>4.5</v>
      </c>
      <c r="ER1281" s="80">
        <f t="shared" si="6316"/>
        <v>18</v>
      </c>
      <c r="ES1281" s="162">
        <f t="shared" ref="ES1281:EV1281" si="6351">+ES1294*ES856</f>
        <v>4.5</v>
      </c>
      <c r="ET1281" s="162">
        <f t="shared" si="6351"/>
        <v>4.5</v>
      </c>
      <c r="EU1281" s="162">
        <f t="shared" si="6351"/>
        <v>4.5</v>
      </c>
      <c r="EV1281" s="162">
        <f t="shared" si="6351"/>
        <v>4.5</v>
      </c>
      <c r="EW1281" s="80">
        <f t="shared" si="6318"/>
        <v>18</v>
      </c>
      <c r="EX1281" s="162">
        <f t="shared" ref="EX1281:FA1281" si="6352">+EX1294*EX856</f>
        <v>4.5</v>
      </c>
      <c r="EY1281" s="162">
        <f t="shared" si="6352"/>
        <v>4.5</v>
      </c>
      <c r="EZ1281" s="162">
        <f t="shared" si="6352"/>
        <v>4.5</v>
      </c>
      <c r="FA1281" s="162">
        <f t="shared" si="6352"/>
        <v>4.5</v>
      </c>
      <c r="FB1281" s="80">
        <f t="shared" si="6320"/>
        <v>18</v>
      </c>
      <c r="FC1281" s="162">
        <f t="shared" ref="FC1281:FF1281" si="6353">+FC1294*FC856</f>
        <v>4.5</v>
      </c>
      <c r="FD1281" s="162">
        <f t="shared" si="6353"/>
        <v>4.5</v>
      </c>
      <c r="FE1281" s="162">
        <f t="shared" si="6353"/>
        <v>4.5</v>
      </c>
      <c r="FF1281" s="162">
        <f t="shared" si="6353"/>
        <v>4.5</v>
      </c>
      <c r="FG1281" s="80">
        <f t="shared" si="6322"/>
        <v>18</v>
      </c>
      <c r="FH1281" s="146"/>
      <c r="FI1281" s="4"/>
      <c r="FJ1281" s="4"/>
      <c r="FK1281" s="4"/>
      <c r="FL1281" s="4"/>
    </row>
    <row r="1282" ht="12.75" hidden="1" customHeight="1" outlineLevel="3">
      <c r="A1282" s="4"/>
      <c r="B1282" s="4" t="str">
        <f t="shared" si="6130"/>
        <v>ICG/All other</v>
      </c>
      <c r="C1282" s="4"/>
      <c r="D1282" s="162"/>
      <c r="E1282" s="162"/>
      <c r="F1282" s="162"/>
      <c r="G1282" s="162"/>
      <c r="H1282" s="112"/>
      <c r="I1282" s="162"/>
      <c r="J1282" s="162"/>
      <c r="K1282" s="162"/>
      <c r="L1282" s="162"/>
      <c r="M1282" s="112"/>
      <c r="N1282" s="162"/>
      <c r="O1282" s="162"/>
      <c r="P1282" s="162"/>
      <c r="Q1282" s="162"/>
      <c r="R1282" s="112"/>
      <c r="S1282" s="162"/>
      <c r="T1282" s="162"/>
      <c r="U1282" s="162"/>
      <c r="V1282" s="162"/>
      <c r="W1282" s="112"/>
      <c r="X1282" s="162">
        <f t="shared" ref="X1282:AA1282" si="6354">+X1278+X1280+X1281</f>
        <v>505.6245</v>
      </c>
      <c r="Y1282" s="162">
        <f t="shared" si="6354"/>
        <v>563.48891</v>
      </c>
      <c r="Z1282" s="162">
        <f t="shared" si="6354"/>
        <v>697.2</v>
      </c>
      <c r="AA1282" s="162">
        <f t="shared" si="6354"/>
        <v>740.1</v>
      </c>
      <c r="AB1282" s="112">
        <f t="shared" si="6324"/>
        <v>2506.41341</v>
      </c>
      <c r="AC1282" s="162">
        <f t="shared" ref="AC1282:AF1282" si="6355">+AC1278+AC1280+AC1281</f>
        <v>513.95</v>
      </c>
      <c r="AD1282" s="162">
        <f t="shared" si="6355"/>
        <v>-18.6</v>
      </c>
      <c r="AE1282" s="162">
        <f t="shared" si="6355"/>
        <v>276.35</v>
      </c>
      <c r="AF1282" s="162">
        <f t="shared" si="6355"/>
        <v>338.3</v>
      </c>
      <c r="AG1282" s="112">
        <f t="shared" si="6326"/>
        <v>1110</v>
      </c>
      <c r="AH1282" s="162">
        <f t="shared" ref="AH1282:AK1282" si="6356">+AH1278+AH1280+AH1281</f>
        <v>312.75</v>
      </c>
      <c r="AI1282" s="162">
        <f t="shared" si="6356"/>
        <v>332.4</v>
      </c>
      <c r="AJ1282" s="162">
        <f t="shared" si="6356"/>
        <v>337.6</v>
      </c>
      <c r="AK1282" s="162">
        <f t="shared" si="6356"/>
        <v>379.1</v>
      </c>
      <c r="AL1282" s="112">
        <f t="shared" si="6328"/>
        <v>1361.85</v>
      </c>
      <c r="AM1282" s="162">
        <f t="shared" ref="AM1282:AP1282" si="6357">SUM(AM1278:AM1281)</f>
        <v>463.9</v>
      </c>
      <c r="AN1282" s="162">
        <f t="shared" si="6357"/>
        <v>271.65</v>
      </c>
      <c r="AO1282" s="162">
        <f t="shared" si="6357"/>
        <v>375.4</v>
      </c>
      <c r="AP1282" s="162">
        <f t="shared" si="6357"/>
        <v>427.1</v>
      </c>
      <c r="AQ1282" s="112">
        <f t="shared" si="6138"/>
        <v>1538.05</v>
      </c>
      <c r="AR1282" s="162">
        <f t="shared" ref="AR1282:AU1282" si="6358">SUM(AR1278:AR1281)</f>
        <v>400.38</v>
      </c>
      <c r="AS1282" s="162">
        <f t="shared" si="6358"/>
        <v>504.75</v>
      </c>
      <c r="AT1282" s="162">
        <f t="shared" si="6358"/>
        <v>389.69</v>
      </c>
      <c r="AU1282" s="162">
        <f t="shared" si="6358"/>
        <v>427.16</v>
      </c>
      <c r="AV1282" s="112">
        <f t="shared" si="6276"/>
        <v>1721.98</v>
      </c>
      <c r="AW1282" s="162" t="str">
        <f t="shared" ref="AW1282:AZ1282" si="6359">SUM(AW1278:AW1281)</f>
        <v>#ERROR!</v>
      </c>
      <c r="AX1282" s="162" t="str">
        <f t="shared" si="6359"/>
        <v>#ERROR!</v>
      </c>
      <c r="AY1282" s="162" t="str">
        <f t="shared" si="6359"/>
        <v>#ERROR!</v>
      </c>
      <c r="AZ1282" s="162" t="str">
        <f t="shared" si="6359"/>
        <v>#ERROR!</v>
      </c>
      <c r="BA1282" s="112" t="str">
        <f t="shared" si="6278"/>
        <v>#ERROR!</v>
      </c>
      <c r="BB1282" s="162" t="str">
        <f t="shared" ref="BB1282:BE1282" si="6360">SUM(BB1278:BB1281)</f>
        <v>#ERROR!</v>
      </c>
      <c r="BC1282" s="162" t="str">
        <f t="shared" si="6360"/>
        <v>#ERROR!</v>
      </c>
      <c r="BD1282" s="162" t="str">
        <f t="shared" si="6360"/>
        <v>#ERROR!</v>
      </c>
      <c r="BE1282" s="162" t="str">
        <f t="shared" si="6360"/>
        <v>#ERROR!</v>
      </c>
      <c r="BF1282" s="112" t="str">
        <f t="shared" si="6280"/>
        <v>#ERROR!</v>
      </c>
      <c r="BG1282" s="162" t="str">
        <f t="shared" ref="BG1282:BJ1282" si="6361">SUM(BG1278:BG1281)</f>
        <v>#ERROR!</v>
      </c>
      <c r="BH1282" s="162" t="str">
        <f t="shared" si="6361"/>
        <v>#ERROR!</v>
      </c>
      <c r="BI1282" s="162" t="str">
        <f t="shared" si="6361"/>
        <v>#ERROR!</v>
      </c>
      <c r="BJ1282" s="162" t="str">
        <f t="shared" si="6361"/>
        <v>#ERROR!</v>
      </c>
      <c r="BK1282" s="112" t="str">
        <f t="shared" si="6282"/>
        <v>#ERROR!</v>
      </c>
      <c r="BL1282" s="162" t="str">
        <f t="shared" ref="BL1282:BO1282" si="6362">SUM(BL1278:BL1281)</f>
        <v>#ERROR!</v>
      </c>
      <c r="BM1282" s="162" t="str">
        <f t="shared" si="6362"/>
        <v>#ERROR!</v>
      </c>
      <c r="BN1282" s="162" t="str">
        <f t="shared" si="6362"/>
        <v>#ERROR!</v>
      </c>
      <c r="BO1282" s="162" t="str">
        <f t="shared" si="6362"/>
        <v>#ERROR!</v>
      </c>
      <c r="BP1282" s="112" t="str">
        <f t="shared" si="6284"/>
        <v>#ERROR!</v>
      </c>
      <c r="BQ1282" s="162" t="str">
        <f t="shared" ref="BQ1282:BT1282" si="6363">SUM(BQ1278:BQ1281)</f>
        <v>#ERROR!</v>
      </c>
      <c r="BR1282" s="162" t="str">
        <f t="shared" si="6363"/>
        <v>#ERROR!</v>
      </c>
      <c r="BS1282" s="162">
        <f t="shared" si="6363"/>
        <v>337.83</v>
      </c>
      <c r="BT1282" s="162" t="str">
        <f t="shared" si="6363"/>
        <v>#ERROR!</v>
      </c>
      <c r="BU1282" s="112" t="str">
        <f t="shared" si="6286"/>
        <v>#ERROR!</v>
      </c>
      <c r="BV1282" s="162" t="str">
        <f t="shared" ref="BV1282:BY1282" si="6364">SUM(BV1278:BV1281)</f>
        <v>#ERROR!</v>
      </c>
      <c r="BW1282" s="162" t="str">
        <f t="shared" si="6364"/>
        <v>#ERROR!</v>
      </c>
      <c r="BX1282" s="162" t="str">
        <f t="shared" si="6364"/>
        <v>#ERROR!</v>
      </c>
      <c r="BY1282" s="162" t="str">
        <f t="shared" si="6364"/>
        <v>#ERROR!</v>
      </c>
      <c r="BZ1282" s="80" t="str">
        <f t="shared" si="6288"/>
        <v>#ERROR!</v>
      </c>
      <c r="CA1282" s="162" t="str">
        <f t="shared" ref="CA1282:CD1282" si="6365">SUM(CA1278:CA1281)</f>
        <v>#ERROR!</v>
      </c>
      <c r="CB1282" s="162" t="str">
        <f t="shared" si="6365"/>
        <v>#ERROR!</v>
      </c>
      <c r="CC1282" s="162" t="str">
        <f t="shared" si="6365"/>
        <v>#ERROR!</v>
      </c>
      <c r="CD1282" s="162" t="str">
        <f t="shared" si="6365"/>
        <v>#ERROR!</v>
      </c>
      <c r="CE1282" s="80" t="str">
        <f t="shared" si="6290"/>
        <v>#ERROR!</v>
      </c>
      <c r="CF1282" s="162" t="str">
        <f t="shared" ref="CF1282:CI1282" si="6366">SUM(CF1278:CF1281)</f>
        <v>#ERROR!</v>
      </c>
      <c r="CG1282" s="162" t="str">
        <f t="shared" si="6366"/>
        <v>#ERROR!</v>
      </c>
      <c r="CH1282" s="162" t="str">
        <f t="shared" si="6366"/>
        <v>#ERROR!</v>
      </c>
      <c r="CI1282" s="162" t="str">
        <f t="shared" si="6366"/>
        <v>#ERROR!</v>
      </c>
      <c r="CJ1282" s="80" t="str">
        <f t="shared" si="6292"/>
        <v>#ERROR!</v>
      </c>
      <c r="CK1282" s="162" t="str">
        <f t="shared" ref="CK1282:CN1282" si="6367">SUM(CK1278:CK1281)</f>
        <v>#ERROR!</v>
      </c>
      <c r="CL1282" s="162" t="str">
        <f t="shared" si="6367"/>
        <v>#ERROR!</v>
      </c>
      <c r="CM1282" s="162" t="str">
        <f t="shared" si="6367"/>
        <v>#ERROR!</v>
      </c>
      <c r="CN1282" s="708" t="str">
        <f t="shared" si="6367"/>
        <v>#ERROR!</v>
      </c>
      <c r="CO1282" s="80" t="str">
        <f t="shared" si="6294"/>
        <v>#ERROR!</v>
      </c>
      <c r="CP1282" s="708" t="str">
        <f t="shared" ref="CP1282:CS1282" si="6368">SUM(CP1278:CP1281)</f>
        <v>#ERROR!</v>
      </c>
      <c r="CQ1282" s="162" t="str">
        <f t="shared" si="6368"/>
        <v>#ERROR!</v>
      </c>
      <c r="CR1282" s="162" t="str">
        <f t="shared" si="6368"/>
        <v>#ERROR!</v>
      </c>
      <c r="CS1282" s="162" t="str">
        <f t="shared" si="6368"/>
        <v>#ERROR!</v>
      </c>
      <c r="CT1282" s="80" t="str">
        <f t="shared" si="6296"/>
        <v>#ERROR!</v>
      </c>
      <c r="CU1282" s="162" t="str">
        <f t="shared" ref="CU1282:CX1282" si="6369">SUM(CU1278:CU1281)</f>
        <v>#ERROR!</v>
      </c>
      <c r="CV1282" s="162" t="str">
        <f t="shared" si="6369"/>
        <v>#ERROR!</v>
      </c>
      <c r="CW1282" s="162" t="str">
        <f t="shared" si="6369"/>
        <v>#ERROR!</v>
      </c>
      <c r="CX1282" s="162" t="str">
        <f t="shared" si="6369"/>
        <v>#ERROR!</v>
      </c>
      <c r="CY1282" s="80" t="str">
        <f t="shared" si="6298"/>
        <v>#ERROR!</v>
      </c>
      <c r="CZ1282" s="162" t="str">
        <f t="shared" ref="CZ1282:DC1282" si="6370">SUM(CZ1278:CZ1281)</f>
        <v>#ERROR!</v>
      </c>
      <c r="DA1282" s="162" t="str">
        <f t="shared" si="6370"/>
        <v>#ERROR!</v>
      </c>
      <c r="DB1282" s="162" t="str">
        <f t="shared" si="6370"/>
        <v>#ERROR!</v>
      </c>
      <c r="DC1282" s="162" t="str">
        <f t="shared" si="6370"/>
        <v>#ERROR!</v>
      </c>
      <c r="DD1282" s="80" t="str">
        <f t="shared" si="6300"/>
        <v>#ERROR!</v>
      </c>
      <c r="DE1282" s="162" t="str">
        <f t="shared" ref="DE1282:DH1282" si="6371">SUM(DE1278:DE1281)</f>
        <v>#ERROR!</v>
      </c>
      <c r="DF1282" s="162" t="str">
        <f t="shared" si="6371"/>
        <v>#ERROR!</v>
      </c>
      <c r="DG1282" s="708" t="str">
        <f t="shared" si="6371"/>
        <v>#ERROR!</v>
      </c>
      <c r="DH1282" s="162" t="str">
        <f t="shared" si="6371"/>
        <v>#ERROR!</v>
      </c>
      <c r="DI1282" s="80" t="str">
        <f t="shared" si="6302"/>
        <v>#ERROR!</v>
      </c>
      <c r="DJ1282" s="708" t="str">
        <f t="shared" ref="DJ1282:DM1282" si="6372">SUM(DJ1278:DJ1281)</f>
        <v>#ERROR!</v>
      </c>
      <c r="DK1282" s="708" t="str">
        <f t="shared" si="6372"/>
        <v>#ERROR!</v>
      </c>
      <c r="DL1282" s="708" t="str">
        <f t="shared" si="6372"/>
        <v>#ERROR!</v>
      </c>
      <c r="DM1282" s="162" t="str">
        <f t="shared" si="6372"/>
        <v>#ERROR!</v>
      </c>
      <c r="DN1282" s="80" t="str">
        <f t="shared" si="6304"/>
        <v>#ERROR!</v>
      </c>
      <c r="DO1282" s="162" t="str">
        <f t="shared" ref="DO1282:DR1282" si="6373">SUM(DO1278:DO1281)</f>
        <v>#ERROR!</v>
      </c>
      <c r="DP1282" s="162" t="str">
        <f t="shared" si="6373"/>
        <v>#ERROR!</v>
      </c>
      <c r="DQ1282" s="162" t="str">
        <f t="shared" si="6373"/>
        <v>#ERROR!</v>
      </c>
      <c r="DR1282" s="162" t="str">
        <f t="shared" si="6373"/>
        <v>#ERROR!</v>
      </c>
      <c r="DS1282" s="80" t="str">
        <f t="shared" si="6306"/>
        <v>#ERROR!</v>
      </c>
      <c r="DT1282" s="162" t="str">
        <f t="shared" ref="DT1282:DW1282" si="6374">SUM(DT1278:DT1281)</f>
        <v>#ERROR!</v>
      </c>
      <c r="DU1282" s="162" t="str">
        <f t="shared" si="6374"/>
        <v>#ERROR!</v>
      </c>
      <c r="DV1282" s="162" t="str">
        <f t="shared" si="6374"/>
        <v>#ERROR!</v>
      </c>
      <c r="DW1282" s="162" t="str">
        <f t="shared" si="6374"/>
        <v>#ERROR!</v>
      </c>
      <c r="DX1282" s="80" t="str">
        <f t="shared" si="6308"/>
        <v>#ERROR!</v>
      </c>
      <c r="DY1282" s="162" t="str">
        <f t="shared" ref="DY1282:EB1282" si="6375">SUM(DY1278:DY1281)</f>
        <v>#ERROR!</v>
      </c>
      <c r="DZ1282" s="162" t="str">
        <f t="shared" si="6375"/>
        <v>#ERROR!</v>
      </c>
      <c r="EA1282" s="162" t="str">
        <f t="shared" si="6375"/>
        <v>#ERROR!</v>
      </c>
      <c r="EB1282" s="162" t="str">
        <f t="shared" si="6375"/>
        <v>#ERROR!</v>
      </c>
      <c r="EC1282" s="80" t="str">
        <f t="shared" si="6310"/>
        <v>#ERROR!</v>
      </c>
      <c r="ED1282" s="162" t="str">
        <f t="shared" ref="ED1282:EG1282" si="6376">SUM(ED1278:ED1281)</f>
        <v>#ERROR!</v>
      </c>
      <c r="EE1282" s="162" t="str">
        <f t="shared" si="6376"/>
        <v>#ERROR!</v>
      </c>
      <c r="EF1282" s="162" t="str">
        <f t="shared" si="6376"/>
        <v>#ERROR!</v>
      </c>
      <c r="EG1282" s="162" t="str">
        <f t="shared" si="6376"/>
        <v>#ERROR!</v>
      </c>
      <c r="EH1282" s="80" t="str">
        <f t="shared" si="6312"/>
        <v>#ERROR!</v>
      </c>
      <c r="EI1282" s="709" t="str">
        <f t="shared" ref="EI1282:EL1282" si="6377">SUM(EI1278:EI1281)</f>
        <v>#ERROR!</v>
      </c>
      <c r="EJ1282" s="162" t="str">
        <f t="shared" si="6377"/>
        <v>#ERROR!</v>
      </c>
      <c r="EK1282" s="162" t="str">
        <f t="shared" si="6377"/>
        <v>#ERROR!</v>
      </c>
      <c r="EL1282" s="162" t="str">
        <f t="shared" si="6377"/>
        <v>#ERROR!</v>
      </c>
      <c r="EM1282" s="80" t="str">
        <f t="shared" si="6314"/>
        <v>#ERROR!</v>
      </c>
      <c r="EN1282" s="162" t="str">
        <f t="shared" ref="EN1282:EQ1282" si="6378">SUM(EN1278:EN1281)</f>
        <v>#ERROR!</v>
      </c>
      <c r="EO1282" s="162" t="str">
        <f t="shared" si="6378"/>
        <v>#ERROR!</v>
      </c>
      <c r="EP1282" s="162" t="str">
        <f t="shared" si="6378"/>
        <v>#ERROR!</v>
      </c>
      <c r="EQ1282" s="162" t="str">
        <f t="shared" si="6378"/>
        <v>#ERROR!</v>
      </c>
      <c r="ER1282" s="80" t="str">
        <f t="shared" si="6316"/>
        <v>#ERROR!</v>
      </c>
      <c r="ES1282" s="162" t="str">
        <f t="shared" ref="ES1282:EV1282" si="6379">SUM(ES1278:ES1281)</f>
        <v>#ERROR!</v>
      </c>
      <c r="ET1282" s="162" t="str">
        <f t="shared" si="6379"/>
        <v>#ERROR!</v>
      </c>
      <c r="EU1282" s="162" t="str">
        <f t="shared" si="6379"/>
        <v>#ERROR!</v>
      </c>
      <c r="EV1282" s="162" t="str">
        <f t="shared" si="6379"/>
        <v>#ERROR!</v>
      </c>
      <c r="EW1282" s="80" t="str">
        <f t="shared" si="6318"/>
        <v>#ERROR!</v>
      </c>
      <c r="EX1282" s="162" t="str">
        <f t="shared" ref="EX1282:FA1282" si="6380">SUM(EX1278:EX1281)</f>
        <v>#ERROR!</v>
      </c>
      <c r="EY1282" s="162" t="str">
        <f t="shared" si="6380"/>
        <v>#ERROR!</v>
      </c>
      <c r="EZ1282" s="162" t="str">
        <f t="shared" si="6380"/>
        <v>#ERROR!</v>
      </c>
      <c r="FA1282" s="162" t="str">
        <f t="shared" si="6380"/>
        <v>#ERROR!</v>
      </c>
      <c r="FB1282" s="80" t="str">
        <f t="shared" si="6320"/>
        <v>#ERROR!</v>
      </c>
      <c r="FC1282" s="162" t="str">
        <f t="shared" ref="FC1282:FF1282" si="6381">SUM(FC1278:FC1281)</f>
        <v>#ERROR!</v>
      </c>
      <c r="FD1282" s="162" t="str">
        <f t="shared" si="6381"/>
        <v>#ERROR!</v>
      </c>
      <c r="FE1282" s="162" t="str">
        <f t="shared" si="6381"/>
        <v>#ERROR!</v>
      </c>
      <c r="FF1282" s="162" t="str">
        <f t="shared" si="6381"/>
        <v>#ERROR!</v>
      </c>
      <c r="FG1282" s="80" t="str">
        <f t="shared" si="6322"/>
        <v>#ERROR!</v>
      </c>
      <c r="FH1282" s="146"/>
      <c r="FI1282" s="4"/>
      <c r="FJ1282" s="4"/>
      <c r="FK1282" s="4"/>
      <c r="FL1282" s="4"/>
    </row>
    <row r="1283" ht="13.5" hidden="1" customHeight="1" outlineLevel="3">
      <c r="A1283" s="4"/>
      <c r="B1283" s="760" t="s">
        <v>291</v>
      </c>
      <c r="C1283" s="760"/>
      <c r="D1283" s="761"/>
      <c r="E1283" s="761"/>
      <c r="F1283" s="761"/>
      <c r="G1283" s="761"/>
      <c r="H1283" s="164"/>
      <c r="I1283" s="761"/>
      <c r="J1283" s="761"/>
      <c r="K1283" s="761"/>
      <c r="L1283" s="761"/>
      <c r="M1283" s="164"/>
      <c r="N1283" s="761"/>
      <c r="O1283" s="761"/>
      <c r="P1283" s="761"/>
      <c r="Q1283" s="761"/>
      <c r="R1283" s="164"/>
      <c r="S1283" s="761"/>
      <c r="T1283" s="761"/>
      <c r="U1283" s="761"/>
      <c r="V1283" s="761"/>
      <c r="W1283" s="164"/>
      <c r="X1283" s="761">
        <f t="shared" ref="X1283:AA1283" si="6382">+X1277+X1282</f>
        <v>4998.3745</v>
      </c>
      <c r="Y1283" s="761">
        <f t="shared" si="6382"/>
        <v>5011.40491</v>
      </c>
      <c r="Z1283" s="761">
        <f t="shared" si="6382"/>
        <v>5566.7256</v>
      </c>
      <c r="AA1283" s="761">
        <f t="shared" si="6382"/>
        <v>5470.884488</v>
      </c>
      <c r="AB1283" s="164">
        <f t="shared" si="6324"/>
        <v>21047.3895</v>
      </c>
      <c r="AC1283" s="761" t="str">
        <f t="shared" ref="AC1283:AF1283" si="6383">+AC1277+AC1282</f>
        <v>#ERROR!</v>
      </c>
      <c r="AD1283" s="761" t="str">
        <f t="shared" si="6383"/>
        <v>#ERROR!</v>
      </c>
      <c r="AE1283" s="761" t="str">
        <f t="shared" si="6383"/>
        <v>#ERROR!</v>
      </c>
      <c r="AF1283" s="761" t="str">
        <f t="shared" si="6383"/>
        <v>#ERROR!</v>
      </c>
      <c r="AG1283" s="164" t="str">
        <f t="shared" si="6326"/>
        <v>#ERROR!</v>
      </c>
      <c r="AH1283" s="761">
        <f t="shared" ref="AH1283:AK1283" si="6384">+AH1277+AH1282</f>
        <v>3465.065</v>
      </c>
      <c r="AI1283" s="761">
        <f t="shared" si="6384"/>
        <v>2975.275</v>
      </c>
      <c r="AJ1283" s="761">
        <f t="shared" si="6384"/>
        <v>3172.09</v>
      </c>
      <c r="AK1283" s="761">
        <f t="shared" si="6384"/>
        <v>3688.664</v>
      </c>
      <c r="AL1283" s="164">
        <f t="shared" si="6328"/>
        <v>13301.094</v>
      </c>
      <c r="AM1283" s="761">
        <f t="shared" ref="AM1283:AP1283" si="6385">+AM1277+AM1282</f>
        <v>3454.852</v>
      </c>
      <c r="AN1283" s="761">
        <f t="shared" si="6385"/>
        <v>3465.98</v>
      </c>
      <c r="AO1283" s="761">
        <f t="shared" si="6385"/>
        <v>4547.108</v>
      </c>
      <c r="AP1283" s="761">
        <f t="shared" si="6385"/>
        <v>5491.06</v>
      </c>
      <c r="AQ1283" s="164">
        <f t="shared" si="6138"/>
        <v>16959</v>
      </c>
      <c r="AR1283" s="761" t="str">
        <f t="shared" ref="AR1283:AU1283" si="6386">+AR1277+AR1282</f>
        <v>#ERROR!</v>
      </c>
      <c r="AS1283" s="761" t="str">
        <f t="shared" si="6386"/>
        <v>#ERROR!</v>
      </c>
      <c r="AT1283" s="761" t="str">
        <f t="shared" si="6386"/>
        <v>#ERROR!</v>
      </c>
      <c r="AU1283" s="761" t="str">
        <f t="shared" si="6386"/>
        <v>#ERROR!</v>
      </c>
      <c r="AV1283" s="164" t="str">
        <f t="shared" si="6276"/>
        <v>#ERROR!</v>
      </c>
      <c r="AW1283" s="761" t="str">
        <f t="shared" ref="AW1283:AZ1283" si="6387">+AW1277+AW1282</f>
        <v>#ERROR!</v>
      </c>
      <c r="AX1283" s="761" t="str">
        <f t="shared" si="6387"/>
        <v>#ERROR!</v>
      </c>
      <c r="AY1283" s="761" t="str">
        <f t="shared" si="6387"/>
        <v>#ERROR!</v>
      </c>
      <c r="AZ1283" s="761" t="str">
        <f t="shared" si="6387"/>
        <v>#ERROR!</v>
      </c>
      <c r="BA1283" s="164" t="str">
        <f t="shared" si="6278"/>
        <v>#ERROR!</v>
      </c>
      <c r="BB1283" s="761" t="str">
        <f t="shared" ref="BB1283:BE1283" si="6388">+BB1277+BB1282</f>
        <v>#ERROR!</v>
      </c>
      <c r="BC1283" s="761" t="str">
        <f t="shared" si="6388"/>
        <v>#ERROR!</v>
      </c>
      <c r="BD1283" s="761" t="str">
        <f t="shared" si="6388"/>
        <v>#ERROR!</v>
      </c>
      <c r="BE1283" s="761" t="str">
        <f t="shared" si="6388"/>
        <v>#ERROR!</v>
      </c>
      <c r="BF1283" s="164" t="str">
        <f t="shared" si="6280"/>
        <v>#ERROR!</v>
      </c>
      <c r="BG1283" s="761" t="str">
        <f t="shared" ref="BG1283:BJ1283" si="6389">+BG1277+BG1282</f>
        <v>#ERROR!</v>
      </c>
      <c r="BH1283" s="761" t="str">
        <f t="shared" si="6389"/>
        <v>#ERROR!</v>
      </c>
      <c r="BI1283" s="761" t="str">
        <f t="shared" si="6389"/>
        <v>#ERROR!</v>
      </c>
      <c r="BJ1283" s="761" t="str">
        <f t="shared" si="6389"/>
        <v>#ERROR!</v>
      </c>
      <c r="BK1283" s="164" t="str">
        <f t="shared" si="6282"/>
        <v>#ERROR!</v>
      </c>
      <c r="BL1283" s="761" t="str">
        <f t="shared" ref="BL1283:BO1283" si="6390">+BL1277+BL1282</f>
        <v>#ERROR!</v>
      </c>
      <c r="BM1283" s="761" t="str">
        <f t="shared" si="6390"/>
        <v>#ERROR!</v>
      </c>
      <c r="BN1283" s="761" t="str">
        <f t="shared" si="6390"/>
        <v>#ERROR!</v>
      </c>
      <c r="BO1283" s="761" t="str">
        <f t="shared" si="6390"/>
        <v>#ERROR!</v>
      </c>
      <c r="BP1283" s="164" t="str">
        <f t="shared" si="6284"/>
        <v>#ERROR!</v>
      </c>
      <c r="BQ1283" s="761" t="str">
        <f t="shared" ref="BQ1283:BT1283" si="6391">+BQ1277+BQ1282</f>
        <v>#ERROR!</v>
      </c>
      <c r="BR1283" s="761" t="str">
        <f t="shared" si="6391"/>
        <v>#ERROR!</v>
      </c>
      <c r="BS1283" s="761" t="str">
        <f t="shared" si="6391"/>
        <v>#ERROR!</v>
      </c>
      <c r="BT1283" s="761" t="str">
        <f t="shared" si="6391"/>
        <v>#ERROR!</v>
      </c>
      <c r="BU1283" s="164" t="str">
        <f t="shared" si="6286"/>
        <v>#ERROR!</v>
      </c>
      <c r="BV1283" s="761" t="str">
        <f t="shared" ref="BV1283:BY1283" si="6392">+BV1277+BV1282</f>
        <v>#ERROR!</v>
      </c>
      <c r="BW1283" s="761" t="str">
        <f t="shared" si="6392"/>
        <v>#ERROR!</v>
      </c>
      <c r="BX1283" s="761" t="str">
        <f t="shared" si="6392"/>
        <v>#ERROR!</v>
      </c>
      <c r="BY1283" s="761" t="str">
        <f t="shared" si="6392"/>
        <v>#ERROR!</v>
      </c>
      <c r="BZ1283" s="165" t="str">
        <f t="shared" si="6288"/>
        <v>#ERROR!</v>
      </c>
      <c r="CA1283" s="761" t="str">
        <f t="shared" ref="CA1283:CD1283" si="6393">+CA1277+CA1282</f>
        <v>#ERROR!</v>
      </c>
      <c r="CB1283" s="761" t="str">
        <f t="shared" si="6393"/>
        <v>#ERROR!</v>
      </c>
      <c r="CC1283" s="761" t="str">
        <f t="shared" si="6393"/>
        <v>#ERROR!</v>
      </c>
      <c r="CD1283" s="761" t="str">
        <f t="shared" si="6393"/>
        <v>#ERROR!</v>
      </c>
      <c r="CE1283" s="165" t="str">
        <f t="shared" si="6290"/>
        <v>#ERROR!</v>
      </c>
      <c r="CF1283" s="761" t="str">
        <f t="shared" ref="CF1283:CI1283" si="6394">+CF1277+CF1282</f>
        <v>#ERROR!</v>
      </c>
      <c r="CG1283" s="761" t="str">
        <f t="shared" si="6394"/>
        <v>#ERROR!</v>
      </c>
      <c r="CH1283" s="761" t="str">
        <f t="shared" si="6394"/>
        <v>#ERROR!</v>
      </c>
      <c r="CI1283" s="761" t="str">
        <f t="shared" si="6394"/>
        <v>#ERROR!</v>
      </c>
      <c r="CJ1283" s="165" t="str">
        <f t="shared" si="6292"/>
        <v>#ERROR!</v>
      </c>
      <c r="CK1283" s="761" t="str">
        <f t="shared" ref="CK1283:CN1283" si="6395">+CK1277+CK1282</f>
        <v>#ERROR!</v>
      </c>
      <c r="CL1283" s="761" t="str">
        <f t="shared" si="6395"/>
        <v>#ERROR!</v>
      </c>
      <c r="CM1283" s="761" t="str">
        <f t="shared" si="6395"/>
        <v>#ERROR!</v>
      </c>
      <c r="CN1283" s="762" t="str">
        <f t="shared" si="6395"/>
        <v>#ERROR!</v>
      </c>
      <c r="CO1283" s="165" t="str">
        <f t="shared" si="6294"/>
        <v>#ERROR!</v>
      </c>
      <c r="CP1283" s="762" t="str">
        <f t="shared" ref="CP1283:CS1283" si="6396">+CP1277+CP1282</f>
        <v>#ERROR!</v>
      </c>
      <c r="CQ1283" s="761" t="str">
        <f t="shared" si="6396"/>
        <v>#ERROR!</v>
      </c>
      <c r="CR1283" s="761" t="str">
        <f t="shared" si="6396"/>
        <v>#ERROR!</v>
      </c>
      <c r="CS1283" s="761" t="str">
        <f t="shared" si="6396"/>
        <v>#ERROR!</v>
      </c>
      <c r="CT1283" s="165" t="str">
        <f t="shared" si="6296"/>
        <v>#ERROR!</v>
      </c>
      <c r="CU1283" s="761" t="str">
        <f t="shared" ref="CU1283:CX1283" si="6397">+CU1277+CU1282</f>
        <v>#ERROR!</v>
      </c>
      <c r="CV1283" s="761" t="str">
        <f t="shared" si="6397"/>
        <v>#ERROR!</v>
      </c>
      <c r="CW1283" s="761" t="str">
        <f t="shared" si="6397"/>
        <v>#ERROR!</v>
      </c>
      <c r="CX1283" s="761" t="str">
        <f t="shared" si="6397"/>
        <v>#ERROR!</v>
      </c>
      <c r="CY1283" s="165" t="str">
        <f t="shared" si="6298"/>
        <v>#ERROR!</v>
      </c>
      <c r="CZ1283" s="761" t="str">
        <f t="shared" ref="CZ1283:DC1283" si="6398">+CZ1277+CZ1282</f>
        <v>#ERROR!</v>
      </c>
      <c r="DA1283" s="761" t="str">
        <f t="shared" si="6398"/>
        <v>#ERROR!</v>
      </c>
      <c r="DB1283" s="761" t="str">
        <f t="shared" si="6398"/>
        <v>#ERROR!</v>
      </c>
      <c r="DC1283" s="761" t="str">
        <f t="shared" si="6398"/>
        <v>#ERROR!</v>
      </c>
      <c r="DD1283" s="165" t="str">
        <f t="shared" si="6300"/>
        <v>#ERROR!</v>
      </c>
      <c r="DE1283" s="761" t="str">
        <f t="shared" ref="DE1283:DH1283" si="6399">+DE1277+DE1282</f>
        <v>#ERROR!</v>
      </c>
      <c r="DF1283" s="761" t="str">
        <f t="shared" si="6399"/>
        <v>#ERROR!</v>
      </c>
      <c r="DG1283" s="708" t="str">
        <f t="shared" si="6399"/>
        <v>#ERROR!</v>
      </c>
      <c r="DH1283" s="761" t="str">
        <f t="shared" si="6399"/>
        <v>#ERROR!</v>
      </c>
      <c r="DI1283" s="165" t="str">
        <f t="shared" si="6302"/>
        <v>#ERROR!</v>
      </c>
      <c r="DJ1283" s="762" t="str">
        <f t="shared" ref="DJ1283:DM1283" si="6400">+DJ1277+DJ1282</f>
        <v>#ERROR!</v>
      </c>
      <c r="DK1283" s="762" t="str">
        <f t="shared" si="6400"/>
        <v>#ERROR!</v>
      </c>
      <c r="DL1283" s="762" t="str">
        <f t="shared" si="6400"/>
        <v>#ERROR!</v>
      </c>
      <c r="DM1283" s="761" t="str">
        <f t="shared" si="6400"/>
        <v>#ERROR!</v>
      </c>
      <c r="DN1283" s="165" t="str">
        <f t="shared" si="6304"/>
        <v>#ERROR!</v>
      </c>
      <c r="DO1283" s="761" t="str">
        <f t="shared" ref="DO1283:DR1283" si="6401">+DO1277+DO1282</f>
        <v>#ERROR!</v>
      </c>
      <c r="DP1283" s="761" t="str">
        <f t="shared" si="6401"/>
        <v>#ERROR!</v>
      </c>
      <c r="DQ1283" s="761" t="str">
        <f t="shared" si="6401"/>
        <v>#ERROR!</v>
      </c>
      <c r="DR1283" s="761" t="str">
        <f t="shared" si="6401"/>
        <v>#ERROR!</v>
      </c>
      <c r="DS1283" s="165" t="str">
        <f t="shared" si="6306"/>
        <v>#ERROR!</v>
      </c>
      <c r="DT1283" s="761" t="str">
        <f t="shared" ref="DT1283:DW1283" si="6402">+DT1277+DT1282</f>
        <v>#ERROR!</v>
      </c>
      <c r="DU1283" s="761" t="str">
        <f t="shared" si="6402"/>
        <v>#ERROR!</v>
      </c>
      <c r="DV1283" s="761" t="str">
        <f t="shared" si="6402"/>
        <v>#ERROR!</v>
      </c>
      <c r="DW1283" s="761" t="str">
        <f t="shared" si="6402"/>
        <v>#ERROR!</v>
      </c>
      <c r="DX1283" s="165" t="str">
        <f t="shared" si="6308"/>
        <v>#ERROR!</v>
      </c>
      <c r="DY1283" s="761" t="str">
        <f t="shared" ref="DY1283:EB1283" si="6403">+DY1277+DY1282</f>
        <v>#ERROR!</v>
      </c>
      <c r="DZ1283" s="761" t="str">
        <f t="shared" si="6403"/>
        <v>#ERROR!</v>
      </c>
      <c r="EA1283" s="761" t="str">
        <f t="shared" si="6403"/>
        <v>#ERROR!</v>
      </c>
      <c r="EB1283" s="761" t="str">
        <f t="shared" si="6403"/>
        <v>#ERROR!</v>
      </c>
      <c r="EC1283" s="165" t="str">
        <f t="shared" si="6310"/>
        <v>#ERROR!</v>
      </c>
      <c r="ED1283" s="761" t="str">
        <f t="shared" ref="ED1283:EG1283" si="6404">+ED1277+ED1282</f>
        <v>#ERROR!</v>
      </c>
      <c r="EE1283" s="761" t="str">
        <f t="shared" si="6404"/>
        <v>#ERROR!</v>
      </c>
      <c r="EF1283" s="761" t="str">
        <f t="shared" si="6404"/>
        <v>#ERROR!</v>
      </c>
      <c r="EG1283" s="761" t="str">
        <f t="shared" si="6404"/>
        <v>#ERROR!</v>
      </c>
      <c r="EH1283" s="165" t="str">
        <f t="shared" si="6312"/>
        <v>#ERROR!</v>
      </c>
      <c r="EI1283" s="763" t="str">
        <f t="shared" ref="EI1283:EL1283" si="6405">+EI1277+EI1282</f>
        <v>#ERROR!</v>
      </c>
      <c r="EJ1283" s="761" t="str">
        <f t="shared" si="6405"/>
        <v>#ERROR!</v>
      </c>
      <c r="EK1283" s="761" t="str">
        <f t="shared" si="6405"/>
        <v>#ERROR!</v>
      </c>
      <c r="EL1283" s="761" t="str">
        <f t="shared" si="6405"/>
        <v>#ERROR!</v>
      </c>
      <c r="EM1283" s="165" t="str">
        <f t="shared" si="6314"/>
        <v>#ERROR!</v>
      </c>
      <c r="EN1283" s="761" t="str">
        <f t="shared" ref="EN1283:EQ1283" si="6406">+EN1277+EN1282</f>
        <v>#ERROR!</v>
      </c>
      <c r="EO1283" s="761" t="str">
        <f t="shared" si="6406"/>
        <v>#ERROR!</v>
      </c>
      <c r="EP1283" s="761" t="str">
        <f t="shared" si="6406"/>
        <v>#ERROR!</v>
      </c>
      <c r="EQ1283" s="761" t="str">
        <f t="shared" si="6406"/>
        <v>#ERROR!</v>
      </c>
      <c r="ER1283" s="165" t="str">
        <f t="shared" si="6316"/>
        <v>#ERROR!</v>
      </c>
      <c r="ES1283" s="761" t="str">
        <f t="shared" ref="ES1283:EV1283" si="6407">+ES1277+ES1282</f>
        <v>#ERROR!</v>
      </c>
      <c r="ET1283" s="761" t="str">
        <f t="shared" si="6407"/>
        <v>#ERROR!</v>
      </c>
      <c r="EU1283" s="761" t="str">
        <f t="shared" si="6407"/>
        <v>#ERROR!</v>
      </c>
      <c r="EV1283" s="761" t="str">
        <f t="shared" si="6407"/>
        <v>#ERROR!</v>
      </c>
      <c r="EW1283" s="165" t="str">
        <f t="shared" si="6318"/>
        <v>#ERROR!</v>
      </c>
      <c r="EX1283" s="761" t="str">
        <f t="shared" ref="EX1283:FA1283" si="6408">+EX1277+EX1282</f>
        <v>#ERROR!</v>
      </c>
      <c r="EY1283" s="761" t="str">
        <f t="shared" si="6408"/>
        <v>#ERROR!</v>
      </c>
      <c r="EZ1283" s="761" t="str">
        <f t="shared" si="6408"/>
        <v>#ERROR!</v>
      </c>
      <c r="FA1283" s="761" t="str">
        <f t="shared" si="6408"/>
        <v>#ERROR!</v>
      </c>
      <c r="FB1283" s="165" t="str">
        <f t="shared" si="6320"/>
        <v>#ERROR!</v>
      </c>
      <c r="FC1283" s="761" t="str">
        <f t="shared" ref="FC1283:FF1283" si="6409">+FC1277+FC1282</f>
        <v>#ERROR!</v>
      </c>
      <c r="FD1283" s="761" t="str">
        <f t="shared" si="6409"/>
        <v>#ERROR!</v>
      </c>
      <c r="FE1283" s="761" t="str">
        <f t="shared" si="6409"/>
        <v>#ERROR!</v>
      </c>
      <c r="FF1283" s="761" t="str">
        <f t="shared" si="6409"/>
        <v>#ERROR!</v>
      </c>
      <c r="FG1283" s="165" t="str">
        <f t="shared" si="6322"/>
        <v>#ERROR!</v>
      </c>
      <c r="FH1283" s="583"/>
      <c r="FI1283" s="760"/>
      <c r="FJ1283" s="760"/>
      <c r="FK1283" s="760"/>
      <c r="FL1283" s="760"/>
    </row>
    <row r="1284" ht="13.5" hidden="1" customHeight="1" outlineLevel="3">
      <c r="A1284" s="4"/>
      <c r="B1284" s="4" t="s">
        <v>191</v>
      </c>
      <c r="C1284" s="4"/>
      <c r="D1284" s="17"/>
      <c r="E1284" s="17"/>
      <c r="F1284" s="17"/>
      <c r="G1284" s="17"/>
      <c r="H1284" s="17"/>
      <c r="I1284" s="17"/>
      <c r="J1284" s="17"/>
      <c r="K1284" s="17"/>
      <c r="L1284" s="17"/>
      <c r="M1284" s="17"/>
      <c r="N1284" s="17"/>
      <c r="O1284" s="17"/>
      <c r="P1284" s="17"/>
      <c r="Q1284" s="17"/>
      <c r="R1284" s="17"/>
      <c r="S1284" s="17"/>
      <c r="T1284" s="17"/>
      <c r="U1284" s="17"/>
      <c r="V1284" s="17"/>
      <c r="W1284" s="17"/>
      <c r="X1284" s="17">
        <f t="shared" ref="X1284:FG1284" si="6410">+X22</f>
        <v>5004</v>
      </c>
      <c r="Y1284" s="17">
        <f t="shared" si="6410"/>
        <v>5017</v>
      </c>
      <c r="Z1284" s="17">
        <f t="shared" si="6410"/>
        <v>5583</v>
      </c>
      <c r="AA1284" s="17">
        <f t="shared" si="6410"/>
        <v>5472</v>
      </c>
      <c r="AB1284" s="17">
        <f t="shared" si="6410"/>
        <v>21076</v>
      </c>
      <c r="AC1284" s="17">
        <f t="shared" si="6410"/>
        <v>3452</v>
      </c>
      <c r="AD1284" s="17">
        <f t="shared" si="6410"/>
        <v>3027</v>
      </c>
      <c r="AE1284" s="17">
        <f t="shared" si="6410"/>
        <v>2992</v>
      </c>
      <c r="AF1284" s="17">
        <f t="shared" si="6410"/>
        <v>3581</v>
      </c>
      <c r="AG1284" s="17">
        <f t="shared" si="6410"/>
        <v>13052</v>
      </c>
      <c r="AH1284" s="17">
        <f t="shared" si="6410"/>
        <v>3480</v>
      </c>
      <c r="AI1284" s="17">
        <f t="shared" si="6410"/>
        <v>2969</v>
      </c>
      <c r="AJ1284" s="17">
        <f t="shared" si="6410"/>
        <v>3173</v>
      </c>
      <c r="AK1284" s="17">
        <f t="shared" si="6410"/>
        <v>3696</v>
      </c>
      <c r="AL1284" s="17">
        <f t="shared" si="6410"/>
        <v>13318</v>
      </c>
      <c r="AM1284" s="17">
        <f t="shared" si="6410"/>
        <v>3512</v>
      </c>
      <c r="AN1284" s="17">
        <f t="shared" si="6410"/>
        <v>3468</v>
      </c>
      <c r="AO1284" s="17">
        <f t="shared" si="6410"/>
        <v>4558</v>
      </c>
      <c r="AP1284" s="17">
        <f t="shared" si="6410"/>
        <v>5556</v>
      </c>
      <c r="AQ1284" s="17">
        <f t="shared" si="6410"/>
        <v>17094</v>
      </c>
      <c r="AR1284" s="17">
        <f t="shared" si="6410"/>
        <v>4870</v>
      </c>
      <c r="AS1284" s="17">
        <f t="shared" si="6410"/>
        <v>4780</v>
      </c>
      <c r="AT1284" s="17">
        <f t="shared" si="6410"/>
        <v>4719</v>
      </c>
      <c r="AU1284" s="17">
        <f t="shared" si="6410"/>
        <v>5377</v>
      </c>
      <c r="AV1284" s="17">
        <f t="shared" si="6410"/>
        <v>19746</v>
      </c>
      <c r="AW1284" s="17">
        <f t="shared" si="6410"/>
        <v>5598</v>
      </c>
      <c r="AX1284" s="17">
        <f t="shared" si="6410"/>
        <v>5203</v>
      </c>
      <c r="AY1284" s="17">
        <f t="shared" si="6410"/>
        <v>6088</v>
      </c>
      <c r="AZ1284" s="17">
        <f t="shared" si="6410"/>
        <v>6300</v>
      </c>
      <c r="BA1284" s="17">
        <f t="shared" si="6410"/>
        <v>23189</v>
      </c>
      <c r="BB1284" s="17">
        <f t="shared" si="6410"/>
        <v>4943</v>
      </c>
      <c r="BC1284" s="17">
        <f t="shared" si="6410"/>
        <v>4171</v>
      </c>
      <c r="BD1284" s="17">
        <f t="shared" si="6410"/>
        <v>4294</v>
      </c>
      <c r="BE1284" s="17">
        <f t="shared" si="6410"/>
        <v>4810</v>
      </c>
      <c r="BF1284" s="17">
        <f t="shared" si="6410"/>
        <v>18218</v>
      </c>
      <c r="BG1284" s="17">
        <f t="shared" si="6410"/>
        <v>4432</v>
      </c>
      <c r="BH1284" s="17">
        <f t="shared" si="6410"/>
        <v>4075</v>
      </c>
      <c r="BI1284" s="17">
        <f t="shared" si="6410"/>
        <v>5284</v>
      </c>
      <c r="BJ1284" s="17">
        <f t="shared" si="6410"/>
        <v>6226</v>
      </c>
      <c r="BK1284" s="17">
        <f t="shared" si="6410"/>
        <v>20017</v>
      </c>
      <c r="BL1284" s="17">
        <f t="shared" si="6410"/>
        <v>5207</v>
      </c>
      <c r="BM1284" s="17">
        <f t="shared" si="6410"/>
        <v>5249</v>
      </c>
      <c r="BN1284" s="17">
        <f t="shared" si="6410"/>
        <v>6019</v>
      </c>
      <c r="BO1284" s="17">
        <f t="shared" si="6410"/>
        <v>4369</v>
      </c>
      <c r="BP1284" s="17">
        <f t="shared" si="6410"/>
        <v>20844</v>
      </c>
      <c r="BQ1284" s="17">
        <f t="shared" si="6410"/>
        <v>3238</v>
      </c>
      <c r="BR1284" s="17">
        <f t="shared" si="6410"/>
        <v>4079</v>
      </c>
      <c r="BS1284" s="17">
        <f t="shared" si="6410"/>
        <v>5404</v>
      </c>
      <c r="BT1284" s="17">
        <f t="shared" si="6410"/>
        <v>6840</v>
      </c>
      <c r="BU1284" s="17">
        <f t="shared" si="6410"/>
        <v>19561</v>
      </c>
      <c r="BV1284" s="17">
        <f t="shared" si="6410"/>
        <v>6529</v>
      </c>
      <c r="BW1284" s="17">
        <f t="shared" si="6410"/>
        <v>7235</v>
      </c>
      <c r="BX1284" s="17">
        <f t="shared" si="6410"/>
        <v>7321</v>
      </c>
      <c r="BY1284" s="17">
        <f t="shared" si="6410"/>
        <v>7406</v>
      </c>
      <c r="BZ1284" s="38">
        <f t="shared" si="6410"/>
        <v>28491</v>
      </c>
      <c r="CA1284" s="17">
        <f t="shared" si="6410"/>
        <v>7885</v>
      </c>
      <c r="CB1284" s="17">
        <f t="shared" si="6410"/>
        <v>7902</v>
      </c>
      <c r="CC1284" s="17">
        <f t="shared" si="6410"/>
        <v>9018</v>
      </c>
      <c r="CD1284" s="17">
        <f t="shared" si="6410"/>
        <v>8952</v>
      </c>
      <c r="CE1284" s="38">
        <f t="shared" si="6410"/>
        <v>33757</v>
      </c>
      <c r="CF1284" s="17">
        <f t="shared" si="6410"/>
        <v>8265</v>
      </c>
      <c r="CG1284" s="17">
        <f t="shared" si="6410"/>
        <v>8554</v>
      </c>
      <c r="CH1284" s="17">
        <f t="shared" si="6410"/>
        <v>8515</v>
      </c>
      <c r="CI1284" s="17">
        <f t="shared" si="6410"/>
        <v>7817</v>
      </c>
      <c r="CJ1284" s="38">
        <f t="shared" si="6410"/>
        <v>33151</v>
      </c>
      <c r="CK1284" s="17">
        <f t="shared" si="6410"/>
        <v>7066</v>
      </c>
      <c r="CL1284" s="17">
        <f t="shared" si="6410"/>
        <v>7470</v>
      </c>
      <c r="CM1284" s="17">
        <f t="shared" si="6410"/>
        <v>8414</v>
      </c>
      <c r="CN1284" s="19">
        <f t="shared" si="6410"/>
        <v>8571</v>
      </c>
      <c r="CO1284" s="38">
        <f t="shared" si="6410"/>
        <v>31521</v>
      </c>
      <c r="CP1284" s="19">
        <f t="shared" si="6410"/>
        <v>7626</v>
      </c>
      <c r="CQ1284" s="17">
        <f t="shared" si="6410"/>
        <v>8917</v>
      </c>
      <c r="CR1284" s="17">
        <f t="shared" si="6410"/>
        <v>9458</v>
      </c>
      <c r="CS1284" s="17">
        <f t="shared" si="6410"/>
        <v>9621</v>
      </c>
      <c r="CT1284" s="38">
        <f t="shared" si="6410"/>
        <v>35622</v>
      </c>
      <c r="CU1284" s="17">
        <f t="shared" si="6410"/>
        <v>7730</v>
      </c>
      <c r="CV1284" s="17">
        <f t="shared" si="6410"/>
        <v>8248</v>
      </c>
      <c r="CW1284" s="17">
        <f t="shared" si="6410"/>
        <v>9111</v>
      </c>
      <c r="CX1284" s="17">
        <f t="shared" si="6410"/>
        <v>9590</v>
      </c>
      <c r="CY1284" s="38">
        <f t="shared" si="6410"/>
        <v>34679</v>
      </c>
      <c r="CZ1284" s="17">
        <f t="shared" si="6410"/>
        <v>8130</v>
      </c>
      <c r="DA1284" s="17">
        <f t="shared" si="6410"/>
        <v>7973</v>
      </c>
      <c r="DB1284" s="17">
        <f t="shared" si="6410"/>
        <v>9983</v>
      </c>
      <c r="DC1284" s="17">
        <f t="shared" si="6410"/>
        <v>10105</v>
      </c>
      <c r="DD1284" s="38">
        <f t="shared" si="6410"/>
        <v>36191</v>
      </c>
      <c r="DE1284" s="17">
        <f t="shared" si="6410"/>
        <v>9147</v>
      </c>
      <c r="DF1284" s="17">
        <f t="shared" si="6410"/>
        <v>9098</v>
      </c>
      <c r="DG1284" s="19">
        <f t="shared" si="6410"/>
        <v>10057</v>
      </c>
      <c r="DH1284" s="17">
        <f t="shared" si="6410"/>
        <v>10767</v>
      </c>
      <c r="DI1284" s="38">
        <f t="shared" si="6410"/>
        <v>39069</v>
      </c>
      <c r="DJ1284" s="19">
        <f t="shared" si="6410"/>
        <v>9731</v>
      </c>
      <c r="DK1284" s="19">
        <f t="shared" si="6410"/>
        <v>10419</v>
      </c>
      <c r="DL1284" s="19">
        <f t="shared" si="6410"/>
        <v>12360</v>
      </c>
      <c r="DM1284" s="17">
        <f t="shared" si="6410"/>
        <v>11227</v>
      </c>
      <c r="DN1284" s="38">
        <f t="shared" si="6410"/>
        <v>43737</v>
      </c>
      <c r="DO1284" s="17">
        <f t="shared" si="6410"/>
        <v>9089</v>
      </c>
      <c r="DP1284" s="17">
        <f t="shared" si="6410"/>
        <v>9878</v>
      </c>
      <c r="DQ1284" s="17">
        <f t="shared" si="6410"/>
        <v>11295</v>
      </c>
      <c r="DR1284" s="17">
        <f t="shared" si="6410"/>
        <v>11878</v>
      </c>
      <c r="DS1284" s="38">
        <f t="shared" si="6410"/>
        <v>42140</v>
      </c>
      <c r="DT1284" s="17">
        <f t="shared" si="6410"/>
        <v>12016</v>
      </c>
      <c r="DU1284" s="17">
        <f t="shared" si="6410"/>
        <v>10507</v>
      </c>
      <c r="DV1284" s="17">
        <f t="shared" si="6410"/>
        <v>9741</v>
      </c>
      <c r="DW1284" s="17">
        <f t="shared" si="6410"/>
        <v>11348</v>
      </c>
      <c r="DX1284" s="38">
        <f t="shared" si="6410"/>
        <v>43612</v>
      </c>
      <c r="DY1284" s="17">
        <f t="shared" si="6410"/>
        <v>10854</v>
      </c>
      <c r="DZ1284" s="17">
        <f t="shared" si="6410"/>
        <v>11206</v>
      </c>
      <c r="EA1284" s="17">
        <f t="shared" si="6410"/>
        <v>10746</v>
      </c>
      <c r="EB1284" s="17">
        <f t="shared" si="6410"/>
        <v>11009</v>
      </c>
      <c r="EC1284" s="38">
        <f t="shared" si="6410"/>
        <v>43815</v>
      </c>
      <c r="ED1284" s="17">
        <f t="shared" si="6410"/>
        <v>9244</v>
      </c>
      <c r="EE1284" s="17">
        <f t="shared" si="6410"/>
        <v>5587</v>
      </c>
      <c r="EF1284" s="17">
        <f t="shared" si="6410"/>
        <v>6535</v>
      </c>
      <c r="EG1284" s="17">
        <f t="shared" si="6410"/>
        <v>5500</v>
      </c>
      <c r="EH1284" s="38">
        <f t="shared" si="6410"/>
        <v>26866</v>
      </c>
      <c r="EI1284" s="25" t="str">
        <f t="shared" si="6410"/>
        <v>#ERROR!</v>
      </c>
      <c r="EJ1284" s="17" t="str">
        <f t="shared" si="6410"/>
        <v>#ERROR!</v>
      </c>
      <c r="EK1284" s="17" t="str">
        <f t="shared" si="6410"/>
        <v>#ERROR!</v>
      </c>
      <c r="EL1284" s="17" t="str">
        <f t="shared" si="6410"/>
        <v>#ERROR!</v>
      </c>
      <c r="EM1284" s="38" t="str">
        <f t="shared" si="6410"/>
        <v>#ERROR!</v>
      </c>
      <c r="EN1284" s="17" t="str">
        <f t="shared" si="6410"/>
        <v>#ERROR!</v>
      </c>
      <c r="EO1284" s="17" t="str">
        <f t="shared" si="6410"/>
        <v>#ERROR!</v>
      </c>
      <c r="EP1284" s="17" t="str">
        <f t="shared" si="6410"/>
        <v>#ERROR!</v>
      </c>
      <c r="EQ1284" s="17" t="str">
        <f t="shared" si="6410"/>
        <v>#ERROR!</v>
      </c>
      <c r="ER1284" s="38" t="str">
        <f t="shared" si="6410"/>
        <v>#ERROR!</v>
      </c>
      <c r="ES1284" s="17" t="str">
        <f t="shared" si="6410"/>
        <v>#ERROR!</v>
      </c>
      <c r="ET1284" s="17" t="str">
        <f t="shared" si="6410"/>
        <v>#ERROR!</v>
      </c>
      <c r="EU1284" s="17" t="str">
        <f t="shared" si="6410"/>
        <v>#ERROR!</v>
      </c>
      <c r="EV1284" s="17" t="str">
        <f t="shared" si="6410"/>
        <v>#ERROR!</v>
      </c>
      <c r="EW1284" s="38" t="str">
        <f t="shared" si="6410"/>
        <v>#ERROR!</v>
      </c>
      <c r="EX1284" s="17" t="str">
        <f t="shared" si="6410"/>
        <v>#ERROR!</v>
      </c>
      <c r="EY1284" s="17" t="str">
        <f t="shared" si="6410"/>
        <v>#ERROR!</v>
      </c>
      <c r="EZ1284" s="17" t="str">
        <f t="shared" si="6410"/>
        <v>#ERROR!</v>
      </c>
      <c r="FA1284" s="17" t="str">
        <f t="shared" si="6410"/>
        <v>#ERROR!</v>
      </c>
      <c r="FB1284" s="38" t="str">
        <f t="shared" si="6410"/>
        <v>#ERROR!</v>
      </c>
      <c r="FC1284" s="17" t="str">
        <f t="shared" si="6410"/>
        <v>#ERROR!</v>
      </c>
      <c r="FD1284" s="17" t="str">
        <f t="shared" si="6410"/>
        <v>#ERROR!</v>
      </c>
      <c r="FE1284" s="17" t="str">
        <f t="shared" si="6410"/>
        <v>#ERROR!</v>
      </c>
      <c r="FF1284" s="17" t="str">
        <f t="shared" si="6410"/>
        <v>#ERROR!</v>
      </c>
      <c r="FG1284" s="38" t="str">
        <f t="shared" si="6410"/>
        <v>#ERROR!</v>
      </c>
      <c r="FH1284" s="19"/>
      <c r="FI1284" s="4"/>
      <c r="FJ1284" s="4"/>
      <c r="FK1284" s="4"/>
      <c r="FL1284" s="4"/>
    </row>
    <row r="1285" ht="12.75" hidden="1" customHeight="1" outlineLevel="3">
      <c r="A1285" s="4"/>
      <c r="B1285" s="4"/>
      <c r="C1285" s="4"/>
      <c r="D1285" s="4"/>
      <c r="E1285" s="4"/>
      <c r="F1285" s="4"/>
      <c r="G1285" s="4"/>
      <c r="H1285" s="8"/>
      <c r="I1285" s="4"/>
      <c r="J1285" s="4"/>
      <c r="K1285" s="4"/>
      <c r="L1285" s="4"/>
      <c r="M1285" s="8"/>
      <c r="N1285" s="4"/>
      <c r="O1285" s="4"/>
      <c r="P1285" s="4"/>
      <c r="Q1285" s="4"/>
      <c r="R1285" s="8"/>
      <c r="S1285" s="4"/>
      <c r="T1285" s="4"/>
      <c r="U1285" s="4"/>
      <c r="V1285" s="4"/>
      <c r="W1285" s="8"/>
      <c r="X1285" s="4"/>
      <c r="Y1285" s="4"/>
      <c r="Z1285" s="4"/>
      <c r="AA1285" s="4"/>
      <c r="AB1285" s="8"/>
      <c r="AC1285" s="4"/>
      <c r="AD1285" s="4"/>
      <c r="AE1285" s="4"/>
      <c r="AF1285" s="4"/>
      <c r="AG1285" s="8"/>
      <c r="AH1285" s="4"/>
      <c r="AI1285" s="4"/>
      <c r="AJ1285" s="4"/>
      <c r="AK1285" s="4"/>
      <c r="AL1285" s="8"/>
      <c r="AM1285" s="4"/>
      <c r="AN1285" s="4"/>
      <c r="AO1285" s="4"/>
      <c r="AP1285" s="4"/>
      <c r="AQ1285" s="8"/>
      <c r="AR1285" s="4"/>
      <c r="AS1285" s="4"/>
      <c r="AT1285" s="4"/>
      <c r="AU1285" s="4"/>
      <c r="AV1285" s="8"/>
      <c r="AW1285" s="4"/>
      <c r="AX1285" s="4"/>
      <c r="AY1285" s="4"/>
      <c r="AZ1285" s="4"/>
      <c r="BA1285" s="8"/>
      <c r="BB1285" s="4"/>
      <c r="BC1285" s="4"/>
      <c r="BD1285" s="4"/>
      <c r="BE1285" s="4"/>
      <c r="BF1285" s="8"/>
      <c r="BG1285" s="4"/>
      <c r="BH1285" s="4"/>
      <c r="BI1285" s="4"/>
      <c r="BJ1285" s="4"/>
      <c r="BK1285" s="8"/>
      <c r="BL1285" s="4"/>
      <c r="BM1285" s="4"/>
      <c r="BN1285" s="4"/>
      <c r="BO1285" s="4"/>
      <c r="BP1285" s="8"/>
      <c r="BQ1285" s="4"/>
      <c r="BR1285" s="4"/>
      <c r="BS1285" s="4"/>
      <c r="BT1285" s="4"/>
      <c r="BU1285" s="8"/>
      <c r="BV1285" s="4"/>
      <c r="BW1285" s="4"/>
      <c r="BX1285" s="4"/>
      <c r="BY1285" s="4"/>
      <c r="BZ1285" s="10"/>
      <c r="CA1285" s="4"/>
      <c r="CB1285" s="4"/>
      <c r="CC1285" s="4"/>
      <c r="CD1285" s="4"/>
      <c r="CE1285" s="10"/>
      <c r="CF1285" s="4"/>
      <c r="CG1285" s="4"/>
      <c r="CH1285" s="4"/>
      <c r="CI1285" s="4"/>
      <c r="CJ1285" s="10"/>
      <c r="CK1285" s="4"/>
      <c r="CL1285" s="4"/>
      <c r="CM1285" s="4"/>
      <c r="CN1285" s="16"/>
      <c r="CO1285" s="10"/>
      <c r="CP1285" s="16"/>
      <c r="CQ1285" s="4"/>
      <c r="CR1285" s="4"/>
      <c r="CS1285" s="4"/>
      <c r="CT1285" s="10"/>
      <c r="CU1285" s="4"/>
      <c r="CV1285" s="4"/>
      <c r="CW1285" s="4"/>
      <c r="CX1285" s="4"/>
      <c r="CY1285" s="10"/>
      <c r="CZ1285" s="4"/>
      <c r="DA1285" s="4"/>
      <c r="DB1285" s="4"/>
      <c r="DC1285" s="4"/>
      <c r="DD1285" s="10"/>
      <c r="DE1285" s="4"/>
      <c r="DF1285" s="4"/>
      <c r="DG1285" s="16"/>
      <c r="DH1285" s="4"/>
      <c r="DI1285" s="10"/>
      <c r="DJ1285" s="16"/>
      <c r="DK1285" s="16"/>
      <c r="DL1285" s="16"/>
      <c r="DM1285" s="4"/>
      <c r="DN1285" s="10"/>
      <c r="DO1285" s="4"/>
      <c r="DP1285" s="4"/>
      <c r="DQ1285" s="4"/>
      <c r="DR1285" s="4"/>
      <c r="DS1285" s="10"/>
      <c r="DT1285" s="4"/>
      <c r="DU1285" s="4"/>
      <c r="DV1285" s="4"/>
      <c r="DW1285" s="4"/>
      <c r="DX1285" s="10"/>
      <c r="DY1285" s="4"/>
      <c r="DZ1285" s="4"/>
      <c r="EA1285" s="4"/>
      <c r="EB1285" s="4"/>
      <c r="EC1285" s="10"/>
      <c r="ED1285" s="4"/>
      <c r="EE1285" s="4"/>
      <c r="EF1285" s="4"/>
      <c r="EG1285" s="4"/>
      <c r="EH1285" s="10"/>
      <c r="EI1285" s="214"/>
      <c r="EJ1285" s="4"/>
      <c r="EK1285" s="4"/>
      <c r="EL1285" s="4"/>
      <c r="EM1285" s="10"/>
      <c r="EN1285" s="4"/>
      <c r="EO1285" s="4"/>
      <c r="EP1285" s="4"/>
      <c r="EQ1285" s="4"/>
      <c r="ER1285" s="10"/>
      <c r="ES1285" s="4"/>
      <c r="ET1285" s="4"/>
      <c r="EU1285" s="4"/>
      <c r="EV1285" s="4"/>
      <c r="EW1285" s="10"/>
      <c r="EX1285" s="4"/>
      <c r="EY1285" s="4"/>
      <c r="EZ1285" s="4"/>
      <c r="FA1285" s="4"/>
      <c r="FB1285" s="10"/>
      <c r="FC1285" s="4"/>
      <c r="FD1285" s="4"/>
      <c r="FE1285" s="4"/>
      <c r="FF1285" s="4"/>
      <c r="FG1285" s="10"/>
      <c r="FH1285" s="21"/>
      <c r="FI1285" s="4"/>
      <c r="FJ1285" s="4"/>
      <c r="FK1285" s="4"/>
      <c r="FL1285" s="4"/>
    </row>
    <row r="1286" ht="12.75" hidden="1" customHeight="1" outlineLevel="3">
      <c r="A1286" s="4"/>
      <c r="B1286" s="578" t="s">
        <v>480</v>
      </c>
      <c r="C1286" s="299"/>
      <c r="D1286" s="90"/>
      <c r="E1286" s="90"/>
      <c r="F1286" s="90"/>
      <c r="G1286" s="90"/>
      <c r="H1286" s="726"/>
      <c r="I1286" s="90"/>
      <c r="J1286" s="90"/>
      <c r="K1286" s="90"/>
      <c r="L1286" s="90"/>
      <c r="M1286" s="726"/>
      <c r="N1286" s="90"/>
      <c r="O1286" s="90"/>
      <c r="P1286" s="90"/>
      <c r="Q1286" s="90"/>
      <c r="R1286" s="726"/>
      <c r="S1286" s="90"/>
      <c r="T1286" s="90"/>
      <c r="U1286" s="90"/>
      <c r="V1286" s="90"/>
      <c r="W1286" s="726"/>
      <c r="X1286" s="90"/>
      <c r="Y1286" s="90"/>
      <c r="Z1286" s="90"/>
      <c r="AA1286" s="90"/>
      <c r="AB1286" s="726"/>
      <c r="AC1286" s="90"/>
      <c r="AD1286" s="90"/>
      <c r="AE1286" s="90"/>
      <c r="AF1286" s="90"/>
      <c r="AG1286" s="726"/>
      <c r="AH1286" s="90"/>
      <c r="AI1286" s="90"/>
      <c r="AJ1286" s="90"/>
      <c r="AK1286" s="90"/>
      <c r="AL1286" s="726"/>
      <c r="AM1286" s="90"/>
      <c r="AN1286" s="90"/>
      <c r="AO1286" s="90"/>
      <c r="AP1286" s="90"/>
      <c r="AQ1286" s="726"/>
      <c r="AR1286" s="90"/>
      <c r="AS1286" s="90"/>
      <c r="AT1286" s="90"/>
      <c r="AU1286" s="90"/>
      <c r="AV1286" s="726"/>
      <c r="AW1286" s="90"/>
      <c r="AX1286" s="90"/>
      <c r="AY1286" s="90"/>
      <c r="AZ1286" s="90"/>
      <c r="BA1286" s="726"/>
      <c r="BB1286" s="90"/>
      <c r="BC1286" s="90"/>
      <c r="BD1286" s="90"/>
      <c r="BE1286" s="90"/>
      <c r="BF1286" s="726"/>
      <c r="BG1286" s="90"/>
      <c r="BH1286" s="90"/>
      <c r="BI1286" s="90"/>
      <c r="BJ1286" s="90"/>
      <c r="BK1286" s="726"/>
      <c r="BL1286" s="90"/>
      <c r="BM1286" s="90"/>
      <c r="BN1286" s="90"/>
      <c r="BO1286" s="90"/>
      <c r="BP1286" s="726"/>
      <c r="BQ1286" s="90"/>
      <c r="BR1286" s="90"/>
      <c r="BS1286" s="90"/>
      <c r="BT1286" s="90"/>
      <c r="BU1286" s="726"/>
      <c r="BV1286" s="90"/>
      <c r="BW1286" s="90"/>
      <c r="BX1286" s="90"/>
      <c r="BY1286" s="90"/>
      <c r="BZ1286" s="303"/>
      <c r="CA1286" s="90"/>
      <c r="CB1286" s="90"/>
      <c r="CC1286" s="90"/>
      <c r="CD1286" s="90"/>
      <c r="CE1286" s="303"/>
      <c r="CF1286" s="90"/>
      <c r="CG1286" s="90"/>
      <c r="CH1286" s="90"/>
      <c r="CI1286" s="90"/>
      <c r="CJ1286" s="303"/>
      <c r="CK1286" s="90"/>
      <c r="CL1286" s="90"/>
      <c r="CM1286" s="90"/>
      <c r="CN1286" s="135"/>
      <c r="CO1286" s="303"/>
      <c r="CP1286" s="135"/>
      <c r="CQ1286" s="90"/>
      <c r="CR1286" s="90"/>
      <c r="CS1286" s="90"/>
      <c r="CT1286" s="303"/>
      <c r="CU1286" s="90"/>
      <c r="CV1286" s="90"/>
      <c r="CW1286" s="90"/>
      <c r="CX1286" s="90"/>
      <c r="CY1286" s="303"/>
      <c r="CZ1286" s="90"/>
      <c r="DA1286" s="90"/>
      <c r="DB1286" s="90"/>
      <c r="DC1286" s="90"/>
      <c r="DD1286" s="303"/>
      <c r="DE1286" s="90"/>
      <c r="DF1286" s="90"/>
      <c r="DG1286" s="16"/>
      <c r="DH1286" s="90"/>
      <c r="DI1286" s="303"/>
      <c r="DJ1286" s="135"/>
      <c r="DK1286" s="135"/>
      <c r="DL1286" s="135"/>
      <c r="DM1286" s="90"/>
      <c r="DN1286" s="303"/>
      <c r="DO1286" s="90"/>
      <c r="DP1286" s="90"/>
      <c r="DQ1286" s="90"/>
      <c r="DR1286" s="90"/>
      <c r="DS1286" s="303"/>
      <c r="DT1286" s="90"/>
      <c r="DU1286" s="90"/>
      <c r="DV1286" s="90"/>
      <c r="DW1286" s="90"/>
      <c r="DX1286" s="303"/>
      <c r="DY1286" s="90"/>
      <c r="DZ1286" s="90"/>
      <c r="EA1286" s="90"/>
      <c r="EB1286" s="90"/>
      <c r="EC1286" s="303"/>
      <c r="ED1286" s="90"/>
      <c r="EE1286" s="90"/>
      <c r="EF1286" s="90"/>
      <c r="EG1286" s="90"/>
      <c r="EH1286" s="303"/>
      <c r="EI1286" s="389"/>
      <c r="EJ1286" s="90"/>
      <c r="EK1286" s="90"/>
      <c r="EL1286" s="90"/>
      <c r="EM1286" s="303"/>
      <c r="EN1286" s="90"/>
      <c r="EO1286" s="90"/>
      <c r="EP1286" s="90"/>
      <c r="EQ1286" s="90"/>
      <c r="ER1286" s="303"/>
      <c r="ES1286" s="90"/>
      <c r="ET1286" s="90"/>
      <c r="EU1286" s="90"/>
      <c r="EV1286" s="90"/>
      <c r="EW1286" s="303"/>
      <c r="EX1286" s="90"/>
      <c r="EY1286" s="90"/>
      <c r="EZ1286" s="90"/>
      <c r="FA1286" s="90"/>
      <c r="FB1286" s="303"/>
      <c r="FC1286" s="90"/>
      <c r="FD1286" s="90"/>
      <c r="FE1286" s="90"/>
      <c r="FF1286" s="90"/>
      <c r="FG1286" s="303"/>
      <c r="FH1286" s="21"/>
      <c r="FI1286" s="4"/>
      <c r="FJ1286" s="4"/>
      <c r="FK1286" s="4"/>
      <c r="FL1286" s="4"/>
    </row>
    <row r="1287" ht="12.75" hidden="1" customHeight="1" outlineLevel="3">
      <c r="A1287" s="4"/>
      <c r="B1287" s="4" t="str">
        <f t="shared" ref="B1287:B1295" si="6436">+B1274</f>
        <v>   Microprocessor</v>
      </c>
      <c r="C1287" s="4"/>
      <c r="D1287" s="15"/>
      <c r="E1287" s="15"/>
      <c r="F1287" s="15"/>
      <c r="G1287" s="15"/>
      <c r="H1287" s="8"/>
      <c r="I1287" s="15"/>
      <c r="J1287" s="15"/>
      <c r="K1287" s="15"/>
      <c r="L1287" s="15"/>
      <c r="M1287" s="8"/>
      <c r="N1287" s="15"/>
      <c r="O1287" s="15"/>
      <c r="P1287" s="15"/>
      <c r="Q1287" s="15"/>
      <c r="R1287" s="8"/>
      <c r="S1287" s="15"/>
      <c r="T1287" s="15"/>
      <c r="U1287" s="15"/>
      <c r="V1287" s="15"/>
      <c r="W1287" s="8"/>
      <c r="X1287" s="15">
        <v>0.75</v>
      </c>
      <c r="Y1287" s="15">
        <v>0.72</v>
      </c>
      <c r="Z1287" s="15">
        <v>0.76</v>
      </c>
      <c r="AA1287" s="15">
        <v>0.76</v>
      </c>
      <c r="AB1287" s="8"/>
      <c r="AC1287" s="15">
        <v>0.63</v>
      </c>
      <c r="AD1287" s="15">
        <v>0.645</v>
      </c>
      <c r="AE1287" s="15">
        <v>0.55</v>
      </c>
      <c r="AF1287" s="15">
        <v>0.605</v>
      </c>
      <c r="AG1287" s="8"/>
      <c r="AH1287" s="15">
        <v>0.61</v>
      </c>
      <c r="AI1287" s="15">
        <v>0.56</v>
      </c>
      <c r="AJ1287" s="15">
        <v>0.58</v>
      </c>
      <c r="AK1287" s="15">
        <v>0.62</v>
      </c>
      <c r="AL1287" s="8"/>
      <c r="AM1287" s="15">
        <v>0.57</v>
      </c>
      <c r="AN1287" s="15">
        <v>0.61</v>
      </c>
      <c r="AO1287" s="15">
        <f t="shared" ref="AO1287:AP1287" si="6411">AO1217</f>
        <v>0.665</v>
      </c>
      <c r="AP1287" s="15">
        <f t="shared" si="6411"/>
        <v>0.72</v>
      </c>
      <c r="AQ1287" s="8"/>
      <c r="AR1287" s="15" t="str">
        <f t="shared" ref="AR1287:AU1287" si="6412">AR1217</f>
        <v>#ERROR!</v>
      </c>
      <c r="AS1287" s="15" t="str">
        <f t="shared" si="6412"/>
        <v>#ERROR!</v>
      </c>
      <c r="AT1287" s="15" t="str">
        <f t="shared" si="6412"/>
        <v>#ERROR!</v>
      </c>
      <c r="AU1287" s="15" t="str">
        <f t="shared" si="6412"/>
        <v>#ERROR!</v>
      </c>
      <c r="AV1287" s="8"/>
      <c r="AW1287" s="15" t="str">
        <f t="shared" ref="AW1287:AZ1287" si="6413">AW1217</f>
        <v>#ERROR!</v>
      </c>
      <c r="AX1287" s="15" t="str">
        <f t="shared" si="6413"/>
        <v>#ERROR!</v>
      </c>
      <c r="AY1287" s="15" t="str">
        <f t="shared" si="6413"/>
        <v>#ERROR!</v>
      </c>
      <c r="AZ1287" s="15" t="str">
        <f t="shared" si="6413"/>
        <v>#ERROR!</v>
      </c>
      <c r="BA1287" s="8"/>
      <c r="BB1287" s="15" t="str">
        <f t="shared" ref="BB1287:BE1287" si="6414">BB1217</f>
        <v>#ERROR!</v>
      </c>
      <c r="BC1287" s="15" t="str">
        <f t="shared" si="6414"/>
        <v>#ERROR!</v>
      </c>
      <c r="BD1287" s="15" t="str">
        <f t="shared" si="6414"/>
        <v>#ERROR!</v>
      </c>
      <c r="BE1287" s="15" t="str">
        <f t="shared" si="6414"/>
        <v>#ERROR!</v>
      </c>
      <c r="BF1287" s="8"/>
      <c r="BG1287" s="15" t="str">
        <f t="shared" ref="BG1287:BJ1287" si="6415">BG1217</f>
        <v>#ERROR!</v>
      </c>
      <c r="BH1287" s="15" t="str">
        <f t="shared" si="6415"/>
        <v>#ERROR!</v>
      </c>
      <c r="BI1287" s="15" t="str">
        <f t="shared" si="6415"/>
        <v>#ERROR!</v>
      </c>
      <c r="BJ1287" s="15" t="str">
        <f t="shared" si="6415"/>
        <v>#ERROR!</v>
      </c>
      <c r="BK1287" s="8"/>
      <c r="BL1287" s="15" t="str">
        <f t="shared" ref="BL1287:BO1287" si="6416">BL1217</f>
        <v>#ERROR!</v>
      </c>
      <c r="BM1287" s="15" t="str">
        <f t="shared" si="6416"/>
        <v>#ERROR!</v>
      </c>
      <c r="BN1287" s="15" t="str">
        <f t="shared" si="6416"/>
        <v>#ERROR!</v>
      </c>
      <c r="BO1287" s="15" t="str">
        <f t="shared" si="6416"/>
        <v>#ERROR!</v>
      </c>
      <c r="BP1287" s="8"/>
      <c r="BQ1287" s="15" t="str">
        <f t="shared" ref="BQ1287:BT1287" si="6417">BQ1217</f>
        <v>#ERROR!</v>
      </c>
      <c r="BR1287" s="15" t="str">
        <f t="shared" si="6417"/>
        <v>#ERROR!</v>
      </c>
      <c r="BS1287" s="15" t="str">
        <f t="shared" si="6417"/>
        <v>#ERROR!</v>
      </c>
      <c r="BT1287" s="15" t="str">
        <f t="shared" si="6417"/>
        <v>#ERROR!</v>
      </c>
      <c r="BU1287" s="8"/>
      <c r="BV1287" s="15" t="str">
        <f t="shared" ref="BV1287:BY1287" si="6418">BV1217</f>
        <v>#ERROR!</v>
      </c>
      <c r="BW1287" s="15" t="str">
        <f t="shared" si="6418"/>
        <v>#ERROR!</v>
      </c>
      <c r="BX1287" s="15" t="str">
        <f t="shared" si="6418"/>
        <v>#ERROR!</v>
      </c>
      <c r="BY1287" s="15" t="str">
        <f t="shared" si="6418"/>
        <v>#ERROR!</v>
      </c>
      <c r="BZ1287" s="10"/>
      <c r="CA1287" s="15" t="str">
        <f t="shared" ref="CA1287:CD1287" si="6419">CA1217</f>
        <v>#ERROR!</v>
      </c>
      <c r="CB1287" s="15" t="str">
        <f t="shared" si="6419"/>
        <v>#ERROR!</v>
      </c>
      <c r="CC1287" s="15" t="str">
        <f t="shared" si="6419"/>
        <v>#ERROR!</v>
      </c>
      <c r="CD1287" s="15" t="str">
        <f t="shared" si="6419"/>
        <v>#ERROR!</v>
      </c>
      <c r="CE1287" s="10"/>
      <c r="CF1287" s="15" t="str">
        <f t="shared" ref="CF1287:CI1287" si="6420">CF1217</f>
        <v>#ERROR!</v>
      </c>
      <c r="CG1287" s="15" t="str">
        <f t="shared" si="6420"/>
        <v>#ERROR!</v>
      </c>
      <c r="CH1287" s="15" t="str">
        <f t="shared" si="6420"/>
        <v>#ERROR!</v>
      </c>
      <c r="CI1287" s="15" t="str">
        <f t="shared" si="6420"/>
        <v>#ERROR!</v>
      </c>
      <c r="CJ1287" s="10"/>
      <c r="CK1287" s="15" t="str">
        <f t="shared" ref="CK1287:CN1287" si="6421">CK1217</f>
        <v>#ERROR!</v>
      </c>
      <c r="CL1287" s="15" t="str">
        <f t="shared" si="6421"/>
        <v>#ERROR!</v>
      </c>
      <c r="CM1287" s="15" t="str">
        <f t="shared" si="6421"/>
        <v>#ERROR!</v>
      </c>
      <c r="CN1287" s="40" t="str">
        <f t="shared" si="6421"/>
        <v>#ERROR!</v>
      </c>
      <c r="CO1287" s="10"/>
      <c r="CP1287" s="40" t="str">
        <f t="shared" ref="CP1287:CS1287" si="6422">CP1217</f>
        <v>#ERROR!</v>
      </c>
      <c r="CQ1287" s="15" t="str">
        <f t="shared" si="6422"/>
        <v>#ERROR!</v>
      </c>
      <c r="CR1287" s="15" t="str">
        <f t="shared" si="6422"/>
        <v>#ERROR!</v>
      </c>
      <c r="CS1287" s="15" t="str">
        <f t="shared" si="6422"/>
        <v>#ERROR!</v>
      </c>
      <c r="CT1287" s="10"/>
      <c r="CU1287" s="15" t="str">
        <f t="shared" ref="CU1287:CX1287" si="6423">CU1217</f>
        <v>#ERROR!</v>
      </c>
      <c r="CV1287" s="15" t="str">
        <f t="shared" si="6423"/>
        <v>#ERROR!</v>
      </c>
      <c r="CW1287" s="15" t="str">
        <f t="shared" si="6423"/>
        <v>#ERROR!</v>
      </c>
      <c r="CX1287" s="15" t="str">
        <f t="shared" si="6423"/>
        <v>#ERROR!</v>
      </c>
      <c r="CY1287" s="10"/>
      <c r="CZ1287" s="15" t="str">
        <f t="shared" ref="CZ1287:DC1287" si="6424">CZ1217</f>
        <v>#ERROR!</v>
      </c>
      <c r="DA1287" s="15" t="str">
        <f t="shared" si="6424"/>
        <v>#ERROR!</v>
      </c>
      <c r="DB1287" s="15" t="str">
        <f t="shared" si="6424"/>
        <v>#ERROR!</v>
      </c>
      <c r="DC1287" s="15" t="str">
        <f t="shared" si="6424"/>
        <v>#ERROR!</v>
      </c>
      <c r="DD1287" s="10"/>
      <c r="DE1287" s="15" t="str">
        <f t="shared" ref="DE1287:DH1287" si="6425">DE1217</f>
        <v>#ERROR!</v>
      </c>
      <c r="DF1287" s="15" t="str">
        <f t="shared" si="6425"/>
        <v>#ERROR!</v>
      </c>
      <c r="DG1287" s="40" t="str">
        <f t="shared" si="6425"/>
        <v>#ERROR!</v>
      </c>
      <c r="DH1287" s="15" t="str">
        <f t="shared" si="6425"/>
        <v>#ERROR!</v>
      </c>
      <c r="DI1287" s="10"/>
      <c r="DJ1287" s="40" t="str">
        <f t="shared" ref="DJ1287:DM1287" si="6426">DJ1217</f>
        <v>#ERROR!</v>
      </c>
      <c r="DK1287" s="40" t="str">
        <f t="shared" si="6426"/>
        <v>#ERROR!</v>
      </c>
      <c r="DL1287" s="40" t="str">
        <f t="shared" si="6426"/>
        <v>#ERROR!</v>
      </c>
      <c r="DM1287" s="15" t="str">
        <f t="shared" si="6426"/>
        <v>#ERROR!</v>
      </c>
      <c r="DN1287" s="10"/>
      <c r="DO1287" s="15" t="str">
        <f t="shared" ref="DO1287:DR1287" si="6427">DO1217</f>
        <v>#ERROR!</v>
      </c>
      <c r="DP1287" s="15" t="str">
        <f t="shared" si="6427"/>
        <v>#ERROR!</v>
      </c>
      <c r="DQ1287" s="15" t="str">
        <f t="shared" si="6427"/>
        <v>#ERROR!</v>
      </c>
      <c r="DR1287" s="15" t="str">
        <f t="shared" si="6427"/>
        <v>#ERROR!</v>
      </c>
      <c r="DS1287" s="10"/>
      <c r="DT1287" s="15" t="str">
        <f t="shared" ref="DT1287:DW1287" si="6428">DT1217</f>
        <v>#ERROR!</v>
      </c>
      <c r="DU1287" s="15" t="str">
        <f t="shared" si="6428"/>
        <v>#ERROR!</v>
      </c>
      <c r="DV1287" s="15" t="str">
        <f t="shared" si="6428"/>
        <v>#ERROR!</v>
      </c>
      <c r="DW1287" s="15" t="str">
        <f t="shared" si="6428"/>
        <v>#ERROR!</v>
      </c>
      <c r="DX1287" s="10"/>
      <c r="DY1287" s="15" t="str">
        <f t="shared" ref="DY1287:EB1287" si="6429">DY1217</f>
        <v>#ERROR!</v>
      </c>
      <c r="DZ1287" s="15" t="str">
        <f t="shared" si="6429"/>
        <v>#ERROR!</v>
      </c>
      <c r="EA1287" s="15" t="str">
        <f t="shared" si="6429"/>
        <v>#ERROR!</v>
      </c>
      <c r="EB1287" s="15" t="str">
        <f t="shared" si="6429"/>
        <v>#ERROR!</v>
      </c>
      <c r="EC1287" s="10"/>
      <c r="ED1287" s="15" t="str">
        <f t="shared" ref="ED1287:EG1287" si="6430">ED1217</f>
        <v>#ERROR!</v>
      </c>
      <c r="EE1287" s="15" t="str">
        <f t="shared" si="6430"/>
        <v>#ERROR!</v>
      </c>
      <c r="EF1287" s="15" t="str">
        <f t="shared" si="6430"/>
        <v>#ERROR!</v>
      </c>
      <c r="EG1287" s="15" t="str">
        <f t="shared" si="6430"/>
        <v>#ERROR!</v>
      </c>
      <c r="EH1287" s="10"/>
      <c r="EI1287" s="82" t="str">
        <f t="shared" ref="EI1287:EL1287" si="6431">EI1217</f>
        <v>#ERROR!</v>
      </c>
      <c r="EJ1287" s="15" t="str">
        <f t="shared" si="6431"/>
        <v>#ERROR!</v>
      </c>
      <c r="EK1287" s="15" t="str">
        <f t="shared" si="6431"/>
        <v>#ERROR!</v>
      </c>
      <c r="EL1287" s="15" t="str">
        <f t="shared" si="6431"/>
        <v>#ERROR!</v>
      </c>
      <c r="EM1287" s="10"/>
      <c r="EN1287" s="15" t="str">
        <f t="shared" ref="EN1287:EQ1287" si="6432">EN1217</f>
        <v>#ERROR!</v>
      </c>
      <c r="EO1287" s="15" t="str">
        <f t="shared" si="6432"/>
        <v>#ERROR!</v>
      </c>
      <c r="EP1287" s="15" t="str">
        <f t="shared" si="6432"/>
        <v>#ERROR!</v>
      </c>
      <c r="EQ1287" s="15" t="str">
        <f t="shared" si="6432"/>
        <v>#ERROR!</v>
      </c>
      <c r="ER1287" s="10"/>
      <c r="ES1287" s="15" t="str">
        <f t="shared" ref="ES1287:EV1287" si="6433">ES1217</f>
        <v>#ERROR!</v>
      </c>
      <c r="ET1287" s="15" t="str">
        <f t="shared" si="6433"/>
        <v>#ERROR!</v>
      </c>
      <c r="EU1287" s="15" t="str">
        <f t="shared" si="6433"/>
        <v>#ERROR!</v>
      </c>
      <c r="EV1287" s="15" t="str">
        <f t="shared" si="6433"/>
        <v>#ERROR!</v>
      </c>
      <c r="EW1287" s="10"/>
      <c r="EX1287" s="15" t="str">
        <f t="shared" ref="EX1287:FA1287" si="6434">EX1217</f>
        <v>#ERROR!</v>
      </c>
      <c r="EY1287" s="15" t="str">
        <f t="shared" si="6434"/>
        <v>#ERROR!</v>
      </c>
      <c r="EZ1287" s="15" t="str">
        <f t="shared" si="6434"/>
        <v>#ERROR!</v>
      </c>
      <c r="FA1287" s="15" t="str">
        <f t="shared" si="6434"/>
        <v>#ERROR!</v>
      </c>
      <c r="FB1287" s="10"/>
      <c r="FC1287" s="15" t="str">
        <f t="shared" ref="FC1287:FF1287" si="6435">FC1217</f>
        <v>#ERROR!</v>
      </c>
      <c r="FD1287" s="15" t="str">
        <f t="shared" si="6435"/>
        <v>#ERROR!</v>
      </c>
      <c r="FE1287" s="15" t="str">
        <f t="shared" si="6435"/>
        <v>#ERROR!</v>
      </c>
      <c r="FF1287" s="15" t="str">
        <f t="shared" si="6435"/>
        <v>#ERROR!</v>
      </c>
      <c r="FG1287" s="10"/>
      <c r="FH1287" s="21"/>
      <c r="FI1287" s="4"/>
      <c r="FJ1287" s="4"/>
      <c r="FK1287" s="4"/>
      <c r="FL1287" s="4"/>
    </row>
    <row r="1288" ht="12.75" hidden="1" customHeight="1" outlineLevel="3">
      <c r="A1288" s="4"/>
      <c r="B1288" s="4" t="str">
        <f t="shared" si="6436"/>
        <v>   Chipset</v>
      </c>
      <c r="C1288" s="4"/>
      <c r="D1288" s="15"/>
      <c r="E1288" s="15"/>
      <c r="F1288" s="15"/>
      <c r="G1288" s="15"/>
      <c r="H1288" s="8"/>
      <c r="I1288" s="15"/>
      <c r="J1288" s="15"/>
      <c r="K1288" s="15"/>
      <c r="L1288" s="15"/>
      <c r="M1288" s="8"/>
      <c r="N1288" s="15"/>
      <c r="O1288" s="15"/>
      <c r="P1288" s="15"/>
      <c r="Q1288" s="15"/>
      <c r="R1288" s="8"/>
      <c r="S1288" s="15"/>
      <c r="T1288" s="15"/>
      <c r="U1288" s="15"/>
      <c r="V1288" s="15"/>
      <c r="W1288" s="8"/>
      <c r="X1288" s="15">
        <v>0.4</v>
      </c>
      <c r="Y1288" s="15">
        <v>0.4</v>
      </c>
      <c r="Z1288" s="15">
        <v>0.4</v>
      </c>
      <c r="AA1288" s="15">
        <v>0.4</v>
      </c>
      <c r="AB1288" s="8"/>
      <c r="AC1288" s="15">
        <v>0.3</v>
      </c>
      <c r="AD1288" s="15">
        <v>0.3</v>
      </c>
      <c r="AE1288" s="15">
        <v>0.3</v>
      </c>
      <c r="AF1288" s="15">
        <v>0.3</v>
      </c>
      <c r="AG1288" s="8"/>
      <c r="AH1288" s="15">
        <v>0.3</v>
      </c>
      <c r="AI1288" s="15">
        <v>0.3</v>
      </c>
      <c r="AJ1288" s="15">
        <v>0.3</v>
      </c>
      <c r="AK1288" s="15">
        <v>0.3</v>
      </c>
      <c r="AL1288" s="8"/>
      <c r="AM1288" s="15">
        <v>0.3</v>
      </c>
      <c r="AN1288" s="15">
        <v>0.3</v>
      </c>
      <c r="AO1288" s="15">
        <f t="shared" ref="AO1288:AP1288" si="6437">AO1218</f>
        <v>0.4</v>
      </c>
      <c r="AP1288" s="15">
        <f t="shared" si="6437"/>
        <v>0.4</v>
      </c>
      <c r="AQ1288" s="8"/>
      <c r="AR1288" s="15">
        <f t="shared" ref="AR1288:AU1288" si="6438">AR1218</f>
        <v>0.4</v>
      </c>
      <c r="AS1288" s="15">
        <f t="shared" si="6438"/>
        <v>0.4</v>
      </c>
      <c r="AT1288" s="15">
        <f t="shared" si="6438"/>
        <v>0.4</v>
      </c>
      <c r="AU1288" s="15">
        <f t="shared" si="6438"/>
        <v>0.4</v>
      </c>
      <c r="AV1288" s="8"/>
      <c r="AW1288" s="15">
        <f t="shared" ref="AW1288:AZ1288" si="6439">AW1218</f>
        <v>0.45</v>
      </c>
      <c r="AX1288" s="15">
        <f t="shared" si="6439"/>
        <v>0.45</v>
      </c>
      <c r="AY1288" s="15">
        <f t="shared" si="6439"/>
        <v>0.45</v>
      </c>
      <c r="AZ1288" s="15">
        <f t="shared" si="6439"/>
        <v>0.45</v>
      </c>
      <c r="BA1288" s="8"/>
      <c r="BB1288" s="15">
        <f t="shared" ref="BB1288:BE1288" si="6440">BB1218</f>
        <v>0.45</v>
      </c>
      <c r="BC1288" s="15">
        <f t="shared" si="6440"/>
        <v>0.45</v>
      </c>
      <c r="BD1288" s="15">
        <f t="shared" si="6440"/>
        <v>0.45</v>
      </c>
      <c r="BE1288" s="15">
        <f t="shared" si="6440"/>
        <v>0.45</v>
      </c>
      <c r="BF1288" s="8"/>
      <c r="BG1288" s="15">
        <f t="shared" ref="BG1288:BJ1288" si="6441">BG1218</f>
        <v>0.36</v>
      </c>
      <c r="BH1288" s="15">
        <f t="shared" si="6441"/>
        <v>0.36</v>
      </c>
      <c r="BI1288" s="15">
        <f t="shared" si="6441"/>
        <v>0.36</v>
      </c>
      <c r="BJ1288" s="15">
        <f t="shared" si="6441"/>
        <v>0.38</v>
      </c>
      <c r="BK1288" s="8"/>
      <c r="BL1288" s="15">
        <f t="shared" ref="BL1288:BO1288" si="6442">BL1218</f>
        <v>0.36</v>
      </c>
      <c r="BM1288" s="15">
        <f t="shared" si="6442"/>
        <v>0.36</v>
      </c>
      <c r="BN1288" s="15">
        <f t="shared" si="6442"/>
        <v>0.36</v>
      </c>
      <c r="BO1288" s="15">
        <f t="shared" si="6442"/>
        <v>0.38</v>
      </c>
      <c r="BP1288" s="8"/>
      <c r="BQ1288" s="15">
        <f t="shared" ref="BQ1288:BT1288" si="6443">BQ1218</f>
        <v>0.36</v>
      </c>
      <c r="BR1288" s="15">
        <f t="shared" si="6443"/>
        <v>0.36</v>
      </c>
      <c r="BS1288" s="15">
        <f t="shared" si="6443"/>
        <v>0.36</v>
      </c>
      <c r="BT1288" s="15">
        <f t="shared" si="6443"/>
        <v>0.38</v>
      </c>
      <c r="BU1288" s="8"/>
      <c r="BV1288" s="15">
        <f t="shared" ref="BV1288:BY1288" si="6444">BV1218</f>
        <v>0.36</v>
      </c>
      <c r="BW1288" s="15">
        <f t="shared" si="6444"/>
        <v>0.36</v>
      </c>
      <c r="BX1288" s="15">
        <f t="shared" si="6444"/>
        <v>0.36</v>
      </c>
      <c r="BY1288" s="15">
        <f t="shared" si="6444"/>
        <v>0.38</v>
      </c>
      <c r="BZ1288" s="10"/>
      <c r="CA1288" s="15">
        <f t="shared" ref="CA1288:CD1288" si="6445">CA1218</f>
        <v>0.36</v>
      </c>
      <c r="CB1288" s="15">
        <f t="shared" si="6445"/>
        <v>0.36</v>
      </c>
      <c r="CC1288" s="15">
        <f t="shared" si="6445"/>
        <v>0.36</v>
      </c>
      <c r="CD1288" s="15">
        <f t="shared" si="6445"/>
        <v>0.38</v>
      </c>
      <c r="CE1288" s="10"/>
      <c r="CF1288" s="15">
        <f t="shared" ref="CF1288:CI1288" si="6446">CF1218</f>
        <v>0.36</v>
      </c>
      <c r="CG1288" s="15">
        <f t="shared" si="6446"/>
        <v>0.36</v>
      </c>
      <c r="CH1288" s="15">
        <f t="shared" si="6446"/>
        <v>0.36</v>
      </c>
      <c r="CI1288" s="15">
        <f t="shared" si="6446"/>
        <v>0.38</v>
      </c>
      <c r="CJ1288" s="10"/>
      <c r="CK1288" s="15">
        <f t="shared" ref="CK1288:CN1288" si="6447">CK1218</f>
        <v>0.36</v>
      </c>
      <c r="CL1288" s="15">
        <f t="shared" si="6447"/>
        <v>0.36</v>
      </c>
      <c r="CM1288" s="15">
        <f t="shared" si="6447"/>
        <v>0.36</v>
      </c>
      <c r="CN1288" s="40">
        <f t="shared" si="6447"/>
        <v>0.38</v>
      </c>
      <c r="CO1288" s="10"/>
      <c r="CP1288" s="40">
        <f t="shared" ref="CP1288:CS1288" si="6448">CP1218</f>
        <v>0.36</v>
      </c>
      <c r="CQ1288" s="15">
        <f t="shared" si="6448"/>
        <v>0.36</v>
      </c>
      <c r="CR1288" s="15">
        <f t="shared" si="6448"/>
        <v>0.36</v>
      </c>
      <c r="CS1288" s="15">
        <f t="shared" si="6448"/>
        <v>0.38</v>
      </c>
      <c r="CT1288" s="10"/>
      <c r="CU1288" s="15">
        <f t="shared" ref="CU1288:CX1288" si="6449">CU1218</f>
        <v>0.36</v>
      </c>
      <c r="CV1288" s="15">
        <f t="shared" si="6449"/>
        <v>0.36</v>
      </c>
      <c r="CW1288" s="15">
        <f t="shared" si="6449"/>
        <v>0.36</v>
      </c>
      <c r="CX1288" s="15">
        <f t="shared" si="6449"/>
        <v>0.38</v>
      </c>
      <c r="CY1288" s="10"/>
      <c r="CZ1288" s="15">
        <f t="shared" ref="CZ1288:DC1288" si="6450">CZ1218</f>
        <v>0.36</v>
      </c>
      <c r="DA1288" s="15">
        <f t="shared" si="6450"/>
        <v>0.36</v>
      </c>
      <c r="DB1288" s="15">
        <f t="shared" si="6450"/>
        <v>0.36</v>
      </c>
      <c r="DC1288" s="15">
        <f t="shared" si="6450"/>
        <v>0.38</v>
      </c>
      <c r="DD1288" s="10"/>
      <c r="DE1288" s="15">
        <f t="shared" ref="DE1288:DH1288" si="6451">DE1218</f>
        <v>0.36</v>
      </c>
      <c r="DF1288" s="15">
        <f t="shared" si="6451"/>
        <v>0.36</v>
      </c>
      <c r="DG1288" s="40">
        <f t="shared" si="6451"/>
        <v>0.36</v>
      </c>
      <c r="DH1288" s="15">
        <f t="shared" si="6451"/>
        <v>0.38</v>
      </c>
      <c r="DI1288" s="10"/>
      <c r="DJ1288" s="40">
        <f t="shared" ref="DJ1288:DM1288" si="6452">DJ1218</f>
        <v>0.36</v>
      </c>
      <c r="DK1288" s="40">
        <f t="shared" si="6452"/>
        <v>0.36</v>
      </c>
      <c r="DL1288" s="40">
        <f t="shared" si="6452"/>
        <v>0.36</v>
      </c>
      <c r="DM1288" s="15">
        <f t="shared" si="6452"/>
        <v>0.38</v>
      </c>
      <c r="DN1288" s="10"/>
      <c r="DO1288" s="15">
        <f t="shared" ref="DO1288:DR1288" si="6453">DO1218</f>
        <v>0.36</v>
      </c>
      <c r="DP1288" s="15">
        <f t="shared" si="6453"/>
        <v>0.36</v>
      </c>
      <c r="DQ1288" s="15">
        <f t="shared" si="6453"/>
        <v>0.36</v>
      </c>
      <c r="DR1288" s="15">
        <f t="shared" si="6453"/>
        <v>0.38</v>
      </c>
      <c r="DS1288" s="10"/>
      <c r="DT1288" s="15">
        <f t="shared" ref="DT1288:DW1288" si="6454">DT1218</f>
        <v>0.36</v>
      </c>
      <c r="DU1288" s="15">
        <f t="shared" si="6454"/>
        <v>0.36</v>
      </c>
      <c r="DV1288" s="15">
        <f t="shared" si="6454"/>
        <v>0.36</v>
      </c>
      <c r="DW1288" s="15">
        <f t="shared" si="6454"/>
        <v>0.38</v>
      </c>
      <c r="DX1288" s="10"/>
      <c r="DY1288" s="15">
        <f t="shared" ref="DY1288:EB1288" si="6455">DY1218</f>
        <v>0.36</v>
      </c>
      <c r="DZ1288" s="15">
        <f t="shared" si="6455"/>
        <v>0.36</v>
      </c>
      <c r="EA1288" s="15">
        <f t="shared" si="6455"/>
        <v>0.36</v>
      </c>
      <c r="EB1288" s="15">
        <f t="shared" si="6455"/>
        <v>0.38</v>
      </c>
      <c r="EC1288" s="10"/>
      <c r="ED1288" s="15">
        <f t="shared" ref="ED1288:EG1288" si="6456">ED1218</f>
        <v>0.36</v>
      </c>
      <c r="EE1288" s="15">
        <f t="shared" si="6456"/>
        <v>0.36</v>
      </c>
      <c r="EF1288" s="15">
        <f t="shared" si="6456"/>
        <v>0.36</v>
      </c>
      <c r="EG1288" s="15">
        <f t="shared" si="6456"/>
        <v>0.38</v>
      </c>
      <c r="EH1288" s="10"/>
      <c r="EI1288" s="82">
        <f t="shared" ref="EI1288:EL1288" si="6457">EI1218</f>
        <v>0.36</v>
      </c>
      <c r="EJ1288" s="15">
        <f t="shared" si="6457"/>
        <v>0.36</v>
      </c>
      <c r="EK1288" s="15">
        <f t="shared" si="6457"/>
        <v>0.36</v>
      </c>
      <c r="EL1288" s="15">
        <f t="shared" si="6457"/>
        <v>0.38</v>
      </c>
      <c r="EM1288" s="10"/>
      <c r="EN1288" s="15">
        <f t="shared" ref="EN1288:EQ1288" si="6458">EN1218</f>
        <v>0.36</v>
      </c>
      <c r="EO1288" s="15">
        <f t="shared" si="6458"/>
        <v>0.36</v>
      </c>
      <c r="EP1288" s="15">
        <f t="shared" si="6458"/>
        <v>0.36</v>
      </c>
      <c r="EQ1288" s="15">
        <f t="shared" si="6458"/>
        <v>0.38</v>
      </c>
      <c r="ER1288" s="10"/>
      <c r="ES1288" s="15">
        <f t="shared" ref="ES1288:EV1288" si="6459">ES1218</f>
        <v>0.36</v>
      </c>
      <c r="ET1288" s="15">
        <f t="shared" si="6459"/>
        <v>0.36</v>
      </c>
      <c r="EU1288" s="15">
        <f t="shared" si="6459"/>
        <v>0.36</v>
      </c>
      <c r="EV1288" s="15">
        <f t="shared" si="6459"/>
        <v>0.38</v>
      </c>
      <c r="EW1288" s="10"/>
      <c r="EX1288" s="15">
        <f t="shared" ref="EX1288:FA1288" si="6460">EX1218</f>
        <v>0.36</v>
      </c>
      <c r="EY1288" s="15">
        <f t="shared" si="6460"/>
        <v>0.36</v>
      </c>
      <c r="EZ1288" s="15">
        <f t="shared" si="6460"/>
        <v>0.36</v>
      </c>
      <c r="FA1288" s="15">
        <f t="shared" si="6460"/>
        <v>0.38</v>
      </c>
      <c r="FB1288" s="10"/>
      <c r="FC1288" s="15">
        <f t="shared" ref="FC1288:FF1288" si="6461">FC1218</f>
        <v>0.36</v>
      </c>
      <c r="FD1288" s="15">
        <f t="shared" si="6461"/>
        <v>0.36</v>
      </c>
      <c r="FE1288" s="15">
        <f t="shared" si="6461"/>
        <v>0.36</v>
      </c>
      <c r="FF1288" s="15">
        <f t="shared" si="6461"/>
        <v>0.38</v>
      </c>
      <c r="FG1288" s="10"/>
      <c r="FH1288" s="21"/>
      <c r="FI1288" s="4"/>
      <c r="FJ1288" s="4"/>
      <c r="FK1288" s="4"/>
      <c r="FL1288" s="4"/>
    </row>
    <row r="1289" ht="12.75" hidden="1" customHeight="1" outlineLevel="3">
      <c r="A1289" s="4"/>
      <c r="B1289" s="4" t="str">
        <f t="shared" si="6436"/>
        <v>   Motherboard</v>
      </c>
      <c r="C1289" s="4"/>
      <c r="D1289" s="15"/>
      <c r="E1289" s="15"/>
      <c r="F1289" s="15"/>
      <c r="G1289" s="15"/>
      <c r="H1289" s="8"/>
      <c r="I1289" s="15"/>
      <c r="J1289" s="15"/>
      <c r="K1289" s="15"/>
      <c r="L1289" s="15"/>
      <c r="M1289" s="8"/>
      <c r="N1289" s="15"/>
      <c r="O1289" s="15"/>
      <c r="P1289" s="15"/>
      <c r="Q1289" s="15"/>
      <c r="R1289" s="8"/>
      <c r="S1289" s="15"/>
      <c r="T1289" s="15"/>
      <c r="U1289" s="15"/>
      <c r="V1289" s="15"/>
      <c r="W1289" s="8"/>
      <c r="X1289" s="15">
        <v>0.2</v>
      </c>
      <c r="Y1289" s="15">
        <v>0.15</v>
      </c>
      <c r="Z1289" s="15">
        <v>0.2</v>
      </c>
      <c r="AA1289" s="15">
        <v>0.15</v>
      </c>
      <c r="AB1289" s="8"/>
      <c r="AC1289" s="15">
        <v>0.15</v>
      </c>
      <c r="AD1289" s="15">
        <v>0.2</v>
      </c>
      <c r="AE1289" s="15">
        <v>0.2</v>
      </c>
      <c r="AF1289" s="15">
        <v>0.2</v>
      </c>
      <c r="AG1289" s="8"/>
      <c r="AH1289" s="15">
        <v>0.15</v>
      </c>
      <c r="AI1289" s="15">
        <v>0.15</v>
      </c>
      <c r="AJ1289" s="15">
        <v>0.15</v>
      </c>
      <c r="AK1289" s="15">
        <v>0.15</v>
      </c>
      <c r="AL1289" s="8"/>
      <c r="AM1289" s="15">
        <v>0.15</v>
      </c>
      <c r="AN1289" s="15">
        <v>0.15</v>
      </c>
      <c r="AO1289" s="15">
        <f t="shared" ref="AO1289:AP1289" si="6462">AO1219</f>
        <v>0.2</v>
      </c>
      <c r="AP1289" s="15">
        <f t="shared" si="6462"/>
        <v>0.2</v>
      </c>
      <c r="AQ1289" s="8"/>
      <c r="AR1289" s="15">
        <f t="shared" ref="AR1289:AU1289" si="6463">AR1219</f>
        <v>0.32</v>
      </c>
      <c r="AS1289" s="15">
        <f t="shared" si="6463"/>
        <v>0.32</v>
      </c>
      <c r="AT1289" s="15">
        <f t="shared" si="6463"/>
        <v>0.32</v>
      </c>
      <c r="AU1289" s="15">
        <f t="shared" si="6463"/>
        <v>0.32</v>
      </c>
      <c r="AV1289" s="8"/>
      <c r="AW1289" s="15">
        <f t="shared" ref="AW1289:AZ1289" si="6464">AW1219</f>
        <v>0.33</v>
      </c>
      <c r="AX1289" s="15">
        <f t="shared" si="6464"/>
        <v>0.33</v>
      </c>
      <c r="AY1289" s="15">
        <f t="shared" si="6464"/>
        <v>0.33</v>
      </c>
      <c r="AZ1289" s="15">
        <f t="shared" si="6464"/>
        <v>0.33</v>
      </c>
      <c r="BA1289" s="8"/>
      <c r="BB1289" s="15">
        <f t="shared" ref="BB1289:BE1289" si="6465">BB1219</f>
        <v>0.33</v>
      </c>
      <c r="BC1289" s="15">
        <f t="shared" si="6465"/>
        <v>0.33</v>
      </c>
      <c r="BD1289" s="15">
        <f t="shared" si="6465"/>
        <v>0.33</v>
      </c>
      <c r="BE1289" s="15">
        <f t="shared" si="6465"/>
        <v>0.33</v>
      </c>
      <c r="BF1289" s="8"/>
      <c r="BG1289" s="15">
        <f t="shared" ref="BG1289:BJ1289" si="6466">BG1219</f>
        <v>0.28</v>
      </c>
      <c r="BH1289" s="15">
        <f t="shared" si="6466"/>
        <v>0.28</v>
      </c>
      <c r="BI1289" s="15">
        <f t="shared" si="6466"/>
        <v>0.26</v>
      </c>
      <c r="BJ1289" s="15">
        <f t="shared" si="6466"/>
        <v>0.26</v>
      </c>
      <c r="BK1289" s="8"/>
      <c r="BL1289" s="15">
        <f t="shared" ref="BL1289:BO1289" si="6467">BL1219</f>
        <v>0.28</v>
      </c>
      <c r="BM1289" s="15">
        <f t="shared" si="6467"/>
        <v>0.28</v>
      </c>
      <c r="BN1289" s="15">
        <f t="shared" si="6467"/>
        <v>0.26</v>
      </c>
      <c r="BO1289" s="15">
        <f t="shared" si="6467"/>
        <v>0.26</v>
      </c>
      <c r="BP1289" s="8"/>
      <c r="BQ1289" s="15">
        <f t="shared" ref="BQ1289:BT1289" si="6468">BQ1219</f>
        <v>0.28</v>
      </c>
      <c r="BR1289" s="15">
        <f t="shared" si="6468"/>
        <v>0.28</v>
      </c>
      <c r="BS1289" s="15">
        <f t="shared" si="6468"/>
        <v>0.26</v>
      </c>
      <c r="BT1289" s="15">
        <f t="shared" si="6468"/>
        <v>0.26</v>
      </c>
      <c r="BU1289" s="8"/>
      <c r="BV1289" s="15">
        <f t="shared" ref="BV1289:BY1289" si="6469">BV1219</f>
        <v>0.28</v>
      </c>
      <c r="BW1289" s="15">
        <f t="shared" si="6469"/>
        <v>0.28</v>
      </c>
      <c r="BX1289" s="15">
        <f t="shared" si="6469"/>
        <v>0.26</v>
      </c>
      <c r="BY1289" s="15">
        <f t="shared" si="6469"/>
        <v>0.26</v>
      </c>
      <c r="BZ1289" s="10"/>
      <c r="CA1289" s="15">
        <f t="shared" ref="CA1289:CD1289" si="6470">CA1219</f>
        <v>0.28</v>
      </c>
      <c r="CB1289" s="15">
        <f t="shared" si="6470"/>
        <v>0.28</v>
      </c>
      <c r="CC1289" s="15">
        <f t="shared" si="6470"/>
        <v>0.26</v>
      </c>
      <c r="CD1289" s="15">
        <f t="shared" si="6470"/>
        <v>0.26</v>
      </c>
      <c r="CE1289" s="10"/>
      <c r="CF1289" s="15">
        <f t="shared" ref="CF1289:CI1289" si="6471">CF1219</f>
        <v>0.28</v>
      </c>
      <c r="CG1289" s="15">
        <f t="shared" si="6471"/>
        <v>0.28</v>
      </c>
      <c r="CH1289" s="15">
        <f t="shared" si="6471"/>
        <v>0.26</v>
      </c>
      <c r="CI1289" s="15">
        <f t="shared" si="6471"/>
        <v>0.26</v>
      </c>
      <c r="CJ1289" s="10"/>
      <c r="CK1289" s="15">
        <f t="shared" ref="CK1289:CN1289" si="6472">CK1219</f>
        <v>0.28</v>
      </c>
      <c r="CL1289" s="15">
        <f t="shared" si="6472"/>
        <v>0.28</v>
      </c>
      <c r="CM1289" s="15">
        <f t="shared" si="6472"/>
        <v>0.26</v>
      </c>
      <c r="CN1289" s="40">
        <f t="shared" si="6472"/>
        <v>0.26</v>
      </c>
      <c r="CO1289" s="10"/>
      <c r="CP1289" s="40">
        <f t="shared" ref="CP1289:CS1289" si="6473">CP1219</f>
        <v>0.28</v>
      </c>
      <c r="CQ1289" s="15">
        <f t="shared" si="6473"/>
        <v>0.28</v>
      </c>
      <c r="CR1289" s="15">
        <f t="shared" si="6473"/>
        <v>0.26</v>
      </c>
      <c r="CS1289" s="15">
        <f t="shared" si="6473"/>
        <v>0.26</v>
      </c>
      <c r="CT1289" s="10"/>
      <c r="CU1289" s="15">
        <f t="shared" ref="CU1289:CX1289" si="6474">CU1219</f>
        <v>0.28</v>
      </c>
      <c r="CV1289" s="15">
        <f t="shared" si="6474"/>
        <v>0.28</v>
      </c>
      <c r="CW1289" s="15">
        <f t="shared" si="6474"/>
        <v>0.26</v>
      </c>
      <c r="CX1289" s="15">
        <f t="shared" si="6474"/>
        <v>0.26</v>
      </c>
      <c r="CY1289" s="10"/>
      <c r="CZ1289" s="15">
        <f t="shared" ref="CZ1289:DC1289" si="6475">CZ1219</f>
        <v>0.28</v>
      </c>
      <c r="DA1289" s="15">
        <f t="shared" si="6475"/>
        <v>0.28</v>
      </c>
      <c r="DB1289" s="15">
        <f t="shared" si="6475"/>
        <v>0.26</v>
      </c>
      <c r="DC1289" s="15">
        <f t="shared" si="6475"/>
        <v>0.26</v>
      </c>
      <c r="DD1289" s="10"/>
      <c r="DE1289" s="15">
        <f t="shared" ref="DE1289:DH1289" si="6476">DE1219</f>
        <v>0.28</v>
      </c>
      <c r="DF1289" s="15">
        <f t="shared" si="6476"/>
        <v>0.28</v>
      </c>
      <c r="DG1289" s="40">
        <f t="shared" si="6476"/>
        <v>0.26</v>
      </c>
      <c r="DH1289" s="15">
        <f t="shared" si="6476"/>
        <v>0.26</v>
      </c>
      <c r="DI1289" s="10"/>
      <c r="DJ1289" s="40">
        <f t="shared" ref="DJ1289:DM1289" si="6477">DJ1219</f>
        <v>0.28</v>
      </c>
      <c r="DK1289" s="40">
        <f t="shared" si="6477"/>
        <v>0.28</v>
      </c>
      <c r="DL1289" s="40">
        <f t="shared" si="6477"/>
        <v>0.26</v>
      </c>
      <c r="DM1289" s="15">
        <f t="shared" si="6477"/>
        <v>0.26</v>
      </c>
      <c r="DN1289" s="10"/>
      <c r="DO1289" s="15">
        <f t="shared" ref="DO1289:DR1289" si="6478">DO1219</f>
        <v>0.28</v>
      </c>
      <c r="DP1289" s="15">
        <f t="shared" si="6478"/>
        <v>0.28</v>
      </c>
      <c r="DQ1289" s="15">
        <f t="shared" si="6478"/>
        <v>0.26</v>
      </c>
      <c r="DR1289" s="15">
        <f t="shared" si="6478"/>
        <v>0.26</v>
      </c>
      <c r="DS1289" s="10"/>
      <c r="DT1289" s="15">
        <f t="shared" ref="DT1289:DW1289" si="6479">DT1219</f>
        <v>0.28</v>
      </c>
      <c r="DU1289" s="15">
        <f t="shared" si="6479"/>
        <v>0.28</v>
      </c>
      <c r="DV1289" s="15">
        <f t="shared" si="6479"/>
        <v>0.26</v>
      </c>
      <c r="DW1289" s="15">
        <f t="shared" si="6479"/>
        <v>0.26</v>
      </c>
      <c r="DX1289" s="10"/>
      <c r="DY1289" s="15">
        <f t="shared" ref="DY1289:EB1289" si="6480">DY1219</f>
        <v>0.28</v>
      </c>
      <c r="DZ1289" s="15">
        <f t="shared" si="6480"/>
        <v>0.28</v>
      </c>
      <c r="EA1289" s="15">
        <f t="shared" si="6480"/>
        <v>0.26</v>
      </c>
      <c r="EB1289" s="15">
        <f t="shared" si="6480"/>
        <v>0.26</v>
      </c>
      <c r="EC1289" s="10"/>
      <c r="ED1289" s="15">
        <f t="shared" ref="ED1289:EG1289" si="6481">ED1219</f>
        <v>0.28</v>
      </c>
      <c r="EE1289" s="15">
        <f t="shared" si="6481"/>
        <v>0.28</v>
      </c>
      <c r="EF1289" s="15">
        <f t="shared" si="6481"/>
        <v>0.26</v>
      </c>
      <c r="EG1289" s="15">
        <f t="shared" si="6481"/>
        <v>0.26</v>
      </c>
      <c r="EH1289" s="10"/>
      <c r="EI1289" s="82">
        <f t="shared" ref="EI1289:EL1289" si="6482">EI1219</f>
        <v>0.28</v>
      </c>
      <c r="EJ1289" s="15">
        <f t="shared" si="6482"/>
        <v>0.28</v>
      </c>
      <c r="EK1289" s="15">
        <f t="shared" si="6482"/>
        <v>0.26</v>
      </c>
      <c r="EL1289" s="15">
        <f t="shared" si="6482"/>
        <v>0.26</v>
      </c>
      <c r="EM1289" s="10"/>
      <c r="EN1289" s="15">
        <f t="shared" ref="EN1289:EQ1289" si="6483">EN1219</f>
        <v>0.28</v>
      </c>
      <c r="EO1289" s="15">
        <f t="shared" si="6483"/>
        <v>0.28</v>
      </c>
      <c r="EP1289" s="15">
        <f t="shared" si="6483"/>
        <v>0.26</v>
      </c>
      <c r="EQ1289" s="15">
        <f t="shared" si="6483"/>
        <v>0.26</v>
      </c>
      <c r="ER1289" s="10"/>
      <c r="ES1289" s="15">
        <f t="shared" ref="ES1289:EV1289" si="6484">ES1219</f>
        <v>0.28</v>
      </c>
      <c r="ET1289" s="15">
        <f t="shared" si="6484"/>
        <v>0.28</v>
      </c>
      <c r="EU1289" s="15">
        <f t="shared" si="6484"/>
        <v>0.26</v>
      </c>
      <c r="EV1289" s="15">
        <f t="shared" si="6484"/>
        <v>0.26</v>
      </c>
      <c r="EW1289" s="10"/>
      <c r="EX1289" s="15">
        <f t="shared" ref="EX1289:FA1289" si="6485">EX1219</f>
        <v>0.28</v>
      </c>
      <c r="EY1289" s="15">
        <f t="shared" si="6485"/>
        <v>0.28</v>
      </c>
      <c r="EZ1289" s="15">
        <f t="shared" si="6485"/>
        <v>0.26</v>
      </c>
      <c r="FA1289" s="15">
        <f t="shared" si="6485"/>
        <v>0.26</v>
      </c>
      <c r="FB1289" s="10"/>
      <c r="FC1289" s="15">
        <f t="shared" ref="FC1289:FF1289" si="6486">FC1219</f>
        <v>0.28</v>
      </c>
      <c r="FD1289" s="15">
        <f t="shared" si="6486"/>
        <v>0.28</v>
      </c>
      <c r="FE1289" s="15">
        <f t="shared" si="6486"/>
        <v>0.26</v>
      </c>
      <c r="FF1289" s="15">
        <f t="shared" si="6486"/>
        <v>0.26</v>
      </c>
      <c r="FG1289" s="10"/>
      <c r="FH1289" s="21"/>
      <c r="FI1289" s="4"/>
      <c r="FJ1289" s="4"/>
      <c r="FK1289" s="4"/>
      <c r="FL1289" s="4"/>
    </row>
    <row r="1290" ht="12.75" hidden="1" customHeight="1" outlineLevel="3">
      <c r="A1290" s="4"/>
      <c r="B1290" s="4" t="str">
        <f t="shared" si="6436"/>
        <v>Architecture group - IAG</v>
      </c>
      <c r="C1290" s="4"/>
      <c r="D1290" s="15"/>
      <c r="E1290" s="15"/>
      <c r="F1290" s="15"/>
      <c r="G1290" s="15"/>
      <c r="H1290" s="8"/>
      <c r="I1290" s="15"/>
      <c r="J1290" s="15"/>
      <c r="K1290" s="15"/>
      <c r="L1290" s="15"/>
      <c r="M1290" s="8"/>
      <c r="N1290" s="15"/>
      <c r="O1290" s="15"/>
      <c r="P1290" s="15"/>
      <c r="Q1290" s="15"/>
      <c r="R1290" s="8"/>
      <c r="S1290" s="15"/>
      <c r="T1290" s="15"/>
      <c r="U1290" s="15"/>
      <c r="V1290" s="15"/>
      <c r="W1290" s="8"/>
      <c r="X1290" s="15">
        <f t="shared" ref="X1290:AA1290" si="6487">+X1277/X852</f>
        <v>0.6826850023</v>
      </c>
      <c r="Y1290" s="15">
        <f t="shared" si="6487"/>
        <v>0.6580730877</v>
      </c>
      <c r="Z1290" s="15">
        <f t="shared" si="6487"/>
        <v>0.6918905371</v>
      </c>
      <c r="AA1290" s="15">
        <f t="shared" si="6487"/>
        <v>0.6905246662</v>
      </c>
      <c r="AB1290" s="8"/>
      <c r="AC1290" s="15" t="str">
        <f t="shared" ref="AC1290:AF1290" si="6488">+AC1277/AC852</f>
        <v>#ERROR!</v>
      </c>
      <c r="AD1290" s="15" t="str">
        <f t="shared" si="6488"/>
        <v>#ERROR!</v>
      </c>
      <c r="AE1290" s="15" t="str">
        <f t="shared" si="6488"/>
        <v>#ERROR!</v>
      </c>
      <c r="AF1290" s="15" t="str">
        <f t="shared" si="6488"/>
        <v>#ERROR!</v>
      </c>
      <c r="AG1290" s="8"/>
      <c r="AH1290" s="15">
        <f t="shared" ref="AH1290:AK1290" si="6489">+AH1277/AH852</f>
        <v>0.5465178571</v>
      </c>
      <c r="AI1290" s="15">
        <f t="shared" si="6489"/>
        <v>0.5069777479</v>
      </c>
      <c r="AJ1290" s="15">
        <f t="shared" si="6489"/>
        <v>0.5242260033</v>
      </c>
      <c r="AK1290" s="15">
        <f t="shared" si="6489"/>
        <v>0.5582935223</v>
      </c>
      <c r="AL1290" s="8"/>
      <c r="AM1290" s="15">
        <f t="shared" ref="AM1290:AN1290" si="6490">+AM1277/AM852</f>
        <v>0.5192625</v>
      </c>
      <c r="AN1290" s="15">
        <f t="shared" si="6490"/>
        <v>0.5476307218</v>
      </c>
      <c r="AO1290" s="15">
        <f t="shared" ref="AO1290:AP1290" si="6491">AO1220</f>
        <v>0.6100772156</v>
      </c>
      <c r="AP1290" s="15">
        <f t="shared" si="6491"/>
        <v>0.6601433972</v>
      </c>
      <c r="AQ1290" s="8"/>
      <c r="AR1290" s="15" t="str">
        <f t="shared" ref="AR1290:AU1290" si="6492">AR1220</f>
        <v>#ERROR!</v>
      </c>
      <c r="AS1290" s="15" t="str">
        <f t="shared" si="6492"/>
        <v>#ERROR!</v>
      </c>
      <c r="AT1290" s="15" t="str">
        <f t="shared" si="6492"/>
        <v>#ERROR!</v>
      </c>
      <c r="AU1290" s="15" t="str">
        <f t="shared" si="6492"/>
        <v>#ERROR!</v>
      </c>
      <c r="AV1290" s="8"/>
      <c r="AW1290" s="15" t="str">
        <f t="shared" ref="AW1290:AZ1290" si="6493">AW1220</f>
        <v>#ERROR!</v>
      </c>
      <c r="AX1290" s="15" t="str">
        <f t="shared" si="6493"/>
        <v>#ERROR!</v>
      </c>
      <c r="AY1290" s="15" t="str">
        <f t="shared" si="6493"/>
        <v>#ERROR!</v>
      </c>
      <c r="AZ1290" s="15" t="str">
        <f t="shared" si="6493"/>
        <v>#ERROR!</v>
      </c>
      <c r="BA1290" s="8"/>
      <c r="BB1290" s="15" t="str">
        <f t="shared" ref="BB1290:BE1290" si="6494">BB1220</f>
        <v>#ERROR!</v>
      </c>
      <c r="BC1290" s="15" t="str">
        <f t="shared" si="6494"/>
        <v>#ERROR!</v>
      </c>
      <c r="BD1290" s="15" t="str">
        <f t="shared" si="6494"/>
        <v>#ERROR!</v>
      </c>
      <c r="BE1290" s="15" t="str">
        <f t="shared" si="6494"/>
        <v>#ERROR!</v>
      </c>
      <c r="BF1290" s="8"/>
      <c r="BG1290" s="15" t="str">
        <f t="shared" ref="BG1290:BJ1290" si="6495">BG1220</f>
        <v>#ERROR!</v>
      </c>
      <c r="BH1290" s="15" t="str">
        <f t="shared" si="6495"/>
        <v>#ERROR!</v>
      </c>
      <c r="BI1290" s="15" t="str">
        <f t="shared" si="6495"/>
        <v>#ERROR!</v>
      </c>
      <c r="BJ1290" s="15" t="str">
        <f t="shared" si="6495"/>
        <v>#ERROR!</v>
      </c>
      <c r="BK1290" s="8"/>
      <c r="BL1290" s="15" t="str">
        <f t="shared" ref="BL1290:BO1290" si="6496">BL1220</f>
        <v>#ERROR!</v>
      </c>
      <c r="BM1290" s="15" t="str">
        <f t="shared" si="6496"/>
        <v>#ERROR!</v>
      </c>
      <c r="BN1290" s="15" t="str">
        <f t="shared" si="6496"/>
        <v>#ERROR!</v>
      </c>
      <c r="BO1290" s="15" t="str">
        <f t="shared" si="6496"/>
        <v>#ERROR!</v>
      </c>
      <c r="BP1290" s="8"/>
      <c r="BQ1290" s="15" t="str">
        <f t="shared" ref="BQ1290:BT1290" si="6497">BQ1220</f>
        <v>#ERROR!</v>
      </c>
      <c r="BR1290" s="15" t="str">
        <f t="shared" si="6497"/>
        <v>#ERROR!</v>
      </c>
      <c r="BS1290" s="15" t="str">
        <f t="shared" si="6497"/>
        <v>#ERROR!</v>
      </c>
      <c r="BT1290" s="15" t="str">
        <f t="shared" si="6497"/>
        <v>#ERROR!</v>
      </c>
      <c r="BU1290" s="8"/>
      <c r="BV1290" s="15" t="str">
        <f t="shared" ref="BV1290:BY1290" si="6498">BV1220</f>
        <v>#ERROR!</v>
      </c>
      <c r="BW1290" s="15" t="str">
        <f t="shared" si="6498"/>
        <v>#ERROR!</v>
      </c>
      <c r="BX1290" s="15" t="str">
        <f t="shared" si="6498"/>
        <v>#ERROR!</v>
      </c>
      <c r="BY1290" s="15" t="str">
        <f t="shared" si="6498"/>
        <v>#ERROR!</v>
      </c>
      <c r="BZ1290" s="10"/>
      <c r="CA1290" s="15" t="str">
        <f t="shared" ref="CA1290:CD1290" si="6499">CA1220</f>
        <v>#ERROR!</v>
      </c>
      <c r="CB1290" s="15" t="str">
        <f t="shared" si="6499"/>
        <v>#ERROR!</v>
      </c>
      <c r="CC1290" s="15" t="str">
        <f t="shared" si="6499"/>
        <v>#ERROR!</v>
      </c>
      <c r="CD1290" s="15" t="str">
        <f t="shared" si="6499"/>
        <v>#ERROR!</v>
      </c>
      <c r="CE1290" s="10"/>
      <c r="CF1290" s="15" t="str">
        <f t="shared" ref="CF1290:CI1290" si="6500">CF1220</f>
        <v>#ERROR!</v>
      </c>
      <c r="CG1290" s="15" t="str">
        <f t="shared" si="6500"/>
        <v>#ERROR!</v>
      </c>
      <c r="CH1290" s="15" t="str">
        <f t="shared" si="6500"/>
        <v>#ERROR!</v>
      </c>
      <c r="CI1290" s="15" t="str">
        <f t="shared" si="6500"/>
        <v>#ERROR!</v>
      </c>
      <c r="CJ1290" s="10"/>
      <c r="CK1290" s="15" t="str">
        <f t="shared" ref="CK1290:CN1290" si="6501">CK1220</f>
        <v>#ERROR!</v>
      </c>
      <c r="CL1290" s="15" t="str">
        <f t="shared" si="6501"/>
        <v>#ERROR!</v>
      </c>
      <c r="CM1290" s="15" t="str">
        <f t="shared" si="6501"/>
        <v>#ERROR!</v>
      </c>
      <c r="CN1290" s="40" t="str">
        <f t="shared" si="6501"/>
        <v>#ERROR!</v>
      </c>
      <c r="CO1290" s="10"/>
      <c r="CP1290" s="40" t="str">
        <f t="shared" ref="CP1290:CS1290" si="6502">CP1220</f>
        <v>#ERROR!</v>
      </c>
      <c r="CQ1290" s="15" t="str">
        <f t="shared" si="6502"/>
        <v>#ERROR!</v>
      </c>
      <c r="CR1290" s="15" t="str">
        <f t="shared" si="6502"/>
        <v>#ERROR!</v>
      </c>
      <c r="CS1290" s="15" t="str">
        <f t="shared" si="6502"/>
        <v>#ERROR!</v>
      </c>
      <c r="CT1290" s="10"/>
      <c r="CU1290" s="15" t="str">
        <f t="shared" ref="CU1290:CX1290" si="6503">CU1220</f>
        <v>#ERROR!</v>
      </c>
      <c r="CV1290" s="15" t="str">
        <f t="shared" si="6503"/>
        <v>#ERROR!</v>
      </c>
      <c r="CW1290" s="15" t="str">
        <f t="shared" si="6503"/>
        <v>#ERROR!</v>
      </c>
      <c r="CX1290" s="15" t="str">
        <f t="shared" si="6503"/>
        <v>#ERROR!</v>
      </c>
      <c r="CY1290" s="10"/>
      <c r="CZ1290" s="15" t="str">
        <f t="shared" ref="CZ1290:DC1290" si="6504">CZ1220</f>
        <v>#ERROR!</v>
      </c>
      <c r="DA1290" s="15" t="str">
        <f t="shared" si="6504"/>
        <v>#ERROR!</v>
      </c>
      <c r="DB1290" s="15" t="str">
        <f t="shared" si="6504"/>
        <v>#ERROR!</v>
      </c>
      <c r="DC1290" s="15" t="str">
        <f t="shared" si="6504"/>
        <v>#ERROR!</v>
      </c>
      <c r="DD1290" s="10"/>
      <c r="DE1290" s="15" t="str">
        <f t="shared" ref="DE1290:DH1290" si="6505">DE1220</f>
        <v>#ERROR!</v>
      </c>
      <c r="DF1290" s="15" t="str">
        <f t="shared" si="6505"/>
        <v>#ERROR!</v>
      </c>
      <c r="DG1290" s="40" t="str">
        <f t="shared" si="6505"/>
        <v>#ERROR!</v>
      </c>
      <c r="DH1290" s="15" t="str">
        <f t="shared" si="6505"/>
        <v>#ERROR!</v>
      </c>
      <c r="DI1290" s="10"/>
      <c r="DJ1290" s="40" t="str">
        <f t="shared" ref="DJ1290:DM1290" si="6506">DJ1220</f>
        <v>#ERROR!</v>
      </c>
      <c r="DK1290" s="40" t="str">
        <f t="shared" si="6506"/>
        <v>#ERROR!</v>
      </c>
      <c r="DL1290" s="40" t="str">
        <f t="shared" si="6506"/>
        <v>#ERROR!</v>
      </c>
      <c r="DM1290" s="15" t="str">
        <f t="shared" si="6506"/>
        <v>#ERROR!</v>
      </c>
      <c r="DN1290" s="10"/>
      <c r="DO1290" s="15" t="str">
        <f t="shared" ref="DO1290:DR1290" si="6507">DO1220</f>
        <v>#ERROR!</v>
      </c>
      <c r="DP1290" s="15" t="str">
        <f t="shared" si="6507"/>
        <v>#ERROR!</v>
      </c>
      <c r="DQ1290" s="15" t="str">
        <f t="shared" si="6507"/>
        <v>#ERROR!</v>
      </c>
      <c r="DR1290" s="15" t="str">
        <f t="shared" si="6507"/>
        <v>#ERROR!</v>
      </c>
      <c r="DS1290" s="10"/>
      <c r="DT1290" s="15" t="str">
        <f t="shared" ref="DT1290:DW1290" si="6508">DT1220</f>
        <v>#ERROR!</v>
      </c>
      <c r="DU1290" s="15" t="str">
        <f t="shared" si="6508"/>
        <v>#ERROR!</v>
      </c>
      <c r="DV1290" s="15" t="str">
        <f t="shared" si="6508"/>
        <v>#ERROR!</v>
      </c>
      <c r="DW1290" s="15" t="str">
        <f t="shared" si="6508"/>
        <v>#ERROR!</v>
      </c>
      <c r="DX1290" s="10"/>
      <c r="DY1290" s="15" t="str">
        <f t="shared" ref="DY1290:EB1290" si="6509">DY1220</f>
        <v>#ERROR!</v>
      </c>
      <c r="DZ1290" s="15" t="str">
        <f t="shared" si="6509"/>
        <v>#ERROR!</v>
      </c>
      <c r="EA1290" s="15" t="str">
        <f t="shared" si="6509"/>
        <v>#ERROR!</v>
      </c>
      <c r="EB1290" s="15" t="str">
        <f t="shared" si="6509"/>
        <v>#ERROR!</v>
      </c>
      <c r="EC1290" s="10"/>
      <c r="ED1290" s="15" t="str">
        <f t="shared" ref="ED1290:EG1290" si="6510">ED1220</f>
        <v>#ERROR!</v>
      </c>
      <c r="EE1290" s="15" t="str">
        <f t="shared" si="6510"/>
        <v>#ERROR!</v>
      </c>
      <c r="EF1290" s="15" t="str">
        <f t="shared" si="6510"/>
        <v>#ERROR!</v>
      </c>
      <c r="EG1290" s="15" t="str">
        <f t="shared" si="6510"/>
        <v>#ERROR!</v>
      </c>
      <c r="EH1290" s="10"/>
      <c r="EI1290" s="82" t="str">
        <f t="shared" ref="EI1290:EL1290" si="6511">EI1220</f>
        <v>#ERROR!</v>
      </c>
      <c r="EJ1290" s="15" t="str">
        <f t="shared" si="6511"/>
        <v>#ERROR!</v>
      </c>
      <c r="EK1290" s="15" t="str">
        <f t="shared" si="6511"/>
        <v>#ERROR!</v>
      </c>
      <c r="EL1290" s="15" t="str">
        <f t="shared" si="6511"/>
        <v>#ERROR!</v>
      </c>
      <c r="EM1290" s="10"/>
      <c r="EN1290" s="15" t="str">
        <f t="shared" ref="EN1290:EQ1290" si="6512">EN1220</f>
        <v>#ERROR!</v>
      </c>
      <c r="EO1290" s="15" t="str">
        <f t="shared" si="6512"/>
        <v>#ERROR!</v>
      </c>
      <c r="EP1290" s="15" t="str">
        <f t="shared" si="6512"/>
        <v>#ERROR!</v>
      </c>
      <c r="EQ1290" s="15" t="str">
        <f t="shared" si="6512"/>
        <v>#ERROR!</v>
      </c>
      <c r="ER1290" s="10"/>
      <c r="ES1290" s="15" t="str">
        <f t="shared" ref="ES1290:EV1290" si="6513">ES1220</f>
        <v>#ERROR!</v>
      </c>
      <c r="ET1290" s="15" t="str">
        <f t="shared" si="6513"/>
        <v>#ERROR!</v>
      </c>
      <c r="EU1290" s="15" t="str">
        <f t="shared" si="6513"/>
        <v>#ERROR!</v>
      </c>
      <c r="EV1290" s="15" t="str">
        <f t="shared" si="6513"/>
        <v>#ERROR!</v>
      </c>
      <c r="EW1290" s="10"/>
      <c r="EX1290" s="15" t="str">
        <f t="shared" ref="EX1290:FA1290" si="6514">EX1220</f>
        <v>#ERROR!</v>
      </c>
      <c r="EY1290" s="15" t="str">
        <f t="shared" si="6514"/>
        <v>#ERROR!</v>
      </c>
      <c r="EZ1290" s="15" t="str">
        <f t="shared" si="6514"/>
        <v>#ERROR!</v>
      </c>
      <c r="FA1290" s="15" t="str">
        <f t="shared" si="6514"/>
        <v>#ERROR!</v>
      </c>
      <c r="FB1290" s="10"/>
      <c r="FC1290" s="15" t="str">
        <f t="shared" ref="FC1290:FF1290" si="6515">FC1220</f>
        <v>#ERROR!</v>
      </c>
      <c r="FD1290" s="15" t="str">
        <f t="shared" si="6515"/>
        <v>#ERROR!</v>
      </c>
      <c r="FE1290" s="15" t="str">
        <f t="shared" si="6515"/>
        <v>#ERROR!</v>
      </c>
      <c r="FF1290" s="15" t="str">
        <f t="shared" si="6515"/>
        <v>#ERROR!</v>
      </c>
      <c r="FG1290" s="10"/>
      <c r="FH1290" s="21"/>
      <c r="FI1290" s="4"/>
      <c r="FJ1290" s="4"/>
      <c r="FK1290" s="4"/>
      <c r="FL1290" s="4"/>
    </row>
    <row r="1291" ht="12.75" hidden="1" customHeight="1" outlineLevel="3">
      <c r="A1291" s="4"/>
      <c r="B1291" s="72" t="str">
        <f t="shared" si="6436"/>
        <v>WCCG</v>
      </c>
      <c r="C1291" s="4"/>
      <c r="D1291" s="15"/>
      <c r="E1291" s="15"/>
      <c r="F1291" s="15"/>
      <c r="G1291" s="15"/>
      <c r="H1291" s="8"/>
      <c r="I1291" s="15"/>
      <c r="J1291" s="15"/>
      <c r="K1291" s="15"/>
      <c r="L1291" s="15"/>
      <c r="M1291" s="8"/>
      <c r="N1291" s="15"/>
      <c r="O1291" s="15"/>
      <c r="P1291" s="15"/>
      <c r="Q1291" s="15"/>
      <c r="R1291" s="8"/>
      <c r="S1291" s="15"/>
      <c r="T1291" s="15"/>
      <c r="U1291" s="15"/>
      <c r="V1291" s="15"/>
      <c r="W1291" s="8"/>
      <c r="X1291" s="15">
        <v>0.25</v>
      </c>
      <c r="Y1291" s="15">
        <v>0.25</v>
      </c>
      <c r="Z1291" s="15">
        <v>0.3</v>
      </c>
      <c r="AA1291" s="15">
        <v>0.3</v>
      </c>
      <c r="AB1291" s="8"/>
      <c r="AC1291" s="15">
        <v>0.15</v>
      </c>
      <c r="AD1291" s="15">
        <v>0.15</v>
      </c>
      <c r="AE1291" s="15">
        <v>0.05</v>
      </c>
      <c r="AF1291" s="15">
        <v>0.15</v>
      </c>
      <c r="AG1291" s="8"/>
      <c r="AH1291" s="15">
        <v>0.15</v>
      </c>
      <c r="AI1291" s="15">
        <v>0.15</v>
      </c>
      <c r="AJ1291" s="15">
        <v>0.15</v>
      </c>
      <c r="AK1291" s="15">
        <v>0.15</v>
      </c>
      <c r="AL1291" s="8"/>
      <c r="AM1291" s="15">
        <v>0.2</v>
      </c>
      <c r="AN1291" s="15">
        <v>0.25</v>
      </c>
      <c r="AO1291" s="15">
        <f t="shared" ref="AO1291:AP1291" si="6516">AO1221</f>
        <v>0.35</v>
      </c>
      <c r="AP1291" s="15">
        <f t="shared" si="6516"/>
        <v>0.4</v>
      </c>
      <c r="AQ1291" s="8"/>
      <c r="AR1291" s="15"/>
      <c r="AS1291" s="15"/>
      <c r="AT1291" s="15"/>
      <c r="AU1291" s="15"/>
      <c r="AV1291" s="8"/>
      <c r="AW1291" s="15"/>
      <c r="AX1291" s="15"/>
      <c r="AY1291" s="15"/>
      <c r="AZ1291" s="15"/>
      <c r="BA1291" s="8"/>
      <c r="BB1291" s="15"/>
      <c r="BC1291" s="15"/>
      <c r="BD1291" s="15"/>
      <c r="BE1291" s="15"/>
      <c r="BF1291" s="8"/>
      <c r="BG1291" s="15"/>
      <c r="BH1291" s="15"/>
      <c r="BI1291" s="15"/>
      <c r="BJ1291" s="15"/>
      <c r="BK1291" s="8"/>
      <c r="BL1291" s="15"/>
      <c r="BM1291" s="15"/>
      <c r="BN1291" s="15"/>
      <c r="BO1291" s="15"/>
      <c r="BP1291" s="8"/>
      <c r="BQ1291" s="15"/>
      <c r="BR1291" s="15"/>
      <c r="BS1291" s="15"/>
      <c r="BT1291" s="15"/>
      <c r="BU1291" s="8"/>
      <c r="BV1291" s="15"/>
      <c r="BW1291" s="15"/>
      <c r="BX1291" s="15"/>
      <c r="BY1291" s="15"/>
      <c r="BZ1291" s="10"/>
      <c r="CA1291" s="15"/>
      <c r="CB1291" s="15"/>
      <c r="CC1291" s="15"/>
      <c r="CD1291" s="15"/>
      <c r="CE1291" s="10"/>
      <c r="CF1291" s="15"/>
      <c r="CG1291" s="15"/>
      <c r="CH1291" s="15"/>
      <c r="CI1291" s="15"/>
      <c r="CJ1291" s="10"/>
      <c r="CK1291" s="15"/>
      <c r="CL1291" s="15"/>
      <c r="CM1291" s="15"/>
      <c r="CN1291" s="40"/>
      <c r="CO1291" s="10"/>
      <c r="CP1291" s="40"/>
      <c r="CQ1291" s="15"/>
      <c r="CR1291" s="15"/>
      <c r="CS1291" s="15"/>
      <c r="CT1291" s="10"/>
      <c r="CU1291" s="15"/>
      <c r="CV1291" s="15"/>
      <c r="CW1291" s="15"/>
      <c r="CX1291" s="15"/>
      <c r="CY1291" s="10"/>
      <c r="CZ1291" s="15"/>
      <c r="DA1291" s="15"/>
      <c r="DB1291" s="15"/>
      <c r="DC1291" s="15"/>
      <c r="DD1291" s="10"/>
      <c r="DE1291" s="15"/>
      <c r="DF1291" s="15"/>
      <c r="DG1291" s="40"/>
      <c r="DH1291" s="15"/>
      <c r="DI1291" s="10"/>
      <c r="DJ1291" s="40"/>
      <c r="DK1291" s="40"/>
      <c r="DL1291" s="40"/>
      <c r="DM1291" s="15"/>
      <c r="DN1291" s="10"/>
      <c r="DO1291" s="15"/>
      <c r="DP1291" s="15"/>
      <c r="DQ1291" s="15"/>
      <c r="DR1291" s="15"/>
      <c r="DS1291" s="10"/>
      <c r="DT1291" s="15"/>
      <c r="DU1291" s="15"/>
      <c r="DV1291" s="15"/>
      <c r="DW1291" s="15"/>
      <c r="DX1291" s="10"/>
      <c r="DY1291" s="15"/>
      <c r="DZ1291" s="15"/>
      <c r="EA1291" s="15"/>
      <c r="EB1291" s="15"/>
      <c r="EC1291" s="10"/>
      <c r="ED1291" s="15"/>
      <c r="EE1291" s="15"/>
      <c r="EF1291" s="15"/>
      <c r="EG1291" s="15"/>
      <c r="EH1291" s="10"/>
      <c r="EI1291" s="82"/>
      <c r="EJ1291" s="15"/>
      <c r="EK1291" s="15"/>
      <c r="EL1291" s="15"/>
      <c r="EM1291" s="10"/>
      <c r="EN1291" s="15"/>
      <c r="EO1291" s="15"/>
      <c r="EP1291" s="15"/>
      <c r="EQ1291" s="15"/>
      <c r="ER1291" s="10"/>
      <c r="ES1291" s="15"/>
      <c r="ET1291" s="15"/>
      <c r="EU1291" s="15"/>
      <c r="EV1291" s="15"/>
      <c r="EW1291" s="10"/>
      <c r="EX1291" s="15"/>
      <c r="EY1291" s="15"/>
      <c r="EZ1291" s="15"/>
      <c r="FA1291" s="15"/>
      <c r="FB1291" s="10"/>
      <c r="FC1291" s="15"/>
      <c r="FD1291" s="15"/>
      <c r="FE1291" s="15"/>
      <c r="FF1291" s="15"/>
      <c r="FG1291" s="10"/>
      <c r="FH1291" s="21"/>
      <c r="FI1291" s="4"/>
      <c r="FJ1291" s="4"/>
      <c r="FK1291" s="4"/>
      <c r="FL1291" s="4"/>
    </row>
    <row r="1292" ht="12.75" hidden="1" customHeight="1" outlineLevel="3">
      <c r="A1292" s="4"/>
      <c r="B1292" s="72" t="str">
        <f t="shared" si="6436"/>
        <v>Flash</v>
      </c>
      <c r="C1292" s="4"/>
      <c r="D1292" s="15"/>
      <c r="E1292" s="15"/>
      <c r="F1292" s="15"/>
      <c r="G1292" s="15"/>
      <c r="H1292" s="8"/>
      <c r="I1292" s="15"/>
      <c r="J1292" s="15"/>
      <c r="K1292" s="15"/>
      <c r="L1292" s="15"/>
      <c r="M1292" s="8"/>
      <c r="N1292" s="15"/>
      <c r="O1292" s="15"/>
      <c r="P1292" s="15"/>
      <c r="Q1292" s="15"/>
      <c r="R1292" s="8"/>
      <c r="S1292" s="15"/>
      <c r="T1292" s="15"/>
      <c r="U1292" s="15"/>
      <c r="V1292" s="15"/>
      <c r="W1292" s="8"/>
      <c r="X1292" s="15"/>
      <c r="Y1292" s="15"/>
      <c r="Z1292" s="15"/>
      <c r="AA1292" s="15"/>
      <c r="AB1292" s="8"/>
      <c r="AC1292" s="15"/>
      <c r="AD1292" s="15"/>
      <c r="AE1292" s="15"/>
      <c r="AF1292" s="15"/>
      <c r="AG1292" s="8"/>
      <c r="AH1292" s="15"/>
      <c r="AI1292" s="15"/>
      <c r="AJ1292" s="15"/>
      <c r="AK1292" s="15"/>
      <c r="AL1292" s="8"/>
      <c r="AM1292" s="15"/>
      <c r="AN1292" s="15"/>
      <c r="AO1292" s="15"/>
      <c r="AP1292" s="15"/>
      <c r="AQ1292" s="8"/>
      <c r="AR1292" s="15">
        <f t="shared" ref="AR1292:AU1292" si="6517">AR1222</f>
        <v>0.4</v>
      </c>
      <c r="AS1292" s="15">
        <f t="shared" si="6517"/>
        <v>0.45</v>
      </c>
      <c r="AT1292" s="15">
        <f t="shared" si="6517"/>
        <v>0.23</v>
      </c>
      <c r="AU1292" s="15">
        <f t="shared" si="6517"/>
        <v>0.27</v>
      </c>
      <c r="AV1292" s="8"/>
      <c r="AW1292" s="15">
        <f t="shared" ref="AW1292:AZ1292" si="6518">AW1222</f>
        <v>0.27</v>
      </c>
      <c r="AX1292" s="15">
        <f t="shared" si="6518"/>
        <v>0.29</v>
      </c>
      <c r="AY1292" s="15">
        <f t="shared" si="6518"/>
        <v>0.31</v>
      </c>
      <c r="AZ1292" s="15">
        <f t="shared" si="6518"/>
        <v>0.33</v>
      </c>
      <c r="BA1292" s="8"/>
      <c r="BB1292" s="15">
        <f t="shared" ref="BB1292:BE1292" si="6519">BB1222</f>
        <v>0.29</v>
      </c>
      <c r="BC1292" s="15">
        <f t="shared" si="6519"/>
        <v>0.29</v>
      </c>
      <c r="BD1292" s="15">
        <f t="shared" si="6519"/>
        <v>0.31</v>
      </c>
      <c r="BE1292" s="15">
        <f t="shared" si="6519"/>
        <v>0.31</v>
      </c>
      <c r="BF1292" s="8"/>
      <c r="BG1292" s="15">
        <f t="shared" ref="BG1292:BJ1292" si="6520">BG1222</f>
        <v>0.3</v>
      </c>
      <c r="BH1292" s="15">
        <f t="shared" si="6520"/>
        <v>0.33</v>
      </c>
      <c r="BI1292" s="15">
        <f t="shared" si="6520"/>
        <v>0.35</v>
      </c>
      <c r="BJ1292" s="15">
        <f t="shared" si="6520"/>
        <v>0.37</v>
      </c>
      <c r="BK1292" s="8"/>
      <c r="BL1292" s="15">
        <f t="shared" ref="BL1292:BO1292" si="6521">BL1222</f>
        <v>0.3</v>
      </c>
      <c r="BM1292" s="15">
        <f t="shared" si="6521"/>
        <v>0.33</v>
      </c>
      <c r="BN1292" s="15">
        <f t="shared" si="6521"/>
        <v>0.35</v>
      </c>
      <c r="BO1292" s="15">
        <f t="shared" si="6521"/>
        <v>0.37</v>
      </c>
      <c r="BP1292" s="8"/>
      <c r="BQ1292" s="15">
        <f t="shared" ref="BQ1292:BT1292" si="6522">BQ1222</f>
        <v>0.3</v>
      </c>
      <c r="BR1292" s="15">
        <f t="shared" si="6522"/>
        <v>0.33</v>
      </c>
      <c r="BS1292" s="15">
        <f t="shared" si="6522"/>
        <v>0.35</v>
      </c>
      <c r="BT1292" s="15">
        <f t="shared" si="6522"/>
        <v>0.37</v>
      </c>
      <c r="BU1292" s="8"/>
      <c r="BV1292" s="15">
        <f t="shared" ref="BV1292:BY1292" si="6523">BV1222</f>
        <v>0.3</v>
      </c>
      <c r="BW1292" s="15">
        <f t="shared" si="6523"/>
        <v>0.33</v>
      </c>
      <c r="BX1292" s="15">
        <f t="shared" si="6523"/>
        <v>0.35</v>
      </c>
      <c r="BY1292" s="15">
        <f t="shared" si="6523"/>
        <v>0.37</v>
      </c>
      <c r="BZ1292" s="10"/>
      <c r="CA1292" s="15">
        <f t="shared" ref="CA1292:CD1292" si="6524">CA1222</f>
        <v>0.3</v>
      </c>
      <c r="CB1292" s="15">
        <f t="shared" si="6524"/>
        <v>0.33</v>
      </c>
      <c r="CC1292" s="15">
        <f t="shared" si="6524"/>
        <v>0.35</v>
      </c>
      <c r="CD1292" s="15">
        <f t="shared" si="6524"/>
        <v>0.37</v>
      </c>
      <c r="CE1292" s="10"/>
      <c r="CF1292" s="15">
        <f t="shared" ref="CF1292:CI1292" si="6525">CF1222</f>
        <v>0.3</v>
      </c>
      <c r="CG1292" s="15">
        <f t="shared" si="6525"/>
        <v>0.33</v>
      </c>
      <c r="CH1292" s="15">
        <f t="shared" si="6525"/>
        <v>0.35</v>
      </c>
      <c r="CI1292" s="15">
        <f t="shared" si="6525"/>
        <v>0.37</v>
      </c>
      <c r="CJ1292" s="10"/>
      <c r="CK1292" s="15">
        <f t="shared" ref="CK1292:CN1292" si="6526">CK1222</f>
        <v>0.3</v>
      </c>
      <c r="CL1292" s="15">
        <f t="shared" si="6526"/>
        <v>0.33</v>
      </c>
      <c r="CM1292" s="15">
        <f t="shared" si="6526"/>
        <v>0.35</v>
      </c>
      <c r="CN1292" s="40">
        <f t="shared" si="6526"/>
        <v>0.37</v>
      </c>
      <c r="CO1292" s="10"/>
      <c r="CP1292" s="40">
        <f t="shared" ref="CP1292:CS1292" si="6527">CP1222</f>
        <v>0.3</v>
      </c>
      <c r="CQ1292" s="15">
        <f t="shared" si="6527"/>
        <v>0.33</v>
      </c>
      <c r="CR1292" s="15">
        <f t="shared" si="6527"/>
        <v>0.35</v>
      </c>
      <c r="CS1292" s="15">
        <f t="shared" si="6527"/>
        <v>0.37</v>
      </c>
      <c r="CT1292" s="10"/>
      <c r="CU1292" s="15">
        <f t="shared" ref="CU1292:CX1292" si="6528">CU1222</f>
        <v>0.3</v>
      </c>
      <c r="CV1292" s="15">
        <f t="shared" si="6528"/>
        <v>0.33</v>
      </c>
      <c r="CW1292" s="15">
        <f t="shared" si="6528"/>
        <v>0.35</v>
      </c>
      <c r="CX1292" s="15">
        <f t="shared" si="6528"/>
        <v>0.37</v>
      </c>
      <c r="CY1292" s="10"/>
      <c r="CZ1292" s="15">
        <f t="shared" ref="CZ1292:DC1292" si="6529">CZ1222</f>
        <v>0.3</v>
      </c>
      <c r="DA1292" s="15">
        <f t="shared" si="6529"/>
        <v>0.33</v>
      </c>
      <c r="DB1292" s="15">
        <f t="shared" si="6529"/>
        <v>0.35</v>
      </c>
      <c r="DC1292" s="15">
        <f t="shared" si="6529"/>
        <v>0.37</v>
      </c>
      <c r="DD1292" s="10"/>
      <c r="DE1292" s="15">
        <f t="shared" ref="DE1292:DH1292" si="6530">DE1222</f>
        <v>0.3</v>
      </c>
      <c r="DF1292" s="15">
        <f t="shared" si="6530"/>
        <v>0.33</v>
      </c>
      <c r="DG1292" s="40">
        <f t="shared" si="6530"/>
        <v>0.35</v>
      </c>
      <c r="DH1292" s="15">
        <f t="shared" si="6530"/>
        <v>0.37</v>
      </c>
      <c r="DI1292" s="10"/>
      <c r="DJ1292" s="40">
        <f t="shared" ref="DJ1292:DM1292" si="6531">DJ1222</f>
        <v>0.3</v>
      </c>
      <c r="DK1292" s="40">
        <f t="shared" si="6531"/>
        <v>0.33</v>
      </c>
      <c r="DL1292" s="40">
        <f t="shared" si="6531"/>
        <v>0.35</v>
      </c>
      <c r="DM1292" s="15">
        <f t="shared" si="6531"/>
        <v>0.37</v>
      </c>
      <c r="DN1292" s="10"/>
      <c r="DO1292" s="15">
        <f t="shared" ref="DO1292:DR1292" si="6532">DO1222</f>
        <v>0.3</v>
      </c>
      <c r="DP1292" s="15">
        <f t="shared" si="6532"/>
        <v>0.33</v>
      </c>
      <c r="DQ1292" s="15">
        <f t="shared" si="6532"/>
        <v>0.35</v>
      </c>
      <c r="DR1292" s="15">
        <f t="shared" si="6532"/>
        <v>0.37</v>
      </c>
      <c r="DS1292" s="10"/>
      <c r="DT1292" s="15">
        <f t="shared" ref="DT1292:DW1292" si="6533">DT1222</f>
        <v>0.3</v>
      </c>
      <c r="DU1292" s="15">
        <f t="shared" si="6533"/>
        <v>0.33</v>
      </c>
      <c r="DV1292" s="15">
        <f t="shared" si="6533"/>
        <v>0.35</v>
      </c>
      <c r="DW1292" s="15">
        <f t="shared" si="6533"/>
        <v>0.37</v>
      </c>
      <c r="DX1292" s="10"/>
      <c r="DY1292" s="15">
        <f t="shared" ref="DY1292:EB1292" si="6534">DY1222</f>
        <v>0.3</v>
      </c>
      <c r="DZ1292" s="15">
        <f t="shared" si="6534"/>
        <v>0.33</v>
      </c>
      <c r="EA1292" s="15">
        <f t="shared" si="6534"/>
        <v>0.35</v>
      </c>
      <c r="EB1292" s="15">
        <f t="shared" si="6534"/>
        <v>0.37</v>
      </c>
      <c r="EC1292" s="10"/>
      <c r="ED1292" s="15">
        <f t="shared" ref="ED1292:EG1292" si="6535">ED1222</f>
        <v>0.3</v>
      </c>
      <c r="EE1292" s="15">
        <f t="shared" si="6535"/>
        <v>0.33</v>
      </c>
      <c r="EF1292" s="15">
        <f t="shared" si="6535"/>
        <v>0.35</v>
      </c>
      <c r="EG1292" s="15">
        <f t="shared" si="6535"/>
        <v>0.37</v>
      </c>
      <c r="EH1292" s="10"/>
      <c r="EI1292" s="82">
        <f t="shared" ref="EI1292:EL1292" si="6536">EI1222</f>
        <v>0.3</v>
      </c>
      <c r="EJ1292" s="15">
        <f t="shared" si="6536"/>
        <v>0.33</v>
      </c>
      <c r="EK1292" s="15">
        <f t="shared" si="6536"/>
        <v>0.35</v>
      </c>
      <c r="EL1292" s="15">
        <f t="shared" si="6536"/>
        <v>0.37</v>
      </c>
      <c r="EM1292" s="10"/>
      <c r="EN1292" s="15">
        <f t="shared" ref="EN1292:EQ1292" si="6537">EN1222</f>
        <v>0.3</v>
      </c>
      <c r="EO1292" s="15">
        <f t="shared" si="6537"/>
        <v>0.33</v>
      </c>
      <c r="EP1292" s="15">
        <f t="shared" si="6537"/>
        <v>0.35</v>
      </c>
      <c r="EQ1292" s="15">
        <f t="shared" si="6537"/>
        <v>0.37</v>
      </c>
      <c r="ER1292" s="10"/>
      <c r="ES1292" s="15">
        <f t="shared" ref="ES1292:EV1292" si="6538">ES1222</f>
        <v>0.3</v>
      </c>
      <c r="ET1292" s="15">
        <f t="shared" si="6538"/>
        <v>0.33</v>
      </c>
      <c r="EU1292" s="15">
        <f t="shared" si="6538"/>
        <v>0.35</v>
      </c>
      <c r="EV1292" s="15">
        <f t="shared" si="6538"/>
        <v>0.37</v>
      </c>
      <c r="EW1292" s="10"/>
      <c r="EX1292" s="15">
        <f t="shared" ref="EX1292:FA1292" si="6539">EX1222</f>
        <v>0.3</v>
      </c>
      <c r="EY1292" s="15">
        <f t="shared" si="6539"/>
        <v>0.33</v>
      </c>
      <c r="EZ1292" s="15">
        <f t="shared" si="6539"/>
        <v>0.35</v>
      </c>
      <c r="FA1292" s="15">
        <f t="shared" si="6539"/>
        <v>0.37</v>
      </c>
      <c r="FB1292" s="10"/>
      <c r="FC1292" s="15">
        <f t="shared" ref="FC1292:FF1292" si="6540">FC1222</f>
        <v>0.3</v>
      </c>
      <c r="FD1292" s="15">
        <f t="shared" si="6540"/>
        <v>0.33</v>
      </c>
      <c r="FE1292" s="15">
        <f t="shared" si="6540"/>
        <v>0.35</v>
      </c>
      <c r="FF1292" s="15">
        <f t="shared" si="6540"/>
        <v>0.37</v>
      </c>
      <c r="FG1292" s="10"/>
      <c r="FH1292" s="21"/>
      <c r="FI1292" s="4"/>
      <c r="FJ1292" s="4"/>
      <c r="FK1292" s="4"/>
      <c r="FL1292" s="4"/>
    </row>
    <row r="1293" ht="12.75" hidden="1" customHeight="1" outlineLevel="3">
      <c r="A1293" s="4"/>
      <c r="B1293" s="72" t="str">
        <f t="shared" si="6436"/>
        <v>Comm/Embedded (former ICG)</v>
      </c>
      <c r="C1293" s="4"/>
      <c r="D1293" s="15"/>
      <c r="E1293" s="15"/>
      <c r="F1293" s="15"/>
      <c r="G1293" s="15"/>
      <c r="H1293" s="8"/>
      <c r="I1293" s="15"/>
      <c r="J1293" s="15"/>
      <c r="K1293" s="15"/>
      <c r="L1293" s="15"/>
      <c r="M1293" s="8"/>
      <c r="N1293" s="15"/>
      <c r="O1293" s="15"/>
      <c r="P1293" s="15"/>
      <c r="Q1293" s="15"/>
      <c r="R1293" s="8"/>
      <c r="S1293" s="15"/>
      <c r="T1293" s="15"/>
      <c r="U1293" s="15"/>
      <c r="V1293" s="15"/>
      <c r="W1293" s="8"/>
      <c r="X1293" s="15">
        <v>0.5</v>
      </c>
      <c r="Y1293" s="15">
        <v>0.5</v>
      </c>
      <c r="Z1293" s="15">
        <v>0.5</v>
      </c>
      <c r="AA1293" s="15">
        <v>0.5</v>
      </c>
      <c r="AB1293" s="8"/>
      <c r="AC1293" s="15">
        <v>0.5</v>
      </c>
      <c r="AD1293" s="15">
        <v>-0.14</v>
      </c>
      <c r="AE1293" s="15">
        <v>0.4</v>
      </c>
      <c r="AF1293" s="15">
        <v>0.4</v>
      </c>
      <c r="AG1293" s="8"/>
      <c r="AH1293" s="15">
        <v>0.45</v>
      </c>
      <c r="AI1293" s="15">
        <v>0.45</v>
      </c>
      <c r="AJ1293" s="15">
        <v>0.5</v>
      </c>
      <c r="AK1293" s="15">
        <v>0.5</v>
      </c>
      <c r="AL1293" s="8"/>
      <c r="AM1293" s="15">
        <v>0.4</v>
      </c>
      <c r="AN1293" s="15">
        <v>0.3</v>
      </c>
      <c r="AO1293" s="15">
        <f t="shared" ref="AO1293:AP1293" si="6541">AO1223</f>
        <v>0.4</v>
      </c>
      <c r="AP1293" s="15">
        <f t="shared" si="6541"/>
        <v>0.4</v>
      </c>
      <c r="AQ1293" s="8"/>
      <c r="AR1293" s="15">
        <f t="shared" ref="AR1293:AU1293" si="6542">AR1223</f>
        <v>0.36</v>
      </c>
      <c r="AS1293" s="15">
        <f t="shared" si="6542"/>
        <v>0.35</v>
      </c>
      <c r="AT1293" s="15">
        <f t="shared" si="6542"/>
        <v>0.35</v>
      </c>
      <c r="AU1293" s="15">
        <f t="shared" si="6542"/>
        <v>0.35</v>
      </c>
      <c r="AV1293" s="8"/>
      <c r="AW1293" s="15">
        <f t="shared" ref="AW1293:AZ1293" si="6543">AW1223</f>
        <v>0.35</v>
      </c>
      <c r="AX1293" s="15">
        <f t="shared" si="6543"/>
        <v>0.35</v>
      </c>
      <c r="AY1293" s="15">
        <f t="shared" si="6543"/>
        <v>0.4</v>
      </c>
      <c r="AZ1293" s="15">
        <f t="shared" si="6543"/>
        <v>0.42</v>
      </c>
      <c r="BA1293" s="8"/>
      <c r="BB1293" s="15">
        <f t="shared" ref="BB1293:BE1293" si="6544">BB1223</f>
        <v>0.45</v>
      </c>
      <c r="BC1293" s="15">
        <f t="shared" si="6544"/>
        <v>0.45</v>
      </c>
      <c r="BD1293" s="15">
        <f t="shared" si="6544"/>
        <v>0.45</v>
      </c>
      <c r="BE1293" s="15">
        <f t="shared" si="6544"/>
        <v>0.45</v>
      </c>
      <c r="BF1293" s="8"/>
      <c r="BG1293" s="15">
        <f t="shared" ref="BG1293:BJ1293" si="6545">BG1223</f>
        <v>0.45</v>
      </c>
      <c r="BH1293" s="15">
        <f t="shared" si="6545"/>
        <v>0.45</v>
      </c>
      <c r="BI1293" s="15">
        <f t="shared" si="6545"/>
        <v>0.45</v>
      </c>
      <c r="BJ1293" s="15">
        <f t="shared" si="6545"/>
        <v>0.45</v>
      </c>
      <c r="BK1293" s="8"/>
      <c r="BL1293" s="15">
        <f t="shared" ref="BL1293:BO1293" si="6546">BL1223</f>
        <v>0.45</v>
      </c>
      <c r="BM1293" s="15">
        <f t="shared" si="6546"/>
        <v>0.45</v>
      </c>
      <c r="BN1293" s="15">
        <f t="shared" si="6546"/>
        <v>0.45</v>
      </c>
      <c r="BO1293" s="15">
        <f t="shared" si="6546"/>
        <v>0.45</v>
      </c>
      <c r="BP1293" s="8"/>
      <c r="BQ1293" s="15">
        <f t="shared" ref="BQ1293:BT1293" si="6547">BQ1223</f>
        <v>0.45</v>
      </c>
      <c r="BR1293" s="15">
        <f t="shared" si="6547"/>
        <v>0.45</v>
      </c>
      <c r="BS1293" s="15">
        <f t="shared" si="6547"/>
        <v>0.45</v>
      </c>
      <c r="BT1293" s="15">
        <f t="shared" si="6547"/>
        <v>0.45</v>
      </c>
      <c r="BU1293" s="8"/>
      <c r="BV1293" s="15">
        <f t="shared" ref="BV1293:BY1293" si="6548">BV1223</f>
        <v>0.45</v>
      </c>
      <c r="BW1293" s="15">
        <f t="shared" si="6548"/>
        <v>0.45</v>
      </c>
      <c r="BX1293" s="15">
        <f t="shared" si="6548"/>
        <v>0.45</v>
      </c>
      <c r="BY1293" s="15">
        <f t="shared" si="6548"/>
        <v>0.45</v>
      </c>
      <c r="BZ1293" s="10"/>
      <c r="CA1293" s="15">
        <f t="shared" ref="CA1293:CD1293" si="6549">CA1223</f>
        <v>0.45</v>
      </c>
      <c r="CB1293" s="15">
        <f t="shared" si="6549"/>
        <v>0.45</v>
      </c>
      <c r="CC1293" s="15">
        <f t="shared" si="6549"/>
        <v>0.45</v>
      </c>
      <c r="CD1293" s="15">
        <f t="shared" si="6549"/>
        <v>0.45</v>
      </c>
      <c r="CE1293" s="10"/>
      <c r="CF1293" s="15">
        <f t="shared" ref="CF1293:CI1293" si="6550">CF1223</f>
        <v>0.45</v>
      </c>
      <c r="CG1293" s="15">
        <f t="shared" si="6550"/>
        <v>0.45</v>
      </c>
      <c r="CH1293" s="15">
        <f t="shared" si="6550"/>
        <v>0.45</v>
      </c>
      <c r="CI1293" s="15">
        <f t="shared" si="6550"/>
        <v>0.45</v>
      </c>
      <c r="CJ1293" s="10"/>
      <c r="CK1293" s="15">
        <f t="shared" ref="CK1293:CN1293" si="6551">CK1223</f>
        <v>0.45</v>
      </c>
      <c r="CL1293" s="15">
        <f t="shared" si="6551"/>
        <v>0.45</v>
      </c>
      <c r="CM1293" s="15">
        <f t="shared" si="6551"/>
        <v>0.45</v>
      </c>
      <c r="CN1293" s="40">
        <f t="shared" si="6551"/>
        <v>0.45</v>
      </c>
      <c r="CO1293" s="10"/>
      <c r="CP1293" s="40">
        <f t="shared" ref="CP1293:CS1293" si="6552">CP1223</f>
        <v>0.45</v>
      </c>
      <c r="CQ1293" s="15">
        <f t="shared" si="6552"/>
        <v>0.45</v>
      </c>
      <c r="CR1293" s="15">
        <f t="shared" si="6552"/>
        <v>0.45</v>
      </c>
      <c r="CS1293" s="15">
        <f t="shared" si="6552"/>
        <v>0.45</v>
      </c>
      <c r="CT1293" s="10"/>
      <c r="CU1293" s="15">
        <f t="shared" ref="CU1293:CX1293" si="6553">CU1223</f>
        <v>0.45</v>
      </c>
      <c r="CV1293" s="15">
        <f t="shared" si="6553"/>
        <v>0.45</v>
      </c>
      <c r="CW1293" s="15">
        <f t="shared" si="6553"/>
        <v>0.45</v>
      </c>
      <c r="CX1293" s="15">
        <f t="shared" si="6553"/>
        <v>0.45</v>
      </c>
      <c r="CY1293" s="10"/>
      <c r="CZ1293" s="15">
        <f t="shared" ref="CZ1293:DC1293" si="6554">CZ1223</f>
        <v>0.45</v>
      </c>
      <c r="DA1293" s="15">
        <f t="shared" si="6554"/>
        <v>0.45</v>
      </c>
      <c r="DB1293" s="15">
        <f t="shared" si="6554"/>
        <v>0.45</v>
      </c>
      <c r="DC1293" s="15">
        <f t="shared" si="6554"/>
        <v>0.45</v>
      </c>
      <c r="DD1293" s="10"/>
      <c r="DE1293" s="15">
        <f t="shared" ref="DE1293:DH1293" si="6555">DE1223</f>
        <v>0.45</v>
      </c>
      <c r="DF1293" s="15">
        <f t="shared" si="6555"/>
        <v>0.45</v>
      </c>
      <c r="DG1293" s="40">
        <f t="shared" si="6555"/>
        <v>0.45</v>
      </c>
      <c r="DH1293" s="15">
        <f t="shared" si="6555"/>
        <v>0.45</v>
      </c>
      <c r="DI1293" s="10"/>
      <c r="DJ1293" s="40">
        <f t="shared" ref="DJ1293:DM1293" si="6556">DJ1223</f>
        <v>0.45</v>
      </c>
      <c r="DK1293" s="40">
        <f t="shared" si="6556"/>
        <v>0.45</v>
      </c>
      <c r="DL1293" s="40">
        <f t="shared" si="6556"/>
        <v>0.45</v>
      </c>
      <c r="DM1293" s="15">
        <f t="shared" si="6556"/>
        <v>0.45</v>
      </c>
      <c r="DN1293" s="10"/>
      <c r="DO1293" s="15">
        <f t="shared" ref="DO1293:DR1293" si="6557">DO1223</f>
        <v>0.45</v>
      </c>
      <c r="DP1293" s="15">
        <f t="shared" si="6557"/>
        <v>0.45</v>
      </c>
      <c r="DQ1293" s="15">
        <f t="shared" si="6557"/>
        <v>0.45</v>
      </c>
      <c r="DR1293" s="15">
        <f t="shared" si="6557"/>
        <v>0.45</v>
      </c>
      <c r="DS1293" s="10"/>
      <c r="DT1293" s="15">
        <f t="shared" ref="DT1293:DW1293" si="6558">DT1223</f>
        <v>0.45</v>
      </c>
      <c r="DU1293" s="15">
        <f t="shared" si="6558"/>
        <v>0.45</v>
      </c>
      <c r="DV1293" s="15">
        <f t="shared" si="6558"/>
        <v>0.45</v>
      </c>
      <c r="DW1293" s="15">
        <f t="shared" si="6558"/>
        <v>0.45</v>
      </c>
      <c r="DX1293" s="10"/>
      <c r="DY1293" s="15">
        <f t="shared" ref="DY1293:EB1293" si="6559">DY1223</f>
        <v>0.45</v>
      </c>
      <c r="DZ1293" s="15">
        <f t="shared" si="6559"/>
        <v>0.45</v>
      </c>
      <c r="EA1293" s="15">
        <f t="shared" si="6559"/>
        <v>0.45</v>
      </c>
      <c r="EB1293" s="15">
        <f t="shared" si="6559"/>
        <v>0.45</v>
      </c>
      <c r="EC1293" s="10"/>
      <c r="ED1293" s="15">
        <f t="shared" ref="ED1293:EG1293" si="6560">ED1223</f>
        <v>0.45</v>
      </c>
      <c r="EE1293" s="15">
        <f t="shared" si="6560"/>
        <v>0.45</v>
      </c>
      <c r="EF1293" s="15">
        <f t="shared" si="6560"/>
        <v>0.45</v>
      </c>
      <c r="EG1293" s="15">
        <f t="shared" si="6560"/>
        <v>0.45</v>
      </c>
      <c r="EH1293" s="10"/>
      <c r="EI1293" s="82">
        <f t="shared" ref="EI1293:EL1293" si="6561">EI1223</f>
        <v>0.45</v>
      </c>
      <c r="EJ1293" s="15">
        <f t="shared" si="6561"/>
        <v>0.45</v>
      </c>
      <c r="EK1293" s="15">
        <f t="shared" si="6561"/>
        <v>0.45</v>
      </c>
      <c r="EL1293" s="15">
        <f t="shared" si="6561"/>
        <v>0.45</v>
      </c>
      <c r="EM1293" s="10"/>
      <c r="EN1293" s="15">
        <f t="shared" ref="EN1293:EQ1293" si="6562">EN1223</f>
        <v>0.45</v>
      </c>
      <c r="EO1293" s="15">
        <f t="shared" si="6562"/>
        <v>0.45</v>
      </c>
      <c r="EP1293" s="15">
        <f t="shared" si="6562"/>
        <v>0.45</v>
      </c>
      <c r="EQ1293" s="15">
        <f t="shared" si="6562"/>
        <v>0.45</v>
      </c>
      <c r="ER1293" s="10"/>
      <c r="ES1293" s="15">
        <f t="shared" ref="ES1293:EV1293" si="6563">ES1223</f>
        <v>0.45</v>
      </c>
      <c r="ET1293" s="15">
        <f t="shared" si="6563"/>
        <v>0.45</v>
      </c>
      <c r="EU1293" s="15">
        <f t="shared" si="6563"/>
        <v>0.45</v>
      </c>
      <c r="EV1293" s="15">
        <f t="shared" si="6563"/>
        <v>0.45</v>
      </c>
      <c r="EW1293" s="10"/>
      <c r="EX1293" s="15">
        <f t="shared" ref="EX1293:FA1293" si="6564">EX1223</f>
        <v>0.45</v>
      </c>
      <c r="EY1293" s="15">
        <f t="shared" si="6564"/>
        <v>0.45</v>
      </c>
      <c r="EZ1293" s="15">
        <f t="shared" si="6564"/>
        <v>0.45</v>
      </c>
      <c r="FA1293" s="15">
        <f t="shared" si="6564"/>
        <v>0.45</v>
      </c>
      <c r="FB1293" s="10"/>
      <c r="FC1293" s="15">
        <f t="shared" ref="FC1293:FF1293" si="6565">FC1223</f>
        <v>0.45</v>
      </c>
      <c r="FD1293" s="15">
        <f t="shared" si="6565"/>
        <v>0.45</v>
      </c>
      <c r="FE1293" s="15">
        <f t="shared" si="6565"/>
        <v>0.45</v>
      </c>
      <c r="FF1293" s="15">
        <f t="shared" si="6565"/>
        <v>0.45</v>
      </c>
      <c r="FG1293" s="10"/>
      <c r="FH1293" s="21"/>
      <c r="FI1293" s="4"/>
      <c r="FJ1293" s="4"/>
      <c r="FK1293" s="4"/>
      <c r="FL1293" s="4"/>
    </row>
    <row r="1294" ht="12.75" hidden="1" customHeight="1" outlineLevel="3">
      <c r="A1294" s="4"/>
      <c r="B1294" s="72" t="str">
        <f t="shared" si="6436"/>
        <v>All other</v>
      </c>
      <c r="C1294" s="4"/>
      <c r="D1294" s="15"/>
      <c r="E1294" s="15"/>
      <c r="F1294" s="15"/>
      <c r="G1294" s="15"/>
      <c r="H1294" s="8"/>
      <c r="I1294" s="15"/>
      <c r="J1294" s="15"/>
      <c r="K1294" s="15"/>
      <c r="L1294" s="15"/>
      <c r="M1294" s="8"/>
      <c r="N1294" s="15"/>
      <c r="O1294" s="15"/>
      <c r="P1294" s="15"/>
      <c r="Q1294" s="15"/>
      <c r="R1294" s="8"/>
      <c r="S1294" s="15"/>
      <c r="T1294" s="15"/>
      <c r="U1294" s="15"/>
      <c r="V1294" s="15"/>
      <c r="W1294" s="8"/>
      <c r="X1294" s="15">
        <v>0.3</v>
      </c>
      <c r="Y1294" s="15">
        <v>0.3</v>
      </c>
      <c r="Z1294" s="15">
        <v>0.3</v>
      </c>
      <c r="AA1294" s="15">
        <v>0.3</v>
      </c>
      <c r="AB1294" s="8"/>
      <c r="AC1294" s="15">
        <v>0.3</v>
      </c>
      <c r="AD1294" s="15">
        <v>-0.1</v>
      </c>
      <c r="AE1294" s="15">
        <v>0.3</v>
      </c>
      <c r="AF1294" s="15">
        <v>0.3</v>
      </c>
      <c r="AG1294" s="8"/>
      <c r="AH1294" s="15">
        <v>0.3</v>
      </c>
      <c r="AI1294" s="15">
        <v>0.3</v>
      </c>
      <c r="AJ1294" s="15">
        <v>0.3</v>
      </c>
      <c r="AK1294" s="15">
        <v>0.3</v>
      </c>
      <c r="AL1294" s="8"/>
      <c r="AM1294" s="15">
        <v>0.3</v>
      </c>
      <c r="AN1294" s="15">
        <v>0.3</v>
      </c>
      <c r="AO1294" s="15">
        <f t="shared" ref="AO1294:AP1294" si="6566">AO1224</f>
        <v>0.3</v>
      </c>
      <c r="AP1294" s="15">
        <f t="shared" si="6566"/>
        <v>0.3</v>
      </c>
      <c r="AQ1294" s="8"/>
      <c r="AR1294" s="15">
        <f t="shared" ref="AR1294:AU1294" si="6567">AR1224</f>
        <v>0.3</v>
      </c>
      <c r="AS1294" s="15">
        <f t="shared" si="6567"/>
        <v>0.3</v>
      </c>
      <c r="AT1294" s="15">
        <f t="shared" si="6567"/>
        <v>0.3</v>
      </c>
      <c r="AU1294" s="15">
        <f t="shared" si="6567"/>
        <v>0.3</v>
      </c>
      <c r="AV1294" s="8"/>
      <c r="AW1294" s="15">
        <f t="shared" ref="AW1294:AZ1294" si="6568">AW1224</f>
        <v>0.3</v>
      </c>
      <c r="AX1294" s="15">
        <f t="shared" si="6568"/>
        <v>0.3</v>
      </c>
      <c r="AY1294" s="15">
        <f t="shared" si="6568"/>
        <v>0.3</v>
      </c>
      <c r="AZ1294" s="15">
        <f t="shared" si="6568"/>
        <v>0.3</v>
      </c>
      <c r="BA1294" s="8"/>
      <c r="BB1294" s="15">
        <f t="shared" ref="BB1294:BE1294" si="6569">BB1224</f>
        <v>0.3</v>
      </c>
      <c r="BC1294" s="15">
        <f t="shared" si="6569"/>
        <v>0.3</v>
      </c>
      <c r="BD1294" s="15">
        <f t="shared" si="6569"/>
        <v>0.3</v>
      </c>
      <c r="BE1294" s="15">
        <f t="shared" si="6569"/>
        <v>0.3</v>
      </c>
      <c r="BF1294" s="8"/>
      <c r="BG1294" s="15">
        <f t="shared" ref="BG1294:BJ1294" si="6570">BG1224</f>
        <v>0.3</v>
      </c>
      <c r="BH1294" s="15">
        <f t="shared" si="6570"/>
        <v>0.3</v>
      </c>
      <c r="BI1294" s="15">
        <f t="shared" si="6570"/>
        <v>0.3</v>
      </c>
      <c r="BJ1294" s="15">
        <f t="shared" si="6570"/>
        <v>0.3</v>
      </c>
      <c r="BK1294" s="8"/>
      <c r="BL1294" s="15">
        <f t="shared" ref="BL1294:BO1294" si="6571">BL1224</f>
        <v>0.3</v>
      </c>
      <c r="BM1294" s="15">
        <f t="shared" si="6571"/>
        <v>0.3</v>
      </c>
      <c r="BN1294" s="15">
        <f t="shared" si="6571"/>
        <v>0.3</v>
      </c>
      <c r="BO1294" s="15">
        <f t="shared" si="6571"/>
        <v>0.3</v>
      </c>
      <c r="BP1294" s="8"/>
      <c r="BQ1294" s="15">
        <f t="shared" ref="BQ1294:BT1294" si="6572">BQ1224</f>
        <v>0.3</v>
      </c>
      <c r="BR1294" s="15">
        <f t="shared" si="6572"/>
        <v>0.3</v>
      </c>
      <c r="BS1294" s="15">
        <f t="shared" si="6572"/>
        <v>0.3</v>
      </c>
      <c r="BT1294" s="15">
        <f t="shared" si="6572"/>
        <v>0.3</v>
      </c>
      <c r="BU1294" s="8"/>
      <c r="BV1294" s="15">
        <f t="shared" ref="BV1294:BY1294" si="6573">BV1224</f>
        <v>0.3</v>
      </c>
      <c r="BW1294" s="15">
        <f t="shared" si="6573"/>
        <v>0.3</v>
      </c>
      <c r="BX1294" s="15">
        <f t="shared" si="6573"/>
        <v>0.3</v>
      </c>
      <c r="BY1294" s="15">
        <f t="shared" si="6573"/>
        <v>0.3</v>
      </c>
      <c r="BZ1294" s="10"/>
      <c r="CA1294" s="15">
        <f t="shared" ref="CA1294:CD1294" si="6574">CA1224</f>
        <v>0.3</v>
      </c>
      <c r="CB1294" s="15">
        <f t="shared" si="6574"/>
        <v>0.3</v>
      </c>
      <c r="CC1294" s="15">
        <f t="shared" si="6574"/>
        <v>0.3</v>
      </c>
      <c r="CD1294" s="15">
        <f t="shared" si="6574"/>
        <v>0.3</v>
      </c>
      <c r="CE1294" s="10"/>
      <c r="CF1294" s="15">
        <f t="shared" ref="CF1294:CI1294" si="6575">CF1224</f>
        <v>0.3</v>
      </c>
      <c r="CG1294" s="15">
        <f t="shared" si="6575"/>
        <v>0.3</v>
      </c>
      <c r="CH1294" s="15">
        <f t="shared" si="6575"/>
        <v>0.3</v>
      </c>
      <c r="CI1294" s="15">
        <f t="shared" si="6575"/>
        <v>0.3</v>
      </c>
      <c r="CJ1294" s="10"/>
      <c r="CK1294" s="15">
        <f t="shared" ref="CK1294:CN1294" si="6576">CK1224</f>
        <v>0.3</v>
      </c>
      <c r="CL1294" s="15">
        <f t="shared" si="6576"/>
        <v>0.3</v>
      </c>
      <c r="CM1294" s="15">
        <f t="shared" si="6576"/>
        <v>0.3</v>
      </c>
      <c r="CN1294" s="40">
        <f t="shared" si="6576"/>
        <v>0.3</v>
      </c>
      <c r="CO1294" s="10"/>
      <c r="CP1294" s="40">
        <f t="shared" ref="CP1294:CS1294" si="6577">CP1224</f>
        <v>0.3</v>
      </c>
      <c r="CQ1294" s="15">
        <f t="shared" si="6577"/>
        <v>0.3</v>
      </c>
      <c r="CR1294" s="15">
        <f t="shared" si="6577"/>
        <v>0.3</v>
      </c>
      <c r="CS1294" s="15">
        <f t="shared" si="6577"/>
        <v>0.3</v>
      </c>
      <c r="CT1294" s="10"/>
      <c r="CU1294" s="15">
        <f t="shared" ref="CU1294:CX1294" si="6578">CU1224</f>
        <v>0.3</v>
      </c>
      <c r="CV1294" s="15">
        <f t="shared" si="6578"/>
        <v>0.3</v>
      </c>
      <c r="CW1294" s="15">
        <f t="shared" si="6578"/>
        <v>0.3</v>
      </c>
      <c r="CX1294" s="15">
        <f t="shared" si="6578"/>
        <v>0.3</v>
      </c>
      <c r="CY1294" s="10"/>
      <c r="CZ1294" s="15">
        <f t="shared" ref="CZ1294:DC1294" si="6579">CZ1224</f>
        <v>0.3</v>
      </c>
      <c r="DA1294" s="15">
        <f t="shared" si="6579"/>
        <v>0.3</v>
      </c>
      <c r="DB1294" s="15">
        <f t="shared" si="6579"/>
        <v>0.3</v>
      </c>
      <c r="DC1294" s="15">
        <f t="shared" si="6579"/>
        <v>0.3</v>
      </c>
      <c r="DD1294" s="10"/>
      <c r="DE1294" s="15">
        <f t="shared" ref="DE1294:DH1294" si="6580">DE1224</f>
        <v>0.3</v>
      </c>
      <c r="DF1294" s="15">
        <f t="shared" si="6580"/>
        <v>0.3</v>
      </c>
      <c r="DG1294" s="40">
        <f t="shared" si="6580"/>
        <v>0.3</v>
      </c>
      <c r="DH1294" s="15">
        <f t="shared" si="6580"/>
        <v>0.3</v>
      </c>
      <c r="DI1294" s="10"/>
      <c r="DJ1294" s="40">
        <f t="shared" ref="DJ1294:DM1294" si="6581">DJ1224</f>
        <v>0.3</v>
      </c>
      <c r="DK1294" s="40">
        <f t="shared" si="6581"/>
        <v>0.3</v>
      </c>
      <c r="DL1294" s="40">
        <f t="shared" si="6581"/>
        <v>0.3</v>
      </c>
      <c r="DM1294" s="15">
        <f t="shared" si="6581"/>
        <v>0.3</v>
      </c>
      <c r="DN1294" s="10"/>
      <c r="DO1294" s="15">
        <f t="shared" ref="DO1294:DR1294" si="6582">DO1224</f>
        <v>0.3</v>
      </c>
      <c r="DP1294" s="15">
        <f t="shared" si="6582"/>
        <v>0.3</v>
      </c>
      <c r="DQ1294" s="15">
        <f t="shared" si="6582"/>
        <v>0.3</v>
      </c>
      <c r="DR1294" s="15">
        <f t="shared" si="6582"/>
        <v>0.3</v>
      </c>
      <c r="DS1294" s="10"/>
      <c r="DT1294" s="15">
        <f t="shared" ref="DT1294:DW1294" si="6583">DT1224</f>
        <v>0.3</v>
      </c>
      <c r="DU1294" s="15">
        <f t="shared" si="6583"/>
        <v>0.3</v>
      </c>
      <c r="DV1294" s="15">
        <f t="shared" si="6583"/>
        <v>0.3</v>
      </c>
      <c r="DW1294" s="15">
        <f t="shared" si="6583"/>
        <v>0.3</v>
      </c>
      <c r="DX1294" s="10"/>
      <c r="DY1294" s="15">
        <f t="shared" ref="DY1294:EB1294" si="6584">DY1224</f>
        <v>0.3</v>
      </c>
      <c r="DZ1294" s="15">
        <f t="shared" si="6584"/>
        <v>0.3</v>
      </c>
      <c r="EA1294" s="15">
        <f t="shared" si="6584"/>
        <v>0.3</v>
      </c>
      <c r="EB1294" s="15">
        <f t="shared" si="6584"/>
        <v>0.3</v>
      </c>
      <c r="EC1294" s="10"/>
      <c r="ED1294" s="15">
        <f t="shared" ref="ED1294:EG1294" si="6585">ED1224</f>
        <v>0.3</v>
      </c>
      <c r="EE1294" s="15">
        <f t="shared" si="6585"/>
        <v>0.3</v>
      </c>
      <c r="EF1294" s="15">
        <f t="shared" si="6585"/>
        <v>0.3</v>
      </c>
      <c r="EG1294" s="15">
        <f t="shared" si="6585"/>
        <v>0.3</v>
      </c>
      <c r="EH1294" s="10"/>
      <c r="EI1294" s="82">
        <f t="shared" ref="EI1294:EL1294" si="6586">EI1224</f>
        <v>0.3</v>
      </c>
      <c r="EJ1294" s="15">
        <f t="shared" si="6586"/>
        <v>0.3</v>
      </c>
      <c r="EK1294" s="15">
        <f t="shared" si="6586"/>
        <v>0.3</v>
      </c>
      <c r="EL1294" s="15">
        <f t="shared" si="6586"/>
        <v>0.3</v>
      </c>
      <c r="EM1294" s="10"/>
      <c r="EN1294" s="15">
        <f t="shared" ref="EN1294:EQ1294" si="6587">EN1224</f>
        <v>0.3</v>
      </c>
      <c r="EO1294" s="15">
        <f t="shared" si="6587"/>
        <v>0.3</v>
      </c>
      <c r="EP1294" s="15">
        <f t="shared" si="6587"/>
        <v>0.3</v>
      </c>
      <c r="EQ1294" s="15">
        <f t="shared" si="6587"/>
        <v>0.3</v>
      </c>
      <c r="ER1294" s="10"/>
      <c r="ES1294" s="15">
        <f t="shared" ref="ES1294:EV1294" si="6588">ES1224</f>
        <v>0.3</v>
      </c>
      <c r="ET1294" s="15">
        <f t="shared" si="6588"/>
        <v>0.3</v>
      </c>
      <c r="EU1294" s="15">
        <f t="shared" si="6588"/>
        <v>0.3</v>
      </c>
      <c r="EV1294" s="15">
        <f t="shared" si="6588"/>
        <v>0.3</v>
      </c>
      <c r="EW1294" s="10"/>
      <c r="EX1294" s="15">
        <f t="shared" ref="EX1294:FA1294" si="6589">EX1224</f>
        <v>0.3</v>
      </c>
      <c r="EY1294" s="15">
        <f t="shared" si="6589"/>
        <v>0.3</v>
      </c>
      <c r="EZ1294" s="15">
        <f t="shared" si="6589"/>
        <v>0.3</v>
      </c>
      <c r="FA1294" s="15">
        <f t="shared" si="6589"/>
        <v>0.3</v>
      </c>
      <c r="FB1294" s="10"/>
      <c r="FC1294" s="15">
        <f t="shared" ref="FC1294:FF1294" si="6590">FC1224</f>
        <v>0.3</v>
      </c>
      <c r="FD1294" s="15">
        <f t="shared" si="6590"/>
        <v>0.3</v>
      </c>
      <c r="FE1294" s="15">
        <f t="shared" si="6590"/>
        <v>0.3</v>
      </c>
      <c r="FF1294" s="15">
        <f t="shared" si="6590"/>
        <v>0.3</v>
      </c>
      <c r="FG1294" s="10"/>
      <c r="FH1294" s="21"/>
      <c r="FI1294" s="4"/>
      <c r="FJ1294" s="4"/>
      <c r="FK1294" s="4"/>
      <c r="FL1294" s="4"/>
    </row>
    <row r="1295" ht="12.75" hidden="1" customHeight="1" outlineLevel="3">
      <c r="A1295" s="4"/>
      <c r="B1295" s="4" t="str">
        <f t="shared" si="6436"/>
        <v>ICG/All other</v>
      </c>
      <c r="C1295" s="4"/>
      <c r="D1295" s="15"/>
      <c r="E1295" s="15"/>
      <c r="F1295" s="15"/>
      <c r="G1295" s="15"/>
      <c r="H1295" s="8"/>
      <c r="I1295" s="15"/>
      <c r="J1295" s="15"/>
      <c r="K1295" s="15"/>
      <c r="L1295" s="15"/>
      <c r="M1295" s="8"/>
      <c r="N1295" s="15"/>
      <c r="O1295" s="15"/>
      <c r="P1295" s="15"/>
      <c r="Q1295" s="15"/>
      <c r="R1295" s="8"/>
      <c r="S1295" s="15"/>
      <c r="T1295" s="15"/>
      <c r="U1295" s="15"/>
      <c r="V1295" s="15"/>
      <c r="W1295" s="8"/>
      <c r="X1295" s="15">
        <f t="shared" ref="X1295:AA1295" si="6591">+X1282/X857</f>
        <v>0.3580910057</v>
      </c>
      <c r="Y1295" s="15">
        <f t="shared" si="6591"/>
        <v>0.3656644452</v>
      </c>
      <c r="Z1295" s="15">
        <f t="shared" si="6591"/>
        <v>0.4118133491</v>
      </c>
      <c r="AA1295" s="15">
        <f t="shared" si="6591"/>
        <v>0.3998379254</v>
      </c>
      <c r="AB1295" s="8"/>
      <c r="AC1295" s="15">
        <f t="shared" ref="AC1295:AF1295" si="6592">+AC1282/AC857</f>
        <v>0.332869171</v>
      </c>
      <c r="AD1295" s="15">
        <f t="shared" si="6592"/>
        <v>-0.01541010771</v>
      </c>
      <c r="AE1295" s="15">
        <f t="shared" si="6592"/>
        <v>0.2398871528</v>
      </c>
      <c r="AF1295" s="15">
        <f t="shared" si="6592"/>
        <v>0.2842857143</v>
      </c>
      <c r="AG1295" s="8"/>
      <c r="AH1295" s="15">
        <f t="shared" ref="AH1295:AK1295" si="6593">+AH1282/AH857</f>
        <v>0.3087364265</v>
      </c>
      <c r="AI1295" s="15">
        <f t="shared" si="6593"/>
        <v>0.3005424955</v>
      </c>
      <c r="AJ1295" s="15">
        <f t="shared" si="6593"/>
        <v>0.3077484047</v>
      </c>
      <c r="AK1295" s="15">
        <f t="shared" si="6593"/>
        <v>0.307711039</v>
      </c>
      <c r="AL1295" s="8"/>
      <c r="AM1295" s="15">
        <f t="shared" ref="AM1295:AP1295" si="6594">+AM1282/AM857</f>
        <v>0.4681130172</v>
      </c>
      <c r="AN1295" s="15">
        <f t="shared" si="6594"/>
        <v>0.2763479145</v>
      </c>
      <c r="AO1295" s="15">
        <f t="shared" si="6594"/>
        <v>0.3772864322</v>
      </c>
      <c r="AP1295" s="15">
        <f t="shared" si="6594"/>
        <v>0.3991588785</v>
      </c>
      <c r="AQ1295" s="8"/>
      <c r="AR1295" s="15">
        <f t="shared" ref="AR1295:AU1295" si="6595">+AR1282/AR857</f>
        <v>0.3755909944</v>
      </c>
      <c r="AS1295" s="15">
        <f t="shared" si="6595"/>
        <v>0.3958823529</v>
      </c>
      <c r="AT1295" s="15">
        <f t="shared" si="6595"/>
        <v>0.2923405851</v>
      </c>
      <c r="AU1295" s="15">
        <f t="shared" si="6595"/>
        <v>0.312251462</v>
      </c>
      <c r="AV1295" s="8"/>
      <c r="AW1295" s="15" t="str">
        <f t="shared" ref="AW1295:AZ1295" si="6596">+AW1282/AW857</f>
        <v>#ERROR!</v>
      </c>
      <c r="AX1295" s="15" t="str">
        <f t="shared" si="6596"/>
        <v>#ERROR!</v>
      </c>
      <c r="AY1295" s="15" t="str">
        <f t="shared" si="6596"/>
        <v>#ERROR!</v>
      </c>
      <c r="AZ1295" s="15" t="str">
        <f t="shared" si="6596"/>
        <v>#ERROR!</v>
      </c>
      <c r="BA1295" s="8"/>
      <c r="BB1295" s="15" t="str">
        <f t="shared" ref="BB1295:BE1295" si="6597">+BB1282/BB857</f>
        <v>#ERROR!</v>
      </c>
      <c r="BC1295" s="15" t="str">
        <f t="shared" si="6597"/>
        <v>#ERROR!</v>
      </c>
      <c r="BD1295" s="15" t="str">
        <f t="shared" si="6597"/>
        <v>#ERROR!</v>
      </c>
      <c r="BE1295" s="15" t="str">
        <f t="shared" si="6597"/>
        <v>#ERROR!</v>
      </c>
      <c r="BF1295" s="8"/>
      <c r="BG1295" s="15" t="str">
        <f t="shared" ref="BG1295:BJ1295" si="6598">+BG1282/BG857</f>
        <v>#ERROR!</v>
      </c>
      <c r="BH1295" s="15" t="str">
        <f t="shared" si="6598"/>
        <v>#ERROR!</v>
      </c>
      <c r="BI1295" s="15" t="str">
        <f t="shared" si="6598"/>
        <v>#ERROR!</v>
      </c>
      <c r="BJ1295" s="15" t="str">
        <f t="shared" si="6598"/>
        <v>#ERROR!</v>
      </c>
      <c r="BK1295" s="8"/>
      <c r="BL1295" s="15" t="str">
        <f t="shared" ref="BL1295:BO1295" si="6599">+BL1282/BL857</f>
        <v>#ERROR!</v>
      </c>
      <c r="BM1295" s="15" t="str">
        <f t="shared" si="6599"/>
        <v>#ERROR!</v>
      </c>
      <c r="BN1295" s="15" t="str">
        <f t="shared" si="6599"/>
        <v>#ERROR!</v>
      </c>
      <c r="BO1295" s="15" t="str">
        <f t="shared" si="6599"/>
        <v>#ERROR!</v>
      </c>
      <c r="BP1295" s="8"/>
      <c r="BQ1295" s="15" t="str">
        <f t="shared" ref="BQ1295:BT1295" si="6600">+BQ1282/BQ857</f>
        <v>#ERROR!</v>
      </c>
      <c r="BR1295" s="15" t="str">
        <f t="shared" si="6600"/>
        <v>#ERROR!</v>
      </c>
      <c r="BS1295" s="15">
        <f t="shared" si="6600"/>
        <v>0.4199776231</v>
      </c>
      <c r="BT1295" s="15" t="str">
        <f t="shared" si="6600"/>
        <v>#ERROR!</v>
      </c>
      <c r="BU1295" s="8"/>
      <c r="BV1295" s="15" t="str">
        <f t="shared" ref="BV1295:BY1295" si="6601">+BV1282/BV857</f>
        <v>#ERROR!</v>
      </c>
      <c r="BW1295" s="15" t="str">
        <f t="shared" si="6601"/>
        <v>#ERROR!</v>
      </c>
      <c r="BX1295" s="15" t="str">
        <f t="shared" si="6601"/>
        <v>#ERROR!</v>
      </c>
      <c r="BY1295" s="15" t="str">
        <f t="shared" si="6601"/>
        <v>#ERROR!</v>
      </c>
      <c r="BZ1295" s="10"/>
      <c r="CA1295" s="15" t="str">
        <f t="shared" ref="CA1295:CD1295" si="6602">+CA1282/CA857</f>
        <v>#ERROR!</v>
      </c>
      <c r="CB1295" s="15" t="str">
        <f t="shared" si="6602"/>
        <v>#ERROR!</v>
      </c>
      <c r="CC1295" s="15" t="str">
        <f t="shared" si="6602"/>
        <v>#ERROR!</v>
      </c>
      <c r="CD1295" s="15" t="str">
        <f t="shared" si="6602"/>
        <v>#ERROR!</v>
      </c>
      <c r="CE1295" s="10"/>
      <c r="CF1295" s="15" t="str">
        <f t="shared" ref="CF1295:CI1295" si="6603">+CF1282/CF857</f>
        <v>#ERROR!</v>
      </c>
      <c r="CG1295" s="15" t="str">
        <f t="shared" si="6603"/>
        <v>#ERROR!</v>
      </c>
      <c r="CH1295" s="15" t="str">
        <f t="shared" si="6603"/>
        <v>#ERROR!</v>
      </c>
      <c r="CI1295" s="15" t="str">
        <f t="shared" si="6603"/>
        <v>#ERROR!</v>
      </c>
      <c r="CJ1295" s="10"/>
      <c r="CK1295" s="15" t="str">
        <f t="shared" ref="CK1295:CN1295" si="6604">+CK1282/CK857</f>
        <v>#ERROR!</v>
      </c>
      <c r="CL1295" s="15" t="str">
        <f t="shared" si="6604"/>
        <v>#ERROR!</v>
      </c>
      <c r="CM1295" s="15" t="str">
        <f t="shared" si="6604"/>
        <v>#ERROR!</v>
      </c>
      <c r="CN1295" s="40" t="str">
        <f t="shared" si="6604"/>
        <v>#ERROR!</v>
      </c>
      <c r="CO1295" s="10"/>
      <c r="CP1295" s="40" t="str">
        <f t="shared" ref="CP1295:CS1295" si="6605">+CP1282/CP857</f>
        <v>#ERROR!</v>
      </c>
      <c r="CQ1295" s="15" t="str">
        <f t="shared" si="6605"/>
        <v>#ERROR!</v>
      </c>
      <c r="CR1295" s="15" t="str">
        <f t="shared" si="6605"/>
        <v>#ERROR!</v>
      </c>
      <c r="CS1295" s="15" t="str">
        <f t="shared" si="6605"/>
        <v>#ERROR!</v>
      </c>
      <c r="CT1295" s="10"/>
      <c r="CU1295" s="15" t="str">
        <f t="shared" ref="CU1295:CX1295" si="6606">+CU1282/CU857</f>
        <v>#ERROR!</v>
      </c>
      <c r="CV1295" s="15" t="str">
        <f t="shared" si="6606"/>
        <v>#ERROR!</v>
      </c>
      <c r="CW1295" s="15" t="str">
        <f t="shared" si="6606"/>
        <v>#ERROR!</v>
      </c>
      <c r="CX1295" s="15" t="str">
        <f t="shared" si="6606"/>
        <v>#ERROR!</v>
      </c>
      <c r="CY1295" s="10"/>
      <c r="CZ1295" s="15" t="str">
        <f t="shared" ref="CZ1295:DC1295" si="6607">+CZ1282/CZ857</f>
        <v>#ERROR!</v>
      </c>
      <c r="DA1295" s="15" t="str">
        <f t="shared" si="6607"/>
        <v>#ERROR!</v>
      </c>
      <c r="DB1295" s="15" t="str">
        <f t="shared" si="6607"/>
        <v>#ERROR!</v>
      </c>
      <c r="DC1295" s="15" t="str">
        <f t="shared" si="6607"/>
        <v>#ERROR!</v>
      </c>
      <c r="DD1295" s="10"/>
      <c r="DE1295" s="15" t="str">
        <f t="shared" ref="DE1295:DH1295" si="6608">+DE1282/DE857</f>
        <v>#ERROR!</v>
      </c>
      <c r="DF1295" s="15" t="str">
        <f t="shared" si="6608"/>
        <v>#ERROR!</v>
      </c>
      <c r="DG1295" s="40" t="str">
        <f t="shared" si="6608"/>
        <v>#ERROR!</v>
      </c>
      <c r="DH1295" s="15" t="str">
        <f t="shared" si="6608"/>
        <v>#ERROR!</v>
      </c>
      <c r="DI1295" s="10"/>
      <c r="DJ1295" s="40" t="str">
        <f t="shared" ref="DJ1295:DM1295" si="6609">+DJ1282/DJ857</f>
        <v>#ERROR!</v>
      </c>
      <c r="DK1295" s="40" t="str">
        <f t="shared" si="6609"/>
        <v>#ERROR!</v>
      </c>
      <c r="DL1295" s="40" t="str">
        <f t="shared" si="6609"/>
        <v>#ERROR!</v>
      </c>
      <c r="DM1295" s="15" t="str">
        <f t="shared" si="6609"/>
        <v>#ERROR!</v>
      </c>
      <c r="DN1295" s="10"/>
      <c r="DO1295" s="15" t="str">
        <f t="shared" ref="DO1295:DR1295" si="6610">+DO1282/DO857</f>
        <v>#ERROR!</v>
      </c>
      <c r="DP1295" s="15" t="str">
        <f t="shared" si="6610"/>
        <v>#ERROR!</v>
      </c>
      <c r="DQ1295" s="15" t="str">
        <f t="shared" si="6610"/>
        <v>#ERROR!</v>
      </c>
      <c r="DR1295" s="15" t="str">
        <f t="shared" si="6610"/>
        <v>#ERROR!</v>
      </c>
      <c r="DS1295" s="10"/>
      <c r="DT1295" s="15" t="str">
        <f t="shared" ref="DT1295:DW1295" si="6611">+DT1282/DT857</f>
        <v>#ERROR!</v>
      </c>
      <c r="DU1295" s="15" t="str">
        <f t="shared" si="6611"/>
        <v>#ERROR!</v>
      </c>
      <c r="DV1295" s="15" t="str">
        <f t="shared" si="6611"/>
        <v>#ERROR!</v>
      </c>
      <c r="DW1295" s="15" t="str">
        <f t="shared" si="6611"/>
        <v>#ERROR!</v>
      </c>
      <c r="DX1295" s="10"/>
      <c r="DY1295" s="15" t="str">
        <f t="shared" ref="DY1295:EB1295" si="6612">+DY1282/DY857</f>
        <v>#ERROR!</v>
      </c>
      <c r="DZ1295" s="15" t="str">
        <f t="shared" si="6612"/>
        <v>#ERROR!</v>
      </c>
      <c r="EA1295" s="15" t="str">
        <f t="shared" si="6612"/>
        <v>#ERROR!</v>
      </c>
      <c r="EB1295" s="15" t="str">
        <f t="shared" si="6612"/>
        <v>#ERROR!</v>
      </c>
      <c r="EC1295" s="10"/>
      <c r="ED1295" s="15" t="str">
        <f t="shared" ref="ED1295:EG1295" si="6613">+ED1282/ED857</f>
        <v>#ERROR!</v>
      </c>
      <c r="EE1295" s="15" t="str">
        <f t="shared" si="6613"/>
        <v>#ERROR!</v>
      </c>
      <c r="EF1295" s="15" t="str">
        <f t="shared" si="6613"/>
        <v>#ERROR!</v>
      </c>
      <c r="EG1295" s="15" t="str">
        <f t="shared" si="6613"/>
        <v>#ERROR!</v>
      </c>
      <c r="EH1295" s="10"/>
      <c r="EI1295" s="82" t="str">
        <f t="shared" ref="EI1295:EL1295" si="6614">+EI1282/EI857</f>
        <v>#ERROR!</v>
      </c>
      <c r="EJ1295" s="15" t="str">
        <f t="shared" si="6614"/>
        <v>#ERROR!</v>
      </c>
      <c r="EK1295" s="15" t="str">
        <f t="shared" si="6614"/>
        <v>#ERROR!</v>
      </c>
      <c r="EL1295" s="15" t="str">
        <f t="shared" si="6614"/>
        <v>#ERROR!</v>
      </c>
      <c r="EM1295" s="10"/>
      <c r="EN1295" s="15" t="str">
        <f t="shared" ref="EN1295:EQ1295" si="6615">+EN1282/EN857</f>
        <v>#ERROR!</v>
      </c>
      <c r="EO1295" s="15" t="str">
        <f t="shared" si="6615"/>
        <v>#ERROR!</v>
      </c>
      <c r="EP1295" s="15" t="str">
        <f t="shared" si="6615"/>
        <v>#ERROR!</v>
      </c>
      <c r="EQ1295" s="15" t="str">
        <f t="shared" si="6615"/>
        <v>#ERROR!</v>
      </c>
      <c r="ER1295" s="10"/>
      <c r="ES1295" s="15" t="str">
        <f t="shared" ref="ES1295:EV1295" si="6616">+ES1282/ES857</f>
        <v>#ERROR!</v>
      </c>
      <c r="ET1295" s="15" t="str">
        <f t="shared" si="6616"/>
        <v>#ERROR!</v>
      </c>
      <c r="EU1295" s="15" t="str">
        <f t="shared" si="6616"/>
        <v>#ERROR!</v>
      </c>
      <c r="EV1295" s="15" t="str">
        <f t="shared" si="6616"/>
        <v>#ERROR!</v>
      </c>
      <c r="EW1295" s="10"/>
      <c r="EX1295" s="15" t="str">
        <f t="shared" ref="EX1295:FA1295" si="6617">+EX1282/EX857</f>
        <v>#ERROR!</v>
      </c>
      <c r="EY1295" s="15" t="str">
        <f t="shared" si="6617"/>
        <v>#ERROR!</v>
      </c>
      <c r="EZ1295" s="15" t="str">
        <f t="shared" si="6617"/>
        <v>#ERROR!</v>
      </c>
      <c r="FA1295" s="15" t="str">
        <f t="shared" si="6617"/>
        <v>#ERROR!</v>
      </c>
      <c r="FB1295" s="10"/>
      <c r="FC1295" s="15" t="str">
        <f t="shared" ref="FC1295:FF1295" si="6618">+FC1282/FC857</f>
        <v>#ERROR!</v>
      </c>
      <c r="FD1295" s="15" t="str">
        <f t="shared" si="6618"/>
        <v>#ERROR!</v>
      </c>
      <c r="FE1295" s="15" t="str">
        <f t="shared" si="6618"/>
        <v>#ERROR!</v>
      </c>
      <c r="FF1295" s="15" t="str">
        <f t="shared" si="6618"/>
        <v>#ERROR!</v>
      </c>
      <c r="FG1295" s="10"/>
      <c r="FH1295" s="21"/>
      <c r="FI1295" s="4"/>
      <c r="FJ1295" s="4"/>
      <c r="FK1295" s="4"/>
      <c r="FL1295" s="4"/>
    </row>
    <row r="1296" ht="13.5" hidden="1" customHeight="1" outlineLevel="3">
      <c r="A1296" s="4"/>
      <c r="B1296" s="760" t="s">
        <v>291</v>
      </c>
      <c r="C1296" s="760"/>
      <c r="D1296" s="606"/>
      <c r="E1296" s="606"/>
      <c r="F1296" s="606"/>
      <c r="G1296" s="606"/>
      <c r="H1296" s="764"/>
      <c r="I1296" s="606"/>
      <c r="J1296" s="606"/>
      <c r="K1296" s="606"/>
      <c r="L1296" s="606"/>
      <c r="M1296" s="764"/>
      <c r="N1296" s="606"/>
      <c r="O1296" s="606"/>
      <c r="P1296" s="606"/>
      <c r="Q1296" s="606"/>
      <c r="R1296" s="764"/>
      <c r="S1296" s="606"/>
      <c r="T1296" s="606"/>
      <c r="U1296" s="606"/>
      <c r="V1296" s="606"/>
      <c r="W1296" s="764"/>
      <c r="X1296" s="606">
        <f t="shared" ref="X1296:AA1296" si="6619">+X1283/X858</f>
        <v>0.6253439885</v>
      </c>
      <c r="Y1296" s="606">
        <f t="shared" si="6619"/>
        <v>0.6037837241</v>
      </c>
      <c r="Z1296" s="606">
        <f t="shared" si="6619"/>
        <v>0.6375816745</v>
      </c>
      <c r="AA1296" s="606">
        <f t="shared" si="6619"/>
        <v>0.6286927704</v>
      </c>
      <c r="AB1296" s="764"/>
      <c r="AC1296" s="606" t="str">
        <f t="shared" ref="AC1296:AF1296" si="6620">+AC1283/AC858</f>
        <v>#ERROR!</v>
      </c>
      <c r="AD1296" s="606" t="str">
        <f t="shared" si="6620"/>
        <v>#ERROR!</v>
      </c>
      <c r="AE1296" s="606" t="str">
        <f t="shared" si="6620"/>
        <v>#ERROR!</v>
      </c>
      <c r="AF1296" s="606" t="str">
        <f t="shared" si="6620"/>
        <v>#ERROR!</v>
      </c>
      <c r="AG1296" s="764"/>
      <c r="AH1296" s="606">
        <f t="shared" ref="AH1296:AK1296" si="6621">+AH1283/AH858</f>
        <v>0.5109961658</v>
      </c>
      <c r="AI1296" s="606">
        <f t="shared" si="6621"/>
        <v>0.4708458617</v>
      </c>
      <c r="AJ1296" s="606">
        <f t="shared" si="6621"/>
        <v>0.4877137146</v>
      </c>
      <c r="AK1296" s="606">
        <f t="shared" si="6621"/>
        <v>0.5151765363</v>
      </c>
      <c r="AL1296" s="764"/>
      <c r="AM1296" s="606">
        <f t="shared" ref="AM1296:AP1296" si="6622">+AM1283/AM858</f>
        <v>0.5117541105</v>
      </c>
      <c r="AN1296" s="606">
        <f t="shared" si="6622"/>
        <v>0.5085064554</v>
      </c>
      <c r="AO1296" s="606">
        <f t="shared" si="6622"/>
        <v>0.5805065747</v>
      </c>
      <c r="AP1296" s="606">
        <f t="shared" si="6622"/>
        <v>0.6281958586</v>
      </c>
      <c r="AQ1296" s="764"/>
      <c r="AR1296" s="606" t="str">
        <f t="shared" ref="AR1296:AU1296" si="6623">+AR1283/AR858</f>
        <v>#ERROR!</v>
      </c>
      <c r="AS1296" s="606" t="str">
        <f t="shared" si="6623"/>
        <v>#ERROR!</v>
      </c>
      <c r="AT1296" s="606" t="str">
        <f t="shared" si="6623"/>
        <v>#ERROR!</v>
      </c>
      <c r="AU1296" s="606" t="str">
        <f t="shared" si="6623"/>
        <v>#ERROR!</v>
      </c>
      <c r="AV1296" s="764"/>
      <c r="AW1296" s="606" t="str">
        <f t="shared" ref="AW1296:AZ1296" si="6624">+AW1283/AW858</f>
        <v>#ERROR!</v>
      </c>
      <c r="AX1296" s="606" t="str">
        <f t="shared" si="6624"/>
        <v>#ERROR!</v>
      </c>
      <c r="AY1296" s="606" t="str">
        <f t="shared" si="6624"/>
        <v>#ERROR!</v>
      </c>
      <c r="AZ1296" s="606" t="str">
        <f t="shared" si="6624"/>
        <v>#ERROR!</v>
      </c>
      <c r="BA1296" s="764"/>
      <c r="BB1296" s="606" t="str">
        <f t="shared" ref="BB1296:BE1296" si="6625">+BB1283/BB858</f>
        <v>#ERROR!</v>
      </c>
      <c r="BC1296" s="606" t="str">
        <f t="shared" si="6625"/>
        <v>#ERROR!</v>
      </c>
      <c r="BD1296" s="606" t="str">
        <f t="shared" si="6625"/>
        <v>#ERROR!</v>
      </c>
      <c r="BE1296" s="606" t="str">
        <f t="shared" si="6625"/>
        <v>#ERROR!</v>
      </c>
      <c r="BF1296" s="764"/>
      <c r="BG1296" s="606" t="str">
        <f t="shared" ref="BG1296:BJ1296" si="6626">+BG1283/BG858</f>
        <v>#ERROR!</v>
      </c>
      <c r="BH1296" s="606" t="str">
        <f t="shared" si="6626"/>
        <v>#ERROR!</v>
      </c>
      <c r="BI1296" s="606" t="str">
        <f t="shared" si="6626"/>
        <v>#ERROR!</v>
      </c>
      <c r="BJ1296" s="606" t="str">
        <f t="shared" si="6626"/>
        <v>#ERROR!</v>
      </c>
      <c r="BK1296" s="764"/>
      <c r="BL1296" s="606" t="str">
        <f t="shared" ref="BL1296:BO1296" si="6627">+BL1283/BL858</f>
        <v>#ERROR!</v>
      </c>
      <c r="BM1296" s="606" t="str">
        <f t="shared" si="6627"/>
        <v>#ERROR!</v>
      </c>
      <c r="BN1296" s="606" t="str">
        <f t="shared" si="6627"/>
        <v>#ERROR!</v>
      </c>
      <c r="BO1296" s="606" t="str">
        <f t="shared" si="6627"/>
        <v>#ERROR!</v>
      </c>
      <c r="BP1296" s="764"/>
      <c r="BQ1296" s="606" t="str">
        <f t="shared" ref="BQ1296:BT1296" si="6628">+BQ1283/BQ858</f>
        <v>#ERROR!</v>
      </c>
      <c r="BR1296" s="606" t="str">
        <f t="shared" si="6628"/>
        <v>#ERROR!</v>
      </c>
      <c r="BS1296" s="606" t="str">
        <f t="shared" si="6628"/>
        <v>#ERROR!</v>
      </c>
      <c r="BT1296" s="606" t="str">
        <f t="shared" si="6628"/>
        <v>#ERROR!</v>
      </c>
      <c r="BU1296" s="764"/>
      <c r="BV1296" s="606" t="str">
        <f t="shared" ref="BV1296:BY1296" si="6629">+BV1283/BV858</f>
        <v>#ERROR!</v>
      </c>
      <c r="BW1296" s="606" t="str">
        <f t="shared" si="6629"/>
        <v>#ERROR!</v>
      </c>
      <c r="BX1296" s="606" t="str">
        <f t="shared" si="6629"/>
        <v>#ERROR!</v>
      </c>
      <c r="BY1296" s="606" t="str">
        <f t="shared" si="6629"/>
        <v>#ERROR!</v>
      </c>
      <c r="BZ1296" s="765"/>
      <c r="CA1296" s="606" t="str">
        <f t="shared" ref="CA1296:CD1296" si="6630">+CA1283/CA858</f>
        <v>#ERROR!</v>
      </c>
      <c r="CB1296" s="606" t="str">
        <f t="shared" si="6630"/>
        <v>#ERROR!</v>
      </c>
      <c r="CC1296" s="606" t="str">
        <f t="shared" si="6630"/>
        <v>#ERROR!</v>
      </c>
      <c r="CD1296" s="606" t="str">
        <f t="shared" si="6630"/>
        <v>#ERROR!</v>
      </c>
      <c r="CE1296" s="765"/>
      <c r="CF1296" s="606" t="str">
        <f t="shared" ref="CF1296:CI1296" si="6631">+CF1283/CF858</f>
        <v>#ERROR!</v>
      </c>
      <c r="CG1296" s="606" t="str">
        <f t="shared" si="6631"/>
        <v>#ERROR!</v>
      </c>
      <c r="CH1296" s="606" t="str">
        <f t="shared" si="6631"/>
        <v>#ERROR!</v>
      </c>
      <c r="CI1296" s="606" t="str">
        <f t="shared" si="6631"/>
        <v>#ERROR!</v>
      </c>
      <c r="CJ1296" s="765"/>
      <c r="CK1296" s="606" t="str">
        <f t="shared" ref="CK1296:CN1296" si="6632">+CK1283/CK858</f>
        <v>#ERROR!</v>
      </c>
      <c r="CL1296" s="606" t="str">
        <f t="shared" si="6632"/>
        <v>#ERROR!</v>
      </c>
      <c r="CM1296" s="606" t="str">
        <f t="shared" si="6632"/>
        <v>#ERROR!</v>
      </c>
      <c r="CN1296" s="607" t="str">
        <f t="shared" si="6632"/>
        <v>#ERROR!</v>
      </c>
      <c r="CO1296" s="765"/>
      <c r="CP1296" s="607" t="str">
        <f t="shared" ref="CP1296:CS1296" si="6633">+CP1283/CP858</f>
        <v>#ERROR!</v>
      </c>
      <c r="CQ1296" s="606" t="str">
        <f t="shared" si="6633"/>
        <v>#ERROR!</v>
      </c>
      <c r="CR1296" s="606" t="str">
        <f t="shared" si="6633"/>
        <v>#ERROR!</v>
      </c>
      <c r="CS1296" s="606" t="str">
        <f t="shared" si="6633"/>
        <v>#ERROR!</v>
      </c>
      <c r="CT1296" s="765"/>
      <c r="CU1296" s="606" t="str">
        <f t="shared" ref="CU1296:CX1296" si="6634">+CU1283/CU858</f>
        <v>#ERROR!</v>
      </c>
      <c r="CV1296" s="606" t="str">
        <f t="shared" si="6634"/>
        <v>#ERROR!</v>
      </c>
      <c r="CW1296" s="606" t="str">
        <f t="shared" si="6634"/>
        <v>#ERROR!</v>
      </c>
      <c r="CX1296" s="606" t="str">
        <f t="shared" si="6634"/>
        <v>#ERROR!</v>
      </c>
      <c r="CY1296" s="765"/>
      <c r="CZ1296" s="606" t="str">
        <f t="shared" ref="CZ1296:DC1296" si="6635">+CZ1283/CZ858</f>
        <v>#ERROR!</v>
      </c>
      <c r="DA1296" s="606" t="str">
        <f t="shared" si="6635"/>
        <v>#ERROR!</v>
      </c>
      <c r="DB1296" s="606" t="str">
        <f t="shared" si="6635"/>
        <v>#ERROR!</v>
      </c>
      <c r="DC1296" s="606" t="str">
        <f t="shared" si="6635"/>
        <v>#ERROR!</v>
      </c>
      <c r="DD1296" s="765"/>
      <c r="DE1296" s="606" t="str">
        <f t="shared" ref="DE1296:DH1296" si="6636">+DE1283/DE858</f>
        <v>#ERROR!</v>
      </c>
      <c r="DF1296" s="606" t="str">
        <f t="shared" si="6636"/>
        <v>#ERROR!</v>
      </c>
      <c r="DG1296" s="40" t="str">
        <f t="shared" si="6636"/>
        <v>#ERROR!</v>
      </c>
      <c r="DH1296" s="606" t="str">
        <f t="shared" si="6636"/>
        <v>#ERROR!</v>
      </c>
      <c r="DI1296" s="765"/>
      <c r="DJ1296" s="607" t="str">
        <f t="shared" ref="DJ1296:DM1296" si="6637">+DJ1283/DJ858</f>
        <v>#ERROR!</v>
      </c>
      <c r="DK1296" s="607" t="str">
        <f t="shared" si="6637"/>
        <v>#ERROR!</v>
      </c>
      <c r="DL1296" s="607" t="str">
        <f t="shared" si="6637"/>
        <v>#ERROR!</v>
      </c>
      <c r="DM1296" s="606" t="str">
        <f t="shared" si="6637"/>
        <v>#ERROR!</v>
      </c>
      <c r="DN1296" s="765"/>
      <c r="DO1296" s="606" t="str">
        <f t="shared" ref="DO1296:DR1296" si="6638">+DO1283/DO858</f>
        <v>#ERROR!</v>
      </c>
      <c r="DP1296" s="606" t="str">
        <f t="shared" si="6638"/>
        <v>#ERROR!</v>
      </c>
      <c r="DQ1296" s="606" t="str">
        <f t="shared" si="6638"/>
        <v>#ERROR!</v>
      </c>
      <c r="DR1296" s="606" t="str">
        <f t="shared" si="6638"/>
        <v>#ERROR!</v>
      </c>
      <c r="DS1296" s="765"/>
      <c r="DT1296" s="606" t="str">
        <f t="shared" ref="DT1296:DW1296" si="6639">+DT1283/DT858</f>
        <v>#ERROR!</v>
      </c>
      <c r="DU1296" s="606" t="str">
        <f t="shared" si="6639"/>
        <v>#ERROR!</v>
      </c>
      <c r="DV1296" s="606" t="str">
        <f t="shared" si="6639"/>
        <v>#ERROR!</v>
      </c>
      <c r="DW1296" s="606" t="str">
        <f t="shared" si="6639"/>
        <v>#ERROR!</v>
      </c>
      <c r="DX1296" s="765"/>
      <c r="DY1296" s="606" t="str">
        <f t="shared" ref="DY1296:EB1296" si="6640">+DY1283/DY858</f>
        <v>#ERROR!</v>
      </c>
      <c r="DZ1296" s="606" t="str">
        <f t="shared" si="6640"/>
        <v>#ERROR!</v>
      </c>
      <c r="EA1296" s="606" t="str">
        <f t="shared" si="6640"/>
        <v>#ERROR!</v>
      </c>
      <c r="EB1296" s="606" t="str">
        <f t="shared" si="6640"/>
        <v>#ERROR!</v>
      </c>
      <c r="EC1296" s="765"/>
      <c r="ED1296" s="606" t="str">
        <f t="shared" ref="ED1296:EG1296" si="6641">+ED1283/ED858</f>
        <v>#ERROR!</v>
      </c>
      <c r="EE1296" s="606" t="str">
        <f t="shared" si="6641"/>
        <v>#ERROR!</v>
      </c>
      <c r="EF1296" s="606" t="str">
        <f t="shared" si="6641"/>
        <v>#ERROR!</v>
      </c>
      <c r="EG1296" s="606" t="str">
        <f t="shared" si="6641"/>
        <v>#ERROR!</v>
      </c>
      <c r="EH1296" s="765"/>
      <c r="EI1296" s="608" t="str">
        <f t="shared" ref="EI1296:EL1296" si="6642">+EI1283/EI858</f>
        <v>#ERROR!</v>
      </c>
      <c r="EJ1296" s="606" t="str">
        <f t="shared" si="6642"/>
        <v>#ERROR!</v>
      </c>
      <c r="EK1296" s="606" t="str">
        <f t="shared" si="6642"/>
        <v>#ERROR!</v>
      </c>
      <c r="EL1296" s="606" t="str">
        <f t="shared" si="6642"/>
        <v>#ERROR!</v>
      </c>
      <c r="EM1296" s="765"/>
      <c r="EN1296" s="606" t="str">
        <f t="shared" ref="EN1296:EQ1296" si="6643">+EN1283/EN858</f>
        <v>#ERROR!</v>
      </c>
      <c r="EO1296" s="606" t="str">
        <f t="shared" si="6643"/>
        <v>#ERROR!</v>
      </c>
      <c r="EP1296" s="606" t="str">
        <f t="shared" si="6643"/>
        <v>#ERROR!</v>
      </c>
      <c r="EQ1296" s="606" t="str">
        <f t="shared" si="6643"/>
        <v>#ERROR!</v>
      </c>
      <c r="ER1296" s="765"/>
      <c r="ES1296" s="606" t="str">
        <f t="shared" ref="ES1296:EV1296" si="6644">+ES1283/ES858</f>
        <v>#ERROR!</v>
      </c>
      <c r="ET1296" s="606" t="str">
        <f t="shared" si="6644"/>
        <v>#ERROR!</v>
      </c>
      <c r="EU1296" s="606" t="str">
        <f t="shared" si="6644"/>
        <v>#ERROR!</v>
      </c>
      <c r="EV1296" s="606" t="str">
        <f t="shared" si="6644"/>
        <v>#ERROR!</v>
      </c>
      <c r="EW1296" s="765"/>
      <c r="EX1296" s="606" t="str">
        <f t="shared" ref="EX1296:FA1296" si="6645">+EX1283/EX858</f>
        <v>#ERROR!</v>
      </c>
      <c r="EY1296" s="606" t="str">
        <f t="shared" si="6645"/>
        <v>#ERROR!</v>
      </c>
      <c r="EZ1296" s="606" t="str">
        <f t="shared" si="6645"/>
        <v>#ERROR!</v>
      </c>
      <c r="FA1296" s="606" t="str">
        <f t="shared" si="6645"/>
        <v>#ERROR!</v>
      </c>
      <c r="FB1296" s="765"/>
      <c r="FC1296" s="606" t="str">
        <f t="shared" ref="FC1296:FF1296" si="6646">+FC1283/FC858</f>
        <v>#ERROR!</v>
      </c>
      <c r="FD1296" s="606" t="str">
        <f t="shared" si="6646"/>
        <v>#ERROR!</v>
      </c>
      <c r="FE1296" s="606" t="str">
        <f t="shared" si="6646"/>
        <v>#ERROR!</v>
      </c>
      <c r="FF1296" s="606" t="str">
        <f t="shared" si="6646"/>
        <v>#ERROR!</v>
      </c>
      <c r="FG1296" s="765"/>
      <c r="FH1296" s="766"/>
      <c r="FI1296" s="760"/>
      <c r="FJ1296" s="760"/>
      <c r="FK1296" s="760"/>
      <c r="FL1296" s="760"/>
    </row>
    <row r="1297" ht="13.5" hidden="1" customHeight="1" outlineLevel="3">
      <c r="A1297" s="4"/>
      <c r="B1297" s="4" t="s">
        <v>191</v>
      </c>
      <c r="C1297" s="4"/>
      <c r="D1297" s="15"/>
      <c r="E1297" s="15"/>
      <c r="F1297" s="15"/>
      <c r="G1297" s="15"/>
      <c r="H1297" s="8"/>
      <c r="I1297" s="15"/>
      <c r="J1297" s="15"/>
      <c r="K1297" s="15"/>
      <c r="L1297" s="15"/>
      <c r="M1297" s="8"/>
      <c r="N1297" s="15"/>
      <c r="O1297" s="15"/>
      <c r="P1297" s="15"/>
      <c r="Q1297" s="15"/>
      <c r="R1297" s="8"/>
      <c r="S1297" s="15">
        <f t="shared" ref="S1297:V1297" si="6647">+S102</f>
        <v>0.5925665212</v>
      </c>
      <c r="T1297" s="15">
        <f t="shared" si="6647"/>
        <v>0.5938333827</v>
      </c>
      <c r="U1297" s="15">
        <f t="shared" si="6647"/>
        <v>0.5870633188</v>
      </c>
      <c r="V1297" s="15">
        <f t="shared" si="6647"/>
        <v>0.613248904</v>
      </c>
      <c r="W1297" s="8"/>
      <c r="X1297" s="15">
        <f t="shared" ref="X1297:AA1297" si="6648">+X102</f>
        <v>0.6260477918</v>
      </c>
      <c r="Y1297" s="15">
        <f t="shared" si="6648"/>
        <v>0.6044578313</v>
      </c>
      <c r="Z1297" s="15">
        <f t="shared" si="6648"/>
        <v>0.6394456534</v>
      </c>
      <c r="AA1297" s="15">
        <f t="shared" si="6648"/>
        <v>0.6288209607</v>
      </c>
      <c r="AB1297" s="8"/>
      <c r="AC1297" s="15">
        <f t="shared" ref="AC1297:AF1297" si="6649">+AC102</f>
        <v>0.5169986521</v>
      </c>
      <c r="AD1297" s="15">
        <f t="shared" si="6649"/>
        <v>0.4778970635</v>
      </c>
      <c r="AE1297" s="15">
        <f t="shared" si="6649"/>
        <v>0.4571428571</v>
      </c>
      <c r="AF1297" s="15">
        <f t="shared" si="6649"/>
        <v>0.5128168409</v>
      </c>
      <c r="AG1297" s="8"/>
      <c r="AH1297" s="15">
        <f t="shared" ref="AH1297:AK1297" si="6650">+AH102</f>
        <v>0.5131986433</v>
      </c>
      <c r="AI1297" s="15">
        <f t="shared" si="6650"/>
        <v>0.4698528248</v>
      </c>
      <c r="AJ1297" s="15">
        <f t="shared" si="6650"/>
        <v>0.4878536285</v>
      </c>
      <c r="AK1297" s="15">
        <f t="shared" si="6650"/>
        <v>0.5162011173</v>
      </c>
      <c r="AL1297" s="8"/>
      <c r="AM1297" s="15">
        <f t="shared" ref="AM1297:AP1297" si="6651">+AM102</f>
        <v>0.5202192268</v>
      </c>
      <c r="AN1297" s="15">
        <f t="shared" si="6651"/>
        <v>0.5088028169</v>
      </c>
      <c r="AO1297" s="15">
        <f t="shared" si="6651"/>
        <v>0.581897102</v>
      </c>
      <c r="AP1297" s="15">
        <f t="shared" si="6651"/>
        <v>0.6356252145</v>
      </c>
      <c r="AQ1297" s="8"/>
      <c r="AR1297" s="15">
        <f t="shared" ref="AR1297:AU1297" si="6652">+AR102</f>
        <v>0.6019033494</v>
      </c>
      <c r="AS1297" s="15">
        <f t="shared" si="6652"/>
        <v>0.5938625916</v>
      </c>
      <c r="AT1297" s="15">
        <f t="shared" si="6652"/>
        <v>0.5570770865</v>
      </c>
      <c r="AU1297" s="15">
        <f t="shared" si="6652"/>
        <v>0.5602208793</v>
      </c>
      <c r="AV1297" s="8"/>
      <c r="AW1297" s="15">
        <f t="shared" ref="AW1297:AZ1297" si="6653">+AW102</f>
        <v>0.5933856265</v>
      </c>
      <c r="AX1297" s="15">
        <f t="shared" si="6653"/>
        <v>0.5636442422</v>
      </c>
      <c r="AY1297" s="15">
        <f t="shared" si="6653"/>
        <v>0.6112449799</v>
      </c>
      <c r="AZ1297" s="15">
        <f t="shared" si="6653"/>
        <v>0.6175865111</v>
      </c>
      <c r="BA1297" s="8"/>
      <c r="BB1297" s="15">
        <f t="shared" ref="BB1297:BE1297" si="6654">+BB102</f>
        <v>0.5529082774</v>
      </c>
      <c r="BC1297" s="15">
        <f t="shared" si="6654"/>
        <v>0.5207891122</v>
      </c>
      <c r="BD1297" s="15">
        <f t="shared" si="6654"/>
        <v>0.4913605676</v>
      </c>
      <c r="BE1297" s="15">
        <f t="shared" si="6654"/>
        <v>0.4961832061</v>
      </c>
      <c r="BF1297" s="8"/>
      <c r="BG1297" s="15">
        <f t="shared" ref="BG1297:BJ1297" si="6655">+BG102</f>
        <v>0.5006778129</v>
      </c>
      <c r="BH1297" s="15">
        <f t="shared" si="6655"/>
        <v>0.4694700461</v>
      </c>
      <c r="BI1297" s="15">
        <f t="shared" si="6655"/>
        <v>0.5236868186</v>
      </c>
      <c r="BJ1297" s="15">
        <f t="shared" si="6655"/>
        <v>0.5812173264</v>
      </c>
      <c r="BK1297" s="8"/>
      <c r="BL1297" s="15">
        <f t="shared" ref="BL1297:BO1297" si="6656">+BL102</f>
        <v>0.5383024915</v>
      </c>
      <c r="BM1297" s="15">
        <f t="shared" si="6656"/>
        <v>0.5542766631</v>
      </c>
      <c r="BN1297" s="15">
        <f t="shared" si="6656"/>
        <v>0.5891161789</v>
      </c>
      <c r="BO1297" s="15">
        <f t="shared" si="6656"/>
        <v>0.5311208364</v>
      </c>
      <c r="BP1297" s="8"/>
      <c r="BQ1297" s="15">
        <f t="shared" ref="BQ1297:BT1297" si="6657">+BQ102</f>
        <v>0.4531840448</v>
      </c>
      <c r="BR1297" s="15">
        <f t="shared" si="6657"/>
        <v>0.5083499501</v>
      </c>
      <c r="BS1297" s="15">
        <f t="shared" si="6657"/>
        <v>0.5755671531</v>
      </c>
      <c r="BT1297" s="15">
        <f t="shared" si="6657"/>
        <v>0.6471757025</v>
      </c>
      <c r="BU1297" s="8"/>
      <c r="BV1297" s="15">
        <f t="shared" ref="BV1297:BY1297" si="6658">+BV102</f>
        <v>0.6339450432</v>
      </c>
      <c r="BW1297" s="15">
        <f t="shared" si="6658"/>
        <v>0.6720854621</v>
      </c>
      <c r="BX1297" s="15">
        <f t="shared" si="6658"/>
        <v>0.6594307332</v>
      </c>
      <c r="BY1297" s="15">
        <f t="shared" si="6658"/>
        <v>0.6464170376</v>
      </c>
      <c r="BZ1297" s="10"/>
      <c r="CA1297" s="15">
        <f t="shared" ref="CA1297:CD1297" si="6659">+CA102</f>
        <v>0.6137619678</v>
      </c>
      <c r="CB1297" s="15">
        <f t="shared" si="6659"/>
        <v>0.6063535912</v>
      </c>
      <c r="CC1297" s="15">
        <f t="shared" si="6659"/>
        <v>0.6335979765</v>
      </c>
      <c r="CD1297" s="15">
        <f t="shared" si="6659"/>
        <v>0.6446316699</v>
      </c>
      <c r="CE1297" s="10"/>
      <c r="CF1297" s="15">
        <f t="shared" ref="CF1297:CI1297" si="6660">+CF102</f>
        <v>0.640399814</v>
      </c>
      <c r="CG1297" s="15">
        <f t="shared" si="6660"/>
        <v>0.6335826976</v>
      </c>
      <c r="CH1297" s="15">
        <f t="shared" si="6660"/>
        <v>0.6327561864</v>
      </c>
      <c r="CI1297" s="15">
        <f t="shared" si="6660"/>
        <v>0.5800252282</v>
      </c>
      <c r="CJ1297" s="10"/>
      <c r="CK1297" s="15">
        <f t="shared" ref="CK1297:CN1297" si="6661">+CK102</f>
        <v>0.5616852146</v>
      </c>
      <c r="CL1297" s="15">
        <f t="shared" si="6661"/>
        <v>0.5830926547</v>
      </c>
      <c r="CM1297" s="15">
        <f t="shared" si="6661"/>
        <v>0.6240450938</v>
      </c>
      <c r="CN1297" s="40">
        <f t="shared" si="6661"/>
        <v>0.6195605031</v>
      </c>
      <c r="CO1297" s="10"/>
      <c r="CP1297" s="40">
        <f t="shared" ref="CP1297:CS1297" si="6662">+CP102</f>
        <v>0.5974616108</v>
      </c>
      <c r="CQ1297" s="15">
        <f t="shared" si="6662"/>
        <v>0.6447111561</v>
      </c>
      <c r="CR1297" s="15">
        <f t="shared" si="6662"/>
        <v>0.6498557098</v>
      </c>
      <c r="CS1297" s="15">
        <f t="shared" si="6662"/>
        <v>0.6535561443</v>
      </c>
      <c r="CT1297" s="10"/>
      <c r="CU1297" s="15">
        <f t="shared" ref="CU1297:CX1297" si="6663">+CU102</f>
        <v>0.6048040059</v>
      </c>
      <c r="CV1297" s="15">
        <f t="shared" si="6663"/>
        <v>0.6250852596</v>
      </c>
      <c r="CW1297" s="15">
        <f t="shared" si="6663"/>
        <v>0.6298651918</v>
      </c>
      <c r="CX1297" s="15">
        <f t="shared" si="6663"/>
        <v>0.6430199812</v>
      </c>
      <c r="CY1297" s="10"/>
      <c r="CZ1297" s="15">
        <f t="shared" ref="CZ1297:DC1297" si="6664">+CZ102</f>
        <v>0.5890877473</v>
      </c>
      <c r="DA1297" s="15">
        <f t="shared" si="6664"/>
        <v>0.5891524422</v>
      </c>
      <c r="DB1297" s="15">
        <f t="shared" si="6664"/>
        <v>0.6327164406</v>
      </c>
      <c r="DC1297" s="15">
        <f t="shared" si="6664"/>
        <v>0.6171369244</v>
      </c>
      <c r="DD1297" s="10"/>
      <c r="DE1297" s="15">
        <f t="shared" ref="DE1297:DH1297" si="6665">+DE102</f>
        <v>0.6182076237</v>
      </c>
      <c r="DF1297" s="15">
        <f t="shared" si="6665"/>
        <v>0.6162704057</v>
      </c>
      <c r="DG1297" s="40">
        <f t="shared" si="6665"/>
        <v>0.6227630194</v>
      </c>
      <c r="DH1297" s="15">
        <f t="shared" si="6665"/>
        <v>0.6313845071</v>
      </c>
      <c r="DI1297" s="10"/>
      <c r="DJ1297" s="40">
        <f t="shared" ref="DJ1297:DM1297" si="6666">+DJ102</f>
        <v>0.6056890327</v>
      </c>
      <c r="DK1297" s="40">
        <f t="shared" si="6666"/>
        <v>0.6142553944</v>
      </c>
      <c r="DL1297" s="40">
        <f t="shared" si="6666"/>
        <v>0.6449929552</v>
      </c>
      <c r="DM1297" s="15">
        <f t="shared" si="6666"/>
        <v>0.6017580533</v>
      </c>
      <c r="DN1297" s="10"/>
      <c r="DO1297" s="15">
        <f t="shared" ref="DO1297:DR1297" si="6667">+DO102</f>
        <v>0.5659049872</v>
      </c>
      <c r="DP1297" s="15">
        <f t="shared" si="6667"/>
        <v>0.5984853075</v>
      </c>
      <c r="DQ1297" s="15">
        <f t="shared" si="6667"/>
        <v>0.5885878061</v>
      </c>
      <c r="DR1297" s="15">
        <f t="shared" si="6667"/>
        <v>0.5877579296</v>
      </c>
      <c r="DS1297" s="10"/>
      <c r="DT1297" s="15">
        <f t="shared" ref="DT1297:DW1297" si="6668">+DT102</f>
        <v>0.6060117006</v>
      </c>
      <c r="DU1297" s="15">
        <f t="shared" si="6668"/>
        <v>0.5325932685</v>
      </c>
      <c r="DV1297" s="15">
        <f t="shared" si="6668"/>
        <v>0.5313369334</v>
      </c>
      <c r="DW1297" s="15">
        <f t="shared" si="6668"/>
        <v>0.5680248273</v>
      </c>
      <c r="DX1297" s="10"/>
      <c r="DY1297" s="15">
        <f t="shared" ref="DY1297:EB1297" si="6669">+DY102</f>
        <v>0.5846170419</v>
      </c>
      <c r="DZ1297" s="15">
        <f t="shared" si="6669"/>
        <v>0.6046511628</v>
      </c>
      <c r="EA1297" s="15">
        <f t="shared" si="6669"/>
        <v>0.5941283795</v>
      </c>
      <c r="EB1297" s="15">
        <f t="shared" si="6669"/>
        <v>0.5636391563</v>
      </c>
      <c r="EC1297" s="10"/>
      <c r="ED1297" s="15">
        <f t="shared" ref="ED1297:EG1297" si="6670">+ED102</f>
        <v>0.5036778728</v>
      </c>
      <c r="EE1297" s="15">
        <f t="shared" si="6670"/>
        <v>0.364662881</v>
      </c>
      <c r="EF1297" s="15">
        <f t="shared" si="6670"/>
        <v>0.4260659799</v>
      </c>
      <c r="EG1297" s="15">
        <f t="shared" si="6670"/>
        <v>0.3916820966</v>
      </c>
      <c r="EH1297" s="10"/>
      <c r="EI1297" s="82" t="str">
        <f t="shared" ref="EI1297:EL1297" si="6671">+EI102</f>
        <v>#ERROR!</v>
      </c>
      <c r="EJ1297" s="15" t="str">
        <f t="shared" si="6671"/>
        <v>#ERROR!</v>
      </c>
      <c r="EK1297" s="15" t="str">
        <f t="shared" si="6671"/>
        <v>#ERROR!</v>
      </c>
      <c r="EL1297" s="15" t="str">
        <f t="shared" si="6671"/>
        <v>#ERROR!</v>
      </c>
      <c r="EM1297" s="10"/>
      <c r="EN1297" s="15" t="str">
        <f t="shared" ref="EN1297:EQ1297" si="6672">+EN102</f>
        <v>#ERROR!</v>
      </c>
      <c r="EO1297" s="15" t="str">
        <f t="shared" si="6672"/>
        <v>#ERROR!</v>
      </c>
      <c r="EP1297" s="15" t="str">
        <f t="shared" si="6672"/>
        <v>#ERROR!</v>
      </c>
      <c r="EQ1297" s="15" t="str">
        <f t="shared" si="6672"/>
        <v>#ERROR!</v>
      </c>
      <c r="ER1297" s="10"/>
      <c r="ES1297" s="15" t="str">
        <f t="shared" ref="ES1297:EV1297" si="6673">+ES102</f>
        <v>#ERROR!</v>
      </c>
      <c r="ET1297" s="15" t="str">
        <f t="shared" si="6673"/>
        <v>#ERROR!</v>
      </c>
      <c r="EU1297" s="15" t="str">
        <f t="shared" si="6673"/>
        <v>#ERROR!</v>
      </c>
      <c r="EV1297" s="15" t="str">
        <f t="shared" si="6673"/>
        <v>#ERROR!</v>
      </c>
      <c r="EW1297" s="10"/>
      <c r="EX1297" s="15" t="str">
        <f t="shared" ref="EX1297:FA1297" si="6674">+EX102</f>
        <v>#ERROR!</v>
      </c>
      <c r="EY1297" s="15" t="str">
        <f t="shared" si="6674"/>
        <v>#ERROR!</v>
      </c>
      <c r="EZ1297" s="15" t="str">
        <f t="shared" si="6674"/>
        <v>#ERROR!</v>
      </c>
      <c r="FA1297" s="15" t="str">
        <f t="shared" si="6674"/>
        <v>#ERROR!</v>
      </c>
      <c r="FB1297" s="10"/>
      <c r="FC1297" s="15" t="str">
        <f t="shared" ref="FC1297:FF1297" si="6675">+FC102</f>
        <v>#ERROR!</v>
      </c>
      <c r="FD1297" s="15" t="str">
        <f t="shared" si="6675"/>
        <v>#ERROR!</v>
      </c>
      <c r="FE1297" s="15" t="str">
        <f t="shared" si="6675"/>
        <v>#ERROR!</v>
      </c>
      <c r="FF1297" s="15" t="str">
        <f t="shared" si="6675"/>
        <v>#ERROR!</v>
      </c>
      <c r="FG1297" s="10"/>
      <c r="FH1297" s="21"/>
      <c r="FI1297" s="4"/>
      <c r="FJ1297" s="4"/>
      <c r="FK1297" s="4"/>
      <c r="FL1297" s="4"/>
    </row>
    <row r="1298" ht="12.75" hidden="1" customHeight="1" outlineLevel="3">
      <c r="A1298" s="4"/>
      <c r="B1298" s="4"/>
      <c r="C1298" s="4"/>
      <c r="D1298" s="4"/>
      <c r="E1298" s="4"/>
      <c r="F1298" s="4"/>
      <c r="G1298" s="4"/>
      <c r="H1298" s="5"/>
      <c r="I1298" s="6"/>
      <c r="J1298" s="6"/>
      <c r="K1298" s="6"/>
      <c r="L1298" s="6"/>
      <c r="M1298" s="5"/>
      <c r="N1298" s="6"/>
      <c r="O1298" s="6"/>
      <c r="P1298" s="6"/>
      <c r="Q1298" s="6"/>
      <c r="R1298" s="7"/>
      <c r="S1298" s="6"/>
      <c r="T1298" s="6"/>
      <c r="U1298" s="6"/>
      <c r="V1298" s="6"/>
      <c r="W1298" s="7"/>
      <c r="X1298" s="6"/>
      <c r="Y1298" s="6"/>
      <c r="Z1298" s="6"/>
      <c r="AA1298" s="6"/>
      <c r="AB1298" s="5"/>
      <c r="AC1298" s="6"/>
      <c r="AD1298" s="6"/>
      <c r="AE1298" s="6"/>
      <c r="AF1298" s="6"/>
      <c r="AG1298" s="5"/>
      <c r="AH1298" s="6"/>
      <c r="AI1298" s="6"/>
      <c r="AJ1298" s="6"/>
      <c r="AK1298" s="6"/>
      <c r="AL1298" s="5"/>
      <c r="AM1298" s="6"/>
      <c r="AN1298" s="6"/>
      <c r="AO1298" s="6"/>
      <c r="AP1298" s="6"/>
      <c r="AQ1298" s="5"/>
      <c r="AR1298" s="6"/>
      <c r="AS1298" s="6"/>
      <c r="AT1298" s="6"/>
      <c r="AU1298" s="6"/>
      <c r="AV1298" s="5"/>
      <c r="AW1298" s="6"/>
      <c r="AX1298" s="6"/>
      <c r="AY1298" s="6"/>
      <c r="AZ1298" s="6"/>
      <c r="BA1298" s="7"/>
      <c r="BB1298" s="6"/>
      <c r="BC1298" s="6"/>
      <c r="BD1298" s="6"/>
      <c r="BE1298" s="6"/>
      <c r="BF1298" s="7"/>
      <c r="BG1298" s="6"/>
      <c r="BH1298" s="6"/>
      <c r="BI1298" s="6"/>
      <c r="BJ1298" s="6"/>
      <c r="BK1298" s="7"/>
      <c r="BL1298" s="6"/>
      <c r="BM1298" s="6"/>
      <c r="BN1298" s="6"/>
      <c r="BO1298" s="6"/>
      <c r="BP1298" s="7"/>
      <c r="BQ1298" s="4"/>
      <c r="BR1298" s="4"/>
      <c r="BS1298" s="4"/>
      <c r="BT1298" s="4"/>
      <c r="BU1298" s="8"/>
      <c r="BV1298" s="4"/>
      <c r="BW1298" s="4"/>
      <c r="BX1298" s="4"/>
      <c r="BY1298" s="4"/>
      <c r="BZ1298" s="10"/>
      <c r="CA1298" s="4"/>
      <c r="CB1298" s="4"/>
      <c r="CC1298" s="4"/>
      <c r="CD1298" s="4"/>
      <c r="CE1298" s="10"/>
      <c r="CF1298" s="4"/>
      <c r="CG1298" s="4"/>
      <c r="CH1298" s="4"/>
      <c r="CI1298" s="4"/>
      <c r="CJ1298" s="10"/>
      <c r="CK1298" s="4"/>
      <c r="CL1298" s="4"/>
      <c r="CM1298" s="4"/>
      <c r="CN1298" s="16"/>
      <c r="CO1298" s="10"/>
      <c r="CP1298" s="16"/>
      <c r="CQ1298" s="4"/>
      <c r="CR1298" s="4"/>
      <c r="CS1298" s="4"/>
      <c r="CT1298" s="10"/>
      <c r="CU1298" s="4"/>
      <c r="CV1298" s="4"/>
      <c r="CW1298" s="4"/>
      <c r="CX1298" s="4"/>
      <c r="CY1298" s="10"/>
      <c r="CZ1298" s="4"/>
      <c r="DA1298" s="4"/>
      <c r="DB1298" s="4"/>
      <c r="DC1298" s="4"/>
      <c r="DD1298" s="10"/>
      <c r="DE1298" s="4"/>
      <c r="DF1298" s="4"/>
      <c r="DG1298" s="16"/>
      <c r="DH1298" s="4"/>
      <c r="DI1298" s="10"/>
      <c r="DJ1298" s="16"/>
      <c r="DK1298" s="16"/>
      <c r="DL1298" s="16"/>
      <c r="DM1298" s="4"/>
      <c r="DN1298" s="10"/>
      <c r="DO1298" s="4"/>
      <c r="DP1298" s="4"/>
      <c r="DQ1298" s="4"/>
      <c r="DR1298" s="4"/>
      <c r="DS1298" s="10"/>
      <c r="DT1298" s="4"/>
      <c r="DU1298" s="4"/>
      <c r="DV1298" s="4"/>
      <c r="DW1298" s="4"/>
      <c r="DX1298" s="10"/>
      <c r="DY1298" s="4"/>
      <c r="DZ1298" s="4"/>
      <c r="EA1298" s="4"/>
      <c r="EB1298" s="4"/>
      <c r="EC1298" s="10"/>
      <c r="ED1298" s="4"/>
      <c r="EE1298" s="4"/>
      <c r="EF1298" s="4"/>
      <c r="EG1298" s="4"/>
      <c r="EH1298" s="10"/>
      <c r="EI1298" s="214"/>
      <c r="EJ1298" s="4"/>
      <c r="EK1298" s="4"/>
      <c r="EL1298" s="4"/>
      <c r="EM1298" s="10"/>
      <c r="EN1298" s="4"/>
      <c r="EO1298" s="4"/>
      <c r="EP1298" s="4"/>
      <c r="EQ1298" s="4"/>
      <c r="ER1298" s="10"/>
      <c r="ES1298" s="4"/>
      <c r="ET1298" s="4"/>
      <c r="EU1298" s="4"/>
      <c r="EV1298" s="4"/>
      <c r="EW1298" s="10"/>
      <c r="EX1298" s="4"/>
      <c r="EY1298" s="4"/>
      <c r="EZ1298" s="4"/>
      <c r="FA1298" s="4"/>
      <c r="FB1298" s="10"/>
      <c r="FC1298" s="4"/>
      <c r="FD1298" s="4"/>
      <c r="FE1298" s="4"/>
      <c r="FF1298" s="4"/>
      <c r="FG1298" s="10"/>
      <c r="FH1298" s="21"/>
      <c r="FI1298" s="4"/>
      <c r="FJ1298" s="4"/>
      <c r="FK1298" s="4"/>
      <c r="FL1298" s="4"/>
    </row>
    <row r="1299" ht="12.75" hidden="1" customHeight="1" outlineLevel="3">
      <c r="A1299" s="4"/>
      <c r="B1299" s="4" t="s">
        <v>481</v>
      </c>
      <c r="C1299" s="4"/>
      <c r="D1299" s="4"/>
      <c r="E1299" s="4"/>
      <c r="F1299" s="4"/>
      <c r="G1299" s="4"/>
      <c r="H1299" s="5"/>
      <c r="I1299" s="6"/>
      <c r="J1299" s="6"/>
      <c r="K1299" s="6"/>
      <c r="L1299" s="6"/>
      <c r="M1299" s="5"/>
      <c r="N1299" s="6"/>
      <c r="O1299" s="6"/>
      <c r="P1299" s="6"/>
      <c r="Q1299" s="6"/>
      <c r="R1299" s="7"/>
      <c r="S1299" s="6">
        <f>COGS-depreciation</f>
        <v>2120</v>
      </c>
      <c r="T1299" s="6">
        <f>COGS-depreciation</f>
        <v>1980</v>
      </c>
      <c r="U1299" s="6">
        <f>COGS-depreciation</f>
        <v>2222</v>
      </c>
      <c r="V1299" s="6">
        <f>COGS-depreciation</f>
        <v>2328</v>
      </c>
      <c r="W1299" s="6">
        <f>COGS-depreciation</f>
        <v>8650</v>
      </c>
      <c r="X1299" s="6">
        <f>COGS-depreciation</f>
        <v>2092</v>
      </c>
      <c r="Y1299" s="6">
        <f>COGS-depreciation</f>
        <v>2519</v>
      </c>
      <c r="Z1299" s="6">
        <f>COGS-depreciation</f>
        <v>2346</v>
      </c>
      <c r="AA1299" s="6">
        <f>COGS-depreciation</f>
        <v>2444</v>
      </c>
      <c r="AB1299" s="6">
        <f>COGS-depreciation</f>
        <v>9401</v>
      </c>
      <c r="AC1299" s="6">
        <f>COGS-depreciation</f>
        <v>2291</v>
      </c>
      <c r="AD1299" s="6">
        <f>COGS-depreciation</f>
        <v>2257</v>
      </c>
      <c r="AE1299" s="6">
        <f>COGS-depreciation</f>
        <v>2499</v>
      </c>
      <c r="AF1299" s="6">
        <f>COGS-depreciation</f>
        <v>2309</v>
      </c>
      <c r="AG1299" s="7">
        <f>COGS-depreciation</f>
        <v>9356</v>
      </c>
      <c r="AH1299" s="6">
        <f>COGS-depreciation</f>
        <v>2140</v>
      </c>
      <c r="AI1299" s="6">
        <f>COGS-depreciation</f>
        <v>2215</v>
      </c>
      <c r="AJ1299" s="6">
        <f>COGS-depreciation</f>
        <v>2195</v>
      </c>
      <c r="AK1299" s="6">
        <f>COGS-depreciation</f>
        <v>2220</v>
      </c>
      <c r="AL1299" s="767">
        <f>COGS-depreciation</f>
        <v>8770</v>
      </c>
      <c r="AM1299" s="47"/>
      <c r="AN1299" s="47"/>
      <c r="AO1299" s="47"/>
      <c r="AP1299" s="47"/>
      <c r="AQ1299" s="47"/>
      <c r="AR1299" s="47"/>
      <c r="AS1299" s="47"/>
      <c r="AT1299" s="47"/>
      <c r="AU1299" s="47"/>
      <c r="AV1299" s="47"/>
      <c r="AW1299" s="47"/>
      <c r="AX1299" s="47"/>
      <c r="AY1299" s="47"/>
      <c r="AZ1299" s="47"/>
      <c r="BA1299" s="47"/>
      <c r="BB1299" s="47"/>
      <c r="BC1299" s="47"/>
      <c r="BD1299" s="47"/>
      <c r="BE1299" s="47"/>
      <c r="BF1299" s="47"/>
      <c r="BG1299" s="47"/>
      <c r="BH1299" s="47"/>
      <c r="BI1299" s="47"/>
      <c r="BJ1299" s="47"/>
      <c r="BK1299" s="47"/>
      <c r="BL1299" s="47"/>
      <c r="BM1299" s="47"/>
      <c r="BN1299" s="47"/>
      <c r="BO1299" s="47"/>
      <c r="BP1299" s="48"/>
      <c r="BQ1299" s="4"/>
      <c r="BR1299" s="4"/>
      <c r="BS1299" s="4"/>
      <c r="BT1299" s="4"/>
      <c r="BU1299" s="8"/>
      <c r="BV1299" s="4"/>
      <c r="BW1299" s="4"/>
      <c r="BX1299" s="4"/>
      <c r="BY1299" s="4"/>
      <c r="BZ1299" s="10"/>
      <c r="CA1299" s="4"/>
      <c r="CB1299" s="4"/>
      <c r="CC1299" s="4"/>
      <c r="CD1299" s="4"/>
      <c r="CE1299" s="10"/>
      <c r="CF1299" s="4"/>
      <c r="CG1299" s="4"/>
      <c r="CH1299" s="4"/>
      <c r="CI1299" s="4"/>
      <c r="CJ1299" s="10"/>
      <c r="CK1299" s="4"/>
      <c r="CL1299" s="4"/>
      <c r="CM1299" s="4"/>
      <c r="CN1299" s="16"/>
      <c r="CO1299" s="10"/>
      <c r="CP1299" s="16"/>
      <c r="CQ1299" s="4"/>
      <c r="CR1299" s="4"/>
      <c r="CS1299" s="4"/>
      <c r="CT1299" s="10"/>
      <c r="CU1299" s="4"/>
      <c r="CV1299" s="4"/>
      <c r="CW1299" s="4"/>
      <c r="CX1299" s="4"/>
      <c r="CY1299" s="10"/>
      <c r="CZ1299" s="4"/>
      <c r="DA1299" s="4"/>
      <c r="DB1299" s="4"/>
      <c r="DC1299" s="4"/>
      <c r="DD1299" s="10"/>
      <c r="DE1299" s="4"/>
      <c r="DF1299" s="4"/>
      <c r="DG1299" s="16"/>
      <c r="DH1299" s="4"/>
      <c r="DI1299" s="10"/>
      <c r="DJ1299" s="16"/>
      <c r="DK1299" s="16"/>
      <c r="DL1299" s="16"/>
      <c r="DM1299" s="4"/>
      <c r="DN1299" s="10"/>
      <c r="DO1299" s="4"/>
      <c r="DP1299" s="4"/>
      <c r="DQ1299" s="4"/>
      <c r="DR1299" s="4"/>
      <c r="DS1299" s="10"/>
      <c r="DT1299" s="4"/>
      <c r="DU1299" s="4"/>
      <c r="DV1299" s="4"/>
      <c r="DW1299" s="4"/>
      <c r="DX1299" s="10"/>
      <c r="DY1299" s="4"/>
      <c r="DZ1299" s="4"/>
      <c r="EA1299" s="4"/>
      <c r="EB1299" s="4"/>
      <c r="EC1299" s="10"/>
      <c r="ED1299" s="4"/>
      <c r="EE1299" s="4"/>
      <c r="EF1299" s="4"/>
      <c r="EG1299" s="4"/>
      <c r="EH1299" s="10"/>
      <c r="EI1299" s="214"/>
      <c r="EJ1299" s="4"/>
      <c r="EK1299" s="4"/>
      <c r="EL1299" s="4"/>
      <c r="EM1299" s="10"/>
      <c r="EN1299" s="4"/>
      <c r="EO1299" s="4"/>
      <c r="EP1299" s="4"/>
      <c r="EQ1299" s="4"/>
      <c r="ER1299" s="10"/>
      <c r="ES1299" s="4"/>
      <c r="ET1299" s="4"/>
      <c r="EU1299" s="4"/>
      <c r="EV1299" s="4"/>
      <c r="EW1299" s="10"/>
      <c r="EX1299" s="4"/>
      <c r="EY1299" s="4"/>
      <c r="EZ1299" s="4"/>
      <c r="FA1299" s="4"/>
      <c r="FB1299" s="10"/>
      <c r="FC1299" s="4"/>
      <c r="FD1299" s="4"/>
      <c r="FE1299" s="4"/>
      <c r="FF1299" s="4"/>
      <c r="FG1299" s="10"/>
      <c r="FH1299" s="21"/>
      <c r="FI1299" s="4"/>
      <c r="FJ1299" s="4"/>
      <c r="FK1299" s="4"/>
      <c r="FL1299" s="4"/>
    </row>
    <row r="1300" ht="12.75" hidden="1" customHeight="1" outlineLevel="3">
      <c r="A1300" s="4"/>
      <c r="B1300" s="4" t="s">
        <v>482</v>
      </c>
      <c r="C1300" s="4"/>
      <c r="D1300" s="4"/>
      <c r="E1300" s="4"/>
      <c r="F1300" s="4"/>
      <c r="G1300" s="4"/>
      <c r="H1300" s="5"/>
      <c r="I1300" s="6"/>
      <c r="J1300" s="6"/>
      <c r="K1300" s="6"/>
      <c r="L1300" s="6"/>
      <c r="M1300" s="5"/>
      <c r="N1300" s="6"/>
      <c r="O1300" s="6"/>
      <c r="P1300" s="6"/>
      <c r="Q1300" s="6"/>
      <c r="R1300" s="7"/>
      <c r="S1300" s="6"/>
      <c r="T1300" s="6">
        <f t="shared" ref="T1300:V1300" si="6676">T1299/S1299-1</f>
        <v>-0.06603773585</v>
      </c>
      <c r="U1300" s="6">
        <f t="shared" si="6676"/>
        <v>0.1222222222</v>
      </c>
      <c r="V1300" s="768">
        <f t="shared" si="6676"/>
        <v>0.04770477048</v>
      </c>
      <c r="W1300" s="48"/>
      <c r="X1300" s="6">
        <f>X1299/V1299-1</f>
        <v>-0.1013745704</v>
      </c>
      <c r="Y1300" s="6">
        <f t="shared" ref="Y1300:AA1300" si="6677">Y1299/X1299-1</f>
        <v>0.2041108987</v>
      </c>
      <c r="Z1300" s="6">
        <f t="shared" si="6677"/>
        <v>-0.06867804684</v>
      </c>
      <c r="AA1300" s="768">
        <f t="shared" si="6677"/>
        <v>0.04177323103</v>
      </c>
      <c r="AB1300" s="48"/>
      <c r="AC1300" s="6">
        <f>AC1299/AA1299-1</f>
        <v>-0.06260229133</v>
      </c>
      <c r="AD1300" s="6">
        <f t="shared" ref="AD1300:AF1300" si="6678">AD1299/AC1299-1</f>
        <v>-0.01484068093</v>
      </c>
      <c r="AE1300" s="6">
        <f t="shared" si="6678"/>
        <v>0.1072219761</v>
      </c>
      <c r="AF1300" s="768">
        <f t="shared" si="6678"/>
        <v>-0.07603041216</v>
      </c>
      <c r="AG1300" s="48"/>
      <c r="AH1300" s="6">
        <f>AH1299/AF1299-1</f>
        <v>-0.07319185795</v>
      </c>
      <c r="AI1300" s="6">
        <f t="shared" ref="AI1300:AK1300" si="6679">AI1299/AH1299-1</f>
        <v>0.03504672897</v>
      </c>
      <c r="AJ1300" s="6">
        <f t="shared" si="6679"/>
        <v>-0.009029345372</v>
      </c>
      <c r="AK1300" s="768">
        <f t="shared" si="6679"/>
        <v>0.01138952164</v>
      </c>
      <c r="AL1300" s="47"/>
      <c r="AM1300" s="47"/>
      <c r="AN1300" s="47"/>
      <c r="AO1300" s="47"/>
      <c r="AP1300" s="47"/>
      <c r="AQ1300" s="47"/>
      <c r="AR1300" s="47"/>
      <c r="AS1300" s="47"/>
      <c r="AT1300" s="47"/>
      <c r="AU1300" s="47"/>
      <c r="AV1300" s="47"/>
      <c r="AW1300" s="47"/>
      <c r="AX1300" s="47"/>
      <c r="AY1300" s="47"/>
      <c r="AZ1300" s="47"/>
      <c r="BA1300" s="47"/>
      <c r="BB1300" s="47"/>
      <c r="BC1300" s="47"/>
      <c r="BD1300" s="47"/>
      <c r="BE1300" s="47"/>
      <c r="BF1300" s="47"/>
      <c r="BG1300" s="47"/>
      <c r="BH1300" s="47"/>
      <c r="BI1300" s="47"/>
      <c r="BJ1300" s="47"/>
      <c r="BK1300" s="47"/>
      <c r="BL1300" s="47"/>
      <c r="BM1300" s="47"/>
      <c r="BN1300" s="47"/>
      <c r="BO1300" s="47"/>
      <c r="BP1300" s="48"/>
      <c r="BQ1300" s="4"/>
      <c r="BR1300" s="4"/>
      <c r="BS1300" s="4"/>
      <c r="BT1300" s="4"/>
      <c r="BU1300" s="8"/>
      <c r="BV1300" s="4"/>
      <c r="BW1300" s="4"/>
      <c r="BX1300" s="4"/>
      <c r="BY1300" s="4"/>
      <c r="BZ1300" s="10"/>
      <c r="CA1300" s="4"/>
      <c r="CB1300" s="4"/>
      <c r="CC1300" s="4"/>
      <c r="CD1300" s="4"/>
      <c r="CE1300" s="10"/>
      <c r="CF1300" s="4"/>
      <c r="CG1300" s="4"/>
      <c r="CH1300" s="4"/>
      <c r="CI1300" s="4"/>
      <c r="CJ1300" s="10"/>
      <c r="CK1300" s="4"/>
      <c r="CL1300" s="4"/>
      <c r="CM1300" s="4"/>
      <c r="CN1300" s="16"/>
      <c r="CO1300" s="10"/>
      <c r="CP1300" s="16"/>
      <c r="CQ1300" s="4"/>
      <c r="CR1300" s="4"/>
      <c r="CS1300" s="4"/>
      <c r="CT1300" s="10"/>
      <c r="CU1300" s="4"/>
      <c r="CV1300" s="4"/>
      <c r="CW1300" s="4"/>
      <c r="CX1300" s="4"/>
      <c r="CY1300" s="10"/>
      <c r="CZ1300" s="4"/>
      <c r="DA1300" s="4"/>
      <c r="DB1300" s="4"/>
      <c r="DC1300" s="4"/>
      <c r="DD1300" s="10"/>
      <c r="DE1300" s="4"/>
      <c r="DF1300" s="4"/>
      <c r="DG1300" s="16"/>
      <c r="DH1300" s="4"/>
      <c r="DI1300" s="10"/>
      <c r="DJ1300" s="16"/>
      <c r="DK1300" s="16"/>
      <c r="DL1300" s="16"/>
      <c r="DM1300" s="4"/>
      <c r="DN1300" s="10"/>
      <c r="DO1300" s="4"/>
      <c r="DP1300" s="4"/>
      <c r="DQ1300" s="4"/>
      <c r="DR1300" s="4"/>
      <c r="DS1300" s="10"/>
      <c r="DT1300" s="4"/>
      <c r="DU1300" s="4"/>
      <c r="DV1300" s="4"/>
      <c r="DW1300" s="4"/>
      <c r="DX1300" s="10"/>
      <c r="DY1300" s="4"/>
      <c r="DZ1300" s="4"/>
      <c r="EA1300" s="4"/>
      <c r="EB1300" s="4"/>
      <c r="EC1300" s="10"/>
      <c r="ED1300" s="4"/>
      <c r="EE1300" s="4"/>
      <c r="EF1300" s="4"/>
      <c r="EG1300" s="4"/>
      <c r="EH1300" s="10"/>
      <c r="EI1300" s="214"/>
      <c r="EJ1300" s="4"/>
      <c r="EK1300" s="4"/>
      <c r="EL1300" s="4"/>
      <c r="EM1300" s="10"/>
      <c r="EN1300" s="4"/>
      <c r="EO1300" s="4"/>
      <c r="EP1300" s="4"/>
      <c r="EQ1300" s="4"/>
      <c r="ER1300" s="10"/>
      <c r="ES1300" s="4"/>
      <c r="ET1300" s="4"/>
      <c r="EU1300" s="4"/>
      <c r="EV1300" s="4"/>
      <c r="EW1300" s="10"/>
      <c r="EX1300" s="4"/>
      <c r="EY1300" s="4"/>
      <c r="EZ1300" s="4"/>
      <c r="FA1300" s="4"/>
      <c r="FB1300" s="10"/>
      <c r="FC1300" s="4"/>
      <c r="FD1300" s="4"/>
      <c r="FE1300" s="4"/>
      <c r="FF1300" s="4"/>
      <c r="FG1300" s="10"/>
      <c r="FH1300" s="21"/>
      <c r="FI1300" s="4"/>
      <c r="FJ1300" s="4"/>
      <c r="FK1300" s="4"/>
      <c r="FL1300" s="4"/>
    </row>
    <row r="1301" ht="12.75" hidden="1" customHeight="1" outlineLevel="3">
      <c r="A1301" s="4"/>
      <c r="B1301" s="4"/>
      <c r="C1301" s="4"/>
      <c r="D1301" s="4"/>
      <c r="E1301" s="4"/>
      <c r="F1301" s="4"/>
      <c r="G1301" s="4"/>
      <c r="H1301" s="5"/>
      <c r="I1301" s="6"/>
      <c r="J1301" s="6"/>
      <c r="K1301" s="6"/>
      <c r="L1301" s="6"/>
      <c r="M1301" s="5"/>
      <c r="N1301" s="6"/>
      <c r="O1301" s="6"/>
      <c r="P1301" s="6"/>
      <c r="Q1301" s="6"/>
      <c r="R1301" s="7"/>
      <c r="S1301" s="6">
        <f>S1299/Sales</f>
        <v>0.2984654371</v>
      </c>
      <c r="T1301" s="6">
        <f>T1299/Sales</f>
        <v>0.2935072636</v>
      </c>
      <c r="U1301" s="6">
        <f>U1299/Sales</f>
        <v>0.303220524</v>
      </c>
      <c r="V1301" s="6">
        <f>V1299/Sales</f>
        <v>0.2834875792</v>
      </c>
      <c r="W1301" s="6">
        <f>W1299/Sales</f>
        <v>0.2943278097</v>
      </c>
      <c r="X1301" s="6">
        <f>X1299/Sales</f>
        <v>0.2617290129</v>
      </c>
      <c r="Y1301" s="6">
        <f>Y1299/Sales</f>
        <v>0.3034939759</v>
      </c>
      <c r="Z1301" s="6">
        <f>Z1299/Sales</f>
        <v>0.2686977437</v>
      </c>
      <c r="AA1301" s="6">
        <f>AA1299/Sales</f>
        <v>0.2808549759</v>
      </c>
      <c r="AB1301" s="6">
        <f>AB1299/Sales</f>
        <v>0.2787463678</v>
      </c>
      <c r="AC1301" s="6">
        <f>AC1299/Sales</f>
        <v>0.3431181668</v>
      </c>
      <c r="AD1301" s="6">
        <f>AD1299/Sales</f>
        <v>0.3563309125</v>
      </c>
      <c r="AE1301" s="6">
        <f>AE1299/Sales</f>
        <v>0.3818181818</v>
      </c>
      <c r="AF1301" s="6">
        <f>AF1299/Sales</f>
        <v>0.3306601747</v>
      </c>
      <c r="AG1301" s="7">
        <f>AG1299/Sales</f>
        <v>0.3525377746</v>
      </c>
      <c r="AH1301" s="6">
        <f>AH1299/Sales</f>
        <v>0.3155876714</v>
      </c>
      <c r="AI1301" s="6">
        <f>AI1299/Sales</f>
        <v>0.3505301472</v>
      </c>
      <c r="AJ1301" s="6">
        <f>AJ1299/Sales</f>
        <v>0.3374846248</v>
      </c>
      <c r="AK1301" s="6">
        <f>AK1299/Sales</f>
        <v>0.3100558659</v>
      </c>
      <c r="AL1301" s="767">
        <f>AL1299/Sales</f>
        <v>0.3276789718</v>
      </c>
      <c r="AM1301" s="47"/>
      <c r="AN1301" s="47"/>
      <c r="AO1301" s="47"/>
      <c r="AP1301" s="47"/>
      <c r="AQ1301" s="47"/>
      <c r="AR1301" s="47"/>
      <c r="AS1301" s="47"/>
      <c r="AT1301" s="47"/>
      <c r="AU1301" s="47"/>
      <c r="AV1301" s="47"/>
      <c r="AW1301" s="47"/>
      <c r="AX1301" s="47"/>
      <c r="AY1301" s="47"/>
      <c r="AZ1301" s="47"/>
      <c r="BA1301" s="47"/>
      <c r="BB1301" s="47"/>
      <c r="BC1301" s="47"/>
      <c r="BD1301" s="47"/>
      <c r="BE1301" s="47"/>
      <c r="BF1301" s="47"/>
      <c r="BG1301" s="47"/>
      <c r="BH1301" s="47"/>
      <c r="BI1301" s="47"/>
      <c r="BJ1301" s="47"/>
      <c r="BK1301" s="47"/>
      <c r="BL1301" s="47"/>
      <c r="BM1301" s="47"/>
      <c r="BN1301" s="47"/>
      <c r="BO1301" s="47"/>
      <c r="BP1301" s="48"/>
      <c r="BQ1301" s="4"/>
      <c r="BR1301" s="4"/>
      <c r="BS1301" s="4"/>
      <c r="BT1301" s="4"/>
      <c r="BU1301" s="8"/>
      <c r="BV1301" s="4"/>
      <c r="BW1301" s="4"/>
      <c r="BX1301" s="4"/>
      <c r="BY1301" s="4"/>
      <c r="BZ1301" s="10"/>
      <c r="CA1301" s="4"/>
      <c r="CB1301" s="4"/>
      <c r="CC1301" s="4"/>
      <c r="CD1301" s="4"/>
      <c r="CE1301" s="10"/>
      <c r="CF1301" s="4"/>
      <c r="CG1301" s="4"/>
      <c r="CH1301" s="4"/>
      <c r="CI1301" s="4"/>
      <c r="CJ1301" s="10"/>
      <c r="CK1301" s="4"/>
      <c r="CL1301" s="4"/>
      <c r="CM1301" s="4"/>
      <c r="CN1301" s="16"/>
      <c r="CO1301" s="10"/>
      <c r="CP1301" s="16"/>
      <c r="CQ1301" s="4"/>
      <c r="CR1301" s="4"/>
      <c r="CS1301" s="4"/>
      <c r="CT1301" s="10"/>
      <c r="CU1301" s="4"/>
      <c r="CV1301" s="4"/>
      <c r="CW1301" s="4"/>
      <c r="CX1301" s="4"/>
      <c r="CY1301" s="10"/>
      <c r="CZ1301" s="4"/>
      <c r="DA1301" s="4"/>
      <c r="DB1301" s="4"/>
      <c r="DC1301" s="4"/>
      <c r="DD1301" s="10"/>
      <c r="DE1301" s="4"/>
      <c r="DF1301" s="4"/>
      <c r="DG1301" s="16"/>
      <c r="DH1301" s="4"/>
      <c r="DI1301" s="10"/>
      <c r="DJ1301" s="16"/>
      <c r="DK1301" s="16"/>
      <c r="DL1301" s="16"/>
      <c r="DM1301" s="4"/>
      <c r="DN1301" s="10"/>
      <c r="DO1301" s="4"/>
      <c r="DP1301" s="4"/>
      <c r="DQ1301" s="4"/>
      <c r="DR1301" s="4"/>
      <c r="DS1301" s="10"/>
      <c r="DT1301" s="4"/>
      <c r="DU1301" s="4"/>
      <c r="DV1301" s="4"/>
      <c r="DW1301" s="4"/>
      <c r="DX1301" s="10"/>
      <c r="DY1301" s="4"/>
      <c r="DZ1301" s="4"/>
      <c r="EA1301" s="4"/>
      <c r="EB1301" s="4"/>
      <c r="EC1301" s="10"/>
      <c r="ED1301" s="4"/>
      <c r="EE1301" s="4"/>
      <c r="EF1301" s="4"/>
      <c r="EG1301" s="4"/>
      <c r="EH1301" s="10"/>
      <c r="EI1301" s="214"/>
      <c r="EJ1301" s="4"/>
      <c r="EK1301" s="4"/>
      <c r="EL1301" s="4"/>
      <c r="EM1301" s="10"/>
      <c r="EN1301" s="4"/>
      <c r="EO1301" s="4"/>
      <c r="EP1301" s="4"/>
      <c r="EQ1301" s="4"/>
      <c r="ER1301" s="10"/>
      <c r="ES1301" s="4"/>
      <c r="ET1301" s="4"/>
      <c r="EU1301" s="4"/>
      <c r="EV1301" s="4"/>
      <c r="EW1301" s="10"/>
      <c r="EX1301" s="4"/>
      <c r="EY1301" s="4"/>
      <c r="EZ1301" s="4"/>
      <c r="FA1301" s="4"/>
      <c r="FB1301" s="10"/>
      <c r="FC1301" s="4"/>
      <c r="FD1301" s="4"/>
      <c r="FE1301" s="4"/>
      <c r="FF1301" s="4"/>
      <c r="FG1301" s="10"/>
      <c r="FH1301" s="21"/>
      <c r="FI1301" s="4"/>
      <c r="FJ1301" s="4"/>
      <c r="FK1301" s="4"/>
      <c r="FL1301" s="4"/>
    </row>
    <row r="1302" ht="12.75" hidden="1" customHeight="1" outlineLevel="3">
      <c r="A1302" s="4"/>
      <c r="B1302" s="4"/>
      <c r="C1302" s="4"/>
      <c r="D1302" s="4"/>
      <c r="E1302" s="4"/>
      <c r="F1302" s="4"/>
      <c r="G1302" s="4"/>
      <c r="H1302" s="5"/>
      <c r="I1302" s="6"/>
      <c r="J1302" s="6"/>
      <c r="K1302" s="6"/>
      <c r="L1302" s="6"/>
      <c r="M1302" s="5"/>
      <c r="N1302" s="6"/>
      <c r="O1302" s="6"/>
      <c r="P1302" s="6"/>
      <c r="Q1302" s="6"/>
      <c r="R1302" s="7"/>
      <c r="S1302" s="6"/>
      <c r="T1302" s="6"/>
      <c r="U1302" s="6"/>
      <c r="V1302" s="6"/>
      <c r="W1302" s="7"/>
      <c r="X1302" s="6"/>
      <c r="Y1302" s="6"/>
      <c r="Z1302" s="6"/>
      <c r="AA1302" s="6"/>
      <c r="AB1302" s="5"/>
      <c r="AC1302" s="6"/>
      <c r="AD1302" s="6"/>
      <c r="AE1302" s="6"/>
      <c r="AF1302" s="6"/>
      <c r="AG1302" s="5"/>
      <c r="AH1302" s="6"/>
      <c r="AI1302" s="6"/>
      <c r="AJ1302" s="6"/>
      <c r="AK1302" s="6"/>
      <c r="AL1302" s="5"/>
      <c r="AM1302" s="6"/>
      <c r="AN1302" s="6"/>
      <c r="AO1302" s="6"/>
      <c r="AP1302" s="6"/>
      <c r="AQ1302" s="5"/>
      <c r="AR1302" s="6"/>
      <c r="AS1302" s="6"/>
      <c r="AT1302" s="6"/>
      <c r="AU1302" s="6"/>
      <c r="AV1302" s="5"/>
      <c r="AW1302" s="6"/>
      <c r="AX1302" s="6"/>
      <c r="AY1302" s="6"/>
      <c r="AZ1302" s="6"/>
      <c r="BA1302" s="7"/>
      <c r="BB1302" s="6"/>
      <c r="BC1302" s="6"/>
      <c r="BD1302" s="6"/>
      <c r="BE1302" s="6"/>
      <c r="BF1302" s="7"/>
      <c r="BG1302" s="6"/>
      <c r="BH1302" s="6"/>
      <c r="BI1302" s="6"/>
      <c r="BJ1302" s="6"/>
      <c r="BK1302" s="7"/>
      <c r="BL1302" s="6"/>
      <c r="BM1302" s="6"/>
      <c r="BN1302" s="6"/>
      <c r="BO1302" s="6"/>
      <c r="BP1302" s="7"/>
      <c r="BQ1302" s="4"/>
      <c r="BR1302" s="4"/>
      <c r="BS1302" s="4"/>
      <c r="BT1302" s="4"/>
      <c r="BU1302" s="8"/>
      <c r="BV1302" s="4"/>
      <c r="BW1302" s="4"/>
      <c r="BX1302" s="4"/>
      <c r="BY1302" s="4"/>
      <c r="BZ1302" s="10"/>
      <c r="CA1302" s="4"/>
      <c r="CB1302" s="4"/>
      <c r="CC1302" s="4"/>
      <c r="CD1302" s="4"/>
      <c r="CE1302" s="10"/>
      <c r="CF1302" s="4"/>
      <c r="CG1302" s="4"/>
      <c r="CH1302" s="4"/>
      <c r="CI1302" s="4"/>
      <c r="CJ1302" s="10"/>
      <c r="CK1302" s="4"/>
      <c r="CL1302" s="4"/>
      <c r="CM1302" s="4"/>
      <c r="CN1302" s="16"/>
      <c r="CO1302" s="10"/>
      <c r="CP1302" s="16"/>
      <c r="CQ1302" s="4"/>
      <c r="CR1302" s="4"/>
      <c r="CS1302" s="4"/>
      <c r="CT1302" s="10"/>
      <c r="CU1302" s="4"/>
      <c r="CV1302" s="4"/>
      <c r="CW1302" s="4"/>
      <c r="CX1302" s="4"/>
      <c r="CY1302" s="10"/>
      <c r="CZ1302" s="4"/>
      <c r="DA1302" s="4"/>
      <c r="DB1302" s="4"/>
      <c r="DC1302" s="4"/>
      <c r="DD1302" s="10"/>
      <c r="DE1302" s="4"/>
      <c r="DF1302" s="4"/>
      <c r="DG1302" s="16"/>
      <c r="DH1302" s="4"/>
      <c r="DI1302" s="10"/>
      <c r="DJ1302" s="16"/>
      <c r="DK1302" s="16"/>
      <c r="DL1302" s="16"/>
      <c r="DM1302" s="4"/>
      <c r="DN1302" s="10"/>
      <c r="DO1302" s="4"/>
      <c r="DP1302" s="4"/>
      <c r="DQ1302" s="4"/>
      <c r="DR1302" s="4"/>
      <c r="DS1302" s="10"/>
      <c r="DT1302" s="4"/>
      <c r="DU1302" s="4"/>
      <c r="DV1302" s="4"/>
      <c r="DW1302" s="4"/>
      <c r="DX1302" s="10"/>
      <c r="DY1302" s="4"/>
      <c r="DZ1302" s="4"/>
      <c r="EA1302" s="4"/>
      <c r="EB1302" s="4"/>
      <c r="EC1302" s="10"/>
      <c r="ED1302" s="4"/>
      <c r="EE1302" s="4"/>
      <c r="EF1302" s="4"/>
      <c r="EG1302" s="4"/>
      <c r="EH1302" s="10"/>
      <c r="EI1302" s="214"/>
      <c r="EJ1302" s="4"/>
      <c r="EK1302" s="4"/>
      <c r="EL1302" s="4"/>
      <c r="EM1302" s="10"/>
      <c r="EN1302" s="4"/>
      <c r="EO1302" s="4"/>
      <c r="EP1302" s="4"/>
      <c r="EQ1302" s="4"/>
      <c r="ER1302" s="10"/>
      <c r="ES1302" s="4"/>
      <c r="ET1302" s="4"/>
      <c r="EU1302" s="4"/>
      <c r="EV1302" s="4"/>
      <c r="EW1302" s="10"/>
      <c r="EX1302" s="4"/>
      <c r="EY1302" s="4"/>
      <c r="EZ1302" s="4"/>
      <c r="FA1302" s="4"/>
      <c r="FB1302" s="10"/>
      <c r="FC1302" s="4"/>
      <c r="FD1302" s="4"/>
      <c r="FE1302" s="4"/>
      <c r="FF1302" s="4"/>
      <c r="FG1302" s="10"/>
      <c r="FH1302" s="21"/>
      <c r="FI1302" s="4"/>
      <c r="FJ1302" s="4"/>
      <c r="FK1302" s="4"/>
      <c r="FL1302" s="4"/>
    </row>
    <row r="1303" ht="12.75" hidden="1" customHeight="1" outlineLevel="3">
      <c r="A1303" s="4"/>
      <c r="B1303" s="4"/>
      <c r="C1303" s="4"/>
      <c r="D1303" s="4"/>
      <c r="E1303" s="4"/>
      <c r="F1303" s="4"/>
      <c r="G1303" s="4"/>
      <c r="H1303" s="5"/>
      <c r="I1303" s="6"/>
      <c r="J1303" s="6"/>
      <c r="K1303" s="6"/>
      <c r="L1303" s="6"/>
      <c r="M1303" s="5"/>
      <c r="N1303" s="6"/>
      <c r="O1303" s="6"/>
      <c r="P1303" s="6"/>
      <c r="Q1303" s="6"/>
      <c r="R1303" s="7"/>
      <c r="S1303" s="6"/>
      <c r="T1303" s="6"/>
      <c r="U1303" s="6"/>
      <c r="V1303" s="6"/>
      <c r="W1303" s="7"/>
      <c r="X1303" s="6"/>
      <c r="Y1303" s="6"/>
      <c r="Z1303" s="6"/>
      <c r="AA1303" s="6"/>
      <c r="AB1303" s="5"/>
      <c r="AC1303" s="6"/>
      <c r="AD1303" s="6"/>
      <c r="AE1303" s="6"/>
      <c r="AF1303" s="6"/>
      <c r="AG1303" s="5"/>
      <c r="AH1303" s="6"/>
      <c r="AI1303" s="6"/>
      <c r="AJ1303" s="6"/>
      <c r="AK1303" s="6"/>
      <c r="AL1303" s="5"/>
      <c r="AM1303" s="6"/>
      <c r="AN1303" s="6"/>
      <c r="AO1303" s="6"/>
      <c r="AP1303" s="6"/>
      <c r="AQ1303" s="5"/>
      <c r="AR1303" s="6"/>
      <c r="AS1303" s="6"/>
      <c r="AT1303" s="6"/>
      <c r="AU1303" s="6"/>
      <c r="AV1303" s="5"/>
      <c r="AW1303" s="6"/>
      <c r="AX1303" s="6"/>
      <c r="AY1303" s="6"/>
      <c r="AZ1303" s="6"/>
      <c r="BA1303" s="7"/>
      <c r="BB1303" s="6"/>
      <c r="BC1303" s="6"/>
      <c r="BD1303" s="6"/>
      <c r="BE1303" s="6"/>
      <c r="BF1303" s="7"/>
      <c r="BG1303" s="6"/>
      <c r="BH1303" s="6"/>
      <c r="BI1303" s="6"/>
      <c r="BJ1303" s="6"/>
      <c r="BK1303" s="7"/>
      <c r="BL1303" s="6"/>
      <c r="BM1303" s="6"/>
      <c r="BN1303" s="6"/>
      <c r="BO1303" s="6"/>
      <c r="BP1303" s="7"/>
      <c r="BQ1303" s="4"/>
      <c r="BR1303" s="4"/>
      <c r="BS1303" s="4"/>
      <c r="BT1303" s="4"/>
      <c r="BU1303" s="8"/>
      <c r="BV1303" s="4"/>
      <c r="BW1303" s="4"/>
      <c r="BX1303" s="4"/>
      <c r="BY1303" s="4"/>
      <c r="BZ1303" s="10"/>
      <c r="CA1303" s="4"/>
      <c r="CB1303" s="4"/>
      <c r="CC1303" s="4"/>
      <c r="CD1303" s="4"/>
      <c r="CE1303" s="10"/>
      <c r="CF1303" s="4"/>
      <c r="CG1303" s="4"/>
      <c r="CH1303" s="4"/>
      <c r="CI1303" s="4"/>
      <c r="CJ1303" s="10"/>
      <c r="CK1303" s="4"/>
      <c r="CL1303" s="4"/>
      <c r="CM1303" s="4"/>
      <c r="CN1303" s="16"/>
      <c r="CO1303" s="10"/>
      <c r="CP1303" s="16"/>
      <c r="CQ1303" s="4"/>
      <c r="CR1303" s="4"/>
      <c r="CS1303" s="4"/>
      <c r="CT1303" s="10"/>
      <c r="CU1303" s="4"/>
      <c r="CV1303" s="4"/>
      <c r="CW1303" s="4"/>
      <c r="CX1303" s="4"/>
      <c r="CY1303" s="10"/>
      <c r="CZ1303" s="4"/>
      <c r="DA1303" s="4"/>
      <c r="DB1303" s="4"/>
      <c r="DC1303" s="4"/>
      <c r="DD1303" s="10"/>
      <c r="DE1303" s="4"/>
      <c r="DF1303" s="4"/>
      <c r="DG1303" s="16"/>
      <c r="DH1303" s="4"/>
      <c r="DI1303" s="10"/>
      <c r="DJ1303" s="16"/>
      <c r="DK1303" s="16"/>
      <c r="DL1303" s="16"/>
      <c r="DM1303" s="4"/>
      <c r="DN1303" s="10"/>
      <c r="DO1303" s="4"/>
      <c r="DP1303" s="4"/>
      <c r="DQ1303" s="4"/>
      <c r="DR1303" s="4"/>
      <c r="DS1303" s="10"/>
      <c r="DT1303" s="4"/>
      <c r="DU1303" s="4"/>
      <c r="DV1303" s="4"/>
      <c r="DW1303" s="4"/>
      <c r="DX1303" s="10"/>
      <c r="DY1303" s="4"/>
      <c r="DZ1303" s="4"/>
      <c r="EA1303" s="4"/>
      <c r="EB1303" s="4"/>
      <c r="EC1303" s="10"/>
      <c r="ED1303" s="4"/>
      <c r="EE1303" s="4"/>
      <c r="EF1303" s="4"/>
      <c r="EG1303" s="4"/>
      <c r="EH1303" s="10"/>
      <c r="EI1303" s="214"/>
      <c r="EJ1303" s="4"/>
      <c r="EK1303" s="4"/>
      <c r="EL1303" s="4"/>
      <c r="EM1303" s="10"/>
      <c r="EN1303" s="4"/>
      <c r="EO1303" s="4"/>
      <c r="EP1303" s="4"/>
      <c r="EQ1303" s="4"/>
      <c r="ER1303" s="10"/>
      <c r="ES1303" s="4"/>
      <c r="ET1303" s="4"/>
      <c r="EU1303" s="4"/>
      <c r="EV1303" s="4"/>
      <c r="EW1303" s="10"/>
      <c r="EX1303" s="4"/>
      <c r="EY1303" s="4"/>
      <c r="EZ1303" s="4"/>
      <c r="FA1303" s="4"/>
      <c r="FB1303" s="10"/>
      <c r="FC1303" s="4"/>
      <c r="FD1303" s="4"/>
      <c r="FE1303" s="4"/>
      <c r="FF1303" s="4"/>
      <c r="FG1303" s="10"/>
      <c r="FH1303" s="21"/>
      <c r="FI1303" s="4"/>
      <c r="FJ1303" s="4"/>
      <c r="FK1303" s="4"/>
      <c r="FL1303" s="4"/>
    </row>
    <row r="1304" ht="12.75" hidden="1" customHeight="1" outlineLevel="3">
      <c r="A1304" s="4"/>
      <c r="B1304" s="4" t="s">
        <v>483</v>
      </c>
      <c r="C1304" s="4"/>
      <c r="D1304" s="4"/>
      <c r="E1304" s="4"/>
      <c r="F1304" s="4"/>
      <c r="G1304" s="4"/>
      <c r="H1304" s="5"/>
      <c r="I1304" s="6"/>
      <c r="J1304" s="6"/>
      <c r="K1304" s="6"/>
      <c r="L1304" s="6"/>
      <c r="M1304" s="5"/>
      <c r="N1304" s="6"/>
      <c r="O1304" s="6">
        <f t="shared" ref="O1304:Q1304" si="6680">+O22-N22</f>
        <v>-352</v>
      </c>
      <c r="P1304" s="6">
        <f t="shared" si="6680"/>
        <v>655</v>
      </c>
      <c r="Q1304" s="768">
        <f t="shared" si="6680"/>
        <v>923</v>
      </c>
      <c r="R1304" s="47"/>
      <c r="S1304" s="48"/>
      <c r="T1304" s="6">
        <f t="shared" ref="T1304:V1304" si="6681">T1299-S1299</f>
        <v>-140</v>
      </c>
      <c r="U1304" s="6">
        <f t="shared" si="6681"/>
        <v>242</v>
      </c>
      <c r="V1304" s="768">
        <f t="shared" si="6681"/>
        <v>106</v>
      </c>
      <c r="W1304" s="48"/>
      <c r="X1304" s="6">
        <f>X1299-V1299</f>
        <v>-236</v>
      </c>
      <c r="Y1304" s="6">
        <f t="shared" ref="Y1304:AA1304" si="6682">Y1299-X1299</f>
        <v>427</v>
      </c>
      <c r="Z1304" s="6">
        <f t="shared" si="6682"/>
        <v>-173</v>
      </c>
      <c r="AA1304" s="768">
        <f t="shared" si="6682"/>
        <v>98</v>
      </c>
      <c r="AB1304" s="48"/>
      <c r="AC1304" s="6">
        <f>AC1299-AA1299</f>
        <v>-153</v>
      </c>
      <c r="AD1304" s="6">
        <f t="shared" ref="AD1304:AF1304" si="6683">AD1299-AC1299</f>
        <v>-34</v>
      </c>
      <c r="AE1304" s="6">
        <f t="shared" si="6683"/>
        <v>242</v>
      </c>
      <c r="AF1304" s="768">
        <f t="shared" si="6683"/>
        <v>-190</v>
      </c>
      <c r="AG1304" s="48"/>
      <c r="AH1304" s="6">
        <f>AH1299-AF1299</f>
        <v>-169</v>
      </c>
      <c r="AI1304" s="6">
        <f t="shared" ref="AI1304:AK1304" si="6684">AI1299-AH1299</f>
        <v>75</v>
      </c>
      <c r="AJ1304" s="6">
        <f t="shared" si="6684"/>
        <v>-20</v>
      </c>
      <c r="AK1304" s="768">
        <f t="shared" si="6684"/>
        <v>25</v>
      </c>
      <c r="AL1304" s="48"/>
      <c r="AM1304" s="6">
        <f>AM1299-AK1299</f>
        <v>-2220</v>
      </c>
      <c r="AN1304" s="6">
        <f t="shared" ref="AN1304:AP1304" si="6685">AN1299-AM1299</f>
        <v>0</v>
      </c>
      <c r="AO1304" s="6">
        <f t="shared" si="6685"/>
        <v>0</v>
      </c>
      <c r="AP1304" s="768">
        <f t="shared" si="6685"/>
        <v>0</v>
      </c>
      <c r="AQ1304" s="48"/>
      <c r="AR1304" s="6">
        <f>AR1299-AP1299</f>
        <v>0</v>
      </c>
      <c r="AS1304" s="6">
        <f t="shared" ref="AS1304:AU1304" si="6686">AS1299-AR1299</f>
        <v>0</v>
      </c>
      <c r="AT1304" s="6">
        <f t="shared" si="6686"/>
        <v>0</v>
      </c>
      <c r="AU1304" s="768">
        <f t="shared" si="6686"/>
        <v>0</v>
      </c>
      <c r="AV1304" s="47"/>
      <c r="AW1304" s="47"/>
      <c r="AX1304" s="47"/>
      <c r="AY1304" s="47"/>
      <c r="AZ1304" s="47"/>
      <c r="BA1304" s="47"/>
      <c r="BB1304" s="47"/>
      <c r="BC1304" s="47"/>
      <c r="BD1304" s="47"/>
      <c r="BE1304" s="47"/>
      <c r="BF1304" s="47"/>
      <c r="BG1304" s="47"/>
      <c r="BH1304" s="47"/>
      <c r="BI1304" s="47"/>
      <c r="BJ1304" s="47"/>
      <c r="BK1304" s="47"/>
      <c r="BL1304" s="47"/>
      <c r="BM1304" s="47"/>
      <c r="BN1304" s="47"/>
      <c r="BO1304" s="47"/>
      <c r="BP1304" s="48"/>
      <c r="BQ1304" s="4"/>
      <c r="BR1304" s="4"/>
      <c r="BS1304" s="4"/>
      <c r="BT1304" s="4"/>
      <c r="BU1304" s="8"/>
      <c r="BV1304" s="4"/>
      <c r="BW1304" s="4"/>
      <c r="BX1304" s="4"/>
      <c r="BY1304" s="4"/>
      <c r="BZ1304" s="10"/>
      <c r="CA1304" s="4"/>
      <c r="CB1304" s="4"/>
      <c r="CC1304" s="4"/>
      <c r="CD1304" s="4"/>
      <c r="CE1304" s="10"/>
      <c r="CF1304" s="4"/>
      <c r="CG1304" s="4"/>
      <c r="CH1304" s="4"/>
      <c r="CI1304" s="4"/>
      <c r="CJ1304" s="10"/>
      <c r="CK1304" s="4"/>
      <c r="CL1304" s="4"/>
      <c r="CM1304" s="4"/>
      <c r="CN1304" s="16"/>
      <c r="CO1304" s="10"/>
      <c r="CP1304" s="16"/>
      <c r="CQ1304" s="4"/>
      <c r="CR1304" s="4"/>
      <c r="CS1304" s="4"/>
      <c r="CT1304" s="10"/>
      <c r="CU1304" s="4"/>
      <c r="CV1304" s="4"/>
      <c r="CW1304" s="4"/>
      <c r="CX1304" s="4"/>
      <c r="CY1304" s="10"/>
      <c r="CZ1304" s="4"/>
      <c r="DA1304" s="4"/>
      <c r="DB1304" s="4"/>
      <c r="DC1304" s="4"/>
      <c r="DD1304" s="10"/>
      <c r="DE1304" s="4"/>
      <c r="DF1304" s="4"/>
      <c r="DG1304" s="16"/>
      <c r="DH1304" s="4"/>
      <c r="DI1304" s="10"/>
      <c r="DJ1304" s="16"/>
      <c r="DK1304" s="16"/>
      <c r="DL1304" s="16"/>
      <c r="DM1304" s="4"/>
      <c r="DN1304" s="10"/>
      <c r="DO1304" s="4"/>
      <c r="DP1304" s="4"/>
      <c r="DQ1304" s="4"/>
      <c r="DR1304" s="4"/>
      <c r="DS1304" s="10"/>
      <c r="DT1304" s="4"/>
      <c r="DU1304" s="4"/>
      <c r="DV1304" s="4"/>
      <c r="DW1304" s="4"/>
      <c r="DX1304" s="10"/>
      <c r="DY1304" s="4"/>
      <c r="DZ1304" s="4"/>
      <c r="EA1304" s="4"/>
      <c r="EB1304" s="4"/>
      <c r="EC1304" s="10"/>
      <c r="ED1304" s="4"/>
      <c r="EE1304" s="4"/>
      <c r="EF1304" s="4"/>
      <c r="EG1304" s="4"/>
      <c r="EH1304" s="10"/>
      <c r="EI1304" s="214"/>
      <c r="EJ1304" s="4"/>
      <c r="EK1304" s="4"/>
      <c r="EL1304" s="4"/>
      <c r="EM1304" s="10"/>
      <c r="EN1304" s="4"/>
      <c r="EO1304" s="4"/>
      <c r="EP1304" s="4"/>
      <c r="EQ1304" s="4"/>
      <c r="ER1304" s="10"/>
      <c r="ES1304" s="4"/>
      <c r="ET1304" s="4"/>
      <c r="EU1304" s="4"/>
      <c r="EV1304" s="4"/>
      <c r="EW1304" s="10"/>
      <c r="EX1304" s="4"/>
      <c r="EY1304" s="4"/>
      <c r="EZ1304" s="4"/>
      <c r="FA1304" s="4"/>
      <c r="FB1304" s="10"/>
      <c r="FC1304" s="4"/>
      <c r="FD1304" s="4"/>
      <c r="FE1304" s="4"/>
      <c r="FF1304" s="4"/>
      <c r="FG1304" s="10"/>
      <c r="FH1304" s="21"/>
      <c r="FI1304" s="4"/>
      <c r="FJ1304" s="4"/>
      <c r="FK1304" s="4"/>
      <c r="FL1304" s="4"/>
    </row>
    <row r="1305" ht="12.75" hidden="1" customHeight="1" outlineLevel="3">
      <c r="A1305" s="4"/>
      <c r="B1305" s="4" t="s">
        <v>484</v>
      </c>
      <c r="C1305" s="4"/>
      <c r="D1305" s="4"/>
      <c r="E1305" s="4"/>
      <c r="F1305" s="4"/>
      <c r="G1305" s="4"/>
      <c r="H1305" s="5"/>
      <c r="I1305" s="6"/>
      <c r="J1305" s="6"/>
      <c r="K1305" s="6"/>
      <c r="L1305" s="6"/>
      <c r="M1305" s="5"/>
      <c r="N1305" s="6"/>
      <c r="O1305" s="6">
        <f t="shared" ref="O1305:Q1305" si="6687">+O12-N12</f>
        <v>-74</v>
      </c>
      <c r="P1305" s="6">
        <f t="shared" si="6687"/>
        <v>804</v>
      </c>
      <c r="Q1305" s="768">
        <f t="shared" si="6687"/>
        <v>883</v>
      </c>
      <c r="R1305" s="48"/>
      <c r="S1305" s="6">
        <f>+S12-Q12</f>
        <v>-511</v>
      </c>
      <c r="T1305" s="6">
        <f t="shared" ref="T1305:V1305" si="6688">+T12-S12</f>
        <v>-357</v>
      </c>
      <c r="U1305" s="6">
        <f t="shared" si="6688"/>
        <v>582</v>
      </c>
      <c r="V1305" s="768">
        <f t="shared" si="6688"/>
        <v>884</v>
      </c>
      <c r="W1305" s="48"/>
      <c r="X1305" s="6">
        <f>+X12-V12</f>
        <v>-219</v>
      </c>
      <c r="Y1305" s="6">
        <f t="shared" ref="Y1305:AA1305" si="6689">+Y12-X12</f>
        <v>307</v>
      </c>
      <c r="Z1305" s="6">
        <f t="shared" si="6689"/>
        <v>431</v>
      </c>
      <c r="AA1305" s="768">
        <f t="shared" si="6689"/>
        <v>-29</v>
      </c>
      <c r="AB1305" s="48"/>
      <c r="AC1305" s="6">
        <f>+AC12-AA12</f>
        <v>-2025</v>
      </c>
      <c r="AD1305" s="6">
        <f t="shared" ref="AD1305:AF1305" si="6690">+AD12-AC12</f>
        <v>-343</v>
      </c>
      <c r="AE1305" s="6">
        <f t="shared" si="6690"/>
        <v>211</v>
      </c>
      <c r="AF1305" s="768">
        <f t="shared" si="6690"/>
        <v>438</v>
      </c>
      <c r="AG1305" s="48"/>
      <c r="AH1305" s="6">
        <f>+AH12-AF12</f>
        <v>-202</v>
      </c>
      <c r="AI1305" s="6">
        <f t="shared" ref="AI1305:AK1305" si="6691">+AI12-AH12</f>
        <v>-462</v>
      </c>
      <c r="AJ1305" s="6">
        <f t="shared" si="6691"/>
        <v>185</v>
      </c>
      <c r="AK1305" s="768">
        <f t="shared" si="6691"/>
        <v>656</v>
      </c>
      <c r="AL1305" s="47"/>
      <c r="AM1305" s="48"/>
      <c r="AN1305" s="6">
        <f t="shared" ref="AN1305:AP1305" si="6692">+AN12-AM12</f>
        <v>65</v>
      </c>
      <c r="AO1305" s="6">
        <f t="shared" si="6692"/>
        <v>1017</v>
      </c>
      <c r="AP1305" s="768">
        <f t="shared" si="6692"/>
        <v>908</v>
      </c>
      <c r="AQ1305" s="47"/>
      <c r="AR1305" s="48"/>
      <c r="AS1305" s="6">
        <f t="shared" ref="AS1305:AU1305" si="6693">+AS12-AR12</f>
        <v>-42</v>
      </c>
      <c r="AT1305" s="6">
        <f t="shared" si="6693"/>
        <v>422</v>
      </c>
      <c r="AU1305" s="768">
        <f t="shared" si="6693"/>
        <v>1127</v>
      </c>
      <c r="AV1305" s="47"/>
      <c r="AW1305" s="47"/>
      <c r="AX1305" s="47"/>
      <c r="AY1305" s="47"/>
      <c r="AZ1305" s="47"/>
      <c r="BA1305" s="47"/>
      <c r="BB1305" s="47"/>
      <c r="BC1305" s="47"/>
      <c r="BD1305" s="47"/>
      <c r="BE1305" s="47"/>
      <c r="BF1305" s="47"/>
      <c r="BG1305" s="47"/>
      <c r="BH1305" s="47"/>
      <c r="BI1305" s="47"/>
      <c r="BJ1305" s="47"/>
      <c r="BK1305" s="47"/>
      <c r="BL1305" s="47"/>
      <c r="BM1305" s="47"/>
      <c r="BN1305" s="47"/>
      <c r="BO1305" s="47"/>
      <c r="BP1305" s="48"/>
      <c r="BQ1305" s="4"/>
      <c r="BR1305" s="4"/>
      <c r="BS1305" s="4"/>
      <c r="BT1305" s="4"/>
      <c r="BU1305" s="8"/>
      <c r="BV1305" s="4"/>
      <c r="BW1305" s="4"/>
      <c r="BX1305" s="4"/>
      <c r="BY1305" s="4"/>
      <c r="BZ1305" s="10"/>
      <c r="CA1305" s="4"/>
      <c r="CB1305" s="4"/>
      <c r="CC1305" s="4"/>
      <c r="CD1305" s="4"/>
      <c r="CE1305" s="10"/>
      <c r="CF1305" s="4"/>
      <c r="CG1305" s="4"/>
      <c r="CH1305" s="4"/>
      <c r="CI1305" s="4"/>
      <c r="CJ1305" s="10"/>
      <c r="CK1305" s="4"/>
      <c r="CL1305" s="4"/>
      <c r="CM1305" s="4"/>
      <c r="CN1305" s="16"/>
      <c r="CO1305" s="10"/>
      <c r="CP1305" s="16"/>
      <c r="CQ1305" s="4"/>
      <c r="CR1305" s="4"/>
      <c r="CS1305" s="4"/>
      <c r="CT1305" s="10"/>
      <c r="CU1305" s="4"/>
      <c r="CV1305" s="4"/>
      <c r="CW1305" s="4"/>
      <c r="CX1305" s="4"/>
      <c r="CY1305" s="10"/>
      <c r="CZ1305" s="4"/>
      <c r="DA1305" s="4"/>
      <c r="DB1305" s="4"/>
      <c r="DC1305" s="4"/>
      <c r="DD1305" s="10"/>
      <c r="DE1305" s="4"/>
      <c r="DF1305" s="4"/>
      <c r="DG1305" s="16"/>
      <c r="DH1305" s="4"/>
      <c r="DI1305" s="10"/>
      <c r="DJ1305" s="16"/>
      <c r="DK1305" s="16"/>
      <c r="DL1305" s="16"/>
      <c r="DM1305" s="4"/>
      <c r="DN1305" s="10"/>
      <c r="DO1305" s="4"/>
      <c r="DP1305" s="4"/>
      <c r="DQ1305" s="4"/>
      <c r="DR1305" s="4"/>
      <c r="DS1305" s="10"/>
      <c r="DT1305" s="4"/>
      <c r="DU1305" s="4"/>
      <c r="DV1305" s="4"/>
      <c r="DW1305" s="4"/>
      <c r="DX1305" s="10"/>
      <c r="DY1305" s="4"/>
      <c r="DZ1305" s="4"/>
      <c r="EA1305" s="4"/>
      <c r="EB1305" s="4"/>
      <c r="EC1305" s="10"/>
      <c r="ED1305" s="4"/>
      <c r="EE1305" s="4"/>
      <c r="EF1305" s="4"/>
      <c r="EG1305" s="4"/>
      <c r="EH1305" s="10"/>
      <c r="EI1305" s="214"/>
      <c r="EJ1305" s="4"/>
      <c r="EK1305" s="4"/>
      <c r="EL1305" s="4"/>
      <c r="EM1305" s="10"/>
      <c r="EN1305" s="4"/>
      <c r="EO1305" s="4"/>
      <c r="EP1305" s="4"/>
      <c r="EQ1305" s="4"/>
      <c r="ER1305" s="10"/>
      <c r="ES1305" s="4"/>
      <c r="ET1305" s="4"/>
      <c r="EU1305" s="4"/>
      <c r="EV1305" s="4"/>
      <c r="EW1305" s="10"/>
      <c r="EX1305" s="4"/>
      <c r="EY1305" s="4"/>
      <c r="EZ1305" s="4"/>
      <c r="FA1305" s="4"/>
      <c r="FB1305" s="10"/>
      <c r="FC1305" s="4"/>
      <c r="FD1305" s="4"/>
      <c r="FE1305" s="4"/>
      <c r="FF1305" s="4"/>
      <c r="FG1305" s="10"/>
      <c r="FH1305" s="21"/>
      <c r="FI1305" s="4"/>
      <c r="FJ1305" s="4"/>
      <c r="FK1305" s="4"/>
      <c r="FL1305" s="4"/>
    </row>
    <row r="1306" ht="12.75" hidden="1" customHeight="1" outlineLevel="3">
      <c r="A1306" s="4"/>
      <c r="B1306" s="4" t="s">
        <v>120</v>
      </c>
      <c r="C1306" s="4"/>
      <c r="D1306" s="4"/>
      <c r="E1306" s="4"/>
      <c r="F1306" s="4"/>
      <c r="G1306" s="4"/>
      <c r="H1306" s="5"/>
      <c r="I1306" s="6"/>
      <c r="J1306" s="6"/>
      <c r="K1306" s="6"/>
      <c r="L1306" s="6"/>
      <c r="M1306" s="5"/>
      <c r="N1306" s="6"/>
      <c r="O1306" s="6">
        <f t="shared" ref="O1306:Q1306" si="6694">+O1304/O1305</f>
        <v>4.756756757</v>
      </c>
      <c r="P1306" s="6">
        <f t="shared" si="6694"/>
        <v>0.8146766169</v>
      </c>
      <c r="Q1306" s="768">
        <f t="shared" si="6694"/>
        <v>1.045300113</v>
      </c>
      <c r="R1306" s="48"/>
      <c r="S1306" s="6">
        <f t="shared" ref="S1306:V1306" si="6695">+S1304/S1305</f>
        <v>0</v>
      </c>
      <c r="T1306" s="6">
        <f t="shared" si="6695"/>
        <v>0.3921568627</v>
      </c>
      <c r="U1306" s="6">
        <f t="shared" si="6695"/>
        <v>0.4158075601</v>
      </c>
      <c r="V1306" s="768">
        <f t="shared" si="6695"/>
        <v>0.1199095023</v>
      </c>
      <c r="W1306" s="48"/>
      <c r="X1306" s="6">
        <f t="shared" ref="X1306:AA1306" si="6696">+X1304/X1305</f>
        <v>1.077625571</v>
      </c>
      <c r="Y1306" s="6">
        <f t="shared" si="6696"/>
        <v>1.390879479</v>
      </c>
      <c r="Z1306" s="6">
        <f t="shared" si="6696"/>
        <v>-0.4013921114</v>
      </c>
      <c r="AA1306" s="768">
        <f t="shared" si="6696"/>
        <v>-3.379310345</v>
      </c>
      <c r="AB1306" s="48"/>
      <c r="AC1306" s="6">
        <f t="shared" ref="AC1306:AF1306" si="6697">+AC1304/AC1305</f>
        <v>0.07555555556</v>
      </c>
      <c r="AD1306" s="6">
        <f t="shared" si="6697"/>
        <v>0.09912536443</v>
      </c>
      <c r="AE1306" s="6">
        <f t="shared" si="6697"/>
        <v>1.146919431</v>
      </c>
      <c r="AF1306" s="768">
        <f t="shared" si="6697"/>
        <v>-0.4337899543</v>
      </c>
      <c r="AG1306" s="48"/>
      <c r="AH1306" s="6">
        <f t="shared" ref="AH1306:AK1306" si="6698">+AH1304/AH1305</f>
        <v>0.8366336634</v>
      </c>
      <c r="AI1306" s="6">
        <f t="shared" si="6698"/>
        <v>-0.1623376623</v>
      </c>
      <c r="AJ1306" s="6">
        <f t="shared" si="6698"/>
        <v>-0.1081081081</v>
      </c>
      <c r="AK1306" s="768">
        <f t="shared" si="6698"/>
        <v>0.0381097561</v>
      </c>
      <c r="AL1306" s="47"/>
      <c r="AM1306" s="48"/>
      <c r="AN1306" s="6">
        <f t="shared" ref="AN1306:AP1306" si="6699">+AN1304/AN1305</f>
        <v>0</v>
      </c>
      <c r="AO1306" s="6">
        <f t="shared" si="6699"/>
        <v>0</v>
      </c>
      <c r="AP1306" s="768">
        <f t="shared" si="6699"/>
        <v>0</v>
      </c>
      <c r="AQ1306" s="47"/>
      <c r="AR1306" s="48"/>
      <c r="AS1306" s="6">
        <f t="shared" ref="AS1306:AU1306" si="6700">+AS1304/AS1305</f>
        <v>0</v>
      </c>
      <c r="AT1306" s="6">
        <f t="shared" si="6700"/>
        <v>0</v>
      </c>
      <c r="AU1306" s="768">
        <f t="shared" si="6700"/>
        <v>0</v>
      </c>
      <c r="AV1306" s="47"/>
      <c r="AW1306" s="47"/>
      <c r="AX1306" s="47"/>
      <c r="AY1306" s="47"/>
      <c r="AZ1306" s="47"/>
      <c r="BA1306" s="47"/>
      <c r="BB1306" s="47"/>
      <c r="BC1306" s="47"/>
      <c r="BD1306" s="47"/>
      <c r="BE1306" s="47"/>
      <c r="BF1306" s="47"/>
      <c r="BG1306" s="47"/>
      <c r="BH1306" s="47"/>
      <c r="BI1306" s="47"/>
      <c r="BJ1306" s="47"/>
      <c r="BK1306" s="47"/>
      <c r="BL1306" s="47"/>
      <c r="BM1306" s="47"/>
      <c r="BN1306" s="47"/>
      <c r="BO1306" s="47"/>
      <c r="BP1306" s="48"/>
      <c r="BQ1306" s="4"/>
      <c r="BR1306" s="4"/>
      <c r="BS1306" s="4"/>
      <c r="BT1306" s="4"/>
      <c r="BU1306" s="8"/>
      <c r="BV1306" s="4"/>
      <c r="BW1306" s="4"/>
      <c r="BX1306" s="4"/>
      <c r="BY1306" s="4"/>
      <c r="BZ1306" s="10"/>
      <c r="CA1306" s="4"/>
      <c r="CB1306" s="4"/>
      <c r="CC1306" s="4"/>
      <c r="CD1306" s="4"/>
      <c r="CE1306" s="10"/>
      <c r="CF1306" s="4"/>
      <c r="CG1306" s="4"/>
      <c r="CH1306" s="4"/>
      <c r="CI1306" s="4"/>
      <c r="CJ1306" s="10"/>
      <c r="CK1306" s="4"/>
      <c r="CL1306" s="4"/>
      <c r="CM1306" s="4"/>
      <c r="CN1306" s="16"/>
      <c r="CO1306" s="10"/>
      <c r="CP1306" s="16"/>
      <c r="CQ1306" s="4"/>
      <c r="CR1306" s="4"/>
      <c r="CS1306" s="4"/>
      <c r="CT1306" s="10"/>
      <c r="CU1306" s="4"/>
      <c r="CV1306" s="4"/>
      <c r="CW1306" s="4"/>
      <c r="CX1306" s="4"/>
      <c r="CY1306" s="10"/>
      <c r="CZ1306" s="4"/>
      <c r="DA1306" s="4"/>
      <c r="DB1306" s="4"/>
      <c r="DC1306" s="4"/>
      <c r="DD1306" s="10"/>
      <c r="DE1306" s="4"/>
      <c r="DF1306" s="4"/>
      <c r="DG1306" s="16"/>
      <c r="DH1306" s="4"/>
      <c r="DI1306" s="10"/>
      <c r="DJ1306" s="16"/>
      <c r="DK1306" s="16"/>
      <c r="DL1306" s="16"/>
      <c r="DM1306" s="4"/>
      <c r="DN1306" s="10"/>
      <c r="DO1306" s="4"/>
      <c r="DP1306" s="4"/>
      <c r="DQ1306" s="4"/>
      <c r="DR1306" s="4"/>
      <c r="DS1306" s="10"/>
      <c r="DT1306" s="4"/>
      <c r="DU1306" s="4"/>
      <c r="DV1306" s="4"/>
      <c r="DW1306" s="4"/>
      <c r="DX1306" s="10"/>
      <c r="DY1306" s="4"/>
      <c r="DZ1306" s="4"/>
      <c r="EA1306" s="4"/>
      <c r="EB1306" s="4"/>
      <c r="EC1306" s="10"/>
      <c r="ED1306" s="4"/>
      <c r="EE1306" s="4"/>
      <c r="EF1306" s="4"/>
      <c r="EG1306" s="4"/>
      <c r="EH1306" s="10"/>
      <c r="EI1306" s="214"/>
      <c r="EJ1306" s="4"/>
      <c r="EK1306" s="4"/>
      <c r="EL1306" s="4"/>
      <c r="EM1306" s="10"/>
      <c r="EN1306" s="4"/>
      <c r="EO1306" s="4"/>
      <c r="EP1306" s="4"/>
      <c r="EQ1306" s="4"/>
      <c r="ER1306" s="10"/>
      <c r="ES1306" s="4"/>
      <c r="ET1306" s="4"/>
      <c r="EU1306" s="4"/>
      <c r="EV1306" s="4"/>
      <c r="EW1306" s="10"/>
      <c r="EX1306" s="4"/>
      <c r="EY1306" s="4"/>
      <c r="EZ1306" s="4"/>
      <c r="FA1306" s="4"/>
      <c r="FB1306" s="10"/>
      <c r="FC1306" s="4"/>
      <c r="FD1306" s="4"/>
      <c r="FE1306" s="4"/>
      <c r="FF1306" s="4"/>
      <c r="FG1306" s="10"/>
      <c r="FH1306" s="21"/>
      <c r="FI1306" s="4"/>
      <c r="FJ1306" s="4"/>
      <c r="FK1306" s="4"/>
      <c r="FL1306" s="4"/>
    </row>
    <row r="1307" ht="12.75" hidden="1" customHeight="1" outlineLevel="3">
      <c r="A1307" s="4"/>
      <c r="B1307" s="4" t="s">
        <v>485</v>
      </c>
      <c r="C1307" s="4"/>
      <c r="D1307" s="4"/>
      <c r="E1307" s="4"/>
      <c r="F1307" s="4"/>
      <c r="G1307" s="4"/>
      <c r="H1307" s="5"/>
      <c r="I1307" s="6"/>
      <c r="J1307" s="6"/>
      <c r="K1307" s="6"/>
      <c r="L1307" s="6"/>
      <c r="M1307" s="6"/>
      <c r="N1307" s="6"/>
      <c r="O1307" s="6">
        <f t="shared" ref="O1307:Q1307" si="6701">+O102</f>
        <v>0.4892863169</v>
      </c>
      <c r="P1307" s="6">
        <f t="shared" si="6701"/>
        <v>0.5281533205</v>
      </c>
      <c r="Q1307" s="768">
        <f t="shared" si="6701"/>
        <v>0.5881271342</v>
      </c>
      <c r="R1307" s="48"/>
      <c r="S1307" s="6">
        <f t="shared" ref="S1307:V1307" si="6702">+S102</f>
        <v>0.5925665212</v>
      </c>
      <c r="T1307" s="6">
        <f t="shared" si="6702"/>
        <v>0.5938333827</v>
      </c>
      <c r="U1307" s="6">
        <f t="shared" si="6702"/>
        <v>0.5870633188</v>
      </c>
      <c r="V1307" s="768">
        <f t="shared" si="6702"/>
        <v>0.613248904</v>
      </c>
      <c r="W1307" s="48"/>
      <c r="X1307" s="6">
        <f t="shared" ref="X1307:AA1307" si="6703">+X102</f>
        <v>0.6260477918</v>
      </c>
      <c r="Y1307" s="6">
        <f t="shared" si="6703"/>
        <v>0.6044578313</v>
      </c>
      <c r="Z1307" s="6">
        <f t="shared" si="6703"/>
        <v>0.6394456534</v>
      </c>
      <c r="AA1307" s="768">
        <f t="shared" si="6703"/>
        <v>0.6288209607</v>
      </c>
      <c r="AB1307" s="48"/>
      <c r="AC1307" s="6">
        <f t="shared" ref="AC1307:AF1307" si="6704">+AC102</f>
        <v>0.5169986521</v>
      </c>
      <c r="AD1307" s="6">
        <f t="shared" si="6704"/>
        <v>0.4778970635</v>
      </c>
      <c r="AE1307" s="6">
        <f t="shared" si="6704"/>
        <v>0.4571428571</v>
      </c>
      <c r="AF1307" s="768">
        <f t="shared" si="6704"/>
        <v>0.5128168409</v>
      </c>
      <c r="AG1307" s="48"/>
      <c r="AH1307" s="6">
        <f t="shared" ref="AH1307:AK1307" si="6705">+AH102</f>
        <v>0.5131986433</v>
      </c>
      <c r="AI1307" s="6">
        <f t="shared" si="6705"/>
        <v>0.4698528248</v>
      </c>
      <c r="AJ1307" s="6">
        <f t="shared" si="6705"/>
        <v>0.4878536285</v>
      </c>
      <c r="AK1307" s="768">
        <f t="shared" si="6705"/>
        <v>0.5162011173</v>
      </c>
      <c r="AL1307" s="47"/>
      <c r="AM1307" s="48"/>
      <c r="AN1307" s="6">
        <f t="shared" ref="AN1307:AP1307" si="6706">+AN102</f>
        <v>0.5088028169</v>
      </c>
      <c r="AO1307" s="6">
        <f t="shared" si="6706"/>
        <v>0.581897102</v>
      </c>
      <c r="AP1307" s="768">
        <f t="shared" si="6706"/>
        <v>0.6356252145</v>
      </c>
      <c r="AQ1307" s="47"/>
      <c r="AR1307" s="48"/>
      <c r="AS1307" s="6">
        <f t="shared" ref="AS1307:AU1307" si="6707">+AS102</f>
        <v>0.5938625916</v>
      </c>
      <c r="AT1307" s="6">
        <f t="shared" si="6707"/>
        <v>0.5570770865</v>
      </c>
      <c r="AU1307" s="768">
        <f t="shared" si="6707"/>
        <v>0.5602208793</v>
      </c>
      <c r="AV1307" s="47"/>
      <c r="AW1307" s="47"/>
      <c r="AX1307" s="47"/>
      <c r="AY1307" s="47"/>
      <c r="AZ1307" s="47"/>
      <c r="BA1307" s="47"/>
      <c r="BB1307" s="47"/>
      <c r="BC1307" s="47"/>
      <c r="BD1307" s="47"/>
      <c r="BE1307" s="47"/>
      <c r="BF1307" s="47"/>
      <c r="BG1307" s="47"/>
      <c r="BH1307" s="47"/>
      <c r="BI1307" s="47"/>
      <c r="BJ1307" s="47"/>
      <c r="BK1307" s="47"/>
      <c r="BL1307" s="47"/>
      <c r="BM1307" s="47"/>
      <c r="BN1307" s="47"/>
      <c r="BO1307" s="47"/>
      <c r="BP1307" s="48"/>
      <c r="BQ1307" s="4"/>
      <c r="BR1307" s="4"/>
      <c r="BS1307" s="4"/>
      <c r="BT1307" s="4"/>
      <c r="BU1307" s="8"/>
      <c r="BV1307" s="4"/>
      <c r="BW1307" s="4"/>
      <c r="BX1307" s="4"/>
      <c r="BY1307" s="4"/>
      <c r="BZ1307" s="10"/>
      <c r="CA1307" s="4"/>
      <c r="CB1307" s="4"/>
      <c r="CC1307" s="4"/>
      <c r="CD1307" s="4"/>
      <c r="CE1307" s="10"/>
      <c r="CF1307" s="4"/>
      <c r="CG1307" s="4"/>
      <c r="CH1307" s="4"/>
      <c r="CI1307" s="4"/>
      <c r="CJ1307" s="10"/>
      <c r="CK1307" s="4"/>
      <c r="CL1307" s="4"/>
      <c r="CM1307" s="4"/>
      <c r="CN1307" s="16"/>
      <c r="CO1307" s="10"/>
      <c r="CP1307" s="16"/>
      <c r="CQ1307" s="4"/>
      <c r="CR1307" s="4"/>
      <c r="CS1307" s="4"/>
      <c r="CT1307" s="10"/>
      <c r="CU1307" s="4"/>
      <c r="CV1307" s="4"/>
      <c r="CW1307" s="4"/>
      <c r="CX1307" s="4"/>
      <c r="CY1307" s="10"/>
      <c r="CZ1307" s="4"/>
      <c r="DA1307" s="4"/>
      <c r="DB1307" s="4"/>
      <c r="DC1307" s="4"/>
      <c r="DD1307" s="10"/>
      <c r="DE1307" s="4"/>
      <c r="DF1307" s="4"/>
      <c r="DG1307" s="16"/>
      <c r="DH1307" s="4"/>
      <c r="DI1307" s="10"/>
      <c r="DJ1307" s="16"/>
      <c r="DK1307" s="16"/>
      <c r="DL1307" s="16"/>
      <c r="DM1307" s="4"/>
      <c r="DN1307" s="10"/>
      <c r="DO1307" s="4"/>
      <c r="DP1307" s="4"/>
      <c r="DQ1307" s="4"/>
      <c r="DR1307" s="4"/>
      <c r="DS1307" s="10"/>
      <c r="DT1307" s="4"/>
      <c r="DU1307" s="4"/>
      <c r="DV1307" s="4"/>
      <c r="DW1307" s="4"/>
      <c r="DX1307" s="10"/>
      <c r="DY1307" s="4"/>
      <c r="DZ1307" s="4"/>
      <c r="EA1307" s="4"/>
      <c r="EB1307" s="4"/>
      <c r="EC1307" s="10"/>
      <c r="ED1307" s="4"/>
      <c r="EE1307" s="4"/>
      <c r="EF1307" s="4"/>
      <c r="EG1307" s="4"/>
      <c r="EH1307" s="10"/>
      <c r="EI1307" s="214"/>
      <c r="EJ1307" s="4"/>
      <c r="EK1307" s="4"/>
      <c r="EL1307" s="4"/>
      <c r="EM1307" s="10"/>
      <c r="EN1307" s="4"/>
      <c r="EO1307" s="4"/>
      <c r="EP1307" s="4"/>
      <c r="EQ1307" s="4"/>
      <c r="ER1307" s="10"/>
      <c r="ES1307" s="4"/>
      <c r="ET1307" s="4"/>
      <c r="EU1307" s="4"/>
      <c r="EV1307" s="4"/>
      <c r="EW1307" s="10"/>
      <c r="EX1307" s="4"/>
      <c r="EY1307" s="4"/>
      <c r="EZ1307" s="4"/>
      <c r="FA1307" s="4"/>
      <c r="FB1307" s="10"/>
      <c r="FC1307" s="4"/>
      <c r="FD1307" s="4"/>
      <c r="FE1307" s="4"/>
      <c r="FF1307" s="4"/>
      <c r="FG1307" s="10"/>
      <c r="FH1307" s="21"/>
      <c r="FI1307" s="4"/>
      <c r="FJ1307" s="4"/>
      <c r="FK1307" s="4"/>
      <c r="FL1307" s="4"/>
    </row>
    <row r="1308" ht="12.75" hidden="1" customHeight="1" outlineLevel="3">
      <c r="A1308" s="4"/>
      <c r="B1308" s="4"/>
      <c r="C1308" s="4"/>
      <c r="D1308" s="4"/>
      <c r="E1308" s="4"/>
      <c r="F1308" s="4"/>
      <c r="G1308" s="4"/>
      <c r="H1308" s="5"/>
      <c r="I1308" s="6"/>
      <c r="J1308" s="6"/>
      <c r="K1308" s="6"/>
      <c r="L1308" s="6"/>
      <c r="M1308" s="5"/>
      <c r="N1308" s="6"/>
      <c r="O1308" s="6"/>
      <c r="P1308" s="6"/>
      <c r="Q1308" s="6"/>
      <c r="R1308" s="7"/>
      <c r="S1308" s="6"/>
      <c r="T1308" s="6"/>
      <c r="U1308" s="6"/>
      <c r="V1308" s="6"/>
      <c r="W1308" s="7"/>
      <c r="X1308" s="6"/>
      <c r="Y1308" s="6"/>
      <c r="Z1308" s="6"/>
      <c r="AA1308" s="6"/>
      <c r="AB1308" s="5"/>
      <c r="AC1308" s="6"/>
      <c r="AD1308" s="6"/>
      <c r="AE1308" s="6"/>
      <c r="AF1308" s="6"/>
      <c r="AG1308" s="5"/>
      <c r="AH1308" s="6"/>
      <c r="AI1308" s="6"/>
      <c r="AJ1308" s="6"/>
      <c r="AK1308" s="6"/>
      <c r="AL1308" s="5"/>
      <c r="AM1308" s="6"/>
      <c r="AN1308" s="6"/>
      <c r="AO1308" s="6"/>
      <c r="AP1308" s="6"/>
      <c r="AQ1308" s="5"/>
      <c r="AR1308" s="6"/>
      <c r="AS1308" s="6"/>
      <c r="AT1308" s="6"/>
      <c r="AU1308" s="6"/>
      <c r="AV1308" s="5"/>
      <c r="AW1308" s="6"/>
      <c r="AX1308" s="6"/>
      <c r="AY1308" s="6"/>
      <c r="AZ1308" s="6"/>
      <c r="BA1308" s="7"/>
      <c r="BB1308" s="6"/>
      <c r="BC1308" s="6"/>
      <c r="BD1308" s="6"/>
      <c r="BE1308" s="6"/>
      <c r="BF1308" s="7"/>
      <c r="BG1308" s="6"/>
      <c r="BH1308" s="6"/>
      <c r="BI1308" s="6"/>
      <c r="BJ1308" s="6"/>
      <c r="BK1308" s="7"/>
      <c r="BL1308" s="6"/>
      <c r="BM1308" s="6"/>
      <c r="BN1308" s="6"/>
      <c r="BO1308" s="6"/>
      <c r="BP1308" s="7"/>
      <c r="BQ1308" s="4"/>
      <c r="BR1308" s="4"/>
      <c r="BS1308" s="4"/>
      <c r="BT1308" s="4"/>
      <c r="BU1308" s="8"/>
      <c r="BV1308" s="4"/>
      <c r="BW1308" s="4"/>
      <c r="BX1308" s="4"/>
      <c r="BY1308" s="4"/>
      <c r="BZ1308" s="10"/>
      <c r="CA1308" s="4"/>
      <c r="CB1308" s="4"/>
      <c r="CC1308" s="4"/>
      <c r="CD1308" s="4"/>
      <c r="CE1308" s="10"/>
      <c r="CF1308" s="4"/>
      <c r="CG1308" s="4"/>
      <c r="CH1308" s="4"/>
      <c r="CI1308" s="4"/>
      <c r="CJ1308" s="10"/>
      <c r="CK1308" s="4"/>
      <c r="CL1308" s="4"/>
      <c r="CM1308" s="4"/>
      <c r="CN1308" s="16"/>
      <c r="CO1308" s="10"/>
      <c r="CP1308" s="16"/>
      <c r="CQ1308" s="4"/>
      <c r="CR1308" s="4"/>
      <c r="CS1308" s="4"/>
      <c r="CT1308" s="10"/>
      <c r="CU1308" s="4"/>
      <c r="CV1308" s="4"/>
      <c r="CW1308" s="4"/>
      <c r="CX1308" s="4"/>
      <c r="CY1308" s="10"/>
      <c r="CZ1308" s="4"/>
      <c r="DA1308" s="4"/>
      <c r="DB1308" s="4"/>
      <c r="DC1308" s="4"/>
      <c r="DD1308" s="10"/>
      <c r="DE1308" s="4"/>
      <c r="DF1308" s="4"/>
      <c r="DG1308" s="16"/>
      <c r="DH1308" s="4"/>
      <c r="DI1308" s="10"/>
      <c r="DJ1308" s="16"/>
      <c r="DK1308" s="16"/>
      <c r="DL1308" s="16"/>
      <c r="DM1308" s="4"/>
      <c r="DN1308" s="10"/>
      <c r="DO1308" s="4"/>
      <c r="DP1308" s="4"/>
      <c r="DQ1308" s="4"/>
      <c r="DR1308" s="4"/>
      <c r="DS1308" s="10"/>
      <c r="DT1308" s="4"/>
      <c r="DU1308" s="4"/>
      <c r="DV1308" s="4"/>
      <c r="DW1308" s="4"/>
      <c r="DX1308" s="10"/>
      <c r="DY1308" s="4"/>
      <c r="DZ1308" s="4"/>
      <c r="EA1308" s="4"/>
      <c r="EB1308" s="4"/>
      <c r="EC1308" s="10"/>
      <c r="ED1308" s="4"/>
      <c r="EE1308" s="4"/>
      <c r="EF1308" s="4"/>
      <c r="EG1308" s="4"/>
      <c r="EH1308" s="10"/>
      <c r="EI1308" s="214"/>
      <c r="EJ1308" s="4"/>
      <c r="EK1308" s="4"/>
      <c r="EL1308" s="4"/>
      <c r="EM1308" s="10"/>
      <c r="EN1308" s="4"/>
      <c r="EO1308" s="4"/>
      <c r="EP1308" s="4"/>
      <c r="EQ1308" s="4"/>
      <c r="ER1308" s="10"/>
      <c r="ES1308" s="4"/>
      <c r="ET1308" s="4"/>
      <c r="EU1308" s="4"/>
      <c r="EV1308" s="4"/>
      <c r="EW1308" s="10"/>
      <c r="EX1308" s="4"/>
      <c r="EY1308" s="4"/>
      <c r="EZ1308" s="4"/>
      <c r="FA1308" s="4"/>
      <c r="FB1308" s="10"/>
      <c r="FC1308" s="4"/>
      <c r="FD1308" s="4"/>
      <c r="FE1308" s="4"/>
      <c r="FF1308" s="4"/>
      <c r="FG1308" s="10"/>
      <c r="FH1308" s="21"/>
      <c r="FI1308" s="4"/>
      <c r="FJ1308" s="4"/>
      <c r="FK1308" s="4"/>
      <c r="FL1308" s="4"/>
    </row>
    <row r="1309" ht="12.75" hidden="1" customHeight="1" outlineLevel="3">
      <c r="A1309" s="4"/>
      <c r="B1309" s="4"/>
      <c r="C1309" s="4"/>
      <c r="D1309" s="4"/>
      <c r="E1309" s="4"/>
      <c r="F1309" s="4"/>
      <c r="G1309" s="4"/>
      <c r="H1309" s="5"/>
      <c r="I1309" s="6"/>
      <c r="J1309" s="6"/>
      <c r="K1309" s="6"/>
      <c r="L1309" s="6"/>
      <c r="M1309" s="5"/>
      <c r="N1309" s="6"/>
      <c r="O1309" s="6"/>
      <c r="P1309" s="6"/>
      <c r="Q1309" s="6"/>
      <c r="R1309" s="7"/>
      <c r="S1309" s="6"/>
      <c r="T1309" s="6"/>
      <c r="U1309" s="6"/>
      <c r="V1309" s="6"/>
      <c r="W1309" s="7"/>
      <c r="X1309" s="6"/>
      <c r="Y1309" s="6"/>
      <c r="Z1309" s="6"/>
      <c r="AA1309" s="6"/>
      <c r="AB1309" s="5"/>
      <c r="AC1309" s="6"/>
      <c r="AD1309" s="6"/>
      <c r="AE1309" s="6"/>
      <c r="AF1309" s="6"/>
      <c r="AG1309" s="5"/>
      <c r="AH1309" s="6"/>
      <c r="AI1309" s="6"/>
      <c r="AJ1309" s="6"/>
      <c r="AK1309" s="6"/>
      <c r="AL1309" s="5"/>
      <c r="AM1309" s="6"/>
      <c r="AN1309" s="6"/>
      <c r="AO1309" s="6"/>
      <c r="AP1309" s="6"/>
      <c r="AQ1309" s="5"/>
      <c r="AR1309" s="6"/>
      <c r="AS1309" s="6"/>
      <c r="AT1309" s="6"/>
      <c r="AU1309" s="6"/>
      <c r="AV1309" s="5"/>
      <c r="AW1309" s="6"/>
      <c r="AX1309" s="6"/>
      <c r="AY1309" s="6"/>
      <c r="AZ1309" s="6"/>
      <c r="BA1309" s="7"/>
      <c r="BB1309" s="6"/>
      <c r="BC1309" s="6"/>
      <c r="BD1309" s="6"/>
      <c r="BE1309" s="6"/>
      <c r="BF1309" s="7"/>
      <c r="BG1309" s="6"/>
      <c r="BH1309" s="6"/>
      <c r="BI1309" s="6"/>
      <c r="BJ1309" s="6"/>
      <c r="BK1309" s="7"/>
      <c r="BL1309" s="6"/>
      <c r="BM1309" s="6"/>
      <c r="BN1309" s="6"/>
      <c r="BO1309" s="6"/>
      <c r="BP1309" s="7"/>
      <c r="BQ1309" s="4"/>
      <c r="BR1309" s="4"/>
      <c r="BS1309" s="4"/>
      <c r="BT1309" s="4"/>
      <c r="BU1309" s="8"/>
      <c r="BV1309" s="4"/>
      <c r="BW1309" s="4"/>
      <c r="BX1309" s="4"/>
      <c r="BY1309" s="4"/>
      <c r="BZ1309" s="10"/>
      <c r="CA1309" s="4"/>
      <c r="CB1309" s="4"/>
      <c r="CC1309" s="4"/>
      <c r="CD1309" s="4"/>
      <c r="CE1309" s="10"/>
      <c r="CF1309" s="4"/>
      <c r="CG1309" s="4"/>
      <c r="CH1309" s="4"/>
      <c r="CI1309" s="4"/>
      <c r="CJ1309" s="10"/>
      <c r="CK1309" s="4"/>
      <c r="CL1309" s="4"/>
      <c r="CM1309" s="4"/>
      <c r="CN1309" s="16"/>
      <c r="CO1309" s="10"/>
      <c r="CP1309" s="16"/>
      <c r="CQ1309" s="4"/>
      <c r="CR1309" s="4"/>
      <c r="CS1309" s="4"/>
      <c r="CT1309" s="10"/>
      <c r="CU1309" s="4"/>
      <c r="CV1309" s="4"/>
      <c r="CW1309" s="4"/>
      <c r="CX1309" s="4"/>
      <c r="CY1309" s="10"/>
      <c r="CZ1309" s="4"/>
      <c r="DA1309" s="4"/>
      <c r="DB1309" s="4"/>
      <c r="DC1309" s="4"/>
      <c r="DD1309" s="10"/>
      <c r="DE1309" s="4"/>
      <c r="DF1309" s="4"/>
      <c r="DG1309" s="16"/>
      <c r="DH1309" s="4"/>
      <c r="DI1309" s="10"/>
      <c r="DJ1309" s="16"/>
      <c r="DK1309" s="16"/>
      <c r="DL1309" s="16"/>
      <c r="DM1309" s="4"/>
      <c r="DN1309" s="10"/>
      <c r="DO1309" s="4"/>
      <c r="DP1309" s="4"/>
      <c r="DQ1309" s="4"/>
      <c r="DR1309" s="4"/>
      <c r="DS1309" s="10"/>
      <c r="DT1309" s="4"/>
      <c r="DU1309" s="4"/>
      <c r="DV1309" s="4"/>
      <c r="DW1309" s="4"/>
      <c r="DX1309" s="10"/>
      <c r="DY1309" s="4"/>
      <c r="DZ1309" s="4"/>
      <c r="EA1309" s="4"/>
      <c r="EB1309" s="4"/>
      <c r="EC1309" s="10"/>
      <c r="ED1309" s="4"/>
      <c r="EE1309" s="4"/>
      <c r="EF1309" s="4"/>
      <c r="EG1309" s="4"/>
      <c r="EH1309" s="10"/>
      <c r="EI1309" s="214"/>
      <c r="EJ1309" s="4"/>
      <c r="EK1309" s="4"/>
      <c r="EL1309" s="4"/>
      <c r="EM1309" s="10"/>
      <c r="EN1309" s="4"/>
      <c r="EO1309" s="4"/>
      <c r="EP1309" s="4"/>
      <c r="EQ1309" s="4"/>
      <c r="ER1309" s="10"/>
      <c r="ES1309" s="4"/>
      <c r="ET1309" s="4"/>
      <c r="EU1309" s="4"/>
      <c r="EV1309" s="4"/>
      <c r="EW1309" s="10"/>
      <c r="EX1309" s="4"/>
      <c r="EY1309" s="4"/>
      <c r="EZ1309" s="4"/>
      <c r="FA1309" s="4"/>
      <c r="FB1309" s="10"/>
      <c r="FC1309" s="4"/>
      <c r="FD1309" s="4"/>
      <c r="FE1309" s="4"/>
      <c r="FF1309" s="4"/>
      <c r="FG1309" s="10"/>
      <c r="FH1309" s="21"/>
      <c r="FI1309" s="4"/>
      <c r="FJ1309" s="4"/>
      <c r="FK1309" s="4"/>
      <c r="FL1309" s="4"/>
    </row>
    <row r="1310" ht="12.75" hidden="1" customHeight="1" outlineLevel="3">
      <c r="A1310" s="4"/>
      <c r="B1310" s="4" t="s">
        <v>486</v>
      </c>
      <c r="C1310" s="4"/>
      <c r="D1310" s="4"/>
      <c r="E1310" s="4"/>
      <c r="F1310" s="4"/>
      <c r="G1310" s="4"/>
      <c r="H1310" s="5"/>
      <c r="I1310" s="6"/>
      <c r="J1310" s="6"/>
      <c r="K1310" s="6"/>
      <c r="L1310" s="6"/>
      <c r="M1310" s="5"/>
      <c r="N1310" s="6"/>
      <c r="O1310" s="6"/>
      <c r="P1310" s="6"/>
      <c r="Q1310" s="6"/>
      <c r="R1310" s="7"/>
      <c r="S1310" s="6"/>
      <c r="T1310" s="6"/>
      <c r="U1310" s="6"/>
      <c r="V1310" s="6"/>
      <c r="W1310" s="7"/>
      <c r="X1310" s="6" t="str">
        <f>estimatedCPURevenues</f>
        <v>#ERROR!</v>
      </c>
      <c r="Y1310" s="6" t="str">
        <f>estimatedCPURevenues</f>
        <v>#ERROR!</v>
      </c>
      <c r="Z1310" s="6" t="str">
        <f>estimatedCPURevenues</f>
        <v>#ERROR!</v>
      </c>
      <c r="AA1310" s="6" t="str">
        <f>estimatedCPURevenues</f>
        <v>#ERROR!</v>
      </c>
      <c r="AB1310" s="7" t="str">
        <f>estimatedCPURevenues</f>
        <v>#ERROR!</v>
      </c>
      <c r="AC1310" s="6" t="str">
        <f>estimatedCPURevenues</f>
        <v>#ERROR!</v>
      </c>
      <c r="AD1310" s="6" t="str">
        <f>estimatedCPURevenues</f>
        <v>#ERROR!</v>
      </c>
      <c r="AE1310" s="6" t="str">
        <f>estimatedCPURevenues</f>
        <v>#ERROR!</v>
      </c>
      <c r="AF1310" s="6" t="str">
        <f>estimatedCPURevenues</f>
        <v>#ERROR!</v>
      </c>
      <c r="AG1310" s="7" t="str">
        <f>estimatedCPURevenues</f>
        <v>#ERROR!</v>
      </c>
      <c r="AH1310" s="6" t="str">
        <f>estimatedCPURevenues</f>
        <v>#ERROR!</v>
      </c>
      <c r="AI1310" s="6" t="str">
        <f>estimatedCPURevenues</f>
        <v>#ERROR!</v>
      </c>
      <c r="AJ1310" s="6" t="str">
        <f>estimatedCPURevenues</f>
        <v>#ERROR!</v>
      </c>
      <c r="AK1310" s="6" t="str">
        <f>estimatedCPURevenues</f>
        <v>#ERROR!</v>
      </c>
      <c r="AL1310" s="767" t="str">
        <f>estimatedCPURevenues</f>
        <v>#ERROR!</v>
      </c>
      <c r="AM1310" s="47"/>
      <c r="AN1310" s="47"/>
      <c r="AO1310" s="47"/>
      <c r="AP1310" s="47"/>
      <c r="AQ1310" s="47"/>
      <c r="AR1310" s="47"/>
      <c r="AS1310" s="47"/>
      <c r="AT1310" s="47"/>
      <c r="AU1310" s="47"/>
      <c r="AV1310" s="47"/>
      <c r="AW1310" s="47"/>
      <c r="AX1310" s="47"/>
      <c r="AY1310" s="47"/>
      <c r="AZ1310" s="47"/>
      <c r="BA1310" s="47"/>
      <c r="BB1310" s="47"/>
      <c r="BC1310" s="47"/>
      <c r="BD1310" s="47"/>
      <c r="BE1310" s="47"/>
      <c r="BF1310" s="47"/>
      <c r="BG1310" s="47"/>
      <c r="BH1310" s="47"/>
      <c r="BI1310" s="47"/>
      <c r="BJ1310" s="47"/>
      <c r="BK1310" s="47"/>
      <c r="BL1310" s="47"/>
      <c r="BM1310" s="47"/>
      <c r="BN1310" s="47"/>
      <c r="BO1310" s="47"/>
      <c r="BP1310" s="48"/>
      <c r="BQ1310" s="4"/>
      <c r="BR1310" s="4"/>
      <c r="BS1310" s="4"/>
      <c r="BT1310" s="4"/>
      <c r="BU1310" s="8"/>
      <c r="BV1310" s="4"/>
      <c r="BW1310" s="4"/>
      <c r="BX1310" s="4"/>
      <c r="BY1310" s="4"/>
      <c r="BZ1310" s="10"/>
      <c r="CA1310" s="4"/>
      <c r="CB1310" s="4"/>
      <c r="CC1310" s="4"/>
      <c r="CD1310" s="4"/>
      <c r="CE1310" s="10"/>
      <c r="CF1310" s="4"/>
      <c r="CG1310" s="4"/>
      <c r="CH1310" s="4"/>
      <c r="CI1310" s="4"/>
      <c r="CJ1310" s="10"/>
      <c r="CK1310" s="4"/>
      <c r="CL1310" s="4"/>
      <c r="CM1310" s="4"/>
      <c r="CN1310" s="16"/>
      <c r="CO1310" s="10"/>
      <c r="CP1310" s="16"/>
      <c r="CQ1310" s="4"/>
      <c r="CR1310" s="4"/>
      <c r="CS1310" s="4"/>
      <c r="CT1310" s="10"/>
      <c r="CU1310" s="4"/>
      <c r="CV1310" s="4"/>
      <c r="CW1310" s="4"/>
      <c r="CX1310" s="4"/>
      <c r="CY1310" s="10"/>
      <c r="CZ1310" s="4"/>
      <c r="DA1310" s="4"/>
      <c r="DB1310" s="4"/>
      <c r="DC1310" s="4"/>
      <c r="DD1310" s="10"/>
      <c r="DE1310" s="4"/>
      <c r="DF1310" s="4"/>
      <c r="DG1310" s="16"/>
      <c r="DH1310" s="4"/>
      <c r="DI1310" s="10"/>
      <c r="DJ1310" s="16"/>
      <c r="DK1310" s="16"/>
      <c r="DL1310" s="16"/>
      <c r="DM1310" s="4"/>
      <c r="DN1310" s="10"/>
      <c r="DO1310" s="4"/>
      <c r="DP1310" s="4"/>
      <c r="DQ1310" s="4"/>
      <c r="DR1310" s="4"/>
      <c r="DS1310" s="10"/>
      <c r="DT1310" s="4"/>
      <c r="DU1310" s="4"/>
      <c r="DV1310" s="4"/>
      <c r="DW1310" s="4"/>
      <c r="DX1310" s="10"/>
      <c r="DY1310" s="4"/>
      <c r="DZ1310" s="4"/>
      <c r="EA1310" s="4"/>
      <c r="EB1310" s="4"/>
      <c r="EC1310" s="10"/>
      <c r="ED1310" s="4"/>
      <c r="EE1310" s="4"/>
      <c r="EF1310" s="4"/>
      <c r="EG1310" s="4"/>
      <c r="EH1310" s="10"/>
      <c r="EI1310" s="214"/>
      <c r="EJ1310" s="4"/>
      <c r="EK1310" s="4"/>
      <c r="EL1310" s="4"/>
      <c r="EM1310" s="10"/>
      <c r="EN1310" s="4"/>
      <c r="EO1310" s="4"/>
      <c r="EP1310" s="4"/>
      <c r="EQ1310" s="4"/>
      <c r="ER1310" s="10"/>
      <c r="ES1310" s="4"/>
      <c r="ET1310" s="4"/>
      <c r="EU1310" s="4"/>
      <c r="EV1310" s="4"/>
      <c r="EW1310" s="10"/>
      <c r="EX1310" s="4"/>
      <c r="EY1310" s="4"/>
      <c r="EZ1310" s="4"/>
      <c r="FA1310" s="4"/>
      <c r="FB1310" s="10"/>
      <c r="FC1310" s="4"/>
      <c r="FD1310" s="4"/>
      <c r="FE1310" s="4"/>
      <c r="FF1310" s="4"/>
      <c r="FG1310" s="10"/>
      <c r="FH1310" s="21"/>
      <c r="FI1310" s="4"/>
      <c r="FJ1310" s="4"/>
      <c r="FK1310" s="4"/>
      <c r="FL1310" s="4"/>
    </row>
    <row r="1311" ht="12.75" hidden="1" customHeight="1" outlineLevel="3">
      <c r="A1311" s="4"/>
      <c r="B1311" s="4" t="s">
        <v>487</v>
      </c>
      <c r="C1311" s="4"/>
      <c r="D1311" s="4"/>
      <c r="E1311" s="4"/>
      <c r="F1311" s="4"/>
      <c r="G1311" s="4"/>
      <c r="H1311" s="5"/>
      <c r="I1311" s="6"/>
      <c r="J1311" s="6"/>
      <c r="K1311" s="6"/>
      <c r="L1311" s="6"/>
      <c r="M1311" s="5"/>
      <c r="N1311" s="6"/>
      <c r="O1311" s="6"/>
      <c r="P1311" s="6"/>
      <c r="Q1311" s="6"/>
      <c r="R1311" s="7"/>
      <c r="S1311" s="6"/>
      <c r="T1311" s="6"/>
      <c r="U1311" s="6"/>
      <c r="V1311" s="6"/>
      <c r="W1311" s="7"/>
      <c r="X1311" s="6">
        <f>IABG*(1-1287:1287)</f>
        <v>1645.25</v>
      </c>
      <c r="Y1311" s="6">
        <f>IABG*(1-1287:1287)</f>
        <v>1892.52</v>
      </c>
      <c r="Z1311" s="6">
        <f>IABG*(1-1287:1287)</f>
        <v>1689.12</v>
      </c>
      <c r="AA1311" s="6">
        <f>IABG*(1-1287:1287)</f>
        <v>1644.24</v>
      </c>
      <c r="AB1311" s="7">
        <f>SUM(X1311:AA1311)</f>
        <v>6871.13</v>
      </c>
      <c r="AC1311" s="6">
        <f>IABG*(1-1287:1287)</f>
        <v>1899.21</v>
      </c>
      <c r="AD1311" s="6">
        <f>IABG*(1-1287:1287)</f>
        <v>1820.085</v>
      </c>
      <c r="AE1311" s="6">
        <f>IABG*(1-1287:1287)</f>
        <v>2426.85</v>
      </c>
      <c r="AF1311" s="6">
        <f>IABG*(1-1287:1287)</f>
        <v>2288.235</v>
      </c>
      <c r="AG1311" s="7">
        <f>SUM(AC1311:AF1311)</f>
        <v>8434.38</v>
      </c>
      <c r="AH1311" s="6" t="str">
        <f>estimatedCPURevenues*(1-AH1287)</f>
        <v>#ERROR!</v>
      </c>
      <c r="AI1311" s="6" t="str">
        <f>estimatedCPURevenues*(1-AI1287)</f>
        <v>#ERROR!</v>
      </c>
      <c r="AJ1311" s="6" t="str">
        <f>estimatedCPURevenues*(1-AJ1287)</f>
        <v>#ERROR!</v>
      </c>
      <c r="AK1311" s="6" t="str">
        <f>estimatedCPURevenues*(1-AK1287)</f>
        <v>#ERROR!</v>
      </c>
      <c r="AL1311" s="767" t="str">
        <f>SUM(AH1311:AK1311)</f>
        <v>#ERROR!</v>
      </c>
      <c r="AM1311" s="47"/>
      <c r="AN1311" s="47"/>
      <c r="AO1311" s="47"/>
      <c r="AP1311" s="47"/>
      <c r="AQ1311" s="47"/>
      <c r="AR1311" s="47"/>
      <c r="AS1311" s="47"/>
      <c r="AT1311" s="47"/>
      <c r="AU1311" s="47"/>
      <c r="AV1311" s="47"/>
      <c r="AW1311" s="47"/>
      <c r="AX1311" s="47"/>
      <c r="AY1311" s="47"/>
      <c r="AZ1311" s="47"/>
      <c r="BA1311" s="47"/>
      <c r="BB1311" s="47"/>
      <c r="BC1311" s="47"/>
      <c r="BD1311" s="47"/>
      <c r="BE1311" s="47"/>
      <c r="BF1311" s="47"/>
      <c r="BG1311" s="47"/>
      <c r="BH1311" s="47"/>
      <c r="BI1311" s="47"/>
      <c r="BJ1311" s="47"/>
      <c r="BK1311" s="47"/>
      <c r="BL1311" s="47"/>
      <c r="BM1311" s="47"/>
      <c r="BN1311" s="47"/>
      <c r="BO1311" s="47"/>
      <c r="BP1311" s="48"/>
      <c r="BQ1311" s="4"/>
      <c r="BR1311" s="4"/>
      <c r="BS1311" s="4"/>
      <c r="BT1311" s="4"/>
      <c r="BU1311" s="8"/>
      <c r="BV1311" s="4"/>
      <c r="BW1311" s="4"/>
      <c r="BX1311" s="4"/>
      <c r="BY1311" s="4"/>
      <c r="BZ1311" s="10"/>
      <c r="CA1311" s="4"/>
      <c r="CB1311" s="4"/>
      <c r="CC1311" s="4"/>
      <c r="CD1311" s="4"/>
      <c r="CE1311" s="10"/>
      <c r="CF1311" s="4"/>
      <c r="CG1311" s="4"/>
      <c r="CH1311" s="4"/>
      <c r="CI1311" s="4"/>
      <c r="CJ1311" s="10"/>
      <c r="CK1311" s="4"/>
      <c r="CL1311" s="4"/>
      <c r="CM1311" s="4"/>
      <c r="CN1311" s="16"/>
      <c r="CO1311" s="10"/>
      <c r="CP1311" s="16"/>
      <c r="CQ1311" s="4"/>
      <c r="CR1311" s="4"/>
      <c r="CS1311" s="4"/>
      <c r="CT1311" s="10"/>
      <c r="CU1311" s="4"/>
      <c r="CV1311" s="4"/>
      <c r="CW1311" s="4"/>
      <c r="CX1311" s="4"/>
      <c r="CY1311" s="10"/>
      <c r="CZ1311" s="4"/>
      <c r="DA1311" s="4"/>
      <c r="DB1311" s="4"/>
      <c r="DC1311" s="4"/>
      <c r="DD1311" s="10"/>
      <c r="DE1311" s="4"/>
      <c r="DF1311" s="4"/>
      <c r="DG1311" s="16"/>
      <c r="DH1311" s="4"/>
      <c r="DI1311" s="10"/>
      <c r="DJ1311" s="16"/>
      <c r="DK1311" s="16"/>
      <c r="DL1311" s="16"/>
      <c r="DM1311" s="4"/>
      <c r="DN1311" s="10"/>
      <c r="DO1311" s="4"/>
      <c r="DP1311" s="4"/>
      <c r="DQ1311" s="4"/>
      <c r="DR1311" s="4"/>
      <c r="DS1311" s="10"/>
      <c r="DT1311" s="4"/>
      <c r="DU1311" s="4"/>
      <c r="DV1311" s="4"/>
      <c r="DW1311" s="4"/>
      <c r="DX1311" s="10"/>
      <c r="DY1311" s="4"/>
      <c r="DZ1311" s="4"/>
      <c r="EA1311" s="4"/>
      <c r="EB1311" s="4"/>
      <c r="EC1311" s="10"/>
      <c r="ED1311" s="4"/>
      <c r="EE1311" s="4"/>
      <c r="EF1311" s="4"/>
      <c r="EG1311" s="4"/>
      <c r="EH1311" s="10"/>
      <c r="EI1311" s="214"/>
      <c r="EJ1311" s="4"/>
      <c r="EK1311" s="4"/>
      <c r="EL1311" s="4"/>
      <c r="EM1311" s="10"/>
      <c r="EN1311" s="4"/>
      <c r="EO1311" s="4"/>
      <c r="EP1311" s="4"/>
      <c r="EQ1311" s="4"/>
      <c r="ER1311" s="10"/>
      <c r="ES1311" s="4"/>
      <c r="ET1311" s="4"/>
      <c r="EU1311" s="4"/>
      <c r="EV1311" s="4"/>
      <c r="EW1311" s="10"/>
      <c r="EX1311" s="4"/>
      <c r="EY1311" s="4"/>
      <c r="EZ1311" s="4"/>
      <c r="FA1311" s="4"/>
      <c r="FB1311" s="10"/>
      <c r="FC1311" s="4"/>
      <c r="FD1311" s="4"/>
      <c r="FE1311" s="4"/>
      <c r="FF1311" s="4"/>
      <c r="FG1311" s="10"/>
      <c r="FH1311" s="21"/>
      <c r="FI1311" s="4"/>
      <c r="FJ1311" s="4"/>
      <c r="FK1311" s="4"/>
      <c r="FL1311" s="4"/>
    </row>
    <row r="1312" ht="12.75" hidden="1" customHeight="1" outlineLevel="3">
      <c r="A1312" s="4"/>
      <c r="B1312" s="4" t="s">
        <v>488</v>
      </c>
      <c r="C1312" s="4"/>
      <c r="D1312" s="4"/>
      <c r="E1312" s="4"/>
      <c r="F1312" s="4"/>
      <c r="G1312" s="4"/>
      <c r="H1312" s="5"/>
      <c r="I1312" s="6"/>
      <c r="J1312" s="6"/>
      <c r="K1312" s="6"/>
      <c r="L1312" s="6"/>
      <c r="M1312" s="5"/>
      <c r="N1312" s="6"/>
      <c r="O1312" s="6"/>
      <c r="P1312" s="6"/>
      <c r="Q1312" s="6"/>
      <c r="R1312" s="7"/>
      <c r="S1312" s="6"/>
      <c r="T1312" s="6"/>
      <c r="U1312" s="6"/>
      <c r="V1312" s="6"/>
      <c r="W1312" s="7"/>
      <c r="X1312" s="769" t="str">
        <f>totalCPUs</f>
        <v>#ERROR!</v>
      </c>
      <c r="Y1312" s="769" t="str">
        <f>totalCPUs</f>
        <v>#ERROR!</v>
      </c>
      <c r="Z1312" s="769" t="str">
        <f>totalCPUs</f>
        <v>#ERROR!</v>
      </c>
      <c r="AA1312" s="769" t="str">
        <f>totalCPUs</f>
        <v>#ERROR!</v>
      </c>
      <c r="AB1312" s="770" t="str">
        <f>totalCPUs</f>
        <v>#ERROR!</v>
      </c>
      <c r="AC1312" s="769" t="str">
        <f>totalCPUs</f>
        <v>#ERROR!</v>
      </c>
      <c r="AD1312" s="769" t="str">
        <f>totalCPUs</f>
        <v>#ERROR!</v>
      </c>
      <c r="AE1312" s="769" t="str">
        <f>totalCPUs</f>
        <v>#ERROR!</v>
      </c>
      <c r="AF1312" s="769" t="str">
        <f>totalCPUs</f>
        <v>#ERROR!</v>
      </c>
      <c r="AG1312" s="770" t="str">
        <f>totalCPUs</f>
        <v>#ERROR!</v>
      </c>
      <c r="AH1312" s="769" t="str">
        <f>totalCPUs</f>
        <v>#ERROR!</v>
      </c>
      <c r="AI1312" s="771" t="str">
        <f>totalCPUs</f>
        <v>#ERROR!</v>
      </c>
      <c r="AJ1312" s="771" t="str">
        <f>totalCPUs</f>
        <v>#ERROR!</v>
      </c>
      <c r="AK1312" s="771" t="str">
        <f>totalCPUs</f>
        <v>#ERROR!</v>
      </c>
      <c r="AL1312" s="767" t="str">
        <f>totalCPUs</f>
        <v>#ERROR!</v>
      </c>
      <c r="AM1312" s="47"/>
      <c r="AN1312" s="47"/>
      <c r="AO1312" s="47"/>
      <c r="AP1312" s="47"/>
      <c r="AQ1312" s="47"/>
      <c r="AR1312" s="47"/>
      <c r="AS1312" s="47"/>
      <c r="AT1312" s="47"/>
      <c r="AU1312" s="47"/>
      <c r="AV1312" s="47"/>
      <c r="AW1312" s="47"/>
      <c r="AX1312" s="47"/>
      <c r="AY1312" s="47"/>
      <c r="AZ1312" s="47"/>
      <c r="BA1312" s="47"/>
      <c r="BB1312" s="47"/>
      <c r="BC1312" s="47"/>
      <c r="BD1312" s="47"/>
      <c r="BE1312" s="47"/>
      <c r="BF1312" s="47"/>
      <c r="BG1312" s="47"/>
      <c r="BH1312" s="47"/>
      <c r="BI1312" s="47"/>
      <c r="BJ1312" s="47"/>
      <c r="BK1312" s="47"/>
      <c r="BL1312" s="47"/>
      <c r="BM1312" s="47"/>
      <c r="BN1312" s="47"/>
      <c r="BO1312" s="47"/>
      <c r="BP1312" s="48"/>
      <c r="BQ1312" s="4"/>
      <c r="BR1312" s="4"/>
      <c r="BS1312" s="4"/>
      <c r="BT1312" s="4"/>
      <c r="BU1312" s="8"/>
      <c r="BV1312" s="4"/>
      <c r="BW1312" s="4"/>
      <c r="BX1312" s="4"/>
      <c r="BY1312" s="4"/>
      <c r="BZ1312" s="10"/>
      <c r="CA1312" s="4"/>
      <c r="CB1312" s="4"/>
      <c r="CC1312" s="4"/>
      <c r="CD1312" s="4"/>
      <c r="CE1312" s="10"/>
      <c r="CF1312" s="4"/>
      <c r="CG1312" s="4"/>
      <c r="CH1312" s="4"/>
      <c r="CI1312" s="4"/>
      <c r="CJ1312" s="10"/>
      <c r="CK1312" s="4"/>
      <c r="CL1312" s="4"/>
      <c r="CM1312" s="4"/>
      <c r="CN1312" s="16"/>
      <c r="CO1312" s="10"/>
      <c r="CP1312" s="16"/>
      <c r="CQ1312" s="4"/>
      <c r="CR1312" s="4"/>
      <c r="CS1312" s="4"/>
      <c r="CT1312" s="10"/>
      <c r="CU1312" s="4"/>
      <c r="CV1312" s="4"/>
      <c r="CW1312" s="4"/>
      <c r="CX1312" s="4"/>
      <c r="CY1312" s="10"/>
      <c r="CZ1312" s="4"/>
      <c r="DA1312" s="4"/>
      <c r="DB1312" s="4"/>
      <c r="DC1312" s="4"/>
      <c r="DD1312" s="10"/>
      <c r="DE1312" s="4"/>
      <c r="DF1312" s="4"/>
      <c r="DG1312" s="16"/>
      <c r="DH1312" s="4"/>
      <c r="DI1312" s="10"/>
      <c r="DJ1312" s="16"/>
      <c r="DK1312" s="16"/>
      <c r="DL1312" s="16"/>
      <c r="DM1312" s="4"/>
      <c r="DN1312" s="10"/>
      <c r="DO1312" s="4"/>
      <c r="DP1312" s="4"/>
      <c r="DQ1312" s="4"/>
      <c r="DR1312" s="4"/>
      <c r="DS1312" s="10"/>
      <c r="DT1312" s="4"/>
      <c r="DU1312" s="4"/>
      <c r="DV1312" s="4"/>
      <c r="DW1312" s="4"/>
      <c r="DX1312" s="10"/>
      <c r="DY1312" s="4"/>
      <c r="DZ1312" s="4"/>
      <c r="EA1312" s="4"/>
      <c r="EB1312" s="4"/>
      <c r="EC1312" s="10"/>
      <c r="ED1312" s="4"/>
      <c r="EE1312" s="4"/>
      <c r="EF1312" s="4"/>
      <c r="EG1312" s="4"/>
      <c r="EH1312" s="10"/>
      <c r="EI1312" s="214"/>
      <c r="EJ1312" s="4"/>
      <c r="EK1312" s="4"/>
      <c r="EL1312" s="4"/>
      <c r="EM1312" s="10"/>
      <c r="EN1312" s="4"/>
      <c r="EO1312" s="4"/>
      <c r="EP1312" s="4"/>
      <c r="EQ1312" s="4"/>
      <c r="ER1312" s="10"/>
      <c r="ES1312" s="4"/>
      <c r="ET1312" s="4"/>
      <c r="EU1312" s="4"/>
      <c r="EV1312" s="4"/>
      <c r="EW1312" s="10"/>
      <c r="EX1312" s="4"/>
      <c r="EY1312" s="4"/>
      <c r="EZ1312" s="4"/>
      <c r="FA1312" s="4"/>
      <c r="FB1312" s="10"/>
      <c r="FC1312" s="4"/>
      <c r="FD1312" s="4"/>
      <c r="FE1312" s="4"/>
      <c r="FF1312" s="4"/>
      <c r="FG1312" s="10"/>
      <c r="FH1312" s="21"/>
      <c r="FI1312" s="4"/>
      <c r="FJ1312" s="4"/>
      <c r="FK1312" s="4"/>
      <c r="FL1312" s="4"/>
    </row>
    <row r="1313" ht="12.75" hidden="1" customHeight="1" outlineLevel="3">
      <c r="A1313" s="4"/>
      <c r="B1313" s="4" t="s">
        <v>489</v>
      </c>
      <c r="C1313" s="4"/>
      <c r="D1313" s="4"/>
      <c r="E1313" s="4"/>
      <c r="F1313" s="4"/>
      <c r="G1313" s="4"/>
      <c r="H1313" s="5"/>
      <c r="I1313" s="6"/>
      <c r="J1313" s="6"/>
      <c r="K1313" s="6"/>
      <c r="L1313" s="6"/>
      <c r="M1313" s="5"/>
      <c r="N1313" s="6"/>
      <c r="O1313" s="6"/>
      <c r="P1313" s="6"/>
      <c r="Q1313" s="6"/>
      <c r="R1313" s="7"/>
      <c r="S1313" s="6"/>
      <c r="T1313" s="6"/>
      <c r="U1313" s="6"/>
      <c r="V1313" s="6"/>
      <c r="W1313" s="7"/>
      <c r="X1313" s="6" t="str">
        <f t="shared" ref="X1313:AL1313" si="6708">X1311/(X1312/1000)</f>
        <v>#ERROR!</v>
      </c>
      <c r="Y1313" s="6" t="str">
        <f t="shared" si="6708"/>
        <v>#ERROR!</v>
      </c>
      <c r="Z1313" s="6" t="str">
        <f t="shared" si="6708"/>
        <v>#ERROR!</v>
      </c>
      <c r="AA1313" s="6" t="str">
        <f t="shared" si="6708"/>
        <v>#ERROR!</v>
      </c>
      <c r="AB1313" s="7" t="str">
        <f t="shared" si="6708"/>
        <v>#ERROR!</v>
      </c>
      <c r="AC1313" s="6" t="str">
        <f t="shared" si="6708"/>
        <v>#ERROR!</v>
      </c>
      <c r="AD1313" s="6" t="str">
        <f t="shared" si="6708"/>
        <v>#ERROR!</v>
      </c>
      <c r="AE1313" s="6" t="str">
        <f t="shared" si="6708"/>
        <v>#ERROR!</v>
      </c>
      <c r="AF1313" s="6" t="str">
        <f t="shared" si="6708"/>
        <v>#ERROR!</v>
      </c>
      <c r="AG1313" s="7" t="str">
        <f t="shared" si="6708"/>
        <v>#ERROR!</v>
      </c>
      <c r="AH1313" s="6" t="str">
        <f t="shared" si="6708"/>
        <v>#ERROR!</v>
      </c>
      <c r="AI1313" s="6" t="str">
        <f t="shared" si="6708"/>
        <v>#ERROR!</v>
      </c>
      <c r="AJ1313" s="6" t="str">
        <f t="shared" si="6708"/>
        <v>#ERROR!</v>
      </c>
      <c r="AK1313" s="6" t="str">
        <f t="shared" si="6708"/>
        <v>#ERROR!</v>
      </c>
      <c r="AL1313" s="767" t="str">
        <f t="shared" si="6708"/>
        <v>#ERROR!</v>
      </c>
      <c r="AM1313" s="47"/>
      <c r="AN1313" s="47"/>
      <c r="AO1313" s="47"/>
      <c r="AP1313" s="47"/>
      <c r="AQ1313" s="47"/>
      <c r="AR1313" s="47"/>
      <c r="AS1313" s="47"/>
      <c r="AT1313" s="47"/>
      <c r="AU1313" s="47"/>
      <c r="AV1313" s="47"/>
      <c r="AW1313" s="47"/>
      <c r="AX1313" s="47"/>
      <c r="AY1313" s="47"/>
      <c r="AZ1313" s="47"/>
      <c r="BA1313" s="47"/>
      <c r="BB1313" s="47"/>
      <c r="BC1313" s="47"/>
      <c r="BD1313" s="47"/>
      <c r="BE1313" s="47"/>
      <c r="BF1313" s="47"/>
      <c r="BG1313" s="47"/>
      <c r="BH1313" s="47"/>
      <c r="BI1313" s="47"/>
      <c r="BJ1313" s="47"/>
      <c r="BK1313" s="47"/>
      <c r="BL1313" s="47"/>
      <c r="BM1313" s="47"/>
      <c r="BN1313" s="47"/>
      <c r="BO1313" s="47"/>
      <c r="BP1313" s="48"/>
      <c r="BQ1313" s="4"/>
      <c r="BR1313" s="4"/>
      <c r="BS1313" s="4"/>
      <c r="BT1313" s="4"/>
      <c r="BU1313" s="8"/>
      <c r="BV1313" s="4"/>
      <c r="BW1313" s="4"/>
      <c r="BX1313" s="4"/>
      <c r="BY1313" s="4"/>
      <c r="BZ1313" s="10"/>
      <c r="CA1313" s="4"/>
      <c r="CB1313" s="4"/>
      <c r="CC1313" s="4"/>
      <c r="CD1313" s="4"/>
      <c r="CE1313" s="10"/>
      <c r="CF1313" s="4"/>
      <c r="CG1313" s="4"/>
      <c r="CH1313" s="4"/>
      <c r="CI1313" s="4"/>
      <c r="CJ1313" s="10"/>
      <c r="CK1313" s="4"/>
      <c r="CL1313" s="4"/>
      <c r="CM1313" s="4"/>
      <c r="CN1313" s="16"/>
      <c r="CO1313" s="10"/>
      <c r="CP1313" s="16"/>
      <c r="CQ1313" s="4"/>
      <c r="CR1313" s="4"/>
      <c r="CS1313" s="4"/>
      <c r="CT1313" s="10"/>
      <c r="CU1313" s="4"/>
      <c r="CV1313" s="4"/>
      <c r="CW1313" s="4"/>
      <c r="CX1313" s="4"/>
      <c r="CY1313" s="10"/>
      <c r="CZ1313" s="4"/>
      <c r="DA1313" s="4"/>
      <c r="DB1313" s="4"/>
      <c r="DC1313" s="4"/>
      <c r="DD1313" s="10"/>
      <c r="DE1313" s="4"/>
      <c r="DF1313" s="4"/>
      <c r="DG1313" s="16"/>
      <c r="DH1313" s="4"/>
      <c r="DI1313" s="10"/>
      <c r="DJ1313" s="16"/>
      <c r="DK1313" s="16"/>
      <c r="DL1313" s="16"/>
      <c r="DM1313" s="4"/>
      <c r="DN1313" s="10"/>
      <c r="DO1313" s="4"/>
      <c r="DP1313" s="4"/>
      <c r="DQ1313" s="4"/>
      <c r="DR1313" s="4"/>
      <c r="DS1313" s="10"/>
      <c r="DT1313" s="4"/>
      <c r="DU1313" s="4"/>
      <c r="DV1313" s="4"/>
      <c r="DW1313" s="4"/>
      <c r="DX1313" s="10"/>
      <c r="DY1313" s="4"/>
      <c r="DZ1313" s="4"/>
      <c r="EA1313" s="4"/>
      <c r="EB1313" s="4"/>
      <c r="EC1313" s="10"/>
      <c r="ED1313" s="4"/>
      <c r="EE1313" s="4"/>
      <c r="EF1313" s="4"/>
      <c r="EG1313" s="4"/>
      <c r="EH1313" s="10"/>
      <c r="EI1313" s="214"/>
      <c r="EJ1313" s="4"/>
      <c r="EK1313" s="4"/>
      <c r="EL1313" s="4"/>
      <c r="EM1313" s="10"/>
      <c r="EN1313" s="4"/>
      <c r="EO1313" s="4"/>
      <c r="EP1313" s="4"/>
      <c r="EQ1313" s="4"/>
      <c r="ER1313" s="10"/>
      <c r="ES1313" s="4"/>
      <c r="ET1313" s="4"/>
      <c r="EU1313" s="4"/>
      <c r="EV1313" s="4"/>
      <c r="EW1313" s="10"/>
      <c r="EX1313" s="4"/>
      <c r="EY1313" s="4"/>
      <c r="EZ1313" s="4"/>
      <c r="FA1313" s="4"/>
      <c r="FB1313" s="10"/>
      <c r="FC1313" s="4"/>
      <c r="FD1313" s="4"/>
      <c r="FE1313" s="4"/>
      <c r="FF1313" s="4"/>
      <c r="FG1313" s="10"/>
      <c r="FH1313" s="21"/>
      <c r="FI1313" s="4"/>
      <c r="FJ1313" s="4"/>
      <c r="FK1313" s="4"/>
      <c r="FL1313" s="4"/>
    </row>
    <row r="1314" ht="12.75" hidden="1" customHeight="1" outlineLevel="3">
      <c r="A1314" s="4"/>
      <c r="B1314" s="4"/>
      <c r="C1314" s="4"/>
      <c r="D1314" s="4"/>
      <c r="E1314" s="4"/>
      <c r="F1314" s="4"/>
      <c r="G1314" s="4"/>
      <c r="H1314" s="5"/>
      <c r="I1314" s="6"/>
      <c r="J1314" s="6"/>
      <c r="K1314" s="6"/>
      <c r="L1314" s="6"/>
      <c r="M1314" s="5"/>
      <c r="N1314" s="6"/>
      <c r="O1314" s="6"/>
      <c r="P1314" s="6"/>
      <c r="Q1314" s="6"/>
      <c r="R1314" s="7"/>
      <c r="S1314" s="6"/>
      <c r="T1314" s="6"/>
      <c r="U1314" s="6"/>
      <c r="V1314" s="6"/>
      <c r="W1314" s="7"/>
      <c r="X1314" s="6"/>
      <c r="Y1314" s="6"/>
      <c r="Z1314" s="6"/>
      <c r="AA1314" s="6"/>
      <c r="AB1314" s="5"/>
      <c r="AC1314" s="6"/>
      <c r="AD1314" s="6"/>
      <c r="AE1314" s="6"/>
      <c r="AF1314" s="6"/>
      <c r="AG1314" s="5"/>
      <c r="AH1314" s="6"/>
      <c r="AI1314" s="6"/>
      <c r="AJ1314" s="6"/>
      <c r="AK1314" s="6"/>
      <c r="AL1314" s="5"/>
      <c r="AM1314" s="6"/>
      <c r="AN1314" s="6"/>
      <c r="AO1314" s="6"/>
      <c r="AP1314" s="6"/>
      <c r="AQ1314" s="5"/>
      <c r="AR1314" s="6"/>
      <c r="AS1314" s="6"/>
      <c r="AT1314" s="6"/>
      <c r="AU1314" s="6"/>
      <c r="AV1314" s="5"/>
      <c r="AW1314" s="6"/>
      <c r="AX1314" s="6"/>
      <c r="AY1314" s="6"/>
      <c r="AZ1314" s="6"/>
      <c r="BA1314" s="7"/>
      <c r="BB1314" s="6"/>
      <c r="BC1314" s="6"/>
      <c r="BD1314" s="6"/>
      <c r="BE1314" s="6"/>
      <c r="BF1314" s="7"/>
      <c r="BG1314" s="6"/>
      <c r="BH1314" s="6"/>
      <c r="BI1314" s="6"/>
      <c r="BJ1314" s="6"/>
      <c r="BK1314" s="7"/>
      <c r="BL1314" s="6"/>
      <c r="BM1314" s="6"/>
      <c r="BN1314" s="6"/>
      <c r="BO1314" s="6"/>
      <c r="BP1314" s="7"/>
      <c r="BQ1314" s="4"/>
      <c r="BR1314" s="4"/>
      <c r="BS1314" s="4"/>
      <c r="BT1314" s="4"/>
      <c r="BU1314" s="8"/>
      <c r="BV1314" s="4"/>
      <c r="BW1314" s="4"/>
      <c r="BX1314" s="4"/>
      <c r="BY1314" s="4"/>
      <c r="BZ1314" s="10"/>
      <c r="CA1314" s="4"/>
      <c r="CB1314" s="4"/>
      <c r="CC1314" s="4"/>
      <c r="CD1314" s="4"/>
      <c r="CE1314" s="10"/>
      <c r="CF1314" s="4"/>
      <c r="CG1314" s="4"/>
      <c r="CH1314" s="4"/>
      <c r="CI1314" s="4"/>
      <c r="CJ1314" s="10"/>
      <c r="CK1314" s="4"/>
      <c r="CL1314" s="4"/>
      <c r="CM1314" s="4"/>
      <c r="CN1314" s="16"/>
      <c r="CO1314" s="10"/>
      <c r="CP1314" s="16"/>
      <c r="CQ1314" s="4"/>
      <c r="CR1314" s="4"/>
      <c r="CS1314" s="4"/>
      <c r="CT1314" s="10"/>
      <c r="CU1314" s="4"/>
      <c r="CV1314" s="4"/>
      <c r="CW1314" s="4"/>
      <c r="CX1314" s="4"/>
      <c r="CY1314" s="10"/>
      <c r="CZ1314" s="4"/>
      <c r="DA1314" s="4"/>
      <c r="DB1314" s="4"/>
      <c r="DC1314" s="4"/>
      <c r="DD1314" s="10"/>
      <c r="DE1314" s="4"/>
      <c r="DF1314" s="4"/>
      <c r="DG1314" s="16"/>
      <c r="DH1314" s="4"/>
      <c r="DI1314" s="10"/>
      <c r="DJ1314" s="16"/>
      <c r="DK1314" s="16"/>
      <c r="DL1314" s="16"/>
      <c r="DM1314" s="4"/>
      <c r="DN1314" s="10"/>
      <c r="DO1314" s="4"/>
      <c r="DP1314" s="4"/>
      <c r="DQ1314" s="4"/>
      <c r="DR1314" s="4"/>
      <c r="DS1314" s="10"/>
      <c r="DT1314" s="4"/>
      <c r="DU1314" s="4"/>
      <c r="DV1314" s="4"/>
      <c r="DW1314" s="4"/>
      <c r="DX1314" s="10"/>
      <c r="DY1314" s="4"/>
      <c r="DZ1314" s="4"/>
      <c r="EA1314" s="4"/>
      <c r="EB1314" s="4"/>
      <c r="EC1314" s="10"/>
      <c r="ED1314" s="4"/>
      <c r="EE1314" s="4"/>
      <c r="EF1314" s="4"/>
      <c r="EG1314" s="4"/>
      <c r="EH1314" s="10"/>
      <c r="EI1314" s="214"/>
      <c r="EJ1314" s="4"/>
      <c r="EK1314" s="4"/>
      <c r="EL1314" s="4"/>
      <c r="EM1314" s="10"/>
      <c r="EN1314" s="4"/>
      <c r="EO1314" s="4"/>
      <c r="EP1314" s="4"/>
      <c r="EQ1314" s="4"/>
      <c r="ER1314" s="10"/>
      <c r="ES1314" s="4"/>
      <c r="ET1314" s="4"/>
      <c r="EU1314" s="4"/>
      <c r="EV1314" s="4"/>
      <c r="EW1314" s="10"/>
      <c r="EX1314" s="4"/>
      <c r="EY1314" s="4"/>
      <c r="EZ1314" s="4"/>
      <c r="FA1314" s="4"/>
      <c r="FB1314" s="10"/>
      <c r="FC1314" s="4"/>
      <c r="FD1314" s="4"/>
      <c r="FE1314" s="4"/>
      <c r="FF1314" s="4"/>
      <c r="FG1314" s="10"/>
      <c r="FH1314" s="21"/>
      <c r="FI1314" s="4"/>
      <c r="FJ1314" s="4"/>
      <c r="FK1314" s="4"/>
      <c r="FL1314" s="4"/>
    </row>
    <row r="1315" ht="12.75" hidden="1" customHeight="1" outlineLevel="3">
      <c r="A1315" s="4"/>
      <c r="B1315" s="4" t="s">
        <v>490</v>
      </c>
      <c r="C1315" s="4"/>
      <c r="D1315" s="4"/>
      <c r="E1315" s="4"/>
      <c r="F1315" s="4"/>
      <c r="G1315" s="4"/>
      <c r="H1315" s="5"/>
      <c r="I1315" s="6"/>
      <c r="J1315" s="6"/>
      <c r="K1315" s="6"/>
      <c r="L1315" s="6"/>
      <c r="M1315" s="5"/>
      <c r="N1315" s="6"/>
      <c r="O1315" s="6"/>
      <c r="P1315" s="6"/>
      <c r="Q1315" s="6"/>
      <c r="R1315" s="7"/>
      <c r="S1315" s="6"/>
      <c r="T1315" s="6"/>
      <c r="U1315" s="6"/>
      <c r="V1315" s="6"/>
      <c r="W1315" s="7"/>
      <c r="X1315" s="6"/>
      <c r="Y1315" s="6"/>
      <c r="Z1315" s="6"/>
      <c r="AA1315" s="6"/>
      <c r="AB1315" s="5"/>
      <c r="AC1315" s="6"/>
      <c r="AD1315" s="6"/>
      <c r="AE1315" s="6"/>
      <c r="AF1315" s="6"/>
      <c r="AG1315" s="6">
        <v>0.28</v>
      </c>
      <c r="AH1315" s="6">
        <v>0.3</v>
      </c>
      <c r="AI1315" s="6">
        <v>0.28</v>
      </c>
      <c r="AJ1315" s="6">
        <v>0.28</v>
      </c>
      <c r="AK1315" s="6">
        <v>0.28</v>
      </c>
      <c r="AL1315" s="768">
        <v>0.28</v>
      </c>
      <c r="AM1315" s="47"/>
      <c r="AN1315" s="47"/>
      <c r="AO1315" s="47"/>
      <c r="AP1315" s="47"/>
      <c r="AQ1315" s="47"/>
      <c r="AR1315" s="47"/>
      <c r="AS1315" s="47"/>
      <c r="AT1315" s="47"/>
      <c r="AU1315" s="47"/>
      <c r="AV1315" s="47"/>
      <c r="AW1315" s="47"/>
      <c r="AX1315" s="47"/>
      <c r="AY1315" s="47"/>
      <c r="AZ1315" s="47"/>
      <c r="BA1315" s="47"/>
      <c r="BB1315" s="47"/>
      <c r="BC1315" s="47"/>
      <c r="BD1315" s="47"/>
      <c r="BE1315" s="47"/>
      <c r="BF1315" s="47"/>
      <c r="BG1315" s="47"/>
      <c r="BH1315" s="47"/>
      <c r="BI1315" s="47"/>
      <c r="BJ1315" s="47"/>
      <c r="BK1315" s="47"/>
      <c r="BL1315" s="47"/>
      <c r="BM1315" s="47"/>
      <c r="BN1315" s="47"/>
      <c r="BO1315" s="47"/>
      <c r="BP1315" s="48"/>
      <c r="BQ1315" s="4"/>
      <c r="BR1315" s="4"/>
      <c r="BS1315" s="4"/>
      <c r="BT1315" s="4"/>
      <c r="BU1315" s="8"/>
      <c r="BV1315" s="4"/>
      <c r="BW1315" s="4"/>
      <c r="BX1315" s="4"/>
      <c r="BY1315" s="4"/>
      <c r="BZ1315" s="10"/>
      <c r="CA1315" s="4"/>
      <c r="CB1315" s="4"/>
      <c r="CC1315" s="4"/>
      <c r="CD1315" s="4"/>
      <c r="CE1315" s="10"/>
      <c r="CF1315" s="4"/>
      <c r="CG1315" s="4"/>
      <c r="CH1315" s="4"/>
      <c r="CI1315" s="4"/>
      <c r="CJ1315" s="10"/>
      <c r="CK1315" s="4"/>
      <c r="CL1315" s="4"/>
      <c r="CM1315" s="4"/>
      <c r="CN1315" s="16"/>
      <c r="CO1315" s="10"/>
      <c r="CP1315" s="16"/>
      <c r="CQ1315" s="4"/>
      <c r="CR1315" s="4"/>
      <c r="CS1315" s="4"/>
      <c r="CT1315" s="10"/>
      <c r="CU1315" s="4"/>
      <c r="CV1315" s="4"/>
      <c r="CW1315" s="4"/>
      <c r="CX1315" s="4"/>
      <c r="CY1315" s="10"/>
      <c r="CZ1315" s="4"/>
      <c r="DA1315" s="4"/>
      <c r="DB1315" s="4"/>
      <c r="DC1315" s="4"/>
      <c r="DD1315" s="10"/>
      <c r="DE1315" s="4"/>
      <c r="DF1315" s="4"/>
      <c r="DG1315" s="16"/>
      <c r="DH1315" s="4"/>
      <c r="DI1315" s="10"/>
      <c r="DJ1315" s="16"/>
      <c r="DK1315" s="16"/>
      <c r="DL1315" s="16"/>
      <c r="DM1315" s="4"/>
      <c r="DN1315" s="10"/>
      <c r="DO1315" s="4"/>
      <c r="DP1315" s="4"/>
      <c r="DQ1315" s="4"/>
      <c r="DR1315" s="4"/>
      <c r="DS1315" s="10"/>
      <c r="DT1315" s="4"/>
      <c r="DU1315" s="4"/>
      <c r="DV1315" s="4"/>
      <c r="DW1315" s="4"/>
      <c r="DX1315" s="10"/>
      <c r="DY1315" s="4"/>
      <c r="DZ1315" s="4"/>
      <c r="EA1315" s="4"/>
      <c r="EB1315" s="4"/>
      <c r="EC1315" s="10"/>
      <c r="ED1315" s="4"/>
      <c r="EE1315" s="4"/>
      <c r="EF1315" s="4"/>
      <c r="EG1315" s="4"/>
      <c r="EH1315" s="10"/>
      <c r="EI1315" s="214"/>
      <c r="EJ1315" s="4"/>
      <c r="EK1315" s="4"/>
      <c r="EL1315" s="4"/>
      <c r="EM1315" s="10"/>
      <c r="EN1315" s="4"/>
      <c r="EO1315" s="4"/>
      <c r="EP1315" s="4"/>
      <c r="EQ1315" s="4"/>
      <c r="ER1315" s="10"/>
      <c r="ES1315" s="4"/>
      <c r="ET1315" s="4"/>
      <c r="EU1315" s="4"/>
      <c r="EV1315" s="4"/>
      <c r="EW1315" s="10"/>
      <c r="EX1315" s="4"/>
      <c r="EY1315" s="4"/>
      <c r="EZ1315" s="4"/>
      <c r="FA1315" s="4"/>
      <c r="FB1315" s="10"/>
      <c r="FC1315" s="4"/>
      <c r="FD1315" s="4"/>
      <c r="FE1315" s="4"/>
      <c r="FF1315" s="4"/>
      <c r="FG1315" s="10"/>
      <c r="FH1315" s="21"/>
      <c r="FI1315" s="4"/>
      <c r="FJ1315" s="4"/>
      <c r="FK1315" s="4"/>
      <c r="FL1315" s="4"/>
    </row>
    <row r="1316" ht="12.75" hidden="1" customHeight="1" outlineLevel="3">
      <c r="A1316" s="4"/>
      <c r="B1316" s="4" t="s">
        <v>474</v>
      </c>
      <c r="C1316" s="4"/>
      <c r="D1316" s="4"/>
      <c r="E1316" s="4"/>
      <c r="F1316" s="4"/>
      <c r="G1316" s="4"/>
      <c r="H1316" s="5"/>
      <c r="I1316" s="6"/>
      <c r="J1316" s="6"/>
      <c r="K1316" s="6"/>
      <c r="L1316" s="6"/>
      <c r="M1316" s="5"/>
      <c r="N1316" s="6"/>
      <c r="O1316" s="6"/>
      <c r="P1316" s="6"/>
      <c r="Q1316" s="6"/>
      <c r="R1316" s="7"/>
      <c r="S1316" s="6"/>
      <c r="T1316" s="6"/>
      <c r="U1316" s="6"/>
      <c r="V1316" s="6"/>
      <c r="W1316" s="7"/>
      <c r="X1316" s="6"/>
      <c r="Y1316" s="6"/>
      <c r="Z1316" s="6"/>
      <c r="AA1316" s="6"/>
      <c r="AB1316" s="5"/>
      <c r="AC1316" s="6"/>
      <c r="AD1316" s="6"/>
      <c r="AE1316" s="6"/>
      <c r="AF1316" s="6"/>
      <c r="AG1316" s="6">
        <v>0.4126</v>
      </c>
      <c r="AH1316" s="6">
        <v>0.4</v>
      </c>
      <c r="AI1316" s="6">
        <v>0.4</v>
      </c>
      <c r="AJ1316" s="6">
        <v>0.4</v>
      </c>
      <c r="AK1316" s="6">
        <v>0.4</v>
      </c>
      <c r="AL1316" s="768">
        <v>0.4126</v>
      </c>
      <c r="AM1316" s="47"/>
      <c r="AN1316" s="47"/>
      <c r="AO1316" s="47"/>
      <c r="AP1316" s="47"/>
      <c r="AQ1316" s="47"/>
      <c r="AR1316" s="47"/>
      <c r="AS1316" s="47"/>
      <c r="AT1316" s="47"/>
      <c r="AU1316" s="47"/>
      <c r="AV1316" s="47"/>
      <c r="AW1316" s="47"/>
      <c r="AX1316" s="47"/>
      <c r="AY1316" s="47"/>
      <c r="AZ1316" s="47"/>
      <c r="BA1316" s="47"/>
      <c r="BB1316" s="47"/>
      <c r="BC1316" s="47"/>
      <c r="BD1316" s="47"/>
      <c r="BE1316" s="47"/>
      <c r="BF1316" s="47"/>
      <c r="BG1316" s="47"/>
      <c r="BH1316" s="47"/>
      <c r="BI1316" s="47"/>
      <c r="BJ1316" s="47"/>
      <c r="BK1316" s="47"/>
      <c r="BL1316" s="47"/>
      <c r="BM1316" s="47"/>
      <c r="BN1316" s="47"/>
      <c r="BO1316" s="47"/>
      <c r="BP1316" s="48"/>
      <c r="BQ1316" s="4"/>
      <c r="BR1316" s="4"/>
      <c r="BS1316" s="4"/>
      <c r="BT1316" s="4"/>
      <c r="BU1316" s="8"/>
      <c r="BV1316" s="4"/>
      <c r="BW1316" s="4"/>
      <c r="BX1316" s="4"/>
      <c r="BY1316" s="4"/>
      <c r="BZ1316" s="10"/>
      <c r="CA1316" s="4"/>
      <c r="CB1316" s="4"/>
      <c r="CC1316" s="4"/>
      <c r="CD1316" s="4"/>
      <c r="CE1316" s="10"/>
      <c r="CF1316" s="4"/>
      <c r="CG1316" s="4"/>
      <c r="CH1316" s="4"/>
      <c r="CI1316" s="4"/>
      <c r="CJ1316" s="10"/>
      <c r="CK1316" s="4"/>
      <c r="CL1316" s="4"/>
      <c r="CM1316" s="4"/>
      <c r="CN1316" s="16"/>
      <c r="CO1316" s="10"/>
      <c r="CP1316" s="16"/>
      <c r="CQ1316" s="4"/>
      <c r="CR1316" s="4"/>
      <c r="CS1316" s="4"/>
      <c r="CT1316" s="10"/>
      <c r="CU1316" s="4"/>
      <c r="CV1316" s="4"/>
      <c r="CW1316" s="4"/>
      <c r="CX1316" s="4"/>
      <c r="CY1316" s="10"/>
      <c r="CZ1316" s="4"/>
      <c r="DA1316" s="4"/>
      <c r="DB1316" s="4"/>
      <c r="DC1316" s="4"/>
      <c r="DD1316" s="10"/>
      <c r="DE1316" s="4"/>
      <c r="DF1316" s="4"/>
      <c r="DG1316" s="16"/>
      <c r="DH1316" s="4"/>
      <c r="DI1316" s="10"/>
      <c r="DJ1316" s="16"/>
      <c r="DK1316" s="16"/>
      <c r="DL1316" s="16"/>
      <c r="DM1316" s="4"/>
      <c r="DN1316" s="10"/>
      <c r="DO1316" s="4"/>
      <c r="DP1316" s="4"/>
      <c r="DQ1316" s="4"/>
      <c r="DR1316" s="4"/>
      <c r="DS1316" s="10"/>
      <c r="DT1316" s="4"/>
      <c r="DU1316" s="4"/>
      <c r="DV1316" s="4"/>
      <c r="DW1316" s="4"/>
      <c r="DX1316" s="10"/>
      <c r="DY1316" s="4"/>
      <c r="DZ1316" s="4"/>
      <c r="EA1316" s="4"/>
      <c r="EB1316" s="4"/>
      <c r="EC1316" s="10"/>
      <c r="ED1316" s="4"/>
      <c r="EE1316" s="4"/>
      <c r="EF1316" s="4"/>
      <c r="EG1316" s="4"/>
      <c r="EH1316" s="10"/>
      <c r="EI1316" s="214"/>
      <c r="EJ1316" s="4"/>
      <c r="EK1316" s="4"/>
      <c r="EL1316" s="4"/>
      <c r="EM1316" s="10"/>
      <c r="EN1316" s="4"/>
      <c r="EO1316" s="4"/>
      <c r="EP1316" s="4"/>
      <c r="EQ1316" s="4"/>
      <c r="ER1316" s="10"/>
      <c r="ES1316" s="4"/>
      <c r="ET1316" s="4"/>
      <c r="EU1316" s="4"/>
      <c r="EV1316" s="4"/>
      <c r="EW1316" s="10"/>
      <c r="EX1316" s="4"/>
      <c r="EY1316" s="4"/>
      <c r="EZ1316" s="4"/>
      <c r="FA1316" s="4"/>
      <c r="FB1316" s="10"/>
      <c r="FC1316" s="4"/>
      <c r="FD1316" s="4"/>
      <c r="FE1316" s="4"/>
      <c r="FF1316" s="4"/>
      <c r="FG1316" s="10"/>
      <c r="FH1316" s="21"/>
      <c r="FI1316" s="4"/>
      <c r="FJ1316" s="4"/>
      <c r="FK1316" s="4"/>
      <c r="FL1316" s="4"/>
    </row>
    <row r="1317" ht="12.75" hidden="1" customHeight="1" outlineLevel="3">
      <c r="A1317" s="4"/>
      <c r="B1317" s="4" t="s">
        <v>491</v>
      </c>
      <c r="C1317" s="4"/>
      <c r="D1317" s="4"/>
      <c r="E1317" s="4"/>
      <c r="F1317" s="4"/>
      <c r="G1317" s="4"/>
      <c r="H1317" s="5"/>
      <c r="I1317" s="6"/>
      <c r="J1317" s="6"/>
      <c r="K1317" s="6"/>
      <c r="L1317" s="6"/>
      <c r="M1317" s="5"/>
      <c r="N1317" s="6"/>
      <c r="O1317" s="6"/>
      <c r="P1317" s="6"/>
      <c r="Q1317" s="6"/>
      <c r="R1317" s="7"/>
      <c r="S1317" s="6"/>
      <c r="T1317" s="6"/>
      <c r="U1317" s="6"/>
      <c r="V1317" s="6"/>
      <c r="W1317" s="7"/>
      <c r="X1317" s="6"/>
      <c r="Y1317" s="6"/>
      <c r="Z1317" s="6"/>
      <c r="AA1317" s="6"/>
      <c r="AB1317" s="5"/>
      <c r="AC1317" s="6"/>
      <c r="AD1317" s="6"/>
      <c r="AE1317" s="6"/>
      <c r="AF1317" s="6"/>
      <c r="AG1317" s="6">
        <f>1-AG1315-AG1316</f>
        <v>0.3074</v>
      </c>
      <c r="AH1317" s="6">
        <v>0.307</v>
      </c>
      <c r="AI1317" s="6">
        <v>0.307</v>
      </c>
      <c r="AJ1317" s="6">
        <v>0.307</v>
      </c>
      <c r="AK1317" s="6">
        <v>0.307</v>
      </c>
      <c r="AL1317" s="768">
        <f>1-AL1315-AL1316</f>
        <v>0.3074</v>
      </c>
      <c r="AM1317" s="47"/>
      <c r="AN1317" s="47"/>
      <c r="AO1317" s="47"/>
      <c r="AP1317" s="47"/>
      <c r="AQ1317" s="47"/>
      <c r="AR1317" s="47"/>
      <c r="AS1317" s="47"/>
      <c r="AT1317" s="47"/>
      <c r="AU1317" s="47"/>
      <c r="AV1317" s="47"/>
      <c r="AW1317" s="47"/>
      <c r="AX1317" s="47"/>
      <c r="AY1317" s="47"/>
      <c r="AZ1317" s="47"/>
      <c r="BA1317" s="47"/>
      <c r="BB1317" s="47"/>
      <c r="BC1317" s="47"/>
      <c r="BD1317" s="47"/>
      <c r="BE1317" s="47"/>
      <c r="BF1317" s="47"/>
      <c r="BG1317" s="47"/>
      <c r="BH1317" s="47"/>
      <c r="BI1317" s="47"/>
      <c r="BJ1317" s="47"/>
      <c r="BK1317" s="47"/>
      <c r="BL1317" s="47"/>
      <c r="BM1317" s="47"/>
      <c r="BN1317" s="47"/>
      <c r="BO1317" s="47"/>
      <c r="BP1317" s="48"/>
      <c r="BQ1317" s="4"/>
      <c r="BR1317" s="4"/>
      <c r="BS1317" s="4"/>
      <c r="BT1317" s="4"/>
      <c r="BU1317" s="8"/>
      <c r="BV1317" s="4"/>
      <c r="BW1317" s="4"/>
      <c r="BX1317" s="4"/>
      <c r="BY1317" s="4"/>
      <c r="BZ1317" s="10"/>
      <c r="CA1317" s="4"/>
      <c r="CB1317" s="4"/>
      <c r="CC1317" s="4"/>
      <c r="CD1317" s="4"/>
      <c r="CE1317" s="10"/>
      <c r="CF1317" s="4"/>
      <c r="CG1317" s="4"/>
      <c r="CH1317" s="4"/>
      <c r="CI1317" s="4"/>
      <c r="CJ1317" s="10"/>
      <c r="CK1317" s="4"/>
      <c r="CL1317" s="4"/>
      <c r="CM1317" s="4"/>
      <c r="CN1317" s="16"/>
      <c r="CO1317" s="10"/>
      <c r="CP1317" s="16"/>
      <c r="CQ1317" s="4"/>
      <c r="CR1317" s="4"/>
      <c r="CS1317" s="4"/>
      <c r="CT1317" s="10"/>
      <c r="CU1317" s="4"/>
      <c r="CV1317" s="4"/>
      <c r="CW1317" s="4"/>
      <c r="CX1317" s="4"/>
      <c r="CY1317" s="10"/>
      <c r="CZ1317" s="4"/>
      <c r="DA1317" s="4"/>
      <c r="DB1317" s="4"/>
      <c r="DC1317" s="4"/>
      <c r="DD1317" s="10"/>
      <c r="DE1317" s="4"/>
      <c r="DF1317" s="4"/>
      <c r="DG1317" s="16"/>
      <c r="DH1317" s="4"/>
      <c r="DI1317" s="10"/>
      <c r="DJ1317" s="16"/>
      <c r="DK1317" s="16"/>
      <c r="DL1317" s="16"/>
      <c r="DM1317" s="4"/>
      <c r="DN1317" s="10"/>
      <c r="DO1317" s="4"/>
      <c r="DP1317" s="4"/>
      <c r="DQ1317" s="4"/>
      <c r="DR1317" s="4"/>
      <c r="DS1317" s="10"/>
      <c r="DT1317" s="4"/>
      <c r="DU1317" s="4"/>
      <c r="DV1317" s="4"/>
      <c r="DW1317" s="4"/>
      <c r="DX1317" s="10"/>
      <c r="DY1317" s="4"/>
      <c r="DZ1317" s="4"/>
      <c r="EA1317" s="4"/>
      <c r="EB1317" s="4"/>
      <c r="EC1317" s="10"/>
      <c r="ED1317" s="4"/>
      <c r="EE1317" s="4"/>
      <c r="EF1317" s="4"/>
      <c r="EG1317" s="4"/>
      <c r="EH1317" s="10"/>
      <c r="EI1317" s="214"/>
      <c r="EJ1317" s="4"/>
      <c r="EK1317" s="4"/>
      <c r="EL1317" s="4"/>
      <c r="EM1317" s="10"/>
      <c r="EN1317" s="4"/>
      <c r="EO1317" s="4"/>
      <c r="EP1317" s="4"/>
      <c r="EQ1317" s="4"/>
      <c r="ER1317" s="10"/>
      <c r="ES1317" s="4"/>
      <c r="ET1317" s="4"/>
      <c r="EU1317" s="4"/>
      <c r="EV1317" s="4"/>
      <c r="EW1317" s="10"/>
      <c r="EX1317" s="4"/>
      <c r="EY1317" s="4"/>
      <c r="EZ1317" s="4"/>
      <c r="FA1317" s="4"/>
      <c r="FB1317" s="10"/>
      <c r="FC1317" s="4"/>
      <c r="FD1317" s="4"/>
      <c r="FE1317" s="4"/>
      <c r="FF1317" s="4"/>
      <c r="FG1317" s="10"/>
      <c r="FH1317" s="21"/>
      <c r="FI1317" s="4"/>
      <c r="FJ1317" s="4"/>
      <c r="FK1317" s="4"/>
      <c r="FL1317" s="4"/>
    </row>
    <row r="1318" ht="12.75" hidden="1" customHeight="1" outlineLevel="3">
      <c r="A1318" s="4"/>
      <c r="B1318" s="4"/>
      <c r="C1318" s="4"/>
      <c r="D1318" s="4"/>
      <c r="E1318" s="4"/>
      <c r="F1318" s="4"/>
      <c r="G1318" s="4"/>
      <c r="H1318" s="5"/>
      <c r="I1318" s="6"/>
      <c r="J1318" s="6"/>
      <c r="K1318" s="6"/>
      <c r="L1318" s="6"/>
      <c r="M1318" s="5"/>
      <c r="N1318" s="6"/>
      <c r="O1318" s="6"/>
      <c r="P1318" s="6"/>
      <c r="Q1318" s="6"/>
      <c r="R1318" s="7"/>
      <c r="S1318" s="6"/>
      <c r="T1318" s="6"/>
      <c r="U1318" s="6"/>
      <c r="V1318" s="6"/>
      <c r="W1318" s="7"/>
      <c r="X1318" s="6"/>
      <c r="Y1318" s="6"/>
      <c r="Z1318" s="6"/>
      <c r="AA1318" s="6"/>
      <c r="AB1318" s="5"/>
      <c r="AC1318" s="6"/>
      <c r="AD1318" s="6"/>
      <c r="AE1318" s="6"/>
      <c r="AF1318" s="6"/>
      <c r="AG1318" s="5"/>
      <c r="AH1318" s="6"/>
      <c r="AI1318" s="6"/>
      <c r="AJ1318" s="6"/>
      <c r="AK1318" s="6"/>
      <c r="AL1318" s="5"/>
      <c r="AM1318" s="6"/>
      <c r="AN1318" s="6"/>
      <c r="AO1318" s="6"/>
      <c r="AP1318" s="6"/>
      <c r="AQ1318" s="5"/>
      <c r="AR1318" s="6"/>
      <c r="AS1318" s="6"/>
      <c r="AT1318" s="6"/>
      <c r="AU1318" s="6"/>
      <c r="AV1318" s="5"/>
      <c r="AW1318" s="6"/>
      <c r="AX1318" s="6"/>
      <c r="AY1318" s="6"/>
      <c r="AZ1318" s="6"/>
      <c r="BA1318" s="7"/>
      <c r="BB1318" s="6"/>
      <c r="BC1318" s="6"/>
      <c r="BD1318" s="6"/>
      <c r="BE1318" s="6"/>
      <c r="BF1318" s="7"/>
      <c r="BG1318" s="6"/>
      <c r="BH1318" s="6"/>
      <c r="BI1318" s="6"/>
      <c r="BJ1318" s="6"/>
      <c r="BK1318" s="7"/>
      <c r="BL1318" s="6"/>
      <c r="BM1318" s="6"/>
      <c r="BN1318" s="6"/>
      <c r="BO1318" s="6"/>
      <c r="BP1318" s="7"/>
      <c r="BQ1318" s="4"/>
      <c r="BR1318" s="4"/>
      <c r="BS1318" s="4"/>
      <c r="BT1318" s="4"/>
      <c r="BU1318" s="8"/>
      <c r="BV1318" s="4"/>
      <c r="BW1318" s="4"/>
      <c r="BX1318" s="4"/>
      <c r="BY1318" s="4"/>
      <c r="BZ1318" s="10"/>
      <c r="CA1318" s="4"/>
      <c r="CB1318" s="4"/>
      <c r="CC1318" s="4"/>
      <c r="CD1318" s="4"/>
      <c r="CE1318" s="10"/>
      <c r="CF1318" s="4"/>
      <c r="CG1318" s="4"/>
      <c r="CH1318" s="4"/>
      <c r="CI1318" s="4"/>
      <c r="CJ1318" s="10"/>
      <c r="CK1318" s="4"/>
      <c r="CL1318" s="4"/>
      <c r="CM1318" s="4"/>
      <c r="CN1318" s="16"/>
      <c r="CO1318" s="10"/>
      <c r="CP1318" s="16"/>
      <c r="CQ1318" s="4"/>
      <c r="CR1318" s="4"/>
      <c r="CS1318" s="4"/>
      <c r="CT1318" s="10"/>
      <c r="CU1318" s="4"/>
      <c r="CV1318" s="4"/>
      <c r="CW1318" s="4"/>
      <c r="CX1318" s="4"/>
      <c r="CY1318" s="10"/>
      <c r="CZ1318" s="4"/>
      <c r="DA1318" s="4"/>
      <c r="DB1318" s="4"/>
      <c r="DC1318" s="4"/>
      <c r="DD1318" s="10"/>
      <c r="DE1318" s="4"/>
      <c r="DF1318" s="4"/>
      <c r="DG1318" s="16"/>
      <c r="DH1318" s="4"/>
      <c r="DI1318" s="10"/>
      <c r="DJ1318" s="16"/>
      <c r="DK1318" s="16"/>
      <c r="DL1318" s="16"/>
      <c r="DM1318" s="4"/>
      <c r="DN1318" s="10"/>
      <c r="DO1318" s="4"/>
      <c r="DP1318" s="4"/>
      <c r="DQ1318" s="4"/>
      <c r="DR1318" s="4"/>
      <c r="DS1318" s="10"/>
      <c r="DT1318" s="4"/>
      <c r="DU1318" s="4"/>
      <c r="DV1318" s="4"/>
      <c r="DW1318" s="4"/>
      <c r="DX1318" s="10"/>
      <c r="DY1318" s="4"/>
      <c r="DZ1318" s="4"/>
      <c r="EA1318" s="4"/>
      <c r="EB1318" s="4"/>
      <c r="EC1318" s="10"/>
      <c r="ED1318" s="4"/>
      <c r="EE1318" s="4"/>
      <c r="EF1318" s="4"/>
      <c r="EG1318" s="4"/>
      <c r="EH1318" s="10"/>
      <c r="EI1318" s="214"/>
      <c r="EJ1318" s="4"/>
      <c r="EK1318" s="4"/>
      <c r="EL1318" s="4"/>
      <c r="EM1318" s="10"/>
      <c r="EN1318" s="4"/>
      <c r="EO1318" s="4"/>
      <c r="EP1318" s="4"/>
      <c r="EQ1318" s="4"/>
      <c r="ER1318" s="10"/>
      <c r="ES1318" s="4"/>
      <c r="ET1318" s="4"/>
      <c r="EU1318" s="4"/>
      <c r="EV1318" s="4"/>
      <c r="EW1318" s="10"/>
      <c r="EX1318" s="4"/>
      <c r="EY1318" s="4"/>
      <c r="EZ1318" s="4"/>
      <c r="FA1318" s="4"/>
      <c r="FB1318" s="10"/>
      <c r="FC1318" s="4"/>
      <c r="FD1318" s="4"/>
      <c r="FE1318" s="4"/>
      <c r="FF1318" s="4"/>
      <c r="FG1318" s="10"/>
      <c r="FH1318" s="21"/>
      <c r="FI1318" s="4"/>
      <c r="FJ1318" s="4"/>
      <c r="FK1318" s="4"/>
      <c r="FL1318" s="4"/>
    </row>
    <row r="1319" ht="12.75" hidden="1" customHeight="1" outlineLevel="3">
      <c r="A1319" s="4"/>
      <c r="B1319" s="4" t="s">
        <v>470</v>
      </c>
      <c r="C1319" s="4"/>
      <c r="D1319" s="4"/>
      <c r="E1319" s="4"/>
      <c r="F1319" s="4"/>
      <c r="G1319" s="4"/>
      <c r="H1319" s="5"/>
      <c r="I1319" s="6"/>
      <c r="J1319" s="6"/>
      <c r="K1319" s="6"/>
      <c r="L1319" s="6"/>
      <c r="M1319" s="5"/>
      <c r="N1319" s="6"/>
      <c r="O1319" s="6"/>
      <c r="P1319" s="6"/>
      <c r="Q1319" s="6"/>
      <c r="R1319" s="7"/>
      <c r="S1319" s="6"/>
      <c r="T1319" s="6"/>
      <c r="U1319" s="6"/>
      <c r="V1319" s="6"/>
      <c r="W1319" s="7"/>
      <c r="X1319" s="6"/>
      <c r="Y1319" s="6"/>
      <c r="Z1319" s="6"/>
      <c r="AA1319" s="6"/>
      <c r="AB1319" s="5"/>
      <c r="AC1319" s="6"/>
      <c r="AD1319" s="6"/>
      <c r="AE1319" s="6"/>
      <c r="AF1319" s="6"/>
      <c r="AG1319" s="5"/>
      <c r="AH1319" s="6" t="str">
        <f t="shared" ref="AH1319:AL1319" si="6709">AH1315*AH1313</f>
        <v>#ERROR!</v>
      </c>
      <c r="AI1319" s="6" t="str">
        <f t="shared" si="6709"/>
        <v>#ERROR!</v>
      </c>
      <c r="AJ1319" s="6" t="str">
        <f t="shared" si="6709"/>
        <v>#ERROR!</v>
      </c>
      <c r="AK1319" s="6" t="str">
        <f t="shared" si="6709"/>
        <v>#ERROR!</v>
      </c>
      <c r="AL1319" s="768" t="str">
        <f t="shared" si="6709"/>
        <v>#ERROR!</v>
      </c>
      <c r="AM1319" s="47"/>
      <c r="AN1319" s="47"/>
      <c r="AO1319" s="47"/>
      <c r="AP1319" s="47"/>
      <c r="AQ1319" s="47"/>
      <c r="AR1319" s="47"/>
      <c r="AS1319" s="47"/>
      <c r="AT1319" s="47"/>
      <c r="AU1319" s="47"/>
      <c r="AV1319" s="47"/>
      <c r="AW1319" s="47"/>
      <c r="AX1319" s="47"/>
      <c r="AY1319" s="47"/>
      <c r="AZ1319" s="47"/>
      <c r="BA1319" s="47"/>
      <c r="BB1319" s="47"/>
      <c r="BC1319" s="47"/>
      <c r="BD1319" s="47"/>
      <c r="BE1319" s="47"/>
      <c r="BF1319" s="47"/>
      <c r="BG1319" s="47"/>
      <c r="BH1319" s="47"/>
      <c r="BI1319" s="47"/>
      <c r="BJ1319" s="47"/>
      <c r="BK1319" s="47"/>
      <c r="BL1319" s="47"/>
      <c r="BM1319" s="47"/>
      <c r="BN1319" s="47"/>
      <c r="BO1319" s="47"/>
      <c r="BP1319" s="48"/>
      <c r="BQ1319" s="4"/>
      <c r="BR1319" s="4"/>
      <c r="BS1319" s="4"/>
      <c r="BT1319" s="4"/>
      <c r="BU1319" s="8"/>
      <c r="BV1319" s="4"/>
      <c r="BW1319" s="4"/>
      <c r="BX1319" s="4"/>
      <c r="BY1319" s="4"/>
      <c r="BZ1319" s="10"/>
      <c r="CA1319" s="4"/>
      <c r="CB1319" s="4"/>
      <c r="CC1319" s="4"/>
      <c r="CD1319" s="4"/>
      <c r="CE1319" s="10"/>
      <c r="CF1319" s="4"/>
      <c r="CG1319" s="4"/>
      <c r="CH1319" s="4"/>
      <c r="CI1319" s="4"/>
      <c r="CJ1319" s="10"/>
      <c r="CK1319" s="4"/>
      <c r="CL1319" s="4"/>
      <c r="CM1319" s="4"/>
      <c r="CN1319" s="16"/>
      <c r="CO1319" s="10"/>
      <c r="CP1319" s="16"/>
      <c r="CQ1319" s="4"/>
      <c r="CR1319" s="4"/>
      <c r="CS1319" s="4"/>
      <c r="CT1319" s="10"/>
      <c r="CU1319" s="4"/>
      <c r="CV1319" s="4"/>
      <c r="CW1319" s="4"/>
      <c r="CX1319" s="4"/>
      <c r="CY1319" s="10"/>
      <c r="CZ1319" s="4"/>
      <c r="DA1319" s="4"/>
      <c r="DB1319" s="4"/>
      <c r="DC1319" s="4"/>
      <c r="DD1319" s="10"/>
      <c r="DE1319" s="4"/>
      <c r="DF1319" s="4"/>
      <c r="DG1319" s="16"/>
      <c r="DH1319" s="4"/>
      <c r="DI1319" s="10"/>
      <c r="DJ1319" s="16"/>
      <c r="DK1319" s="16"/>
      <c r="DL1319" s="16"/>
      <c r="DM1319" s="4"/>
      <c r="DN1319" s="10"/>
      <c r="DO1319" s="4"/>
      <c r="DP1319" s="4"/>
      <c r="DQ1319" s="4"/>
      <c r="DR1319" s="4"/>
      <c r="DS1319" s="10"/>
      <c r="DT1319" s="4"/>
      <c r="DU1319" s="4"/>
      <c r="DV1319" s="4"/>
      <c r="DW1319" s="4"/>
      <c r="DX1319" s="10"/>
      <c r="DY1319" s="4"/>
      <c r="DZ1319" s="4"/>
      <c r="EA1319" s="4"/>
      <c r="EB1319" s="4"/>
      <c r="EC1319" s="10"/>
      <c r="ED1319" s="4"/>
      <c r="EE1319" s="4"/>
      <c r="EF1319" s="4"/>
      <c r="EG1319" s="4"/>
      <c r="EH1319" s="10"/>
      <c r="EI1319" s="214"/>
      <c r="EJ1319" s="4"/>
      <c r="EK1319" s="4"/>
      <c r="EL1319" s="4"/>
      <c r="EM1319" s="10"/>
      <c r="EN1319" s="4"/>
      <c r="EO1319" s="4"/>
      <c r="EP1319" s="4"/>
      <c r="EQ1319" s="4"/>
      <c r="ER1319" s="10"/>
      <c r="ES1319" s="4"/>
      <c r="ET1319" s="4"/>
      <c r="EU1319" s="4"/>
      <c r="EV1319" s="4"/>
      <c r="EW1319" s="10"/>
      <c r="EX1319" s="4"/>
      <c r="EY1319" s="4"/>
      <c r="EZ1319" s="4"/>
      <c r="FA1319" s="4"/>
      <c r="FB1319" s="10"/>
      <c r="FC1319" s="4"/>
      <c r="FD1319" s="4"/>
      <c r="FE1319" s="4"/>
      <c r="FF1319" s="4"/>
      <c r="FG1319" s="10"/>
      <c r="FH1319" s="21"/>
      <c r="FI1319" s="4"/>
      <c r="FJ1319" s="4"/>
      <c r="FK1319" s="4"/>
      <c r="FL1319" s="4"/>
    </row>
    <row r="1320" ht="12.75" hidden="1" customHeight="1" outlineLevel="3">
      <c r="A1320" s="4"/>
      <c r="B1320" s="4" t="s">
        <v>471</v>
      </c>
      <c r="C1320" s="4"/>
      <c r="D1320" s="4"/>
      <c r="E1320" s="4"/>
      <c r="F1320" s="4"/>
      <c r="G1320" s="4"/>
      <c r="H1320" s="5"/>
      <c r="I1320" s="6"/>
      <c r="J1320" s="6"/>
      <c r="K1320" s="6"/>
      <c r="L1320" s="6"/>
      <c r="M1320" s="5"/>
      <c r="N1320" s="6"/>
      <c r="O1320" s="6"/>
      <c r="P1320" s="6"/>
      <c r="Q1320" s="6"/>
      <c r="R1320" s="7"/>
      <c r="S1320" s="6"/>
      <c r="T1320" s="6"/>
      <c r="U1320" s="6"/>
      <c r="V1320" s="6"/>
      <c r="W1320" s="7"/>
      <c r="X1320" s="6"/>
      <c r="Y1320" s="6"/>
      <c r="Z1320" s="6"/>
      <c r="AA1320" s="6"/>
      <c r="AB1320" s="5"/>
      <c r="AC1320" s="6"/>
      <c r="AD1320" s="6"/>
      <c r="AE1320" s="6"/>
      <c r="AF1320" s="6"/>
      <c r="AG1320" s="5"/>
      <c r="AH1320" s="6" t="str">
        <f t="shared" ref="AH1320:AL1320" si="6710">AH1316*AH1313</f>
        <v>#ERROR!</v>
      </c>
      <c r="AI1320" s="6" t="str">
        <f t="shared" si="6710"/>
        <v>#ERROR!</v>
      </c>
      <c r="AJ1320" s="6" t="str">
        <f t="shared" si="6710"/>
        <v>#ERROR!</v>
      </c>
      <c r="AK1320" s="6" t="str">
        <f t="shared" si="6710"/>
        <v>#ERROR!</v>
      </c>
      <c r="AL1320" s="768" t="str">
        <f t="shared" si="6710"/>
        <v>#ERROR!</v>
      </c>
      <c r="AM1320" s="47"/>
      <c r="AN1320" s="47"/>
      <c r="AO1320" s="47"/>
      <c r="AP1320" s="47"/>
      <c r="AQ1320" s="47"/>
      <c r="AR1320" s="47"/>
      <c r="AS1320" s="47"/>
      <c r="AT1320" s="47"/>
      <c r="AU1320" s="47"/>
      <c r="AV1320" s="47"/>
      <c r="AW1320" s="47"/>
      <c r="AX1320" s="47"/>
      <c r="AY1320" s="47"/>
      <c r="AZ1320" s="47"/>
      <c r="BA1320" s="47"/>
      <c r="BB1320" s="47"/>
      <c r="BC1320" s="47"/>
      <c r="BD1320" s="47"/>
      <c r="BE1320" s="47"/>
      <c r="BF1320" s="47"/>
      <c r="BG1320" s="47"/>
      <c r="BH1320" s="47"/>
      <c r="BI1320" s="47"/>
      <c r="BJ1320" s="47"/>
      <c r="BK1320" s="47"/>
      <c r="BL1320" s="47"/>
      <c r="BM1320" s="47"/>
      <c r="BN1320" s="47"/>
      <c r="BO1320" s="47"/>
      <c r="BP1320" s="48"/>
      <c r="BQ1320" s="4"/>
      <c r="BR1320" s="4"/>
      <c r="BS1320" s="4"/>
      <c r="BT1320" s="4"/>
      <c r="BU1320" s="8"/>
      <c r="BV1320" s="4"/>
      <c r="BW1320" s="4"/>
      <c r="BX1320" s="4"/>
      <c r="BY1320" s="4"/>
      <c r="BZ1320" s="10"/>
      <c r="CA1320" s="4"/>
      <c r="CB1320" s="4"/>
      <c r="CC1320" s="4"/>
      <c r="CD1320" s="4"/>
      <c r="CE1320" s="10"/>
      <c r="CF1320" s="4"/>
      <c r="CG1320" s="4"/>
      <c r="CH1320" s="4"/>
      <c r="CI1320" s="4"/>
      <c r="CJ1320" s="10"/>
      <c r="CK1320" s="4"/>
      <c r="CL1320" s="4"/>
      <c r="CM1320" s="4"/>
      <c r="CN1320" s="16"/>
      <c r="CO1320" s="10"/>
      <c r="CP1320" s="16"/>
      <c r="CQ1320" s="4"/>
      <c r="CR1320" s="4"/>
      <c r="CS1320" s="4"/>
      <c r="CT1320" s="10"/>
      <c r="CU1320" s="4"/>
      <c r="CV1320" s="4"/>
      <c r="CW1320" s="4"/>
      <c r="CX1320" s="4"/>
      <c r="CY1320" s="10"/>
      <c r="CZ1320" s="4"/>
      <c r="DA1320" s="4"/>
      <c r="DB1320" s="4"/>
      <c r="DC1320" s="4"/>
      <c r="DD1320" s="10"/>
      <c r="DE1320" s="4"/>
      <c r="DF1320" s="4"/>
      <c r="DG1320" s="16"/>
      <c r="DH1320" s="4"/>
      <c r="DI1320" s="10"/>
      <c r="DJ1320" s="16"/>
      <c r="DK1320" s="16"/>
      <c r="DL1320" s="16"/>
      <c r="DM1320" s="4"/>
      <c r="DN1320" s="10"/>
      <c r="DO1320" s="4"/>
      <c r="DP1320" s="4"/>
      <c r="DQ1320" s="4"/>
      <c r="DR1320" s="4"/>
      <c r="DS1320" s="10"/>
      <c r="DT1320" s="4"/>
      <c r="DU1320" s="4"/>
      <c r="DV1320" s="4"/>
      <c r="DW1320" s="4"/>
      <c r="DX1320" s="10"/>
      <c r="DY1320" s="4"/>
      <c r="DZ1320" s="4"/>
      <c r="EA1320" s="4"/>
      <c r="EB1320" s="4"/>
      <c r="EC1320" s="10"/>
      <c r="ED1320" s="4"/>
      <c r="EE1320" s="4"/>
      <c r="EF1320" s="4"/>
      <c r="EG1320" s="4"/>
      <c r="EH1320" s="10"/>
      <c r="EI1320" s="214"/>
      <c r="EJ1320" s="4"/>
      <c r="EK1320" s="4"/>
      <c r="EL1320" s="4"/>
      <c r="EM1320" s="10"/>
      <c r="EN1320" s="4"/>
      <c r="EO1320" s="4"/>
      <c r="EP1320" s="4"/>
      <c r="EQ1320" s="4"/>
      <c r="ER1320" s="10"/>
      <c r="ES1320" s="4"/>
      <c r="ET1320" s="4"/>
      <c r="EU1320" s="4"/>
      <c r="EV1320" s="4"/>
      <c r="EW1320" s="10"/>
      <c r="EX1320" s="4"/>
      <c r="EY1320" s="4"/>
      <c r="EZ1320" s="4"/>
      <c r="FA1320" s="4"/>
      <c r="FB1320" s="10"/>
      <c r="FC1320" s="4"/>
      <c r="FD1320" s="4"/>
      <c r="FE1320" s="4"/>
      <c r="FF1320" s="4"/>
      <c r="FG1320" s="10"/>
      <c r="FH1320" s="21"/>
      <c r="FI1320" s="4"/>
      <c r="FJ1320" s="4"/>
      <c r="FK1320" s="4"/>
      <c r="FL1320" s="4"/>
    </row>
    <row r="1321" ht="12.75" hidden="1" customHeight="1" outlineLevel="3">
      <c r="A1321" s="4"/>
      <c r="B1321" s="4" t="s">
        <v>477</v>
      </c>
      <c r="C1321" s="4"/>
      <c r="D1321" s="4"/>
      <c r="E1321" s="4"/>
      <c r="F1321" s="4"/>
      <c r="G1321" s="4"/>
      <c r="H1321" s="5"/>
      <c r="I1321" s="6"/>
      <c r="J1321" s="6"/>
      <c r="K1321" s="6"/>
      <c r="L1321" s="6"/>
      <c r="M1321" s="5"/>
      <c r="N1321" s="6"/>
      <c r="O1321" s="6"/>
      <c r="P1321" s="6"/>
      <c r="Q1321" s="6"/>
      <c r="R1321" s="7"/>
      <c r="S1321" s="6"/>
      <c r="T1321" s="6"/>
      <c r="U1321" s="6"/>
      <c r="V1321" s="6"/>
      <c r="W1321" s="7"/>
      <c r="X1321" s="6"/>
      <c r="Y1321" s="6"/>
      <c r="Z1321" s="6"/>
      <c r="AA1321" s="6"/>
      <c r="AB1321" s="5"/>
      <c r="AC1321" s="6"/>
      <c r="AD1321" s="6"/>
      <c r="AE1321" s="6"/>
      <c r="AF1321" s="6"/>
      <c r="AG1321" s="5"/>
      <c r="AH1321" s="771" t="str">
        <f t="shared" ref="AH1321:AL1321" si="6711">AH1317*AH1313</f>
        <v>#ERROR!</v>
      </c>
      <c r="AI1321" s="771" t="str">
        <f t="shared" si="6711"/>
        <v>#ERROR!</v>
      </c>
      <c r="AJ1321" s="771" t="str">
        <f t="shared" si="6711"/>
        <v>#ERROR!</v>
      </c>
      <c r="AK1321" s="771" t="str">
        <f t="shared" si="6711"/>
        <v>#ERROR!</v>
      </c>
      <c r="AL1321" s="768" t="str">
        <f t="shared" si="6711"/>
        <v>#ERROR!</v>
      </c>
      <c r="AM1321" s="47"/>
      <c r="AN1321" s="47"/>
      <c r="AO1321" s="47"/>
      <c r="AP1321" s="47"/>
      <c r="AQ1321" s="47"/>
      <c r="AR1321" s="47"/>
      <c r="AS1321" s="47"/>
      <c r="AT1321" s="47"/>
      <c r="AU1321" s="47"/>
      <c r="AV1321" s="47"/>
      <c r="AW1321" s="47"/>
      <c r="AX1321" s="47"/>
      <c r="AY1321" s="47"/>
      <c r="AZ1321" s="47"/>
      <c r="BA1321" s="47"/>
      <c r="BB1321" s="47"/>
      <c r="BC1321" s="47"/>
      <c r="BD1321" s="47"/>
      <c r="BE1321" s="47"/>
      <c r="BF1321" s="47"/>
      <c r="BG1321" s="47"/>
      <c r="BH1321" s="47"/>
      <c r="BI1321" s="47"/>
      <c r="BJ1321" s="47"/>
      <c r="BK1321" s="47"/>
      <c r="BL1321" s="47"/>
      <c r="BM1321" s="47"/>
      <c r="BN1321" s="47"/>
      <c r="BO1321" s="47"/>
      <c r="BP1321" s="48"/>
      <c r="BQ1321" s="4"/>
      <c r="BR1321" s="4"/>
      <c r="BS1321" s="4"/>
      <c r="BT1321" s="4"/>
      <c r="BU1321" s="8"/>
      <c r="BV1321" s="4"/>
      <c r="BW1321" s="4"/>
      <c r="BX1321" s="4"/>
      <c r="BY1321" s="4"/>
      <c r="BZ1321" s="10"/>
      <c r="CA1321" s="4"/>
      <c r="CB1321" s="4"/>
      <c r="CC1321" s="4"/>
      <c r="CD1321" s="4"/>
      <c r="CE1321" s="10"/>
      <c r="CF1321" s="4"/>
      <c r="CG1321" s="4"/>
      <c r="CH1321" s="4"/>
      <c r="CI1321" s="4"/>
      <c r="CJ1321" s="10"/>
      <c r="CK1321" s="4"/>
      <c r="CL1321" s="4"/>
      <c r="CM1321" s="4"/>
      <c r="CN1321" s="16"/>
      <c r="CO1321" s="10"/>
      <c r="CP1321" s="16"/>
      <c r="CQ1321" s="4"/>
      <c r="CR1321" s="4"/>
      <c r="CS1321" s="4"/>
      <c r="CT1321" s="10"/>
      <c r="CU1321" s="4"/>
      <c r="CV1321" s="4"/>
      <c r="CW1321" s="4"/>
      <c r="CX1321" s="4"/>
      <c r="CY1321" s="10"/>
      <c r="CZ1321" s="4"/>
      <c r="DA1321" s="4"/>
      <c r="DB1321" s="4"/>
      <c r="DC1321" s="4"/>
      <c r="DD1321" s="10"/>
      <c r="DE1321" s="4"/>
      <c r="DF1321" s="4"/>
      <c r="DG1321" s="16"/>
      <c r="DH1321" s="4"/>
      <c r="DI1321" s="10"/>
      <c r="DJ1321" s="16"/>
      <c r="DK1321" s="16"/>
      <c r="DL1321" s="16"/>
      <c r="DM1321" s="4"/>
      <c r="DN1321" s="10"/>
      <c r="DO1321" s="4"/>
      <c r="DP1321" s="4"/>
      <c r="DQ1321" s="4"/>
      <c r="DR1321" s="4"/>
      <c r="DS1321" s="10"/>
      <c r="DT1321" s="4"/>
      <c r="DU1321" s="4"/>
      <c r="DV1321" s="4"/>
      <c r="DW1321" s="4"/>
      <c r="DX1321" s="10"/>
      <c r="DY1321" s="4"/>
      <c r="DZ1321" s="4"/>
      <c r="EA1321" s="4"/>
      <c r="EB1321" s="4"/>
      <c r="EC1321" s="10"/>
      <c r="ED1321" s="4"/>
      <c r="EE1321" s="4"/>
      <c r="EF1321" s="4"/>
      <c r="EG1321" s="4"/>
      <c r="EH1321" s="10"/>
      <c r="EI1321" s="214"/>
      <c r="EJ1321" s="4"/>
      <c r="EK1321" s="4"/>
      <c r="EL1321" s="4"/>
      <c r="EM1321" s="10"/>
      <c r="EN1321" s="4"/>
      <c r="EO1321" s="4"/>
      <c r="EP1321" s="4"/>
      <c r="EQ1321" s="4"/>
      <c r="ER1321" s="10"/>
      <c r="ES1321" s="4"/>
      <c r="ET1321" s="4"/>
      <c r="EU1321" s="4"/>
      <c r="EV1321" s="4"/>
      <c r="EW1321" s="10"/>
      <c r="EX1321" s="4"/>
      <c r="EY1321" s="4"/>
      <c r="EZ1321" s="4"/>
      <c r="FA1321" s="4"/>
      <c r="FB1321" s="10"/>
      <c r="FC1321" s="4"/>
      <c r="FD1321" s="4"/>
      <c r="FE1321" s="4"/>
      <c r="FF1321" s="4"/>
      <c r="FG1321" s="10"/>
      <c r="FH1321" s="21"/>
      <c r="FI1321" s="4"/>
      <c r="FJ1321" s="4"/>
      <c r="FK1321" s="4"/>
      <c r="FL1321" s="4"/>
    </row>
    <row r="1322" ht="12.75" hidden="1" customHeight="1" outlineLevel="3">
      <c r="A1322" s="4"/>
      <c r="B1322" s="4" t="s">
        <v>492</v>
      </c>
      <c r="C1322" s="4"/>
      <c r="D1322" s="4"/>
      <c r="E1322" s="4"/>
      <c r="F1322" s="4"/>
      <c r="G1322" s="4"/>
      <c r="H1322" s="5"/>
      <c r="I1322" s="6"/>
      <c r="J1322" s="6"/>
      <c r="K1322" s="6"/>
      <c r="L1322" s="6"/>
      <c r="M1322" s="5"/>
      <c r="N1322" s="6"/>
      <c r="O1322" s="6"/>
      <c r="P1322" s="6"/>
      <c r="Q1322" s="6"/>
      <c r="R1322" s="7"/>
      <c r="S1322" s="6"/>
      <c r="T1322" s="6"/>
      <c r="U1322" s="6"/>
      <c r="V1322" s="6"/>
      <c r="W1322" s="7"/>
      <c r="X1322" s="6"/>
      <c r="Y1322" s="6"/>
      <c r="Z1322" s="6"/>
      <c r="AA1322" s="6"/>
      <c r="AB1322" s="5"/>
      <c r="AC1322" s="6"/>
      <c r="AD1322" s="6"/>
      <c r="AE1322" s="6"/>
      <c r="AF1322" s="6"/>
      <c r="AG1322" s="5"/>
      <c r="AH1322" s="6" t="str">
        <f t="shared" ref="AH1322:AL1322" si="6712">AH1319+AH1320+AH1321</f>
        <v>#ERROR!</v>
      </c>
      <c r="AI1322" s="6" t="str">
        <f t="shared" si="6712"/>
        <v>#ERROR!</v>
      </c>
      <c r="AJ1322" s="6" t="str">
        <f t="shared" si="6712"/>
        <v>#ERROR!</v>
      </c>
      <c r="AK1322" s="6" t="str">
        <f t="shared" si="6712"/>
        <v>#ERROR!</v>
      </c>
      <c r="AL1322" s="768" t="str">
        <f t="shared" si="6712"/>
        <v>#ERROR!</v>
      </c>
      <c r="AM1322" s="47"/>
      <c r="AN1322" s="47"/>
      <c r="AO1322" s="47"/>
      <c r="AP1322" s="47"/>
      <c r="AQ1322" s="47"/>
      <c r="AR1322" s="47"/>
      <c r="AS1322" s="47"/>
      <c r="AT1322" s="47"/>
      <c r="AU1322" s="47"/>
      <c r="AV1322" s="47"/>
      <c r="AW1322" s="47"/>
      <c r="AX1322" s="47"/>
      <c r="AY1322" s="47"/>
      <c r="AZ1322" s="47"/>
      <c r="BA1322" s="47"/>
      <c r="BB1322" s="47"/>
      <c r="BC1322" s="47"/>
      <c r="BD1322" s="47"/>
      <c r="BE1322" s="47"/>
      <c r="BF1322" s="47"/>
      <c r="BG1322" s="47"/>
      <c r="BH1322" s="47"/>
      <c r="BI1322" s="47"/>
      <c r="BJ1322" s="47"/>
      <c r="BK1322" s="47"/>
      <c r="BL1322" s="47"/>
      <c r="BM1322" s="47"/>
      <c r="BN1322" s="47"/>
      <c r="BO1322" s="47"/>
      <c r="BP1322" s="48"/>
      <c r="BQ1322" s="4"/>
      <c r="BR1322" s="4"/>
      <c r="BS1322" s="4"/>
      <c r="BT1322" s="4"/>
      <c r="BU1322" s="8"/>
      <c r="BV1322" s="4"/>
      <c r="BW1322" s="4"/>
      <c r="BX1322" s="4"/>
      <c r="BY1322" s="4"/>
      <c r="BZ1322" s="10"/>
      <c r="CA1322" s="4"/>
      <c r="CB1322" s="4"/>
      <c r="CC1322" s="4"/>
      <c r="CD1322" s="4"/>
      <c r="CE1322" s="10"/>
      <c r="CF1322" s="4"/>
      <c r="CG1322" s="4"/>
      <c r="CH1322" s="4"/>
      <c r="CI1322" s="4"/>
      <c r="CJ1322" s="10"/>
      <c r="CK1322" s="4"/>
      <c r="CL1322" s="4"/>
      <c r="CM1322" s="4"/>
      <c r="CN1322" s="16"/>
      <c r="CO1322" s="10"/>
      <c r="CP1322" s="16"/>
      <c r="CQ1322" s="4"/>
      <c r="CR1322" s="4"/>
      <c r="CS1322" s="4"/>
      <c r="CT1322" s="10"/>
      <c r="CU1322" s="4"/>
      <c r="CV1322" s="4"/>
      <c r="CW1322" s="4"/>
      <c r="CX1322" s="4"/>
      <c r="CY1322" s="10"/>
      <c r="CZ1322" s="4"/>
      <c r="DA1322" s="4"/>
      <c r="DB1322" s="4"/>
      <c r="DC1322" s="4"/>
      <c r="DD1322" s="10"/>
      <c r="DE1322" s="4"/>
      <c r="DF1322" s="4"/>
      <c r="DG1322" s="16"/>
      <c r="DH1322" s="4"/>
      <c r="DI1322" s="10"/>
      <c r="DJ1322" s="16"/>
      <c r="DK1322" s="16"/>
      <c r="DL1322" s="16"/>
      <c r="DM1322" s="4"/>
      <c r="DN1322" s="10"/>
      <c r="DO1322" s="4"/>
      <c r="DP1322" s="4"/>
      <c r="DQ1322" s="4"/>
      <c r="DR1322" s="4"/>
      <c r="DS1322" s="10"/>
      <c r="DT1322" s="4"/>
      <c r="DU1322" s="4"/>
      <c r="DV1322" s="4"/>
      <c r="DW1322" s="4"/>
      <c r="DX1322" s="10"/>
      <c r="DY1322" s="4"/>
      <c r="DZ1322" s="4"/>
      <c r="EA1322" s="4"/>
      <c r="EB1322" s="4"/>
      <c r="EC1322" s="10"/>
      <c r="ED1322" s="4"/>
      <c r="EE1322" s="4"/>
      <c r="EF1322" s="4"/>
      <c r="EG1322" s="4"/>
      <c r="EH1322" s="10"/>
      <c r="EI1322" s="214"/>
      <c r="EJ1322" s="4"/>
      <c r="EK1322" s="4"/>
      <c r="EL1322" s="4"/>
      <c r="EM1322" s="10"/>
      <c r="EN1322" s="4"/>
      <c r="EO1322" s="4"/>
      <c r="EP1322" s="4"/>
      <c r="EQ1322" s="4"/>
      <c r="ER1322" s="10"/>
      <c r="ES1322" s="4"/>
      <c r="ET1322" s="4"/>
      <c r="EU1322" s="4"/>
      <c r="EV1322" s="4"/>
      <c r="EW1322" s="10"/>
      <c r="EX1322" s="4"/>
      <c r="EY1322" s="4"/>
      <c r="EZ1322" s="4"/>
      <c r="FA1322" s="4"/>
      <c r="FB1322" s="10"/>
      <c r="FC1322" s="4"/>
      <c r="FD1322" s="4"/>
      <c r="FE1322" s="4"/>
      <c r="FF1322" s="4"/>
      <c r="FG1322" s="10"/>
      <c r="FH1322" s="21"/>
      <c r="FI1322" s="4"/>
      <c r="FJ1322" s="4"/>
      <c r="FK1322" s="4"/>
      <c r="FL1322" s="4"/>
    </row>
    <row r="1323" ht="12.75" hidden="1" customHeight="1" outlineLevel="3">
      <c r="A1323" s="4"/>
      <c r="B1323" s="4" t="s">
        <v>493</v>
      </c>
      <c r="C1323" s="4"/>
      <c r="D1323" s="4"/>
      <c r="E1323" s="4"/>
      <c r="F1323" s="4"/>
      <c r="G1323" s="4"/>
      <c r="H1323" s="5"/>
      <c r="I1323" s="6"/>
      <c r="J1323" s="6"/>
      <c r="K1323" s="6"/>
      <c r="L1323" s="6"/>
      <c r="M1323" s="5"/>
      <c r="N1323" s="6"/>
      <c r="O1323" s="6"/>
      <c r="P1323" s="6"/>
      <c r="Q1323" s="6"/>
      <c r="R1323" s="7"/>
      <c r="S1323" s="6"/>
      <c r="T1323" s="6"/>
      <c r="U1323" s="6"/>
      <c r="V1323" s="6"/>
      <c r="W1323" s="7"/>
      <c r="X1323" s="6"/>
      <c r="Y1323" s="6"/>
      <c r="Z1323" s="6"/>
      <c r="AA1323" s="6"/>
      <c r="AB1323" s="5"/>
      <c r="AC1323" s="6"/>
      <c r="AD1323" s="6"/>
      <c r="AE1323" s="6"/>
      <c r="AF1323" s="6"/>
      <c r="AG1323" s="5"/>
      <c r="AH1323" s="6" t="str">
        <f>AH1322*totalCPUs/1000</f>
        <v>#ERROR!</v>
      </c>
      <c r="AI1323" s="6" t="str">
        <f>AI1322*totalCPUs/1000</f>
        <v>#ERROR!</v>
      </c>
      <c r="AJ1323" s="6" t="str">
        <f>AJ1322*totalCPUs/1000</f>
        <v>#ERROR!</v>
      </c>
      <c r="AK1323" s="6" t="str">
        <f>AK1322*totalCPUs/1000</f>
        <v>#ERROR!</v>
      </c>
      <c r="AL1323" s="768" t="str">
        <f>AL1322*totalCPUs/1000</f>
        <v>#ERROR!</v>
      </c>
      <c r="AM1323" s="47"/>
      <c r="AN1323" s="47"/>
      <c r="AO1323" s="47"/>
      <c r="AP1323" s="47"/>
      <c r="AQ1323" s="47"/>
      <c r="AR1323" s="47"/>
      <c r="AS1323" s="47"/>
      <c r="AT1323" s="47"/>
      <c r="AU1323" s="47"/>
      <c r="AV1323" s="47"/>
      <c r="AW1323" s="47"/>
      <c r="AX1323" s="47"/>
      <c r="AY1323" s="47"/>
      <c r="AZ1323" s="47"/>
      <c r="BA1323" s="47"/>
      <c r="BB1323" s="47"/>
      <c r="BC1323" s="47"/>
      <c r="BD1323" s="47"/>
      <c r="BE1323" s="47"/>
      <c r="BF1323" s="47"/>
      <c r="BG1323" s="47"/>
      <c r="BH1323" s="47"/>
      <c r="BI1323" s="47"/>
      <c r="BJ1323" s="47"/>
      <c r="BK1323" s="47"/>
      <c r="BL1323" s="47"/>
      <c r="BM1323" s="47"/>
      <c r="BN1323" s="47"/>
      <c r="BO1323" s="47"/>
      <c r="BP1323" s="48"/>
      <c r="BQ1323" s="4"/>
      <c r="BR1323" s="4"/>
      <c r="BS1323" s="4"/>
      <c r="BT1323" s="4"/>
      <c r="BU1323" s="8"/>
      <c r="BV1323" s="4"/>
      <c r="BW1323" s="4"/>
      <c r="BX1323" s="4"/>
      <c r="BY1323" s="4"/>
      <c r="BZ1323" s="10"/>
      <c r="CA1323" s="4"/>
      <c r="CB1323" s="4"/>
      <c r="CC1323" s="4"/>
      <c r="CD1323" s="4"/>
      <c r="CE1323" s="10"/>
      <c r="CF1323" s="4"/>
      <c r="CG1323" s="4"/>
      <c r="CH1323" s="4"/>
      <c r="CI1323" s="4"/>
      <c r="CJ1323" s="10"/>
      <c r="CK1323" s="4"/>
      <c r="CL1323" s="4"/>
      <c r="CM1323" s="4"/>
      <c r="CN1323" s="16"/>
      <c r="CO1323" s="10"/>
      <c r="CP1323" s="16"/>
      <c r="CQ1323" s="4"/>
      <c r="CR1323" s="4"/>
      <c r="CS1323" s="4"/>
      <c r="CT1323" s="10"/>
      <c r="CU1323" s="4"/>
      <c r="CV1323" s="4"/>
      <c r="CW1323" s="4"/>
      <c r="CX1323" s="4"/>
      <c r="CY1323" s="10"/>
      <c r="CZ1323" s="4"/>
      <c r="DA1323" s="4"/>
      <c r="DB1323" s="4"/>
      <c r="DC1323" s="4"/>
      <c r="DD1323" s="10"/>
      <c r="DE1323" s="4"/>
      <c r="DF1323" s="4"/>
      <c r="DG1323" s="16"/>
      <c r="DH1323" s="4"/>
      <c r="DI1323" s="10"/>
      <c r="DJ1323" s="16"/>
      <c r="DK1323" s="16"/>
      <c r="DL1323" s="16"/>
      <c r="DM1323" s="4"/>
      <c r="DN1323" s="10"/>
      <c r="DO1323" s="4"/>
      <c r="DP1323" s="4"/>
      <c r="DQ1323" s="4"/>
      <c r="DR1323" s="4"/>
      <c r="DS1323" s="10"/>
      <c r="DT1323" s="4"/>
      <c r="DU1323" s="4"/>
      <c r="DV1323" s="4"/>
      <c r="DW1323" s="4"/>
      <c r="DX1323" s="10"/>
      <c r="DY1323" s="4"/>
      <c r="DZ1323" s="4"/>
      <c r="EA1323" s="4"/>
      <c r="EB1323" s="4"/>
      <c r="EC1323" s="10"/>
      <c r="ED1323" s="4"/>
      <c r="EE1323" s="4"/>
      <c r="EF1323" s="4"/>
      <c r="EG1323" s="4"/>
      <c r="EH1323" s="10"/>
      <c r="EI1323" s="214"/>
      <c r="EJ1323" s="4"/>
      <c r="EK1323" s="4"/>
      <c r="EL1323" s="4"/>
      <c r="EM1323" s="10"/>
      <c r="EN1323" s="4"/>
      <c r="EO1323" s="4"/>
      <c r="EP1323" s="4"/>
      <c r="EQ1323" s="4"/>
      <c r="ER1323" s="10"/>
      <c r="ES1323" s="4"/>
      <c r="ET1323" s="4"/>
      <c r="EU1323" s="4"/>
      <c r="EV1323" s="4"/>
      <c r="EW1323" s="10"/>
      <c r="EX1323" s="4"/>
      <c r="EY1323" s="4"/>
      <c r="EZ1323" s="4"/>
      <c r="FA1323" s="4"/>
      <c r="FB1323" s="10"/>
      <c r="FC1323" s="4"/>
      <c r="FD1323" s="4"/>
      <c r="FE1323" s="4"/>
      <c r="FF1323" s="4"/>
      <c r="FG1323" s="10"/>
      <c r="FH1323" s="21"/>
      <c r="FI1323" s="4"/>
      <c r="FJ1323" s="4"/>
      <c r="FK1323" s="4"/>
      <c r="FL1323" s="4"/>
    </row>
    <row r="1324" ht="12.75" hidden="1" customHeight="1" outlineLevel="3">
      <c r="A1324" s="4"/>
      <c r="B1324" s="4"/>
      <c r="C1324" s="4"/>
      <c r="D1324" s="4"/>
      <c r="E1324" s="4"/>
      <c r="F1324" s="4"/>
      <c r="G1324" s="4"/>
      <c r="H1324" s="5"/>
      <c r="I1324" s="6"/>
      <c r="J1324" s="6"/>
      <c r="K1324" s="6"/>
      <c r="L1324" s="6"/>
      <c r="M1324" s="5"/>
      <c r="N1324" s="6"/>
      <c r="O1324" s="6"/>
      <c r="P1324" s="6"/>
      <c r="Q1324" s="6"/>
      <c r="R1324" s="7"/>
      <c r="S1324" s="6"/>
      <c r="T1324" s="6"/>
      <c r="U1324" s="6"/>
      <c r="V1324" s="6"/>
      <c r="W1324" s="7"/>
      <c r="X1324" s="6"/>
      <c r="Y1324" s="6"/>
      <c r="Z1324" s="6"/>
      <c r="AA1324" s="6"/>
      <c r="AB1324" s="5"/>
      <c r="AC1324" s="6"/>
      <c r="AD1324" s="6"/>
      <c r="AE1324" s="6"/>
      <c r="AF1324" s="6"/>
      <c r="AG1324" s="5"/>
      <c r="AH1324" s="6"/>
      <c r="AI1324" s="6"/>
      <c r="AJ1324" s="6"/>
      <c r="AK1324" s="6"/>
      <c r="AL1324" s="5"/>
      <c r="AM1324" s="6"/>
      <c r="AN1324" s="6"/>
      <c r="AO1324" s="6"/>
      <c r="AP1324" s="6"/>
      <c r="AQ1324" s="5"/>
      <c r="AR1324" s="6"/>
      <c r="AS1324" s="6"/>
      <c r="AT1324" s="6"/>
      <c r="AU1324" s="6"/>
      <c r="AV1324" s="5"/>
      <c r="AW1324" s="6"/>
      <c r="AX1324" s="6"/>
      <c r="AY1324" s="6"/>
      <c r="AZ1324" s="6"/>
      <c r="BA1324" s="7"/>
      <c r="BB1324" s="6"/>
      <c r="BC1324" s="6"/>
      <c r="BD1324" s="6"/>
      <c r="BE1324" s="6"/>
      <c r="BF1324" s="7"/>
      <c r="BG1324" s="6"/>
      <c r="BH1324" s="6"/>
      <c r="BI1324" s="6"/>
      <c r="BJ1324" s="6"/>
      <c r="BK1324" s="7"/>
      <c r="BL1324" s="6"/>
      <c r="BM1324" s="6"/>
      <c r="BN1324" s="6"/>
      <c r="BO1324" s="6"/>
      <c r="BP1324" s="7"/>
      <c r="BQ1324" s="4"/>
      <c r="BR1324" s="4"/>
      <c r="BS1324" s="4"/>
      <c r="BT1324" s="4"/>
      <c r="BU1324" s="8"/>
      <c r="BV1324" s="4"/>
      <c r="BW1324" s="4"/>
      <c r="BX1324" s="4"/>
      <c r="BY1324" s="4"/>
      <c r="BZ1324" s="10"/>
      <c r="CA1324" s="4"/>
      <c r="CB1324" s="4"/>
      <c r="CC1324" s="4"/>
      <c r="CD1324" s="4"/>
      <c r="CE1324" s="10"/>
      <c r="CF1324" s="4"/>
      <c r="CG1324" s="4"/>
      <c r="CH1324" s="4"/>
      <c r="CI1324" s="4"/>
      <c r="CJ1324" s="10"/>
      <c r="CK1324" s="4"/>
      <c r="CL1324" s="4"/>
      <c r="CM1324" s="4"/>
      <c r="CN1324" s="16"/>
      <c r="CO1324" s="10"/>
      <c r="CP1324" s="16"/>
      <c r="CQ1324" s="4"/>
      <c r="CR1324" s="4"/>
      <c r="CS1324" s="4"/>
      <c r="CT1324" s="10"/>
      <c r="CU1324" s="4"/>
      <c r="CV1324" s="4"/>
      <c r="CW1324" s="4"/>
      <c r="CX1324" s="4"/>
      <c r="CY1324" s="10"/>
      <c r="CZ1324" s="4"/>
      <c r="DA1324" s="4"/>
      <c r="DB1324" s="4"/>
      <c r="DC1324" s="4"/>
      <c r="DD1324" s="10"/>
      <c r="DE1324" s="4"/>
      <c r="DF1324" s="4"/>
      <c r="DG1324" s="16"/>
      <c r="DH1324" s="4"/>
      <c r="DI1324" s="10"/>
      <c r="DJ1324" s="16"/>
      <c r="DK1324" s="16"/>
      <c r="DL1324" s="16"/>
      <c r="DM1324" s="4"/>
      <c r="DN1324" s="10"/>
      <c r="DO1324" s="4"/>
      <c r="DP1324" s="4"/>
      <c r="DQ1324" s="4"/>
      <c r="DR1324" s="4"/>
      <c r="DS1324" s="10"/>
      <c r="DT1324" s="4"/>
      <c r="DU1324" s="4"/>
      <c r="DV1324" s="4"/>
      <c r="DW1324" s="4"/>
      <c r="DX1324" s="10"/>
      <c r="DY1324" s="4"/>
      <c r="DZ1324" s="4"/>
      <c r="EA1324" s="4"/>
      <c r="EB1324" s="4"/>
      <c r="EC1324" s="10"/>
      <c r="ED1324" s="4"/>
      <c r="EE1324" s="4"/>
      <c r="EF1324" s="4"/>
      <c r="EG1324" s="4"/>
      <c r="EH1324" s="10"/>
      <c r="EI1324" s="214"/>
      <c r="EJ1324" s="4"/>
      <c r="EK1324" s="4"/>
      <c r="EL1324" s="4"/>
      <c r="EM1324" s="10"/>
      <c r="EN1324" s="4"/>
      <c r="EO1324" s="4"/>
      <c r="EP1324" s="4"/>
      <c r="EQ1324" s="4"/>
      <c r="ER1324" s="10"/>
      <c r="ES1324" s="4"/>
      <c r="ET1324" s="4"/>
      <c r="EU1324" s="4"/>
      <c r="EV1324" s="4"/>
      <c r="EW1324" s="10"/>
      <c r="EX1324" s="4"/>
      <c r="EY1324" s="4"/>
      <c r="EZ1324" s="4"/>
      <c r="FA1324" s="4"/>
      <c r="FB1324" s="10"/>
      <c r="FC1324" s="4"/>
      <c r="FD1324" s="4"/>
      <c r="FE1324" s="4"/>
      <c r="FF1324" s="4"/>
      <c r="FG1324" s="10"/>
      <c r="FH1324" s="21"/>
      <c r="FI1324" s="4"/>
      <c r="FJ1324" s="4"/>
      <c r="FK1324" s="4"/>
      <c r="FL1324" s="4"/>
    </row>
    <row r="1325" ht="12.75" hidden="1" customHeight="1" outlineLevel="3">
      <c r="A1325" s="4"/>
      <c r="B1325" s="4" t="s">
        <v>494</v>
      </c>
      <c r="C1325" s="4"/>
      <c r="D1325" s="4"/>
      <c r="E1325" s="4"/>
      <c r="F1325" s="4"/>
      <c r="G1325" s="4"/>
      <c r="H1325" s="5"/>
      <c r="I1325" s="6"/>
      <c r="J1325" s="6"/>
      <c r="K1325" s="6"/>
      <c r="L1325" s="6"/>
      <c r="M1325" s="5"/>
      <c r="N1325" s="6"/>
      <c r="O1325" s="6"/>
      <c r="P1325" s="6"/>
      <c r="Q1325" s="6"/>
      <c r="R1325" s="7"/>
      <c r="S1325" s="6"/>
      <c r="T1325" s="6"/>
      <c r="U1325" s="6"/>
      <c r="V1325" s="6"/>
      <c r="W1325" s="7"/>
      <c r="X1325" s="6"/>
      <c r="Y1325" s="6"/>
      <c r="Z1325" s="6"/>
      <c r="AA1325" s="6"/>
      <c r="AB1325" s="5"/>
      <c r="AC1325" s="6"/>
      <c r="AD1325" s="6"/>
      <c r="AE1325" s="6"/>
      <c r="AF1325" s="6"/>
      <c r="AG1325" s="5"/>
      <c r="AH1325" s="6" t="str">
        <f>1-AH1323/estimatedCPURevenues</f>
        <v>#ERROR!</v>
      </c>
      <c r="AI1325" s="6" t="str">
        <f>1-AI1323/estimatedCPURevenues</f>
        <v>#ERROR!</v>
      </c>
      <c r="AJ1325" s="6" t="str">
        <f>1-AJ1323/estimatedCPURevenues</f>
        <v>#ERROR!</v>
      </c>
      <c r="AK1325" s="6" t="str">
        <f>1-AK1323/estimatedCPURevenues</f>
        <v>#ERROR!</v>
      </c>
      <c r="AL1325" s="768" t="str">
        <f>1-AL1323/estimatedCPURevenues</f>
        <v>#ERROR!</v>
      </c>
      <c r="AM1325" s="47"/>
      <c r="AN1325" s="47"/>
      <c r="AO1325" s="47"/>
      <c r="AP1325" s="47"/>
      <c r="AQ1325" s="47"/>
      <c r="AR1325" s="47"/>
      <c r="AS1325" s="47"/>
      <c r="AT1325" s="47"/>
      <c r="AU1325" s="47"/>
      <c r="AV1325" s="47"/>
      <c r="AW1325" s="47"/>
      <c r="AX1325" s="47"/>
      <c r="AY1325" s="47"/>
      <c r="AZ1325" s="47"/>
      <c r="BA1325" s="47"/>
      <c r="BB1325" s="47"/>
      <c r="BC1325" s="47"/>
      <c r="BD1325" s="47"/>
      <c r="BE1325" s="47"/>
      <c r="BF1325" s="47"/>
      <c r="BG1325" s="47"/>
      <c r="BH1325" s="47"/>
      <c r="BI1325" s="47"/>
      <c r="BJ1325" s="47"/>
      <c r="BK1325" s="47"/>
      <c r="BL1325" s="47"/>
      <c r="BM1325" s="47"/>
      <c r="BN1325" s="47"/>
      <c r="BO1325" s="47"/>
      <c r="BP1325" s="48"/>
      <c r="BQ1325" s="4"/>
      <c r="BR1325" s="4"/>
      <c r="BS1325" s="4"/>
      <c r="BT1325" s="4"/>
      <c r="BU1325" s="8"/>
      <c r="BV1325" s="4"/>
      <c r="BW1325" s="4"/>
      <c r="BX1325" s="4"/>
      <c r="BY1325" s="4"/>
      <c r="BZ1325" s="10"/>
      <c r="CA1325" s="4"/>
      <c r="CB1325" s="4"/>
      <c r="CC1325" s="4"/>
      <c r="CD1325" s="4"/>
      <c r="CE1325" s="10"/>
      <c r="CF1325" s="4"/>
      <c r="CG1325" s="4"/>
      <c r="CH1325" s="4"/>
      <c r="CI1325" s="4"/>
      <c r="CJ1325" s="10"/>
      <c r="CK1325" s="4"/>
      <c r="CL1325" s="4"/>
      <c r="CM1325" s="4"/>
      <c r="CN1325" s="16"/>
      <c r="CO1325" s="10"/>
      <c r="CP1325" s="16"/>
      <c r="CQ1325" s="4"/>
      <c r="CR1325" s="4"/>
      <c r="CS1325" s="4"/>
      <c r="CT1325" s="10"/>
      <c r="CU1325" s="4"/>
      <c r="CV1325" s="4"/>
      <c r="CW1325" s="4"/>
      <c r="CX1325" s="4"/>
      <c r="CY1325" s="10"/>
      <c r="CZ1325" s="4"/>
      <c r="DA1325" s="4"/>
      <c r="DB1325" s="4"/>
      <c r="DC1325" s="4"/>
      <c r="DD1325" s="10"/>
      <c r="DE1325" s="4"/>
      <c r="DF1325" s="4"/>
      <c r="DG1325" s="16"/>
      <c r="DH1325" s="4"/>
      <c r="DI1325" s="10"/>
      <c r="DJ1325" s="16"/>
      <c r="DK1325" s="16"/>
      <c r="DL1325" s="16"/>
      <c r="DM1325" s="4"/>
      <c r="DN1325" s="10"/>
      <c r="DO1325" s="4"/>
      <c r="DP1325" s="4"/>
      <c r="DQ1325" s="4"/>
      <c r="DR1325" s="4"/>
      <c r="DS1325" s="10"/>
      <c r="DT1325" s="4"/>
      <c r="DU1325" s="4"/>
      <c r="DV1325" s="4"/>
      <c r="DW1325" s="4"/>
      <c r="DX1325" s="10"/>
      <c r="DY1325" s="4"/>
      <c r="DZ1325" s="4"/>
      <c r="EA1325" s="4"/>
      <c r="EB1325" s="4"/>
      <c r="EC1325" s="10"/>
      <c r="ED1325" s="4"/>
      <c r="EE1325" s="4"/>
      <c r="EF1325" s="4"/>
      <c r="EG1325" s="4"/>
      <c r="EH1325" s="10"/>
      <c r="EI1325" s="214"/>
      <c r="EJ1325" s="4"/>
      <c r="EK1325" s="4"/>
      <c r="EL1325" s="4"/>
      <c r="EM1325" s="10"/>
      <c r="EN1325" s="4"/>
      <c r="EO1325" s="4"/>
      <c r="EP1325" s="4"/>
      <c r="EQ1325" s="4"/>
      <c r="ER1325" s="10"/>
      <c r="ES1325" s="4"/>
      <c r="ET1325" s="4"/>
      <c r="EU1325" s="4"/>
      <c r="EV1325" s="4"/>
      <c r="EW1325" s="10"/>
      <c r="EX1325" s="4"/>
      <c r="EY1325" s="4"/>
      <c r="EZ1325" s="4"/>
      <c r="FA1325" s="4"/>
      <c r="FB1325" s="10"/>
      <c r="FC1325" s="4"/>
      <c r="FD1325" s="4"/>
      <c r="FE1325" s="4"/>
      <c r="FF1325" s="4"/>
      <c r="FG1325" s="10"/>
      <c r="FH1325" s="21"/>
      <c r="FI1325" s="4"/>
      <c r="FJ1325" s="4"/>
      <c r="FK1325" s="4"/>
      <c r="FL1325" s="4"/>
    </row>
    <row r="1326" ht="12.75" hidden="1" customHeight="1" outlineLevel="1">
      <c r="A1326" s="4"/>
      <c r="B1326" s="4"/>
      <c r="C1326" s="4"/>
      <c r="D1326" s="4"/>
      <c r="E1326" s="4"/>
      <c r="F1326" s="4"/>
      <c r="G1326" s="4"/>
      <c r="H1326" s="5"/>
      <c r="I1326" s="6"/>
      <c r="J1326" s="6"/>
      <c r="K1326" s="6"/>
      <c r="L1326" s="6"/>
      <c r="M1326" s="5"/>
      <c r="N1326" s="6"/>
      <c r="O1326" s="6"/>
      <c r="P1326" s="6"/>
      <c r="Q1326" s="6"/>
      <c r="R1326" s="7"/>
      <c r="S1326" s="6"/>
      <c r="T1326" s="6"/>
      <c r="U1326" s="6"/>
      <c r="V1326" s="6"/>
      <c r="W1326" s="7"/>
      <c r="X1326" s="6"/>
      <c r="Y1326" s="6"/>
      <c r="Z1326" s="6"/>
      <c r="AA1326" s="6"/>
      <c r="AB1326" s="5"/>
      <c r="AC1326" s="6"/>
      <c r="AD1326" s="6"/>
      <c r="AE1326" s="6"/>
      <c r="AF1326" s="6"/>
      <c r="AG1326" s="5"/>
      <c r="AH1326" s="6"/>
      <c r="AI1326" s="6"/>
      <c r="AJ1326" s="6"/>
      <c r="AK1326" s="6"/>
      <c r="AL1326" s="5"/>
      <c r="AM1326" s="6"/>
      <c r="AN1326" s="6"/>
      <c r="AO1326" s="6"/>
      <c r="AP1326" s="6"/>
      <c r="AQ1326" s="5"/>
      <c r="AR1326" s="6"/>
      <c r="AS1326" s="6"/>
      <c r="AT1326" s="6"/>
      <c r="AU1326" s="6"/>
      <c r="AV1326" s="5"/>
      <c r="AW1326" s="6"/>
      <c r="AX1326" s="6"/>
      <c r="AY1326" s="6"/>
      <c r="AZ1326" s="6"/>
      <c r="BA1326" s="7"/>
      <c r="BB1326" s="6"/>
      <c r="BC1326" s="6"/>
      <c r="BD1326" s="6"/>
      <c r="BE1326" s="6"/>
      <c r="BF1326" s="7"/>
      <c r="BG1326" s="6"/>
      <c r="BH1326" s="6"/>
      <c r="BI1326" s="6"/>
      <c r="BJ1326" s="6"/>
      <c r="BK1326" s="7"/>
      <c r="BL1326" s="6"/>
      <c r="BM1326" s="6"/>
      <c r="BN1326" s="6"/>
      <c r="BO1326" s="6"/>
      <c r="BP1326" s="7"/>
      <c r="BQ1326" s="4"/>
      <c r="BR1326" s="4"/>
      <c r="BS1326" s="4"/>
      <c r="BT1326" s="4"/>
      <c r="BU1326" s="8"/>
      <c r="BV1326" s="4"/>
      <c r="BW1326" s="4"/>
      <c r="BX1326" s="4"/>
      <c r="BY1326" s="4"/>
      <c r="BZ1326" s="10"/>
      <c r="CA1326" s="4"/>
      <c r="CB1326" s="4"/>
      <c r="CC1326" s="4"/>
      <c r="CD1326" s="4"/>
      <c r="CE1326" s="10"/>
      <c r="CF1326" s="4"/>
      <c r="CG1326" s="4"/>
      <c r="CH1326" s="4"/>
      <c r="CI1326" s="4"/>
      <c r="CJ1326" s="10"/>
      <c r="CK1326" s="4"/>
      <c r="CL1326" s="4"/>
      <c r="CM1326" s="4"/>
      <c r="CN1326" s="16"/>
      <c r="CO1326" s="10"/>
      <c r="CP1326" s="16"/>
      <c r="CQ1326" s="4"/>
      <c r="CR1326" s="4"/>
      <c r="CS1326" s="4"/>
      <c r="CT1326" s="10"/>
      <c r="CU1326" s="4"/>
      <c r="CV1326" s="4"/>
      <c r="CW1326" s="4"/>
      <c r="CX1326" s="4"/>
      <c r="CY1326" s="10"/>
      <c r="CZ1326" s="4"/>
      <c r="DA1326" s="4"/>
      <c r="DB1326" s="4"/>
      <c r="DC1326" s="4"/>
      <c r="DD1326" s="10"/>
      <c r="DE1326" s="4"/>
      <c r="DF1326" s="4"/>
      <c r="DG1326" s="16"/>
      <c r="DH1326" s="4"/>
      <c r="DI1326" s="10"/>
      <c r="DJ1326" s="16"/>
      <c r="DK1326" s="16"/>
      <c r="DL1326" s="16"/>
      <c r="DM1326" s="4"/>
      <c r="DN1326" s="10"/>
      <c r="DO1326" s="4"/>
      <c r="DP1326" s="4"/>
      <c r="DQ1326" s="4"/>
      <c r="DR1326" s="4"/>
      <c r="DS1326" s="10"/>
      <c r="DT1326" s="4"/>
      <c r="DU1326" s="4"/>
      <c r="DV1326" s="4"/>
      <c r="DW1326" s="4"/>
      <c r="DX1326" s="10"/>
      <c r="DY1326" s="4"/>
      <c r="DZ1326" s="4"/>
      <c r="EA1326" s="4"/>
      <c r="EB1326" s="4"/>
      <c r="EC1326" s="10"/>
      <c r="ED1326" s="4"/>
      <c r="EE1326" s="4"/>
      <c r="EF1326" s="4"/>
      <c r="EG1326" s="4"/>
      <c r="EH1326" s="10"/>
      <c r="EI1326" s="214"/>
      <c r="EJ1326" s="4"/>
      <c r="EK1326" s="4"/>
      <c r="EL1326" s="4"/>
      <c r="EM1326" s="10"/>
      <c r="EN1326" s="4"/>
      <c r="EO1326" s="4"/>
      <c r="EP1326" s="4"/>
      <c r="EQ1326" s="4"/>
      <c r="ER1326" s="10"/>
      <c r="ES1326" s="4"/>
      <c r="ET1326" s="4"/>
      <c r="EU1326" s="4"/>
      <c r="EV1326" s="4"/>
      <c r="EW1326" s="10"/>
      <c r="EX1326" s="4"/>
      <c r="EY1326" s="4"/>
      <c r="EZ1326" s="4"/>
      <c r="FA1326" s="4"/>
      <c r="FB1326" s="10"/>
      <c r="FC1326" s="4"/>
      <c r="FD1326" s="4"/>
      <c r="FE1326" s="4"/>
      <c r="FF1326" s="4"/>
      <c r="FG1326" s="10"/>
      <c r="FH1326" s="21"/>
      <c r="FI1326" s="4"/>
      <c r="FJ1326" s="4"/>
      <c r="FK1326" s="4"/>
      <c r="FL1326" s="4"/>
    </row>
    <row r="1327" ht="12.75" hidden="1" customHeight="1" outlineLevel="1">
      <c r="A1327" s="16"/>
      <c r="B1327" s="16"/>
      <c r="C1327" s="16"/>
      <c r="D1327" s="16"/>
      <c r="E1327" s="16"/>
      <c r="F1327" s="16"/>
      <c r="G1327" s="16"/>
      <c r="H1327" s="31"/>
      <c r="I1327" s="32"/>
      <c r="J1327" s="32"/>
      <c r="K1327" s="32"/>
      <c r="L1327" s="32"/>
      <c r="M1327" s="31"/>
      <c r="N1327" s="32"/>
      <c r="O1327" s="32"/>
      <c r="P1327" s="32"/>
      <c r="Q1327" s="32"/>
      <c r="R1327" s="33"/>
      <c r="S1327" s="32"/>
      <c r="T1327" s="32"/>
      <c r="U1327" s="32"/>
      <c r="V1327" s="32"/>
      <c r="W1327" s="33"/>
      <c r="X1327" s="32"/>
      <c r="Y1327" s="32"/>
      <c r="Z1327" s="32"/>
      <c r="AA1327" s="32"/>
      <c r="AB1327" s="31"/>
      <c r="AC1327" s="32"/>
      <c r="AD1327" s="32"/>
      <c r="AE1327" s="32"/>
      <c r="AF1327" s="32"/>
      <c r="AG1327" s="31"/>
      <c r="AH1327" s="32"/>
      <c r="AI1327" s="32"/>
      <c r="AJ1327" s="32"/>
      <c r="AK1327" s="32"/>
      <c r="AL1327" s="31"/>
      <c r="AM1327" s="32"/>
      <c r="AN1327" s="32"/>
      <c r="AO1327" s="32"/>
      <c r="AP1327" s="32"/>
      <c r="AQ1327" s="31"/>
      <c r="AR1327" s="32"/>
      <c r="AS1327" s="32"/>
      <c r="AT1327" s="32"/>
      <c r="AU1327" s="32"/>
      <c r="AV1327" s="31"/>
      <c r="AW1327" s="32"/>
      <c r="AX1327" s="32"/>
      <c r="AY1327" s="32"/>
      <c r="AZ1327" s="32"/>
      <c r="BA1327" s="33"/>
      <c r="BB1327" s="32"/>
      <c r="BC1327" s="32"/>
      <c r="BD1327" s="32"/>
      <c r="BE1327" s="32"/>
      <c r="BF1327" s="33"/>
      <c r="BG1327" s="32"/>
      <c r="BH1327" s="32"/>
      <c r="BI1327" s="32"/>
      <c r="BJ1327" s="32"/>
      <c r="BK1327" s="33"/>
      <c r="BL1327" s="32"/>
      <c r="BM1327" s="32"/>
      <c r="BN1327" s="32"/>
      <c r="BO1327" s="32"/>
      <c r="BP1327" s="33"/>
      <c r="BQ1327" s="16"/>
      <c r="BR1327" s="16"/>
      <c r="BS1327" s="16"/>
      <c r="BT1327" s="16"/>
      <c r="BU1327" s="21"/>
      <c r="BV1327" s="16"/>
      <c r="BW1327" s="16"/>
      <c r="BX1327" s="16"/>
      <c r="BY1327" s="16"/>
      <c r="BZ1327" s="10"/>
      <c r="CA1327" s="16"/>
      <c r="CB1327" s="16"/>
      <c r="CC1327" s="16"/>
      <c r="CD1327" s="16"/>
      <c r="CE1327" s="10"/>
      <c r="CF1327" s="16"/>
      <c r="CG1327" s="16"/>
      <c r="CH1327" s="16"/>
      <c r="CI1327" s="16"/>
      <c r="CJ1327" s="10"/>
      <c r="CK1327" s="16"/>
      <c r="CL1327" s="16"/>
      <c r="CM1327" s="16"/>
      <c r="CN1327" s="16"/>
      <c r="CO1327" s="10"/>
      <c r="CP1327" s="16"/>
      <c r="CQ1327" s="16"/>
      <c r="CR1327" s="16"/>
      <c r="CS1327" s="16"/>
      <c r="CT1327" s="10"/>
      <c r="CU1327" s="16"/>
      <c r="CV1327" s="16"/>
      <c r="CW1327" s="16"/>
      <c r="CX1327" s="16"/>
      <c r="CY1327" s="10"/>
      <c r="CZ1327" s="16"/>
      <c r="DA1327" s="16"/>
      <c r="DB1327" s="16"/>
      <c r="DC1327" s="16"/>
      <c r="DD1327" s="10"/>
      <c r="DE1327" s="16"/>
      <c r="DF1327" s="16"/>
      <c r="DG1327" s="16"/>
      <c r="DH1327" s="16"/>
      <c r="DI1327" s="10"/>
      <c r="DJ1327" s="16"/>
      <c r="DK1327" s="16"/>
      <c r="DL1327" s="16"/>
      <c r="DM1327" s="16"/>
      <c r="DN1327" s="10"/>
      <c r="DO1327" s="16"/>
      <c r="DP1327" s="16"/>
      <c r="DQ1327" s="16"/>
      <c r="DR1327" s="16"/>
      <c r="DS1327" s="10"/>
      <c r="DT1327" s="16"/>
      <c r="DU1327" s="16"/>
      <c r="DV1327" s="16"/>
      <c r="DW1327" s="16"/>
      <c r="DX1327" s="10"/>
      <c r="DY1327" s="16"/>
      <c r="DZ1327" s="16"/>
      <c r="EA1327" s="16"/>
      <c r="EB1327" s="16"/>
      <c r="EC1327" s="10"/>
      <c r="ED1327" s="16"/>
      <c r="EE1327" s="16"/>
      <c r="EF1327" s="16"/>
      <c r="EG1327" s="16"/>
      <c r="EH1327" s="10"/>
      <c r="EI1327" s="214"/>
      <c r="EJ1327" s="16"/>
      <c r="EK1327" s="16"/>
      <c r="EL1327" s="16"/>
      <c r="EM1327" s="10"/>
      <c r="EN1327" s="16"/>
      <c r="EO1327" s="16"/>
      <c r="EP1327" s="16"/>
      <c r="EQ1327" s="16"/>
      <c r="ER1327" s="10"/>
      <c r="ES1327" s="16"/>
      <c r="ET1327" s="16"/>
      <c r="EU1327" s="16"/>
      <c r="EV1327" s="16"/>
      <c r="EW1327" s="10"/>
      <c r="EX1327" s="16"/>
      <c r="EY1327" s="16"/>
      <c r="EZ1327" s="16"/>
      <c r="FA1327" s="16"/>
      <c r="FB1327" s="10"/>
      <c r="FC1327" s="16"/>
      <c r="FD1327" s="16"/>
      <c r="FE1327" s="16"/>
      <c r="FF1327" s="16"/>
      <c r="FG1327" s="10"/>
      <c r="FH1327" s="21"/>
      <c r="FI1327" s="16"/>
      <c r="FJ1327" s="16"/>
      <c r="FK1327" s="16"/>
      <c r="FL1327" s="16"/>
    </row>
    <row r="1328" ht="12.75" customHeight="1" collapsed="1">
      <c r="A1328" s="145"/>
      <c r="B1328" s="16"/>
      <c r="C1328" s="16"/>
      <c r="D1328" s="16"/>
      <c r="E1328" s="16"/>
      <c r="F1328" s="16"/>
      <c r="G1328" s="16"/>
      <c r="H1328" s="31"/>
      <c r="I1328" s="32"/>
      <c r="J1328" s="32"/>
      <c r="K1328" s="32"/>
      <c r="L1328" s="32"/>
      <c r="M1328" s="31"/>
      <c r="N1328" s="32"/>
      <c r="O1328" s="32"/>
      <c r="P1328" s="32"/>
      <c r="Q1328" s="32"/>
      <c r="R1328" s="33"/>
      <c r="S1328" s="32"/>
      <c r="T1328" s="32"/>
      <c r="U1328" s="32"/>
      <c r="V1328" s="32"/>
      <c r="W1328" s="33"/>
      <c r="X1328" s="32"/>
      <c r="Y1328" s="32"/>
      <c r="Z1328" s="32"/>
      <c r="AA1328" s="32"/>
      <c r="AB1328" s="31"/>
      <c r="AC1328" s="32"/>
      <c r="AD1328" s="32"/>
      <c r="AE1328" s="32"/>
      <c r="AF1328" s="32"/>
      <c r="AG1328" s="31"/>
      <c r="AH1328" s="32"/>
      <c r="AI1328" s="32"/>
      <c r="AJ1328" s="32"/>
      <c r="AK1328" s="32"/>
      <c r="AL1328" s="31"/>
      <c r="AM1328" s="32"/>
      <c r="AN1328" s="32"/>
      <c r="AO1328" s="32"/>
      <c r="AP1328" s="32"/>
      <c r="AQ1328" s="31"/>
      <c r="AR1328" s="32"/>
      <c r="AS1328" s="32"/>
      <c r="AT1328" s="32"/>
      <c r="AU1328" s="32"/>
      <c r="AV1328" s="31"/>
      <c r="AW1328" s="32"/>
      <c r="AX1328" s="32"/>
      <c r="AY1328" s="32"/>
      <c r="AZ1328" s="32"/>
      <c r="BA1328" s="33"/>
      <c r="BB1328" s="32"/>
      <c r="BC1328" s="32"/>
      <c r="BD1328" s="32"/>
      <c r="BE1328" s="32"/>
      <c r="BF1328" s="33"/>
      <c r="BG1328" s="32"/>
      <c r="BH1328" s="32"/>
      <c r="BI1328" s="32"/>
      <c r="BJ1328" s="32"/>
      <c r="BK1328" s="33"/>
      <c r="BL1328" s="32"/>
      <c r="BM1328" s="32"/>
      <c r="BN1328" s="32"/>
      <c r="BO1328" s="32"/>
      <c r="BP1328" s="33"/>
      <c r="BQ1328" s="16"/>
      <c r="BR1328" s="16"/>
      <c r="BS1328" s="16"/>
      <c r="BT1328" s="16"/>
      <c r="BU1328" s="21"/>
      <c r="BV1328" s="16"/>
      <c r="BW1328" s="16"/>
      <c r="BX1328" s="16"/>
      <c r="BY1328" s="16"/>
      <c r="BZ1328" s="10"/>
      <c r="CA1328" s="16"/>
      <c r="CB1328" s="16"/>
      <c r="CC1328" s="16"/>
      <c r="CD1328" s="16"/>
      <c r="CE1328" s="10"/>
      <c r="CF1328" s="16"/>
      <c r="CG1328" s="16"/>
      <c r="CH1328" s="16"/>
      <c r="CI1328" s="16"/>
      <c r="CJ1328" s="10"/>
      <c r="CK1328" s="16"/>
      <c r="CL1328" s="16"/>
      <c r="CM1328" s="16"/>
      <c r="CN1328" s="16"/>
      <c r="CO1328" s="10"/>
      <c r="CP1328" s="16"/>
      <c r="CQ1328" s="16"/>
      <c r="CR1328" s="16"/>
      <c r="CS1328" s="16"/>
      <c r="CT1328" s="10"/>
      <c r="CU1328" s="16"/>
      <c r="CV1328" s="16"/>
      <c r="CW1328" s="16"/>
      <c r="CX1328" s="16"/>
      <c r="CY1328" s="10"/>
      <c r="CZ1328" s="16"/>
      <c r="DA1328" s="16"/>
      <c r="DB1328" s="16"/>
      <c r="DC1328" s="16"/>
      <c r="DD1328" s="10"/>
      <c r="DE1328" s="16"/>
      <c r="DF1328" s="16"/>
      <c r="DG1328" s="16"/>
      <c r="DH1328" s="16"/>
      <c r="DI1328" s="10"/>
      <c r="DJ1328" s="16"/>
      <c r="DK1328" s="16"/>
      <c r="DL1328" s="16"/>
      <c r="DM1328" s="16"/>
      <c r="DN1328" s="10"/>
      <c r="DO1328" s="16"/>
      <c r="DP1328" s="16"/>
      <c r="DQ1328" s="16"/>
      <c r="DR1328" s="16"/>
      <c r="DS1328" s="10"/>
      <c r="DT1328" s="16"/>
      <c r="DU1328" s="16"/>
      <c r="DV1328" s="16"/>
      <c r="DW1328" s="16"/>
      <c r="DX1328" s="10"/>
      <c r="DY1328" s="16"/>
      <c r="DZ1328" s="16"/>
      <c r="EA1328" s="16"/>
      <c r="EB1328" s="16"/>
      <c r="EC1328" s="10"/>
      <c r="ED1328" s="16"/>
      <c r="EE1328" s="16"/>
      <c r="EF1328" s="16"/>
      <c r="EG1328" s="16"/>
      <c r="EH1328" s="10"/>
      <c r="EI1328" s="214"/>
      <c r="EJ1328" s="16"/>
      <c r="EK1328" s="16"/>
      <c r="EL1328" s="16"/>
      <c r="EM1328" s="10"/>
      <c r="EN1328" s="16"/>
      <c r="EO1328" s="16"/>
      <c r="EP1328" s="16"/>
      <c r="EQ1328" s="16"/>
      <c r="ER1328" s="10"/>
      <c r="ES1328" s="16"/>
      <c r="ET1328" s="16"/>
      <c r="EU1328" s="16"/>
      <c r="EV1328" s="16"/>
      <c r="EW1328" s="10"/>
      <c r="EX1328" s="16"/>
      <c r="EY1328" s="16"/>
      <c r="EZ1328" s="16"/>
      <c r="FA1328" s="16"/>
      <c r="FB1328" s="10"/>
      <c r="FC1328" s="16"/>
      <c r="FD1328" s="16"/>
      <c r="FE1328" s="16"/>
      <c r="FF1328" s="16"/>
      <c r="FG1328" s="10"/>
      <c r="FH1328" s="21"/>
      <c r="FI1328" s="16"/>
      <c r="FJ1328" s="16"/>
      <c r="FK1328" s="16"/>
      <c r="FL1328" s="16"/>
    </row>
    <row r="1329" ht="12.75" customHeight="1">
      <c r="A1329" s="16"/>
      <c r="B1329" s="16"/>
      <c r="C1329" s="16"/>
      <c r="D1329" s="16"/>
      <c r="E1329" s="16"/>
      <c r="F1329" s="16"/>
      <c r="G1329" s="16"/>
      <c r="H1329" s="31"/>
      <c r="I1329" s="32"/>
      <c r="J1329" s="32"/>
      <c r="K1329" s="32"/>
      <c r="L1329" s="32"/>
      <c r="M1329" s="31"/>
      <c r="N1329" s="32"/>
      <c r="O1329" s="32"/>
      <c r="P1329" s="32"/>
      <c r="Q1329" s="32"/>
      <c r="R1329" s="33"/>
      <c r="S1329" s="32"/>
      <c r="T1329" s="32"/>
      <c r="U1329" s="32"/>
      <c r="V1329" s="32"/>
      <c r="W1329" s="33"/>
      <c r="X1329" s="32"/>
      <c r="Y1329" s="32"/>
      <c r="Z1329" s="32"/>
      <c r="AA1329" s="32"/>
      <c r="AB1329" s="31"/>
      <c r="AC1329" s="32"/>
      <c r="AD1329" s="32"/>
      <c r="AE1329" s="32"/>
      <c r="AF1329" s="32"/>
      <c r="AG1329" s="31"/>
      <c r="AH1329" s="32"/>
      <c r="AI1329" s="32"/>
      <c r="AJ1329" s="32"/>
      <c r="AK1329" s="32"/>
      <c r="AL1329" s="31"/>
      <c r="AM1329" s="32"/>
      <c r="AN1329" s="32"/>
      <c r="AO1329" s="32"/>
      <c r="AP1329" s="32"/>
      <c r="AQ1329" s="31"/>
      <c r="AR1329" s="32"/>
      <c r="AS1329" s="32"/>
      <c r="AT1329" s="32"/>
      <c r="AU1329" s="32"/>
      <c r="AV1329" s="31"/>
      <c r="AW1329" s="32"/>
      <c r="AX1329" s="32"/>
      <c r="AY1329" s="32"/>
      <c r="AZ1329" s="32"/>
      <c r="BA1329" s="33"/>
      <c r="BB1329" s="32"/>
      <c r="BC1329" s="32"/>
      <c r="BD1329" s="32"/>
      <c r="BE1329" s="32"/>
      <c r="BF1329" s="33"/>
      <c r="BG1329" s="32"/>
      <c r="BH1329" s="32"/>
      <c r="BI1329" s="32"/>
      <c r="BJ1329" s="32"/>
      <c r="BK1329" s="33"/>
      <c r="BL1329" s="32"/>
      <c r="BM1329" s="32"/>
      <c r="BN1329" s="32"/>
      <c r="BO1329" s="32"/>
      <c r="BP1329" s="33"/>
      <c r="BQ1329" s="16"/>
      <c r="BR1329" s="16"/>
      <c r="BS1329" s="16"/>
      <c r="BT1329" s="16"/>
      <c r="BU1329" s="21"/>
      <c r="BV1329" s="16"/>
      <c r="BW1329" s="16"/>
      <c r="BX1329" s="16"/>
      <c r="BY1329" s="16"/>
      <c r="BZ1329" s="10"/>
      <c r="CA1329" s="16"/>
      <c r="CB1329" s="16"/>
      <c r="CC1329" s="16"/>
      <c r="CD1329" s="16"/>
      <c r="CE1329" s="10"/>
      <c r="CF1329" s="16"/>
      <c r="CG1329" s="16"/>
      <c r="CH1329" s="16"/>
      <c r="CI1329" s="16"/>
      <c r="CJ1329" s="10"/>
      <c r="CK1329" s="16"/>
      <c r="CL1329" s="16"/>
      <c r="CM1329" s="16"/>
      <c r="CN1329" s="16"/>
      <c r="CO1329" s="10"/>
      <c r="CP1329" s="16"/>
      <c r="CQ1329" s="16"/>
      <c r="CR1329" s="16"/>
      <c r="CS1329" s="16"/>
      <c r="CT1329" s="10"/>
      <c r="CU1329" s="16"/>
      <c r="CV1329" s="16"/>
      <c r="CW1329" s="16"/>
      <c r="CX1329" s="16"/>
      <c r="CY1329" s="10"/>
      <c r="CZ1329" s="16"/>
      <c r="DA1329" s="16"/>
      <c r="DB1329" s="16"/>
      <c r="DC1329" s="16"/>
      <c r="DD1329" s="10"/>
      <c r="DE1329" s="16"/>
      <c r="DF1329" s="16"/>
      <c r="DG1329" s="16"/>
      <c r="DH1329" s="16"/>
      <c r="DI1329" s="10"/>
      <c r="DJ1329" s="16"/>
      <c r="DK1329" s="16"/>
      <c r="DL1329" s="16"/>
      <c r="DM1329" s="16"/>
      <c r="DN1329" s="10"/>
      <c r="DO1329" s="16"/>
      <c r="DP1329" s="16"/>
      <c r="DQ1329" s="16"/>
      <c r="DR1329" s="16"/>
      <c r="DS1329" s="10"/>
      <c r="DT1329" s="16"/>
      <c r="DU1329" s="16"/>
      <c r="DV1329" s="16"/>
      <c r="DW1329" s="16"/>
      <c r="DX1329" s="10"/>
      <c r="DY1329" s="16"/>
      <c r="DZ1329" s="16"/>
      <c r="EA1329" s="16"/>
      <c r="EB1329" s="16"/>
      <c r="EC1329" s="10"/>
      <c r="ED1329" s="16"/>
      <c r="EE1329" s="16"/>
      <c r="EF1329" s="16"/>
      <c r="EG1329" s="16"/>
      <c r="EH1329" s="10"/>
      <c r="EI1329" s="214"/>
      <c r="EJ1329" s="16"/>
      <c r="EK1329" s="16"/>
      <c r="EL1329" s="16"/>
      <c r="EM1329" s="10"/>
      <c r="EN1329" s="16"/>
      <c r="EO1329" s="16"/>
      <c r="EP1329" s="16"/>
      <c r="EQ1329" s="16"/>
      <c r="ER1329" s="10"/>
      <c r="ES1329" s="16"/>
      <c r="ET1329" s="16"/>
      <c r="EU1329" s="16"/>
      <c r="EV1329" s="16"/>
      <c r="EW1329" s="10"/>
      <c r="EX1329" s="16"/>
      <c r="EY1329" s="16"/>
      <c r="EZ1329" s="16"/>
      <c r="FA1329" s="16"/>
      <c r="FB1329" s="10"/>
      <c r="FC1329" s="16"/>
      <c r="FD1329" s="16"/>
      <c r="FE1329" s="16"/>
      <c r="FF1329" s="16"/>
      <c r="FG1329" s="10"/>
      <c r="FH1329" s="21"/>
      <c r="FI1329" s="16"/>
      <c r="FJ1329" s="16"/>
      <c r="FK1329" s="16"/>
      <c r="FL1329" s="16"/>
    </row>
    <row r="1330" ht="12.75" customHeight="1">
      <c r="A1330" s="16"/>
      <c r="B1330" s="16"/>
      <c r="C1330" s="16"/>
      <c r="D1330" s="16"/>
      <c r="E1330" s="16"/>
      <c r="F1330" s="16"/>
      <c r="G1330" s="16"/>
      <c r="H1330" s="31"/>
      <c r="I1330" s="32"/>
      <c r="J1330" s="32"/>
      <c r="K1330" s="32"/>
      <c r="L1330" s="32"/>
      <c r="M1330" s="31"/>
      <c r="N1330" s="32"/>
      <c r="O1330" s="32"/>
      <c r="P1330" s="32"/>
      <c r="Q1330" s="32"/>
      <c r="R1330" s="33"/>
      <c r="S1330" s="32"/>
      <c r="T1330" s="32"/>
      <c r="U1330" s="32"/>
      <c r="V1330" s="32"/>
      <c r="W1330" s="33"/>
      <c r="X1330" s="32"/>
      <c r="Y1330" s="32"/>
      <c r="Z1330" s="32"/>
      <c r="AA1330" s="32"/>
      <c r="AB1330" s="31"/>
      <c r="AC1330" s="32"/>
      <c r="AD1330" s="32"/>
      <c r="AE1330" s="32"/>
      <c r="AF1330" s="32"/>
      <c r="AG1330" s="31"/>
      <c r="AH1330" s="32"/>
      <c r="AI1330" s="32"/>
      <c r="AJ1330" s="32"/>
      <c r="AK1330" s="32"/>
      <c r="AL1330" s="31"/>
      <c r="AM1330" s="32"/>
      <c r="AN1330" s="32"/>
      <c r="AO1330" s="32"/>
      <c r="AP1330" s="32"/>
      <c r="AQ1330" s="31"/>
      <c r="AR1330" s="32"/>
      <c r="AS1330" s="32"/>
      <c r="AT1330" s="32"/>
      <c r="AU1330" s="32"/>
      <c r="AV1330" s="31"/>
      <c r="AW1330" s="32"/>
      <c r="AX1330" s="32"/>
      <c r="AY1330" s="32"/>
      <c r="AZ1330" s="32"/>
      <c r="BA1330" s="33"/>
      <c r="BB1330" s="32"/>
      <c r="BC1330" s="32"/>
      <c r="BD1330" s="32"/>
      <c r="BE1330" s="32"/>
      <c r="BF1330" s="33"/>
      <c r="BG1330" s="32"/>
      <c r="BH1330" s="32"/>
      <c r="BI1330" s="32"/>
      <c r="BJ1330" s="32"/>
      <c r="BK1330" s="33"/>
      <c r="BL1330" s="32"/>
      <c r="BM1330" s="32"/>
      <c r="BN1330" s="32"/>
      <c r="BO1330" s="32"/>
      <c r="BP1330" s="33"/>
      <c r="BQ1330" s="16"/>
      <c r="BR1330" s="16"/>
      <c r="BS1330" s="16"/>
      <c r="BT1330" s="16"/>
      <c r="BU1330" s="21"/>
      <c r="BV1330" s="16"/>
      <c r="BW1330" s="16"/>
      <c r="BX1330" s="16"/>
      <c r="BY1330" s="16"/>
      <c r="BZ1330" s="10"/>
      <c r="CA1330" s="16"/>
      <c r="CB1330" s="16"/>
      <c r="CC1330" s="16"/>
      <c r="CD1330" s="16"/>
      <c r="CE1330" s="10"/>
      <c r="CF1330" s="16"/>
      <c r="CG1330" s="16"/>
      <c r="CH1330" s="16"/>
      <c r="CI1330" s="16"/>
      <c r="CJ1330" s="10"/>
      <c r="CK1330" s="16"/>
      <c r="CL1330" s="16"/>
      <c r="CM1330" s="16"/>
      <c r="CN1330" s="16"/>
      <c r="CO1330" s="10"/>
      <c r="CP1330" s="16"/>
      <c r="CQ1330" s="16"/>
      <c r="CR1330" s="16"/>
      <c r="CS1330" s="16"/>
      <c r="CT1330" s="10"/>
      <c r="CU1330" s="16"/>
      <c r="CV1330" s="16"/>
      <c r="CW1330" s="16"/>
      <c r="CX1330" s="16"/>
      <c r="CY1330" s="10"/>
      <c r="CZ1330" s="16"/>
      <c r="DA1330" s="16"/>
      <c r="DB1330" s="16"/>
      <c r="DC1330" s="16"/>
      <c r="DD1330" s="10"/>
      <c r="DE1330" s="16"/>
      <c r="DF1330" s="16"/>
      <c r="DG1330" s="16"/>
      <c r="DH1330" s="16"/>
      <c r="DI1330" s="10"/>
      <c r="DJ1330" s="16"/>
      <c r="DK1330" s="16"/>
      <c r="DL1330" s="16"/>
      <c r="DM1330" s="16"/>
      <c r="DN1330" s="10"/>
      <c r="DO1330" s="16"/>
      <c r="DP1330" s="16"/>
      <c r="DQ1330" s="16"/>
      <c r="DR1330" s="16"/>
      <c r="DS1330" s="10"/>
      <c r="DT1330" s="16"/>
      <c r="DU1330" s="16"/>
      <c r="DV1330" s="16"/>
      <c r="DW1330" s="16"/>
      <c r="DX1330" s="10"/>
      <c r="DY1330" s="16"/>
      <c r="DZ1330" s="16"/>
      <c r="EA1330" s="16"/>
      <c r="EB1330" s="16"/>
      <c r="EC1330" s="10"/>
      <c r="ED1330" s="16"/>
      <c r="EE1330" s="16"/>
      <c r="EF1330" s="16"/>
      <c r="EG1330" s="16"/>
      <c r="EH1330" s="10"/>
      <c r="EI1330" s="214"/>
      <c r="EJ1330" s="16"/>
      <c r="EK1330" s="16"/>
      <c r="EL1330" s="16"/>
      <c r="EM1330" s="10"/>
      <c r="EN1330" s="16"/>
      <c r="EO1330" s="16"/>
      <c r="EP1330" s="16"/>
      <c r="EQ1330" s="16"/>
      <c r="ER1330" s="10"/>
      <c r="ES1330" s="16"/>
      <c r="ET1330" s="16"/>
      <c r="EU1330" s="16"/>
      <c r="EV1330" s="16"/>
      <c r="EW1330" s="10"/>
      <c r="EX1330" s="16"/>
      <c r="EY1330" s="16"/>
      <c r="EZ1330" s="16"/>
      <c r="FA1330" s="16"/>
      <c r="FB1330" s="10"/>
      <c r="FC1330" s="16"/>
      <c r="FD1330" s="16"/>
      <c r="FE1330" s="16"/>
      <c r="FF1330" s="16"/>
      <c r="FG1330" s="10"/>
      <c r="FH1330" s="21"/>
      <c r="FI1330" s="16"/>
      <c r="FJ1330" s="16"/>
      <c r="FK1330" s="16"/>
      <c r="FL1330" s="16"/>
    </row>
    <row r="1331" ht="12.75" customHeight="1">
      <c r="A1331" s="16"/>
      <c r="B1331" s="16"/>
      <c r="C1331" s="16"/>
      <c r="D1331" s="16"/>
      <c r="E1331" s="16"/>
      <c r="F1331" s="16"/>
      <c r="G1331" s="16"/>
      <c r="H1331" s="31"/>
      <c r="I1331" s="32"/>
      <c r="J1331" s="32"/>
      <c r="K1331" s="32"/>
      <c r="L1331" s="32"/>
      <c r="M1331" s="31"/>
      <c r="N1331" s="32"/>
      <c r="O1331" s="32"/>
      <c r="P1331" s="32"/>
      <c r="Q1331" s="32"/>
      <c r="R1331" s="33"/>
      <c r="S1331" s="32"/>
      <c r="T1331" s="32"/>
      <c r="U1331" s="32"/>
      <c r="V1331" s="32"/>
      <c r="W1331" s="33"/>
      <c r="X1331" s="32"/>
      <c r="Y1331" s="32"/>
      <c r="Z1331" s="32"/>
      <c r="AA1331" s="32"/>
      <c r="AB1331" s="31"/>
      <c r="AC1331" s="32"/>
      <c r="AD1331" s="32"/>
      <c r="AE1331" s="32"/>
      <c r="AF1331" s="32"/>
      <c r="AG1331" s="31"/>
      <c r="AH1331" s="32"/>
      <c r="AI1331" s="32"/>
      <c r="AJ1331" s="32"/>
      <c r="AK1331" s="32"/>
      <c r="AL1331" s="31"/>
      <c r="AM1331" s="32"/>
      <c r="AN1331" s="32"/>
      <c r="AO1331" s="32"/>
      <c r="AP1331" s="32"/>
      <c r="AQ1331" s="31"/>
      <c r="AR1331" s="32"/>
      <c r="AS1331" s="32"/>
      <c r="AT1331" s="32"/>
      <c r="AU1331" s="32"/>
      <c r="AV1331" s="31"/>
      <c r="AW1331" s="32"/>
      <c r="AX1331" s="32"/>
      <c r="AY1331" s="32"/>
      <c r="AZ1331" s="32"/>
      <c r="BA1331" s="33"/>
      <c r="BB1331" s="32"/>
      <c r="BC1331" s="32"/>
      <c r="BD1331" s="32"/>
      <c r="BE1331" s="32"/>
      <c r="BF1331" s="33"/>
      <c r="BG1331" s="32"/>
      <c r="BH1331" s="32"/>
      <c r="BI1331" s="32"/>
      <c r="BJ1331" s="32"/>
      <c r="BK1331" s="33"/>
      <c r="BL1331" s="32"/>
      <c r="BM1331" s="32"/>
      <c r="BN1331" s="32"/>
      <c r="BO1331" s="32"/>
      <c r="BP1331" s="33"/>
      <c r="BQ1331" s="16"/>
      <c r="BR1331" s="16"/>
      <c r="BS1331" s="16"/>
      <c r="BT1331" s="16"/>
      <c r="BU1331" s="21"/>
      <c r="BV1331" s="16"/>
      <c r="BW1331" s="16"/>
      <c r="BX1331" s="16"/>
      <c r="BY1331" s="16"/>
      <c r="BZ1331" s="10"/>
      <c r="CA1331" s="16"/>
      <c r="CB1331" s="16"/>
      <c r="CC1331" s="16"/>
      <c r="CD1331" s="16"/>
      <c r="CE1331" s="10"/>
      <c r="CF1331" s="16"/>
      <c r="CG1331" s="16"/>
      <c r="CH1331" s="16"/>
      <c r="CI1331" s="16"/>
      <c r="CJ1331" s="10"/>
      <c r="CK1331" s="16"/>
      <c r="CL1331" s="16"/>
      <c r="CM1331" s="16"/>
      <c r="CN1331" s="16"/>
      <c r="CO1331" s="10"/>
      <c r="CP1331" s="16"/>
      <c r="CQ1331" s="16"/>
      <c r="CR1331" s="16"/>
      <c r="CS1331" s="16"/>
      <c r="CT1331" s="10"/>
      <c r="CU1331" s="16"/>
      <c r="CV1331" s="16"/>
      <c r="CW1331" s="16"/>
      <c r="CX1331" s="16"/>
      <c r="CY1331" s="10"/>
      <c r="CZ1331" s="16"/>
      <c r="DA1331" s="16"/>
      <c r="DB1331" s="16"/>
      <c r="DC1331" s="16"/>
      <c r="DD1331" s="10"/>
      <c r="DE1331" s="16"/>
      <c r="DF1331" s="16"/>
      <c r="DG1331" s="16"/>
      <c r="DH1331" s="16"/>
      <c r="DI1331" s="10"/>
      <c r="DJ1331" s="16"/>
      <c r="DK1331" s="16"/>
      <c r="DL1331" s="16"/>
      <c r="DM1331" s="16"/>
      <c r="DN1331" s="10"/>
      <c r="DO1331" s="16"/>
      <c r="DP1331" s="16"/>
      <c r="DQ1331" s="16"/>
      <c r="DR1331" s="16"/>
      <c r="DS1331" s="10"/>
      <c r="DT1331" s="16"/>
      <c r="DU1331" s="16"/>
      <c r="DV1331" s="16"/>
      <c r="DW1331" s="16"/>
      <c r="DX1331" s="10"/>
      <c r="DY1331" s="16"/>
      <c r="DZ1331" s="16"/>
      <c r="EA1331" s="16"/>
      <c r="EB1331" s="16"/>
      <c r="EC1331" s="10"/>
      <c r="ED1331" s="16"/>
      <c r="EE1331" s="16"/>
      <c r="EF1331" s="16"/>
      <c r="EG1331" s="16"/>
      <c r="EH1331" s="10"/>
      <c r="EI1331" s="214"/>
      <c r="EJ1331" s="16"/>
      <c r="EK1331" s="16"/>
      <c r="EL1331" s="16"/>
      <c r="EM1331" s="10"/>
      <c r="EN1331" s="16"/>
      <c r="EO1331" s="16"/>
      <c r="EP1331" s="16"/>
      <c r="EQ1331" s="16"/>
      <c r="ER1331" s="10"/>
      <c r="ES1331" s="16"/>
      <c r="ET1331" s="16"/>
      <c r="EU1331" s="16"/>
      <c r="EV1331" s="16"/>
      <c r="EW1331" s="10"/>
      <c r="EX1331" s="16"/>
      <c r="EY1331" s="16"/>
      <c r="EZ1331" s="16"/>
      <c r="FA1331" s="16"/>
      <c r="FB1331" s="10"/>
      <c r="FC1331" s="16"/>
      <c r="FD1331" s="16"/>
      <c r="FE1331" s="16"/>
      <c r="FF1331" s="16"/>
      <c r="FG1331" s="10"/>
      <c r="FH1331" s="21"/>
      <c r="FI1331" s="16"/>
      <c r="FJ1331" s="16"/>
      <c r="FK1331" s="16"/>
      <c r="FL1331" s="16"/>
    </row>
    <row r="1332" ht="12.75" customHeight="1">
      <c r="A1332" s="16"/>
      <c r="B1332" s="16"/>
      <c r="C1332" s="16"/>
      <c r="D1332" s="16"/>
      <c r="E1332" s="16"/>
      <c r="F1332" s="16"/>
      <c r="G1332" s="16"/>
      <c r="H1332" s="31"/>
      <c r="I1332" s="32"/>
      <c r="J1332" s="32"/>
      <c r="K1332" s="32"/>
      <c r="L1332" s="32"/>
      <c r="M1332" s="31"/>
      <c r="N1332" s="32"/>
      <c r="O1332" s="32"/>
      <c r="P1332" s="32"/>
      <c r="Q1332" s="32"/>
      <c r="R1332" s="33"/>
      <c r="S1332" s="32"/>
      <c r="T1332" s="32"/>
      <c r="U1332" s="32"/>
      <c r="V1332" s="32"/>
      <c r="W1332" s="33"/>
      <c r="X1332" s="32"/>
      <c r="Y1332" s="32"/>
      <c r="Z1332" s="32"/>
      <c r="AA1332" s="32"/>
      <c r="AB1332" s="31"/>
      <c r="AC1332" s="32"/>
      <c r="AD1332" s="32"/>
      <c r="AE1332" s="32"/>
      <c r="AF1332" s="32"/>
      <c r="AG1332" s="31"/>
      <c r="AH1332" s="32"/>
      <c r="AI1332" s="32"/>
      <c r="AJ1332" s="32"/>
      <c r="AK1332" s="32"/>
      <c r="AL1332" s="31"/>
      <c r="AM1332" s="32"/>
      <c r="AN1332" s="32"/>
      <c r="AO1332" s="32"/>
      <c r="AP1332" s="32"/>
      <c r="AQ1332" s="31"/>
      <c r="AR1332" s="32"/>
      <c r="AS1332" s="32"/>
      <c r="AT1332" s="32"/>
      <c r="AU1332" s="32"/>
      <c r="AV1332" s="31"/>
      <c r="AW1332" s="32"/>
      <c r="AX1332" s="32"/>
      <c r="AY1332" s="32"/>
      <c r="AZ1332" s="32"/>
      <c r="BA1332" s="33"/>
      <c r="BB1332" s="32"/>
      <c r="BC1332" s="32"/>
      <c r="BD1332" s="32"/>
      <c r="BE1332" s="32"/>
      <c r="BF1332" s="33"/>
      <c r="BG1332" s="32"/>
      <c r="BH1332" s="32"/>
      <c r="BI1332" s="32"/>
      <c r="BJ1332" s="32"/>
      <c r="BK1332" s="33"/>
      <c r="BL1332" s="32"/>
      <c r="BM1332" s="32"/>
      <c r="BN1332" s="32"/>
      <c r="BO1332" s="32"/>
      <c r="BP1332" s="33"/>
      <c r="BQ1332" s="16"/>
      <c r="BR1332" s="16"/>
      <c r="BS1332" s="16"/>
      <c r="BT1332" s="16"/>
      <c r="BU1332" s="21"/>
      <c r="BV1332" s="16"/>
      <c r="BW1332" s="16"/>
      <c r="BX1332" s="16"/>
      <c r="BY1332" s="16"/>
      <c r="BZ1332" s="10"/>
      <c r="CA1332" s="16"/>
      <c r="CB1332" s="16"/>
      <c r="CC1332" s="16"/>
      <c r="CD1332" s="16"/>
      <c r="CE1332" s="10"/>
      <c r="CF1332" s="16"/>
      <c r="CG1332" s="16"/>
      <c r="CH1332" s="16"/>
      <c r="CI1332" s="16"/>
      <c r="CJ1332" s="10"/>
      <c r="CK1332" s="16"/>
      <c r="CL1332" s="16"/>
      <c r="CM1332" s="16"/>
      <c r="CN1332" s="16"/>
      <c r="CO1332" s="10"/>
      <c r="CP1332" s="16"/>
      <c r="CQ1332" s="16"/>
      <c r="CR1332" s="16"/>
      <c r="CS1332" s="16"/>
      <c r="CT1332" s="10"/>
      <c r="CU1332" s="16"/>
      <c r="CV1332" s="16"/>
      <c r="CW1332" s="16"/>
      <c r="CX1332" s="16"/>
      <c r="CY1332" s="10"/>
      <c r="CZ1332" s="16"/>
      <c r="DA1332" s="16"/>
      <c r="DB1332" s="16"/>
      <c r="DC1332" s="16"/>
      <c r="DD1332" s="10"/>
      <c r="DE1332" s="16"/>
      <c r="DF1332" s="16"/>
      <c r="DG1332" s="16"/>
      <c r="DH1332" s="16"/>
      <c r="DI1332" s="10"/>
      <c r="DJ1332" s="16"/>
      <c r="DK1332" s="16"/>
      <c r="DL1332" s="16"/>
      <c r="DM1332" s="16"/>
      <c r="DN1332" s="10"/>
      <c r="DO1332" s="16"/>
      <c r="DP1332" s="16"/>
      <c r="DQ1332" s="16"/>
      <c r="DR1332" s="16"/>
      <c r="DS1332" s="10"/>
      <c r="DT1332" s="16"/>
      <c r="DU1332" s="16"/>
      <c r="DV1332" s="16"/>
      <c r="DW1332" s="16"/>
      <c r="DX1332" s="10"/>
      <c r="DY1332" s="16"/>
      <c r="DZ1332" s="16"/>
      <c r="EA1332" s="16"/>
      <c r="EB1332" s="16"/>
      <c r="EC1332" s="10"/>
      <c r="ED1332" s="16"/>
      <c r="EE1332" s="16"/>
      <c r="EF1332" s="16"/>
      <c r="EG1332" s="16"/>
      <c r="EH1332" s="10"/>
      <c r="EI1332" s="214"/>
      <c r="EJ1332" s="16"/>
      <c r="EK1332" s="16"/>
      <c r="EL1332" s="16"/>
      <c r="EM1332" s="10"/>
      <c r="EN1332" s="16"/>
      <c r="EO1332" s="16"/>
      <c r="EP1332" s="16"/>
      <c r="EQ1332" s="16"/>
      <c r="ER1332" s="10"/>
      <c r="ES1332" s="16"/>
      <c r="ET1332" s="16"/>
      <c r="EU1332" s="16"/>
      <c r="EV1332" s="16"/>
      <c r="EW1332" s="10"/>
      <c r="EX1332" s="16"/>
      <c r="EY1332" s="16"/>
      <c r="EZ1332" s="16"/>
      <c r="FA1332" s="16"/>
      <c r="FB1332" s="10"/>
      <c r="FC1332" s="16"/>
      <c r="FD1332" s="16"/>
      <c r="FE1332" s="16"/>
      <c r="FF1332" s="16"/>
      <c r="FG1332" s="10"/>
      <c r="FH1332" s="21"/>
      <c r="FI1332" s="16"/>
      <c r="FJ1332" s="16"/>
      <c r="FK1332" s="16"/>
      <c r="FL1332" s="16"/>
    </row>
    <row r="1333" ht="12.75" customHeight="1">
      <c r="A1333" s="16"/>
      <c r="B1333" s="145" t="s">
        <v>495</v>
      </c>
      <c r="C1333" s="16"/>
      <c r="D1333" s="16"/>
      <c r="E1333" s="16"/>
      <c r="F1333" s="16"/>
      <c r="G1333" s="16"/>
      <c r="H1333" s="31"/>
      <c r="I1333" s="32"/>
      <c r="J1333" s="32"/>
      <c r="K1333" s="32"/>
      <c r="L1333" s="32"/>
      <c r="M1333" s="31"/>
      <c r="N1333" s="32"/>
      <c r="O1333" s="32"/>
      <c r="P1333" s="32"/>
      <c r="Q1333" s="32"/>
      <c r="R1333" s="33"/>
      <c r="S1333" s="32"/>
      <c r="T1333" s="32"/>
      <c r="U1333" s="32"/>
      <c r="V1333" s="32"/>
      <c r="W1333" s="33"/>
      <c r="X1333" s="32"/>
      <c r="Y1333" s="32"/>
      <c r="Z1333" s="32"/>
      <c r="AA1333" s="32"/>
      <c r="AB1333" s="31"/>
      <c r="AC1333" s="32"/>
      <c r="AD1333" s="32"/>
      <c r="AE1333" s="32"/>
      <c r="AF1333" s="32"/>
      <c r="AG1333" s="31"/>
      <c r="AH1333" s="32"/>
      <c r="AI1333" s="32"/>
      <c r="AJ1333" s="32"/>
      <c r="AK1333" s="32"/>
      <c r="AL1333" s="31"/>
      <c r="AM1333" s="32"/>
      <c r="AN1333" s="32"/>
      <c r="AO1333" s="32"/>
      <c r="AP1333" s="32"/>
      <c r="AQ1333" s="31"/>
      <c r="AR1333" s="32"/>
      <c r="AS1333" s="32"/>
      <c r="AT1333" s="32"/>
      <c r="AU1333" s="32"/>
      <c r="AV1333" s="31"/>
      <c r="AW1333" s="32"/>
      <c r="AX1333" s="32"/>
      <c r="AY1333" s="32"/>
      <c r="AZ1333" s="32"/>
      <c r="BA1333" s="33"/>
      <c r="BB1333" s="32"/>
      <c r="BC1333" s="32"/>
      <c r="BD1333" s="32"/>
      <c r="BE1333" s="32"/>
      <c r="BF1333" s="33"/>
      <c r="BG1333" s="32"/>
      <c r="BH1333" s="32"/>
      <c r="BI1333" s="32"/>
      <c r="BJ1333" s="32"/>
      <c r="BK1333" s="33"/>
      <c r="BL1333" s="32"/>
      <c r="BM1333" s="32"/>
      <c r="BN1333" s="32"/>
      <c r="BO1333" s="32"/>
      <c r="BP1333" s="33"/>
      <c r="BQ1333" s="16"/>
      <c r="BR1333" s="16"/>
      <c r="BS1333" s="16"/>
      <c r="BT1333" s="16"/>
      <c r="BU1333" s="21"/>
      <c r="BV1333" s="16"/>
      <c r="BW1333" s="16"/>
      <c r="BX1333" s="16"/>
      <c r="BY1333" s="16"/>
      <c r="BZ1333" s="10"/>
      <c r="CA1333" s="16"/>
      <c r="CB1333" s="16"/>
      <c r="CC1333" s="16"/>
      <c r="CD1333" s="16"/>
      <c r="CE1333" s="10"/>
      <c r="CF1333" s="16"/>
      <c r="CG1333" s="16"/>
      <c r="CH1333" s="16"/>
      <c r="CI1333" s="16"/>
      <c r="CJ1333" s="10"/>
      <c r="CK1333" s="16"/>
      <c r="CL1333" s="16"/>
      <c r="CM1333" s="16"/>
      <c r="CN1333" s="16"/>
      <c r="CO1333" s="10"/>
      <c r="CP1333" s="16"/>
      <c r="CQ1333" s="16"/>
      <c r="CR1333" s="16"/>
      <c r="CS1333" s="16"/>
      <c r="CT1333" s="10"/>
      <c r="CU1333" s="16"/>
      <c r="CV1333" s="16"/>
      <c r="CW1333" s="16"/>
      <c r="CX1333" s="16"/>
      <c r="CY1333" s="10"/>
      <c r="CZ1333" s="16"/>
      <c r="DA1333" s="16"/>
      <c r="DB1333" s="16"/>
      <c r="DC1333" s="16"/>
      <c r="DD1333" s="10"/>
      <c r="DE1333" s="16"/>
      <c r="DF1333" s="16"/>
      <c r="DG1333" s="16"/>
      <c r="DH1333" s="16"/>
      <c r="DI1333" s="10"/>
      <c r="DJ1333" s="16"/>
      <c r="DK1333" s="16"/>
      <c r="DL1333" s="16"/>
      <c r="DM1333" s="16"/>
      <c r="DN1333" s="10"/>
      <c r="DO1333" s="16"/>
      <c r="DP1333" s="16"/>
      <c r="DQ1333" s="16"/>
      <c r="DR1333" s="16"/>
      <c r="DS1333" s="10"/>
      <c r="DT1333" s="16"/>
      <c r="DU1333" s="16"/>
      <c r="DV1333" s="16"/>
      <c r="DW1333" s="16"/>
      <c r="DX1333" s="10"/>
      <c r="DY1333" s="16"/>
      <c r="DZ1333" s="16"/>
      <c r="EA1333" s="16"/>
      <c r="EB1333" s="16"/>
      <c r="EC1333" s="10"/>
      <c r="ED1333" s="16"/>
      <c r="EE1333" s="16"/>
      <c r="EF1333" s="16"/>
      <c r="EG1333" s="16"/>
      <c r="EH1333" s="10"/>
      <c r="EI1333" s="214"/>
      <c r="EJ1333" s="16"/>
      <c r="EK1333" s="16"/>
      <c r="EL1333" s="16"/>
      <c r="EM1333" s="10"/>
      <c r="EN1333" s="16"/>
      <c r="EO1333" s="16"/>
      <c r="EP1333" s="16"/>
      <c r="EQ1333" s="16"/>
      <c r="ER1333" s="10"/>
      <c r="ES1333" s="16"/>
      <c r="ET1333" s="16"/>
      <c r="EU1333" s="16"/>
      <c r="EV1333" s="16"/>
      <c r="EW1333" s="10"/>
      <c r="EX1333" s="16"/>
      <c r="EY1333" s="16"/>
      <c r="EZ1333" s="16"/>
      <c r="FA1333" s="16"/>
      <c r="FB1333" s="10"/>
      <c r="FC1333" s="16"/>
      <c r="FD1333" s="16"/>
      <c r="FE1333" s="16"/>
      <c r="FF1333" s="16"/>
      <c r="FG1333" s="10"/>
      <c r="FH1333" s="21"/>
      <c r="FI1333" s="16"/>
      <c r="FJ1333" s="16"/>
      <c r="FK1333" s="16"/>
      <c r="FL1333" s="16"/>
    </row>
    <row r="1334" ht="12.75" customHeight="1">
      <c r="A1334" s="16"/>
      <c r="B1334" s="16" t="s">
        <v>205</v>
      </c>
      <c r="C1334" s="16"/>
      <c r="D1334" s="16"/>
      <c r="E1334" s="16"/>
      <c r="F1334" s="16"/>
      <c r="G1334" s="16"/>
      <c r="H1334" s="31"/>
      <c r="I1334" s="32"/>
      <c r="J1334" s="32"/>
      <c r="K1334" s="32"/>
      <c r="L1334" s="32"/>
      <c r="M1334" s="31"/>
      <c r="N1334" s="32"/>
      <c r="O1334" s="32"/>
      <c r="P1334" s="32"/>
      <c r="Q1334" s="32"/>
      <c r="R1334" s="33"/>
      <c r="S1334" s="32"/>
      <c r="T1334" s="32"/>
      <c r="U1334" s="32"/>
      <c r="V1334" s="32"/>
      <c r="W1334" s="33"/>
      <c r="X1334" s="32"/>
      <c r="Y1334" s="32"/>
      <c r="Z1334" s="32"/>
      <c r="AA1334" s="32"/>
      <c r="AB1334" s="31"/>
      <c r="AC1334" s="32"/>
      <c r="AD1334" s="32"/>
      <c r="AE1334" s="32"/>
      <c r="AF1334" s="32"/>
      <c r="AG1334" s="31"/>
      <c r="AH1334" s="32"/>
      <c r="AI1334" s="32"/>
      <c r="AJ1334" s="32"/>
      <c r="AK1334" s="32"/>
      <c r="AL1334" s="31"/>
      <c r="AM1334" s="32"/>
      <c r="AN1334" s="32"/>
      <c r="AO1334" s="32"/>
      <c r="AP1334" s="32"/>
      <c r="AQ1334" s="31"/>
      <c r="AR1334" s="32"/>
      <c r="AS1334" s="32"/>
      <c r="AT1334" s="32"/>
      <c r="AU1334" s="32"/>
      <c r="AV1334" s="31"/>
      <c r="AW1334" s="32"/>
      <c r="AX1334" s="32"/>
      <c r="AY1334" s="32"/>
      <c r="AZ1334" s="32"/>
      <c r="BA1334" s="33"/>
      <c r="BB1334" s="32"/>
      <c r="BC1334" s="32"/>
      <c r="BD1334" s="32"/>
      <c r="BE1334" s="32"/>
      <c r="BF1334" s="33"/>
      <c r="BG1334" s="32"/>
      <c r="BH1334" s="32"/>
      <c r="BI1334" s="32"/>
      <c r="BJ1334" s="32"/>
      <c r="BK1334" s="33"/>
      <c r="BL1334" s="32"/>
      <c r="BM1334" s="32"/>
      <c r="BN1334" s="32"/>
      <c r="BO1334" s="32"/>
      <c r="BP1334" s="33"/>
      <c r="BQ1334" s="16"/>
      <c r="BR1334" s="16"/>
      <c r="BS1334" s="16"/>
      <c r="BT1334" s="16"/>
      <c r="BU1334" s="21"/>
      <c r="BV1334" s="16"/>
      <c r="BW1334" s="16"/>
      <c r="BX1334" s="16"/>
      <c r="BY1334" s="16"/>
      <c r="BZ1334" s="10"/>
      <c r="CA1334" s="16"/>
      <c r="CB1334" s="16"/>
      <c r="CC1334" s="16"/>
      <c r="CD1334" s="16"/>
      <c r="CE1334" s="10"/>
      <c r="CF1334" s="16"/>
      <c r="CG1334" s="16"/>
      <c r="CH1334" s="16"/>
      <c r="CI1334" s="16"/>
      <c r="CJ1334" s="10"/>
      <c r="CK1334" s="16"/>
      <c r="CL1334" s="16"/>
      <c r="CM1334" s="16"/>
      <c r="CN1334" s="16"/>
      <c r="CO1334" s="10"/>
      <c r="CP1334" s="16"/>
      <c r="CQ1334" s="16"/>
      <c r="CR1334" s="19"/>
      <c r="CS1334" s="19">
        <v>14710.6</v>
      </c>
      <c r="CT1334" s="605">
        <v>55847.89</v>
      </c>
      <c r="CU1334" s="17">
        <v>12824.0</v>
      </c>
      <c r="CV1334" s="17">
        <v>13131.0</v>
      </c>
      <c r="CW1334" s="17">
        <v>14249.0</v>
      </c>
      <c r="CX1334" s="17">
        <v>15004.0</v>
      </c>
      <c r="CY1334" s="605">
        <v>55229.0</v>
      </c>
      <c r="CZ1334" s="19">
        <v>13729.0</v>
      </c>
      <c r="DA1334" s="19">
        <v>14213.0</v>
      </c>
      <c r="DB1334" s="19">
        <v>15606.0</v>
      </c>
      <c r="DC1334" s="19">
        <v>15754.0</v>
      </c>
      <c r="DD1334" s="605">
        <v>58887.0</v>
      </c>
      <c r="DE1334" s="19">
        <v>14808.0</v>
      </c>
      <c r="DF1334" s="19">
        <v>14398.0</v>
      </c>
      <c r="DG1334" s="19">
        <v>15327.0</v>
      </c>
      <c r="DH1334" s="19">
        <v>15692.0</v>
      </c>
      <c r="DI1334" s="605">
        <f>SUM(DE1334:DH1334)</f>
        <v>60225</v>
      </c>
      <c r="DJ1334" s="19">
        <v>14529.0</v>
      </c>
      <c r="DK1334" s="19">
        <v>14840.0</v>
      </c>
      <c r="DL1334" s="19">
        <v>15988.0</v>
      </c>
      <c r="DM1334" s="19">
        <v>16397.0</v>
      </c>
      <c r="DN1334" s="605">
        <f>SUM(DJ1334:DM1334)</f>
        <v>61754</v>
      </c>
      <c r="DO1334" s="16"/>
      <c r="DP1334" s="16"/>
      <c r="DQ1334" s="16"/>
      <c r="DR1334" s="16"/>
      <c r="DS1334" s="10"/>
      <c r="DT1334" s="16"/>
      <c r="DU1334" s="16"/>
      <c r="DV1334" s="16"/>
      <c r="DW1334" s="16"/>
      <c r="DX1334" s="10"/>
      <c r="DY1334" s="16"/>
      <c r="DZ1334" s="16"/>
      <c r="EA1334" s="16"/>
      <c r="EB1334" s="16"/>
      <c r="EC1334" s="10"/>
      <c r="ED1334" s="16"/>
      <c r="EE1334" s="16"/>
      <c r="EF1334" s="16"/>
      <c r="EG1334" s="16"/>
      <c r="EH1334" s="10"/>
      <c r="EI1334" s="214"/>
      <c r="EJ1334" s="16"/>
      <c r="EK1334" s="16"/>
      <c r="EL1334" s="16"/>
      <c r="EM1334" s="10"/>
      <c r="EN1334" s="16"/>
      <c r="EO1334" s="16"/>
      <c r="EP1334" s="16"/>
      <c r="EQ1334" s="16"/>
      <c r="ER1334" s="10"/>
      <c r="ES1334" s="16"/>
      <c r="ET1334" s="16"/>
      <c r="EU1334" s="16"/>
      <c r="EV1334" s="16"/>
      <c r="EW1334" s="10"/>
      <c r="EX1334" s="16"/>
      <c r="EY1334" s="16"/>
      <c r="EZ1334" s="16"/>
      <c r="FA1334" s="16"/>
      <c r="FB1334" s="10"/>
      <c r="FC1334" s="16"/>
      <c r="FD1334" s="16"/>
      <c r="FE1334" s="16"/>
      <c r="FF1334" s="16"/>
      <c r="FG1334" s="10"/>
      <c r="FH1334" s="21"/>
      <c r="FI1334" s="16"/>
      <c r="FJ1334" s="16"/>
      <c r="FK1334" s="16"/>
      <c r="FL1334" s="16"/>
    </row>
    <row r="1335" ht="12.75" customHeight="1">
      <c r="A1335" s="16"/>
      <c r="B1335" s="453" t="s">
        <v>496</v>
      </c>
      <c r="C1335" s="16"/>
      <c r="D1335" s="16"/>
      <c r="E1335" s="16"/>
      <c r="F1335" s="16"/>
      <c r="G1335" s="16"/>
      <c r="H1335" s="31"/>
      <c r="I1335" s="32"/>
      <c r="J1335" s="32"/>
      <c r="K1335" s="32"/>
      <c r="L1335" s="32"/>
      <c r="M1335" s="31"/>
      <c r="N1335" s="32"/>
      <c r="O1335" s="32"/>
      <c r="P1335" s="32"/>
      <c r="Q1335" s="32"/>
      <c r="R1335" s="33"/>
      <c r="S1335" s="32"/>
      <c r="T1335" s="32"/>
      <c r="U1335" s="32"/>
      <c r="V1335" s="32"/>
      <c r="W1335" s="33"/>
      <c r="X1335" s="32"/>
      <c r="Y1335" s="32"/>
      <c r="Z1335" s="32"/>
      <c r="AA1335" s="32"/>
      <c r="AB1335" s="31"/>
      <c r="AC1335" s="32"/>
      <c r="AD1335" s="32"/>
      <c r="AE1335" s="32"/>
      <c r="AF1335" s="32"/>
      <c r="AG1335" s="31"/>
      <c r="AH1335" s="32"/>
      <c r="AI1335" s="32"/>
      <c r="AJ1335" s="32"/>
      <c r="AK1335" s="32"/>
      <c r="AL1335" s="31"/>
      <c r="AM1335" s="32"/>
      <c r="AN1335" s="32"/>
      <c r="AO1335" s="32"/>
      <c r="AP1335" s="32"/>
      <c r="AQ1335" s="31"/>
      <c r="AR1335" s="32"/>
      <c r="AS1335" s="32"/>
      <c r="AT1335" s="32"/>
      <c r="AU1335" s="32"/>
      <c r="AV1335" s="31"/>
      <c r="AW1335" s="32"/>
      <c r="AX1335" s="32"/>
      <c r="AY1335" s="32"/>
      <c r="AZ1335" s="32"/>
      <c r="BA1335" s="33"/>
      <c r="BB1335" s="32"/>
      <c r="BC1335" s="32"/>
      <c r="BD1335" s="32"/>
      <c r="BE1335" s="32"/>
      <c r="BF1335" s="33"/>
      <c r="BG1335" s="32"/>
      <c r="BH1335" s="32"/>
      <c r="BI1335" s="32"/>
      <c r="BJ1335" s="32"/>
      <c r="BK1335" s="33"/>
      <c r="BL1335" s="32"/>
      <c r="BM1335" s="32"/>
      <c r="BN1335" s="32"/>
      <c r="BO1335" s="32"/>
      <c r="BP1335" s="33"/>
      <c r="BQ1335" s="16"/>
      <c r="BR1335" s="16"/>
      <c r="BS1335" s="16"/>
      <c r="BT1335" s="16"/>
      <c r="BU1335" s="21"/>
      <c r="BV1335" s="16"/>
      <c r="BW1335" s="16"/>
      <c r="BX1335" s="16"/>
      <c r="BY1335" s="16"/>
      <c r="BZ1335" s="10"/>
      <c r="CA1335" s="16"/>
      <c r="CB1335" s="16"/>
      <c r="CC1335" s="16"/>
      <c r="CD1335" s="16"/>
      <c r="CE1335" s="10"/>
      <c r="CF1335" s="16"/>
      <c r="CG1335" s="16"/>
      <c r="CH1335" s="16"/>
      <c r="CI1335" s="16"/>
      <c r="CJ1335" s="10"/>
      <c r="CK1335" s="16"/>
      <c r="CL1335" s="16"/>
      <c r="CM1335" s="16"/>
      <c r="CN1335" s="16"/>
      <c r="CO1335" s="10"/>
      <c r="CP1335" s="16"/>
      <c r="CQ1335" s="16"/>
      <c r="CR1335" s="40"/>
      <c r="CS1335" s="40"/>
      <c r="CT1335" s="772"/>
      <c r="CU1335" s="40">
        <v>-0.06294024896739658</v>
      </c>
      <c r="CV1335" s="40">
        <f t="shared" ref="CV1335:CX1335" si="6713">CV1334/CU1334-1</f>
        <v>0.02393948846</v>
      </c>
      <c r="CW1335" s="40">
        <f t="shared" si="6713"/>
        <v>0.08514203031</v>
      </c>
      <c r="CX1335" s="40">
        <f t="shared" si="6713"/>
        <v>0.05298617447</v>
      </c>
      <c r="CY1335" s="772">
        <f>CY1334/CT1334-1</f>
        <v>-0.01108170783</v>
      </c>
      <c r="CZ1335" s="40">
        <f>CZ1334/CX1334-1</f>
        <v>-0.08497733938</v>
      </c>
      <c r="DA1335" s="40">
        <f t="shared" ref="DA1335:DC1335" si="6714">DA1334/CZ1334-1</f>
        <v>0.03525384223</v>
      </c>
      <c r="DB1335" s="40">
        <f t="shared" si="6714"/>
        <v>0.09800886512</v>
      </c>
      <c r="DC1335" s="40">
        <f t="shared" si="6714"/>
        <v>0.009483531975</v>
      </c>
      <c r="DD1335" s="772">
        <f>DD1334/CY1334-1</f>
        <v>0.06623331945</v>
      </c>
      <c r="DE1335" s="40">
        <f>DE1334/DC1334-1</f>
        <v>-0.06004824172</v>
      </c>
      <c r="DF1335" s="40">
        <f t="shared" ref="DF1335:DH1335" si="6715">DF1334/DE1334-1</f>
        <v>-0.02768773636</v>
      </c>
      <c r="DG1335" s="40">
        <f t="shared" si="6715"/>
        <v>0.0645228504</v>
      </c>
      <c r="DH1335" s="40">
        <f t="shared" si="6715"/>
        <v>0.02381418412</v>
      </c>
      <c r="DI1335" s="772">
        <f>DI1334/DD1334-1</f>
        <v>0.02272148352</v>
      </c>
      <c r="DJ1335" s="40">
        <f>DJ1334/DH1334-1</f>
        <v>-0.07411419832</v>
      </c>
      <c r="DK1335" s="40">
        <f t="shared" ref="DK1335:DM1335" si="6716">DK1334/DJ1334-1</f>
        <v>0.02140546493</v>
      </c>
      <c r="DL1335" s="40">
        <f t="shared" si="6716"/>
        <v>0.07735849057</v>
      </c>
      <c r="DM1335" s="40">
        <f t="shared" si="6716"/>
        <v>0.02558168626</v>
      </c>
      <c r="DN1335" s="772">
        <f>DN1334/DI1334-1</f>
        <v>0.02538812785</v>
      </c>
      <c r="DO1335" s="16"/>
      <c r="DP1335" s="16"/>
      <c r="DQ1335" s="16"/>
      <c r="DR1335" s="16"/>
      <c r="DS1335" s="10"/>
      <c r="DT1335" s="16"/>
      <c r="DU1335" s="16"/>
      <c r="DV1335" s="16"/>
      <c r="DW1335" s="16"/>
      <c r="DX1335" s="10"/>
      <c r="DY1335" s="16"/>
      <c r="DZ1335" s="16"/>
      <c r="EA1335" s="16"/>
      <c r="EB1335" s="16"/>
      <c r="EC1335" s="10"/>
      <c r="ED1335" s="16"/>
      <c r="EE1335" s="16"/>
      <c r="EF1335" s="16"/>
      <c r="EG1335" s="16"/>
      <c r="EH1335" s="10"/>
      <c r="EI1335" s="214"/>
      <c r="EJ1335" s="16"/>
      <c r="EK1335" s="16"/>
      <c r="EL1335" s="16"/>
      <c r="EM1335" s="10"/>
      <c r="EN1335" s="16"/>
      <c r="EO1335" s="16"/>
      <c r="EP1335" s="16"/>
      <c r="EQ1335" s="16"/>
      <c r="ER1335" s="10"/>
      <c r="ES1335" s="16"/>
      <c r="ET1335" s="16"/>
      <c r="EU1335" s="16"/>
      <c r="EV1335" s="16"/>
      <c r="EW1335" s="10"/>
      <c r="EX1335" s="16"/>
      <c r="EY1335" s="16"/>
      <c r="EZ1335" s="16"/>
      <c r="FA1335" s="16"/>
      <c r="FB1335" s="10"/>
      <c r="FC1335" s="16"/>
      <c r="FD1335" s="16"/>
      <c r="FE1335" s="16"/>
      <c r="FF1335" s="16"/>
      <c r="FG1335" s="10"/>
      <c r="FH1335" s="21"/>
      <c r="FI1335" s="16"/>
      <c r="FJ1335" s="16"/>
      <c r="FK1335" s="16"/>
      <c r="FL1335" s="16"/>
    </row>
    <row r="1336" ht="12.75" customHeight="1">
      <c r="A1336" s="16"/>
      <c r="B1336" s="453" t="s">
        <v>497</v>
      </c>
      <c r="C1336" s="16"/>
      <c r="D1336" s="16"/>
      <c r="E1336" s="16"/>
      <c r="F1336" s="16"/>
      <c r="G1336" s="16"/>
      <c r="H1336" s="31"/>
      <c r="I1336" s="32"/>
      <c r="J1336" s="32"/>
      <c r="K1336" s="32"/>
      <c r="L1336" s="32"/>
      <c r="M1336" s="31"/>
      <c r="N1336" s="32"/>
      <c r="O1336" s="32"/>
      <c r="P1336" s="32"/>
      <c r="Q1336" s="32"/>
      <c r="R1336" s="33"/>
      <c r="S1336" s="32"/>
      <c r="T1336" s="32"/>
      <c r="U1336" s="32"/>
      <c r="V1336" s="32"/>
      <c r="W1336" s="33"/>
      <c r="X1336" s="32"/>
      <c r="Y1336" s="32"/>
      <c r="Z1336" s="32"/>
      <c r="AA1336" s="32"/>
      <c r="AB1336" s="31"/>
      <c r="AC1336" s="32"/>
      <c r="AD1336" s="32"/>
      <c r="AE1336" s="32"/>
      <c r="AF1336" s="32"/>
      <c r="AG1336" s="31"/>
      <c r="AH1336" s="32"/>
      <c r="AI1336" s="32"/>
      <c r="AJ1336" s="32"/>
      <c r="AK1336" s="32"/>
      <c r="AL1336" s="31"/>
      <c r="AM1336" s="32"/>
      <c r="AN1336" s="32"/>
      <c r="AO1336" s="32"/>
      <c r="AP1336" s="32"/>
      <c r="AQ1336" s="31"/>
      <c r="AR1336" s="32"/>
      <c r="AS1336" s="32"/>
      <c r="AT1336" s="32"/>
      <c r="AU1336" s="32"/>
      <c r="AV1336" s="31"/>
      <c r="AW1336" s="32"/>
      <c r="AX1336" s="32"/>
      <c r="AY1336" s="32"/>
      <c r="AZ1336" s="32"/>
      <c r="BA1336" s="33"/>
      <c r="BB1336" s="32"/>
      <c r="BC1336" s="32"/>
      <c r="BD1336" s="32"/>
      <c r="BE1336" s="32"/>
      <c r="BF1336" s="33"/>
      <c r="BG1336" s="32"/>
      <c r="BH1336" s="32"/>
      <c r="BI1336" s="32"/>
      <c r="BJ1336" s="32"/>
      <c r="BK1336" s="33"/>
      <c r="BL1336" s="32"/>
      <c r="BM1336" s="32"/>
      <c r="BN1336" s="32"/>
      <c r="BO1336" s="32"/>
      <c r="BP1336" s="33"/>
      <c r="BQ1336" s="16"/>
      <c r="BR1336" s="16"/>
      <c r="BS1336" s="16"/>
      <c r="BT1336" s="16"/>
      <c r="BU1336" s="21"/>
      <c r="BV1336" s="16"/>
      <c r="BW1336" s="16"/>
      <c r="BX1336" s="16"/>
      <c r="BY1336" s="16"/>
      <c r="BZ1336" s="10"/>
      <c r="CA1336" s="16"/>
      <c r="CB1336" s="16"/>
      <c r="CC1336" s="16"/>
      <c r="CD1336" s="16"/>
      <c r="CE1336" s="10"/>
      <c r="CF1336" s="16"/>
      <c r="CG1336" s="16"/>
      <c r="CH1336" s="16"/>
      <c r="CI1336" s="16"/>
      <c r="CJ1336" s="10"/>
      <c r="CK1336" s="16"/>
      <c r="CL1336" s="16"/>
      <c r="CM1336" s="16"/>
      <c r="CN1336" s="16"/>
      <c r="CO1336" s="10"/>
      <c r="CP1336" s="16"/>
      <c r="CQ1336" s="16"/>
      <c r="CR1336" s="19"/>
      <c r="CS1336" s="19">
        <v>9424.463</v>
      </c>
      <c r="CT1336" s="605">
        <v>35447.5</v>
      </c>
      <c r="CU1336" s="17">
        <v>7751.0</v>
      </c>
      <c r="CV1336" s="17">
        <v>8152.0</v>
      </c>
      <c r="CW1336" s="17">
        <v>8758.0</v>
      </c>
      <c r="CX1336" s="17">
        <v>9188.0</v>
      </c>
      <c r="CY1336" s="605">
        <v>33865.0</v>
      </c>
      <c r="CZ1336" s="19">
        <v>8430.0</v>
      </c>
      <c r="DA1336" s="19">
        <v>8822.0</v>
      </c>
      <c r="DB1336" s="19">
        <v>9831.0</v>
      </c>
      <c r="DC1336" s="19">
        <v>9953.0</v>
      </c>
      <c r="DD1336" s="605">
        <v>37206.0</v>
      </c>
      <c r="DE1336" s="19">
        <v>9346.0</v>
      </c>
      <c r="DF1336" s="19">
        <v>9062.0</v>
      </c>
      <c r="DG1336" s="19">
        <v>9632.0</v>
      </c>
      <c r="DH1336" s="19">
        <v>9864.0</v>
      </c>
      <c r="DI1336" s="605">
        <f>SUM(DE1336:DH1336)</f>
        <v>37904</v>
      </c>
      <c r="DJ1336" s="19">
        <v>9038.0</v>
      </c>
      <c r="DK1336" s="19">
        <v>9278.0</v>
      </c>
      <c r="DL1336" s="19">
        <v>10151.0</v>
      </c>
      <c r="DM1336" s="19">
        <v>10404.0</v>
      </c>
      <c r="DN1336" s="605">
        <f>SUM(DJ1336:DM1336)</f>
        <v>38871</v>
      </c>
      <c r="DO1336" s="16"/>
      <c r="DP1336" s="16"/>
      <c r="DQ1336" s="16"/>
      <c r="DR1336" s="16"/>
      <c r="DS1336" s="10"/>
      <c r="DT1336" s="16"/>
      <c r="DU1336" s="16"/>
      <c r="DV1336" s="16"/>
      <c r="DW1336" s="16"/>
      <c r="DX1336" s="10"/>
      <c r="DY1336" s="16"/>
      <c r="DZ1336" s="16"/>
      <c r="EA1336" s="16"/>
      <c r="EB1336" s="16"/>
      <c r="EC1336" s="10"/>
      <c r="ED1336" s="16"/>
      <c r="EE1336" s="16"/>
      <c r="EF1336" s="16"/>
      <c r="EG1336" s="16"/>
      <c r="EH1336" s="10"/>
      <c r="EI1336" s="214"/>
      <c r="EJ1336" s="16"/>
      <c r="EK1336" s="16"/>
      <c r="EL1336" s="16"/>
      <c r="EM1336" s="10"/>
      <c r="EN1336" s="16"/>
      <c r="EO1336" s="16"/>
      <c r="EP1336" s="16"/>
      <c r="EQ1336" s="16"/>
      <c r="ER1336" s="10"/>
      <c r="ES1336" s="16"/>
      <c r="ET1336" s="16"/>
      <c r="EU1336" s="16"/>
      <c r="EV1336" s="16"/>
      <c r="EW1336" s="10"/>
      <c r="EX1336" s="16"/>
      <c r="EY1336" s="16"/>
      <c r="EZ1336" s="16"/>
      <c r="FA1336" s="16"/>
      <c r="FB1336" s="10"/>
      <c r="FC1336" s="16"/>
      <c r="FD1336" s="16"/>
      <c r="FE1336" s="16"/>
      <c r="FF1336" s="16"/>
      <c r="FG1336" s="10"/>
      <c r="FH1336" s="21"/>
      <c r="FI1336" s="16"/>
      <c r="FJ1336" s="16"/>
      <c r="FK1336" s="16"/>
      <c r="FL1336" s="16"/>
    </row>
    <row r="1337" ht="12.75" customHeight="1">
      <c r="A1337" s="16"/>
      <c r="B1337" s="453" t="s">
        <v>498</v>
      </c>
      <c r="C1337" s="16"/>
      <c r="D1337" s="16"/>
      <c r="E1337" s="16"/>
      <c r="F1337" s="16"/>
      <c r="G1337" s="16"/>
      <c r="H1337" s="31"/>
      <c r="I1337" s="32"/>
      <c r="J1337" s="32"/>
      <c r="K1337" s="32"/>
      <c r="L1337" s="32"/>
      <c r="M1337" s="31"/>
      <c r="N1337" s="32"/>
      <c r="O1337" s="32"/>
      <c r="P1337" s="32"/>
      <c r="Q1337" s="32"/>
      <c r="R1337" s="33"/>
      <c r="S1337" s="32"/>
      <c r="T1337" s="32"/>
      <c r="U1337" s="32"/>
      <c r="V1337" s="32"/>
      <c r="W1337" s="33"/>
      <c r="X1337" s="32"/>
      <c r="Y1337" s="32"/>
      <c r="Z1337" s="32"/>
      <c r="AA1337" s="32"/>
      <c r="AB1337" s="31"/>
      <c r="AC1337" s="32"/>
      <c r="AD1337" s="32"/>
      <c r="AE1337" s="32"/>
      <c r="AF1337" s="32"/>
      <c r="AG1337" s="31"/>
      <c r="AH1337" s="32"/>
      <c r="AI1337" s="32"/>
      <c r="AJ1337" s="32"/>
      <c r="AK1337" s="32"/>
      <c r="AL1337" s="31"/>
      <c r="AM1337" s="32"/>
      <c r="AN1337" s="32"/>
      <c r="AO1337" s="32"/>
      <c r="AP1337" s="32"/>
      <c r="AQ1337" s="31"/>
      <c r="AR1337" s="32"/>
      <c r="AS1337" s="32"/>
      <c r="AT1337" s="32"/>
      <c r="AU1337" s="32"/>
      <c r="AV1337" s="31"/>
      <c r="AW1337" s="32"/>
      <c r="AX1337" s="32"/>
      <c r="AY1337" s="32"/>
      <c r="AZ1337" s="32"/>
      <c r="BA1337" s="33"/>
      <c r="BB1337" s="32"/>
      <c r="BC1337" s="32"/>
      <c r="BD1337" s="32"/>
      <c r="BE1337" s="32"/>
      <c r="BF1337" s="33"/>
      <c r="BG1337" s="32"/>
      <c r="BH1337" s="32"/>
      <c r="BI1337" s="32"/>
      <c r="BJ1337" s="32"/>
      <c r="BK1337" s="33"/>
      <c r="BL1337" s="32"/>
      <c r="BM1337" s="32"/>
      <c r="BN1337" s="32"/>
      <c r="BO1337" s="32"/>
      <c r="BP1337" s="33"/>
      <c r="BQ1337" s="16"/>
      <c r="BR1337" s="16"/>
      <c r="BS1337" s="16"/>
      <c r="BT1337" s="16"/>
      <c r="BU1337" s="21"/>
      <c r="BV1337" s="16"/>
      <c r="BW1337" s="16"/>
      <c r="BX1337" s="16"/>
      <c r="BY1337" s="16"/>
      <c r="BZ1337" s="10"/>
      <c r="CA1337" s="16"/>
      <c r="CB1337" s="16"/>
      <c r="CC1337" s="16"/>
      <c r="CD1337" s="16"/>
      <c r="CE1337" s="10"/>
      <c r="CF1337" s="16"/>
      <c r="CG1337" s="16"/>
      <c r="CH1337" s="16"/>
      <c r="CI1337" s="16"/>
      <c r="CJ1337" s="10"/>
      <c r="CK1337" s="16"/>
      <c r="CL1337" s="16"/>
      <c r="CM1337" s="16"/>
      <c r="CN1337" s="16"/>
      <c r="CO1337" s="10"/>
      <c r="CP1337" s="16"/>
      <c r="CQ1337" s="16"/>
      <c r="CR1337" s="40"/>
      <c r="CS1337" s="40">
        <v>0.6409624383450814</v>
      </c>
      <c r="CT1337" s="772">
        <v>0.634785928641806</v>
      </c>
      <c r="CU1337" s="40">
        <f t="shared" ref="CU1337:DN1337" si="6717">CU1336/CU1334</f>
        <v>0.6044135995</v>
      </c>
      <c r="CV1337" s="40">
        <f t="shared" si="6717"/>
        <v>0.620820958</v>
      </c>
      <c r="CW1337" s="40">
        <f t="shared" si="6717"/>
        <v>0.6146396238</v>
      </c>
      <c r="CX1337" s="40">
        <f t="shared" si="6717"/>
        <v>0.6123700347</v>
      </c>
      <c r="CY1337" s="772">
        <f t="shared" si="6717"/>
        <v>0.6131742382</v>
      </c>
      <c r="CZ1337" s="40">
        <f t="shared" si="6717"/>
        <v>0.6140286984</v>
      </c>
      <c r="DA1337" s="40">
        <f t="shared" si="6717"/>
        <v>0.6206993597</v>
      </c>
      <c r="DB1337" s="40">
        <f t="shared" si="6717"/>
        <v>0.6299500192</v>
      </c>
      <c r="DC1337" s="40">
        <f t="shared" si="6717"/>
        <v>0.6317760569</v>
      </c>
      <c r="DD1337" s="772">
        <f t="shared" si="6717"/>
        <v>0.6318202659</v>
      </c>
      <c r="DE1337" s="40">
        <f t="shared" si="6717"/>
        <v>0.6311453269</v>
      </c>
      <c r="DF1337" s="40">
        <f t="shared" si="6717"/>
        <v>0.6293929712</v>
      </c>
      <c r="DG1337" s="40">
        <f t="shared" si="6717"/>
        <v>0.6284334834</v>
      </c>
      <c r="DH1337" s="40">
        <f t="shared" si="6717"/>
        <v>0.6286005608</v>
      </c>
      <c r="DI1337" s="772">
        <f t="shared" si="6717"/>
        <v>0.6293731839</v>
      </c>
      <c r="DJ1337" s="40">
        <f t="shared" si="6717"/>
        <v>0.6220662124</v>
      </c>
      <c r="DK1337" s="40">
        <f t="shared" si="6717"/>
        <v>0.6252021563</v>
      </c>
      <c r="DL1337" s="40">
        <f t="shared" si="6717"/>
        <v>0.6349136853</v>
      </c>
      <c r="DM1337" s="40">
        <f t="shared" si="6717"/>
        <v>0.6345063121</v>
      </c>
      <c r="DN1337" s="772">
        <f t="shared" si="6717"/>
        <v>0.6294491045</v>
      </c>
      <c r="DO1337" s="16"/>
      <c r="DP1337" s="16"/>
      <c r="DQ1337" s="16"/>
      <c r="DR1337" s="16"/>
      <c r="DS1337" s="10"/>
      <c r="DT1337" s="16"/>
      <c r="DU1337" s="16"/>
      <c r="DV1337" s="16"/>
      <c r="DW1337" s="16"/>
      <c r="DX1337" s="10"/>
      <c r="DY1337" s="16"/>
      <c r="DZ1337" s="16"/>
      <c r="EA1337" s="16"/>
      <c r="EB1337" s="16"/>
      <c r="EC1337" s="10"/>
      <c r="ED1337" s="16"/>
      <c r="EE1337" s="16"/>
      <c r="EF1337" s="16"/>
      <c r="EG1337" s="16"/>
      <c r="EH1337" s="10"/>
      <c r="EI1337" s="214"/>
      <c r="EJ1337" s="16"/>
      <c r="EK1337" s="16"/>
      <c r="EL1337" s="16"/>
      <c r="EM1337" s="10"/>
      <c r="EN1337" s="16"/>
      <c r="EO1337" s="16"/>
      <c r="EP1337" s="16"/>
      <c r="EQ1337" s="16"/>
      <c r="ER1337" s="10"/>
      <c r="ES1337" s="16"/>
      <c r="ET1337" s="16"/>
      <c r="EU1337" s="16"/>
      <c r="EV1337" s="16"/>
      <c r="EW1337" s="10"/>
      <c r="EX1337" s="16"/>
      <c r="EY1337" s="16"/>
      <c r="EZ1337" s="16"/>
      <c r="FA1337" s="16"/>
      <c r="FB1337" s="10"/>
      <c r="FC1337" s="16"/>
      <c r="FD1337" s="16"/>
      <c r="FE1337" s="16"/>
      <c r="FF1337" s="16"/>
      <c r="FG1337" s="10"/>
      <c r="FH1337" s="21"/>
      <c r="FI1337" s="16"/>
      <c r="FJ1337" s="16"/>
      <c r="FK1337" s="16"/>
      <c r="FL1337" s="16"/>
    </row>
    <row r="1338" ht="12.75" customHeight="1">
      <c r="A1338" s="16"/>
      <c r="B1338" s="453" t="s">
        <v>499</v>
      </c>
      <c r="C1338" s="16"/>
      <c r="D1338" s="16"/>
      <c r="E1338" s="16"/>
      <c r="F1338" s="16"/>
      <c r="G1338" s="16"/>
      <c r="H1338" s="31"/>
      <c r="I1338" s="32"/>
      <c r="J1338" s="32"/>
      <c r="K1338" s="32"/>
      <c r="L1338" s="32"/>
      <c r="M1338" s="31"/>
      <c r="N1338" s="32"/>
      <c r="O1338" s="32"/>
      <c r="P1338" s="32"/>
      <c r="Q1338" s="32"/>
      <c r="R1338" s="33"/>
      <c r="S1338" s="32"/>
      <c r="T1338" s="32"/>
      <c r="U1338" s="32"/>
      <c r="V1338" s="32"/>
      <c r="W1338" s="33"/>
      <c r="X1338" s="32"/>
      <c r="Y1338" s="32"/>
      <c r="Z1338" s="32"/>
      <c r="AA1338" s="32"/>
      <c r="AB1338" s="31"/>
      <c r="AC1338" s="32"/>
      <c r="AD1338" s="32"/>
      <c r="AE1338" s="32"/>
      <c r="AF1338" s="32"/>
      <c r="AG1338" s="31"/>
      <c r="AH1338" s="32"/>
      <c r="AI1338" s="32"/>
      <c r="AJ1338" s="32"/>
      <c r="AK1338" s="32"/>
      <c r="AL1338" s="31"/>
      <c r="AM1338" s="32"/>
      <c r="AN1338" s="32"/>
      <c r="AO1338" s="32"/>
      <c r="AP1338" s="32"/>
      <c r="AQ1338" s="31"/>
      <c r="AR1338" s="32"/>
      <c r="AS1338" s="32"/>
      <c r="AT1338" s="32"/>
      <c r="AU1338" s="32"/>
      <c r="AV1338" s="31"/>
      <c r="AW1338" s="32"/>
      <c r="AX1338" s="32"/>
      <c r="AY1338" s="32"/>
      <c r="AZ1338" s="32"/>
      <c r="BA1338" s="33"/>
      <c r="BB1338" s="32"/>
      <c r="BC1338" s="32"/>
      <c r="BD1338" s="32"/>
      <c r="BE1338" s="32"/>
      <c r="BF1338" s="33"/>
      <c r="BG1338" s="32"/>
      <c r="BH1338" s="32"/>
      <c r="BI1338" s="32"/>
      <c r="BJ1338" s="32"/>
      <c r="BK1338" s="33"/>
      <c r="BL1338" s="32"/>
      <c r="BM1338" s="32"/>
      <c r="BN1338" s="32"/>
      <c r="BO1338" s="32"/>
      <c r="BP1338" s="33"/>
      <c r="BQ1338" s="16"/>
      <c r="BR1338" s="16"/>
      <c r="BS1338" s="16"/>
      <c r="BT1338" s="16"/>
      <c r="BU1338" s="21"/>
      <c r="BV1338" s="16"/>
      <c r="BW1338" s="16"/>
      <c r="BX1338" s="16"/>
      <c r="BY1338" s="16"/>
      <c r="BZ1338" s="10"/>
      <c r="CA1338" s="16"/>
      <c r="CB1338" s="16"/>
      <c r="CC1338" s="16"/>
      <c r="CD1338" s="16"/>
      <c r="CE1338" s="10"/>
      <c r="CF1338" s="16"/>
      <c r="CG1338" s="16"/>
      <c r="CH1338" s="16"/>
      <c r="CI1338" s="16"/>
      <c r="CJ1338" s="10"/>
      <c r="CK1338" s="16"/>
      <c r="CL1338" s="16"/>
      <c r="CM1338" s="16"/>
      <c r="CN1338" s="16"/>
      <c r="CO1338" s="10"/>
      <c r="CP1338" s="16"/>
      <c r="CQ1338" s="16"/>
      <c r="CR1338" s="19"/>
      <c r="CS1338" s="19">
        <v>4995.696</v>
      </c>
      <c r="CT1338" s="605">
        <v>20053.917999999998</v>
      </c>
      <c r="CU1338" s="17">
        <v>4943.164000000001</v>
      </c>
      <c r="CV1338" s="17">
        <f t="shared" ref="CV1338:CX1338" si="6718">CV1336-CV1339</f>
        <v>5088</v>
      </c>
      <c r="CW1338" s="17">
        <f t="shared" si="6718"/>
        <v>4996</v>
      </c>
      <c r="CX1338" s="17">
        <f t="shared" si="6718"/>
        <v>5048</v>
      </c>
      <c r="CY1338" s="605">
        <f>SUM(CU1338:CX1338)</f>
        <v>20075.164</v>
      </c>
      <c r="CZ1338" s="17">
        <f t="shared" ref="CZ1338:DC1338" si="6719">CZ1336-CZ1339</f>
        <v>5677</v>
      </c>
      <c r="DA1338" s="17">
        <f t="shared" si="6719"/>
        <v>5361</v>
      </c>
      <c r="DB1338" s="17">
        <f t="shared" si="6719"/>
        <v>5256</v>
      </c>
      <c r="DC1338" s="17">
        <f t="shared" si="6719"/>
        <v>5196</v>
      </c>
      <c r="DD1338" s="605">
        <f>SUM(CZ1338:DC1338)</f>
        <v>21490</v>
      </c>
      <c r="DE1338" s="17">
        <f t="shared" ref="DE1338:DH1338" si="6720">DE1336-DE1339</f>
        <v>5290</v>
      </c>
      <c r="DF1338" s="17">
        <f t="shared" si="6720"/>
        <v>5172</v>
      </c>
      <c r="DG1338" s="19">
        <f t="shared" si="6720"/>
        <v>5013</v>
      </c>
      <c r="DH1338" s="17">
        <f t="shared" si="6720"/>
        <v>4964</v>
      </c>
      <c r="DI1338" s="605">
        <f t="shared" ref="DI1338:DI1339" si="6722">SUM(DE1338:DH1338)</f>
        <v>20439</v>
      </c>
      <c r="DJ1338" s="19">
        <f t="shared" ref="DJ1338:DM1338" si="6721">DJ1336-DJ1339</f>
        <v>4959</v>
      </c>
      <c r="DK1338" s="19">
        <f t="shared" si="6721"/>
        <v>4980</v>
      </c>
      <c r="DL1338" s="19">
        <f t="shared" si="6721"/>
        <v>5144</v>
      </c>
      <c r="DM1338" s="17">
        <f t="shared" si="6721"/>
        <v>5206</v>
      </c>
      <c r="DN1338" s="605">
        <f t="shared" ref="DN1338:DN1339" si="6723">SUM(DJ1338:DM1338)</f>
        <v>20289</v>
      </c>
      <c r="DO1338" s="16"/>
      <c r="DP1338" s="16"/>
      <c r="DQ1338" s="16"/>
      <c r="DR1338" s="16"/>
      <c r="DS1338" s="10"/>
      <c r="DT1338" s="16"/>
      <c r="DU1338" s="16"/>
      <c r="DV1338" s="16"/>
      <c r="DW1338" s="16"/>
      <c r="DX1338" s="10"/>
      <c r="DY1338" s="16"/>
      <c r="DZ1338" s="16"/>
      <c r="EA1338" s="16"/>
      <c r="EB1338" s="16"/>
      <c r="EC1338" s="10"/>
      <c r="ED1338" s="16"/>
      <c r="EE1338" s="16"/>
      <c r="EF1338" s="16"/>
      <c r="EG1338" s="16"/>
      <c r="EH1338" s="10"/>
      <c r="EI1338" s="214"/>
      <c r="EJ1338" s="16"/>
      <c r="EK1338" s="16"/>
      <c r="EL1338" s="16"/>
      <c r="EM1338" s="10"/>
      <c r="EN1338" s="16"/>
      <c r="EO1338" s="16"/>
      <c r="EP1338" s="16"/>
      <c r="EQ1338" s="16"/>
      <c r="ER1338" s="10"/>
      <c r="ES1338" s="16"/>
      <c r="ET1338" s="16"/>
      <c r="EU1338" s="16"/>
      <c r="EV1338" s="16"/>
      <c r="EW1338" s="10"/>
      <c r="EX1338" s="16"/>
      <c r="EY1338" s="16"/>
      <c r="EZ1338" s="16"/>
      <c r="FA1338" s="16"/>
      <c r="FB1338" s="10"/>
      <c r="FC1338" s="16"/>
      <c r="FD1338" s="16"/>
      <c r="FE1338" s="16"/>
      <c r="FF1338" s="16"/>
      <c r="FG1338" s="10"/>
      <c r="FH1338" s="21"/>
      <c r="FI1338" s="16"/>
      <c r="FJ1338" s="16"/>
      <c r="FK1338" s="16"/>
      <c r="FL1338" s="16"/>
    </row>
    <row r="1339" ht="12.75" customHeight="1">
      <c r="A1339" s="16"/>
      <c r="B1339" s="453" t="s">
        <v>500</v>
      </c>
      <c r="C1339" s="16"/>
      <c r="D1339" s="16"/>
      <c r="E1339" s="16"/>
      <c r="F1339" s="16"/>
      <c r="G1339" s="16"/>
      <c r="H1339" s="31"/>
      <c r="I1339" s="32"/>
      <c r="J1339" s="32"/>
      <c r="K1339" s="32"/>
      <c r="L1339" s="32"/>
      <c r="M1339" s="31"/>
      <c r="N1339" s="32"/>
      <c r="O1339" s="32"/>
      <c r="P1339" s="32"/>
      <c r="Q1339" s="32"/>
      <c r="R1339" s="33"/>
      <c r="S1339" s="32"/>
      <c r="T1339" s="32"/>
      <c r="U1339" s="32"/>
      <c r="V1339" s="32"/>
      <c r="W1339" s="33"/>
      <c r="X1339" s="32"/>
      <c r="Y1339" s="32"/>
      <c r="Z1339" s="32"/>
      <c r="AA1339" s="32"/>
      <c r="AB1339" s="31"/>
      <c r="AC1339" s="32"/>
      <c r="AD1339" s="32"/>
      <c r="AE1339" s="32"/>
      <c r="AF1339" s="32"/>
      <c r="AG1339" s="31"/>
      <c r="AH1339" s="32"/>
      <c r="AI1339" s="32"/>
      <c r="AJ1339" s="32"/>
      <c r="AK1339" s="32"/>
      <c r="AL1339" s="31"/>
      <c r="AM1339" s="32"/>
      <c r="AN1339" s="32"/>
      <c r="AO1339" s="32"/>
      <c r="AP1339" s="32"/>
      <c r="AQ1339" s="31"/>
      <c r="AR1339" s="32"/>
      <c r="AS1339" s="32"/>
      <c r="AT1339" s="32"/>
      <c r="AU1339" s="32"/>
      <c r="AV1339" s="31"/>
      <c r="AW1339" s="32"/>
      <c r="AX1339" s="32"/>
      <c r="AY1339" s="32"/>
      <c r="AZ1339" s="32"/>
      <c r="BA1339" s="33"/>
      <c r="BB1339" s="32"/>
      <c r="BC1339" s="32"/>
      <c r="BD1339" s="32"/>
      <c r="BE1339" s="32"/>
      <c r="BF1339" s="33"/>
      <c r="BG1339" s="32"/>
      <c r="BH1339" s="32"/>
      <c r="BI1339" s="32"/>
      <c r="BJ1339" s="32"/>
      <c r="BK1339" s="33"/>
      <c r="BL1339" s="32"/>
      <c r="BM1339" s="32"/>
      <c r="BN1339" s="32"/>
      <c r="BO1339" s="32"/>
      <c r="BP1339" s="33"/>
      <c r="BQ1339" s="16"/>
      <c r="BR1339" s="16"/>
      <c r="BS1339" s="16"/>
      <c r="BT1339" s="16"/>
      <c r="BU1339" s="21"/>
      <c r="BV1339" s="16"/>
      <c r="BW1339" s="16"/>
      <c r="BX1339" s="16"/>
      <c r="BY1339" s="16"/>
      <c r="BZ1339" s="10"/>
      <c r="CA1339" s="16"/>
      <c r="CB1339" s="16"/>
      <c r="CC1339" s="16"/>
      <c r="CD1339" s="16"/>
      <c r="CE1339" s="10"/>
      <c r="CF1339" s="16"/>
      <c r="CG1339" s="16"/>
      <c r="CH1339" s="16"/>
      <c r="CI1339" s="16"/>
      <c r="CJ1339" s="10"/>
      <c r="CK1339" s="16"/>
      <c r="CL1339" s="16"/>
      <c r="CM1339" s="16"/>
      <c r="CN1339" s="16"/>
      <c r="CO1339" s="10"/>
      <c r="CP1339" s="16"/>
      <c r="CQ1339" s="16"/>
      <c r="CR1339" s="19"/>
      <c r="CS1339" s="19">
        <v>4428.767</v>
      </c>
      <c r="CT1339" s="605">
        <v>15393.582</v>
      </c>
      <c r="CU1339" s="17">
        <v>2748.0</v>
      </c>
      <c r="CV1339" s="17">
        <v>3064.0</v>
      </c>
      <c r="CW1339" s="17">
        <v>3762.0</v>
      </c>
      <c r="CX1339" s="17">
        <v>4140.0</v>
      </c>
      <c r="CY1339" s="605">
        <v>13719.0</v>
      </c>
      <c r="CZ1339" s="19">
        <v>2753.0</v>
      </c>
      <c r="DA1339" s="19">
        <v>3461.0</v>
      </c>
      <c r="DB1339" s="19">
        <v>4575.0</v>
      </c>
      <c r="DC1339" s="19">
        <v>4757.0</v>
      </c>
      <c r="DD1339" s="605">
        <v>16124.0</v>
      </c>
      <c r="DE1339" s="19">
        <v>4056.0</v>
      </c>
      <c r="DF1339" s="19">
        <v>3890.0</v>
      </c>
      <c r="DG1339" s="19">
        <v>4619.0</v>
      </c>
      <c r="DH1339" s="19">
        <v>4900.0</v>
      </c>
      <c r="DI1339" s="605">
        <f t="shared" si="6722"/>
        <v>17465</v>
      </c>
      <c r="DJ1339" s="19">
        <v>4079.0</v>
      </c>
      <c r="DK1339" s="19">
        <v>4298.0</v>
      </c>
      <c r="DL1339" s="19">
        <v>5007.0</v>
      </c>
      <c r="DM1339" s="19">
        <v>5198.0</v>
      </c>
      <c r="DN1339" s="605">
        <f t="shared" si="6723"/>
        <v>18582</v>
      </c>
      <c r="DO1339" s="16"/>
      <c r="DP1339" s="16"/>
      <c r="DQ1339" s="16"/>
      <c r="DR1339" s="16"/>
      <c r="DS1339" s="10"/>
      <c r="DT1339" s="16"/>
      <c r="DU1339" s="16"/>
      <c r="DV1339" s="16"/>
      <c r="DW1339" s="16"/>
      <c r="DX1339" s="10"/>
      <c r="DY1339" s="16"/>
      <c r="DZ1339" s="16"/>
      <c r="EA1339" s="16"/>
      <c r="EB1339" s="16"/>
      <c r="EC1339" s="10"/>
      <c r="ED1339" s="16"/>
      <c r="EE1339" s="16"/>
      <c r="EF1339" s="16"/>
      <c r="EG1339" s="16"/>
      <c r="EH1339" s="10"/>
      <c r="EI1339" s="214"/>
      <c r="EJ1339" s="16"/>
      <c r="EK1339" s="16"/>
      <c r="EL1339" s="16"/>
      <c r="EM1339" s="10"/>
      <c r="EN1339" s="16"/>
      <c r="EO1339" s="16"/>
      <c r="EP1339" s="16"/>
      <c r="EQ1339" s="16"/>
      <c r="ER1339" s="10"/>
      <c r="ES1339" s="16"/>
      <c r="ET1339" s="16"/>
      <c r="EU1339" s="16"/>
      <c r="EV1339" s="16"/>
      <c r="EW1339" s="10"/>
      <c r="EX1339" s="16"/>
      <c r="EY1339" s="16"/>
      <c r="EZ1339" s="16"/>
      <c r="FA1339" s="16"/>
      <c r="FB1339" s="10"/>
      <c r="FC1339" s="16"/>
      <c r="FD1339" s="16"/>
      <c r="FE1339" s="16"/>
      <c r="FF1339" s="16"/>
      <c r="FG1339" s="10"/>
      <c r="FH1339" s="21"/>
      <c r="FI1339" s="16"/>
      <c r="FJ1339" s="16"/>
      <c r="FK1339" s="16"/>
      <c r="FL1339" s="16"/>
    </row>
    <row r="1340" ht="12.75" customHeight="1">
      <c r="A1340" s="16"/>
      <c r="B1340" s="453" t="s">
        <v>501</v>
      </c>
      <c r="C1340" s="16"/>
      <c r="D1340" s="16"/>
      <c r="E1340" s="16"/>
      <c r="F1340" s="16"/>
      <c r="G1340" s="16"/>
      <c r="H1340" s="31"/>
      <c r="I1340" s="32"/>
      <c r="J1340" s="32"/>
      <c r="K1340" s="32"/>
      <c r="L1340" s="32"/>
      <c r="M1340" s="31"/>
      <c r="N1340" s="32"/>
      <c r="O1340" s="32"/>
      <c r="P1340" s="32"/>
      <c r="Q1340" s="32"/>
      <c r="R1340" s="33"/>
      <c r="S1340" s="32"/>
      <c r="T1340" s="32"/>
      <c r="U1340" s="32"/>
      <c r="V1340" s="32"/>
      <c r="W1340" s="33"/>
      <c r="X1340" s="32"/>
      <c r="Y1340" s="32"/>
      <c r="Z1340" s="32"/>
      <c r="AA1340" s="32"/>
      <c r="AB1340" s="31"/>
      <c r="AC1340" s="32"/>
      <c r="AD1340" s="32"/>
      <c r="AE1340" s="32"/>
      <c r="AF1340" s="32"/>
      <c r="AG1340" s="31"/>
      <c r="AH1340" s="32"/>
      <c r="AI1340" s="32"/>
      <c r="AJ1340" s="32"/>
      <c r="AK1340" s="32"/>
      <c r="AL1340" s="31"/>
      <c r="AM1340" s="32"/>
      <c r="AN1340" s="32"/>
      <c r="AO1340" s="32"/>
      <c r="AP1340" s="32"/>
      <c r="AQ1340" s="31"/>
      <c r="AR1340" s="32"/>
      <c r="AS1340" s="32"/>
      <c r="AT1340" s="32"/>
      <c r="AU1340" s="32"/>
      <c r="AV1340" s="31"/>
      <c r="AW1340" s="32"/>
      <c r="AX1340" s="32"/>
      <c r="AY1340" s="32"/>
      <c r="AZ1340" s="32"/>
      <c r="BA1340" s="33"/>
      <c r="BB1340" s="32"/>
      <c r="BC1340" s="32"/>
      <c r="BD1340" s="32"/>
      <c r="BE1340" s="32"/>
      <c r="BF1340" s="33"/>
      <c r="BG1340" s="32"/>
      <c r="BH1340" s="32"/>
      <c r="BI1340" s="32"/>
      <c r="BJ1340" s="32"/>
      <c r="BK1340" s="33"/>
      <c r="BL1340" s="32"/>
      <c r="BM1340" s="32"/>
      <c r="BN1340" s="32"/>
      <c r="BO1340" s="32"/>
      <c r="BP1340" s="33"/>
      <c r="BQ1340" s="16"/>
      <c r="BR1340" s="16"/>
      <c r="BS1340" s="16"/>
      <c r="BT1340" s="16"/>
      <c r="BU1340" s="21"/>
      <c r="BV1340" s="16"/>
      <c r="BW1340" s="16"/>
      <c r="BX1340" s="16"/>
      <c r="BY1340" s="16"/>
      <c r="BZ1340" s="10"/>
      <c r="CA1340" s="16"/>
      <c r="CB1340" s="16"/>
      <c r="CC1340" s="16"/>
      <c r="CD1340" s="16"/>
      <c r="CE1340" s="10"/>
      <c r="CF1340" s="16"/>
      <c r="CG1340" s="16"/>
      <c r="CH1340" s="16"/>
      <c r="CI1340" s="16"/>
      <c r="CJ1340" s="10"/>
      <c r="CK1340" s="16"/>
      <c r="CL1340" s="16"/>
      <c r="CM1340" s="16"/>
      <c r="CN1340" s="16"/>
      <c r="CO1340" s="10"/>
      <c r="CP1340" s="16"/>
      <c r="CQ1340" s="16"/>
      <c r="CR1340" s="40"/>
      <c r="CS1340" s="40">
        <v>0.30120265687097836</v>
      </c>
      <c r="CT1340" s="772">
        <v>0.27566483517861035</v>
      </c>
      <c r="CU1340" s="40">
        <f t="shared" ref="CU1340:DI1340" si="6724">CU1339/CU1334</f>
        <v>0.2142857143</v>
      </c>
      <c r="CV1340" s="40">
        <f t="shared" si="6724"/>
        <v>0.2333409489</v>
      </c>
      <c r="CW1340" s="40">
        <f t="shared" si="6724"/>
        <v>0.2640185276</v>
      </c>
      <c r="CX1340" s="40">
        <f t="shared" si="6724"/>
        <v>0.2759264196</v>
      </c>
      <c r="CY1340" s="772">
        <f t="shared" si="6724"/>
        <v>0.2484021076</v>
      </c>
      <c r="CZ1340" s="40">
        <f t="shared" si="6724"/>
        <v>0.2005244373</v>
      </c>
      <c r="DA1340" s="40">
        <f t="shared" si="6724"/>
        <v>0.2435094632</v>
      </c>
      <c r="DB1340" s="40">
        <f t="shared" si="6724"/>
        <v>0.2931564783</v>
      </c>
      <c r="DC1340" s="40">
        <f t="shared" si="6724"/>
        <v>0.301955059</v>
      </c>
      <c r="DD1340" s="772">
        <f t="shared" si="6724"/>
        <v>0.2738125563</v>
      </c>
      <c r="DE1340" s="40">
        <f t="shared" si="6724"/>
        <v>0.2739059968</v>
      </c>
      <c r="DF1340" s="40">
        <f t="shared" si="6724"/>
        <v>0.2701764134</v>
      </c>
      <c r="DG1340" s="40">
        <f t="shared" si="6724"/>
        <v>0.3013636067</v>
      </c>
      <c r="DH1340" s="40">
        <f t="shared" si="6724"/>
        <v>0.3122610247</v>
      </c>
      <c r="DI1340" s="772">
        <f t="shared" si="6724"/>
        <v>0.2899958489</v>
      </c>
      <c r="DJ1340" s="40"/>
      <c r="DK1340" s="40"/>
      <c r="DL1340" s="40"/>
      <c r="DM1340" s="40"/>
      <c r="DN1340" s="772">
        <f>DN1339/DN1334</f>
        <v>0.3009035852</v>
      </c>
      <c r="DO1340" s="16"/>
      <c r="DP1340" s="16"/>
      <c r="DQ1340" s="16"/>
      <c r="DR1340" s="16"/>
      <c r="DS1340" s="10"/>
      <c r="DT1340" s="16"/>
      <c r="DU1340" s="16"/>
      <c r="DV1340" s="16"/>
      <c r="DW1340" s="16"/>
      <c r="DX1340" s="10"/>
      <c r="DY1340" s="16"/>
      <c r="DZ1340" s="16"/>
      <c r="EA1340" s="16"/>
      <c r="EB1340" s="16"/>
      <c r="EC1340" s="10"/>
      <c r="ED1340" s="16"/>
      <c r="EE1340" s="16"/>
      <c r="EF1340" s="16"/>
      <c r="EG1340" s="16"/>
      <c r="EH1340" s="10"/>
      <c r="EI1340" s="214"/>
      <c r="EJ1340" s="16"/>
      <c r="EK1340" s="16"/>
      <c r="EL1340" s="16"/>
      <c r="EM1340" s="10"/>
      <c r="EN1340" s="16"/>
      <c r="EO1340" s="16"/>
      <c r="EP1340" s="16"/>
      <c r="EQ1340" s="16"/>
      <c r="ER1340" s="10"/>
      <c r="ES1340" s="16"/>
      <c r="ET1340" s="16"/>
      <c r="EU1340" s="16"/>
      <c r="EV1340" s="16"/>
      <c r="EW1340" s="10"/>
      <c r="EX1340" s="16"/>
      <c r="EY1340" s="16"/>
      <c r="EZ1340" s="16"/>
      <c r="FA1340" s="16"/>
      <c r="FB1340" s="10"/>
      <c r="FC1340" s="16"/>
      <c r="FD1340" s="16"/>
      <c r="FE1340" s="16"/>
      <c r="FF1340" s="16"/>
      <c r="FG1340" s="10"/>
      <c r="FH1340" s="21"/>
      <c r="FI1340" s="16"/>
      <c r="FJ1340" s="16"/>
      <c r="FK1340" s="16"/>
      <c r="FL1340" s="16"/>
    </row>
    <row r="1341" ht="12.75" customHeight="1">
      <c r="A1341" s="16"/>
      <c r="B1341" s="453" t="s">
        <v>502</v>
      </c>
      <c r="C1341" s="16"/>
      <c r="D1341" s="16"/>
      <c r="E1341" s="16"/>
      <c r="F1341" s="16"/>
      <c r="G1341" s="16"/>
      <c r="H1341" s="31"/>
      <c r="I1341" s="32"/>
      <c r="J1341" s="32"/>
      <c r="K1341" s="32"/>
      <c r="L1341" s="32"/>
      <c r="M1341" s="31"/>
      <c r="N1341" s="32"/>
      <c r="O1341" s="32"/>
      <c r="P1341" s="32"/>
      <c r="Q1341" s="32"/>
      <c r="R1341" s="33"/>
      <c r="S1341" s="32"/>
      <c r="T1341" s="32"/>
      <c r="U1341" s="32"/>
      <c r="V1341" s="32"/>
      <c r="W1341" s="33"/>
      <c r="X1341" s="32"/>
      <c r="Y1341" s="32"/>
      <c r="Z1341" s="32"/>
      <c r="AA1341" s="32"/>
      <c r="AB1341" s="31"/>
      <c r="AC1341" s="32"/>
      <c r="AD1341" s="32"/>
      <c r="AE1341" s="32"/>
      <c r="AF1341" s="32"/>
      <c r="AG1341" s="31"/>
      <c r="AH1341" s="32"/>
      <c r="AI1341" s="32"/>
      <c r="AJ1341" s="32"/>
      <c r="AK1341" s="32"/>
      <c r="AL1341" s="31"/>
      <c r="AM1341" s="32"/>
      <c r="AN1341" s="32"/>
      <c r="AO1341" s="32"/>
      <c r="AP1341" s="32"/>
      <c r="AQ1341" s="31"/>
      <c r="AR1341" s="32"/>
      <c r="AS1341" s="32"/>
      <c r="AT1341" s="32"/>
      <c r="AU1341" s="32"/>
      <c r="AV1341" s="31"/>
      <c r="AW1341" s="32"/>
      <c r="AX1341" s="32"/>
      <c r="AY1341" s="32"/>
      <c r="AZ1341" s="32"/>
      <c r="BA1341" s="33"/>
      <c r="BB1341" s="32"/>
      <c r="BC1341" s="32"/>
      <c r="BD1341" s="32"/>
      <c r="BE1341" s="32"/>
      <c r="BF1341" s="33"/>
      <c r="BG1341" s="32"/>
      <c r="BH1341" s="32"/>
      <c r="BI1341" s="32"/>
      <c r="BJ1341" s="32"/>
      <c r="BK1341" s="33"/>
      <c r="BL1341" s="32"/>
      <c r="BM1341" s="32"/>
      <c r="BN1341" s="32"/>
      <c r="BO1341" s="32"/>
      <c r="BP1341" s="33"/>
      <c r="BQ1341" s="16"/>
      <c r="BR1341" s="16"/>
      <c r="BS1341" s="16"/>
      <c r="BT1341" s="16"/>
      <c r="BU1341" s="21"/>
      <c r="BV1341" s="16"/>
      <c r="BW1341" s="16"/>
      <c r="BX1341" s="16"/>
      <c r="BY1341" s="16"/>
      <c r="BZ1341" s="10"/>
      <c r="CA1341" s="16"/>
      <c r="CB1341" s="16"/>
      <c r="CC1341" s="16"/>
      <c r="CD1341" s="16"/>
      <c r="CE1341" s="10"/>
      <c r="CF1341" s="16"/>
      <c r="CG1341" s="16"/>
      <c r="CH1341" s="16"/>
      <c r="CI1341" s="16"/>
      <c r="CJ1341" s="10"/>
      <c r="CK1341" s="16"/>
      <c r="CL1341" s="16"/>
      <c r="CM1341" s="16"/>
      <c r="CN1341" s="16"/>
      <c r="CO1341" s="10"/>
      <c r="CP1341" s="16"/>
      <c r="CQ1341" s="16"/>
      <c r="CR1341" s="19"/>
      <c r="CS1341" s="19"/>
      <c r="CT1341" s="605"/>
      <c r="CU1341" s="17">
        <f t="shared" ref="CU1341:CX1341" si="6725">CU1342-CU1339</f>
        <v>-753</v>
      </c>
      <c r="CV1341" s="17">
        <f t="shared" si="6725"/>
        <v>-570</v>
      </c>
      <c r="CW1341" s="17">
        <f t="shared" si="6725"/>
        <v>-936</v>
      </c>
      <c r="CX1341" s="17">
        <f t="shared" si="6725"/>
        <v>-1001</v>
      </c>
      <c r="CY1341" s="605">
        <f>SUM(CU1341:CX1341)</f>
        <v>-3260</v>
      </c>
      <c r="CZ1341" s="17">
        <f t="shared" ref="CZ1341:DC1341" si="6726">CZ1342-CZ1339</f>
        <v>-783</v>
      </c>
      <c r="DA1341" s="17">
        <f t="shared" si="6726"/>
        <v>-933</v>
      </c>
      <c r="DB1341" s="17">
        <f t="shared" si="6726"/>
        <v>-1032</v>
      </c>
      <c r="DC1341" s="17">
        <f t="shared" si="6726"/>
        <v>-1101</v>
      </c>
      <c r="DD1341" s="605">
        <f>SUM(CZ1341:DC1341)</f>
        <v>-3849</v>
      </c>
      <c r="DE1341" s="17">
        <f t="shared" ref="DE1341:DH1341" si="6727">DE1342-DE1339</f>
        <v>-893</v>
      </c>
      <c r="DF1341" s="17">
        <f t="shared" si="6727"/>
        <v>-589</v>
      </c>
      <c r="DG1341" s="19">
        <f t="shared" si="6727"/>
        <v>-1007</v>
      </c>
      <c r="DH1341" s="17">
        <f t="shared" si="6727"/>
        <v>-1082</v>
      </c>
      <c r="DI1341" s="605">
        <f t="shared" ref="DI1341:DI1342" si="6728">SUM(DE1341:DH1341)</f>
        <v>-3571</v>
      </c>
      <c r="DJ1341" s="19"/>
      <c r="DK1341" s="19"/>
      <c r="DL1341" s="19"/>
      <c r="DM1341" s="17"/>
      <c r="DN1341" s="605">
        <f t="shared" ref="DN1341:DN1344" si="6729">SUM(DJ1341:DM1341)</f>
        <v>0</v>
      </c>
      <c r="DO1341" s="16"/>
      <c r="DP1341" s="16"/>
      <c r="DQ1341" s="16"/>
      <c r="DR1341" s="16"/>
      <c r="DS1341" s="10"/>
      <c r="DT1341" s="16"/>
      <c r="DU1341" s="16"/>
      <c r="DV1341" s="16"/>
      <c r="DW1341" s="16"/>
      <c r="DX1341" s="10"/>
      <c r="DY1341" s="16"/>
      <c r="DZ1341" s="16"/>
      <c r="EA1341" s="16"/>
      <c r="EB1341" s="16"/>
      <c r="EC1341" s="10"/>
      <c r="ED1341" s="16"/>
      <c r="EE1341" s="16"/>
      <c r="EF1341" s="16"/>
      <c r="EG1341" s="16"/>
      <c r="EH1341" s="10"/>
      <c r="EI1341" s="214"/>
      <c r="EJ1341" s="16"/>
      <c r="EK1341" s="16"/>
      <c r="EL1341" s="16"/>
      <c r="EM1341" s="10"/>
      <c r="EN1341" s="16"/>
      <c r="EO1341" s="16"/>
      <c r="EP1341" s="16"/>
      <c r="EQ1341" s="16"/>
      <c r="ER1341" s="10"/>
      <c r="ES1341" s="16"/>
      <c r="ET1341" s="16"/>
      <c r="EU1341" s="16"/>
      <c r="EV1341" s="16"/>
      <c r="EW1341" s="10"/>
      <c r="EX1341" s="16"/>
      <c r="EY1341" s="16"/>
      <c r="EZ1341" s="16"/>
      <c r="FA1341" s="16"/>
      <c r="FB1341" s="10"/>
      <c r="FC1341" s="16"/>
      <c r="FD1341" s="16"/>
      <c r="FE1341" s="16"/>
      <c r="FF1341" s="16"/>
      <c r="FG1341" s="10"/>
      <c r="FH1341" s="21"/>
      <c r="FI1341" s="16"/>
      <c r="FJ1341" s="16"/>
      <c r="FK1341" s="16"/>
      <c r="FL1341" s="16"/>
    </row>
    <row r="1342" ht="12.75" customHeight="1">
      <c r="A1342" s="16"/>
      <c r="B1342" s="16" t="s">
        <v>81</v>
      </c>
      <c r="C1342" s="16"/>
      <c r="D1342" s="16"/>
      <c r="E1342" s="16"/>
      <c r="F1342" s="16"/>
      <c r="G1342" s="16"/>
      <c r="H1342" s="31"/>
      <c r="I1342" s="32"/>
      <c r="J1342" s="32"/>
      <c r="K1342" s="32"/>
      <c r="L1342" s="32"/>
      <c r="M1342" s="31"/>
      <c r="N1342" s="32"/>
      <c r="O1342" s="32"/>
      <c r="P1342" s="32"/>
      <c r="Q1342" s="32"/>
      <c r="R1342" s="33"/>
      <c r="S1342" s="32"/>
      <c r="T1342" s="32"/>
      <c r="U1342" s="32"/>
      <c r="V1342" s="32"/>
      <c r="W1342" s="33"/>
      <c r="X1342" s="32"/>
      <c r="Y1342" s="32"/>
      <c r="Z1342" s="32"/>
      <c r="AA1342" s="32"/>
      <c r="AB1342" s="31"/>
      <c r="AC1342" s="32"/>
      <c r="AD1342" s="32"/>
      <c r="AE1342" s="32"/>
      <c r="AF1342" s="32"/>
      <c r="AG1342" s="31"/>
      <c r="AH1342" s="32"/>
      <c r="AI1342" s="32"/>
      <c r="AJ1342" s="32"/>
      <c r="AK1342" s="32"/>
      <c r="AL1342" s="31"/>
      <c r="AM1342" s="32"/>
      <c r="AN1342" s="32"/>
      <c r="AO1342" s="32"/>
      <c r="AP1342" s="32"/>
      <c r="AQ1342" s="31"/>
      <c r="AR1342" s="32"/>
      <c r="AS1342" s="32"/>
      <c r="AT1342" s="32"/>
      <c r="AU1342" s="32"/>
      <c r="AV1342" s="31"/>
      <c r="AW1342" s="32"/>
      <c r="AX1342" s="32"/>
      <c r="AY1342" s="32"/>
      <c r="AZ1342" s="32"/>
      <c r="BA1342" s="33"/>
      <c r="BB1342" s="32"/>
      <c r="BC1342" s="32"/>
      <c r="BD1342" s="32"/>
      <c r="BE1342" s="32"/>
      <c r="BF1342" s="33"/>
      <c r="BG1342" s="32"/>
      <c r="BH1342" s="32"/>
      <c r="BI1342" s="32"/>
      <c r="BJ1342" s="32"/>
      <c r="BK1342" s="33"/>
      <c r="BL1342" s="32"/>
      <c r="BM1342" s="32"/>
      <c r="BN1342" s="32"/>
      <c r="BO1342" s="32"/>
      <c r="BP1342" s="33"/>
      <c r="BQ1342" s="16"/>
      <c r="BR1342" s="16"/>
      <c r="BS1342" s="16"/>
      <c r="BT1342" s="16"/>
      <c r="BU1342" s="21"/>
      <c r="BV1342" s="16"/>
      <c r="BW1342" s="16"/>
      <c r="BX1342" s="16"/>
      <c r="BY1342" s="16"/>
      <c r="BZ1342" s="10"/>
      <c r="CA1342" s="16"/>
      <c r="CB1342" s="16"/>
      <c r="CC1342" s="16"/>
      <c r="CD1342" s="16"/>
      <c r="CE1342" s="10"/>
      <c r="CF1342" s="16"/>
      <c r="CG1342" s="16"/>
      <c r="CH1342" s="16"/>
      <c r="CI1342" s="16"/>
      <c r="CJ1342" s="10"/>
      <c r="CK1342" s="16"/>
      <c r="CL1342" s="16"/>
      <c r="CM1342" s="16"/>
      <c r="CN1342" s="16"/>
      <c r="CO1342" s="10"/>
      <c r="CP1342" s="16"/>
      <c r="CQ1342" s="16"/>
      <c r="CR1342" s="19"/>
      <c r="CS1342" s="19">
        <v>3305.609</v>
      </c>
      <c r="CT1342" s="605">
        <v>11367.792</v>
      </c>
      <c r="CU1342" s="17">
        <v>1995.0</v>
      </c>
      <c r="CV1342" s="17">
        <v>2494.0</v>
      </c>
      <c r="CW1342" s="17">
        <v>2826.0</v>
      </c>
      <c r="CX1342" s="17">
        <v>3139.0</v>
      </c>
      <c r="CY1342" s="605">
        <v>10506.0</v>
      </c>
      <c r="CZ1342" s="19">
        <v>1970.0</v>
      </c>
      <c r="DA1342" s="19">
        <v>2528.0</v>
      </c>
      <c r="DB1342" s="19">
        <v>3543.0</v>
      </c>
      <c r="DC1342" s="19">
        <v>3656.0</v>
      </c>
      <c r="DD1342" s="605">
        <v>12988.0</v>
      </c>
      <c r="DE1342" s="19">
        <v>3163.0</v>
      </c>
      <c r="DF1342" s="19">
        <v>3301.0</v>
      </c>
      <c r="DG1342" s="19">
        <v>3612.0</v>
      </c>
      <c r="DH1342" s="19">
        <v>3818.0</v>
      </c>
      <c r="DI1342" s="605">
        <f t="shared" si="6728"/>
        <v>13894</v>
      </c>
      <c r="DJ1342" s="19">
        <v>3191.0</v>
      </c>
      <c r="DK1342" s="19">
        <v>3353.0</v>
      </c>
      <c r="DL1342" s="19">
        <v>3911.0</v>
      </c>
      <c r="DM1342" s="19">
        <v>4065.0</v>
      </c>
      <c r="DN1342" s="605">
        <f t="shared" si="6729"/>
        <v>14520</v>
      </c>
      <c r="DO1342" s="16"/>
      <c r="DP1342" s="16"/>
      <c r="DQ1342" s="16"/>
      <c r="DR1342" s="16"/>
      <c r="DS1342" s="10"/>
      <c r="DT1342" s="16"/>
      <c r="DU1342" s="16"/>
      <c r="DV1342" s="16"/>
      <c r="DW1342" s="16"/>
      <c r="DX1342" s="10"/>
      <c r="DY1342" s="16"/>
      <c r="DZ1342" s="16"/>
      <c r="EA1342" s="16"/>
      <c r="EB1342" s="16"/>
      <c r="EC1342" s="10"/>
      <c r="ED1342" s="16"/>
      <c r="EE1342" s="16"/>
      <c r="EF1342" s="16"/>
      <c r="EG1342" s="16"/>
      <c r="EH1342" s="10"/>
      <c r="EI1342" s="214"/>
      <c r="EJ1342" s="16"/>
      <c r="EK1342" s="16"/>
      <c r="EL1342" s="16"/>
      <c r="EM1342" s="10"/>
      <c r="EN1342" s="16"/>
      <c r="EO1342" s="16"/>
      <c r="EP1342" s="16"/>
      <c r="EQ1342" s="16"/>
      <c r="ER1342" s="10"/>
      <c r="ES1342" s="16"/>
      <c r="ET1342" s="16"/>
      <c r="EU1342" s="16"/>
      <c r="EV1342" s="16"/>
      <c r="EW1342" s="10"/>
      <c r="EX1342" s="16"/>
      <c r="EY1342" s="16"/>
      <c r="EZ1342" s="16"/>
      <c r="FA1342" s="16"/>
      <c r="FB1342" s="10"/>
      <c r="FC1342" s="16"/>
      <c r="FD1342" s="16"/>
      <c r="FE1342" s="16"/>
      <c r="FF1342" s="16"/>
      <c r="FG1342" s="10"/>
      <c r="FH1342" s="21"/>
      <c r="FI1342" s="16"/>
      <c r="FJ1342" s="16"/>
      <c r="FK1342" s="16"/>
      <c r="FL1342" s="16"/>
    </row>
    <row r="1343" ht="12.75" customHeight="1">
      <c r="A1343" s="16"/>
      <c r="B1343" s="453" t="s">
        <v>503</v>
      </c>
      <c r="C1343" s="16"/>
      <c r="D1343" s="16"/>
      <c r="E1343" s="16"/>
      <c r="F1343" s="16"/>
      <c r="G1343" s="16"/>
      <c r="H1343" s="31"/>
      <c r="I1343" s="32"/>
      <c r="J1343" s="32"/>
      <c r="K1343" s="32"/>
      <c r="L1343" s="32"/>
      <c r="M1343" s="31"/>
      <c r="N1343" s="32"/>
      <c r="O1343" s="32"/>
      <c r="P1343" s="32"/>
      <c r="Q1343" s="32"/>
      <c r="R1343" s="33"/>
      <c r="S1343" s="32"/>
      <c r="T1343" s="32"/>
      <c r="U1343" s="32"/>
      <c r="V1343" s="32"/>
      <c r="W1343" s="33"/>
      <c r="X1343" s="32"/>
      <c r="Y1343" s="32"/>
      <c r="Z1343" s="32"/>
      <c r="AA1343" s="32"/>
      <c r="AB1343" s="31"/>
      <c r="AC1343" s="32"/>
      <c r="AD1343" s="32"/>
      <c r="AE1343" s="32"/>
      <c r="AF1343" s="32"/>
      <c r="AG1343" s="31"/>
      <c r="AH1343" s="32"/>
      <c r="AI1343" s="32"/>
      <c r="AJ1343" s="32"/>
      <c r="AK1343" s="32"/>
      <c r="AL1343" s="31"/>
      <c r="AM1343" s="32"/>
      <c r="AN1343" s="32"/>
      <c r="AO1343" s="32"/>
      <c r="AP1343" s="32"/>
      <c r="AQ1343" s="31"/>
      <c r="AR1343" s="32"/>
      <c r="AS1343" s="32"/>
      <c r="AT1343" s="32"/>
      <c r="AU1343" s="32"/>
      <c r="AV1343" s="31"/>
      <c r="AW1343" s="32"/>
      <c r="AX1343" s="32"/>
      <c r="AY1343" s="32"/>
      <c r="AZ1343" s="32"/>
      <c r="BA1343" s="33"/>
      <c r="BB1343" s="32"/>
      <c r="BC1343" s="32"/>
      <c r="BD1343" s="32"/>
      <c r="BE1343" s="32"/>
      <c r="BF1343" s="33"/>
      <c r="BG1343" s="32"/>
      <c r="BH1343" s="32"/>
      <c r="BI1343" s="32"/>
      <c r="BJ1343" s="32"/>
      <c r="BK1343" s="33"/>
      <c r="BL1343" s="32"/>
      <c r="BM1343" s="32"/>
      <c r="BN1343" s="32"/>
      <c r="BO1343" s="32"/>
      <c r="BP1343" s="33"/>
      <c r="BQ1343" s="16"/>
      <c r="BR1343" s="16"/>
      <c r="BS1343" s="16"/>
      <c r="BT1343" s="16"/>
      <c r="BU1343" s="21"/>
      <c r="BV1343" s="16"/>
      <c r="BW1343" s="16"/>
      <c r="BX1343" s="16"/>
      <c r="BY1343" s="16"/>
      <c r="BZ1343" s="10"/>
      <c r="CA1343" s="16"/>
      <c r="CB1343" s="16"/>
      <c r="CC1343" s="16"/>
      <c r="CD1343" s="16"/>
      <c r="CE1343" s="10"/>
      <c r="CF1343" s="16"/>
      <c r="CG1343" s="16"/>
      <c r="CH1343" s="16"/>
      <c r="CI1343" s="16"/>
      <c r="CJ1343" s="10"/>
      <c r="CK1343" s="16"/>
      <c r="CL1343" s="16"/>
      <c r="CM1343" s="16"/>
      <c r="CN1343" s="16"/>
      <c r="CO1343" s="10"/>
      <c r="CP1343" s="16"/>
      <c r="CQ1343" s="16"/>
      <c r="CR1343" s="216"/>
      <c r="CS1343" s="216">
        <v>0.6671728</v>
      </c>
      <c r="CT1343" s="773">
        <v>2.2823</v>
      </c>
      <c r="CU1343" s="216">
        <v>0.42</v>
      </c>
      <c r="CV1343" s="216">
        <v>0.53</v>
      </c>
      <c r="CW1343" s="216">
        <v>0.6</v>
      </c>
      <c r="CX1343" s="216">
        <v>0.67</v>
      </c>
      <c r="CY1343" s="773">
        <v>2.21</v>
      </c>
      <c r="CZ1343" s="216">
        <v>0.48</v>
      </c>
      <c r="DA1343" s="216">
        <v>0.55</v>
      </c>
      <c r="DB1343" s="216">
        <v>0.77</v>
      </c>
      <c r="DC1343" s="216">
        <v>0.75</v>
      </c>
      <c r="DD1343" s="773">
        <v>2.67</v>
      </c>
      <c r="DE1343" s="216">
        <v>0.65</v>
      </c>
      <c r="DF1343" s="216">
        <v>0.68</v>
      </c>
      <c r="DG1343" s="216">
        <v>0.74</v>
      </c>
      <c r="DH1343" s="216">
        <v>0.78</v>
      </c>
      <c r="DI1343" s="773">
        <v>2.86</v>
      </c>
      <c r="DJ1343" s="216">
        <v>0.66</v>
      </c>
      <c r="DK1343" s="216">
        <v>0.69</v>
      </c>
      <c r="DL1343" s="216">
        <v>0.8</v>
      </c>
      <c r="DM1343" s="216">
        <v>0.84</v>
      </c>
      <c r="DN1343" s="773">
        <f t="shared" si="6729"/>
        <v>2.99</v>
      </c>
      <c r="DO1343" s="16"/>
      <c r="DP1343" s="16"/>
      <c r="DQ1343" s="16"/>
      <c r="DR1343" s="16"/>
      <c r="DS1343" s="10"/>
      <c r="DT1343" s="16"/>
      <c r="DU1343" s="16"/>
      <c r="DV1343" s="16"/>
      <c r="DW1343" s="16"/>
      <c r="DX1343" s="10"/>
      <c r="DY1343" s="16"/>
      <c r="DZ1343" s="16"/>
      <c r="EA1343" s="16"/>
      <c r="EB1343" s="16"/>
      <c r="EC1343" s="10"/>
      <c r="ED1343" s="16"/>
      <c r="EE1343" s="16"/>
      <c r="EF1343" s="16"/>
      <c r="EG1343" s="16"/>
      <c r="EH1343" s="10"/>
      <c r="EI1343" s="214"/>
      <c r="EJ1343" s="16"/>
      <c r="EK1343" s="16"/>
      <c r="EL1343" s="16"/>
      <c r="EM1343" s="10"/>
      <c r="EN1343" s="16"/>
      <c r="EO1343" s="16"/>
      <c r="EP1343" s="16"/>
      <c r="EQ1343" s="16"/>
      <c r="ER1343" s="10"/>
      <c r="ES1343" s="16"/>
      <c r="ET1343" s="16"/>
      <c r="EU1343" s="16"/>
      <c r="EV1343" s="16"/>
      <c r="EW1343" s="10"/>
      <c r="EX1343" s="16"/>
      <c r="EY1343" s="16"/>
      <c r="EZ1343" s="16"/>
      <c r="FA1343" s="16"/>
      <c r="FB1343" s="10"/>
      <c r="FC1343" s="16"/>
      <c r="FD1343" s="16"/>
      <c r="FE1343" s="16"/>
      <c r="FF1343" s="16"/>
      <c r="FG1343" s="10"/>
      <c r="FH1343" s="21"/>
      <c r="FI1343" s="16"/>
      <c r="FJ1343" s="16"/>
      <c r="FK1343" s="16"/>
      <c r="FL1343" s="16"/>
    </row>
    <row r="1344" ht="12.75" customHeight="1">
      <c r="A1344" s="16"/>
      <c r="B1344" s="453" t="s">
        <v>504</v>
      </c>
      <c r="C1344" s="16"/>
      <c r="D1344" s="16"/>
      <c r="E1344" s="16"/>
      <c r="F1344" s="16"/>
      <c r="G1344" s="16"/>
      <c r="H1344" s="31"/>
      <c r="I1344" s="32"/>
      <c r="J1344" s="32"/>
      <c r="K1344" s="32"/>
      <c r="L1344" s="32"/>
      <c r="M1344" s="31"/>
      <c r="N1344" s="32"/>
      <c r="O1344" s="32"/>
      <c r="P1344" s="32"/>
      <c r="Q1344" s="32"/>
      <c r="R1344" s="33"/>
      <c r="S1344" s="32"/>
      <c r="T1344" s="32"/>
      <c r="U1344" s="32"/>
      <c r="V1344" s="32"/>
      <c r="W1344" s="33"/>
      <c r="X1344" s="32"/>
      <c r="Y1344" s="32"/>
      <c r="Z1344" s="32"/>
      <c r="AA1344" s="32"/>
      <c r="AB1344" s="31"/>
      <c r="AC1344" s="32"/>
      <c r="AD1344" s="32"/>
      <c r="AE1344" s="32"/>
      <c r="AF1344" s="32"/>
      <c r="AG1344" s="31"/>
      <c r="AH1344" s="32"/>
      <c r="AI1344" s="32"/>
      <c r="AJ1344" s="32"/>
      <c r="AK1344" s="32"/>
      <c r="AL1344" s="31"/>
      <c r="AM1344" s="32"/>
      <c r="AN1344" s="32"/>
      <c r="AO1344" s="32"/>
      <c r="AP1344" s="32"/>
      <c r="AQ1344" s="31"/>
      <c r="AR1344" s="32"/>
      <c r="AS1344" s="32"/>
      <c r="AT1344" s="32"/>
      <c r="AU1344" s="32"/>
      <c r="AV1344" s="31"/>
      <c r="AW1344" s="32"/>
      <c r="AX1344" s="32"/>
      <c r="AY1344" s="32"/>
      <c r="AZ1344" s="32"/>
      <c r="BA1344" s="33"/>
      <c r="BB1344" s="32"/>
      <c r="BC1344" s="32"/>
      <c r="BD1344" s="32"/>
      <c r="BE1344" s="32"/>
      <c r="BF1344" s="33"/>
      <c r="BG1344" s="32"/>
      <c r="BH1344" s="32"/>
      <c r="BI1344" s="32"/>
      <c r="BJ1344" s="32"/>
      <c r="BK1344" s="33"/>
      <c r="BL1344" s="32"/>
      <c r="BM1344" s="32"/>
      <c r="BN1344" s="32"/>
      <c r="BO1344" s="32"/>
      <c r="BP1344" s="33"/>
      <c r="BQ1344" s="16"/>
      <c r="BR1344" s="16"/>
      <c r="BS1344" s="16"/>
      <c r="BT1344" s="16"/>
      <c r="BU1344" s="21"/>
      <c r="BV1344" s="16"/>
      <c r="BW1344" s="16"/>
      <c r="BX1344" s="16"/>
      <c r="BY1344" s="16"/>
      <c r="BZ1344" s="10"/>
      <c r="CA1344" s="16"/>
      <c r="CB1344" s="16"/>
      <c r="CC1344" s="16"/>
      <c r="CD1344" s="16"/>
      <c r="CE1344" s="10"/>
      <c r="CF1344" s="16"/>
      <c r="CG1344" s="16"/>
      <c r="CH1344" s="16"/>
      <c r="CI1344" s="16"/>
      <c r="CJ1344" s="10"/>
      <c r="CK1344" s="16"/>
      <c r="CL1344" s="16"/>
      <c r="CM1344" s="16"/>
      <c r="CN1344" s="16"/>
      <c r="CO1344" s="10"/>
      <c r="CP1344" s="16"/>
      <c r="CQ1344" s="16"/>
      <c r="CR1344" s="216"/>
      <c r="CS1344" s="216">
        <v>0.6599581999999999</v>
      </c>
      <c r="CT1344" s="773">
        <v>2.2462839999999997</v>
      </c>
      <c r="CU1344" s="216">
        <v>0.41</v>
      </c>
      <c r="CV1344" s="216">
        <v>0.51</v>
      </c>
      <c r="CW1344" s="216">
        <v>0.58</v>
      </c>
      <c r="CX1344" s="216">
        <v>0.64</v>
      </c>
      <c r="CY1344" s="773">
        <v>2.14</v>
      </c>
      <c r="CZ1344" s="216">
        <v>0.41</v>
      </c>
      <c r="DA1344" s="216">
        <v>0.52</v>
      </c>
      <c r="DB1344" s="216">
        <v>0.67</v>
      </c>
      <c r="DC1344" s="216">
        <v>0.67</v>
      </c>
      <c r="DD1344" s="773">
        <v>2.09</v>
      </c>
      <c r="DE1344" s="216">
        <v>0.57</v>
      </c>
      <c r="DF1344" s="216">
        <v>0.54</v>
      </c>
      <c r="DG1344" s="216">
        <v>0.69</v>
      </c>
      <c r="DH1344" s="216">
        <v>0.74</v>
      </c>
      <c r="DI1344" s="773">
        <v>2.58</v>
      </c>
      <c r="DJ1344" s="216">
        <v>0.61</v>
      </c>
      <c r="DK1344" s="216">
        <v>0.64</v>
      </c>
      <c r="DL1344" s="216">
        <v>0.77</v>
      </c>
      <c r="DM1344" s="216">
        <v>0.8</v>
      </c>
      <c r="DN1344" s="773">
        <f t="shared" si="6729"/>
        <v>2.82</v>
      </c>
      <c r="DO1344" s="16"/>
      <c r="DP1344" s="16"/>
      <c r="DQ1344" s="16"/>
      <c r="DR1344" s="16"/>
      <c r="DS1344" s="10"/>
      <c r="DT1344" s="16"/>
      <c r="DU1344" s="16"/>
      <c r="DV1344" s="16"/>
      <c r="DW1344" s="16"/>
      <c r="DX1344" s="10"/>
      <c r="DY1344" s="16"/>
      <c r="DZ1344" s="16"/>
      <c r="EA1344" s="16"/>
      <c r="EB1344" s="16"/>
      <c r="EC1344" s="10"/>
      <c r="ED1344" s="16"/>
      <c r="EE1344" s="16"/>
      <c r="EF1344" s="16"/>
      <c r="EG1344" s="16"/>
      <c r="EH1344" s="10"/>
      <c r="EI1344" s="214"/>
      <c r="EJ1344" s="16"/>
      <c r="EK1344" s="16"/>
      <c r="EL1344" s="16"/>
      <c r="EM1344" s="10"/>
      <c r="EN1344" s="16"/>
      <c r="EO1344" s="16"/>
      <c r="EP1344" s="16"/>
      <c r="EQ1344" s="16"/>
      <c r="ER1344" s="10"/>
      <c r="ES1344" s="16"/>
      <c r="ET1344" s="16"/>
      <c r="EU1344" s="16"/>
      <c r="EV1344" s="16"/>
      <c r="EW1344" s="10"/>
      <c r="EX1344" s="16"/>
      <c r="EY1344" s="16"/>
      <c r="EZ1344" s="16"/>
      <c r="FA1344" s="16"/>
      <c r="FB1344" s="10"/>
      <c r="FC1344" s="16"/>
      <c r="FD1344" s="16"/>
      <c r="FE1344" s="16"/>
      <c r="FF1344" s="16"/>
      <c r="FG1344" s="10"/>
      <c r="FH1344" s="21"/>
      <c r="FI1344" s="16"/>
      <c r="FJ1344" s="16"/>
      <c r="FK1344" s="16"/>
      <c r="FL1344" s="16"/>
    </row>
    <row r="1345" ht="12.75" customHeight="1">
      <c r="A1345" s="16"/>
      <c r="B1345" s="16"/>
      <c r="C1345" s="16"/>
      <c r="D1345" s="16"/>
      <c r="E1345" s="16"/>
      <c r="F1345" s="16"/>
      <c r="G1345" s="16"/>
      <c r="H1345" s="31"/>
      <c r="I1345" s="32"/>
      <c r="J1345" s="32"/>
      <c r="K1345" s="32"/>
      <c r="L1345" s="32"/>
      <c r="M1345" s="31"/>
      <c r="N1345" s="32"/>
      <c r="O1345" s="32"/>
      <c r="P1345" s="32"/>
      <c r="Q1345" s="32"/>
      <c r="R1345" s="33"/>
      <c r="S1345" s="32"/>
      <c r="T1345" s="32"/>
      <c r="U1345" s="32"/>
      <c r="V1345" s="32"/>
      <c r="W1345" s="33"/>
      <c r="X1345" s="32"/>
      <c r="Y1345" s="32"/>
      <c r="Z1345" s="32"/>
      <c r="AA1345" s="32"/>
      <c r="AB1345" s="31"/>
      <c r="AC1345" s="32"/>
      <c r="AD1345" s="32"/>
      <c r="AE1345" s="32"/>
      <c r="AF1345" s="32"/>
      <c r="AG1345" s="31"/>
      <c r="AH1345" s="32"/>
      <c r="AI1345" s="32"/>
      <c r="AJ1345" s="32"/>
      <c r="AK1345" s="32"/>
      <c r="AL1345" s="31"/>
      <c r="AM1345" s="32"/>
      <c r="AN1345" s="32"/>
      <c r="AO1345" s="32"/>
      <c r="AP1345" s="32"/>
      <c r="AQ1345" s="31"/>
      <c r="AR1345" s="32"/>
      <c r="AS1345" s="32"/>
      <c r="AT1345" s="32"/>
      <c r="AU1345" s="32"/>
      <c r="AV1345" s="31"/>
      <c r="AW1345" s="32"/>
      <c r="AX1345" s="32"/>
      <c r="AY1345" s="32"/>
      <c r="AZ1345" s="32"/>
      <c r="BA1345" s="33"/>
      <c r="BB1345" s="32"/>
      <c r="BC1345" s="32"/>
      <c r="BD1345" s="32"/>
      <c r="BE1345" s="32"/>
      <c r="BF1345" s="33"/>
      <c r="BG1345" s="32"/>
      <c r="BH1345" s="32"/>
      <c r="BI1345" s="32"/>
      <c r="BJ1345" s="32"/>
      <c r="BK1345" s="33"/>
      <c r="BL1345" s="32"/>
      <c r="BM1345" s="32"/>
      <c r="BN1345" s="32"/>
      <c r="BO1345" s="32"/>
      <c r="BP1345" s="33"/>
      <c r="BQ1345" s="16"/>
      <c r="BR1345" s="16"/>
      <c r="BS1345" s="16"/>
      <c r="BT1345" s="16"/>
      <c r="BU1345" s="21"/>
      <c r="BV1345" s="16"/>
      <c r="BW1345" s="16"/>
      <c r="BX1345" s="16"/>
      <c r="BY1345" s="16"/>
      <c r="BZ1345" s="10"/>
      <c r="CA1345" s="16"/>
      <c r="CB1345" s="16"/>
      <c r="CC1345" s="16"/>
      <c r="CD1345" s="16"/>
      <c r="CE1345" s="10"/>
      <c r="CF1345" s="16"/>
      <c r="CG1345" s="16"/>
      <c r="CH1345" s="16"/>
      <c r="CI1345" s="16"/>
      <c r="CJ1345" s="10"/>
      <c r="CK1345" s="16"/>
      <c r="CL1345" s="16"/>
      <c r="CM1345" s="16"/>
      <c r="CN1345" s="16"/>
      <c r="CO1345" s="10"/>
      <c r="CP1345" s="16"/>
      <c r="CQ1345" s="16"/>
      <c r="CR1345" s="16"/>
      <c r="CS1345" s="16"/>
      <c r="CT1345" s="10"/>
      <c r="CU1345" s="16"/>
      <c r="CV1345" s="16"/>
      <c r="CW1345" s="16"/>
      <c r="CX1345" s="16"/>
      <c r="CY1345" s="10"/>
      <c r="CZ1345" s="16"/>
      <c r="DA1345" s="16"/>
      <c r="DB1345" s="16"/>
      <c r="DC1345" s="16"/>
      <c r="DD1345" s="10"/>
      <c r="DE1345" s="16"/>
      <c r="DF1345" s="16"/>
      <c r="DG1345" s="16"/>
      <c r="DH1345" s="16"/>
      <c r="DI1345" s="10"/>
      <c r="DJ1345" s="16"/>
      <c r="DK1345" s="16"/>
      <c r="DL1345" s="16"/>
      <c r="DM1345" s="16"/>
      <c r="DN1345" s="10"/>
      <c r="DO1345" s="16"/>
      <c r="DP1345" s="16"/>
      <c r="DQ1345" s="16"/>
      <c r="DR1345" s="16"/>
      <c r="DS1345" s="10"/>
      <c r="DT1345" s="16"/>
      <c r="DU1345" s="16"/>
      <c r="DV1345" s="16"/>
      <c r="DW1345" s="16"/>
      <c r="DX1345" s="10"/>
      <c r="DY1345" s="16"/>
      <c r="DZ1345" s="16"/>
      <c r="EA1345" s="16"/>
      <c r="EB1345" s="16"/>
      <c r="EC1345" s="10"/>
      <c r="ED1345" s="16"/>
      <c r="EE1345" s="16"/>
      <c r="EF1345" s="16"/>
      <c r="EG1345" s="16"/>
      <c r="EH1345" s="10"/>
      <c r="EI1345" s="214"/>
      <c r="EJ1345" s="16"/>
      <c r="EK1345" s="16"/>
      <c r="EL1345" s="16"/>
      <c r="EM1345" s="10"/>
      <c r="EN1345" s="16"/>
      <c r="EO1345" s="16"/>
      <c r="EP1345" s="16"/>
      <c r="EQ1345" s="16"/>
      <c r="ER1345" s="10"/>
      <c r="ES1345" s="16"/>
      <c r="ET1345" s="16"/>
      <c r="EU1345" s="16"/>
      <c r="EV1345" s="16"/>
      <c r="EW1345" s="10"/>
      <c r="EX1345" s="16"/>
      <c r="EY1345" s="16"/>
      <c r="EZ1345" s="16"/>
      <c r="FA1345" s="16"/>
      <c r="FB1345" s="10"/>
      <c r="FC1345" s="16"/>
      <c r="FD1345" s="16"/>
      <c r="FE1345" s="16"/>
      <c r="FF1345" s="16"/>
      <c r="FG1345" s="10"/>
      <c r="FH1345" s="21"/>
      <c r="FI1345" s="16"/>
      <c r="FJ1345" s="16"/>
      <c r="FK1345" s="16"/>
      <c r="FL1345" s="16"/>
    </row>
    <row r="1346" ht="12.75" customHeight="1">
      <c r="A1346" s="16"/>
      <c r="B1346" s="16"/>
      <c r="C1346" s="16"/>
      <c r="D1346" s="16"/>
      <c r="E1346" s="16"/>
      <c r="F1346" s="16"/>
      <c r="G1346" s="16"/>
      <c r="H1346" s="31"/>
      <c r="I1346" s="32"/>
      <c r="J1346" s="32"/>
      <c r="K1346" s="32"/>
      <c r="L1346" s="32"/>
      <c r="M1346" s="31"/>
      <c r="N1346" s="32"/>
      <c r="O1346" s="32"/>
      <c r="P1346" s="32"/>
      <c r="Q1346" s="32"/>
      <c r="R1346" s="33"/>
      <c r="S1346" s="32"/>
      <c r="T1346" s="32"/>
      <c r="U1346" s="32"/>
      <c r="V1346" s="32"/>
      <c r="W1346" s="33"/>
      <c r="X1346" s="32"/>
      <c r="Y1346" s="32"/>
      <c r="Z1346" s="32"/>
      <c r="AA1346" s="32"/>
      <c r="AB1346" s="31"/>
      <c r="AC1346" s="32"/>
      <c r="AD1346" s="32"/>
      <c r="AE1346" s="32"/>
      <c r="AF1346" s="32"/>
      <c r="AG1346" s="31"/>
      <c r="AH1346" s="32"/>
      <c r="AI1346" s="32"/>
      <c r="AJ1346" s="32"/>
      <c r="AK1346" s="32"/>
      <c r="AL1346" s="31"/>
      <c r="AM1346" s="32"/>
      <c r="AN1346" s="32"/>
      <c r="AO1346" s="32"/>
      <c r="AP1346" s="32"/>
      <c r="AQ1346" s="31"/>
      <c r="AR1346" s="32"/>
      <c r="AS1346" s="32"/>
      <c r="AT1346" s="32"/>
      <c r="AU1346" s="32"/>
      <c r="AV1346" s="31"/>
      <c r="AW1346" s="32"/>
      <c r="AX1346" s="32"/>
      <c r="AY1346" s="32"/>
      <c r="AZ1346" s="32"/>
      <c r="BA1346" s="33"/>
      <c r="BB1346" s="32"/>
      <c r="BC1346" s="32"/>
      <c r="BD1346" s="32"/>
      <c r="BE1346" s="32"/>
      <c r="BF1346" s="33"/>
      <c r="BG1346" s="32"/>
      <c r="BH1346" s="32"/>
      <c r="BI1346" s="32"/>
      <c r="BJ1346" s="32"/>
      <c r="BK1346" s="33"/>
      <c r="BL1346" s="32"/>
      <c r="BM1346" s="32"/>
      <c r="BN1346" s="32"/>
      <c r="BO1346" s="32"/>
      <c r="BP1346" s="33"/>
      <c r="BQ1346" s="16"/>
      <c r="BR1346" s="16"/>
      <c r="BS1346" s="16"/>
      <c r="BT1346" s="16"/>
      <c r="BU1346" s="21"/>
      <c r="BV1346" s="16"/>
      <c r="BW1346" s="16"/>
      <c r="BX1346" s="16"/>
      <c r="BY1346" s="16"/>
      <c r="BZ1346" s="10"/>
      <c r="CA1346" s="16"/>
      <c r="CB1346" s="16"/>
      <c r="CC1346" s="16"/>
      <c r="CD1346" s="16"/>
      <c r="CE1346" s="10"/>
      <c r="CF1346" s="16"/>
      <c r="CG1346" s="16"/>
      <c r="CH1346" s="16"/>
      <c r="CI1346" s="16"/>
      <c r="CJ1346" s="10"/>
      <c r="CK1346" s="16"/>
      <c r="CL1346" s="16"/>
      <c r="CM1346" s="16"/>
      <c r="CN1346" s="16"/>
      <c r="CO1346" s="10"/>
      <c r="CP1346" s="16"/>
      <c r="CQ1346" s="16"/>
      <c r="CR1346" s="16"/>
      <c r="CS1346" s="16"/>
      <c r="CT1346" s="10"/>
      <c r="CU1346" s="16"/>
      <c r="CV1346" s="16"/>
      <c r="CW1346" s="16"/>
      <c r="CX1346" s="16"/>
      <c r="CY1346" s="10"/>
      <c r="CZ1346" s="16"/>
      <c r="DA1346" s="16"/>
      <c r="DB1346" s="16"/>
      <c r="DC1346" s="16"/>
      <c r="DD1346" s="10"/>
      <c r="DE1346" s="16"/>
      <c r="DF1346" s="16"/>
      <c r="DG1346" s="16"/>
      <c r="DH1346" s="16"/>
      <c r="DI1346" s="10"/>
      <c r="DJ1346" s="16"/>
      <c r="DK1346" s="16"/>
      <c r="DL1346" s="16"/>
      <c r="DM1346" s="16"/>
      <c r="DN1346" s="10"/>
      <c r="DO1346" s="16"/>
      <c r="DP1346" s="16"/>
      <c r="DQ1346" s="16"/>
      <c r="DR1346" s="16"/>
      <c r="DS1346" s="10"/>
      <c r="DT1346" s="16"/>
      <c r="DU1346" s="16"/>
      <c r="DV1346" s="16"/>
      <c r="DW1346" s="16"/>
      <c r="DX1346" s="10"/>
      <c r="DY1346" s="16"/>
      <c r="DZ1346" s="16"/>
      <c r="EA1346" s="16"/>
      <c r="EB1346" s="16"/>
      <c r="EC1346" s="10"/>
      <c r="ED1346" s="16"/>
      <c r="EE1346" s="16"/>
      <c r="EF1346" s="16"/>
      <c r="EG1346" s="16"/>
      <c r="EH1346" s="10"/>
      <c r="EI1346" s="214"/>
      <c r="EJ1346" s="16"/>
      <c r="EK1346" s="16"/>
      <c r="EL1346" s="16"/>
      <c r="EM1346" s="10"/>
      <c r="EN1346" s="16"/>
      <c r="EO1346" s="16"/>
      <c r="EP1346" s="16"/>
      <c r="EQ1346" s="16"/>
      <c r="ER1346" s="10"/>
      <c r="ES1346" s="16"/>
      <c r="ET1346" s="16"/>
      <c r="EU1346" s="16"/>
      <c r="EV1346" s="16"/>
      <c r="EW1346" s="10"/>
      <c r="EX1346" s="16"/>
      <c r="EY1346" s="16"/>
      <c r="EZ1346" s="16"/>
      <c r="FA1346" s="16"/>
      <c r="FB1346" s="10"/>
      <c r="FC1346" s="16"/>
      <c r="FD1346" s="16"/>
      <c r="FE1346" s="16"/>
      <c r="FF1346" s="16"/>
      <c r="FG1346" s="10"/>
      <c r="FH1346" s="21"/>
      <c r="FI1346" s="16"/>
      <c r="FJ1346" s="16"/>
      <c r="FK1346" s="16"/>
      <c r="FL1346" s="16"/>
    </row>
    <row r="1347" ht="12.75" customHeight="1">
      <c r="A1347" s="16"/>
      <c r="B1347" s="16"/>
      <c r="C1347" s="16"/>
      <c r="D1347" s="16"/>
      <c r="E1347" s="16"/>
      <c r="F1347" s="16"/>
      <c r="G1347" s="16"/>
      <c r="H1347" s="31"/>
      <c r="I1347" s="32"/>
      <c r="J1347" s="32"/>
      <c r="K1347" s="32"/>
      <c r="L1347" s="32"/>
      <c r="M1347" s="31"/>
      <c r="N1347" s="32"/>
      <c r="O1347" s="32"/>
      <c r="P1347" s="32"/>
      <c r="Q1347" s="32"/>
      <c r="R1347" s="33"/>
      <c r="S1347" s="32"/>
      <c r="T1347" s="32"/>
      <c r="U1347" s="32"/>
      <c r="V1347" s="32"/>
      <c r="W1347" s="33"/>
      <c r="X1347" s="32"/>
      <c r="Y1347" s="32"/>
      <c r="Z1347" s="32"/>
      <c r="AA1347" s="32"/>
      <c r="AB1347" s="31"/>
      <c r="AC1347" s="32"/>
      <c r="AD1347" s="32"/>
      <c r="AE1347" s="32"/>
      <c r="AF1347" s="32"/>
      <c r="AG1347" s="31"/>
      <c r="AH1347" s="32"/>
      <c r="AI1347" s="32"/>
      <c r="AJ1347" s="32"/>
      <c r="AK1347" s="32"/>
      <c r="AL1347" s="31"/>
      <c r="AM1347" s="32"/>
      <c r="AN1347" s="32"/>
      <c r="AO1347" s="32"/>
      <c r="AP1347" s="32"/>
      <c r="AQ1347" s="31"/>
      <c r="AR1347" s="32"/>
      <c r="AS1347" s="32"/>
      <c r="AT1347" s="32"/>
      <c r="AU1347" s="32"/>
      <c r="AV1347" s="31"/>
      <c r="AW1347" s="32"/>
      <c r="AX1347" s="32"/>
      <c r="AY1347" s="32"/>
      <c r="AZ1347" s="32"/>
      <c r="BA1347" s="33"/>
      <c r="BB1347" s="32"/>
      <c r="BC1347" s="32"/>
      <c r="BD1347" s="32"/>
      <c r="BE1347" s="32"/>
      <c r="BF1347" s="33"/>
      <c r="BG1347" s="32"/>
      <c r="BH1347" s="32"/>
      <c r="BI1347" s="32"/>
      <c r="BJ1347" s="32"/>
      <c r="BK1347" s="33"/>
      <c r="BL1347" s="32"/>
      <c r="BM1347" s="32"/>
      <c r="BN1347" s="32"/>
      <c r="BO1347" s="32"/>
      <c r="BP1347" s="33"/>
      <c r="BQ1347" s="16"/>
      <c r="BR1347" s="16"/>
      <c r="BS1347" s="16"/>
      <c r="BT1347" s="16"/>
      <c r="BU1347" s="21"/>
      <c r="BV1347" s="16"/>
      <c r="BW1347" s="16"/>
      <c r="BX1347" s="16"/>
      <c r="BY1347" s="16"/>
      <c r="BZ1347" s="10"/>
      <c r="CA1347" s="16"/>
      <c r="CB1347" s="16"/>
      <c r="CC1347" s="16"/>
      <c r="CD1347" s="16"/>
      <c r="CE1347" s="10"/>
      <c r="CF1347" s="16"/>
      <c r="CG1347" s="16"/>
      <c r="CH1347" s="16"/>
      <c r="CI1347" s="16"/>
      <c r="CJ1347" s="10"/>
      <c r="CK1347" s="16"/>
      <c r="CL1347" s="16"/>
      <c r="CM1347" s="16"/>
      <c r="CN1347" s="16"/>
      <c r="CO1347" s="10"/>
      <c r="CP1347" s="16"/>
      <c r="CQ1347" s="16"/>
      <c r="CR1347" s="16"/>
      <c r="CS1347" s="16"/>
      <c r="CT1347" s="10"/>
      <c r="CU1347" s="16"/>
      <c r="CV1347" s="16"/>
      <c r="CW1347" s="16"/>
      <c r="CX1347" s="16"/>
      <c r="CY1347" s="10"/>
      <c r="CZ1347" s="16"/>
      <c r="DA1347" s="16"/>
      <c r="DB1347" s="16"/>
      <c r="DC1347" s="16"/>
      <c r="DD1347" s="10"/>
      <c r="DE1347" s="16"/>
      <c r="DF1347" s="16"/>
      <c r="DG1347" s="16"/>
      <c r="DH1347" s="16"/>
      <c r="DI1347" s="10"/>
      <c r="DJ1347" s="16"/>
      <c r="DK1347" s="16"/>
      <c r="DL1347" s="16"/>
      <c r="DM1347" s="16"/>
      <c r="DN1347" s="10"/>
      <c r="DO1347" s="16"/>
      <c r="DP1347" s="16"/>
      <c r="DQ1347" s="16"/>
      <c r="DR1347" s="16"/>
      <c r="DS1347" s="10"/>
      <c r="DT1347" s="16"/>
      <c r="DU1347" s="16"/>
      <c r="DV1347" s="16"/>
      <c r="DW1347" s="16"/>
      <c r="DX1347" s="10"/>
      <c r="DY1347" s="16"/>
      <c r="DZ1347" s="16"/>
      <c r="EA1347" s="16"/>
      <c r="EB1347" s="16"/>
      <c r="EC1347" s="10"/>
      <c r="ED1347" s="16"/>
      <c r="EE1347" s="16"/>
      <c r="EF1347" s="16"/>
      <c r="EG1347" s="16"/>
      <c r="EH1347" s="10"/>
      <c r="EI1347" s="214"/>
      <c r="EJ1347" s="16"/>
      <c r="EK1347" s="16"/>
      <c r="EL1347" s="16"/>
      <c r="EM1347" s="10"/>
      <c r="EN1347" s="16"/>
      <c r="EO1347" s="16"/>
      <c r="EP1347" s="16"/>
      <c r="EQ1347" s="16"/>
      <c r="ER1347" s="10"/>
      <c r="ES1347" s="16"/>
      <c r="ET1347" s="16"/>
      <c r="EU1347" s="16"/>
      <c r="EV1347" s="16"/>
      <c r="EW1347" s="10"/>
      <c r="EX1347" s="16"/>
      <c r="EY1347" s="16"/>
      <c r="EZ1347" s="16"/>
      <c r="FA1347" s="16"/>
      <c r="FB1347" s="10"/>
      <c r="FC1347" s="16"/>
      <c r="FD1347" s="16"/>
      <c r="FE1347" s="16"/>
      <c r="FF1347" s="16"/>
      <c r="FG1347" s="10"/>
      <c r="FH1347" s="21"/>
      <c r="FI1347" s="16"/>
      <c r="FJ1347" s="16"/>
      <c r="FK1347" s="16"/>
      <c r="FL1347" s="16"/>
    </row>
    <row r="1348" ht="12.75" customHeight="1">
      <c r="A1348" s="16"/>
      <c r="B1348" s="16"/>
      <c r="C1348" s="16"/>
      <c r="D1348" s="16"/>
      <c r="E1348" s="16"/>
      <c r="F1348" s="16"/>
      <c r="G1348" s="16"/>
      <c r="H1348" s="31"/>
      <c r="I1348" s="32"/>
      <c r="J1348" s="32"/>
      <c r="K1348" s="32"/>
      <c r="L1348" s="32"/>
      <c r="M1348" s="31"/>
      <c r="N1348" s="32"/>
      <c r="O1348" s="32"/>
      <c r="P1348" s="32"/>
      <c r="Q1348" s="32"/>
      <c r="R1348" s="33"/>
      <c r="S1348" s="32"/>
      <c r="T1348" s="32"/>
      <c r="U1348" s="32"/>
      <c r="V1348" s="32"/>
      <c r="W1348" s="33"/>
      <c r="X1348" s="32"/>
      <c r="Y1348" s="32"/>
      <c r="Z1348" s="32"/>
      <c r="AA1348" s="32"/>
      <c r="AB1348" s="31"/>
      <c r="AC1348" s="32"/>
      <c r="AD1348" s="32"/>
      <c r="AE1348" s="32"/>
      <c r="AF1348" s="32"/>
      <c r="AG1348" s="31"/>
      <c r="AH1348" s="32"/>
      <c r="AI1348" s="32"/>
      <c r="AJ1348" s="32"/>
      <c r="AK1348" s="32"/>
      <c r="AL1348" s="31"/>
      <c r="AM1348" s="32"/>
      <c r="AN1348" s="32"/>
      <c r="AO1348" s="32"/>
      <c r="AP1348" s="32"/>
      <c r="AQ1348" s="31"/>
      <c r="AR1348" s="32"/>
      <c r="AS1348" s="32"/>
      <c r="AT1348" s="32"/>
      <c r="AU1348" s="32"/>
      <c r="AV1348" s="31"/>
      <c r="AW1348" s="32"/>
      <c r="AX1348" s="32"/>
      <c r="AY1348" s="32"/>
      <c r="AZ1348" s="32"/>
      <c r="BA1348" s="33"/>
      <c r="BB1348" s="32"/>
      <c r="BC1348" s="32"/>
      <c r="BD1348" s="32"/>
      <c r="BE1348" s="32"/>
      <c r="BF1348" s="33"/>
      <c r="BG1348" s="32"/>
      <c r="BH1348" s="32"/>
      <c r="BI1348" s="32"/>
      <c r="BJ1348" s="32"/>
      <c r="BK1348" s="33"/>
      <c r="BL1348" s="32"/>
      <c r="BM1348" s="32"/>
      <c r="BN1348" s="32"/>
      <c r="BO1348" s="32"/>
      <c r="BP1348" s="33"/>
      <c r="BQ1348" s="16"/>
      <c r="BR1348" s="16"/>
      <c r="BS1348" s="16"/>
      <c r="BT1348" s="16"/>
      <c r="BU1348" s="21"/>
      <c r="BV1348" s="16"/>
      <c r="BW1348" s="16"/>
      <c r="BX1348" s="16"/>
      <c r="BY1348" s="16"/>
      <c r="BZ1348" s="10"/>
      <c r="CA1348" s="16"/>
      <c r="CB1348" s="16"/>
      <c r="CC1348" s="16"/>
      <c r="CD1348" s="16"/>
      <c r="CE1348" s="10"/>
      <c r="CF1348" s="16"/>
      <c r="CG1348" s="16"/>
      <c r="CH1348" s="16"/>
      <c r="CI1348" s="16"/>
      <c r="CJ1348" s="10"/>
      <c r="CK1348" s="16"/>
      <c r="CL1348" s="16"/>
      <c r="CM1348" s="16"/>
      <c r="CN1348" s="16"/>
      <c r="CO1348" s="10"/>
      <c r="CP1348" s="16"/>
      <c r="CQ1348" s="16"/>
      <c r="CR1348" s="16"/>
      <c r="CS1348" s="16"/>
      <c r="CT1348" s="10"/>
      <c r="CU1348" s="16"/>
      <c r="CV1348" s="16"/>
      <c r="CW1348" s="16"/>
      <c r="CX1348" s="16"/>
      <c r="CY1348" s="10"/>
      <c r="CZ1348" s="16"/>
      <c r="DA1348" s="16"/>
      <c r="DB1348" s="16"/>
      <c r="DC1348" s="16"/>
      <c r="DD1348" s="10"/>
      <c r="DE1348" s="16"/>
      <c r="DF1348" s="16"/>
      <c r="DG1348" s="16"/>
      <c r="DH1348" s="16"/>
      <c r="DI1348" s="10"/>
      <c r="DJ1348" s="16"/>
      <c r="DK1348" s="16"/>
      <c r="DL1348" s="16"/>
      <c r="DM1348" s="16"/>
      <c r="DN1348" s="10"/>
      <c r="DO1348" s="16"/>
      <c r="DP1348" s="16"/>
      <c r="DQ1348" s="16"/>
      <c r="DR1348" s="16"/>
      <c r="DS1348" s="10"/>
      <c r="DT1348" s="16"/>
      <c r="DU1348" s="16"/>
      <c r="DV1348" s="16"/>
      <c r="DW1348" s="16"/>
      <c r="DX1348" s="10"/>
      <c r="DY1348" s="16"/>
      <c r="DZ1348" s="16"/>
      <c r="EA1348" s="16"/>
      <c r="EB1348" s="16"/>
      <c r="EC1348" s="10"/>
      <c r="ED1348" s="16"/>
      <c r="EE1348" s="16"/>
      <c r="EF1348" s="16"/>
      <c r="EG1348" s="16"/>
      <c r="EH1348" s="10"/>
      <c r="EI1348" s="214"/>
      <c r="EJ1348" s="16"/>
      <c r="EK1348" s="16"/>
      <c r="EL1348" s="16"/>
      <c r="EM1348" s="10"/>
      <c r="EN1348" s="16"/>
      <c r="EO1348" s="16"/>
      <c r="EP1348" s="16"/>
      <c r="EQ1348" s="16"/>
      <c r="ER1348" s="10"/>
      <c r="ES1348" s="16"/>
      <c r="ET1348" s="16"/>
      <c r="EU1348" s="16"/>
      <c r="EV1348" s="16"/>
      <c r="EW1348" s="10"/>
      <c r="EX1348" s="16"/>
      <c r="EY1348" s="16"/>
      <c r="EZ1348" s="16"/>
      <c r="FA1348" s="16"/>
      <c r="FB1348" s="10"/>
      <c r="FC1348" s="16"/>
      <c r="FD1348" s="16"/>
      <c r="FE1348" s="16"/>
      <c r="FF1348" s="16"/>
      <c r="FG1348" s="10"/>
      <c r="FH1348" s="21"/>
      <c r="FI1348" s="16"/>
      <c r="FJ1348" s="16"/>
      <c r="FK1348" s="16"/>
      <c r="FL1348" s="16"/>
    </row>
    <row r="1349" ht="12.75" customHeight="1">
      <c r="A1349" s="16"/>
      <c r="B1349" s="16"/>
      <c r="C1349" s="16"/>
      <c r="D1349" s="16"/>
      <c r="E1349" s="16"/>
      <c r="F1349" s="16"/>
      <c r="G1349" s="16"/>
      <c r="H1349" s="31"/>
      <c r="I1349" s="32"/>
      <c r="J1349" s="32"/>
      <c r="K1349" s="32"/>
      <c r="L1349" s="32"/>
      <c r="M1349" s="31"/>
      <c r="N1349" s="32"/>
      <c r="O1349" s="32"/>
      <c r="P1349" s="32"/>
      <c r="Q1349" s="32"/>
      <c r="R1349" s="33"/>
      <c r="S1349" s="32"/>
      <c r="T1349" s="32"/>
      <c r="U1349" s="32"/>
      <c r="V1349" s="32"/>
      <c r="W1349" s="33"/>
      <c r="X1349" s="32"/>
      <c r="Y1349" s="32"/>
      <c r="Z1349" s="32"/>
      <c r="AA1349" s="32"/>
      <c r="AB1349" s="31"/>
      <c r="AC1349" s="32"/>
      <c r="AD1349" s="32"/>
      <c r="AE1349" s="32"/>
      <c r="AF1349" s="32"/>
      <c r="AG1349" s="31"/>
      <c r="AH1349" s="32"/>
      <c r="AI1349" s="32"/>
      <c r="AJ1349" s="32"/>
      <c r="AK1349" s="32"/>
      <c r="AL1349" s="31"/>
      <c r="AM1349" s="32"/>
      <c r="AN1349" s="32"/>
      <c r="AO1349" s="32"/>
      <c r="AP1349" s="32"/>
      <c r="AQ1349" s="31"/>
      <c r="AR1349" s="32"/>
      <c r="AS1349" s="32"/>
      <c r="AT1349" s="32"/>
      <c r="AU1349" s="32"/>
      <c r="AV1349" s="31"/>
      <c r="AW1349" s="32"/>
      <c r="AX1349" s="32"/>
      <c r="AY1349" s="32"/>
      <c r="AZ1349" s="32"/>
      <c r="BA1349" s="33"/>
      <c r="BB1349" s="32"/>
      <c r="BC1349" s="32"/>
      <c r="BD1349" s="32"/>
      <c r="BE1349" s="32"/>
      <c r="BF1349" s="33"/>
      <c r="BG1349" s="32"/>
      <c r="BH1349" s="32"/>
      <c r="BI1349" s="32"/>
      <c r="BJ1349" s="32"/>
      <c r="BK1349" s="33"/>
      <c r="BL1349" s="32"/>
      <c r="BM1349" s="32"/>
      <c r="BN1349" s="32"/>
      <c r="BO1349" s="32"/>
      <c r="BP1349" s="33"/>
      <c r="BQ1349" s="16"/>
      <c r="BR1349" s="16"/>
      <c r="BS1349" s="16"/>
      <c r="BT1349" s="16"/>
      <c r="BU1349" s="21"/>
      <c r="BV1349" s="16"/>
      <c r="BW1349" s="16"/>
      <c r="BX1349" s="16"/>
      <c r="BY1349" s="16"/>
      <c r="BZ1349" s="10"/>
      <c r="CA1349" s="16"/>
      <c r="CB1349" s="16"/>
      <c r="CC1349" s="16"/>
      <c r="CD1349" s="16"/>
      <c r="CE1349" s="10"/>
      <c r="CF1349" s="16"/>
      <c r="CG1349" s="16"/>
      <c r="CH1349" s="16"/>
      <c r="CI1349" s="16"/>
      <c r="CJ1349" s="10"/>
      <c r="CK1349" s="16"/>
      <c r="CL1349" s="16"/>
      <c r="CM1349" s="16"/>
      <c r="CN1349" s="16"/>
      <c r="CO1349" s="10"/>
      <c r="CP1349" s="16"/>
      <c r="CQ1349" s="16"/>
      <c r="CR1349" s="16"/>
      <c r="CS1349" s="16"/>
      <c r="CT1349" s="10"/>
      <c r="CU1349" s="16"/>
      <c r="CV1349" s="16"/>
      <c r="CW1349" s="16"/>
      <c r="CX1349" s="16"/>
      <c r="CY1349" s="10"/>
      <c r="CZ1349" s="16"/>
      <c r="DA1349" s="16"/>
      <c r="DB1349" s="16"/>
      <c r="DC1349" s="16"/>
      <c r="DD1349" s="10"/>
      <c r="DE1349" s="16"/>
      <c r="DF1349" s="16"/>
      <c r="DG1349" s="16"/>
      <c r="DH1349" s="16"/>
      <c r="DI1349" s="10"/>
      <c r="DJ1349" s="16"/>
      <c r="DK1349" s="16"/>
      <c r="DL1349" s="16"/>
      <c r="DM1349" s="16"/>
      <c r="DN1349" s="10"/>
      <c r="DO1349" s="16"/>
      <c r="DP1349" s="16"/>
      <c r="DQ1349" s="16"/>
      <c r="DR1349" s="16"/>
      <c r="DS1349" s="10"/>
      <c r="DT1349" s="16"/>
      <c r="DU1349" s="16"/>
      <c r="DV1349" s="16"/>
      <c r="DW1349" s="16"/>
      <c r="DX1349" s="10"/>
      <c r="DY1349" s="16"/>
      <c r="DZ1349" s="16"/>
      <c r="EA1349" s="16"/>
      <c r="EB1349" s="16"/>
      <c r="EC1349" s="10"/>
      <c r="ED1349" s="16"/>
      <c r="EE1349" s="16"/>
      <c r="EF1349" s="16"/>
      <c r="EG1349" s="16"/>
      <c r="EH1349" s="10"/>
      <c r="EI1349" s="214"/>
      <c r="EJ1349" s="16"/>
      <c r="EK1349" s="16"/>
      <c r="EL1349" s="16"/>
      <c r="EM1349" s="10"/>
      <c r="EN1349" s="16"/>
      <c r="EO1349" s="16"/>
      <c r="EP1349" s="16"/>
      <c r="EQ1349" s="16"/>
      <c r="ER1349" s="10"/>
      <c r="ES1349" s="16"/>
      <c r="ET1349" s="16"/>
      <c r="EU1349" s="16"/>
      <c r="EV1349" s="16"/>
      <c r="EW1349" s="10"/>
      <c r="EX1349" s="16"/>
      <c r="EY1349" s="16"/>
      <c r="EZ1349" s="16"/>
      <c r="FA1349" s="16"/>
      <c r="FB1349" s="10"/>
      <c r="FC1349" s="16"/>
      <c r="FD1349" s="16"/>
      <c r="FE1349" s="16"/>
      <c r="FF1349" s="16"/>
      <c r="FG1349" s="10"/>
      <c r="FH1349" s="21"/>
      <c r="FI1349" s="16"/>
      <c r="FJ1349" s="16"/>
      <c r="FK1349" s="16"/>
      <c r="FL1349" s="16"/>
    </row>
    <row r="1350" ht="12.75" customHeight="1">
      <c r="A1350" s="16"/>
      <c r="B1350" s="16"/>
      <c r="C1350" s="16"/>
      <c r="D1350" s="16"/>
      <c r="E1350" s="16"/>
      <c r="F1350" s="16"/>
      <c r="G1350" s="16"/>
      <c r="H1350" s="31"/>
      <c r="I1350" s="32"/>
      <c r="J1350" s="32"/>
      <c r="K1350" s="32"/>
      <c r="L1350" s="32"/>
      <c r="M1350" s="31"/>
      <c r="N1350" s="32"/>
      <c r="O1350" s="32"/>
      <c r="P1350" s="32"/>
      <c r="Q1350" s="32"/>
      <c r="R1350" s="33"/>
      <c r="S1350" s="32"/>
      <c r="T1350" s="32"/>
      <c r="U1350" s="32"/>
      <c r="V1350" s="32"/>
      <c r="W1350" s="33"/>
      <c r="X1350" s="32"/>
      <c r="Y1350" s="32"/>
      <c r="Z1350" s="32"/>
      <c r="AA1350" s="32"/>
      <c r="AB1350" s="31"/>
      <c r="AC1350" s="32"/>
      <c r="AD1350" s="32"/>
      <c r="AE1350" s="32"/>
      <c r="AF1350" s="32"/>
      <c r="AG1350" s="31"/>
      <c r="AH1350" s="32"/>
      <c r="AI1350" s="32"/>
      <c r="AJ1350" s="32"/>
      <c r="AK1350" s="32"/>
      <c r="AL1350" s="31"/>
      <c r="AM1350" s="32"/>
      <c r="AN1350" s="32"/>
      <c r="AO1350" s="32"/>
      <c r="AP1350" s="32"/>
      <c r="AQ1350" s="31"/>
      <c r="AR1350" s="32"/>
      <c r="AS1350" s="32"/>
      <c r="AT1350" s="32"/>
      <c r="AU1350" s="32"/>
      <c r="AV1350" s="31"/>
      <c r="AW1350" s="32"/>
      <c r="AX1350" s="32"/>
      <c r="AY1350" s="32"/>
      <c r="AZ1350" s="32"/>
      <c r="BA1350" s="33"/>
      <c r="BB1350" s="32"/>
      <c r="BC1350" s="32"/>
      <c r="BD1350" s="32"/>
      <c r="BE1350" s="32"/>
      <c r="BF1350" s="33"/>
      <c r="BG1350" s="32"/>
      <c r="BH1350" s="32"/>
      <c r="BI1350" s="32"/>
      <c r="BJ1350" s="32"/>
      <c r="BK1350" s="33"/>
      <c r="BL1350" s="32"/>
      <c r="BM1350" s="32"/>
      <c r="BN1350" s="32"/>
      <c r="BO1350" s="32"/>
      <c r="BP1350" s="33"/>
      <c r="BQ1350" s="16"/>
      <c r="BR1350" s="16"/>
      <c r="BS1350" s="16"/>
      <c r="BT1350" s="16"/>
      <c r="BU1350" s="21"/>
      <c r="BV1350" s="16"/>
      <c r="BW1350" s="16"/>
      <c r="BX1350" s="16"/>
      <c r="BY1350" s="16"/>
      <c r="BZ1350" s="10"/>
      <c r="CA1350" s="16"/>
      <c r="CB1350" s="16"/>
      <c r="CC1350" s="16"/>
      <c r="CD1350" s="16"/>
      <c r="CE1350" s="10"/>
      <c r="CF1350" s="16"/>
      <c r="CG1350" s="16"/>
      <c r="CH1350" s="16"/>
      <c r="CI1350" s="16"/>
      <c r="CJ1350" s="10"/>
      <c r="CK1350" s="16"/>
      <c r="CL1350" s="16"/>
      <c r="CM1350" s="16"/>
      <c r="CN1350" s="16"/>
      <c r="CO1350" s="10"/>
      <c r="CP1350" s="16"/>
      <c r="CQ1350" s="16"/>
      <c r="CR1350" s="16"/>
      <c r="CS1350" s="16"/>
      <c r="CT1350" s="10"/>
      <c r="CU1350" s="16"/>
      <c r="CV1350" s="16"/>
      <c r="CW1350" s="16"/>
      <c r="CX1350" s="16"/>
      <c r="CY1350" s="10"/>
      <c r="CZ1350" s="16"/>
      <c r="DA1350" s="16"/>
      <c r="DB1350" s="16"/>
      <c r="DC1350" s="16"/>
      <c r="DD1350" s="10"/>
      <c r="DE1350" s="16"/>
      <c r="DF1350" s="16"/>
      <c r="DG1350" s="16"/>
      <c r="DH1350" s="16"/>
      <c r="DI1350" s="10"/>
      <c r="DJ1350" s="16"/>
      <c r="DK1350" s="16"/>
      <c r="DL1350" s="16"/>
      <c r="DM1350" s="16"/>
      <c r="DN1350" s="10"/>
      <c r="DO1350" s="16"/>
      <c r="DP1350" s="16"/>
      <c r="DQ1350" s="16"/>
      <c r="DR1350" s="16"/>
      <c r="DS1350" s="10"/>
      <c r="DT1350" s="16"/>
      <c r="DU1350" s="16"/>
      <c r="DV1350" s="16"/>
      <c r="DW1350" s="16"/>
      <c r="DX1350" s="10"/>
      <c r="DY1350" s="16"/>
      <c r="DZ1350" s="16"/>
      <c r="EA1350" s="16"/>
      <c r="EB1350" s="16"/>
      <c r="EC1350" s="10"/>
      <c r="ED1350" s="16"/>
      <c r="EE1350" s="16"/>
      <c r="EF1350" s="16"/>
      <c r="EG1350" s="16"/>
      <c r="EH1350" s="10"/>
      <c r="EI1350" s="214"/>
      <c r="EJ1350" s="16"/>
      <c r="EK1350" s="16"/>
      <c r="EL1350" s="16"/>
      <c r="EM1350" s="10"/>
      <c r="EN1350" s="16"/>
      <c r="EO1350" s="16"/>
      <c r="EP1350" s="16"/>
      <c r="EQ1350" s="16"/>
      <c r="ER1350" s="10"/>
      <c r="ES1350" s="16"/>
      <c r="ET1350" s="16"/>
      <c r="EU1350" s="16"/>
      <c r="EV1350" s="16"/>
      <c r="EW1350" s="10"/>
      <c r="EX1350" s="16"/>
      <c r="EY1350" s="16"/>
      <c r="EZ1350" s="16"/>
      <c r="FA1350" s="16"/>
      <c r="FB1350" s="10"/>
      <c r="FC1350" s="16"/>
      <c r="FD1350" s="16"/>
      <c r="FE1350" s="16"/>
      <c r="FF1350" s="16"/>
      <c r="FG1350" s="10"/>
      <c r="FH1350" s="21"/>
      <c r="FI1350" s="16"/>
      <c r="FJ1350" s="16"/>
      <c r="FK1350" s="16"/>
      <c r="FL1350" s="16"/>
    </row>
    <row r="1351" ht="12.75" customHeight="1">
      <c r="A1351" s="16"/>
      <c r="B1351" s="16"/>
      <c r="C1351" s="16"/>
      <c r="D1351" s="16"/>
      <c r="E1351" s="16"/>
      <c r="F1351" s="16"/>
      <c r="G1351" s="16"/>
      <c r="H1351" s="31"/>
      <c r="I1351" s="32"/>
      <c r="J1351" s="32"/>
      <c r="K1351" s="32"/>
      <c r="L1351" s="32"/>
      <c r="M1351" s="31"/>
      <c r="N1351" s="32"/>
      <c r="O1351" s="32"/>
      <c r="P1351" s="32"/>
      <c r="Q1351" s="32"/>
      <c r="R1351" s="33"/>
      <c r="S1351" s="32"/>
      <c r="T1351" s="32"/>
      <c r="U1351" s="32"/>
      <c r="V1351" s="32"/>
      <c r="W1351" s="33"/>
      <c r="X1351" s="32"/>
      <c r="Y1351" s="32"/>
      <c r="Z1351" s="32"/>
      <c r="AA1351" s="32"/>
      <c r="AB1351" s="31"/>
      <c r="AC1351" s="32"/>
      <c r="AD1351" s="32"/>
      <c r="AE1351" s="32"/>
      <c r="AF1351" s="32"/>
      <c r="AG1351" s="31"/>
      <c r="AH1351" s="32"/>
      <c r="AI1351" s="32"/>
      <c r="AJ1351" s="32"/>
      <c r="AK1351" s="32"/>
      <c r="AL1351" s="31"/>
      <c r="AM1351" s="32"/>
      <c r="AN1351" s="32"/>
      <c r="AO1351" s="32"/>
      <c r="AP1351" s="32"/>
      <c r="AQ1351" s="31"/>
      <c r="AR1351" s="32"/>
      <c r="AS1351" s="32"/>
      <c r="AT1351" s="32"/>
      <c r="AU1351" s="32"/>
      <c r="AV1351" s="31"/>
      <c r="AW1351" s="32"/>
      <c r="AX1351" s="32"/>
      <c r="AY1351" s="32"/>
      <c r="AZ1351" s="32"/>
      <c r="BA1351" s="33"/>
      <c r="BB1351" s="32"/>
      <c r="BC1351" s="32"/>
      <c r="BD1351" s="32"/>
      <c r="BE1351" s="32"/>
      <c r="BF1351" s="33"/>
      <c r="BG1351" s="32"/>
      <c r="BH1351" s="32"/>
      <c r="BI1351" s="32"/>
      <c r="BJ1351" s="32"/>
      <c r="BK1351" s="33"/>
      <c r="BL1351" s="32"/>
      <c r="BM1351" s="32"/>
      <c r="BN1351" s="32"/>
      <c r="BO1351" s="32"/>
      <c r="BP1351" s="33"/>
      <c r="BQ1351" s="16"/>
      <c r="BR1351" s="16"/>
      <c r="BS1351" s="16"/>
      <c r="BT1351" s="16"/>
      <c r="BU1351" s="21"/>
      <c r="BV1351" s="16"/>
      <c r="BW1351" s="16"/>
      <c r="BX1351" s="16"/>
      <c r="BY1351" s="16"/>
      <c r="BZ1351" s="10"/>
      <c r="CA1351" s="16"/>
      <c r="CB1351" s="16"/>
      <c r="CC1351" s="16"/>
      <c r="CD1351" s="16"/>
      <c r="CE1351" s="10"/>
      <c r="CF1351" s="16"/>
      <c r="CG1351" s="16"/>
      <c r="CH1351" s="16"/>
      <c r="CI1351" s="16"/>
      <c r="CJ1351" s="10"/>
      <c r="CK1351" s="16"/>
      <c r="CL1351" s="16"/>
      <c r="CM1351" s="16"/>
      <c r="CN1351" s="16"/>
      <c r="CO1351" s="10"/>
      <c r="CP1351" s="16"/>
      <c r="CQ1351" s="16"/>
      <c r="CR1351" s="16"/>
      <c r="CS1351" s="16"/>
      <c r="CT1351" s="10"/>
      <c r="CU1351" s="16"/>
      <c r="CV1351" s="16"/>
      <c r="CW1351" s="16"/>
      <c r="CX1351" s="16"/>
      <c r="CY1351" s="10"/>
      <c r="CZ1351" s="16"/>
      <c r="DA1351" s="16"/>
      <c r="DB1351" s="16"/>
      <c r="DC1351" s="16"/>
      <c r="DD1351" s="10"/>
      <c r="DE1351" s="16"/>
      <c r="DF1351" s="16"/>
      <c r="DG1351" s="16"/>
      <c r="DH1351" s="16"/>
      <c r="DI1351" s="10"/>
      <c r="DJ1351" s="16"/>
      <c r="DK1351" s="16"/>
      <c r="DL1351" s="16"/>
      <c r="DM1351" s="16"/>
      <c r="DN1351" s="10"/>
      <c r="DO1351" s="16"/>
      <c r="DP1351" s="16"/>
      <c r="DQ1351" s="16"/>
      <c r="DR1351" s="16"/>
      <c r="DS1351" s="10"/>
      <c r="DT1351" s="16"/>
      <c r="DU1351" s="16"/>
      <c r="DV1351" s="16"/>
      <c r="DW1351" s="16"/>
      <c r="DX1351" s="10"/>
      <c r="DY1351" s="16"/>
      <c r="DZ1351" s="16"/>
      <c r="EA1351" s="16"/>
      <c r="EB1351" s="16"/>
      <c r="EC1351" s="10"/>
      <c r="ED1351" s="16"/>
      <c r="EE1351" s="16"/>
      <c r="EF1351" s="16"/>
      <c r="EG1351" s="16"/>
      <c r="EH1351" s="10"/>
      <c r="EI1351" s="214"/>
      <c r="EJ1351" s="16"/>
      <c r="EK1351" s="16"/>
      <c r="EL1351" s="16"/>
      <c r="EM1351" s="10"/>
      <c r="EN1351" s="16"/>
      <c r="EO1351" s="16"/>
      <c r="EP1351" s="16"/>
      <c r="EQ1351" s="16"/>
      <c r="ER1351" s="10"/>
      <c r="ES1351" s="16"/>
      <c r="ET1351" s="16"/>
      <c r="EU1351" s="16"/>
      <c r="EV1351" s="16"/>
      <c r="EW1351" s="10"/>
      <c r="EX1351" s="16"/>
      <c r="EY1351" s="16"/>
      <c r="EZ1351" s="16"/>
      <c r="FA1351" s="16"/>
      <c r="FB1351" s="10"/>
      <c r="FC1351" s="16"/>
      <c r="FD1351" s="16"/>
      <c r="FE1351" s="16"/>
      <c r="FF1351" s="16"/>
      <c r="FG1351" s="10"/>
      <c r="FH1351" s="21"/>
      <c r="FI1351" s="16"/>
      <c r="FJ1351" s="16"/>
      <c r="FK1351" s="16"/>
      <c r="FL1351" s="16"/>
    </row>
    <row r="1352" ht="12.75" customHeight="1">
      <c r="A1352" s="16"/>
      <c r="B1352" s="16"/>
      <c r="C1352" s="16"/>
      <c r="D1352" s="16"/>
      <c r="E1352" s="16"/>
      <c r="F1352" s="16"/>
      <c r="G1352" s="16"/>
      <c r="H1352" s="31"/>
      <c r="I1352" s="32"/>
      <c r="J1352" s="32"/>
      <c r="K1352" s="32"/>
      <c r="L1352" s="32"/>
      <c r="M1352" s="31"/>
      <c r="N1352" s="32"/>
      <c r="O1352" s="32"/>
      <c r="P1352" s="32"/>
      <c r="Q1352" s="32"/>
      <c r="R1352" s="33"/>
      <c r="S1352" s="32"/>
      <c r="T1352" s="32"/>
      <c r="U1352" s="32"/>
      <c r="V1352" s="32"/>
      <c r="W1352" s="33"/>
      <c r="X1352" s="32"/>
      <c r="Y1352" s="32"/>
      <c r="Z1352" s="32"/>
      <c r="AA1352" s="32"/>
      <c r="AB1352" s="31"/>
      <c r="AC1352" s="32"/>
      <c r="AD1352" s="32"/>
      <c r="AE1352" s="32"/>
      <c r="AF1352" s="32"/>
      <c r="AG1352" s="31"/>
      <c r="AH1352" s="32"/>
      <c r="AI1352" s="32"/>
      <c r="AJ1352" s="32"/>
      <c r="AK1352" s="32"/>
      <c r="AL1352" s="31"/>
      <c r="AM1352" s="32"/>
      <c r="AN1352" s="32"/>
      <c r="AO1352" s="32"/>
      <c r="AP1352" s="32"/>
      <c r="AQ1352" s="31"/>
      <c r="AR1352" s="32"/>
      <c r="AS1352" s="32"/>
      <c r="AT1352" s="32"/>
      <c r="AU1352" s="32"/>
      <c r="AV1352" s="31"/>
      <c r="AW1352" s="32"/>
      <c r="AX1352" s="32"/>
      <c r="AY1352" s="32"/>
      <c r="AZ1352" s="32"/>
      <c r="BA1352" s="33"/>
      <c r="BB1352" s="32"/>
      <c r="BC1352" s="32"/>
      <c r="BD1352" s="32"/>
      <c r="BE1352" s="32"/>
      <c r="BF1352" s="33"/>
      <c r="BG1352" s="32"/>
      <c r="BH1352" s="32"/>
      <c r="BI1352" s="32"/>
      <c r="BJ1352" s="32"/>
      <c r="BK1352" s="33"/>
      <c r="BL1352" s="32"/>
      <c r="BM1352" s="32"/>
      <c r="BN1352" s="32"/>
      <c r="BO1352" s="32"/>
      <c r="BP1352" s="33"/>
      <c r="BQ1352" s="16"/>
      <c r="BR1352" s="16"/>
      <c r="BS1352" s="16"/>
      <c r="BT1352" s="16"/>
      <c r="BU1352" s="21"/>
      <c r="BV1352" s="16"/>
      <c r="BW1352" s="16"/>
      <c r="BX1352" s="16"/>
      <c r="BY1352" s="16"/>
      <c r="BZ1352" s="10"/>
      <c r="CA1352" s="16"/>
      <c r="CB1352" s="16"/>
      <c r="CC1352" s="16"/>
      <c r="CD1352" s="16"/>
      <c r="CE1352" s="10"/>
      <c r="CF1352" s="16"/>
      <c r="CG1352" s="16"/>
      <c r="CH1352" s="16"/>
      <c r="CI1352" s="16"/>
      <c r="CJ1352" s="10"/>
      <c r="CK1352" s="16"/>
      <c r="CL1352" s="16"/>
      <c r="CM1352" s="16"/>
      <c r="CN1352" s="16"/>
      <c r="CO1352" s="10"/>
      <c r="CP1352" s="16"/>
      <c r="CQ1352" s="16"/>
      <c r="CR1352" s="16"/>
      <c r="CS1352" s="16"/>
      <c r="CT1352" s="10"/>
      <c r="CU1352" s="16"/>
      <c r="CV1352" s="16"/>
      <c r="CW1352" s="16"/>
      <c r="CX1352" s="16"/>
      <c r="CY1352" s="10"/>
      <c r="CZ1352" s="16"/>
      <c r="DA1352" s="16"/>
      <c r="DB1352" s="16"/>
      <c r="DC1352" s="16"/>
      <c r="DD1352" s="10"/>
      <c r="DE1352" s="16"/>
      <c r="DF1352" s="16"/>
      <c r="DG1352" s="16"/>
      <c r="DH1352" s="16"/>
      <c r="DI1352" s="10"/>
      <c r="DJ1352" s="16"/>
      <c r="DK1352" s="16"/>
      <c r="DL1352" s="16"/>
      <c r="DM1352" s="16"/>
      <c r="DN1352" s="10"/>
      <c r="DO1352" s="16"/>
      <c r="DP1352" s="16"/>
      <c r="DQ1352" s="16"/>
      <c r="DR1352" s="16"/>
      <c r="DS1352" s="10"/>
      <c r="DT1352" s="16"/>
      <c r="DU1352" s="16"/>
      <c r="DV1352" s="16"/>
      <c r="DW1352" s="16"/>
      <c r="DX1352" s="10"/>
      <c r="DY1352" s="16"/>
      <c r="DZ1352" s="16"/>
      <c r="EA1352" s="16"/>
      <c r="EB1352" s="16"/>
      <c r="EC1352" s="10"/>
      <c r="ED1352" s="16"/>
      <c r="EE1352" s="16"/>
      <c r="EF1352" s="16"/>
      <c r="EG1352" s="16"/>
      <c r="EH1352" s="10"/>
      <c r="EI1352" s="214"/>
      <c r="EJ1352" s="16"/>
      <c r="EK1352" s="16"/>
      <c r="EL1352" s="16"/>
      <c r="EM1352" s="10"/>
      <c r="EN1352" s="16"/>
      <c r="EO1352" s="16"/>
      <c r="EP1352" s="16"/>
      <c r="EQ1352" s="16"/>
      <c r="ER1352" s="10"/>
      <c r="ES1352" s="16"/>
      <c r="ET1352" s="16"/>
      <c r="EU1352" s="16"/>
      <c r="EV1352" s="16"/>
      <c r="EW1352" s="10"/>
      <c r="EX1352" s="16"/>
      <c r="EY1352" s="16"/>
      <c r="EZ1352" s="16"/>
      <c r="FA1352" s="16"/>
      <c r="FB1352" s="10"/>
      <c r="FC1352" s="16"/>
      <c r="FD1352" s="16"/>
      <c r="FE1352" s="16"/>
      <c r="FF1352" s="16"/>
      <c r="FG1352" s="10"/>
      <c r="FH1352" s="21"/>
      <c r="FI1352" s="16"/>
      <c r="FJ1352" s="16"/>
      <c r="FK1352" s="16"/>
      <c r="FL1352" s="16"/>
    </row>
    <row r="1353" ht="12.75" customHeight="1">
      <c r="A1353" s="16"/>
      <c r="B1353" s="16"/>
      <c r="C1353" s="16"/>
      <c r="D1353" s="16"/>
      <c r="E1353" s="16"/>
      <c r="F1353" s="16"/>
      <c r="G1353" s="16"/>
      <c r="H1353" s="31"/>
      <c r="I1353" s="32"/>
      <c r="J1353" s="32"/>
      <c r="K1353" s="32"/>
      <c r="L1353" s="32"/>
      <c r="M1353" s="31"/>
      <c r="N1353" s="32"/>
      <c r="O1353" s="32"/>
      <c r="P1353" s="32"/>
      <c r="Q1353" s="32"/>
      <c r="R1353" s="33"/>
      <c r="S1353" s="32"/>
      <c r="T1353" s="32"/>
      <c r="U1353" s="32"/>
      <c r="V1353" s="32"/>
      <c r="W1353" s="33"/>
      <c r="X1353" s="32"/>
      <c r="Y1353" s="32"/>
      <c r="Z1353" s="32"/>
      <c r="AA1353" s="32"/>
      <c r="AB1353" s="31"/>
      <c r="AC1353" s="32"/>
      <c r="AD1353" s="32"/>
      <c r="AE1353" s="32"/>
      <c r="AF1353" s="32"/>
      <c r="AG1353" s="31"/>
      <c r="AH1353" s="32"/>
      <c r="AI1353" s="32"/>
      <c r="AJ1353" s="32"/>
      <c r="AK1353" s="32"/>
      <c r="AL1353" s="31"/>
      <c r="AM1353" s="32"/>
      <c r="AN1353" s="32"/>
      <c r="AO1353" s="32"/>
      <c r="AP1353" s="32"/>
      <c r="AQ1353" s="31"/>
      <c r="AR1353" s="32"/>
      <c r="AS1353" s="32"/>
      <c r="AT1353" s="32"/>
      <c r="AU1353" s="32"/>
      <c r="AV1353" s="31"/>
      <c r="AW1353" s="32"/>
      <c r="AX1353" s="32"/>
      <c r="AY1353" s="32"/>
      <c r="AZ1353" s="32"/>
      <c r="BA1353" s="33"/>
      <c r="BB1353" s="32"/>
      <c r="BC1353" s="32"/>
      <c r="BD1353" s="32"/>
      <c r="BE1353" s="32"/>
      <c r="BF1353" s="33"/>
      <c r="BG1353" s="32"/>
      <c r="BH1353" s="32"/>
      <c r="BI1353" s="32"/>
      <c r="BJ1353" s="32"/>
      <c r="BK1353" s="33"/>
      <c r="BL1353" s="32"/>
      <c r="BM1353" s="32"/>
      <c r="BN1353" s="32"/>
      <c r="BO1353" s="32"/>
      <c r="BP1353" s="33"/>
      <c r="BQ1353" s="16"/>
      <c r="BR1353" s="16"/>
      <c r="BS1353" s="16"/>
      <c r="BT1353" s="16"/>
      <c r="BU1353" s="21"/>
      <c r="BV1353" s="16"/>
      <c r="BW1353" s="16"/>
      <c r="BX1353" s="16"/>
      <c r="BY1353" s="16"/>
      <c r="BZ1353" s="10"/>
      <c r="CA1353" s="16"/>
      <c r="CB1353" s="16"/>
      <c r="CC1353" s="16"/>
      <c r="CD1353" s="16"/>
      <c r="CE1353" s="10"/>
      <c r="CF1353" s="16"/>
      <c r="CG1353" s="16"/>
      <c r="CH1353" s="16"/>
      <c r="CI1353" s="16"/>
      <c r="CJ1353" s="10"/>
      <c r="CK1353" s="16"/>
      <c r="CL1353" s="16"/>
      <c r="CM1353" s="16"/>
      <c r="CN1353" s="16"/>
      <c r="CO1353" s="10"/>
      <c r="CP1353" s="16"/>
      <c r="CQ1353" s="16"/>
      <c r="CR1353" s="16"/>
      <c r="CS1353" s="16"/>
      <c r="CT1353" s="10"/>
      <c r="CU1353" s="16"/>
      <c r="CV1353" s="16"/>
      <c r="CW1353" s="16"/>
      <c r="CX1353" s="16"/>
      <c r="CY1353" s="10"/>
      <c r="CZ1353" s="16"/>
      <c r="DA1353" s="16"/>
      <c r="DB1353" s="16"/>
      <c r="DC1353" s="16"/>
      <c r="DD1353" s="10"/>
      <c r="DE1353" s="16"/>
      <c r="DF1353" s="16"/>
      <c r="DG1353" s="16"/>
      <c r="DH1353" s="16"/>
      <c r="DI1353" s="10"/>
      <c r="DJ1353" s="16"/>
      <c r="DK1353" s="16"/>
      <c r="DL1353" s="16"/>
      <c r="DM1353" s="16"/>
      <c r="DN1353" s="10"/>
      <c r="DO1353" s="16"/>
      <c r="DP1353" s="16"/>
      <c r="DQ1353" s="16"/>
      <c r="DR1353" s="16"/>
      <c r="DS1353" s="10"/>
      <c r="DT1353" s="16"/>
      <c r="DU1353" s="16"/>
      <c r="DV1353" s="16"/>
      <c r="DW1353" s="16"/>
      <c r="DX1353" s="10"/>
      <c r="DY1353" s="16"/>
      <c r="DZ1353" s="16"/>
      <c r="EA1353" s="16"/>
      <c r="EB1353" s="16"/>
      <c r="EC1353" s="10"/>
      <c r="ED1353" s="16"/>
      <c r="EE1353" s="16"/>
      <c r="EF1353" s="16"/>
      <c r="EG1353" s="16"/>
      <c r="EH1353" s="10"/>
      <c r="EI1353" s="214"/>
      <c r="EJ1353" s="16"/>
      <c r="EK1353" s="16"/>
      <c r="EL1353" s="16"/>
      <c r="EM1353" s="10"/>
      <c r="EN1353" s="16"/>
      <c r="EO1353" s="16"/>
      <c r="EP1353" s="16"/>
      <c r="EQ1353" s="16"/>
      <c r="ER1353" s="10"/>
      <c r="ES1353" s="16"/>
      <c r="ET1353" s="16"/>
      <c r="EU1353" s="16"/>
      <c r="EV1353" s="16"/>
      <c r="EW1353" s="10"/>
      <c r="EX1353" s="16"/>
      <c r="EY1353" s="16"/>
      <c r="EZ1353" s="16"/>
      <c r="FA1353" s="16"/>
      <c r="FB1353" s="10"/>
      <c r="FC1353" s="16"/>
      <c r="FD1353" s="16"/>
      <c r="FE1353" s="16"/>
      <c r="FF1353" s="16"/>
      <c r="FG1353" s="10"/>
      <c r="FH1353" s="21"/>
      <c r="FI1353" s="16"/>
      <c r="FJ1353" s="16"/>
      <c r="FK1353" s="16"/>
      <c r="FL1353" s="16"/>
    </row>
    <row r="1354" ht="12.75" customHeight="1">
      <c r="A1354" s="16"/>
      <c r="B1354" s="16"/>
      <c r="C1354" s="16"/>
      <c r="D1354" s="16"/>
      <c r="E1354" s="16"/>
      <c r="F1354" s="16"/>
      <c r="G1354" s="16"/>
      <c r="H1354" s="31"/>
      <c r="I1354" s="32"/>
      <c r="J1354" s="32"/>
      <c r="K1354" s="32"/>
      <c r="L1354" s="32"/>
      <c r="M1354" s="31"/>
      <c r="N1354" s="32"/>
      <c r="O1354" s="32"/>
      <c r="P1354" s="32"/>
      <c r="Q1354" s="32"/>
      <c r="R1354" s="33"/>
      <c r="S1354" s="32"/>
      <c r="T1354" s="32"/>
      <c r="U1354" s="32"/>
      <c r="V1354" s="32"/>
      <c r="W1354" s="33"/>
      <c r="X1354" s="32"/>
      <c r="Y1354" s="32"/>
      <c r="Z1354" s="32"/>
      <c r="AA1354" s="32"/>
      <c r="AB1354" s="31"/>
      <c r="AC1354" s="32"/>
      <c r="AD1354" s="32"/>
      <c r="AE1354" s="32"/>
      <c r="AF1354" s="32"/>
      <c r="AG1354" s="31"/>
      <c r="AH1354" s="32"/>
      <c r="AI1354" s="32"/>
      <c r="AJ1354" s="32"/>
      <c r="AK1354" s="32"/>
      <c r="AL1354" s="31"/>
      <c r="AM1354" s="32"/>
      <c r="AN1354" s="32"/>
      <c r="AO1354" s="32"/>
      <c r="AP1354" s="32"/>
      <c r="AQ1354" s="31"/>
      <c r="AR1354" s="32"/>
      <c r="AS1354" s="32"/>
      <c r="AT1354" s="32"/>
      <c r="AU1354" s="32"/>
      <c r="AV1354" s="31"/>
      <c r="AW1354" s="32"/>
      <c r="AX1354" s="32"/>
      <c r="AY1354" s="32"/>
      <c r="AZ1354" s="32"/>
      <c r="BA1354" s="33"/>
      <c r="BB1354" s="32"/>
      <c r="BC1354" s="32"/>
      <c r="BD1354" s="32"/>
      <c r="BE1354" s="32"/>
      <c r="BF1354" s="33"/>
      <c r="BG1354" s="32"/>
      <c r="BH1354" s="32"/>
      <c r="BI1354" s="32"/>
      <c r="BJ1354" s="32"/>
      <c r="BK1354" s="33"/>
      <c r="BL1354" s="32"/>
      <c r="BM1354" s="32"/>
      <c r="BN1354" s="32"/>
      <c r="BO1354" s="32"/>
      <c r="BP1354" s="33"/>
      <c r="BQ1354" s="16"/>
      <c r="BR1354" s="16"/>
      <c r="BS1354" s="16"/>
      <c r="BT1354" s="16"/>
      <c r="BU1354" s="21"/>
      <c r="BV1354" s="16"/>
      <c r="BW1354" s="16"/>
      <c r="BX1354" s="16"/>
      <c r="BY1354" s="16"/>
      <c r="BZ1354" s="10"/>
      <c r="CA1354" s="16"/>
      <c r="CB1354" s="16"/>
      <c r="CC1354" s="16"/>
      <c r="CD1354" s="16"/>
      <c r="CE1354" s="10"/>
      <c r="CF1354" s="16"/>
      <c r="CG1354" s="16"/>
      <c r="CH1354" s="16"/>
      <c r="CI1354" s="16"/>
      <c r="CJ1354" s="10"/>
      <c r="CK1354" s="16"/>
      <c r="CL1354" s="16"/>
      <c r="CM1354" s="16"/>
      <c r="CN1354" s="16"/>
      <c r="CO1354" s="10"/>
      <c r="CP1354" s="16"/>
      <c r="CQ1354" s="16"/>
      <c r="CR1354" s="16"/>
      <c r="CS1354" s="16"/>
      <c r="CT1354" s="10"/>
      <c r="CU1354" s="16"/>
      <c r="CV1354" s="16"/>
      <c r="CW1354" s="16"/>
      <c r="CX1354" s="16"/>
      <c r="CY1354" s="10"/>
      <c r="CZ1354" s="16"/>
      <c r="DA1354" s="16"/>
      <c r="DB1354" s="16"/>
      <c r="DC1354" s="16"/>
      <c r="DD1354" s="10"/>
      <c r="DE1354" s="16"/>
      <c r="DF1354" s="16"/>
      <c r="DG1354" s="16"/>
      <c r="DH1354" s="16"/>
      <c r="DI1354" s="10"/>
      <c r="DJ1354" s="16"/>
      <c r="DK1354" s="16"/>
      <c r="DL1354" s="16"/>
      <c r="DM1354" s="16"/>
      <c r="DN1354" s="10"/>
      <c r="DO1354" s="16"/>
      <c r="DP1354" s="16"/>
      <c r="DQ1354" s="16"/>
      <c r="DR1354" s="16"/>
      <c r="DS1354" s="10"/>
      <c r="DT1354" s="16"/>
      <c r="DU1354" s="16"/>
      <c r="DV1354" s="16"/>
      <c r="DW1354" s="16"/>
      <c r="DX1354" s="10"/>
      <c r="DY1354" s="16"/>
      <c r="DZ1354" s="16"/>
      <c r="EA1354" s="16"/>
      <c r="EB1354" s="16"/>
      <c r="EC1354" s="10"/>
      <c r="ED1354" s="16"/>
      <c r="EE1354" s="16"/>
      <c r="EF1354" s="16"/>
      <c r="EG1354" s="16"/>
      <c r="EH1354" s="10"/>
      <c r="EI1354" s="214"/>
      <c r="EJ1354" s="16"/>
      <c r="EK1354" s="16"/>
      <c r="EL1354" s="16"/>
      <c r="EM1354" s="10"/>
      <c r="EN1354" s="16"/>
      <c r="EO1354" s="16"/>
      <c r="EP1354" s="16"/>
      <c r="EQ1354" s="16"/>
      <c r="ER1354" s="10"/>
      <c r="ES1354" s="16"/>
      <c r="ET1354" s="16"/>
      <c r="EU1354" s="16"/>
      <c r="EV1354" s="16"/>
      <c r="EW1354" s="10"/>
      <c r="EX1354" s="16"/>
      <c r="EY1354" s="16"/>
      <c r="EZ1354" s="16"/>
      <c r="FA1354" s="16"/>
      <c r="FB1354" s="10"/>
      <c r="FC1354" s="16"/>
      <c r="FD1354" s="16"/>
      <c r="FE1354" s="16"/>
      <c r="FF1354" s="16"/>
      <c r="FG1354" s="10"/>
      <c r="FH1354" s="21"/>
      <c r="FI1354" s="16"/>
      <c r="FJ1354" s="16"/>
      <c r="FK1354" s="16"/>
      <c r="FL1354" s="16"/>
    </row>
    <row r="1355" ht="12.75" customHeight="1">
      <c r="A1355" s="16"/>
      <c r="B1355" s="16"/>
      <c r="C1355" s="16"/>
      <c r="D1355" s="16"/>
      <c r="E1355" s="16"/>
      <c r="F1355" s="16"/>
      <c r="G1355" s="16"/>
      <c r="H1355" s="31"/>
      <c r="I1355" s="32"/>
      <c r="J1355" s="32"/>
      <c r="K1355" s="32"/>
      <c r="L1355" s="32"/>
      <c r="M1355" s="31"/>
      <c r="N1355" s="32"/>
      <c r="O1355" s="32"/>
      <c r="P1355" s="32"/>
      <c r="Q1355" s="32"/>
      <c r="R1355" s="33"/>
      <c r="S1355" s="32"/>
      <c r="T1355" s="32"/>
      <c r="U1355" s="32"/>
      <c r="V1355" s="32"/>
      <c r="W1355" s="33"/>
      <c r="X1355" s="32"/>
      <c r="Y1355" s="32"/>
      <c r="Z1355" s="32"/>
      <c r="AA1355" s="32"/>
      <c r="AB1355" s="31"/>
      <c r="AC1355" s="32"/>
      <c r="AD1355" s="32"/>
      <c r="AE1355" s="32"/>
      <c r="AF1355" s="32"/>
      <c r="AG1355" s="31"/>
      <c r="AH1355" s="32"/>
      <c r="AI1355" s="32"/>
      <c r="AJ1355" s="32"/>
      <c r="AK1355" s="32"/>
      <c r="AL1355" s="31"/>
      <c r="AM1355" s="32"/>
      <c r="AN1355" s="32"/>
      <c r="AO1355" s="32"/>
      <c r="AP1355" s="32"/>
      <c r="AQ1355" s="31"/>
      <c r="AR1355" s="32"/>
      <c r="AS1355" s="32"/>
      <c r="AT1355" s="32"/>
      <c r="AU1355" s="32"/>
      <c r="AV1355" s="31"/>
      <c r="AW1355" s="32"/>
      <c r="AX1355" s="32"/>
      <c r="AY1355" s="32"/>
      <c r="AZ1355" s="32"/>
      <c r="BA1355" s="33"/>
      <c r="BB1355" s="32"/>
      <c r="BC1355" s="32"/>
      <c r="BD1355" s="32"/>
      <c r="BE1355" s="32"/>
      <c r="BF1355" s="33"/>
      <c r="BG1355" s="32"/>
      <c r="BH1355" s="32"/>
      <c r="BI1355" s="32"/>
      <c r="BJ1355" s="32"/>
      <c r="BK1355" s="33"/>
      <c r="BL1355" s="32"/>
      <c r="BM1355" s="32"/>
      <c r="BN1355" s="32"/>
      <c r="BO1355" s="32"/>
      <c r="BP1355" s="33"/>
      <c r="BQ1355" s="16"/>
      <c r="BR1355" s="16"/>
      <c r="BS1355" s="16"/>
      <c r="BT1355" s="16"/>
      <c r="BU1355" s="21"/>
      <c r="BV1355" s="16"/>
      <c r="BW1355" s="16"/>
      <c r="BX1355" s="16"/>
      <c r="BY1355" s="16"/>
      <c r="BZ1355" s="10"/>
      <c r="CA1355" s="16"/>
      <c r="CB1355" s="16"/>
      <c r="CC1355" s="16"/>
      <c r="CD1355" s="16"/>
      <c r="CE1355" s="10"/>
      <c r="CF1355" s="16"/>
      <c r="CG1355" s="16"/>
      <c r="CH1355" s="16"/>
      <c r="CI1355" s="16"/>
      <c r="CJ1355" s="10"/>
      <c r="CK1355" s="16"/>
      <c r="CL1355" s="16"/>
      <c r="CM1355" s="16"/>
      <c r="CN1355" s="16"/>
      <c r="CO1355" s="10"/>
      <c r="CP1355" s="16"/>
      <c r="CQ1355" s="16"/>
      <c r="CR1355" s="16"/>
      <c r="CS1355" s="16"/>
      <c r="CT1355" s="10"/>
      <c r="CU1355" s="16"/>
      <c r="CV1355" s="16"/>
      <c r="CW1355" s="16"/>
      <c r="CX1355" s="16"/>
      <c r="CY1355" s="10"/>
      <c r="CZ1355" s="16"/>
      <c r="DA1355" s="16"/>
      <c r="DB1355" s="16"/>
      <c r="DC1355" s="16"/>
      <c r="DD1355" s="10"/>
      <c r="DE1355" s="16"/>
      <c r="DF1355" s="16"/>
      <c r="DG1355" s="16"/>
      <c r="DH1355" s="16"/>
      <c r="DI1355" s="10"/>
      <c r="DJ1355" s="16"/>
      <c r="DK1355" s="16"/>
      <c r="DL1355" s="16"/>
      <c r="DM1355" s="16"/>
      <c r="DN1355" s="10"/>
      <c r="DO1355" s="16"/>
      <c r="DP1355" s="16"/>
      <c r="DQ1355" s="16"/>
      <c r="DR1355" s="16"/>
      <c r="DS1355" s="10"/>
      <c r="DT1355" s="16"/>
      <c r="DU1355" s="16"/>
      <c r="DV1355" s="16"/>
      <c r="DW1355" s="16"/>
      <c r="DX1355" s="10"/>
      <c r="DY1355" s="16"/>
      <c r="DZ1355" s="16"/>
      <c r="EA1355" s="16"/>
      <c r="EB1355" s="16"/>
      <c r="EC1355" s="10"/>
      <c r="ED1355" s="16"/>
      <c r="EE1355" s="16"/>
      <c r="EF1355" s="16"/>
      <c r="EG1355" s="16"/>
      <c r="EH1355" s="10"/>
      <c r="EI1355" s="214"/>
      <c r="EJ1355" s="16"/>
      <c r="EK1355" s="16"/>
      <c r="EL1355" s="16"/>
      <c r="EM1355" s="10"/>
      <c r="EN1355" s="16"/>
      <c r="EO1355" s="16"/>
      <c r="EP1355" s="16"/>
      <c r="EQ1355" s="16"/>
      <c r="ER1355" s="10"/>
      <c r="ES1355" s="16"/>
      <c r="ET1355" s="16"/>
      <c r="EU1355" s="16"/>
      <c r="EV1355" s="16"/>
      <c r="EW1355" s="10"/>
      <c r="EX1355" s="16"/>
      <c r="EY1355" s="16"/>
      <c r="EZ1355" s="16"/>
      <c r="FA1355" s="16"/>
      <c r="FB1355" s="10"/>
      <c r="FC1355" s="16"/>
      <c r="FD1355" s="16"/>
      <c r="FE1355" s="16"/>
      <c r="FF1355" s="16"/>
      <c r="FG1355" s="10"/>
      <c r="FH1355" s="21"/>
      <c r="FI1355" s="16"/>
      <c r="FJ1355" s="16"/>
      <c r="FK1355" s="16"/>
      <c r="FL1355" s="16"/>
    </row>
    <row r="1356" ht="12.75" customHeight="1">
      <c r="A1356" s="16"/>
      <c r="B1356" s="16"/>
      <c r="C1356" s="16"/>
      <c r="D1356" s="16"/>
      <c r="E1356" s="16"/>
      <c r="F1356" s="16"/>
      <c r="G1356" s="16"/>
      <c r="H1356" s="31"/>
      <c r="I1356" s="32"/>
      <c r="J1356" s="32"/>
      <c r="K1356" s="32"/>
      <c r="L1356" s="32"/>
      <c r="M1356" s="31"/>
      <c r="N1356" s="32"/>
      <c r="O1356" s="32"/>
      <c r="P1356" s="32"/>
      <c r="Q1356" s="32"/>
      <c r="R1356" s="33"/>
      <c r="S1356" s="32"/>
      <c r="T1356" s="32"/>
      <c r="U1356" s="32"/>
      <c r="V1356" s="32"/>
      <c r="W1356" s="33"/>
      <c r="X1356" s="32"/>
      <c r="Y1356" s="32"/>
      <c r="Z1356" s="32"/>
      <c r="AA1356" s="32"/>
      <c r="AB1356" s="31"/>
      <c r="AC1356" s="32"/>
      <c r="AD1356" s="32"/>
      <c r="AE1356" s="32"/>
      <c r="AF1356" s="32"/>
      <c r="AG1356" s="31"/>
      <c r="AH1356" s="32"/>
      <c r="AI1356" s="32"/>
      <c r="AJ1356" s="32"/>
      <c r="AK1356" s="32"/>
      <c r="AL1356" s="31"/>
      <c r="AM1356" s="32"/>
      <c r="AN1356" s="32"/>
      <c r="AO1356" s="32"/>
      <c r="AP1356" s="32"/>
      <c r="AQ1356" s="31"/>
      <c r="AR1356" s="32"/>
      <c r="AS1356" s="32"/>
      <c r="AT1356" s="32"/>
      <c r="AU1356" s="32"/>
      <c r="AV1356" s="31"/>
      <c r="AW1356" s="32"/>
      <c r="AX1356" s="32"/>
      <c r="AY1356" s="32"/>
      <c r="AZ1356" s="32"/>
      <c r="BA1356" s="33"/>
      <c r="BB1356" s="32"/>
      <c r="BC1356" s="32"/>
      <c r="BD1356" s="32"/>
      <c r="BE1356" s="32"/>
      <c r="BF1356" s="33"/>
      <c r="BG1356" s="32"/>
      <c r="BH1356" s="32"/>
      <c r="BI1356" s="32"/>
      <c r="BJ1356" s="32"/>
      <c r="BK1356" s="33"/>
      <c r="BL1356" s="32"/>
      <c r="BM1356" s="32"/>
      <c r="BN1356" s="32"/>
      <c r="BO1356" s="32"/>
      <c r="BP1356" s="33"/>
      <c r="BQ1356" s="16"/>
      <c r="BR1356" s="16"/>
      <c r="BS1356" s="16"/>
      <c r="BT1356" s="16"/>
      <c r="BU1356" s="21"/>
      <c r="BV1356" s="16"/>
      <c r="BW1356" s="16"/>
      <c r="BX1356" s="16"/>
      <c r="BY1356" s="16"/>
      <c r="BZ1356" s="10"/>
      <c r="CA1356" s="16"/>
      <c r="CB1356" s="16"/>
      <c r="CC1356" s="16"/>
      <c r="CD1356" s="16"/>
      <c r="CE1356" s="10"/>
      <c r="CF1356" s="16"/>
      <c r="CG1356" s="16"/>
      <c r="CH1356" s="16"/>
      <c r="CI1356" s="16"/>
      <c r="CJ1356" s="10"/>
      <c r="CK1356" s="16"/>
      <c r="CL1356" s="16"/>
      <c r="CM1356" s="16"/>
      <c r="CN1356" s="16"/>
      <c r="CO1356" s="10"/>
      <c r="CP1356" s="16"/>
      <c r="CQ1356" s="16"/>
      <c r="CR1356" s="16"/>
      <c r="CS1356" s="16"/>
      <c r="CT1356" s="10"/>
      <c r="CU1356" s="16"/>
      <c r="CV1356" s="16"/>
      <c r="CW1356" s="16"/>
      <c r="CX1356" s="16"/>
      <c r="CY1356" s="10"/>
      <c r="CZ1356" s="16"/>
      <c r="DA1356" s="16"/>
      <c r="DB1356" s="16"/>
      <c r="DC1356" s="16"/>
      <c r="DD1356" s="10"/>
      <c r="DE1356" s="16"/>
      <c r="DF1356" s="16"/>
      <c r="DG1356" s="16"/>
      <c r="DH1356" s="16"/>
      <c r="DI1356" s="10"/>
      <c r="DJ1356" s="16"/>
      <c r="DK1356" s="16"/>
      <c r="DL1356" s="16"/>
      <c r="DM1356" s="16"/>
      <c r="DN1356" s="10"/>
      <c r="DO1356" s="16"/>
      <c r="DP1356" s="16"/>
      <c r="DQ1356" s="16"/>
      <c r="DR1356" s="16"/>
      <c r="DS1356" s="10"/>
      <c r="DT1356" s="16"/>
      <c r="DU1356" s="16"/>
      <c r="DV1356" s="16"/>
      <c r="DW1356" s="16"/>
      <c r="DX1356" s="10"/>
      <c r="DY1356" s="16"/>
      <c r="DZ1356" s="16"/>
      <c r="EA1356" s="16"/>
      <c r="EB1356" s="16"/>
      <c r="EC1356" s="10"/>
      <c r="ED1356" s="16"/>
      <c r="EE1356" s="16"/>
      <c r="EF1356" s="16"/>
      <c r="EG1356" s="16"/>
      <c r="EH1356" s="10"/>
      <c r="EI1356" s="214"/>
      <c r="EJ1356" s="16"/>
      <c r="EK1356" s="16"/>
      <c r="EL1356" s="16"/>
      <c r="EM1356" s="10"/>
      <c r="EN1356" s="16"/>
      <c r="EO1356" s="16"/>
      <c r="EP1356" s="16"/>
      <c r="EQ1356" s="16"/>
      <c r="ER1356" s="10"/>
      <c r="ES1356" s="16"/>
      <c r="ET1356" s="16"/>
      <c r="EU1356" s="16"/>
      <c r="EV1356" s="16"/>
      <c r="EW1356" s="10"/>
      <c r="EX1356" s="16"/>
      <c r="EY1356" s="16"/>
      <c r="EZ1356" s="16"/>
      <c r="FA1356" s="16"/>
      <c r="FB1356" s="10"/>
      <c r="FC1356" s="16"/>
      <c r="FD1356" s="16"/>
      <c r="FE1356" s="16"/>
      <c r="FF1356" s="16"/>
      <c r="FG1356" s="10"/>
      <c r="FH1356" s="21"/>
      <c r="FI1356" s="16"/>
      <c r="FJ1356" s="16"/>
      <c r="FK1356" s="16"/>
      <c r="FL1356" s="16"/>
    </row>
    <row r="1357" ht="12.75" customHeight="1">
      <c r="A1357" s="16"/>
      <c r="B1357" s="16"/>
      <c r="C1357" s="16"/>
      <c r="D1357" s="16"/>
      <c r="E1357" s="16"/>
      <c r="F1357" s="16"/>
      <c r="G1357" s="16"/>
      <c r="H1357" s="31"/>
      <c r="I1357" s="32"/>
      <c r="J1357" s="32"/>
      <c r="K1357" s="32"/>
      <c r="L1357" s="32"/>
      <c r="M1357" s="31"/>
      <c r="N1357" s="32"/>
      <c r="O1357" s="32"/>
      <c r="P1357" s="32"/>
      <c r="Q1357" s="32"/>
      <c r="R1357" s="33"/>
      <c r="S1357" s="32"/>
      <c r="T1357" s="32"/>
      <c r="U1357" s="32"/>
      <c r="V1357" s="32"/>
      <c r="W1357" s="33"/>
      <c r="X1357" s="32"/>
      <c r="Y1357" s="32"/>
      <c r="Z1357" s="32"/>
      <c r="AA1357" s="32"/>
      <c r="AB1357" s="31"/>
      <c r="AC1357" s="32"/>
      <c r="AD1357" s="32"/>
      <c r="AE1357" s="32"/>
      <c r="AF1357" s="32"/>
      <c r="AG1357" s="31"/>
      <c r="AH1357" s="32"/>
      <c r="AI1357" s="32"/>
      <c r="AJ1357" s="32"/>
      <c r="AK1357" s="32"/>
      <c r="AL1357" s="31"/>
      <c r="AM1357" s="32"/>
      <c r="AN1357" s="32"/>
      <c r="AO1357" s="32"/>
      <c r="AP1357" s="32"/>
      <c r="AQ1357" s="31"/>
      <c r="AR1357" s="32"/>
      <c r="AS1357" s="32"/>
      <c r="AT1357" s="32"/>
      <c r="AU1357" s="32"/>
      <c r="AV1357" s="31"/>
      <c r="AW1357" s="32"/>
      <c r="AX1357" s="32"/>
      <c r="AY1357" s="32"/>
      <c r="AZ1357" s="32"/>
      <c r="BA1357" s="33"/>
      <c r="BB1357" s="32"/>
      <c r="BC1357" s="32"/>
      <c r="BD1357" s="32"/>
      <c r="BE1357" s="32"/>
      <c r="BF1357" s="33"/>
      <c r="BG1357" s="32"/>
      <c r="BH1357" s="32"/>
      <c r="BI1357" s="32"/>
      <c r="BJ1357" s="32"/>
      <c r="BK1357" s="33"/>
      <c r="BL1357" s="32"/>
      <c r="BM1357" s="32"/>
      <c r="BN1357" s="32"/>
      <c r="BO1357" s="32"/>
      <c r="BP1357" s="33"/>
      <c r="BQ1357" s="16"/>
      <c r="BR1357" s="16"/>
      <c r="BS1357" s="16"/>
      <c r="BT1357" s="16"/>
      <c r="BU1357" s="21"/>
      <c r="BV1357" s="16"/>
      <c r="BW1357" s="16"/>
      <c r="BX1357" s="16"/>
      <c r="BY1357" s="16"/>
      <c r="BZ1357" s="10"/>
      <c r="CA1357" s="16"/>
      <c r="CB1357" s="16"/>
      <c r="CC1357" s="16"/>
      <c r="CD1357" s="16"/>
      <c r="CE1357" s="10"/>
      <c r="CF1357" s="16"/>
      <c r="CG1357" s="16"/>
      <c r="CH1357" s="16"/>
      <c r="CI1357" s="16"/>
      <c r="CJ1357" s="10"/>
      <c r="CK1357" s="16"/>
      <c r="CL1357" s="16"/>
      <c r="CM1357" s="16"/>
      <c r="CN1357" s="16"/>
      <c r="CO1357" s="10"/>
      <c r="CP1357" s="16"/>
      <c r="CQ1357" s="16"/>
      <c r="CR1357" s="16"/>
      <c r="CS1357" s="16"/>
      <c r="CT1357" s="10"/>
      <c r="CU1357" s="16"/>
      <c r="CV1357" s="16"/>
      <c r="CW1357" s="16"/>
      <c r="CX1357" s="16"/>
      <c r="CY1357" s="10"/>
      <c r="CZ1357" s="16"/>
      <c r="DA1357" s="16"/>
      <c r="DB1357" s="16"/>
      <c r="DC1357" s="16"/>
      <c r="DD1357" s="10"/>
      <c r="DE1357" s="16"/>
      <c r="DF1357" s="16"/>
      <c r="DG1357" s="16"/>
      <c r="DH1357" s="16"/>
      <c r="DI1357" s="10"/>
      <c r="DJ1357" s="16"/>
      <c r="DK1357" s="16"/>
      <c r="DL1357" s="16"/>
      <c r="DM1357" s="16"/>
      <c r="DN1357" s="10"/>
      <c r="DO1357" s="16"/>
      <c r="DP1357" s="16"/>
      <c r="DQ1357" s="16"/>
      <c r="DR1357" s="16"/>
      <c r="DS1357" s="10"/>
      <c r="DT1357" s="16"/>
      <c r="DU1357" s="16"/>
      <c r="DV1357" s="16"/>
      <c r="DW1357" s="16"/>
      <c r="DX1357" s="10"/>
      <c r="DY1357" s="16"/>
      <c r="DZ1357" s="16"/>
      <c r="EA1357" s="16"/>
      <c r="EB1357" s="16"/>
      <c r="EC1357" s="10"/>
      <c r="ED1357" s="16"/>
      <c r="EE1357" s="16"/>
      <c r="EF1357" s="16"/>
      <c r="EG1357" s="16"/>
      <c r="EH1357" s="10"/>
      <c r="EI1357" s="214"/>
      <c r="EJ1357" s="16"/>
      <c r="EK1357" s="16"/>
      <c r="EL1357" s="16"/>
      <c r="EM1357" s="10"/>
      <c r="EN1357" s="16"/>
      <c r="EO1357" s="16"/>
      <c r="EP1357" s="16"/>
      <c r="EQ1357" s="16"/>
      <c r="ER1357" s="10"/>
      <c r="ES1357" s="16"/>
      <c r="ET1357" s="16"/>
      <c r="EU1357" s="16"/>
      <c r="EV1357" s="16"/>
      <c r="EW1357" s="10"/>
      <c r="EX1357" s="16"/>
      <c r="EY1357" s="16"/>
      <c r="EZ1357" s="16"/>
      <c r="FA1357" s="16"/>
      <c r="FB1357" s="10"/>
      <c r="FC1357" s="16"/>
      <c r="FD1357" s="16"/>
      <c r="FE1357" s="16"/>
      <c r="FF1357" s="16"/>
      <c r="FG1357" s="10"/>
      <c r="FH1357" s="21"/>
      <c r="FI1357" s="16"/>
      <c r="FJ1357" s="16"/>
      <c r="FK1357" s="16"/>
      <c r="FL1357" s="16"/>
    </row>
    <row r="1358" ht="12.75" customHeight="1">
      <c r="A1358" s="16"/>
      <c r="B1358" s="16"/>
      <c r="C1358" s="16"/>
      <c r="D1358" s="16"/>
      <c r="E1358" s="16"/>
      <c r="F1358" s="16"/>
      <c r="G1358" s="16"/>
      <c r="H1358" s="31"/>
      <c r="I1358" s="32"/>
      <c r="J1358" s="32"/>
      <c r="K1358" s="32"/>
      <c r="L1358" s="32"/>
      <c r="M1358" s="31"/>
      <c r="N1358" s="32"/>
      <c r="O1358" s="32"/>
      <c r="P1358" s="32"/>
      <c r="Q1358" s="32"/>
      <c r="R1358" s="33"/>
      <c r="S1358" s="32"/>
      <c r="T1358" s="32"/>
      <c r="U1358" s="32"/>
      <c r="V1358" s="32"/>
      <c r="W1358" s="33"/>
      <c r="X1358" s="32"/>
      <c r="Y1358" s="32"/>
      <c r="Z1358" s="32"/>
      <c r="AA1358" s="32"/>
      <c r="AB1358" s="31"/>
      <c r="AC1358" s="32"/>
      <c r="AD1358" s="32"/>
      <c r="AE1358" s="32"/>
      <c r="AF1358" s="32"/>
      <c r="AG1358" s="31"/>
      <c r="AH1358" s="32"/>
      <c r="AI1358" s="32"/>
      <c r="AJ1358" s="32"/>
      <c r="AK1358" s="32"/>
      <c r="AL1358" s="31"/>
      <c r="AM1358" s="32"/>
      <c r="AN1358" s="32"/>
      <c r="AO1358" s="32"/>
      <c r="AP1358" s="32"/>
      <c r="AQ1358" s="31"/>
      <c r="AR1358" s="32"/>
      <c r="AS1358" s="32"/>
      <c r="AT1358" s="32"/>
      <c r="AU1358" s="32"/>
      <c r="AV1358" s="31"/>
      <c r="AW1358" s="32"/>
      <c r="AX1358" s="32"/>
      <c r="AY1358" s="32"/>
      <c r="AZ1358" s="32"/>
      <c r="BA1358" s="33"/>
      <c r="BB1358" s="32"/>
      <c r="BC1358" s="32"/>
      <c r="BD1358" s="32"/>
      <c r="BE1358" s="32"/>
      <c r="BF1358" s="33"/>
      <c r="BG1358" s="32"/>
      <c r="BH1358" s="32"/>
      <c r="BI1358" s="32"/>
      <c r="BJ1358" s="32"/>
      <c r="BK1358" s="33"/>
      <c r="BL1358" s="32"/>
      <c r="BM1358" s="32"/>
      <c r="BN1358" s="32"/>
      <c r="BO1358" s="32"/>
      <c r="BP1358" s="33"/>
      <c r="BQ1358" s="16"/>
      <c r="BR1358" s="16"/>
      <c r="BS1358" s="16"/>
      <c r="BT1358" s="16"/>
      <c r="BU1358" s="21"/>
      <c r="BV1358" s="16"/>
      <c r="BW1358" s="16"/>
      <c r="BX1358" s="16"/>
      <c r="BY1358" s="16"/>
      <c r="BZ1358" s="10"/>
      <c r="CA1358" s="16"/>
      <c r="CB1358" s="16"/>
      <c r="CC1358" s="16"/>
      <c r="CD1358" s="16"/>
      <c r="CE1358" s="10"/>
      <c r="CF1358" s="16"/>
      <c r="CG1358" s="16"/>
      <c r="CH1358" s="16"/>
      <c r="CI1358" s="16"/>
      <c r="CJ1358" s="10"/>
      <c r="CK1358" s="16"/>
      <c r="CL1358" s="16"/>
      <c r="CM1358" s="16"/>
      <c r="CN1358" s="16"/>
      <c r="CO1358" s="10"/>
      <c r="CP1358" s="16"/>
      <c r="CQ1358" s="16"/>
      <c r="CR1358" s="16"/>
      <c r="CS1358" s="16"/>
      <c r="CT1358" s="10"/>
      <c r="CU1358" s="16"/>
      <c r="CV1358" s="16"/>
      <c r="CW1358" s="16"/>
      <c r="CX1358" s="16"/>
      <c r="CY1358" s="10"/>
      <c r="CZ1358" s="16"/>
      <c r="DA1358" s="16"/>
      <c r="DB1358" s="16"/>
      <c r="DC1358" s="16"/>
      <c r="DD1358" s="10"/>
      <c r="DE1358" s="16"/>
      <c r="DF1358" s="16"/>
      <c r="DG1358" s="16"/>
      <c r="DH1358" s="16"/>
      <c r="DI1358" s="10"/>
      <c r="DJ1358" s="16"/>
      <c r="DK1358" s="16"/>
      <c r="DL1358" s="16"/>
      <c r="DM1358" s="16"/>
      <c r="DN1358" s="10"/>
      <c r="DO1358" s="16"/>
      <c r="DP1358" s="16"/>
      <c r="DQ1358" s="16"/>
      <c r="DR1358" s="16"/>
      <c r="DS1358" s="10"/>
      <c r="DT1358" s="16"/>
      <c r="DU1358" s="16"/>
      <c r="DV1358" s="16"/>
      <c r="DW1358" s="16"/>
      <c r="DX1358" s="10"/>
      <c r="DY1358" s="16"/>
      <c r="DZ1358" s="16"/>
      <c r="EA1358" s="16"/>
      <c r="EB1358" s="16"/>
      <c r="EC1358" s="10"/>
      <c r="ED1358" s="16"/>
      <c r="EE1358" s="16"/>
      <c r="EF1358" s="16"/>
      <c r="EG1358" s="16"/>
      <c r="EH1358" s="10"/>
      <c r="EI1358" s="214"/>
      <c r="EJ1358" s="16"/>
      <c r="EK1358" s="16"/>
      <c r="EL1358" s="16"/>
      <c r="EM1358" s="10"/>
      <c r="EN1358" s="16"/>
      <c r="EO1358" s="16"/>
      <c r="EP1358" s="16"/>
      <c r="EQ1358" s="16"/>
      <c r="ER1358" s="10"/>
      <c r="ES1358" s="16"/>
      <c r="ET1358" s="16"/>
      <c r="EU1358" s="16"/>
      <c r="EV1358" s="16"/>
      <c r="EW1358" s="10"/>
      <c r="EX1358" s="16"/>
      <c r="EY1358" s="16"/>
      <c r="EZ1358" s="16"/>
      <c r="FA1358" s="16"/>
      <c r="FB1358" s="10"/>
      <c r="FC1358" s="16"/>
      <c r="FD1358" s="16"/>
      <c r="FE1358" s="16"/>
      <c r="FF1358" s="16"/>
      <c r="FG1358" s="10"/>
      <c r="FH1358" s="21"/>
      <c r="FI1358" s="16"/>
      <c r="FJ1358" s="16"/>
      <c r="FK1358" s="16"/>
      <c r="FL1358" s="16"/>
    </row>
    <row r="1359" ht="12.75" customHeight="1">
      <c r="A1359" s="16"/>
      <c r="B1359" s="16"/>
      <c r="C1359" s="16"/>
      <c r="D1359" s="16"/>
      <c r="E1359" s="16"/>
      <c r="F1359" s="16"/>
      <c r="G1359" s="16"/>
      <c r="H1359" s="31"/>
      <c r="I1359" s="32"/>
      <c r="J1359" s="32"/>
      <c r="K1359" s="32"/>
      <c r="L1359" s="32"/>
      <c r="M1359" s="31"/>
      <c r="N1359" s="32"/>
      <c r="O1359" s="32"/>
      <c r="P1359" s="32"/>
      <c r="Q1359" s="32"/>
      <c r="R1359" s="33"/>
      <c r="S1359" s="32"/>
      <c r="T1359" s="32"/>
      <c r="U1359" s="32"/>
      <c r="V1359" s="32"/>
      <c r="W1359" s="33"/>
      <c r="X1359" s="32"/>
      <c r="Y1359" s="32"/>
      <c r="Z1359" s="32"/>
      <c r="AA1359" s="32"/>
      <c r="AB1359" s="31"/>
      <c r="AC1359" s="32"/>
      <c r="AD1359" s="32"/>
      <c r="AE1359" s="32"/>
      <c r="AF1359" s="32"/>
      <c r="AG1359" s="31"/>
      <c r="AH1359" s="32"/>
      <c r="AI1359" s="32"/>
      <c r="AJ1359" s="32"/>
      <c r="AK1359" s="32"/>
      <c r="AL1359" s="31"/>
      <c r="AM1359" s="32"/>
      <c r="AN1359" s="32"/>
      <c r="AO1359" s="32"/>
      <c r="AP1359" s="32"/>
      <c r="AQ1359" s="31"/>
      <c r="AR1359" s="32"/>
      <c r="AS1359" s="32"/>
      <c r="AT1359" s="32"/>
      <c r="AU1359" s="32"/>
      <c r="AV1359" s="31"/>
      <c r="AW1359" s="32"/>
      <c r="AX1359" s="32"/>
      <c r="AY1359" s="32"/>
      <c r="AZ1359" s="32"/>
      <c r="BA1359" s="33"/>
      <c r="BB1359" s="32"/>
      <c r="BC1359" s="32"/>
      <c r="BD1359" s="32"/>
      <c r="BE1359" s="32"/>
      <c r="BF1359" s="33"/>
      <c r="BG1359" s="32"/>
      <c r="BH1359" s="32"/>
      <c r="BI1359" s="32"/>
      <c r="BJ1359" s="32"/>
      <c r="BK1359" s="33"/>
      <c r="BL1359" s="32"/>
      <c r="BM1359" s="32"/>
      <c r="BN1359" s="32"/>
      <c r="BO1359" s="32"/>
      <c r="BP1359" s="33"/>
      <c r="BQ1359" s="16"/>
      <c r="BR1359" s="16"/>
      <c r="BS1359" s="16"/>
      <c r="BT1359" s="16"/>
      <c r="BU1359" s="21"/>
      <c r="BV1359" s="16"/>
      <c r="BW1359" s="16"/>
      <c r="BX1359" s="16"/>
      <c r="BY1359" s="16"/>
      <c r="BZ1359" s="10"/>
      <c r="CA1359" s="16"/>
      <c r="CB1359" s="16"/>
      <c r="CC1359" s="16"/>
      <c r="CD1359" s="16"/>
      <c r="CE1359" s="10"/>
      <c r="CF1359" s="16"/>
      <c r="CG1359" s="16"/>
      <c r="CH1359" s="16"/>
      <c r="CI1359" s="16"/>
      <c r="CJ1359" s="10"/>
      <c r="CK1359" s="16"/>
      <c r="CL1359" s="16"/>
      <c r="CM1359" s="16"/>
      <c r="CN1359" s="16"/>
      <c r="CO1359" s="10"/>
      <c r="CP1359" s="16"/>
      <c r="CQ1359" s="16"/>
      <c r="CR1359" s="16"/>
      <c r="CS1359" s="16"/>
      <c r="CT1359" s="10"/>
      <c r="CU1359" s="16"/>
      <c r="CV1359" s="16"/>
      <c r="CW1359" s="16"/>
      <c r="CX1359" s="16"/>
      <c r="CY1359" s="10"/>
      <c r="CZ1359" s="16"/>
      <c r="DA1359" s="16"/>
      <c r="DB1359" s="16"/>
      <c r="DC1359" s="16"/>
      <c r="DD1359" s="10"/>
      <c r="DE1359" s="16"/>
      <c r="DF1359" s="16"/>
      <c r="DG1359" s="16"/>
      <c r="DH1359" s="16"/>
      <c r="DI1359" s="10"/>
      <c r="DJ1359" s="16"/>
      <c r="DK1359" s="16"/>
      <c r="DL1359" s="16"/>
      <c r="DM1359" s="16"/>
      <c r="DN1359" s="10"/>
      <c r="DO1359" s="16"/>
      <c r="DP1359" s="16"/>
      <c r="DQ1359" s="16"/>
      <c r="DR1359" s="16"/>
      <c r="DS1359" s="10"/>
      <c r="DT1359" s="16"/>
      <c r="DU1359" s="16"/>
      <c r="DV1359" s="16"/>
      <c r="DW1359" s="16"/>
      <c r="DX1359" s="10"/>
      <c r="DY1359" s="16"/>
      <c r="DZ1359" s="16"/>
      <c r="EA1359" s="16"/>
      <c r="EB1359" s="16"/>
      <c r="EC1359" s="10"/>
      <c r="ED1359" s="16"/>
      <c r="EE1359" s="16"/>
      <c r="EF1359" s="16"/>
      <c r="EG1359" s="16"/>
      <c r="EH1359" s="10"/>
      <c r="EI1359" s="214"/>
      <c r="EJ1359" s="16"/>
      <c r="EK1359" s="16"/>
      <c r="EL1359" s="16"/>
      <c r="EM1359" s="10"/>
      <c r="EN1359" s="16"/>
      <c r="EO1359" s="16"/>
      <c r="EP1359" s="16"/>
      <c r="EQ1359" s="16"/>
      <c r="ER1359" s="10"/>
      <c r="ES1359" s="16"/>
      <c r="ET1359" s="16"/>
      <c r="EU1359" s="16"/>
      <c r="EV1359" s="16"/>
      <c r="EW1359" s="10"/>
      <c r="EX1359" s="16"/>
      <c r="EY1359" s="16"/>
      <c r="EZ1359" s="16"/>
      <c r="FA1359" s="16"/>
      <c r="FB1359" s="10"/>
      <c r="FC1359" s="16"/>
      <c r="FD1359" s="16"/>
      <c r="FE1359" s="16"/>
      <c r="FF1359" s="16"/>
      <c r="FG1359" s="10"/>
      <c r="FH1359" s="21"/>
      <c r="FI1359" s="16"/>
      <c r="FJ1359" s="16"/>
      <c r="FK1359" s="16"/>
      <c r="FL1359" s="16"/>
    </row>
    <row r="1360" ht="12.75" customHeight="1">
      <c r="A1360" s="16"/>
      <c r="B1360" s="16"/>
      <c r="C1360" s="16"/>
      <c r="D1360" s="16"/>
      <c r="E1360" s="16"/>
      <c r="F1360" s="16"/>
      <c r="G1360" s="16"/>
      <c r="H1360" s="31"/>
      <c r="I1360" s="32"/>
      <c r="J1360" s="32"/>
      <c r="K1360" s="32"/>
      <c r="L1360" s="32"/>
      <c r="M1360" s="31"/>
      <c r="N1360" s="32"/>
      <c r="O1360" s="32"/>
      <c r="P1360" s="32"/>
      <c r="Q1360" s="32"/>
      <c r="R1360" s="33"/>
      <c r="S1360" s="32"/>
      <c r="T1360" s="32"/>
      <c r="U1360" s="32"/>
      <c r="V1360" s="32"/>
      <c r="W1360" s="33"/>
      <c r="X1360" s="32"/>
      <c r="Y1360" s="32"/>
      <c r="Z1360" s="32"/>
      <c r="AA1360" s="32"/>
      <c r="AB1360" s="31"/>
      <c r="AC1360" s="32"/>
      <c r="AD1360" s="32"/>
      <c r="AE1360" s="32"/>
      <c r="AF1360" s="32"/>
      <c r="AG1360" s="31"/>
      <c r="AH1360" s="32"/>
      <c r="AI1360" s="32"/>
      <c r="AJ1360" s="32"/>
      <c r="AK1360" s="32"/>
      <c r="AL1360" s="31"/>
      <c r="AM1360" s="32"/>
      <c r="AN1360" s="32"/>
      <c r="AO1360" s="32"/>
      <c r="AP1360" s="32"/>
      <c r="AQ1360" s="31"/>
      <c r="AR1360" s="32"/>
      <c r="AS1360" s="32"/>
      <c r="AT1360" s="32"/>
      <c r="AU1360" s="32"/>
      <c r="AV1360" s="31"/>
      <c r="AW1360" s="32"/>
      <c r="AX1360" s="32"/>
      <c r="AY1360" s="32"/>
      <c r="AZ1360" s="32"/>
      <c r="BA1360" s="33"/>
      <c r="BB1360" s="32"/>
      <c r="BC1360" s="32"/>
      <c r="BD1360" s="32"/>
      <c r="BE1360" s="32"/>
      <c r="BF1360" s="33"/>
      <c r="BG1360" s="32"/>
      <c r="BH1360" s="32"/>
      <c r="BI1360" s="32"/>
      <c r="BJ1360" s="32"/>
      <c r="BK1360" s="33"/>
      <c r="BL1360" s="32"/>
      <c r="BM1360" s="32"/>
      <c r="BN1360" s="32"/>
      <c r="BO1360" s="32"/>
      <c r="BP1360" s="33"/>
      <c r="BQ1360" s="16"/>
      <c r="BR1360" s="16"/>
      <c r="BS1360" s="16"/>
      <c r="BT1360" s="16"/>
      <c r="BU1360" s="21"/>
      <c r="BV1360" s="16"/>
      <c r="BW1360" s="16"/>
      <c r="BX1360" s="16"/>
      <c r="BY1360" s="16"/>
      <c r="BZ1360" s="10"/>
      <c r="CA1360" s="16"/>
      <c r="CB1360" s="16"/>
      <c r="CC1360" s="16"/>
      <c r="CD1360" s="16"/>
      <c r="CE1360" s="10"/>
      <c r="CF1360" s="16"/>
      <c r="CG1360" s="16"/>
      <c r="CH1360" s="16"/>
      <c r="CI1360" s="16"/>
      <c r="CJ1360" s="10"/>
      <c r="CK1360" s="16"/>
      <c r="CL1360" s="16"/>
      <c r="CM1360" s="16"/>
      <c r="CN1360" s="16"/>
      <c r="CO1360" s="10"/>
      <c r="CP1360" s="16"/>
      <c r="CQ1360" s="16"/>
      <c r="CR1360" s="16"/>
      <c r="CS1360" s="16"/>
      <c r="CT1360" s="10"/>
      <c r="CU1360" s="16"/>
      <c r="CV1360" s="16"/>
      <c r="CW1360" s="16"/>
      <c r="CX1360" s="16"/>
      <c r="CY1360" s="10"/>
      <c r="CZ1360" s="16"/>
      <c r="DA1360" s="16"/>
      <c r="DB1360" s="16"/>
      <c r="DC1360" s="16"/>
      <c r="DD1360" s="10"/>
      <c r="DE1360" s="16"/>
      <c r="DF1360" s="16"/>
      <c r="DG1360" s="16"/>
      <c r="DH1360" s="16"/>
      <c r="DI1360" s="10"/>
      <c r="DJ1360" s="16"/>
      <c r="DK1360" s="16"/>
      <c r="DL1360" s="16"/>
      <c r="DM1360" s="16"/>
      <c r="DN1360" s="10"/>
      <c r="DO1360" s="16"/>
      <c r="DP1360" s="16"/>
      <c r="DQ1360" s="16"/>
      <c r="DR1360" s="16"/>
      <c r="DS1360" s="10"/>
      <c r="DT1360" s="16"/>
      <c r="DU1360" s="16"/>
      <c r="DV1360" s="16"/>
      <c r="DW1360" s="16"/>
      <c r="DX1360" s="10"/>
      <c r="DY1360" s="16"/>
      <c r="DZ1360" s="16"/>
      <c r="EA1360" s="16"/>
      <c r="EB1360" s="16"/>
      <c r="EC1360" s="10"/>
      <c r="ED1360" s="16"/>
      <c r="EE1360" s="16"/>
      <c r="EF1360" s="16"/>
      <c r="EG1360" s="16"/>
      <c r="EH1360" s="10"/>
      <c r="EI1360" s="214"/>
      <c r="EJ1360" s="16"/>
      <c r="EK1360" s="16"/>
      <c r="EL1360" s="16"/>
      <c r="EM1360" s="10"/>
      <c r="EN1360" s="16"/>
      <c r="EO1360" s="16"/>
      <c r="EP1360" s="16"/>
      <c r="EQ1360" s="16"/>
      <c r="ER1360" s="10"/>
      <c r="ES1360" s="16"/>
      <c r="ET1360" s="16"/>
      <c r="EU1360" s="16"/>
      <c r="EV1360" s="16"/>
      <c r="EW1360" s="10"/>
      <c r="EX1360" s="16"/>
      <c r="EY1360" s="16"/>
      <c r="EZ1360" s="16"/>
      <c r="FA1360" s="16"/>
      <c r="FB1360" s="10"/>
      <c r="FC1360" s="16"/>
      <c r="FD1360" s="16"/>
      <c r="FE1360" s="16"/>
      <c r="FF1360" s="16"/>
      <c r="FG1360" s="10"/>
      <c r="FH1360" s="21"/>
      <c r="FI1360" s="16"/>
      <c r="FJ1360" s="16"/>
      <c r="FK1360" s="16"/>
      <c r="FL1360" s="16"/>
    </row>
    <row r="1361" ht="12.75" customHeight="1">
      <c r="A1361" s="16"/>
      <c r="B1361" s="16"/>
      <c r="C1361" s="16"/>
      <c r="D1361" s="16"/>
      <c r="E1361" s="16"/>
      <c r="F1361" s="16"/>
      <c r="G1361" s="16"/>
      <c r="H1361" s="31"/>
      <c r="I1361" s="32"/>
      <c r="J1361" s="32"/>
      <c r="K1361" s="32"/>
      <c r="L1361" s="32"/>
      <c r="M1361" s="31"/>
      <c r="N1361" s="32"/>
      <c r="O1361" s="32"/>
      <c r="P1361" s="32"/>
      <c r="Q1361" s="32"/>
      <c r="R1361" s="33"/>
      <c r="S1361" s="32"/>
      <c r="T1361" s="32"/>
      <c r="U1361" s="32"/>
      <c r="V1361" s="32"/>
      <c r="W1361" s="33"/>
      <c r="X1361" s="32"/>
      <c r="Y1361" s="32"/>
      <c r="Z1361" s="32"/>
      <c r="AA1361" s="32"/>
      <c r="AB1361" s="31"/>
      <c r="AC1361" s="32"/>
      <c r="AD1361" s="32"/>
      <c r="AE1361" s="32"/>
      <c r="AF1361" s="32"/>
      <c r="AG1361" s="31"/>
      <c r="AH1361" s="32"/>
      <c r="AI1361" s="32"/>
      <c r="AJ1361" s="32"/>
      <c r="AK1361" s="32"/>
      <c r="AL1361" s="31"/>
      <c r="AM1361" s="32"/>
      <c r="AN1361" s="32"/>
      <c r="AO1361" s="32"/>
      <c r="AP1361" s="32"/>
      <c r="AQ1361" s="31"/>
      <c r="AR1361" s="32"/>
      <c r="AS1361" s="32"/>
      <c r="AT1361" s="32"/>
      <c r="AU1361" s="32"/>
      <c r="AV1361" s="31"/>
      <c r="AW1361" s="32"/>
      <c r="AX1361" s="32"/>
      <c r="AY1361" s="32"/>
      <c r="AZ1361" s="32"/>
      <c r="BA1361" s="33"/>
      <c r="BB1361" s="32"/>
      <c r="BC1361" s="32"/>
      <c r="BD1361" s="32"/>
      <c r="BE1361" s="32"/>
      <c r="BF1361" s="33"/>
      <c r="BG1361" s="32"/>
      <c r="BH1361" s="32"/>
      <c r="BI1361" s="32"/>
      <c r="BJ1361" s="32"/>
      <c r="BK1361" s="33"/>
      <c r="BL1361" s="32"/>
      <c r="BM1361" s="32"/>
      <c r="BN1361" s="32"/>
      <c r="BO1361" s="32"/>
      <c r="BP1361" s="33"/>
      <c r="BQ1361" s="16"/>
      <c r="BR1361" s="16"/>
      <c r="BS1361" s="16"/>
      <c r="BT1361" s="16"/>
      <c r="BU1361" s="21"/>
      <c r="BV1361" s="16"/>
      <c r="BW1361" s="16"/>
      <c r="BX1361" s="16"/>
      <c r="BY1361" s="16"/>
      <c r="BZ1361" s="10"/>
      <c r="CA1361" s="16"/>
      <c r="CB1361" s="16"/>
      <c r="CC1361" s="16"/>
      <c r="CD1361" s="16"/>
      <c r="CE1361" s="10"/>
      <c r="CF1361" s="16"/>
      <c r="CG1361" s="16"/>
      <c r="CH1361" s="16"/>
      <c r="CI1361" s="16"/>
      <c r="CJ1361" s="10"/>
      <c r="CK1361" s="16"/>
      <c r="CL1361" s="16"/>
      <c r="CM1361" s="16"/>
      <c r="CN1361" s="16"/>
      <c r="CO1361" s="10"/>
      <c r="CP1361" s="16"/>
      <c r="CQ1361" s="16"/>
      <c r="CR1361" s="16"/>
      <c r="CS1361" s="16"/>
      <c r="CT1361" s="10"/>
      <c r="CU1361" s="16"/>
      <c r="CV1361" s="16"/>
      <c r="CW1361" s="16"/>
      <c r="CX1361" s="16"/>
      <c r="CY1361" s="10"/>
      <c r="CZ1361" s="16"/>
      <c r="DA1361" s="16"/>
      <c r="DB1361" s="16"/>
      <c r="DC1361" s="16"/>
      <c r="DD1361" s="10"/>
      <c r="DE1361" s="16"/>
      <c r="DF1361" s="16"/>
      <c r="DG1361" s="16"/>
      <c r="DH1361" s="16"/>
      <c r="DI1361" s="10"/>
      <c r="DJ1361" s="16"/>
      <c r="DK1361" s="16"/>
      <c r="DL1361" s="16"/>
      <c r="DM1361" s="16"/>
      <c r="DN1361" s="10"/>
      <c r="DO1361" s="16"/>
      <c r="DP1361" s="16"/>
      <c r="DQ1361" s="16"/>
      <c r="DR1361" s="16"/>
      <c r="DS1361" s="10"/>
      <c r="DT1361" s="16"/>
      <c r="DU1361" s="16"/>
      <c r="DV1361" s="16"/>
      <c r="DW1361" s="16"/>
      <c r="DX1361" s="10"/>
      <c r="DY1361" s="16"/>
      <c r="DZ1361" s="16"/>
      <c r="EA1361" s="16"/>
      <c r="EB1361" s="16"/>
      <c r="EC1361" s="10"/>
      <c r="ED1361" s="16"/>
      <c r="EE1361" s="16"/>
      <c r="EF1361" s="16"/>
      <c r="EG1361" s="16"/>
      <c r="EH1361" s="10"/>
      <c r="EI1361" s="214"/>
      <c r="EJ1361" s="16"/>
      <c r="EK1361" s="16"/>
      <c r="EL1361" s="16"/>
      <c r="EM1361" s="10"/>
      <c r="EN1361" s="16"/>
      <c r="EO1361" s="16"/>
      <c r="EP1361" s="16"/>
      <c r="EQ1361" s="16"/>
      <c r="ER1361" s="10"/>
      <c r="ES1361" s="16"/>
      <c r="ET1361" s="16"/>
      <c r="EU1361" s="16"/>
      <c r="EV1361" s="16"/>
      <c r="EW1361" s="10"/>
      <c r="EX1361" s="16"/>
      <c r="EY1361" s="16"/>
      <c r="EZ1361" s="16"/>
      <c r="FA1361" s="16"/>
      <c r="FB1361" s="10"/>
      <c r="FC1361" s="16"/>
      <c r="FD1361" s="16"/>
      <c r="FE1361" s="16"/>
      <c r="FF1361" s="16"/>
      <c r="FG1361" s="10"/>
      <c r="FH1361" s="21"/>
      <c r="FI1361" s="16"/>
      <c r="FJ1361" s="16"/>
      <c r="FK1361" s="16"/>
      <c r="FL1361" s="16"/>
    </row>
    <row r="1362" ht="12.75" customHeight="1">
      <c r="A1362" s="16"/>
      <c r="B1362" s="16"/>
      <c r="C1362" s="16"/>
      <c r="D1362" s="16"/>
      <c r="E1362" s="16"/>
      <c r="F1362" s="16"/>
      <c r="G1362" s="16"/>
      <c r="H1362" s="31"/>
      <c r="I1362" s="32"/>
      <c r="J1362" s="32"/>
      <c r="K1362" s="32"/>
      <c r="L1362" s="32"/>
      <c r="M1362" s="31"/>
      <c r="N1362" s="32"/>
      <c r="O1362" s="32"/>
      <c r="P1362" s="32"/>
      <c r="Q1362" s="32"/>
      <c r="R1362" s="33"/>
      <c r="S1362" s="32"/>
      <c r="T1362" s="32"/>
      <c r="U1362" s="32"/>
      <c r="V1362" s="32"/>
      <c r="W1362" s="33"/>
      <c r="X1362" s="32"/>
      <c r="Y1362" s="32"/>
      <c r="Z1362" s="32"/>
      <c r="AA1362" s="32"/>
      <c r="AB1362" s="31"/>
      <c r="AC1362" s="32"/>
      <c r="AD1362" s="32"/>
      <c r="AE1362" s="32"/>
      <c r="AF1362" s="32"/>
      <c r="AG1362" s="31"/>
      <c r="AH1362" s="32"/>
      <c r="AI1362" s="32"/>
      <c r="AJ1362" s="32"/>
      <c r="AK1362" s="32"/>
      <c r="AL1362" s="31"/>
      <c r="AM1362" s="32"/>
      <c r="AN1362" s="32"/>
      <c r="AO1362" s="32"/>
      <c r="AP1362" s="32"/>
      <c r="AQ1362" s="31"/>
      <c r="AR1362" s="32"/>
      <c r="AS1362" s="32"/>
      <c r="AT1362" s="32"/>
      <c r="AU1362" s="32"/>
      <c r="AV1362" s="31"/>
      <c r="AW1362" s="32"/>
      <c r="AX1362" s="32"/>
      <c r="AY1362" s="32"/>
      <c r="AZ1362" s="32"/>
      <c r="BA1362" s="33"/>
      <c r="BB1362" s="32"/>
      <c r="BC1362" s="32"/>
      <c r="BD1362" s="32"/>
      <c r="BE1362" s="32"/>
      <c r="BF1362" s="33"/>
      <c r="BG1362" s="32"/>
      <c r="BH1362" s="32"/>
      <c r="BI1362" s="32"/>
      <c r="BJ1362" s="32"/>
      <c r="BK1362" s="33"/>
      <c r="BL1362" s="32"/>
      <c r="BM1362" s="32"/>
      <c r="BN1362" s="32"/>
      <c r="BO1362" s="32"/>
      <c r="BP1362" s="33"/>
      <c r="BQ1362" s="16"/>
      <c r="BR1362" s="16"/>
      <c r="BS1362" s="16"/>
      <c r="BT1362" s="16"/>
      <c r="BU1362" s="21"/>
      <c r="BV1362" s="16"/>
      <c r="BW1362" s="16"/>
      <c r="BX1362" s="16"/>
      <c r="BY1362" s="16"/>
      <c r="BZ1362" s="10"/>
      <c r="CA1362" s="16"/>
      <c r="CB1362" s="16"/>
      <c r="CC1362" s="16"/>
      <c r="CD1362" s="16"/>
      <c r="CE1362" s="10"/>
      <c r="CF1362" s="16"/>
      <c r="CG1362" s="16"/>
      <c r="CH1362" s="16"/>
      <c r="CI1362" s="16"/>
      <c r="CJ1362" s="10"/>
      <c r="CK1362" s="16"/>
      <c r="CL1362" s="16"/>
      <c r="CM1362" s="16"/>
      <c r="CN1362" s="16"/>
      <c r="CO1362" s="10"/>
      <c r="CP1362" s="16"/>
      <c r="CQ1362" s="16"/>
      <c r="CR1362" s="16"/>
      <c r="CS1362" s="16"/>
      <c r="CT1362" s="10"/>
      <c r="CU1362" s="16"/>
      <c r="CV1362" s="16"/>
      <c r="CW1362" s="16"/>
      <c r="CX1362" s="16"/>
      <c r="CY1362" s="10"/>
      <c r="CZ1362" s="16"/>
      <c r="DA1362" s="16"/>
      <c r="DB1362" s="16"/>
      <c r="DC1362" s="16"/>
      <c r="DD1362" s="10"/>
      <c r="DE1362" s="16"/>
      <c r="DF1362" s="16"/>
      <c r="DG1362" s="16"/>
      <c r="DH1362" s="16"/>
      <c r="DI1362" s="10"/>
      <c r="DJ1362" s="16"/>
      <c r="DK1362" s="16"/>
      <c r="DL1362" s="16"/>
      <c r="DM1362" s="16"/>
      <c r="DN1362" s="10"/>
      <c r="DO1362" s="16"/>
      <c r="DP1362" s="16"/>
      <c r="DQ1362" s="16"/>
      <c r="DR1362" s="16"/>
      <c r="DS1362" s="10"/>
      <c r="DT1362" s="16"/>
      <c r="DU1362" s="16"/>
      <c r="DV1362" s="16"/>
      <c r="DW1362" s="16"/>
      <c r="DX1362" s="10"/>
      <c r="DY1362" s="16"/>
      <c r="DZ1362" s="16"/>
      <c r="EA1362" s="16"/>
      <c r="EB1362" s="16"/>
      <c r="EC1362" s="10"/>
      <c r="ED1362" s="16"/>
      <c r="EE1362" s="16"/>
      <c r="EF1362" s="16"/>
      <c r="EG1362" s="16"/>
      <c r="EH1362" s="10"/>
      <c r="EI1362" s="214"/>
      <c r="EJ1362" s="16"/>
      <c r="EK1362" s="16"/>
      <c r="EL1362" s="16"/>
      <c r="EM1362" s="10"/>
      <c r="EN1362" s="16"/>
      <c r="EO1362" s="16"/>
      <c r="EP1362" s="16"/>
      <c r="EQ1362" s="16"/>
      <c r="ER1362" s="10"/>
      <c r="ES1362" s="16"/>
      <c r="ET1362" s="16"/>
      <c r="EU1362" s="16"/>
      <c r="EV1362" s="16"/>
      <c r="EW1362" s="10"/>
      <c r="EX1362" s="16"/>
      <c r="EY1362" s="16"/>
      <c r="EZ1362" s="16"/>
      <c r="FA1362" s="16"/>
      <c r="FB1362" s="10"/>
      <c r="FC1362" s="16"/>
      <c r="FD1362" s="16"/>
      <c r="FE1362" s="16"/>
      <c r="FF1362" s="16"/>
      <c r="FG1362" s="10"/>
      <c r="FH1362" s="21"/>
      <c r="FI1362" s="16"/>
      <c r="FJ1362" s="16"/>
      <c r="FK1362" s="16"/>
      <c r="FL1362" s="16"/>
    </row>
    <row r="1363" ht="12.75" customHeight="1">
      <c r="A1363" s="16"/>
      <c r="B1363" s="16"/>
      <c r="C1363" s="16"/>
      <c r="D1363" s="16"/>
      <c r="E1363" s="16"/>
      <c r="F1363" s="16"/>
      <c r="G1363" s="16"/>
      <c r="H1363" s="31"/>
      <c r="I1363" s="32"/>
      <c r="J1363" s="32"/>
      <c r="K1363" s="32"/>
      <c r="L1363" s="32"/>
      <c r="M1363" s="31"/>
      <c r="N1363" s="32"/>
      <c r="O1363" s="32"/>
      <c r="P1363" s="32"/>
      <c r="Q1363" s="32"/>
      <c r="R1363" s="33"/>
      <c r="S1363" s="32"/>
      <c r="T1363" s="32"/>
      <c r="U1363" s="32"/>
      <c r="V1363" s="32"/>
      <c r="W1363" s="33"/>
      <c r="X1363" s="32"/>
      <c r="Y1363" s="32"/>
      <c r="Z1363" s="32"/>
      <c r="AA1363" s="32"/>
      <c r="AB1363" s="31"/>
      <c r="AC1363" s="32"/>
      <c r="AD1363" s="32"/>
      <c r="AE1363" s="32"/>
      <c r="AF1363" s="32"/>
      <c r="AG1363" s="31"/>
      <c r="AH1363" s="32"/>
      <c r="AI1363" s="32"/>
      <c r="AJ1363" s="32"/>
      <c r="AK1363" s="32"/>
      <c r="AL1363" s="31"/>
      <c r="AM1363" s="32"/>
      <c r="AN1363" s="32"/>
      <c r="AO1363" s="32"/>
      <c r="AP1363" s="32"/>
      <c r="AQ1363" s="31"/>
      <c r="AR1363" s="32"/>
      <c r="AS1363" s="32"/>
      <c r="AT1363" s="32"/>
      <c r="AU1363" s="32"/>
      <c r="AV1363" s="31"/>
      <c r="AW1363" s="32"/>
      <c r="AX1363" s="32"/>
      <c r="AY1363" s="32"/>
      <c r="AZ1363" s="32"/>
      <c r="BA1363" s="33"/>
      <c r="BB1363" s="32"/>
      <c r="BC1363" s="32"/>
      <c r="BD1363" s="32"/>
      <c r="BE1363" s="32"/>
      <c r="BF1363" s="33"/>
      <c r="BG1363" s="32"/>
      <c r="BH1363" s="32"/>
      <c r="BI1363" s="32"/>
      <c r="BJ1363" s="32"/>
      <c r="BK1363" s="33"/>
      <c r="BL1363" s="32"/>
      <c r="BM1363" s="32"/>
      <c r="BN1363" s="32"/>
      <c r="BO1363" s="32"/>
      <c r="BP1363" s="33"/>
      <c r="BQ1363" s="16"/>
      <c r="BR1363" s="16"/>
      <c r="BS1363" s="16"/>
      <c r="BT1363" s="16"/>
      <c r="BU1363" s="21"/>
      <c r="BV1363" s="16"/>
      <c r="BW1363" s="16"/>
      <c r="BX1363" s="16"/>
      <c r="BY1363" s="16"/>
      <c r="BZ1363" s="10"/>
      <c r="CA1363" s="16"/>
      <c r="CB1363" s="16"/>
      <c r="CC1363" s="16"/>
      <c r="CD1363" s="16"/>
      <c r="CE1363" s="10"/>
      <c r="CF1363" s="16"/>
      <c r="CG1363" s="16"/>
      <c r="CH1363" s="16"/>
      <c r="CI1363" s="16"/>
      <c r="CJ1363" s="10"/>
      <c r="CK1363" s="16"/>
      <c r="CL1363" s="16"/>
      <c r="CM1363" s="16"/>
      <c r="CN1363" s="16"/>
      <c r="CO1363" s="10"/>
      <c r="CP1363" s="16"/>
      <c r="CQ1363" s="16"/>
      <c r="CR1363" s="16"/>
      <c r="CS1363" s="16"/>
      <c r="CT1363" s="10"/>
      <c r="CU1363" s="16"/>
      <c r="CV1363" s="16"/>
      <c r="CW1363" s="16"/>
      <c r="CX1363" s="16"/>
      <c r="CY1363" s="10"/>
      <c r="CZ1363" s="16"/>
      <c r="DA1363" s="16"/>
      <c r="DB1363" s="16"/>
      <c r="DC1363" s="16"/>
      <c r="DD1363" s="10"/>
      <c r="DE1363" s="16"/>
      <c r="DF1363" s="16"/>
      <c r="DG1363" s="16"/>
      <c r="DH1363" s="16"/>
      <c r="DI1363" s="10"/>
      <c r="DJ1363" s="16"/>
      <c r="DK1363" s="16"/>
      <c r="DL1363" s="16"/>
      <c r="DM1363" s="16"/>
      <c r="DN1363" s="10"/>
      <c r="DO1363" s="16"/>
      <c r="DP1363" s="16"/>
      <c r="DQ1363" s="16"/>
      <c r="DR1363" s="16"/>
      <c r="DS1363" s="10"/>
      <c r="DT1363" s="16"/>
      <c r="DU1363" s="16"/>
      <c r="DV1363" s="16"/>
      <c r="DW1363" s="16"/>
      <c r="DX1363" s="10"/>
      <c r="DY1363" s="16"/>
      <c r="DZ1363" s="16"/>
      <c r="EA1363" s="16"/>
      <c r="EB1363" s="16"/>
      <c r="EC1363" s="10"/>
      <c r="ED1363" s="16"/>
      <c r="EE1363" s="16"/>
      <c r="EF1363" s="16"/>
      <c r="EG1363" s="16"/>
      <c r="EH1363" s="10"/>
      <c r="EI1363" s="214"/>
      <c r="EJ1363" s="16"/>
      <c r="EK1363" s="16"/>
      <c r="EL1363" s="16"/>
      <c r="EM1363" s="10"/>
      <c r="EN1363" s="16"/>
      <c r="EO1363" s="16"/>
      <c r="EP1363" s="16"/>
      <c r="EQ1363" s="16"/>
      <c r="ER1363" s="10"/>
      <c r="ES1363" s="16"/>
      <c r="ET1363" s="16"/>
      <c r="EU1363" s="16"/>
      <c r="EV1363" s="16"/>
      <c r="EW1363" s="10"/>
      <c r="EX1363" s="16"/>
      <c r="EY1363" s="16"/>
      <c r="EZ1363" s="16"/>
      <c r="FA1363" s="16"/>
      <c r="FB1363" s="10"/>
      <c r="FC1363" s="16"/>
      <c r="FD1363" s="16"/>
      <c r="FE1363" s="16"/>
      <c r="FF1363" s="16"/>
      <c r="FG1363" s="10"/>
      <c r="FH1363" s="21"/>
      <c r="FI1363" s="16"/>
      <c r="FJ1363" s="16"/>
      <c r="FK1363" s="16"/>
      <c r="FL1363" s="16"/>
    </row>
    <row r="1364" ht="12.75" customHeight="1">
      <c r="A1364" s="16"/>
      <c r="B1364" s="16"/>
      <c r="C1364" s="16"/>
      <c r="D1364" s="16"/>
      <c r="E1364" s="16"/>
      <c r="F1364" s="16"/>
      <c r="G1364" s="16"/>
      <c r="H1364" s="31"/>
      <c r="I1364" s="32"/>
      <c r="J1364" s="32"/>
      <c r="K1364" s="32"/>
      <c r="L1364" s="32"/>
      <c r="M1364" s="31"/>
      <c r="N1364" s="32"/>
      <c r="O1364" s="32"/>
      <c r="P1364" s="32"/>
      <c r="Q1364" s="32"/>
      <c r="R1364" s="33"/>
      <c r="S1364" s="32"/>
      <c r="T1364" s="32"/>
      <c r="U1364" s="32"/>
      <c r="V1364" s="32"/>
      <c r="W1364" s="33"/>
      <c r="X1364" s="32"/>
      <c r="Y1364" s="32"/>
      <c r="Z1364" s="32"/>
      <c r="AA1364" s="32"/>
      <c r="AB1364" s="31"/>
      <c r="AC1364" s="32"/>
      <c r="AD1364" s="32"/>
      <c r="AE1364" s="32"/>
      <c r="AF1364" s="32"/>
      <c r="AG1364" s="31"/>
      <c r="AH1364" s="32"/>
      <c r="AI1364" s="32"/>
      <c r="AJ1364" s="32"/>
      <c r="AK1364" s="32"/>
      <c r="AL1364" s="31"/>
      <c r="AM1364" s="32"/>
      <c r="AN1364" s="32"/>
      <c r="AO1364" s="32"/>
      <c r="AP1364" s="32"/>
      <c r="AQ1364" s="31"/>
      <c r="AR1364" s="32"/>
      <c r="AS1364" s="32"/>
      <c r="AT1364" s="32"/>
      <c r="AU1364" s="32"/>
      <c r="AV1364" s="31"/>
      <c r="AW1364" s="32"/>
      <c r="AX1364" s="32"/>
      <c r="AY1364" s="32"/>
      <c r="AZ1364" s="32"/>
      <c r="BA1364" s="33"/>
      <c r="BB1364" s="32"/>
      <c r="BC1364" s="32"/>
      <c r="BD1364" s="32"/>
      <c r="BE1364" s="32"/>
      <c r="BF1364" s="33"/>
      <c r="BG1364" s="32"/>
      <c r="BH1364" s="32"/>
      <c r="BI1364" s="32"/>
      <c r="BJ1364" s="32"/>
      <c r="BK1364" s="33"/>
      <c r="BL1364" s="32"/>
      <c r="BM1364" s="32"/>
      <c r="BN1364" s="32"/>
      <c r="BO1364" s="32"/>
      <c r="BP1364" s="33"/>
      <c r="BQ1364" s="16"/>
      <c r="BR1364" s="16"/>
      <c r="BS1364" s="16"/>
      <c r="BT1364" s="16"/>
      <c r="BU1364" s="21"/>
      <c r="BV1364" s="16"/>
      <c r="BW1364" s="16"/>
      <c r="BX1364" s="16"/>
      <c r="BY1364" s="16"/>
      <c r="BZ1364" s="10"/>
      <c r="CA1364" s="16"/>
      <c r="CB1364" s="16"/>
      <c r="CC1364" s="16"/>
      <c r="CD1364" s="16"/>
      <c r="CE1364" s="10"/>
      <c r="CF1364" s="16"/>
      <c r="CG1364" s="16"/>
      <c r="CH1364" s="16"/>
      <c r="CI1364" s="16"/>
      <c r="CJ1364" s="10"/>
      <c r="CK1364" s="16"/>
      <c r="CL1364" s="16"/>
      <c r="CM1364" s="16"/>
      <c r="CN1364" s="16"/>
      <c r="CO1364" s="10"/>
      <c r="CP1364" s="16"/>
      <c r="CQ1364" s="16"/>
      <c r="CR1364" s="16"/>
      <c r="CS1364" s="16"/>
      <c r="CT1364" s="10"/>
      <c r="CU1364" s="16"/>
      <c r="CV1364" s="16"/>
      <c r="CW1364" s="16"/>
      <c r="CX1364" s="16"/>
      <c r="CY1364" s="10"/>
      <c r="CZ1364" s="16"/>
      <c r="DA1364" s="16"/>
      <c r="DB1364" s="16"/>
      <c r="DC1364" s="16"/>
      <c r="DD1364" s="10"/>
      <c r="DE1364" s="16"/>
      <c r="DF1364" s="16"/>
      <c r="DG1364" s="16"/>
      <c r="DH1364" s="16"/>
      <c r="DI1364" s="10"/>
      <c r="DJ1364" s="16"/>
      <c r="DK1364" s="16"/>
      <c r="DL1364" s="16"/>
      <c r="DM1364" s="16"/>
      <c r="DN1364" s="10"/>
      <c r="DO1364" s="16"/>
      <c r="DP1364" s="16"/>
      <c r="DQ1364" s="16"/>
      <c r="DR1364" s="16"/>
      <c r="DS1364" s="10"/>
      <c r="DT1364" s="16"/>
      <c r="DU1364" s="16"/>
      <c r="DV1364" s="16"/>
      <c r="DW1364" s="16"/>
      <c r="DX1364" s="10"/>
      <c r="DY1364" s="16"/>
      <c r="DZ1364" s="16"/>
      <c r="EA1364" s="16"/>
      <c r="EB1364" s="16"/>
      <c r="EC1364" s="10"/>
      <c r="ED1364" s="16"/>
      <c r="EE1364" s="16"/>
      <c r="EF1364" s="16"/>
      <c r="EG1364" s="16"/>
      <c r="EH1364" s="10"/>
      <c r="EI1364" s="214"/>
      <c r="EJ1364" s="16"/>
      <c r="EK1364" s="16"/>
      <c r="EL1364" s="16"/>
      <c r="EM1364" s="10"/>
      <c r="EN1364" s="16"/>
      <c r="EO1364" s="16"/>
      <c r="EP1364" s="16"/>
      <c r="EQ1364" s="16"/>
      <c r="ER1364" s="10"/>
      <c r="ES1364" s="16"/>
      <c r="ET1364" s="16"/>
      <c r="EU1364" s="16"/>
      <c r="EV1364" s="16"/>
      <c r="EW1364" s="10"/>
      <c r="EX1364" s="16"/>
      <c r="EY1364" s="16"/>
      <c r="EZ1364" s="16"/>
      <c r="FA1364" s="16"/>
      <c r="FB1364" s="10"/>
      <c r="FC1364" s="16"/>
      <c r="FD1364" s="16"/>
      <c r="FE1364" s="16"/>
      <c r="FF1364" s="16"/>
      <c r="FG1364" s="10"/>
      <c r="FH1364" s="21"/>
      <c r="FI1364" s="16"/>
      <c r="FJ1364" s="16"/>
      <c r="FK1364" s="16"/>
      <c r="FL1364" s="16"/>
    </row>
    <row r="1365" ht="12.75" customHeight="1">
      <c r="A1365" s="16"/>
      <c r="B1365" s="16"/>
      <c r="C1365" s="16"/>
      <c r="D1365" s="16"/>
      <c r="E1365" s="16"/>
      <c r="F1365" s="16"/>
      <c r="G1365" s="16"/>
      <c r="H1365" s="31"/>
      <c r="I1365" s="32"/>
      <c r="J1365" s="32"/>
      <c r="K1365" s="32"/>
      <c r="L1365" s="32"/>
      <c r="M1365" s="31"/>
      <c r="N1365" s="32"/>
      <c r="O1365" s="32"/>
      <c r="P1365" s="32"/>
      <c r="Q1365" s="32"/>
      <c r="R1365" s="33"/>
      <c r="S1365" s="32"/>
      <c r="T1365" s="32"/>
      <c r="U1365" s="32"/>
      <c r="V1365" s="32"/>
      <c r="W1365" s="33"/>
      <c r="X1365" s="32"/>
      <c r="Y1365" s="32"/>
      <c r="Z1365" s="32"/>
      <c r="AA1365" s="32"/>
      <c r="AB1365" s="31"/>
      <c r="AC1365" s="32"/>
      <c r="AD1365" s="32"/>
      <c r="AE1365" s="32"/>
      <c r="AF1365" s="32"/>
      <c r="AG1365" s="31"/>
      <c r="AH1365" s="32"/>
      <c r="AI1365" s="32"/>
      <c r="AJ1365" s="32"/>
      <c r="AK1365" s="32"/>
      <c r="AL1365" s="31"/>
      <c r="AM1365" s="32"/>
      <c r="AN1365" s="32"/>
      <c r="AO1365" s="32"/>
      <c r="AP1365" s="32"/>
      <c r="AQ1365" s="31"/>
      <c r="AR1365" s="32"/>
      <c r="AS1365" s="32"/>
      <c r="AT1365" s="32"/>
      <c r="AU1365" s="32"/>
      <c r="AV1365" s="31"/>
      <c r="AW1365" s="32"/>
      <c r="AX1365" s="32"/>
      <c r="AY1365" s="32"/>
      <c r="AZ1365" s="32"/>
      <c r="BA1365" s="33"/>
      <c r="BB1365" s="32"/>
      <c r="BC1365" s="32"/>
      <c r="BD1365" s="32"/>
      <c r="BE1365" s="32"/>
      <c r="BF1365" s="33"/>
      <c r="BG1365" s="32"/>
      <c r="BH1365" s="32"/>
      <c r="BI1365" s="32"/>
      <c r="BJ1365" s="32"/>
      <c r="BK1365" s="33"/>
      <c r="BL1365" s="32"/>
      <c r="BM1365" s="32"/>
      <c r="BN1365" s="32"/>
      <c r="BO1365" s="32"/>
      <c r="BP1365" s="33"/>
      <c r="BQ1365" s="16"/>
      <c r="BR1365" s="16"/>
      <c r="BS1365" s="16"/>
      <c r="BT1365" s="16"/>
      <c r="BU1365" s="21"/>
      <c r="BV1365" s="16"/>
      <c r="BW1365" s="16"/>
      <c r="BX1365" s="16"/>
      <c r="BY1365" s="16"/>
      <c r="BZ1365" s="10"/>
      <c r="CA1365" s="16"/>
      <c r="CB1365" s="16"/>
      <c r="CC1365" s="16"/>
      <c r="CD1365" s="16"/>
      <c r="CE1365" s="10"/>
      <c r="CF1365" s="16"/>
      <c r="CG1365" s="16"/>
      <c r="CH1365" s="16"/>
      <c r="CI1365" s="16"/>
      <c r="CJ1365" s="10"/>
      <c r="CK1365" s="16"/>
      <c r="CL1365" s="16"/>
      <c r="CM1365" s="16"/>
      <c r="CN1365" s="16"/>
      <c r="CO1365" s="10"/>
      <c r="CP1365" s="16"/>
      <c r="CQ1365" s="16"/>
      <c r="CR1365" s="16"/>
      <c r="CS1365" s="16"/>
      <c r="CT1365" s="10"/>
      <c r="CU1365" s="16"/>
      <c r="CV1365" s="16"/>
      <c r="CW1365" s="16"/>
      <c r="CX1365" s="16"/>
      <c r="CY1365" s="10"/>
      <c r="CZ1365" s="16"/>
      <c r="DA1365" s="16"/>
      <c r="DB1365" s="16"/>
      <c r="DC1365" s="16"/>
      <c r="DD1365" s="10"/>
      <c r="DE1365" s="16"/>
      <c r="DF1365" s="16"/>
      <c r="DG1365" s="16"/>
      <c r="DH1365" s="16"/>
      <c r="DI1365" s="10"/>
      <c r="DJ1365" s="16"/>
      <c r="DK1365" s="16"/>
      <c r="DL1365" s="16"/>
      <c r="DM1365" s="16"/>
      <c r="DN1365" s="10"/>
      <c r="DO1365" s="16"/>
      <c r="DP1365" s="16"/>
      <c r="DQ1365" s="16"/>
      <c r="DR1365" s="16"/>
      <c r="DS1365" s="10"/>
      <c r="DT1365" s="16"/>
      <c r="DU1365" s="16"/>
      <c r="DV1365" s="16"/>
      <c r="DW1365" s="16"/>
      <c r="DX1365" s="10"/>
      <c r="DY1365" s="16"/>
      <c r="DZ1365" s="16"/>
      <c r="EA1365" s="16"/>
      <c r="EB1365" s="16"/>
      <c r="EC1365" s="10"/>
      <c r="ED1365" s="16"/>
      <c r="EE1365" s="16"/>
      <c r="EF1365" s="16"/>
      <c r="EG1365" s="16"/>
      <c r="EH1365" s="10"/>
      <c r="EI1365" s="214"/>
      <c r="EJ1365" s="16"/>
      <c r="EK1365" s="16"/>
      <c r="EL1365" s="16"/>
      <c r="EM1365" s="10"/>
      <c r="EN1365" s="16"/>
      <c r="EO1365" s="16"/>
      <c r="EP1365" s="16"/>
      <c r="EQ1365" s="16"/>
      <c r="ER1365" s="10"/>
      <c r="ES1365" s="16"/>
      <c r="ET1365" s="16"/>
      <c r="EU1365" s="16"/>
      <c r="EV1365" s="16"/>
      <c r="EW1365" s="10"/>
      <c r="EX1365" s="16"/>
      <c r="EY1365" s="16"/>
      <c r="EZ1365" s="16"/>
      <c r="FA1365" s="16"/>
      <c r="FB1365" s="10"/>
      <c r="FC1365" s="16"/>
      <c r="FD1365" s="16"/>
      <c r="FE1365" s="16"/>
      <c r="FF1365" s="16"/>
      <c r="FG1365" s="10"/>
      <c r="FH1365" s="21"/>
      <c r="FI1365" s="16"/>
      <c r="FJ1365" s="16"/>
      <c r="FK1365" s="16"/>
      <c r="FL1365" s="16"/>
    </row>
    <row r="1366" ht="12.75" customHeight="1">
      <c r="A1366" s="16"/>
      <c r="B1366" s="16"/>
      <c r="C1366" s="16"/>
      <c r="D1366" s="16"/>
      <c r="E1366" s="16"/>
      <c r="F1366" s="16"/>
      <c r="G1366" s="16"/>
      <c r="H1366" s="31"/>
      <c r="I1366" s="32"/>
      <c r="J1366" s="32"/>
      <c r="K1366" s="32"/>
      <c r="L1366" s="32"/>
      <c r="M1366" s="31"/>
      <c r="N1366" s="32"/>
      <c r="O1366" s="32"/>
      <c r="P1366" s="32"/>
      <c r="Q1366" s="32"/>
      <c r="R1366" s="33"/>
      <c r="S1366" s="32"/>
      <c r="T1366" s="32"/>
      <c r="U1366" s="32"/>
      <c r="V1366" s="32"/>
      <c r="W1366" s="33"/>
      <c r="X1366" s="32"/>
      <c r="Y1366" s="32"/>
      <c r="Z1366" s="32"/>
      <c r="AA1366" s="32"/>
      <c r="AB1366" s="31"/>
      <c r="AC1366" s="32"/>
      <c r="AD1366" s="32"/>
      <c r="AE1366" s="32"/>
      <c r="AF1366" s="32"/>
      <c r="AG1366" s="31"/>
      <c r="AH1366" s="32"/>
      <c r="AI1366" s="32"/>
      <c r="AJ1366" s="32"/>
      <c r="AK1366" s="32"/>
      <c r="AL1366" s="31"/>
      <c r="AM1366" s="32"/>
      <c r="AN1366" s="32"/>
      <c r="AO1366" s="32"/>
      <c r="AP1366" s="32"/>
      <c r="AQ1366" s="31"/>
      <c r="AR1366" s="32"/>
      <c r="AS1366" s="32"/>
      <c r="AT1366" s="32"/>
      <c r="AU1366" s="32"/>
      <c r="AV1366" s="31"/>
      <c r="AW1366" s="32"/>
      <c r="AX1366" s="32"/>
      <c r="AY1366" s="32"/>
      <c r="AZ1366" s="32"/>
      <c r="BA1366" s="33"/>
      <c r="BB1366" s="32"/>
      <c r="BC1366" s="32"/>
      <c r="BD1366" s="32"/>
      <c r="BE1366" s="32"/>
      <c r="BF1366" s="33"/>
      <c r="BG1366" s="32"/>
      <c r="BH1366" s="32"/>
      <c r="BI1366" s="32"/>
      <c r="BJ1366" s="32"/>
      <c r="BK1366" s="33"/>
      <c r="BL1366" s="32"/>
      <c r="BM1366" s="32"/>
      <c r="BN1366" s="32"/>
      <c r="BO1366" s="32"/>
      <c r="BP1366" s="33"/>
      <c r="BQ1366" s="16"/>
      <c r="BR1366" s="16"/>
      <c r="BS1366" s="16"/>
      <c r="BT1366" s="16"/>
      <c r="BU1366" s="21"/>
      <c r="BV1366" s="16"/>
      <c r="BW1366" s="16"/>
      <c r="BX1366" s="16"/>
      <c r="BY1366" s="16"/>
      <c r="BZ1366" s="10"/>
      <c r="CA1366" s="16"/>
      <c r="CB1366" s="16"/>
      <c r="CC1366" s="16"/>
      <c r="CD1366" s="16"/>
      <c r="CE1366" s="10"/>
      <c r="CF1366" s="16"/>
      <c r="CG1366" s="16"/>
      <c r="CH1366" s="16"/>
      <c r="CI1366" s="16"/>
      <c r="CJ1366" s="10"/>
      <c r="CK1366" s="16"/>
      <c r="CL1366" s="16"/>
      <c r="CM1366" s="16"/>
      <c r="CN1366" s="16"/>
      <c r="CO1366" s="10"/>
      <c r="CP1366" s="16"/>
      <c r="CQ1366" s="16"/>
      <c r="CR1366" s="16"/>
      <c r="CS1366" s="16"/>
      <c r="CT1366" s="10"/>
      <c r="CU1366" s="16"/>
      <c r="CV1366" s="16"/>
      <c r="CW1366" s="16"/>
      <c r="CX1366" s="16"/>
      <c r="CY1366" s="10"/>
      <c r="CZ1366" s="16"/>
      <c r="DA1366" s="16"/>
      <c r="DB1366" s="16"/>
      <c r="DC1366" s="16"/>
      <c r="DD1366" s="10"/>
      <c r="DE1366" s="16"/>
      <c r="DF1366" s="16"/>
      <c r="DG1366" s="16"/>
      <c r="DH1366" s="16"/>
      <c r="DI1366" s="10"/>
      <c r="DJ1366" s="16"/>
      <c r="DK1366" s="16"/>
      <c r="DL1366" s="16"/>
      <c r="DM1366" s="16"/>
      <c r="DN1366" s="10"/>
      <c r="DO1366" s="16"/>
      <c r="DP1366" s="16"/>
      <c r="DQ1366" s="16"/>
      <c r="DR1366" s="16"/>
      <c r="DS1366" s="10"/>
      <c r="DT1366" s="16"/>
      <c r="DU1366" s="16"/>
      <c r="DV1366" s="16"/>
      <c r="DW1366" s="16"/>
      <c r="DX1366" s="10"/>
      <c r="DY1366" s="16"/>
      <c r="DZ1366" s="16"/>
      <c r="EA1366" s="16"/>
      <c r="EB1366" s="16"/>
      <c r="EC1366" s="10"/>
      <c r="ED1366" s="16"/>
      <c r="EE1366" s="16"/>
      <c r="EF1366" s="16"/>
      <c r="EG1366" s="16"/>
      <c r="EH1366" s="10"/>
      <c r="EI1366" s="214"/>
      <c r="EJ1366" s="16"/>
      <c r="EK1366" s="16"/>
      <c r="EL1366" s="16"/>
      <c r="EM1366" s="10"/>
      <c r="EN1366" s="16"/>
      <c r="EO1366" s="16"/>
      <c r="EP1366" s="16"/>
      <c r="EQ1366" s="16"/>
      <c r="ER1366" s="10"/>
      <c r="ES1366" s="16"/>
      <c r="ET1366" s="16"/>
      <c r="EU1366" s="16"/>
      <c r="EV1366" s="16"/>
      <c r="EW1366" s="10"/>
      <c r="EX1366" s="16"/>
      <c r="EY1366" s="16"/>
      <c r="EZ1366" s="16"/>
      <c r="FA1366" s="16"/>
      <c r="FB1366" s="10"/>
      <c r="FC1366" s="16"/>
      <c r="FD1366" s="16"/>
      <c r="FE1366" s="16"/>
      <c r="FF1366" s="16"/>
      <c r="FG1366" s="10"/>
      <c r="FH1366" s="21"/>
      <c r="FI1366" s="16"/>
      <c r="FJ1366" s="16"/>
      <c r="FK1366" s="16"/>
      <c r="FL1366" s="16"/>
    </row>
    <row r="1367" ht="12.75" customHeight="1">
      <c r="A1367" s="16"/>
      <c r="B1367" s="16"/>
      <c r="C1367" s="16"/>
      <c r="D1367" s="16"/>
      <c r="E1367" s="16"/>
      <c r="F1367" s="16"/>
      <c r="G1367" s="16"/>
      <c r="H1367" s="31"/>
      <c r="I1367" s="32"/>
      <c r="J1367" s="32"/>
      <c r="K1367" s="32"/>
      <c r="L1367" s="32"/>
      <c r="M1367" s="31"/>
      <c r="N1367" s="32"/>
      <c r="O1367" s="32"/>
      <c r="P1367" s="32"/>
      <c r="Q1367" s="32"/>
      <c r="R1367" s="33"/>
      <c r="S1367" s="32"/>
      <c r="T1367" s="32"/>
      <c r="U1367" s="32"/>
      <c r="V1367" s="32"/>
      <c r="W1367" s="33"/>
      <c r="X1367" s="32"/>
      <c r="Y1367" s="32"/>
      <c r="Z1367" s="32"/>
      <c r="AA1367" s="32"/>
      <c r="AB1367" s="31"/>
      <c r="AC1367" s="32"/>
      <c r="AD1367" s="32"/>
      <c r="AE1367" s="32"/>
      <c r="AF1367" s="32"/>
      <c r="AG1367" s="31"/>
      <c r="AH1367" s="32"/>
      <c r="AI1367" s="32"/>
      <c r="AJ1367" s="32"/>
      <c r="AK1367" s="32"/>
      <c r="AL1367" s="31"/>
      <c r="AM1367" s="32"/>
      <c r="AN1367" s="32"/>
      <c r="AO1367" s="32"/>
      <c r="AP1367" s="32"/>
      <c r="AQ1367" s="31"/>
      <c r="AR1367" s="32"/>
      <c r="AS1367" s="32"/>
      <c r="AT1367" s="32"/>
      <c r="AU1367" s="32"/>
      <c r="AV1367" s="31"/>
      <c r="AW1367" s="32"/>
      <c r="AX1367" s="32"/>
      <c r="AY1367" s="32"/>
      <c r="AZ1367" s="32"/>
      <c r="BA1367" s="33"/>
      <c r="BB1367" s="32"/>
      <c r="BC1367" s="32"/>
      <c r="BD1367" s="32"/>
      <c r="BE1367" s="32"/>
      <c r="BF1367" s="33"/>
      <c r="BG1367" s="32"/>
      <c r="BH1367" s="32"/>
      <c r="BI1367" s="32"/>
      <c r="BJ1367" s="32"/>
      <c r="BK1367" s="33"/>
      <c r="BL1367" s="32"/>
      <c r="BM1367" s="32"/>
      <c r="BN1367" s="32"/>
      <c r="BO1367" s="32"/>
      <c r="BP1367" s="33"/>
      <c r="BQ1367" s="16"/>
      <c r="BR1367" s="16"/>
      <c r="BS1367" s="16"/>
      <c r="BT1367" s="16"/>
      <c r="BU1367" s="21"/>
      <c r="BV1367" s="16"/>
      <c r="BW1367" s="16"/>
      <c r="BX1367" s="16"/>
      <c r="BY1367" s="16"/>
      <c r="BZ1367" s="10"/>
      <c r="CA1367" s="16"/>
      <c r="CB1367" s="16"/>
      <c r="CC1367" s="16"/>
      <c r="CD1367" s="16"/>
      <c r="CE1367" s="10"/>
      <c r="CF1367" s="16"/>
      <c r="CG1367" s="16"/>
      <c r="CH1367" s="16"/>
      <c r="CI1367" s="16"/>
      <c r="CJ1367" s="10"/>
      <c r="CK1367" s="16"/>
      <c r="CL1367" s="16"/>
      <c r="CM1367" s="16"/>
      <c r="CN1367" s="16"/>
      <c r="CO1367" s="10"/>
      <c r="CP1367" s="16"/>
      <c r="CQ1367" s="16"/>
      <c r="CR1367" s="16"/>
      <c r="CS1367" s="16"/>
      <c r="CT1367" s="10"/>
      <c r="CU1367" s="16"/>
      <c r="CV1367" s="16"/>
      <c r="CW1367" s="16"/>
      <c r="CX1367" s="16"/>
      <c r="CY1367" s="10"/>
      <c r="CZ1367" s="16"/>
      <c r="DA1367" s="16"/>
      <c r="DB1367" s="16"/>
      <c r="DC1367" s="16"/>
      <c r="DD1367" s="10"/>
      <c r="DE1367" s="16"/>
      <c r="DF1367" s="16"/>
      <c r="DG1367" s="16"/>
      <c r="DH1367" s="16"/>
      <c r="DI1367" s="10"/>
      <c r="DJ1367" s="16"/>
      <c r="DK1367" s="16"/>
      <c r="DL1367" s="16"/>
      <c r="DM1367" s="16"/>
      <c r="DN1367" s="10"/>
      <c r="DO1367" s="16"/>
      <c r="DP1367" s="16"/>
      <c r="DQ1367" s="16"/>
      <c r="DR1367" s="16"/>
      <c r="DS1367" s="10"/>
      <c r="DT1367" s="16"/>
      <c r="DU1367" s="16"/>
      <c r="DV1367" s="16"/>
      <c r="DW1367" s="16"/>
      <c r="DX1367" s="10"/>
      <c r="DY1367" s="16"/>
      <c r="DZ1367" s="16"/>
      <c r="EA1367" s="16"/>
      <c r="EB1367" s="16"/>
      <c r="EC1367" s="10"/>
      <c r="ED1367" s="16"/>
      <c r="EE1367" s="16"/>
      <c r="EF1367" s="16"/>
      <c r="EG1367" s="16"/>
      <c r="EH1367" s="10"/>
      <c r="EI1367" s="214"/>
      <c r="EJ1367" s="16"/>
      <c r="EK1367" s="16"/>
      <c r="EL1367" s="16"/>
      <c r="EM1367" s="10"/>
      <c r="EN1367" s="16"/>
      <c r="EO1367" s="16"/>
      <c r="EP1367" s="16"/>
      <c r="EQ1367" s="16"/>
      <c r="ER1367" s="10"/>
      <c r="ES1367" s="16"/>
      <c r="ET1367" s="16"/>
      <c r="EU1367" s="16"/>
      <c r="EV1367" s="16"/>
      <c r="EW1367" s="10"/>
      <c r="EX1367" s="16"/>
      <c r="EY1367" s="16"/>
      <c r="EZ1367" s="16"/>
      <c r="FA1367" s="16"/>
      <c r="FB1367" s="10"/>
      <c r="FC1367" s="16"/>
      <c r="FD1367" s="16"/>
      <c r="FE1367" s="16"/>
      <c r="FF1367" s="16"/>
      <c r="FG1367" s="10"/>
      <c r="FH1367" s="21"/>
      <c r="FI1367" s="16"/>
      <c r="FJ1367" s="16"/>
      <c r="FK1367" s="16"/>
      <c r="FL1367" s="16"/>
    </row>
    <row r="1368" ht="12.75" customHeight="1">
      <c r="A1368" s="16"/>
      <c r="B1368" s="16"/>
      <c r="C1368" s="16"/>
      <c r="D1368" s="16"/>
      <c r="E1368" s="16"/>
      <c r="F1368" s="16"/>
      <c r="G1368" s="16"/>
      <c r="H1368" s="31"/>
      <c r="I1368" s="32"/>
      <c r="J1368" s="32"/>
      <c r="K1368" s="32"/>
      <c r="L1368" s="32"/>
      <c r="M1368" s="31"/>
      <c r="N1368" s="32"/>
      <c r="O1368" s="32"/>
      <c r="P1368" s="32"/>
      <c r="Q1368" s="32"/>
      <c r="R1368" s="33"/>
      <c r="S1368" s="32"/>
      <c r="T1368" s="32"/>
      <c r="U1368" s="32"/>
      <c r="V1368" s="32"/>
      <c r="W1368" s="33"/>
      <c r="X1368" s="32"/>
      <c r="Y1368" s="32"/>
      <c r="Z1368" s="32"/>
      <c r="AA1368" s="32"/>
      <c r="AB1368" s="31"/>
      <c r="AC1368" s="32"/>
      <c r="AD1368" s="32"/>
      <c r="AE1368" s="32"/>
      <c r="AF1368" s="32"/>
      <c r="AG1368" s="31"/>
      <c r="AH1368" s="32"/>
      <c r="AI1368" s="32"/>
      <c r="AJ1368" s="32"/>
      <c r="AK1368" s="32"/>
      <c r="AL1368" s="31"/>
      <c r="AM1368" s="32"/>
      <c r="AN1368" s="32"/>
      <c r="AO1368" s="32"/>
      <c r="AP1368" s="32"/>
      <c r="AQ1368" s="31"/>
      <c r="AR1368" s="32"/>
      <c r="AS1368" s="32"/>
      <c r="AT1368" s="32"/>
      <c r="AU1368" s="32"/>
      <c r="AV1368" s="31"/>
      <c r="AW1368" s="32"/>
      <c r="AX1368" s="32"/>
      <c r="AY1368" s="32"/>
      <c r="AZ1368" s="32"/>
      <c r="BA1368" s="33"/>
      <c r="BB1368" s="32"/>
      <c r="BC1368" s="32"/>
      <c r="BD1368" s="32"/>
      <c r="BE1368" s="32"/>
      <c r="BF1368" s="33"/>
      <c r="BG1368" s="32"/>
      <c r="BH1368" s="32"/>
      <c r="BI1368" s="32"/>
      <c r="BJ1368" s="32"/>
      <c r="BK1368" s="33"/>
      <c r="BL1368" s="32"/>
      <c r="BM1368" s="32"/>
      <c r="BN1368" s="32"/>
      <c r="BO1368" s="32"/>
      <c r="BP1368" s="33"/>
      <c r="BQ1368" s="16"/>
      <c r="BR1368" s="16"/>
      <c r="BS1368" s="16"/>
      <c r="BT1368" s="16"/>
      <c r="BU1368" s="21"/>
      <c r="BV1368" s="16"/>
      <c r="BW1368" s="16"/>
      <c r="BX1368" s="16"/>
      <c r="BY1368" s="16"/>
      <c r="BZ1368" s="10"/>
      <c r="CA1368" s="16"/>
      <c r="CB1368" s="16"/>
      <c r="CC1368" s="16"/>
      <c r="CD1368" s="16"/>
      <c r="CE1368" s="10"/>
      <c r="CF1368" s="16"/>
      <c r="CG1368" s="16"/>
      <c r="CH1368" s="16"/>
      <c r="CI1368" s="16"/>
      <c r="CJ1368" s="10"/>
      <c r="CK1368" s="16"/>
      <c r="CL1368" s="16"/>
      <c r="CM1368" s="16"/>
      <c r="CN1368" s="16"/>
      <c r="CO1368" s="10"/>
      <c r="CP1368" s="16"/>
      <c r="CQ1368" s="16"/>
      <c r="CR1368" s="16"/>
      <c r="CS1368" s="16"/>
      <c r="CT1368" s="10"/>
      <c r="CU1368" s="16"/>
      <c r="CV1368" s="16"/>
      <c r="CW1368" s="16"/>
      <c r="CX1368" s="16"/>
      <c r="CY1368" s="10"/>
      <c r="CZ1368" s="16"/>
      <c r="DA1368" s="16"/>
      <c r="DB1368" s="16"/>
      <c r="DC1368" s="16"/>
      <c r="DD1368" s="10"/>
      <c r="DE1368" s="16"/>
      <c r="DF1368" s="16"/>
      <c r="DG1368" s="16"/>
      <c r="DH1368" s="16"/>
      <c r="DI1368" s="10"/>
      <c r="DJ1368" s="16"/>
      <c r="DK1368" s="16"/>
      <c r="DL1368" s="16"/>
      <c r="DM1368" s="16"/>
      <c r="DN1368" s="10"/>
      <c r="DO1368" s="16"/>
      <c r="DP1368" s="16"/>
      <c r="DQ1368" s="16"/>
      <c r="DR1368" s="16"/>
      <c r="DS1368" s="10"/>
      <c r="DT1368" s="16"/>
      <c r="DU1368" s="16"/>
      <c r="DV1368" s="16"/>
      <c r="DW1368" s="16"/>
      <c r="DX1368" s="10"/>
      <c r="DY1368" s="16"/>
      <c r="DZ1368" s="16"/>
      <c r="EA1368" s="16"/>
      <c r="EB1368" s="16"/>
      <c r="EC1368" s="10"/>
      <c r="ED1368" s="16"/>
      <c r="EE1368" s="16"/>
      <c r="EF1368" s="16"/>
      <c r="EG1368" s="16"/>
      <c r="EH1368" s="10"/>
      <c r="EI1368" s="214"/>
      <c r="EJ1368" s="16"/>
      <c r="EK1368" s="16"/>
      <c r="EL1368" s="16"/>
      <c r="EM1368" s="10"/>
      <c r="EN1368" s="16"/>
      <c r="EO1368" s="16"/>
      <c r="EP1368" s="16"/>
      <c r="EQ1368" s="16"/>
      <c r="ER1368" s="10"/>
      <c r="ES1368" s="16"/>
      <c r="ET1368" s="16"/>
      <c r="EU1368" s="16"/>
      <c r="EV1368" s="16"/>
      <c r="EW1368" s="10"/>
      <c r="EX1368" s="16"/>
      <c r="EY1368" s="16"/>
      <c r="EZ1368" s="16"/>
      <c r="FA1368" s="16"/>
      <c r="FB1368" s="10"/>
      <c r="FC1368" s="16"/>
      <c r="FD1368" s="16"/>
      <c r="FE1368" s="16"/>
      <c r="FF1368" s="16"/>
      <c r="FG1368" s="10"/>
      <c r="FH1368" s="21"/>
      <c r="FI1368" s="16"/>
      <c r="FJ1368" s="16"/>
      <c r="FK1368" s="16"/>
      <c r="FL1368" s="16"/>
    </row>
    <row r="1369" ht="12.75" customHeight="1">
      <c r="A1369" s="16"/>
      <c r="B1369" s="16"/>
      <c r="C1369" s="16"/>
      <c r="D1369" s="16"/>
      <c r="E1369" s="16"/>
      <c r="F1369" s="16"/>
      <c r="G1369" s="16"/>
      <c r="H1369" s="31"/>
      <c r="I1369" s="32"/>
      <c r="J1369" s="32"/>
      <c r="K1369" s="32"/>
      <c r="L1369" s="32"/>
      <c r="M1369" s="31"/>
      <c r="N1369" s="32"/>
      <c r="O1369" s="32"/>
      <c r="P1369" s="32"/>
      <c r="Q1369" s="32"/>
      <c r="R1369" s="33"/>
      <c r="S1369" s="32"/>
      <c r="T1369" s="32"/>
      <c r="U1369" s="32"/>
      <c r="V1369" s="32"/>
      <c r="W1369" s="33"/>
      <c r="X1369" s="32"/>
      <c r="Y1369" s="32"/>
      <c r="Z1369" s="32"/>
      <c r="AA1369" s="32"/>
      <c r="AB1369" s="31"/>
      <c r="AC1369" s="32"/>
      <c r="AD1369" s="32"/>
      <c r="AE1369" s="32"/>
      <c r="AF1369" s="32"/>
      <c r="AG1369" s="31"/>
      <c r="AH1369" s="32"/>
      <c r="AI1369" s="32"/>
      <c r="AJ1369" s="32"/>
      <c r="AK1369" s="32"/>
      <c r="AL1369" s="31"/>
      <c r="AM1369" s="32"/>
      <c r="AN1369" s="32"/>
      <c r="AO1369" s="32"/>
      <c r="AP1369" s="32"/>
      <c r="AQ1369" s="31"/>
      <c r="AR1369" s="32"/>
      <c r="AS1369" s="32"/>
      <c r="AT1369" s="32"/>
      <c r="AU1369" s="32"/>
      <c r="AV1369" s="31"/>
      <c r="AW1369" s="32"/>
      <c r="AX1369" s="32"/>
      <c r="AY1369" s="32"/>
      <c r="AZ1369" s="32"/>
      <c r="BA1369" s="33"/>
      <c r="BB1369" s="32"/>
      <c r="BC1369" s="32"/>
      <c r="BD1369" s="32"/>
      <c r="BE1369" s="32"/>
      <c r="BF1369" s="33"/>
      <c r="BG1369" s="32"/>
      <c r="BH1369" s="32"/>
      <c r="BI1369" s="32"/>
      <c r="BJ1369" s="32"/>
      <c r="BK1369" s="33"/>
      <c r="BL1369" s="32"/>
      <c r="BM1369" s="32"/>
      <c r="BN1369" s="32"/>
      <c r="BO1369" s="32"/>
      <c r="BP1369" s="33"/>
      <c r="BQ1369" s="16"/>
      <c r="BR1369" s="16"/>
      <c r="BS1369" s="16"/>
      <c r="BT1369" s="16"/>
      <c r="BU1369" s="21"/>
      <c r="BV1369" s="16"/>
      <c r="BW1369" s="16"/>
      <c r="BX1369" s="16"/>
      <c r="BY1369" s="16"/>
      <c r="BZ1369" s="10"/>
      <c r="CA1369" s="16"/>
      <c r="CB1369" s="16"/>
      <c r="CC1369" s="16"/>
      <c r="CD1369" s="16"/>
      <c r="CE1369" s="10"/>
      <c r="CF1369" s="16"/>
      <c r="CG1369" s="16"/>
      <c r="CH1369" s="16"/>
      <c r="CI1369" s="16"/>
      <c r="CJ1369" s="10"/>
      <c r="CK1369" s="16"/>
      <c r="CL1369" s="16"/>
      <c r="CM1369" s="16"/>
      <c r="CN1369" s="16"/>
      <c r="CO1369" s="10"/>
      <c r="CP1369" s="16"/>
      <c r="CQ1369" s="16"/>
      <c r="CR1369" s="16"/>
      <c r="CS1369" s="16"/>
      <c r="CT1369" s="10"/>
      <c r="CU1369" s="16"/>
      <c r="CV1369" s="16"/>
      <c r="CW1369" s="16"/>
      <c r="CX1369" s="16"/>
      <c r="CY1369" s="10"/>
      <c r="CZ1369" s="16"/>
      <c r="DA1369" s="16"/>
      <c r="DB1369" s="16"/>
      <c r="DC1369" s="16"/>
      <c r="DD1369" s="10"/>
      <c r="DE1369" s="16"/>
      <c r="DF1369" s="16"/>
      <c r="DG1369" s="16"/>
      <c r="DH1369" s="16"/>
      <c r="DI1369" s="10"/>
      <c r="DJ1369" s="16"/>
      <c r="DK1369" s="16"/>
      <c r="DL1369" s="16"/>
      <c r="DM1369" s="16"/>
      <c r="DN1369" s="10"/>
      <c r="DO1369" s="16"/>
      <c r="DP1369" s="16"/>
      <c r="DQ1369" s="16"/>
      <c r="DR1369" s="16"/>
      <c r="DS1369" s="10"/>
      <c r="DT1369" s="16"/>
      <c r="DU1369" s="16"/>
      <c r="DV1369" s="16"/>
      <c r="DW1369" s="16"/>
      <c r="DX1369" s="10"/>
      <c r="DY1369" s="16"/>
      <c r="DZ1369" s="16"/>
      <c r="EA1369" s="16"/>
      <c r="EB1369" s="16"/>
      <c r="EC1369" s="10"/>
      <c r="ED1369" s="16"/>
      <c r="EE1369" s="16"/>
      <c r="EF1369" s="16"/>
      <c r="EG1369" s="16"/>
      <c r="EH1369" s="10"/>
      <c r="EI1369" s="214"/>
      <c r="EJ1369" s="16"/>
      <c r="EK1369" s="16"/>
      <c r="EL1369" s="16"/>
      <c r="EM1369" s="10"/>
      <c r="EN1369" s="16"/>
      <c r="EO1369" s="16"/>
      <c r="EP1369" s="16"/>
      <c r="EQ1369" s="16"/>
      <c r="ER1369" s="10"/>
      <c r="ES1369" s="16"/>
      <c r="ET1369" s="16"/>
      <c r="EU1369" s="16"/>
      <c r="EV1369" s="16"/>
      <c r="EW1369" s="10"/>
      <c r="EX1369" s="16"/>
      <c r="EY1369" s="16"/>
      <c r="EZ1369" s="16"/>
      <c r="FA1369" s="16"/>
      <c r="FB1369" s="10"/>
      <c r="FC1369" s="16"/>
      <c r="FD1369" s="16"/>
      <c r="FE1369" s="16"/>
      <c r="FF1369" s="16"/>
      <c r="FG1369" s="10"/>
      <c r="FH1369" s="21"/>
      <c r="FI1369" s="16"/>
      <c r="FJ1369" s="16"/>
      <c r="FK1369" s="16"/>
      <c r="FL1369" s="16"/>
    </row>
    <row r="1370" ht="12.75" customHeight="1">
      <c r="A1370" s="16"/>
      <c r="B1370" s="16"/>
      <c r="C1370" s="16"/>
      <c r="D1370" s="16"/>
      <c r="E1370" s="16"/>
      <c r="F1370" s="16"/>
      <c r="G1370" s="16"/>
      <c r="H1370" s="31"/>
      <c r="I1370" s="32"/>
      <c r="J1370" s="32"/>
      <c r="K1370" s="32"/>
      <c r="L1370" s="32"/>
      <c r="M1370" s="31"/>
      <c r="N1370" s="32"/>
      <c r="O1370" s="32"/>
      <c r="P1370" s="32"/>
      <c r="Q1370" s="32"/>
      <c r="R1370" s="33"/>
      <c r="S1370" s="32"/>
      <c r="T1370" s="32"/>
      <c r="U1370" s="32"/>
      <c r="V1370" s="32"/>
      <c r="W1370" s="33"/>
      <c r="X1370" s="32"/>
      <c r="Y1370" s="32"/>
      <c r="Z1370" s="32"/>
      <c r="AA1370" s="32"/>
      <c r="AB1370" s="31"/>
      <c r="AC1370" s="32"/>
      <c r="AD1370" s="32"/>
      <c r="AE1370" s="32"/>
      <c r="AF1370" s="32"/>
      <c r="AG1370" s="31"/>
      <c r="AH1370" s="32"/>
      <c r="AI1370" s="32"/>
      <c r="AJ1370" s="32"/>
      <c r="AK1370" s="32"/>
      <c r="AL1370" s="31"/>
      <c r="AM1370" s="32"/>
      <c r="AN1370" s="32"/>
      <c r="AO1370" s="32"/>
      <c r="AP1370" s="32"/>
      <c r="AQ1370" s="31"/>
      <c r="AR1370" s="32"/>
      <c r="AS1370" s="32"/>
      <c r="AT1370" s="32"/>
      <c r="AU1370" s="32"/>
      <c r="AV1370" s="31"/>
      <c r="AW1370" s="32"/>
      <c r="AX1370" s="32"/>
      <c r="AY1370" s="32"/>
      <c r="AZ1370" s="32"/>
      <c r="BA1370" s="33"/>
      <c r="BB1370" s="32"/>
      <c r="BC1370" s="32"/>
      <c r="BD1370" s="32"/>
      <c r="BE1370" s="32"/>
      <c r="BF1370" s="33"/>
      <c r="BG1370" s="32"/>
      <c r="BH1370" s="32"/>
      <c r="BI1370" s="32"/>
      <c r="BJ1370" s="32"/>
      <c r="BK1370" s="33"/>
      <c r="BL1370" s="32"/>
      <c r="BM1370" s="32"/>
      <c r="BN1370" s="32"/>
      <c r="BO1370" s="32"/>
      <c r="BP1370" s="33"/>
      <c r="BQ1370" s="16"/>
      <c r="BR1370" s="16"/>
      <c r="BS1370" s="16"/>
      <c r="BT1370" s="16"/>
      <c r="BU1370" s="21"/>
      <c r="BV1370" s="16"/>
      <c r="BW1370" s="16"/>
      <c r="BX1370" s="16"/>
      <c r="BY1370" s="16"/>
      <c r="BZ1370" s="10"/>
      <c r="CA1370" s="16"/>
      <c r="CB1370" s="16"/>
      <c r="CC1370" s="16"/>
      <c r="CD1370" s="16"/>
      <c r="CE1370" s="10"/>
      <c r="CF1370" s="16"/>
      <c r="CG1370" s="16"/>
      <c r="CH1370" s="16"/>
      <c r="CI1370" s="16"/>
      <c r="CJ1370" s="10"/>
      <c r="CK1370" s="16"/>
      <c r="CL1370" s="16"/>
      <c r="CM1370" s="16"/>
      <c r="CN1370" s="16"/>
      <c r="CO1370" s="10"/>
      <c r="CP1370" s="16"/>
      <c r="CQ1370" s="16"/>
      <c r="CR1370" s="16"/>
      <c r="CS1370" s="16"/>
      <c r="CT1370" s="10"/>
      <c r="CU1370" s="16"/>
      <c r="CV1370" s="16"/>
      <c r="CW1370" s="16"/>
      <c r="CX1370" s="16"/>
      <c r="CY1370" s="10"/>
      <c r="CZ1370" s="16"/>
      <c r="DA1370" s="16"/>
      <c r="DB1370" s="16"/>
      <c r="DC1370" s="16"/>
      <c r="DD1370" s="10"/>
      <c r="DE1370" s="16"/>
      <c r="DF1370" s="16"/>
      <c r="DG1370" s="16"/>
      <c r="DH1370" s="16"/>
      <c r="DI1370" s="10"/>
      <c r="DJ1370" s="16"/>
      <c r="DK1370" s="16"/>
      <c r="DL1370" s="16"/>
      <c r="DM1370" s="16"/>
      <c r="DN1370" s="10"/>
      <c r="DO1370" s="16"/>
      <c r="DP1370" s="16"/>
      <c r="DQ1370" s="16"/>
      <c r="DR1370" s="16"/>
      <c r="DS1370" s="10"/>
      <c r="DT1370" s="16"/>
      <c r="DU1370" s="16"/>
      <c r="DV1370" s="16"/>
      <c r="DW1370" s="16"/>
      <c r="DX1370" s="10"/>
      <c r="DY1370" s="16"/>
      <c r="DZ1370" s="16"/>
      <c r="EA1370" s="16"/>
      <c r="EB1370" s="16"/>
      <c r="EC1370" s="10"/>
      <c r="ED1370" s="16"/>
      <c r="EE1370" s="16"/>
      <c r="EF1370" s="16"/>
      <c r="EG1370" s="16"/>
      <c r="EH1370" s="10"/>
      <c r="EI1370" s="214"/>
      <c r="EJ1370" s="16"/>
      <c r="EK1370" s="16"/>
      <c r="EL1370" s="16"/>
      <c r="EM1370" s="10"/>
      <c r="EN1370" s="16"/>
      <c r="EO1370" s="16"/>
      <c r="EP1370" s="16"/>
      <c r="EQ1370" s="16"/>
      <c r="ER1370" s="10"/>
      <c r="ES1370" s="16"/>
      <c r="ET1370" s="16"/>
      <c r="EU1370" s="16"/>
      <c r="EV1370" s="16"/>
      <c r="EW1370" s="10"/>
      <c r="EX1370" s="16"/>
      <c r="EY1370" s="16"/>
      <c r="EZ1370" s="16"/>
      <c r="FA1370" s="16"/>
      <c r="FB1370" s="10"/>
      <c r="FC1370" s="16"/>
      <c r="FD1370" s="16"/>
      <c r="FE1370" s="16"/>
      <c r="FF1370" s="16"/>
      <c r="FG1370" s="10"/>
      <c r="FH1370" s="21"/>
      <c r="FI1370" s="16"/>
      <c r="FJ1370" s="16"/>
      <c r="FK1370" s="16"/>
      <c r="FL1370" s="16"/>
    </row>
    <row r="1371" ht="12.75" customHeight="1">
      <c r="A1371" s="16"/>
      <c r="B1371" s="16"/>
      <c r="C1371" s="16"/>
      <c r="D1371" s="16"/>
      <c r="E1371" s="16"/>
      <c r="F1371" s="16"/>
      <c r="G1371" s="16"/>
      <c r="H1371" s="31"/>
      <c r="I1371" s="32"/>
      <c r="J1371" s="32"/>
      <c r="K1371" s="32"/>
      <c r="L1371" s="32"/>
      <c r="M1371" s="31"/>
      <c r="N1371" s="32"/>
      <c r="O1371" s="32"/>
      <c r="P1371" s="32"/>
      <c r="Q1371" s="32"/>
      <c r="R1371" s="33"/>
      <c r="S1371" s="32"/>
      <c r="T1371" s="32"/>
      <c r="U1371" s="32"/>
      <c r="V1371" s="32"/>
      <c r="W1371" s="33"/>
      <c r="X1371" s="32"/>
      <c r="Y1371" s="32"/>
      <c r="Z1371" s="32"/>
      <c r="AA1371" s="32"/>
      <c r="AB1371" s="31"/>
      <c r="AC1371" s="32"/>
      <c r="AD1371" s="32"/>
      <c r="AE1371" s="32"/>
      <c r="AF1371" s="32"/>
      <c r="AG1371" s="31"/>
      <c r="AH1371" s="32"/>
      <c r="AI1371" s="32"/>
      <c r="AJ1371" s="32"/>
      <c r="AK1371" s="32"/>
      <c r="AL1371" s="31"/>
      <c r="AM1371" s="32"/>
      <c r="AN1371" s="32"/>
      <c r="AO1371" s="32"/>
      <c r="AP1371" s="32"/>
      <c r="AQ1371" s="31"/>
      <c r="AR1371" s="32"/>
      <c r="AS1371" s="32"/>
      <c r="AT1371" s="32"/>
      <c r="AU1371" s="32"/>
      <c r="AV1371" s="31"/>
      <c r="AW1371" s="32"/>
      <c r="AX1371" s="32"/>
      <c r="AY1371" s="32"/>
      <c r="AZ1371" s="32"/>
      <c r="BA1371" s="33"/>
      <c r="BB1371" s="32"/>
      <c r="BC1371" s="32"/>
      <c r="BD1371" s="32"/>
      <c r="BE1371" s="32"/>
      <c r="BF1371" s="33"/>
      <c r="BG1371" s="32"/>
      <c r="BH1371" s="32"/>
      <c r="BI1371" s="32"/>
      <c r="BJ1371" s="32"/>
      <c r="BK1371" s="33"/>
      <c r="BL1371" s="32"/>
      <c r="BM1371" s="32"/>
      <c r="BN1371" s="32"/>
      <c r="BO1371" s="32"/>
      <c r="BP1371" s="33"/>
      <c r="BQ1371" s="16"/>
      <c r="BR1371" s="16"/>
      <c r="BS1371" s="16"/>
      <c r="BT1371" s="16"/>
      <c r="BU1371" s="21"/>
      <c r="BV1371" s="16"/>
      <c r="BW1371" s="16"/>
      <c r="BX1371" s="16"/>
      <c r="BY1371" s="16"/>
      <c r="BZ1371" s="10"/>
      <c r="CA1371" s="16"/>
      <c r="CB1371" s="16"/>
      <c r="CC1371" s="16"/>
      <c r="CD1371" s="16"/>
      <c r="CE1371" s="10"/>
      <c r="CF1371" s="16"/>
      <c r="CG1371" s="16"/>
      <c r="CH1371" s="16"/>
      <c r="CI1371" s="16"/>
      <c r="CJ1371" s="10"/>
      <c r="CK1371" s="16"/>
      <c r="CL1371" s="16"/>
      <c r="CM1371" s="16"/>
      <c r="CN1371" s="16"/>
      <c r="CO1371" s="10"/>
      <c r="CP1371" s="16"/>
      <c r="CQ1371" s="16"/>
      <c r="CR1371" s="16"/>
      <c r="CS1371" s="16"/>
      <c r="CT1371" s="10"/>
      <c r="CU1371" s="16"/>
      <c r="CV1371" s="16"/>
      <c r="CW1371" s="16"/>
      <c r="CX1371" s="16"/>
      <c r="CY1371" s="10"/>
      <c r="CZ1371" s="16"/>
      <c r="DA1371" s="16"/>
      <c r="DB1371" s="16"/>
      <c r="DC1371" s="16"/>
      <c r="DD1371" s="10"/>
      <c r="DE1371" s="16"/>
      <c r="DF1371" s="16"/>
      <c r="DG1371" s="16"/>
      <c r="DH1371" s="16"/>
      <c r="DI1371" s="10"/>
      <c r="DJ1371" s="16"/>
      <c r="DK1371" s="16"/>
      <c r="DL1371" s="16"/>
      <c r="DM1371" s="16"/>
      <c r="DN1371" s="10"/>
      <c r="DO1371" s="16"/>
      <c r="DP1371" s="16"/>
      <c r="DQ1371" s="16"/>
      <c r="DR1371" s="16"/>
      <c r="DS1371" s="10"/>
      <c r="DT1371" s="16"/>
      <c r="DU1371" s="16"/>
      <c r="DV1371" s="16"/>
      <c r="DW1371" s="16"/>
      <c r="DX1371" s="10"/>
      <c r="DY1371" s="16"/>
      <c r="DZ1371" s="16"/>
      <c r="EA1371" s="16"/>
      <c r="EB1371" s="16"/>
      <c r="EC1371" s="10"/>
      <c r="ED1371" s="16"/>
      <c r="EE1371" s="16"/>
      <c r="EF1371" s="16"/>
      <c r="EG1371" s="16"/>
      <c r="EH1371" s="10"/>
      <c r="EI1371" s="214"/>
      <c r="EJ1371" s="16"/>
      <c r="EK1371" s="16"/>
      <c r="EL1371" s="16"/>
      <c r="EM1371" s="10"/>
      <c r="EN1371" s="16"/>
      <c r="EO1371" s="16"/>
      <c r="EP1371" s="16"/>
      <c r="EQ1371" s="16"/>
      <c r="ER1371" s="10"/>
      <c r="ES1371" s="16"/>
      <c r="ET1371" s="16"/>
      <c r="EU1371" s="16"/>
      <c r="EV1371" s="16"/>
      <c r="EW1371" s="10"/>
      <c r="EX1371" s="16"/>
      <c r="EY1371" s="16"/>
      <c r="EZ1371" s="16"/>
      <c r="FA1371" s="16"/>
      <c r="FB1371" s="10"/>
      <c r="FC1371" s="16"/>
      <c r="FD1371" s="16"/>
      <c r="FE1371" s="16"/>
      <c r="FF1371" s="16"/>
      <c r="FG1371" s="10"/>
      <c r="FH1371" s="21"/>
      <c r="FI1371" s="16"/>
      <c r="FJ1371" s="16"/>
      <c r="FK1371" s="16"/>
      <c r="FL1371" s="16"/>
    </row>
    <row r="1372" ht="12.75" customHeight="1">
      <c r="A1372" s="16"/>
      <c r="B1372" s="16"/>
      <c r="C1372" s="16"/>
      <c r="D1372" s="16"/>
      <c r="E1372" s="16"/>
      <c r="F1372" s="16"/>
      <c r="G1372" s="16"/>
      <c r="H1372" s="31"/>
      <c r="I1372" s="32"/>
      <c r="J1372" s="32"/>
      <c r="K1372" s="32"/>
      <c r="L1372" s="32"/>
      <c r="M1372" s="31"/>
      <c r="N1372" s="32"/>
      <c r="O1372" s="32"/>
      <c r="P1372" s="32"/>
      <c r="Q1372" s="32"/>
      <c r="R1372" s="33"/>
      <c r="S1372" s="32"/>
      <c r="T1372" s="32"/>
      <c r="U1372" s="32"/>
      <c r="V1372" s="32"/>
      <c r="W1372" s="33"/>
      <c r="X1372" s="32"/>
      <c r="Y1372" s="32"/>
      <c r="Z1372" s="32"/>
      <c r="AA1372" s="32"/>
      <c r="AB1372" s="31"/>
      <c r="AC1372" s="32"/>
      <c r="AD1372" s="32"/>
      <c r="AE1372" s="32"/>
      <c r="AF1372" s="32"/>
      <c r="AG1372" s="31"/>
      <c r="AH1372" s="32"/>
      <c r="AI1372" s="32"/>
      <c r="AJ1372" s="32"/>
      <c r="AK1372" s="32"/>
      <c r="AL1372" s="31"/>
      <c r="AM1372" s="32"/>
      <c r="AN1372" s="32"/>
      <c r="AO1372" s="32"/>
      <c r="AP1372" s="32"/>
      <c r="AQ1372" s="31"/>
      <c r="AR1372" s="32"/>
      <c r="AS1372" s="32"/>
      <c r="AT1372" s="32"/>
      <c r="AU1372" s="32"/>
      <c r="AV1372" s="31"/>
      <c r="AW1372" s="32"/>
      <c r="AX1372" s="32"/>
      <c r="AY1372" s="32"/>
      <c r="AZ1372" s="32"/>
      <c r="BA1372" s="33"/>
      <c r="BB1372" s="32"/>
      <c r="BC1372" s="32"/>
      <c r="BD1372" s="32"/>
      <c r="BE1372" s="32"/>
      <c r="BF1372" s="33"/>
      <c r="BG1372" s="32"/>
      <c r="BH1372" s="32"/>
      <c r="BI1372" s="32"/>
      <c r="BJ1372" s="32"/>
      <c r="BK1372" s="33"/>
      <c r="BL1372" s="32"/>
      <c r="BM1372" s="32"/>
      <c r="BN1372" s="32"/>
      <c r="BO1372" s="32"/>
      <c r="BP1372" s="33"/>
      <c r="BQ1372" s="16"/>
      <c r="BR1372" s="16"/>
      <c r="BS1372" s="16"/>
      <c r="BT1372" s="16"/>
      <c r="BU1372" s="21"/>
      <c r="BV1372" s="16"/>
      <c r="BW1372" s="16"/>
      <c r="BX1372" s="16"/>
      <c r="BY1372" s="16"/>
      <c r="BZ1372" s="10"/>
      <c r="CA1372" s="16"/>
      <c r="CB1372" s="16"/>
      <c r="CC1372" s="16"/>
      <c r="CD1372" s="16"/>
      <c r="CE1372" s="10"/>
      <c r="CF1372" s="16"/>
      <c r="CG1372" s="16"/>
      <c r="CH1372" s="16"/>
      <c r="CI1372" s="16"/>
      <c r="CJ1372" s="10"/>
      <c r="CK1372" s="16"/>
      <c r="CL1372" s="16"/>
      <c r="CM1372" s="16"/>
      <c r="CN1372" s="16"/>
      <c r="CO1372" s="10"/>
      <c r="CP1372" s="16"/>
      <c r="CQ1372" s="16"/>
      <c r="CR1372" s="16"/>
      <c r="CS1372" s="16"/>
      <c r="CT1372" s="10"/>
      <c r="CU1372" s="16"/>
      <c r="CV1372" s="16"/>
      <c r="CW1372" s="16"/>
      <c r="CX1372" s="16"/>
      <c r="CY1372" s="10"/>
      <c r="CZ1372" s="16"/>
      <c r="DA1372" s="16"/>
      <c r="DB1372" s="16"/>
      <c r="DC1372" s="16"/>
      <c r="DD1372" s="10"/>
      <c r="DE1372" s="16"/>
      <c r="DF1372" s="16"/>
      <c r="DG1372" s="16"/>
      <c r="DH1372" s="16"/>
      <c r="DI1372" s="10"/>
      <c r="DJ1372" s="16"/>
      <c r="DK1372" s="16"/>
      <c r="DL1372" s="16"/>
      <c r="DM1372" s="16"/>
      <c r="DN1372" s="10"/>
      <c r="DO1372" s="16"/>
      <c r="DP1372" s="16"/>
      <c r="DQ1372" s="16"/>
      <c r="DR1372" s="16"/>
      <c r="DS1372" s="10"/>
      <c r="DT1372" s="16"/>
      <c r="DU1372" s="16"/>
      <c r="DV1372" s="16"/>
      <c r="DW1372" s="16"/>
      <c r="DX1372" s="10"/>
      <c r="DY1372" s="16"/>
      <c r="DZ1372" s="16"/>
      <c r="EA1372" s="16"/>
      <c r="EB1372" s="16"/>
      <c r="EC1372" s="10"/>
      <c r="ED1372" s="16"/>
      <c r="EE1372" s="16"/>
      <c r="EF1372" s="16"/>
      <c r="EG1372" s="16"/>
      <c r="EH1372" s="10"/>
      <c r="EI1372" s="214"/>
      <c r="EJ1372" s="16"/>
      <c r="EK1372" s="16"/>
      <c r="EL1372" s="16"/>
      <c r="EM1372" s="10"/>
      <c r="EN1372" s="16"/>
      <c r="EO1372" s="16"/>
      <c r="EP1372" s="16"/>
      <c r="EQ1372" s="16"/>
      <c r="ER1372" s="10"/>
      <c r="ES1372" s="16"/>
      <c r="ET1372" s="16"/>
      <c r="EU1372" s="16"/>
      <c r="EV1372" s="16"/>
      <c r="EW1372" s="10"/>
      <c r="EX1372" s="16"/>
      <c r="EY1372" s="16"/>
      <c r="EZ1372" s="16"/>
      <c r="FA1372" s="16"/>
      <c r="FB1372" s="10"/>
      <c r="FC1372" s="16"/>
      <c r="FD1372" s="16"/>
      <c r="FE1372" s="16"/>
      <c r="FF1372" s="16"/>
      <c r="FG1372" s="10"/>
      <c r="FH1372" s="21"/>
      <c r="FI1372" s="16"/>
      <c r="FJ1372" s="16"/>
      <c r="FK1372" s="16"/>
      <c r="FL1372" s="16"/>
    </row>
    <row r="1373" ht="12.75" customHeight="1">
      <c r="A1373" s="16"/>
      <c r="B1373" s="16"/>
      <c r="C1373" s="16"/>
      <c r="D1373" s="16"/>
      <c r="E1373" s="16"/>
      <c r="F1373" s="16"/>
      <c r="G1373" s="16"/>
      <c r="H1373" s="31"/>
      <c r="I1373" s="32"/>
      <c r="J1373" s="32"/>
      <c r="K1373" s="32"/>
      <c r="L1373" s="32"/>
      <c r="M1373" s="31"/>
      <c r="N1373" s="32"/>
      <c r="O1373" s="32"/>
      <c r="P1373" s="32"/>
      <c r="Q1373" s="32"/>
      <c r="R1373" s="33"/>
      <c r="S1373" s="32"/>
      <c r="T1373" s="32"/>
      <c r="U1373" s="32"/>
      <c r="V1373" s="32"/>
      <c r="W1373" s="33"/>
      <c r="X1373" s="32"/>
      <c r="Y1373" s="32"/>
      <c r="Z1373" s="32"/>
      <c r="AA1373" s="32"/>
      <c r="AB1373" s="31"/>
      <c r="AC1373" s="32"/>
      <c r="AD1373" s="32"/>
      <c r="AE1373" s="32"/>
      <c r="AF1373" s="32"/>
      <c r="AG1373" s="31"/>
      <c r="AH1373" s="32"/>
      <c r="AI1373" s="32"/>
      <c r="AJ1373" s="32"/>
      <c r="AK1373" s="32"/>
      <c r="AL1373" s="31"/>
      <c r="AM1373" s="32"/>
      <c r="AN1373" s="32"/>
      <c r="AO1373" s="32"/>
      <c r="AP1373" s="32"/>
      <c r="AQ1373" s="31"/>
      <c r="AR1373" s="32"/>
      <c r="AS1373" s="32"/>
      <c r="AT1373" s="32"/>
      <c r="AU1373" s="32"/>
      <c r="AV1373" s="31"/>
      <c r="AW1373" s="32"/>
      <c r="AX1373" s="32"/>
      <c r="AY1373" s="32"/>
      <c r="AZ1373" s="32"/>
      <c r="BA1373" s="33"/>
      <c r="BB1373" s="32"/>
      <c r="BC1373" s="32"/>
      <c r="BD1373" s="32"/>
      <c r="BE1373" s="32"/>
      <c r="BF1373" s="33"/>
      <c r="BG1373" s="32"/>
      <c r="BH1373" s="32"/>
      <c r="BI1373" s="32"/>
      <c r="BJ1373" s="32"/>
      <c r="BK1373" s="33"/>
      <c r="BL1373" s="32"/>
      <c r="BM1373" s="32"/>
      <c r="BN1373" s="32"/>
      <c r="BO1373" s="32"/>
      <c r="BP1373" s="33"/>
      <c r="BQ1373" s="16"/>
      <c r="BR1373" s="16"/>
      <c r="BS1373" s="16"/>
      <c r="BT1373" s="16"/>
      <c r="BU1373" s="21"/>
      <c r="BV1373" s="16"/>
      <c r="BW1373" s="16"/>
      <c r="BX1373" s="16"/>
      <c r="BY1373" s="16"/>
      <c r="BZ1373" s="10"/>
      <c r="CA1373" s="16"/>
      <c r="CB1373" s="16"/>
      <c r="CC1373" s="16"/>
      <c r="CD1373" s="16"/>
      <c r="CE1373" s="10"/>
      <c r="CF1373" s="16"/>
      <c r="CG1373" s="16"/>
      <c r="CH1373" s="16"/>
      <c r="CI1373" s="16"/>
      <c r="CJ1373" s="10"/>
      <c r="CK1373" s="16"/>
      <c r="CL1373" s="16"/>
      <c r="CM1373" s="16"/>
      <c r="CN1373" s="16"/>
      <c r="CO1373" s="10"/>
      <c r="CP1373" s="16"/>
      <c r="CQ1373" s="16"/>
      <c r="CR1373" s="16"/>
      <c r="CS1373" s="16"/>
      <c r="CT1373" s="10"/>
      <c r="CU1373" s="16"/>
      <c r="CV1373" s="16"/>
      <c r="CW1373" s="16"/>
      <c r="CX1373" s="16"/>
      <c r="CY1373" s="10"/>
      <c r="CZ1373" s="16"/>
      <c r="DA1373" s="16"/>
      <c r="DB1373" s="16"/>
      <c r="DC1373" s="16"/>
      <c r="DD1373" s="10"/>
      <c r="DE1373" s="16"/>
      <c r="DF1373" s="16"/>
      <c r="DG1373" s="16"/>
      <c r="DH1373" s="16"/>
      <c r="DI1373" s="10"/>
      <c r="DJ1373" s="16"/>
      <c r="DK1373" s="16"/>
      <c r="DL1373" s="16"/>
      <c r="DM1373" s="16"/>
      <c r="DN1373" s="10"/>
      <c r="DO1373" s="16"/>
      <c r="DP1373" s="16"/>
      <c r="DQ1373" s="16"/>
      <c r="DR1373" s="16"/>
      <c r="DS1373" s="10"/>
      <c r="DT1373" s="16"/>
      <c r="DU1373" s="16"/>
      <c r="DV1373" s="16"/>
      <c r="DW1373" s="16"/>
      <c r="DX1373" s="10"/>
      <c r="DY1373" s="16"/>
      <c r="DZ1373" s="16"/>
      <c r="EA1373" s="16"/>
      <c r="EB1373" s="16"/>
      <c r="EC1373" s="10"/>
      <c r="ED1373" s="16"/>
      <c r="EE1373" s="16"/>
      <c r="EF1373" s="16"/>
      <c r="EG1373" s="16"/>
      <c r="EH1373" s="10"/>
      <c r="EI1373" s="214"/>
      <c r="EJ1373" s="16"/>
      <c r="EK1373" s="16"/>
      <c r="EL1373" s="16"/>
      <c r="EM1373" s="10"/>
      <c r="EN1373" s="16"/>
      <c r="EO1373" s="16"/>
      <c r="EP1373" s="16"/>
      <c r="EQ1373" s="16"/>
      <c r="ER1373" s="10"/>
      <c r="ES1373" s="16"/>
      <c r="ET1373" s="16"/>
      <c r="EU1373" s="16"/>
      <c r="EV1373" s="16"/>
      <c r="EW1373" s="10"/>
      <c r="EX1373" s="16"/>
      <c r="EY1373" s="16"/>
      <c r="EZ1373" s="16"/>
      <c r="FA1373" s="16"/>
      <c r="FB1373" s="10"/>
      <c r="FC1373" s="16"/>
      <c r="FD1373" s="16"/>
      <c r="FE1373" s="16"/>
      <c r="FF1373" s="16"/>
      <c r="FG1373" s="10"/>
      <c r="FH1373" s="21"/>
      <c r="FI1373" s="16"/>
      <c r="FJ1373" s="16"/>
      <c r="FK1373" s="16"/>
      <c r="FL1373" s="16"/>
    </row>
    <row r="1374" ht="12.75" customHeight="1">
      <c r="A1374" s="16"/>
      <c r="B1374" s="16"/>
      <c r="C1374" s="16"/>
      <c r="D1374" s="16"/>
      <c r="E1374" s="16"/>
      <c r="F1374" s="16"/>
      <c r="G1374" s="16"/>
      <c r="H1374" s="31"/>
      <c r="I1374" s="32"/>
      <c r="J1374" s="32"/>
      <c r="K1374" s="32"/>
      <c r="L1374" s="32"/>
      <c r="M1374" s="31"/>
      <c r="N1374" s="32"/>
      <c r="O1374" s="32"/>
      <c r="P1374" s="32"/>
      <c r="Q1374" s="32"/>
      <c r="R1374" s="33"/>
      <c r="S1374" s="32"/>
      <c r="T1374" s="32"/>
      <c r="U1374" s="32"/>
      <c r="V1374" s="32"/>
      <c r="W1374" s="33"/>
      <c r="X1374" s="32"/>
      <c r="Y1374" s="32"/>
      <c r="Z1374" s="32"/>
      <c r="AA1374" s="32"/>
      <c r="AB1374" s="31"/>
      <c r="AC1374" s="32"/>
      <c r="AD1374" s="32"/>
      <c r="AE1374" s="32"/>
      <c r="AF1374" s="32"/>
      <c r="AG1374" s="31"/>
      <c r="AH1374" s="32"/>
      <c r="AI1374" s="32"/>
      <c r="AJ1374" s="32"/>
      <c r="AK1374" s="32"/>
      <c r="AL1374" s="31"/>
      <c r="AM1374" s="32"/>
      <c r="AN1374" s="32"/>
      <c r="AO1374" s="32"/>
      <c r="AP1374" s="32"/>
      <c r="AQ1374" s="31"/>
      <c r="AR1374" s="32"/>
      <c r="AS1374" s="32"/>
      <c r="AT1374" s="32"/>
      <c r="AU1374" s="32"/>
      <c r="AV1374" s="31"/>
      <c r="AW1374" s="32"/>
      <c r="AX1374" s="32"/>
      <c r="AY1374" s="32"/>
      <c r="AZ1374" s="32"/>
      <c r="BA1374" s="33"/>
      <c r="BB1374" s="32"/>
      <c r="BC1374" s="32"/>
      <c r="BD1374" s="32"/>
      <c r="BE1374" s="32"/>
      <c r="BF1374" s="33"/>
      <c r="BG1374" s="32"/>
      <c r="BH1374" s="32"/>
      <c r="BI1374" s="32"/>
      <c r="BJ1374" s="32"/>
      <c r="BK1374" s="33"/>
      <c r="BL1374" s="32"/>
      <c r="BM1374" s="32"/>
      <c r="BN1374" s="32"/>
      <c r="BO1374" s="32"/>
      <c r="BP1374" s="33"/>
      <c r="BQ1374" s="16"/>
      <c r="BR1374" s="16"/>
      <c r="BS1374" s="16"/>
      <c r="BT1374" s="16"/>
      <c r="BU1374" s="21"/>
      <c r="BV1374" s="16"/>
      <c r="BW1374" s="16"/>
      <c r="BX1374" s="16"/>
      <c r="BY1374" s="16"/>
      <c r="BZ1374" s="10"/>
      <c r="CA1374" s="16"/>
      <c r="CB1374" s="16"/>
      <c r="CC1374" s="16"/>
      <c r="CD1374" s="16"/>
      <c r="CE1374" s="10"/>
      <c r="CF1374" s="16"/>
      <c r="CG1374" s="16"/>
      <c r="CH1374" s="16"/>
      <c r="CI1374" s="16"/>
      <c r="CJ1374" s="10"/>
      <c r="CK1374" s="16"/>
      <c r="CL1374" s="16"/>
      <c r="CM1374" s="16"/>
      <c r="CN1374" s="16"/>
      <c r="CO1374" s="10"/>
      <c r="CP1374" s="16"/>
      <c r="CQ1374" s="16"/>
      <c r="CR1374" s="16"/>
      <c r="CS1374" s="16"/>
      <c r="CT1374" s="10"/>
      <c r="CU1374" s="16"/>
      <c r="CV1374" s="16"/>
      <c r="CW1374" s="16"/>
      <c r="CX1374" s="16"/>
      <c r="CY1374" s="10"/>
      <c r="CZ1374" s="16"/>
      <c r="DA1374" s="16"/>
      <c r="DB1374" s="16"/>
      <c r="DC1374" s="16"/>
      <c r="DD1374" s="10"/>
      <c r="DE1374" s="16"/>
      <c r="DF1374" s="16"/>
      <c r="DG1374" s="16"/>
      <c r="DH1374" s="16"/>
      <c r="DI1374" s="10"/>
      <c r="DJ1374" s="16"/>
      <c r="DK1374" s="16"/>
      <c r="DL1374" s="16"/>
      <c r="DM1374" s="16"/>
      <c r="DN1374" s="10"/>
      <c r="DO1374" s="16"/>
      <c r="DP1374" s="16"/>
      <c r="DQ1374" s="16"/>
      <c r="DR1374" s="16"/>
      <c r="DS1374" s="10"/>
      <c r="DT1374" s="16"/>
      <c r="DU1374" s="16"/>
      <c r="DV1374" s="16"/>
      <c r="DW1374" s="16"/>
      <c r="DX1374" s="10"/>
      <c r="DY1374" s="16"/>
      <c r="DZ1374" s="16"/>
      <c r="EA1374" s="16"/>
      <c r="EB1374" s="16"/>
      <c r="EC1374" s="10"/>
      <c r="ED1374" s="16"/>
      <c r="EE1374" s="16"/>
      <c r="EF1374" s="16"/>
      <c r="EG1374" s="16"/>
      <c r="EH1374" s="10"/>
      <c r="EI1374" s="214"/>
      <c r="EJ1374" s="16"/>
      <c r="EK1374" s="16"/>
      <c r="EL1374" s="16"/>
      <c r="EM1374" s="10"/>
      <c r="EN1374" s="16"/>
      <c r="EO1374" s="16"/>
      <c r="EP1374" s="16"/>
      <c r="EQ1374" s="16"/>
      <c r="ER1374" s="10"/>
      <c r="ES1374" s="16"/>
      <c r="ET1374" s="16"/>
      <c r="EU1374" s="16"/>
      <c r="EV1374" s="16"/>
      <c r="EW1374" s="10"/>
      <c r="EX1374" s="16"/>
      <c r="EY1374" s="16"/>
      <c r="EZ1374" s="16"/>
      <c r="FA1374" s="16"/>
      <c r="FB1374" s="10"/>
      <c r="FC1374" s="16"/>
      <c r="FD1374" s="16"/>
      <c r="FE1374" s="16"/>
      <c r="FF1374" s="16"/>
      <c r="FG1374" s="10"/>
      <c r="FH1374" s="21"/>
      <c r="FI1374" s="16"/>
      <c r="FJ1374" s="16"/>
      <c r="FK1374" s="16"/>
      <c r="FL1374" s="16"/>
    </row>
    <row r="1375" ht="12.75" customHeight="1">
      <c r="A1375" s="16"/>
      <c r="B1375" s="16"/>
      <c r="C1375" s="16"/>
      <c r="D1375" s="16"/>
      <c r="E1375" s="16"/>
      <c r="F1375" s="16"/>
      <c r="G1375" s="16"/>
      <c r="H1375" s="31"/>
      <c r="I1375" s="32"/>
      <c r="J1375" s="32"/>
      <c r="K1375" s="32"/>
      <c r="L1375" s="32"/>
      <c r="M1375" s="31"/>
      <c r="N1375" s="32"/>
      <c r="O1375" s="32"/>
      <c r="P1375" s="32"/>
      <c r="Q1375" s="32"/>
      <c r="R1375" s="33"/>
      <c r="S1375" s="32"/>
      <c r="T1375" s="32"/>
      <c r="U1375" s="32"/>
      <c r="V1375" s="32"/>
      <c r="W1375" s="33"/>
      <c r="X1375" s="32"/>
      <c r="Y1375" s="32"/>
      <c r="Z1375" s="32"/>
      <c r="AA1375" s="32"/>
      <c r="AB1375" s="31"/>
      <c r="AC1375" s="32"/>
      <c r="AD1375" s="32"/>
      <c r="AE1375" s="32"/>
      <c r="AF1375" s="32"/>
      <c r="AG1375" s="31"/>
      <c r="AH1375" s="32"/>
      <c r="AI1375" s="32"/>
      <c r="AJ1375" s="32"/>
      <c r="AK1375" s="32"/>
      <c r="AL1375" s="31"/>
      <c r="AM1375" s="32"/>
      <c r="AN1375" s="32"/>
      <c r="AO1375" s="32"/>
      <c r="AP1375" s="32"/>
      <c r="AQ1375" s="31"/>
      <c r="AR1375" s="32"/>
      <c r="AS1375" s="32"/>
      <c r="AT1375" s="32"/>
      <c r="AU1375" s="32"/>
      <c r="AV1375" s="31"/>
      <c r="AW1375" s="32"/>
      <c r="AX1375" s="32"/>
      <c r="AY1375" s="32"/>
      <c r="AZ1375" s="32"/>
      <c r="BA1375" s="33"/>
      <c r="BB1375" s="32"/>
      <c r="BC1375" s="32"/>
      <c r="BD1375" s="32"/>
      <c r="BE1375" s="32"/>
      <c r="BF1375" s="33"/>
      <c r="BG1375" s="32"/>
      <c r="BH1375" s="32"/>
      <c r="BI1375" s="32"/>
      <c r="BJ1375" s="32"/>
      <c r="BK1375" s="33"/>
      <c r="BL1375" s="32"/>
      <c r="BM1375" s="32"/>
      <c r="BN1375" s="32"/>
      <c r="BO1375" s="32"/>
      <c r="BP1375" s="33"/>
      <c r="BQ1375" s="16"/>
      <c r="BR1375" s="16"/>
      <c r="BS1375" s="16"/>
      <c r="BT1375" s="16"/>
      <c r="BU1375" s="21"/>
      <c r="BV1375" s="16"/>
      <c r="BW1375" s="16"/>
      <c r="BX1375" s="16"/>
      <c r="BY1375" s="16"/>
      <c r="BZ1375" s="10"/>
      <c r="CA1375" s="16"/>
      <c r="CB1375" s="16"/>
      <c r="CC1375" s="16"/>
      <c r="CD1375" s="16"/>
      <c r="CE1375" s="10"/>
      <c r="CF1375" s="16"/>
      <c r="CG1375" s="16"/>
      <c r="CH1375" s="16"/>
      <c r="CI1375" s="16"/>
      <c r="CJ1375" s="10"/>
      <c r="CK1375" s="16"/>
      <c r="CL1375" s="16"/>
      <c r="CM1375" s="16"/>
      <c r="CN1375" s="16"/>
      <c r="CO1375" s="10"/>
      <c r="CP1375" s="16"/>
      <c r="CQ1375" s="16"/>
      <c r="CR1375" s="16"/>
      <c r="CS1375" s="16"/>
      <c r="CT1375" s="10"/>
      <c r="CU1375" s="16"/>
      <c r="CV1375" s="16"/>
      <c r="CW1375" s="16"/>
      <c r="CX1375" s="16"/>
      <c r="CY1375" s="10"/>
      <c r="CZ1375" s="16"/>
      <c r="DA1375" s="16"/>
      <c r="DB1375" s="16"/>
      <c r="DC1375" s="16"/>
      <c r="DD1375" s="10"/>
      <c r="DE1375" s="16"/>
      <c r="DF1375" s="16"/>
      <c r="DG1375" s="16"/>
      <c r="DH1375" s="16"/>
      <c r="DI1375" s="10"/>
      <c r="DJ1375" s="16"/>
      <c r="DK1375" s="16"/>
      <c r="DL1375" s="16"/>
      <c r="DM1375" s="16"/>
      <c r="DN1375" s="10"/>
      <c r="DO1375" s="16"/>
      <c r="DP1375" s="16"/>
      <c r="DQ1375" s="16"/>
      <c r="DR1375" s="16"/>
      <c r="DS1375" s="10"/>
      <c r="DT1375" s="16"/>
      <c r="DU1375" s="16"/>
      <c r="DV1375" s="16"/>
      <c r="DW1375" s="16"/>
      <c r="DX1375" s="10"/>
      <c r="DY1375" s="16"/>
      <c r="DZ1375" s="16"/>
      <c r="EA1375" s="16"/>
      <c r="EB1375" s="16"/>
      <c r="EC1375" s="10"/>
      <c r="ED1375" s="16"/>
      <c r="EE1375" s="16"/>
      <c r="EF1375" s="16"/>
      <c r="EG1375" s="16"/>
      <c r="EH1375" s="10"/>
      <c r="EI1375" s="214"/>
      <c r="EJ1375" s="16"/>
      <c r="EK1375" s="16"/>
      <c r="EL1375" s="16"/>
      <c r="EM1375" s="10"/>
      <c r="EN1375" s="16"/>
      <c r="EO1375" s="16"/>
      <c r="EP1375" s="16"/>
      <c r="EQ1375" s="16"/>
      <c r="ER1375" s="10"/>
      <c r="ES1375" s="16"/>
      <c r="ET1375" s="16"/>
      <c r="EU1375" s="16"/>
      <c r="EV1375" s="16"/>
      <c r="EW1375" s="10"/>
      <c r="EX1375" s="16"/>
      <c r="EY1375" s="16"/>
      <c r="EZ1375" s="16"/>
      <c r="FA1375" s="16"/>
      <c r="FB1375" s="10"/>
      <c r="FC1375" s="16"/>
      <c r="FD1375" s="16"/>
      <c r="FE1375" s="16"/>
      <c r="FF1375" s="16"/>
      <c r="FG1375" s="10"/>
      <c r="FH1375" s="21"/>
      <c r="FI1375" s="16"/>
      <c r="FJ1375" s="16"/>
      <c r="FK1375" s="16"/>
      <c r="FL1375" s="16"/>
    </row>
    <row r="1376" ht="12.75" customHeight="1">
      <c r="A1376" s="16"/>
      <c r="B1376" s="16"/>
      <c r="C1376" s="16"/>
      <c r="D1376" s="16"/>
      <c r="E1376" s="16"/>
      <c r="F1376" s="16"/>
      <c r="G1376" s="16"/>
      <c r="H1376" s="31"/>
      <c r="I1376" s="32"/>
      <c r="J1376" s="32"/>
      <c r="K1376" s="32"/>
      <c r="L1376" s="32"/>
      <c r="M1376" s="31"/>
      <c r="N1376" s="32"/>
      <c r="O1376" s="32"/>
      <c r="P1376" s="32"/>
      <c r="Q1376" s="32"/>
      <c r="R1376" s="33"/>
      <c r="S1376" s="32"/>
      <c r="T1376" s="32"/>
      <c r="U1376" s="32"/>
      <c r="V1376" s="32"/>
      <c r="W1376" s="33"/>
      <c r="X1376" s="32"/>
      <c r="Y1376" s="32"/>
      <c r="Z1376" s="32"/>
      <c r="AA1376" s="32"/>
      <c r="AB1376" s="31"/>
      <c r="AC1376" s="32"/>
      <c r="AD1376" s="32"/>
      <c r="AE1376" s="32"/>
      <c r="AF1376" s="32"/>
      <c r="AG1376" s="31"/>
      <c r="AH1376" s="32"/>
      <c r="AI1376" s="32"/>
      <c r="AJ1376" s="32"/>
      <c r="AK1376" s="32"/>
      <c r="AL1376" s="31"/>
      <c r="AM1376" s="32"/>
      <c r="AN1376" s="32"/>
      <c r="AO1376" s="32"/>
      <c r="AP1376" s="32"/>
      <c r="AQ1376" s="31"/>
      <c r="AR1376" s="32"/>
      <c r="AS1376" s="32"/>
      <c r="AT1376" s="32"/>
      <c r="AU1376" s="32"/>
      <c r="AV1376" s="31"/>
      <c r="AW1376" s="32"/>
      <c r="AX1376" s="32"/>
      <c r="AY1376" s="32"/>
      <c r="AZ1376" s="32"/>
      <c r="BA1376" s="33"/>
      <c r="BB1376" s="32"/>
      <c r="BC1376" s="32"/>
      <c r="BD1376" s="32"/>
      <c r="BE1376" s="32"/>
      <c r="BF1376" s="33"/>
      <c r="BG1376" s="32"/>
      <c r="BH1376" s="32"/>
      <c r="BI1376" s="32"/>
      <c r="BJ1376" s="32"/>
      <c r="BK1376" s="33"/>
      <c r="BL1376" s="32"/>
      <c r="BM1376" s="32"/>
      <c r="BN1376" s="32"/>
      <c r="BO1376" s="32"/>
      <c r="BP1376" s="33"/>
      <c r="BQ1376" s="16"/>
      <c r="BR1376" s="16"/>
      <c r="BS1376" s="16"/>
      <c r="BT1376" s="16"/>
      <c r="BU1376" s="21"/>
      <c r="BV1376" s="16"/>
      <c r="BW1376" s="16"/>
      <c r="BX1376" s="16"/>
      <c r="BY1376" s="16"/>
      <c r="BZ1376" s="10"/>
      <c r="CA1376" s="16"/>
      <c r="CB1376" s="16"/>
      <c r="CC1376" s="16"/>
      <c r="CD1376" s="16"/>
      <c r="CE1376" s="10"/>
      <c r="CF1376" s="16"/>
      <c r="CG1376" s="16"/>
      <c r="CH1376" s="16"/>
      <c r="CI1376" s="16"/>
      <c r="CJ1376" s="10"/>
      <c r="CK1376" s="16"/>
      <c r="CL1376" s="16"/>
      <c r="CM1376" s="16"/>
      <c r="CN1376" s="16"/>
      <c r="CO1376" s="10"/>
      <c r="CP1376" s="16"/>
      <c r="CQ1376" s="16"/>
      <c r="CR1376" s="16"/>
      <c r="CS1376" s="16"/>
      <c r="CT1376" s="10"/>
      <c r="CU1376" s="16"/>
      <c r="CV1376" s="16"/>
      <c r="CW1376" s="16"/>
      <c r="CX1376" s="16"/>
      <c r="CY1376" s="10"/>
      <c r="CZ1376" s="16"/>
      <c r="DA1376" s="16"/>
      <c r="DB1376" s="16"/>
      <c r="DC1376" s="16"/>
      <c r="DD1376" s="10"/>
      <c r="DE1376" s="16"/>
      <c r="DF1376" s="16"/>
      <c r="DG1376" s="16"/>
      <c r="DH1376" s="16"/>
      <c r="DI1376" s="10"/>
      <c r="DJ1376" s="16"/>
      <c r="DK1376" s="16"/>
      <c r="DL1376" s="16"/>
      <c r="DM1376" s="16"/>
      <c r="DN1376" s="10"/>
      <c r="DO1376" s="16"/>
      <c r="DP1376" s="16"/>
      <c r="DQ1376" s="16"/>
      <c r="DR1376" s="16"/>
      <c r="DS1376" s="10"/>
      <c r="DT1376" s="16"/>
      <c r="DU1376" s="16"/>
      <c r="DV1376" s="16"/>
      <c r="DW1376" s="16"/>
      <c r="DX1376" s="10"/>
      <c r="DY1376" s="16"/>
      <c r="DZ1376" s="16"/>
      <c r="EA1376" s="16"/>
      <c r="EB1376" s="16"/>
      <c r="EC1376" s="10"/>
      <c r="ED1376" s="16"/>
      <c r="EE1376" s="16"/>
      <c r="EF1376" s="16"/>
      <c r="EG1376" s="16"/>
      <c r="EH1376" s="10"/>
      <c r="EI1376" s="214"/>
      <c r="EJ1376" s="16"/>
      <c r="EK1376" s="16"/>
      <c r="EL1376" s="16"/>
      <c r="EM1376" s="10"/>
      <c r="EN1376" s="16"/>
      <c r="EO1376" s="16"/>
      <c r="EP1376" s="16"/>
      <c r="EQ1376" s="16"/>
      <c r="ER1376" s="10"/>
      <c r="ES1376" s="16"/>
      <c r="ET1376" s="16"/>
      <c r="EU1376" s="16"/>
      <c r="EV1376" s="16"/>
      <c r="EW1376" s="10"/>
      <c r="EX1376" s="16"/>
      <c r="EY1376" s="16"/>
      <c r="EZ1376" s="16"/>
      <c r="FA1376" s="16"/>
      <c r="FB1376" s="10"/>
      <c r="FC1376" s="16"/>
      <c r="FD1376" s="16"/>
      <c r="FE1376" s="16"/>
      <c r="FF1376" s="16"/>
      <c r="FG1376" s="10"/>
      <c r="FH1376" s="21"/>
      <c r="FI1376" s="16"/>
      <c r="FJ1376" s="16"/>
      <c r="FK1376" s="16"/>
      <c r="FL1376" s="16"/>
    </row>
    <row r="1377" ht="12.75" customHeight="1">
      <c r="A1377" s="16"/>
      <c r="B1377" s="16"/>
      <c r="C1377" s="16"/>
      <c r="D1377" s="16"/>
      <c r="E1377" s="16"/>
      <c r="F1377" s="16"/>
      <c r="G1377" s="16"/>
      <c r="H1377" s="31"/>
      <c r="I1377" s="32"/>
      <c r="J1377" s="32"/>
      <c r="K1377" s="32"/>
      <c r="L1377" s="32"/>
      <c r="M1377" s="31"/>
      <c r="N1377" s="32"/>
      <c r="O1377" s="32"/>
      <c r="P1377" s="32"/>
      <c r="Q1377" s="32"/>
      <c r="R1377" s="33"/>
      <c r="S1377" s="32"/>
      <c r="T1377" s="32"/>
      <c r="U1377" s="32"/>
      <c r="V1377" s="32"/>
      <c r="W1377" s="33"/>
      <c r="X1377" s="32"/>
      <c r="Y1377" s="32"/>
      <c r="Z1377" s="32"/>
      <c r="AA1377" s="32"/>
      <c r="AB1377" s="31"/>
      <c r="AC1377" s="32"/>
      <c r="AD1377" s="32"/>
      <c r="AE1377" s="32"/>
      <c r="AF1377" s="32"/>
      <c r="AG1377" s="31"/>
      <c r="AH1377" s="32"/>
      <c r="AI1377" s="32"/>
      <c r="AJ1377" s="32"/>
      <c r="AK1377" s="32"/>
      <c r="AL1377" s="31"/>
      <c r="AM1377" s="32"/>
      <c r="AN1377" s="32"/>
      <c r="AO1377" s="32"/>
      <c r="AP1377" s="32"/>
      <c r="AQ1377" s="31"/>
      <c r="AR1377" s="32"/>
      <c r="AS1377" s="32"/>
      <c r="AT1377" s="32"/>
      <c r="AU1377" s="32"/>
      <c r="AV1377" s="31"/>
      <c r="AW1377" s="32"/>
      <c r="AX1377" s="32"/>
      <c r="AY1377" s="32"/>
      <c r="AZ1377" s="32"/>
      <c r="BA1377" s="33"/>
      <c r="BB1377" s="32"/>
      <c r="BC1377" s="32"/>
      <c r="BD1377" s="32"/>
      <c r="BE1377" s="32"/>
      <c r="BF1377" s="33"/>
      <c r="BG1377" s="32"/>
      <c r="BH1377" s="32"/>
      <c r="BI1377" s="32"/>
      <c r="BJ1377" s="32"/>
      <c r="BK1377" s="33"/>
      <c r="BL1377" s="32"/>
      <c r="BM1377" s="32"/>
      <c r="BN1377" s="32"/>
      <c r="BO1377" s="32"/>
      <c r="BP1377" s="33"/>
      <c r="BQ1377" s="16"/>
      <c r="BR1377" s="16"/>
      <c r="BS1377" s="16"/>
      <c r="BT1377" s="16"/>
      <c r="BU1377" s="21"/>
      <c r="BV1377" s="16"/>
      <c r="BW1377" s="16"/>
      <c r="BX1377" s="16"/>
      <c r="BY1377" s="16"/>
      <c r="BZ1377" s="10"/>
      <c r="CA1377" s="16"/>
      <c r="CB1377" s="16"/>
      <c r="CC1377" s="16"/>
      <c r="CD1377" s="16"/>
      <c r="CE1377" s="10"/>
      <c r="CF1377" s="16"/>
      <c r="CG1377" s="16"/>
      <c r="CH1377" s="16"/>
      <c r="CI1377" s="16"/>
      <c r="CJ1377" s="10"/>
      <c r="CK1377" s="16"/>
      <c r="CL1377" s="16"/>
      <c r="CM1377" s="16"/>
      <c r="CN1377" s="16"/>
      <c r="CO1377" s="10"/>
      <c r="CP1377" s="16"/>
      <c r="CQ1377" s="16"/>
      <c r="CR1377" s="16"/>
      <c r="CS1377" s="16"/>
      <c r="CT1377" s="10"/>
      <c r="CU1377" s="16"/>
      <c r="CV1377" s="16"/>
      <c r="CW1377" s="16"/>
      <c r="CX1377" s="16"/>
      <c r="CY1377" s="10"/>
      <c r="CZ1377" s="16"/>
      <c r="DA1377" s="16"/>
      <c r="DB1377" s="16"/>
      <c r="DC1377" s="16"/>
      <c r="DD1377" s="10"/>
      <c r="DE1377" s="16"/>
      <c r="DF1377" s="16"/>
      <c r="DG1377" s="16"/>
      <c r="DH1377" s="16"/>
      <c r="DI1377" s="10"/>
      <c r="DJ1377" s="16"/>
      <c r="DK1377" s="16"/>
      <c r="DL1377" s="16"/>
      <c r="DM1377" s="16"/>
      <c r="DN1377" s="10"/>
      <c r="DO1377" s="16"/>
      <c r="DP1377" s="16"/>
      <c r="DQ1377" s="16"/>
      <c r="DR1377" s="16"/>
      <c r="DS1377" s="10"/>
      <c r="DT1377" s="16"/>
      <c r="DU1377" s="16"/>
      <c r="DV1377" s="16"/>
      <c r="DW1377" s="16"/>
      <c r="DX1377" s="10"/>
      <c r="DY1377" s="16"/>
      <c r="DZ1377" s="16"/>
      <c r="EA1377" s="16"/>
      <c r="EB1377" s="16"/>
      <c r="EC1377" s="10"/>
      <c r="ED1377" s="16"/>
      <c r="EE1377" s="16"/>
      <c r="EF1377" s="16"/>
      <c r="EG1377" s="16"/>
      <c r="EH1377" s="10"/>
      <c r="EI1377" s="214"/>
      <c r="EJ1377" s="16"/>
      <c r="EK1377" s="16"/>
      <c r="EL1377" s="16"/>
      <c r="EM1377" s="10"/>
      <c r="EN1377" s="16"/>
      <c r="EO1377" s="16"/>
      <c r="EP1377" s="16"/>
      <c r="EQ1377" s="16"/>
      <c r="ER1377" s="10"/>
      <c r="ES1377" s="16"/>
      <c r="ET1377" s="16"/>
      <c r="EU1377" s="16"/>
      <c r="EV1377" s="16"/>
      <c r="EW1377" s="10"/>
      <c r="EX1377" s="16"/>
      <c r="EY1377" s="16"/>
      <c r="EZ1377" s="16"/>
      <c r="FA1377" s="16"/>
      <c r="FB1377" s="10"/>
      <c r="FC1377" s="16"/>
      <c r="FD1377" s="16"/>
      <c r="FE1377" s="16"/>
      <c r="FF1377" s="16"/>
      <c r="FG1377" s="10"/>
      <c r="FH1377" s="21"/>
      <c r="FI1377" s="16"/>
      <c r="FJ1377" s="16"/>
      <c r="FK1377" s="16"/>
      <c r="FL1377" s="16"/>
    </row>
    <row r="1378" ht="12.75" customHeight="1">
      <c r="A1378" s="16"/>
      <c r="B1378" s="16"/>
      <c r="C1378" s="16"/>
      <c r="D1378" s="16"/>
      <c r="E1378" s="16"/>
      <c r="F1378" s="16"/>
      <c r="G1378" s="16"/>
      <c r="H1378" s="31"/>
      <c r="I1378" s="32"/>
      <c r="J1378" s="32"/>
      <c r="K1378" s="32"/>
      <c r="L1378" s="32"/>
      <c r="M1378" s="31"/>
      <c r="N1378" s="32"/>
      <c r="O1378" s="32"/>
      <c r="P1378" s="32"/>
      <c r="Q1378" s="32"/>
      <c r="R1378" s="33"/>
      <c r="S1378" s="32"/>
      <c r="T1378" s="32"/>
      <c r="U1378" s="32"/>
      <c r="V1378" s="32"/>
      <c r="W1378" s="33"/>
      <c r="X1378" s="32"/>
      <c r="Y1378" s="32"/>
      <c r="Z1378" s="32"/>
      <c r="AA1378" s="32"/>
      <c r="AB1378" s="31"/>
      <c r="AC1378" s="32"/>
      <c r="AD1378" s="32"/>
      <c r="AE1378" s="32"/>
      <c r="AF1378" s="32"/>
      <c r="AG1378" s="31"/>
      <c r="AH1378" s="32"/>
      <c r="AI1378" s="32"/>
      <c r="AJ1378" s="32"/>
      <c r="AK1378" s="32"/>
      <c r="AL1378" s="31"/>
      <c r="AM1378" s="32"/>
      <c r="AN1378" s="32"/>
      <c r="AO1378" s="32"/>
      <c r="AP1378" s="32"/>
      <c r="AQ1378" s="31"/>
      <c r="AR1378" s="32"/>
      <c r="AS1378" s="32"/>
      <c r="AT1378" s="32"/>
      <c r="AU1378" s="32"/>
      <c r="AV1378" s="31"/>
      <c r="AW1378" s="32"/>
      <c r="AX1378" s="32"/>
      <c r="AY1378" s="32"/>
      <c r="AZ1378" s="32"/>
      <c r="BA1378" s="33"/>
      <c r="BB1378" s="32"/>
      <c r="BC1378" s="32"/>
      <c r="BD1378" s="32"/>
      <c r="BE1378" s="32"/>
      <c r="BF1378" s="33"/>
      <c r="BG1378" s="32"/>
      <c r="BH1378" s="32"/>
      <c r="BI1378" s="32"/>
      <c r="BJ1378" s="32"/>
      <c r="BK1378" s="33"/>
      <c r="BL1378" s="32"/>
      <c r="BM1378" s="32"/>
      <c r="BN1378" s="32"/>
      <c r="BO1378" s="32"/>
      <c r="BP1378" s="33"/>
      <c r="BQ1378" s="16"/>
      <c r="BR1378" s="16"/>
      <c r="BS1378" s="16"/>
      <c r="BT1378" s="16"/>
      <c r="BU1378" s="21"/>
      <c r="BV1378" s="16"/>
      <c r="BW1378" s="16"/>
      <c r="BX1378" s="16"/>
      <c r="BY1378" s="16"/>
      <c r="BZ1378" s="10"/>
      <c r="CA1378" s="16"/>
      <c r="CB1378" s="16"/>
      <c r="CC1378" s="16"/>
      <c r="CD1378" s="16"/>
      <c r="CE1378" s="10"/>
      <c r="CF1378" s="16"/>
      <c r="CG1378" s="16"/>
      <c r="CH1378" s="16"/>
      <c r="CI1378" s="16"/>
      <c r="CJ1378" s="10"/>
      <c r="CK1378" s="16"/>
      <c r="CL1378" s="16"/>
      <c r="CM1378" s="16"/>
      <c r="CN1378" s="16"/>
      <c r="CO1378" s="10"/>
      <c r="CP1378" s="16"/>
      <c r="CQ1378" s="16"/>
      <c r="CR1378" s="16"/>
      <c r="CS1378" s="16"/>
      <c r="CT1378" s="10"/>
      <c r="CU1378" s="16"/>
      <c r="CV1378" s="16"/>
      <c r="CW1378" s="16"/>
      <c r="CX1378" s="16"/>
      <c r="CY1378" s="10"/>
      <c r="CZ1378" s="16"/>
      <c r="DA1378" s="16"/>
      <c r="DB1378" s="16"/>
      <c r="DC1378" s="16"/>
      <c r="DD1378" s="10"/>
      <c r="DE1378" s="16"/>
      <c r="DF1378" s="16"/>
      <c r="DG1378" s="16"/>
      <c r="DH1378" s="16"/>
      <c r="DI1378" s="10"/>
      <c r="DJ1378" s="16"/>
      <c r="DK1378" s="16"/>
      <c r="DL1378" s="16"/>
      <c r="DM1378" s="16"/>
      <c r="DN1378" s="10"/>
      <c r="DO1378" s="16"/>
      <c r="DP1378" s="16"/>
      <c r="DQ1378" s="16"/>
      <c r="DR1378" s="16"/>
      <c r="DS1378" s="10"/>
      <c r="DT1378" s="16"/>
      <c r="DU1378" s="16"/>
      <c r="DV1378" s="16"/>
      <c r="DW1378" s="16"/>
      <c r="DX1378" s="10"/>
      <c r="DY1378" s="16"/>
      <c r="DZ1378" s="16"/>
      <c r="EA1378" s="16"/>
      <c r="EB1378" s="16"/>
      <c r="EC1378" s="10"/>
      <c r="ED1378" s="16"/>
      <c r="EE1378" s="16"/>
      <c r="EF1378" s="16"/>
      <c r="EG1378" s="16"/>
      <c r="EH1378" s="10"/>
      <c r="EI1378" s="214"/>
      <c r="EJ1378" s="16"/>
      <c r="EK1378" s="16"/>
      <c r="EL1378" s="16"/>
      <c r="EM1378" s="10"/>
      <c r="EN1378" s="16"/>
      <c r="EO1378" s="16"/>
      <c r="EP1378" s="16"/>
      <c r="EQ1378" s="16"/>
      <c r="ER1378" s="10"/>
      <c r="ES1378" s="16"/>
      <c r="ET1378" s="16"/>
      <c r="EU1378" s="16"/>
      <c r="EV1378" s="16"/>
      <c r="EW1378" s="10"/>
      <c r="EX1378" s="16"/>
      <c r="EY1378" s="16"/>
      <c r="EZ1378" s="16"/>
      <c r="FA1378" s="16"/>
      <c r="FB1378" s="10"/>
      <c r="FC1378" s="16"/>
      <c r="FD1378" s="16"/>
      <c r="FE1378" s="16"/>
      <c r="FF1378" s="16"/>
      <c r="FG1378" s="10"/>
      <c r="FH1378" s="21"/>
      <c r="FI1378" s="16"/>
      <c r="FJ1378" s="16"/>
      <c r="FK1378" s="16"/>
      <c r="FL1378" s="16"/>
    </row>
    <row r="1379" ht="12.75" customHeight="1">
      <c r="A1379" s="16"/>
      <c r="B1379" s="16"/>
      <c r="C1379" s="16"/>
      <c r="D1379" s="16"/>
      <c r="E1379" s="16"/>
      <c r="F1379" s="16"/>
      <c r="G1379" s="16"/>
      <c r="H1379" s="31"/>
      <c r="I1379" s="32"/>
      <c r="J1379" s="32"/>
      <c r="K1379" s="32"/>
      <c r="L1379" s="32"/>
      <c r="M1379" s="31"/>
      <c r="N1379" s="32"/>
      <c r="O1379" s="32"/>
      <c r="P1379" s="32"/>
      <c r="Q1379" s="32"/>
      <c r="R1379" s="33"/>
      <c r="S1379" s="32"/>
      <c r="T1379" s="32"/>
      <c r="U1379" s="32"/>
      <c r="V1379" s="32"/>
      <c r="W1379" s="33"/>
      <c r="X1379" s="32"/>
      <c r="Y1379" s="32"/>
      <c r="Z1379" s="32"/>
      <c r="AA1379" s="32"/>
      <c r="AB1379" s="31"/>
      <c r="AC1379" s="32"/>
      <c r="AD1379" s="32"/>
      <c r="AE1379" s="32"/>
      <c r="AF1379" s="32"/>
      <c r="AG1379" s="31"/>
      <c r="AH1379" s="32"/>
      <c r="AI1379" s="32"/>
      <c r="AJ1379" s="32"/>
      <c r="AK1379" s="32"/>
      <c r="AL1379" s="31"/>
      <c r="AM1379" s="32"/>
      <c r="AN1379" s="32"/>
      <c r="AO1379" s="32"/>
      <c r="AP1379" s="32"/>
      <c r="AQ1379" s="31"/>
      <c r="AR1379" s="32"/>
      <c r="AS1379" s="32"/>
      <c r="AT1379" s="32"/>
      <c r="AU1379" s="32"/>
      <c r="AV1379" s="31"/>
      <c r="AW1379" s="32"/>
      <c r="AX1379" s="32"/>
      <c r="AY1379" s="32"/>
      <c r="AZ1379" s="32"/>
      <c r="BA1379" s="33"/>
      <c r="BB1379" s="32"/>
      <c r="BC1379" s="32"/>
      <c r="BD1379" s="32"/>
      <c r="BE1379" s="32"/>
      <c r="BF1379" s="33"/>
      <c r="BG1379" s="32"/>
      <c r="BH1379" s="32"/>
      <c r="BI1379" s="32"/>
      <c r="BJ1379" s="32"/>
      <c r="BK1379" s="33"/>
      <c r="BL1379" s="32"/>
      <c r="BM1379" s="32"/>
      <c r="BN1379" s="32"/>
      <c r="BO1379" s="32"/>
      <c r="BP1379" s="33"/>
      <c r="BQ1379" s="16"/>
      <c r="BR1379" s="16"/>
      <c r="BS1379" s="16"/>
      <c r="BT1379" s="16"/>
      <c r="BU1379" s="21"/>
      <c r="BV1379" s="16"/>
      <c r="BW1379" s="16"/>
      <c r="BX1379" s="16"/>
      <c r="BY1379" s="16"/>
      <c r="BZ1379" s="10"/>
      <c r="CA1379" s="16"/>
      <c r="CB1379" s="16"/>
      <c r="CC1379" s="16"/>
      <c r="CD1379" s="16"/>
      <c r="CE1379" s="10"/>
      <c r="CF1379" s="16"/>
      <c r="CG1379" s="16"/>
      <c r="CH1379" s="16"/>
      <c r="CI1379" s="16"/>
      <c r="CJ1379" s="10"/>
      <c r="CK1379" s="16"/>
      <c r="CL1379" s="16"/>
      <c r="CM1379" s="16"/>
      <c r="CN1379" s="16"/>
      <c r="CO1379" s="10"/>
      <c r="CP1379" s="16"/>
      <c r="CQ1379" s="16"/>
      <c r="CR1379" s="16"/>
      <c r="CS1379" s="16"/>
      <c r="CT1379" s="10"/>
      <c r="CU1379" s="16"/>
      <c r="CV1379" s="16"/>
      <c r="CW1379" s="16"/>
      <c r="CX1379" s="16"/>
      <c r="CY1379" s="10"/>
      <c r="CZ1379" s="16"/>
      <c r="DA1379" s="16"/>
      <c r="DB1379" s="16"/>
      <c r="DC1379" s="16"/>
      <c r="DD1379" s="10"/>
      <c r="DE1379" s="16"/>
      <c r="DF1379" s="16"/>
      <c r="DG1379" s="16"/>
      <c r="DH1379" s="16"/>
      <c r="DI1379" s="10"/>
      <c r="DJ1379" s="16"/>
      <c r="DK1379" s="16"/>
      <c r="DL1379" s="16"/>
      <c r="DM1379" s="16"/>
      <c r="DN1379" s="10"/>
      <c r="DO1379" s="16"/>
      <c r="DP1379" s="16"/>
      <c r="DQ1379" s="16"/>
      <c r="DR1379" s="16"/>
      <c r="DS1379" s="10"/>
      <c r="DT1379" s="16"/>
      <c r="DU1379" s="16"/>
      <c r="DV1379" s="16"/>
      <c r="DW1379" s="16"/>
      <c r="DX1379" s="10"/>
      <c r="DY1379" s="16"/>
      <c r="DZ1379" s="16"/>
      <c r="EA1379" s="16"/>
      <c r="EB1379" s="16"/>
      <c r="EC1379" s="10"/>
      <c r="ED1379" s="16"/>
      <c r="EE1379" s="16"/>
      <c r="EF1379" s="16"/>
      <c r="EG1379" s="16"/>
      <c r="EH1379" s="10"/>
      <c r="EI1379" s="214"/>
      <c r="EJ1379" s="16"/>
      <c r="EK1379" s="16"/>
      <c r="EL1379" s="16"/>
      <c r="EM1379" s="10"/>
      <c r="EN1379" s="16"/>
      <c r="EO1379" s="16"/>
      <c r="EP1379" s="16"/>
      <c r="EQ1379" s="16"/>
      <c r="ER1379" s="10"/>
      <c r="ES1379" s="16"/>
      <c r="ET1379" s="16"/>
      <c r="EU1379" s="16"/>
      <c r="EV1379" s="16"/>
      <c r="EW1379" s="10"/>
      <c r="EX1379" s="16"/>
      <c r="EY1379" s="16"/>
      <c r="EZ1379" s="16"/>
      <c r="FA1379" s="16"/>
      <c r="FB1379" s="10"/>
      <c r="FC1379" s="16"/>
      <c r="FD1379" s="16"/>
      <c r="FE1379" s="16"/>
      <c r="FF1379" s="16"/>
      <c r="FG1379" s="10"/>
      <c r="FH1379" s="21"/>
      <c r="FI1379" s="16"/>
      <c r="FJ1379" s="16"/>
      <c r="FK1379" s="16"/>
      <c r="FL1379" s="16"/>
    </row>
    <row r="1380" ht="12.75" customHeight="1">
      <c r="A1380" s="16"/>
      <c r="B1380" s="16"/>
      <c r="C1380" s="16"/>
      <c r="D1380" s="16"/>
      <c r="E1380" s="16"/>
      <c r="F1380" s="16"/>
      <c r="G1380" s="16"/>
      <c r="H1380" s="31"/>
      <c r="I1380" s="32"/>
      <c r="J1380" s="32"/>
      <c r="K1380" s="32"/>
      <c r="L1380" s="32"/>
      <c r="M1380" s="31"/>
      <c r="N1380" s="32"/>
      <c r="O1380" s="32"/>
      <c r="P1380" s="32"/>
      <c r="Q1380" s="32"/>
      <c r="R1380" s="33"/>
      <c r="S1380" s="32"/>
      <c r="T1380" s="32"/>
      <c r="U1380" s="32"/>
      <c r="V1380" s="32"/>
      <c r="W1380" s="33"/>
      <c r="X1380" s="32"/>
      <c r="Y1380" s="32"/>
      <c r="Z1380" s="32"/>
      <c r="AA1380" s="32"/>
      <c r="AB1380" s="31"/>
      <c r="AC1380" s="32"/>
      <c r="AD1380" s="32"/>
      <c r="AE1380" s="32"/>
      <c r="AF1380" s="32"/>
      <c r="AG1380" s="31"/>
      <c r="AH1380" s="32"/>
      <c r="AI1380" s="32"/>
      <c r="AJ1380" s="32"/>
      <c r="AK1380" s="32"/>
      <c r="AL1380" s="31"/>
      <c r="AM1380" s="32"/>
      <c r="AN1380" s="32"/>
      <c r="AO1380" s="32"/>
      <c r="AP1380" s="32"/>
      <c r="AQ1380" s="31"/>
      <c r="AR1380" s="32"/>
      <c r="AS1380" s="32"/>
      <c r="AT1380" s="32"/>
      <c r="AU1380" s="32"/>
      <c r="AV1380" s="31"/>
      <c r="AW1380" s="32"/>
      <c r="AX1380" s="32"/>
      <c r="AY1380" s="32"/>
      <c r="AZ1380" s="32"/>
      <c r="BA1380" s="33"/>
      <c r="BB1380" s="32"/>
      <c r="BC1380" s="32"/>
      <c r="BD1380" s="32"/>
      <c r="BE1380" s="32"/>
      <c r="BF1380" s="33"/>
      <c r="BG1380" s="32"/>
      <c r="BH1380" s="32"/>
      <c r="BI1380" s="32"/>
      <c r="BJ1380" s="32"/>
      <c r="BK1380" s="33"/>
      <c r="BL1380" s="32"/>
      <c r="BM1380" s="32"/>
      <c r="BN1380" s="32"/>
      <c r="BO1380" s="32"/>
      <c r="BP1380" s="33"/>
      <c r="BQ1380" s="16"/>
      <c r="BR1380" s="16"/>
      <c r="BS1380" s="16"/>
      <c r="BT1380" s="16"/>
      <c r="BU1380" s="21"/>
      <c r="BV1380" s="16"/>
      <c r="BW1380" s="16"/>
      <c r="BX1380" s="16"/>
      <c r="BY1380" s="16"/>
      <c r="BZ1380" s="10"/>
      <c r="CA1380" s="16"/>
      <c r="CB1380" s="16"/>
      <c r="CC1380" s="16"/>
      <c r="CD1380" s="16"/>
      <c r="CE1380" s="10"/>
      <c r="CF1380" s="16"/>
      <c r="CG1380" s="16"/>
      <c r="CH1380" s="16"/>
      <c r="CI1380" s="16"/>
      <c r="CJ1380" s="10"/>
      <c r="CK1380" s="16"/>
      <c r="CL1380" s="16"/>
      <c r="CM1380" s="16"/>
      <c r="CN1380" s="16"/>
      <c r="CO1380" s="10"/>
      <c r="CP1380" s="16"/>
      <c r="CQ1380" s="16"/>
      <c r="CR1380" s="16"/>
      <c r="CS1380" s="16"/>
      <c r="CT1380" s="10"/>
      <c r="CU1380" s="16"/>
      <c r="CV1380" s="16"/>
      <c r="CW1380" s="16"/>
      <c r="CX1380" s="16"/>
      <c r="CY1380" s="10"/>
      <c r="CZ1380" s="16"/>
      <c r="DA1380" s="16"/>
      <c r="DB1380" s="16"/>
      <c r="DC1380" s="16"/>
      <c r="DD1380" s="10"/>
      <c r="DE1380" s="16"/>
      <c r="DF1380" s="16"/>
      <c r="DG1380" s="16"/>
      <c r="DH1380" s="16"/>
      <c r="DI1380" s="10"/>
      <c r="DJ1380" s="16"/>
      <c r="DK1380" s="16"/>
      <c r="DL1380" s="16"/>
      <c r="DM1380" s="16"/>
      <c r="DN1380" s="10"/>
      <c r="DO1380" s="16"/>
      <c r="DP1380" s="16"/>
      <c r="DQ1380" s="16"/>
      <c r="DR1380" s="16"/>
      <c r="DS1380" s="10"/>
      <c r="DT1380" s="16"/>
      <c r="DU1380" s="16"/>
      <c r="DV1380" s="16"/>
      <c r="DW1380" s="16"/>
      <c r="DX1380" s="10"/>
      <c r="DY1380" s="16"/>
      <c r="DZ1380" s="16"/>
      <c r="EA1380" s="16"/>
      <c r="EB1380" s="16"/>
      <c r="EC1380" s="10"/>
      <c r="ED1380" s="16"/>
      <c r="EE1380" s="16"/>
      <c r="EF1380" s="16"/>
      <c r="EG1380" s="16"/>
      <c r="EH1380" s="10"/>
      <c r="EI1380" s="214"/>
      <c r="EJ1380" s="16"/>
      <c r="EK1380" s="16"/>
      <c r="EL1380" s="16"/>
      <c r="EM1380" s="10"/>
      <c r="EN1380" s="16"/>
      <c r="EO1380" s="16"/>
      <c r="EP1380" s="16"/>
      <c r="EQ1380" s="16"/>
      <c r="ER1380" s="10"/>
      <c r="ES1380" s="16"/>
      <c r="ET1380" s="16"/>
      <c r="EU1380" s="16"/>
      <c r="EV1380" s="16"/>
      <c r="EW1380" s="10"/>
      <c r="EX1380" s="16"/>
      <c r="EY1380" s="16"/>
      <c r="EZ1380" s="16"/>
      <c r="FA1380" s="16"/>
      <c r="FB1380" s="10"/>
      <c r="FC1380" s="16"/>
      <c r="FD1380" s="16"/>
      <c r="FE1380" s="16"/>
      <c r="FF1380" s="16"/>
      <c r="FG1380" s="10"/>
      <c r="FH1380" s="21"/>
      <c r="FI1380" s="16"/>
      <c r="FJ1380" s="16"/>
      <c r="FK1380" s="16"/>
      <c r="FL1380" s="16"/>
    </row>
    <row r="1381" ht="12.75" customHeight="1">
      <c r="A1381" s="16"/>
      <c r="B1381" s="16"/>
      <c r="C1381" s="16"/>
      <c r="D1381" s="16"/>
      <c r="E1381" s="16"/>
      <c r="F1381" s="16"/>
      <c r="G1381" s="16"/>
      <c r="H1381" s="31"/>
      <c r="I1381" s="32"/>
      <c r="J1381" s="32"/>
      <c r="K1381" s="32"/>
      <c r="L1381" s="32"/>
      <c r="M1381" s="31"/>
      <c r="N1381" s="32"/>
      <c r="O1381" s="32"/>
      <c r="P1381" s="32"/>
      <c r="Q1381" s="32"/>
      <c r="R1381" s="33"/>
      <c r="S1381" s="32"/>
      <c r="T1381" s="32"/>
      <c r="U1381" s="32"/>
      <c r="V1381" s="32"/>
      <c r="W1381" s="33"/>
      <c r="X1381" s="32"/>
      <c r="Y1381" s="32"/>
      <c r="Z1381" s="32"/>
      <c r="AA1381" s="32"/>
      <c r="AB1381" s="31"/>
      <c r="AC1381" s="32"/>
      <c r="AD1381" s="32"/>
      <c r="AE1381" s="32"/>
      <c r="AF1381" s="32"/>
      <c r="AG1381" s="31"/>
      <c r="AH1381" s="32"/>
      <c r="AI1381" s="32"/>
      <c r="AJ1381" s="32"/>
      <c r="AK1381" s="32"/>
      <c r="AL1381" s="31"/>
      <c r="AM1381" s="32"/>
      <c r="AN1381" s="32"/>
      <c r="AO1381" s="32"/>
      <c r="AP1381" s="32"/>
      <c r="AQ1381" s="31"/>
      <c r="AR1381" s="32"/>
      <c r="AS1381" s="32"/>
      <c r="AT1381" s="32"/>
      <c r="AU1381" s="32"/>
      <c r="AV1381" s="31"/>
      <c r="AW1381" s="32"/>
      <c r="AX1381" s="32"/>
      <c r="AY1381" s="32"/>
      <c r="AZ1381" s="32"/>
      <c r="BA1381" s="33"/>
      <c r="BB1381" s="32"/>
      <c r="BC1381" s="32"/>
      <c r="BD1381" s="32"/>
      <c r="BE1381" s="32"/>
      <c r="BF1381" s="33"/>
      <c r="BG1381" s="32"/>
      <c r="BH1381" s="32"/>
      <c r="BI1381" s="32"/>
      <c r="BJ1381" s="32"/>
      <c r="BK1381" s="33"/>
      <c r="BL1381" s="32"/>
      <c r="BM1381" s="32"/>
      <c r="BN1381" s="32"/>
      <c r="BO1381" s="32"/>
      <c r="BP1381" s="33"/>
      <c r="BQ1381" s="16"/>
      <c r="BR1381" s="16"/>
      <c r="BS1381" s="16"/>
      <c r="BT1381" s="16"/>
      <c r="BU1381" s="21"/>
      <c r="BV1381" s="16"/>
      <c r="BW1381" s="16"/>
      <c r="BX1381" s="16"/>
      <c r="BY1381" s="16"/>
      <c r="BZ1381" s="10"/>
      <c r="CA1381" s="16"/>
      <c r="CB1381" s="16"/>
      <c r="CC1381" s="16"/>
      <c r="CD1381" s="16"/>
      <c r="CE1381" s="10"/>
      <c r="CF1381" s="16"/>
      <c r="CG1381" s="16"/>
      <c r="CH1381" s="16"/>
      <c r="CI1381" s="16"/>
      <c r="CJ1381" s="10"/>
      <c r="CK1381" s="16"/>
      <c r="CL1381" s="16"/>
      <c r="CM1381" s="16"/>
      <c r="CN1381" s="16"/>
      <c r="CO1381" s="10"/>
      <c r="CP1381" s="16"/>
      <c r="CQ1381" s="16"/>
      <c r="CR1381" s="16"/>
      <c r="CS1381" s="16"/>
      <c r="CT1381" s="10"/>
      <c r="CU1381" s="16"/>
      <c r="CV1381" s="16"/>
      <c r="CW1381" s="16"/>
      <c r="CX1381" s="16"/>
      <c r="CY1381" s="10"/>
      <c r="CZ1381" s="16"/>
      <c r="DA1381" s="16"/>
      <c r="DB1381" s="16"/>
      <c r="DC1381" s="16"/>
      <c r="DD1381" s="10"/>
      <c r="DE1381" s="16"/>
      <c r="DF1381" s="16"/>
      <c r="DG1381" s="16"/>
      <c r="DH1381" s="16"/>
      <c r="DI1381" s="10"/>
      <c r="DJ1381" s="16"/>
      <c r="DK1381" s="16"/>
      <c r="DL1381" s="16"/>
      <c r="DM1381" s="16"/>
      <c r="DN1381" s="10"/>
      <c r="DO1381" s="16"/>
      <c r="DP1381" s="16"/>
      <c r="DQ1381" s="16"/>
      <c r="DR1381" s="16"/>
      <c r="DS1381" s="10"/>
      <c r="DT1381" s="16"/>
      <c r="DU1381" s="16"/>
      <c r="DV1381" s="16"/>
      <c r="DW1381" s="16"/>
      <c r="DX1381" s="10"/>
      <c r="DY1381" s="16"/>
      <c r="DZ1381" s="16"/>
      <c r="EA1381" s="16"/>
      <c r="EB1381" s="16"/>
      <c r="EC1381" s="10"/>
      <c r="ED1381" s="16"/>
      <c r="EE1381" s="16"/>
      <c r="EF1381" s="16"/>
      <c r="EG1381" s="16"/>
      <c r="EH1381" s="10"/>
      <c r="EI1381" s="214"/>
      <c r="EJ1381" s="16"/>
      <c r="EK1381" s="16"/>
      <c r="EL1381" s="16"/>
      <c r="EM1381" s="10"/>
      <c r="EN1381" s="16"/>
      <c r="EO1381" s="16"/>
      <c r="EP1381" s="16"/>
      <c r="EQ1381" s="16"/>
      <c r="ER1381" s="10"/>
      <c r="ES1381" s="16"/>
      <c r="ET1381" s="16"/>
      <c r="EU1381" s="16"/>
      <c r="EV1381" s="16"/>
      <c r="EW1381" s="10"/>
      <c r="EX1381" s="16"/>
      <c r="EY1381" s="16"/>
      <c r="EZ1381" s="16"/>
      <c r="FA1381" s="16"/>
      <c r="FB1381" s="10"/>
      <c r="FC1381" s="16"/>
      <c r="FD1381" s="16"/>
      <c r="FE1381" s="16"/>
      <c r="FF1381" s="16"/>
      <c r="FG1381" s="10"/>
      <c r="FH1381" s="21"/>
      <c r="FI1381" s="16"/>
      <c r="FJ1381" s="16"/>
      <c r="FK1381" s="16"/>
      <c r="FL1381" s="16"/>
    </row>
    <row r="1382" ht="12.75" customHeight="1">
      <c r="A1382" s="16"/>
      <c r="B1382" s="16"/>
      <c r="C1382" s="16"/>
      <c r="D1382" s="16"/>
      <c r="E1382" s="16"/>
      <c r="F1382" s="16"/>
      <c r="G1382" s="16"/>
      <c r="H1382" s="31"/>
      <c r="I1382" s="32"/>
      <c r="J1382" s="32"/>
      <c r="K1382" s="32"/>
      <c r="L1382" s="32"/>
      <c r="M1382" s="31"/>
      <c r="N1382" s="32"/>
      <c r="O1382" s="32"/>
      <c r="P1382" s="32"/>
      <c r="Q1382" s="32"/>
      <c r="R1382" s="33"/>
      <c r="S1382" s="32"/>
      <c r="T1382" s="32"/>
      <c r="U1382" s="32"/>
      <c r="V1382" s="32"/>
      <c r="W1382" s="33"/>
      <c r="X1382" s="32"/>
      <c r="Y1382" s="32"/>
      <c r="Z1382" s="32"/>
      <c r="AA1382" s="32"/>
      <c r="AB1382" s="31"/>
      <c r="AC1382" s="32"/>
      <c r="AD1382" s="32"/>
      <c r="AE1382" s="32"/>
      <c r="AF1382" s="32"/>
      <c r="AG1382" s="31"/>
      <c r="AH1382" s="32"/>
      <c r="AI1382" s="32"/>
      <c r="AJ1382" s="32"/>
      <c r="AK1382" s="32"/>
      <c r="AL1382" s="31"/>
      <c r="AM1382" s="32"/>
      <c r="AN1382" s="32"/>
      <c r="AO1382" s="32"/>
      <c r="AP1382" s="32"/>
      <c r="AQ1382" s="31"/>
      <c r="AR1382" s="32"/>
      <c r="AS1382" s="32"/>
      <c r="AT1382" s="32"/>
      <c r="AU1382" s="32"/>
      <c r="AV1382" s="31"/>
      <c r="AW1382" s="32"/>
      <c r="AX1382" s="32"/>
      <c r="AY1382" s="32"/>
      <c r="AZ1382" s="32"/>
      <c r="BA1382" s="33"/>
      <c r="BB1382" s="32"/>
      <c r="BC1382" s="32"/>
      <c r="BD1382" s="32"/>
      <c r="BE1382" s="32"/>
      <c r="BF1382" s="33"/>
      <c r="BG1382" s="32"/>
      <c r="BH1382" s="32"/>
      <c r="BI1382" s="32"/>
      <c r="BJ1382" s="32"/>
      <c r="BK1382" s="33"/>
      <c r="BL1382" s="32"/>
      <c r="BM1382" s="32"/>
      <c r="BN1382" s="32"/>
      <c r="BO1382" s="32"/>
      <c r="BP1382" s="33"/>
      <c r="BQ1382" s="16"/>
      <c r="BR1382" s="16"/>
      <c r="BS1382" s="16"/>
      <c r="BT1382" s="16"/>
      <c r="BU1382" s="21"/>
      <c r="BV1382" s="16"/>
      <c r="BW1382" s="16"/>
      <c r="BX1382" s="16"/>
      <c r="BY1382" s="16"/>
      <c r="BZ1382" s="10"/>
      <c r="CA1382" s="16"/>
      <c r="CB1382" s="16"/>
      <c r="CC1382" s="16"/>
      <c r="CD1382" s="16"/>
      <c r="CE1382" s="10"/>
      <c r="CF1382" s="16"/>
      <c r="CG1382" s="16"/>
      <c r="CH1382" s="16"/>
      <c r="CI1382" s="16"/>
      <c r="CJ1382" s="10"/>
      <c r="CK1382" s="16"/>
      <c r="CL1382" s="16"/>
      <c r="CM1382" s="16"/>
      <c r="CN1382" s="16"/>
      <c r="CO1382" s="10"/>
      <c r="CP1382" s="16"/>
      <c r="CQ1382" s="16"/>
      <c r="CR1382" s="16"/>
      <c r="CS1382" s="16"/>
      <c r="CT1382" s="10"/>
      <c r="CU1382" s="16"/>
      <c r="CV1382" s="16"/>
      <c r="CW1382" s="16"/>
      <c r="CX1382" s="16"/>
      <c r="CY1382" s="10"/>
      <c r="CZ1382" s="16"/>
      <c r="DA1382" s="16"/>
      <c r="DB1382" s="16"/>
      <c r="DC1382" s="16"/>
      <c r="DD1382" s="10"/>
      <c r="DE1382" s="16"/>
      <c r="DF1382" s="16"/>
      <c r="DG1382" s="16"/>
      <c r="DH1382" s="16"/>
      <c r="DI1382" s="10"/>
      <c r="DJ1382" s="16"/>
      <c r="DK1382" s="16"/>
      <c r="DL1382" s="16"/>
      <c r="DM1382" s="16"/>
      <c r="DN1382" s="10"/>
      <c r="DO1382" s="16"/>
      <c r="DP1382" s="16"/>
      <c r="DQ1382" s="16"/>
      <c r="DR1382" s="16"/>
      <c r="DS1382" s="10"/>
      <c r="DT1382" s="16"/>
      <c r="DU1382" s="16"/>
      <c r="DV1382" s="16"/>
      <c r="DW1382" s="16"/>
      <c r="DX1382" s="10"/>
      <c r="DY1382" s="16"/>
      <c r="DZ1382" s="16"/>
      <c r="EA1382" s="16"/>
      <c r="EB1382" s="16"/>
      <c r="EC1382" s="10"/>
      <c r="ED1382" s="16"/>
      <c r="EE1382" s="16"/>
      <c r="EF1382" s="16"/>
      <c r="EG1382" s="16"/>
      <c r="EH1382" s="10"/>
      <c r="EI1382" s="214"/>
      <c r="EJ1382" s="16"/>
      <c r="EK1382" s="16"/>
      <c r="EL1382" s="16"/>
      <c r="EM1382" s="10"/>
      <c r="EN1382" s="16"/>
      <c r="EO1382" s="16"/>
      <c r="EP1382" s="16"/>
      <c r="EQ1382" s="16"/>
      <c r="ER1382" s="10"/>
      <c r="ES1382" s="16"/>
      <c r="ET1382" s="16"/>
      <c r="EU1382" s="16"/>
      <c r="EV1382" s="16"/>
      <c r="EW1382" s="10"/>
      <c r="EX1382" s="16"/>
      <c r="EY1382" s="16"/>
      <c r="EZ1382" s="16"/>
      <c r="FA1382" s="16"/>
      <c r="FB1382" s="10"/>
      <c r="FC1382" s="16"/>
      <c r="FD1382" s="16"/>
      <c r="FE1382" s="16"/>
      <c r="FF1382" s="16"/>
      <c r="FG1382" s="10"/>
      <c r="FH1382" s="21"/>
      <c r="FI1382" s="16"/>
      <c r="FJ1382" s="16"/>
      <c r="FK1382" s="16"/>
      <c r="FL1382" s="16"/>
    </row>
    <row r="1383" ht="12.75" customHeight="1">
      <c r="A1383" s="16"/>
      <c r="B1383" s="16"/>
      <c r="C1383" s="16"/>
      <c r="D1383" s="16"/>
      <c r="E1383" s="16"/>
      <c r="F1383" s="16"/>
      <c r="G1383" s="16"/>
      <c r="H1383" s="31"/>
      <c r="I1383" s="32"/>
      <c r="J1383" s="32"/>
      <c r="K1383" s="32"/>
      <c r="L1383" s="32"/>
      <c r="M1383" s="31"/>
      <c r="N1383" s="32"/>
      <c r="O1383" s="32"/>
      <c r="P1383" s="32"/>
      <c r="Q1383" s="32"/>
      <c r="R1383" s="33"/>
      <c r="S1383" s="32"/>
      <c r="T1383" s="32"/>
      <c r="U1383" s="32"/>
      <c r="V1383" s="32"/>
      <c r="W1383" s="33"/>
      <c r="X1383" s="32"/>
      <c r="Y1383" s="32"/>
      <c r="Z1383" s="32"/>
      <c r="AA1383" s="32"/>
      <c r="AB1383" s="31"/>
      <c r="AC1383" s="32"/>
      <c r="AD1383" s="32"/>
      <c r="AE1383" s="32"/>
      <c r="AF1383" s="32"/>
      <c r="AG1383" s="31"/>
      <c r="AH1383" s="32"/>
      <c r="AI1383" s="32"/>
      <c r="AJ1383" s="32"/>
      <c r="AK1383" s="32"/>
      <c r="AL1383" s="31"/>
      <c r="AM1383" s="32"/>
      <c r="AN1383" s="32"/>
      <c r="AO1383" s="32"/>
      <c r="AP1383" s="32"/>
      <c r="AQ1383" s="31"/>
      <c r="AR1383" s="32"/>
      <c r="AS1383" s="32"/>
      <c r="AT1383" s="32"/>
      <c r="AU1383" s="32"/>
      <c r="AV1383" s="31"/>
      <c r="AW1383" s="32"/>
      <c r="AX1383" s="32"/>
      <c r="AY1383" s="32"/>
      <c r="AZ1383" s="32"/>
      <c r="BA1383" s="33"/>
      <c r="BB1383" s="32"/>
      <c r="BC1383" s="32"/>
      <c r="BD1383" s="32"/>
      <c r="BE1383" s="32"/>
      <c r="BF1383" s="33"/>
      <c r="BG1383" s="32"/>
      <c r="BH1383" s="32"/>
      <c r="BI1383" s="32"/>
      <c r="BJ1383" s="32"/>
      <c r="BK1383" s="33"/>
      <c r="BL1383" s="32"/>
      <c r="BM1383" s="32"/>
      <c r="BN1383" s="32"/>
      <c r="BO1383" s="32"/>
      <c r="BP1383" s="33"/>
      <c r="BQ1383" s="16"/>
      <c r="BR1383" s="16"/>
      <c r="BS1383" s="16"/>
      <c r="BT1383" s="16"/>
      <c r="BU1383" s="21"/>
      <c r="BV1383" s="16"/>
      <c r="BW1383" s="16"/>
      <c r="BX1383" s="16"/>
      <c r="BY1383" s="16"/>
      <c r="BZ1383" s="10"/>
      <c r="CA1383" s="16"/>
      <c r="CB1383" s="16"/>
      <c r="CC1383" s="16"/>
      <c r="CD1383" s="16"/>
      <c r="CE1383" s="10"/>
      <c r="CF1383" s="16"/>
      <c r="CG1383" s="16"/>
      <c r="CH1383" s="16"/>
      <c r="CI1383" s="16"/>
      <c r="CJ1383" s="10"/>
      <c r="CK1383" s="16"/>
      <c r="CL1383" s="16"/>
      <c r="CM1383" s="16"/>
      <c r="CN1383" s="16"/>
      <c r="CO1383" s="10"/>
      <c r="CP1383" s="16"/>
      <c r="CQ1383" s="16"/>
      <c r="CR1383" s="16"/>
      <c r="CS1383" s="16"/>
      <c r="CT1383" s="10"/>
      <c r="CU1383" s="16"/>
      <c r="CV1383" s="16"/>
      <c r="CW1383" s="16"/>
      <c r="CX1383" s="16"/>
      <c r="CY1383" s="10"/>
      <c r="CZ1383" s="16"/>
      <c r="DA1383" s="16"/>
      <c r="DB1383" s="16"/>
      <c r="DC1383" s="16"/>
      <c r="DD1383" s="10"/>
      <c r="DE1383" s="16"/>
      <c r="DF1383" s="16"/>
      <c r="DG1383" s="16"/>
      <c r="DH1383" s="16"/>
      <c r="DI1383" s="10"/>
      <c r="DJ1383" s="16"/>
      <c r="DK1383" s="16"/>
      <c r="DL1383" s="16"/>
      <c r="DM1383" s="16"/>
      <c r="DN1383" s="10"/>
      <c r="DO1383" s="16"/>
      <c r="DP1383" s="16"/>
      <c r="DQ1383" s="16"/>
      <c r="DR1383" s="16"/>
      <c r="DS1383" s="10"/>
      <c r="DT1383" s="16"/>
      <c r="DU1383" s="16"/>
      <c r="DV1383" s="16"/>
      <c r="DW1383" s="16"/>
      <c r="DX1383" s="10"/>
      <c r="DY1383" s="16"/>
      <c r="DZ1383" s="16"/>
      <c r="EA1383" s="16"/>
      <c r="EB1383" s="16"/>
      <c r="EC1383" s="10"/>
      <c r="ED1383" s="16"/>
      <c r="EE1383" s="16"/>
      <c r="EF1383" s="16"/>
      <c r="EG1383" s="16"/>
      <c r="EH1383" s="10"/>
      <c r="EI1383" s="214"/>
      <c r="EJ1383" s="16"/>
      <c r="EK1383" s="16"/>
      <c r="EL1383" s="16"/>
      <c r="EM1383" s="10"/>
      <c r="EN1383" s="16"/>
      <c r="EO1383" s="16"/>
      <c r="EP1383" s="16"/>
      <c r="EQ1383" s="16"/>
      <c r="ER1383" s="10"/>
      <c r="ES1383" s="16"/>
      <c r="ET1383" s="16"/>
      <c r="EU1383" s="16"/>
      <c r="EV1383" s="16"/>
      <c r="EW1383" s="10"/>
      <c r="EX1383" s="16"/>
      <c r="EY1383" s="16"/>
      <c r="EZ1383" s="16"/>
      <c r="FA1383" s="16"/>
      <c r="FB1383" s="10"/>
      <c r="FC1383" s="16"/>
      <c r="FD1383" s="16"/>
      <c r="FE1383" s="16"/>
      <c r="FF1383" s="16"/>
      <c r="FG1383" s="10"/>
      <c r="FH1383" s="21"/>
      <c r="FI1383" s="16"/>
      <c r="FJ1383" s="16"/>
      <c r="FK1383" s="16"/>
      <c r="FL1383" s="16"/>
    </row>
    <row r="1384" ht="12.75" customHeight="1">
      <c r="A1384" s="16"/>
      <c r="B1384" s="16"/>
      <c r="C1384" s="16"/>
      <c r="D1384" s="16"/>
      <c r="E1384" s="16"/>
      <c r="F1384" s="16"/>
      <c r="G1384" s="16"/>
      <c r="H1384" s="31"/>
      <c r="I1384" s="32"/>
      <c r="J1384" s="32"/>
      <c r="K1384" s="32"/>
      <c r="L1384" s="32"/>
      <c r="M1384" s="31"/>
      <c r="N1384" s="32"/>
      <c r="O1384" s="32"/>
      <c r="P1384" s="32"/>
      <c r="Q1384" s="32"/>
      <c r="R1384" s="33"/>
      <c r="S1384" s="32"/>
      <c r="T1384" s="32"/>
      <c r="U1384" s="32"/>
      <c r="V1384" s="32"/>
      <c r="W1384" s="33"/>
      <c r="X1384" s="32"/>
      <c r="Y1384" s="32"/>
      <c r="Z1384" s="32"/>
      <c r="AA1384" s="32"/>
      <c r="AB1384" s="31"/>
      <c r="AC1384" s="32"/>
      <c r="AD1384" s="32"/>
      <c r="AE1384" s="32"/>
      <c r="AF1384" s="32"/>
      <c r="AG1384" s="31"/>
      <c r="AH1384" s="32"/>
      <c r="AI1384" s="32"/>
      <c r="AJ1384" s="32"/>
      <c r="AK1384" s="32"/>
      <c r="AL1384" s="31"/>
      <c r="AM1384" s="32"/>
      <c r="AN1384" s="32"/>
      <c r="AO1384" s="32"/>
      <c r="AP1384" s="32"/>
      <c r="AQ1384" s="31"/>
      <c r="AR1384" s="32"/>
      <c r="AS1384" s="32"/>
      <c r="AT1384" s="32"/>
      <c r="AU1384" s="32"/>
      <c r="AV1384" s="31"/>
      <c r="AW1384" s="32"/>
      <c r="AX1384" s="32"/>
      <c r="AY1384" s="32"/>
      <c r="AZ1384" s="32"/>
      <c r="BA1384" s="33"/>
      <c r="BB1384" s="32"/>
      <c r="BC1384" s="32"/>
      <c r="BD1384" s="32"/>
      <c r="BE1384" s="32"/>
      <c r="BF1384" s="33"/>
      <c r="BG1384" s="32"/>
      <c r="BH1384" s="32"/>
      <c r="BI1384" s="32"/>
      <c r="BJ1384" s="32"/>
      <c r="BK1384" s="33"/>
      <c r="BL1384" s="32"/>
      <c r="BM1384" s="32"/>
      <c r="BN1384" s="32"/>
      <c r="BO1384" s="32"/>
      <c r="BP1384" s="33"/>
      <c r="BQ1384" s="16"/>
      <c r="BR1384" s="16"/>
      <c r="BS1384" s="16"/>
      <c r="BT1384" s="16"/>
      <c r="BU1384" s="21"/>
      <c r="BV1384" s="16"/>
      <c r="BW1384" s="16"/>
      <c r="BX1384" s="16"/>
      <c r="BY1384" s="16"/>
      <c r="BZ1384" s="10"/>
      <c r="CA1384" s="16"/>
      <c r="CB1384" s="16"/>
      <c r="CC1384" s="16"/>
      <c r="CD1384" s="16"/>
      <c r="CE1384" s="10"/>
      <c r="CF1384" s="16"/>
      <c r="CG1384" s="16"/>
      <c r="CH1384" s="16"/>
      <c r="CI1384" s="16"/>
      <c r="CJ1384" s="10"/>
      <c r="CK1384" s="16"/>
      <c r="CL1384" s="16"/>
      <c r="CM1384" s="16"/>
      <c r="CN1384" s="16"/>
      <c r="CO1384" s="10"/>
      <c r="CP1384" s="16"/>
      <c r="CQ1384" s="16"/>
      <c r="CR1384" s="16"/>
      <c r="CS1384" s="16"/>
      <c r="CT1384" s="10"/>
      <c r="CU1384" s="16"/>
      <c r="CV1384" s="16"/>
      <c r="CW1384" s="16"/>
      <c r="CX1384" s="16"/>
      <c r="CY1384" s="10"/>
      <c r="CZ1384" s="16"/>
      <c r="DA1384" s="16"/>
      <c r="DB1384" s="16"/>
      <c r="DC1384" s="16"/>
      <c r="DD1384" s="10"/>
      <c r="DE1384" s="16"/>
      <c r="DF1384" s="16"/>
      <c r="DG1384" s="16"/>
      <c r="DH1384" s="16"/>
      <c r="DI1384" s="10"/>
      <c r="DJ1384" s="16"/>
      <c r="DK1384" s="16"/>
      <c r="DL1384" s="16"/>
      <c r="DM1384" s="16"/>
      <c r="DN1384" s="10"/>
      <c r="DO1384" s="16"/>
      <c r="DP1384" s="16"/>
      <c r="DQ1384" s="16"/>
      <c r="DR1384" s="16"/>
      <c r="DS1384" s="10"/>
      <c r="DT1384" s="16"/>
      <c r="DU1384" s="16"/>
      <c r="DV1384" s="16"/>
      <c r="DW1384" s="16"/>
      <c r="DX1384" s="10"/>
      <c r="DY1384" s="16"/>
      <c r="DZ1384" s="16"/>
      <c r="EA1384" s="16"/>
      <c r="EB1384" s="16"/>
      <c r="EC1384" s="10"/>
      <c r="ED1384" s="16"/>
      <c r="EE1384" s="16"/>
      <c r="EF1384" s="16"/>
      <c r="EG1384" s="16"/>
      <c r="EH1384" s="10"/>
      <c r="EI1384" s="214"/>
      <c r="EJ1384" s="16"/>
      <c r="EK1384" s="16"/>
      <c r="EL1384" s="16"/>
      <c r="EM1384" s="10"/>
      <c r="EN1384" s="16"/>
      <c r="EO1384" s="16"/>
      <c r="EP1384" s="16"/>
      <c r="EQ1384" s="16"/>
      <c r="ER1384" s="10"/>
      <c r="ES1384" s="16"/>
      <c r="ET1384" s="16"/>
      <c r="EU1384" s="16"/>
      <c r="EV1384" s="16"/>
      <c r="EW1384" s="10"/>
      <c r="EX1384" s="16"/>
      <c r="EY1384" s="16"/>
      <c r="EZ1384" s="16"/>
      <c r="FA1384" s="16"/>
      <c r="FB1384" s="10"/>
      <c r="FC1384" s="16"/>
      <c r="FD1384" s="16"/>
      <c r="FE1384" s="16"/>
      <c r="FF1384" s="16"/>
      <c r="FG1384" s="10"/>
      <c r="FH1384" s="21"/>
      <c r="FI1384" s="16"/>
      <c r="FJ1384" s="16"/>
      <c r="FK1384" s="16"/>
      <c r="FL1384" s="16"/>
    </row>
    <row r="1385" ht="12.75" customHeight="1">
      <c r="A1385" s="16"/>
      <c r="B1385" s="16"/>
      <c r="C1385" s="16"/>
      <c r="D1385" s="16"/>
      <c r="E1385" s="16"/>
      <c r="F1385" s="16"/>
      <c r="G1385" s="16"/>
      <c r="H1385" s="31"/>
      <c r="I1385" s="32"/>
      <c r="J1385" s="32"/>
      <c r="K1385" s="32"/>
      <c r="L1385" s="32"/>
      <c r="M1385" s="31"/>
      <c r="N1385" s="32"/>
      <c r="O1385" s="32"/>
      <c r="P1385" s="32"/>
      <c r="Q1385" s="32"/>
      <c r="R1385" s="33"/>
      <c r="S1385" s="32"/>
      <c r="T1385" s="32"/>
      <c r="U1385" s="32"/>
      <c r="V1385" s="32"/>
      <c r="W1385" s="33"/>
      <c r="X1385" s="32"/>
      <c r="Y1385" s="32"/>
      <c r="Z1385" s="32"/>
      <c r="AA1385" s="32"/>
      <c r="AB1385" s="31"/>
      <c r="AC1385" s="32"/>
      <c r="AD1385" s="32"/>
      <c r="AE1385" s="32"/>
      <c r="AF1385" s="32"/>
      <c r="AG1385" s="31"/>
      <c r="AH1385" s="32"/>
      <c r="AI1385" s="32"/>
      <c r="AJ1385" s="32"/>
      <c r="AK1385" s="32"/>
      <c r="AL1385" s="31"/>
      <c r="AM1385" s="32"/>
      <c r="AN1385" s="32"/>
      <c r="AO1385" s="32"/>
      <c r="AP1385" s="32"/>
      <c r="AQ1385" s="31"/>
      <c r="AR1385" s="32"/>
      <c r="AS1385" s="32"/>
      <c r="AT1385" s="32"/>
      <c r="AU1385" s="32"/>
      <c r="AV1385" s="31"/>
      <c r="AW1385" s="32"/>
      <c r="AX1385" s="32"/>
      <c r="AY1385" s="32"/>
      <c r="AZ1385" s="32"/>
      <c r="BA1385" s="33"/>
      <c r="BB1385" s="32"/>
      <c r="BC1385" s="32"/>
      <c r="BD1385" s="32"/>
      <c r="BE1385" s="32"/>
      <c r="BF1385" s="33"/>
      <c r="BG1385" s="32"/>
      <c r="BH1385" s="32"/>
      <c r="BI1385" s="32"/>
      <c r="BJ1385" s="32"/>
      <c r="BK1385" s="33"/>
      <c r="BL1385" s="32"/>
      <c r="BM1385" s="32"/>
      <c r="BN1385" s="32"/>
      <c r="BO1385" s="32"/>
      <c r="BP1385" s="33"/>
      <c r="BQ1385" s="16"/>
      <c r="BR1385" s="16"/>
      <c r="BS1385" s="16"/>
      <c r="BT1385" s="16"/>
      <c r="BU1385" s="21"/>
      <c r="BV1385" s="16"/>
      <c r="BW1385" s="16"/>
      <c r="BX1385" s="16"/>
      <c r="BY1385" s="16"/>
      <c r="BZ1385" s="10"/>
      <c r="CA1385" s="16"/>
      <c r="CB1385" s="16"/>
      <c r="CC1385" s="16"/>
      <c r="CD1385" s="16"/>
      <c r="CE1385" s="10"/>
      <c r="CF1385" s="16"/>
      <c r="CG1385" s="16"/>
      <c r="CH1385" s="16"/>
      <c r="CI1385" s="16"/>
      <c r="CJ1385" s="10"/>
      <c r="CK1385" s="16"/>
      <c r="CL1385" s="16"/>
      <c r="CM1385" s="16"/>
      <c r="CN1385" s="16"/>
      <c r="CO1385" s="10"/>
      <c r="CP1385" s="16"/>
      <c r="CQ1385" s="16"/>
      <c r="CR1385" s="16"/>
      <c r="CS1385" s="16"/>
      <c r="CT1385" s="10"/>
      <c r="CU1385" s="16"/>
      <c r="CV1385" s="16"/>
      <c r="CW1385" s="16"/>
      <c r="CX1385" s="16"/>
      <c r="CY1385" s="10"/>
      <c r="CZ1385" s="16"/>
      <c r="DA1385" s="16"/>
      <c r="DB1385" s="16"/>
      <c r="DC1385" s="16"/>
      <c r="DD1385" s="10"/>
      <c r="DE1385" s="16"/>
      <c r="DF1385" s="16"/>
      <c r="DG1385" s="16"/>
      <c r="DH1385" s="16"/>
      <c r="DI1385" s="10"/>
      <c r="DJ1385" s="16"/>
      <c r="DK1385" s="16"/>
      <c r="DL1385" s="16"/>
      <c r="DM1385" s="16"/>
      <c r="DN1385" s="10"/>
      <c r="DO1385" s="16"/>
      <c r="DP1385" s="16"/>
      <c r="DQ1385" s="16"/>
      <c r="DR1385" s="16"/>
      <c r="DS1385" s="10"/>
      <c r="DT1385" s="16"/>
      <c r="DU1385" s="16"/>
      <c r="DV1385" s="16"/>
      <c r="DW1385" s="16"/>
      <c r="DX1385" s="10"/>
      <c r="DY1385" s="16"/>
      <c r="DZ1385" s="16"/>
      <c r="EA1385" s="16"/>
      <c r="EB1385" s="16"/>
      <c r="EC1385" s="10"/>
      <c r="ED1385" s="16"/>
      <c r="EE1385" s="16"/>
      <c r="EF1385" s="16"/>
      <c r="EG1385" s="16"/>
      <c r="EH1385" s="10"/>
      <c r="EI1385" s="214"/>
      <c r="EJ1385" s="16"/>
      <c r="EK1385" s="16"/>
      <c r="EL1385" s="16"/>
      <c r="EM1385" s="10"/>
      <c r="EN1385" s="16"/>
      <c r="EO1385" s="16"/>
      <c r="EP1385" s="16"/>
      <c r="EQ1385" s="16"/>
      <c r="ER1385" s="10"/>
      <c r="ES1385" s="16"/>
      <c r="ET1385" s="16"/>
      <c r="EU1385" s="16"/>
      <c r="EV1385" s="16"/>
      <c r="EW1385" s="10"/>
      <c r="EX1385" s="16"/>
      <c r="EY1385" s="16"/>
      <c r="EZ1385" s="16"/>
      <c r="FA1385" s="16"/>
      <c r="FB1385" s="10"/>
      <c r="FC1385" s="16"/>
      <c r="FD1385" s="16"/>
      <c r="FE1385" s="16"/>
      <c r="FF1385" s="16"/>
      <c r="FG1385" s="10"/>
      <c r="FH1385" s="21"/>
      <c r="FI1385" s="16"/>
      <c r="FJ1385" s="16"/>
      <c r="FK1385" s="16"/>
      <c r="FL1385" s="16"/>
    </row>
    <row r="1386" ht="12.75" customHeight="1">
      <c r="A1386" s="16"/>
      <c r="B1386" s="16"/>
      <c r="C1386" s="16"/>
      <c r="D1386" s="16"/>
      <c r="E1386" s="16"/>
      <c r="F1386" s="16"/>
      <c r="G1386" s="16"/>
      <c r="H1386" s="31"/>
      <c r="I1386" s="32"/>
      <c r="J1386" s="32"/>
      <c r="K1386" s="32"/>
      <c r="L1386" s="32"/>
      <c r="M1386" s="31"/>
      <c r="N1386" s="32"/>
      <c r="O1386" s="32"/>
      <c r="P1386" s="32"/>
      <c r="Q1386" s="32"/>
      <c r="R1386" s="33"/>
      <c r="S1386" s="32"/>
      <c r="T1386" s="32"/>
      <c r="U1386" s="32"/>
      <c r="V1386" s="32"/>
      <c r="W1386" s="33"/>
      <c r="X1386" s="32"/>
      <c r="Y1386" s="32"/>
      <c r="Z1386" s="32"/>
      <c r="AA1386" s="32"/>
      <c r="AB1386" s="31"/>
      <c r="AC1386" s="32"/>
      <c r="AD1386" s="32"/>
      <c r="AE1386" s="32"/>
      <c r="AF1386" s="32"/>
      <c r="AG1386" s="31"/>
      <c r="AH1386" s="32"/>
      <c r="AI1386" s="32"/>
      <c r="AJ1386" s="32"/>
      <c r="AK1386" s="32"/>
      <c r="AL1386" s="31"/>
      <c r="AM1386" s="32"/>
      <c r="AN1386" s="32"/>
      <c r="AO1386" s="32"/>
      <c r="AP1386" s="32"/>
      <c r="AQ1386" s="31"/>
      <c r="AR1386" s="32"/>
      <c r="AS1386" s="32"/>
      <c r="AT1386" s="32"/>
      <c r="AU1386" s="32"/>
      <c r="AV1386" s="31"/>
      <c r="AW1386" s="32"/>
      <c r="AX1386" s="32"/>
      <c r="AY1386" s="32"/>
      <c r="AZ1386" s="32"/>
      <c r="BA1386" s="33"/>
      <c r="BB1386" s="32"/>
      <c r="BC1386" s="32"/>
      <c r="BD1386" s="32"/>
      <c r="BE1386" s="32"/>
      <c r="BF1386" s="33"/>
      <c r="BG1386" s="32"/>
      <c r="BH1386" s="32"/>
      <c r="BI1386" s="32"/>
      <c r="BJ1386" s="32"/>
      <c r="BK1386" s="33"/>
      <c r="BL1386" s="32"/>
      <c r="BM1386" s="32"/>
      <c r="BN1386" s="32"/>
      <c r="BO1386" s="32"/>
      <c r="BP1386" s="33"/>
      <c r="BQ1386" s="16"/>
      <c r="BR1386" s="16"/>
      <c r="BS1386" s="16"/>
      <c r="BT1386" s="16"/>
      <c r="BU1386" s="21"/>
      <c r="BV1386" s="16"/>
      <c r="BW1386" s="16"/>
      <c r="BX1386" s="16"/>
      <c r="BY1386" s="16"/>
      <c r="BZ1386" s="10"/>
      <c r="CA1386" s="16"/>
      <c r="CB1386" s="16"/>
      <c r="CC1386" s="16"/>
      <c r="CD1386" s="16"/>
      <c r="CE1386" s="10"/>
      <c r="CF1386" s="16"/>
      <c r="CG1386" s="16"/>
      <c r="CH1386" s="16"/>
      <c r="CI1386" s="16"/>
      <c r="CJ1386" s="10"/>
      <c r="CK1386" s="16"/>
      <c r="CL1386" s="16"/>
      <c r="CM1386" s="16"/>
      <c r="CN1386" s="16"/>
      <c r="CO1386" s="10"/>
      <c r="CP1386" s="16"/>
      <c r="CQ1386" s="16"/>
      <c r="CR1386" s="16"/>
      <c r="CS1386" s="16"/>
      <c r="CT1386" s="10"/>
      <c r="CU1386" s="16"/>
      <c r="CV1386" s="16"/>
      <c r="CW1386" s="16"/>
      <c r="CX1386" s="16"/>
      <c r="CY1386" s="10"/>
      <c r="CZ1386" s="16"/>
      <c r="DA1386" s="16"/>
      <c r="DB1386" s="16"/>
      <c r="DC1386" s="16"/>
      <c r="DD1386" s="10"/>
      <c r="DE1386" s="16"/>
      <c r="DF1386" s="16"/>
      <c r="DG1386" s="16"/>
      <c r="DH1386" s="16"/>
      <c r="DI1386" s="10"/>
      <c r="DJ1386" s="16"/>
      <c r="DK1386" s="16"/>
      <c r="DL1386" s="16"/>
      <c r="DM1386" s="16"/>
      <c r="DN1386" s="10"/>
      <c r="DO1386" s="16"/>
      <c r="DP1386" s="16"/>
      <c r="DQ1386" s="16"/>
      <c r="DR1386" s="16"/>
      <c r="DS1386" s="10"/>
      <c r="DT1386" s="16"/>
      <c r="DU1386" s="16"/>
      <c r="DV1386" s="16"/>
      <c r="DW1386" s="16"/>
      <c r="DX1386" s="10"/>
      <c r="DY1386" s="16"/>
      <c r="DZ1386" s="16"/>
      <c r="EA1386" s="16"/>
      <c r="EB1386" s="16"/>
      <c r="EC1386" s="10"/>
      <c r="ED1386" s="16"/>
      <c r="EE1386" s="16"/>
      <c r="EF1386" s="16"/>
      <c r="EG1386" s="16"/>
      <c r="EH1386" s="10"/>
      <c r="EI1386" s="214"/>
      <c r="EJ1386" s="16"/>
      <c r="EK1386" s="16"/>
      <c r="EL1386" s="16"/>
      <c r="EM1386" s="10"/>
      <c r="EN1386" s="16"/>
      <c r="EO1386" s="16"/>
      <c r="EP1386" s="16"/>
      <c r="EQ1386" s="16"/>
      <c r="ER1386" s="10"/>
      <c r="ES1386" s="16"/>
      <c r="ET1386" s="16"/>
      <c r="EU1386" s="16"/>
      <c r="EV1386" s="16"/>
      <c r="EW1386" s="10"/>
      <c r="EX1386" s="16"/>
      <c r="EY1386" s="16"/>
      <c r="EZ1386" s="16"/>
      <c r="FA1386" s="16"/>
      <c r="FB1386" s="10"/>
      <c r="FC1386" s="16"/>
      <c r="FD1386" s="16"/>
      <c r="FE1386" s="16"/>
      <c r="FF1386" s="16"/>
      <c r="FG1386" s="10"/>
      <c r="FH1386" s="21"/>
      <c r="FI1386" s="16"/>
      <c r="FJ1386" s="16"/>
      <c r="FK1386" s="16"/>
      <c r="FL1386" s="16"/>
    </row>
    <row r="1387" ht="12.75" customHeight="1">
      <c r="A1387" s="16"/>
      <c r="B1387" s="16"/>
      <c r="C1387" s="16"/>
      <c r="D1387" s="16"/>
      <c r="E1387" s="16"/>
      <c r="F1387" s="16"/>
      <c r="G1387" s="16"/>
      <c r="H1387" s="31"/>
      <c r="I1387" s="32"/>
      <c r="J1387" s="32"/>
      <c r="K1387" s="32"/>
      <c r="L1387" s="32"/>
      <c r="M1387" s="31"/>
      <c r="N1387" s="32"/>
      <c r="O1387" s="32"/>
      <c r="P1387" s="32"/>
      <c r="Q1387" s="32"/>
      <c r="R1387" s="33"/>
      <c r="S1387" s="32"/>
      <c r="T1387" s="32"/>
      <c r="U1387" s="32"/>
      <c r="V1387" s="32"/>
      <c r="W1387" s="33"/>
      <c r="X1387" s="32"/>
      <c r="Y1387" s="32"/>
      <c r="Z1387" s="32"/>
      <c r="AA1387" s="32"/>
      <c r="AB1387" s="31"/>
      <c r="AC1387" s="32"/>
      <c r="AD1387" s="32"/>
      <c r="AE1387" s="32"/>
      <c r="AF1387" s="32"/>
      <c r="AG1387" s="31"/>
      <c r="AH1387" s="32"/>
      <c r="AI1387" s="32"/>
      <c r="AJ1387" s="32"/>
      <c r="AK1387" s="32"/>
      <c r="AL1387" s="31"/>
      <c r="AM1387" s="32"/>
      <c r="AN1387" s="32"/>
      <c r="AO1387" s="32"/>
      <c r="AP1387" s="32"/>
      <c r="AQ1387" s="31"/>
      <c r="AR1387" s="32"/>
      <c r="AS1387" s="32"/>
      <c r="AT1387" s="32"/>
      <c r="AU1387" s="32"/>
      <c r="AV1387" s="31"/>
      <c r="AW1387" s="32"/>
      <c r="AX1387" s="32"/>
      <c r="AY1387" s="32"/>
      <c r="AZ1387" s="32"/>
      <c r="BA1387" s="33"/>
      <c r="BB1387" s="32"/>
      <c r="BC1387" s="32"/>
      <c r="BD1387" s="32"/>
      <c r="BE1387" s="32"/>
      <c r="BF1387" s="33"/>
      <c r="BG1387" s="32"/>
      <c r="BH1387" s="32"/>
      <c r="BI1387" s="32"/>
      <c r="BJ1387" s="32"/>
      <c r="BK1387" s="33"/>
      <c r="BL1387" s="32"/>
      <c r="BM1387" s="32"/>
      <c r="BN1387" s="32"/>
      <c r="BO1387" s="32"/>
      <c r="BP1387" s="33"/>
      <c r="BQ1387" s="16"/>
      <c r="BR1387" s="16"/>
      <c r="BS1387" s="16"/>
      <c r="BT1387" s="16"/>
      <c r="BU1387" s="21"/>
      <c r="BV1387" s="16"/>
      <c r="BW1387" s="16"/>
      <c r="BX1387" s="16"/>
      <c r="BY1387" s="16"/>
      <c r="BZ1387" s="10"/>
      <c r="CA1387" s="16"/>
      <c r="CB1387" s="16"/>
      <c r="CC1387" s="16"/>
      <c r="CD1387" s="16"/>
      <c r="CE1387" s="10"/>
      <c r="CF1387" s="16"/>
      <c r="CG1387" s="16"/>
      <c r="CH1387" s="16"/>
      <c r="CI1387" s="16"/>
      <c r="CJ1387" s="10"/>
      <c r="CK1387" s="16"/>
      <c r="CL1387" s="16"/>
      <c r="CM1387" s="16"/>
      <c r="CN1387" s="16"/>
      <c r="CO1387" s="10"/>
      <c r="CP1387" s="16"/>
      <c r="CQ1387" s="16"/>
      <c r="CR1387" s="16"/>
      <c r="CS1387" s="16"/>
      <c r="CT1387" s="10"/>
      <c r="CU1387" s="16"/>
      <c r="CV1387" s="16"/>
      <c r="CW1387" s="16"/>
      <c r="CX1387" s="16"/>
      <c r="CY1387" s="10"/>
      <c r="CZ1387" s="16"/>
      <c r="DA1387" s="16"/>
      <c r="DB1387" s="16"/>
      <c r="DC1387" s="16"/>
      <c r="DD1387" s="10"/>
      <c r="DE1387" s="16"/>
      <c r="DF1387" s="16"/>
      <c r="DG1387" s="16"/>
      <c r="DH1387" s="16"/>
      <c r="DI1387" s="10"/>
      <c r="DJ1387" s="16"/>
      <c r="DK1387" s="16"/>
      <c r="DL1387" s="16"/>
      <c r="DM1387" s="16"/>
      <c r="DN1387" s="10"/>
      <c r="DO1387" s="16"/>
      <c r="DP1387" s="16"/>
      <c r="DQ1387" s="16"/>
      <c r="DR1387" s="16"/>
      <c r="DS1387" s="10"/>
      <c r="DT1387" s="16"/>
      <c r="DU1387" s="16"/>
      <c r="DV1387" s="16"/>
      <c r="DW1387" s="16"/>
      <c r="DX1387" s="10"/>
      <c r="DY1387" s="16"/>
      <c r="DZ1387" s="16"/>
      <c r="EA1387" s="16"/>
      <c r="EB1387" s="16"/>
      <c r="EC1387" s="10"/>
      <c r="ED1387" s="16"/>
      <c r="EE1387" s="16"/>
      <c r="EF1387" s="16"/>
      <c r="EG1387" s="16"/>
      <c r="EH1387" s="10"/>
      <c r="EI1387" s="214"/>
      <c r="EJ1387" s="16"/>
      <c r="EK1387" s="16"/>
      <c r="EL1387" s="16"/>
      <c r="EM1387" s="10"/>
      <c r="EN1387" s="16"/>
      <c r="EO1387" s="16"/>
      <c r="EP1387" s="16"/>
      <c r="EQ1387" s="16"/>
      <c r="ER1387" s="10"/>
      <c r="ES1387" s="16"/>
      <c r="ET1387" s="16"/>
      <c r="EU1387" s="16"/>
      <c r="EV1387" s="16"/>
      <c r="EW1387" s="10"/>
      <c r="EX1387" s="16"/>
      <c r="EY1387" s="16"/>
      <c r="EZ1387" s="16"/>
      <c r="FA1387" s="16"/>
      <c r="FB1387" s="10"/>
      <c r="FC1387" s="16"/>
      <c r="FD1387" s="16"/>
      <c r="FE1387" s="16"/>
      <c r="FF1387" s="16"/>
      <c r="FG1387" s="10"/>
      <c r="FH1387" s="21"/>
      <c r="FI1387" s="16"/>
      <c r="FJ1387" s="16"/>
      <c r="FK1387" s="16"/>
      <c r="FL1387" s="16"/>
    </row>
    <row r="1388" ht="12.75" customHeight="1">
      <c r="A1388" s="16"/>
      <c r="B1388" s="16"/>
      <c r="C1388" s="16"/>
      <c r="D1388" s="16"/>
      <c r="E1388" s="16"/>
      <c r="F1388" s="16"/>
      <c r="G1388" s="16"/>
      <c r="H1388" s="31"/>
      <c r="I1388" s="32"/>
      <c r="J1388" s="32"/>
      <c r="K1388" s="32"/>
      <c r="L1388" s="32"/>
      <c r="M1388" s="31"/>
      <c r="N1388" s="32"/>
      <c r="O1388" s="32"/>
      <c r="P1388" s="32"/>
      <c r="Q1388" s="32"/>
      <c r="R1388" s="33"/>
      <c r="S1388" s="32"/>
      <c r="T1388" s="32"/>
      <c r="U1388" s="32"/>
      <c r="V1388" s="32"/>
      <c r="W1388" s="33"/>
      <c r="X1388" s="32"/>
      <c r="Y1388" s="32"/>
      <c r="Z1388" s="32"/>
      <c r="AA1388" s="32"/>
      <c r="AB1388" s="31"/>
      <c r="AC1388" s="32"/>
      <c r="AD1388" s="32"/>
      <c r="AE1388" s="32"/>
      <c r="AF1388" s="32"/>
      <c r="AG1388" s="31"/>
      <c r="AH1388" s="32"/>
      <c r="AI1388" s="32"/>
      <c r="AJ1388" s="32"/>
      <c r="AK1388" s="32"/>
      <c r="AL1388" s="31"/>
      <c r="AM1388" s="32"/>
      <c r="AN1388" s="32"/>
      <c r="AO1388" s="32"/>
      <c r="AP1388" s="32"/>
      <c r="AQ1388" s="31"/>
      <c r="AR1388" s="32"/>
      <c r="AS1388" s="32"/>
      <c r="AT1388" s="32"/>
      <c r="AU1388" s="32"/>
      <c r="AV1388" s="31"/>
      <c r="AW1388" s="32"/>
      <c r="AX1388" s="32"/>
      <c r="AY1388" s="32"/>
      <c r="AZ1388" s="32"/>
      <c r="BA1388" s="33"/>
      <c r="BB1388" s="32"/>
      <c r="BC1388" s="32"/>
      <c r="BD1388" s="32"/>
      <c r="BE1388" s="32"/>
      <c r="BF1388" s="33"/>
      <c r="BG1388" s="32"/>
      <c r="BH1388" s="32"/>
      <c r="BI1388" s="32"/>
      <c r="BJ1388" s="32"/>
      <c r="BK1388" s="33"/>
      <c r="BL1388" s="32"/>
      <c r="BM1388" s="32"/>
      <c r="BN1388" s="32"/>
      <c r="BO1388" s="32"/>
      <c r="BP1388" s="33"/>
      <c r="BQ1388" s="16"/>
      <c r="BR1388" s="16"/>
      <c r="BS1388" s="16"/>
      <c r="BT1388" s="16"/>
      <c r="BU1388" s="21"/>
      <c r="BV1388" s="16"/>
      <c r="BW1388" s="16"/>
      <c r="BX1388" s="16"/>
      <c r="BY1388" s="16"/>
      <c r="BZ1388" s="10"/>
      <c r="CA1388" s="16"/>
      <c r="CB1388" s="16"/>
      <c r="CC1388" s="16"/>
      <c r="CD1388" s="16"/>
      <c r="CE1388" s="10"/>
      <c r="CF1388" s="16"/>
      <c r="CG1388" s="16"/>
      <c r="CH1388" s="16"/>
      <c r="CI1388" s="16"/>
      <c r="CJ1388" s="10"/>
      <c r="CK1388" s="16"/>
      <c r="CL1388" s="16"/>
      <c r="CM1388" s="16"/>
      <c r="CN1388" s="16"/>
      <c r="CO1388" s="10"/>
      <c r="CP1388" s="16"/>
      <c r="CQ1388" s="16"/>
      <c r="CR1388" s="16"/>
      <c r="CS1388" s="16"/>
      <c r="CT1388" s="10"/>
      <c r="CU1388" s="16"/>
      <c r="CV1388" s="16"/>
      <c r="CW1388" s="16"/>
      <c r="CX1388" s="16"/>
      <c r="CY1388" s="10"/>
      <c r="CZ1388" s="16"/>
      <c r="DA1388" s="16"/>
      <c r="DB1388" s="16"/>
      <c r="DC1388" s="16"/>
      <c r="DD1388" s="10"/>
      <c r="DE1388" s="16"/>
      <c r="DF1388" s="16"/>
      <c r="DG1388" s="16"/>
      <c r="DH1388" s="16"/>
      <c r="DI1388" s="10"/>
      <c r="DJ1388" s="16"/>
      <c r="DK1388" s="16"/>
      <c r="DL1388" s="16"/>
      <c r="DM1388" s="16"/>
      <c r="DN1388" s="10"/>
      <c r="DO1388" s="16"/>
      <c r="DP1388" s="16"/>
      <c r="DQ1388" s="16"/>
      <c r="DR1388" s="16"/>
      <c r="DS1388" s="10"/>
      <c r="DT1388" s="16"/>
      <c r="DU1388" s="16"/>
      <c r="DV1388" s="16"/>
      <c r="DW1388" s="16"/>
      <c r="DX1388" s="10"/>
      <c r="DY1388" s="16"/>
      <c r="DZ1388" s="16"/>
      <c r="EA1388" s="16"/>
      <c r="EB1388" s="16"/>
      <c r="EC1388" s="10"/>
      <c r="ED1388" s="16"/>
      <c r="EE1388" s="16"/>
      <c r="EF1388" s="16"/>
      <c r="EG1388" s="16"/>
      <c r="EH1388" s="10"/>
      <c r="EI1388" s="214"/>
      <c r="EJ1388" s="16"/>
      <c r="EK1388" s="16"/>
      <c r="EL1388" s="16"/>
      <c r="EM1388" s="10"/>
      <c r="EN1388" s="16"/>
      <c r="EO1388" s="16"/>
      <c r="EP1388" s="16"/>
      <c r="EQ1388" s="16"/>
      <c r="ER1388" s="10"/>
      <c r="ES1388" s="16"/>
      <c r="ET1388" s="16"/>
      <c r="EU1388" s="16"/>
      <c r="EV1388" s="16"/>
      <c r="EW1388" s="10"/>
      <c r="EX1388" s="16"/>
      <c r="EY1388" s="16"/>
      <c r="EZ1388" s="16"/>
      <c r="FA1388" s="16"/>
      <c r="FB1388" s="10"/>
      <c r="FC1388" s="16"/>
      <c r="FD1388" s="16"/>
      <c r="FE1388" s="16"/>
      <c r="FF1388" s="16"/>
      <c r="FG1388" s="10"/>
      <c r="FH1388" s="21"/>
      <c r="FI1388" s="16"/>
      <c r="FJ1388" s="16"/>
      <c r="FK1388" s="16"/>
      <c r="FL1388" s="16"/>
    </row>
    <row r="1389" ht="12.75" customHeight="1">
      <c r="A1389" s="16"/>
      <c r="B1389" s="16"/>
      <c r="C1389" s="16"/>
      <c r="D1389" s="16"/>
      <c r="E1389" s="16"/>
      <c r="F1389" s="16"/>
      <c r="G1389" s="16"/>
      <c r="H1389" s="31"/>
      <c r="I1389" s="32"/>
      <c r="J1389" s="32"/>
      <c r="K1389" s="32"/>
      <c r="L1389" s="32"/>
      <c r="M1389" s="31"/>
      <c r="N1389" s="32"/>
      <c r="O1389" s="32"/>
      <c r="P1389" s="32"/>
      <c r="Q1389" s="32"/>
      <c r="R1389" s="33"/>
      <c r="S1389" s="32"/>
      <c r="T1389" s="32"/>
      <c r="U1389" s="32"/>
      <c r="V1389" s="32"/>
      <c r="W1389" s="33"/>
      <c r="X1389" s="32"/>
      <c r="Y1389" s="32"/>
      <c r="Z1389" s="32"/>
      <c r="AA1389" s="32"/>
      <c r="AB1389" s="31"/>
      <c r="AC1389" s="32"/>
      <c r="AD1389" s="32"/>
      <c r="AE1389" s="32"/>
      <c r="AF1389" s="32"/>
      <c r="AG1389" s="31"/>
      <c r="AH1389" s="32"/>
      <c r="AI1389" s="32"/>
      <c r="AJ1389" s="32"/>
      <c r="AK1389" s="32"/>
      <c r="AL1389" s="31"/>
      <c r="AM1389" s="32"/>
      <c r="AN1389" s="32"/>
      <c r="AO1389" s="32"/>
      <c r="AP1389" s="32"/>
      <c r="AQ1389" s="31"/>
      <c r="AR1389" s="32"/>
      <c r="AS1389" s="32"/>
      <c r="AT1389" s="32"/>
      <c r="AU1389" s="32"/>
      <c r="AV1389" s="31"/>
      <c r="AW1389" s="32"/>
      <c r="AX1389" s="32"/>
      <c r="AY1389" s="32"/>
      <c r="AZ1389" s="32"/>
      <c r="BA1389" s="33"/>
      <c r="BB1389" s="32"/>
      <c r="BC1389" s="32"/>
      <c r="BD1389" s="32"/>
      <c r="BE1389" s="32"/>
      <c r="BF1389" s="33"/>
      <c r="BG1389" s="32"/>
      <c r="BH1389" s="32"/>
      <c r="BI1389" s="32"/>
      <c r="BJ1389" s="32"/>
      <c r="BK1389" s="33"/>
      <c r="BL1389" s="32"/>
      <c r="BM1389" s="32"/>
      <c r="BN1389" s="32"/>
      <c r="BO1389" s="32"/>
      <c r="BP1389" s="33"/>
      <c r="BQ1389" s="16"/>
      <c r="BR1389" s="16"/>
      <c r="BS1389" s="16"/>
      <c r="BT1389" s="16"/>
      <c r="BU1389" s="21"/>
      <c r="BV1389" s="16"/>
      <c r="BW1389" s="16"/>
      <c r="BX1389" s="16"/>
      <c r="BY1389" s="16"/>
      <c r="BZ1389" s="10"/>
      <c r="CA1389" s="16"/>
      <c r="CB1389" s="16"/>
      <c r="CC1389" s="16"/>
      <c r="CD1389" s="16"/>
      <c r="CE1389" s="10"/>
      <c r="CF1389" s="16"/>
      <c r="CG1389" s="16"/>
      <c r="CH1389" s="16"/>
      <c r="CI1389" s="16"/>
      <c r="CJ1389" s="10"/>
      <c r="CK1389" s="16"/>
      <c r="CL1389" s="16"/>
      <c r="CM1389" s="16"/>
      <c r="CN1389" s="16"/>
      <c r="CO1389" s="10"/>
      <c r="CP1389" s="16"/>
      <c r="CQ1389" s="16"/>
      <c r="CR1389" s="16"/>
      <c r="CS1389" s="16"/>
      <c r="CT1389" s="10"/>
      <c r="CU1389" s="16"/>
      <c r="CV1389" s="16"/>
      <c r="CW1389" s="16"/>
      <c r="CX1389" s="16"/>
      <c r="CY1389" s="10"/>
      <c r="CZ1389" s="16"/>
      <c r="DA1389" s="16"/>
      <c r="DB1389" s="16"/>
      <c r="DC1389" s="16"/>
      <c r="DD1389" s="10"/>
      <c r="DE1389" s="16"/>
      <c r="DF1389" s="16"/>
      <c r="DG1389" s="16"/>
      <c r="DH1389" s="16"/>
      <c r="DI1389" s="10"/>
      <c r="DJ1389" s="16"/>
      <c r="DK1389" s="16"/>
      <c r="DL1389" s="16"/>
      <c r="DM1389" s="16"/>
      <c r="DN1389" s="10"/>
      <c r="DO1389" s="16"/>
      <c r="DP1389" s="16"/>
      <c r="DQ1389" s="16"/>
      <c r="DR1389" s="16"/>
      <c r="DS1389" s="10"/>
      <c r="DT1389" s="16"/>
      <c r="DU1389" s="16"/>
      <c r="DV1389" s="16"/>
      <c r="DW1389" s="16"/>
      <c r="DX1389" s="10"/>
      <c r="DY1389" s="16"/>
      <c r="DZ1389" s="16"/>
      <c r="EA1389" s="16"/>
      <c r="EB1389" s="16"/>
      <c r="EC1389" s="10"/>
      <c r="ED1389" s="16"/>
      <c r="EE1389" s="16"/>
      <c r="EF1389" s="16"/>
      <c r="EG1389" s="16"/>
      <c r="EH1389" s="10"/>
      <c r="EI1389" s="214"/>
      <c r="EJ1389" s="16"/>
      <c r="EK1389" s="16"/>
      <c r="EL1389" s="16"/>
      <c r="EM1389" s="10"/>
      <c r="EN1389" s="16"/>
      <c r="EO1389" s="16"/>
      <c r="EP1389" s="16"/>
      <c r="EQ1389" s="16"/>
      <c r="ER1389" s="10"/>
      <c r="ES1389" s="16"/>
      <c r="ET1389" s="16"/>
      <c r="EU1389" s="16"/>
      <c r="EV1389" s="16"/>
      <c r="EW1389" s="10"/>
      <c r="EX1389" s="16"/>
      <c r="EY1389" s="16"/>
      <c r="EZ1389" s="16"/>
      <c r="FA1389" s="16"/>
      <c r="FB1389" s="10"/>
      <c r="FC1389" s="16"/>
      <c r="FD1389" s="16"/>
      <c r="FE1389" s="16"/>
      <c r="FF1389" s="16"/>
      <c r="FG1389" s="10"/>
      <c r="FH1389" s="21"/>
      <c r="FI1389" s="16"/>
      <c r="FJ1389" s="16"/>
      <c r="FK1389" s="16"/>
      <c r="FL1389" s="16"/>
    </row>
    <row r="1390" ht="12.75" customHeight="1">
      <c r="A1390" s="16"/>
      <c r="B1390" s="16"/>
      <c r="C1390" s="16"/>
      <c r="D1390" s="16"/>
      <c r="E1390" s="16"/>
      <c r="F1390" s="16"/>
      <c r="G1390" s="16"/>
      <c r="H1390" s="31"/>
      <c r="I1390" s="32"/>
      <c r="J1390" s="32"/>
      <c r="K1390" s="32"/>
      <c r="L1390" s="32"/>
      <c r="M1390" s="31"/>
      <c r="N1390" s="32"/>
      <c r="O1390" s="32"/>
      <c r="P1390" s="32"/>
      <c r="Q1390" s="32"/>
      <c r="R1390" s="33"/>
      <c r="S1390" s="32"/>
      <c r="T1390" s="32"/>
      <c r="U1390" s="32"/>
      <c r="V1390" s="32"/>
      <c r="W1390" s="33"/>
      <c r="X1390" s="32"/>
      <c r="Y1390" s="32"/>
      <c r="Z1390" s="32"/>
      <c r="AA1390" s="32"/>
      <c r="AB1390" s="31"/>
      <c r="AC1390" s="32"/>
      <c r="AD1390" s="32"/>
      <c r="AE1390" s="32"/>
      <c r="AF1390" s="32"/>
      <c r="AG1390" s="31"/>
      <c r="AH1390" s="32"/>
      <c r="AI1390" s="32"/>
      <c r="AJ1390" s="32"/>
      <c r="AK1390" s="32"/>
      <c r="AL1390" s="31"/>
      <c r="AM1390" s="32"/>
      <c r="AN1390" s="32"/>
      <c r="AO1390" s="32"/>
      <c r="AP1390" s="32"/>
      <c r="AQ1390" s="31"/>
      <c r="AR1390" s="32"/>
      <c r="AS1390" s="32"/>
      <c r="AT1390" s="32"/>
      <c r="AU1390" s="32"/>
      <c r="AV1390" s="31"/>
      <c r="AW1390" s="32"/>
      <c r="AX1390" s="32"/>
      <c r="AY1390" s="32"/>
      <c r="AZ1390" s="32"/>
      <c r="BA1390" s="33"/>
      <c r="BB1390" s="32"/>
      <c r="BC1390" s="32"/>
      <c r="BD1390" s="32"/>
      <c r="BE1390" s="32"/>
      <c r="BF1390" s="33"/>
      <c r="BG1390" s="32"/>
      <c r="BH1390" s="32"/>
      <c r="BI1390" s="32"/>
      <c r="BJ1390" s="32"/>
      <c r="BK1390" s="33"/>
      <c r="BL1390" s="32"/>
      <c r="BM1390" s="32"/>
      <c r="BN1390" s="32"/>
      <c r="BO1390" s="32"/>
      <c r="BP1390" s="33"/>
      <c r="BQ1390" s="16"/>
      <c r="BR1390" s="16"/>
      <c r="BS1390" s="16"/>
      <c r="BT1390" s="16"/>
      <c r="BU1390" s="21"/>
      <c r="BV1390" s="16"/>
      <c r="BW1390" s="16"/>
      <c r="BX1390" s="16"/>
      <c r="BY1390" s="16"/>
      <c r="BZ1390" s="10"/>
      <c r="CA1390" s="16"/>
      <c r="CB1390" s="16"/>
      <c r="CC1390" s="16"/>
      <c r="CD1390" s="16"/>
      <c r="CE1390" s="10"/>
      <c r="CF1390" s="16"/>
      <c r="CG1390" s="16"/>
      <c r="CH1390" s="16"/>
      <c r="CI1390" s="16"/>
      <c r="CJ1390" s="10"/>
      <c r="CK1390" s="16"/>
      <c r="CL1390" s="16"/>
      <c r="CM1390" s="16"/>
      <c r="CN1390" s="16"/>
      <c r="CO1390" s="10"/>
      <c r="CP1390" s="16"/>
      <c r="CQ1390" s="16"/>
      <c r="CR1390" s="16"/>
      <c r="CS1390" s="16"/>
      <c r="CT1390" s="10"/>
      <c r="CU1390" s="16"/>
      <c r="CV1390" s="16"/>
      <c r="CW1390" s="16"/>
      <c r="CX1390" s="16"/>
      <c r="CY1390" s="10"/>
      <c r="CZ1390" s="16"/>
      <c r="DA1390" s="16"/>
      <c r="DB1390" s="16"/>
      <c r="DC1390" s="16"/>
      <c r="DD1390" s="10"/>
      <c r="DE1390" s="16"/>
      <c r="DF1390" s="16"/>
      <c r="DG1390" s="16"/>
      <c r="DH1390" s="16"/>
      <c r="DI1390" s="10"/>
      <c r="DJ1390" s="16"/>
      <c r="DK1390" s="16"/>
      <c r="DL1390" s="16"/>
      <c r="DM1390" s="16"/>
      <c r="DN1390" s="10"/>
      <c r="DO1390" s="16"/>
      <c r="DP1390" s="16"/>
      <c r="DQ1390" s="16"/>
      <c r="DR1390" s="16"/>
      <c r="DS1390" s="10"/>
      <c r="DT1390" s="16"/>
      <c r="DU1390" s="16"/>
      <c r="DV1390" s="16"/>
      <c r="DW1390" s="16"/>
      <c r="DX1390" s="10"/>
      <c r="DY1390" s="16"/>
      <c r="DZ1390" s="16"/>
      <c r="EA1390" s="16"/>
      <c r="EB1390" s="16"/>
      <c r="EC1390" s="10"/>
      <c r="ED1390" s="16"/>
      <c r="EE1390" s="16"/>
      <c r="EF1390" s="16"/>
      <c r="EG1390" s="16"/>
      <c r="EH1390" s="10"/>
      <c r="EI1390" s="214"/>
      <c r="EJ1390" s="16"/>
      <c r="EK1390" s="16"/>
      <c r="EL1390" s="16"/>
      <c r="EM1390" s="10"/>
      <c r="EN1390" s="16"/>
      <c r="EO1390" s="16"/>
      <c r="EP1390" s="16"/>
      <c r="EQ1390" s="16"/>
      <c r="ER1390" s="10"/>
      <c r="ES1390" s="16"/>
      <c r="ET1390" s="16"/>
      <c r="EU1390" s="16"/>
      <c r="EV1390" s="16"/>
      <c r="EW1390" s="10"/>
      <c r="EX1390" s="16"/>
      <c r="EY1390" s="16"/>
      <c r="EZ1390" s="16"/>
      <c r="FA1390" s="16"/>
      <c r="FB1390" s="10"/>
      <c r="FC1390" s="16"/>
      <c r="FD1390" s="16"/>
      <c r="FE1390" s="16"/>
      <c r="FF1390" s="16"/>
      <c r="FG1390" s="10"/>
      <c r="FH1390" s="21"/>
      <c r="FI1390" s="16"/>
      <c r="FJ1390" s="16"/>
      <c r="FK1390" s="16"/>
      <c r="FL1390" s="16"/>
    </row>
    <row r="1391" ht="12.75" customHeight="1">
      <c r="A1391" s="16"/>
      <c r="B1391" s="16"/>
      <c r="C1391" s="16"/>
      <c r="D1391" s="16"/>
      <c r="E1391" s="16"/>
      <c r="F1391" s="16"/>
      <c r="G1391" s="16"/>
      <c r="H1391" s="31"/>
      <c r="I1391" s="32"/>
      <c r="J1391" s="32"/>
      <c r="K1391" s="32"/>
      <c r="L1391" s="32"/>
      <c r="M1391" s="31"/>
      <c r="N1391" s="32"/>
      <c r="O1391" s="32"/>
      <c r="P1391" s="32"/>
      <c r="Q1391" s="32"/>
      <c r="R1391" s="33"/>
      <c r="S1391" s="32"/>
      <c r="T1391" s="32"/>
      <c r="U1391" s="32"/>
      <c r="V1391" s="32"/>
      <c r="W1391" s="33"/>
      <c r="X1391" s="32"/>
      <c r="Y1391" s="32"/>
      <c r="Z1391" s="32"/>
      <c r="AA1391" s="32"/>
      <c r="AB1391" s="31"/>
      <c r="AC1391" s="32"/>
      <c r="AD1391" s="32"/>
      <c r="AE1391" s="32"/>
      <c r="AF1391" s="32"/>
      <c r="AG1391" s="31"/>
      <c r="AH1391" s="32"/>
      <c r="AI1391" s="32"/>
      <c r="AJ1391" s="32"/>
      <c r="AK1391" s="32"/>
      <c r="AL1391" s="31"/>
      <c r="AM1391" s="32"/>
      <c r="AN1391" s="32"/>
      <c r="AO1391" s="32"/>
      <c r="AP1391" s="32"/>
      <c r="AQ1391" s="31"/>
      <c r="AR1391" s="32"/>
      <c r="AS1391" s="32"/>
      <c r="AT1391" s="32"/>
      <c r="AU1391" s="32"/>
      <c r="AV1391" s="31"/>
      <c r="AW1391" s="32"/>
      <c r="AX1391" s="32"/>
      <c r="AY1391" s="32"/>
      <c r="AZ1391" s="32"/>
      <c r="BA1391" s="33"/>
      <c r="BB1391" s="32"/>
      <c r="BC1391" s="32"/>
      <c r="BD1391" s="32"/>
      <c r="BE1391" s="32"/>
      <c r="BF1391" s="33"/>
      <c r="BG1391" s="32"/>
      <c r="BH1391" s="32"/>
      <c r="BI1391" s="32"/>
      <c r="BJ1391" s="32"/>
      <c r="BK1391" s="33"/>
      <c r="BL1391" s="32"/>
      <c r="BM1391" s="32"/>
      <c r="BN1391" s="32"/>
      <c r="BO1391" s="32"/>
      <c r="BP1391" s="33"/>
      <c r="BQ1391" s="16"/>
      <c r="BR1391" s="16"/>
      <c r="BS1391" s="16"/>
      <c r="BT1391" s="16"/>
      <c r="BU1391" s="21"/>
      <c r="BV1391" s="16"/>
      <c r="BW1391" s="16"/>
      <c r="BX1391" s="16"/>
      <c r="BY1391" s="16"/>
      <c r="BZ1391" s="10"/>
      <c r="CA1391" s="16"/>
      <c r="CB1391" s="16"/>
      <c r="CC1391" s="16"/>
      <c r="CD1391" s="16"/>
      <c r="CE1391" s="10"/>
      <c r="CF1391" s="16"/>
      <c r="CG1391" s="16"/>
      <c r="CH1391" s="16"/>
      <c r="CI1391" s="16"/>
      <c r="CJ1391" s="10"/>
      <c r="CK1391" s="16"/>
      <c r="CL1391" s="16"/>
      <c r="CM1391" s="16"/>
      <c r="CN1391" s="16"/>
      <c r="CO1391" s="10"/>
      <c r="CP1391" s="16"/>
      <c r="CQ1391" s="16"/>
      <c r="CR1391" s="16"/>
      <c r="CS1391" s="16"/>
      <c r="CT1391" s="10"/>
      <c r="CU1391" s="16"/>
      <c r="CV1391" s="16"/>
      <c r="CW1391" s="16"/>
      <c r="CX1391" s="16"/>
      <c r="CY1391" s="10"/>
      <c r="CZ1391" s="16"/>
      <c r="DA1391" s="16"/>
      <c r="DB1391" s="16"/>
      <c r="DC1391" s="16"/>
      <c r="DD1391" s="10"/>
      <c r="DE1391" s="16"/>
      <c r="DF1391" s="16"/>
      <c r="DG1391" s="16"/>
      <c r="DH1391" s="16"/>
      <c r="DI1391" s="10"/>
      <c r="DJ1391" s="16"/>
      <c r="DK1391" s="16"/>
      <c r="DL1391" s="16"/>
      <c r="DM1391" s="16"/>
      <c r="DN1391" s="10"/>
      <c r="DO1391" s="16"/>
      <c r="DP1391" s="16"/>
      <c r="DQ1391" s="16"/>
      <c r="DR1391" s="16"/>
      <c r="DS1391" s="10"/>
      <c r="DT1391" s="16"/>
      <c r="DU1391" s="16"/>
      <c r="DV1391" s="16"/>
      <c r="DW1391" s="16"/>
      <c r="DX1391" s="10"/>
      <c r="DY1391" s="16"/>
      <c r="DZ1391" s="16"/>
      <c r="EA1391" s="16"/>
      <c r="EB1391" s="16"/>
      <c r="EC1391" s="10"/>
      <c r="ED1391" s="16"/>
      <c r="EE1391" s="16"/>
      <c r="EF1391" s="16"/>
      <c r="EG1391" s="16"/>
      <c r="EH1391" s="10"/>
      <c r="EI1391" s="214"/>
      <c r="EJ1391" s="16"/>
      <c r="EK1391" s="16"/>
      <c r="EL1391" s="16"/>
      <c r="EM1391" s="10"/>
      <c r="EN1391" s="16"/>
      <c r="EO1391" s="16"/>
      <c r="EP1391" s="16"/>
      <c r="EQ1391" s="16"/>
      <c r="ER1391" s="10"/>
      <c r="ES1391" s="16"/>
      <c r="ET1391" s="16"/>
      <c r="EU1391" s="16"/>
      <c r="EV1391" s="16"/>
      <c r="EW1391" s="10"/>
      <c r="EX1391" s="16"/>
      <c r="EY1391" s="16"/>
      <c r="EZ1391" s="16"/>
      <c r="FA1391" s="16"/>
      <c r="FB1391" s="10"/>
      <c r="FC1391" s="16"/>
      <c r="FD1391" s="16"/>
      <c r="FE1391" s="16"/>
      <c r="FF1391" s="16"/>
      <c r="FG1391" s="10"/>
      <c r="FH1391" s="21"/>
      <c r="FI1391" s="16"/>
      <c r="FJ1391" s="16"/>
      <c r="FK1391" s="16"/>
      <c r="FL1391" s="16"/>
    </row>
    <row r="1392" ht="12.75" customHeight="1">
      <c r="A1392" s="16"/>
      <c r="B1392" s="16"/>
      <c r="C1392" s="16"/>
      <c r="D1392" s="16"/>
      <c r="E1392" s="16"/>
      <c r="F1392" s="16"/>
      <c r="G1392" s="16"/>
      <c r="H1392" s="31"/>
      <c r="I1392" s="32"/>
      <c r="J1392" s="32"/>
      <c r="K1392" s="32"/>
      <c r="L1392" s="32"/>
      <c r="M1392" s="31"/>
      <c r="N1392" s="32"/>
      <c r="O1392" s="32"/>
      <c r="P1392" s="32"/>
      <c r="Q1392" s="32"/>
      <c r="R1392" s="33"/>
      <c r="S1392" s="32"/>
      <c r="T1392" s="32"/>
      <c r="U1392" s="32"/>
      <c r="V1392" s="32"/>
      <c r="W1392" s="33"/>
      <c r="X1392" s="32"/>
      <c r="Y1392" s="32"/>
      <c r="Z1392" s="32"/>
      <c r="AA1392" s="32"/>
      <c r="AB1392" s="31"/>
      <c r="AC1392" s="32"/>
      <c r="AD1392" s="32"/>
      <c r="AE1392" s="32"/>
      <c r="AF1392" s="32"/>
      <c r="AG1392" s="31"/>
      <c r="AH1392" s="32"/>
      <c r="AI1392" s="32"/>
      <c r="AJ1392" s="32"/>
      <c r="AK1392" s="32"/>
      <c r="AL1392" s="31"/>
      <c r="AM1392" s="32"/>
      <c r="AN1392" s="32"/>
      <c r="AO1392" s="32"/>
      <c r="AP1392" s="32"/>
      <c r="AQ1392" s="31"/>
      <c r="AR1392" s="32"/>
      <c r="AS1392" s="32"/>
      <c r="AT1392" s="32"/>
      <c r="AU1392" s="32"/>
      <c r="AV1392" s="31"/>
      <c r="AW1392" s="32"/>
      <c r="AX1392" s="32"/>
      <c r="AY1392" s="32"/>
      <c r="AZ1392" s="32"/>
      <c r="BA1392" s="33"/>
      <c r="BB1392" s="32"/>
      <c r="BC1392" s="32"/>
      <c r="BD1392" s="32"/>
      <c r="BE1392" s="32"/>
      <c r="BF1392" s="33"/>
      <c r="BG1392" s="32"/>
      <c r="BH1392" s="32"/>
      <c r="BI1392" s="32"/>
      <c r="BJ1392" s="32"/>
      <c r="BK1392" s="33"/>
      <c r="BL1392" s="32"/>
      <c r="BM1392" s="32"/>
      <c r="BN1392" s="32"/>
      <c r="BO1392" s="32"/>
      <c r="BP1392" s="33"/>
      <c r="BQ1392" s="16"/>
      <c r="BR1392" s="16"/>
      <c r="BS1392" s="16"/>
      <c r="BT1392" s="16"/>
      <c r="BU1392" s="21"/>
      <c r="BV1392" s="16"/>
      <c r="BW1392" s="16"/>
      <c r="BX1392" s="16"/>
      <c r="BY1392" s="16"/>
      <c r="BZ1392" s="10"/>
      <c r="CA1392" s="16"/>
      <c r="CB1392" s="16"/>
      <c r="CC1392" s="16"/>
      <c r="CD1392" s="16"/>
      <c r="CE1392" s="10"/>
      <c r="CF1392" s="16"/>
      <c r="CG1392" s="16"/>
      <c r="CH1392" s="16"/>
      <c r="CI1392" s="16"/>
      <c r="CJ1392" s="10"/>
      <c r="CK1392" s="16"/>
      <c r="CL1392" s="16"/>
      <c r="CM1392" s="16"/>
      <c r="CN1392" s="16"/>
      <c r="CO1392" s="10"/>
      <c r="CP1392" s="16"/>
      <c r="CQ1392" s="16"/>
      <c r="CR1392" s="16"/>
      <c r="CS1392" s="16"/>
      <c r="CT1392" s="10"/>
      <c r="CU1392" s="16"/>
      <c r="CV1392" s="16"/>
      <c r="CW1392" s="16"/>
      <c r="CX1392" s="16"/>
      <c r="CY1392" s="10"/>
      <c r="CZ1392" s="16"/>
      <c r="DA1392" s="16"/>
      <c r="DB1392" s="16"/>
      <c r="DC1392" s="16"/>
      <c r="DD1392" s="10"/>
      <c r="DE1392" s="16"/>
      <c r="DF1392" s="16"/>
      <c r="DG1392" s="16"/>
      <c r="DH1392" s="16"/>
      <c r="DI1392" s="10"/>
      <c r="DJ1392" s="16"/>
      <c r="DK1392" s="16"/>
      <c r="DL1392" s="16"/>
      <c r="DM1392" s="16"/>
      <c r="DN1392" s="10"/>
      <c r="DO1392" s="16"/>
      <c r="DP1392" s="16"/>
      <c r="DQ1392" s="16"/>
      <c r="DR1392" s="16"/>
      <c r="DS1392" s="10"/>
      <c r="DT1392" s="16"/>
      <c r="DU1392" s="16"/>
      <c r="DV1392" s="16"/>
      <c r="DW1392" s="16"/>
      <c r="DX1392" s="10"/>
      <c r="DY1392" s="16"/>
      <c r="DZ1392" s="16"/>
      <c r="EA1392" s="16"/>
      <c r="EB1392" s="16"/>
      <c r="EC1392" s="10"/>
      <c r="ED1392" s="16"/>
      <c r="EE1392" s="16"/>
      <c r="EF1392" s="16"/>
      <c r="EG1392" s="16"/>
      <c r="EH1392" s="10"/>
      <c r="EI1392" s="214"/>
      <c r="EJ1392" s="16"/>
      <c r="EK1392" s="16"/>
      <c r="EL1392" s="16"/>
      <c r="EM1392" s="10"/>
      <c r="EN1392" s="16"/>
      <c r="EO1392" s="16"/>
      <c r="EP1392" s="16"/>
      <c r="EQ1392" s="16"/>
      <c r="ER1392" s="10"/>
      <c r="ES1392" s="16"/>
      <c r="ET1392" s="16"/>
      <c r="EU1392" s="16"/>
      <c r="EV1392" s="16"/>
      <c r="EW1392" s="10"/>
      <c r="EX1392" s="16"/>
      <c r="EY1392" s="16"/>
      <c r="EZ1392" s="16"/>
      <c r="FA1392" s="16"/>
      <c r="FB1392" s="10"/>
      <c r="FC1392" s="16"/>
      <c r="FD1392" s="16"/>
      <c r="FE1392" s="16"/>
      <c r="FF1392" s="16"/>
      <c r="FG1392" s="10"/>
      <c r="FH1392" s="21"/>
      <c r="FI1392" s="16"/>
      <c r="FJ1392" s="16"/>
      <c r="FK1392" s="16"/>
      <c r="FL1392" s="16"/>
    </row>
    <row r="1393" ht="12.75" customHeight="1">
      <c r="A1393" s="16"/>
      <c r="B1393" s="16"/>
      <c r="C1393" s="16"/>
      <c r="D1393" s="16"/>
      <c r="E1393" s="16"/>
      <c r="F1393" s="16"/>
      <c r="G1393" s="16"/>
      <c r="H1393" s="31"/>
      <c r="I1393" s="32"/>
      <c r="J1393" s="32"/>
      <c r="K1393" s="32"/>
      <c r="L1393" s="32"/>
      <c r="M1393" s="31"/>
      <c r="N1393" s="32"/>
      <c r="O1393" s="32"/>
      <c r="P1393" s="32"/>
      <c r="Q1393" s="32"/>
      <c r="R1393" s="33"/>
      <c r="S1393" s="32"/>
      <c r="T1393" s="32"/>
      <c r="U1393" s="32"/>
      <c r="V1393" s="32"/>
      <c r="W1393" s="33"/>
      <c r="X1393" s="32"/>
      <c r="Y1393" s="32"/>
      <c r="Z1393" s="32"/>
      <c r="AA1393" s="32"/>
      <c r="AB1393" s="31"/>
      <c r="AC1393" s="32"/>
      <c r="AD1393" s="32"/>
      <c r="AE1393" s="32"/>
      <c r="AF1393" s="32"/>
      <c r="AG1393" s="31"/>
      <c r="AH1393" s="32"/>
      <c r="AI1393" s="32"/>
      <c r="AJ1393" s="32"/>
      <c r="AK1393" s="32"/>
      <c r="AL1393" s="31"/>
      <c r="AM1393" s="32"/>
      <c r="AN1393" s="32"/>
      <c r="AO1393" s="32"/>
      <c r="AP1393" s="32"/>
      <c r="AQ1393" s="31"/>
      <c r="AR1393" s="32"/>
      <c r="AS1393" s="32"/>
      <c r="AT1393" s="32"/>
      <c r="AU1393" s="32"/>
      <c r="AV1393" s="31"/>
      <c r="AW1393" s="32"/>
      <c r="AX1393" s="32"/>
      <c r="AY1393" s="32"/>
      <c r="AZ1393" s="32"/>
      <c r="BA1393" s="33"/>
      <c r="BB1393" s="32"/>
      <c r="BC1393" s="32"/>
      <c r="BD1393" s="32"/>
      <c r="BE1393" s="32"/>
      <c r="BF1393" s="33"/>
      <c r="BG1393" s="32"/>
      <c r="BH1393" s="32"/>
      <c r="BI1393" s="32"/>
      <c r="BJ1393" s="32"/>
      <c r="BK1393" s="33"/>
      <c r="BL1393" s="32"/>
      <c r="BM1393" s="32"/>
      <c r="BN1393" s="32"/>
      <c r="BO1393" s="32"/>
      <c r="BP1393" s="33"/>
      <c r="BQ1393" s="16"/>
      <c r="BR1393" s="16"/>
      <c r="BS1393" s="16"/>
      <c r="BT1393" s="16"/>
      <c r="BU1393" s="21"/>
      <c r="BV1393" s="16"/>
      <c r="BW1393" s="16"/>
      <c r="BX1393" s="16"/>
      <c r="BY1393" s="16"/>
      <c r="BZ1393" s="10"/>
      <c r="CA1393" s="16"/>
      <c r="CB1393" s="16"/>
      <c r="CC1393" s="16"/>
      <c r="CD1393" s="16"/>
      <c r="CE1393" s="10"/>
      <c r="CF1393" s="16"/>
      <c r="CG1393" s="16"/>
      <c r="CH1393" s="16"/>
      <c r="CI1393" s="16"/>
      <c r="CJ1393" s="10"/>
      <c r="CK1393" s="16"/>
      <c r="CL1393" s="16"/>
      <c r="CM1393" s="16"/>
      <c r="CN1393" s="16"/>
      <c r="CO1393" s="10"/>
      <c r="CP1393" s="16"/>
      <c r="CQ1393" s="16"/>
      <c r="CR1393" s="16"/>
      <c r="CS1393" s="16"/>
      <c r="CT1393" s="10"/>
      <c r="CU1393" s="16"/>
      <c r="CV1393" s="16"/>
      <c r="CW1393" s="16"/>
      <c r="CX1393" s="16"/>
      <c r="CY1393" s="10"/>
      <c r="CZ1393" s="16"/>
      <c r="DA1393" s="16"/>
      <c r="DB1393" s="16"/>
      <c r="DC1393" s="16"/>
      <c r="DD1393" s="10"/>
      <c r="DE1393" s="16"/>
      <c r="DF1393" s="16"/>
      <c r="DG1393" s="16"/>
      <c r="DH1393" s="16"/>
      <c r="DI1393" s="10"/>
      <c r="DJ1393" s="16"/>
      <c r="DK1393" s="16"/>
      <c r="DL1393" s="16"/>
      <c r="DM1393" s="16"/>
      <c r="DN1393" s="10"/>
      <c r="DO1393" s="16"/>
      <c r="DP1393" s="16"/>
      <c r="DQ1393" s="16"/>
      <c r="DR1393" s="16"/>
      <c r="DS1393" s="10"/>
      <c r="DT1393" s="16"/>
      <c r="DU1393" s="16"/>
      <c r="DV1393" s="16"/>
      <c r="DW1393" s="16"/>
      <c r="DX1393" s="10"/>
      <c r="DY1393" s="16"/>
      <c r="DZ1393" s="16"/>
      <c r="EA1393" s="16"/>
      <c r="EB1393" s="16"/>
      <c r="EC1393" s="10"/>
      <c r="ED1393" s="16"/>
      <c r="EE1393" s="16"/>
      <c r="EF1393" s="16"/>
      <c r="EG1393" s="16"/>
      <c r="EH1393" s="10"/>
      <c r="EI1393" s="214"/>
      <c r="EJ1393" s="16"/>
      <c r="EK1393" s="16"/>
      <c r="EL1393" s="16"/>
      <c r="EM1393" s="10"/>
      <c r="EN1393" s="16"/>
      <c r="EO1393" s="16"/>
      <c r="EP1393" s="16"/>
      <c r="EQ1393" s="16"/>
      <c r="ER1393" s="10"/>
      <c r="ES1393" s="16"/>
      <c r="ET1393" s="16"/>
      <c r="EU1393" s="16"/>
      <c r="EV1393" s="16"/>
      <c r="EW1393" s="10"/>
      <c r="EX1393" s="16"/>
      <c r="EY1393" s="16"/>
      <c r="EZ1393" s="16"/>
      <c r="FA1393" s="16"/>
      <c r="FB1393" s="10"/>
      <c r="FC1393" s="16"/>
      <c r="FD1393" s="16"/>
      <c r="FE1393" s="16"/>
      <c r="FF1393" s="16"/>
      <c r="FG1393" s="10"/>
      <c r="FH1393" s="21"/>
      <c r="FI1393" s="16"/>
      <c r="FJ1393" s="16"/>
      <c r="FK1393" s="16"/>
      <c r="FL1393" s="16"/>
    </row>
    <row r="1394" ht="12.75" customHeight="1">
      <c r="A1394" s="16"/>
      <c r="B1394" s="16"/>
      <c r="C1394" s="16"/>
      <c r="D1394" s="16"/>
      <c r="E1394" s="16"/>
      <c r="F1394" s="16"/>
      <c r="G1394" s="16"/>
      <c r="H1394" s="31"/>
      <c r="I1394" s="32"/>
      <c r="J1394" s="32"/>
      <c r="K1394" s="32"/>
      <c r="L1394" s="32"/>
      <c r="M1394" s="31"/>
      <c r="N1394" s="32"/>
      <c r="O1394" s="32"/>
      <c r="P1394" s="32"/>
      <c r="Q1394" s="32"/>
      <c r="R1394" s="33"/>
      <c r="S1394" s="32"/>
      <c r="T1394" s="32"/>
      <c r="U1394" s="32"/>
      <c r="V1394" s="32"/>
      <c r="W1394" s="33"/>
      <c r="X1394" s="32"/>
      <c r="Y1394" s="32"/>
      <c r="Z1394" s="32"/>
      <c r="AA1394" s="32"/>
      <c r="AB1394" s="31"/>
      <c r="AC1394" s="32"/>
      <c r="AD1394" s="32"/>
      <c r="AE1394" s="32"/>
      <c r="AF1394" s="32"/>
      <c r="AG1394" s="31"/>
      <c r="AH1394" s="32"/>
      <c r="AI1394" s="32"/>
      <c r="AJ1394" s="32"/>
      <c r="AK1394" s="32"/>
      <c r="AL1394" s="31"/>
      <c r="AM1394" s="32"/>
      <c r="AN1394" s="32"/>
      <c r="AO1394" s="32"/>
      <c r="AP1394" s="32"/>
      <c r="AQ1394" s="31"/>
      <c r="AR1394" s="32"/>
      <c r="AS1394" s="32"/>
      <c r="AT1394" s="32"/>
      <c r="AU1394" s="32"/>
      <c r="AV1394" s="31"/>
      <c r="AW1394" s="32"/>
      <c r="AX1394" s="32"/>
      <c r="AY1394" s="32"/>
      <c r="AZ1394" s="32"/>
      <c r="BA1394" s="33"/>
      <c r="BB1394" s="32"/>
      <c r="BC1394" s="32"/>
      <c r="BD1394" s="32"/>
      <c r="BE1394" s="32"/>
      <c r="BF1394" s="33"/>
      <c r="BG1394" s="32"/>
      <c r="BH1394" s="32"/>
      <c r="BI1394" s="32"/>
      <c r="BJ1394" s="32"/>
      <c r="BK1394" s="33"/>
      <c r="BL1394" s="32"/>
      <c r="BM1394" s="32"/>
      <c r="BN1394" s="32"/>
      <c r="BO1394" s="32"/>
      <c r="BP1394" s="33"/>
      <c r="BQ1394" s="16"/>
      <c r="BR1394" s="16"/>
      <c r="BS1394" s="16"/>
      <c r="BT1394" s="16"/>
      <c r="BU1394" s="21"/>
      <c r="BV1394" s="16"/>
      <c r="BW1394" s="16"/>
      <c r="BX1394" s="16"/>
      <c r="BY1394" s="16"/>
      <c r="BZ1394" s="10"/>
      <c r="CA1394" s="16"/>
      <c r="CB1394" s="16"/>
      <c r="CC1394" s="16"/>
      <c r="CD1394" s="16"/>
      <c r="CE1394" s="10"/>
      <c r="CF1394" s="16"/>
      <c r="CG1394" s="16"/>
      <c r="CH1394" s="16"/>
      <c r="CI1394" s="16"/>
      <c r="CJ1394" s="10"/>
      <c r="CK1394" s="16"/>
      <c r="CL1394" s="16"/>
      <c r="CM1394" s="16"/>
      <c r="CN1394" s="16"/>
      <c r="CO1394" s="10"/>
      <c r="CP1394" s="16"/>
      <c r="CQ1394" s="16"/>
      <c r="CR1394" s="16"/>
      <c r="CS1394" s="16"/>
      <c r="CT1394" s="10"/>
      <c r="CU1394" s="16"/>
      <c r="CV1394" s="16"/>
      <c r="CW1394" s="16"/>
      <c r="CX1394" s="16"/>
      <c r="CY1394" s="10"/>
      <c r="CZ1394" s="16"/>
      <c r="DA1394" s="16"/>
      <c r="DB1394" s="16"/>
      <c r="DC1394" s="16"/>
      <c r="DD1394" s="10"/>
      <c r="DE1394" s="16"/>
      <c r="DF1394" s="16"/>
      <c r="DG1394" s="16"/>
      <c r="DH1394" s="16"/>
      <c r="DI1394" s="10"/>
      <c r="DJ1394" s="16"/>
      <c r="DK1394" s="16"/>
      <c r="DL1394" s="16"/>
      <c r="DM1394" s="16"/>
      <c r="DN1394" s="10"/>
      <c r="DO1394" s="16"/>
      <c r="DP1394" s="16"/>
      <c r="DQ1394" s="16"/>
      <c r="DR1394" s="16"/>
      <c r="DS1394" s="10"/>
      <c r="DT1394" s="16"/>
      <c r="DU1394" s="16"/>
      <c r="DV1394" s="16"/>
      <c r="DW1394" s="16"/>
      <c r="DX1394" s="10"/>
      <c r="DY1394" s="16"/>
      <c r="DZ1394" s="16"/>
      <c r="EA1394" s="16"/>
      <c r="EB1394" s="16"/>
      <c r="EC1394" s="10"/>
      <c r="ED1394" s="16"/>
      <c r="EE1394" s="16"/>
      <c r="EF1394" s="16"/>
      <c r="EG1394" s="16"/>
      <c r="EH1394" s="10"/>
      <c r="EI1394" s="214"/>
      <c r="EJ1394" s="16"/>
      <c r="EK1394" s="16"/>
      <c r="EL1394" s="16"/>
      <c r="EM1394" s="10"/>
      <c r="EN1394" s="16"/>
      <c r="EO1394" s="16"/>
      <c r="EP1394" s="16"/>
      <c r="EQ1394" s="16"/>
      <c r="ER1394" s="10"/>
      <c r="ES1394" s="16"/>
      <c r="ET1394" s="16"/>
      <c r="EU1394" s="16"/>
      <c r="EV1394" s="16"/>
      <c r="EW1394" s="10"/>
      <c r="EX1394" s="16"/>
      <c r="EY1394" s="16"/>
      <c r="EZ1394" s="16"/>
      <c r="FA1394" s="16"/>
      <c r="FB1394" s="10"/>
      <c r="FC1394" s="16"/>
      <c r="FD1394" s="16"/>
      <c r="FE1394" s="16"/>
      <c r="FF1394" s="16"/>
      <c r="FG1394" s="10"/>
      <c r="FH1394" s="21"/>
      <c r="FI1394" s="16"/>
      <c r="FJ1394" s="16"/>
      <c r="FK1394" s="16"/>
      <c r="FL1394" s="16"/>
    </row>
    <row r="1395" ht="12.75" customHeight="1">
      <c r="A1395" s="16"/>
      <c r="B1395" s="16"/>
      <c r="C1395" s="16"/>
      <c r="D1395" s="16"/>
      <c r="E1395" s="16"/>
      <c r="F1395" s="16"/>
      <c r="G1395" s="16"/>
      <c r="H1395" s="31"/>
      <c r="I1395" s="32"/>
      <c r="J1395" s="32"/>
      <c r="K1395" s="32"/>
      <c r="L1395" s="32"/>
      <c r="M1395" s="31"/>
      <c r="N1395" s="32"/>
      <c r="O1395" s="32"/>
      <c r="P1395" s="32"/>
      <c r="Q1395" s="32"/>
      <c r="R1395" s="33"/>
      <c r="S1395" s="32"/>
      <c r="T1395" s="32"/>
      <c r="U1395" s="32"/>
      <c r="V1395" s="32"/>
      <c r="W1395" s="33"/>
      <c r="X1395" s="32"/>
      <c r="Y1395" s="32"/>
      <c r="Z1395" s="32"/>
      <c r="AA1395" s="32"/>
      <c r="AB1395" s="31"/>
      <c r="AC1395" s="32"/>
      <c r="AD1395" s="32"/>
      <c r="AE1395" s="32"/>
      <c r="AF1395" s="32"/>
      <c r="AG1395" s="31"/>
      <c r="AH1395" s="32"/>
      <c r="AI1395" s="32"/>
      <c r="AJ1395" s="32"/>
      <c r="AK1395" s="32"/>
      <c r="AL1395" s="31"/>
      <c r="AM1395" s="32"/>
      <c r="AN1395" s="32"/>
      <c r="AO1395" s="32"/>
      <c r="AP1395" s="32"/>
      <c r="AQ1395" s="31"/>
      <c r="AR1395" s="32"/>
      <c r="AS1395" s="32"/>
      <c r="AT1395" s="32"/>
      <c r="AU1395" s="32"/>
      <c r="AV1395" s="31"/>
      <c r="AW1395" s="32"/>
      <c r="AX1395" s="32"/>
      <c r="AY1395" s="32"/>
      <c r="AZ1395" s="32"/>
      <c r="BA1395" s="33"/>
      <c r="BB1395" s="32"/>
      <c r="BC1395" s="32"/>
      <c r="BD1395" s="32"/>
      <c r="BE1395" s="32"/>
      <c r="BF1395" s="33"/>
      <c r="BG1395" s="32"/>
      <c r="BH1395" s="32"/>
      <c r="BI1395" s="32"/>
      <c r="BJ1395" s="32"/>
      <c r="BK1395" s="33"/>
      <c r="BL1395" s="32"/>
      <c r="BM1395" s="32"/>
      <c r="BN1395" s="32"/>
      <c r="BO1395" s="32"/>
      <c r="BP1395" s="33"/>
      <c r="BQ1395" s="16"/>
      <c r="BR1395" s="16"/>
      <c r="BS1395" s="16"/>
      <c r="BT1395" s="16"/>
      <c r="BU1395" s="21"/>
      <c r="BV1395" s="16"/>
      <c r="BW1395" s="16"/>
      <c r="BX1395" s="16"/>
      <c r="BY1395" s="16"/>
      <c r="BZ1395" s="10"/>
      <c r="CA1395" s="16"/>
      <c r="CB1395" s="16"/>
      <c r="CC1395" s="16"/>
      <c r="CD1395" s="16"/>
      <c r="CE1395" s="10"/>
      <c r="CF1395" s="16"/>
      <c r="CG1395" s="16"/>
      <c r="CH1395" s="16"/>
      <c r="CI1395" s="16"/>
      <c r="CJ1395" s="10"/>
      <c r="CK1395" s="16"/>
      <c r="CL1395" s="16"/>
      <c r="CM1395" s="16"/>
      <c r="CN1395" s="16"/>
      <c r="CO1395" s="10"/>
      <c r="CP1395" s="16"/>
      <c r="CQ1395" s="16"/>
      <c r="CR1395" s="16"/>
      <c r="CS1395" s="16"/>
      <c r="CT1395" s="10"/>
      <c r="CU1395" s="16"/>
      <c r="CV1395" s="16"/>
      <c r="CW1395" s="16"/>
      <c r="CX1395" s="16"/>
      <c r="CY1395" s="10"/>
      <c r="CZ1395" s="16"/>
      <c r="DA1395" s="16"/>
      <c r="DB1395" s="16"/>
      <c r="DC1395" s="16"/>
      <c r="DD1395" s="10"/>
      <c r="DE1395" s="16"/>
      <c r="DF1395" s="16"/>
      <c r="DG1395" s="16"/>
      <c r="DH1395" s="16"/>
      <c r="DI1395" s="10"/>
      <c r="DJ1395" s="16"/>
      <c r="DK1395" s="16"/>
      <c r="DL1395" s="16"/>
      <c r="DM1395" s="16"/>
      <c r="DN1395" s="10"/>
      <c r="DO1395" s="16"/>
      <c r="DP1395" s="16"/>
      <c r="DQ1395" s="16"/>
      <c r="DR1395" s="16"/>
      <c r="DS1395" s="10"/>
      <c r="DT1395" s="16"/>
      <c r="DU1395" s="16"/>
      <c r="DV1395" s="16"/>
      <c r="DW1395" s="16"/>
      <c r="DX1395" s="10"/>
      <c r="DY1395" s="16"/>
      <c r="DZ1395" s="16"/>
      <c r="EA1395" s="16"/>
      <c r="EB1395" s="16"/>
      <c r="EC1395" s="10"/>
      <c r="ED1395" s="16"/>
      <c r="EE1395" s="16"/>
      <c r="EF1395" s="16"/>
      <c r="EG1395" s="16"/>
      <c r="EH1395" s="10"/>
      <c r="EI1395" s="214"/>
      <c r="EJ1395" s="16"/>
      <c r="EK1395" s="16"/>
      <c r="EL1395" s="16"/>
      <c r="EM1395" s="10"/>
      <c r="EN1395" s="16"/>
      <c r="EO1395" s="16"/>
      <c r="EP1395" s="16"/>
      <c r="EQ1395" s="16"/>
      <c r="ER1395" s="10"/>
      <c r="ES1395" s="16"/>
      <c r="ET1395" s="16"/>
      <c r="EU1395" s="16"/>
      <c r="EV1395" s="16"/>
      <c r="EW1395" s="10"/>
      <c r="EX1395" s="16"/>
      <c r="EY1395" s="16"/>
      <c r="EZ1395" s="16"/>
      <c r="FA1395" s="16"/>
      <c r="FB1395" s="10"/>
      <c r="FC1395" s="16"/>
      <c r="FD1395" s="16"/>
      <c r="FE1395" s="16"/>
      <c r="FF1395" s="16"/>
      <c r="FG1395" s="10"/>
      <c r="FH1395" s="21"/>
      <c r="FI1395" s="16"/>
      <c r="FJ1395" s="16"/>
      <c r="FK1395" s="16"/>
      <c r="FL1395" s="16"/>
    </row>
    <row r="1396" ht="12.75" customHeight="1">
      <c r="A1396" s="16"/>
      <c r="B1396" s="16"/>
      <c r="C1396" s="16"/>
      <c r="D1396" s="16"/>
      <c r="E1396" s="16"/>
      <c r="F1396" s="16"/>
      <c r="G1396" s="16"/>
      <c r="H1396" s="31"/>
      <c r="I1396" s="32"/>
      <c r="J1396" s="32"/>
      <c r="K1396" s="32"/>
      <c r="L1396" s="32"/>
      <c r="M1396" s="31"/>
      <c r="N1396" s="32"/>
      <c r="O1396" s="32"/>
      <c r="P1396" s="32"/>
      <c r="Q1396" s="32"/>
      <c r="R1396" s="33"/>
      <c r="S1396" s="32"/>
      <c r="T1396" s="32"/>
      <c r="U1396" s="32"/>
      <c r="V1396" s="32"/>
      <c r="W1396" s="33"/>
      <c r="X1396" s="32"/>
      <c r="Y1396" s="32"/>
      <c r="Z1396" s="32"/>
      <c r="AA1396" s="32"/>
      <c r="AB1396" s="31"/>
      <c r="AC1396" s="32"/>
      <c r="AD1396" s="32"/>
      <c r="AE1396" s="32"/>
      <c r="AF1396" s="32"/>
      <c r="AG1396" s="31"/>
      <c r="AH1396" s="32"/>
      <c r="AI1396" s="32"/>
      <c r="AJ1396" s="32"/>
      <c r="AK1396" s="32"/>
      <c r="AL1396" s="31"/>
      <c r="AM1396" s="32"/>
      <c r="AN1396" s="32"/>
      <c r="AO1396" s="32"/>
      <c r="AP1396" s="32"/>
      <c r="AQ1396" s="31"/>
      <c r="AR1396" s="32"/>
      <c r="AS1396" s="32"/>
      <c r="AT1396" s="32"/>
      <c r="AU1396" s="32"/>
      <c r="AV1396" s="31"/>
      <c r="AW1396" s="32"/>
      <c r="AX1396" s="32"/>
      <c r="AY1396" s="32"/>
      <c r="AZ1396" s="32"/>
      <c r="BA1396" s="33"/>
      <c r="BB1396" s="32"/>
      <c r="BC1396" s="32"/>
      <c r="BD1396" s="32"/>
      <c r="BE1396" s="32"/>
      <c r="BF1396" s="33"/>
      <c r="BG1396" s="32"/>
      <c r="BH1396" s="32"/>
      <c r="BI1396" s="32"/>
      <c r="BJ1396" s="32"/>
      <c r="BK1396" s="33"/>
      <c r="BL1396" s="32"/>
      <c r="BM1396" s="32"/>
      <c r="BN1396" s="32"/>
      <c r="BO1396" s="32"/>
      <c r="BP1396" s="33"/>
      <c r="BQ1396" s="16"/>
      <c r="BR1396" s="16"/>
      <c r="BS1396" s="16"/>
      <c r="BT1396" s="16"/>
      <c r="BU1396" s="21"/>
      <c r="BV1396" s="16"/>
      <c r="BW1396" s="16"/>
      <c r="BX1396" s="16"/>
      <c r="BY1396" s="16"/>
      <c r="BZ1396" s="10"/>
      <c r="CA1396" s="16"/>
      <c r="CB1396" s="16"/>
      <c r="CC1396" s="16"/>
      <c r="CD1396" s="16"/>
      <c r="CE1396" s="10"/>
      <c r="CF1396" s="16"/>
      <c r="CG1396" s="16"/>
      <c r="CH1396" s="16"/>
      <c r="CI1396" s="16"/>
      <c r="CJ1396" s="10"/>
      <c r="CK1396" s="16"/>
      <c r="CL1396" s="16"/>
      <c r="CM1396" s="16"/>
      <c r="CN1396" s="16"/>
      <c r="CO1396" s="10"/>
      <c r="CP1396" s="16"/>
      <c r="CQ1396" s="16"/>
      <c r="CR1396" s="16"/>
      <c r="CS1396" s="16"/>
      <c r="CT1396" s="10"/>
      <c r="CU1396" s="16"/>
      <c r="CV1396" s="16"/>
      <c r="CW1396" s="16"/>
      <c r="CX1396" s="16"/>
      <c r="CY1396" s="10"/>
      <c r="CZ1396" s="16"/>
      <c r="DA1396" s="16"/>
      <c r="DB1396" s="16"/>
      <c r="DC1396" s="16"/>
      <c r="DD1396" s="10"/>
      <c r="DE1396" s="16"/>
      <c r="DF1396" s="16"/>
      <c r="DG1396" s="16"/>
      <c r="DH1396" s="16"/>
      <c r="DI1396" s="10"/>
      <c r="DJ1396" s="16"/>
      <c r="DK1396" s="16"/>
      <c r="DL1396" s="16"/>
      <c r="DM1396" s="16"/>
      <c r="DN1396" s="10"/>
      <c r="DO1396" s="16"/>
      <c r="DP1396" s="16"/>
      <c r="DQ1396" s="16"/>
      <c r="DR1396" s="16"/>
      <c r="DS1396" s="10"/>
      <c r="DT1396" s="16"/>
      <c r="DU1396" s="16"/>
      <c r="DV1396" s="16"/>
      <c r="DW1396" s="16"/>
      <c r="DX1396" s="10"/>
      <c r="DY1396" s="16"/>
      <c r="DZ1396" s="16"/>
      <c r="EA1396" s="16"/>
      <c r="EB1396" s="16"/>
      <c r="EC1396" s="10"/>
      <c r="ED1396" s="16"/>
      <c r="EE1396" s="16"/>
      <c r="EF1396" s="16"/>
      <c r="EG1396" s="16"/>
      <c r="EH1396" s="10"/>
      <c r="EI1396" s="214"/>
      <c r="EJ1396" s="16"/>
      <c r="EK1396" s="16"/>
      <c r="EL1396" s="16"/>
      <c r="EM1396" s="10"/>
      <c r="EN1396" s="16"/>
      <c r="EO1396" s="16"/>
      <c r="EP1396" s="16"/>
      <c r="EQ1396" s="16"/>
      <c r="ER1396" s="10"/>
      <c r="ES1396" s="16"/>
      <c r="ET1396" s="16"/>
      <c r="EU1396" s="16"/>
      <c r="EV1396" s="16"/>
      <c r="EW1396" s="10"/>
      <c r="EX1396" s="16"/>
      <c r="EY1396" s="16"/>
      <c r="EZ1396" s="16"/>
      <c r="FA1396" s="16"/>
      <c r="FB1396" s="10"/>
      <c r="FC1396" s="16"/>
      <c r="FD1396" s="16"/>
      <c r="FE1396" s="16"/>
      <c r="FF1396" s="16"/>
      <c r="FG1396" s="10"/>
      <c r="FH1396" s="21"/>
      <c r="FI1396" s="16"/>
      <c r="FJ1396" s="16"/>
      <c r="FK1396" s="16"/>
      <c r="FL1396" s="16"/>
    </row>
    <row r="1397" ht="12.75" customHeight="1">
      <c r="A1397" s="16"/>
      <c r="B1397" s="16"/>
      <c r="C1397" s="16"/>
      <c r="D1397" s="16"/>
      <c r="E1397" s="16"/>
      <c r="F1397" s="16"/>
      <c r="G1397" s="16"/>
      <c r="H1397" s="31"/>
      <c r="I1397" s="32"/>
      <c r="J1397" s="32"/>
      <c r="K1397" s="32"/>
      <c r="L1397" s="32"/>
      <c r="M1397" s="31"/>
      <c r="N1397" s="32"/>
      <c r="O1397" s="32"/>
      <c r="P1397" s="32"/>
      <c r="Q1397" s="32"/>
      <c r="R1397" s="33"/>
      <c r="S1397" s="32"/>
      <c r="T1397" s="32"/>
      <c r="U1397" s="32"/>
      <c r="V1397" s="32"/>
      <c r="W1397" s="33"/>
      <c r="X1397" s="32"/>
      <c r="Y1397" s="32"/>
      <c r="Z1397" s="32"/>
      <c r="AA1397" s="32"/>
      <c r="AB1397" s="31"/>
      <c r="AC1397" s="32"/>
      <c r="AD1397" s="32"/>
      <c r="AE1397" s="32"/>
      <c r="AF1397" s="32"/>
      <c r="AG1397" s="31"/>
      <c r="AH1397" s="32"/>
      <c r="AI1397" s="32"/>
      <c r="AJ1397" s="32"/>
      <c r="AK1397" s="32"/>
      <c r="AL1397" s="31"/>
      <c r="AM1397" s="32"/>
      <c r="AN1397" s="32"/>
      <c r="AO1397" s="32"/>
      <c r="AP1397" s="32"/>
      <c r="AQ1397" s="31"/>
      <c r="AR1397" s="32"/>
      <c r="AS1397" s="32"/>
      <c r="AT1397" s="32"/>
      <c r="AU1397" s="32"/>
      <c r="AV1397" s="31"/>
      <c r="AW1397" s="32"/>
      <c r="AX1397" s="32"/>
      <c r="AY1397" s="32"/>
      <c r="AZ1397" s="32"/>
      <c r="BA1397" s="33"/>
      <c r="BB1397" s="32"/>
      <c r="BC1397" s="32"/>
      <c r="BD1397" s="32"/>
      <c r="BE1397" s="32"/>
      <c r="BF1397" s="33"/>
      <c r="BG1397" s="32"/>
      <c r="BH1397" s="32"/>
      <c r="BI1397" s="32"/>
      <c r="BJ1397" s="32"/>
      <c r="BK1397" s="33"/>
      <c r="BL1397" s="32"/>
      <c r="BM1397" s="32"/>
      <c r="BN1397" s="32"/>
      <c r="BO1397" s="32"/>
      <c r="BP1397" s="33"/>
      <c r="BQ1397" s="16"/>
      <c r="BR1397" s="16"/>
      <c r="BS1397" s="16"/>
      <c r="BT1397" s="16"/>
      <c r="BU1397" s="21"/>
      <c r="BV1397" s="16"/>
      <c r="BW1397" s="16"/>
      <c r="BX1397" s="16"/>
      <c r="BY1397" s="16"/>
      <c r="BZ1397" s="10"/>
      <c r="CA1397" s="16"/>
      <c r="CB1397" s="16"/>
      <c r="CC1397" s="16"/>
      <c r="CD1397" s="16"/>
      <c r="CE1397" s="10"/>
      <c r="CF1397" s="16"/>
      <c r="CG1397" s="16"/>
      <c r="CH1397" s="16"/>
      <c r="CI1397" s="16"/>
      <c r="CJ1397" s="10"/>
      <c r="CK1397" s="16"/>
      <c r="CL1397" s="16"/>
      <c r="CM1397" s="16"/>
      <c r="CN1397" s="16"/>
      <c r="CO1397" s="10"/>
      <c r="CP1397" s="16"/>
      <c r="CQ1397" s="16"/>
      <c r="CR1397" s="16"/>
      <c r="CS1397" s="16"/>
      <c r="CT1397" s="10"/>
      <c r="CU1397" s="16"/>
      <c r="CV1397" s="16"/>
      <c r="CW1397" s="16"/>
      <c r="CX1397" s="16"/>
      <c r="CY1397" s="10"/>
      <c r="CZ1397" s="16"/>
      <c r="DA1397" s="16"/>
      <c r="DB1397" s="16"/>
      <c r="DC1397" s="16"/>
      <c r="DD1397" s="10"/>
      <c r="DE1397" s="16"/>
      <c r="DF1397" s="16"/>
      <c r="DG1397" s="16"/>
      <c r="DH1397" s="16"/>
      <c r="DI1397" s="10"/>
      <c r="DJ1397" s="16"/>
      <c r="DK1397" s="16"/>
      <c r="DL1397" s="16"/>
      <c r="DM1397" s="16"/>
      <c r="DN1397" s="10"/>
      <c r="DO1397" s="16"/>
      <c r="DP1397" s="16"/>
      <c r="DQ1397" s="16"/>
      <c r="DR1397" s="16"/>
      <c r="DS1397" s="10"/>
      <c r="DT1397" s="16"/>
      <c r="DU1397" s="16"/>
      <c r="DV1397" s="16"/>
      <c r="DW1397" s="16"/>
      <c r="DX1397" s="10"/>
      <c r="DY1397" s="16"/>
      <c r="DZ1397" s="16"/>
      <c r="EA1397" s="16"/>
      <c r="EB1397" s="16"/>
      <c r="EC1397" s="10"/>
      <c r="ED1397" s="16"/>
      <c r="EE1397" s="16"/>
      <c r="EF1397" s="16"/>
      <c r="EG1397" s="16"/>
      <c r="EH1397" s="10"/>
      <c r="EI1397" s="214"/>
      <c r="EJ1397" s="16"/>
      <c r="EK1397" s="16"/>
      <c r="EL1397" s="16"/>
      <c r="EM1397" s="10"/>
      <c r="EN1397" s="16"/>
      <c r="EO1397" s="16"/>
      <c r="EP1397" s="16"/>
      <c r="EQ1397" s="16"/>
      <c r="ER1397" s="10"/>
      <c r="ES1397" s="16"/>
      <c r="ET1397" s="16"/>
      <c r="EU1397" s="16"/>
      <c r="EV1397" s="16"/>
      <c r="EW1397" s="10"/>
      <c r="EX1397" s="16"/>
      <c r="EY1397" s="16"/>
      <c r="EZ1397" s="16"/>
      <c r="FA1397" s="16"/>
      <c r="FB1397" s="10"/>
      <c r="FC1397" s="16"/>
      <c r="FD1397" s="16"/>
      <c r="FE1397" s="16"/>
      <c r="FF1397" s="16"/>
      <c r="FG1397" s="10"/>
      <c r="FH1397" s="21"/>
      <c r="FI1397" s="16"/>
      <c r="FJ1397" s="16"/>
      <c r="FK1397" s="16"/>
      <c r="FL1397" s="16"/>
    </row>
    <row r="1398" ht="12.75" customHeight="1">
      <c r="A1398" s="16"/>
      <c r="B1398" s="16"/>
      <c r="C1398" s="16"/>
      <c r="D1398" s="16"/>
      <c r="E1398" s="16"/>
      <c r="F1398" s="16"/>
      <c r="G1398" s="16"/>
      <c r="H1398" s="31"/>
      <c r="I1398" s="32"/>
      <c r="J1398" s="32"/>
      <c r="K1398" s="32"/>
      <c r="L1398" s="32"/>
      <c r="M1398" s="31"/>
      <c r="N1398" s="32"/>
      <c r="O1398" s="32"/>
      <c r="P1398" s="32"/>
      <c r="Q1398" s="32"/>
      <c r="R1398" s="33"/>
      <c r="S1398" s="32"/>
      <c r="T1398" s="32"/>
      <c r="U1398" s="32"/>
      <c r="V1398" s="32"/>
      <c r="W1398" s="33"/>
      <c r="X1398" s="32"/>
      <c r="Y1398" s="32"/>
      <c r="Z1398" s="32"/>
      <c r="AA1398" s="32"/>
      <c r="AB1398" s="31"/>
      <c r="AC1398" s="32"/>
      <c r="AD1398" s="32"/>
      <c r="AE1398" s="32"/>
      <c r="AF1398" s="32"/>
      <c r="AG1398" s="31"/>
      <c r="AH1398" s="32"/>
      <c r="AI1398" s="32"/>
      <c r="AJ1398" s="32"/>
      <c r="AK1398" s="32"/>
      <c r="AL1398" s="31"/>
      <c r="AM1398" s="32"/>
      <c r="AN1398" s="32"/>
      <c r="AO1398" s="32"/>
      <c r="AP1398" s="32"/>
      <c r="AQ1398" s="31"/>
      <c r="AR1398" s="32"/>
      <c r="AS1398" s="32"/>
      <c r="AT1398" s="32"/>
      <c r="AU1398" s="32"/>
      <c r="AV1398" s="31"/>
      <c r="AW1398" s="32"/>
      <c r="AX1398" s="32"/>
      <c r="AY1398" s="32"/>
      <c r="AZ1398" s="32"/>
      <c r="BA1398" s="33"/>
      <c r="BB1398" s="32"/>
      <c r="BC1398" s="32"/>
      <c r="BD1398" s="32"/>
      <c r="BE1398" s="32"/>
      <c r="BF1398" s="33"/>
      <c r="BG1398" s="32"/>
      <c r="BH1398" s="32"/>
      <c r="BI1398" s="32"/>
      <c r="BJ1398" s="32"/>
      <c r="BK1398" s="33"/>
      <c r="BL1398" s="32"/>
      <c r="BM1398" s="32"/>
      <c r="BN1398" s="32"/>
      <c r="BO1398" s="32"/>
      <c r="BP1398" s="33"/>
      <c r="BQ1398" s="16"/>
      <c r="BR1398" s="16"/>
      <c r="BS1398" s="16"/>
      <c r="BT1398" s="16"/>
      <c r="BU1398" s="21"/>
      <c r="BV1398" s="16"/>
      <c r="BW1398" s="16"/>
      <c r="BX1398" s="16"/>
      <c r="BY1398" s="16"/>
      <c r="BZ1398" s="10"/>
      <c r="CA1398" s="16"/>
      <c r="CB1398" s="16"/>
      <c r="CC1398" s="16"/>
      <c r="CD1398" s="16"/>
      <c r="CE1398" s="10"/>
      <c r="CF1398" s="16"/>
      <c r="CG1398" s="16"/>
      <c r="CH1398" s="16"/>
      <c r="CI1398" s="16"/>
      <c r="CJ1398" s="10"/>
      <c r="CK1398" s="16"/>
      <c r="CL1398" s="16"/>
      <c r="CM1398" s="16"/>
      <c r="CN1398" s="16"/>
      <c r="CO1398" s="10"/>
      <c r="CP1398" s="16"/>
      <c r="CQ1398" s="16"/>
      <c r="CR1398" s="16"/>
      <c r="CS1398" s="16"/>
      <c r="CT1398" s="10"/>
      <c r="CU1398" s="16"/>
      <c r="CV1398" s="16"/>
      <c r="CW1398" s="16"/>
      <c r="CX1398" s="16"/>
      <c r="CY1398" s="10"/>
      <c r="CZ1398" s="16"/>
      <c r="DA1398" s="16"/>
      <c r="DB1398" s="16"/>
      <c r="DC1398" s="16"/>
      <c r="DD1398" s="10"/>
      <c r="DE1398" s="16"/>
      <c r="DF1398" s="16"/>
      <c r="DG1398" s="16"/>
      <c r="DH1398" s="16"/>
      <c r="DI1398" s="10"/>
      <c r="DJ1398" s="16"/>
      <c r="DK1398" s="16"/>
      <c r="DL1398" s="16"/>
      <c r="DM1398" s="16"/>
      <c r="DN1398" s="10"/>
      <c r="DO1398" s="16"/>
      <c r="DP1398" s="16"/>
      <c r="DQ1398" s="16"/>
      <c r="DR1398" s="16"/>
      <c r="DS1398" s="10"/>
      <c r="DT1398" s="16"/>
      <c r="DU1398" s="16"/>
      <c r="DV1398" s="16"/>
      <c r="DW1398" s="16"/>
      <c r="DX1398" s="10"/>
      <c r="DY1398" s="16"/>
      <c r="DZ1398" s="16"/>
      <c r="EA1398" s="16"/>
      <c r="EB1398" s="16"/>
      <c r="EC1398" s="10"/>
      <c r="ED1398" s="16"/>
      <c r="EE1398" s="16"/>
      <c r="EF1398" s="16"/>
      <c r="EG1398" s="16"/>
      <c r="EH1398" s="10"/>
      <c r="EI1398" s="214"/>
      <c r="EJ1398" s="16"/>
      <c r="EK1398" s="16"/>
      <c r="EL1398" s="16"/>
      <c r="EM1398" s="10"/>
      <c r="EN1398" s="16"/>
      <c r="EO1398" s="16"/>
      <c r="EP1398" s="16"/>
      <c r="EQ1398" s="16"/>
      <c r="ER1398" s="10"/>
      <c r="ES1398" s="16"/>
      <c r="ET1398" s="16"/>
      <c r="EU1398" s="16"/>
      <c r="EV1398" s="16"/>
      <c r="EW1398" s="10"/>
      <c r="EX1398" s="16"/>
      <c r="EY1398" s="16"/>
      <c r="EZ1398" s="16"/>
      <c r="FA1398" s="16"/>
      <c r="FB1398" s="10"/>
      <c r="FC1398" s="16"/>
      <c r="FD1398" s="16"/>
      <c r="FE1398" s="16"/>
      <c r="FF1398" s="16"/>
      <c r="FG1398" s="10"/>
      <c r="FH1398" s="21"/>
      <c r="FI1398" s="16"/>
      <c r="FJ1398" s="16"/>
      <c r="FK1398" s="16"/>
      <c r="FL1398" s="16"/>
    </row>
    <row r="1399" ht="12.75" customHeight="1">
      <c r="A1399" s="16"/>
      <c r="B1399" s="16"/>
      <c r="C1399" s="16"/>
      <c r="D1399" s="16"/>
      <c r="E1399" s="16"/>
      <c r="F1399" s="16"/>
      <c r="G1399" s="16"/>
      <c r="H1399" s="31"/>
      <c r="I1399" s="32"/>
      <c r="J1399" s="32"/>
      <c r="K1399" s="32"/>
      <c r="L1399" s="32"/>
      <c r="M1399" s="31"/>
      <c r="N1399" s="32"/>
      <c r="O1399" s="32"/>
      <c r="P1399" s="32"/>
      <c r="Q1399" s="32"/>
      <c r="R1399" s="33"/>
      <c r="S1399" s="32"/>
      <c r="T1399" s="32"/>
      <c r="U1399" s="32"/>
      <c r="V1399" s="32"/>
      <c r="W1399" s="33"/>
      <c r="X1399" s="32"/>
      <c r="Y1399" s="32"/>
      <c r="Z1399" s="32"/>
      <c r="AA1399" s="32"/>
      <c r="AB1399" s="31"/>
      <c r="AC1399" s="32"/>
      <c r="AD1399" s="32"/>
      <c r="AE1399" s="32"/>
      <c r="AF1399" s="32"/>
      <c r="AG1399" s="31"/>
      <c r="AH1399" s="32"/>
      <c r="AI1399" s="32"/>
      <c r="AJ1399" s="32"/>
      <c r="AK1399" s="32"/>
      <c r="AL1399" s="31"/>
      <c r="AM1399" s="32"/>
      <c r="AN1399" s="32"/>
      <c r="AO1399" s="32"/>
      <c r="AP1399" s="32"/>
      <c r="AQ1399" s="31"/>
      <c r="AR1399" s="32"/>
      <c r="AS1399" s="32"/>
      <c r="AT1399" s="32"/>
      <c r="AU1399" s="32"/>
      <c r="AV1399" s="31"/>
      <c r="AW1399" s="32"/>
      <c r="AX1399" s="32"/>
      <c r="AY1399" s="32"/>
      <c r="AZ1399" s="32"/>
      <c r="BA1399" s="33"/>
      <c r="BB1399" s="32"/>
      <c r="BC1399" s="32"/>
      <c r="BD1399" s="32"/>
      <c r="BE1399" s="32"/>
      <c r="BF1399" s="33"/>
      <c r="BG1399" s="32"/>
      <c r="BH1399" s="32"/>
      <c r="BI1399" s="32"/>
      <c r="BJ1399" s="32"/>
      <c r="BK1399" s="33"/>
      <c r="BL1399" s="32"/>
      <c r="BM1399" s="32"/>
      <c r="BN1399" s="32"/>
      <c r="BO1399" s="32"/>
      <c r="BP1399" s="33"/>
      <c r="BQ1399" s="16"/>
      <c r="BR1399" s="16"/>
      <c r="BS1399" s="16"/>
      <c r="BT1399" s="16"/>
      <c r="BU1399" s="21"/>
      <c r="BV1399" s="16"/>
      <c r="BW1399" s="16"/>
      <c r="BX1399" s="16"/>
      <c r="BY1399" s="16"/>
      <c r="BZ1399" s="10"/>
      <c r="CA1399" s="16"/>
      <c r="CB1399" s="16"/>
      <c r="CC1399" s="16"/>
      <c r="CD1399" s="16"/>
      <c r="CE1399" s="10"/>
      <c r="CF1399" s="16"/>
      <c r="CG1399" s="16"/>
      <c r="CH1399" s="16"/>
      <c r="CI1399" s="16"/>
      <c r="CJ1399" s="10"/>
      <c r="CK1399" s="16"/>
      <c r="CL1399" s="16"/>
      <c r="CM1399" s="16"/>
      <c r="CN1399" s="16"/>
      <c r="CO1399" s="10"/>
      <c r="CP1399" s="16"/>
      <c r="CQ1399" s="16"/>
      <c r="CR1399" s="16"/>
      <c r="CS1399" s="16"/>
      <c r="CT1399" s="10"/>
      <c r="CU1399" s="16"/>
      <c r="CV1399" s="16"/>
      <c r="CW1399" s="16"/>
      <c r="CX1399" s="16"/>
      <c r="CY1399" s="10"/>
      <c r="CZ1399" s="16"/>
      <c r="DA1399" s="16"/>
      <c r="DB1399" s="16"/>
      <c r="DC1399" s="16"/>
      <c r="DD1399" s="10"/>
      <c r="DE1399" s="16"/>
      <c r="DF1399" s="16"/>
      <c r="DG1399" s="16"/>
      <c r="DH1399" s="16"/>
      <c r="DI1399" s="10"/>
      <c r="DJ1399" s="16"/>
      <c r="DK1399" s="16"/>
      <c r="DL1399" s="16"/>
      <c r="DM1399" s="16"/>
      <c r="DN1399" s="10"/>
      <c r="DO1399" s="16"/>
      <c r="DP1399" s="16"/>
      <c r="DQ1399" s="16"/>
      <c r="DR1399" s="16"/>
      <c r="DS1399" s="10"/>
      <c r="DT1399" s="16"/>
      <c r="DU1399" s="16"/>
      <c r="DV1399" s="16"/>
      <c r="DW1399" s="16"/>
      <c r="DX1399" s="10"/>
      <c r="DY1399" s="16"/>
      <c r="DZ1399" s="16"/>
      <c r="EA1399" s="16"/>
      <c r="EB1399" s="16"/>
      <c r="EC1399" s="10"/>
      <c r="ED1399" s="16"/>
      <c r="EE1399" s="16"/>
      <c r="EF1399" s="16"/>
      <c r="EG1399" s="16"/>
      <c r="EH1399" s="10"/>
      <c r="EI1399" s="214"/>
      <c r="EJ1399" s="16"/>
      <c r="EK1399" s="16"/>
      <c r="EL1399" s="16"/>
      <c r="EM1399" s="10"/>
      <c r="EN1399" s="16"/>
      <c r="EO1399" s="16"/>
      <c r="EP1399" s="16"/>
      <c r="EQ1399" s="16"/>
      <c r="ER1399" s="10"/>
      <c r="ES1399" s="16"/>
      <c r="ET1399" s="16"/>
      <c r="EU1399" s="16"/>
      <c r="EV1399" s="16"/>
      <c r="EW1399" s="10"/>
      <c r="EX1399" s="16"/>
      <c r="EY1399" s="16"/>
      <c r="EZ1399" s="16"/>
      <c r="FA1399" s="16"/>
      <c r="FB1399" s="10"/>
      <c r="FC1399" s="16"/>
      <c r="FD1399" s="16"/>
      <c r="FE1399" s="16"/>
      <c r="FF1399" s="16"/>
      <c r="FG1399" s="10"/>
      <c r="FH1399" s="21"/>
      <c r="FI1399" s="16"/>
      <c r="FJ1399" s="16"/>
      <c r="FK1399" s="16"/>
      <c r="FL1399" s="16"/>
    </row>
    <row r="1400" ht="12.75" customHeight="1">
      <c r="A1400" s="16"/>
      <c r="B1400" s="16"/>
      <c r="C1400" s="16"/>
      <c r="D1400" s="16"/>
      <c r="E1400" s="16"/>
      <c r="F1400" s="16"/>
      <c r="G1400" s="16"/>
      <c r="H1400" s="31"/>
      <c r="I1400" s="32"/>
      <c r="J1400" s="32"/>
      <c r="K1400" s="32"/>
      <c r="L1400" s="32"/>
      <c r="M1400" s="31"/>
      <c r="N1400" s="32"/>
      <c r="O1400" s="32"/>
      <c r="P1400" s="32"/>
      <c r="Q1400" s="32"/>
      <c r="R1400" s="33"/>
      <c r="S1400" s="32"/>
      <c r="T1400" s="32"/>
      <c r="U1400" s="32"/>
      <c r="V1400" s="32"/>
      <c r="W1400" s="33"/>
      <c r="X1400" s="32"/>
      <c r="Y1400" s="32"/>
      <c r="Z1400" s="32"/>
      <c r="AA1400" s="32"/>
      <c r="AB1400" s="31"/>
      <c r="AC1400" s="32"/>
      <c r="AD1400" s="32"/>
      <c r="AE1400" s="32"/>
      <c r="AF1400" s="32"/>
      <c r="AG1400" s="31"/>
      <c r="AH1400" s="32"/>
      <c r="AI1400" s="32"/>
      <c r="AJ1400" s="32"/>
      <c r="AK1400" s="32"/>
      <c r="AL1400" s="31"/>
      <c r="AM1400" s="32"/>
      <c r="AN1400" s="32"/>
      <c r="AO1400" s="32"/>
      <c r="AP1400" s="32"/>
      <c r="AQ1400" s="31"/>
      <c r="AR1400" s="32"/>
      <c r="AS1400" s="32"/>
      <c r="AT1400" s="32"/>
      <c r="AU1400" s="32"/>
      <c r="AV1400" s="31"/>
      <c r="AW1400" s="32"/>
      <c r="AX1400" s="32"/>
      <c r="AY1400" s="32"/>
      <c r="AZ1400" s="32"/>
      <c r="BA1400" s="33"/>
      <c r="BB1400" s="32"/>
      <c r="BC1400" s="32"/>
      <c r="BD1400" s="32"/>
      <c r="BE1400" s="32"/>
      <c r="BF1400" s="33"/>
      <c r="BG1400" s="32"/>
      <c r="BH1400" s="32"/>
      <c r="BI1400" s="32"/>
      <c r="BJ1400" s="32"/>
      <c r="BK1400" s="33"/>
      <c r="BL1400" s="32"/>
      <c r="BM1400" s="32"/>
      <c r="BN1400" s="32"/>
      <c r="BO1400" s="32"/>
      <c r="BP1400" s="33"/>
      <c r="BQ1400" s="16"/>
      <c r="BR1400" s="16"/>
      <c r="BS1400" s="16"/>
      <c r="BT1400" s="16"/>
      <c r="BU1400" s="21"/>
      <c r="BV1400" s="16"/>
      <c r="BW1400" s="16"/>
      <c r="BX1400" s="16"/>
      <c r="BY1400" s="16"/>
      <c r="BZ1400" s="10"/>
      <c r="CA1400" s="16"/>
      <c r="CB1400" s="16"/>
      <c r="CC1400" s="16"/>
      <c r="CD1400" s="16"/>
      <c r="CE1400" s="10"/>
      <c r="CF1400" s="16"/>
      <c r="CG1400" s="16"/>
      <c r="CH1400" s="16"/>
      <c r="CI1400" s="16"/>
      <c r="CJ1400" s="10"/>
      <c r="CK1400" s="16"/>
      <c r="CL1400" s="16"/>
      <c r="CM1400" s="16"/>
      <c r="CN1400" s="16"/>
      <c r="CO1400" s="10"/>
      <c r="CP1400" s="16"/>
      <c r="CQ1400" s="16"/>
      <c r="CR1400" s="16"/>
      <c r="CS1400" s="16"/>
      <c r="CT1400" s="10"/>
      <c r="CU1400" s="16"/>
      <c r="CV1400" s="16"/>
      <c r="CW1400" s="16"/>
      <c r="CX1400" s="16"/>
      <c r="CY1400" s="10"/>
      <c r="CZ1400" s="16"/>
      <c r="DA1400" s="16"/>
      <c r="DB1400" s="16"/>
      <c r="DC1400" s="16"/>
      <c r="DD1400" s="10"/>
      <c r="DE1400" s="16"/>
      <c r="DF1400" s="16"/>
      <c r="DG1400" s="16"/>
      <c r="DH1400" s="16"/>
      <c r="DI1400" s="10"/>
      <c r="DJ1400" s="16"/>
      <c r="DK1400" s="16"/>
      <c r="DL1400" s="16"/>
      <c r="DM1400" s="16"/>
      <c r="DN1400" s="10"/>
      <c r="DO1400" s="16"/>
      <c r="DP1400" s="16"/>
      <c r="DQ1400" s="16"/>
      <c r="DR1400" s="16"/>
      <c r="DS1400" s="10"/>
      <c r="DT1400" s="16"/>
      <c r="DU1400" s="16"/>
      <c r="DV1400" s="16"/>
      <c r="DW1400" s="16"/>
      <c r="DX1400" s="10"/>
      <c r="DY1400" s="16"/>
      <c r="DZ1400" s="16"/>
      <c r="EA1400" s="16"/>
      <c r="EB1400" s="16"/>
      <c r="EC1400" s="10"/>
      <c r="ED1400" s="16"/>
      <c r="EE1400" s="16"/>
      <c r="EF1400" s="16"/>
      <c r="EG1400" s="16"/>
      <c r="EH1400" s="10"/>
      <c r="EI1400" s="214"/>
      <c r="EJ1400" s="16"/>
      <c r="EK1400" s="16"/>
      <c r="EL1400" s="16"/>
      <c r="EM1400" s="10"/>
      <c r="EN1400" s="16"/>
      <c r="EO1400" s="16"/>
      <c r="EP1400" s="16"/>
      <c r="EQ1400" s="16"/>
      <c r="ER1400" s="10"/>
      <c r="ES1400" s="16"/>
      <c r="ET1400" s="16"/>
      <c r="EU1400" s="16"/>
      <c r="EV1400" s="16"/>
      <c r="EW1400" s="10"/>
      <c r="EX1400" s="16"/>
      <c r="EY1400" s="16"/>
      <c r="EZ1400" s="16"/>
      <c r="FA1400" s="16"/>
      <c r="FB1400" s="10"/>
      <c r="FC1400" s="16"/>
      <c r="FD1400" s="16"/>
      <c r="FE1400" s="16"/>
      <c r="FF1400" s="16"/>
      <c r="FG1400" s="10"/>
      <c r="FH1400" s="21"/>
      <c r="FI1400" s="16"/>
      <c r="FJ1400" s="16"/>
      <c r="FK1400" s="16"/>
      <c r="FL1400" s="16"/>
    </row>
    <row r="1401" ht="12.75" customHeight="1">
      <c r="A1401" s="16"/>
      <c r="B1401" s="16"/>
      <c r="C1401" s="16"/>
      <c r="D1401" s="16"/>
      <c r="E1401" s="16"/>
      <c r="F1401" s="16"/>
      <c r="G1401" s="16"/>
      <c r="H1401" s="31"/>
      <c r="I1401" s="32"/>
      <c r="J1401" s="32"/>
      <c r="K1401" s="32"/>
      <c r="L1401" s="32"/>
      <c r="M1401" s="31"/>
      <c r="N1401" s="32"/>
      <c r="O1401" s="32"/>
      <c r="P1401" s="32"/>
      <c r="Q1401" s="32"/>
      <c r="R1401" s="33"/>
      <c r="S1401" s="32"/>
      <c r="T1401" s="32"/>
      <c r="U1401" s="32"/>
      <c r="V1401" s="32"/>
      <c r="W1401" s="33"/>
      <c r="X1401" s="32"/>
      <c r="Y1401" s="32"/>
      <c r="Z1401" s="32"/>
      <c r="AA1401" s="32"/>
      <c r="AB1401" s="31"/>
      <c r="AC1401" s="32"/>
      <c r="AD1401" s="32"/>
      <c r="AE1401" s="32"/>
      <c r="AF1401" s="32"/>
      <c r="AG1401" s="31"/>
      <c r="AH1401" s="32"/>
      <c r="AI1401" s="32"/>
      <c r="AJ1401" s="32"/>
      <c r="AK1401" s="32"/>
      <c r="AL1401" s="31"/>
      <c r="AM1401" s="32"/>
      <c r="AN1401" s="32"/>
      <c r="AO1401" s="32"/>
      <c r="AP1401" s="32"/>
      <c r="AQ1401" s="31"/>
      <c r="AR1401" s="32"/>
      <c r="AS1401" s="32"/>
      <c r="AT1401" s="32"/>
      <c r="AU1401" s="32"/>
      <c r="AV1401" s="31"/>
      <c r="AW1401" s="32"/>
      <c r="AX1401" s="32"/>
      <c r="AY1401" s="32"/>
      <c r="AZ1401" s="32"/>
      <c r="BA1401" s="33"/>
      <c r="BB1401" s="32"/>
      <c r="BC1401" s="32"/>
      <c r="BD1401" s="32"/>
      <c r="BE1401" s="32"/>
      <c r="BF1401" s="33"/>
      <c r="BG1401" s="32"/>
      <c r="BH1401" s="32"/>
      <c r="BI1401" s="32"/>
      <c r="BJ1401" s="32"/>
      <c r="BK1401" s="33"/>
      <c r="BL1401" s="32"/>
      <c r="BM1401" s="32"/>
      <c r="BN1401" s="32"/>
      <c r="BO1401" s="32"/>
      <c r="BP1401" s="33"/>
      <c r="BQ1401" s="16"/>
      <c r="BR1401" s="16"/>
      <c r="BS1401" s="16"/>
      <c r="BT1401" s="16"/>
      <c r="BU1401" s="21"/>
      <c r="BV1401" s="16"/>
      <c r="BW1401" s="16"/>
      <c r="BX1401" s="16"/>
      <c r="BY1401" s="16"/>
      <c r="BZ1401" s="10"/>
      <c r="CA1401" s="16"/>
      <c r="CB1401" s="16"/>
      <c r="CC1401" s="16"/>
      <c r="CD1401" s="16"/>
      <c r="CE1401" s="10"/>
      <c r="CF1401" s="16"/>
      <c r="CG1401" s="16"/>
      <c r="CH1401" s="16"/>
      <c r="CI1401" s="16"/>
      <c r="CJ1401" s="10"/>
      <c r="CK1401" s="16"/>
      <c r="CL1401" s="16"/>
      <c r="CM1401" s="16"/>
      <c r="CN1401" s="16"/>
      <c r="CO1401" s="10"/>
      <c r="CP1401" s="16"/>
      <c r="CQ1401" s="16"/>
      <c r="CR1401" s="16"/>
      <c r="CS1401" s="16"/>
      <c r="CT1401" s="10"/>
      <c r="CU1401" s="16"/>
      <c r="CV1401" s="16"/>
      <c r="CW1401" s="16"/>
      <c r="CX1401" s="16"/>
      <c r="CY1401" s="10"/>
      <c r="CZ1401" s="16"/>
      <c r="DA1401" s="16"/>
      <c r="DB1401" s="16"/>
      <c r="DC1401" s="16"/>
      <c r="DD1401" s="10"/>
      <c r="DE1401" s="16"/>
      <c r="DF1401" s="16"/>
      <c r="DG1401" s="16"/>
      <c r="DH1401" s="16"/>
      <c r="DI1401" s="10"/>
      <c r="DJ1401" s="16"/>
      <c r="DK1401" s="16"/>
      <c r="DL1401" s="16"/>
      <c r="DM1401" s="16"/>
      <c r="DN1401" s="10"/>
      <c r="DO1401" s="16"/>
      <c r="DP1401" s="16"/>
      <c r="DQ1401" s="16"/>
      <c r="DR1401" s="16"/>
      <c r="DS1401" s="10"/>
      <c r="DT1401" s="16"/>
      <c r="DU1401" s="16"/>
      <c r="DV1401" s="16"/>
      <c r="DW1401" s="16"/>
      <c r="DX1401" s="10"/>
      <c r="DY1401" s="16"/>
      <c r="DZ1401" s="16"/>
      <c r="EA1401" s="16"/>
      <c r="EB1401" s="16"/>
      <c r="EC1401" s="10"/>
      <c r="ED1401" s="16"/>
      <c r="EE1401" s="16"/>
      <c r="EF1401" s="16"/>
      <c r="EG1401" s="16"/>
      <c r="EH1401" s="10"/>
      <c r="EI1401" s="214"/>
      <c r="EJ1401" s="16"/>
      <c r="EK1401" s="16"/>
      <c r="EL1401" s="16"/>
      <c r="EM1401" s="10"/>
      <c r="EN1401" s="16"/>
      <c r="EO1401" s="16"/>
      <c r="EP1401" s="16"/>
      <c r="EQ1401" s="16"/>
      <c r="ER1401" s="10"/>
      <c r="ES1401" s="16"/>
      <c r="ET1401" s="16"/>
      <c r="EU1401" s="16"/>
      <c r="EV1401" s="16"/>
      <c r="EW1401" s="10"/>
      <c r="EX1401" s="16"/>
      <c r="EY1401" s="16"/>
      <c r="EZ1401" s="16"/>
      <c r="FA1401" s="16"/>
      <c r="FB1401" s="10"/>
      <c r="FC1401" s="16"/>
      <c r="FD1401" s="16"/>
      <c r="FE1401" s="16"/>
      <c r="FF1401" s="16"/>
      <c r="FG1401" s="10"/>
      <c r="FH1401" s="21"/>
      <c r="FI1401" s="16"/>
      <c r="FJ1401" s="16"/>
      <c r="FK1401" s="16"/>
      <c r="FL1401" s="16"/>
    </row>
    <row r="1402" ht="12.75" customHeight="1">
      <c r="A1402" s="16"/>
      <c r="B1402" s="16"/>
      <c r="C1402" s="16"/>
      <c r="D1402" s="16"/>
      <c r="E1402" s="16"/>
      <c r="F1402" s="16"/>
      <c r="G1402" s="16"/>
      <c r="H1402" s="31"/>
      <c r="I1402" s="32"/>
      <c r="J1402" s="32"/>
      <c r="K1402" s="32"/>
      <c r="L1402" s="32"/>
      <c r="M1402" s="31"/>
      <c r="N1402" s="32"/>
      <c r="O1402" s="32"/>
      <c r="P1402" s="32"/>
      <c r="Q1402" s="32"/>
      <c r="R1402" s="33"/>
      <c r="S1402" s="32"/>
      <c r="T1402" s="32"/>
      <c r="U1402" s="32"/>
      <c r="V1402" s="32"/>
      <c r="W1402" s="33"/>
      <c r="X1402" s="32"/>
      <c r="Y1402" s="32"/>
      <c r="Z1402" s="32"/>
      <c r="AA1402" s="32"/>
      <c r="AB1402" s="31"/>
      <c r="AC1402" s="32"/>
      <c r="AD1402" s="32"/>
      <c r="AE1402" s="32"/>
      <c r="AF1402" s="32"/>
      <c r="AG1402" s="31"/>
      <c r="AH1402" s="32"/>
      <c r="AI1402" s="32"/>
      <c r="AJ1402" s="32"/>
      <c r="AK1402" s="32"/>
      <c r="AL1402" s="31"/>
      <c r="AM1402" s="32"/>
      <c r="AN1402" s="32"/>
      <c r="AO1402" s="32"/>
      <c r="AP1402" s="32"/>
      <c r="AQ1402" s="31"/>
      <c r="AR1402" s="32"/>
      <c r="AS1402" s="32"/>
      <c r="AT1402" s="32"/>
      <c r="AU1402" s="32"/>
      <c r="AV1402" s="31"/>
      <c r="AW1402" s="32"/>
      <c r="AX1402" s="32"/>
      <c r="AY1402" s="32"/>
      <c r="AZ1402" s="32"/>
      <c r="BA1402" s="33"/>
      <c r="BB1402" s="32"/>
      <c r="BC1402" s="32"/>
      <c r="BD1402" s="32"/>
      <c r="BE1402" s="32"/>
      <c r="BF1402" s="33"/>
      <c r="BG1402" s="32"/>
      <c r="BH1402" s="32"/>
      <c r="BI1402" s="32"/>
      <c r="BJ1402" s="32"/>
      <c r="BK1402" s="33"/>
      <c r="BL1402" s="32"/>
      <c r="BM1402" s="32"/>
      <c r="BN1402" s="32"/>
      <c r="BO1402" s="32"/>
      <c r="BP1402" s="33"/>
      <c r="BQ1402" s="16"/>
      <c r="BR1402" s="16"/>
      <c r="BS1402" s="16"/>
      <c r="BT1402" s="16"/>
      <c r="BU1402" s="21"/>
      <c r="BV1402" s="16"/>
      <c r="BW1402" s="16"/>
      <c r="BX1402" s="16"/>
      <c r="BY1402" s="16"/>
      <c r="BZ1402" s="10"/>
      <c r="CA1402" s="16"/>
      <c r="CB1402" s="16"/>
      <c r="CC1402" s="16"/>
      <c r="CD1402" s="16"/>
      <c r="CE1402" s="10"/>
      <c r="CF1402" s="16"/>
      <c r="CG1402" s="16"/>
      <c r="CH1402" s="16"/>
      <c r="CI1402" s="16"/>
      <c r="CJ1402" s="10"/>
      <c r="CK1402" s="16"/>
      <c r="CL1402" s="16"/>
      <c r="CM1402" s="16"/>
      <c r="CN1402" s="16"/>
      <c r="CO1402" s="10"/>
      <c r="CP1402" s="16"/>
      <c r="CQ1402" s="16"/>
      <c r="CR1402" s="16"/>
      <c r="CS1402" s="16"/>
      <c r="CT1402" s="10"/>
      <c r="CU1402" s="16"/>
      <c r="CV1402" s="16"/>
      <c r="CW1402" s="16"/>
      <c r="CX1402" s="16"/>
      <c r="CY1402" s="10"/>
      <c r="CZ1402" s="16"/>
      <c r="DA1402" s="16"/>
      <c r="DB1402" s="16"/>
      <c r="DC1402" s="16"/>
      <c r="DD1402" s="10"/>
      <c r="DE1402" s="16"/>
      <c r="DF1402" s="16"/>
      <c r="DG1402" s="16"/>
      <c r="DH1402" s="16"/>
      <c r="DI1402" s="10"/>
      <c r="DJ1402" s="16"/>
      <c r="DK1402" s="16"/>
      <c r="DL1402" s="16"/>
      <c r="DM1402" s="16"/>
      <c r="DN1402" s="10"/>
      <c r="DO1402" s="16"/>
      <c r="DP1402" s="16"/>
      <c r="DQ1402" s="16"/>
      <c r="DR1402" s="16"/>
      <c r="DS1402" s="10"/>
      <c r="DT1402" s="16"/>
      <c r="DU1402" s="16"/>
      <c r="DV1402" s="16"/>
      <c r="DW1402" s="16"/>
      <c r="DX1402" s="10"/>
      <c r="DY1402" s="16"/>
      <c r="DZ1402" s="16"/>
      <c r="EA1402" s="16"/>
      <c r="EB1402" s="16"/>
      <c r="EC1402" s="10"/>
      <c r="ED1402" s="16"/>
      <c r="EE1402" s="16"/>
      <c r="EF1402" s="16"/>
      <c r="EG1402" s="16"/>
      <c r="EH1402" s="10"/>
      <c r="EI1402" s="214"/>
      <c r="EJ1402" s="16"/>
      <c r="EK1402" s="16"/>
      <c r="EL1402" s="16"/>
      <c r="EM1402" s="10"/>
      <c r="EN1402" s="16"/>
      <c r="EO1402" s="16"/>
      <c r="EP1402" s="16"/>
      <c r="EQ1402" s="16"/>
      <c r="ER1402" s="10"/>
      <c r="ES1402" s="16"/>
      <c r="ET1402" s="16"/>
      <c r="EU1402" s="16"/>
      <c r="EV1402" s="16"/>
      <c r="EW1402" s="10"/>
      <c r="EX1402" s="16"/>
      <c r="EY1402" s="16"/>
      <c r="EZ1402" s="16"/>
      <c r="FA1402" s="16"/>
      <c r="FB1402" s="10"/>
      <c r="FC1402" s="16"/>
      <c r="FD1402" s="16"/>
      <c r="FE1402" s="16"/>
      <c r="FF1402" s="16"/>
      <c r="FG1402" s="10"/>
      <c r="FH1402" s="21"/>
      <c r="FI1402" s="16"/>
      <c r="FJ1402" s="16"/>
      <c r="FK1402" s="16"/>
      <c r="FL1402" s="16"/>
    </row>
    <row r="1403" ht="12.75" customHeight="1">
      <c r="A1403" s="16"/>
      <c r="B1403" s="16"/>
      <c r="C1403" s="16"/>
      <c r="D1403" s="16"/>
      <c r="E1403" s="16"/>
      <c r="F1403" s="16"/>
      <c r="G1403" s="16"/>
      <c r="H1403" s="31"/>
      <c r="I1403" s="32"/>
      <c r="J1403" s="32"/>
      <c r="K1403" s="32"/>
      <c r="L1403" s="32"/>
      <c r="M1403" s="31"/>
      <c r="N1403" s="32"/>
      <c r="O1403" s="32"/>
      <c r="P1403" s="32"/>
      <c r="Q1403" s="32"/>
      <c r="R1403" s="33"/>
      <c r="S1403" s="32"/>
      <c r="T1403" s="32"/>
      <c r="U1403" s="32"/>
      <c r="V1403" s="32"/>
      <c r="W1403" s="33"/>
      <c r="X1403" s="32"/>
      <c r="Y1403" s="32"/>
      <c r="Z1403" s="32"/>
      <c r="AA1403" s="32"/>
      <c r="AB1403" s="31"/>
      <c r="AC1403" s="32"/>
      <c r="AD1403" s="32"/>
      <c r="AE1403" s="32"/>
      <c r="AF1403" s="32"/>
      <c r="AG1403" s="31"/>
      <c r="AH1403" s="32"/>
      <c r="AI1403" s="32"/>
      <c r="AJ1403" s="32"/>
      <c r="AK1403" s="32"/>
      <c r="AL1403" s="31"/>
      <c r="AM1403" s="32"/>
      <c r="AN1403" s="32"/>
      <c r="AO1403" s="32"/>
      <c r="AP1403" s="32"/>
      <c r="AQ1403" s="31"/>
      <c r="AR1403" s="32"/>
      <c r="AS1403" s="32"/>
      <c r="AT1403" s="32"/>
      <c r="AU1403" s="32"/>
      <c r="AV1403" s="31"/>
      <c r="AW1403" s="32"/>
      <c r="AX1403" s="32"/>
      <c r="AY1403" s="32"/>
      <c r="AZ1403" s="32"/>
      <c r="BA1403" s="33"/>
      <c r="BB1403" s="32"/>
      <c r="BC1403" s="32"/>
      <c r="BD1403" s="32"/>
      <c r="BE1403" s="32"/>
      <c r="BF1403" s="33"/>
      <c r="BG1403" s="32"/>
      <c r="BH1403" s="32"/>
      <c r="BI1403" s="32"/>
      <c r="BJ1403" s="32"/>
      <c r="BK1403" s="33"/>
      <c r="BL1403" s="32"/>
      <c r="BM1403" s="32"/>
      <c r="BN1403" s="32"/>
      <c r="BO1403" s="32"/>
      <c r="BP1403" s="33"/>
      <c r="BQ1403" s="16"/>
      <c r="BR1403" s="16"/>
      <c r="BS1403" s="16"/>
      <c r="BT1403" s="16"/>
      <c r="BU1403" s="21"/>
      <c r="BV1403" s="16"/>
      <c r="BW1403" s="16"/>
      <c r="BX1403" s="16"/>
      <c r="BY1403" s="16"/>
      <c r="BZ1403" s="10"/>
      <c r="CA1403" s="16"/>
      <c r="CB1403" s="16"/>
      <c r="CC1403" s="16"/>
      <c r="CD1403" s="16"/>
      <c r="CE1403" s="10"/>
      <c r="CF1403" s="16"/>
      <c r="CG1403" s="16"/>
      <c r="CH1403" s="16"/>
      <c r="CI1403" s="16"/>
      <c r="CJ1403" s="10"/>
      <c r="CK1403" s="16"/>
      <c r="CL1403" s="16"/>
      <c r="CM1403" s="16"/>
      <c r="CN1403" s="16"/>
      <c r="CO1403" s="10"/>
      <c r="CP1403" s="16"/>
      <c r="CQ1403" s="16"/>
      <c r="CR1403" s="16"/>
      <c r="CS1403" s="16"/>
      <c r="CT1403" s="10"/>
      <c r="CU1403" s="16"/>
      <c r="CV1403" s="16"/>
      <c r="CW1403" s="16"/>
      <c r="CX1403" s="16"/>
      <c r="CY1403" s="10"/>
      <c r="CZ1403" s="16"/>
      <c r="DA1403" s="16"/>
      <c r="DB1403" s="16"/>
      <c r="DC1403" s="16"/>
      <c r="DD1403" s="10"/>
      <c r="DE1403" s="16"/>
      <c r="DF1403" s="16"/>
      <c r="DG1403" s="16"/>
      <c r="DH1403" s="16"/>
      <c r="DI1403" s="10"/>
      <c r="DJ1403" s="16"/>
      <c r="DK1403" s="16"/>
      <c r="DL1403" s="16"/>
      <c r="DM1403" s="16"/>
      <c r="DN1403" s="10"/>
      <c r="DO1403" s="16"/>
      <c r="DP1403" s="16"/>
      <c r="DQ1403" s="16"/>
      <c r="DR1403" s="16"/>
      <c r="DS1403" s="10"/>
      <c r="DT1403" s="16"/>
      <c r="DU1403" s="16"/>
      <c r="DV1403" s="16"/>
      <c r="DW1403" s="16"/>
      <c r="DX1403" s="10"/>
      <c r="DY1403" s="16"/>
      <c r="DZ1403" s="16"/>
      <c r="EA1403" s="16"/>
      <c r="EB1403" s="16"/>
      <c r="EC1403" s="10"/>
      <c r="ED1403" s="16"/>
      <c r="EE1403" s="16"/>
      <c r="EF1403" s="16"/>
      <c r="EG1403" s="16"/>
      <c r="EH1403" s="10"/>
      <c r="EI1403" s="214"/>
      <c r="EJ1403" s="16"/>
      <c r="EK1403" s="16"/>
      <c r="EL1403" s="16"/>
      <c r="EM1403" s="10"/>
      <c r="EN1403" s="16"/>
      <c r="EO1403" s="16"/>
      <c r="EP1403" s="16"/>
      <c r="EQ1403" s="16"/>
      <c r="ER1403" s="10"/>
      <c r="ES1403" s="16"/>
      <c r="ET1403" s="16"/>
      <c r="EU1403" s="16"/>
      <c r="EV1403" s="16"/>
      <c r="EW1403" s="10"/>
      <c r="EX1403" s="16"/>
      <c r="EY1403" s="16"/>
      <c r="EZ1403" s="16"/>
      <c r="FA1403" s="16"/>
      <c r="FB1403" s="10"/>
      <c r="FC1403" s="16"/>
      <c r="FD1403" s="16"/>
      <c r="FE1403" s="16"/>
      <c r="FF1403" s="16"/>
      <c r="FG1403" s="10"/>
      <c r="FH1403" s="21"/>
      <c r="FI1403" s="16"/>
      <c r="FJ1403" s="16"/>
      <c r="FK1403" s="16"/>
      <c r="FL1403" s="16"/>
    </row>
    <row r="1404" ht="12.75" customHeight="1">
      <c r="A1404" s="16"/>
      <c r="B1404" s="16"/>
      <c r="C1404" s="16"/>
      <c r="D1404" s="16"/>
      <c r="E1404" s="16"/>
      <c r="F1404" s="16"/>
      <c r="G1404" s="16"/>
      <c r="H1404" s="31"/>
      <c r="I1404" s="32"/>
      <c r="J1404" s="32"/>
      <c r="K1404" s="32"/>
      <c r="L1404" s="32"/>
      <c r="M1404" s="31"/>
      <c r="N1404" s="32"/>
      <c r="O1404" s="32"/>
      <c r="P1404" s="32"/>
      <c r="Q1404" s="32"/>
      <c r="R1404" s="33"/>
      <c r="S1404" s="32"/>
      <c r="T1404" s="32"/>
      <c r="U1404" s="32"/>
      <c r="V1404" s="32"/>
      <c r="W1404" s="33"/>
      <c r="X1404" s="32"/>
      <c r="Y1404" s="32"/>
      <c r="Z1404" s="32"/>
      <c r="AA1404" s="32"/>
      <c r="AB1404" s="31"/>
      <c r="AC1404" s="32"/>
      <c r="AD1404" s="32"/>
      <c r="AE1404" s="32"/>
      <c r="AF1404" s="32"/>
      <c r="AG1404" s="31"/>
      <c r="AH1404" s="32"/>
      <c r="AI1404" s="32"/>
      <c r="AJ1404" s="32"/>
      <c r="AK1404" s="32"/>
      <c r="AL1404" s="31"/>
      <c r="AM1404" s="32"/>
      <c r="AN1404" s="32"/>
      <c r="AO1404" s="32"/>
      <c r="AP1404" s="32"/>
      <c r="AQ1404" s="31"/>
      <c r="AR1404" s="32"/>
      <c r="AS1404" s="32"/>
      <c r="AT1404" s="32"/>
      <c r="AU1404" s="32"/>
      <c r="AV1404" s="31"/>
      <c r="AW1404" s="32"/>
      <c r="AX1404" s="32"/>
      <c r="AY1404" s="32"/>
      <c r="AZ1404" s="32"/>
      <c r="BA1404" s="33"/>
      <c r="BB1404" s="32"/>
      <c r="BC1404" s="32"/>
      <c r="BD1404" s="32"/>
      <c r="BE1404" s="32"/>
      <c r="BF1404" s="33"/>
      <c r="BG1404" s="32"/>
      <c r="BH1404" s="32"/>
      <c r="BI1404" s="32"/>
      <c r="BJ1404" s="32"/>
      <c r="BK1404" s="33"/>
      <c r="BL1404" s="32"/>
      <c r="BM1404" s="32"/>
      <c r="BN1404" s="32"/>
      <c r="BO1404" s="32"/>
      <c r="BP1404" s="33"/>
      <c r="BQ1404" s="16"/>
      <c r="BR1404" s="16"/>
      <c r="BS1404" s="16"/>
      <c r="BT1404" s="16"/>
      <c r="BU1404" s="21"/>
      <c r="BV1404" s="16"/>
      <c r="BW1404" s="16"/>
      <c r="BX1404" s="16"/>
      <c r="BY1404" s="16"/>
      <c r="BZ1404" s="10"/>
      <c r="CA1404" s="16"/>
      <c r="CB1404" s="16"/>
      <c r="CC1404" s="16"/>
      <c r="CD1404" s="16"/>
      <c r="CE1404" s="10"/>
      <c r="CF1404" s="16"/>
      <c r="CG1404" s="16"/>
      <c r="CH1404" s="16"/>
      <c r="CI1404" s="16"/>
      <c r="CJ1404" s="10"/>
      <c r="CK1404" s="16"/>
      <c r="CL1404" s="16"/>
      <c r="CM1404" s="16"/>
      <c r="CN1404" s="16"/>
      <c r="CO1404" s="10"/>
      <c r="CP1404" s="16"/>
      <c r="CQ1404" s="16"/>
      <c r="CR1404" s="16"/>
      <c r="CS1404" s="16"/>
      <c r="CT1404" s="10"/>
      <c r="CU1404" s="16"/>
      <c r="CV1404" s="16"/>
      <c r="CW1404" s="16"/>
      <c r="CX1404" s="16"/>
      <c r="CY1404" s="10"/>
      <c r="CZ1404" s="16"/>
      <c r="DA1404" s="16"/>
      <c r="DB1404" s="16"/>
      <c r="DC1404" s="16"/>
      <c r="DD1404" s="10"/>
      <c r="DE1404" s="16"/>
      <c r="DF1404" s="16"/>
      <c r="DG1404" s="16"/>
      <c r="DH1404" s="16"/>
      <c r="DI1404" s="10"/>
      <c r="DJ1404" s="16"/>
      <c r="DK1404" s="16"/>
      <c r="DL1404" s="16"/>
      <c r="DM1404" s="16"/>
      <c r="DN1404" s="10"/>
      <c r="DO1404" s="16"/>
      <c r="DP1404" s="16"/>
      <c r="DQ1404" s="16"/>
      <c r="DR1404" s="16"/>
      <c r="DS1404" s="10"/>
      <c r="DT1404" s="16"/>
      <c r="DU1404" s="16"/>
      <c r="DV1404" s="16"/>
      <c r="DW1404" s="16"/>
      <c r="DX1404" s="10"/>
      <c r="DY1404" s="16"/>
      <c r="DZ1404" s="16"/>
      <c r="EA1404" s="16"/>
      <c r="EB1404" s="16"/>
      <c r="EC1404" s="10"/>
      <c r="ED1404" s="16"/>
      <c r="EE1404" s="16"/>
      <c r="EF1404" s="16"/>
      <c r="EG1404" s="16"/>
      <c r="EH1404" s="10"/>
      <c r="EI1404" s="214"/>
      <c r="EJ1404" s="16"/>
      <c r="EK1404" s="16"/>
      <c r="EL1404" s="16"/>
      <c r="EM1404" s="10"/>
      <c r="EN1404" s="16"/>
      <c r="EO1404" s="16"/>
      <c r="EP1404" s="16"/>
      <c r="EQ1404" s="16"/>
      <c r="ER1404" s="10"/>
      <c r="ES1404" s="16"/>
      <c r="ET1404" s="16"/>
      <c r="EU1404" s="16"/>
      <c r="EV1404" s="16"/>
      <c r="EW1404" s="10"/>
      <c r="EX1404" s="16"/>
      <c r="EY1404" s="16"/>
      <c r="EZ1404" s="16"/>
      <c r="FA1404" s="16"/>
      <c r="FB1404" s="10"/>
      <c r="FC1404" s="16"/>
      <c r="FD1404" s="16"/>
      <c r="FE1404" s="16"/>
      <c r="FF1404" s="16"/>
      <c r="FG1404" s="10"/>
      <c r="FH1404" s="21"/>
      <c r="FI1404" s="16"/>
      <c r="FJ1404" s="16"/>
      <c r="FK1404" s="16"/>
      <c r="FL1404" s="16"/>
    </row>
    <row r="1405" ht="12.75" customHeight="1">
      <c r="A1405" s="16"/>
      <c r="B1405" s="16"/>
      <c r="C1405" s="16"/>
      <c r="D1405" s="16"/>
      <c r="E1405" s="16"/>
      <c r="F1405" s="16"/>
      <c r="G1405" s="16"/>
      <c r="H1405" s="31"/>
      <c r="I1405" s="32"/>
      <c r="J1405" s="32"/>
      <c r="K1405" s="32"/>
      <c r="L1405" s="32"/>
      <c r="M1405" s="31"/>
      <c r="N1405" s="32"/>
      <c r="O1405" s="32"/>
      <c r="P1405" s="32"/>
      <c r="Q1405" s="32"/>
      <c r="R1405" s="33"/>
      <c r="S1405" s="32"/>
      <c r="T1405" s="32"/>
      <c r="U1405" s="32"/>
      <c r="V1405" s="32"/>
      <c r="W1405" s="33"/>
      <c r="X1405" s="32"/>
      <c r="Y1405" s="32"/>
      <c r="Z1405" s="32"/>
      <c r="AA1405" s="32"/>
      <c r="AB1405" s="31"/>
      <c r="AC1405" s="32"/>
      <c r="AD1405" s="32"/>
      <c r="AE1405" s="32"/>
      <c r="AF1405" s="32"/>
      <c r="AG1405" s="31"/>
      <c r="AH1405" s="32"/>
      <c r="AI1405" s="32"/>
      <c r="AJ1405" s="32"/>
      <c r="AK1405" s="32"/>
      <c r="AL1405" s="31"/>
      <c r="AM1405" s="32"/>
      <c r="AN1405" s="32"/>
      <c r="AO1405" s="32"/>
      <c r="AP1405" s="32"/>
      <c r="AQ1405" s="31"/>
      <c r="AR1405" s="32"/>
      <c r="AS1405" s="32"/>
      <c r="AT1405" s="32"/>
      <c r="AU1405" s="32"/>
      <c r="AV1405" s="31"/>
      <c r="AW1405" s="32"/>
      <c r="AX1405" s="32"/>
      <c r="AY1405" s="32"/>
      <c r="AZ1405" s="32"/>
      <c r="BA1405" s="33"/>
      <c r="BB1405" s="32"/>
      <c r="BC1405" s="32"/>
      <c r="BD1405" s="32"/>
      <c r="BE1405" s="32"/>
      <c r="BF1405" s="33"/>
      <c r="BG1405" s="32"/>
      <c r="BH1405" s="32"/>
      <c r="BI1405" s="32"/>
      <c r="BJ1405" s="32"/>
      <c r="BK1405" s="33"/>
      <c r="BL1405" s="32"/>
      <c r="BM1405" s="32"/>
      <c r="BN1405" s="32"/>
      <c r="BO1405" s="32"/>
      <c r="BP1405" s="33"/>
      <c r="BQ1405" s="16"/>
      <c r="BR1405" s="16"/>
      <c r="BS1405" s="16"/>
      <c r="BT1405" s="16"/>
      <c r="BU1405" s="21"/>
      <c r="BV1405" s="16"/>
      <c r="BW1405" s="16"/>
      <c r="BX1405" s="16"/>
      <c r="BY1405" s="16"/>
      <c r="BZ1405" s="10"/>
      <c r="CA1405" s="16"/>
      <c r="CB1405" s="16"/>
      <c r="CC1405" s="16"/>
      <c r="CD1405" s="16"/>
      <c r="CE1405" s="10"/>
      <c r="CF1405" s="16"/>
      <c r="CG1405" s="16"/>
      <c r="CH1405" s="16"/>
      <c r="CI1405" s="16"/>
      <c r="CJ1405" s="10"/>
      <c r="CK1405" s="16"/>
      <c r="CL1405" s="16"/>
      <c r="CM1405" s="16"/>
      <c r="CN1405" s="16"/>
      <c r="CO1405" s="10"/>
      <c r="CP1405" s="16"/>
      <c r="CQ1405" s="16"/>
      <c r="CR1405" s="16"/>
      <c r="CS1405" s="16"/>
      <c r="CT1405" s="10"/>
      <c r="CU1405" s="16"/>
      <c r="CV1405" s="16"/>
      <c r="CW1405" s="16"/>
      <c r="CX1405" s="16"/>
      <c r="CY1405" s="10"/>
      <c r="CZ1405" s="16"/>
      <c r="DA1405" s="16"/>
      <c r="DB1405" s="16"/>
      <c r="DC1405" s="16"/>
      <c r="DD1405" s="10"/>
      <c r="DE1405" s="16"/>
      <c r="DF1405" s="16"/>
      <c r="DG1405" s="16"/>
      <c r="DH1405" s="16"/>
      <c r="DI1405" s="10"/>
      <c r="DJ1405" s="16"/>
      <c r="DK1405" s="16"/>
      <c r="DL1405" s="16"/>
      <c r="DM1405" s="16"/>
      <c r="DN1405" s="10"/>
      <c r="DO1405" s="16"/>
      <c r="DP1405" s="16"/>
      <c r="DQ1405" s="16"/>
      <c r="DR1405" s="16"/>
      <c r="DS1405" s="10"/>
      <c r="DT1405" s="16"/>
      <c r="DU1405" s="16"/>
      <c r="DV1405" s="16"/>
      <c r="DW1405" s="16"/>
      <c r="DX1405" s="10"/>
      <c r="DY1405" s="16"/>
      <c r="DZ1405" s="16"/>
      <c r="EA1405" s="16"/>
      <c r="EB1405" s="16"/>
      <c r="EC1405" s="10"/>
      <c r="ED1405" s="16"/>
      <c r="EE1405" s="16"/>
      <c r="EF1405" s="16"/>
      <c r="EG1405" s="16"/>
      <c r="EH1405" s="10"/>
      <c r="EI1405" s="214"/>
      <c r="EJ1405" s="16"/>
      <c r="EK1405" s="16"/>
      <c r="EL1405" s="16"/>
      <c r="EM1405" s="10"/>
      <c r="EN1405" s="16"/>
      <c r="EO1405" s="16"/>
      <c r="EP1405" s="16"/>
      <c r="EQ1405" s="16"/>
      <c r="ER1405" s="10"/>
      <c r="ES1405" s="16"/>
      <c r="ET1405" s="16"/>
      <c r="EU1405" s="16"/>
      <c r="EV1405" s="16"/>
      <c r="EW1405" s="10"/>
      <c r="EX1405" s="16"/>
      <c r="EY1405" s="16"/>
      <c r="EZ1405" s="16"/>
      <c r="FA1405" s="16"/>
      <c r="FB1405" s="10"/>
      <c r="FC1405" s="16"/>
      <c r="FD1405" s="16"/>
      <c r="FE1405" s="16"/>
      <c r="FF1405" s="16"/>
      <c r="FG1405" s="10"/>
      <c r="FH1405" s="21"/>
      <c r="FI1405" s="16"/>
      <c r="FJ1405" s="16"/>
      <c r="FK1405" s="16"/>
      <c r="FL1405" s="16"/>
    </row>
    <row r="1406" ht="12.75" customHeight="1">
      <c r="A1406" s="16"/>
      <c r="B1406" s="16"/>
      <c r="C1406" s="16"/>
      <c r="D1406" s="16"/>
      <c r="E1406" s="16"/>
      <c r="F1406" s="16"/>
      <c r="G1406" s="16"/>
      <c r="H1406" s="31"/>
      <c r="I1406" s="32"/>
      <c r="J1406" s="32"/>
      <c r="K1406" s="32"/>
      <c r="L1406" s="32"/>
      <c r="M1406" s="31"/>
      <c r="N1406" s="32"/>
      <c r="O1406" s="32"/>
      <c r="P1406" s="32"/>
      <c r="Q1406" s="32"/>
      <c r="R1406" s="33"/>
      <c r="S1406" s="32"/>
      <c r="T1406" s="32"/>
      <c r="U1406" s="32"/>
      <c r="V1406" s="32"/>
      <c r="W1406" s="33"/>
      <c r="X1406" s="32"/>
      <c r="Y1406" s="32"/>
      <c r="Z1406" s="32"/>
      <c r="AA1406" s="32"/>
      <c r="AB1406" s="31"/>
      <c r="AC1406" s="32"/>
      <c r="AD1406" s="32"/>
      <c r="AE1406" s="32"/>
      <c r="AF1406" s="32"/>
      <c r="AG1406" s="31"/>
      <c r="AH1406" s="32"/>
      <c r="AI1406" s="32"/>
      <c r="AJ1406" s="32"/>
      <c r="AK1406" s="32"/>
      <c r="AL1406" s="31"/>
      <c r="AM1406" s="32"/>
      <c r="AN1406" s="32"/>
      <c r="AO1406" s="32"/>
      <c r="AP1406" s="32"/>
      <c r="AQ1406" s="31"/>
      <c r="AR1406" s="32"/>
      <c r="AS1406" s="32"/>
      <c r="AT1406" s="32"/>
      <c r="AU1406" s="32"/>
      <c r="AV1406" s="31"/>
      <c r="AW1406" s="32"/>
      <c r="AX1406" s="32"/>
      <c r="AY1406" s="32"/>
      <c r="AZ1406" s="32"/>
      <c r="BA1406" s="33"/>
      <c r="BB1406" s="32"/>
      <c r="BC1406" s="32"/>
      <c r="BD1406" s="32"/>
      <c r="BE1406" s="32"/>
      <c r="BF1406" s="33"/>
      <c r="BG1406" s="32"/>
      <c r="BH1406" s="32"/>
      <c r="BI1406" s="32"/>
      <c r="BJ1406" s="32"/>
      <c r="BK1406" s="33"/>
      <c r="BL1406" s="32"/>
      <c r="BM1406" s="32"/>
      <c r="BN1406" s="32"/>
      <c r="BO1406" s="32"/>
      <c r="BP1406" s="33"/>
      <c r="BQ1406" s="16"/>
      <c r="BR1406" s="16"/>
      <c r="BS1406" s="16"/>
      <c r="BT1406" s="16"/>
      <c r="BU1406" s="21"/>
      <c r="BV1406" s="16"/>
      <c r="BW1406" s="16"/>
      <c r="BX1406" s="16"/>
      <c r="BY1406" s="16"/>
      <c r="BZ1406" s="10"/>
      <c r="CA1406" s="16"/>
      <c r="CB1406" s="16"/>
      <c r="CC1406" s="16"/>
      <c r="CD1406" s="16"/>
      <c r="CE1406" s="10"/>
      <c r="CF1406" s="16"/>
      <c r="CG1406" s="16"/>
      <c r="CH1406" s="16"/>
      <c r="CI1406" s="16"/>
      <c r="CJ1406" s="10"/>
      <c r="CK1406" s="16"/>
      <c r="CL1406" s="16"/>
      <c r="CM1406" s="16"/>
      <c r="CN1406" s="16"/>
      <c r="CO1406" s="10"/>
      <c r="CP1406" s="16"/>
      <c r="CQ1406" s="16"/>
      <c r="CR1406" s="16"/>
      <c r="CS1406" s="16"/>
      <c r="CT1406" s="10"/>
      <c r="CU1406" s="16"/>
      <c r="CV1406" s="16"/>
      <c r="CW1406" s="16"/>
      <c r="CX1406" s="16"/>
      <c r="CY1406" s="10"/>
      <c r="CZ1406" s="16"/>
      <c r="DA1406" s="16"/>
      <c r="DB1406" s="16"/>
      <c r="DC1406" s="16"/>
      <c r="DD1406" s="10"/>
      <c r="DE1406" s="16"/>
      <c r="DF1406" s="16"/>
      <c r="DG1406" s="16"/>
      <c r="DH1406" s="16"/>
      <c r="DI1406" s="10"/>
      <c r="DJ1406" s="16"/>
      <c r="DK1406" s="16"/>
      <c r="DL1406" s="16"/>
      <c r="DM1406" s="16"/>
      <c r="DN1406" s="10"/>
      <c r="DO1406" s="16"/>
      <c r="DP1406" s="16"/>
      <c r="DQ1406" s="16"/>
      <c r="DR1406" s="16"/>
      <c r="DS1406" s="10"/>
      <c r="DT1406" s="16"/>
      <c r="DU1406" s="16"/>
      <c r="DV1406" s="16"/>
      <c r="DW1406" s="16"/>
      <c r="DX1406" s="10"/>
      <c r="DY1406" s="16"/>
      <c r="DZ1406" s="16"/>
      <c r="EA1406" s="16"/>
      <c r="EB1406" s="16"/>
      <c r="EC1406" s="10"/>
      <c r="ED1406" s="16"/>
      <c r="EE1406" s="16"/>
      <c r="EF1406" s="16"/>
      <c r="EG1406" s="16"/>
      <c r="EH1406" s="10"/>
      <c r="EI1406" s="214"/>
      <c r="EJ1406" s="16"/>
      <c r="EK1406" s="16"/>
      <c r="EL1406" s="16"/>
      <c r="EM1406" s="10"/>
      <c r="EN1406" s="16"/>
      <c r="EO1406" s="16"/>
      <c r="EP1406" s="16"/>
      <c r="EQ1406" s="16"/>
      <c r="ER1406" s="10"/>
      <c r="ES1406" s="16"/>
      <c r="ET1406" s="16"/>
      <c r="EU1406" s="16"/>
      <c r="EV1406" s="16"/>
      <c r="EW1406" s="10"/>
      <c r="EX1406" s="16"/>
      <c r="EY1406" s="16"/>
      <c r="EZ1406" s="16"/>
      <c r="FA1406" s="16"/>
      <c r="FB1406" s="10"/>
      <c r="FC1406" s="16"/>
      <c r="FD1406" s="16"/>
      <c r="FE1406" s="16"/>
      <c r="FF1406" s="16"/>
      <c r="FG1406" s="10"/>
      <c r="FH1406" s="21"/>
      <c r="FI1406" s="16"/>
      <c r="FJ1406" s="16"/>
      <c r="FK1406" s="16"/>
      <c r="FL1406" s="16"/>
    </row>
    <row r="1407" ht="12.75" customHeight="1">
      <c r="A1407" s="16"/>
      <c r="B1407" s="16"/>
      <c r="C1407" s="16"/>
      <c r="D1407" s="16"/>
      <c r="E1407" s="16"/>
      <c r="F1407" s="16"/>
      <c r="G1407" s="16"/>
      <c r="H1407" s="31"/>
      <c r="I1407" s="32"/>
      <c r="J1407" s="32"/>
      <c r="K1407" s="32"/>
      <c r="L1407" s="32"/>
      <c r="M1407" s="31"/>
      <c r="N1407" s="32"/>
      <c r="O1407" s="32"/>
      <c r="P1407" s="32"/>
      <c r="Q1407" s="32"/>
      <c r="R1407" s="33"/>
      <c r="S1407" s="32"/>
      <c r="T1407" s="32"/>
      <c r="U1407" s="32"/>
      <c r="V1407" s="32"/>
      <c r="W1407" s="33"/>
      <c r="X1407" s="32"/>
      <c r="Y1407" s="32"/>
      <c r="Z1407" s="32"/>
      <c r="AA1407" s="32"/>
      <c r="AB1407" s="31"/>
      <c r="AC1407" s="32"/>
      <c r="AD1407" s="32"/>
      <c r="AE1407" s="32"/>
      <c r="AF1407" s="32"/>
      <c r="AG1407" s="31"/>
      <c r="AH1407" s="32"/>
      <c r="AI1407" s="32"/>
      <c r="AJ1407" s="32"/>
      <c r="AK1407" s="32"/>
      <c r="AL1407" s="31"/>
      <c r="AM1407" s="32"/>
      <c r="AN1407" s="32"/>
      <c r="AO1407" s="32"/>
      <c r="AP1407" s="32"/>
      <c r="AQ1407" s="31"/>
      <c r="AR1407" s="32"/>
      <c r="AS1407" s="32"/>
      <c r="AT1407" s="32"/>
      <c r="AU1407" s="32"/>
      <c r="AV1407" s="31"/>
      <c r="AW1407" s="32"/>
      <c r="AX1407" s="32"/>
      <c r="AY1407" s="32"/>
      <c r="AZ1407" s="32"/>
      <c r="BA1407" s="33"/>
      <c r="BB1407" s="32"/>
      <c r="BC1407" s="32"/>
      <c r="BD1407" s="32"/>
      <c r="BE1407" s="32"/>
      <c r="BF1407" s="33"/>
      <c r="BG1407" s="32"/>
      <c r="BH1407" s="32"/>
      <c r="BI1407" s="32"/>
      <c r="BJ1407" s="32"/>
      <c r="BK1407" s="33"/>
      <c r="BL1407" s="32"/>
      <c r="BM1407" s="32"/>
      <c r="BN1407" s="32"/>
      <c r="BO1407" s="32"/>
      <c r="BP1407" s="33"/>
      <c r="BQ1407" s="16"/>
      <c r="BR1407" s="16"/>
      <c r="BS1407" s="16"/>
      <c r="BT1407" s="16"/>
      <c r="BU1407" s="21"/>
      <c r="BV1407" s="16"/>
      <c r="BW1407" s="16"/>
      <c r="BX1407" s="16"/>
      <c r="BY1407" s="16"/>
      <c r="BZ1407" s="10"/>
      <c r="CA1407" s="16"/>
      <c r="CB1407" s="16"/>
      <c r="CC1407" s="16"/>
      <c r="CD1407" s="16"/>
      <c r="CE1407" s="10"/>
      <c r="CF1407" s="16"/>
      <c r="CG1407" s="16"/>
      <c r="CH1407" s="16"/>
      <c r="CI1407" s="16"/>
      <c r="CJ1407" s="10"/>
      <c r="CK1407" s="16"/>
      <c r="CL1407" s="16"/>
      <c r="CM1407" s="16"/>
      <c r="CN1407" s="16"/>
      <c r="CO1407" s="10"/>
      <c r="CP1407" s="16"/>
      <c r="CQ1407" s="16"/>
      <c r="CR1407" s="16"/>
      <c r="CS1407" s="16"/>
      <c r="CT1407" s="10"/>
      <c r="CU1407" s="16"/>
      <c r="CV1407" s="16"/>
      <c r="CW1407" s="16"/>
      <c r="CX1407" s="16"/>
      <c r="CY1407" s="10"/>
      <c r="CZ1407" s="16"/>
      <c r="DA1407" s="16"/>
      <c r="DB1407" s="16"/>
      <c r="DC1407" s="16"/>
      <c r="DD1407" s="10"/>
      <c r="DE1407" s="16"/>
      <c r="DF1407" s="16"/>
      <c r="DG1407" s="16"/>
      <c r="DH1407" s="16"/>
      <c r="DI1407" s="10"/>
      <c r="DJ1407" s="16"/>
      <c r="DK1407" s="16"/>
      <c r="DL1407" s="16"/>
      <c r="DM1407" s="16"/>
      <c r="DN1407" s="10"/>
      <c r="DO1407" s="16"/>
      <c r="DP1407" s="16"/>
      <c r="DQ1407" s="16"/>
      <c r="DR1407" s="16"/>
      <c r="DS1407" s="10"/>
      <c r="DT1407" s="16"/>
      <c r="DU1407" s="16"/>
      <c r="DV1407" s="16"/>
      <c r="DW1407" s="16"/>
      <c r="DX1407" s="10"/>
      <c r="DY1407" s="16"/>
      <c r="DZ1407" s="16"/>
      <c r="EA1407" s="16"/>
      <c r="EB1407" s="16"/>
      <c r="EC1407" s="10"/>
      <c r="ED1407" s="16"/>
      <c r="EE1407" s="16"/>
      <c r="EF1407" s="16"/>
      <c r="EG1407" s="16"/>
      <c r="EH1407" s="10"/>
      <c r="EI1407" s="214"/>
      <c r="EJ1407" s="16"/>
      <c r="EK1407" s="16"/>
      <c r="EL1407" s="16"/>
      <c r="EM1407" s="10"/>
      <c r="EN1407" s="16"/>
      <c r="EO1407" s="16"/>
      <c r="EP1407" s="16"/>
      <c r="EQ1407" s="16"/>
      <c r="ER1407" s="10"/>
      <c r="ES1407" s="16"/>
      <c r="ET1407" s="16"/>
      <c r="EU1407" s="16"/>
      <c r="EV1407" s="16"/>
      <c r="EW1407" s="10"/>
      <c r="EX1407" s="16"/>
      <c r="EY1407" s="16"/>
      <c r="EZ1407" s="16"/>
      <c r="FA1407" s="16"/>
      <c r="FB1407" s="10"/>
      <c r="FC1407" s="16"/>
      <c r="FD1407" s="16"/>
      <c r="FE1407" s="16"/>
      <c r="FF1407" s="16"/>
      <c r="FG1407" s="10"/>
      <c r="FH1407" s="21"/>
      <c r="FI1407" s="16"/>
      <c r="FJ1407" s="16"/>
      <c r="FK1407" s="16"/>
      <c r="FL1407" s="16"/>
    </row>
    <row r="1408" ht="12.75" customHeight="1">
      <c r="A1408" s="16"/>
      <c r="B1408" s="16"/>
      <c r="C1408" s="16"/>
      <c r="D1408" s="16"/>
      <c r="E1408" s="16"/>
      <c r="F1408" s="16"/>
      <c r="G1408" s="16"/>
      <c r="H1408" s="31"/>
      <c r="I1408" s="32"/>
      <c r="J1408" s="32"/>
      <c r="K1408" s="32"/>
      <c r="L1408" s="32"/>
      <c r="M1408" s="31"/>
      <c r="N1408" s="32"/>
      <c r="O1408" s="32"/>
      <c r="P1408" s="32"/>
      <c r="Q1408" s="32"/>
      <c r="R1408" s="33"/>
      <c r="S1408" s="32"/>
      <c r="T1408" s="32"/>
      <c r="U1408" s="32"/>
      <c r="V1408" s="32"/>
      <c r="W1408" s="33"/>
      <c r="X1408" s="32"/>
      <c r="Y1408" s="32"/>
      <c r="Z1408" s="32"/>
      <c r="AA1408" s="32"/>
      <c r="AB1408" s="31"/>
      <c r="AC1408" s="32"/>
      <c r="AD1408" s="32"/>
      <c r="AE1408" s="32"/>
      <c r="AF1408" s="32"/>
      <c r="AG1408" s="31"/>
      <c r="AH1408" s="32"/>
      <c r="AI1408" s="32"/>
      <c r="AJ1408" s="32"/>
      <c r="AK1408" s="32"/>
      <c r="AL1408" s="31"/>
      <c r="AM1408" s="32"/>
      <c r="AN1408" s="32"/>
      <c r="AO1408" s="32"/>
      <c r="AP1408" s="32"/>
      <c r="AQ1408" s="31"/>
      <c r="AR1408" s="32"/>
      <c r="AS1408" s="32"/>
      <c r="AT1408" s="32"/>
      <c r="AU1408" s="32"/>
      <c r="AV1408" s="31"/>
      <c r="AW1408" s="32"/>
      <c r="AX1408" s="32"/>
      <c r="AY1408" s="32"/>
      <c r="AZ1408" s="32"/>
      <c r="BA1408" s="33"/>
      <c r="BB1408" s="32"/>
      <c r="BC1408" s="32"/>
      <c r="BD1408" s="32"/>
      <c r="BE1408" s="32"/>
      <c r="BF1408" s="33"/>
      <c r="BG1408" s="32"/>
      <c r="BH1408" s="32"/>
      <c r="BI1408" s="32"/>
      <c r="BJ1408" s="32"/>
      <c r="BK1408" s="33"/>
      <c r="BL1408" s="32"/>
      <c r="BM1408" s="32"/>
      <c r="BN1408" s="32"/>
      <c r="BO1408" s="32"/>
      <c r="BP1408" s="33"/>
      <c r="BQ1408" s="16"/>
      <c r="BR1408" s="16"/>
      <c r="BS1408" s="16"/>
      <c r="BT1408" s="16"/>
      <c r="BU1408" s="21"/>
      <c r="BV1408" s="16"/>
      <c r="BW1408" s="16"/>
      <c r="BX1408" s="16"/>
      <c r="BY1408" s="16"/>
      <c r="BZ1408" s="10"/>
      <c r="CA1408" s="16"/>
      <c r="CB1408" s="16"/>
      <c r="CC1408" s="16"/>
      <c r="CD1408" s="16"/>
      <c r="CE1408" s="10"/>
      <c r="CF1408" s="16"/>
      <c r="CG1408" s="16"/>
      <c r="CH1408" s="16"/>
      <c r="CI1408" s="16"/>
      <c r="CJ1408" s="10"/>
      <c r="CK1408" s="16"/>
      <c r="CL1408" s="16"/>
      <c r="CM1408" s="16"/>
      <c r="CN1408" s="16"/>
      <c r="CO1408" s="10"/>
      <c r="CP1408" s="16"/>
      <c r="CQ1408" s="16"/>
      <c r="CR1408" s="16"/>
      <c r="CS1408" s="16"/>
      <c r="CT1408" s="10"/>
      <c r="CU1408" s="16"/>
      <c r="CV1408" s="16"/>
      <c r="CW1408" s="16"/>
      <c r="CX1408" s="16"/>
      <c r="CY1408" s="10"/>
      <c r="CZ1408" s="16"/>
      <c r="DA1408" s="16"/>
      <c r="DB1408" s="16"/>
      <c r="DC1408" s="16"/>
      <c r="DD1408" s="10"/>
      <c r="DE1408" s="16"/>
      <c r="DF1408" s="16"/>
      <c r="DG1408" s="16"/>
      <c r="DH1408" s="16"/>
      <c r="DI1408" s="10"/>
      <c r="DJ1408" s="16"/>
      <c r="DK1408" s="16"/>
      <c r="DL1408" s="16"/>
      <c r="DM1408" s="16"/>
      <c r="DN1408" s="10"/>
      <c r="DO1408" s="16"/>
      <c r="DP1408" s="16"/>
      <c r="DQ1408" s="16"/>
      <c r="DR1408" s="16"/>
      <c r="DS1408" s="10"/>
      <c r="DT1408" s="16"/>
      <c r="DU1408" s="16"/>
      <c r="DV1408" s="16"/>
      <c r="DW1408" s="16"/>
      <c r="DX1408" s="10"/>
      <c r="DY1408" s="16"/>
      <c r="DZ1408" s="16"/>
      <c r="EA1408" s="16"/>
      <c r="EB1408" s="16"/>
      <c r="EC1408" s="10"/>
      <c r="ED1408" s="16"/>
      <c r="EE1408" s="16"/>
      <c r="EF1408" s="16"/>
      <c r="EG1408" s="16"/>
      <c r="EH1408" s="10"/>
      <c r="EI1408" s="214"/>
      <c r="EJ1408" s="16"/>
      <c r="EK1408" s="16"/>
      <c r="EL1408" s="16"/>
      <c r="EM1408" s="10"/>
      <c r="EN1408" s="16"/>
      <c r="EO1408" s="16"/>
      <c r="EP1408" s="16"/>
      <c r="EQ1408" s="16"/>
      <c r="ER1408" s="10"/>
      <c r="ES1408" s="16"/>
      <c r="ET1408" s="16"/>
      <c r="EU1408" s="16"/>
      <c r="EV1408" s="16"/>
      <c r="EW1408" s="10"/>
      <c r="EX1408" s="16"/>
      <c r="EY1408" s="16"/>
      <c r="EZ1408" s="16"/>
      <c r="FA1408" s="16"/>
      <c r="FB1408" s="10"/>
      <c r="FC1408" s="16"/>
      <c r="FD1408" s="16"/>
      <c r="FE1408" s="16"/>
      <c r="FF1408" s="16"/>
      <c r="FG1408" s="10"/>
      <c r="FH1408" s="21"/>
      <c r="FI1408" s="16"/>
      <c r="FJ1408" s="16"/>
      <c r="FK1408" s="16"/>
      <c r="FL1408" s="16"/>
    </row>
    <row r="1409" ht="12.75" customHeight="1">
      <c r="A1409" s="16"/>
      <c r="B1409" s="16"/>
      <c r="C1409" s="16"/>
      <c r="D1409" s="16"/>
      <c r="E1409" s="16"/>
      <c r="F1409" s="16"/>
      <c r="G1409" s="16"/>
      <c r="H1409" s="31"/>
      <c r="I1409" s="32"/>
      <c r="J1409" s="32"/>
      <c r="K1409" s="32"/>
      <c r="L1409" s="32"/>
      <c r="M1409" s="31"/>
      <c r="N1409" s="32"/>
      <c r="O1409" s="32"/>
      <c r="P1409" s="32"/>
      <c r="Q1409" s="32"/>
      <c r="R1409" s="33"/>
      <c r="S1409" s="32"/>
      <c r="T1409" s="32"/>
      <c r="U1409" s="32"/>
      <c r="V1409" s="32"/>
      <c r="W1409" s="33"/>
      <c r="X1409" s="32"/>
      <c r="Y1409" s="32"/>
      <c r="Z1409" s="32"/>
      <c r="AA1409" s="32"/>
      <c r="AB1409" s="31"/>
      <c r="AC1409" s="32"/>
      <c r="AD1409" s="32"/>
      <c r="AE1409" s="32"/>
      <c r="AF1409" s="32"/>
      <c r="AG1409" s="31"/>
      <c r="AH1409" s="32"/>
      <c r="AI1409" s="32"/>
      <c r="AJ1409" s="32"/>
      <c r="AK1409" s="32"/>
      <c r="AL1409" s="31"/>
      <c r="AM1409" s="32"/>
      <c r="AN1409" s="32"/>
      <c r="AO1409" s="32"/>
      <c r="AP1409" s="32"/>
      <c r="AQ1409" s="31"/>
      <c r="AR1409" s="32"/>
      <c r="AS1409" s="32"/>
      <c r="AT1409" s="32"/>
      <c r="AU1409" s="32"/>
      <c r="AV1409" s="31"/>
      <c r="AW1409" s="32"/>
      <c r="AX1409" s="32"/>
      <c r="AY1409" s="32"/>
      <c r="AZ1409" s="32"/>
      <c r="BA1409" s="33"/>
      <c r="BB1409" s="32"/>
      <c r="BC1409" s="32"/>
      <c r="BD1409" s="32"/>
      <c r="BE1409" s="32"/>
      <c r="BF1409" s="33"/>
      <c r="BG1409" s="32"/>
      <c r="BH1409" s="32"/>
      <c r="BI1409" s="32"/>
      <c r="BJ1409" s="32"/>
      <c r="BK1409" s="33"/>
      <c r="BL1409" s="32"/>
      <c r="BM1409" s="32"/>
      <c r="BN1409" s="32"/>
      <c r="BO1409" s="32"/>
      <c r="BP1409" s="33"/>
      <c r="BQ1409" s="16"/>
      <c r="BR1409" s="16"/>
      <c r="BS1409" s="16"/>
      <c r="BT1409" s="16"/>
      <c r="BU1409" s="21"/>
      <c r="BV1409" s="16"/>
      <c r="BW1409" s="16"/>
      <c r="BX1409" s="16"/>
      <c r="BY1409" s="16"/>
      <c r="BZ1409" s="10"/>
      <c r="CA1409" s="16"/>
      <c r="CB1409" s="16"/>
      <c r="CC1409" s="16"/>
      <c r="CD1409" s="16"/>
      <c r="CE1409" s="10"/>
      <c r="CF1409" s="16"/>
      <c r="CG1409" s="16"/>
      <c r="CH1409" s="16"/>
      <c r="CI1409" s="16"/>
      <c r="CJ1409" s="10"/>
      <c r="CK1409" s="16"/>
      <c r="CL1409" s="16"/>
      <c r="CM1409" s="16"/>
      <c r="CN1409" s="16"/>
      <c r="CO1409" s="10"/>
      <c r="CP1409" s="16"/>
      <c r="CQ1409" s="16"/>
      <c r="CR1409" s="16"/>
      <c r="CS1409" s="16"/>
      <c r="CT1409" s="10"/>
      <c r="CU1409" s="16"/>
      <c r="CV1409" s="16"/>
      <c r="CW1409" s="16"/>
      <c r="CX1409" s="16"/>
      <c r="CY1409" s="10"/>
      <c r="CZ1409" s="16"/>
      <c r="DA1409" s="16"/>
      <c r="DB1409" s="16"/>
      <c r="DC1409" s="16"/>
      <c r="DD1409" s="10"/>
      <c r="DE1409" s="16"/>
      <c r="DF1409" s="16"/>
      <c r="DG1409" s="16"/>
      <c r="DH1409" s="16"/>
      <c r="DI1409" s="10"/>
      <c r="DJ1409" s="16"/>
      <c r="DK1409" s="16"/>
      <c r="DL1409" s="16"/>
      <c r="DM1409" s="16"/>
      <c r="DN1409" s="10"/>
      <c r="DO1409" s="16"/>
      <c r="DP1409" s="16"/>
      <c r="DQ1409" s="16"/>
      <c r="DR1409" s="16"/>
      <c r="DS1409" s="10"/>
      <c r="DT1409" s="16"/>
      <c r="DU1409" s="16"/>
      <c r="DV1409" s="16"/>
      <c r="DW1409" s="16"/>
      <c r="DX1409" s="10"/>
      <c r="DY1409" s="16"/>
      <c r="DZ1409" s="16"/>
      <c r="EA1409" s="16"/>
      <c r="EB1409" s="16"/>
      <c r="EC1409" s="10"/>
      <c r="ED1409" s="16"/>
      <c r="EE1409" s="16"/>
      <c r="EF1409" s="16"/>
      <c r="EG1409" s="16"/>
      <c r="EH1409" s="10"/>
      <c r="EI1409" s="214"/>
      <c r="EJ1409" s="16"/>
      <c r="EK1409" s="16"/>
      <c r="EL1409" s="16"/>
      <c r="EM1409" s="10"/>
      <c r="EN1409" s="16"/>
      <c r="EO1409" s="16"/>
      <c r="EP1409" s="16"/>
      <c r="EQ1409" s="16"/>
      <c r="ER1409" s="10"/>
      <c r="ES1409" s="16"/>
      <c r="ET1409" s="16"/>
      <c r="EU1409" s="16"/>
      <c r="EV1409" s="16"/>
      <c r="EW1409" s="10"/>
      <c r="EX1409" s="16"/>
      <c r="EY1409" s="16"/>
      <c r="EZ1409" s="16"/>
      <c r="FA1409" s="16"/>
      <c r="FB1409" s="10"/>
      <c r="FC1409" s="16"/>
      <c r="FD1409" s="16"/>
      <c r="FE1409" s="16"/>
      <c r="FF1409" s="16"/>
      <c r="FG1409" s="10"/>
      <c r="FH1409" s="21"/>
      <c r="FI1409" s="16"/>
      <c r="FJ1409" s="16"/>
      <c r="FK1409" s="16"/>
      <c r="FL1409" s="16"/>
    </row>
    <row r="1410" ht="12.75" customHeight="1">
      <c r="A1410" s="16"/>
      <c r="B1410" s="16"/>
      <c r="C1410" s="16"/>
      <c r="D1410" s="16"/>
      <c r="E1410" s="16"/>
      <c r="F1410" s="16"/>
      <c r="G1410" s="16"/>
      <c r="H1410" s="31"/>
      <c r="I1410" s="32"/>
      <c r="J1410" s="32"/>
      <c r="K1410" s="32"/>
      <c r="L1410" s="32"/>
      <c r="M1410" s="31"/>
      <c r="N1410" s="32"/>
      <c r="O1410" s="32"/>
      <c r="P1410" s="32"/>
      <c r="Q1410" s="32"/>
      <c r="R1410" s="33"/>
      <c r="S1410" s="32"/>
      <c r="T1410" s="32"/>
      <c r="U1410" s="32"/>
      <c r="V1410" s="32"/>
      <c r="W1410" s="33"/>
      <c r="X1410" s="32"/>
      <c r="Y1410" s="32"/>
      <c r="Z1410" s="32"/>
      <c r="AA1410" s="32"/>
      <c r="AB1410" s="31"/>
      <c r="AC1410" s="32"/>
      <c r="AD1410" s="32"/>
      <c r="AE1410" s="32"/>
      <c r="AF1410" s="32"/>
      <c r="AG1410" s="31"/>
      <c r="AH1410" s="32"/>
      <c r="AI1410" s="32"/>
      <c r="AJ1410" s="32"/>
      <c r="AK1410" s="32"/>
      <c r="AL1410" s="31"/>
      <c r="AM1410" s="32"/>
      <c r="AN1410" s="32"/>
      <c r="AO1410" s="32"/>
      <c r="AP1410" s="32"/>
      <c r="AQ1410" s="31"/>
      <c r="AR1410" s="32"/>
      <c r="AS1410" s="32"/>
      <c r="AT1410" s="32"/>
      <c r="AU1410" s="32"/>
      <c r="AV1410" s="31"/>
      <c r="AW1410" s="32"/>
      <c r="AX1410" s="32"/>
      <c r="AY1410" s="32"/>
      <c r="AZ1410" s="32"/>
      <c r="BA1410" s="33"/>
      <c r="BB1410" s="32"/>
      <c r="BC1410" s="32"/>
      <c r="BD1410" s="32"/>
      <c r="BE1410" s="32"/>
      <c r="BF1410" s="33"/>
      <c r="BG1410" s="32"/>
      <c r="BH1410" s="32"/>
      <c r="BI1410" s="32"/>
      <c r="BJ1410" s="32"/>
      <c r="BK1410" s="33"/>
      <c r="BL1410" s="32"/>
      <c r="BM1410" s="32"/>
      <c r="BN1410" s="32"/>
      <c r="BO1410" s="32"/>
      <c r="BP1410" s="33"/>
      <c r="BQ1410" s="16"/>
      <c r="BR1410" s="16"/>
      <c r="BS1410" s="16"/>
      <c r="BT1410" s="16"/>
      <c r="BU1410" s="21"/>
      <c r="BV1410" s="16"/>
      <c r="BW1410" s="16"/>
      <c r="BX1410" s="16"/>
      <c r="BY1410" s="16"/>
      <c r="BZ1410" s="10"/>
      <c r="CA1410" s="16"/>
      <c r="CB1410" s="16"/>
      <c r="CC1410" s="16"/>
      <c r="CD1410" s="16"/>
      <c r="CE1410" s="10"/>
      <c r="CF1410" s="16"/>
      <c r="CG1410" s="16"/>
      <c r="CH1410" s="16"/>
      <c r="CI1410" s="16"/>
      <c r="CJ1410" s="10"/>
      <c r="CK1410" s="16"/>
      <c r="CL1410" s="16"/>
      <c r="CM1410" s="16"/>
      <c r="CN1410" s="16"/>
      <c r="CO1410" s="10"/>
      <c r="CP1410" s="16"/>
      <c r="CQ1410" s="16"/>
      <c r="CR1410" s="16"/>
      <c r="CS1410" s="16"/>
      <c r="CT1410" s="10"/>
      <c r="CU1410" s="16"/>
      <c r="CV1410" s="16"/>
      <c r="CW1410" s="16"/>
      <c r="CX1410" s="16"/>
      <c r="CY1410" s="10"/>
      <c r="CZ1410" s="16"/>
      <c r="DA1410" s="16"/>
      <c r="DB1410" s="16"/>
      <c r="DC1410" s="16"/>
      <c r="DD1410" s="10"/>
      <c r="DE1410" s="16"/>
      <c r="DF1410" s="16"/>
      <c r="DG1410" s="16"/>
      <c r="DH1410" s="16"/>
      <c r="DI1410" s="10"/>
      <c r="DJ1410" s="16"/>
      <c r="DK1410" s="16"/>
      <c r="DL1410" s="16"/>
      <c r="DM1410" s="16"/>
      <c r="DN1410" s="10"/>
      <c r="DO1410" s="16"/>
      <c r="DP1410" s="16"/>
      <c r="DQ1410" s="16"/>
      <c r="DR1410" s="16"/>
      <c r="DS1410" s="10"/>
      <c r="DT1410" s="16"/>
      <c r="DU1410" s="16"/>
      <c r="DV1410" s="16"/>
      <c r="DW1410" s="16"/>
      <c r="DX1410" s="10"/>
      <c r="DY1410" s="16"/>
      <c r="DZ1410" s="16"/>
      <c r="EA1410" s="16"/>
      <c r="EB1410" s="16"/>
      <c r="EC1410" s="10"/>
      <c r="ED1410" s="16"/>
      <c r="EE1410" s="16"/>
      <c r="EF1410" s="16"/>
      <c r="EG1410" s="16"/>
      <c r="EH1410" s="10"/>
      <c r="EI1410" s="214"/>
      <c r="EJ1410" s="16"/>
      <c r="EK1410" s="16"/>
      <c r="EL1410" s="16"/>
      <c r="EM1410" s="10"/>
      <c r="EN1410" s="16"/>
      <c r="EO1410" s="16"/>
      <c r="EP1410" s="16"/>
      <c r="EQ1410" s="16"/>
      <c r="ER1410" s="10"/>
      <c r="ES1410" s="16"/>
      <c r="ET1410" s="16"/>
      <c r="EU1410" s="16"/>
      <c r="EV1410" s="16"/>
      <c r="EW1410" s="10"/>
      <c r="EX1410" s="16"/>
      <c r="EY1410" s="16"/>
      <c r="EZ1410" s="16"/>
      <c r="FA1410" s="16"/>
      <c r="FB1410" s="10"/>
      <c r="FC1410" s="16"/>
      <c r="FD1410" s="16"/>
      <c r="FE1410" s="16"/>
      <c r="FF1410" s="16"/>
      <c r="FG1410" s="10"/>
      <c r="FH1410" s="21"/>
      <c r="FI1410" s="16"/>
      <c r="FJ1410" s="16"/>
      <c r="FK1410" s="16"/>
      <c r="FL1410" s="16"/>
    </row>
    <row r="1411" ht="12.75" customHeight="1">
      <c r="A1411" s="16"/>
      <c r="B1411" s="16"/>
      <c r="C1411" s="16"/>
      <c r="D1411" s="16"/>
      <c r="E1411" s="16"/>
      <c r="F1411" s="16"/>
      <c r="G1411" s="16"/>
      <c r="H1411" s="31"/>
      <c r="I1411" s="32"/>
      <c r="J1411" s="32"/>
      <c r="K1411" s="32"/>
      <c r="L1411" s="32"/>
      <c r="M1411" s="31"/>
      <c r="N1411" s="32"/>
      <c r="O1411" s="32"/>
      <c r="P1411" s="32"/>
      <c r="Q1411" s="32"/>
      <c r="R1411" s="33"/>
      <c r="S1411" s="32"/>
      <c r="T1411" s="32"/>
      <c r="U1411" s="32"/>
      <c r="V1411" s="32"/>
      <c r="W1411" s="33"/>
      <c r="X1411" s="32"/>
      <c r="Y1411" s="32"/>
      <c r="Z1411" s="32"/>
      <c r="AA1411" s="32"/>
      <c r="AB1411" s="31"/>
      <c r="AC1411" s="32"/>
      <c r="AD1411" s="32"/>
      <c r="AE1411" s="32"/>
      <c r="AF1411" s="32"/>
      <c r="AG1411" s="31"/>
      <c r="AH1411" s="32"/>
      <c r="AI1411" s="32"/>
      <c r="AJ1411" s="32"/>
      <c r="AK1411" s="32"/>
      <c r="AL1411" s="31"/>
      <c r="AM1411" s="32"/>
      <c r="AN1411" s="32"/>
      <c r="AO1411" s="32"/>
      <c r="AP1411" s="32"/>
      <c r="AQ1411" s="31"/>
      <c r="AR1411" s="32"/>
      <c r="AS1411" s="32"/>
      <c r="AT1411" s="32"/>
      <c r="AU1411" s="32"/>
      <c r="AV1411" s="31"/>
      <c r="AW1411" s="32"/>
      <c r="AX1411" s="32"/>
      <c r="AY1411" s="32"/>
      <c r="AZ1411" s="32"/>
      <c r="BA1411" s="33"/>
      <c r="BB1411" s="32"/>
      <c r="BC1411" s="32"/>
      <c r="BD1411" s="32"/>
      <c r="BE1411" s="32"/>
      <c r="BF1411" s="33"/>
      <c r="BG1411" s="32"/>
      <c r="BH1411" s="32"/>
      <c r="BI1411" s="32"/>
      <c r="BJ1411" s="32"/>
      <c r="BK1411" s="33"/>
      <c r="BL1411" s="32"/>
      <c r="BM1411" s="32"/>
      <c r="BN1411" s="32"/>
      <c r="BO1411" s="32"/>
      <c r="BP1411" s="33"/>
      <c r="BQ1411" s="16"/>
      <c r="BR1411" s="16"/>
      <c r="BS1411" s="16"/>
      <c r="BT1411" s="16"/>
      <c r="BU1411" s="21"/>
      <c r="BV1411" s="16"/>
      <c r="BW1411" s="16"/>
      <c r="BX1411" s="16"/>
      <c r="BY1411" s="16"/>
      <c r="BZ1411" s="10"/>
      <c r="CA1411" s="16"/>
      <c r="CB1411" s="16"/>
      <c r="CC1411" s="16"/>
      <c r="CD1411" s="16"/>
      <c r="CE1411" s="10"/>
      <c r="CF1411" s="16"/>
      <c r="CG1411" s="16"/>
      <c r="CH1411" s="16"/>
      <c r="CI1411" s="16"/>
      <c r="CJ1411" s="10"/>
      <c r="CK1411" s="16"/>
      <c r="CL1411" s="16"/>
      <c r="CM1411" s="16"/>
      <c r="CN1411" s="16"/>
      <c r="CO1411" s="10"/>
      <c r="CP1411" s="16"/>
      <c r="CQ1411" s="16"/>
      <c r="CR1411" s="16"/>
      <c r="CS1411" s="16"/>
      <c r="CT1411" s="10"/>
      <c r="CU1411" s="16"/>
      <c r="CV1411" s="16"/>
      <c r="CW1411" s="16"/>
      <c r="CX1411" s="16"/>
      <c r="CY1411" s="10"/>
      <c r="CZ1411" s="16"/>
      <c r="DA1411" s="16"/>
      <c r="DB1411" s="16"/>
      <c r="DC1411" s="16"/>
      <c r="DD1411" s="10"/>
      <c r="DE1411" s="16"/>
      <c r="DF1411" s="16"/>
      <c r="DG1411" s="16"/>
      <c r="DH1411" s="16"/>
      <c r="DI1411" s="10"/>
      <c r="DJ1411" s="16"/>
      <c r="DK1411" s="16"/>
      <c r="DL1411" s="16"/>
      <c r="DM1411" s="16"/>
      <c r="DN1411" s="10"/>
      <c r="DO1411" s="16"/>
      <c r="DP1411" s="16"/>
      <c r="DQ1411" s="16"/>
      <c r="DR1411" s="16"/>
      <c r="DS1411" s="10"/>
      <c r="DT1411" s="16"/>
      <c r="DU1411" s="16"/>
      <c r="DV1411" s="16"/>
      <c r="DW1411" s="16"/>
      <c r="DX1411" s="10"/>
      <c r="DY1411" s="16"/>
      <c r="DZ1411" s="16"/>
      <c r="EA1411" s="16"/>
      <c r="EB1411" s="16"/>
      <c r="EC1411" s="10"/>
      <c r="ED1411" s="16"/>
      <c r="EE1411" s="16"/>
      <c r="EF1411" s="16"/>
      <c r="EG1411" s="16"/>
      <c r="EH1411" s="10"/>
      <c r="EI1411" s="214"/>
      <c r="EJ1411" s="16"/>
      <c r="EK1411" s="16"/>
      <c r="EL1411" s="16"/>
      <c r="EM1411" s="10"/>
      <c r="EN1411" s="16"/>
      <c r="EO1411" s="16"/>
      <c r="EP1411" s="16"/>
      <c r="EQ1411" s="16"/>
      <c r="ER1411" s="10"/>
      <c r="ES1411" s="16"/>
      <c r="ET1411" s="16"/>
      <c r="EU1411" s="16"/>
      <c r="EV1411" s="16"/>
      <c r="EW1411" s="10"/>
      <c r="EX1411" s="16"/>
      <c r="EY1411" s="16"/>
      <c r="EZ1411" s="16"/>
      <c r="FA1411" s="16"/>
      <c r="FB1411" s="10"/>
      <c r="FC1411" s="16"/>
      <c r="FD1411" s="16"/>
      <c r="FE1411" s="16"/>
      <c r="FF1411" s="16"/>
      <c r="FG1411" s="10"/>
      <c r="FH1411" s="21"/>
      <c r="FI1411" s="16"/>
      <c r="FJ1411" s="16"/>
      <c r="FK1411" s="16"/>
      <c r="FL1411" s="16"/>
    </row>
    <row r="1412" ht="12.75" customHeight="1">
      <c r="A1412" s="16"/>
      <c r="B1412" s="16"/>
      <c r="C1412" s="16"/>
      <c r="D1412" s="16"/>
      <c r="E1412" s="16"/>
      <c r="F1412" s="16"/>
      <c r="G1412" s="16"/>
      <c r="H1412" s="31"/>
      <c r="I1412" s="32"/>
      <c r="J1412" s="32"/>
      <c r="K1412" s="32"/>
      <c r="L1412" s="32"/>
      <c r="M1412" s="31"/>
      <c r="N1412" s="32"/>
      <c r="O1412" s="32"/>
      <c r="P1412" s="32"/>
      <c r="Q1412" s="32"/>
      <c r="R1412" s="33"/>
      <c r="S1412" s="32"/>
      <c r="T1412" s="32"/>
      <c r="U1412" s="32"/>
      <c r="V1412" s="32"/>
      <c r="W1412" s="33"/>
      <c r="X1412" s="32"/>
      <c r="Y1412" s="32"/>
      <c r="Z1412" s="32"/>
      <c r="AA1412" s="32"/>
      <c r="AB1412" s="31"/>
      <c r="AC1412" s="32"/>
      <c r="AD1412" s="32"/>
      <c r="AE1412" s="32"/>
      <c r="AF1412" s="32"/>
      <c r="AG1412" s="31"/>
      <c r="AH1412" s="32"/>
      <c r="AI1412" s="32"/>
      <c r="AJ1412" s="32"/>
      <c r="AK1412" s="32"/>
      <c r="AL1412" s="31"/>
      <c r="AM1412" s="32"/>
      <c r="AN1412" s="32"/>
      <c r="AO1412" s="32"/>
      <c r="AP1412" s="32"/>
      <c r="AQ1412" s="31"/>
      <c r="AR1412" s="32"/>
      <c r="AS1412" s="32"/>
      <c r="AT1412" s="32"/>
      <c r="AU1412" s="32"/>
      <c r="AV1412" s="31"/>
      <c r="AW1412" s="32"/>
      <c r="AX1412" s="32"/>
      <c r="AY1412" s="32"/>
      <c r="AZ1412" s="32"/>
      <c r="BA1412" s="33"/>
      <c r="BB1412" s="32"/>
      <c r="BC1412" s="32"/>
      <c r="BD1412" s="32"/>
      <c r="BE1412" s="32"/>
      <c r="BF1412" s="33"/>
      <c r="BG1412" s="32"/>
      <c r="BH1412" s="32"/>
      <c r="BI1412" s="32"/>
      <c r="BJ1412" s="32"/>
      <c r="BK1412" s="33"/>
      <c r="BL1412" s="32"/>
      <c r="BM1412" s="32"/>
      <c r="BN1412" s="32"/>
      <c r="BO1412" s="32"/>
      <c r="BP1412" s="33"/>
      <c r="BQ1412" s="16"/>
      <c r="BR1412" s="16"/>
      <c r="BS1412" s="16"/>
      <c r="BT1412" s="16"/>
      <c r="BU1412" s="21"/>
      <c r="BV1412" s="16"/>
      <c r="BW1412" s="16"/>
      <c r="BX1412" s="16"/>
      <c r="BY1412" s="16"/>
      <c r="BZ1412" s="10"/>
      <c r="CA1412" s="16"/>
      <c r="CB1412" s="16"/>
      <c r="CC1412" s="16"/>
      <c r="CD1412" s="16"/>
      <c r="CE1412" s="10"/>
      <c r="CF1412" s="16"/>
      <c r="CG1412" s="16"/>
      <c r="CH1412" s="16"/>
      <c r="CI1412" s="16"/>
      <c r="CJ1412" s="10"/>
      <c r="CK1412" s="16"/>
      <c r="CL1412" s="16"/>
      <c r="CM1412" s="16"/>
      <c r="CN1412" s="16"/>
      <c r="CO1412" s="10"/>
      <c r="CP1412" s="16"/>
      <c r="CQ1412" s="16"/>
      <c r="CR1412" s="16"/>
      <c r="CS1412" s="16"/>
      <c r="CT1412" s="10"/>
      <c r="CU1412" s="16"/>
      <c r="CV1412" s="16"/>
      <c r="CW1412" s="16"/>
      <c r="CX1412" s="16"/>
      <c r="CY1412" s="10"/>
      <c r="CZ1412" s="16"/>
      <c r="DA1412" s="16"/>
      <c r="DB1412" s="16"/>
      <c r="DC1412" s="16"/>
      <c r="DD1412" s="10"/>
      <c r="DE1412" s="16"/>
      <c r="DF1412" s="16"/>
      <c r="DG1412" s="16"/>
      <c r="DH1412" s="16"/>
      <c r="DI1412" s="10"/>
      <c r="DJ1412" s="16"/>
      <c r="DK1412" s="16"/>
      <c r="DL1412" s="16"/>
      <c r="DM1412" s="16"/>
      <c r="DN1412" s="10"/>
      <c r="DO1412" s="16"/>
      <c r="DP1412" s="16"/>
      <c r="DQ1412" s="16"/>
      <c r="DR1412" s="16"/>
      <c r="DS1412" s="10"/>
      <c r="DT1412" s="16"/>
      <c r="DU1412" s="16"/>
      <c r="DV1412" s="16"/>
      <c r="DW1412" s="16"/>
      <c r="DX1412" s="10"/>
      <c r="DY1412" s="16"/>
      <c r="DZ1412" s="16"/>
      <c r="EA1412" s="16"/>
      <c r="EB1412" s="16"/>
      <c r="EC1412" s="10"/>
      <c r="ED1412" s="16"/>
      <c r="EE1412" s="16"/>
      <c r="EF1412" s="16"/>
      <c r="EG1412" s="16"/>
      <c r="EH1412" s="10"/>
      <c r="EI1412" s="214"/>
      <c r="EJ1412" s="16"/>
      <c r="EK1412" s="16"/>
      <c r="EL1412" s="16"/>
      <c r="EM1412" s="10"/>
      <c r="EN1412" s="16"/>
      <c r="EO1412" s="16"/>
      <c r="EP1412" s="16"/>
      <c r="EQ1412" s="16"/>
      <c r="ER1412" s="10"/>
      <c r="ES1412" s="16"/>
      <c r="ET1412" s="16"/>
      <c r="EU1412" s="16"/>
      <c r="EV1412" s="16"/>
      <c r="EW1412" s="10"/>
      <c r="EX1412" s="16"/>
      <c r="EY1412" s="16"/>
      <c r="EZ1412" s="16"/>
      <c r="FA1412" s="16"/>
      <c r="FB1412" s="10"/>
      <c r="FC1412" s="16"/>
      <c r="FD1412" s="16"/>
      <c r="FE1412" s="16"/>
      <c r="FF1412" s="16"/>
      <c r="FG1412" s="10"/>
      <c r="FH1412" s="21"/>
      <c r="FI1412" s="16"/>
      <c r="FJ1412" s="16"/>
      <c r="FK1412" s="16"/>
      <c r="FL1412" s="16"/>
    </row>
    <row r="1413" ht="12.75" customHeight="1">
      <c r="A1413" s="16"/>
      <c r="B1413" s="16"/>
      <c r="C1413" s="16"/>
      <c r="D1413" s="16"/>
      <c r="E1413" s="16"/>
      <c r="F1413" s="16"/>
      <c r="G1413" s="16"/>
      <c r="H1413" s="31"/>
      <c r="I1413" s="32"/>
      <c r="J1413" s="32"/>
      <c r="K1413" s="32"/>
      <c r="L1413" s="32"/>
      <c r="M1413" s="31"/>
      <c r="N1413" s="32"/>
      <c r="O1413" s="32"/>
      <c r="P1413" s="32"/>
      <c r="Q1413" s="32"/>
      <c r="R1413" s="33"/>
      <c r="S1413" s="32"/>
      <c r="T1413" s="32"/>
      <c r="U1413" s="32"/>
      <c r="V1413" s="32"/>
      <c r="W1413" s="33"/>
      <c r="X1413" s="32"/>
      <c r="Y1413" s="32"/>
      <c r="Z1413" s="32"/>
      <c r="AA1413" s="32"/>
      <c r="AB1413" s="31"/>
      <c r="AC1413" s="32"/>
      <c r="AD1413" s="32"/>
      <c r="AE1413" s="32"/>
      <c r="AF1413" s="32"/>
      <c r="AG1413" s="31"/>
      <c r="AH1413" s="32"/>
      <c r="AI1413" s="32"/>
      <c r="AJ1413" s="32"/>
      <c r="AK1413" s="32"/>
      <c r="AL1413" s="31"/>
      <c r="AM1413" s="32"/>
      <c r="AN1413" s="32"/>
      <c r="AO1413" s="32"/>
      <c r="AP1413" s="32"/>
      <c r="AQ1413" s="31"/>
      <c r="AR1413" s="32"/>
      <c r="AS1413" s="32"/>
      <c r="AT1413" s="32"/>
      <c r="AU1413" s="32"/>
      <c r="AV1413" s="31"/>
      <c r="AW1413" s="32"/>
      <c r="AX1413" s="32"/>
      <c r="AY1413" s="32"/>
      <c r="AZ1413" s="32"/>
      <c r="BA1413" s="33"/>
      <c r="BB1413" s="32"/>
      <c r="BC1413" s="32"/>
      <c r="BD1413" s="32"/>
      <c r="BE1413" s="32"/>
      <c r="BF1413" s="33"/>
      <c r="BG1413" s="32"/>
      <c r="BH1413" s="32"/>
      <c r="BI1413" s="32"/>
      <c r="BJ1413" s="32"/>
      <c r="BK1413" s="33"/>
      <c r="BL1413" s="32"/>
      <c r="BM1413" s="32"/>
      <c r="BN1413" s="32"/>
      <c r="BO1413" s="32"/>
      <c r="BP1413" s="33"/>
      <c r="BQ1413" s="16"/>
      <c r="BR1413" s="16"/>
      <c r="BS1413" s="16"/>
      <c r="BT1413" s="16"/>
      <c r="BU1413" s="21"/>
      <c r="BV1413" s="16"/>
      <c r="BW1413" s="16"/>
      <c r="BX1413" s="16"/>
      <c r="BY1413" s="16"/>
      <c r="BZ1413" s="10"/>
      <c r="CA1413" s="16"/>
      <c r="CB1413" s="16"/>
      <c r="CC1413" s="16"/>
      <c r="CD1413" s="16"/>
      <c r="CE1413" s="10"/>
      <c r="CF1413" s="16"/>
      <c r="CG1413" s="16"/>
      <c r="CH1413" s="16"/>
      <c r="CI1413" s="16"/>
      <c r="CJ1413" s="10"/>
      <c r="CK1413" s="16"/>
      <c r="CL1413" s="16"/>
      <c r="CM1413" s="16"/>
      <c r="CN1413" s="16"/>
      <c r="CO1413" s="10"/>
      <c r="CP1413" s="16"/>
      <c r="CQ1413" s="16"/>
      <c r="CR1413" s="16"/>
      <c r="CS1413" s="16"/>
      <c r="CT1413" s="10"/>
      <c r="CU1413" s="16"/>
      <c r="CV1413" s="16"/>
      <c r="CW1413" s="16"/>
      <c r="CX1413" s="16"/>
      <c r="CY1413" s="10"/>
      <c r="CZ1413" s="16"/>
      <c r="DA1413" s="16"/>
      <c r="DB1413" s="16"/>
      <c r="DC1413" s="16"/>
      <c r="DD1413" s="10"/>
      <c r="DE1413" s="16"/>
      <c r="DF1413" s="16"/>
      <c r="DG1413" s="16"/>
      <c r="DH1413" s="16"/>
      <c r="DI1413" s="10"/>
      <c r="DJ1413" s="16"/>
      <c r="DK1413" s="16"/>
      <c r="DL1413" s="16"/>
      <c r="DM1413" s="16"/>
      <c r="DN1413" s="10"/>
      <c r="DO1413" s="16"/>
      <c r="DP1413" s="16"/>
      <c r="DQ1413" s="16"/>
      <c r="DR1413" s="16"/>
      <c r="DS1413" s="10"/>
      <c r="DT1413" s="16"/>
      <c r="DU1413" s="16"/>
      <c r="DV1413" s="16"/>
      <c r="DW1413" s="16"/>
      <c r="DX1413" s="10"/>
      <c r="DY1413" s="16"/>
      <c r="DZ1413" s="16"/>
      <c r="EA1413" s="16"/>
      <c r="EB1413" s="16"/>
      <c r="EC1413" s="10"/>
      <c r="ED1413" s="16"/>
      <c r="EE1413" s="16"/>
      <c r="EF1413" s="16"/>
      <c r="EG1413" s="16"/>
      <c r="EH1413" s="10"/>
      <c r="EI1413" s="214"/>
      <c r="EJ1413" s="16"/>
      <c r="EK1413" s="16"/>
      <c r="EL1413" s="16"/>
      <c r="EM1413" s="10"/>
      <c r="EN1413" s="16"/>
      <c r="EO1413" s="16"/>
      <c r="EP1413" s="16"/>
      <c r="EQ1413" s="16"/>
      <c r="ER1413" s="10"/>
      <c r="ES1413" s="16"/>
      <c r="ET1413" s="16"/>
      <c r="EU1413" s="16"/>
      <c r="EV1413" s="16"/>
      <c r="EW1413" s="10"/>
      <c r="EX1413" s="16"/>
      <c r="EY1413" s="16"/>
      <c r="EZ1413" s="16"/>
      <c r="FA1413" s="16"/>
      <c r="FB1413" s="10"/>
      <c r="FC1413" s="16"/>
      <c r="FD1413" s="16"/>
      <c r="FE1413" s="16"/>
      <c r="FF1413" s="16"/>
      <c r="FG1413" s="10"/>
      <c r="FH1413" s="21"/>
      <c r="FI1413" s="16"/>
      <c r="FJ1413" s="16"/>
      <c r="FK1413" s="16"/>
      <c r="FL1413" s="16"/>
    </row>
    <row r="1414" ht="12.75" customHeight="1">
      <c r="A1414" s="16"/>
      <c r="B1414" s="16"/>
      <c r="C1414" s="16"/>
      <c r="D1414" s="16"/>
      <c r="E1414" s="16"/>
      <c r="F1414" s="16"/>
      <c r="G1414" s="16"/>
      <c r="H1414" s="31"/>
      <c r="I1414" s="32"/>
      <c r="J1414" s="32"/>
      <c r="K1414" s="32"/>
      <c r="L1414" s="32"/>
      <c r="M1414" s="31"/>
      <c r="N1414" s="32"/>
      <c r="O1414" s="32"/>
      <c r="P1414" s="32"/>
      <c r="Q1414" s="32"/>
      <c r="R1414" s="33"/>
      <c r="S1414" s="32"/>
      <c r="T1414" s="32"/>
      <c r="U1414" s="32"/>
      <c r="V1414" s="32"/>
      <c r="W1414" s="33"/>
      <c r="X1414" s="32"/>
      <c r="Y1414" s="32"/>
      <c r="Z1414" s="32"/>
      <c r="AA1414" s="32"/>
      <c r="AB1414" s="31"/>
      <c r="AC1414" s="32"/>
      <c r="AD1414" s="32"/>
      <c r="AE1414" s="32"/>
      <c r="AF1414" s="32"/>
      <c r="AG1414" s="31"/>
      <c r="AH1414" s="32"/>
      <c r="AI1414" s="32"/>
      <c r="AJ1414" s="32"/>
      <c r="AK1414" s="32"/>
      <c r="AL1414" s="31"/>
      <c r="AM1414" s="32"/>
      <c r="AN1414" s="32"/>
      <c r="AO1414" s="32"/>
      <c r="AP1414" s="32"/>
      <c r="AQ1414" s="31"/>
      <c r="AR1414" s="32"/>
      <c r="AS1414" s="32"/>
      <c r="AT1414" s="32"/>
      <c r="AU1414" s="32"/>
      <c r="AV1414" s="31"/>
      <c r="AW1414" s="32"/>
      <c r="AX1414" s="32"/>
      <c r="AY1414" s="32"/>
      <c r="AZ1414" s="32"/>
      <c r="BA1414" s="33"/>
      <c r="BB1414" s="32"/>
      <c r="BC1414" s="32"/>
      <c r="BD1414" s="32"/>
      <c r="BE1414" s="32"/>
      <c r="BF1414" s="33"/>
      <c r="BG1414" s="32"/>
      <c r="BH1414" s="32"/>
      <c r="BI1414" s="32"/>
      <c r="BJ1414" s="32"/>
      <c r="BK1414" s="33"/>
      <c r="BL1414" s="32"/>
      <c r="BM1414" s="32"/>
      <c r="BN1414" s="32"/>
      <c r="BO1414" s="32"/>
      <c r="BP1414" s="33"/>
      <c r="BQ1414" s="16"/>
      <c r="BR1414" s="16"/>
      <c r="BS1414" s="16"/>
      <c r="BT1414" s="16"/>
      <c r="BU1414" s="21"/>
      <c r="BV1414" s="16"/>
      <c r="BW1414" s="16"/>
      <c r="BX1414" s="16"/>
      <c r="BY1414" s="16"/>
      <c r="BZ1414" s="10"/>
      <c r="CA1414" s="16"/>
      <c r="CB1414" s="16"/>
      <c r="CC1414" s="16"/>
      <c r="CD1414" s="16"/>
      <c r="CE1414" s="10"/>
      <c r="CF1414" s="16"/>
      <c r="CG1414" s="16"/>
      <c r="CH1414" s="16"/>
      <c r="CI1414" s="16"/>
      <c r="CJ1414" s="10"/>
      <c r="CK1414" s="16"/>
      <c r="CL1414" s="16"/>
      <c r="CM1414" s="16"/>
      <c r="CN1414" s="16"/>
      <c r="CO1414" s="10"/>
      <c r="CP1414" s="16"/>
      <c r="CQ1414" s="16"/>
      <c r="CR1414" s="16"/>
      <c r="CS1414" s="16"/>
      <c r="CT1414" s="10"/>
      <c r="CU1414" s="16"/>
      <c r="CV1414" s="16"/>
      <c r="CW1414" s="16"/>
      <c r="CX1414" s="16"/>
      <c r="CY1414" s="10"/>
      <c r="CZ1414" s="16"/>
      <c r="DA1414" s="16"/>
      <c r="DB1414" s="16"/>
      <c r="DC1414" s="16"/>
      <c r="DD1414" s="10"/>
      <c r="DE1414" s="16"/>
      <c r="DF1414" s="16"/>
      <c r="DG1414" s="16"/>
      <c r="DH1414" s="16"/>
      <c r="DI1414" s="10"/>
      <c r="DJ1414" s="16"/>
      <c r="DK1414" s="16"/>
      <c r="DL1414" s="16"/>
      <c r="DM1414" s="16"/>
      <c r="DN1414" s="10"/>
      <c r="DO1414" s="16"/>
      <c r="DP1414" s="16"/>
      <c r="DQ1414" s="16"/>
      <c r="DR1414" s="16"/>
      <c r="DS1414" s="10"/>
      <c r="DT1414" s="16"/>
      <c r="DU1414" s="16"/>
      <c r="DV1414" s="16"/>
      <c r="DW1414" s="16"/>
      <c r="DX1414" s="10"/>
      <c r="DY1414" s="16"/>
      <c r="DZ1414" s="16"/>
      <c r="EA1414" s="16"/>
      <c r="EB1414" s="16"/>
      <c r="EC1414" s="10"/>
      <c r="ED1414" s="16"/>
      <c r="EE1414" s="16"/>
      <c r="EF1414" s="16"/>
      <c r="EG1414" s="16"/>
      <c r="EH1414" s="10"/>
      <c r="EI1414" s="214"/>
      <c r="EJ1414" s="16"/>
      <c r="EK1414" s="16"/>
      <c r="EL1414" s="16"/>
      <c r="EM1414" s="10"/>
      <c r="EN1414" s="16"/>
      <c r="EO1414" s="16"/>
      <c r="EP1414" s="16"/>
      <c r="EQ1414" s="16"/>
      <c r="ER1414" s="10"/>
      <c r="ES1414" s="16"/>
      <c r="ET1414" s="16"/>
      <c r="EU1414" s="16"/>
      <c r="EV1414" s="16"/>
      <c r="EW1414" s="10"/>
      <c r="EX1414" s="16"/>
      <c r="EY1414" s="16"/>
      <c r="EZ1414" s="16"/>
      <c r="FA1414" s="16"/>
      <c r="FB1414" s="10"/>
      <c r="FC1414" s="16"/>
      <c r="FD1414" s="16"/>
      <c r="FE1414" s="16"/>
      <c r="FF1414" s="16"/>
      <c r="FG1414" s="10"/>
      <c r="FH1414" s="21"/>
      <c r="FI1414" s="16"/>
      <c r="FJ1414" s="16"/>
      <c r="FK1414" s="16"/>
      <c r="FL1414" s="16"/>
    </row>
    <row r="1415" ht="12.75" customHeight="1">
      <c r="A1415" s="16"/>
      <c r="B1415" s="16"/>
      <c r="C1415" s="16"/>
      <c r="D1415" s="16"/>
      <c r="E1415" s="16"/>
      <c r="F1415" s="16"/>
      <c r="G1415" s="16"/>
      <c r="H1415" s="31"/>
      <c r="I1415" s="32"/>
      <c r="J1415" s="32"/>
      <c r="K1415" s="32"/>
      <c r="L1415" s="32"/>
      <c r="M1415" s="31"/>
      <c r="N1415" s="32"/>
      <c r="O1415" s="32"/>
      <c r="P1415" s="32"/>
      <c r="Q1415" s="32"/>
      <c r="R1415" s="33"/>
      <c r="S1415" s="32"/>
      <c r="T1415" s="32"/>
      <c r="U1415" s="32"/>
      <c r="V1415" s="32"/>
      <c r="W1415" s="33"/>
      <c r="X1415" s="32"/>
      <c r="Y1415" s="32"/>
      <c r="Z1415" s="32"/>
      <c r="AA1415" s="32"/>
      <c r="AB1415" s="31"/>
      <c r="AC1415" s="32"/>
      <c r="AD1415" s="32"/>
      <c r="AE1415" s="32"/>
      <c r="AF1415" s="32"/>
      <c r="AG1415" s="31"/>
      <c r="AH1415" s="32"/>
      <c r="AI1415" s="32"/>
      <c r="AJ1415" s="32"/>
      <c r="AK1415" s="32"/>
      <c r="AL1415" s="31"/>
      <c r="AM1415" s="32"/>
      <c r="AN1415" s="32"/>
      <c r="AO1415" s="32"/>
      <c r="AP1415" s="32"/>
      <c r="AQ1415" s="31"/>
      <c r="AR1415" s="32"/>
      <c r="AS1415" s="32"/>
      <c r="AT1415" s="32"/>
      <c r="AU1415" s="32"/>
      <c r="AV1415" s="31"/>
      <c r="AW1415" s="32"/>
      <c r="AX1415" s="32"/>
      <c r="AY1415" s="32"/>
      <c r="AZ1415" s="32"/>
      <c r="BA1415" s="33"/>
      <c r="BB1415" s="32"/>
      <c r="BC1415" s="32"/>
      <c r="BD1415" s="32"/>
      <c r="BE1415" s="32"/>
      <c r="BF1415" s="33"/>
      <c r="BG1415" s="32"/>
      <c r="BH1415" s="32"/>
      <c r="BI1415" s="32"/>
      <c r="BJ1415" s="32"/>
      <c r="BK1415" s="33"/>
      <c r="BL1415" s="32"/>
      <c r="BM1415" s="32"/>
      <c r="BN1415" s="32"/>
      <c r="BO1415" s="32"/>
      <c r="BP1415" s="33"/>
      <c r="BQ1415" s="16"/>
      <c r="BR1415" s="16"/>
      <c r="BS1415" s="16"/>
      <c r="BT1415" s="16"/>
      <c r="BU1415" s="21"/>
      <c r="BV1415" s="16"/>
      <c r="BW1415" s="16"/>
      <c r="BX1415" s="16"/>
      <c r="BY1415" s="16"/>
      <c r="BZ1415" s="10"/>
      <c r="CA1415" s="16"/>
      <c r="CB1415" s="16"/>
      <c r="CC1415" s="16"/>
      <c r="CD1415" s="16"/>
      <c r="CE1415" s="10"/>
      <c r="CF1415" s="16"/>
      <c r="CG1415" s="16"/>
      <c r="CH1415" s="16"/>
      <c r="CI1415" s="16"/>
      <c r="CJ1415" s="10"/>
      <c r="CK1415" s="16"/>
      <c r="CL1415" s="16"/>
      <c r="CM1415" s="16"/>
      <c r="CN1415" s="16"/>
      <c r="CO1415" s="10"/>
      <c r="CP1415" s="16"/>
      <c r="CQ1415" s="16"/>
      <c r="CR1415" s="16"/>
      <c r="CS1415" s="16"/>
      <c r="CT1415" s="10"/>
      <c r="CU1415" s="16"/>
      <c r="CV1415" s="16"/>
      <c r="CW1415" s="16"/>
      <c r="CX1415" s="16"/>
      <c r="CY1415" s="10"/>
      <c r="CZ1415" s="16"/>
      <c r="DA1415" s="16"/>
      <c r="DB1415" s="16"/>
      <c r="DC1415" s="16"/>
      <c r="DD1415" s="10"/>
      <c r="DE1415" s="16"/>
      <c r="DF1415" s="16"/>
      <c r="DG1415" s="16"/>
      <c r="DH1415" s="16"/>
      <c r="DI1415" s="10"/>
      <c r="DJ1415" s="16"/>
      <c r="DK1415" s="16"/>
      <c r="DL1415" s="16"/>
      <c r="DM1415" s="16"/>
      <c r="DN1415" s="10"/>
      <c r="DO1415" s="16"/>
      <c r="DP1415" s="16"/>
      <c r="DQ1415" s="16"/>
      <c r="DR1415" s="16"/>
      <c r="DS1415" s="10"/>
      <c r="DT1415" s="16"/>
      <c r="DU1415" s="16"/>
      <c r="DV1415" s="16"/>
      <c r="DW1415" s="16"/>
      <c r="DX1415" s="10"/>
      <c r="DY1415" s="16"/>
      <c r="DZ1415" s="16"/>
      <c r="EA1415" s="16"/>
      <c r="EB1415" s="16"/>
      <c r="EC1415" s="10"/>
      <c r="ED1415" s="16"/>
      <c r="EE1415" s="16"/>
      <c r="EF1415" s="16"/>
      <c r="EG1415" s="16"/>
      <c r="EH1415" s="10"/>
      <c r="EI1415" s="214"/>
      <c r="EJ1415" s="16"/>
      <c r="EK1415" s="16"/>
      <c r="EL1415" s="16"/>
      <c r="EM1415" s="10"/>
      <c r="EN1415" s="16"/>
      <c r="EO1415" s="16"/>
      <c r="EP1415" s="16"/>
      <c r="EQ1415" s="16"/>
      <c r="ER1415" s="10"/>
      <c r="ES1415" s="16"/>
      <c r="ET1415" s="16"/>
      <c r="EU1415" s="16"/>
      <c r="EV1415" s="16"/>
      <c r="EW1415" s="10"/>
      <c r="EX1415" s="16"/>
      <c r="EY1415" s="16"/>
      <c r="EZ1415" s="16"/>
      <c r="FA1415" s="16"/>
      <c r="FB1415" s="10"/>
      <c r="FC1415" s="16"/>
      <c r="FD1415" s="16"/>
      <c r="FE1415" s="16"/>
      <c r="FF1415" s="16"/>
      <c r="FG1415" s="10"/>
      <c r="FH1415" s="21"/>
      <c r="FI1415" s="16"/>
      <c r="FJ1415" s="16"/>
      <c r="FK1415" s="16"/>
      <c r="FL1415" s="16"/>
    </row>
    <row r="1416" ht="12.75" customHeight="1">
      <c r="A1416" s="16"/>
      <c r="B1416" s="16"/>
      <c r="C1416" s="16"/>
      <c r="D1416" s="16"/>
      <c r="E1416" s="16"/>
      <c r="F1416" s="16"/>
      <c r="G1416" s="16"/>
      <c r="H1416" s="31"/>
      <c r="I1416" s="32"/>
      <c r="J1416" s="32"/>
      <c r="K1416" s="32"/>
      <c r="L1416" s="32"/>
      <c r="M1416" s="31"/>
      <c r="N1416" s="32"/>
      <c r="O1416" s="32"/>
      <c r="P1416" s="32"/>
      <c r="Q1416" s="32"/>
      <c r="R1416" s="33"/>
      <c r="S1416" s="32"/>
      <c r="T1416" s="32"/>
      <c r="U1416" s="32"/>
      <c r="V1416" s="32"/>
      <c r="W1416" s="33"/>
      <c r="X1416" s="32"/>
      <c r="Y1416" s="32"/>
      <c r="Z1416" s="32"/>
      <c r="AA1416" s="32"/>
      <c r="AB1416" s="31"/>
      <c r="AC1416" s="32"/>
      <c r="AD1416" s="32"/>
      <c r="AE1416" s="32"/>
      <c r="AF1416" s="32"/>
      <c r="AG1416" s="31"/>
      <c r="AH1416" s="32"/>
      <c r="AI1416" s="32"/>
      <c r="AJ1416" s="32"/>
      <c r="AK1416" s="32"/>
      <c r="AL1416" s="31"/>
      <c r="AM1416" s="32"/>
      <c r="AN1416" s="32"/>
      <c r="AO1416" s="32"/>
      <c r="AP1416" s="32"/>
      <c r="AQ1416" s="31"/>
      <c r="AR1416" s="32"/>
      <c r="AS1416" s="32"/>
      <c r="AT1416" s="32"/>
      <c r="AU1416" s="32"/>
      <c r="AV1416" s="31"/>
      <c r="AW1416" s="32"/>
      <c r="AX1416" s="32"/>
      <c r="AY1416" s="32"/>
      <c r="AZ1416" s="32"/>
      <c r="BA1416" s="33"/>
      <c r="BB1416" s="32"/>
      <c r="BC1416" s="32"/>
      <c r="BD1416" s="32"/>
      <c r="BE1416" s="32"/>
      <c r="BF1416" s="33"/>
      <c r="BG1416" s="32"/>
      <c r="BH1416" s="32"/>
      <c r="BI1416" s="32"/>
      <c r="BJ1416" s="32"/>
      <c r="BK1416" s="33"/>
      <c r="BL1416" s="32"/>
      <c r="BM1416" s="32"/>
      <c r="BN1416" s="32"/>
      <c r="BO1416" s="32"/>
      <c r="BP1416" s="33"/>
      <c r="BQ1416" s="16"/>
      <c r="BR1416" s="16"/>
      <c r="BS1416" s="16"/>
      <c r="BT1416" s="16"/>
      <c r="BU1416" s="21"/>
      <c r="BV1416" s="16"/>
      <c r="BW1416" s="16"/>
      <c r="BX1416" s="16"/>
      <c r="BY1416" s="16"/>
      <c r="BZ1416" s="10"/>
      <c r="CA1416" s="16"/>
      <c r="CB1416" s="16"/>
      <c r="CC1416" s="16"/>
      <c r="CD1416" s="16"/>
      <c r="CE1416" s="10"/>
      <c r="CF1416" s="16"/>
      <c r="CG1416" s="16"/>
      <c r="CH1416" s="16"/>
      <c r="CI1416" s="16"/>
      <c r="CJ1416" s="10"/>
      <c r="CK1416" s="16"/>
      <c r="CL1416" s="16"/>
      <c r="CM1416" s="16"/>
      <c r="CN1416" s="16"/>
      <c r="CO1416" s="10"/>
      <c r="CP1416" s="16"/>
      <c r="CQ1416" s="16"/>
      <c r="CR1416" s="16"/>
      <c r="CS1416" s="16"/>
      <c r="CT1416" s="10"/>
      <c r="CU1416" s="16"/>
      <c r="CV1416" s="16"/>
      <c r="CW1416" s="16"/>
      <c r="CX1416" s="16"/>
      <c r="CY1416" s="10"/>
      <c r="CZ1416" s="16"/>
      <c r="DA1416" s="16"/>
      <c r="DB1416" s="16"/>
      <c r="DC1416" s="16"/>
      <c r="DD1416" s="10"/>
      <c r="DE1416" s="16"/>
      <c r="DF1416" s="16"/>
      <c r="DG1416" s="16"/>
      <c r="DH1416" s="16"/>
      <c r="DI1416" s="10"/>
      <c r="DJ1416" s="16"/>
      <c r="DK1416" s="16"/>
      <c r="DL1416" s="16"/>
      <c r="DM1416" s="16"/>
      <c r="DN1416" s="10"/>
      <c r="DO1416" s="16"/>
      <c r="DP1416" s="16"/>
      <c r="DQ1416" s="16"/>
      <c r="DR1416" s="16"/>
      <c r="DS1416" s="10"/>
      <c r="DT1416" s="16"/>
      <c r="DU1416" s="16"/>
      <c r="DV1416" s="16"/>
      <c r="DW1416" s="16"/>
      <c r="DX1416" s="10"/>
      <c r="DY1416" s="16"/>
      <c r="DZ1416" s="16"/>
      <c r="EA1416" s="16"/>
      <c r="EB1416" s="16"/>
      <c r="EC1416" s="10"/>
      <c r="ED1416" s="16"/>
      <c r="EE1416" s="16"/>
      <c r="EF1416" s="16"/>
      <c r="EG1416" s="16"/>
      <c r="EH1416" s="10"/>
      <c r="EI1416" s="214"/>
      <c r="EJ1416" s="16"/>
      <c r="EK1416" s="16"/>
      <c r="EL1416" s="16"/>
      <c r="EM1416" s="10"/>
      <c r="EN1416" s="16"/>
      <c r="EO1416" s="16"/>
      <c r="EP1416" s="16"/>
      <c r="EQ1416" s="16"/>
      <c r="ER1416" s="10"/>
      <c r="ES1416" s="16"/>
      <c r="ET1416" s="16"/>
      <c r="EU1416" s="16"/>
      <c r="EV1416" s="16"/>
      <c r="EW1416" s="10"/>
      <c r="EX1416" s="16"/>
      <c r="EY1416" s="16"/>
      <c r="EZ1416" s="16"/>
      <c r="FA1416" s="16"/>
      <c r="FB1416" s="10"/>
      <c r="FC1416" s="16"/>
      <c r="FD1416" s="16"/>
      <c r="FE1416" s="16"/>
      <c r="FF1416" s="16"/>
      <c r="FG1416" s="10"/>
      <c r="FH1416" s="21"/>
      <c r="FI1416" s="16"/>
      <c r="FJ1416" s="16"/>
      <c r="FK1416" s="16"/>
      <c r="FL1416" s="16"/>
    </row>
    <row r="1417" ht="12.75" customHeight="1">
      <c r="A1417" s="16"/>
      <c r="B1417" s="16"/>
      <c r="C1417" s="16"/>
      <c r="D1417" s="16"/>
      <c r="E1417" s="16"/>
      <c r="F1417" s="16"/>
      <c r="G1417" s="16"/>
      <c r="H1417" s="31"/>
      <c r="I1417" s="32"/>
      <c r="J1417" s="32"/>
      <c r="K1417" s="32"/>
      <c r="L1417" s="32"/>
      <c r="M1417" s="31"/>
      <c r="N1417" s="32"/>
      <c r="O1417" s="32"/>
      <c r="P1417" s="32"/>
      <c r="Q1417" s="32"/>
      <c r="R1417" s="33"/>
      <c r="S1417" s="32"/>
      <c r="T1417" s="32"/>
      <c r="U1417" s="32"/>
      <c r="V1417" s="32"/>
      <c r="W1417" s="33"/>
      <c r="X1417" s="32"/>
      <c r="Y1417" s="32"/>
      <c r="Z1417" s="32"/>
      <c r="AA1417" s="32"/>
      <c r="AB1417" s="31"/>
      <c r="AC1417" s="32"/>
      <c r="AD1417" s="32"/>
      <c r="AE1417" s="32"/>
      <c r="AF1417" s="32"/>
      <c r="AG1417" s="31"/>
      <c r="AH1417" s="32"/>
      <c r="AI1417" s="32"/>
      <c r="AJ1417" s="32"/>
      <c r="AK1417" s="32"/>
      <c r="AL1417" s="31"/>
      <c r="AM1417" s="32"/>
      <c r="AN1417" s="32"/>
      <c r="AO1417" s="32"/>
      <c r="AP1417" s="32"/>
      <c r="AQ1417" s="31"/>
      <c r="AR1417" s="32"/>
      <c r="AS1417" s="32"/>
      <c r="AT1417" s="32"/>
      <c r="AU1417" s="32"/>
      <c r="AV1417" s="31"/>
      <c r="AW1417" s="32"/>
      <c r="AX1417" s="32"/>
      <c r="AY1417" s="32"/>
      <c r="AZ1417" s="32"/>
      <c r="BA1417" s="33"/>
      <c r="BB1417" s="32"/>
      <c r="BC1417" s="32"/>
      <c r="BD1417" s="32"/>
      <c r="BE1417" s="32"/>
      <c r="BF1417" s="33"/>
      <c r="BG1417" s="32"/>
      <c r="BH1417" s="32"/>
      <c r="BI1417" s="32"/>
      <c r="BJ1417" s="32"/>
      <c r="BK1417" s="33"/>
      <c r="BL1417" s="32"/>
      <c r="BM1417" s="32"/>
      <c r="BN1417" s="32"/>
      <c r="BO1417" s="32"/>
      <c r="BP1417" s="33"/>
      <c r="BQ1417" s="16"/>
      <c r="BR1417" s="16"/>
      <c r="BS1417" s="16"/>
      <c r="BT1417" s="16"/>
      <c r="BU1417" s="21"/>
      <c r="BV1417" s="16"/>
      <c r="BW1417" s="16"/>
      <c r="BX1417" s="16"/>
      <c r="BY1417" s="16"/>
      <c r="BZ1417" s="10"/>
      <c r="CA1417" s="16"/>
      <c r="CB1417" s="16"/>
      <c r="CC1417" s="16"/>
      <c r="CD1417" s="16"/>
      <c r="CE1417" s="10"/>
      <c r="CF1417" s="16"/>
      <c r="CG1417" s="16"/>
      <c r="CH1417" s="16"/>
      <c r="CI1417" s="16"/>
      <c r="CJ1417" s="10"/>
      <c r="CK1417" s="16"/>
      <c r="CL1417" s="16"/>
      <c r="CM1417" s="16"/>
      <c r="CN1417" s="16"/>
      <c r="CO1417" s="10"/>
      <c r="CP1417" s="16"/>
      <c r="CQ1417" s="16"/>
      <c r="CR1417" s="16"/>
      <c r="CS1417" s="16"/>
      <c r="CT1417" s="10"/>
      <c r="CU1417" s="16"/>
      <c r="CV1417" s="16"/>
      <c r="CW1417" s="16"/>
      <c r="CX1417" s="16"/>
      <c r="CY1417" s="10"/>
      <c r="CZ1417" s="16"/>
      <c r="DA1417" s="16"/>
      <c r="DB1417" s="16"/>
      <c r="DC1417" s="16"/>
      <c r="DD1417" s="10"/>
      <c r="DE1417" s="16"/>
      <c r="DF1417" s="16"/>
      <c r="DG1417" s="16"/>
      <c r="DH1417" s="16"/>
      <c r="DI1417" s="10"/>
      <c r="DJ1417" s="16"/>
      <c r="DK1417" s="16"/>
      <c r="DL1417" s="16"/>
      <c r="DM1417" s="16"/>
      <c r="DN1417" s="10"/>
      <c r="DO1417" s="16"/>
      <c r="DP1417" s="16"/>
      <c r="DQ1417" s="16"/>
      <c r="DR1417" s="16"/>
      <c r="DS1417" s="10"/>
      <c r="DT1417" s="16"/>
      <c r="DU1417" s="16"/>
      <c r="DV1417" s="16"/>
      <c r="DW1417" s="16"/>
      <c r="DX1417" s="10"/>
      <c r="DY1417" s="16"/>
      <c r="DZ1417" s="16"/>
      <c r="EA1417" s="16"/>
      <c r="EB1417" s="16"/>
      <c r="EC1417" s="10"/>
      <c r="ED1417" s="16"/>
      <c r="EE1417" s="16"/>
      <c r="EF1417" s="16"/>
      <c r="EG1417" s="16"/>
      <c r="EH1417" s="10"/>
      <c r="EI1417" s="214"/>
      <c r="EJ1417" s="16"/>
      <c r="EK1417" s="16"/>
      <c r="EL1417" s="16"/>
      <c r="EM1417" s="10"/>
      <c r="EN1417" s="16"/>
      <c r="EO1417" s="16"/>
      <c r="EP1417" s="16"/>
      <c r="EQ1417" s="16"/>
      <c r="ER1417" s="10"/>
      <c r="ES1417" s="16"/>
      <c r="ET1417" s="16"/>
      <c r="EU1417" s="16"/>
      <c r="EV1417" s="16"/>
      <c r="EW1417" s="10"/>
      <c r="EX1417" s="16"/>
      <c r="EY1417" s="16"/>
      <c r="EZ1417" s="16"/>
      <c r="FA1417" s="16"/>
      <c r="FB1417" s="10"/>
      <c r="FC1417" s="16"/>
      <c r="FD1417" s="16"/>
      <c r="FE1417" s="16"/>
      <c r="FF1417" s="16"/>
      <c r="FG1417" s="10"/>
      <c r="FH1417" s="21"/>
      <c r="FI1417" s="16"/>
      <c r="FJ1417" s="16"/>
      <c r="FK1417" s="16"/>
      <c r="FL1417" s="16"/>
    </row>
    <row r="1418" ht="12.75" customHeight="1">
      <c r="A1418" s="16"/>
      <c r="B1418" s="16"/>
      <c r="C1418" s="16"/>
      <c r="D1418" s="16"/>
      <c r="E1418" s="16"/>
      <c r="F1418" s="16"/>
      <c r="G1418" s="16"/>
      <c r="H1418" s="31"/>
      <c r="I1418" s="32"/>
      <c r="J1418" s="32"/>
      <c r="K1418" s="32"/>
      <c r="L1418" s="32"/>
      <c r="M1418" s="31"/>
      <c r="N1418" s="32"/>
      <c r="O1418" s="32"/>
      <c r="P1418" s="32"/>
      <c r="Q1418" s="32"/>
      <c r="R1418" s="33"/>
      <c r="S1418" s="32"/>
      <c r="T1418" s="32"/>
      <c r="U1418" s="32"/>
      <c r="V1418" s="32"/>
      <c r="W1418" s="33"/>
      <c r="X1418" s="32"/>
      <c r="Y1418" s="32"/>
      <c r="Z1418" s="32"/>
      <c r="AA1418" s="32"/>
      <c r="AB1418" s="31"/>
      <c r="AC1418" s="32"/>
      <c r="AD1418" s="32"/>
      <c r="AE1418" s="32"/>
      <c r="AF1418" s="32"/>
      <c r="AG1418" s="31"/>
      <c r="AH1418" s="32"/>
      <c r="AI1418" s="32"/>
      <c r="AJ1418" s="32"/>
      <c r="AK1418" s="32"/>
      <c r="AL1418" s="31"/>
      <c r="AM1418" s="32"/>
      <c r="AN1418" s="32"/>
      <c r="AO1418" s="32"/>
      <c r="AP1418" s="32"/>
      <c r="AQ1418" s="31"/>
      <c r="AR1418" s="32"/>
      <c r="AS1418" s="32"/>
      <c r="AT1418" s="32"/>
      <c r="AU1418" s="32"/>
      <c r="AV1418" s="31"/>
      <c r="AW1418" s="32"/>
      <c r="AX1418" s="32"/>
      <c r="AY1418" s="32"/>
      <c r="AZ1418" s="32"/>
      <c r="BA1418" s="33"/>
      <c r="BB1418" s="32"/>
      <c r="BC1418" s="32"/>
      <c r="BD1418" s="32"/>
      <c r="BE1418" s="32"/>
      <c r="BF1418" s="33"/>
      <c r="BG1418" s="32"/>
      <c r="BH1418" s="32"/>
      <c r="BI1418" s="32"/>
      <c r="BJ1418" s="32"/>
      <c r="BK1418" s="33"/>
      <c r="BL1418" s="32"/>
      <c r="BM1418" s="32"/>
      <c r="BN1418" s="32"/>
      <c r="BO1418" s="32"/>
      <c r="BP1418" s="33"/>
      <c r="BQ1418" s="16"/>
      <c r="BR1418" s="16"/>
      <c r="BS1418" s="16"/>
      <c r="BT1418" s="16"/>
      <c r="BU1418" s="21"/>
      <c r="BV1418" s="16"/>
      <c r="BW1418" s="16"/>
      <c r="BX1418" s="16"/>
      <c r="BY1418" s="16"/>
      <c r="BZ1418" s="10"/>
      <c r="CA1418" s="16"/>
      <c r="CB1418" s="16"/>
      <c r="CC1418" s="16"/>
      <c r="CD1418" s="16"/>
      <c r="CE1418" s="10"/>
      <c r="CF1418" s="16"/>
      <c r="CG1418" s="16"/>
      <c r="CH1418" s="16"/>
      <c r="CI1418" s="16"/>
      <c r="CJ1418" s="10"/>
      <c r="CK1418" s="16"/>
      <c r="CL1418" s="16"/>
      <c r="CM1418" s="16"/>
      <c r="CN1418" s="16"/>
      <c r="CO1418" s="10"/>
      <c r="CP1418" s="16"/>
      <c r="CQ1418" s="16"/>
      <c r="CR1418" s="16"/>
      <c r="CS1418" s="16"/>
      <c r="CT1418" s="10"/>
      <c r="CU1418" s="16"/>
      <c r="CV1418" s="16"/>
      <c r="CW1418" s="16"/>
      <c r="CX1418" s="16"/>
      <c r="CY1418" s="10"/>
      <c r="CZ1418" s="16"/>
      <c r="DA1418" s="16"/>
      <c r="DB1418" s="16"/>
      <c r="DC1418" s="16"/>
      <c r="DD1418" s="10"/>
      <c r="DE1418" s="16"/>
      <c r="DF1418" s="16"/>
      <c r="DG1418" s="16"/>
      <c r="DH1418" s="16"/>
      <c r="DI1418" s="10"/>
      <c r="DJ1418" s="16"/>
      <c r="DK1418" s="16"/>
      <c r="DL1418" s="16"/>
      <c r="DM1418" s="16"/>
      <c r="DN1418" s="10"/>
      <c r="DO1418" s="16"/>
      <c r="DP1418" s="16"/>
      <c r="DQ1418" s="16"/>
      <c r="DR1418" s="16"/>
      <c r="DS1418" s="10"/>
      <c r="DT1418" s="16"/>
      <c r="DU1418" s="16"/>
      <c r="DV1418" s="16"/>
      <c r="DW1418" s="16"/>
      <c r="DX1418" s="10"/>
      <c r="DY1418" s="16"/>
      <c r="DZ1418" s="16"/>
      <c r="EA1418" s="16"/>
      <c r="EB1418" s="16"/>
      <c r="EC1418" s="10"/>
      <c r="ED1418" s="16"/>
      <c r="EE1418" s="16"/>
      <c r="EF1418" s="16"/>
      <c r="EG1418" s="16"/>
      <c r="EH1418" s="10"/>
      <c r="EI1418" s="214"/>
      <c r="EJ1418" s="16"/>
      <c r="EK1418" s="16"/>
      <c r="EL1418" s="16"/>
      <c r="EM1418" s="10"/>
      <c r="EN1418" s="16"/>
      <c r="EO1418" s="16"/>
      <c r="EP1418" s="16"/>
      <c r="EQ1418" s="16"/>
      <c r="ER1418" s="10"/>
      <c r="ES1418" s="16"/>
      <c r="ET1418" s="16"/>
      <c r="EU1418" s="16"/>
      <c r="EV1418" s="16"/>
      <c r="EW1418" s="10"/>
      <c r="EX1418" s="16"/>
      <c r="EY1418" s="16"/>
      <c r="EZ1418" s="16"/>
      <c r="FA1418" s="16"/>
      <c r="FB1418" s="10"/>
      <c r="FC1418" s="16"/>
      <c r="FD1418" s="16"/>
      <c r="FE1418" s="16"/>
      <c r="FF1418" s="16"/>
      <c r="FG1418" s="10"/>
      <c r="FH1418" s="21"/>
      <c r="FI1418" s="16"/>
      <c r="FJ1418" s="16"/>
      <c r="FK1418" s="16"/>
      <c r="FL1418" s="16"/>
    </row>
    <row r="1419" ht="12.75" customHeight="1">
      <c r="A1419" s="16"/>
      <c r="B1419" s="16"/>
      <c r="C1419" s="16"/>
      <c r="D1419" s="16"/>
      <c r="E1419" s="16"/>
      <c r="F1419" s="16"/>
      <c r="G1419" s="16"/>
      <c r="H1419" s="31"/>
      <c r="I1419" s="32"/>
      <c r="J1419" s="32"/>
      <c r="K1419" s="32"/>
      <c r="L1419" s="32"/>
      <c r="M1419" s="31"/>
      <c r="N1419" s="32"/>
      <c r="O1419" s="32"/>
      <c r="P1419" s="32"/>
      <c r="Q1419" s="32"/>
      <c r="R1419" s="33"/>
      <c r="S1419" s="32"/>
      <c r="T1419" s="32"/>
      <c r="U1419" s="32"/>
      <c r="V1419" s="32"/>
      <c r="W1419" s="33"/>
      <c r="X1419" s="32"/>
      <c r="Y1419" s="32"/>
      <c r="Z1419" s="32"/>
      <c r="AA1419" s="32"/>
      <c r="AB1419" s="31"/>
      <c r="AC1419" s="32"/>
      <c r="AD1419" s="32"/>
      <c r="AE1419" s="32"/>
      <c r="AF1419" s="32"/>
      <c r="AG1419" s="31"/>
      <c r="AH1419" s="32"/>
      <c r="AI1419" s="32"/>
      <c r="AJ1419" s="32"/>
      <c r="AK1419" s="32"/>
      <c r="AL1419" s="31"/>
      <c r="AM1419" s="32"/>
      <c r="AN1419" s="32"/>
      <c r="AO1419" s="32"/>
      <c r="AP1419" s="32"/>
      <c r="AQ1419" s="31"/>
      <c r="AR1419" s="32"/>
      <c r="AS1419" s="32"/>
      <c r="AT1419" s="32"/>
      <c r="AU1419" s="32"/>
      <c r="AV1419" s="31"/>
      <c r="AW1419" s="32"/>
      <c r="AX1419" s="32"/>
      <c r="AY1419" s="32"/>
      <c r="AZ1419" s="32"/>
      <c r="BA1419" s="33"/>
      <c r="BB1419" s="32"/>
      <c r="BC1419" s="32"/>
      <c r="BD1419" s="32"/>
      <c r="BE1419" s="32"/>
      <c r="BF1419" s="33"/>
      <c r="BG1419" s="32"/>
      <c r="BH1419" s="32"/>
      <c r="BI1419" s="32"/>
      <c r="BJ1419" s="32"/>
      <c r="BK1419" s="33"/>
      <c r="BL1419" s="32"/>
      <c r="BM1419" s="32"/>
      <c r="BN1419" s="32"/>
      <c r="BO1419" s="32"/>
      <c r="BP1419" s="33"/>
      <c r="BQ1419" s="16"/>
      <c r="BR1419" s="16"/>
      <c r="BS1419" s="16"/>
      <c r="BT1419" s="16"/>
      <c r="BU1419" s="21"/>
      <c r="BV1419" s="16"/>
      <c r="BW1419" s="16"/>
      <c r="BX1419" s="16"/>
      <c r="BY1419" s="16"/>
      <c r="BZ1419" s="10"/>
      <c r="CA1419" s="16"/>
      <c r="CB1419" s="16"/>
      <c r="CC1419" s="16"/>
      <c r="CD1419" s="16"/>
      <c r="CE1419" s="10"/>
      <c r="CF1419" s="16"/>
      <c r="CG1419" s="16"/>
      <c r="CH1419" s="16"/>
      <c r="CI1419" s="16"/>
      <c r="CJ1419" s="10"/>
      <c r="CK1419" s="16"/>
      <c r="CL1419" s="16"/>
      <c r="CM1419" s="16"/>
      <c r="CN1419" s="16"/>
      <c r="CO1419" s="10"/>
      <c r="CP1419" s="16"/>
      <c r="CQ1419" s="16"/>
      <c r="CR1419" s="16"/>
      <c r="CS1419" s="16"/>
      <c r="CT1419" s="10"/>
      <c r="CU1419" s="16"/>
      <c r="CV1419" s="16"/>
      <c r="CW1419" s="16"/>
      <c r="CX1419" s="16"/>
      <c r="CY1419" s="10"/>
      <c r="CZ1419" s="16"/>
      <c r="DA1419" s="16"/>
      <c r="DB1419" s="16"/>
      <c r="DC1419" s="16"/>
      <c r="DD1419" s="10"/>
      <c r="DE1419" s="16"/>
      <c r="DF1419" s="16"/>
      <c r="DG1419" s="16"/>
      <c r="DH1419" s="16"/>
      <c r="DI1419" s="10"/>
      <c r="DJ1419" s="16"/>
      <c r="DK1419" s="16"/>
      <c r="DL1419" s="16"/>
      <c r="DM1419" s="16"/>
      <c r="DN1419" s="10"/>
      <c r="DO1419" s="16"/>
      <c r="DP1419" s="16"/>
      <c r="DQ1419" s="16"/>
      <c r="DR1419" s="16"/>
      <c r="DS1419" s="10"/>
      <c r="DT1419" s="16"/>
      <c r="DU1419" s="16"/>
      <c r="DV1419" s="16"/>
      <c r="DW1419" s="16"/>
      <c r="DX1419" s="10"/>
      <c r="DY1419" s="16"/>
      <c r="DZ1419" s="16"/>
      <c r="EA1419" s="16"/>
      <c r="EB1419" s="16"/>
      <c r="EC1419" s="10"/>
      <c r="ED1419" s="16"/>
      <c r="EE1419" s="16"/>
      <c r="EF1419" s="16"/>
      <c r="EG1419" s="16"/>
      <c r="EH1419" s="10"/>
      <c r="EI1419" s="214"/>
      <c r="EJ1419" s="16"/>
      <c r="EK1419" s="16"/>
      <c r="EL1419" s="16"/>
      <c r="EM1419" s="10"/>
      <c r="EN1419" s="16"/>
      <c r="EO1419" s="16"/>
      <c r="EP1419" s="16"/>
      <c r="EQ1419" s="16"/>
      <c r="ER1419" s="10"/>
      <c r="ES1419" s="16"/>
      <c r="ET1419" s="16"/>
      <c r="EU1419" s="16"/>
      <c r="EV1419" s="16"/>
      <c r="EW1419" s="10"/>
      <c r="EX1419" s="16"/>
      <c r="EY1419" s="16"/>
      <c r="EZ1419" s="16"/>
      <c r="FA1419" s="16"/>
      <c r="FB1419" s="10"/>
      <c r="FC1419" s="16"/>
      <c r="FD1419" s="16"/>
      <c r="FE1419" s="16"/>
      <c r="FF1419" s="16"/>
      <c r="FG1419" s="10"/>
      <c r="FH1419" s="21"/>
      <c r="FI1419" s="16"/>
      <c r="FJ1419" s="16"/>
      <c r="FK1419" s="16"/>
      <c r="FL1419" s="16"/>
    </row>
    <row r="1420" ht="12.75" customHeight="1">
      <c r="A1420" s="16"/>
      <c r="B1420" s="16"/>
      <c r="C1420" s="16"/>
      <c r="D1420" s="16"/>
      <c r="E1420" s="16"/>
      <c r="F1420" s="16"/>
      <c r="G1420" s="16"/>
      <c r="H1420" s="31"/>
      <c r="I1420" s="32"/>
      <c r="J1420" s="32"/>
      <c r="K1420" s="32"/>
      <c r="L1420" s="32"/>
      <c r="M1420" s="31"/>
      <c r="N1420" s="32"/>
      <c r="O1420" s="32"/>
      <c r="P1420" s="32"/>
      <c r="Q1420" s="32"/>
      <c r="R1420" s="33"/>
      <c r="S1420" s="32"/>
      <c r="T1420" s="32"/>
      <c r="U1420" s="32"/>
      <c r="V1420" s="32"/>
      <c r="W1420" s="33"/>
      <c r="X1420" s="32"/>
      <c r="Y1420" s="32"/>
      <c r="Z1420" s="32"/>
      <c r="AA1420" s="32"/>
      <c r="AB1420" s="31"/>
      <c r="AC1420" s="32"/>
      <c r="AD1420" s="32"/>
      <c r="AE1420" s="32"/>
      <c r="AF1420" s="32"/>
      <c r="AG1420" s="31"/>
      <c r="AH1420" s="32"/>
      <c r="AI1420" s="32"/>
      <c r="AJ1420" s="32"/>
      <c r="AK1420" s="32"/>
      <c r="AL1420" s="31"/>
      <c r="AM1420" s="32"/>
      <c r="AN1420" s="32"/>
      <c r="AO1420" s="32"/>
      <c r="AP1420" s="32"/>
      <c r="AQ1420" s="31"/>
      <c r="AR1420" s="32"/>
      <c r="AS1420" s="32"/>
      <c r="AT1420" s="32"/>
      <c r="AU1420" s="32"/>
      <c r="AV1420" s="31"/>
      <c r="AW1420" s="32"/>
      <c r="AX1420" s="32"/>
      <c r="AY1420" s="32"/>
      <c r="AZ1420" s="32"/>
      <c r="BA1420" s="33"/>
      <c r="BB1420" s="32"/>
      <c r="BC1420" s="32"/>
      <c r="BD1420" s="32"/>
      <c r="BE1420" s="32"/>
      <c r="BF1420" s="33"/>
      <c r="BG1420" s="32"/>
      <c r="BH1420" s="32"/>
      <c r="BI1420" s="32"/>
      <c r="BJ1420" s="32"/>
      <c r="BK1420" s="33"/>
      <c r="BL1420" s="32"/>
      <c r="BM1420" s="32"/>
      <c r="BN1420" s="32"/>
      <c r="BO1420" s="32"/>
      <c r="BP1420" s="33"/>
      <c r="BQ1420" s="16"/>
      <c r="BR1420" s="16"/>
      <c r="BS1420" s="16"/>
      <c r="BT1420" s="16"/>
      <c r="BU1420" s="21"/>
      <c r="BV1420" s="16"/>
      <c r="BW1420" s="16"/>
      <c r="BX1420" s="16"/>
      <c r="BY1420" s="16"/>
      <c r="BZ1420" s="10"/>
      <c r="CA1420" s="16"/>
      <c r="CB1420" s="16"/>
      <c r="CC1420" s="16"/>
      <c r="CD1420" s="16"/>
      <c r="CE1420" s="10"/>
      <c r="CF1420" s="16"/>
      <c r="CG1420" s="16"/>
      <c r="CH1420" s="16"/>
      <c r="CI1420" s="16"/>
      <c r="CJ1420" s="10"/>
      <c r="CK1420" s="16"/>
      <c r="CL1420" s="16"/>
      <c r="CM1420" s="16"/>
      <c r="CN1420" s="16"/>
      <c r="CO1420" s="10"/>
      <c r="CP1420" s="16"/>
      <c r="CQ1420" s="16"/>
      <c r="CR1420" s="16"/>
      <c r="CS1420" s="16"/>
      <c r="CT1420" s="10"/>
      <c r="CU1420" s="16"/>
      <c r="CV1420" s="16"/>
      <c r="CW1420" s="16"/>
      <c r="CX1420" s="16"/>
      <c r="CY1420" s="10"/>
      <c r="CZ1420" s="16"/>
      <c r="DA1420" s="16"/>
      <c r="DB1420" s="16"/>
      <c r="DC1420" s="16"/>
      <c r="DD1420" s="10"/>
      <c r="DE1420" s="16"/>
      <c r="DF1420" s="16"/>
      <c r="DG1420" s="16"/>
      <c r="DH1420" s="16"/>
      <c r="DI1420" s="10"/>
      <c r="DJ1420" s="16"/>
      <c r="DK1420" s="16"/>
      <c r="DL1420" s="16"/>
      <c r="DM1420" s="16"/>
      <c r="DN1420" s="10"/>
      <c r="DO1420" s="16"/>
      <c r="DP1420" s="16"/>
      <c r="DQ1420" s="16"/>
      <c r="DR1420" s="16"/>
      <c r="DS1420" s="10"/>
      <c r="DT1420" s="16"/>
      <c r="DU1420" s="16"/>
      <c r="DV1420" s="16"/>
      <c r="DW1420" s="16"/>
      <c r="DX1420" s="10"/>
      <c r="DY1420" s="16"/>
      <c r="DZ1420" s="16"/>
      <c r="EA1420" s="16"/>
      <c r="EB1420" s="16"/>
      <c r="EC1420" s="10"/>
      <c r="ED1420" s="16"/>
      <c r="EE1420" s="16"/>
      <c r="EF1420" s="16"/>
      <c r="EG1420" s="16"/>
      <c r="EH1420" s="10"/>
      <c r="EI1420" s="214"/>
      <c r="EJ1420" s="16"/>
      <c r="EK1420" s="16"/>
      <c r="EL1420" s="16"/>
      <c r="EM1420" s="10"/>
      <c r="EN1420" s="16"/>
      <c r="EO1420" s="16"/>
      <c r="EP1420" s="16"/>
      <c r="EQ1420" s="16"/>
      <c r="ER1420" s="10"/>
      <c r="ES1420" s="16"/>
      <c r="ET1420" s="16"/>
      <c r="EU1420" s="16"/>
      <c r="EV1420" s="16"/>
      <c r="EW1420" s="10"/>
      <c r="EX1420" s="16"/>
      <c r="EY1420" s="16"/>
      <c r="EZ1420" s="16"/>
      <c r="FA1420" s="16"/>
      <c r="FB1420" s="10"/>
      <c r="FC1420" s="16"/>
      <c r="FD1420" s="16"/>
      <c r="FE1420" s="16"/>
      <c r="FF1420" s="16"/>
      <c r="FG1420" s="10"/>
      <c r="FH1420" s="21"/>
      <c r="FI1420" s="16"/>
      <c r="FJ1420" s="16"/>
      <c r="FK1420" s="16"/>
      <c r="FL1420" s="16"/>
    </row>
    <row r="1421" ht="12.75" customHeight="1">
      <c r="A1421" s="16"/>
      <c r="B1421" s="16"/>
      <c r="C1421" s="16"/>
      <c r="D1421" s="16"/>
      <c r="E1421" s="16"/>
      <c r="F1421" s="16"/>
      <c r="G1421" s="16"/>
      <c r="H1421" s="31"/>
      <c r="I1421" s="32"/>
      <c r="J1421" s="32"/>
      <c r="K1421" s="32"/>
      <c r="L1421" s="32"/>
      <c r="M1421" s="31"/>
      <c r="N1421" s="32"/>
      <c r="O1421" s="32"/>
      <c r="P1421" s="32"/>
      <c r="Q1421" s="32"/>
      <c r="R1421" s="33"/>
      <c r="S1421" s="32"/>
      <c r="T1421" s="32"/>
      <c r="U1421" s="32"/>
      <c r="V1421" s="32"/>
      <c r="W1421" s="33"/>
      <c r="X1421" s="32"/>
      <c r="Y1421" s="32"/>
      <c r="Z1421" s="32"/>
      <c r="AA1421" s="32"/>
      <c r="AB1421" s="31"/>
      <c r="AC1421" s="32"/>
      <c r="AD1421" s="32"/>
      <c r="AE1421" s="32"/>
      <c r="AF1421" s="32"/>
      <c r="AG1421" s="31"/>
      <c r="AH1421" s="32"/>
      <c r="AI1421" s="32"/>
      <c r="AJ1421" s="32"/>
      <c r="AK1421" s="32"/>
      <c r="AL1421" s="31"/>
      <c r="AM1421" s="32"/>
      <c r="AN1421" s="32"/>
      <c r="AO1421" s="32"/>
      <c r="AP1421" s="32"/>
      <c r="AQ1421" s="31"/>
      <c r="AR1421" s="32"/>
      <c r="AS1421" s="32"/>
      <c r="AT1421" s="32"/>
      <c r="AU1421" s="32"/>
      <c r="AV1421" s="31"/>
      <c r="AW1421" s="32"/>
      <c r="AX1421" s="32"/>
      <c r="AY1421" s="32"/>
      <c r="AZ1421" s="32"/>
      <c r="BA1421" s="33"/>
      <c r="BB1421" s="32"/>
      <c r="BC1421" s="32"/>
      <c r="BD1421" s="32"/>
      <c r="BE1421" s="32"/>
      <c r="BF1421" s="33"/>
      <c r="BG1421" s="32"/>
      <c r="BH1421" s="32"/>
      <c r="BI1421" s="32"/>
      <c r="BJ1421" s="32"/>
      <c r="BK1421" s="33"/>
      <c r="BL1421" s="32"/>
      <c r="BM1421" s="32"/>
      <c r="BN1421" s="32"/>
      <c r="BO1421" s="32"/>
      <c r="BP1421" s="33"/>
      <c r="BQ1421" s="16"/>
      <c r="BR1421" s="16"/>
      <c r="BS1421" s="16"/>
      <c r="BT1421" s="16"/>
      <c r="BU1421" s="21"/>
      <c r="BV1421" s="16"/>
      <c r="BW1421" s="16"/>
      <c r="BX1421" s="16"/>
      <c r="BY1421" s="16"/>
      <c r="BZ1421" s="10"/>
      <c r="CA1421" s="16"/>
      <c r="CB1421" s="16"/>
      <c r="CC1421" s="16"/>
      <c r="CD1421" s="16"/>
      <c r="CE1421" s="10"/>
      <c r="CF1421" s="16"/>
      <c r="CG1421" s="16"/>
      <c r="CH1421" s="16"/>
      <c r="CI1421" s="16"/>
      <c r="CJ1421" s="10"/>
      <c r="CK1421" s="16"/>
      <c r="CL1421" s="16"/>
      <c r="CM1421" s="16"/>
      <c r="CN1421" s="16"/>
      <c r="CO1421" s="10"/>
      <c r="CP1421" s="16"/>
      <c r="CQ1421" s="16"/>
      <c r="CR1421" s="16"/>
      <c r="CS1421" s="16"/>
      <c r="CT1421" s="10"/>
      <c r="CU1421" s="16"/>
      <c r="CV1421" s="16"/>
      <c r="CW1421" s="16"/>
      <c r="CX1421" s="16"/>
      <c r="CY1421" s="10"/>
      <c r="CZ1421" s="16"/>
      <c r="DA1421" s="16"/>
      <c r="DB1421" s="16"/>
      <c r="DC1421" s="16"/>
      <c r="DD1421" s="10"/>
      <c r="DE1421" s="16"/>
      <c r="DF1421" s="16"/>
      <c r="DG1421" s="16"/>
      <c r="DH1421" s="16"/>
      <c r="DI1421" s="10"/>
      <c r="DJ1421" s="16"/>
      <c r="DK1421" s="16"/>
      <c r="DL1421" s="16"/>
      <c r="DM1421" s="16"/>
      <c r="DN1421" s="10"/>
      <c r="DO1421" s="16"/>
      <c r="DP1421" s="16"/>
      <c r="DQ1421" s="16"/>
      <c r="DR1421" s="16"/>
      <c r="DS1421" s="10"/>
      <c r="DT1421" s="16"/>
      <c r="DU1421" s="16"/>
      <c r="DV1421" s="16"/>
      <c r="DW1421" s="16"/>
      <c r="DX1421" s="10"/>
      <c r="DY1421" s="16"/>
      <c r="DZ1421" s="16"/>
      <c r="EA1421" s="16"/>
      <c r="EB1421" s="16"/>
      <c r="EC1421" s="10"/>
      <c r="ED1421" s="16"/>
      <c r="EE1421" s="16"/>
      <c r="EF1421" s="16"/>
      <c r="EG1421" s="16"/>
      <c r="EH1421" s="10"/>
      <c r="EI1421" s="214"/>
      <c r="EJ1421" s="16"/>
      <c r="EK1421" s="16"/>
      <c r="EL1421" s="16"/>
      <c r="EM1421" s="10"/>
      <c r="EN1421" s="16"/>
      <c r="EO1421" s="16"/>
      <c r="EP1421" s="16"/>
      <c r="EQ1421" s="16"/>
      <c r="ER1421" s="10"/>
      <c r="ES1421" s="16"/>
      <c r="ET1421" s="16"/>
      <c r="EU1421" s="16"/>
      <c r="EV1421" s="16"/>
      <c r="EW1421" s="10"/>
      <c r="EX1421" s="16"/>
      <c r="EY1421" s="16"/>
      <c r="EZ1421" s="16"/>
      <c r="FA1421" s="16"/>
      <c r="FB1421" s="10"/>
      <c r="FC1421" s="16"/>
      <c r="FD1421" s="16"/>
      <c r="FE1421" s="16"/>
      <c r="FF1421" s="16"/>
      <c r="FG1421" s="10"/>
      <c r="FH1421" s="21"/>
      <c r="FI1421" s="16"/>
      <c r="FJ1421" s="16"/>
      <c r="FK1421" s="16"/>
      <c r="FL1421" s="16"/>
    </row>
    <row r="1422" ht="12.75" customHeight="1">
      <c r="A1422" s="16"/>
      <c r="B1422" s="16"/>
      <c r="C1422" s="16"/>
      <c r="D1422" s="16"/>
      <c r="E1422" s="16"/>
      <c r="F1422" s="16"/>
      <c r="G1422" s="16"/>
      <c r="H1422" s="31"/>
      <c r="I1422" s="32"/>
      <c r="J1422" s="32"/>
      <c r="K1422" s="32"/>
      <c r="L1422" s="32"/>
      <c r="M1422" s="31"/>
      <c r="N1422" s="32"/>
      <c r="O1422" s="32"/>
      <c r="P1422" s="32"/>
      <c r="Q1422" s="32"/>
      <c r="R1422" s="33"/>
      <c r="S1422" s="32"/>
      <c r="T1422" s="32"/>
      <c r="U1422" s="32"/>
      <c r="V1422" s="32"/>
      <c r="W1422" s="33"/>
      <c r="X1422" s="32"/>
      <c r="Y1422" s="32"/>
      <c r="Z1422" s="32"/>
      <c r="AA1422" s="32"/>
      <c r="AB1422" s="31"/>
      <c r="AC1422" s="32"/>
      <c r="AD1422" s="32"/>
      <c r="AE1422" s="32"/>
      <c r="AF1422" s="32"/>
      <c r="AG1422" s="31"/>
      <c r="AH1422" s="32"/>
      <c r="AI1422" s="32"/>
      <c r="AJ1422" s="32"/>
      <c r="AK1422" s="32"/>
      <c r="AL1422" s="31"/>
      <c r="AM1422" s="32"/>
      <c r="AN1422" s="32"/>
      <c r="AO1422" s="32"/>
      <c r="AP1422" s="32"/>
      <c r="AQ1422" s="31"/>
      <c r="AR1422" s="32"/>
      <c r="AS1422" s="32"/>
      <c r="AT1422" s="32"/>
      <c r="AU1422" s="32"/>
      <c r="AV1422" s="31"/>
      <c r="AW1422" s="32"/>
      <c r="AX1422" s="32"/>
      <c r="AY1422" s="32"/>
      <c r="AZ1422" s="32"/>
      <c r="BA1422" s="33"/>
      <c r="BB1422" s="32"/>
      <c r="BC1422" s="32"/>
      <c r="BD1422" s="32"/>
      <c r="BE1422" s="32"/>
      <c r="BF1422" s="33"/>
      <c r="BG1422" s="32"/>
      <c r="BH1422" s="32"/>
      <c r="BI1422" s="32"/>
      <c r="BJ1422" s="32"/>
      <c r="BK1422" s="33"/>
      <c r="BL1422" s="32"/>
      <c r="BM1422" s="32"/>
      <c r="BN1422" s="32"/>
      <c r="BO1422" s="32"/>
      <c r="BP1422" s="33"/>
      <c r="BQ1422" s="16"/>
      <c r="BR1422" s="16"/>
      <c r="BS1422" s="16"/>
      <c r="BT1422" s="16"/>
      <c r="BU1422" s="21"/>
      <c r="BV1422" s="16"/>
      <c r="BW1422" s="16"/>
      <c r="BX1422" s="16"/>
      <c r="BY1422" s="16"/>
      <c r="BZ1422" s="10"/>
      <c r="CA1422" s="16"/>
      <c r="CB1422" s="16"/>
      <c r="CC1422" s="16"/>
      <c r="CD1422" s="16"/>
      <c r="CE1422" s="10"/>
      <c r="CF1422" s="16"/>
      <c r="CG1422" s="16"/>
      <c r="CH1422" s="16"/>
      <c r="CI1422" s="16"/>
      <c r="CJ1422" s="10"/>
      <c r="CK1422" s="16"/>
      <c r="CL1422" s="16"/>
      <c r="CM1422" s="16"/>
      <c r="CN1422" s="16"/>
      <c r="CO1422" s="10"/>
      <c r="CP1422" s="16"/>
      <c r="CQ1422" s="16"/>
      <c r="CR1422" s="16"/>
      <c r="CS1422" s="16"/>
      <c r="CT1422" s="10"/>
      <c r="CU1422" s="16"/>
      <c r="CV1422" s="16"/>
      <c r="CW1422" s="16"/>
      <c r="CX1422" s="16"/>
      <c r="CY1422" s="10"/>
      <c r="CZ1422" s="16"/>
      <c r="DA1422" s="16"/>
      <c r="DB1422" s="16"/>
      <c r="DC1422" s="16"/>
      <c r="DD1422" s="10"/>
      <c r="DE1422" s="16"/>
      <c r="DF1422" s="16"/>
      <c r="DG1422" s="16"/>
      <c r="DH1422" s="16"/>
      <c r="DI1422" s="10"/>
      <c r="DJ1422" s="16"/>
      <c r="DK1422" s="16"/>
      <c r="DL1422" s="16"/>
      <c r="DM1422" s="16"/>
      <c r="DN1422" s="10"/>
      <c r="DO1422" s="16"/>
      <c r="DP1422" s="16"/>
      <c r="DQ1422" s="16"/>
      <c r="DR1422" s="16"/>
      <c r="DS1422" s="10"/>
      <c r="DT1422" s="16"/>
      <c r="DU1422" s="16"/>
      <c r="DV1422" s="16"/>
      <c r="DW1422" s="16"/>
      <c r="DX1422" s="10"/>
      <c r="DY1422" s="16"/>
      <c r="DZ1422" s="16"/>
      <c r="EA1422" s="16"/>
      <c r="EB1422" s="16"/>
      <c r="EC1422" s="10"/>
      <c r="ED1422" s="16"/>
      <c r="EE1422" s="16"/>
      <c r="EF1422" s="16"/>
      <c r="EG1422" s="16"/>
      <c r="EH1422" s="10"/>
      <c r="EI1422" s="214"/>
      <c r="EJ1422" s="16"/>
      <c r="EK1422" s="16"/>
      <c r="EL1422" s="16"/>
      <c r="EM1422" s="10"/>
      <c r="EN1422" s="16"/>
      <c r="EO1422" s="16"/>
      <c r="EP1422" s="16"/>
      <c r="EQ1422" s="16"/>
      <c r="ER1422" s="10"/>
      <c r="ES1422" s="16"/>
      <c r="ET1422" s="16"/>
      <c r="EU1422" s="16"/>
      <c r="EV1422" s="16"/>
      <c r="EW1422" s="10"/>
      <c r="EX1422" s="16"/>
      <c r="EY1422" s="16"/>
      <c r="EZ1422" s="16"/>
      <c r="FA1422" s="16"/>
      <c r="FB1422" s="10"/>
      <c r="FC1422" s="16"/>
      <c r="FD1422" s="16"/>
      <c r="FE1422" s="16"/>
      <c r="FF1422" s="16"/>
      <c r="FG1422" s="10"/>
      <c r="FH1422" s="21"/>
      <c r="FI1422" s="16"/>
      <c r="FJ1422" s="16"/>
      <c r="FK1422" s="16"/>
      <c r="FL1422" s="16"/>
    </row>
    <row r="1423" ht="12.75" customHeight="1">
      <c r="A1423" s="16"/>
      <c r="B1423" s="16"/>
      <c r="C1423" s="16"/>
      <c r="D1423" s="16"/>
      <c r="E1423" s="16"/>
      <c r="F1423" s="16"/>
      <c r="G1423" s="16"/>
      <c r="H1423" s="31"/>
      <c r="I1423" s="32"/>
      <c r="J1423" s="32"/>
      <c r="K1423" s="32"/>
      <c r="L1423" s="32"/>
      <c r="M1423" s="31"/>
      <c r="N1423" s="32"/>
      <c r="O1423" s="32"/>
      <c r="P1423" s="32"/>
      <c r="Q1423" s="32"/>
      <c r="R1423" s="33"/>
      <c r="S1423" s="32"/>
      <c r="T1423" s="32"/>
      <c r="U1423" s="32"/>
      <c r="V1423" s="32"/>
      <c r="W1423" s="33"/>
      <c r="X1423" s="32"/>
      <c r="Y1423" s="32"/>
      <c r="Z1423" s="32"/>
      <c r="AA1423" s="32"/>
      <c r="AB1423" s="31"/>
      <c r="AC1423" s="32"/>
      <c r="AD1423" s="32"/>
      <c r="AE1423" s="32"/>
      <c r="AF1423" s="32"/>
      <c r="AG1423" s="31"/>
      <c r="AH1423" s="32"/>
      <c r="AI1423" s="32"/>
      <c r="AJ1423" s="32"/>
      <c r="AK1423" s="32"/>
      <c r="AL1423" s="31"/>
      <c r="AM1423" s="32"/>
      <c r="AN1423" s="32"/>
      <c r="AO1423" s="32"/>
      <c r="AP1423" s="32"/>
      <c r="AQ1423" s="31"/>
      <c r="AR1423" s="32"/>
      <c r="AS1423" s="32"/>
      <c r="AT1423" s="32"/>
      <c r="AU1423" s="32"/>
      <c r="AV1423" s="31"/>
      <c r="AW1423" s="32"/>
      <c r="AX1423" s="32"/>
      <c r="AY1423" s="32"/>
      <c r="AZ1423" s="32"/>
      <c r="BA1423" s="33"/>
      <c r="BB1423" s="32"/>
      <c r="BC1423" s="32"/>
      <c r="BD1423" s="32"/>
      <c r="BE1423" s="32"/>
      <c r="BF1423" s="33"/>
      <c r="BG1423" s="32"/>
      <c r="BH1423" s="32"/>
      <c r="BI1423" s="32"/>
      <c r="BJ1423" s="32"/>
      <c r="BK1423" s="33"/>
      <c r="BL1423" s="32"/>
      <c r="BM1423" s="32"/>
      <c r="BN1423" s="32"/>
      <c r="BO1423" s="32"/>
      <c r="BP1423" s="33"/>
      <c r="BQ1423" s="16"/>
      <c r="BR1423" s="16"/>
      <c r="BS1423" s="16"/>
      <c r="BT1423" s="16"/>
      <c r="BU1423" s="21"/>
      <c r="BV1423" s="16"/>
      <c r="BW1423" s="16"/>
      <c r="BX1423" s="16"/>
      <c r="BY1423" s="16"/>
      <c r="BZ1423" s="10"/>
      <c r="CA1423" s="16"/>
      <c r="CB1423" s="16"/>
      <c r="CC1423" s="16"/>
      <c r="CD1423" s="16"/>
      <c r="CE1423" s="10"/>
      <c r="CF1423" s="16"/>
      <c r="CG1423" s="16"/>
      <c r="CH1423" s="16"/>
      <c r="CI1423" s="16"/>
      <c r="CJ1423" s="10"/>
      <c r="CK1423" s="16"/>
      <c r="CL1423" s="16"/>
      <c r="CM1423" s="16"/>
      <c r="CN1423" s="16"/>
      <c r="CO1423" s="10"/>
      <c r="CP1423" s="16"/>
      <c r="CQ1423" s="16"/>
      <c r="CR1423" s="16"/>
      <c r="CS1423" s="16"/>
      <c r="CT1423" s="10"/>
      <c r="CU1423" s="16"/>
      <c r="CV1423" s="16"/>
      <c r="CW1423" s="16"/>
      <c r="CX1423" s="16"/>
      <c r="CY1423" s="10"/>
      <c r="CZ1423" s="16"/>
      <c r="DA1423" s="16"/>
      <c r="DB1423" s="16"/>
      <c r="DC1423" s="16"/>
      <c r="DD1423" s="10"/>
      <c r="DE1423" s="16"/>
      <c r="DF1423" s="16"/>
      <c r="DG1423" s="16"/>
      <c r="DH1423" s="16"/>
      <c r="DI1423" s="10"/>
      <c r="DJ1423" s="16"/>
      <c r="DK1423" s="16"/>
      <c r="DL1423" s="16"/>
      <c r="DM1423" s="16"/>
      <c r="DN1423" s="10"/>
      <c r="DO1423" s="16"/>
      <c r="DP1423" s="16"/>
      <c r="DQ1423" s="16"/>
      <c r="DR1423" s="16"/>
      <c r="DS1423" s="10"/>
      <c r="DT1423" s="16"/>
      <c r="DU1423" s="16"/>
      <c r="DV1423" s="16"/>
      <c r="DW1423" s="16"/>
      <c r="DX1423" s="10"/>
      <c r="DY1423" s="16"/>
      <c r="DZ1423" s="16"/>
      <c r="EA1423" s="16"/>
      <c r="EB1423" s="16"/>
      <c r="EC1423" s="10"/>
      <c r="ED1423" s="16"/>
      <c r="EE1423" s="16"/>
      <c r="EF1423" s="16"/>
      <c r="EG1423" s="16"/>
      <c r="EH1423" s="10"/>
      <c r="EI1423" s="214"/>
      <c r="EJ1423" s="16"/>
      <c r="EK1423" s="16"/>
      <c r="EL1423" s="16"/>
      <c r="EM1423" s="10"/>
      <c r="EN1423" s="16"/>
      <c r="EO1423" s="16"/>
      <c r="EP1423" s="16"/>
      <c r="EQ1423" s="16"/>
      <c r="ER1423" s="10"/>
      <c r="ES1423" s="16"/>
      <c r="ET1423" s="16"/>
      <c r="EU1423" s="16"/>
      <c r="EV1423" s="16"/>
      <c r="EW1423" s="10"/>
      <c r="EX1423" s="16"/>
      <c r="EY1423" s="16"/>
      <c r="EZ1423" s="16"/>
      <c r="FA1423" s="16"/>
      <c r="FB1423" s="10"/>
      <c r="FC1423" s="16"/>
      <c r="FD1423" s="16"/>
      <c r="FE1423" s="16"/>
      <c r="FF1423" s="16"/>
      <c r="FG1423" s="10"/>
      <c r="FH1423" s="21"/>
      <c r="FI1423" s="16"/>
      <c r="FJ1423" s="16"/>
      <c r="FK1423" s="16"/>
      <c r="FL1423" s="16"/>
    </row>
    <row r="1424" ht="12.75" customHeight="1">
      <c r="A1424" s="16"/>
      <c r="B1424" s="16"/>
      <c r="C1424" s="16"/>
      <c r="D1424" s="16"/>
      <c r="E1424" s="16"/>
      <c r="F1424" s="16"/>
      <c r="G1424" s="16"/>
      <c r="H1424" s="31"/>
      <c r="I1424" s="32"/>
      <c r="J1424" s="32"/>
      <c r="K1424" s="32"/>
      <c r="L1424" s="32"/>
      <c r="M1424" s="31"/>
      <c r="N1424" s="32"/>
      <c r="O1424" s="32"/>
      <c r="P1424" s="32"/>
      <c r="Q1424" s="32"/>
      <c r="R1424" s="33"/>
      <c r="S1424" s="32"/>
      <c r="T1424" s="32"/>
      <c r="U1424" s="32"/>
      <c r="V1424" s="32"/>
      <c r="W1424" s="33"/>
      <c r="X1424" s="32"/>
      <c r="Y1424" s="32"/>
      <c r="Z1424" s="32"/>
      <c r="AA1424" s="32"/>
      <c r="AB1424" s="31"/>
      <c r="AC1424" s="32"/>
      <c r="AD1424" s="32"/>
      <c r="AE1424" s="32"/>
      <c r="AF1424" s="32"/>
      <c r="AG1424" s="31"/>
      <c r="AH1424" s="32"/>
      <c r="AI1424" s="32"/>
      <c r="AJ1424" s="32"/>
      <c r="AK1424" s="32"/>
      <c r="AL1424" s="31"/>
      <c r="AM1424" s="32"/>
      <c r="AN1424" s="32"/>
      <c r="AO1424" s="32"/>
      <c r="AP1424" s="32"/>
      <c r="AQ1424" s="31"/>
      <c r="AR1424" s="32"/>
      <c r="AS1424" s="32"/>
      <c r="AT1424" s="32"/>
      <c r="AU1424" s="32"/>
      <c r="AV1424" s="31"/>
      <c r="AW1424" s="32"/>
      <c r="AX1424" s="32"/>
      <c r="AY1424" s="32"/>
      <c r="AZ1424" s="32"/>
      <c r="BA1424" s="33"/>
      <c r="BB1424" s="32"/>
      <c r="BC1424" s="32"/>
      <c r="BD1424" s="32"/>
      <c r="BE1424" s="32"/>
      <c r="BF1424" s="33"/>
      <c r="BG1424" s="32"/>
      <c r="BH1424" s="32"/>
      <c r="BI1424" s="32"/>
      <c r="BJ1424" s="32"/>
      <c r="BK1424" s="33"/>
      <c r="BL1424" s="32"/>
      <c r="BM1424" s="32"/>
      <c r="BN1424" s="32"/>
      <c r="BO1424" s="32"/>
      <c r="BP1424" s="33"/>
      <c r="BQ1424" s="16"/>
      <c r="BR1424" s="16"/>
      <c r="BS1424" s="16"/>
      <c r="BT1424" s="16"/>
      <c r="BU1424" s="21"/>
      <c r="BV1424" s="16"/>
      <c r="BW1424" s="16"/>
      <c r="BX1424" s="16"/>
      <c r="BY1424" s="16"/>
      <c r="BZ1424" s="10"/>
      <c r="CA1424" s="16"/>
      <c r="CB1424" s="16"/>
      <c r="CC1424" s="16"/>
      <c r="CD1424" s="16"/>
      <c r="CE1424" s="10"/>
      <c r="CF1424" s="16"/>
      <c r="CG1424" s="16"/>
      <c r="CH1424" s="16"/>
      <c r="CI1424" s="16"/>
      <c r="CJ1424" s="10"/>
      <c r="CK1424" s="16"/>
      <c r="CL1424" s="16"/>
      <c r="CM1424" s="16"/>
      <c r="CN1424" s="16"/>
      <c r="CO1424" s="10"/>
      <c r="CP1424" s="16"/>
      <c r="CQ1424" s="16"/>
      <c r="CR1424" s="16"/>
      <c r="CS1424" s="16"/>
      <c r="CT1424" s="10"/>
      <c r="CU1424" s="16"/>
      <c r="CV1424" s="16"/>
      <c r="CW1424" s="16"/>
      <c r="CX1424" s="16"/>
      <c r="CY1424" s="10"/>
      <c r="CZ1424" s="16"/>
      <c r="DA1424" s="16"/>
      <c r="DB1424" s="16"/>
      <c r="DC1424" s="16"/>
      <c r="DD1424" s="10"/>
      <c r="DE1424" s="16"/>
      <c r="DF1424" s="16"/>
      <c r="DG1424" s="16"/>
      <c r="DH1424" s="16"/>
      <c r="DI1424" s="10"/>
      <c r="DJ1424" s="16"/>
      <c r="DK1424" s="16"/>
      <c r="DL1424" s="16"/>
      <c r="DM1424" s="16"/>
      <c r="DN1424" s="10"/>
      <c r="DO1424" s="16"/>
      <c r="DP1424" s="16"/>
      <c r="DQ1424" s="16"/>
      <c r="DR1424" s="16"/>
      <c r="DS1424" s="10"/>
      <c r="DT1424" s="16"/>
      <c r="DU1424" s="16"/>
      <c r="DV1424" s="16"/>
      <c r="DW1424" s="16"/>
      <c r="DX1424" s="10"/>
      <c r="DY1424" s="16"/>
      <c r="DZ1424" s="16"/>
      <c r="EA1424" s="16"/>
      <c r="EB1424" s="16"/>
      <c r="EC1424" s="10"/>
      <c r="ED1424" s="16"/>
      <c r="EE1424" s="16"/>
      <c r="EF1424" s="16"/>
      <c r="EG1424" s="16"/>
      <c r="EH1424" s="10"/>
      <c r="EI1424" s="214"/>
      <c r="EJ1424" s="16"/>
      <c r="EK1424" s="16"/>
      <c r="EL1424" s="16"/>
      <c r="EM1424" s="10"/>
      <c r="EN1424" s="16"/>
      <c r="EO1424" s="16"/>
      <c r="EP1424" s="16"/>
      <c r="EQ1424" s="16"/>
      <c r="ER1424" s="10"/>
      <c r="ES1424" s="16"/>
      <c r="ET1424" s="16"/>
      <c r="EU1424" s="16"/>
      <c r="EV1424" s="16"/>
      <c r="EW1424" s="10"/>
      <c r="EX1424" s="16"/>
      <c r="EY1424" s="16"/>
      <c r="EZ1424" s="16"/>
      <c r="FA1424" s="16"/>
      <c r="FB1424" s="10"/>
      <c r="FC1424" s="16"/>
      <c r="FD1424" s="16"/>
      <c r="FE1424" s="16"/>
      <c r="FF1424" s="16"/>
      <c r="FG1424" s="10"/>
      <c r="FH1424" s="21"/>
      <c r="FI1424" s="16"/>
      <c r="FJ1424" s="16"/>
      <c r="FK1424" s="16"/>
      <c r="FL1424" s="16"/>
    </row>
    <row r="1425" ht="12.75" customHeight="1">
      <c r="A1425" s="16"/>
      <c r="B1425" s="16"/>
      <c r="C1425" s="16"/>
      <c r="D1425" s="16"/>
      <c r="E1425" s="16"/>
      <c r="F1425" s="16"/>
      <c r="G1425" s="16"/>
      <c r="H1425" s="31"/>
      <c r="I1425" s="32"/>
      <c r="J1425" s="32"/>
      <c r="K1425" s="32"/>
      <c r="L1425" s="32"/>
      <c r="M1425" s="31"/>
      <c r="N1425" s="32"/>
      <c r="O1425" s="32"/>
      <c r="P1425" s="32"/>
      <c r="Q1425" s="32"/>
      <c r="R1425" s="33"/>
      <c r="S1425" s="32"/>
      <c r="T1425" s="32"/>
      <c r="U1425" s="32"/>
      <c r="V1425" s="32"/>
      <c r="W1425" s="33"/>
      <c r="X1425" s="32"/>
      <c r="Y1425" s="32"/>
      <c r="Z1425" s="32"/>
      <c r="AA1425" s="32"/>
      <c r="AB1425" s="31"/>
      <c r="AC1425" s="32"/>
      <c r="AD1425" s="32"/>
      <c r="AE1425" s="32"/>
      <c r="AF1425" s="32"/>
      <c r="AG1425" s="31"/>
      <c r="AH1425" s="32"/>
      <c r="AI1425" s="32"/>
      <c r="AJ1425" s="32"/>
      <c r="AK1425" s="32"/>
      <c r="AL1425" s="31"/>
      <c r="AM1425" s="32"/>
      <c r="AN1425" s="32"/>
      <c r="AO1425" s="32"/>
      <c r="AP1425" s="32"/>
      <c r="AQ1425" s="31"/>
      <c r="AR1425" s="32"/>
      <c r="AS1425" s="32"/>
      <c r="AT1425" s="32"/>
      <c r="AU1425" s="32"/>
      <c r="AV1425" s="31"/>
      <c r="AW1425" s="32"/>
      <c r="AX1425" s="32"/>
      <c r="AY1425" s="32"/>
      <c r="AZ1425" s="32"/>
      <c r="BA1425" s="33"/>
      <c r="BB1425" s="32"/>
      <c r="BC1425" s="32"/>
      <c r="BD1425" s="32"/>
      <c r="BE1425" s="32"/>
      <c r="BF1425" s="33"/>
      <c r="BG1425" s="32"/>
      <c r="BH1425" s="32"/>
      <c r="BI1425" s="32"/>
      <c r="BJ1425" s="32"/>
      <c r="BK1425" s="33"/>
      <c r="BL1425" s="32"/>
      <c r="BM1425" s="32"/>
      <c r="BN1425" s="32"/>
      <c r="BO1425" s="32"/>
      <c r="BP1425" s="33"/>
      <c r="BQ1425" s="16"/>
      <c r="BR1425" s="16"/>
      <c r="BS1425" s="16"/>
      <c r="BT1425" s="16"/>
      <c r="BU1425" s="21"/>
      <c r="BV1425" s="16"/>
      <c r="BW1425" s="16"/>
      <c r="BX1425" s="16"/>
      <c r="BY1425" s="16"/>
      <c r="BZ1425" s="10"/>
      <c r="CA1425" s="16"/>
      <c r="CB1425" s="16"/>
      <c r="CC1425" s="16"/>
      <c r="CD1425" s="16"/>
      <c r="CE1425" s="10"/>
      <c r="CF1425" s="16"/>
      <c r="CG1425" s="16"/>
      <c r="CH1425" s="16"/>
      <c r="CI1425" s="16"/>
      <c r="CJ1425" s="10"/>
      <c r="CK1425" s="16"/>
      <c r="CL1425" s="16"/>
      <c r="CM1425" s="16"/>
      <c r="CN1425" s="16"/>
      <c r="CO1425" s="10"/>
      <c r="CP1425" s="16"/>
      <c r="CQ1425" s="16"/>
      <c r="CR1425" s="16"/>
      <c r="CS1425" s="16"/>
      <c r="CT1425" s="10"/>
      <c r="CU1425" s="16"/>
      <c r="CV1425" s="16"/>
      <c r="CW1425" s="16"/>
      <c r="CX1425" s="16"/>
      <c r="CY1425" s="10"/>
      <c r="CZ1425" s="16"/>
      <c r="DA1425" s="16"/>
      <c r="DB1425" s="16"/>
      <c r="DC1425" s="16"/>
      <c r="DD1425" s="10"/>
      <c r="DE1425" s="16"/>
      <c r="DF1425" s="16"/>
      <c r="DG1425" s="16"/>
      <c r="DH1425" s="16"/>
      <c r="DI1425" s="10"/>
      <c r="DJ1425" s="16"/>
      <c r="DK1425" s="16"/>
      <c r="DL1425" s="16"/>
      <c r="DM1425" s="16"/>
      <c r="DN1425" s="10"/>
      <c r="DO1425" s="16"/>
      <c r="DP1425" s="16"/>
      <c r="DQ1425" s="16"/>
      <c r="DR1425" s="16"/>
      <c r="DS1425" s="10"/>
      <c r="DT1425" s="16"/>
      <c r="DU1425" s="16"/>
      <c r="DV1425" s="16"/>
      <c r="DW1425" s="16"/>
      <c r="DX1425" s="10"/>
      <c r="DY1425" s="16"/>
      <c r="DZ1425" s="16"/>
      <c r="EA1425" s="16"/>
      <c r="EB1425" s="16"/>
      <c r="EC1425" s="10"/>
      <c r="ED1425" s="16"/>
      <c r="EE1425" s="16"/>
      <c r="EF1425" s="16"/>
      <c r="EG1425" s="16"/>
      <c r="EH1425" s="10"/>
      <c r="EI1425" s="214"/>
      <c r="EJ1425" s="16"/>
      <c r="EK1425" s="16"/>
      <c r="EL1425" s="16"/>
      <c r="EM1425" s="10"/>
      <c r="EN1425" s="16"/>
      <c r="EO1425" s="16"/>
      <c r="EP1425" s="16"/>
      <c r="EQ1425" s="16"/>
      <c r="ER1425" s="10"/>
      <c r="ES1425" s="16"/>
      <c r="ET1425" s="16"/>
      <c r="EU1425" s="16"/>
      <c r="EV1425" s="16"/>
      <c r="EW1425" s="10"/>
      <c r="EX1425" s="16"/>
      <c r="EY1425" s="16"/>
      <c r="EZ1425" s="16"/>
      <c r="FA1425" s="16"/>
      <c r="FB1425" s="10"/>
      <c r="FC1425" s="16"/>
      <c r="FD1425" s="16"/>
      <c r="FE1425" s="16"/>
      <c r="FF1425" s="16"/>
      <c r="FG1425" s="10"/>
      <c r="FH1425" s="21"/>
      <c r="FI1425" s="16"/>
      <c r="FJ1425" s="16"/>
      <c r="FK1425" s="16"/>
      <c r="FL1425" s="16"/>
    </row>
    <row r="1426" ht="12.75" customHeight="1">
      <c r="A1426" s="16"/>
      <c r="B1426" s="16"/>
      <c r="C1426" s="16"/>
      <c r="D1426" s="16"/>
      <c r="E1426" s="16"/>
      <c r="F1426" s="16"/>
      <c r="G1426" s="16"/>
      <c r="H1426" s="31"/>
      <c r="I1426" s="32"/>
      <c r="J1426" s="32"/>
      <c r="K1426" s="32"/>
      <c r="L1426" s="32"/>
      <c r="M1426" s="31"/>
      <c r="N1426" s="32"/>
      <c r="O1426" s="32"/>
      <c r="P1426" s="32"/>
      <c r="Q1426" s="32"/>
      <c r="R1426" s="33"/>
      <c r="S1426" s="32"/>
      <c r="T1426" s="32"/>
      <c r="U1426" s="32"/>
      <c r="V1426" s="32"/>
      <c r="W1426" s="33"/>
      <c r="X1426" s="32"/>
      <c r="Y1426" s="32"/>
      <c r="Z1426" s="32"/>
      <c r="AA1426" s="32"/>
      <c r="AB1426" s="31"/>
      <c r="AC1426" s="32"/>
      <c r="AD1426" s="32"/>
      <c r="AE1426" s="32"/>
      <c r="AF1426" s="32"/>
      <c r="AG1426" s="31"/>
      <c r="AH1426" s="32"/>
      <c r="AI1426" s="32"/>
      <c r="AJ1426" s="32"/>
      <c r="AK1426" s="32"/>
      <c r="AL1426" s="31"/>
      <c r="AM1426" s="32"/>
      <c r="AN1426" s="32"/>
      <c r="AO1426" s="32"/>
      <c r="AP1426" s="32"/>
      <c r="AQ1426" s="31"/>
      <c r="AR1426" s="32"/>
      <c r="AS1426" s="32"/>
      <c r="AT1426" s="32"/>
      <c r="AU1426" s="32"/>
      <c r="AV1426" s="31"/>
      <c r="AW1426" s="32"/>
      <c r="AX1426" s="32"/>
      <c r="AY1426" s="32"/>
      <c r="AZ1426" s="32"/>
      <c r="BA1426" s="33"/>
      <c r="BB1426" s="32"/>
      <c r="BC1426" s="32"/>
      <c r="BD1426" s="32"/>
      <c r="BE1426" s="32"/>
      <c r="BF1426" s="33"/>
      <c r="BG1426" s="32"/>
      <c r="BH1426" s="32"/>
      <c r="BI1426" s="32"/>
      <c r="BJ1426" s="32"/>
      <c r="BK1426" s="33"/>
      <c r="BL1426" s="32"/>
      <c r="BM1426" s="32"/>
      <c r="BN1426" s="32"/>
      <c r="BO1426" s="32"/>
      <c r="BP1426" s="33"/>
      <c r="BQ1426" s="16"/>
      <c r="BR1426" s="16"/>
      <c r="BS1426" s="16"/>
      <c r="BT1426" s="16"/>
      <c r="BU1426" s="21"/>
      <c r="BV1426" s="16"/>
      <c r="BW1426" s="16"/>
      <c r="BX1426" s="16"/>
      <c r="BY1426" s="16"/>
      <c r="BZ1426" s="10"/>
      <c r="CA1426" s="16"/>
      <c r="CB1426" s="16"/>
      <c r="CC1426" s="16"/>
      <c r="CD1426" s="16"/>
      <c r="CE1426" s="10"/>
      <c r="CF1426" s="16"/>
      <c r="CG1426" s="16"/>
      <c r="CH1426" s="16"/>
      <c r="CI1426" s="16"/>
      <c r="CJ1426" s="10"/>
      <c r="CK1426" s="16"/>
      <c r="CL1426" s="16"/>
      <c r="CM1426" s="16"/>
      <c r="CN1426" s="16"/>
      <c r="CO1426" s="10"/>
      <c r="CP1426" s="16"/>
      <c r="CQ1426" s="16"/>
      <c r="CR1426" s="16"/>
      <c r="CS1426" s="16"/>
      <c r="CT1426" s="10"/>
      <c r="CU1426" s="16"/>
      <c r="CV1426" s="16"/>
      <c r="CW1426" s="16"/>
      <c r="CX1426" s="16"/>
      <c r="CY1426" s="10"/>
      <c r="CZ1426" s="16"/>
      <c r="DA1426" s="16"/>
      <c r="DB1426" s="16"/>
      <c r="DC1426" s="16"/>
      <c r="DD1426" s="10"/>
      <c r="DE1426" s="16"/>
      <c r="DF1426" s="16"/>
      <c r="DG1426" s="16"/>
      <c r="DH1426" s="16"/>
      <c r="DI1426" s="10"/>
      <c r="DJ1426" s="16"/>
      <c r="DK1426" s="16"/>
      <c r="DL1426" s="16"/>
      <c r="DM1426" s="16"/>
      <c r="DN1426" s="10"/>
      <c r="DO1426" s="16"/>
      <c r="DP1426" s="16"/>
      <c r="DQ1426" s="16"/>
      <c r="DR1426" s="16"/>
      <c r="DS1426" s="10"/>
      <c r="DT1426" s="16"/>
      <c r="DU1426" s="16"/>
      <c r="DV1426" s="16"/>
      <c r="DW1426" s="16"/>
      <c r="DX1426" s="10"/>
      <c r="DY1426" s="16"/>
      <c r="DZ1426" s="16"/>
      <c r="EA1426" s="16"/>
      <c r="EB1426" s="16"/>
      <c r="EC1426" s="10"/>
      <c r="ED1426" s="16"/>
      <c r="EE1426" s="16"/>
      <c r="EF1426" s="16"/>
      <c r="EG1426" s="16"/>
      <c r="EH1426" s="10"/>
      <c r="EI1426" s="214"/>
      <c r="EJ1426" s="16"/>
      <c r="EK1426" s="16"/>
      <c r="EL1426" s="16"/>
      <c r="EM1426" s="10"/>
      <c r="EN1426" s="16"/>
      <c r="EO1426" s="16"/>
      <c r="EP1426" s="16"/>
      <c r="EQ1426" s="16"/>
      <c r="ER1426" s="10"/>
      <c r="ES1426" s="16"/>
      <c r="ET1426" s="16"/>
      <c r="EU1426" s="16"/>
      <c r="EV1426" s="16"/>
      <c r="EW1426" s="10"/>
      <c r="EX1426" s="16"/>
      <c r="EY1426" s="16"/>
      <c r="EZ1426" s="16"/>
      <c r="FA1426" s="16"/>
      <c r="FB1426" s="10"/>
      <c r="FC1426" s="16"/>
      <c r="FD1426" s="16"/>
      <c r="FE1426" s="16"/>
      <c r="FF1426" s="16"/>
      <c r="FG1426" s="10"/>
      <c r="FH1426" s="21"/>
      <c r="FI1426" s="16"/>
      <c r="FJ1426" s="16"/>
      <c r="FK1426" s="16"/>
      <c r="FL1426" s="16"/>
    </row>
    <row r="1427" ht="12.75" customHeight="1">
      <c r="A1427" s="16"/>
      <c r="B1427" s="16"/>
      <c r="C1427" s="16"/>
      <c r="D1427" s="16"/>
      <c r="E1427" s="16"/>
      <c r="F1427" s="16"/>
      <c r="G1427" s="16"/>
      <c r="H1427" s="31"/>
      <c r="I1427" s="32"/>
      <c r="J1427" s="32"/>
      <c r="K1427" s="32"/>
      <c r="L1427" s="32"/>
      <c r="M1427" s="31"/>
      <c r="N1427" s="32"/>
      <c r="O1427" s="32"/>
      <c r="P1427" s="32"/>
      <c r="Q1427" s="32"/>
      <c r="R1427" s="33"/>
      <c r="S1427" s="32"/>
      <c r="T1427" s="32"/>
      <c r="U1427" s="32"/>
      <c r="V1427" s="32"/>
      <c r="W1427" s="33"/>
      <c r="X1427" s="32"/>
      <c r="Y1427" s="32"/>
      <c r="Z1427" s="32"/>
      <c r="AA1427" s="32"/>
      <c r="AB1427" s="31"/>
      <c r="AC1427" s="32"/>
      <c r="AD1427" s="32"/>
      <c r="AE1427" s="32"/>
      <c r="AF1427" s="32"/>
      <c r="AG1427" s="31"/>
      <c r="AH1427" s="32"/>
      <c r="AI1427" s="32"/>
      <c r="AJ1427" s="32"/>
      <c r="AK1427" s="32"/>
      <c r="AL1427" s="31"/>
      <c r="AM1427" s="32"/>
      <c r="AN1427" s="32"/>
      <c r="AO1427" s="32"/>
      <c r="AP1427" s="32"/>
      <c r="AQ1427" s="31"/>
      <c r="AR1427" s="32"/>
      <c r="AS1427" s="32"/>
      <c r="AT1427" s="32"/>
      <c r="AU1427" s="32"/>
      <c r="AV1427" s="31"/>
      <c r="AW1427" s="32"/>
      <c r="AX1427" s="32"/>
      <c r="AY1427" s="32"/>
      <c r="AZ1427" s="32"/>
      <c r="BA1427" s="33"/>
      <c r="BB1427" s="32"/>
      <c r="BC1427" s="32"/>
      <c r="BD1427" s="32"/>
      <c r="BE1427" s="32"/>
      <c r="BF1427" s="33"/>
      <c r="BG1427" s="32"/>
      <c r="BH1427" s="32"/>
      <c r="BI1427" s="32"/>
      <c r="BJ1427" s="32"/>
      <c r="BK1427" s="33"/>
      <c r="BL1427" s="32"/>
      <c r="BM1427" s="32"/>
      <c r="BN1427" s="32"/>
      <c r="BO1427" s="32"/>
      <c r="BP1427" s="33"/>
      <c r="BQ1427" s="16"/>
      <c r="BR1427" s="16"/>
      <c r="BS1427" s="16"/>
      <c r="BT1427" s="16"/>
      <c r="BU1427" s="21"/>
      <c r="BV1427" s="16"/>
      <c r="BW1427" s="16"/>
      <c r="BX1427" s="16"/>
      <c r="BY1427" s="16"/>
      <c r="BZ1427" s="10"/>
      <c r="CA1427" s="16"/>
      <c r="CB1427" s="16"/>
      <c r="CC1427" s="16"/>
      <c r="CD1427" s="16"/>
      <c r="CE1427" s="10"/>
      <c r="CF1427" s="16"/>
      <c r="CG1427" s="16"/>
      <c r="CH1427" s="16"/>
      <c r="CI1427" s="16"/>
      <c r="CJ1427" s="10"/>
      <c r="CK1427" s="16"/>
      <c r="CL1427" s="16"/>
      <c r="CM1427" s="16"/>
      <c r="CN1427" s="16"/>
      <c r="CO1427" s="10"/>
      <c r="CP1427" s="16"/>
      <c r="CQ1427" s="16"/>
      <c r="CR1427" s="16"/>
      <c r="CS1427" s="16"/>
      <c r="CT1427" s="10"/>
      <c r="CU1427" s="16"/>
      <c r="CV1427" s="16"/>
      <c r="CW1427" s="16"/>
      <c r="CX1427" s="16"/>
      <c r="CY1427" s="10"/>
      <c r="CZ1427" s="16"/>
      <c r="DA1427" s="16"/>
      <c r="DB1427" s="16"/>
      <c r="DC1427" s="16"/>
      <c r="DD1427" s="10"/>
      <c r="DE1427" s="16"/>
      <c r="DF1427" s="16"/>
      <c r="DG1427" s="16"/>
      <c r="DH1427" s="16"/>
      <c r="DI1427" s="10"/>
      <c r="DJ1427" s="16"/>
      <c r="DK1427" s="16"/>
      <c r="DL1427" s="16"/>
      <c r="DM1427" s="16"/>
      <c r="DN1427" s="10"/>
      <c r="DO1427" s="16"/>
      <c r="DP1427" s="16"/>
      <c r="DQ1427" s="16"/>
      <c r="DR1427" s="16"/>
      <c r="DS1427" s="10"/>
      <c r="DT1427" s="16"/>
      <c r="DU1427" s="16"/>
      <c r="DV1427" s="16"/>
      <c r="DW1427" s="16"/>
      <c r="DX1427" s="10"/>
      <c r="DY1427" s="16"/>
      <c r="DZ1427" s="16"/>
      <c r="EA1427" s="16"/>
      <c r="EB1427" s="16"/>
      <c r="EC1427" s="10"/>
      <c r="ED1427" s="16"/>
      <c r="EE1427" s="16"/>
      <c r="EF1427" s="16"/>
      <c r="EG1427" s="16"/>
      <c r="EH1427" s="10"/>
      <c r="EI1427" s="214"/>
      <c r="EJ1427" s="16"/>
      <c r="EK1427" s="16"/>
      <c r="EL1427" s="16"/>
      <c r="EM1427" s="10"/>
      <c r="EN1427" s="16"/>
      <c r="EO1427" s="16"/>
      <c r="EP1427" s="16"/>
      <c r="EQ1427" s="16"/>
      <c r="ER1427" s="10"/>
      <c r="ES1427" s="16"/>
      <c r="ET1427" s="16"/>
      <c r="EU1427" s="16"/>
      <c r="EV1427" s="16"/>
      <c r="EW1427" s="10"/>
      <c r="EX1427" s="16"/>
      <c r="EY1427" s="16"/>
      <c r="EZ1427" s="16"/>
      <c r="FA1427" s="16"/>
      <c r="FB1427" s="10"/>
      <c r="FC1427" s="16"/>
      <c r="FD1427" s="16"/>
      <c r="FE1427" s="16"/>
      <c r="FF1427" s="16"/>
      <c r="FG1427" s="10"/>
      <c r="FH1427" s="21"/>
      <c r="FI1427" s="16"/>
      <c r="FJ1427" s="16"/>
      <c r="FK1427" s="16"/>
      <c r="FL1427" s="16"/>
    </row>
    <row r="1428" ht="12.75" customHeight="1">
      <c r="A1428" s="16"/>
      <c r="B1428" s="16"/>
      <c r="C1428" s="16"/>
      <c r="D1428" s="16"/>
      <c r="E1428" s="16"/>
      <c r="F1428" s="16"/>
      <c r="G1428" s="16"/>
      <c r="H1428" s="31"/>
      <c r="I1428" s="32"/>
      <c r="J1428" s="32"/>
      <c r="K1428" s="32"/>
      <c r="L1428" s="32"/>
      <c r="M1428" s="31"/>
      <c r="N1428" s="32"/>
      <c r="O1428" s="32"/>
      <c r="P1428" s="32"/>
      <c r="Q1428" s="32"/>
      <c r="R1428" s="33"/>
      <c r="S1428" s="32"/>
      <c r="T1428" s="32"/>
      <c r="U1428" s="32"/>
      <c r="V1428" s="32"/>
      <c r="W1428" s="33"/>
      <c r="X1428" s="32"/>
      <c r="Y1428" s="32"/>
      <c r="Z1428" s="32"/>
      <c r="AA1428" s="32"/>
      <c r="AB1428" s="31"/>
      <c r="AC1428" s="32"/>
      <c r="AD1428" s="32"/>
      <c r="AE1428" s="32"/>
      <c r="AF1428" s="32"/>
      <c r="AG1428" s="31"/>
      <c r="AH1428" s="32"/>
      <c r="AI1428" s="32"/>
      <c r="AJ1428" s="32"/>
      <c r="AK1428" s="32"/>
      <c r="AL1428" s="31"/>
      <c r="AM1428" s="32"/>
      <c r="AN1428" s="32"/>
      <c r="AO1428" s="32"/>
      <c r="AP1428" s="32"/>
      <c r="AQ1428" s="31"/>
      <c r="AR1428" s="32"/>
      <c r="AS1428" s="32"/>
      <c r="AT1428" s="32"/>
      <c r="AU1428" s="32"/>
      <c r="AV1428" s="31"/>
      <c r="AW1428" s="32"/>
      <c r="AX1428" s="32"/>
      <c r="AY1428" s="32"/>
      <c r="AZ1428" s="32"/>
      <c r="BA1428" s="33"/>
      <c r="BB1428" s="32"/>
      <c r="BC1428" s="32"/>
      <c r="BD1428" s="32"/>
      <c r="BE1428" s="32"/>
      <c r="BF1428" s="33"/>
      <c r="BG1428" s="32"/>
      <c r="BH1428" s="32"/>
      <c r="BI1428" s="32"/>
      <c r="BJ1428" s="32"/>
      <c r="BK1428" s="33"/>
      <c r="BL1428" s="32"/>
      <c r="BM1428" s="32"/>
      <c r="BN1428" s="32"/>
      <c r="BO1428" s="32"/>
      <c r="BP1428" s="33"/>
      <c r="BQ1428" s="16"/>
      <c r="BR1428" s="16"/>
      <c r="BS1428" s="16"/>
      <c r="BT1428" s="16"/>
      <c r="BU1428" s="21"/>
      <c r="BV1428" s="16"/>
      <c r="BW1428" s="16"/>
      <c r="BX1428" s="16"/>
      <c r="BY1428" s="16"/>
      <c r="BZ1428" s="10"/>
      <c r="CA1428" s="16"/>
      <c r="CB1428" s="16"/>
      <c r="CC1428" s="16"/>
      <c r="CD1428" s="16"/>
      <c r="CE1428" s="10"/>
      <c r="CF1428" s="16"/>
      <c r="CG1428" s="16"/>
      <c r="CH1428" s="16"/>
      <c r="CI1428" s="16"/>
      <c r="CJ1428" s="10"/>
      <c r="CK1428" s="16"/>
      <c r="CL1428" s="16"/>
      <c r="CM1428" s="16"/>
      <c r="CN1428" s="16"/>
      <c r="CO1428" s="10"/>
      <c r="CP1428" s="16"/>
      <c r="CQ1428" s="16"/>
      <c r="CR1428" s="16"/>
      <c r="CS1428" s="16"/>
      <c r="CT1428" s="10"/>
      <c r="CU1428" s="16"/>
      <c r="CV1428" s="16"/>
      <c r="CW1428" s="16"/>
      <c r="CX1428" s="16"/>
      <c r="CY1428" s="10"/>
      <c r="CZ1428" s="16"/>
      <c r="DA1428" s="16"/>
      <c r="DB1428" s="16"/>
      <c r="DC1428" s="16"/>
      <c r="DD1428" s="10"/>
      <c r="DE1428" s="16"/>
      <c r="DF1428" s="16"/>
      <c r="DG1428" s="16"/>
      <c r="DH1428" s="16"/>
      <c r="DI1428" s="10"/>
      <c r="DJ1428" s="16"/>
      <c r="DK1428" s="16"/>
      <c r="DL1428" s="16"/>
      <c r="DM1428" s="16"/>
      <c r="DN1428" s="10"/>
      <c r="DO1428" s="16"/>
      <c r="DP1428" s="16"/>
      <c r="DQ1428" s="16"/>
      <c r="DR1428" s="16"/>
      <c r="DS1428" s="10"/>
      <c r="DT1428" s="16"/>
      <c r="DU1428" s="16"/>
      <c r="DV1428" s="16"/>
      <c r="DW1428" s="16"/>
      <c r="DX1428" s="10"/>
      <c r="DY1428" s="16"/>
      <c r="DZ1428" s="16"/>
      <c r="EA1428" s="16"/>
      <c r="EB1428" s="16"/>
      <c r="EC1428" s="10"/>
      <c r="ED1428" s="16"/>
      <c r="EE1428" s="16"/>
      <c r="EF1428" s="16"/>
      <c r="EG1428" s="16"/>
      <c r="EH1428" s="10"/>
      <c r="EI1428" s="214"/>
      <c r="EJ1428" s="16"/>
      <c r="EK1428" s="16"/>
      <c r="EL1428" s="16"/>
      <c r="EM1428" s="10"/>
      <c r="EN1428" s="16"/>
      <c r="EO1428" s="16"/>
      <c r="EP1428" s="16"/>
      <c r="EQ1428" s="16"/>
      <c r="ER1428" s="10"/>
      <c r="ES1428" s="16"/>
      <c r="ET1428" s="16"/>
      <c r="EU1428" s="16"/>
      <c r="EV1428" s="16"/>
      <c r="EW1428" s="10"/>
      <c r="EX1428" s="16"/>
      <c r="EY1428" s="16"/>
      <c r="EZ1428" s="16"/>
      <c r="FA1428" s="16"/>
      <c r="FB1428" s="10"/>
      <c r="FC1428" s="16"/>
      <c r="FD1428" s="16"/>
      <c r="FE1428" s="16"/>
      <c r="FF1428" s="16"/>
      <c r="FG1428" s="10"/>
      <c r="FH1428" s="21"/>
      <c r="FI1428" s="16"/>
      <c r="FJ1428" s="16"/>
      <c r="FK1428" s="16"/>
      <c r="FL1428" s="16"/>
    </row>
    <row r="1429" ht="12.75" customHeight="1">
      <c r="A1429" s="16"/>
      <c r="B1429" s="16"/>
      <c r="C1429" s="16"/>
      <c r="D1429" s="16"/>
      <c r="E1429" s="16"/>
      <c r="F1429" s="16"/>
      <c r="G1429" s="16"/>
      <c r="H1429" s="31"/>
      <c r="I1429" s="32"/>
      <c r="J1429" s="32"/>
      <c r="K1429" s="32"/>
      <c r="L1429" s="32"/>
      <c r="M1429" s="31"/>
      <c r="N1429" s="32"/>
      <c r="O1429" s="32"/>
      <c r="P1429" s="32"/>
      <c r="Q1429" s="32"/>
      <c r="R1429" s="33"/>
      <c r="S1429" s="32"/>
      <c r="T1429" s="32"/>
      <c r="U1429" s="32"/>
      <c r="V1429" s="32"/>
      <c r="W1429" s="33"/>
      <c r="X1429" s="32"/>
      <c r="Y1429" s="32"/>
      <c r="Z1429" s="32"/>
      <c r="AA1429" s="32"/>
      <c r="AB1429" s="31"/>
      <c r="AC1429" s="32"/>
      <c r="AD1429" s="32"/>
      <c r="AE1429" s="32"/>
      <c r="AF1429" s="32"/>
      <c r="AG1429" s="31"/>
      <c r="AH1429" s="32"/>
      <c r="AI1429" s="32"/>
      <c r="AJ1429" s="32"/>
      <c r="AK1429" s="32"/>
      <c r="AL1429" s="31"/>
      <c r="AM1429" s="32"/>
      <c r="AN1429" s="32"/>
      <c r="AO1429" s="32"/>
      <c r="AP1429" s="32"/>
      <c r="AQ1429" s="31"/>
      <c r="AR1429" s="32"/>
      <c r="AS1429" s="32"/>
      <c r="AT1429" s="32"/>
      <c r="AU1429" s="32"/>
      <c r="AV1429" s="31"/>
      <c r="AW1429" s="32"/>
      <c r="AX1429" s="32"/>
      <c r="AY1429" s="32"/>
      <c r="AZ1429" s="32"/>
      <c r="BA1429" s="33"/>
      <c r="BB1429" s="32"/>
      <c r="BC1429" s="32"/>
      <c r="BD1429" s="32"/>
      <c r="BE1429" s="32"/>
      <c r="BF1429" s="33"/>
      <c r="BG1429" s="32"/>
      <c r="BH1429" s="32"/>
      <c r="BI1429" s="32"/>
      <c r="BJ1429" s="32"/>
      <c r="BK1429" s="33"/>
      <c r="BL1429" s="32"/>
      <c r="BM1429" s="32"/>
      <c r="BN1429" s="32"/>
      <c r="BO1429" s="32"/>
      <c r="BP1429" s="33"/>
      <c r="BQ1429" s="16"/>
      <c r="BR1429" s="16"/>
      <c r="BS1429" s="16"/>
      <c r="BT1429" s="16"/>
      <c r="BU1429" s="21"/>
      <c r="BV1429" s="16"/>
      <c r="BW1429" s="16"/>
      <c r="BX1429" s="16"/>
      <c r="BY1429" s="16"/>
      <c r="BZ1429" s="10"/>
      <c r="CA1429" s="16"/>
      <c r="CB1429" s="16"/>
      <c r="CC1429" s="16"/>
      <c r="CD1429" s="16"/>
      <c r="CE1429" s="10"/>
      <c r="CF1429" s="16"/>
      <c r="CG1429" s="16"/>
      <c r="CH1429" s="16"/>
      <c r="CI1429" s="16"/>
      <c r="CJ1429" s="10"/>
      <c r="CK1429" s="16"/>
      <c r="CL1429" s="16"/>
      <c r="CM1429" s="16"/>
      <c r="CN1429" s="16"/>
      <c r="CO1429" s="10"/>
      <c r="CP1429" s="16"/>
      <c r="CQ1429" s="16"/>
      <c r="CR1429" s="16"/>
      <c r="CS1429" s="16"/>
      <c r="CT1429" s="10"/>
      <c r="CU1429" s="16"/>
      <c r="CV1429" s="16"/>
      <c r="CW1429" s="16"/>
      <c r="CX1429" s="16"/>
      <c r="CY1429" s="10"/>
      <c r="CZ1429" s="16"/>
      <c r="DA1429" s="16"/>
      <c r="DB1429" s="16"/>
      <c r="DC1429" s="16"/>
      <c r="DD1429" s="10"/>
      <c r="DE1429" s="16"/>
      <c r="DF1429" s="16"/>
      <c r="DG1429" s="16"/>
      <c r="DH1429" s="16"/>
      <c r="DI1429" s="10"/>
      <c r="DJ1429" s="16"/>
      <c r="DK1429" s="16"/>
      <c r="DL1429" s="16"/>
      <c r="DM1429" s="16"/>
      <c r="DN1429" s="10"/>
      <c r="DO1429" s="16"/>
      <c r="DP1429" s="16"/>
      <c r="DQ1429" s="16"/>
      <c r="DR1429" s="16"/>
      <c r="DS1429" s="10"/>
      <c r="DT1429" s="16"/>
      <c r="DU1429" s="16"/>
      <c r="DV1429" s="16"/>
      <c r="DW1429" s="16"/>
      <c r="DX1429" s="10"/>
      <c r="DY1429" s="16"/>
      <c r="DZ1429" s="16"/>
      <c r="EA1429" s="16"/>
      <c r="EB1429" s="16"/>
      <c r="EC1429" s="10"/>
      <c r="ED1429" s="16"/>
      <c r="EE1429" s="16"/>
      <c r="EF1429" s="16"/>
      <c r="EG1429" s="16"/>
      <c r="EH1429" s="10"/>
      <c r="EI1429" s="214"/>
      <c r="EJ1429" s="16"/>
      <c r="EK1429" s="16"/>
      <c r="EL1429" s="16"/>
      <c r="EM1429" s="10"/>
      <c r="EN1429" s="16"/>
      <c r="EO1429" s="16"/>
      <c r="EP1429" s="16"/>
      <c r="EQ1429" s="16"/>
      <c r="ER1429" s="10"/>
      <c r="ES1429" s="16"/>
      <c r="ET1429" s="16"/>
      <c r="EU1429" s="16"/>
      <c r="EV1429" s="16"/>
      <c r="EW1429" s="10"/>
      <c r="EX1429" s="16"/>
      <c r="EY1429" s="16"/>
      <c r="EZ1429" s="16"/>
      <c r="FA1429" s="16"/>
      <c r="FB1429" s="10"/>
      <c r="FC1429" s="16"/>
      <c r="FD1429" s="16"/>
      <c r="FE1429" s="16"/>
      <c r="FF1429" s="16"/>
      <c r="FG1429" s="10"/>
      <c r="FH1429" s="21"/>
      <c r="FI1429" s="16"/>
      <c r="FJ1429" s="16"/>
      <c r="FK1429" s="16"/>
      <c r="FL1429" s="16"/>
    </row>
    <row r="1430" ht="12.75" customHeight="1">
      <c r="A1430" s="16"/>
      <c r="B1430" s="16"/>
      <c r="C1430" s="16"/>
      <c r="D1430" s="16"/>
      <c r="E1430" s="16"/>
      <c r="F1430" s="16"/>
      <c r="G1430" s="16"/>
      <c r="H1430" s="31"/>
      <c r="I1430" s="32"/>
      <c r="J1430" s="32"/>
      <c r="K1430" s="32"/>
      <c r="L1430" s="32"/>
      <c r="M1430" s="31"/>
      <c r="N1430" s="32"/>
      <c r="O1430" s="32"/>
      <c r="P1430" s="32"/>
      <c r="Q1430" s="32"/>
      <c r="R1430" s="33"/>
      <c r="S1430" s="32"/>
      <c r="T1430" s="32"/>
      <c r="U1430" s="32"/>
      <c r="V1430" s="32"/>
      <c r="W1430" s="33"/>
      <c r="X1430" s="32"/>
      <c r="Y1430" s="32"/>
      <c r="Z1430" s="32"/>
      <c r="AA1430" s="32"/>
      <c r="AB1430" s="31"/>
      <c r="AC1430" s="32"/>
      <c r="AD1430" s="32"/>
      <c r="AE1430" s="32"/>
      <c r="AF1430" s="32"/>
      <c r="AG1430" s="31"/>
      <c r="AH1430" s="32"/>
      <c r="AI1430" s="32"/>
      <c r="AJ1430" s="32"/>
      <c r="AK1430" s="32"/>
      <c r="AL1430" s="31"/>
      <c r="AM1430" s="32"/>
      <c r="AN1430" s="32"/>
      <c r="AO1430" s="32"/>
      <c r="AP1430" s="32"/>
      <c r="AQ1430" s="31"/>
      <c r="AR1430" s="32"/>
      <c r="AS1430" s="32"/>
      <c r="AT1430" s="32"/>
      <c r="AU1430" s="32"/>
      <c r="AV1430" s="31"/>
      <c r="AW1430" s="32"/>
      <c r="AX1430" s="32"/>
      <c r="AY1430" s="32"/>
      <c r="AZ1430" s="32"/>
      <c r="BA1430" s="33"/>
      <c r="BB1430" s="32"/>
      <c r="BC1430" s="32"/>
      <c r="BD1430" s="32"/>
      <c r="BE1430" s="32"/>
      <c r="BF1430" s="33"/>
      <c r="BG1430" s="32"/>
      <c r="BH1430" s="32"/>
      <c r="BI1430" s="32"/>
      <c r="BJ1430" s="32"/>
      <c r="BK1430" s="33"/>
      <c r="BL1430" s="32"/>
      <c r="BM1430" s="32"/>
      <c r="BN1430" s="32"/>
      <c r="BO1430" s="32"/>
      <c r="BP1430" s="33"/>
      <c r="BQ1430" s="16"/>
      <c r="BR1430" s="16"/>
      <c r="BS1430" s="16"/>
      <c r="BT1430" s="16"/>
      <c r="BU1430" s="21"/>
      <c r="BV1430" s="16"/>
      <c r="BW1430" s="16"/>
      <c r="BX1430" s="16"/>
      <c r="BY1430" s="16"/>
      <c r="BZ1430" s="10"/>
      <c r="CA1430" s="16"/>
      <c r="CB1430" s="16"/>
      <c r="CC1430" s="16"/>
      <c r="CD1430" s="16"/>
      <c r="CE1430" s="10"/>
      <c r="CF1430" s="16"/>
      <c r="CG1430" s="16"/>
      <c r="CH1430" s="16"/>
      <c r="CI1430" s="16"/>
      <c r="CJ1430" s="10"/>
      <c r="CK1430" s="16"/>
      <c r="CL1430" s="16"/>
      <c r="CM1430" s="16"/>
      <c r="CN1430" s="16"/>
      <c r="CO1430" s="10"/>
      <c r="CP1430" s="16"/>
      <c r="CQ1430" s="16"/>
      <c r="CR1430" s="16"/>
      <c r="CS1430" s="16"/>
      <c r="CT1430" s="10"/>
      <c r="CU1430" s="16"/>
      <c r="CV1430" s="16"/>
      <c r="CW1430" s="16"/>
      <c r="CX1430" s="16"/>
      <c r="CY1430" s="10"/>
      <c r="CZ1430" s="16"/>
      <c r="DA1430" s="16"/>
      <c r="DB1430" s="16"/>
      <c r="DC1430" s="16"/>
      <c r="DD1430" s="10"/>
      <c r="DE1430" s="16"/>
      <c r="DF1430" s="16"/>
      <c r="DG1430" s="16"/>
      <c r="DH1430" s="16"/>
      <c r="DI1430" s="10"/>
      <c r="DJ1430" s="16"/>
      <c r="DK1430" s="16"/>
      <c r="DL1430" s="16"/>
      <c r="DM1430" s="16"/>
      <c r="DN1430" s="10"/>
      <c r="DO1430" s="16"/>
      <c r="DP1430" s="16"/>
      <c r="DQ1430" s="16"/>
      <c r="DR1430" s="16"/>
      <c r="DS1430" s="10"/>
      <c r="DT1430" s="16"/>
      <c r="DU1430" s="16"/>
      <c r="DV1430" s="16"/>
      <c r="DW1430" s="16"/>
      <c r="DX1430" s="10"/>
      <c r="DY1430" s="16"/>
      <c r="DZ1430" s="16"/>
      <c r="EA1430" s="16"/>
      <c r="EB1430" s="16"/>
      <c r="EC1430" s="10"/>
      <c r="ED1430" s="16"/>
      <c r="EE1430" s="16"/>
      <c r="EF1430" s="16"/>
      <c r="EG1430" s="16"/>
      <c r="EH1430" s="10"/>
      <c r="EI1430" s="214"/>
      <c r="EJ1430" s="16"/>
      <c r="EK1430" s="16"/>
      <c r="EL1430" s="16"/>
      <c r="EM1430" s="10"/>
      <c r="EN1430" s="16"/>
      <c r="EO1430" s="16"/>
      <c r="EP1430" s="16"/>
      <c r="EQ1430" s="16"/>
      <c r="ER1430" s="10"/>
      <c r="ES1430" s="16"/>
      <c r="ET1430" s="16"/>
      <c r="EU1430" s="16"/>
      <c r="EV1430" s="16"/>
      <c r="EW1430" s="10"/>
      <c r="EX1430" s="16"/>
      <c r="EY1430" s="16"/>
      <c r="EZ1430" s="16"/>
      <c r="FA1430" s="16"/>
      <c r="FB1430" s="10"/>
      <c r="FC1430" s="16"/>
      <c r="FD1430" s="16"/>
      <c r="FE1430" s="16"/>
      <c r="FF1430" s="16"/>
      <c r="FG1430" s="10"/>
      <c r="FH1430" s="21"/>
      <c r="FI1430" s="16"/>
      <c r="FJ1430" s="16"/>
      <c r="FK1430" s="16"/>
      <c r="FL1430" s="16"/>
    </row>
    <row r="1431" ht="12.75" customHeight="1">
      <c r="A1431" s="16"/>
      <c r="B1431" s="16"/>
      <c r="C1431" s="16"/>
      <c r="D1431" s="16"/>
      <c r="E1431" s="16"/>
      <c r="F1431" s="16"/>
      <c r="G1431" s="16"/>
      <c r="H1431" s="31"/>
      <c r="I1431" s="32"/>
      <c r="J1431" s="32"/>
      <c r="K1431" s="32"/>
      <c r="L1431" s="32"/>
      <c r="M1431" s="31"/>
      <c r="N1431" s="32"/>
      <c r="O1431" s="32"/>
      <c r="P1431" s="32"/>
      <c r="Q1431" s="32"/>
      <c r="R1431" s="33"/>
      <c r="S1431" s="32"/>
      <c r="T1431" s="32"/>
      <c r="U1431" s="32"/>
      <c r="V1431" s="32"/>
      <c r="W1431" s="33"/>
      <c r="X1431" s="32"/>
      <c r="Y1431" s="32"/>
      <c r="Z1431" s="32"/>
      <c r="AA1431" s="32"/>
      <c r="AB1431" s="31"/>
      <c r="AC1431" s="32"/>
      <c r="AD1431" s="32"/>
      <c r="AE1431" s="32"/>
      <c r="AF1431" s="32"/>
      <c r="AG1431" s="31"/>
      <c r="AH1431" s="32"/>
      <c r="AI1431" s="32"/>
      <c r="AJ1431" s="32"/>
      <c r="AK1431" s="32"/>
      <c r="AL1431" s="31"/>
      <c r="AM1431" s="32"/>
      <c r="AN1431" s="32"/>
      <c r="AO1431" s="32"/>
      <c r="AP1431" s="32"/>
      <c r="AQ1431" s="31"/>
      <c r="AR1431" s="32"/>
      <c r="AS1431" s="32"/>
      <c r="AT1431" s="32"/>
      <c r="AU1431" s="32"/>
      <c r="AV1431" s="31"/>
      <c r="AW1431" s="32"/>
      <c r="AX1431" s="32"/>
      <c r="AY1431" s="32"/>
      <c r="AZ1431" s="32"/>
      <c r="BA1431" s="33"/>
      <c r="BB1431" s="32"/>
      <c r="BC1431" s="32"/>
      <c r="BD1431" s="32"/>
      <c r="BE1431" s="32"/>
      <c r="BF1431" s="33"/>
      <c r="BG1431" s="32"/>
      <c r="BH1431" s="32"/>
      <c r="BI1431" s="32"/>
      <c r="BJ1431" s="32"/>
      <c r="BK1431" s="33"/>
      <c r="BL1431" s="32"/>
      <c r="BM1431" s="32"/>
      <c r="BN1431" s="32"/>
      <c r="BO1431" s="32"/>
      <c r="BP1431" s="33"/>
      <c r="BQ1431" s="16"/>
      <c r="BR1431" s="16"/>
      <c r="BS1431" s="16"/>
      <c r="BT1431" s="16"/>
      <c r="BU1431" s="21"/>
      <c r="BV1431" s="16"/>
      <c r="BW1431" s="16"/>
      <c r="BX1431" s="16"/>
      <c r="BY1431" s="16"/>
      <c r="BZ1431" s="10"/>
      <c r="CA1431" s="16"/>
      <c r="CB1431" s="16"/>
      <c r="CC1431" s="16"/>
      <c r="CD1431" s="16"/>
      <c r="CE1431" s="10"/>
      <c r="CF1431" s="16"/>
      <c r="CG1431" s="16"/>
      <c r="CH1431" s="16"/>
      <c r="CI1431" s="16"/>
      <c r="CJ1431" s="10"/>
      <c r="CK1431" s="16"/>
      <c r="CL1431" s="16"/>
      <c r="CM1431" s="16"/>
      <c r="CN1431" s="16"/>
      <c r="CO1431" s="10"/>
      <c r="CP1431" s="16"/>
      <c r="CQ1431" s="16"/>
      <c r="CR1431" s="16"/>
      <c r="CS1431" s="16"/>
      <c r="CT1431" s="10"/>
      <c r="CU1431" s="16"/>
      <c r="CV1431" s="16"/>
      <c r="CW1431" s="16"/>
      <c r="CX1431" s="16"/>
      <c r="CY1431" s="10"/>
      <c r="CZ1431" s="16"/>
      <c r="DA1431" s="16"/>
      <c r="DB1431" s="16"/>
      <c r="DC1431" s="16"/>
      <c r="DD1431" s="10"/>
      <c r="DE1431" s="16"/>
      <c r="DF1431" s="16"/>
      <c r="DG1431" s="16"/>
      <c r="DH1431" s="16"/>
      <c r="DI1431" s="10"/>
      <c r="DJ1431" s="16"/>
      <c r="DK1431" s="16"/>
      <c r="DL1431" s="16"/>
      <c r="DM1431" s="16"/>
      <c r="DN1431" s="10"/>
      <c r="DO1431" s="16"/>
      <c r="DP1431" s="16"/>
      <c r="DQ1431" s="16"/>
      <c r="DR1431" s="16"/>
      <c r="DS1431" s="10"/>
      <c r="DT1431" s="16"/>
      <c r="DU1431" s="16"/>
      <c r="DV1431" s="16"/>
      <c r="DW1431" s="16"/>
      <c r="DX1431" s="10"/>
      <c r="DY1431" s="16"/>
      <c r="DZ1431" s="16"/>
      <c r="EA1431" s="16"/>
      <c r="EB1431" s="16"/>
      <c r="EC1431" s="10"/>
      <c r="ED1431" s="16"/>
      <c r="EE1431" s="16"/>
      <c r="EF1431" s="16"/>
      <c r="EG1431" s="16"/>
      <c r="EH1431" s="10"/>
      <c r="EI1431" s="214"/>
      <c r="EJ1431" s="16"/>
      <c r="EK1431" s="16"/>
      <c r="EL1431" s="16"/>
      <c r="EM1431" s="10"/>
      <c r="EN1431" s="16"/>
      <c r="EO1431" s="16"/>
      <c r="EP1431" s="16"/>
      <c r="EQ1431" s="16"/>
      <c r="ER1431" s="10"/>
      <c r="ES1431" s="16"/>
      <c r="ET1431" s="16"/>
      <c r="EU1431" s="16"/>
      <c r="EV1431" s="16"/>
      <c r="EW1431" s="10"/>
      <c r="EX1431" s="16"/>
      <c r="EY1431" s="16"/>
      <c r="EZ1431" s="16"/>
      <c r="FA1431" s="16"/>
      <c r="FB1431" s="10"/>
      <c r="FC1431" s="16"/>
      <c r="FD1431" s="16"/>
      <c r="FE1431" s="16"/>
      <c r="FF1431" s="16"/>
      <c r="FG1431" s="10"/>
      <c r="FH1431" s="21"/>
      <c r="FI1431" s="16"/>
      <c r="FJ1431" s="16"/>
      <c r="FK1431" s="16"/>
      <c r="FL1431" s="16"/>
    </row>
    <row r="1432" ht="12.75" customHeight="1">
      <c r="A1432" s="16"/>
      <c r="B1432" s="16"/>
      <c r="C1432" s="16"/>
      <c r="D1432" s="16"/>
      <c r="E1432" s="16"/>
      <c r="F1432" s="16"/>
      <c r="G1432" s="16"/>
      <c r="H1432" s="31"/>
      <c r="I1432" s="32"/>
      <c r="J1432" s="32"/>
      <c r="K1432" s="32"/>
      <c r="L1432" s="32"/>
      <c r="M1432" s="31"/>
      <c r="N1432" s="32"/>
      <c r="O1432" s="32"/>
      <c r="P1432" s="32"/>
      <c r="Q1432" s="32"/>
      <c r="R1432" s="33"/>
      <c r="S1432" s="32"/>
      <c r="T1432" s="32"/>
      <c r="U1432" s="32"/>
      <c r="V1432" s="32"/>
      <c r="W1432" s="33"/>
      <c r="X1432" s="32"/>
      <c r="Y1432" s="32"/>
      <c r="Z1432" s="32"/>
      <c r="AA1432" s="32"/>
      <c r="AB1432" s="31"/>
      <c r="AC1432" s="32"/>
      <c r="AD1432" s="32"/>
      <c r="AE1432" s="32"/>
      <c r="AF1432" s="32"/>
      <c r="AG1432" s="31"/>
      <c r="AH1432" s="32"/>
      <c r="AI1432" s="32"/>
      <c r="AJ1432" s="32"/>
      <c r="AK1432" s="32"/>
      <c r="AL1432" s="31"/>
      <c r="AM1432" s="32"/>
      <c r="AN1432" s="32"/>
      <c r="AO1432" s="32"/>
      <c r="AP1432" s="32"/>
      <c r="AQ1432" s="31"/>
      <c r="AR1432" s="32"/>
      <c r="AS1432" s="32"/>
      <c r="AT1432" s="32"/>
      <c r="AU1432" s="32"/>
      <c r="AV1432" s="31"/>
      <c r="AW1432" s="32"/>
      <c r="AX1432" s="32"/>
      <c r="AY1432" s="32"/>
      <c r="AZ1432" s="32"/>
      <c r="BA1432" s="33"/>
      <c r="BB1432" s="32"/>
      <c r="BC1432" s="32"/>
      <c r="BD1432" s="32"/>
      <c r="BE1432" s="32"/>
      <c r="BF1432" s="33"/>
      <c r="BG1432" s="32"/>
      <c r="BH1432" s="32"/>
      <c r="BI1432" s="32"/>
      <c r="BJ1432" s="32"/>
      <c r="BK1432" s="33"/>
      <c r="BL1432" s="32"/>
      <c r="BM1432" s="32"/>
      <c r="BN1432" s="32"/>
      <c r="BO1432" s="32"/>
      <c r="BP1432" s="33"/>
      <c r="BQ1432" s="16"/>
      <c r="BR1432" s="16"/>
      <c r="BS1432" s="16"/>
      <c r="BT1432" s="16"/>
      <c r="BU1432" s="21"/>
      <c r="BV1432" s="16"/>
      <c r="BW1432" s="16"/>
      <c r="BX1432" s="16"/>
      <c r="BY1432" s="16"/>
      <c r="BZ1432" s="10"/>
      <c r="CA1432" s="16"/>
      <c r="CB1432" s="16"/>
      <c r="CC1432" s="16"/>
      <c r="CD1432" s="16"/>
      <c r="CE1432" s="10"/>
      <c r="CF1432" s="16"/>
      <c r="CG1432" s="16"/>
      <c r="CH1432" s="16"/>
      <c r="CI1432" s="16"/>
      <c r="CJ1432" s="10"/>
      <c r="CK1432" s="16"/>
      <c r="CL1432" s="16"/>
      <c r="CM1432" s="16"/>
      <c r="CN1432" s="16"/>
      <c r="CO1432" s="10"/>
      <c r="CP1432" s="16"/>
      <c r="CQ1432" s="16"/>
      <c r="CR1432" s="16"/>
      <c r="CS1432" s="16"/>
      <c r="CT1432" s="10"/>
      <c r="CU1432" s="16"/>
      <c r="CV1432" s="16"/>
      <c r="CW1432" s="16"/>
      <c r="CX1432" s="16"/>
      <c r="CY1432" s="10"/>
      <c r="CZ1432" s="16"/>
      <c r="DA1432" s="16"/>
      <c r="DB1432" s="16"/>
      <c r="DC1432" s="16"/>
      <c r="DD1432" s="10"/>
      <c r="DE1432" s="16"/>
      <c r="DF1432" s="16"/>
      <c r="DG1432" s="16"/>
      <c r="DH1432" s="16"/>
      <c r="DI1432" s="10"/>
      <c r="DJ1432" s="16"/>
      <c r="DK1432" s="16"/>
      <c r="DL1432" s="16"/>
      <c r="DM1432" s="16"/>
      <c r="DN1432" s="10"/>
      <c r="DO1432" s="16"/>
      <c r="DP1432" s="16"/>
      <c r="DQ1432" s="16"/>
      <c r="DR1432" s="16"/>
      <c r="DS1432" s="10"/>
      <c r="DT1432" s="16"/>
      <c r="DU1432" s="16"/>
      <c r="DV1432" s="16"/>
      <c r="DW1432" s="16"/>
      <c r="DX1432" s="10"/>
      <c r="DY1432" s="16"/>
      <c r="DZ1432" s="16"/>
      <c r="EA1432" s="16"/>
      <c r="EB1432" s="16"/>
      <c r="EC1432" s="10"/>
      <c r="ED1432" s="16"/>
      <c r="EE1432" s="16"/>
      <c r="EF1432" s="16"/>
      <c r="EG1432" s="16"/>
      <c r="EH1432" s="10"/>
      <c r="EI1432" s="214"/>
      <c r="EJ1432" s="16"/>
      <c r="EK1432" s="16"/>
      <c r="EL1432" s="16"/>
      <c r="EM1432" s="10"/>
      <c r="EN1432" s="16"/>
      <c r="EO1432" s="16"/>
      <c r="EP1432" s="16"/>
      <c r="EQ1432" s="16"/>
      <c r="ER1432" s="10"/>
      <c r="ES1432" s="16"/>
      <c r="ET1432" s="16"/>
      <c r="EU1432" s="16"/>
      <c r="EV1432" s="16"/>
      <c r="EW1432" s="10"/>
      <c r="EX1432" s="16"/>
      <c r="EY1432" s="16"/>
      <c r="EZ1432" s="16"/>
      <c r="FA1432" s="16"/>
      <c r="FB1432" s="10"/>
      <c r="FC1432" s="16"/>
      <c r="FD1432" s="16"/>
      <c r="FE1432" s="16"/>
      <c r="FF1432" s="16"/>
      <c r="FG1432" s="10"/>
      <c r="FH1432" s="21"/>
      <c r="FI1432" s="16"/>
      <c r="FJ1432" s="16"/>
      <c r="FK1432" s="16"/>
      <c r="FL1432" s="16"/>
    </row>
    <row r="1433" ht="12.75" customHeight="1">
      <c r="A1433" s="16"/>
      <c r="B1433" s="16"/>
      <c r="C1433" s="16"/>
      <c r="D1433" s="16"/>
      <c r="E1433" s="16"/>
      <c r="F1433" s="16"/>
      <c r="G1433" s="16"/>
      <c r="H1433" s="31"/>
      <c r="I1433" s="32"/>
      <c r="J1433" s="32"/>
      <c r="K1433" s="32"/>
      <c r="L1433" s="32"/>
      <c r="M1433" s="31"/>
      <c r="N1433" s="32"/>
      <c r="O1433" s="32"/>
      <c r="P1433" s="32"/>
      <c r="Q1433" s="32"/>
      <c r="R1433" s="33"/>
      <c r="S1433" s="32"/>
      <c r="T1433" s="32"/>
      <c r="U1433" s="32"/>
      <c r="V1433" s="32"/>
      <c r="W1433" s="33"/>
      <c r="X1433" s="32"/>
      <c r="Y1433" s="32"/>
      <c r="Z1433" s="32"/>
      <c r="AA1433" s="32"/>
      <c r="AB1433" s="31"/>
      <c r="AC1433" s="32"/>
      <c r="AD1433" s="32"/>
      <c r="AE1433" s="32"/>
      <c r="AF1433" s="32"/>
      <c r="AG1433" s="31"/>
      <c r="AH1433" s="32"/>
      <c r="AI1433" s="32"/>
      <c r="AJ1433" s="32"/>
      <c r="AK1433" s="32"/>
      <c r="AL1433" s="31"/>
      <c r="AM1433" s="32"/>
      <c r="AN1433" s="32"/>
      <c r="AO1433" s="32"/>
      <c r="AP1433" s="32"/>
      <c r="AQ1433" s="31"/>
      <c r="AR1433" s="32"/>
      <c r="AS1433" s="32"/>
      <c r="AT1433" s="32"/>
      <c r="AU1433" s="32"/>
      <c r="AV1433" s="31"/>
      <c r="AW1433" s="32"/>
      <c r="AX1433" s="32"/>
      <c r="AY1433" s="32"/>
      <c r="AZ1433" s="32"/>
      <c r="BA1433" s="33"/>
      <c r="BB1433" s="32"/>
      <c r="BC1433" s="32"/>
      <c r="BD1433" s="32"/>
      <c r="BE1433" s="32"/>
      <c r="BF1433" s="33"/>
      <c r="BG1433" s="32"/>
      <c r="BH1433" s="32"/>
      <c r="BI1433" s="32"/>
      <c r="BJ1433" s="32"/>
      <c r="BK1433" s="33"/>
      <c r="BL1433" s="32"/>
      <c r="BM1433" s="32"/>
      <c r="BN1433" s="32"/>
      <c r="BO1433" s="32"/>
      <c r="BP1433" s="33"/>
      <c r="BQ1433" s="16"/>
      <c r="BR1433" s="16"/>
      <c r="BS1433" s="16"/>
      <c r="BT1433" s="16"/>
      <c r="BU1433" s="21"/>
      <c r="BV1433" s="16"/>
      <c r="BW1433" s="16"/>
      <c r="BX1433" s="16"/>
      <c r="BY1433" s="16"/>
      <c r="BZ1433" s="10"/>
      <c r="CA1433" s="16"/>
      <c r="CB1433" s="16"/>
      <c r="CC1433" s="16"/>
      <c r="CD1433" s="16"/>
      <c r="CE1433" s="10"/>
      <c r="CF1433" s="16"/>
      <c r="CG1433" s="16"/>
      <c r="CH1433" s="16"/>
      <c r="CI1433" s="16"/>
      <c r="CJ1433" s="10"/>
      <c r="CK1433" s="16"/>
      <c r="CL1433" s="16"/>
      <c r="CM1433" s="16"/>
      <c r="CN1433" s="16"/>
      <c r="CO1433" s="10"/>
      <c r="CP1433" s="16"/>
      <c r="CQ1433" s="16"/>
      <c r="CR1433" s="16"/>
      <c r="CS1433" s="16"/>
      <c r="CT1433" s="10"/>
      <c r="CU1433" s="16"/>
      <c r="CV1433" s="16"/>
      <c r="CW1433" s="16"/>
      <c r="CX1433" s="16"/>
      <c r="CY1433" s="10"/>
      <c r="CZ1433" s="16"/>
      <c r="DA1433" s="16"/>
      <c r="DB1433" s="16"/>
      <c r="DC1433" s="16"/>
      <c r="DD1433" s="10"/>
      <c r="DE1433" s="16"/>
      <c r="DF1433" s="16"/>
      <c r="DG1433" s="16"/>
      <c r="DH1433" s="16"/>
      <c r="DI1433" s="10"/>
      <c r="DJ1433" s="16"/>
      <c r="DK1433" s="16"/>
      <c r="DL1433" s="16"/>
      <c r="DM1433" s="16"/>
      <c r="DN1433" s="10"/>
      <c r="DO1433" s="16"/>
      <c r="DP1433" s="16"/>
      <c r="DQ1433" s="16"/>
      <c r="DR1433" s="16"/>
      <c r="DS1433" s="10"/>
      <c r="DT1433" s="16"/>
      <c r="DU1433" s="16"/>
      <c r="DV1433" s="16"/>
      <c r="DW1433" s="16"/>
      <c r="DX1433" s="10"/>
      <c r="DY1433" s="16"/>
      <c r="DZ1433" s="16"/>
      <c r="EA1433" s="16"/>
      <c r="EB1433" s="16"/>
      <c r="EC1433" s="10"/>
      <c r="ED1433" s="16"/>
      <c r="EE1433" s="16"/>
      <c r="EF1433" s="16"/>
      <c r="EG1433" s="16"/>
      <c r="EH1433" s="10"/>
      <c r="EI1433" s="214"/>
      <c r="EJ1433" s="16"/>
      <c r="EK1433" s="16"/>
      <c r="EL1433" s="16"/>
      <c r="EM1433" s="10"/>
      <c r="EN1433" s="16"/>
      <c r="EO1433" s="16"/>
      <c r="EP1433" s="16"/>
      <c r="EQ1433" s="16"/>
      <c r="ER1433" s="10"/>
      <c r="ES1433" s="16"/>
      <c r="ET1433" s="16"/>
      <c r="EU1433" s="16"/>
      <c r="EV1433" s="16"/>
      <c r="EW1433" s="10"/>
      <c r="EX1433" s="16"/>
      <c r="EY1433" s="16"/>
      <c r="EZ1433" s="16"/>
      <c r="FA1433" s="16"/>
      <c r="FB1433" s="10"/>
      <c r="FC1433" s="16"/>
      <c r="FD1433" s="16"/>
      <c r="FE1433" s="16"/>
      <c r="FF1433" s="16"/>
      <c r="FG1433" s="10"/>
      <c r="FH1433" s="21"/>
      <c r="FI1433" s="16"/>
      <c r="FJ1433" s="16"/>
      <c r="FK1433" s="16"/>
      <c r="FL1433" s="16"/>
    </row>
    <row r="1434" ht="12.75" customHeight="1">
      <c r="A1434" s="16"/>
      <c r="B1434" s="16"/>
      <c r="C1434" s="16"/>
      <c r="D1434" s="16"/>
      <c r="E1434" s="16"/>
      <c r="F1434" s="16"/>
      <c r="G1434" s="16"/>
      <c r="H1434" s="31"/>
      <c r="I1434" s="32"/>
      <c r="J1434" s="32"/>
      <c r="K1434" s="32"/>
      <c r="L1434" s="32"/>
      <c r="M1434" s="31"/>
      <c r="N1434" s="32"/>
      <c r="O1434" s="32"/>
      <c r="P1434" s="32"/>
      <c r="Q1434" s="32"/>
      <c r="R1434" s="33"/>
      <c r="S1434" s="32"/>
      <c r="T1434" s="32"/>
      <c r="U1434" s="32"/>
      <c r="V1434" s="32"/>
      <c r="W1434" s="33"/>
      <c r="X1434" s="32"/>
      <c r="Y1434" s="32"/>
      <c r="Z1434" s="32"/>
      <c r="AA1434" s="32"/>
      <c r="AB1434" s="31"/>
      <c r="AC1434" s="32"/>
      <c r="AD1434" s="32"/>
      <c r="AE1434" s="32"/>
      <c r="AF1434" s="32"/>
      <c r="AG1434" s="31"/>
      <c r="AH1434" s="32"/>
      <c r="AI1434" s="32"/>
      <c r="AJ1434" s="32"/>
      <c r="AK1434" s="32"/>
      <c r="AL1434" s="31"/>
      <c r="AM1434" s="32"/>
      <c r="AN1434" s="32"/>
      <c r="AO1434" s="32"/>
      <c r="AP1434" s="32"/>
      <c r="AQ1434" s="31"/>
      <c r="AR1434" s="32"/>
      <c r="AS1434" s="32"/>
      <c r="AT1434" s="32"/>
      <c r="AU1434" s="32"/>
      <c r="AV1434" s="31"/>
      <c r="AW1434" s="32"/>
      <c r="AX1434" s="32"/>
      <c r="AY1434" s="32"/>
      <c r="AZ1434" s="32"/>
      <c r="BA1434" s="33"/>
      <c r="BB1434" s="32"/>
      <c r="BC1434" s="32"/>
      <c r="BD1434" s="32"/>
      <c r="BE1434" s="32"/>
      <c r="BF1434" s="33"/>
      <c r="BG1434" s="32"/>
      <c r="BH1434" s="32"/>
      <c r="BI1434" s="32"/>
      <c r="BJ1434" s="32"/>
      <c r="BK1434" s="33"/>
      <c r="BL1434" s="32"/>
      <c r="BM1434" s="32"/>
      <c r="BN1434" s="32"/>
      <c r="BO1434" s="32"/>
      <c r="BP1434" s="33"/>
      <c r="BQ1434" s="16"/>
      <c r="BR1434" s="16"/>
      <c r="BS1434" s="16"/>
      <c r="BT1434" s="16"/>
      <c r="BU1434" s="21"/>
      <c r="BV1434" s="16"/>
      <c r="BW1434" s="16"/>
      <c r="BX1434" s="16"/>
      <c r="BY1434" s="16"/>
      <c r="BZ1434" s="10"/>
      <c r="CA1434" s="16"/>
      <c r="CB1434" s="16"/>
      <c r="CC1434" s="16"/>
      <c r="CD1434" s="16"/>
      <c r="CE1434" s="10"/>
      <c r="CF1434" s="16"/>
      <c r="CG1434" s="16"/>
      <c r="CH1434" s="16"/>
      <c r="CI1434" s="16"/>
      <c r="CJ1434" s="10"/>
      <c r="CK1434" s="16"/>
      <c r="CL1434" s="16"/>
      <c r="CM1434" s="16"/>
      <c r="CN1434" s="16"/>
      <c r="CO1434" s="10"/>
      <c r="CP1434" s="16"/>
      <c r="CQ1434" s="16"/>
      <c r="CR1434" s="16"/>
      <c r="CS1434" s="16"/>
      <c r="CT1434" s="10"/>
      <c r="CU1434" s="16"/>
      <c r="CV1434" s="16"/>
      <c r="CW1434" s="16"/>
      <c r="CX1434" s="16"/>
      <c r="CY1434" s="10"/>
      <c r="CZ1434" s="16"/>
      <c r="DA1434" s="16"/>
      <c r="DB1434" s="16"/>
      <c r="DC1434" s="16"/>
      <c r="DD1434" s="10"/>
      <c r="DE1434" s="16"/>
      <c r="DF1434" s="16"/>
      <c r="DG1434" s="16"/>
      <c r="DH1434" s="16"/>
      <c r="DI1434" s="10"/>
      <c r="DJ1434" s="16"/>
      <c r="DK1434" s="16"/>
      <c r="DL1434" s="16"/>
      <c r="DM1434" s="16"/>
      <c r="DN1434" s="10"/>
      <c r="DO1434" s="16"/>
      <c r="DP1434" s="16"/>
      <c r="DQ1434" s="16"/>
      <c r="DR1434" s="16"/>
      <c r="DS1434" s="10"/>
      <c r="DT1434" s="16"/>
      <c r="DU1434" s="16"/>
      <c r="DV1434" s="16"/>
      <c r="DW1434" s="16"/>
      <c r="DX1434" s="10"/>
      <c r="DY1434" s="16"/>
      <c r="DZ1434" s="16"/>
      <c r="EA1434" s="16"/>
      <c r="EB1434" s="16"/>
      <c r="EC1434" s="10"/>
      <c r="ED1434" s="16"/>
      <c r="EE1434" s="16"/>
      <c r="EF1434" s="16"/>
      <c r="EG1434" s="16"/>
      <c r="EH1434" s="10"/>
      <c r="EI1434" s="214"/>
      <c r="EJ1434" s="16"/>
      <c r="EK1434" s="16"/>
      <c r="EL1434" s="16"/>
      <c r="EM1434" s="10"/>
      <c r="EN1434" s="16"/>
      <c r="EO1434" s="16"/>
      <c r="EP1434" s="16"/>
      <c r="EQ1434" s="16"/>
      <c r="ER1434" s="10"/>
      <c r="ES1434" s="16"/>
      <c r="ET1434" s="16"/>
      <c r="EU1434" s="16"/>
      <c r="EV1434" s="16"/>
      <c r="EW1434" s="10"/>
      <c r="EX1434" s="16"/>
      <c r="EY1434" s="16"/>
      <c r="EZ1434" s="16"/>
      <c r="FA1434" s="16"/>
      <c r="FB1434" s="10"/>
      <c r="FC1434" s="16"/>
      <c r="FD1434" s="16"/>
      <c r="FE1434" s="16"/>
      <c r="FF1434" s="16"/>
      <c r="FG1434" s="10"/>
      <c r="FH1434" s="21"/>
      <c r="FI1434" s="16"/>
      <c r="FJ1434" s="16"/>
      <c r="FK1434" s="16"/>
      <c r="FL1434" s="16"/>
    </row>
    <row r="1435" ht="12.75" customHeight="1">
      <c r="A1435" s="16"/>
      <c r="B1435" s="16"/>
      <c r="C1435" s="16"/>
      <c r="D1435" s="16"/>
      <c r="E1435" s="16"/>
      <c r="F1435" s="16"/>
      <c r="G1435" s="16"/>
      <c r="H1435" s="31"/>
      <c r="I1435" s="32"/>
      <c r="J1435" s="32"/>
      <c r="K1435" s="32"/>
      <c r="L1435" s="32"/>
      <c r="M1435" s="31"/>
      <c r="N1435" s="32"/>
      <c r="O1435" s="32"/>
      <c r="P1435" s="32"/>
      <c r="Q1435" s="32"/>
      <c r="R1435" s="33"/>
      <c r="S1435" s="32"/>
      <c r="T1435" s="32"/>
      <c r="U1435" s="32"/>
      <c r="V1435" s="32"/>
      <c r="W1435" s="33"/>
      <c r="X1435" s="32"/>
      <c r="Y1435" s="32"/>
      <c r="Z1435" s="32"/>
      <c r="AA1435" s="32"/>
      <c r="AB1435" s="31"/>
      <c r="AC1435" s="32"/>
      <c r="AD1435" s="32"/>
      <c r="AE1435" s="32"/>
      <c r="AF1435" s="32"/>
      <c r="AG1435" s="31"/>
      <c r="AH1435" s="32"/>
      <c r="AI1435" s="32"/>
      <c r="AJ1435" s="32"/>
      <c r="AK1435" s="32"/>
      <c r="AL1435" s="31"/>
      <c r="AM1435" s="32"/>
      <c r="AN1435" s="32"/>
      <c r="AO1435" s="32"/>
      <c r="AP1435" s="32"/>
      <c r="AQ1435" s="31"/>
      <c r="AR1435" s="32"/>
      <c r="AS1435" s="32"/>
      <c r="AT1435" s="32"/>
      <c r="AU1435" s="32"/>
      <c r="AV1435" s="31"/>
      <c r="AW1435" s="32"/>
      <c r="AX1435" s="32"/>
      <c r="AY1435" s="32"/>
      <c r="AZ1435" s="32"/>
      <c r="BA1435" s="33"/>
      <c r="BB1435" s="32"/>
      <c r="BC1435" s="32"/>
      <c r="BD1435" s="32"/>
      <c r="BE1435" s="32"/>
      <c r="BF1435" s="33"/>
      <c r="BG1435" s="32"/>
      <c r="BH1435" s="32"/>
      <c r="BI1435" s="32"/>
      <c r="BJ1435" s="32"/>
      <c r="BK1435" s="33"/>
      <c r="BL1435" s="32"/>
      <c r="BM1435" s="32"/>
      <c r="BN1435" s="32"/>
      <c r="BO1435" s="32"/>
      <c r="BP1435" s="33"/>
      <c r="BQ1435" s="16"/>
      <c r="BR1435" s="16"/>
      <c r="BS1435" s="16"/>
      <c r="BT1435" s="16"/>
      <c r="BU1435" s="21"/>
      <c r="BV1435" s="16"/>
      <c r="BW1435" s="16"/>
      <c r="BX1435" s="16"/>
      <c r="BY1435" s="16"/>
      <c r="BZ1435" s="10"/>
      <c r="CA1435" s="16"/>
      <c r="CB1435" s="16"/>
      <c r="CC1435" s="16"/>
      <c r="CD1435" s="16"/>
      <c r="CE1435" s="10"/>
      <c r="CF1435" s="16"/>
      <c r="CG1435" s="16"/>
      <c r="CH1435" s="16"/>
      <c r="CI1435" s="16"/>
      <c r="CJ1435" s="10"/>
      <c r="CK1435" s="16"/>
      <c r="CL1435" s="16"/>
      <c r="CM1435" s="16"/>
      <c r="CN1435" s="16"/>
      <c r="CO1435" s="10"/>
      <c r="CP1435" s="16"/>
      <c r="CQ1435" s="16"/>
      <c r="CR1435" s="16"/>
      <c r="CS1435" s="16"/>
      <c r="CT1435" s="10"/>
      <c r="CU1435" s="16"/>
      <c r="CV1435" s="16"/>
      <c r="CW1435" s="16"/>
      <c r="CX1435" s="16"/>
      <c r="CY1435" s="10"/>
      <c r="CZ1435" s="16"/>
      <c r="DA1435" s="16"/>
      <c r="DB1435" s="16"/>
      <c r="DC1435" s="16"/>
      <c r="DD1435" s="10"/>
      <c r="DE1435" s="16"/>
      <c r="DF1435" s="16"/>
      <c r="DG1435" s="16"/>
      <c r="DH1435" s="16"/>
      <c r="DI1435" s="10"/>
      <c r="DJ1435" s="16"/>
      <c r="DK1435" s="16"/>
      <c r="DL1435" s="16"/>
      <c r="DM1435" s="16"/>
      <c r="DN1435" s="10"/>
      <c r="DO1435" s="16"/>
      <c r="DP1435" s="16"/>
      <c r="DQ1435" s="16"/>
      <c r="DR1435" s="16"/>
      <c r="DS1435" s="10"/>
      <c r="DT1435" s="16"/>
      <c r="DU1435" s="16"/>
      <c r="DV1435" s="16"/>
      <c r="DW1435" s="16"/>
      <c r="DX1435" s="10"/>
      <c r="DY1435" s="16"/>
      <c r="DZ1435" s="16"/>
      <c r="EA1435" s="16"/>
      <c r="EB1435" s="16"/>
      <c r="EC1435" s="10"/>
      <c r="ED1435" s="16"/>
      <c r="EE1435" s="16"/>
      <c r="EF1435" s="16"/>
      <c r="EG1435" s="16"/>
      <c r="EH1435" s="10"/>
      <c r="EI1435" s="214"/>
      <c r="EJ1435" s="16"/>
      <c r="EK1435" s="16"/>
      <c r="EL1435" s="16"/>
      <c r="EM1435" s="10"/>
      <c r="EN1435" s="16"/>
      <c r="EO1435" s="16"/>
      <c r="EP1435" s="16"/>
      <c r="EQ1435" s="16"/>
      <c r="ER1435" s="10"/>
      <c r="ES1435" s="16"/>
      <c r="ET1435" s="16"/>
      <c r="EU1435" s="16"/>
      <c r="EV1435" s="16"/>
      <c r="EW1435" s="10"/>
      <c r="EX1435" s="16"/>
      <c r="EY1435" s="16"/>
      <c r="EZ1435" s="16"/>
      <c r="FA1435" s="16"/>
      <c r="FB1435" s="10"/>
      <c r="FC1435" s="16"/>
      <c r="FD1435" s="16"/>
      <c r="FE1435" s="16"/>
      <c r="FF1435" s="16"/>
      <c r="FG1435" s="10"/>
      <c r="FH1435" s="21"/>
      <c r="FI1435" s="16"/>
      <c r="FJ1435" s="16"/>
      <c r="FK1435" s="16"/>
      <c r="FL1435" s="16"/>
    </row>
    <row r="1436" ht="12.75" customHeight="1">
      <c r="A1436" s="16"/>
      <c r="B1436" s="16"/>
      <c r="C1436" s="16"/>
      <c r="D1436" s="16"/>
      <c r="E1436" s="16"/>
      <c r="F1436" s="16"/>
      <c r="G1436" s="16"/>
      <c r="H1436" s="31"/>
      <c r="I1436" s="32"/>
      <c r="J1436" s="32"/>
      <c r="K1436" s="32"/>
      <c r="L1436" s="32"/>
      <c r="M1436" s="31"/>
      <c r="N1436" s="32"/>
      <c r="O1436" s="32"/>
      <c r="P1436" s="32"/>
      <c r="Q1436" s="32"/>
      <c r="R1436" s="33"/>
      <c r="S1436" s="32"/>
      <c r="T1436" s="32"/>
      <c r="U1436" s="32"/>
      <c r="V1436" s="32"/>
      <c r="W1436" s="33"/>
      <c r="X1436" s="32"/>
      <c r="Y1436" s="32"/>
      <c r="Z1436" s="32"/>
      <c r="AA1436" s="32"/>
      <c r="AB1436" s="31"/>
      <c r="AC1436" s="32"/>
      <c r="AD1436" s="32"/>
      <c r="AE1436" s="32"/>
      <c r="AF1436" s="32"/>
      <c r="AG1436" s="31"/>
      <c r="AH1436" s="32"/>
      <c r="AI1436" s="32"/>
      <c r="AJ1436" s="32"/>
      <c r="AK1436" s="32"/>
      <c r="AL1436" s="31"/>
      <c r="AM1436" s="32"/>
      <c r="AN1436" s="32"/>
      <c r="AO1436" s="32"/>
      <c r="AP1436" s="32"/>
      <c r="AQ1436" s="31"/>
      <c r="AR1436" s="32"/>
      <c r="AS1436" s="32"/>
      <c r="AT1436" s="32"/>
      <c r="AU1436" s="32"/>
      <c r="AV1436" s="31"/>
      <c r="AW1436" s="32"/>
      <c r="AX1436" s="32"/>
      <c r="AY1436" s="32"/>
      <c r="AZ1436" s="32"/>
      <c r="BA1436" s="33"/>
      <c r="BB1436" s="32"/>
      <c r="BC1436" s="32"/>
      <c r="BD1436" s="32"/>
      <c r="BE1436" s="32"/>
      <c r="BF1436" s="33"/>
      <c r="BG1436" s="32"/>
      <c r="BH1436" s="32"/>
      <c r="BI1436" s="32"/>
      <c r="BJ1436" s="32"/>
      <c r="BK1436" s="33"/>
      <c r="BL1436" s="32"/>
      <c r="BM1436" s="32"/>
      <c r="BN1436" s="32"/>
      <c r="BO1436" s="32"/>
      <c r="BP1436" s="33"/>
      <c r="BQ1436" s="16"/>
      <c r="BR1436" s="16"/>
      <c r="BS1436" s="16"/>
      <c r="BT1436" s="16"/>
      <c r="BU1436" s="21"/>
      <c r="BV1436" s="16"/>
      <c r="BW1436" s="16"/>
      <c r="BX1436" s="16"/>
      <c r="BY1436" s="16"/>
      <c r="BZ1436" s="10"/>
      <c r="CA1436" s="16"/>
      <c r="CB1436" s="16"/>
      <c r="CC1436" s="16"/>
      <c r="CD1436" s="16"/>
      <c r="CE1436" s="10"/>
      <c r="CF1436" s="16"/>
      <c r="CG1436" s="16"/>
      <c r="CH1436" s="16"/>
      <c r="CI1436" s="16"/>
      <c r="CJ1436" s="10"/>
      <c r="CK1436" s="16"/>
      <c r="CL1436" s="16"/>
      <c r="CM1436" s="16"/>
      <c r="CN1436" s="16"/>
      <c r="CO1436" s="10"/>
      <c r="CP1436" s="16"/>
      <c r="CQ1436" s="16"/>
      <c r="CR1436" s="16"/>
      <c r="CS1436" s="16"/>
      <c r="CT1436" s="10"/>
      <c r="CU1436" s="16"/>
      <c r="CV1436" s="16"/>
      <c r="CW1436" s="16"/>
      <c r="CX1436" s="16"/>
      <c r="CY1436" s="10"/>
      <c r="CZ1436" s="16"/>
      <c r="DA1436" s="16"/>
      <c r="DB1436" s="16"/>
      <c r="DC1436" s="16"/>
      <c r="DD1436" s="10"/>
      <c r="DE1436" s="16"/>
      <c r="DF1436" s="16"/>
      <c r="DG1436" s="16"/>
      <c r="DH1436" s="16"/>
      <c r="DI1436" s="10"/>
      <c r="DJ1436" s="16"/>
      <c r="DK1436" s="16"/>
      <c r="DL1436" s="16"/>
      <c r="DM1436" s="16"/>
      <c r="DN1436" s="10"/>
      <c r="DO1436" s="16"/>
      <c r="DP1436" s="16"/>
      <c r="DQ1436" s="16"/>
      <c r="DR1436" s="16"/>
      <c r="DS1436" s="10"/>
      <c r="DT1436" s="16"/>
      <c r="DU1436" s="16"/>
      <c r="DV1436" s="16"/>
      <c r="DW1436" s="16"/>
      <c r="DX1436" s="10"/>
      <c r="DY1436" s="16"/>
      <c r="DZ1436" s="16"/>
      <c r="EA1436" s="16"/>
      <c r="EB1436" s="16"/>
      <c r="EC1436" s="10"/>
      <c r="ED1436" s="16"/>
      <c r="EE1436" s="16"/>
      <c r="EF1436" s="16"/>
      <c r="EG1436" s="16"/>
      <c r="EH1436" s="10"/>
      <c r="EI1436" s="214"/>
      <c r="EJ1436" s="16"/>
      <c r="EK1436" s="16"/>
      <c r="EL1436" s="16"/>
      <c r="EM1436" s="10"/>
      <c r="EN1436" s="16"/>
      <c r="EO1436" s="16"/>
      <c r="EP1436" s="16"/>
      <c r="EQ1436" s="16"/>
      <c r="ER1436" s="10"/>
      <c r="ES1436" s="16"/>
      <c r="ET1436" s="16"/>
      <c r="EU1436" s="16"/>
      <c r="EV1436" s="16"/>
      <c r="EW1436" s="10"/>
      <c r="EX1436" s="16"/>
      <c r="EY1436" s="16"/>
      <c r="EZ1436" s="16"/>
      <c r="FA1436" s="16"/>
      <c r="FB1436" s="10"/>
      <c r="FC1436" s="16"/>
      <c r="FD1436" s="16"/>
      <c r="FE1436" s="16"/>
      <c r="FF1436" s="16"/>
      <c r="FG1436" s="10"/>
      <c r="FH1436" s="21"/>
      <c r="FI1436" s="16"/>
      <c r="FJ1436" s="16"/>
      <c r="FK1436" s="16"/>
      <c r="FL1436" s="16"/>
    </row>
    <row r="1437" ht="12.75" customHeight="1">
      <c r="A1437" s="16"/>
      <c r="B1437" s="16"/>
      <c r="C1437" s="16"/>
      <c r="D1437" s="16"/>
      <c r="E1437" s="16"/>
      <c r="F1437" s="16"/>
      <c r="G1437" s="16"/>
      <c r="H1437" s="31"/>
      <c r="I1437" s="32"/>
      <c r="J1437" s="32"/>
      <c r="K1437" s="32"/>
      <c r="L1437" s="32"/>
      <c r="M1437" s="31"/>
      <c r="N1437" s="32"/>
      <c r="O1437" s="32"/>
      <c r="P1437" s="32"/>
      <c r="Q1437" s="32"/>
      <c r="R1437" s="33"/>
      <c r="S1437" s="32"/>
      <c r="T1437" s="32"/>
      <c r="U1437" s="32"/>
      <c r="V1437" s="32"/>
      <c r="W1437" s="33"/>
      <c r="X1437" s="32"/>
      <c r="Y1437" s="32"/>
      <c r="Z1437" s="32"/>
      <c r="AA1437" s="32"/>
      <c r="AB1437" s="31"/>
      <c r="AC1437" s="32"/>
      <c r="AD1437" s="32"/>
      <c r="AE1437" s="32"/>
      <c r="AF1437" s="32"/>
      <c r="AG1437" s="31"/>
      <c r="AH1437" s="32"/>
      <c r="AI1437" s="32"/>
      <c r="AJ1437" s="32"/>
      <c r="AK1437" s="32"/>
      <c r="AL1437" s="31"/>
      <c r="AM1437" s="32"/>
      <c r="AN1437" s="32"/>
      <c r="AO1437" s="32"/>
      <c r="AP1437" s="32"/>
      <c r="AQ1437" s="31"/>
      <c r="AR1437" s="32"/>
      <c r="AS1437" s="32"/>
      <c r="AT1437" s="32"/>
      <c r="AU1437" s="32"/>
      <c r="AV1437" s="31"/>
      <c r="AW1437" s="32"/>
      <c r="AX1437" s="32"/>
      <c r="AY1437" s="32"/>
      <c r="AZ1437" s="32"/>
      <c r="BA1437" s="33"/>
      <c r="BB1437" s="32"/>
      <c r="BC1437" s="32"/>
      <c r="BD1437" s="32"/>
      <c r="BE1437" s="32"/>
      <c r="BF1437" s="33"/>
      <c r="BG1437" s="32"/>
      <c r="BH1437" s="32"/>
      <c r="BI1437" s="32"/>
      <c r="BJ1437" s="32"/>
      <c r="BK1437" s="33"/>
      <c r="BL1437" s="32"/>
      <c r="BM1437" s="32"/>
      <c r="BN1437" s="32"/>
      <c r="BO1437" s="32"/>
      <c r="BP1437" s="33"/>
      <c r="BQ1437" s="16"/>
      <c r="BR1437" s="16"/>
      <c r="BS1437" s="16"/>
      <c r="BT1437" s="16"/>
      <c r="BU1437" s="21"/>
      <c r="BV1437" s="16"/>
      <c r="BW1437" s="16"/>
      <c r="BX1437" s="16"/>
      <c r="BY1437" s="16"/>
      <c r="BZ1437" s="10"/>
      <c r="CA1437" s="16"/>
      <c r="CB1437" s="16"/>
      <c r="CC1437" s="16"/>
      <c r="CD1437" s="16"/>
      <c r="CE1437" s="10"/>
      <c r="CF1437" s="16"/>
      <c r="CG1437" s="16"/>
      <c r="CH1437" s="16"/>
      <c r="CI1437" s="16"/>
      <c r="CJ1437" s="10"/>
      <c r="CK1437" s="16"/>
      <c r="CL1437" s="16"/>
      <c r="CM1437" s="16"/>
      <c r="CN1437" s="16"/>
      <c r="CO1437" s="10"/>
      <c r="CP1437" s="16"/>
      <c r="CQ1437" s="16"/>
      <c r="CR1437" s="16"/>
      <c r="CS1437" s="16"/>
      <c r="CT1437" s="10"/>
      <c r="CU1437" s="16"/>
      <c r="CV1437" s="16"/>
      <c r="CW1437" s="16"/>
      <c r="CX1437" s="16"/>
      <c r="CY1437" s="10"/>
      <c r="CZ1437" s="16"/>
      <c r="DA1437" s="16"/>
      <c r="DB1437" s="16"/>
      <c r="DC1437" s="16"/>
      <c r="DD1437" s="10"/>
      <c r="DE1437" s="16"/>
      <c r="DF1437" s="16"/>
      <c r="DG1437" s="16"/>
      <c r="DH1437" s="16"/>
      <c r="DI1437" s="10"/>
      <c r="DJ1437" s="16"/>
      <c r="DK1437" s="16"/>
      <c r="DL1437" s="16"/>
      <c r="DM1437" s="16"/>
      <c r="DN1437" s="10"/>
      <c r="DO1437" s="16"/>
      <c r="DP1437" s="16"/>
      <c r="DQ1437" s="16"/>
      <c r="DR1437" s="16"/>
      <c r="DS1437" s="10"/>
      <c r="DT1437" s="16"/>
      <c r="DU1437" s="16"/>
      <c r="DV1437" s="16"/>
      <c r="DW1437" s="16"/>
      <c r="DX1437" s="10"/>
      <c r="DY1437" s="16"/>
      <c r="DZ1437" s="16"/>
      <c r="EA1437" s="16"/>
      <c r="EB1437" s="16"/>
      <c r="EC1437" s="10"/>
      <c r="ED1437" s="16"/>
      <c r="EE1437" s="16"/>
      <c r="EF1437" s="16"/>
      <c r="EG1437" s="16"/>
      <c r="EH1437" s="10"/>
      <c r="EI1437" s="214"/>
      <c r="EJ1437" s="16"/>
      <c r="EK1437" s="16"/>
      <c r="EL1437" s="16"/>
      <c r="EM1437" s="10"/>
      <c r="EN1437" s="16"/>
      <c r="EO1437" s="16"/>
      <c r="EP1437" s="16"/>
      <c r="EQ1437" s="16"/>
      <c r="ER1437" s="10"/>
      <c r="ES1437" s="16"/>
      <c r="ET1437" s="16"/>
      <c r="EU1437" s="16"/>
      <c r="EV1437" s="16"/>
      <c r="EW1437" s="10"/>
      <c r="EX1437" s="16"/>
      <c r="EY1437" s="16"/>
      <c r="EZ1437" s="16"/>
      <c r="FA1437" s="16"/>
      <c r="FB1437" s="10"/>
      <c r="FC1437" s="16"/>
      <c r="FD1437" s="16"/>
      <c r="FE1437" s="16"/>
      <c r="FF1437" s="16"/>
      <c r="FG1437" s="10"/>
      <c r="FH1437" s="21"/>
      <c r="FI1437" s="16"/>
      <c r="FJ1437" s="16"/>
      <c r="FK1437" s="16"/>
      <c r="FL1437" s="16"/>
    </row>
    <row r="1438" ht="12.75" customHeight="1">
      <c r="A1438" s="16"/>
      <c r="B1438" s="16"/>
      <c r="C1438" s="16"/>
      <c r="D1438" s="16"/>
      <c r="E1438" s="16"/>
      <c r="F1438" s="16"/>
      <c r="G1438" s="16"/>
      <c r="H1438" s="31"/>
      <c r="I1438" s="32"/>
      <c r="J1438" s="32"/>
      <c r="K1438" s="32"/>
      <c r="L1438" s="32"/>
      <c r="M1438" s="31"/>
      <c r="N1438" s="32"/>
      <c r="O1438" s="32"/>
      <c r="P1438" s="32"/>
      <c r="Q1438" s="32"/>
      <c r="R1438" s="33"/>
      <c r="S1438" s="32"/>
      <c r="T1438" s="32"/>
      <c r="U1438" s="32"/>
      <c r="V1438" s="32"/>
      <c r="W1438" s="33"/>
      <c r="X1438" s="32"/>
      <c r="Y1438" s="32"/>
      <c r="Z1438" s="32"/>
      <c r="AA1438" s="32"/>
      <c r="AB1438" s="31"/>
      <c r="AC1438" s="32"/>
      <c r="AD1438" s="32"/>
      <c r="AE1438" s="32"/>
      <c r="AF1438" s="32"/>
      <c r="AG1438" s="31"/>
      <c r="AH1438" s="32"/>
      <c r="AI1438" s="32"/>
      <c r="AJ1438" s="32"/>
      <c r="AK1438" s="32"/>
      <c r="AL1438" s="31"/>
      <c r="AM1438" s="32"/>
      <c r="AN1438" s="32"/>
      <c r="AO1438" s="32"/>
      <c r="AP1438" s="32"/>
      <c r="AQ1438" s="31"/>
      <c r="AR1438" s="32"/>
      <c r="AS1438" s="32"/>
      <c r="AT1438" s="32"/>
      <c r="AU1438" s="32"/>
      <c r="AV1438" s="31"/>
      <c r="AW1438" s="32"/>
      <c r="AX1438" s="32"/>
      <c r="AY1438" s="32"/>
      <c r="AZ1438" s="32"/>
      <c r="BA1438" s="33"/>
      <c r="BB1438" s="32"/>
      <c r="BC1438" s="32"/>
      <c r="BD1438" s="32"/>
      <c r="BE1438" s="32"/>
      <c r="BF1438" s="33"/>
      <c r="BG1438" s="32"/>
      <c r="BH1438" s="32"/>
      <c r="BI1438" s="32"/>
      <c r="BJ1438" s="32"/>
      <c r="BK1438" s="33"/>
      <c r="BL1438" s="32"/>
      <c r="BM1438" s="32"/>
      <c r="BN1438" s="32"/>
      <c r="BO1438" s="32"/>
      <c r="BP1438" s="33"/>
      <c r="BQ1438" s="16"/>
      <c r="BR1438" s="16"/>
      <c r="BS1438" s="16"/>
      <c r="BT1438" s="16"/>
      <c r="BU1438" s="21"/>
      <c r="BV1438" s="16"/>
      <c r="BW1438" s="16"/>
      <c r="BX1438" s="16"/>
      <c r="BY1438" s="16"/>
      <c r="BZ1438" s="10"/>
      <c r="CA1438" s="16"/>
      <c r="CB1438" s="16"/>
      <c r="CC1438" s="16"/>
      <c r="CD1438" s="16"/>
      <c r="CE1438" s="10"/>
      <c r="CF1438" s="16"/>
      <c r="CG1438" s="16"/>
      <c r="CH1438" s="16"/>
      <c r="CI1438" s="16"/>
      <c r="CJ1438" s="10"/>
      <c r="CK1438" s="16"/>
      <c r="CL1438" s="16"/>
      <c r="CM1438" s="16"/>
      <c r="CN1438" s="16"/>
      <c r="CO1438" s="10"/>
      <c r="CP1438" s="16"/>
      <c r="CQ1438" s="16"/>
      <c r="CR1438" s="16"/>
      <c r="CS1438" s="16"/>
      <c r="CT1438" s="10"/>
      <c r="CU1438" s="16"/>
      <c r="CV1438" s="16"/>
      <c r="CW1438" s="16"/>
      <c r="CX1438" s="16"/>
      <c r="CY1438" s="10"/>
      <c r="CZ1438" s="16"/>
      <c r="DA1438" s="16"/>
      <c r="DB1438" s="16"/>
      <c r="DC1438" s="16"/>
      <c r="DD1438" s="10"/>
      <c r="DE1438" s="16"/>
      <c r="DF1438" s="16"/>
      <c r="DG1438" s="16"/>
      <c r="DH1438" s="16"/>
      <c r="DI1438" s="10"/>
      <c r="DJ1438" s="16"/>
      <c r="DK1438" s="16"/>
      <c r="DL1438" s="16"/>
      <c r="DM1438" s="16"/>
      <c r="DN1438" s="10"/>
      <c r="DO1438" s="16"/>
      <c r="DP1438" s="16"/>
      <c r="DQ1438" s="16"/>
      <c r="DR1438" s="16"/>
      <c r="DS1438" s="10"/>
      <c r="DT1438" s="16"/>
      <c r="DU1438" s="16"/>
      <c r="DV1438" s="16"/>
      <c r="DW1438" s="16"/>
      <c r="DX1438" s="10"/>
      <c r="DY1438" s="16"/>
      <c r="DZ1438" s="16"/>
      <c r="EA1438" s="16"/>
      <c r="EB1438" s="16"/>
      <c r="EC1438" s="10"/>
      <c r="ED1438" s="16"/>
      <c r="EE1438" s="16"/>
      <c r="EF1438" s="16"/>
      <c r="EG1438" s="16"/>
      <c r="EH1438" s="10"/>
      <c r="EI1438" s="214"/>
      <c r="EJ1438" s="16"/>
      <c r="EK1438" s="16"/>
      <c r="EL1438" s="16"/>
      <c r="EM1438" s="10"/>
      <c r="EN1438" s="16"/>
      <c r="EO1438" s="16"/>
      <c r="EP1438" s="16"/>
      <c r="EQ1438" s="16"/>
      <c r="ER1438" s="10"/>
      <c r="ES1438" s="16"/>
      <c r="ET1438" s="16"/>
      <c r="EU1438" s="16"/>
      <c r="EV1438" s="16"/>
      <c r="EW1438" s="10"/>
      <c r="EX1438" s="16"/>
      <c r="EY1438" s="16"/>
      <c r="EZ1438" s="16"/>
      <c r="FA1438" s="16"/>
      <c r="FB1438" s="10"/>
      <c r="FC1438" s="16"/>
      <c r="FD1438" s="16"/>
      <c r="FE1438" s="16"/>
      <c r="FF1438" s="16"/>
      <c r="FG1438" s="10"/>
      <c r="FH1438" s="21"/>
      <c r="FI1438" s="16"/>
      <c r="FJ1438" s="16"/>
      <c r="FK1438" s="16"/>
      <c r="FL1438" s="16"/>
    </row>
    <row r="1439" ht="12.75" customHeight="1">
      <c r="A1439" s="16"/>
      <c r="B1439" s="16"/>
      <c r="C1439" s="16"/>
      <c r="D1439" s="16"/>
      <c r="E1439" s="16"/>
      <c r="F1439" s="16"/>
      <c r="G1439" s="16"/>
      <c r="H1439" s="31"/>
      <c r="I1439" s="32"/>
      <c r="J1439" s="32"/>
      <c r="K1439" s="32"/>
      <c r="L1439" s="32"/>
      <c r="M1439" s="31"/>
      <c r="N1439" s="32"/>
      <c r="O1439" s="32"/>
      <c r="P1439" s="32"/>
      <c r="Q1439" s="32"/>
      <c r="R1439" s="33"/>
      <c r="S1439" s="32"/>
      <c r="T1439" s="32"/>
      <c r="U1439" s="32"/>
      <c r="V1439" s="32"/>
      <c r="W1439" s="33"/>
      <c r="X1439" s="32"/>
      <c r="Y1439" s="32"/>
      <c r="Z1439" s="32"/>
      <c r="AA1439" s="32"/>
      <c r="AB1439" s="31"/>
      <c r="AC1439" s="32"/>
      <c r="AD1439" s="32"/>
      <c r="AE1439" s="32"/>
      <c r="AF1439" s="32"/>
      <c r="AG1439" s="31"/>
      <c r="AH1439" s="32"/>
      <c r="AI1439" s="32"/>
      <c r="AJ1439" s="32"/>
      <c r="AK1439" s="32"/>
      <c r="AL1439" s="31"/>
      <c r="AM1439" s="32"/>
      <c r="AN1439" s="32"/>
      <c r="AO1439" s="32"/>
      <c r="AP1439" s="32"/>
      <c r="AQ1439" s="31"/>
      <c r="AR1439" s="32"/>
      <c r="AS1439" s="32"/>
      <c r="AT1439" s="32"/>
      <c r="AU1439" s="32"/>
      <c r="AV1439" s="31"/>
      <c r="AW1439" s="32"/>
      <c r="AX1439" s="32"/>
      <c r="AY1439" s="32"/>
      <c r="AZ1439" s="32"/>
      <c r="BA1439" s="33"/>
      <c r="BB1439" s="32"/>
      <c r="BC1439" s="32"/>
      <c r="BD1439" s="32"/>
      <c r="BE1439" s="32"/>
      <c r="BF1439" s="33"/>
      <c r="BG1439" s="32"/>
      <c r="BH1439" s="32"/>
      <c r="BI1439" s="32"/>
      <c r="BJ1439" s="32"/>
      <c r="BK1439" s="33"/>
      <c r="BL1439" s="32"/>
      <c r="BM1439" s="32"/>
      <c r="BN1439" s="32"/>
      <c r="BO1439" s="32"/>
      <c r="BP1439" s="33"/>
      <c r="BQ1439" s="16"/>
      <c r="BR1439" s="16"/>
      <c r="BS1439" s="16"/>
      <c r="BT1439" s="16"/>
      <c r="BU1439" s="21"/>
      <c r="BV1439" s="16"/>
      <c r="BW1439" s="16"/>
      <c r="BX1439" s="16"/>
      <c r="BY1439" s="16"/>
      <c r="BZ1439" s="10"/>
      <c r="CA1439" s="16"/>
      <c r="CB1439" s="16"/>
      <c r="CC1439" s="16"/>
      <c r="CD1439" s="16"/>
      <c r="CE1439" s="10"/>
      <c r="CF1439" s="16"/>
      <c r="CG1439" s="16"/>
      <c r="CH1439" s="16"/>
      <c r="CI1439" s="16"/>
      <c r="CJ1439" s="10"/>
      <c r="CK1439" s="16"/>
      <c r="CL1439" s="16"/>
      <c r="CM1439" s="16"/>
      <c r="CN1439" s="16"/>
      <c r="CO1439" s="10"/>
      <c r="CP1439" s="16"/>
      <c r="CQ1439" s="16"/>
      <c r="CR1439" s="16"/>
      <c r="CS1439" s="16"/>
      <c r="CT1439" s="10"/>
      <c r="CU1439" s="16"/>
      <c r="CV1439" s="16"/>
      <c r="CW1439" s="16"/>
      <c r="CX1439" s="16"/>
      <c r="CY1439" s="10"/>
      <c r="CZ1439" s="16"/>
      <c r="DA1439" s="16"/>
      <c r="DB1439" s="16"/>
      <c r="DC1439" s="16"/>
      <c r="DD1439" s="10"/>
      <c r="DE1439" s="16"/>
      <c r="DF1439" s="16"/>
      <c r="DG1439" s="16"/>
      <c r="DH1439" s="16"/>
      <c r="DI1439" s="10"/>
      <c r="DJ1439" s="16"/>
      <c r="DK1439" s="16"/>
      <c r="DL1439" s="16"/>
      <c r="DM1439" s="16"/>
      <c r="DN1439" s="10"/>
      <c r="DO1439" s="16"/>
      <c r="DP1439" s="16"/>
      <c r="DQ1439" s="16"/>
      <c r="DR1439" s="16"/>
      <c r="DS1439" s="10"/>
      <c r="DT1439" s="16"/>
      <c r="DU1439" s="16"/>
      <c r="DV1439" s="16"/>
      <c r="DW1439" s="16"/>
      <c r="DX1439" s="10"/>
      <c r="DY1439" s="16"/>
      <c r="DZ1439" s="16"/>
      <c r="EA1439" s="16"/>
      <c r="EB1439" s="16"/>
      <c r="EC1439" s="10"/>
      <c r="ED1439" s="16"/>
      <c r="EE1439" s="16"/>
      <c r="EF1439" s="16"/>
      <c r="EG1439" s="16"/>
      <c r="EH1439" s="10"/>
      <c r="EI1439" s="214"/>
      <c r="EJ1439" s="16"/>
      <c r="EK1439" s="16"/>
      <c r="EL1439" s="16"/>
      <c r="EM1439" s="10"/>
      <c r="EN1439" s="16"/>
      <c r="EO1439" s="16"/>
      <c r="EP1439" s="16"/>
      <c r="EQ1439" s="16"/>
      <c r="ER1439" s="10"/>
      <c r="ES1439" s="16"/>
      <c r="ET1439" s="16"/>
      <c r="EU1439" s="16"/>
      <c r="EV1439" s="16"/>
      <c r="EW1439" s="10"/>
      <c r="EX1439" s="16"/>
      <c r="EY1439" s="16"/>
      <c r="EZ1439" s="16"/>
      <c r="FA1439" s="16"/>
      <c r="FB1439" s="10"/>
      <c r="FC1439" s="16"/>
      <c r="FD1439" s="16"/>
      <c r="FE1439" s="16"/>
      <c r="FF1439" s="16"/>
      <c r="FG1439" s="10"/>
      <c r="FH1439" s="21"/>
      <c r="FI1439" s="16"/>
      <c r="FJ1439" s="16"/>
      <c r="FK1439" s="16"/>
      <c r="FL1439" s="16"/>
    </row>
    <row r="1440" ht="12.75" customHeight="1">
      <c r="A1440" s="16"/>
      <c r="B1440" s="16"/>
      <c r="C1440" s="16"/>
      <c r="D1440" s="16"/>
      <c r="E1440" s="16"/>
      <c r="F1440" s="16"/>
      <c r="G1440" s="16"/>
      <c r="H1440" s="31"/>
      <c r="I1440" s="32"/>
      <c r="J1440" s="32"/>
      <c r="K1440" s="32"/>
      <c r="L1440" s="32"/>
      <c r="M1440" s="31"/>
      <c r="N1440" s="32"/>
      <c r="O1440" s="32"/>
      <c r="P1440" s="32"/>
      <c r="Q1440" s="32"/>
      <c r="R1440" s="33"/>
      <c r="S1440" s="32"/>
      <c r="T1440" s="32"/>
      <c r="U1440" s="32"/>
      <c r="V1440" s="32"/>
      <c r="W1440" s="33"/>
      <c r="X1440" s="32"/>
      <c r="Y1440" s="32"/>
      <c r="Z1440" s="32"/>
      <c r="AA1440" s="32"/>
      <c r="AB1440" s="31"/>
      <c r="AC1440" s="32"/>
      <c r="AD1440" s="32"/>
      <c r="AE1440" s="32"/>
      <c r="AF1440" s="32"/>
      <c r="AG1440" s="31"/>
      <c r="AH1440" s="32"/>
      <c r="AI1440" s="32"/>
      <c r="AJ1440" s="32"/>
      <c r="AK1440" s="32"/>
      <c r="AL1440" s="31"/>
      <c r="AM1440" s="32"/>
      <c r="AN1440" s="32"/>
      <c r="AO1440" s="32"/>
      <c r="AP1440" s="32"/>
      <c r="AQ1440" s="31"/>
      <c r="AR1440" s="32"/>
      <c r="AS1440" s="32"/>
      <c r="AT1440" s="32"/>
      <c r="AU1440" s="32"/>
      <c r="AV1440" s="31"/>
      <c r="AW1440" s="32"/>
      <c r="AX1440" s="32"/>
      <c r="AY1440" s="32"/>
      <c r="AZ1440" s="32"/>
      <c r="BA1440" s="33"/>
      <c r="BB1440" s="32"/>
      <c r="BC1440" s="32"/>
      <c r="BD1440" s="32"/>
      <c r="BE1440" s="32"/>
      <c r="BF1440" s="33"/>
      <c r="BG1440" s="32"/>
      <c r="BH1440" s="32"/>
      <c r="BI1440" s="32"/>
      <c r="BJ1440" s="32"/>
      <c r="BK1440" s="33"/>
      <c r="BL1440" s="32"/>
      <c r="BM1440" s="32"/>
      <c r="BN1440" s="32"/>
      <c r="BO1440" s="32"/>
      <c r="BP1440" s="33"/>
      <c r="BQ1440" s="16"/>
      <c r="BR1440" s="16"/>
      <c r="BS1440" s="16"/>
      <c r="BT1440" s="16"/>
      <c r="BU1440" s="21"/>
      <c r="BV1440" s="16"/>
      <c r="BW1440" s="16"/>
      <c r="BX1440" s="16"/>
      <c r="BY1440" s="16"/>
      <c r="BZ1440" s="10"/>
      <c r="CA1440" s="16"/>
      <c r="CB1440" s="16"/>
      <c r="CC1440" s="16"/>
      <c r="CD1440" s="16"/>
      <c r="CE1440" s="10"/>
      <c r="CF1440" s="16"/>
      <c r="CG1440" s="16"/>
      <c r="CH1440" s="16"/>
      <c r="CI1440" s="16"/>
      <c r="CJ1440" s="10"/>
      <c r="CK1440" s="16"/>
      <c r="CL1440" s="16"/>
      <c r="CM1440" s="16"/>
      <c r="CN1440" s="16"/>
      <c r="CO1440" s="10"/>
      <c r="CP1440" s="16"/>
      <c r="CQ1440" s="16"/>
      <c r="CR1440" s="16"/>
      <c r="CS1440" s="16"/>
      <c r="CT1440" s="10"/>
      <c r="CU1440" s="16"/>
      <c r="CV1440" s="16"/>
      <c r="CW1440" s="16"/>
      <c r="CX1440" s="16"/>
      <c r="CY1440" s="10"/>
      <c r="CZ1440" s="16"/>
      <c r="DA1440" s="16"/>
      <c r="DB1440" s="16"/>
      <c r="DC1440" s="16"/>
      <c r="DD1440" s="10"/>
      <c r="DE1440" s="16"/>
      <c r="DF1440" s="16"/>
      <c r="DG1440" s="16"/>
      <c r="DH1440" s="16"/>
      <c r="DI1440" s="10"/>
      <c r="DJ1440" s="16"/>
      <c r="DK1440" s="16"/>
      <c r="DL1440" s="16"/>
      <c r="DM1440" s="16"/>
      <c r="DN1440" s="10"/>
      <c r="DO1440" s="16"/>
      <c r="DP1440" s="16"/>
      <c r="DQ1440" s="16"/>
      <c r="DR1440" s="16"/>
      <c r="DS1440" s="10"/>
      <c r="DT1440" s="16"/>
      <c r="DU1440" s="16"/>
      <c r="DV1440" s="16"/>
      <c r="DW1440" s="16"/>
      <c r="DX1440" s="10"/>
      <c r="DY1440" s="16"/>
      <c r="DZ1440" s="16"/>
      <c r="EA1440" s="16"/>
      <c r="EB1440" s="16"/>
      <c r="EC1440" s="10"/>
      <c r="ED1440" s="16"/>
      <c r="EE1440" s="16"/>
      <c r="EF1440" s="16"/>
      <c r="EG1440" s="16"/>
      <c r="EH1440" s="10"/>
      <c r="EI1440" s="214"/>
      <c r="EJ1440" s="16"/>
      <c r="EK1440" s="16"/>
      <c r="EL1440" s="16"/>
      <c r="EM1440" s="10"/>
      <c r="EN1440" s="16"/>
      <c r="EO1440" s="16"/>
      <c r="EP1440" s="16"/>
      <c r="EQ1440" s="16"/>
      <c r="ER1440" s="10"/>
      <c r="ES1440" s="16"/>
      <c r="ET1440" s="16"/>
      <c r="EU1440" s="16"/>
      <c r="EV1440" s="16"/>
      <c r="EW1440" s="10"/>
      <c r="EX1440" s="16"/>
      <c r="EY1440" s="16"/>
      <c r="EZ1440" s="16"/>
      <c r="FA1440" s="16"/>
      <c r="FB1440" s="10"/>
      <c r="FC1440" s="16"/>
      <c r="FD1440" s="16"/>
      <c r="FE1440" s="16"/>
      <c r="FF1440" s="16"/>
      <c r="FG1440" s="10"/>
      <c r="FH1440" s="21"/>
      <c r="FI1440" s="16"/>
      <c r="FJ1440" s="16"/>
      <c r="FK1440" s="16"/>
      <c r="FL1440" s="16"/>
    </row>
    <row r="1441" ht="12.75" customHeight="1">
      <c r="A1441" s="16"/>
      <c r="B1441" s="16"/>
      <c r="C1441" s="16"/>
      <c r="D1441" s="16"/>
      <c r="E1441" s="16"/>
      <c r="F1441" s="16"/>
      <c r="G1441" s="16"/>
      <c r="H1441" s="31"/>
      <c r="I1441" s="32"/>
      <c r="J1441" s="32"/>
      <c r="K1441" s="32"/>
      <c r="L1441" s="32"/>
      <c r="M1441" s="31"/>
      <c r="N1441" s="32"/>
      <c r="O1441" s="32"/>
      <c r="P1441" s="32"/>
      <c r="Q1441" s="32"/>
      <c r="R1441" s="33"/>
      <c r="S1441" s="32"/>
      <c r="T1441" s="32"/>
      <c r="U1441" s="32"/>
      <c r="V1441" s="32"/>
      <c r="W1441" s="33"/>
      <c r="X1441" s="32"/>
      <c r="Y1441" s="32"/>
      <c r="Z1441" s="32"/>
      <c r="AA1441" s="32"/>
      <c r="AB1441" s="31"/>
      <c r="AC1441" s="32"/>
      <c r="AD1441" s="32"/>
      <c r="AE1441" s="32"/>
      <c r="AF1441" s="32"/>
      <c r="AG1441" s="31"/>
      <c r="AH1441" s="32"/>
      <c r="AI1441" s="32"/>
      <c r="AJ1441" s="32"/>
      <c r="AK1441" s="32"/>
      <c r="AL1441" s="31"/>
      <c r="AM1441" s="32"/>
      <c r="AN1441" s="32"/>
      <c r="AO1441" s="32"/>
      <c r="AP1441" s="32"/>
      <c r="AQ1441" s="31"/>
      <c r="AR1441" s="32"/>
      <c r="AS1441" s="32"/>
      <c r="AT1441" s="32"/>
      <c r="AU1441" s="32"/>
      <c r="AV1441" s="31"/>
      <c r="AW1441" s="32"/>
      <c r="AX1441" s="32"/>
      <c r="AY1441" s="32"/>
      <c r="AZ1441" s="32"/>
      <c r="BA1441" s="33"/>
      <c r="BB1441" s="32"/>
      <c r="BC1441" s="32"/>
      <c r="BD1441" s="32"/>
      <c r="BE1441" s="32"/>
      <c r="BF1441" s="33"/>
      <c r="BG1441" s="32"/>
      <c r="BH1441" s="32"/>
      <c r="BI1441" s="32"/>
      <c r="BJ1441" s="32"/>
      <c r="BK1441" s="33"/>
      <c r="BL1441" s="32"/>
      <c r="BM1441" s="32"/>
      <c r="BN1441" s="32"/>
      <c r="BO1441" s="32"/>
      <c r="BP1441" s="33"/>
      <c r="BQ1441" s="16"/>
      <c r="BR1441" s="16"/>
      <c r="BS1441" s="16"/>
      <c r="BT1441" s="16"/>
      <c r="BU1441" s="21"/>
      <c r="BV1441" s="16"/>
      <c r="BW1441" s="16"/>
      <c r="BX1441" s="16"/>
      <c r="BY1441" s="16"/>
      <c r="BZ1441" s="10"/>
      <c r="CA1441" s="16"/>
      <c r="CB1441" s="16"/>
      <c r="CC1441" s="16"/>
      <c r="CD1441" s="16"/>
      <c r="CE1441" s="10"/>
      <c r="CF1441" s="16"/>
      <c r="CG1441" s="16"/>
      <c r="CH1441" s="16"/>
      <c r="CI1441" s="16"/>
      <c r="CJ1441" s="10"/>
      <c r="CK1441" s="16"/>
      <c r="CL1441" s="16"/>
      <c r="CM1441" s="16"/>
      <c r="CN1441" s="16"/>
      <c r="CO1441" s="10"/>
      <c r="CP1441" s="16"/>
      <c r="CQ1441" s="16"/>
      <c r="CR1441" s="16"/>
      <c r="CS1441" s="16"/>
      <c r="CT1441" s="10"/>
      <c r="CU1441" s="16"/>
      <c r="CV1441" s="16"/>
      <c r="CW1441" s="16"/>
      <c r="CX1441" s="16"/>
      <c r="CY1441" s="10"/>
      <c r="CZ1441" s="16"/>
      <c r="DA1441" s="16"/>
      <c r="DB1441" s="16"/>
      <c r="DC1441" s="16"/>
      <c r="DD1441" s="10"/>
      <c r="DE1441" s="16"/>
      <c r="DF1441" s="16"/>
      <c r="DG1441" s="16"/>
      <c r="DH1441" s="16"/>
      <c r="DI1441" s="10"/>
      <c r="DJ1441" s="16"/>
      <c r="DK1441" s="16"/>
      <c r="DL1441" s="16"/>
      <c r="DM1441" s="16"/>
      <c r="DN1441" s="10"/>
      <c r="DO1441" s="16"/>
      <c r="DP1441" s="16"/>
      <c r="DQ1441" s="16"/>
      <c r="DR1441" s="16"/>
      <c r="DS1441" s="10"/>
      <c r="DT1441" s="16"/>
      <c r="DU1441" s="16"/>
      <c r="DV1441" s="16"/>
      <c r="DW1441" s="16"/>
      <c r="DX1441" s="10"/>
      <c r="DY1441" s="16"/>
      <c r="DZ1441" s="16"/>
      <c r="EA1441" s="16"/>
      <c r="EB1441" s="16"/>
      <c r="EC1441" s="10"/>
      <c r="ED1441" s="16"/>
      <c r="EE1441" s="16"/>
      <c r="EF1441" s="16"/>
      <c r="EG1441" s="16"/>
      <c r="EH1441" s="10"/>
      <c r="EI1441" s="214"/>
      <c r="EJ1441" s="16"/>
      <c r="EK1441" s="16"/>
      <c r="EL1441" s="16"/>
      <c r="EM1441" s="10"/>
      <c r="EN1441" s="16"/>
      <c r="EO1441" s="16"/>
      <c r="EP1441" s="16"/>
      <c r="EQ1441" s="16"/>
      <c r="ER1441" s="10"/>
      <c r="ES1441" s="16"/>
      <c r="ET1441" s="16"/>
      <c r="EU1441" s="16"/>
      <c r="EV1441" s="16"/>
      <c r="EW1441" s="10"/>
      <c r="EX1441" s="16"/>
      <c r="EY1441" s="16"/>
      <c r="EZ1441" s="16"/>
      <c r="FA1441" s="16"/>
      <c r="FB1441" s="10"/>
      <c r="FC1441" s="16"/>
      <c r="FD1441" s="16"/>
      <c r="FE1441" s="16"/>
      <c r="FF1441" s="16"/>
      <c r="FG1441" s="10"/>
      <c r="FH1441" s="21"/>
      <c r="FI1441" s="16"/>
      <c r="FJ1441" s="16"/>
      <c r="FK1441" s="16"/>
      <c r="FL1441" s="16"/>
    </row>
    <row r="1442" ht="12.75" customHeight="1">
      <c r="A1442" s="16"/>
      <c r="B1442" s="16"/>
      <c r="C1442" s="16"/>
      <c r="D1442" s="16"/>
      <c r="E1442" s="16"/>
      <c r="F1442" s="16"/>
      <c r="G1442" s="16"/>
      <c r="H1442" s="31"/>
      <c r="I1442" s="32"/>
      <c r="J1442" s="32"/>
      <c r="K1442" s="32"/>
      <c r="L1442" s="32"/>
      <c r="M1442" s="31"/>
      <c r="N1442" s="32"/>
      <c r="O1442" s="32"/>
      <c r="P1442" s="32"/>
      <c r="Q1442" s="32"/>
      <c r="R1442" s="33"/>
      <c r="S1442" s="32"/>
      <c r="T1442" s="32"/>
      <c r="U1442" s="32"/>
      <c r="V1442" s="32"/>
      <c r="W1442" s="33"/>
      <c r="X1442" s="32"/>
      <c r="Y1442" s="32"/>
      <c r="Z1442" s="32"/>
      <c r="AA1442" s="32"/>
      <c r="AB1442" s="31"/>
      <c r="AC1442" s="32"/>
      <c r="AD1442" s="32"/>
      <c r="AE1442" s="32"/>
      <c r="AF1442" s="32"/>
      <c r="AG1442" s="31"/>
      <c r="AH1442" s="32"/>
      <c r="AI1442" s="32"/>
      <c r="AJ1442" s="32"/>
      <c r="AK1442" s="32"/>
      <c r="AL1442" s="31"/>
      <c r="AM1442" s="32"/>
      <c r="AN1442" s="32"/>
      <c r="AO1442" s="32"/>
      <c r="AP1442" s="32"/>
      <c r="AQ1442" s="31"/>
      <c r="AR1442" s="32"/>
      <c r="AS1442" s="32"/>
      <c r="AT1442" s="32"/>
      <c r="AU1442" s="32"/>
      <c r="AV1442" s="31"/>
      <c r="AW1442" s="32"/>
      <c r="AX1442" s="32"/>
      <c r="AY1442" s="32"/>
      <c r="AZ1442" s="32"/>
      <c r="BA1442" s="33"/>
      <c r="BB1442" s="32"/>
      <c r="BC1442" s="32"/>
      <c r="BD1442" s="32"/>
      <c r="BE1442" s="32"/>
      <c r="BF1442" s="33"/>
      <c r="BG1442" s="32"/>
      <c r="BH1442" s="32"/>
      <c r="BI1442" s="32"/>
      <c r="BJ1442" s="32"/>
      <c r="BK1442" s="33"/>
      <c r="BL1442" s="32"/>
      <c r="BM1442" s="32"/>
      <c r="BN1442" s="32"/>
      <c r="BO1442" s="32"/>
      <c r="BP1442" s="33"/>
      <c r="BQ1442" s="16"/>
      <c r="BR1442" s="16"/>
      <c r="BS1442" s="16"/>
      <c r="BT1442" s="16"/>
      <c r="BU1442" s="21"/>
      <c r="BV1442" s="16"/>
      <c r="BW1442" s="16"/>
      <c r="BX1442" s="16"/>
      <c r="BY1442" s="16"/>
      <c r="BZ1442" s="10"/>
      <c r="CA1442" s="16"/>
      <c r="CB1442" s="16"/>
      <c r="CC1442" s="16"/>
      <c r="CD1442" s="16"/>
      <c r="CE1442" s="10"/>
      <c r="CF1442" s="16"/>
      <c r="CG1442" s="16"/>
      <c r="CH1442" s="16"/>
      <c r="CI1442" s="16"/>
      <c r="CJ1442" s="10"/>
      <c r="CK1442" s="16"/>
      <c r="CL1442" s="16"/>
      <c r="CM1442" s="16"/>
      <c r="CN1442" s="16"/>
      <c r="CO1442" s="10"/>
      <c r="CP1442" s="16"/>
      <c r="CQ1442" s="16"/>
      <c r="CR1442" s="16"/>
      <c r="CS1442" s="16"/>
      <c r="CT1442" s="10"/>
      <c r="CU1442" s="16"/>
      <c r="CV1442" s="16"/>
      <c r="CW1442" s="16"/>
      <c r="CX1442" s="16"/>
      <c r="CY1442" s="10"/>
      <c r="CZ1442" s="16"/>
      <c r="DA1442" s="16"/>
      <c r="DB1442" s="16"/>
      <c r="DC1442" s="16"/>
      <c r="DD1442" s="10"/>
      <c r="DE1442" s="16"/>
      <c r="DF1442" s="16"/>
      <c r="DG1442" s="16"/>
      <c r="DH1442" s="16"/>
      <c r="DI1442" s="10"/>
      <c r="DJ1442" s="16"/>
      <c r="DK1442" s="16"/>
      <c r="DL1442" s="16"/>
      <c r="DM1442" s="16"/>
      <c r="DN1442" s="10"/>
      <c r="DO1442" s="16"/>
      <c r="DP1442" s="16"/>
      <c r="DQ1442" s="16"/>
      <c r="DR1442" s="16"/>
      <c r="DS1442" s="10"/>
      <c r="DT1442" s="16"/>
      <c r="DU1442" s="16"/>
      <c r="DV1442" s="16"/>
      <c r="DW1442" s="16"/>
      <c r="DX1442" s="10"/>
      <c r="DY1442" s="16"/>
      <c r="DZ1442" s="16"/>
      <c r="EA1442" s="16"/>
      <c r="EB1442" s="16"/>
      <c r="EC1442" s="10"/>
      <c r="ED1442" s="16"/>
      <c r="EE1442" s="16"/>
      <c r="EF1442" s="16"/>
      <c r="EG1442" s="16"/>
      <c r="EH1442" s="10"/>
      <c r="EI1442" s="214"/>
      <c r="EJ1442" s="16"/>
      <c r="EK1442" s="16"/>
      <c r="EL1442" s="16"/>
      <c r="EM1442" s="10"/>
      <c r="EN1442" s="16"/>
      <c r="EO1442" s="16"/>
      <c r="EP1442" s="16"/>
      <c r="EQ1442" s="16"/>
      <c r="ER1442" s="10"/>
      <c r="ES1442" s="16"/>
      <c r="ET1442" s="16"/>
      <c r="EU1442" s="16"/>
      <c r="EV1442" s="16"/>
      <c r="EW1442" s="10"/>
      <c r="EX1442" s="16"/>
      <c r="EY1442" s="16"/>
      <c r="EZ1442" s="16"/>
      <c r="FA1442" s="16"/>
      <c r="FB1442" s="10"/>
      <c r="FC1442" s="16"/>
      <c r="FD1442" s="16"/>
      <c r="FE1442" s="16"/>
      <c r="FF1442" s="16"/>
      <c r="FG1442" s="10"/>
      <c r="FH1442" s="21"/>
      <c r="FI1442" s="16"/>
      <c r="FJ1442" s="16"/>
      <c r="FK1442" s="16"/>
      <c r="FL1442" s="16"/>
    </row>
    <row r="1443" ht="12.75" customHeight="1">
      <c r="A1443" s="16"/>
      <c r="B1443" s="16"/>
      <c r="C1443" s="16"/>
      <c r="D1443" s="16"/>
      <c r="E1443" s="16"/>
      <c r="F1443" s="16"/>
      <c r="G1443" s="16"/>
      <c r="H1443" s="31"/>
      <c r="I1443" s="32"/>
      <c r="J1443" s="32"/>
      <c r="K1443" s="32"/>
      <c r="L1443" s="32"/>
      <c r="M1443" s="31"/>
      <c r="N1443" s="32"/>
      <c r="O1443" s="32"/>
      <c r="P1443" s="32"/>
      <c r="Q1443" s="32"/>
      <c r="R1443" s="33"/>
      <c r="S1443" s="32"/>
      <c r="T1443" s="32"/>
      <c r="U1443" s="32"/>
      <c r="V1443" s="32"/>
      <c r="W1443" s="33"/>
      <c r="X1443" s="32"/>
      <c r="Y1443" s="32"/>
      <c r="Z1443" s="32"/>
      <c r="AA1443" s="32"/>
      <c r="AB1443" s="31"/>
      <c r="AC1443" s="32"/>
      <c r="AD1443" s="32"/>
      <c r="AE1443" s="32"/>
      <c r="AF1443" s="32"/>
      <c r="AG1443" s="31"/>
      <c r="AH1443" s="32"/>
      <c r="AI1443" s="32"/>
      <c r="AJ1443" s="32"/>
      <c r="AK1443" s="32"/>
      <c r="AL1443" s="31"/>
      <c r="AM1443" s="32"/>
      <c r="AN1443" s="32"/>
      <c r="AO1443" s="32"/>
      <c r="AP1443" s="32"/>
      <c r="AQ1443" s="31"/>
      <c r="AR1443" s="32"/>
      <c r="AS1443" s="32"/>
      <c r="AT1443" s="32"/>
      <c r="AU1443" s="32"/>
      <c r="AV1443" s="31"/>
      <c r="AW1443" s="32"/>
      <c r="AX1443" s="32"/>
      <c r="AY1443" s="32"/>
      <c r="AZ1443" s="32"/>
      <c r="BA1443" s="33"/>
      <c r="BB1443" s="32"/>
      <c r="BC1443" s="32"/>
      <c r="BD1443" s="32"/>
      <c r="BE1443" s="32"/>
      <c r="BF1443" s="33"/>
      <c r="BG1443" s="32"/>
      <c r="BH1443" s="32"/>
      <c r="BI1443" s="32"/>
      <c r="BJ1443" s="32"/>
      <c r="BK1443" s="33"/>
      <c r="BL1443" s="32"/>
      <c r="BM1443" s="32"/>
      <c r="BN1443" s="32"/>
      <c r="BO1443" s="32"/>
      <c r="BP1443" s="33"/>
      <c r="BQ1443" s="16"/>
      <c r="BR1443" s="16"/>
      <c r="BS1443" s="16"/>
      <c r="BT1443" s="16"/>
      <c r="BU1443" s="21"/>
      <c r="BV1443" s="16"/>
      <c r="BW1443" s="16"/>
      <c r="BX1443" s="16"/>
      <c r="BY1443" s="16"/>
      <c r="BZ1443" s="10"/>
      <c r="CA1443" s="16"/>
      <c r="CB1443" s="16"/>
      <c r="CC1443" s="16"/>
      <c r="CD1443" s="16"/>
      <c r="CE1443" s="10"/>
      <c r="CF1443" s="16"/>
      <c r="CG1443" s="16"/>
      <c r="CH1443" s="16"/>
      <c r="CI1443" s="16"/>
      <c r="CJ1443" s="10"/>
      <c r="CK1443" s="16"/>
      <c r="CL1443" s="16"/>
      <c r="CM1443" s="16"/>
      <c r="CN1443" s="16"/>
      <c r="CO1443" s="10"/>
      <c r="CP1443" s="16"/>
      <c r="CQ1443" s="16"/>
      <c r="CR1443" s="16"/>
      <c r="CS1443" s="16"/>
      <c r="CT1443" s="10"/>
      <c r="CU1443" s="16"/>
      <c r="CV1443" s="16"/>
      <c r="CW1443" s="16"/>
      <c r="CX1443" s="16"/>
      <c r="CY1443" s="10"/>
      <c r="CZ1443" s="16"/>
      <c r="DA1443" s="16"/>
      <c r="DB1443" s="16"/>
      <c r="DC1443" s="16"/>
      <c r="DD1443" s="10"/>
      <c r="DE1443" s="16"/>
      <c r="DF1443" s="16"/>
      <c r="DG1443" s="16"/>
      <c r="DH1443" s="16"/>
      <c r="DI1443" s="10"/>
      <c r="DJ1443" s="16"/>
      <c r="DK1443" s="16"/>
      <c r="DL1443" s="16"/>
      <c r="DM1443" s="16"/>
      <c r="DN1443" s="10"/>
      <c r="DO1443" s="16"/>
      <c r="DP1443" s="16"/>
      <c r="DQ1443" s="16"/>
      <c r="DR1443" s="16"/>
      <c r="DS1443" s="10"/>
      <c r="DT1443" s="16"/>
      <c r="DU1443" s="16"/>
      <c r="DV1443" s="16"/>
      <c r="DW1443" s="16"/>
      <c r="DX1443" s="10"/>
      <c r="DY1443" s="16"/>
      <c r="DZ1443" s="16"/>
      <c r="EA1443" s="16"/>
      <c r="EB1443" s="16"/>
      <c r="EC1443" s="10"/>
      <c r="ED1443" s="16"/>
      <c r="EE1443" s="16"/>
      <c r="EF1443" s="16"/>
      <c r="EG1443" s="16"/>
      <c r="EH1443" s="10"/>
      <c r="EI1443" s="214"/>
      <c r="EJ1443" s="16"/>
      <c r="EK1443" s="16"/>
      <c r="EL1443" s="16"/>
      <c r="EM1443" s="10"/>
      <c r="EN1443" s="16"/>
      <c r="EO1443" s="16"/>
      <c r="EP1443" s="16"/>
      <c r="EQ1443" s="16"/>
      <c r="ER1443" s="10"/>
      <c r="ES1443" s="16"/>
      <c r="ET1443" s="16"/>
      <c r="EU1443" s="16"/>
      <c r="EV1443" s="16"/>
      <c r="EW1443" s="10"/>
      <c r="EX1443" s="16"/>
      <c r="EY1443" s="16"/>
      <c r="EZ1443" s="16"/>
      <c r="FA1443" s="16"/>
      <c r="FB1443" s="10"/>
      <c r="FC1443" s="16"/>
      <c r="FD1443" s="16"/>
      <c r="FE1443" s="16"/>
      <c r="FF1443" s="16"/>
      <c r="FG1443" s="10"/>
      <c r="FH1443" s="21"/>
      <c r="FI1443" s="16"/>
      <c r="FJ1443" s="16"/>
      <c r="FK1443" s="16"/>
      <c r="FL1443" s="16"/>
    </row>
    <row r="1444" ht="12.75" customHeight="1">
      <c r="A1444" s="16"/>
      <c r="B1444" s="16"/>
      <c r="C1444" s="16"/>
      <c r="D1444" s="16"/>
      <c r="E1444" s="16"/>
      <c r="F1444" s="16"/>
      <c r="G1444" s="16"/>
      <c r="H1444" s="31"/>
      <c r="I1444" s="32"/>
      <c r="J1444" s="32"/>
      <c r="K1444" s="32"/>
      <c r="L1444" s="32"/>
      <c r="M1444" s="31"/>
      <c r="N1444" s="32"/>
      <c r="O1444" s="32"/>
      <c r="P1444" s="32"/>
      <c r="Q1444" s="32"/>
      <c r="R1444" s="33"/>
      <c r="S1444" s="32"/>
      <c r="T1444" s="32"/>
      <c r="U1444" s="32"/>
      <c r="V1444" s="32"/>
      <c r="W1444" s="33"/>
      <c r="X1444" s="32"/>
      <c r="Y1444" s="32"/>
      <c r="Z1444" s="32"/>
      <c r="AA1444" s="32"/>
      <c r="AB1444" s="31"/>
      <c r="AC1444" s="32"/>
      <c r="AD1444" s="32"/>
      <c r="AE1444" s="32"/>
      <c r="AF1444" s="32"/>
      <c r="AG1444" s="31"/>
      <c r="AH1444" s="32"/>
      <c r="AI1444" s="32"/>
      <c r="AJ1444" s="32"/>
      <c r="AK1444" s="32"/>
      <c r="AL1444" s="31"/>
      <c r="AM1444" s="32"/>
      <c r="AN1444" s="32"/>
      <c r="AO1444" s="32"/>
      <c r="AP1444" s="32"/>
      <c r="AQ1444" s="31"/>
      <c r="AR1444" s="32"/>
      <c r="AS1444" s="32"/>
      <c r="AT1444" s="32"/>
      <c r="AU1444" s="32"/>
      <c r="AV1444" s="31"/>
      <c r="AW1444" s="32"/>
      <c r="AX1444" s="32"/>
      <c r="AY1444" s="32"/>
      <c r="AZ1444" s="32"/>
      <c r="BA1444" s="33"/>
      <c r="BB1444" s="32"/>
      <c r="BC1444" s="32"/>
      <c r="BD1444" s="32"/>
      <c r="BE1444" s="32"/>
      <c r="BF1444" s="33"/>
      <c r="BG1444" s="32"/>
      <c r="BH1444" s="32"/>
      <c r="BI1444" s="32"/>
      <c r="BJ1444" s="32"/>
      <c r="BK1444" s="33"/>
      <c r="BL1444" s="32"/>
      <c r="BM1444" s="32"/>
      <c r="BN1444" s="32"/>
      <c r="BO1444" s="32"/>
      <c r="BP1444" s="33"/>
      <c r="BQ1444" s="16"/>
      <c r="BR1444" s="16"/>
      <c r="BS1444" s="16"/>
      <c r="BT1444" s="16"/>
      <c r="BU1444" s="21"/>
      <c r="BV1444" s="16"/>
      <c r="BW1444" s="16"/>
      <c r="BX1444" s="16"/>
      <c r="BY1444" s="16"/>
      <c r="BZ1444" s="10"/>
      <c r="CA1444" s="16"/>
      <c r="CB1444" s="16"/>
      <c r="CC1444" s="16"/>
      <c r="CD1444" s="16"/>
      <c r="CE1444" s="10"/>
      <c r="CF1444" s="16"/>
      <c r="CG1444" s="16"/>
      <c r="CH1444" s="16"/>
      <c r="CI1444" s="16"/>
      <c r="CJ1444" s="10"/>
      <c r="CK1444" s="16"/>
      <c r="CL1444" s="16"/>
      <c r="CM1444" s="16"/>
      <c r="CN1444" s="16"/>
      <c r="CO1444" s="10"/>
      <c r="CP1444" s="16"/>
      <c r="CQ1444" s="16"/>
      <c r="CR1444" s="16"/>
      <c r="CS1444" s="16"/>
      <c r="CT1444" s="10"/>
      <c r="CU1444" s="16"/>
      <c r="CV1444" s="16"/>
      <c r="CW1444" s="16"/>
      <c r="CX1444" s="16"/>
      <c r="CY1444" s="10"/>
      <c r="CZ1444" s="16"/>
      <c r="DA1444" s="16"/>
      <c r="DB1444" s="16"/>
      <c r="DC1444" s="16"/>
      <c r="DD1444" s="10"/>
      <c r="DE1444" s="16"/>
      <c r="DF1444" s="16"/>
      <c r="DG1444" s="16"/>
      <c r="DH1444" s="16"/>
      <c r="DI1444" s="10"/>
      <c r="DJ1444" s="16"/>
      <c r="DK1444" s="16"/>
      <c r="DL1444" s="16"/>
      <c r="DM1444" s="16"/>
      <c r="DN1444" s="10"/>
      <c r="DO1444" s="16"/>
      <c r="DP1444" s="16"/>
      <c r="DQ1444" s="16"/>
      <c r="DR1444" s="16"/>
      <c r="DS1444" s="10"/>
      <c r="DT1444" s="16"/>
      <c r="DU1444" s="16"/>
      <c r="DV1444" s="16"/>
      <c r="DW1444" s="16"/>
      <c r="DX1444" s="10"/>
      <c r="DY1444" s="16"/>
      <c r="DZ1444" s="16"/>
      <c r="EA1444" s="16"/>
      <c r="EB1444" s="16"/>
      <c r="EC1444" s="10"/>
      <c r="ED1444" s="16"/>
      <c r="EE1444" s="16"/>
      <c r="EF1444" s="16"/>
      <c r="EG1444" s="16"/>
      <c r="EH1444" s="10"/>
      <c r="EI1444" s="214"/>
      <c r="EJ1444" s="16"/>
      <c r="EK1444" s="16"/>
      <c r="EL1444" s="16"/>
      <c r="EM1444" s="10"/>
      <c r="EN1444" s="16"/>
      <c r="EO1444" s="16"/>
      <c r="EP1444" s="16"/>
      <c r="EQ1444" s="16"/>
      <c r="ER1444" s="10"/>
      <c r="ES1444" s="16"/>
      <c r="ET1444" s="16"/>
      <c r="EU1444" s="16"/>
      <c r="EV1444" s="16"/>
      <c r="EW1444" s="10"/>
      <c r="EX1444" s="16"/>
      <c r="EY1444" s="16"/>
      <c r="EZ1444" s="16"/>
      <c r="FA1444" s="16"/>
      <c r="FB1444" s="10"/>
      <c r="FC1444" s="16"/>
      <c r="FD1444" s="16"/>
      <c r="FE1444" s="16"/>
      <c r="FF1444" s="16"/>
      <c r="FG1444" s="10"/>
      <c r="FH1444" s="21"/>
      <c r="FI1444" s="16"/>
      <c r="FJ1444" s="16"/>
      <c r="FK1444" s="16"/>
      <c r="FL1444" s="16"/>
    </row>
    <row r="1445" ht="12.75" customHeight="1">
      <c r="A1445" s="16"/>
      <c r="B1445" s="16"/>
      <c r="C1445" s="16"/>
      <c r="D1445" s="16"/>
      <c r="E1445" s="16"/>
      <c r="F1445" s="16"/>
      <c r="G1445" s="16"/>
      <c r="H1445" s="31"/>
      <c r="I1445" s="32"/>
      <c r="J1445" s="32"/>
      <c r="K1445" s="32"/>
      <c r="L1445" s="32"/>
      <c r="M1445" s="31"/>
      <c r="N1445" s="32"/>
      <c r="O1445" s="32"/>
      <c r="P1445" s="32"/>
      <c r="Q1445" s="32"/>
      <c r="R1445" s="33"/>
      <c r="S1445" s="32"/>
      <c r="T1445" s="32"/>
      <c r="U1445" s="32"/>
      <c r="V1445" s="32"/>
      <c r="W1445" s="33"/>
      <c r="X1445" s="32"/>
      <c r="Y1445" s="32"/>
      <c r="Z1445" s="32"/>
      <c r="AA1445" s="32"/>
      <c r="AB1445" s="31"/>
      <c r="AC1445" s="32"/>
      <c r="AD1445" s="32"/>
      <c r="AE1445" s="32"/>
      <c r="AF1445" s="32"/>
      <c r="AG1445" s="31"/>
      <c r="AH1445" s="32"/>
      <c r="AI1445" s="32"/>
      <c r="AJ1445" s="32"/>
      <c r="AK1445" s="32"/>
      <c r="AL1445" s="31"/>
      <c r="AM1445" s="32"/>
      <c r="AN1445" s="32"/>
      <c r="AO1445" s="32"/>
      <c r="AP1445" s="32"/>
      <c r="AQ1445" s="31"/>
      <c r="AR1445" s="32"/>
      <c r="AS1445" s="32"/>
      <c r="AT1445" s="32"/>
      <c r="AU1445" s="32"/>
      <c r="AV1445" s="31"/>
      <c r="AW1445" s="32"/>
      <c r="AX1445" s="32"/>
      <c r="AY1445" s="32"/>
      <c r="AZ1445" s="32"/>
      <c r="BA1445" s="33"/>
      <c r="BB1445" s="32"/>
      <c r="BC1445" s="32"/>
      <c r="BD1445" s="32"/>
      <c r="BE1445" s="32"/>
      <c r="BF1445" s="33"/>
      <c r="BG1445" s="32"/>
      <c r="BH1445" s="32"/>
      <c r="BI1445" s="32"/>
      <c r="BJ1445" s="32"/>
      <c r="BK1445" s="33"/>
      <c r="BL1445" s="32"/>
      <c r="BM1445" s="32"/>
      <c r="BN1445" s="32"/>
      <c r="BO1445" s="32"/>
      <c r="BP1445" s="33"/>
      <c r="BQ1445" s="16"/>
      <c r="BR1445" s="16"/>
      <c r="BS1445" s="16"/>
      <c r="BT1445" s="16"/>
      <c r="BU1445" s="21"/>
      <c r="BV1445" s="16"/>
      <c r="BW1445" s="16"/>
      <c r="BX1445" s="16"/>
      <c r="BY1445" s="16"/>
      <c r="BZ1445" s="10"/>
      <c r="CA1445" s="16"/>
      <c r="CB1445" s="16"/>
      <c r="CC1445" s="16"/>
      <c r="CD1445" s="16"/>
      <c r="CE1445" s="10"/>
      <c r="CF1445" s="16"/>
      <c r="CG1445" s="16"/>
      <c r="CH1445" s="16"/>
      <c r="CI1445" s="16"/>
      <c r="CJ1445" s="10"/>
      <c r="CK1445" s="16"/>
      <c r="CL1445" s="16"/>
      <c r="CM1445" s="16"/>
      <c r="CN1445" s="16"/>
      <c r="CO1445" s="10"/>
      <c r="CP1445" s="16"/>
      <c r="CQ1445" s="16"/>
      <c r="CR1445" s="16"/>
      <c r="CS1445" s="16"/>
      <c r="CT1445" s="10"/>
      <c r="CU1445" s="16"/>
      <c r="CV1445" s="16"/>
      <c r="CW1445" s="16"/>
      <c r="CX1445" s="16"/>
      <c r="CY1445" s="10"/>
      <c r="CZ1445" s="16"/>
      <c r="DA1445" s="16"/>
      <c r="DB1445" s="16"/>
      <c r="DC1445" s="16"/>
      <c r="DD1445" s="10"/>
      <c r="DE1445" s="16"/>
      <c r="DF1445" s="16"/>
      <c r="DG1445" s="16"/>
      <c r="DH1445" s="16"/>
      <c r="DI1445" s="10"/>
      <c r="DJ1445" s="16"/>
      <c r="DK1445" s="16"/>
      <c r="DL1445" s="16"/>
      <c r="DM1445" s="16"/>
      <c r="DN1445" s="10"/>
      <c r="DO1445" s="16"/>
      <c r="DP1445" s="16"/>
      <c r="DQ1445" s="16"/>
      <c r="DR1445" s="16"/>
      <c r="DS1445" s="10"/>
      <c r="DT1445" s="16"/>
      <c r="DU1445" s="16"/>
      <c r="DV1445" s="16"/>
      <c r="DW1445" s="16"/>
      <c r="DX1445" s="10"/>
      <c r="DY1445" s="16"/>
      <c r="DZ1445" s="16"/>
      <c r="EA1445" s="16"/>
      <c r="EB1445" s="16"/>
      <c r="EC1445" s="10"/>
      <c r="ED1445" s="16"/>
      <c r="EE1445" s="16"/>
      <c r="EF1445" s="16"/>
      <c r="EG1445" s="16"/>
      <c r="EH1445" s="10"/>
      <c r="EI1445" s="214"/>
      <c r="EJ1445" s="16"/>
      <c r="EK1445" s="16"/>
      <c r="EL1445" s="16"/>
      <c r="EM1445" s="10"/>
      <c r="EN1445" s="16"/>
      <c r="EO1445" s="16"/>
      <c r="EP1445" s="16"/>
      <c r="EQ1445" s="16"/>
      <c r="ER1445" s="10"/>
      <c r="ES1445" s="16"/>
      <c r="ET1445" s="16"/>
      <c r="EU1445" s="16"/>
      <c r="EV1445" s="16"/>
      <c r="EW1445" s="10"/>
      <c r="EX1445" s="16"/>
      <c r="EY1445" s="16"/>
      <c r="EZ1445" s="16"/>
      <c r="FA1445" s="16"/>
      <c r="FB1445" s="10"/>
      <c r="FC1445" s="16"/>
      <c r="FD1445" s="16"/>
      <c r="FE1445" s="16"/>
      <c r="FF1445" s="16"/>
      <c r="FG1445" s="10"/>
      <c r="FH1445" s="21"/>
      <c r="FI1445" s="16"/>
      <c r="FJ1445" s="16"/>
      <c r="FK1445" s="16"/>
      <c r="FL1445" s="16"/>
    </row>
    <row r="1446" ht="12.75" customHeight="1">
      <c r="A1446" s="16"/>
      <c r="B1446" s="16"/>
      <c r="C1446" s="16"/>
      <c r="D1446" s="16"/>
      <c r="E1446" s="16"/>
      <c r="F1446" s="16"/>
      <c r="G1446" s="16"/>
      <c r="H1446" s="31"/>
      <c r="I1446" s="32"/>
      <c r="J1446" s="32"/>
      <c r="K1446" s="32"/>
      <c r="L1446" s="32"/>
      <c r="M1446" s="31"/>
      <c r="N1446" s="32"/>
      <c r="O1446" s="32"/>
      <c r="P1446" s="32"/>
      <c r="Q1446" s="32"/>
      <c r="R1446" s="33"/>
      <c r="S1446" s="32"/>
      <c r="T1446" s="32"/>
      <c r="U1446" s="32"/>
      <c r="V1446" s="32"/>
      <c r="W1446" s="33"/>
      <c r="X1446" s="32"/>
      <c r="Y1446" s="32"/>
      <c r="Z1446" s="32"/>
      <c r="AA1446" s="32"/>
      <c r="AB1446" s="31"/>
      <c r="AC1446" s="32"/>
      <c r="AD1446" s="32"/>
      <c r="AE1446" s="32"/>
      <c r="AF1446" s="32"/>
      <c r="AG1446" s="31"/>
      <c r="AH1446" s="32"/>
      <c r="AI1446" s="32"/>
      <c r="AJ1446" s="32"/>
      <c r="AK1446" s="32"/>
      <c r="AL1446" s="31"/>
      <c r="AM1446" s="32"/>
      <c r="AN1446" s="32"/>
      <c r="AO1446" s="32"/>
      <c r="AP1446" s="32"/>
      <c r="AQ1446" s="31"/>
      <c r="AR1446" s="32"/>
      <c r="AS1446" s="32"/>
      <c r="AT1446" s="32"/>
      <c r="AU1446" s="32"/>
      <c r="AV1446" s="31"/>
      <c r="AW1446" s="32"/>
      <c r="AX1446" s="32"/>
      <c r="AY1446" s="32"/>
      <c r="AZ1446" s="32"/>
      <c r="BA1446" s="33"/>
      <c r="BB1446" s="32"/>
      <c r="BC1446" s="32"/>
      <c r="BD1446" s="32"/>
      <c r="BE1446" s="32"/>
      <c r="BF1446" s="33"/>
      <c r="BG1446" s="32"/>
      <c r="BH1446" s="32"/>
      <c r="BI1446" s="32"/>
      <c r="BJ1446" s="32"/>
      <c r="BK1446" s="33"/>
      <c r="BL1446" s="32"/>
      <c r="BM1446" s="32"/>
      <c r="BN1446" s="32"/>
      <c r="BO1446" s="32"/>
      <c r="BP1446" s="33"/>
      <c r="BQ1446" s="16"/>
      <c r="BR1446" s="16"/>
      <c r="BS1446" s="16"/>
      <c r="BT1446" s="16"/>
      <c r="BU1446" s="21"/>
      <c r="BV1446" s="16"/>
      <c r="BW1446" s="16"/>
      <c r="BX1446" s="16"/>
      <c r="BY1446" s="16"/>
      <c r="BZ1446" s="10"/>
      <c r="CA1446" s="16"/>
      <c r="CB1446" s="16"/>
      <c r="CC1446" s="16"/>
      <c r="CD1446" s="16"/>
      <c r="CE1446" s="10"/>
      <c r="CF1446" s="16"/>
      <c r="CG1446" s="16"/>
      <c r="CH1446" s="16"/>
      <c r="CI1446" s="16"/>
      <c r="CJ1446" s="10"/>
      <c r="CK1446" s="16"/>
      <c r="CL1446" s="16"/>
      <c r="CM1446" s="16"/>
      <c r="CN1446" s="16"/>
      <c r="CO1446" s="10"/>
      <c r="CP1446" s="16"/>
      <c r="CQ1446" s="16"/>
      <c r="CR1446" s="16"/>
      <c r="CS1446" s="16"/>
      <c r="CT1446" s="10"/>
      <c r="CU1446" s="16"/>
      <c r="CV1446" s="16"/>
      <c r="CW1446" s="16"/>
      <c r="CX1446" s="16"/>
      <c r="CY1446" s="10"/>
      <c r="CZ1446" s="16"/>
      <c r="DA1446" s="16"/>
      <c r="DB1446" s="16"/>
      <c r="DC1446" s="16"/>
      <c r="DD1446" s="10"/>
      <c r="DE1446" s="16"/>
      <c r="DF1446" s="16"/>
      <c r="DG1446" s="16"/>
      <c r="DH1446" s="16"/>
      <c r="DI1446" s="10"/>
      <c r="DJ1446" s="16"/>
      <c r="DK1446" s="16"/>
      <c r="DL1446" s="16"/>
      <c r="DM1446" s="16"/>
      <c r="DN1446" s="10"/>
      <c r="DO1446" s="16"/>
      <c r="DP1446" s="16"/>
      <c r="DQ1446" s="16"/>
      <c r="DR1446" s="16"/>
      <c r="DS1446" s="10"/>
      <c r="DT1446" s="16"/>
      <c r="DU1446" s="16"/>
      <c r="DV1446" s="16"/>
      <c r="DW1446" s="16"/>
      <c r="DX1446" s="10"/>
      <c r="DY1446" s="16"/>
      <c r="DZ1446" s="16"/>
      <c r="EA1446" s="16"/>
      <c r="EB1446" s="16"/>
      <c r="EC1446" s="10"/>
      <c r="ED1446" s="16"/>
      <c r="EE1446" s="16"/>
      <c r="EF1446" s="16"/>
      <c r="EG1446" s="16"/>
      <c r="EH1446" s="10"/>
      <c r="EI1446" s="214"/>
      <c r="EJ1446" s="16"/>
      <c r="EK1446" s="16"/>
      <c r="EL1446" s="16"/>
      <c r="EM1446" s="10"/>
      <c r="EN1446" s="16"/>
      <c r="EO1446" s="16"/>
      <c r="EP1446" s="16"/>
      <c r="EQ1446" s="16"/>
      <c r="ER1446" s="10"/>
      <c r="ES1446" s="16"/>
      <c r="ET1446" s="16"/>
      <c r="EU1446" s="16"/>
      <c r="EV1446" s="16"/>
      <c r="EW1446" s="10"/>
      <c r="EX1446" s="16"/>
      <c r="EY1446" s="16"/>
      <c r="EZ1446" s="16"/>
      <c r="FA1446" s="16"/>
      <c r="FB1446" s="10"/>
      <c r="FC1446" s="16"/>
      <c r="FD1446" s="16"/>
      <c r="FE1446" s="16"/>
      <c r="FF1446" s="16"/>
      <c r="FG1446" s="10"/>
      <c r="FH1446" s="21"/>
      <c r="FI1446" s="16"/>
      <c r="FJ1446" s="16"/>
      <c r="FK1446" s="16"/>
      <c r="FL1446" s="16"/>
    </row>
    <row r="1447" ht="12.75" customHeight="1">
      <c r="A1447" s="16"/>
      <c r="B1447" s="16"/>
      <c r="C1447" s="16"/>
      <c r="D1447" s="16"/>
      <c r="E1447" s="16"/>
      <c r="F1447" s="16"/>
      <c r="G1447" s="16"/>
      <c r="H1447" s="31"/>
      <c r="I1447" s="32"/>
      <c r="J1447" s="32"/>
      <c r="K1447" s="32"/>
      <c r="L1447" s="32"/>
      <c r="M1447" s="31"/>
      <c r="N1447" s="32"/>
      <c r="O1447" s="32"/>
      <c r="P1447" s="32"/>
      <c r="Q1447" s="32"/>
      <c r="R1447" s="33"/>
      <c r="S1447" s="32"/>
      <c r="T1447" s="32"/>
      <c r="U1447" s="32"/>
      <c r="V1447" s="32"/>
      <c r="W1447" s="33"/>
      <c r="X1447" s="32"/>
      <c r="Y1447" s="32"/>
      <c r="Z1447" s="32"/>
      <c r="AA1447" s="32"/>
      <c r="AB1447" s="31"/>
      <c r="AC1447" s="32"/>
      <c r="AD1447" s="32"/>
      <c r="AE1447" s="32"/>
      <c r="AF1447" s="32"/>
      <c r="AG1447" s="31"/>
      <c r="AH1447" s="32"/>
      <c r="AI1447" s="32"/>
      <c r="AJ1447" s="32"/>
      <c r="AK1447" s="32"/>
      <c r="AL1447" s="31"/>
      <c r="AM1447" s="32"/>
      <c r="AN1447" s="32"/>
      <c r="AO1447" s="32"/>
      <c r="AP1447" s="32"/>
      <c r="AQ1447" s="31"/>
      <c r="AR1447" s="32"/>
      <c r="AS1447" s="32"/>
      <c r="AT1447" s="32"/>
      <c r="AU1447" s="32"/>
      <c r="AV1447" s="31"/>
      <c r="AW1447" s="32"/>
      <c r="AX1447" s="32"/>
      <c r="AY1447" s="32"/>
      <c r="AZ1447" s="32"/>
      <c r="BA1447" s="33"/>
      <c r="BB1447" s="32"/>
      <c r="BC1447" s="32"/>
      <c r="BD1447" s="32"/>
      <c r="BE1447" s="32"/>
      <c r="BF1447" s="33"/>
      <c r="BG1447" s="32"/>
      <c r="BH1447" s="32"/>
      <c r="BI1447" s="32"/>
      <c r="BJ1447" s="32"/>
      <c r="BK1447" s="33"/>
      <c r="BL1447" s="32"/>
      <c r="BM1447" s="32"/>
      <c r="BN1447" s="32"/>
      <c r="BO1447" s="32"/>
      <c r="BP1447" s="33"/>
      <c r="BQ1447" s="16"/>
      <c r="BR1447" s="16"/>
      <c r="BS1447" s="16"/>
      <c r="BT1447" s="16"/>
      <c r="BU1447" s="21"/>
      <c r="BV1447" s="16"/>
      <c r="BW1447" s="16"/>
      <c r="BX1447" s="16"/>
      <c r="BY1447" s="16"/>
      <c r="BZ1447" s="10"/>
      <c r="CA1447" s="16"/>
      <c r="CB1447" s="16"/>
      <c r="CC1447" s="16"/>
      <c r="CD1447" s="16"/>
      <c r="CE1447" s="10"/>
      <c r="CF1447" s="16"/>
      <c r="CG1447" s="16"/>
      <c r="CH1447" s="16"/>
      <c r="CI1447" s="16"/>
      <c r="CJ1447" s="10"/>
      <c r="CK1447" s="16"/>
      <c r="CL1447" s="16"/>
      <c r="CM1447" s="16"/>
      <c r="CN1447" s="16"/>
      <c r="CO1447" s="10"/>
      <c r="CP1447" s="16"/>
      <c r="CQ1447" s="16"/>
      <c r="CR1447" s="16"/>
      <c r="CS1447" s="16"/>
      <c r="CT1447" s="10"/>
      <c r="CU1447" s="16"/>
      <c r="CV1447" s="16"/>
      <c r="CW1447" s="16"/>
      <c r="CX1447" s="16"/>
      <c r="CY1447" s="10"/>
      <c r="CZ1447" s="16"/>
      <c r="DA1447" s="16"/>
      <c r="DB1447" s="16"/>
      <c r="DC1447" s="16"/>
      <c r="DD1447" s="10"/>
      <c r="DE1447" s="16"/>
      <c r="DF1447" s="16"/>
      <c r="DG1447" s="16"/>
      <c r="DH1447" s="16"/>
      <c r="DI1447" s="10"/>
      <c r="DJ1447" s="16"/>
      <c r="DK1447" s="16"/>
      <c r="DL1447" s="16"/>
      <c r="DM1447" s="16"/>
      <c r="DN1447" s="10"/>
      <c r="DO1447" s="16"/>
      <c r="DP1447" s="16"/>
      <c r="DQ1447" s="16"/>
      <c r="DR1447" s="16"/>
      <c r="DS1447" s="10"/>
      <c r="DT1447" s="16"/>
      <c r="DU1447" s="16"/>
      <c r="DV1447" s="16"/>
      <c r="DW1447" s="16"/>
      <c r="DX1447" s="10"/>
      <c r="DY1447" s="16"/>
      <c r="DZ1447" s="16"/>
      <c r="EA1447" s="16"/>
      <c r="EB1447" s="16"/>
      <c r="EC1447" s="10"/>
      <c r="ED1447" s="16"/>
      <c r="EE1447" s="16"/>
      <c r="EF1447" s="16"/>
      <c r="EG1447" s="16"/>
      <c r="EH1447" s="10"/>
      <c r="EI1447" s="214"/>
      <c r="EJ1447" s="16"/>
      <c r="EK1447" s="16"/>
      <c r="EL1447" s="16"/>
      <c r="EM1447" s="10"/>
      <c r="EN1447" s="16"/>
      <c r="EO1447" s="16"/>
      <c r="EP1447" s="16"/>
      <c r="EQ1447" s="16"/>
      <c r="ER1447" s="10"/>
      <c r="ES1447" s="16"/>
      <c r="ET1447" s="16"/>
      <c r="EU1447" s="16"/>
      <c r="EV1447" s="16"/>
      <c r="EW1447" s="10"/>
      <c r="EX1447" s="16"/>
      <c r="EY1447" s="16"/>
      <c r="EZ1447" s="16"/>
      <c r="FA1447" s="16"/>
      <c r="FB1447" s="10"/>
      <c r="FC1447" s="16"/>
      <c r="FD1447" s="16"/>
      <c r="FE1447" s="16"/>
      <c r="FF1447" s="16"/>
      <c r="FG1447" s="10"/>
      <c r="FH1447" s="21"/>
      <c r="FI1447" s="16"/>
      <c r="FJ1447" s="16"/>
      <c r="FK1447" s="16"/>
      <c r="FL1447" s="16"/>
    </row>
    <row r="1448" ht="12.75" customHeight="1">
      <c r="A1448" s="16"/>
      <c r="B1448" s="16"/>
      <c r="C1448" s="16"/>
      <c r="D1448" s="16"/>
      <c r="E1448" s="16"/>
      <c r="F1448" s="16"/>
      <c r="G1448" s="16"/>
      <c r="H1448" s="31"/>
      <c r="I1448" s="32"/>
      <c r="J1448" s="32"/>
      <c r="K1448" s="32"/>
      <c r="L1448" s="32"/>
      <c r="M1448" s="31"/>
      <c r="N1448" s="32"/>
      <c r="O1448" s="32"/>
      <c r="P1448" s="32"/>
      <c r="Q1448" s="32"/>
      <c r="R1448" s="33"/>
      <c r="S1448" s="32"/>
      <c r="T1448" s="32"/>
      <c r="U1448" s="32"/>
      <c r="V1448" s="32"/>
      <c r="W1448" s="33"/>
      <c r="X1448" s="32"/>
      <c r="Y1448" s="32"/>
      <c r="Z1448" s="32"/>
      <c r="AA1448" s="32"/>
      <c r="AB1448" s="31"/>
      <c r="AC1448" s="32"/>
      <c r="AD1448" s="32"/>
      <c r="AE1448" s="32"/>
      <c r="AF1448" s="32"/>
      <c r="AG1448" s="31"/>
      <c r="AH1448" s="32"/>
      <c r="AI1448" s="32"/>
      <c r="AJ1448" s="32"/>
      <c r="AK1448" s="32"/>
      <c r="AL1448" s="31"/>
      <c r="AM1448" s="32"/>
      <c r="AN1448" s="32"/>
      <c r="AO1448" s="32"/>
      <c r="AP1448" s="32"/>
      <c r="AQ1448" s="31"/>
      <c r="AR1448" s="32"/>
      <c r="AS1448" s="32"/>
      <c r="AT1448" s="32"/>
      <c r="AU1448" s="32"/>
      <c r="AV1448" s="31"/>
      <c r="AW1448" s="32"/>
      <c r="AX1448" s="32"/>
      <c r="AY1448" s="32"/>
      <c r="AZ1448" s="32"/>
      <c r="BA1448" s="33"/>
      <c r="BB1448" s="32"/>
      <c r="BC1448" s="32"/>
      <c r="BD1448" s="32"/>
      <c r="BE1448" s="32"/>
      <c r="BF1448" s="33"/>
      <c r="BG1448" s="32"/>
      <c r="BH1448" s="32"/>
      <c r="BI1448" s="32"/>
      <c r="BJ1448" s="32"/>
      <c r="BK1448" s="33"/>
      <c r="BL1448" s="32"/>
      <c r="BM1448" s="32"/>
      <c r="BN1448" s="32"/>
      <c r="BO1448" s="32"/>
      <c r="BP1448" s="33"/>
      <c r="BQ1448" s="16"/>
      <c r="BR1448" s="16"/>
      <c r="BS1448" s="16"/>
      <c r="BT1448" s="16"/>
      <c r="BU1448" s="21"/>
      <c r="BV1448" s="16"/>
      <c r="BW1448" s="16"/>
      <c r="BX1448" s="16"/>
      <c r="BY1448" s="16"/>
      <c r="BZ1448" s="10"/>
      <c r="CA1448" s="16"/>
      <c r="CB1448" s="16"/>
      <c r="CC1448" s="16"/>
      <c r="CD1448" s="16"/>
      <c r="CE1448" s="10"/>
      <c r="CF1448" s="16"/>
      <c r="CG1448" s="16"/>
      <c r="CH1448" s="16"/>
      <c r="CI1448" s="16"/>
      <c r="CJ1448" s="10"/>
      <c r="CK1448" s="16"/>
      <c r="CL1448" s="16"/>
      <c r="CM1448" s="16"/>
      <c r="CN1448" s="16"/>
      <c r="CO1448" s="10"/>
      <c r="CP1448" s="16"/>
      <c r="CQ1448" s="16"/>
      <c r="CR1448" s="16"/>
      <c r="CS1448" s="16"/>
      <c r="CT1448" s="10"/>
      <c r="CU1448" s="16"/>
      <c r="CV1448" s="16"/>
      <c r="CW1448" s="16"/>
      <c r="CX1448" s="16"/>
      <c r="CY1448" s="10"/>
      <c r="CZ1448" s="16"/>
      <c r="DA1448" s="16"/>
      <c r="DB1448" s="16"/>
      <c r="DC1448" s="16"/>
      <c r="DD1448" s="10"/>
      <c r="DE1448" s="16"/>
      <c r="DF1448" s="16"/>
      <c r="DG1448" s="16"/>
      <c r="DH1448" s="16"/>
      <c r="DI1448" s="10"/>
      <c r="DJ1448" s="16"/>
      <c r="DK1448" s="16"/>
      <c r="DL1448" s="16"/>
      <c r="DM1448" s="16"/>
      <c r="DN1448" s="10"/>
      <c r="DO1448" s="16"/>
      <c r="DP1448" s="16"/>
      <c r="DQ1448" s="16"/>
      <c r="DR1448" s="16"/>
      <c r="DS1448" s="10"/>
      <c r="DT1448" s="16"/>
      <c r="DU1448" s="16"/>
      <c r="DV1448" s="16"/>
      <c r="DW1448" s="16"/>
      <c r="DX1448" s="10"/>
      <c r="DY1448" s="16"/>
      <c r="DZ1448" s="16"/>
      <c r="EA1448" s="16"/>
      <c r="EB1448" s="16"/>
      <c r="EC1448" s="10"/>
      <c r="ED1448" s="16"/>
      <c r="EE1448" s="16"/>
      <c r="EF1448" s="16"/>
      <c r="EG1448" s="16"/>
      <c r="EH1448" s="10"/>
      <c r="EI1448" s="214"/>
      <c r="EJ1448" s="16"/>
      <c r="EK1448" s="16"/>
      <c r="EL1448" s="16"/>
      <c r="EM1448" s="10"/>
      <c r="EN1448" s="16"/>
      <c r="EO1448" s="16"/>
      <c r="EP1448" s="16"/>
      <c r="EQ1448" s="16"/>
      <c r="ER1448" s="10"/>
      <c r="ES1448" s="16"/>
      <c r="ET1448" s="16"/>
      <c r="EU1448" s="16"/>
      <c r="EV1448" s="16"/>
      <c r="EW1448" s="10"/>
      <c r="EX1448" s="16"/>
      <c r="EY1448" s="16"/>
      <c r="EZ1448" s="16"/>
      <c r="FA1448" s="16"/>
      <c r="FB1448" s="10"/>
      <c r="FC1448" s="16"/>
      <c r="FD1448" s="16"/>
      <c r="FE1448" s="16"/>
      <c r="FF1448" s="16"/>
      <c r="FG1448" s="10"/>
      <c r="FH1448" s="21"/>
      <c r="FI1448" s="16"/>
      <c r="FJ1448" s="16"/>
      <c r="FK1448" s="16"/>
      <c r="FL1448" s="16"/>
    </row>
    <row r="1449" ht="12.75" customHeight="1">
      <c r="A1449" s="16"/>
      <c r="B1449" s="16"/>
      <c r="C1449" s="16"/>
      <c r="D1449" s="16"/>
      <c r="E1449" s="16"/>
      <c r="F1449" s="16"/>
      <c r="G1449" s="16"/>
      <c r="H1449" s="31"/>
      <c r="I1449" s="32"/>
      <c r="J1449" s="32"/>
      <c r="K1449" s="32"/>
      <c r="L1449" s="32"/>
      <c r="M1449" s="31"/>
      <c r="N1449" s="32"/>
      <c r="O1449" s="32"/>
      <c r="P1449" s="32"/>
      <c r="Q1449" s="32"/>
      <c r="R1449" s="33"/>
      <c r="S1449" s="32"/>
      <c r="T1449" s="32"/>
      <c r="U1449" s="32"/>
      <c r="V1449" s="32"/>
      <c r="W1449" s="33"/>
      <c r="X1449" s="32"/>
      <c r="Y1449" s="32"/>
      <c r="Z1449" s="32"/>
      <c r="AA1449" s="32"/>
      <c r="AB1449" s="31"/>
      <c r="AC1449" s="32"/>
      <c r="AD1449" s="32"/>
      <c r="AE1449" s="32"/>
      <c r="AF1449" s="32"/>
      <c r="AG1449" s="31"/>
      <c r="AH1449" s="32"/>
      <c r="AI1449" s="32"/>
      <c r="AJ1449" s="32"/>
      <c r="AK1449" s="32"/>
      <c r="AL1449" s="31"/>
      <c r="AM1449" s="32"/>
      <c r="AN1449" s="32"/>
      <c r="AO1449" s="32"/>
      <c r="AP1449" s="32"/>
      <c r="AQ1449" s="31"/>
      <c r="AR1449" s="32"/>
      <c r="AS1449" s="32"/>
      <c r="AT1449" s="32"/>
      <c r="AU1449" s="32"/>
      <c r="AV1449" s="31"/>
      <c r="AW1449" s="32"/>
      <c r="AX1449" s="32"/>
      <c r="AY1449" s="32"/>
      <c r="AZ1449" s="32"/>
      <c r="BA1449" s="33"/>
      <c r="BB1449" s="32"/>
      <c r="BC1449" s="32"/>
      <c r="BD1449" s="32"/>
      <c r="BE1449" s="32"/>
      <c r="BF1449" s="33"/>
      <c r="BG1449" s="32"/>
      <c r="BH1449" s="32"/>
      <c r="BI1449" s="32"/>
      <c r="BJ1449" s="32"/>
      <c r="BK1449" s="33"/>
      <c r="BL1449" s="32"/>
      <c r="BM1449" s="32"/>
      <c r="BN1449" s="32"/>
      <c r="BO1449" s="32"/>
      <c r="BP1449" s="33"/>
      <c r="BQ1449" s="16"/>
      <c r="BR1449" s="16"/>
      <c r="BS1449" s="16"/>
      <c r="BT1449" s="16"/>
      <c r="BU1449" s="21"/>
      <c r="BV1449" s="16"/>
      <c r="BW1449" s="16"/>
      <c r="BX1449" s="16"/>
      <c r="BY1449" s="16"/>
      <c r="BZ1449" s="10"/>
      <c r="CA1449" s="16"/>
      <c r="CB1449" s="16"/>
      <c r="CC1449" s="16"/>
      <c r="CD1449" s="16"/>
      <c r="CE1449" s="10"/>
      <c r="CF1449" s="16"/>
      <c r="CG1449" s="16"/>
      <c r="CH1449" s="16"/>
      <c r="CI1449" s="16"/>
      <c r="CJ1449" s="10"/>
      <c r="CK1449" s="16"/>
      <c r="CL1449" s="16"/>
      <c r="CM1449" s="16"/>
      <c r="CN1449" s="16"/>
      <c r="CO1449" s="10"/>
      <c r="CP1449" s="16"/>
      <c r="CQ1449" s="16"/>
      <c r="CR1449" s="16"/>
      <c r="CS1449" s="16"/>
      <c r="CT1449" s="10"/>
      <c r="CU1449" s="16"/>
      <c r="CV1449" s="16"/>
      <c r="CW1449" s="16"/>
      <c r="CX1449" s="16"/>
      <c r="CY1449" s="10"/>
      <c r="CZ1449" s="16"/>
      <c r="DA1449" s="16"/>
      <c r="DB1449" s="16"/>
      <c r="DC1449" s="16"/>
      <c r="DD1449" s="10"/>
      <c r="DE1449" s="16"/>
      <c r="DF1449" s="16"/>
      <c r="DG1449" s="16"/>
      <c r="DH1449" s="16"/>
      <c r="DI1449" s="10"/>
      <c r="DJ1449" s="16"/>
      <c r="DK1449" s="16"/>
      <c r="DL1449" s="16"/>
      <c r="DM1449" s="16"/>
      <c r="DN1449" s="10"/>
      <c r="DO1449" s="16"/>
      <c r="DP1449" s="16"/>
      <c r="DQ1449" s="16"/>
      <c r="DR1449" s="16"/>
      <c r="DS1449" s="10"/>
      <c r="DT1449" s="16"/>
      <c r="DU1449" s="16"/>
      <c r="DV1449" s="16"/>
      <c r="DW1449" s="16"/>
      <c r="DX1449" s="10"/>
      <c r="DY1449" s="16"/>
      <c r="DZ1449" s="16"/>
      <c r="EA1449" s="16"/>
      <c r="EB1449" s="16"/>
      <c r="EC1449" s="10"/>
      <c r="ED1449" s="16"/>
      <c r="EE1449" s="16"/>
      <c r="EF1449" s="16"/>
      <c r="EG1449" s="16"/>
      <c r="EH1449" s="10"/>
      <c r="EI1449" s="214"/>
      <c r="EJ1449" s="16"/>
      <c r="EK1449" s="16"/>
      <c r="EL1449" s="16"/>
      <c r="EM1449" s="10"/>
      <c r="EN1449" s="16"/>
      <c r="EO1449" s="16"/>
      <c r="EP1449" s="16"/>
      <c r="EQ1449" s="16"/>
      <c r="ER1449" s="10"/>
      <c r="ES1449" s="16"/>
      <c r="ET1449" s="16"/>
      <c r="EU1449" s="16"/>
      <c r="EV1449" s="16"/>
      <c r="EW1449" s="10"/>
      <c r="EX1449" s="16"/>
      <c r="EY1449" s="16"/>
      <c r="EZ1449" s="16"/>
      <c r="FA1449" s="16"/>
      <c r="FB1449" s="10"/>
      <c r="FC1449" s="16"/>
      <c r="FD1449" s="16"/>
      <c r="FE1449" s="16"/>
      <c r="FF1449" s="16"/>
      <c r="FG1449" s="10"/>
      <c r="FH1449" s="21"/>
      <c r="FI1449" s="16"/>
      <c r="FJ1449" s="16"/>
      <c r="FK1449" s="16"/>
      <c r="FL1449" s="16"/>
    </row>
    <row r="1450" ht="12.75" customHeight="1">
      <c r="A1450" s="16"/>
      <c r="B1450" s="16"/>
      <c r="C1450" s="16"/>
      <c r="D1450" s="16"/>
      <c r="E1450" s="16"/>
      <c r="F1450" s="16"/>
      <c r="G1450" s="16"/>
      <c r="H1450" s="31"/>
      <c r="I1450" s="32"/>
      <c r="J1450" s="32"/>
      <c r="K1450" s="32"/>
      <c r="L1450" s="32"/>
      <c r="M1450" s="31"/>
      <c r="N1450" s="32"/>
      <c r="O1450" s="32"/>
      <c r="P1450" s="32"/>
      <c r="Q1450" s="32"/>
      <c r="R1450" s="33"/>
      <c r="S1450" s="32"/>
      <c r="T1450" s="32"/>
      <c r="U1450" s="32"/>
      <c r="V1450" s="32"/>
      <c r="W1450" s="33"/>
      <c r="X1450" s="32"/>
      <c r="Y1450" s="32"/>
      <c r="Z1450" s="32"/>
      <c r="AA1450" s="32"/>
      <c r="AB1450" s="31"/>
      <c r="AC1450" s="32"/>
      <c r="AD1450" s="32"/>
      <c r="AE1450" s="32"/>
      <c r="AF1450" s="32"/>
      <c r="AG1450" s="31"/>
      <c r="AH1450" s="32"/>
      <c r="AI1450" s="32"/>
      <c r="AJ1450" s="32"/>
      <c r="AK1450" s="32"/>
      <c r="AL1450" s="31"/>
      <c r="AM1450" s="32"/>
      <c r="AN1450" s="32"/>
      <c r="AO1450" s="32"/>
      <c r="AP1450" s="32"/>
      <c r="AQ1450" s="31"/>
      <c r="AR1450" s="32"/>
      <c r="AS1450" s="32"/>
      <c r="AT1450" s="32"/>
      <c r="AU1450" s="32"/>
      <c r="AV1450" s="31"/>
      <c r="AW1450" s="32"/>
      <c r="AX1450" s="32"/>
      <c r="AY1450" s="32"/>
      <c r="AZ1450" s="32"/>
      <c r="BA1450" s="33"/>
      <c r="BB1450" s="32"/>
      <c r="BC1450" s="32"/>
      <c r="BD1450" s="32"/>
      <c r="BE1450" s="32"/>
      <c r="BF1450" s="33"/>
      <c r="BG1450" s="32"/>
      <c r="BH1450" s="32"/>
      <c r="BI1450" s="32"/>
      <c r="BJ1450" s="32"/>
      <c r="BK1450" s="33"/>
      <c r="BL1450" s="32"/>
      <c r="BM1450" s="32"/>
      <c r="BN1450" s="32"/>
      <c r="BO1450" s="32"/>
      <c r="BP1450" s="33"/>
      <c r="BQ1450" s="16"/>
      <c r="BR1450" s="16"/>
      <c r="BS1450" s="16"/>
      <c r="BT1450" s="16"/>
      <c r="BU1450" s="21"/>
      <c r="BV1450" s="16"/>
      <c r="BW1450" s="16"/>
      <c r="BX1450" s="16"/>
      <c r="BY1450" s="16"/>
      <c r="BZ1450" s="10"/>
      <c r="CA1450" s="16"/>
      <c r="CB1450" s="16"/>
      <c r="CC1450" s="16"/>
      <c r="CD1450" s="16"/>
      <c r="CE1450" s="10"/>
      <c r="CF1450" s="16"/>
      <c r="CG1450" s="16"/>
      <c r="CH1450" s="16"/>
      <c r="CI1450" s="16"/>
      <c r="CJ1450" s="10"/>
      <c r="CK1450" s="16"/>
      <c r="CL1450" s="16"/>
      <c r="CM1450" s="16"/>
      <c r="CN1450" s="16"/>
      <c r="CO1450" s="10"/>
      <c r="CP1450" s="16"/>
      <c r="CQ1450" s="16"/>
      <c r="CR1450" s="16"/>
      <c r="CS1450" s="16"/>
      <c r="CT1450" s="10"/>
      <c r="CU1450" s="16"/>
      <c r="CV1450" s="16"/>
      <c r="CW1450" s="16"/>
      <c r="CX1450" s="16"/>
      <c r="CY1450" s="10"/>
      <c r="CZ1450" s="16"/>
      <c r="DA1450" s="16"/>
      <c r="DB1450" s="16"/>
      <c r="DC1450" s="16"/>
      <c r="DD1450" s="10"/>
      <c r="DE1450" s="16"/>
      <c r="DF1450" s="16"/>
      <c r="DG1450" s="16"/>
      <c r="DH1450" s="16"/>
      <c r="DI1450" s="10"/>
      <c r="DJ1450" s="16"/>
      <c r="DK1450" s="16"/>
      <c r="DL1450" s="16"/>
      <c r="DM1450" s="16"/>
      <c r="DN1450" s="10"/>
      <c r="DO1450" s="16"/>
      <c r="DP1450" s="16"/>
      <c r="DQ1450" s="16"/>
      <c r="DR1450" s="16"/>
      <c r="DS1450" s="10"/>
      <c r="DT1450" s="16"/>
      <c r="DU1450" s="16"/>
      <c r="DV1450" s="16"/>
      <c r="DW1450" s="16"/>
      <c r="DX1450" s="10"/>
      <c r="DY1450" s="16"/>
      <c r="DZ1450" s="16"/>
      <c r="EA1450" s="16"/>
      <c r="EB1450" s="16"/>
      <c r="EC1450" s="10"/>
      <c r="ED1450" s="16"/>
      <c r="EE1450" s="16"/>
      <c r="EF1450" s="16"/>
      <c r="EG1450" s="16"/>
      <c r="EH1450" s="10"/>
      <c r="EI1450" s="214"/>
      <c r="EJ1450" s="16"/>
      <c r="EK1450" s="16"/>
      <c r="EL1450" s="16"/>
      <c r="EM1450" s="10"/>
      <c r="EN1450" s="16"/>
      <c r="EO1450" s="16"/>
      <c r="EP1450" s="16"/>
      <c r="EQ1450" s="16"/>
      <c r="ER1450" s="10"/>
      <c r="ES1450" s="16"/>
      <c r="ET1450" s="16"/>
      <c r="EU1450" s="16"/>
      <c r="EV1450" s="16"/>
      <c r="EW1450" s="10"/>
      <c r="EX1450" s="16"/>
      <c r="EY1450" s="16"/>
      <c r="EZ1450" s="16"/>
      <c r="FA1450" s="16"/>
      <c r="FB1450" s="10"/>
      <c r="FC1450" s="16"/>
      <c r="FD1450" s="16"/>
      <c r="FE1450" s="16"/>
      <c r="FF1450" s="16"/>
      <c r="FG1450" s="10"/>
      <c r="FH1450" s="21"/>
      <c r="FI1450" s="16"/>
      <c r="FJ1450" s="16"/>
      <c r="FK1450" s="16"/>
      <c r="FL1450" s="16"/>
    </row>
    <row r="1451" ht="12.75" customHeight="1">
      <c r="A1451" s="16"/>
      <c r="B1451" s="16"/>
      <c r="C1451" s="16"/>
      <c r="D1451" s="16"/>
      <c r="E1451" s="16"/>
      <c r="F1451" s="16"/>
      <c r="G1451" s="16"/>
      <c r="H1451" s="31"/>
      <c r="I1451" s="32"/>
      <c r="J1451" s="32"/>
      <c r="K1451" s="32"/>
      <c r="L1451" s="32"/>
      <c r="M1451" s="31"/>
      <c r="N1451" s="32"/>
      <c r="O1451" s="32"/>
      <c r="P1451" s="32"/>
      <c r="Q1451" s="32"/>
      <c r="R1451" s="33"/>
      <c r="S1451" s="32"/>
      <c r="T1451" s="32"/>
      <c r="U1451" s="32"/>
      <c r="V1451" s="32"/>
      <c r="W1451" s="33"/>
      <c r="X1451" s="32"/>
      <c r="Y1451" s="32"/>
      <c r="Z1451" s="32"/>
      <c r="AA1451" s="32"/>
      <c r="AB1451" s="31"/>
      <c r="AC1451" s="32"/>
      <c r="AD1451" s="32"/>
      <c r="AE1451" s="32"/>
      <c r="AF1451" s="32"/>
      <c r="AG1451" s="31"/>
      <c r="AH1451" s="32"/>
      <c r="AI1451" s="32"/>
      <c r="AJ1451" s="32"/>
      <c r="AK1451" s="32"/>
      <c r="AL1451" s="31"/>
      <c r="AM1451" s="32"/>
      <c r="AN1451" s="32"/>
      <c r="AO1451" s="32"/>
      <c r="AP1451" s="32"/>
      <c r="AQ1451" s="31"/>
      <c r="AR1451" s="32"/>
      <c r="AS1451" s="32"/>
      <c r="AT1451" s="32"/>
      <c r="AU1451" s="32"/>
      <c r="AV1451" s="31"/>
      <c r="AW1451" s="32"/>
      <c r="AX1451" s="32"/>
      <c r="AY1451" s="32"/>
      <c r="AZ1451" s="32"/>
      <c r="BA1451" s="33"/>
      <c r="BB1451" s="32"/>
      <c r="BC1451" s="32"/>
      <c r="BD1451" s="32"/>
      <c r="BE1451" s="32"/>
      <c r="BF1451" s="33"/>
      <c r="BG1451" s="32"/>
      <c r="BH1451" s="32"/>
      <c r="BI1451" s="32"/>
      <c r="BJ1451" s="32"/>
      <c r="BK1451" s="33"/>
      <c r="BL1451" s="32"/>
      <c r="BM1451" s="32"/>
      <c r="BN1451" s="32"/>
      <c r="BO1451" s="32"/>
      <c r="BP1451" s="33"/>
      <c r="BQ1451" s="16"/>
      <c r="BR1451" s="16"/>
      <c r="BS1451" s="16"/>
      <c r="BT1451" s="16"/>
      <c r="BU1451" s="21"/>
      <c r="BV1451" s="16"/>
      <c r="BW1451" s="16"/>
      <c r="BX1451" s="16"/>
      <c r="BY1451" s="16"/>
      <c r="BZ1451" s="10"/>
      <c r="CA1451" s="16"/>
      <c r="CB1451" s="16"/>
      <c r="CC1451" s="16"/>
      <c r="CD1451" s="16"/>
      <c r="CE1451" s="10"/>
      <c r="CF1451" s="16"/>
      <c r="CG1451" s="16"/>
      <c r="CH1451" s="16"/>
      <c r="CI1451" s="16"/>
      <c r="CJ1451" s="10"/>
      <c r="CK1451" s="16"/>
      <c r="CL1451" s="16"/>
      <c r="CM1451" s="16"/>
      <c r="CN1451" s="16"/>
      <c r="CO1451" s="10"/>
      <c r="CP1451" s="16"/>
      <c r="CQ1451" s="16"/>
      <c r="CR1451" s="16"/>
      <c r="CS1451" s="16"/>
      <c r="CT1451" s="10"/>
      <c r="CU1451" s="16"/>
      <c r="CV1451" s="16"/>
      <c r="CW1451" s="16"/>
      <c r="CX1451" s="16"/>
      <c r="CY1451" s="10"/>
      <c r="CZ1451" s="16"/>
      <c r="DA1451" s="16"/>
      <c r="DB1451" s="16"/>
      <c r="DC1451" s="16"/>
      <c r="DD1451" s="10"/>
      <c r="DE1451" s="16"/>
      <c r="DF1451" s="16"/>
      <c r="DG1451" s="16"/>
      <c r="DH1451" s="16"/>
      <c r="DI1451" s="10"/>
      <c r="DJ1451" s="16"/>
      <c r="DK1451" s="16"/>
      <c r="DL1451" s="16"/>
      <c r="DM1451" s="16"/>
      <c r="DN1451" s="10"/>
      <c r="DO1451" s="16"/>
      <c r="DP1451" s="16"/>
      <c r="DQ1451" s="16"/>
      <c r="DR1451" s="16"/>
      <c r="DS1451" s="10"/>
      <c r="DT1451" s="16"/>
      <c r="DU1451" s="16"/>
      <c r="DV1451" s="16"/>
      <c r="DW1451" s="16"/>
      <c r="DX1451" s="10"/>
      <c r="DY1451" s="16"/>
      <c r="DZ1451" s="16"/>
      <c r="EA1451" s="16"/>
      <c r="EB1451" s="16"/>
      <c r="EC1451" s="10"/>
      <c r="ED1451" s="16"/>
      <c r="EE1451" s="16"/>
      <c r="EF1451" s="16"/>
      <c r="EG1451" s="16"/>
      <c r="EH1451" s="10"/>
      <c r="EI1451" s="214"/>
      <c r="EJ1451" s="16"/>
      <c r="EK1451" s="16"/>
      <c r="EL1451" s="16"/>
      <c r="EM1451" s="10"/>
      <c r="EN1451" s="16"/>
      <c r="EO1451" s="16"/>
      <c r="EP1451" s="16"/>
      <c r="EQ1451" s="16"/>
      <c r="ER1451" s="10"/>
      <c r="ES1451" s="16"/>
      <c r="ET1451" s="16"/>
      <c r="EU1451" s="16"/>
      <c r="EV1451" s="16"/>
      <c r="EW1451" s="10"/>
      <c r="EX1451" s="16"/>
      <c r="EY1451" s="16"/>
      <c r="EZ1451" s="16"/>
      <c r="FA1451" s="16"/>
      <c r="FB1451" s="10"/>
      <c r="FC1451" s="16"/>
      <c r="FD1451" s="16"/>
      <c r="FE1451" s="16"/>
      <c r="FF1451" s="16"/>
      <c r="FG1451" s="10"/>
      <c r="FH1451" s="21"/>
      <c r="FI1451" s="16"/>
      <c r="FJ1451" s="16"/>
      <c r="FK1451" s="16"/>
      <c r="FL1451" s="16"/>
    </row>
    <row r="1452" ht="12.75" customHeight="1">
      <c r="A1452" s="16"/>
      <c r="B1452" s="16"/>
      <c r="C1452" s="16"/>
      <c r="D1452" s="16"/>
      <c r="E1452" s="16"/>
      <c r="F1452" s="16"/>
      <c r="G1452" s="16"/>
      <c r="H1452" s="31"/>
      <c r="I1452" s="32"/>
      <c r="J1452" s="32"/>
      <c r="K1452" s="32"/>
      <c r="L1452" s="32"/>
      <c r="M1452" s="31"/>
      <c r="N1452" s="32"/>
      <c r="O1452" s="32"/>
      <c r="P1452" s="32"/>
      <c r="Q1452" s="32"/>
      <c r="R1452" s="33"/>
      <c r="S1452" s="32"/>
      <c r="T1452" s="32"/>
      <c r="U1452" s="32"/>
      <c r="V1452" s="32"/>
      <c r="W1452" s="33"/>
      <c r="X1452" s="32"/>
      <c r="Y1452" s="32"/>
      <c r="Z1452" s="32"/>
      <c r="AA1452" s="32"/>
      <c r="AB1452" s="31"/>
      <c r="AC1452" s="32"/>
      <c r="AD1452" s="32"/>
      <c r="AE1452" s="32"/>
      <c r="AF1452" s="32"/>
      <c r="AG1452" s="31"/>
      <c r="AH1452" s="32"/>
      <c r="AI1452" s="32"/>
      <c r="AJ1452" s="32"/>
      <c r="AK1452" s="32"/>
      <c r="AL1452" s="31"/>
      <c r="AM1452" s="32"/>
      <c r="AN1452" s="32"/>
      <c r="AO1452" s="32"/>
      <c r="AP1452" s="32"/>
      <c r="AQ1452" s="31"/>
      <c r="AR1452" s="32"/>
      <c r="AS1452" s="32"/>
      <c r="AT1452" s="32"/>
      <c r="AU1452" s="32"/>
      <c r="AV1452" s="31"/>
      <c r="AW1452" s="32"/>
      <c r="AX1452" s="32"/>
      <c r="AY1452" s="32"/>
      <c r="AZ1452" s="32"/>
      <c r="BA1452" s="33"/>
      <c r="BB1452" s="32"/>
      <c r="BC1452" s="32"/>
      <c r="BD1452" s="32"/>
      <c r="BE1452" s="32"/>
      <c r="BF1452" s="33"/>
      <c r="BG1452" s="32"/>
      <c r="BH1452" s="32"/>
      <c r="BI1452" s="32"/>
      <c r="BJ1452" s="32"/>
      <c r="BK1452" s="33"/>
      <c r="BL1452" s="32"/>
      <c r="BM1452" s="32"/>
      <c r="BN1452" s="32"/>
      <c r="BO1452" s="32"/>
      <c r="BP1452" s="33"/>
      <c r="BQ1452" s="16"/>
      <c r="BR1452" s="16"/>
      <c r="BS1452" s="16"/>
      <c r="BT1452" s="16"/>
      <c r="BU1452" s="21"/>
      <c r="BV1452" s="16"/>
      <c r="BW1452" s="16"/>
      <c r="BX1452" s="16"/>
      <c r="BY1452" s="16"/>
      <c r="BZ1452" s="10"/>
      <c r="CA1452" s="16"/>
      <c r="CB1452" s="16"/>
      <c r="CC1452" s="16"/>
      <c r="CD1452" s="16"/>
      <c r="CE1452" s="10"/>
      <c r="CF1452" s="16"/>
      <c r="CG1452" s="16"/>
      <c r="CH1452" s="16"/>
      <c r="CI1452" s="16"/>
      <c r="CJ1452" s="10"/>
      <c r="CK1452" s="16"/>
      <c r="CL1452" s="16"/>
      <c r="CM1452" s="16"/>
      <c r="CN1452" s="16"/>
      <c r="CO1452" s="10"/>
      <c r="CP1452" s="16"/>
      <c r="CQ1452" s="16"/>
      <c r="CR1452" s="16"/>
      <c r="CS1452" s="16"/>
      <c r="CT1452" s="10"/>
      <c r="CU1452" s="16"/>
      <c r="CV1452" s="16"/>
      <c r="CW1452" s="16"/>
      <c r="CX1452" s="16"/>
      <c r="CY1452" s="10"/>
      <c r="CZ1452" s="16"/>
      <c r="DA1452" s="16"/>
      <c r="DB1452" s="16"/>
      <c r="DC1452" s="16"/>
      <c r="DD1452" s="10"/>
      <c r="DE1452" s="16"/>
      <c r="DF1452" s="16"/>
      <c r="DG1452" s="16"/>
      <c r="DH1452" s="16"/>
      <c r="DI1452" s="10"/>
      <c r="DJ1452" s="16"/>
      <c r="DK1452" s="16"/>
      <c r="DL1452" s="16"/>
      <c r="DM1452" s="16"/>
      <c r="DN1452" s="10"/>
      <c r="DO1452" s="16"/>
      <c r="DP1452" s="16"/>
      <c r="DQ1452" s="16"/>
      <c r="DR1452" s="16"/>
      <c r="DS1452" s="10"/>
      <c r="DT1452" s="16"/>
      <c r="DU1452" s="16"/>
      <c r="DV1452" s="16"/>
      <c r="DW1452" s="16"/>
      <c r="DX1452" s="10"/>
      <c r="DY1452" s="16"/>
      <c r="DZ1452" s="16"/>
      <c r="EA1452" s="16"/>
      <c r="EB1452" s="16"/>
      <c r="EC1452" s="10"/>
      <c r="ED1452" s="16"/>
      <c r="EE1452" s="16"/>
      <c r="EF1452" s="16"/>
      <c r="EG1452" s="16"/>
      <c r="EH1452" s="10"/>
      <c r="EI1452" s="214"/>
      <c r="EJ1452" s="16"/>
      <c r="EK1452" s="16"/>
      <c r="EL1452" s="16"/>
      <c r="EM1452" s="10"/>
      <c r="EN1452" s="16"/>
      <c r="EO1452" s="16"/>
      <c r="EP1452" s="16"/>
      <c r="EQ1452" s="16"/>
      <c r="ER1452" s="10"/>
      <c r="ES1452" s="16"/>
      <c r="ET1452" s="16"/>
      <c r="EU1452" s="16"/>
      <c r="EV1452" s="16"/>
      <c r="EW1452" s="10"/>
      <c r="EX1452" s="16"/>
      <c r="EY1452" s="16"/>
      <c r="EZ1452" s="16"/>
      <c r="FA1452" s="16"/>
      <c r="FB1452" s="10"/>
      <c r="FC1452" s="16"/>
      <c r="FD1452" s="16"/>
      <c r="FE1452" s="16"/>
      <c r="FF1452" s="16"/>
      <c r="FG1452" s="10"/>
      <c r="FH1452" s="21"/>
      <c r="FI1452" s="16"/>
      <c r="FJ1452" s="16"/>
      <c r="FK1452" s="16"/>
      <c r="FL1452" s="16"/>
    </row>
    <row r="1453" ht="12.75" customHeight="1">
      <c r="A1453" s="16"/>
      <c r="B1453" s="16"/>
      <c r="C1453" s="16"/>
      <c r="D1453" s="16"/>
      <c r="E1453" s="16"/>
      <c r="F1453" s="16"/>
      <c r="G1453" s="16"/>
      <c r="H1453" s="31"/>
      <c r="I1453" s="32"/>
      <c r="J1453" s="32"/>
      <c r="K1453" s="32"/>
      <c r="L1453" s="32"/>
      <c r="M1453" s="31"/>
      <c r="N1453" s="32"/>
      <c r="O1453" s="32"/>
      <c r="P1453" s="32"/>
      <c r="Q1453" s="32"/>
      <c r="R1453" s="33"/>
      <c r="S1453" s="32"/>
      <c r="T1453" s="32"/>
      <c r="U1453" s="32"/>
      <c r="V1453" s="32"/>
      <c r="W1453" s="33"/>
      <c r="X1453" s="32"/>
      <c r="Y1453" s="32"/>
      <c r="Z1453" s="32"/>
      <c r="AA1453" s="32"/>
      <c r="AB1453" s="31"/>
      <c r="AC1453" s="32"/>
      <c r="AD1453" s="32"/>
      <c r="AE1453" s="32"/>
      <c r="AF1453" s="32"/>
      <c r="AG1453" s="31"/>
      <c r="AH1453" s="32"/>
      <c r="AI1453" s="32"/>
      <c r="AJ1453" s="32"/>
      <c r="AK1453" s="32"/>
      <c r="AL1453" s="31"/>
      <c r="AM1453" s="32"/>
      <c r="AN1453" s="32"/>
      <c r="AO1453" s="32"/>
      <c r="AP1453" s="32"/>
      <c r="AQ1453" s="31"/>
      <c r="AR1453" s="32"/>
      <c r="AS1453" s="32"/>
      <c r="AT1453" s="32"/>
      <c r="AU1453" s="32"/>
      <c r="AV1453" s="31"/>
      <c r="AW1453" s="32"/>
      <c r="AX1453" s="32"/>
      <c r="AY1453" s="32"/>
      <c r="AZ1453" s="32"/>
      <c r="BA1453" s="33"/>
      <c r="BB1453" s="32"/>
      <c r="BC1453" s="32"/>
      <c r="BD1453" s="32"/>
      <c r="BE1453" s="32"/>
      <c r="BF1453" s="33"/>
      <c r="BG1453" s="32"/>
      <c r="BH1453" s="32"/>
      <c r="BI1453" s="32"/>
      <c r="BJ1453" s="32"/>
      <c r="BK1453" s="33"/>
      <c r="BL1453" s="32"/>
      <c r="BM1453" s="32"/>
      <c r="BN1453" s="32"/>
      <c r="BO1453" s="32"/>
      <c r="BP1453" s="33"/>
      <c r="BQ1453" s="16"/>
      <c r="BR1453" s="16"/>
      <c r="BS1453" s="16"/>
      <c r="BT1453" s="16"/>
      <c r="BU1453" s="21"/>
      <c r="BV1453" s="16"/>
      <c r="BW1453" s="16"/>
      <c r="BX1453" s="16"/>
      <c r="BY1453" s="16"/>
      <c r="BZ1453" s="10"/>
      <c r="CA1453" s="16"/>
      <c r="CB1453" s="16"/>
      <c r="CC1453" s="16"/>
      <c r="CD1453" s="16"/>
      <c r="CE1453" s="10"/>
      <c r="CF1453" s="16"/>
      <c r="CG1453" s="16"/>
      <c r="CH1453" s="16"/>
      <c r="CI1453" s="16"/>
      <c r="CJ1453" s="10"/>
      <c r="CK1453" s="16"/>
      <c r="CL1453" s="16"/>
      <c r="CM1453" s="16"/>
      <c r="CN1453" s="16"/>
      <c r="CO1453" s="10"/>
      <c r="CP1453" s="16"/>
      <c r="CQ1453" s="16"/>
      <c r="CR1453" s="16"/>
      <c r="CS1453" s="16"/>
      <c r="CT1453" s="10"/>
      <c r="CU1453" s="16"/>
      <c r="CV1453" s="16"/>
      <c r="CW1453" s="16"/>
      <c r="CX1453" s="16"/>
      <c r="CY1453" s="10"/>
      <c r="CZ1453" s="16"/>
      <c r="DA1453" s="16"/>
      <c r="DB1453" s="16"/>
      <c r="DC1453" s="16"/>
      <c r="DD1453" s="10"/>
      <c r="DE1453" s="16"/>
      <c r="DF1453" s="16"/>
      <c r="DG1453" s="16"/>
      <c r="DH1453" s="16"/>
      <c r="DI1453" s="10"/>
      <c r="DJ1453" s="16"/>
      <c r="DK1453" s="16"/>
      <c r="DL1453" s="16"/>
      <c r="DM1453" s="16"/>
      <c r="DN1453" s="10"/>
      <c r="DO1453" s="16"/>
      <c r="DP1453" s="16"/>
      <c r="DQ1453" s="16"/>
      <c r="DR1453" s="16"/>
      <c r="DS1453" s="10"/>
      <c r="DT1453" s="16"/>
      <c r="DU1453" s="16"/>
      <c r="DV1453" s="16"/>
      <c r="DW1453" s="16"/>
      <c r="DX1453" s="10"/>
      <c r="DY1453" s="16"/>
      <c r="DZ1453" s="16"/>
      <c r="EA1453" s="16"/>
      <c r="EB1453" s="16"/>
      <c r="EC1453" s="10"/>
      <c r="ED1453" s="16"/>
      <c r="EE1453" s="16"/>
      <c r="EF1453" s="16"/>
      <c r="EG1453" s="16"/>
      <c r="EH1453" s="10"/>
      <c r="EI1453" s="214"/>
      <c r="EJ1453" s="16"/>
      <c r="EK1453" s="16"/>
      <c r="EL1453" s="16"/>
      <c r="EM1453" s="10"/>
      <c r="EN1453" s="16"/>
      <c r="EO1453" s="16"/>
      <c r="EP1453" s="16"/>
      <c r="EQ1453" s="16"/>
      <c r="ER1453" s="10"/>
      <c r="ES1453" s="16"/>
      <c r="ET1453" s="16"/>
      <c r="EU1453" s="16"/>
      <c r="EV1453" s="16"/>
      <c r="EW1453" s="10"/>
      <c r="EX1453" s="16"/>
      <c r="EY1453" s="16"/>
      <c r="EZ1453" s="16"/>
      <c r="FA1453" s="16"/>
      <c r="FB1453" s="10"/>
      <c r="FC1453" s="16"/>
      <c r="FD1453" s="16"/>
      <c r="FE1453" s="16"/>
      <c r="FF1453" s="16"/>
      <c r="FG1453" s="10"/>
      <c r="FH1453" s="21"/>
      <c r="FI1453" s="16"/>
      <c r="FJ1453" s="16"/>
      <c r="FK1453" s="16"/>
      <c r="FL1453" s="16"/>
    </row>
    <row r="1454" ht="12.75" customHeight="1">
      <c r="A1454" s="16"/>
      <c r="B1454" s="16"/>
      <c r="C1454" s="16"/>
      <c r="D1454" s="16"/>
      <c r="E1454" s="16"/>
      <c r="F1454" s="16"/>
      <c r="G1454" s="16"/>
      <c r="H1454" s="31"/>
      <c r="I1454" s="32"/>
      <c r="J1454" s="32"/>
      <c r="K1454" s="32"/>
      <c r="L1454" s="32"/>
      <c r="M1454" s="31"/>
      <c r="N1454" s="32"/>
      <c r="O1454" s="32"/>
      <c r="P1454" s="32"/>
      <c r="Q1454" s="32"/>
      <c r="R1454" s="33"/>
      <c r="S1454" s="32"/>
      <c r="T1454" s="32"/>
      <c r="U1454" s="32"/>
      <c r="V1454" s="32"/>
      <c r="W1454" s="33"/>
      <c r="X1454" s="32"/>
      <c r="Y1454" s="32"/>
      <c r="Z1454" s="32"/>
      <c r="AA1454" s="32"/>
      <c r="AB1454" s="31"/>
      <c r="AC1454" s="32"/>
      <c r="AD1454" s="32"/>
      <c r="AE1454" s="32"/>
      <c r="AF1454" s="32"/>
      <c r="AG1454" s="31"/>
      <c r="AH1454" s="32"/>
      <c r="AI1454" s="32"/>
      <c r="AJ1454" s="32"/>
      <c r="AK1454" s="32"/>
      <c r="AL1454" s="31"/>
      <c r="AM1454" s="32"/>
      <c r="AN1454" s="32"/>
      <c r="AO1454" s="32"/>
      <c r="AP1454" s="32"/>
      <c r="AQ1454" s="31"/>
      <c r="AR1454" s="32"/>
      <c r="AS1454" s="32"/>
      <c r="AT1454" s="32"/>
      <c r="AU1454" s="32"/>
      <c r="AV1454" s="31"/>
      <c r="AW1454" s="32"/>
      <c r="AX1454" s="32"/>
      <c r="AY1454" s="32"/>
      <c r="AZ1454" s="32"/>
      <c r="BA1454" s="33"/>
      <c r="BB1454" s="32"/>
      <c r="BC1454" s="32"/>
      <c r="BD1454" s="32"/>
      <c r="BE1454" s="32"/>
      <c r="BF1454" s="33"/>
      <c r="BG1454" s="32"/>
      <c r="BH1454" s="32"/>
      <c r="BI1454" s="32"/>
      <c r="BJ1454" s="32"/>
      <c r="BK1454" s="33"/>
      <c r="BL1454" s="32"/>
      <c r="BM1454" s="32"/>
      <c r="BN1454" s="32"/>
      <c r="BO1454" s="32"/>
      <c r="BP1454" s="33"/>
      <c r="BQ1454" s="16"/>
      <c r="BR1454" s="16"/>
      <c r="BS1454" s="16"/>
      <c r="BT1454" s="16"/>
      <c r="BU1454" s="21"/>
      <c r="BV1454" s="16"/>
      <c r="BW1454" s="16"/>
      <c r="BX1454" s="16"/>
      <c r="BY1454" s="16"/>
      <c r="BZ1454" s="10"/>
      <c r="CA1454" s="16"/>
      <c r="CB1454" s="16"/>
      <c r="CC1454" s="16"/>
      <c r="CD1454" s="16"/>
      <c r="CE1454" s="10"/>
      <c r="CF1454" s="16"/>
      <c r="CG1454" s="16"/>
      <c r="CH1454" s="16"/>
      <c r="CI1454" s="16"/>
      <c r="CJ1454" s="10"/>
      <c r="CK1454" s="16"/>
      <c r="CL1454" s="16"/>
      <c r="CM1454" s="16"/>
      <c r="CN1454" s="16"/>
      <c r="CO1454" s="10"/>
      <c r="CP1454" s="16"/>
      <c r="CQ1454" s="16"/>
      <c r="CR1454" s="16"/>
      <c r="CS1454" s="16"/>
      <c r="CT1454" s="10"/>
      <c r="CU1454" s="16"/>
      <c r="CV1454" s="16"/>
      <c r="CW1454" s="16"/>
      <c r="CX1454" s="16"/>
      <c r="CY1454" s="10"/>
      <c r="CZ1454" s="16"/>
      <c r="DA1454" s="16"/>
      <c r="DB1454" s="16"/>
      <c r="DC1454" s="16"/>
      <c r="DD1454" s="10"/>
      <c r="DE1454" s="16"/>
      <c r="DF1454" s="16"/>
      <c r="DG1454" s="16"/>
      <c r="DH1454" s="16"/>
      <c r="DI1454" s="10"/>
      <c r="DJ1454" s="16"/>
      <c r="DK1454" s="16"/>
      <c r="DL1454" s="16"/>
      <c r="DM1454" s="16"/>
      <c r="DN1454" s="10"/>
      <c r="DO1454" s="16"/>
      <c r="DP1454" s="16"/>
      <c r="DQ1454" s="16"/>
      <c r="DR1454" s="16"/>
      <c r="DS1454" s="10"/>
      <c r="DT1454" s="16"/>
      <c r="DU1454" s="16"/>
      <c r="DV1454" s="16"/>
      <c r="DW1454" s="16"/>
      <c r="DX1454" s="10"/>
      <c r="DY1454" s="16"/>
      <c r="DZ1454" s="16"/>
      <c r="EA1454" s="16"/>
      <c r="EB1454" s="16"/>
      <c r="EC1454" s="10"/>
      <c r="ED1454" s="16"/>
      <c r="EE1454" s="16"/>
      <c r="EF1454" s="16"/>
      <c r="EG1454" s="16"/>
      <c r="EH1454" s="10"/>
      <c r="EI1454" s="214"/>
      <c r="EJ1454" s="16"/>
      <c r="EK1454" s="16"/>
      <c r="EL1454" s="16"/>
      <c r="EM1454" s="10"/>
      <c r="EN1454" s="16"/>
      <c r="EO1454" s="16"/>
      <c r="EP1454" s="16"/>
      <c r="EQ1454" s="16"/>
      <c r="ER1454" s="10"/>
      <c r="ES1454" s="16"/>
      <c r="ET1454" s="16"/>
      <c r="EU1454" s="16"/>
      <c r="EV1454" s="16"/>
      <c r="EW1454" s="10"/>
      <c r="EX1454" s="16"/>
      <c r="EY1454" s="16"/>
      <c r="EZ1454" s="16"/>
      <c r="FA1454" s="16"/>
      <c r="FB1454" s="10"/>
      <c r="FC1454" s="16"/>
      <c r="FD1454" s="16"/>
      <c r="FE1454" s="16"/>
      <c r="FF1454" s="16"/>
      <c r="FG1454" s="10"/>
      <c r="FH1454" s="21"/>
      <c r="FI1454" s="16"/>
      <c r="FJ1454" s="16"/>
      <c r="FK1454" s="16"/>
      <c r="FL1454" s="16"/>
    </row>
    <row r="1455" ht="12.75" customHeight="1">
      <c r="A1455" s="16"/>
      <c r="B1455" s="16"/>
      <c r="C1455" s="16"/>
      <c r="D1455" s="16"/>
      <c r="E1455" s="16"/>
      <c r="F1455" s="16"/>
      <c r="G1455" s="16"/>
      <c r="H1455" s="31"/>
      <c r="I1455" s="32"/>
      <c r="J1455" s="32"/>
      <c r="K1455" s="32"/>
      <c r="L1455" s="32"/>
      <c r="M1455" s="31"/>
      <c r="N1455" s="32"/>
      <c r="O1455" s="32"/>
      <c r="P1455" s="32"/>
      <c r="Q1455" s="32"/>
      <c r="R1455" s="33"/>
      <c r="S1455" s="32"/>
      <c r="T1455" s="32"/>
      <c r="U1455" s="32"/>
      <c r="V1455" s="32"/>
      <c r="W1455" s="33"/>
      <c r="X1455" s="32"/>
      <c r="Y1455" s="32"/>
      <c r="Z1455" s="32"/>
      <c r="AA1455" s="32"/>
      <c r="AB1455" s="31"/>
      <c r="AC1455" s="32"/>
      <c r="AD1455" s="32"/>
      <c r="AE1455" s="32"/>
      <c r="AF1455" s="32"/>
      <c r="AG1455" s="31"/>
      <c r="AH1455" s="32"/>
      <c r="AI1455" s="32"/>
      <c r="AJ1455" s="32"/>
      <c r="AK1455" s="32"/>
      <c r="AL1455" s="31"/>
      <c r="AM1455" s="32"/>
      <c r="AN1455" s="32"/>
      <c r="AO1455" s="32"/>
      <c r="AP1455" s="32"/>
      <c r="AQ1455" s="31"/>
      <c r="AR1455" s="32"/>
      <c r="AS1455" s="32"/>
      <c r="AT1455" s="32"/>
      <c r="AU1455" s="32"/>
      <c r="AV1455" s="31"/>
      <c r="AW1455" s="32"/>
      <c r="AX1455" s="32"/>
      <c r="AY1455" s="32"/>
      <c r="AZ1455" s="32"/>
      <c r="BA1455" s="33"/>
      <c r="BB1455" s="32"/>
      <c r="BC1455" s="32"/>
      <c r="BD1455" s="32"/>
      <c r="BE1455" s="32"/>
      <c r="BF1455" s="33"/>
      <c r="BG1455" s="32"/>
      <c r="BH1455" s="32"/>
      <c r="BI1455" s="32"/>
      <c r="BJ1455" s="32"/>
      <c r="BK1455" s="33"/>
      <c r="BL1455" s="32"/>
      <c r="BM1455" s="32"/>
      <c r="BN1455" s="32"/>
      <c r="BO1455" s="32"/>
      <c r="BP1455" s="33"/>
      <c r="BQ1455" s="16"/>
      <c r="BR1455" s="16"/>
      <c r="BS1455" s="16"/>
      <c r="BT1455" s="16"/>
      <c r="BU1455" s="21"/>
      <c r="BV1455" s="16"/>
      <c r="BW1455" s="16"/>
      <c r="BX1455" s="16"/>
      <c r="BY1455" s="16"/>
      <c r="BZ1455" s="10"/>
      <c r="CA1455" s="16"/>
      <c r="CB1455" s="16"/>
      <c r="CC1455" s="16"/>
      <c r="CD1455" s="16"/>
      <c r="CE1455" s="10"/>
      <c r="CF1455" s="16"/>
      <c r="CG1455" s="16"/>
      <c r="CH1455" s="16"/>
      <c r="CI1455" s="16"/>
      <c r="CJ1455" s="10"/>
      <c r="CK1455" s="16"/>
      <c r="CL1455" s="16"/>
      <c r="CM1455" s="16"/>
      <c r="CN1455" s="16"/>
      <c r="CO1455" s="10"/>
      <c r="CP1455" s="16"/>
      <c r="CQ1455" s="16"/>
      <c r="CR1455" s="16"/>
      <c r="CS1455" s="16"/>
      <c r="CT1455" s="10"/>
      <c r="CU1455" s="16"/>
      <c r="CV1455" s="16"/>
      <c r="CW1455" s="16"/>
      <c r="CX1455" s="16"/>
      <c r="CY1455" s="10"/>
      <c r="CZ1455" s="16"/>
      <c r="DA1455" s="16"/>
      <c r="DB1455" s="16"/>
      <c r="DC1455" s="16"/>
      <c r="DD1455" s="10"/>
      <c r="DE1455" s="16"/>
      <c r="DF1455" s="16"/>
      <c r="DG1455" s="16"/>
      <c r="DH1455" s="16"/>
      <c r="DI1455" s="10"/>
      <c r="DJ1455" s="16"/>
      <c r="DK1455" s="16"/>
      <c r="DL1455" s="16"/>
      <c r="DM1455" s="16"/>
      <c r="DN1455" s="10"/>
      <c r="DO1455" s="16"/>
      <c r="DP1455" s="16"/>
      <c r="DQ1455" s="16"/>
      <c r="DR1455" s="16"/>
      <c r="DS1455" s="10"/>
      <c r="DT1455" s="16"/>
      <c r="DU1455" s="16"/>
      <c r="DV1455" s="16"/>
      <c r="DW1455" s="16"/>
      <c r="DX1455" s="10"/>
      <c r="DY1455" s="16"/>
      <c r="DZ1455" s="16"/>
      <c r="EA1455" s="16"/>
      <c r="EB1455" s="16"/>
      <c r="EC1455" s="10"/>
      <c r="ED1455" s="16"/>
      <c r="EE1455" s="16"/>
      <c r="EF1455" s="16"/>
      <c r="EG1455" s="16"/>
      <c r="EH1455" s="10"/>
      <c r="EI1455" s="214"/>
      <c r="EJ1455" s="16"/>
      <c r="EK1455" s="16"/>
      <c r="EL1455" s="16"/>
      <c r="EM1455" s="10"/>
      <c r="EN1455" s="16"/>
      <c r="EO1455" s="16"/>
      <c r="EP1455" s="16"/>
      <c r="EQ1455" s="16"/>
      <c r="ER1455" s="10"/>
      <c r="ES1455" s="16"/>
      <c r="ET1455" s="16"/>
      <c r="EU1455" s="16"/>
      <c r="EV1455" s="16"/>
      <c r="EW1455" s="10"/>
      <c r="EX1455" s="16"/>
      <c r="EY1455" s="16"/>
      <c r="EZ1455" s="16"/>
      <c r="FA1455" s="16"/>
      <c r="FB1455" s="10"/>
      <c r="FC1455" s="16"/>
      <c r="FD1455" s="16"/>
      <c r="FE1455" s="16"/>
      <c r="FF1455" s="16"/>
      <c r="FG1455" s="10"/>
      <c r="FH1455" s="21"/>
      <c r="FI1455" s="16"/>
      <c r="FJ1455" s="16"/>
      <c r="FK1455" s="16"/>
      <c r="FL1455" s="16"/>
    </row>
    <row r="1456" ht="12.75" customHeight="1">
      <c r="A1456" s="16"/>
      <c r="B1456" s="16"/>
      <c r="C1456" s="16"/>
      <c r="D1456" s="16"/>
      <c r="E1456" s="16"/>
      <c r="F1456" s="16"/>
      <c r="G1456" s="16"/>
      <c r="H1456" s="31"/>
      <c r="I1456" s="32"/>
      <c r="J1456" s="32"/>
      <c r="K1456" s="32"/>
      <c r="L1456" s="32"/>
      <c r="M1456" s="31"/>
      <c r="N1456" s="32"/>
      <c r="O1456" s="32"/>
      <c r="P1456" s="32"/>
      <c r="Q1456" s="32"/>
      <c r="R1456" s="33"/>
      <c r="S1456" s="32"/>
      <c r="T1456" s="32"/>
      <c r="U1456" s="32"/>
      <c r="V1456" s="32"/>
      <c r="W1456" s="33"/>
      <c r="X1456" s="32"/>
      <c r="Y1456" s="32"/>
      <c r="Z1456" s="32"/>
      <c r="AA1456" s="32"/>
      <c r="AB1456" s="31"/>
      <c r="AC1456" s="32"/>
      <c r="AD1456" s="32"/>
      <c r="AE1456" s="32"/>
      <c r="AF1456" s="32"/>
      <c r="AG1456" s="31"/>
      <c r="AH1456" s="32"/>
      <c r="AI1456" s="32"/>
      <c r="AJ1456" s="32"/>
      <c r="AK1456" s="32"/>
      <c r="AL1456" s="31"/>
      <c r="AM1456" s="32"/>
      <c r="AN1456" s="32"/>
      <c r="AO1456" s="32"/>
      <c r="AP1456" s="32"/>
      <c r="AQ1456" s="31"/>
      <c r="AR1456" s="32"/>
      <c r="AS1456" s="32"/>
      <c r="AT1456" s="32"/>
      <c r="AU1456" s="32"/>
      <c r="AV1456" s="31"/>
      <c r="AW1456" s="32"/>
      <c r="AX1456" s="32"/>
      <c r="AY1456" s="32"/>
      <c r="AZ1456" s="32"/>
      <c r="BA1456" s="33"/>
      <c r="BB1456" s="32"/>
      <c r="BC1456" s="32"/>
      <c r="BD1456" s="32"/>
      <c r="BE1456" s="32"/>
      <c r="BF1456" s="33"/>
      <c r="BG1456" s="32"/>
      <c r="BH1456" s="32"/>
      <c r="BI1456" s="32"/>
      <c r="BJ1456" s="32"/>
      <c r="BK1456" s="33"/>
      <c r="BL1456" s="32"/>
      <c r="BM1456" s="32"/>
      <c r="BN1456" s="32"/>
      <c r="BO1456" s="32"/>
      <c r="BP1456" s="33"/>
      <c r="BQ1456" s="16"/>
      <c r="BR1456" s="16"/>
      <c r="BS1456" s="16"/>
      <c r="BT1456" s="16"/>
      <c r="BU1456" s="21"/>
      <c r="BV1456" s="16"/>
      <c r="BW1456" s="16"/>
      <c r="BX1456" s="16"/>
      <c r="BY1456" s="16"/>
      <c r="BZ1456" s="10"/>
      <c r="CA1456" s="16"/>
      <c r="CB1456" s="16"/>
      <c r="CC1456" s="16"/>
      <c r="CD1456" s="16"/>
      <c r="CE1456" s="10"/>
      <c r="CF1456" s="16"/>
      <c r="CG1456" s="16"/>
      <c r="CH1456" s="16"/>
      <c r="CI1456" s="16"/>
      <c r="CJ1456" s="10"/>
      <c r="CK1456" s="16"/>
      <c r="CL1456" s="16"/>
      <c r="CM1456" s="16"/>
      <c r="CN1456" s="16"/>
      <c r="CO1456" s="10"/>
      <c r="CP1456" s="16"/>
      <c r="CQ1456" s="16"/>
      <c r="CR1456" s="16"/>
      <c r="CS1456" s="16"/>
      <c r="CT1456" s="10"/>
      <c r="CU1456" s="16"/>
      <c r="CV1456" s="16"/>
      <c r="CW1456" s="16"/>
      <c r="CX1456" s="16"/>
      <c r="CY1456" s="10"/>
      <c r="CZ1456" s="16"/>
      <c r="DA1456" s="16"/>
      <c r="DB1456" s="16"/>
      <c r="DC1456" s="16"/>
      <c r="DD1456" s="10"/>
      <c r="DE1456" s="16"/>
      <c r="DF1456" s="16"/>
      <c r="DG1456" s="16"/>
      <c r="DH1456" s="16"/>
      <c r="DI1456" s="10"/>
      <c r="DJ1456" s="16"/>
      <c r="DK1456" s="16"/>
      <c r="DL1456" s="16"/>
      <c r="DM1456" s="16"/>
      <c r="DN1456" s="10"/>
      <c r="DO1456" s="16"/>
      <c r="DP1456" s="16"/>
      <c r="DQ1456" s="16"/>
      <c r="DR1456" s="16"/>
      <c r="DS1456" s="10"/>
      <c r="DT1456" s="16"/>
      <c r="DU1456" s="16"/>
      <c r="DV1456" s="16"/>
      <c r="DW1456" s="16"/>
      <c r="DX1456" s="10"/>
      <c r="DY1456" s="16"/>
      <c r="DZ1456" s="16"/>
      <c r="EA1456" s="16"/>
      <c r="EB1456" s="16"/>
      <c r="EC1456" s="10"/>
      <c r="ED1456" s="16"/>
      <c r="EE1456" s="16"/>
      <c r="EF1456" s="16"/>
      <c r="EG1456" s="16"/>
      <c r="EH1456" s="10"/>
      <c r="EI1456" s="214"/>
      <c r="EJ1456" s="16"/>
      <c r="EK1456" s="16"/>
      <c r="EL1456" s="16"/>
      <c r="EM1456" s="10"/>
      <c r="EN1456" s="16"/>
      <c r="EO1456" s="16"/>
      <c r="EP1456" s="16"/>
      <c r="EQ1456" s="16"/>
      <c r="ER1456" s="10"/>
      <c r="ES1456" s="16"/>
      <c r="ET1456" s="16"/>
      <c r="EU1456" s="16"/>
      <c r="EV1456" s="16"/>
      <c r="EW1456" s="10"/>
      <c r="EX1456" s="16"/>
      <c r="EY1456" s="16"/>
      <c r="EZ1456" s="16"/>
      <c r="FA1456" s="16"/>
      <c r="FB1456" s="10"/>
      <c r="FC1456" s="16"/>
      <c r="FD1456" s="16"/>
      <c r="FE1456" s="16"/>
      <c r="FF1456" s="16"/>
      <c r="FG1456" s="10"/>
      <c r="FH1456" s="21"/>
      <c r="FI1456" s="16"/>
      <c r="FJ1456" s="16"/>
      <c r="FK1456" s="16"/>
      <c r="FL1456" s="16"/>
    </row>
    <row r="1457" ht="12.75" customHeight="1">
      <c r="A1457" s="16"/>
      <c r="B1457" s="16"/>
      <c r="C1457" s="16"/>
      <c r="D1457" s="16"/>
      <c r="E1457" s="16"/>
      <c r="F1457" s="16"/>
      <c r="G1457" s="16"/>
      <c r="H1457" s="31"/>
      <c r="I1457" s="32"/>
      <c r="J1457" s="32"/>
      <c r="K1457" s="32"/>
      <c r="L1457" s="32"/>
      <c r="M1457" s="31"/>
      <c r="N1457" s="32"/>
      <c r="O1457" s="32"/>
      <c r="P1457" s="32"/>
      <c r="Q1457" s="32"/>
      <c r="R1457" s="33"/>
      <c r="S1457" s="32"/>
      <c r="T1457" s="32"/>
      <c r="U1457" s="32"/>
      <c r="V1457" s="32"/>
      <c r="W1457" s="33"/>
      <c r="X1457" s="32"/>
      <c r="Y1457" s="32"/>
      <c r="Z1457" s="32"/>
      <c r="AA1457" s="32"/>
      <c r="AB1457" s="31"/>
      <c r="AC1457" s="32"/>
      <c r="AD1457" s="32"/>
      <c r="AE1457" s="32"/>
      <c r="AF1457" s="32"/>
      <c r="AG1457" s="31"/>
      <c r="AH1457" s="32"/>
      <c r="AI1457" s="32"/>
      <c r="AJ1457" s="32"/>
      <c r="AK1457" s="32"/>
      <c r="AL1457" s="31"/>
      <c r="AM1457" s="32"/>
      <c r="AN1457" s="32"/>
      <c r="AO1457" s="32"/>
      <c r="AP1457" s="32"/>
      <c r="AQ1457" s="31"/>
      <c r="AR1457" s="32"/>
      <c r="AS1457" s="32"/>
      <c r="AT1457" s="32"/>
      <c r="AU1457" s="32"/>
      <c r="AV1457" s="31"/>
      <c r="AW1457" s="32"/>
      <c r="AX1457" s="32"/>
      <c r="AY1457" s="32"/>
      <c r="AZ1457" s="32"/>
      <c r="BA1457" s="33"/>
      <c r="BB1457" s="32"/>
      <c r="BC1457" s="32"/>
      <c r="BD1457" s="32"/>
      <c r="BE1457" s="32"/>
      <c r="BF1457" s="33"/>
      <c r="BG1457" s="32"/>
      <c r="BH1457" s="32"/>
      <c r="BI1457" s="32"/>
      <c r="BJ1457" s="32"/>
      <c r="BK1457" s="33"/>
      <c r="BL1457" s="32"/>
      <c r="BM1457" s="32"/>
      <c r="BN1457" s="32"/>
      <c r="BO1457" s="32"/>
      <c r="BP1457" s="33"/>
      <c r="BQ1457" s="16"/>
      <c r="BR1457" s="16"/>
      <c r="BS1457" s="16"/>
      <c r="BT1457" s="16"/>
      <c r="BU1457" s="21"/>
      <c r="BV1457" s="16"/>
      <c r="BW1457" s="16"/>
      <c r="BX1457" s="16"/>
      <c r="BY1457" s="16"/>
      <c r="BZ1457" s="10"/>
      <c r="CA1457" s="16"/>
      <c r="CB1457" s="16"/>
      <c r="CC1457" s="16"/>
      <c r="CD1457" s="16"/>
      <c r="CE1457" s="10"/>
      <c r="CF1457" s="16"/>
      <c r="CG1457" s="16"/>
      <c r="CH1457" s="16"/>
      <c r="CI1457" s="16"/>
      <c r="CJ1457" s="10"/>
      <c r="CK1457" s="16"/>
      <c r="CL1457" s="16"/>
      <c r="CM1457" s="16"/>
      <c r="CN1457" s="16"/>
      <c r="CO1457" s="10"/>
      <c r="CP1457" s="16"/>
      <c r="CQ1457" s="16"/>
      <c r="CR1457" s="16"/>
      <c r="CS1457" s="16"/>
      <c r="CT1457" s="10"/>
      <c r="CU1457" s="16"/>
      <c r="CV1457" s="16"/>
      <c r="CW1457" s="16"/>
      <c r="CX1457" s="16"/>
      <c r="CY1457" s="10"/>
      <c r="CZ1457" s="16"/>
      <c r="DA1457" s="16"/>
      <c r="DB1457" s="16"/>
      <c r="DC1457" s="16"/>
      <c r="DD1457" s="10"/>
      <c r="DE1457" s="16"/>
      <c r="DF1457" s="16"/>
      <c r="DG1457" s="16"/>
      <c r="DH1457" s="16"/>
      <c r="DI1457" s="10"/>
      <c r="DJ1457" s="16"/>
      <c r="DK1457" s="16"/>
      <c r="DL1457" s="16"/>
      <c r="DM1457" s="16"/>
      <c r="DN1457" s="10"/>
      <c r="DO1457" s="16"/>
      <c r="DP1457" s="16"/>
      <c r="DQ1457" s="16"/>
      <c r="DR1457" s="16"/>
      <c r="DS1457" s="10"/>
      <c r="DT1457" s="16"/>
      <c r="DU1457" s="16"/>
      <c r="DV1457" s="16"/>
      <c r="DW1457" s="16"/>
      <c r="DX1457" s="10"/>
      <c r="DY1457" s="16"/>
      <c r="DZ1457" s="16"/>
      <c r="EA1457" s="16"/>
      <c r="EB1457" s="16"/>
      <c r="EC1457" s="10"/>
      <c r="ED1457" s="16"/>
      <c r="EE1457" s="16"/>
      <c r="EF1457" s="16"/>
      <c r="EG1457" s="16"/>
      <c r="EH1457" s="10"/>
      <c r="EI1457" s="214"/>
      <c r="EJ1457" s="16"/>
      <c r="EK1457" s="16"/>
      <c r="EL1457" s="16"/>
      <c r="EM1457" s="10"/>
      <c r="EN1457" s="16"/>
      <c r="EO1457" s="16"/>
      <c r="EP1457" s="16"/>
      <c r="EQ1457" s="16"/>
      <c r="ER1457" s="10"/>
      <c r="ES1457" s="16"/>
      <c r="ET1457" s="16"/>
      <c r="EU1457" s="16"/>
      <c r="EV1457" s="16"/>
      <c r="EW1457" s="10"/>
      <c r="EX1457" s="16"/>
      <c r="EY1457" s="16"/>
      <c r="EZ1457" s="16"/>
      <c r="FA1457" s="16"/>
      <c r="FB1457" s="10"/>
      <c r="FC1457" s="16"/>
      <c r="FD1457" s="16"/>
      <c r="FE1457" s="16"/>
      <c r="FF1457" s="16"/>
      <c r="FG1457" s="10"/>
      <c r="FH1457" s="21"/>
      <c r="FI1457" s="16"/>
      <c r="FJ1457" s="16"/>
      <c r="FK1457" s="16"/>
      <c r="FL1457" s="16"/>
    </row>
    <row r="1458" ht="12.75" customHeight="1">
      <c r="A1458" s="16"/>
      <c r="B1458" s="16"/>
      <c r="C1458" s="16"/>
      <c r="D1458" s="16"/>
      <c r="E1458" s="16"/>
      <c r="F1458" s="16"/>
      <c r="G1458" s="16"/>
      <c r="H1458" s="31"/>
      <c r="I1458" s="32"/>
      <c r="J1458" s="32"/>
      <c r="K1458" s="32"/>
      <c r="L1458" s="32"/>
      <c r="M1458" s="31"/>
      <c r="N1458" s="32"/>
      <c r="O1458" s="32"/>
      <c r="P1458" s="32"/>
      <c r="Q1458" s="32"/>
      <c r="R1458" s="33"/>
      <c r="S1458" s="32"/>
      <c r="T1458" s="32"/>
      <c r="U1458" s="32"/>
      <c r="V1458" s="32"/>
      <c r="W1458" s="33"/>
      <c r="X1458" s="32"/>
      <c r="Y1458" s="32"/>
      <c r="Z1458" s="32"/>
      <c r="AA1458" s="32"/>
      <c r="AB1458" s="31"/>
      <c r="AC1458" s="32"/>
      <c r="AD1458" s="32"/>
      <c r="AE1458" s="32"/>
      <c r="AF1458" s="32"/>
      <c r="AG1458" s="31"/>
      <c r="AH1458" s="32"/>
      <c r="AI1458" s="32"/>
      <c r="AJ1458" s="32"/>
      <c r="AK1458" s="32"/>
      <c r="AL1458" s="31"/>
      <c r="AM1458" s="32"/>
      <c r="AN1458" s="32"/>
      <c r="AO1458" s="32"/>
      <c r="AP1458" s="32"/>
      <c r="AQ1458" s="31"/>
      <c r="AR1458" s="32"/>
      <c r="AS1458" s="32"/>
      <c r="AT1458" s="32"/>
      <c r="AU1458" s="32"/>
      <c r="AV1458" s="31"/>
      <c r="AW1458" s="32"/>
      <c r="AX1458" s="32"/>
      <c r="AY1458" s="32"/>
      <c r="AZ1458" s="32"/>
      <c r="BA1458" s="33"/>
      <c r="BB1458" s="32"/>
      <c r="BC1458" s="32"/>
      <c r="BD1458" s="32"/>
      <c r="BE1458" s="32"/>
      <c r="BF1458" s="33"/>
      <c r="BG1458" s="32"/>
      <c r="BH1458" s="32"/>
      <c r="BI1458" s="32"/>
      <c r="BJ1458" s="32"/>
      <c r="BK1458" s="33"/>
      <c r="BL1458" s="32"/>
      <c r="BM1458" s="32"/>
      <c r="BN1458" s="32"/>
      <c r="BO1458" s="32"/>
      <c r="BP1458" s="33"/>
      <c r="BQ1458" s="16"/>
      <c r="BR1458" s="16"/>
      <c r="BS1458" s="16"/>
      <c r="BT1458" s="16"/>
      <c r="BU1458" s="21"/>
      <c r="BV1458" s="16"/>
      <c r="BW1458" s="16"/>
      <c r="BX1458" s="16"/>
      <c r="BY1458" s="16"/>
      <c r="BZ1458" s="10"/>
      <c r="CA1458" s="16"/>
      <c r="CB1458" s="16"/>
      <c r="CC1458" s="16"/>
      <c r="CD1458" s="16"/>
      <c r="CE1458" s="10"/>
      <c r="CF1458" s="16"/>
      <c r="CG1458" s="16"/>
      <c r="CH1458" s="16"/>
      <c r="CI1458" s="16"/>
      <c r="CJ1458" s="10"/>
      <c r="CK1458" s="16"/>
      <c r="CL1458" s="16"/>
      <c r="CM1458" s="16"/>
      <c r="CN1458" s="16"/>
      <c r="CO1458" s="10"/>
      <c r="CP1458" s="16"/>
      <c r="CQ1458" s="16"/>
      <c r="CR1458" s="16"/>
      <c r="CS1458" s="16"/>
      <c r="CT1458" s="10"/>
      <c r="CU1458" s="16"/>
      <c r="CV1458" s="16"/>
      <c r="CW1458" s="16"/>
      <c r="CX1458" s="16"/>
      <c r="CY1458" s="10"/>
      <c r="CZ1458" s="16"/>
      <c r="DA1458" s="16"/>
      <c r="DB1458" s="16"/>
      <c r="DC1458" s="16"/>
      <c r="DD1458" s="10"/>
      <c r="DE1458" s="16"/>
      <c r="DF1458" s="16"/>
      <c r="DG1458" s="16"/>
      <c r="DH1458" s="16"/>
      <c r="DI1458" s="10"/>
      <c r="DJ1458" s="16"/>
      <c r="DK1458" s="16"/>
      <c r="DL1458" s="16"/>
      <c r="DM1458" s="16"/>
      <c r="DN1458" s="10"/>
      <c r="DO1458" s="16"/>
      <c r="DP1458" s="16"/>
      <c r="DQ1458" s="16"/>
      <c r="DR1458" s="16"/>
      <c r="DS1458" s="10"/>
      <c r="DT1458" s="16"/>
      <c r="DU1458" s="16"/>
      <c r="DV1458" s="16"/>
      <c r="DW1458" s="16"/>
      <c r="DX1458" s="10"/>
      <c r="DY1458" s="16"/>
      <c r="DZ1458" s="16"/>
      <c r="EA1458" s="16"/>
      <c r="EB1458" s="16"/>
      <c r="EC1458" s="10"/>
      <c r="ED1458" s="16"/>
      <c r="EE1458" s="16"/>
      <c r="EF1458" s="16"/>
      <c r="EG1458" s="16"/>
      <c r="EH1458" s="10"/>
      <c r="EI1458" s="214"/>
      <c r="EJ1458" s="16"/>
      <c r="EK1458" s="16"/>
      <c r="EL1458" s="16"/>
      <c r="EM1458" s="10"/>
      <c r="EN1458" s="16"/>
      <c r="EO1458" s="16"/>
      <c r="EP1458" s="16"/>
      <c r="EQ1458" s="16"/>
      <c r="ER1458" s="10"/>
      <c r="ES1458" s="16"/>
      <c r="ET1458" s="16"/>
      <c r="EU1458" s="16"/>
      <c r="EV1458" s="16"/>
      <c r="EW1458" s="10"/>
      <c r="EX1458" s="16"/>
      <c r="EY1458" s="16"/>
      <c r="EZ1458" s="16"/>
      <c r="FA1458" s="16"/>
      <c r="FB1458" s="10"/>
      <c r="FC1458" s="16"/>
      <c r="FD1458" s="16"/>
      <c r="FE1458" s="16"/>
      <c r="FF1458" s="16"/>
      <c r="FG1458" s="10"/>
      <c r="FH1458" s="21"/>
      <c r="FI1458" s="16"/>
      <c r="FJ1458" s="16"/>
      <c r="FK1458" s="16"/>
      <c r="FL1458" s="16"/>
    </row>
    <row r="1459" ht="12.75" customHeight="1">
      <c r="A1459" s="16"/>
      <c r="B1459" s="16"/>
      <c r="C1459" s="16"/>
      <c r="D1459" s="16"/>
      <c r="E1459" s="16"/>
      <c r="F1459" s="16"/>
      <c r="G1459" s="16"/>
      <c r="H1459" s="31"/>
      <c r="I1459" s="32"/>
      <c r="J1459" s="32"/>
      <c r="K1459" s="32"/>
      <c r="L1459" s="32"/>
      <c r="M1459" s="31"/>
      <c r="N1459" s="32"/>
      <c r="O1459" s="32"/>
      <c r="P1459" s="32"/>
      <c r="Q1459" s="32"/>
      <c r="R1459" s="33"/>
      <c r="S1459" s="32"/>
      <c r="T1459" s="32"/>
      <c r="U1459" s="32"/>
      <c r="V1459" s="32"/>
      <c r="W1459" s="33"/>
      <c r="X1459" s="32"/>
      <c r="Y1459" s="32"/>
      <c r="Z1459" s="32"/>
      <c r="AA1459" s="32"/>
      <c r="AB1459" s="31"/>
      <c r="AC1459" s="32"/>
      <c r="AD1459" s="32"/>
      <c r="AE1459" s="32"/>
      <c r="AF1459" s="32"/>
      <c r="AG1459" s="31"/>
      <c r="AH1459" s="32"/>
      <c r="AI1459" s="32"/>
      <c r="AJ1459" s="32"/>
      <c r="AK1459" s="32"/>
      <c r="AL1459" s="31"/>
      <c r="AM1459" s="32"/>
      <c r="AN1459" s="32"/>
      <c r="AO1459" s="32"/>
      <c r="AP1459" s="32"/>
      <c r="AQ1459" s="31"/>
      <c r="AR1459" s="32"/>
      <c r="AS1459" s="32"/>
      <c r="AT1459" s="32"/>
      <c r="AU1459" s="32"/>
      <c r="AV1459" s="31"/>
      <c r="AW1459" s="32"/>
      <c r="AX1459" s="32"/>
      <c r="AY1459" s="32"/>
      <c r="AZ1459" s="32"/>
      <c r="BA1459" s="33"/>
      <c r="BB1459" s="32"/>
      <c r="BC1459" s="32"/>
      <c r="BD1459" s="32"/>
      <c r="BE1459" s="32"/>
      <c r="BF1459" s="33"/>
      <c r="BG1459" s="32"/>
      <c r="BH1459" s="32"/>
      <c r="BI1459" s="32"/>
      <c r="BJ1459" s="32"/>
      <c r="BK1459" s="33"/>
      <c r="BL1459" s="32"/>
      <c r="BM1459" s="32"/>
      <c r="BN1459" s="32"/>
      <c r="BO1459" s="32"/>
      <c r="BP1459" s="33"/>
      <c r="BQ1459" s="16"/>
      <c r="BR1459" s="16"/>
      <c r="BS1459" s="16"/>
      <c r="BT1459" s="16"/>
      <c r="BU1459" s="21"/>
      <c r="BV1459" s="16"/>
      <c r="BW1459" s="16"/>
      <c r="BX1459" s="16"/>
      <c r="BY1459" s="16"/>
      <c r="BZ1459" s="10"/>
      <c r="CA1459" s="16"/>
      <c r="CB1459" s="16"/>
      <c r="CC1459" s="16"/>
      <c r="CD1459" s="16"/>
      <c r="CE1459" s="10"/>
      <c r="CF1459" s="16"/>
      <c r="CG1459" s="16"/>
      <c r="CH1459" s="16"/>
      <c r="CI1459" s="16"/>
      <c r="CJ1459" s="10"/>
      <c r="CK1459" s="16"/>
      <c r="CL1459" s="16"/>
      <c r="CM1459" s="16"/>
      <c r="CN1459" s="16"/>
      <c r="CO1459" s="10"/>
      <c r="CP1459" s="16"/>
      <c r="CQ1459" s="16"/>
      <c r="CR1459" s="16"/>
      <c r="CS1459" s="16"/>
      <c r="CT1459" s="10"/>
      <c r="CU1459" s="16"/>
      <c r="CV1459" s="16"/>
      <c r="CW1459" s="16"/>
      <c r="CX1459" s="16"/>
      <c r="CY1459" s="10"/>
      <c r="CZ1459" s="16"/>
      <c r="DA1459" s="16"/>
      <c r="DB1459" s="16"/>
      <c r="DC1459" s="16"/>
      <c r="DD1459" s="10"/>
      <c r="DE1459" s="16"/>
      <c r="DF1459" s="16"/>
      <c r="DG1459" s="16"/>
      <c r="DH1459" s="16"/>
      <c r="DI1459" s="10"/>
      <c r="DJ1459" s="16"/>
      <c r="DK1459" s="16"/>
      <c r="DL1459" s="16"/>
      <c r="DM1459" s="16"/>
      <c r="DN1459" s="10"/>
      <c r="DO1459" s="16"/>
      <c r="DP1459" s="16"/>
      <c r="DQ1459" s="16"/>
      <c r="DR1459" s="16"/>
      <c r="DS1459" s="10"/>
      <c r="DT1459" s="16"/>
      <c r="DU1459" s="16"/>
      <c r="DV1459" s="16"/>
      <c r="DW1459" s="16"/>
      <c r="DX1459" s="10"/>
      <c r="DY1459" s="16"/>
      <c r="DZ1459" s="16"/>
      <c r="EA1459" s="16"/>
      <c r="EB1459" s="16"/>
      <c r="EC1459" s="10"/>
      <c r="ED1459" s="16"/>
      <c r="EE1459" s="16"/>
      <c r="EF1459" s="16"/>
      <c r="EG1459" s="16"/>
      <c r="EH1459" s="10"/>
      <c r="EI1459" s="214"/>
      <c r="EJ1459" s="16"/>
      <c r="EK1459" s="16"/>
      <c r="EL1459" s="16"/>
      <c r="EM1459" s="10"/>
      <c r="EN1459" s="16"/>
      <c r="EO1459" s="16"/>
      <c r="EP1459" s="16"/>
      <c r="EQ1459" s="16"/>
      <c r="ER1459" s="10"/>
      <c r="ES1459" s="16"/>
      <c r="ET1459" s="16"/>
      <c r="EU1459" s="16"/>
      <c r="EV1459" s="16"/>
      <c r="EW1459" s="10"/>
      <c r="EX1459" s="16"/>
      <c r="EY1459" s="16"/>
      <c r="EZ1459" s="16"/>
      <c r="FA1459" s="16"/>
      <c r="FB1459" s="10"/>
      <c r="FC1459" s="16"/>
      <c r="FD1459" s="16"/>
      <c r="FE1459" s="16"/>
      <c r="FF1459" s="16"/>
      <c r="FG1459" s="10"/>
      <c r="FH1459" s="21"/>
      <c r="FI1459" s="16"/>
      <c r="FJ1459" s="16"/>
      <c r="FK1459" s="16"/>
      <c r="FL1459" s="16"/>
    </row>
    <row r="1460" ht="12.75" customHeight="1">
      <c r="A1460" s="16"/>
      <c r="B1460" s="16"/>
      <c r="C1460" s="16"/>
      <c r="D1460" s="16"/>
      <c r="E1460" s="16"/>
      <c r="F1460" s="16"/>
      <c r="G1460" s="16"/>
      <c r="H1460" s="31"/>
      <c r="I1460" s="32"/>
      <c r="J1460" s="32"/>
      <c r="K1460" s="32"/>
      <c r="L1460" s="32"/>
      <c r="M1460" s="31"/>
      <c r="N1460" s="32"/>
      <c r="O1460" s="32"/>
      <c r="P1460" s="32"/>
      <c r="Q1460" s="32"/>
      <c r="R1460" s="33"/>
      <c r="S1460" s="32"/>
      <c r="T1460" s="32"/>
      <c r="U1460" s="32"/>
      <c r="V1460" s="32"/>
      <c r="W1460" s="33"/>
      <c r="X1460" s="32"/>
      <c r="Y1460" s="32"/>
      <c r="Z1460" s="32"/>
      <c r="AA1460" s="32"/>
      <c r="AB1460" s="31"/>
      <c r="AC1460" s="32"/>
      <c r="AD1460" s="32"/>
      <c r="AE1460" s="32"/>
      <c r="AF1460" s="32"/>
      <c r="AG1460" s="31"/>
      <c r="AH1460" s="32"/>
      <c r="AI1460" s="32"/>
      <c r="AJ1460" s="32"/>
      <c r="AK1460" s="32"/>
      <c r="AL1460" s="31"/>
      <c r="AM1460" s="32"/>
      <c r="AN1460" s="32"/>
      <c r="AO1460" s="32"/>
      <c r="AP1460" s="32"/>
      <c r="AQ1460" s="31"/>
      <c r="AR1460" s="32"/>
      <c r="AS1460" s="32"/>
      <c r="AT1460" s="32"/>
      <c r="AU1460" s="32"/>
      <c r="AV1460" s="31"/>
      <c r="AW1460" s="32"/>
      <c r="AX1460" s="32"/>
      <c r="AY1460" s="32"/>
      <c r="AZ1460" s="32"/>
      <c r="BA1460" s="33"/>
      <c r="BB1460" s="32"/>
      <c r="BC1460" s="32"/>
      <c r="BD1460" s="32"/>
      <c r="BE1460" s="32"/>
      <c r="BF1460" s="33"/>
      <c r="BG1460" s="32"/>
      <c r="BH1460" s="32"/>
      <c r="BI1460" s="32"/>
      <c r="BJ1460" s="32"/>
      <c r="BK1460" s="33"/>
      <c r="BL1460" s="32"/>
      <c r="BM1460" s="32"/>
      <c r="BN1460" s="32"/>
      <c r="BO1460" s="32"/>
      <c r="BP1460" s="33"/>
      <c r="BQ1460" s="16"/>
      <c r="BR1460" s="16"/>
      <c r="BS1460" s="16"/>
      <c r="BT1460" s="16"/>
      <c r="BU1460" s="21"/>
      <c r="BV1460" s="16"/>
      <c r="BW1460" s="16"/>
      <c r="BX1460" s="16"/>
      <c r="BY1460" s="16"/>
      <c r="BZ1460" s="10"/>
      <c r="CA1460" s="16"/>
      <c r="CB1460" s="16"/>
      <c r="CC1460" s="16"/>
      <c r="CD1460" s="16"/>
      <c r="CE1460" s="10"/>
      <c r="CF1460" s="16"/>
      <c r="CG1460" s="16"/>
      <c r="CH1460" s="16"/>
      <c r="CI1460" s="16"/>
      <c r="CJ1460" s="10"/>
      <c r="CK1460" s="16"/>
      <c r="CL1460" s="16"/>
      <c r="CM1460" s="16"/>
      <c r="CN1460" s="16"/>
      <c r="CO1460" s="10"/>
      <c r="CP1460" s="16"/>
      <c r="CQ1460" s="16"/>
      <c r="CR1460" s="16"/>
      <c r="CS1460" s="16"/>
      <c r="CT1460" s="10"/>
      <c r="CU1460" s="16"/>
      <c r="CV1460" s="16"/>
      <c r="CW1460" s="16"/>
      <c r="CX1460" s="16"/>
      <c r="CY1460" s="10"/>
      <c r="CZ1460" s="16"/>
      <c r="DA1460" s="16"/>
      <c r="DB1460" s="16"/>
      <c r="DC1460" s="16"/>
      <c r="DD1460" s="10"/>
      <c r="DE1460" s="16"/>
      <c r="DF1460" s="16"/>
      <c r="DG1460" s="16"/>
      <c r="DH1460" s="16"/>
      <c r="DI1460" s="10"/>
      <c r="DJ1460" s="16"/>
      <c r="DK1460" s="16"/>
      <c r="DL1460" s="16"/>
      <c r="DM1460" s="16"/>
      <c r="DN1460" s="10"/>
      <c r="DO1460" s="16"/>
      <c r="DP1460" s="16"/>
      <c r="DQ1460" s="16"/>
      <c r="DR1460" s="16"/>
      <c r="DS1460" s="10"/>
      <c r="DT1460" s="16"/>
      <c r="DU1460" s="16"/>
      <c r="DV1460" s="16"/>
      <c r="DW1460" s="16"/>
      <c r="DX1460" s="10"/>
      <c r="DY1460" s="16"/>
      <c r="DZ1460" s="16"/>
      <c r="EA1460" s="16"/>
      <c r="EB1460" s="16"/>
      <c r="EC1460" s="10"/>
      <c r="ED1460" s="16"/>
      <c r="EE1460" s="16"/>
      <c r="EF1460" s="16"/>
      <c r="EG1460" s="16"/>
      <c r="EH1460" s="10"/>
      <c r="EI1460" s="214"/>
      <c r="EJ1460" s="16"/>
      <c r="EK1460" s="16"/>
      <c r="EL1460" s="16"/>
      <c r="EM1460" s="10"/>
      <c r="EN1460" s="16"/>
      <c r="EO1460" s="16"/>
      <c r="EP1460" s="16"/>
      <c r="EQ1460" s="16"/>
      <c r="ER1460" s="10"/>
      <c r="ES1460" s="16"/>
      <c r="ET1460" s="16"/>
      <c r="EU1460" s="16"/>
      <c r="EV1460" s="16"/>
      <c r="EW1460" s="10"/>
      <c r="EX1460" s="16"/>
      <c r="EY1460" s="16"/>
      <c r="EZ1460" s="16"/>
      <c r="FA1460" s="16"/>
      <c r="FB1460" s="10"/>
      <c r="FC1460" s="16"/>
      <c r="FD1460" s="16"/>
      <c r="FE1460" s="16"/>
      <c r="FF1460" s="16"/>
      <c r="FG1460" s="10"/>
      <c r="FH1460" s="21"/>
      <c r="FI1460" s="16"/>
      <c r="FJ1460" s="16"/>
      <c r="FK1460" s="16"/>
      <c r="FL1460" s="16"/>
    </row>
    <row r="1461" ht="12.75" customHeight="1">
      <c r="A1461" s="16"/>
      <c r="B1461" s="16"/>
      <c r="C1461" s="16"/>
      <c r="D1461" s="16"/>
      <c r="E1461" s="16"/>
      <c r="F1461" s="16"/>
      <c r="G1461" s="16"/>
      <c r="H1461" s="31"/>
      <c r="I1461" s="32"/>
      <c r="J1461" s="32"/>
      <c r="K1461" s="32"/>
      <c r="L1461" s="32"/>
      <c r="M1461" s="31"/>
      <c r="N1461" s="32"/>
      <c r="O1461" s="32"/>
      <c r="P1461" s="32"/>
      <c r="Q1461" s="32"/>
      <c r="R1461" s="33"/>
      <c r="S1461" s="32"/>
      <c r="T1461" s="32"/>
      <c r="U1461" s="32"/>
      <c r="V1461" s="32"/>
      <c r="W1461" s="33"/>
      <c r="X1461" s="32"/>
      <c r="Y1461" s="32"/>
      <c r="Z1461" s="32"/>
      <c r="AA1461" s="32"/>
      <c r="AB1461" s="31"/>
      <c r="AC1461" s="32"/>
      <c r="AD1461" s="32"/>
      <c r="AE1461" s="32"/>
      <c r="AF1461" s="32"/>
      <c r="AG1461" s="31"/>
      <c r="AH1461" s="32"/>
      <c r="AI1461" s="32"/>
      <c r="AJ1461" s="32"/>
      <c r="AK1461" s="32"/>
      <c r="AL1461" s="31"/>
      <c r="AM1461" s="32"/>
      <c r="AN1461" s="32"/>
      <c r="AO1461" s="32"/>
      <c r="AP1461" s="32"/>
      <c r="AQ1461" s="31"/>
      <c r="AR1461" s="32"/>
      <c r="AS1461" s="32"/>
      <c r="AT1461" s="32"/>
      <c r="AU1461" s="32"/>
      <c r="AV1461" s="31"/>
      <c r="AW1461" s="32"/>
      <c r="AX1461" s="32"/>
      <c r="AY1461" s="32"/>
      <c r="AZ1461" s="32"/>
      <c r="BA1461" s="33"/>
      <c r="BB1461" s="32"/>
      <c r="BC1461" s="32"/>
      <c r="BD1461" s="32"/>
      <c r="BE1461" s="32"/>
      <c r="BF1461" s="33"/>
      <c r="BG1461" s="32"/>
      <c r="BH1461" s="32"/>
      <c r="BI1461" s="32"/>
      <c r="BJ1461" s="32"/>
      <c r="BK1461" s="33"/>
      <c r="BL1461" s="32"/>
      <c r="BM1461" s="32"/>
      <c r="BN1461" s="32"/>
      <c r="BO1461" s="32"/>
      <c r="BP1461" s="33"/>
      <c r="BQ1461" s="16"/>
      <c r="BR1461" s="16"/>
      <c r="BS1461" s="16"/>
      <c r="BT1461" s="16"/>
      <c r="BU1461" s="21"/>
      <c r="BV1461" s="16"/>
      <c r="BW1461" s="16"/>
      <c r="BX1461" s="16"/>
      <c r="BY1461" s="16"/>
      <c r="BZ1461" s="10"/>
      <c r="CA1461" s="16"/>
      <c r="CB1461" s="16"/>
      <c r="CC1461" s="16"/>
      <c r="CD1461" s="16"/>
      <c r="CE1461" s="10"/>
      <c r="CF1461" s="16"/>
      <c r="CG1461" s="16"/>
      <c r="CH1461" s="16"/>
      <c r="CI1461" s="16"/>
      <c r="CJ1461" s="10"/>
      <c r="CK1461" s="16"/>
      <c r="CL1461" s="16"/>
      <c r="CM1461" s="16"/>
      <c r="CN1461" s="16"/>
      <c r="CO1461" s="10"/>
      <c r="CP1461" s="16"/>
      <c r="CQ1461" s="16"/>
      <c r="CR1461" s="16"/>
      <c r="CS1461" s="16"/>
      <c r="CT1461" s="10"/>
      <c r="CU1461" s="16"/>
      <c r="CV1461" s="16"/>
      <c r="CW1461" s="16"/>
      <c r="CX1461" s="16"/>
      <c r="CY1461" s="10"/>
      <c r="CZ1461" s="16"/>
      <c r="DA1461" s="16"/>
      <c r="DB1461" s="16"/>
      <c r="DC1461" s="16"/>
      <c r="DD1461" s="10"/>
      <c r="DE1461" s="16"/>
      <c r="DF1461" s="16"/>
      <c r="DG1461" s="16"/>
      <c r="DH1461" s="16"/>
      <c r="DI1461" s="10"/>
      <c r="DJ1461" s="16"/>
      <c r="DK1461" s="16"/>
      <c r="DL1461" s="16"/>
      <c r="DM1461" s="16"/>
      <c r="DN1461" s="10"/>
      <c r="DO1461" s="16"/>
      <c r="DP1461" s="16"/>
      <c r="DQ1461" s="16"/>
      <c r="DR1461" s="16"/>
      <c r="DS1461" s="10"/>
      <c r="DT1461" s="16"/>
      <c r="DU1461" s="16"/>
      <c r="DV1461" s="16"/>
      <c r="DW1461" s="16"/>
      <c r="DX1461" s="10"/>
      <c r="DY1461" s="16"/>
      <c r="DZ1461" s="16"/>
      <c r="EA1461" s="16"/>
      <c r="EB1461" s="16"/>
      <c r="EC1461" s="10"/>
      <c r="ED1461" s="16"/>
      <c r="EE1461" s="16"/>
      <c r="EF1461" s="16"/>
      <c r="EG1461" s="16"/>
      <c r="EH1461" s="10"/>
      <c r="EI1461" s="214"/>
      <c r="EJ1461" s="16"/>
      <c r="EK1461" s="16"/>
      <c r="EL1461" s="16"/>
      <c r="EM1461" s="10"/>
      <c r="EN1461" s="16"/>
      <c r="EO1461" s="16"/>
      <c r="EP1461" s="16"/>
      <c r="EQ1461" s="16"/>
      <c r="ER1461" s="10"/>
      <c r="ES1461" s="16"/>
      <c r="ET1461" s="16"/>
      <c r="EU1461" s="16"/>
      <c r="EV1461" s="16"/>
      <c r="EW1461" s="10"/>
      <c r="EX1461" s="16"/>
      <c r="EY1461" s="16"/>
      <c r="EZ1461" s="16"/>
      <c r="FA1461" s="16"/>
      <c r="FB1461" s="10"/>
      <c r="FC1461" s="16"/>
      <c r="FD1461" s="16"/>
      <c r="FE1461" s="16"/>
      <c r="FF1461" s="16"/>
      <c r="FG1461" s="10"/>
      <c r="FH1461" s="21"/>
      <c r="FI1461" s="16"/>
      <c r="FJ1461" s="16"/>
      <c r="FK1461" s="16"/>
      <c r="FL1461" s="16"/>
    </row>
    <row r="1462" ht="12.75" customHeight="1">
      <c r="A1462" s="16"/>
      <c r="B1462" s="16"/>
      <c r="C1462" s="16"/>
      <c r="D1462" s="16"/>
      <c r="E1462" s="16"/>
      <c r="F1462" s="16"/>
      <c r="G1462" s="16"/>
      <c r="H1462" s="31"/>
      <c r="I1462" s="32"/>
      <c r="J1462" s="32"/>
      <c r="K1462" s="32"/>
      <c r="L1462" s="32"/>
      <c r="M1462" s="31"/>
      <c r="N1462" s="32"/>
      <c r="O1462" s="32"/>
      <c r="P1462" s="32"/>
      <c r="Q1462" s="32"/>
      <c r="R1462" s="33"/>
      <c r="S1462" s="32"/>
      <c r="T1462" s="32"/>
      <c r="U1462" s="32"/>
      <c r="V1462" s="32"/>
      <c r="W1462" s="33"/>
      <c r="X1462" s="32"/>
      <c r="Y1462" s="32"/>
      <c r="Z1462" s="32"/>
      <c r="AA1462" s="32"/>
      <c r="AB1462" s="31"/>
      <c r="AC1462" s="32"/>
      <c r="AD1462" s="32"/>
      <c r="AE1462" s="32"/>
      <c r="AF1462" s="32"/>
      <c r="AG1462" s="31"/>
      <c r="AH1462" s="32"/>
      <c r="AI1462" s="32"/>
      <c r="AJ1462" s="32"/>
      <c r="AK1462" s="32"/>
      <c r="AL1462" s="31"/>
      <c r="AM1462" s="32"/>
      <c r="AN1462" s="32"/>
      <c r="AO1462" s="32"/>
      <c r="AP1462" s="32"/>
      <c r="AQ1462" s="31"/>
      <c r="AR1462" s="32"/>
      <c r="AS1462" s="32"/>
      <c r="AT1462" s="32"/>
      <c r="AU1462" s="32"/>
      <c r="AV1462" s="31"/>
      <c r="AW1462" s="32"/>
      <c r="AX1462" s="32"/>
      <c r="AY1462" s="32"/>
      <c r="AZ1462" s="32"/>
      <c r="BA1462" s="33"/>
      <c r="BB1462" s="32"/>
      <c r="BC1462" s="32"/>
      <c r="BD1462" s="32"/>
      <c r="BE1462" s="32"/>
      <c r="BF1462" s="33"/>
      <c r="BG1462" s="32"/>
      <c r="BH1462" s="32"/>
      <c r="BI1462" s="32"/>
      <c r="BJ1462" s="32"/>
      <c r="BK1462" s="33"/>
      <c r="BL1462" s="32"/>
      <c r="BM1462" s="32"/>
      <c r="BN1462" s="32"/>
      <c r="BO1462" s="32"/>
      <c r="BP1462" s="33"/>
      <c r="BQ1462" s="16"/>
      <c r="BR1462" s="16"/>
      <c r="BS1462" s="16"/>
      <c r="BT1462" s="16"/>
      <c r="BU1462" s="21"/>
      <c r="BV1462" s="16"/>
      <c r="BW1462" s="16"/>
      <c r="BX1462" s="16"/>
      <c r="BY1462" s="16"/>
      <c r="BZ1462" s="10"/>
      <c r="CA1462" s="16"/>
      <c r="CB1462" s="16"/>
      <c r="CC1462" s="16"/>
      <c r="CD1462" s="16"/>
      <c r="CE1462" s="10"/>
      <c r="CF1462" s="16"/>
      <c r="CG1462" s="16"/>
      <c r="CH1462" s="16"/>
      <c r="CI1462" s="16"/>
      <c r="CJ1462" s="10"/>
      <c r="CK1462" s="16"/>
      <c r="CL1462" s="16"/>
      <c r="CM1462" s="16"/>
      <c r="CN1462" s="16"/>
      <c r="CO1462" s="10"/>
      <c r="CP1462" s="16"/>
      <c r="CQ1462" s="16"/>
      <c r="CR1462" s="16"/>
      <c r="CS1462" s="16"/>
      <c r="CT1462" s="10"/>
      <c r="CU1462" s="16"/>
      <c r="CV1462" s="16"/>
      <c r="CW1462" s="16"/>
      <c r="CX1462" s="16"/>
      <c r="CY1462" s="10"/>
      <c r="CZ1462" s="16"/>
      <c r="DA1462" s="16"/>
      <c r="DB1462" s="16"/>
      <c r="DC1462" s="16"/>
      <c r="DD1462" s="10"/>
      <c r="DE1462" s="16"/>
      <c r="DF1462" s="16"/>
      <c r="DG1462" s="16"/>
      <c r="DH1462" s="16"/>
      <c r="DI1462" s="10"/>
      <c r="DJ1462" s="16"/>
      <c r="DK1462" s="16"/>
      <c r="DL1462" s="16"/>
      <c r="DM1462" s="16"/>
      <c r="DN1462" s="10"/>
      <c r="DO1462" s="16"/>
      <c r="DP1462" s="16"/>
      <c r="DQ1462" s="16"/>
      <c r="DR1462" s="16"/>
      <c r="DS1462" s="10"/>
      <c r="DT1462" s="16"/>
      <c r="DU1462" s="16"/>
      <c r="DV1462" s="16"/>
      <c r="DW1462" s="16"/>
      <c r="DX1462" s="10"/>
      <c r="DY1462" s="16"/>
      <c r="DZ1462" s="16"/>
      <c r="EA1462" s="16"/>
      <c r="EB1462" s="16"/>
      <c r="EC1462" s="10"/>
      <c r="ED1462" s="16"/>
      <c r="EE1462" s="16"/>
      <c r="EF1462" s="16"/>
      <c r="EG1462" s="16"/>
      <c r="EH1462" s="10"/>
      <c r="EI1462" s="214"/>
      <c r="EJ1462" s="16"/>
      <c r="EK1462" s="16"/>
      <c r="EL1462" s="16"/>
      <c r="EM1462" s="10"/>
      <c r="EN1462" s="16"/>
      <c r="EO1462" s="16"/>
      <c r="EP1462" s="16"/>
      <c r="EQ1462" s="16"/>
      <c r="ER1462" s="10"/>
      <c r="ES1462" s="16"/>
      <c r="ET1462" s="16"/>
      <c r="EU1462" s="16"/>
      <c r="EV1462" s="16"/>
      <c r="EW1462" s="10"/>
      <c r="EX1462" s="16"/>
      <c r="EY1462" s="16"/>
      <c r="EZ1462" s="16"/>
      <c r="FA1462" s="16"/>
      <c r="FB1462" s="10"/>
      <c r="FC1462" s="16"/>
      <c r="FD1462" s="16"/>
      <c r="FE1462" s="16"/>
      <c r="FF1462" s="16"/>
      <c r="FG1462" s="10"/>
      <c r="FH1462" s="21"/>
      <c r="FI1462" s="16"/>
      <c r="FJ1462" s="16"/>
      <c r="FK1462" s="16"/>
      <c r="FL1462" s="16"/>
    </row>
    <row r="1463" ht="12.75" customHeight="1">
      <c r="A1463" s="16"/>
      <c r="B1463" s="16"/>
      <c r="C1463" s="16"/>
      <c r="D1463" s="16"/>
      <c r="E1463" s="16"/>
      <c r="F1463" s="16"/>
      <c r="G1463" s="16"/>
      <c r="H1463" s="31"/>
      <c r="I1463" s="32"/>
      <c r="J1463" s="32"/>
      <c r="K1463" s="32"/>
      <c r="L1463" s="32"/>
      <c r="M1463" s="31"/>
      <c r="N1463" s="32"/>
      <c r="O1463" s="32"/>
      <c r="P1463" s="32"/>
      <c r="Q1463" s="32"/>
      <c r="R1463" s="33"/>
      <c r="S1463" s="32"/>
      <c r="T1463" s="32"/>
      <c r="U1463" s="32"/>
      <c r="V1463" s="32"/>
      <c r="W1463" s="33"/>
      <c r="X1463" s="32"/>
      <c r="Y1463" s="32"/>
      <c r="Z1463" s="32"/>
      <c r="AA1463" s="32"/>
      <c r="AB1463" s="31"/>
      <c r="AC1463" s="32"/>
      <c r="AD1463" s="32"/>
      <c r="AE1463" s="32"/>
      <c r="AF1463" s="32"/>
      <c r="AG1463" s="31"/>
      <c r="AH1463" s="32"/>
      <c r="AI1463" s="32"/>
      <c r="AJ1463" s="32"/>
      <c r="AK1463" s="32"/>
      <c r="AL1463" s="31"/>
      <c r="AM1463" s="32"/>
      <c r="AN1463" s="32"/>
      <c r="AO1463" s="32"/>
      <c r="AP1463" s="32"/>
      <c r="AQ1463" s="31"/>
      <c r="AR1463" s="32"/>
      <c r="AS1463" s="32"/>
      <c r="AT1463" s="32"/>
      <c r="AU1463" s="32"/>
      <c r="AV1463" s="31"/>
      <c r="AW1463" s="32"/>
      <c r="AX1463" s="32"/>
      <c r="AY1463" s="32"/>
      <c r="AZ1463" s="32"/>
      <c r="BA1463" s="33"/>
      <c r="BB1463" s="32"/>
      <c r="BC1463" s="32"/>
      <c r="BD1463" s="32"/>
      <c r="BE1463" s="32"/>
      <c r="BF1463" s="33"/>
      <c r="BG1463" s="32"/>
      <c r="BH1463" s="32"/>
      <c r="BI1463" s="32"/>
      <c r="BJ1463" s="32"/>
      <c r="BK1463" s="33"/>
      <c r="BL1463" s="32"/>
      <c r="BM1463" s="32"/>
      <c r="BN1463" s="32"/>
      <c r="BO1463" s="32"/>
      <c r="BP1463" s="33"/>
      <c r="BQ1463" s="16"/>
      <c r="BR1463" s="16"/>
      <c r="BS1463" s="16"/>
      <c r="BT1463" s="16"/>
      <c r="BU1463" s="21"/>
      <c r="BV1463" s="16"/>
      <c r="BW1463" s="16"/>
      <c r="BX1463" s="16"/>
      <c r="BY1463" s="16"/>
      <c r="BZ1463" s="10"/>
      <c r="CA1463" s="16"/>
      <c r="CB1463" s="16"/>
      <c r="CC1463" s="16"/>
      <c r="CD1463" s="16"/>
      <c r="CE1463" s="10"/>
      <c r="CF1463" s="16"/>
      <c r="CG1463" s="16"/>
      <c r="CH1463" s="16"/>
      <c r="CI1463" s="16"/>
      <c r="CJ1463" s="10"/>
      <c r="CK1463" s="16"/>
      <c r="CL1463" s="16"/>
      <c r="CM1463" s="16"/>
      <c r="CN1463" s="16"/>
      <c r="CO1463" s="10"/>
      <c r="CP1463" s="16"/>
      <c r="CQ1463" s="16"/>
      <c r="CR1463" s="16"/>
      <c r="CS1463" s="16"/>
      <c r="CT1463" s="10"/>
      <c r="CU1463" s="16"/>
      <c r="CV1463" s="16"/>
      <c r="CW1463" s="16"/>
      <c r="CX1463" s="16"/>
      <c r="CY1463" s="10"/>
      <c r="CZ1463" s="16"/>
      <c r="DA1463" s="16"/>
      <c r="DB1463" s="16"/>
      <c r="DC1463" s="16"/>
      <c r="DD1463" s="10"/>
      <c r="DE1463" s="16"/>
      <c r="DF1463" s="16"/>
      <c r="DG1463" s="16"/>
      <c r="DH1463" s="16"/>
      <c r="DI1463" s="10"/>
      <c r="DJ1463" s="16"/>
      <c r="DK1463" s="16"/>
      <c r="DL1463" s="16"/>
      <c r="DM1463" s="16"/>
      <c r="DN1463" s="10"/>
      <c r="DO1463" s="16"/>
      <c r="DP1463" s="16"/>
      <c r="DQ1463" s="16"/>
      <c r="DR1463" s="16"/>
      <c r="DS1463" s="10"/>
      <c r="DT1463" s="16"/>
      <c r="DU1463" s="16"/>
      <c r="DV1463" s="16"/>
      <c r="DW1463" s="16"/>
      <c r="DX1463" s="10"/>
      <c r="DY1463" s="16"/>
      <c r="DZ1463" s="16"/>
      <c r="EA1463" s="16"/>
      <c r="EB1463" s="16"/>
      <c r="EC1463" s="10"/>
      <c r="ED1463" s="16"/>
      <c r="EE1463" s="16"/>
      <c r="EF1463" s="16"/>
      <c r="EG1463" s="16"/>
      <c r="EH1463" s="10"/>
      <c r="EI1463" s="214"/>
      <c r="EJ1463" s="16"/>
      <c r="EK1463" s="16"/>
      <c r="EL1463" s="16"/>
      <c r="EM1463" s="10"/>
      <c r="EN1463" s="16"/>
      <c r="EO1463" s="16"/>
      <c r="EP1463" s="16"/>
      <c r="EQ1463" s="16"/>
      <c r="ER1463" s="10"/>
      <c r="ES1463" s="16"/>
      <c r="ET1463" s="16"/>
      <c r="EU1463" s="16"/>
      <c r="EV1463" s="16"/>
      <c r="EW1463" s="10"/>
      <c r="EX1463" s="16"/>
      <c r="EY1463" s="16"/>
      <c r="EZ1463" s="16"/>
      <c r="FA1463" s="16"/>
      <c r="FB1463" s="10"/>
      <c r="FC1463" s="16"/>
      <c r="FD1463" s="16"/>
      <c r="FE1463" s="16"/>
      <c r="FF1463" s="16"/>
      <c r="FG1463" s="10"/>
      <c r="FH1463" s="21"/>
      <c r="FI1463" s="16"/>
      <c r="FJ1463" s="16"/>
      <c r="FK1463" s="16"/>
      <c r="FL1463" s="16"/>
    </row>
    <row r="1464" ht="12.75" customHeight="1">
      <c r="A1464" s="16"/>
      <c r="B1464" s="16"/>
      <c r="C1464" s="16"/>
      <c r="D1464" s="16"/>
      <c r="E1464" s="16"/>
      <c r="F1464" s="16"/>
      <c r="G1464" s="16"/>
      <c r="H1464" s="31"/>
      <c r="I1464" s="32"/>
      <c r="J1464" s="32"/>
      <c r="K1464" s="32"/>
      <c r="L1464" s="32"/>
      <c r="M1464" s="31"/>
      <c r="N1464" s="32"/>
      <c r="O1464" s="32"/>
      <c r="P1464" s="32"/>
      <c r="Q1464" s="32"/>
      <c r="R1464" s="33"/>
      <c r="S1464" s="32"/>
      <c r="T1464" s="32"/>
      <c r="U1464" s="32"/>
      <c r="V1464" s="32"/>
      <c r="W1464" s="33"/>
      <c r="X1464" s="32"/>
      <c r="Y1464" s="32"/>
      <c r="Z1464" s="32"/>
      <c r="AA1464" s="32"/>
      <c r="AB1464" s="31"/>
      <c r="AC1464" s="32"/>
      <c r="AD1464" s="32"/>
      <c r="AE1464" s="32"/>
      <c r="AF1464" s="32"/>
      <c r="AG1464" s="31"/>
      <c r="AH1464" s="32"/>
      <c r="AI1464" s="32"/>
      <c r="AJ1464" s="32"/>
      <c r="AK1464" s="32"/>
      <c r="AL1464" s="31"/>
      <c r="AM1464" s="32"/>
      <c r="AN1464" s="32"/>
      <c r="AO1464" s="32"/>
      <c r="AP1464" s="32"/>
      <c r="AQ1464" s="31"/>
      <c r="AR1464" s="32"/>
      <c r="AS1464" s="32"/>
      <c r="AT1464" s="32"/>
      <c r="AU1464" s="32"/>
      <c r="AV1464" s="31"/>
      <c r="AW1464" s="32"/>
      <c r="AX1464" s="32"/>
      <c r="AY1464" s="32"/>
      <c r="AZ1464" s="32"/>
      <c r="BA1464" s="33"/>
      <c r="BB1464" s="32"/>
      <c r="BC1464" s="32"/>
      <c r="BD1464" s="32"/>
      <c r="BE1464" s="32"/>
      <c r="BF1464" s="33"/>
      <c r="BG1464" s="32"/>
      <c r="BH1464" s="32"/>
      <c r="BI1464" s="32"/>
      <c r="BJ1464" s="32"/>
      <c r="BK1464" s="33"/>
      <c r="BL1464" s="32"/>
      <c r="BM1464" s="32"/>
      <c r="BN1464" s="32"/>
      <c r="BO1464" s="32"/>
      <c r="BP1464" s="33"/>
      <c r="BQ1464" s="16"/>
      <c r="BR1464" s="16"/>
      <c r="BS1464" s="16"/>
      <c r="BT1464" s="16"/>
      <c r="BU1464" s="21"/>
      <c r="BV1464" s="16"/>
      <c r="BW1464" s="16"/>
      <c r="BX1464" s="16"/>
      <c r="BY1464" s="16"/>
      <c r="BZ1464" s="10"/>
      <c r="CA1464" s="16"/>
      <c r="CB1464" s="16"/>
      <c r="CC1464" s="16"/>
      <c r="CD1464" s="16"/>
      <c r="CE1464" s="10"/>
      <c r="CF1464" s="16"/>
      <c r="CG1464" s="16"/>
      <c r="CH1464" s="16"/>
      <c r="CI1464" s="16"/>
      <c r="CJ1464" s="10"/>
      <c r="CK1464" s="16"/>
      <c r="CL1464" s="16"/>
      <c r="CM1464" s="16"/>
      <c r="CN1464" s="16"/>
      <c r="CO1464" s="10"/>
      <c r="CP1464" s="16"/>
      <c r="CQ1464" s="16"/>
      <c r="CR1464" s="16"/>
      <c r="CS1464" s="16"/>
      <c r="CT1464" s="10"/>
      <c r="CU1464" s="16"/>
      <c r="CV1464" s="16"/>
      <c r="CW1464" s="16"/>
      <c r="CX1464" s="16"/>
      <c r="CY1464" s="10"/>
      <c r="CZ1464" s="16"/>
      <c r="DA1464" s="16"/>
      <c r="DB1464" s="16"/>
      <c r="DC1464" s="16"/>
      <c r="DD1464" s="10"/>
      <c r="DE1464" s="16"/>
      <c r="DF1464" s="16"/>
      <c r="DG1464" s="16"/>
      <c r="DH1464" s="16"/>
      <c r="DI1464" s="10"/>
      <c r="DJ1464" s="16"/>
      <c r="DK1464" s="16"/>
      <c r="DL1464" s="16"/>
      <c r="DM1464" s="16"/>
      <c r="DN1464" s="10"/>
      <c r="DO1464" s="16"/>
      <c r="DP1464" s="16"/>
      <c r="DQ1464" s="16"/>
      <c r="DR1464" s="16"/>
      <c r="DS1464" s="10"/>
      <c r="DT1464" s="16"/>
      <c r="DU1464" s="16"/>
      <c r="DV1464" s="16"/>
      <c r="DW1464" s="16"/>
      <c r="DX1464" s="10"/>
      <c r="DY1464" s="16"/>
      <c r="DZ1464" s="16"/>
      <c r="EA1464" s="16"/>
      <c r="EB1464" s="16"/>
      <c r="EC1464" s="10"/>
      <c r="ED1464" s="16"/>
      <c r="EE1464" s="16"/>
      <c r="EF1464" s="16"/>
      <c r="EG1464" s="16"/>
      <c r="EH1464" s="10"/>
      <c r="EI1464" s="214"/>
      <c r="EJ1464" s="16"/>
      <c r="EK1464" s="16"/>
      <c r="EL1464" s="16"/>
      <c r="EM1464" s="10"/>
      <c r="EN1464" s="16"/>
      <c r="EO1464" s="16"/>
      <c r="EP1464" s="16"/>
      <c r="EQ1464" s="16"/>
      <c r="ER1464" s="10"/>
      <c r="ES1464" s="16"/>
      <c r="ET1464" s="16"/>
      <c r="EU1464" s="16"/>
      <c r="EV1464" s="16"/>
      <c r="EW1464" s="10"/>
      <c r="EX1464" s="16"/>
      <c r="EY1464" s="16"/>
      <c r="EZ1464" s="16"/>
      <c r="FA1464" s="16"/>
      <c r="FB1464" s="10"/>
      <c r="FC1464" s="16"/>
      <c r="FD1464" s="16"/>
      <c r="FE1464" s="16"/>
      <c r="FF1464" s="16"/>
      <c r="FG1464" s="10"/>
      <c r="FH1464" s="21"/>
      <c r="FI1464" s="16"/>
      <c r="FJ1464" s="16"/>
      <c r="FK1464" s="16"/>
      <c r="FL1464" s="16"/>
    </row>
    <row r="1465" ht="12.75" customHeight="1">
      <c r="A1465" s="16"/>
      <c r="B1465" s="16"/>
      <c r="C1465" s="16"/>
      <c r="D1465" s="16"/>
      <c r="E1465" s="16"/>
      <c r="F1465" s="16"/>
      <c r="G1465" s="16"/>
      <c r="H1465" s="31"/>
      <c r="I1465" s="32"/>
      <c r="J1465" s="32"/>
      <c r="K1465" s="32"/>
      <c r="L1465" s="32"/>
      <c r="M1465" s="31"/>
      <c r="N1465" s="32"/>
      <c r="O1465" s="32"/>
      <c r="P1465" s="32"/>
      <c r="Q1465" s="32"/>
      <c r="R1465" s="33"/>
      <c r="S1465" s="32"/>
      <c r="T1465" s="32"/>
      <c r="U1465" s="32"/>
      <c r="V1465" s="32"/>
      <c r="W1465" s="33"/>
      <c r="X1465" s="32"/>
      <c r="Y1465" s="32"/>
      <c r="Z1465" s="32"/>
      <c r="AA1465" s="32"/>
      <c r="AB1465" s="31"/>
      <c r="AC1465" s="32"/>
      <c r="AD1465" s="32"/>
      <c r="AE1465" s="32"/>
      <c r="AF1465" s="32"/>
      <c r="AG1465" s="31"/>
      <c r="AH1465" s="32"/>
      <c r="AI1465" s="32"/>
      <c r="AJ1465" s="32"/>
      <c r="AK1465" s="32"/>
      <c r="AL1465" s="31"/>
      <c r="AM1465" s="32"/>
      <c r="AN1465" s="32"/>
      <c r="AO1465" s="32"/>
      <c r="AP1465" s="32"/>
      <c r="AQ1465" s="31"/>
      <c r="AR1465" s="32"/>
      <c r="AS1465" s="32"/>
      <c r="AT1465" s="32"/>
      <c r="AU1465" s="32"/>
      <c r="AV1465" s="31"/>
      <c r="AW1465" s="32"/>
      <c r="AX1465" s="32"/>
      <c r="AY1465" s="32"/>
      <c r="AZ1465" s="32"/>
      <c r="BA1465" s="33"/>
      <c r="BB1465" s="32"/>
      <c r="BC1465" s="32"/>
      <c r="BD1465" s="32"/>
      <c r="BE1465" s="32"/>
      <c r="BF1465" s="33"/>
      <c r="BG1465" s="32"/>
      <c r="BH1465" s="32"/>
      <c r="BI1465" s="32"/>
      <c r="BJ1465" s="32"/>
      <c r="BK1465" s="33"/>
      <c r="BL1465" s="32"/>
      <c r="BM1465" s="32"/>
      <c r="BN1465" s="32"/>
      <c r="BO1465" s="32"/>
      <c r="BP1465" s="33"/>
      <c r="BQ1465" s="16"/>
      <c r="BR1465" s="16"/>
      <c r="BS1465" s="16"/>
      <c r="BT1465" s="16"/>
      <c r="BU1465" s="21"/>
      <c r="BV1465" s="16"/>
      <c r="BW1465" s="16"/>
      <c r="BX1465" s="16"/>
      <c r="BY1465" s="16"/>
      <c r="BZ1465" s="10"/>
      <c r="CA1465" s="16"/>
      <c r="CB1465" s="16"/>
      <c r="CC1465" s="16"/>
      <c r="CD1465" s="16"/>
      <c r="CE1465" s="10"/>
      <c r="CF1465" s="16"/>
      <c r="CG1465" s="16"/>
      <c r="CH1465" s="16"/>
      <c r="CI1465" s="16"/>
      <c r="CJ1465" s="10"/>
      <c r="CK1465" s="16"/>
      <c r="CL1465" s="16"/>
      <c r="CM1465" s="16"/>
      <c r="CN1465" s="16"/>
      <c r="CO1465" s="10"/>
      <c r="CP1465" s="16"/>
      <c r="CQ1465" s="16"/>
      <c r="CR1465" s="16"/>
      <c r="CS1465" s="16"/>
      <c r="CT1465" s="10"/>
      <c r="CU1465" s="16"/>
      <c r="CV1465" s="16"/>
      <c r="CW1465" s="16"/>
      <c r="CX1465" s="16"/>
      <c r="CY1465" s="10"/>
      <c r="CZ1465" s="16"/>
      <c r="DA1465" s="16"/>
      <c r="DB1465" s="16"/>
      <c r="DC1465" s="16"/>
      <c r="DD1465" s="10"/>
      <c r="DE1465" s="16"/>
      <c r="DF1465" s="16"/>
      <c r="DG1465" s="16"/>
      <c r="DH1465" s="16"/>
      <c r="DI1465" s="10"/>
      <c r="DJ1465" s="16"/>
      <c r="DK1465" s="16"/>
      <c r="DL1465" s="16"/>
      <c r="DM1465" s="16"/>
      <c r="DN1465" s="10"/>
      <c r="DO1465" s="16"/>
      <c r="DP1465" s="16"/>
      <c r="DQ1465" s="16"/>
      <c r="DR1465" s="16"/>
      <c r="DS1465" s="10"/>
      <c r="DT1465" s="16"/>
      <c r="DU1465" s="16"/>
      <c r="DV1465" s="16"/>
      <c r="DW1465" s="16"/>
      <c r="DX1465" s="10"/>
      <c r="DY1465" s="16"/>
      <c r="DZ1465" s="16"/>
      <c r="EA1465" s="16"/>
      <c r="EB1465" s="16"/>
      <c r="EC1465" s="10"/>
      <c r="ED1465" s="16"/>
      <c r="EE1465" s="16"/>
      <c r="EF1465" s="16"/>
      <c r="EG1465" s="16"/>
      <c r="EH1465" s="10"/>
      <c r="EI1465" s="214"/>
      <c r="EJ1465" s="16"/>
      <c r="EK1465" s="16"/>
      <c r="EL1465" s="16"/>
      <c r="EM1465" s="10"/>
      <c r="EN1465" s="16"/>
      <c r="EO1465" s="16"/>
      <c r="EP1465" s="16"/>
      <c r="EQ1465" s="16"/>
      <c r="ER1465" s="10"/>
      <c r="ES1465" s="16"/>
      <c r="ET1465" s="16"/>
      <c r="EU1465" s="16"/>
      <c r="EV1465" s="16"/>
      <c r="EW1465" s="10"/>
      <c r="EX1465" s="16"/>
      <c r="EY1465" s="16"/>
      <c r="EZ1465" s="16"/>
      <c r="FA1465" s="16"/>
      <c r="FB1465" s="10"/>
      <c r="FC1465" s="16"/>
      <c r="FD1465" s="16"/>
      <c r="FE1465" s="16"/>
      <c r="FF1465" s="16"/>
      <c r="FG1465" s="10"/>
      <c r="FH1465" s="21"/>
      <c r="FI1465" s="16"/>
      <c r="FJ1465" s="16"/>
      <c r="FK1465" s="16"/>
      <c r="FL1465" s="16"/>
    </row>
    <row r="1466" ht="12.75" customHeight="1">
      <c r="A1466" s="16"/>
      <c r="B1466" s="16"/>
      <c r="C1466" s="16"/>
      <c r="D1466" s="16"/>
      <c r="E1466" s="16"/>
      <c r="F1466" s="16"/>
      <c r="G1466" s="16"/>
      <c r="H1466" s="31"/>
      <c r="I1466" s="32"/>
      <c r="J1466" s="32"/>
      <c r="K1466" s="32"/>
      <c r="L1466" s="32"/>
      <c r="M1466" s="31"/>
      <c r="N1466" s="32"/>
      <c r="O1466" s="32"/>
      <c r="P1466" s="32"/>
      <c r="Q1466" s="32"/>
      <c r="R1466" s="33"/>
      <c r="S1466" s="32"/>
      <c r="T1466" s="32"/>
      <c r="U1466" s="32"/>
      <c r="V1466" s="32"/>
      <c r="W1466" s="33"/>
      <c r="X1466" s="32"/>
      <c r="Y1466" s="32"/>
      <c r="Z1466" s="32"/>
      <c r="AA1466" s="32"/>
      <c r="AB1466" s="31"/>
      <c r="AC1466" s="32"/>
      <c r="AD1466" s="32"/>
      <c r="AE1466" s="32"/>
      <c r="AF1466" s="32"/>
      <c r="AG1466" s="31"/>
      <c r="AH1466" s="32"/>
      <c r="AI1466" s="32"/>
      <c r="AJ1466" s="32"/>
      <c r="AK1466" s="32"/>
      <c r="AL1466" s="31"/>
      <c r="AM1466" s="32"/>
      <c r="AN1466" s="32"/>
      <c r="AO1466" s="32"/>
      <c r="AP1466" s="32"/>
      <c r="AQ1466" s="31"/>
      <c r="AR1466" s="32"/>
      <c r="AS1466" s="32"/>
      <c r="AT1466" s="32"/>
      <c r="AU1466" s="32"/>
      <c r="AV1466" s="31"/>
      <c r="AW1466" s="32"/>
      <c r="AX1466" s="32"/>
      <c r="AY1466" s="32"/>
      <c r="AZ1466" s="32"/>
      <c r="BA1466" s="33"/>
      <c r="BB1466" s="32"/>
      <c r="BC1466" s="32"/>
      <c r="BD1466" s="32"/>
      <c r="BE1466" s="32"/>
      <c r="BF1466" s="33"/>
      <c r="BG1466" s="32"/>
      <c r="BH1466" s="32"/>
      <c r="BI1466" s="32"/>
      <c r="BJ1466" s="32"/>
      <c r="BK1466" s="33"/>
      <c r="BL1466" s="32"/>
      <c r="BM1466" s="32"/>
      <c r="BN1466" s="32"/>
      <c r="BO1466" s="32"/>
      <c r="BP1466" s="33"/>
      <c r="BQ1466" s="16"/>
      <c r="BR1466" s="16"/>
      <c r="BS1466" s="16"/>
      <c r="BT1466" s="16"/>
      <c r="BU1466" s="21"/>
      <c r="BV1466" s="16"/>
      <c r="BW1466" s="16"/>
      <c r="BX1466" s="16"/>
      <c r="BY1466" s="16"/>
      <c r="BZ1466" s="10"/>
      <c r="CA1466" s="16"/>
      <c r="CB1466" s="16"/>
      <c r="CC1466" s="16"/>
      <c r="CD1466" s="16"/>
      <c r="CE1466" s="10"/>
      <c r="CF1466" s="16"/>
      <c r="CG1466" s="16"/>
      <c r="CH1466" s="16"/>
      <c r="CI1466" s="16"/>
      <c r="CJ1466" s="10"/>
      <c r="CK1466" s="16"/>
      <c r="CL1466" s="16"/>
      <c r="CM1466" s="16"/>
      <c r="CN1466" s="16"/>
      <c r="CO1466" s="10"/>
      <c r="CP1466" s="16"/>
      <c r="CQ1466" s="16"/>
      <c r="CR1466" s="16"/>
      <c r="CS1466" s="16"/>
      <c r="CT1466" s="10"/>
      <c r="CU1466" s="16"/>
      <c r="CV1466" s="16"/>
      <c r="CW1466" s="16"/>
      <c r="CX1466" s="16"/>
      <c r="CY1466" s="10"/>
      <c r="CZ1466" s="16"/>
      <c r="DA1466" s="16"/>
      <c r="DB1466" s="16"/>
      <c r="DC1466" s="16"/>
      <c r="DD1466" s="10"/>
      <c r="DE1466" s="16"/>
      <c r="DF1466" s="16"/>
      <c r="DG1466" s="16"/>
      <c r="DH1466" s="16"/>
      <c r="DI1466" s="10"/>
      <c r="DJ1466" s="16"/>
      <c r="DK1466" s="16"/>
      <c r="DL1466" s="16"/>
      <c r="DM1466" s="16"/>
      <c r="DN1466" s="10"/>
      <c r="DO1466" s="16"/>
      <c r="DP1466" s="16"/>
      <c r="DQ1466" s="16"/>
      <c r="DR1466" s="16"/>
      <c r="DS1466" s="10"/>
      <c r="DT1466" s="16"/>
      <c r="DU1466" s="16"/>
      <c r="DV1466" s="16"/>
      <c r="DW1466" s="16"/>
      <c r="DX1466" s="10"/>
      <c r="DY1466" s="16"/>
      <c r="DZ1466" s="16"/>
      <c r="EA1466" s="16"/>
      <c r="EB1466" s="16"/>
      <c r="EC1466" s="10"/>
      <c r="ED1466" s="16"/>
      <c r="EE1466" s="16"/>
      <c r="EF1466" s="16"/>
      <c r="EG1466" s="16"/>
      <c r="EH1466" s="10"/>
      <c r="EI1466" s="214"/>
      <c r="EJ1466" s="16"/>
      <c r="EK1466" s="16"/>
      <c r="EL1466" s="16"/>
      <c r="EM1466" s="10"/>
      <c r="EN1466" s="16"/>
      <c r="EO1466" s="16"/>
      <c r="EP1466" s="16"/>
      <c r="EQ1466" s="16"/>
      <c r="ER1466" s="10"/>
      <c r="ES1466" s="16"/>
      <c r="ET1466" s="16"/>
      <c r="EU1466" s="16"/>
      <c r="EV1466" s="16"/>
      <c r="EW1466" s="10"/>
      <c r="EX1466" s="16"/>
      <c r="EY1466" s="16"/>
      <c r="EZ1466" s="16"/>
      <c r="FA1466" s="16"/>
      <c r="FB1466" s="10"/>
      <c r="FC1466" s="16"/>
      <c r="FD1466" s="16"/>
      <c r="FE1466" s="16"/>
      <c r="FF1466" s="16"/>
      <c r="FG1466" s="10"/>
      <c r="FH1466" s="21"/>
      <c r="FI1466" s="16"/>
      <c r="FJ1466" s="16"/>
      <c r="FK1466" s="16"/>
      <c r="FL1466" s="16"/>
    </row>
    <row r="1467" ht="12.75" customHeight="1">
      <c r="A1467" s="16"/>
      <c r="B1467" s="16"/>
      <c r="C1467" s="16"/>
      <c r="D1467" s="16"/>
      <c r="E1467" s="16"/>
      <c r="F1467" s="16"/>
      <c r="G1467" s="16"/>
      <c r="H1467" s="31"/>
      <c r="I1467" s="32"/>
      <c r="J1467" s="32"/>
      <c r="K1467" s="32"/>
      <c r="L1467" s="32"/>
      <c r="M1467" s="31"/>
      <c r="N1467" s="32"/>
      <c r="O1467" s="32"/>
      <c r="P1467" s="32"/>
      <c r="Q1467" s="32"/>
      <c r="R1467" s="33"/>
      <c r="S1467" s="32"/>
      <c r="T1467" s="32"/>
      <c r="U1467" s="32"/>
      <c r="V1467" s="32"/>
      <c r="W1467" s="33"/>
      <c r="X1467" s="32"/>
      <c r="Y1467" s="32"/>
      <c r="Z1467" s="32"/>
      <c r="AA1467" s="32"/>
      <c r="AB1467" s="31"/>
      <c r="AC1467" s="32"/>
      <c r="AD1467" s="32"/>
      <c r="AE1467" s="32"/>
      <c r="AF1467" s="32"/>
      <c r="AG1467" s="31"/>
      <c r="AH1467" s="32"/>
      <c r="AI1467" s="32"/>
      <c r="AJ1467" s="32"/>
      <c r="AK1467" s="32"/>
      <c r="AL1467" s="31"/>
      <c r="AM1467" s="32"/>
      <c r="AN1467" s="32"/>
      <c r="AO1467" s="32"/>
      <c r="AP1467" s="32"/>
      <c r="AQ1467" s="31"/>
      <c r="AR1467" s="32"/>
      <c r="AS1467" s="32"/>
      <c r="AT1467" s="32"/>
      <c r="AU1467" s="32"/>
      <c r="AV1467" s="31"/>
      <c r="AW1467" s="32"/>
      <c r="AX1467" s="32"/>
      <c r="AY1467" s="32"/>
      <c r="AZ1467" s="32"/>
      <c r="BA1467" s="33"/>
      <c r="BB1467" s="32"/>
      <c r="BC1467" s="32"/>
      <c r="BD1467" s="32"/>
      <c r="BE1467" s="32"/>
      <c r="BF1467" s="33"/>
      <c r="BG1467" s="32"/>
      <c r="BH1467" s="32"/>
      <c r="BI1467" s="32"/>
      <c r="BJ1467" s="32"/>
      <c r="BK1467" s="33"/>
      <c r="BL1467" s="32"/>
      <c r="BM1467" s="32"/>
      <c r="BN1467" s="32"/>
      <c r="BO1467" s="32"/>
      <c r="BP1467" s="33"/>
      <c r="BQ1467" s="16"/>
      <c r="BR1467" s="16"/>
      <c r="BS1467" s="16"/>
      <c r="BT1467" s="16"/>
      <c r="BU1467" s="21"/>
      <c r="BV1467" s="16"/>
      <c r="BW1467" s="16"/>
      <c r="BX1467" s="16"/>
      <c r="BY1467" s="16"/>
      <c r="BZ1467" s="10"/>
      <c r="CA1467" s="16"/>
      <c r="CB1467" s="16"/>
      <c r="CC1467" s="16"/>
      <c r="CD1467" s="16"/>
      <c r="CE1467" s="10"/>
      <c r="CF1467" s="16"/>
      <c r="CG1467" s="16"/>
      <c r="CH1467" s="16"/>
      <c r="CI1467" s="16"/>
      <c r="CJ1467" s="10"/>
      <c r="CK1467" s="16"/>
      <c r="CL1467" s="16"/>
      <c r="CM1467" s="16"/>
      <c r="CN1467" s="16"/>
      <c r="CO1467" s="10"/>
      <c r="CP1467" s="16"/>
      <c r="CQ1467" s="16"/>
      <c r="CR1467" s="16"/>
      <c r="CS1467" s="16"/>
      <c r="CT1467" s="10"/>
      <c r="CU1467" s="16"/>
      <c r="CV1467" s="16"/>
      <c r="CW1467" s="16"/>
      <c r="CX1467" s="16"/>
      <c r="CY1467" s="10"/>
      <c r="CZ1467" s="16"/>
      <c r="DA1467" s="16"/>
      <c r="DB1467" s="16"/>
      <c r="DC1467" s="16"/>
      <c r="DD1467" s="10"/>
      <c r="DE1467" s="16"/>
      <c r="DF1467" s="16"/>
      <c r="DG1467" s="16"/>
      <c r="DH1467" s="16"/>
      <c r="DI1467" s="10"/>
      <c r="DJ1467" s="16"/>
      <c r="DK1467" s="16"/>
      <c r="DL1467" s="16"/>
      <c r="DM1467" s="16"/>
      <c r="DN1467" s="10"/>
      <c r="DO1467" s="16"/>
      <c r="DP1467" s="16"/>
      <c r="DQ1467" s="16"/>
      <c r="DR1467" s="16"/>
      <c r="DS1467" s="10"/>
      <c r="DT1467" s="16"/>
      <c r="DU1467" s="16"/>
      <c r="DV1467" s="16"/>
      <c r="DW1467" s="16"/>
      <c r="DX1467" s="10"/>
      <c r="DY1467" s="16"/>
      <c r="DZ1467" s="16"/>
      <c r="EA1467" s="16"/>
      <c r="EB1467" s="16"/>
      <c r="EC1467" s="10"/>
      <c r="ED1467" s="16"/>
      <c r="EE1467" s="16"/>
      <c r="EF1467" s="16"/>
      <c r="EG1467" s="16"/>
      <c r="EH1467" s="10"/>
      <c r="EI1467" s="214"/>
      <c r="EJ1467" s="16"/>
      <c r="EK1467" s="16"/>
      <c r="EL1467" s="16"/>
      <c r="EM1467" s="10"/>
      <c r="EN1467" s="16"/>
      <c r="EO1467" s="16"/>
      <c r="EP1467" s="16"/>
      <c r="EQ1467" s="16"/>
      <c r="ER1467" s="10"/>
      <c r="ES1467" s="16"/>
      <c r="ET1467" s="16"/>
      <c r="EU1467" s="16"/>
      <c r="EV1467" s="16"/>
      <c r="EW1467" s="10"/>
      <c r="EX1467" s="16"/>
      <c r="EY1467" s="16"/>
      <c r="EZ1467" s="16"/>
      <c r="FA1467" s="16"/>
      <c r="FB1467" s="10"/>
      <c r="FC1467" s="16"/>
      <c r="FD1467" s="16"/>
      <c r="FE1467" s="16"/>
      <c r="FF1467" s="16"/>
      <c r="FG1467" s="10"/>
      <c r="FH1467" s="21"/>
      <c r="FI1467" s="16"/>
      <c r="FJ1467" s="16"/>
      <c r="FK1467" s="16"/>
      <c r="FL1467" s="16"/>
    </row>
    <row r="1468" ht="12.75" customHeight="1">
      <c r="A1468" s="16"/>
      <c r="B1468" s="16"/>
      <c r="C1468" s="16"/>
      <c r="D1468" s="16"/>
      <c r="E1468" s="16"/>
      <c r="F1468" s="16"/>
      <c r="G1468" s="16"/>
      <c r="H1468" s="31"/>
      <c r="I1468" s="32"/>
      <c r="J1468" s="32"/>
      <c r="K1468" s="32"/>
      <c r="L1468" s="32"/>
      <c r="M1468" s="31"/>
      <c r="N1468" s="32"/>
      <c r="O1468" s="32"/>
      <c r="P1468" s="32"/>
      <c r="Q1468" s="32"/>
      <c r="R1468" s="33"/>
      <c r="S1468" s="32"/>
      <c r="T1468" s="32"/>
      <c r="U1468" s="32"/>
      <c r="V1468" s="32"/>
      <c r="W1468" s="33"/>
      <c r="X1468" s="32"/>
      <c r="Y1468" s="32"/>
      <c r="Z1468" s="32"/>
      <c r="AA1468" s="32"/>
      <c r="AB1468" s="31"/>
      <c r="AC1468" s="32"/>
      <c r="AD1468" s="32"/>
      <c r="AE1468" s="32"/>
      <c r="AF1468" s="32"/>
      <c r="AG1468" s="31"/>
      <c r="AH1468" s="32"/>
      <c r="AI1468" s="32"/>
      <c r="AJ1468" s="32"/>
      <c r="AK1468" s="32"/>
      <c r="AL1468" s="31"/>
      <c r="AM1468" s="32"/>
      <c r="AN1468" s="32"/>
      <c r="AO1468" s="32"/>
      <c r="AP1468" s="32"/>
      <c r="AQ1468" s="31"/>
      <c r="AR1468" s="32"/>
      <c r="AS1468" s="32"/>
      <c r="AT1468" s="32"/>
      <c r="AU1468" s="32"/>
      <c r="AV1468" s="31"/>
      <c r="AW1468" s="32"/>
      <c r="AX1468" s="32"/>
      <c r="AY1468" s="32"/>
      <c r="AZ1468" s="32"/>
      <c r="BA1468" s="33"/>
      <c r="BB1468" s="32"/>
      <c r="BC1468" s="32"/>
      <c r="BD1468" s="32"/>
      <c r="BE1468" s="32"/>
      <c r="BF1468" s="33"/>
      <c r="BG1468" s="32"/>
      <c r="BH1468" s="32"/>
      <c r="BI1468" s="32"/>
      <c r="BJ1468" s="32"/>
      <c r="BK1468" s="33"/>
      <c r="BL1468" s="32"/>
      <c r="BM1468" s="32"/>
      <c r="BN1468" s="32"/>
      <c r="BO1468" s="32"/>
      <c r="BP1468" s="33"/>
      <c r="BQ1468" s="16"/>
      <c r="BR1468" s="16"/>
      <c r="BS1468" s="16"/>
      <c r="BT1468" s="16"/>
      <c r="BU1468" s="21"/>
      <c r="BV1468" s="16"/>
      <c r="BW1468" s="16"/>
      <c r="BX1468" s="16"/>
      <c r="BY1468" s="16"/>
      <c r="BZ1468" s="10"/>
      <c r="CA1468" s="16"/>
      <c r="CB1468" s="16"/>
      <c r="CC1468" s="16"/>
      <c r="CD1468" s="16"/>
      <c r="CE1468" s="10"/>
      <c r="CF1468" s="16"/>
      <c r="CG1468" s="16"/>
      <c r="CH1468" s="16"/>
      <c r="CI1468" s="16"/>
      <c r="CJ1468" s="10"/>
      <c r="CK1468" s="16"/>
      <c r="CL1468" s="16"/>
      <c r="CM1468" s="16"/>
      <c r="CN1468" s="16"/>
      <c r="CO1468" s="10"/>
      <c r="CP1468" s="16"/>
      <c r="CQ1468" s="16"/>
      <c r="CR1468" s="16"/>
      <c r="CS1468" s="16"/>
      <c r="CT1468" s="10"/>
      <c r="CU1468" s="16"/>
      <c r="CV1468" s="16"/>
      <c r="CW1468" s="16"/>
      <c r="CX1468" s="16"/>
      <c r="CY1468" s="10"/>
      <c r="CZ1468" s="16"/>
      <c r="DA1468" s="16"/>
      <c r="DB1468" s="16"/>
      <c r="DC1468" s="16"/>
      <c r="DD1468" s="10"/>
      <c r="DE1468" s="16"/>
      <c r="DF1468" s="16"/>
      <c r="DG1468" s="16"/>
      <c r="DH1468" s="16"/>
      <c r="DI1468" s="10"/>
      <c r="DJ1468" s="16"/>
      <c r="DK1468" s="16"/>
      <c r="DL1468" s="16"/>
      <c r="DM1468" s="16"/>
      <c r="DN1468" s="10"/>
      <c r="DO1468" s="16"/>
      <c r="DP1468" s="16"/>
      <c r="DQ1468" s="16"/>
      <c r="DR1468" s="16"/>
      <c r="DS1468" s="10"/>
      <c r="DT1468" s="16"/>
      <c r="DU1468" s="16"/>
      <c r="DV1468" s="16"/>
      <c r="DW1468" s="16"/>
      <c r="DX1468" s="10"/>
      <c r="DY1468" s="16"/>
      <c r="DZ1468" s="16"/>
      <c r="EA1468" s="16"/>
      <c r="EB1468" s="16"/>
      <c r="EC1468" s="10"/>
      <c r="ED1468" s="16"/>
      <c r="EE1468" s="16"/>
      <c r="EF1468" s="16"/>
      <c r="EG1468" s="16"/>
      <c r="EH1468" s="10"/>
      <c r="EI1468" s="214"/>
      <c r="EJ1468" s="16"/>
      <c r="EK1468" s="16"/>
      <c r="EL1468" s="16"/>
      <c r="EM1468" s="10"/>
      <c r="EN1468" s="16"/>
      <c r="EO1468" s="16"/>
      <c r="EP1468" s="16"/>
      <c r="EQ1468" s="16"/>
      <c r="ER1468" s="10"/>
      <c r="ES1468" s="16"/>
      <c r="ET1468" s="16"/>
      <c r="EU1468" s="16"/>
      <c r="EV1468" s="16"/>
      <c r="EW1468" s="10"/>
      <c r="EX1468" s="16"/>
      <c r="EY1468" s="16"/>
      <c r="EZ1468" s="16"/>
      <c r="FA1468" s="16"/>
      <c r="FB1468" s="10"/>
      <c r="FC1468" s="16"/>
      <c r="FD1468" s="16"/>
      <c r="FE1468" s="16"/>
      <c r="FF1468" s="16"/>
      <c r="FG1468" s="10"/>
      <c r="FH1468" s="21"/>
      <c r="FI1468" s="16"/>
      <c r="FJ1468" s="16"/>
      <c r="FK1468" s="16"/>
      <c r="FL1468" s="16"/>
    </row>
    <row r="1469" ht="12.75" customHeight="1">
      <c r="A1469" s="16"/>
      <c r="B1469" s="16"/>
      <c r="C1469" s="16"/>
      <c r="D1469" s="16"/>
      <c r="E1469" s="16"/>
      <c r="F1469" s="16"/>
      <c r="G1469" s="16"/>
      <c r="H1469" s="31"/>
      <c r="I1469" s="32"/>
      <c r="J1469" s="32"/>
      <c r="K1469" s="32"/>
      <c r="L1469" s="32"/>
      <c r="M1469" s="31"/>
      <c r="N1469" s="32"/>
      <c r="O1469" s="32"/>
      <c r="P1469" s="32"/>
      <c r="Q1469" s="32"/>
      <c r="R1469" s="33"/>
      <c r="S1469" s="32"/>
      <c r="T1469" s="32"/>
      <c r="U1469" s="32"/>
      <c r="V1469" s="32"/>
      <c r="W1469" s="33"/>
      <c r="X1469" s="32"/>
      <c r="Y1469" s="32"/>
      <c r="Z1469" s="32"/>
      <c r="AA1469" s="32"/>
      <c r="AB1469" s="31"/>
      <c r="AC1469" s="32"/>
      <c r="AD1469" s="32"/>
      <c r="AE1469" s="32"/>
      <c r="AF1469" s="32"/>
      <c r="AG1469" s="31"/>
      <c r="AH1469" s="32"/>
      <c r="AI1469" s="32"/>
      <c r="AJ1469" s="32"/>
      <c r="AK1469" s="32"/>
      <c r="AL1469" s="31"/>
      <c r="AM1469" s="32"/>
      <c r="AN1469" s="32"/>
      <c r="AO1469" s="32"/>
      <c r="AP1469" s="32"/>
      <c r="AQ1469" s="31"/>
      <c r="AR1469" s="32"/>
      <c r="AS1469" s="32"/>
      <c r="AT1469" s="32"/>
      <c r="AU1469" s="32"/>
      <c r="AV1469" s="31"/>
      <c r="AW1469" s="32"/>
      <c r="AX1469" s="32"/>
      <c r="AY1469" s="32"/>
      <c r="AZ1469" s="32"/>
      <c r="BA1469" s="33"/>
      <c r="BB1469" s="32"/>
      <c r="BC1469" s="32"/>
      <c r="BD1469" s="32"/>
      <c r="BE1469" s="32"/>
      <c r="BF1469" s="33"/>
      <c r="BG1469" s="32"/>
      <c r="BH1469" s="32"/>
      <c r="BI1469" s="32"/>
      <c r="BJ1469" s="32"/>
      <c r="BK1469" s="33"/>
      <c r="BL1469" s="32"/>
      <c r="BM1469" s="32"/>
      <c r="BN1469" s="32"/>
      <c r="BO1469" s="32"/>
      <c r="BP1469" s="33"/>
      <c r="BQ1469" s="16"/>
      <c r="BR1469" s="16"/>
      <c r="BS1469" s="16"/>
      <c r="BT1469" s="16"/>
      <c r="BU1469" s="21"/>
      <c r="BV1469" s="16"/>
      <c r="BW1469" s="16"/>
      <c r="BX1469" s="16"/>
      <c r="BY1469" s="16"/>
      <c r="BZ1469" s="10"/>
      <c r="CA1469" s="16"/>
      <c r="CB1469" s="16"/>
      <c r="CC1469" s="16"/>
      <c r="CD1469" s="16"/>
      <c r="CE1469" s="10"/>
      <c r="CF1469" s="16"/>
      <c r="CG1469" s="16"/>
      <c r="CH1469" s="16"/>
      <c r="CI1469" s="16"/>
      <c r="CJ1469" s="10"/>
      <c r="CK1469" s="16"/>
      <c r="CL1469" s="16"/>
      <c r="CM1469" s="16"/>
      <c r="CN1469" s="16"/>
      <c r="CO1469" s="10"/>
      <c r="CP1469" s="16"/>
      <c r="CQ1469" s="16"/>
      <c r="CR1469" s="16"/>
      <c r="CS1469" s="16"/>
      <c r="CT1469" s="10"/>
      <c r="CU1469" s="16"/>
      <c r="CV1469" s="16"/>
      <c r="CW1469" s="16"/>
      <c r="CX1469" s="16"/>
      <c r="CY1469" s="10"/>
      <c r="CZ1469" s="16"/>
      <c r="DA1469" s="16"/>
      <c r="DB1469" s="16"/>
      <c r="DC1469" s="16"/>
      <c r="DD1469" s="10"/>
      <c r="DE1469" s="16"/>
      <c r="DF1469" s="16"/>
      <c r="DG1469" s="16"/>
      <c r="DH1469" s="16"/>
      <c r="DI1469" s="10"/>
      <c r="DJ1469" s="16"/>
      <c r="DK1469" s="16"/>
      <c r="DL1469" s="16"/>
      <c r="DM1469" s="16"/>
      <c r="DN1469" s="10"/>
      <c r="DO1469" s="16"/>
      <c r="DP1469" s="16"/>
      <c r="DQ1469" s="16"/>
      <c r="DR1469" s="16"/>
      <c r="DS1469" s="10"/>
      <c r="DT1469" s="16"/>
      <c r="DU1469" s="16"/>
      <c r="DV1469" s="16"/>
      <c r="DW1469" s="16"/>
      <c r="DX1469" s="10"/>
      <c r="DY1469" s="16"/>
      <c r="DZ1469" s="16"/>
      <c r="EA1469" s="16"/>
      <c r="EB1469" s="16"/>
      <c r="EC1469" s="10"/>
      <c r="ED1469" s="16"/>
      <c r="EE1469" s="16"/>
      <c r="EF1469" s="16"/>
      <c r="EG1469" s="16"/>
      <c r="EH1469" s="10"/>
      <c r="EI1469" s="214"/>
      <c r="EJ1469" s="16"/>
      <c r="EK1469" s="16"/>
      <c r="EL1469" s="16"/>
      <c r="EM1469" s="10"/>
      <c r="EN1469" s="16"/>
      <c r="EO1469" s="16"/>
      <c r="EP1469" s="16"/>
      <c r="EQ1469" s="16"/>
      <c r="ER1469" s="10"/>
      <c r="ES1469" s="16"/>
      <c r="ET1469" s="16"/>
      <c r="EU1469" s="16"/>
      <c r="EV1469" s="16"/>
      <c r="EW1469" s="10"/>
      <c r="EX1469" s="16"/>
      <c r="EY1469" s="16"/>
      <c r="EZ1469" s="16"/>
      <c r="FA1469" s="16"/>
      <c r="FB1469" s="10"/>
      <c r="FC1469" s="16"/>
      <c r="FD1469" s="16"/>
      <c r="FE1469" s="16"/>
      <c r="FF1469" s="16"/>
      <c r="FG1469" s="10"/>
      <c r="FH1469" s="21"/>
      <c r="FI1469" s="16"/>
      <c r="FJ1469" s="16"/>
      <c r="FK1469" s="16"/>
      <c r="FL1469" s="16"/>
    </row>
    <row r="1470" ht="12.75" customHeight="1">
      <c r="A1470" s="16"/>
      <c r="B1470" s="16"/>
      <c r="C1470" s="16"/>
      <c r="D1470" s="16"/>
      <c r="E1470" s="16"/>
      <c r="F1470" s="16"/>
      <c r="G1470" s="16"/>
      <c r="H1470" s="31"/>
      <c r="I1470" s="32"/>
      <c r="J1470" s="32"/>
      <c r="K1470" s="32"/>
      <c r="L1470" s="32"/>
      <c r="M1470" s="31"/>
      <c r="N1470" s="32"/>
      <c r="O1470" s="32"/>
      <c r="P1470" s="32"/>
      <c r="Q1470" s="32"/>
      <c r="R1470" s="33"/>
      <c r="S1470" s="32"/>
      <c r="T1470" s="32"/>
      <c r="U1470" s="32"/>
      <c r="V1470" s="32"/>
      <c r="W1470" s="33"/>
      <c r="X1470" s="32"/>
      <c r="Y1470" s="32"/>
      <c r="Z1470" s="32"/>
      <c r="AA1470" s="32"/>
      <c r="AB1470" s="31"/>
      <c r="AC1470" s="32"/>
      <c r="AD1470" s="32"/>
      <c r="AE1470" s="32"/>
      <c r="AF1470" s="32"/>
      <c r="AG1470" s="31"/>
      <c r="AH1470" s="32"/>
      <c r="AI1470" s="32"/>
      <c r="AJ1470" s="32"/>
      <c r="AK1470" s="32"/>
      <c r="AL1470" s="31"/>
      <c r="AM1470" s="32"/>
      <c r="AN1470" s="32"/>
      <c r="AO1470" s="32"/>
      <c r="AP1470" s="32"/>
      <c r="AQ1470" s="31"/>
      <c r="AR1470" s="32"/>
      <c r="AS1470" s="32"/>
      <c r="AT1470" s="32"/>
      <c r="AU1470" s="32"/>
      <c r="AV1470" s="31"/>
      <c r="AW1470" s="32"/>
      <c r="AX1470" s="32"/>
      <c r="AY1470" s="32"/>
      <c r="AZ1470" s="32"/>
      <c r="BA1470" s="33"/>
      <c r="BB1470" s="32"/>
      <c r="BC1470" s="32"/>
      <c r="BD1470" s="32"/>
      <c r="BE1470" s="32"/>
      <c r="BF1470" s="33"/>
      <c r="BG1470" s="32"/>
      <c r="BH1470" s="32"/>
      <c r="BI1470" s="32"/>
      <c r="BJ1470" s="32"/>
      <c r="BK1470" s="33"/>
      <c r="BL1470" s="32"/>
      <c r="BM1470" s="32"/>
      <c r="BN1470" s="32"/>
      <c r="BO1470" s="32"/>
      <c r="BP1470" s="33"/>
      <c r="BQ1470" s="16"/>
      <c r="BR1470" s="16"/>
      <c r="BS1470" s="16"/>
      <c r="BT1470" s="16"/>
      <c r="BU1470" s="21"/>
      <c r="BV1470" s="16"/>
      <c r="BW1470" s="16"/>
      <c r="BX1470" s="16"/>
      <c r="BY1470" s="16"/>
      <c r="BZ1470" s="10"/>
      <c r="CA1470" s="16"/>
      <c r="CB1470" s="16"/>
      <c r="CC1470" s="16"/>
      <c r="CD1470" s="16"/>
      <c r="CE1470" s="10"/>
      <c r="CF1470" s="16"/>
      <c r="CG1470" s="16"/>
      <c r="CH1470" s="16"/>
      <c r="CI1470" s="16"/>
      <c r="CJ1470" s="10"/>
      <c r="CK1470" s="16"/>
      <c r="CL1470" s="16"/>
      <c r="CM1470" s="16"/>
      <c r="CN1470" s="16"/>
      <c r="CO1470" s="10"/>
      <c r="CP1470" s="16"/>
      <c r="CQ1470" s="16"/>
      <c r="CR1470" s="16"/>
      <c r="CS1470" s="16"/>
      <c r="CT1470" s="10"/>
      <c r="CU1470" s="16"/>
      <c r="CV1470" s="16"/>
      <c r="CW1470" s="16"/>
      <c r="CX1470" s="16"/>
      <c r="CY1470" s="10"/>
      <c r="CZ1470" s="16"/>
      <c r="DA1470" s="16"/>
      <c r="DB1470" s="16"/>
      <c r="DC1470" s="16"/>
      <c r="DD1470" s="10"/>
      <c r="DE1470" s="16"/>
      <c r="DF1470" s="16"/>
      <c r="DG1470" s="16"/>
      <c r="DH1470" s="16"/>
      <c r="DI1470" s="10"/>
      <c r="DJ1470" s="16"/>
      <c r="DK1470" s="16"/>
      <c r="DL1470" s="16"/>
      <c r="DM1470" s="16"/>
      <c r="DN1470" s="10"/>
      <c r="DO1470" s="16"/>
      <c r="DP1470" s="16"/>
      <c r="DQ1470" s="16"/>
      <c r="DR1470" s="16"/>
      <c r="DS1470" s="10"/>
      <c r="DT1470" s="16"/>
      <c r="DU1470" s="16"/>
      <c r="DV1470" s="16"/>
      <c r="DW1470" s="16"/>
      <c r="DX1470" s="10"/>
      <c r="DY1470" s="16"/>
      <c r="DZ1470" s="16"/>
      <c r="EA1470" s="16"/>
      <c r="EB1470" s="16"/>
      <c r="EC1470" s="10"/>
      <c r="ED1470" s="16"/>
      <c r="EE1470" s="16"/>
      <c r="EF1470" s="16"/>
      <c r="EG1470" s="16"/>
      <c r="EH1470" s="10"/>
      <c r="EI1470" s="214"/>
      <c r="EJ1470" s="16"/>
      <c r="EK1470" s="16"/>
      <c r="EL1470" s="16"/>
      <c r="EM1470" s="10"/>
      <c r="EN1470" s="16"/>
      <c r="EO1470" s="16"/>
      <c r="EP1470" s="16"/>
      <c r="EQ1470" s="16"/>
      <c r="ER1470" s="10"/>
      <c r="ES1470" s="16"/>
      <c r="ET1470" s="16"/>
      <c r="EU1470" s="16"/>
      <c r="EV1470" s="16"/>
      <c r="EW1470" s="10"/>
      <c r="EX1470" s="16"/>
      <c r="EY1470" s="16"/>
      <c r="EZ1470" s="16"/>
      <c r="FA1470" s="16"/>
      <c r="FB1470" s="10"/>
      <c r="FC1470" s="16"/>
      <c r="FD1470" s="16"/>
      <c r="FE1470" s="16"/>
      <c r="FF1470" s="16"/>
      <c r="FG1470" s="10"/>
      <c r="FH1470" s="21"/>
      <c r="FI1470" s="16"/>
      <c r="FJ1470" s="16"/>
      <c r="FK1470" s="16"/>
      <c r="FL1470" s="16"/>
    </row>
    <row r="1471" ht="12.75" customHeight="1">
      <c r="A1471" s="16"/>
      <c r="B1471" s="16"/>
      <c r="C1471" s="16"/>
      <c r="D1471" s="16"/>
      <c r="E1471" s="16"/>
      <c r="F1471" s="16"/>
      <c r="G1471" s="16"/>
      <c r="H1471" s="31"/>
      <c r="I1471" s="32"/>
      <c r="J1471" s="32"/>
      <c r="K1471" s="32"/>
      <c r="L1471" s="32"/>
      <c r="M1471" s="31"/>
      <c r="N1471" s="32"/>
      <c r="O1471" s="32"/>
      <c r="P1471" s="32"/>
      <c r="Q1471" s="32"/>
      <c r="R1471" s="33"/>
      <c r="S1471" s="32"/>
      <c r="T1471" s="32"/>
      <c r="U1471" s="32"/>
      <c r="V1471" s="32"/>
      <c r="W1471" s="33"/>
      <c r="X1471" s="32"/>
      <c r="Y1471" s="32"/>
      <c r="Z1471" s="32"/>
      <c r="AA1471" s="32"/>
      <c r="AB1471" s="31"/>
      <c r="AC1471" s="32"/>
      <c r="AD1471" s="32"/>
      <c r="AE1471" s="32"/>
      <c r="AF1471" s="32"/>
      <c r="AG1471" s="31"/>
      <c r="AH1471" s="32"/>
      <c r="AI1471" s="32"/>
      <c r="AJ1471" s="32"/>
      <c r="AK1471" s="32"/>
      <c r="AL1471" s="31"/>
      <c r="AM1471" s="32"/>
      <c r="AN1471" s="32"/>
      <c r="AO1471" s="32"/>
      <c r="AP1471" s="32"/>
      <c r="AQ1471" s="31"/>
      <c r="AR1471" s="32"/>
      <c r="AS1471" s="32"/>
      <c r="AT1471" s="32"/>
      <c r="AU1471" s="32"/>
      <c r="AV1471" s="31"/>
      <c r="AW1471" s="32"/>
      <c r="AX1471" s="32"/>
      <c r="AY1471" s="32"/>
      <c r="AZ1471" s="32"/>
      <c r="BA1471" s="33"/>
      <c r="BB1471" s="32"/>
      <c r="BC1471" s="32"/>
      <c r="BD1471" s="32"/>
      <c r="BE1471" s="32"/>
      <c r="BF1471" s="33"/>
      <c r="BG1471" s="32"/>
      <c r="BH1471" s="32"/>
      <c r="BI1471" s="32"/>
      <c r="BJ1471" s="32"/>
      <c r="BK1471" s="33"/>
      <c r="BL1471" s="32"/>
      <c r="BM1471" s="32"/>
      <c r="BN1471" s="32"/>
      <c r="BO1471" s="32"/>
      <c r="BP1471" s="33"/>
      <c r="BQ1471" s="16"/>
      <c r="BR1471" s="16"/>
      <c r="BS1471" s="16"/>
      <c r="BT1471" s="16"/>
      <c r="BU1471" s="21"/>
      <c r="BV1471" s="16"/>
      <c r="BW1471" s="16"/>
      <c r="BX1471" s="16"/>
      <c r="BY1471" s="16"/>
      <c r="BZ1471" s="10"/>
      <c r="CA1471" s="16"/>
      <c r="CB1471" s="16"/>
      <c r="CC1471" s="16"/>
      <c r="CD1471" s="16"/>
      <c r="CE1471" s="10"/>
      <c r="CF1471" s="16"/>
      <c r="CG1471" s="16"/>
      <c r="CH1471" s="16"/>
      <c r="CI1471" s="16"/>
      <c r="CJ1471" s="10"/>
      <c r="CK1471" s="16"/>
      <c r="CL1471" s="16"/>
      <c r="CM1471" s="16"/>
      <c r="CN1471" s="16"/>
      <c r="CO1471" s="10"/>
      <c r="CP1471" s="16"/>
      <c r="CQ1471" s="16"/>
      <c r="CR1471" s="16"/>
      <c r="CS1471" s="16"/>
      <c r="CT1471" s="10"/>
      <c r="CU1471" s="16"/>
      <c r="CV1471" s="16"/>
      <c r="CW1471" s="16"/>
      <c r="CX1471" s="16"/>
      <c r="CY1471" s="10"/>
      <c r="CZ1471" s="16"/>
      <c r="DA1471" s="16"/>
      <c r="DB1471" s="16"/>
      <c r="DC1471" s="16"/>
      <c r="DD1471" s="10"/>
      <c r="DE1471" s="16"/>
      <c r="DF1471" s="16"/>
      <c r="DG1471" s="16"/>
      <c r="DH1471" s="16"/>
      <c r="DI1471" s="10"/>
      <c r="DJ1471" s="16"/>
      <c r="DK1471" s="16"/>
      <c r="DL1471" s="16"/>
      <c r="DM1471" s="16"/>
      <c r="DN1471" s="10"/>
      <c r="DO1471" s="16"/>
      <c r="DP1471" s="16"/>
      <c r="DQ1471" s="16"/>
      <c r="DR1471" s="16"/>
      <c r="DS1471" s="10"/>
      <c r="DT1471" s="16"/>
      <c r="DU1471" s="16"/>
      <c r="DV1471" s="16"/>
      <c r="DW1471" s="16"/>
      <c r="DX1471" s="10"/>
      <c r="DY1471" s="16"/>
      <c r="DZ1471" s="16"/>
      <c r="EA1471" s="16"/>
      <c r="EB1471" s="16"/>
      <c r="EC1471" s="10"/>
      <c r="ED1471" s="16"/>
      <c r="EE1471" s="16"/>
      <c r="EF1471" s="16"/>
      <c r="EG1471" s="16"/>
      <c r="EH1471" s="10"/>
      <c r="EI1471" s="214"/>
      <c r="EJ1471" s="16"/>
      <c r="EK1471" s="16"/>
      <c r="EL1471" s="16"/>
      <c r="EM1471" s="10"/>
      <c r="EN1471" s="16"/>
      <c r="EO1471" s="16"/>
      <c r="EP1471" s="16"/>
      <c r="EQ1471" s="16"/>
      <c r="ER1471" s="10"/>
      <c r="ES1471" s="16"/>
      <c r="ET1471" s="16"/>
      <c r="EU1471" s="16"/>
      <c r="EV1471" s="16"/>
      <c r="EW1471" s="10"/>
      <c r="EX1471" s="16"/>
      <c r="EY1471" s="16"/>
      <c r="EZ1471" s="16"/>
      <c r="FA1471" s="16"/>
      <c r="FB1471" s="10"/>
      <c r="FC1471" s="16"/>
      <c r="FD1471" s="16"/>
      <c r="FE1471" s="16"/>
      <c r="FF1471" s="16"/>
      <c r="FG1471" s="10"/>
      <c r="FH1471" s="21"/>
      <c r="FI1471" s="16"/>
      <c r="FJ1471" s="16"/>
      <c r="FK1471" s="16"/>
      <c r="FL1471" s="16"/>
    </row>
    <row r="1472" ht="12.75" customHeight="1">
      <c r="A1472" s="16"/>
      <c r="B1472" s="16"/>
      <c r="C1472" s="16"/>
      <c r="D1472" s="16"/>
      <c r="E1472" s="16"/>
      <c r="F1472" s="16"/>
      <c r="G1472" s="16"/>
      <c r="H1472" s="31"/>
      <c r="I1472" s="32"/>
      <c r="J1472" s="32"/>
      <c r="K1472" s="32"/>
      <c r="L1472" s="32"/>
      <c r="M1472" s="31"/>
      <c r="N1472" s="32"/>
      <c r="O1472" s="32"/>
      <c r="P1472" s="32"/>
      <c r="Q1472" s="32"/>
      <c r="R1472" s="33"/>
      <c r="S1472" s="32"/>
      <c r="T1472" s="32"/>
      <c r="U1472" s="32"/>
      <c r="V1472" s="32"/>
      <c r="W1472" s="33"/>
      <c r="X1472" s="32"/>
      <c r="Y1472" s="32"/>
      <c r="Z1472" s="32"/>
      <c r="AA1472" s="32"/>
      <c r="AB1472" s="31"/>
      <c r="AC1472" s="32"/>
      <c r="AD1472" s="32"/>
      <c r="AE1472" s="32"/>
      <c r="AF1472" s="32"/>
      <c r="AG1472" s="31"/>
      <c r="AH1472" s="32"/>
      <c r="AI1472" s="32"/>
      <c r="AJ1472" s="32"/>
      <c r="AK1472" s="32"/>
      <c r="AL1472" s="31"/>
      <c r="AM1472" s="32"/>
      <c r="AN1472" s="32"/>
      <c r="AO1472" s="32"/>
      <c r="AP1472" s="32"/>
      <c r="AQ1472" s="31"/>
      <c r="AR1472" s="32"/>
      <c r="AS1472" s="32"/>
      <c r="AT1472" s="32"/>
      <c r="AU1472" s="32"/>
      <c r="AV1472" s="31"/>
      <c r="AW1472" s="32"/>
      <c r="AX1472" s="32"/>
      <c r="AY1472" s="32"/>
      <c r="AZ1472" s="32"/>
      <c r="BA1472" s="33"/>
      <c r="BB1472" s="32"/>
      <c r="BC1472" s="32"/>
      <c r="BD1472" s="32"/>
      <c r="BE1472" s="32"/>
      <c r="BF1472" s="33"/>
      <c r="BG1472" s="32"/>
      <c r="BH1472" s="32"/>
      <c r="BI1472" s="32"/>
      <c r="BJ1472" s="32"/>
      <c r="BK1472" s="33"/>
      <c r="BL1472" s="32"/>
      <c r="BM1472" s="32"/>
      <c r="BN1472" s="32"/>
      <c r="BO1472" s="32"/>
      <c r="BP1472" s="33"/>
      <c r="BQ1472" s="16"/>
      <c r="BR1472" s="16"/>
      <c r="BS1472" s="16"/>
      <c r="BT1472" s="16"/>
      <c r="BU1472" s="21"/>
      <c r="BV1472" s="16"/>
      <c r="BW1472" s="16"/>
      <c r="BX1472" s="16"/>
      <c r="BY1472" s="16"/>
      <c r="BZ1472" s="10"/>
      <c r="CA1472" s="16"/>
      <c r="CB1472" s="16"/>
      <c r="CC1472" s="16"/>
      <c r="CD1472" s="16"/>
      <c r="CE1472" s="10"/>
      <c r="CF1472" s="16"/>
      <c r="CG1472" s="16"/>
      <c r="CH1472" s="16"/>
      <c r="CI1472" s="16"/>
      <c r="CJ1472" s="10"/>
      <c r="CK1472" s="16"/>
      <c r="CL1472" s="16"/>
      <c r="CM1472" s="16"/>
      <c r="CN1472" s="16"/>
      <c r="CO1472" s="10"/>
      <c r="CP1472" s="16"/>
      <c r="CQ1472" s="16"/>
      <c r="CR1472" s="16"/>
      <c r="CS1472" s="16"/>
      <c r="CT1472" s="10"/>
      <c r="CU1472" s="16"/>
      <c r="CV1472" s="16"/>
      <c r="CW1472" s="16"/>
      <c r="CX1472" s="16"/>
      <c r="CY1472" s="10"/>
      <c r="CZ1472" s="16"/>
      <c r="DA1472" s="16"/>
      <c r="DB1472" s="16"/>
      <c r="DC1472" s="16"/>
      <c r="DD1472" s="10"/>
      <c r="DE1472" s="16"/>
      <c r="DF1472" s="16"/>
      <c r="DG1472" s="16"/>
      <c r="DH1472" s="16"/>
      <c r="DI1472" s="10"/>
      <c r="DJ1472" s="16"/>
      <c r="DK1472" s="16"/>
      <c r="DL1472" s="16"/>
      <c r="DM1472" s="16"/>
      <c r="DN1472" s="10"/>
      <c r="DO1472" s="16"/>
      <c r="DP1472" s="16"/>
      <c r="DQ1472" s="16"/>
      <c r="DR1472" s="16"/>
      <c r="DS1472" s="10"/>
      <c r="DT1472" s="16"/>
      <c r="DU1472" s="16"/>
      <c r="DV1472" s="16"/>
      <c r="DW1472" s="16"/>
      <c r="DX1472" s="10"/>
      <c r="DY1472" s="16"/>
      <c r="DZ1472" s="16"/>
      <c r="EA1472" s="16"/>
      <c r="EB1472" s="16"/>
      <c r="EC1472" s="10"/>
      <c r="ED1472" s="16"/>
      <c r="EE1472" s="16"/>
      <c r="EF1472" s="16"/>
      <c r="EG1472" s="16"/>
      <c r="EH1472" s="10"/>
      <c r="EI1472" s="214"/>
      <c r="EJ1472" s="16"/>
      <c r="EK1472" s="16"/>
      <c r="EL1472" s="16"/>
      <c r="EM1472" s="10"/>
      <c r="EN1472" s="16"/>
      <c r="EO1472" s="16"/>
      <c r="EP1472" s="16"/>
      <c r="EQ1472" s="16"/>
      <c r="ER1472" s="10"/>
      <c r="ES1472" s="16"/>
      <c r="ET1472" s="16"/>
      <c r="EU1472" s="16"/>
      <c r="EV1472" s="16"/>
      <c r="EW1472" s="10"/>
      <c r="EX1472" s="16"/>
      <c r="EY1472" s="16"/>
      <c r="EZ1472" s="16"/>
      <c r="FA1472" s="16"/>
      <c r="FB1472" s="10"/>
      <c r="FC1472" s="16"/>
      <c r="FD1472" s="16"/>
      <c r="FE1472" s="16"/>
      <c r="FF1472" s="16"/>
      <c r="FG1472" s="10"/>
      <c r="FH1472" s="21"/>
      <c r="FI1472" s="16"/>
      <c r="FJ1472" s="16"/>
      <c r="FK1472" s="16"/>
      <c r="FL1472" s="16"/>
    </row>
    <row r="1473" ht="12.75" customHeight="1">
      <c r="A1473" s="16"/>
      <c r="B1473" s="16"/>
      <c r="C1473" s="16"/>
      <c r="D1473" s="16"/>
      <c r="E1473" s="16"/>
      <c r="F1473" s="16"/>
      <c r="G1473" s="16"/>
      <c r="H1473" s="31"/>
      <c r="I1473" s="32"/>
      <c r="J1473" s="32"/>
      <c r="K1473" s="32"/>
      <c r="L1473" s="32"/>
      <c r="M1473" s="31"/>
      <c r="N1473" s="32"/>
      <c r="O1473" s="32"/>
      <c r="P1473" s="32"/>
      <c r="Q1473" s="32"/>
      <c r="R1473" s="33"/>
      <c r="S1473" s="32"/>
      <c r="T1473" s="32"/>
      <c r="U1473" s="32"/>
      <c r="V1473" s="32"/>
      <c r="W1473" s="33"/>
      <c r="X1473" s="32"/>
      <c r="Y1473" s="32"/>
      <c r="Z1473" s="32"/>
      <c r="AA1473" s="32"/>
      <c r="AB1473" s="31"/>
      <c r="AC1473" s="32"/>
      <c r="AD1473" s="32"/>
      <c r="AE1473" s="32"/>
      <c r="AF1473" s="32"/>
      <c r="AG1473" s="31"/>
      <c r="AH1473" s="32"/>
      <c r="AI1473" s="32"/>
      <c r="AJ1473" s="32"/>
      <c r="AK1473" s="32"/>
      <c r="AL1473" s="31"/>
      <c r="AM1473" s="32"/>
      <c r="AN1473" s="32"/>
      <c r="AO1473" s="32"/>
      <c r="AP1473" s="32"/>
      <c r="AQ1473" s="31"/>
      <c r="AR1473" s="32"/>
      <c r="AS1473" s="32"/>
      <c r="AT1473" s="32"/>
      <c r="AU1473" s="32"/>
      <c r="AV1473" s="31"/>
      <c r="AW1473" s="32"/>
      <c r="AX1473" s="32"/>
      <c r="AY1473" s="32"/>
      <c r="AZ1473" s="32"/>
      <c r="BA1473" s="33"/>
      <c r="BB1473" s="32"/>
      <c r="BC1473" s="32"/>
      <c r="BD1473" s="32"/>
      <c r="BE1473" s="32"/>
      <c r="BF1473" s="33"/>
      <c r="BG1473" s="32"/>
      <c r="BH1473" s="32"/>
      <c r="BI1473" s="32"/>
      <c r="BJ1473" s="32"/>
      <c r="BK1473" s="33"/>
      <c r="BL1473" s="32"/>
      <c r="BM1473" s="32"/>
      <c r="BN1473" s="32"/>
      <c r="BO1473" s="32"/>
      <c r="BP1473" s="33"/>
      <c r="BQ1473" s="16"/>
      <c r="BR1473" s="16"/>
      <c r="BS1473" s="16"/>
      <c r="BT1473" s="16"/>
      <c r="BU1473" s="21"/>
      <c r="BV1473" s="16"/>
      <c r="BW1473" s="16"/>
      <c r="BX1473" s="16"/>
      <c r="BY1473" s="16"/>
      <c r="BZ1473" s="10"/>
      <c r="CA1473" s="16"/>
      <c r="CB1473" s="16"/>
      <c r="CC1473" s="16"/>
      <c r="CD1473" s="16"/>
      <c r="CE1473" s="10"/>
      <c r="CF1473" s="16"/>
      <c r="CG1473" s="16"/>
      <c r="CH1473" s="16"/>
      <c r="CI1473" s="16"/>
      <c r="CJ1473" s="10"/>
      <c r="CK1473" s="16"/>
      <c r="CL1473" s="16"/>
      <c r="CM1473" s="16"/>
      <c r="CN1473" s="16"/>
      <c r="CO1473" s="10"/>
      <c r="CP1473" s="16"/>
      <c r="CQ1473" s="16"/>
      <c r="CR1473" s="16"/>
      <c r="CS1473" s="16"/>
      <c r="CT1473" s="10"/>
      <c r="CU1473" s="16"/>
      <c r="CV1473" s="16"/>
      <c r="CW1473" s="16"/>
      <c r="CX1473" s="16"/>
      <c r="CY1473" s="10"/>
      <c r="CZ1473" s="16"/>
      <c r="DA1473" s="16"/>
      <c r="DB1473" s="16"/>
      <c r="DC1473" s="16"/>
      <c r="DD1473" s="10"/>
      <c r="DE1473" s="16"/>
      <c r="DF1473" s="16"/>
      <c r="DG1473" s="16"/>
      <c r="DH1473" s="16"/>
      <c r="DI1473" s="10"/>
      <c r="DJ1473" s="16"/>
      <c r="DK1473" s="16"/>
      <c r="DL1473" s="16"/>
      <c r="DM1473" s="16"/>
      <c r="DN1473" s="10"/>
      <c r="DO1473" s="16"/>
      <c r="DP1473" s="16"/>
      <c r="DQ1473" s="16"/>
      <c r="DR1473" s="16"/>
      <c r="DS1473" s="10"/>
      <c r="DT1473" s="16"/>
      <c r="DU1473" s="16"/>
      <c r="DV1473" s="16"/>
      <c r="DW1473" s="16"/>
      <c r="DX1473" s="10"/>
      <c r="DY1473" s="16"/>
      <c r="DZ1473" s="16"/>
      <c r="EA1473" s="16"/>
      <c r="EB1473" s="16"/>
      <c r="EC1473" s="10"/>
      <c r="ED1473" s="16"/>
      <c r="EE1473" s="16"/>
      <c r="EF1473" s="16"/>
      <c r="EG1473" s="16"/>
      <c r="EH1473" s="10"/>
      <c r="EI1473" s="214"/>
      <c r="EJ1473" s="16"/>
      <c r="EK1473" s="16"/>
      <c r="EL1473" s="16"/>
      <c r="EM1473" s="10"/>
      <c r="EN1473" s="16"/>
      <c r="EO1473" s="16"/>
      <c r="EP1473" s="16"/>
      <c r="EQ1473" s="16"/>
      <c r="ER1473" s="10"/>
      <c r="ES1473" s="16"/>
      <c r="ET1473" s="16"/>
      <c r="EU1473" s="16"/>
      <c r="EV1473" s="16"/>
      <c r="EW1473" s="10"/>
      <c r="EX1473" s="16"/>
      <c r="EY1473" s="16"/>
      <c r="EZ1473" s="16"/>
      <c r="FA1473" s="16"/>
      <c r="FB1473" s="10"/>
      <c r="FC1473" s="16"/>
      <c r="FD1473" s="16"/>
      <c r="FE1473" s="16"/>
      <c r="FF1473" s="16"/>
      <c r="FG1473" s="10"/>
      <c r="FH1473" s="21"/>
      <c r="FI1473" s="16"/>
      <c r="FJ1473" s="16"/>
      <c r="FK1473" s="16"/>
      <c r="FL1473" s="16"/>
    </row>
    <row r="1474" ht="12.75" customHeight="1">
      <c r="A1474" s="16"/>
      <c r="B1474" s="16"/>
      <c r="C1474" s="16"/>
      <c r="D1474" s="16"/>
      <c r="E1474" s="16"/>
      <c r="F1474" s="16"/>
      <c r="G1474" s="16"/>
      <c r="H1474" s="31"/>
      <c r="I1474" s="32"/>
      <c r="J1474" s="32"/>
      <c r="K1474" s="32"/>
      <c r="L1474" s="32"/>
      <c r="M1474" s="31"/>
      <c r="N1474" s="32"/>
      <c r="O1474" s="32"/>
      <c r="P1474" s="32"/>
      <c r="Q1474" s="32"/>
      <c r="R1474" s="33"/>
      <c r="S1474" s="32"/>
      <c r="T1474" s="32"/>
      <c r="U1474" s="32"/>
      <c r="V1474" s="32"/>
      <c r="W1474" s="33"/>
      <c r="X1474" s="32"/>
      <c r="Y1474" s="32"/>
      <c r="Z1474" s="32"/>
      <c r="AA1474" s="32"/>
      <c r="AB1474" s="31"/>
      <c r="AC1474" s="32"/>
      <c r="AD1474" s="32"/>
      <c r="AE1474" s="32"/>
      <c r="AF1474" s="32"/>
      <c r="AG1474" s="31"/>
      <c r="AH1474" s="32"/>
      <c r="AI1474" s="32"/>
      <c r="AJ1474" s="32"/>
      <c r="AK1474" s="32"/>
      <c r="AL1474" s="31"/>
      <c r="AM1474" s="32"/>
      <c r="AN1474" s="32"/>
      <c r="AO1474" s="32"/>
      <c r="AP1474" s="32"/>
      <c r="AQ1474" s="31"/>
      <c r="AR1474" s="32"/>
      <c r="AS1474" s="32"/>
      <c r="AT1474" s="32"/>
      <c r="AU1474" s="32"/>
      <c r="AV1474" s="31"/>
      <c r="AW1474" s="32"/>
      <c r="AX1474" s="32"/>
      <c r="AY1474" s="32"/>
      <c r="AZ1474" s="32"/>
      <c r="BA1474" s="33"/>
      <c r="BB1474" s="32"/>
      <c r="BC1474" s="32"/>
      <c r="BD1474" s="32"/>
      <c r="BE1474" s="32"/>
      <c r="BF1474" s="33"/>
      <c r="BG1474" s="32"/>
      <c r="BH1474" s="32"/>
      <c r="BI1474" s="32"/>
      <c r="BJ1474" s="32"/>
      <c r="BK1474" s="33"/>
      <c r="BL1474" s="32"/>
      <c r="BM1474" s="32"/>
      <c r="BN1474" s="32"/>
      <c r="BO1474" s="32"/>
      <c r="BP1474" s="33"/>
      <c r="BQ1474" s="16"/>
      <c r="BR1474" s="16"/>
      <c r="BS1474" s="16"/>
      <c r="BT1474" s="16"/>
      <c r="BU1474" s="21"/>
      <c r="BV1474" s="16"/>
      <c r="BW1474" s="16"/>
      <c r="BX1474" s="16"/>
      <c r="BY1474" s="16"/>
      <c r="BZ1474" s="10"/>
      <c r="CA1474" s="16"/>
      <c r="CB1474" s="16"/>
      <c r="CC1474" s="16"/>
      <c r="CD1474" s="16"/>
      <c r="CE1474" s="10"/>
      <c r="CF1474" s="16"/>
      <c r="CG1474" s="16"/>
      <c r="CH1474" s="16"/>
      <c r="CI1474" s="16"/>
      <c r="CJ1474" s="10"/>
      <c r="CK1474" s="16"/>
      <c r="CL1474" s="16"/>
      <c r="CM1474" s="16"/>
      <c r="CN1474" s="16"/>
      <c r="CO1474" s="10"/>
      <c r="CP1474" s="16"/>
      <c r="CQ1474" s="16"/>
      <c r="CR1474" s="16"/>
      <c r="CS1474" s="16"/>
      <c r="CT1474" s="10"/>
      <c r="CU1474" s="16"/>
      <c r="CV1474" s="16"/>
      <c r="CW1474" s="16"/>
      <c r="CX1474" s="16"/>
      <c r="CY1474" s="10"/>
      <c r="CZ1474" s="16"/>
      <c r="DA1474" s="16"/>
      <c r="DB1474" s="16"/>
      <c r="DC1474" s="16"/>
      <c r="DD1474" s="10"/>
      <c r="DE1474" s="16"/>
      <c r="DF1474" s="16"/>
      <c r="DG1474" s="16"/>
      <c r="DH1474" s="16"/>
      <c r="DI1474" s="10"/>
      <c r="DJ1474" s="16"/>
      <c r="DK1474" s="16"/>
      <c r="DL1474" s="16"/>
      <c r="DM1474" s="16"/>
      <c r="DN1474" s="10"/>
      <c r="DO1474" s="16"/>
      <c r="DP1474" s="16"/>
      <c r="DQ1474" s="16"/>
      <c r="DR1474" s="16"/>
      <c r="DS1474" s="10"/>
      <c r="DT1474" s="16"/>
      <c r="DU1474" s="16"/>
      <c r="DV1474" s="16"/>
      <c r="DW1474" s="16"/>
      <c r="DX1474" s="10"/>
      <c r="DY1474" s="16"/>
      <c r="DZ1474" s="16"/>
      <c r="EA1474" s="16"/>
      <c r="EB1474" s="16"/>
      <c r="EC1474" s="10"/>
      <c r="ED1474" s="16"/>
      <c r="EE1474" s="16"/>
      <c r="EF1474" s="16"/>
      <c r="EG1474" s="16"/>
      <c r="EH1474" s="10"/>
      <c r="EI1474" s="214"/>
      <c r="EJ1474" s="16"/>
      <c r="EK1474" s="16"/>
      <c r="EL1474" s="16"/>
      <c r="EM1474" s="10"/>
      <c r="EN1474" s="16"/>
      <c r="EO1474" s="16"/>
      <c r="EP1474" s="16"/>
      <c r="EQ1474" s="16"/>
      <c r="ER1474" s="10"/>
      <c r="ES1474" s="16"/>
      <c r="ET1474" s="16"/>
      <c r="EU1474" s="16"/>
      <c r="EV1474" s="16"/>
      <c r="EW1474" s="10"/>
      <c r="EX1474" s="16"/>
      <c r="EY1474" s="16"/>
      <c r="EZ1474" s="16"/>
      <c r="FA1474" s="16"/>
      <c r="FB1474" s="10"/>
      <c r="FC1474" s="16"/>
      <c r="FD1474" s="16"/>
      <c r="FE1474" s="16"/>
      <c r="FF1474" s="16"/>
      <c r="FG1474" s="10"/>
      <c r="FH1474" s="21"/>
      <c r="FI1474" s="16"/>
      <c r="FJ1474" s="16"/>
      <c r="FK1474" s="16"/>
      <c r="FL1474" s="16"/>
    </row>
    <row r="1475" ht="12.75" customHeight="1">
      <c r="A1475" s="16"/>
      <c r="B1475" s="16"/>
      <c r="C1475" s="16"/>
      <c r="D1475" s="16"/>
      <c r="E1475" s="16"/>
      <c r="F1475" s="16"/>
      <c r="G1475" s="16"/>
      <c r="H1475" s="31"/>
      <c r="I1475" s="32"/>
      <c r="J1475" s="32"/>
      <c r="K1475" s="32"/>
      <c r="L1475" s="32"/>
      <c r="M1475" s="31"/>
      <c r="N1475" s="32"/>
      <c r="O1475" s="32"/>
      <c r="P1475" s="32"/>
      <c r="Q1475" s="32"/>
      <c r="R1475" s="33"/>
      <c r="S1475" s="32"/>
      <c r="T1475" s="32"/>
      <c r="U1475" s="32"/>
      <c r="V1475" s="32"/>
      <c r="W1475" s="33"/>
      <c r="X1475" s="32"/>
      <c r="Y1475" s="32"/>
      <c r="Z1475" s="32"/>
      <c r="AA1475" s="32"/>
      <c r="AB1475" s="31"/>
      <c r="AC1475" s="32"/>
      <c r="AD1475" s="32"/>
      <c r="AE1475" s="32"/>
      <c r="AF1475" s="32"/>
      <c r="AG1475" s="31"/>
      <c r="AH1475" s="32"/>
      <c r="AI1475" s="32"/>
      <c r="AJ1475" s="32"/>
      <c r="AK1475" s="32"/>
      <c r="AL1475" s="31"/>
      <c r="AM1475" s="32"/>
      <c r="AN1475" s="32"/>
      <c r="AO1475" s="32"/>
      <c r="AP1475" s="32"/>
      <c r="AQ1475" s="31"/>
      <c r="AR1475" s="32"/>
      <c r="AS1475" s="32"/>
      <c r="AT1475" s="32"/>
      <c r="AU1475" s="32"/>
      <c r="AV1475" s="31"/>
      <c r="AW1475" s="32"/>
      <c r="AX1475" s="32"/>
      <c r="AY1475" s="32"/>
      <c r="AZ1475" s="32"/>
      <c r="BA1475" s="33"/>
      <c r="BB1475" s="32"/>
      <c r="BC1475" s="32"/>
      <c r="BD1475" s="32"/>
      <c r="BE1475" s="32"/>
      <c r="BF1475" s="33"/>
      <c r="BG1475" s="32"/>
      <c r="BH1475" s="32"/>
      <c r="BI1475" s="32"/>
      <c r="BJ1475" s="32"/>
      <c r="BK1475" s="33"/>
      <c r="BL1475" s="32"/>
      <c r="BM1475" s="32"/>
      <c r="BN1475" s="32"/>
      <c r="BO1475" s="32"/>
      <c r="BP1475" s="33"/>
      <c r="BQ1475" s="16"/>
      <c r="BR1475" s="16"/>
      <c r="BS1475" s="16"/>
      <c r="BT1475" s="16"/>
      <c r="BU1475" s="21"/>
      <c r="BV1475" s="16"/>
      <c r="BW1475" s="16"/>
      <c r="BX1475" s="16"/>
      <c r="BY1475" s="16"/>
      <c r="BZ1475" s="10"/>
      <c r="CA1475" s="16"/>
      <c r="CB1475" s="16"/>
      <c r="CC1475" s="16"/>
      <c r="CD1475" s="16"/>
      <c r="CE1475" s="10"/>
      <c r="CF1475" s="16"/>
      <c r="CG1475" s="16"/>
      <c r="CH1475" s="16"/>
      <c r="CI1475" s="16"/>
      <c r="CJ1475" s="10"/>
      <c r="CK1475" s="16"/>
      <c r="CL1475" s="16"/>
      <c r="CM1475" s="16"/>
      <c r="CN1475" s="16"/>
      <c r="CO1475" s="10"/>
      <c r="CP1475" s="16"/>
      <c r="CQ1475" s="16"/>
      <c r="CR1475" s="16"/>
      <c r="CS1475" s="16"/>
      <c r="CT1475" s="10"/>
      <c r="CU1475" s="16"/>
      <c r="CV1475" s="16"/>
      <c r="CW1475" s="16"/>
      <c r="CX1475" s="16"/>
      <c r="CY1475" s="10"/>
      <c r="CZ1475" s="16"/>
      <c r="DA1475" s="16"/>
      <c r="DB1475" s="16"/>
      <c r="DC1475" s="16"/>
      <c r="DD1475" s="10"/>
      <c r="DE1475" s="16"/>
      <c r="DF1475" s="16"/>
      <c r="DG1475" s="16"/>
      <c r="DH1475" s="16"/>
      <c r="DI1475" s="10"/>
      <c r="DJ1475" s="16"/>
      <c r="DK1475" s="16"/>
      <c r="DL1475" s="16"/>
      <c r="DM1475" s="16"/>
      <c r="DN1475" s="10"/>
      <c r="DO1475" s="16"/>
      <c r="DP1475" s="16"/>
      <c r="DQ1475" s="16"/>
      <c r="DR1475" s="16"/>
      <c r="DS1475" s="10"/>
      <c r="DT1475" s="16"/>
      <c r="DU1475" s="16"/>
      <c r="DV1475" s="16"/>
      <c r="DW1475" s="16"/>
      <c r="DX1475" s="10"/>
      <c r="DY1475" s="16"/>
      <c r="DZ1475" s="16"/>
      <c r="EA1475" s="16"/>
      <c r="EB1475" s="16"/>
      <c r="EC1475" s="10"/>
      <c r="ED1475" s="16"/>
      <c r="EE1475" s="16"/>
      <c r="EF1475" s="16"/>
      <c r="EG1475" s="16"/>
      <c r="EH1475" s="10"/>
      <c r="EI1475" s="214"/>
      <c r="EJ1475" s="16"/>
      <c r="EK1475" s="16"/>
      <c r="EL1475" s="16"/>
      <c r="EM1475" s="10"/>
      <c r="EN1475" s="16"/>
      <c r="EO1475" s="16"/>
      <c r="EP1475" s="16"/>
      <c r="EQ1475" s="16"/>
      <c r="ER1475" s="10"/>
      <c r="ES1475" s="16"/>
      <c r="ET1475" s="16"/>
      <c r="EU1475" s="16"/>
      <c r="EV1475" s="16"/>
      <c r="EW1475" s="10"/>
      <c r="EX1475" s="16"/>
      <c r="EY1475" s="16"/>
      <c r="EZ1475" s="16"/>
      <c r="FA1475" s="16"/>
      <c r="FB1475" s="10"/>
      <c r="FC1475" s="16"/>
      <c r="FD1475" s="16"/>
      <c r="FE1475" s="16"/>
      <c r="FF1475" s="16"/>
      <c r="FG1475" s="10"/>
      <c r="FH1475" s="21"/>
      <c r="FI1475" s="16"/>
      <c r="FJ1475" s="16"/>
      <c r="FK1475" s="16"/>
      <c r="FL1475" s="16"/>
    </row>
    <row r="1476" ht="12.75" customHeight="1">
      <c r="A1476" s="16"/>
      <c r="B1476" s="16"/>
      <c r="C1476" s="16"/>
      <c r="D1476" s="16"/>
      <c r="E1476" s="16"/>
      <c r="F1476" s="16"/>
      <c r="G1476" s="16"/>
      <c r="H1476" s="31"/>
      <c r="I1476" s="32"/>
      <c r="J1476" s="32"/>
      <c r="K1476" s="32"/>
      <c r="L1476" s="32"/>
      <c r="M1476" s="31"/>
      <c r="N1476" s="32"/>
      <c r="O1476" s="32"/>
      <c r="P1476" s="32"/>
      <c r="Q1476" s="32"/>
      <c r="R1476" s="33"/>
      <c r="S1476" s="32"/>
      <c r="T1476" s="32"/>
      <c r="U1476" s="32"/>
      <c r="V1476" s="32"/>
      <c r="W1476" s="33"/>
      <c r="X1476" s="32"/>
      <c r="Y1476" s="32"/>
      <c r="Z1476" s="32"/>
      <c r="AA1476" s="32"/>
      <c r="AB1476" s="31"/>
      <c r="AC1476" s="32"/>
      <c r="AD1476" s="32"/>
      <c r="AE1476" s="32"/>
      <c r="AF1476" s="32"/>
      <c r="AG1476" s="31"/>
      <c r="AH1476" s="32"/>
      <c r="AI1476" s="32"/>
      <c r="AJ1476" s="32"/>
      <c r="AK1476" s="32"/>
      <c r="AL1476" s="31"/>
      <c r="AM1476" s="32"/>
      <c r="AN1476" s="32"/>
      <c r="AO1476" s="32"/>
      <c r="AP1476" s="32"/>
      <c r="AQ1476" s="31"/>
      <c r="AR1476" s="32"/>
      <c r="AS1476" s="32"/>
      <c r="AT1476" s="32"/>
      <c r="AU1476" s="32"/>
      <c r="AV1476" s="31"/>
      <c r="AW1476" s="32"/>
      <c r="AX1476" s="32"/>
      <c r="AY1476" s="32"/>
      <c r="AZ1476" s="32"/>
      <c r="BA1476" s="33"/>
      <c r="BB1476" s="32"/>
      <c r="BC1476" s="32"/>
      <c r="BD1476" s="32"/>
      <c r="BE1476" s="32"/>
      <c r="BF1476" s="33"/>
      <c r="BG1476" s="32"/>
      <c r="BH1476" s="32"/>
      <c r="BI1476" s="32"/>
      <c r="BJ1476" s="32"/>
      <c r="BK1476" s="33"/>
      <c r="BL1476" s="32"/>
      <c r="BM1476" s="32"/>
      <c r="BN1476" s="32"/>
      <c r="BO1476" s="32"/>
      <c r="BP1476" s="33"/>
      <c r="BQ1476" s="16"/>
      <c r="BR1476" s="16"/>
      <c r="BS1476" s="16"/>
      <c r="BT1476" s="16"/>
      <c r="BU1476" s="21"/>
      <c r="BV1476" s="16"/>
      <c r="BW1476" s="16"/>
      <c r="BX1476" s="16"/>
      <c r="BY1476" s="16"/>
      <c r="BZ1476" s="10"/>
      <c r="CA1476" s="16"/>
      <c r="CB1476" s="16"/>
      <c r="CC1476" s="16"/>
      <c r="CD1476" s="16"/>
      <c r="CE1476" s="10"/>
      <c r="CF1476" s="16"/>
      <c r="CG1476" s="16"/>
      <c r="CH1476" s="16"/>
      <c r="CI1476" s="16"/>
      <c r="CJ1476" s="10"/>
      <c r="CK1476" s="16"/>
      <c r="CL1476" s="16"/>
      <c r="CM1476" s="16"/>
      <c r="CN1476" s="16"/>
      <c r="CO1476" s="10"/>
      <c r="CP1476" s="16"/>
      <c r="CQ1476" s="16"/>
      <c r="CR1476" s="16"/>
      <c r="CS1476" s="16"/>
      <c r="CT1476" s="10"/>
      <c r="CU1476" s="16"/>
      <c r="CV1476" s="16"/>
      <c r="CW1476" s="16"/>
      <c r="CX1476" s="16"/>
      <c r="CY1476" s="10"/>
      <c r="CZ1476" s="16"/>
      <c r="DA1476" s="16"/>
      <c r="DB1476" s="16"/>
      <c r="DC1476" s="16"/>
      <c r="DD1476" s="10"/>
      <c r="DE1476" s="16"/>
      <c r="DF1476" s="16"/>
      <c r="DG1476" s="16"/>
      <c r="DH1476" s="16"/>
      <c r="DI1476" s="10"/>
      <c r="DJ1476" s="16"/>
      <c r="DK1476" s="16"/>
      <c r="DL1476" s="16"/>
      <c r="DM1476" s="16"/>
      <c r="DN1476" s="10"/>
      <c r="DO1476" s="16"/>
      <c r="DP1476" s="16"/>
      <c r="DQ1476" s="16"/>
      <c r="DR1476" s="16"/>
      <c r="DS1476" s="10"/>
      <c r="DT1476" s="16"/>
      <c r="DU1476" s="16"/>
      <c r="DV1476" s="16"/>
      <c r="DW1476" s="16"/>
      <c r="DX1476" s="10"/>
      <c r="DY1476" s="16"/>
      <c r="DZ1476" s="16"/>
      <c r="EA1476" s="16"/>
      <c r="EB1476" s="16"/>
      <c r="EC1476" s="10"/>
      <c r="ED1476" s="16"/>
      <c r="EE1476" s="16"/>
      <c r="EF1476" s="16"/>
      <c r="EG1476" s="16"/>
      <c r="EH1476" s="10"/>
      <c r="EI1476" s="214"/>
      <c r="EJ1476" s="16"/>
      <c r="EK1476" s="16"/>
      <c r="EL1476" s="16"/>
      <c r="EM1476" s="10"/>
      <c r="EN1476" s="16"/>
      <c r="EO1476" s="16"/>
      <c r="EP1476" s="16"/>
      <c r="EQ1476" s="16"/>
      <c r="ER1476" s="10"/>
      <c r="ES1476" s="16"/>
      <c r="ET1476" s="16"/>
      <c r="EU1476" s="16"/>
      <c r="EV1476" s="16"/>
      <c r="EW1476" s="10"/>
      <c r="EX1476" s="16"/>
      <c r="EY1476" s="16"/>
      <c r="EZ1476" s="16"/>
      <c r="FA1476" s="16"/>
      <c r="FB1476" s="10"/>
      <c r="FC1476" s="16"/>
      <c r="FD1476" s="16"/>
      <c r="FE1476" s="16"/>
      <c r="FF1476" s="16"/>
      <c r="FG1476" s="10"/>
      <c r="FH1476" s="21"/>
      <c r="FI1476" s="16"/>
      <c r="FJ1476" s="16"/>
      <c r="FK1476" s="16"/>
      <c r="FL1476" s="16"/>
    </row>
    <row r="1477" ht="12.75" customHeight="1">
      <c r="A1477" s="16"/>
      <c r="B1477" s="16"/>
      <c r="C1477" s="16"/>
      <c r="D1477" s="16"/>
      <c r="E1477" s="16"/>
      <c r="F1477" s="16"/>
      <c r="G1477" s="16"/>
      <c r="H1477" s="31"/>
      <c r="I1477" s="32"/>
      <c r="J1477" s="32"/>
      <c r="K1477" s="32"/>
      <c r="L1477" s="32"/>
      <c r="M1477" s="31"/>
      <c r="N1477" s="32"/>
      <c r="O1477" s="32"/>
      <c r="P1477" s="32"/>
      <c r="Q1477" s="32"/>
      <c r="R1477" s="33"/>
      <c r="S1477" s="32"/>
      <c r="T1477" s="32"/>
      <c r="U1477" s="32"/>
      <c r="V1477" s="32"/>
      <c r="W1477" s="33"/>
      <c r="X1477" s="32"/>
      <c r="Y1477" s="32"/>
      <c r="Z1477" s="32"/>
      <c r="AA1477" s="32"/>
      <c r="AB1477" s="31"/>
      <c r="AC1477" s="32"/>
      <c r="AD1477" s="32"/>
      <c r="AE1477" s="32"/>
      <c r="AF1477" s="32"/>
      <c r="AG1477" s="31"/>
      <c r="AH1477" s="32"/>
      <c r="AI1477" s="32"/>
      <c r="AJ1477" s="32"/>
      <c r="AK1477" s="32"/>
      <c r="AL1477" s="31"/>
      <c r="AM1477" s="32"/>
      <c r="AN1477" s="32"/>
      <c r="AO1477" s="32"/>
      <c r="AP1477" s="32"/>
      <c r="AQ1477" s="31"/>
      <c r="AR1477" s="32"/>
      <c r="AS1477" s="32"/>
      <c r="AT1477" s="32"/>
      <c r="AU1477" s="32"/>
      <c r="AV1477" s="31"/>
      <c r="AW1477" s="32"/>
      <c r="AX1477" s="32"/>
      <c r="AY1477" s="32"/>
      <c r="AZ1477" s="32"/>
      <c r="BA1477" s="33"/>
      <c r="BB1477" s="32"/>
      <c r="BC1477" s="32"/>
      <c r="BD1477" s="32"/>
      <c r="BE1477" s="32"/>
      <c r="BF1477" s="33"/>
      <c r="BG1477" s="32"/>
      <c r="BH1477" s="32"/>
      <c r="BI1477" s="32"/>
      <c r="BJ1477" s="32"/>
      <c r="BK1477" s="33"/>
      <c r="BL1477" s="32"/>
      <c r="BM1477" s="32"/>
      <c r="BN1477" s="32"/>
      <c r="BO1477" s="32"/>
      <c r="BP1477" s="33"/>
      <c r="BQ1477" s="16"/>
      <c r="BR1477" s="16"/>
      <c r="BS1477" s="16"/>
      <c r="BT1477" s="16"/>
      <c r="BU1477" s="21"/>
      <c r="BV1477" s="16"/>
      <c r="BW1477" s="16"/>
      <c r="BX1477" s="16"/>
      <c r="BY1477" s="16"/>
      <c r="BZ1477" s="10"/>
      <c r="CA1477" s="16"/>
      <c r="CB1477" s="16"/>
      <c r="CC1477" s="16"/>
      <c r="CD1477" s="16"/>
      <c r="CE1477" s="10"/>
      <c r="CF1477" s="16"/>
      <c r="CG1477" s="16"/>
      <c r="CH1477" s="16"/>
      <c r="CI1477" s="16"/>
      <c r="CJ1477" s="10"/>
      <c r="CK1477" s="16"/>
      <c r="CL1477" s="16"/>
      <c r="CM1477" s="16"/>
      <c r="CN1477" s="16"/>
      <c r="CO1477" s="10"/>
      <c r="CP1477" s="16"/>
      <c r="CQ1477" s="16"/>
      <c r="CR1477" s="16"/>
      <c r="CS1477" s="16"/>
      <c r="CT1477" s="10"/>
      <c r="CU1477" s="16"/>
      <c r="CV1477" s="16"/>
      <c r="CW1477" s="16"/>
      <c r="CX1477" s="16"/>
      <c r="CY1477" s="10"/>
      <c r="CZ1477" s="16"/>
      <c r="DA1477" s="16"/>
      <c r="DB1477" s="16"/>
      <c r="DC1477" s="16"/>
      <c r="DD1477" s="10"/>
      <c r="DE1477" s="16"/>
      <c r="DF1477" s="16"/>
      <c r="DG1477" s="16"/>
      <c r="DH1477" s="16"/>
      <c r="DI1477" s="10"/>
      <c r="DJ1477" s="16"/>
      <c r="DK1477" s="16"/>
      <c r="DL1477" s="16"/>
      <c r="DM1477" s="16"/>
      <c r="DN1477" s="10"/>
      <c r="DO1477" s="16"/>
      <c r="DP1477" s="16"/>
      <c r="DQ1477" s="16"/>
      <c r="DR1477" s="16"/>
      <c r="DS1477" s="10"/>
      <c r="DT1477" s="16"/>
      <c r="DU1477" s="16"/>
      <c r="DV1477" s="16"/>
      <c r="DW1477" s="16"/>
      <c r="DX1477" s="10"/>
      <c r="DY1477" s="16"/>
      <c r="DZ1477" s="16"/>
      <c r="EA1477" s="16"/>
      <c r="EB1477" s="16"/>
      <c r="EC1477" s="10"/>
      <c r="ED1477" s="16"/>
      <c r="EE1477" s="16"/>
      <c r="EF1477" s="16"/>
      <c r="EG1477" s="16"/>
      <c r="EH1477" s="10"/>
      <c r="EI1477" s="214"/>
      <c r="EJ1477" s="16"/>
      <c r="EK1477" s="16"/>
      <c r="EL1477" s="16"/>
      <c r="EM1477" s="10"/>
      <c r="EN1477" s="16"/>
      <c r="EO1477" s="16"/>
      <c r="EP1477" s="16"/>
      <c r="EQ1477" s="16"/>
      <c r="ER1477" s="10"/>
      <c r="ES1477" s="16"/>
      <c r="ET1477" s="16"/>
      <c r="EU1477" s="16"/>
      <c r="EV1477" s="16"/>
      <c r="EW1477" s="10"/>
      <c r="EX1477" s="16"/>
      <c r="EY1477" s="16"/>
      <c r="EZ1477" s="16"/>
      <c r="FA1477" s="16"/>
      <c r="FB1477" s="10"/>
      <c r="FC1477" s="16"/>
      <c r="FD1477" s="16"/>
      <c r="FE1477" s="16"/>
      <c r="FF1477" s="16"/>
      <c r="FG1477" s="10"/>
      <c r="FH1477" s="21"/>
      <c r="FI1477" s="16"/>
      <c r="FJ1477" s="16"/>
      <c r="FK1477" s="16"/>
      <c r="FL1477" s="16"/>
    </row>
    <row r="1478" ht="12.75" customHeight="1">
      <c r="A1478" s="16"/>
      <c r="B1478" s="16"/>
      <c r="C1478" s="16"/>
      <c r="D1478" s="16"/>
      <c r="E1478" s="16"/>
      <c r="F1478" s="16"/>
      <c r="G1478" s="16"/>
      <c r="H1478" s="31"/>
      <c r="I1478" s="32"/>
      <c r="J1478" s="32"/>
      <c r="K1478" s="32"/>
      <c r="L1478" s="32"/>
      <c r="M1478" s="31"/>
      <c r="N1478" s="32"/>
      <c r="O1478" s="32"/>
      <c r="P1478" s="32"/>
      <c r="Q1478" s="32"/>
      <c r="R1478" s="33"/>
      <c r="S1478" s="32"/>
      <c r="T1478" s="32"/>
      <c r="U1478" s="32"/>
      <c r="V1478" s="32"/>
      <c r="W1478" s="33"/>
      <c r="X1478" s="32"/>
      <c r="Y1478" s="32"/>
      <c r="Z1478" s="32"/>
      <c r="AA1478" s="32"/>
      <c r="AB1478" s="31"/>
      <c r="AC1478" s="32"/>
      <c r="AD1478" s="32"/>
      <c r="AE1478" s="32"/>
      <c r="AF1478" s="32"/>
      <c r="AG1478" s="31"/>
      <c r="AH1478" s="32"/>
      <c r="AI1478" s="32"/>
      <c r="AJ1478" s="32"/>
      <c r="AK1478" s="32"/>
      <c r="AL1478" s="31"/>
      <c r="AM1478" s="32"/>
      <c r="AN1478" s="32"/>
      <c r="AO1478" s="32"/>
      <c r="AP1478" s="32"/>
      <c r="AQ1478" s="31"/>
      <c r="AR1478" s="32"/>
      <c r="AS1478" s="32"/>
      <c r="AT1478" s="32"/>
      <c r="AU1478" s="32"/>
      <c r="AV1478" s="31"/>
      <c r="AW1478" s="32"/>
      <c r="AX1478" s="32"/>
      <c r="AY1478" s="32"/>
      <c r="AZ1478" s="32"/>
      <c r="BA1478" s="33"/>
      <c r="BB1478" s="32"/>
      <c r="BC1478" s="32"/>
      <c r="BD1478" s="32"/>
      <c r="BE1478" s="32"/>
      <c r="BF1478" s="33"/>
      <c r="BG1478" s="32"/>
      <c r="BH1478" s="32"/>
      <c r="BI1478" s="32"/>
      <c r="BJ1478" s="32"/>
      <c r="BK1478" s="33"/>
      <c r="BL1478" s="32"/>
      <c r="BM1478" s="32"/>
      <c r="BN1478" s="32"/>
      <c r="BO1478" s="32"/>
      <c r="BP1478" s="33"/>
      <c r="BQ1478" s="16"/>
      <c r="BR1478" s="16"/>
      <c r="BS1478" s="16"/>
      <c r="BT1478" s="16"/>
      <c r="BU1478" s="21"/>
      <c r="BV1478" s="16"/>
      <c r="BW1478" s="16"/>
      <c r="BX1478" s="16"/>
      <c r="BY1478" s="16"/>
      <c r="BZ1478" s="10"/>
      <c r="CA1478" s="16"/>
      <c r="CB1478" s="16"/>
      <c r="CC1478" s="16"/>
      <c r="CD1478" s="16"/>
      <c r="CE1478" s="10"/>
      <c r="CF1478" s="16"/>
      <c r="CG1478" s="16"/>
      <c r="CH1478" s="16"/>
      <c r="CI1478" s="16"/>
      <c r="CJ1478" s="10"/>
      <c r="CK1478" s="16"/>
      <c r="CL1478" s="16"/>
      <c r="CM1478" s="16"/>
      <c r="CN1478" s="16"/>
      <c r="CO1478" s="10"/>
      <c r="CP1478" s="16"/>
      <c r="CQ1478" s="16"/>
      <c r="CR1478" s="16"/>
      <c r="CS1478" s="16"/>
      <c r="CT1478" s="10"/>
      <c r="CU1478" s="16"/>
      <c r="CV1478" s="16"/>
      <c r="CW1478" s="16"/>
      <c r="CX1478" s="16"/>
      <c r="CY1478" s="10"/>
      <c r="CZ1478" s="16"/>
      <c r="DA1478" s="16"/>
      <c r="DB1478" s="16"/>
      <c r="DC1478" s="16"/>
      <c r="DD1478" s="10"/>
      <c r="DE1478" s="16"/>
      <c r="DF1478" s="16"/>
      <c r="DG1478" s="16"/>
      <c r="DH1478" s="16"/>
      <c r="DI1478" s="10"/>
      <c r="DJ1478" s="16"/>
      <c r="DK1478" s="16"/>
      <c r="DL1478" s="16"/>
      <c r="DM1478" s="16"/>
      <c r="DN1478" s="10"/>
      <c r="DO1478" s="16"/>
      <c r="DP1478" s="16"/>
      <c r="DQ1478" s="16"/>
      <c r="DR1478" s="16"/>
      <c r="DS1478" s="10"/>
      <c r="DT1478" s="16"/>
      <c r="DU1478" s="16"/>
      <c r="DV1478" s="16"/>
      <c r="DW1478" s="16"/>
      <c r="DX1478" s="10"/>
      <c r="DY1478" s="16"/>
      <c r="DZ1478" s="16"/>
      <c r="EA1478" s="16"/>
      <c r="EB1478" s="16"/>
      <c r="EC1478" s="10"/>
      <c r="ED1478" s="16"/>
      <c r="EE1478" s="16"/>
      <c r="EF1478" s="16"/>
      <c r="EG1478" s="16"/>
      <c r="EH1478" s="10"/>
      <c r="EI1478" s="214"/>
      <c r="EJ1478" s="16"/>
      <c r="EK1478" s="16"/>
      <c r="EL1478" s="16"/>
      <c r="EM1478" s="10"/>
      <c r="EN1478" s="16"/>
      <c r="EO1478" s="16"/>
      <c r="EP1478" s="16"/>
      <c r="EQ1478" s="16"/>
      <c r="ER1478" s="10"/>
      <c r="ES1478" s="16"/>
      <c r="ET1478" s="16"/>
      <c r="EU1478" s="16"/>
      <c r="EV1478" s="16"/>
      <c r="EW1478" s="10"/>
      <c r="EX1478" s="16"/>
      <c r="EY1478" s="16"/>
      <c r="EZ1478" s="16"/>
      <c r="FA1478" s="16"/>
      <c r="FB1478" s="10"/>
      <c r="FC1478" s="16"/>
      <c r="FD1478" s="16"/>
      <c r="FE1478" s="16"/>
      <c r="FF1478" s="16"/>
      <c r="FG1478" s="10"/>
      <c r="FH1478" s="21"/>
      <c r="FI1478" s="16"/>
      <c r="FJ1478" s="16"/>
      <c r="FK1478" s="16"/>
      <c r="FL1478" s="16"/>
    </row>
    <row r="1479" ht="12.75" customHeight="1">
      <c r="A1479" s="16"/>
      <c r="B1479" s="16"/>
      <c r="C1479" s="16"/>
      <c r="D1479" s="16"/>
      <c r="E1479" s="16"/>
      <c r="F1479" s="16"/>
      <c r="G1479" s="16"/>
      <c r="H1479" s="31"/>
      <c r="I1479" s="32"/>
      <c r="J1479" s="32"/>
      <c r="K1479" s="32"/>
      <c r="L1479" s="32"/>
      <c r="M1479" s="31"/>
      <c r="N1479" s="32"/>
      <c r="O1479" s="32"/>
      <c r="P1479" s="32"/>
      <c r="Q1479" s="32"/>
      <c r="R1479" s="33"/>
      <c r="S1479" s="32"/>
      <c r="T1479" s="32"/>
      <c r="U1479" s="32"/>
      <c r="V1479" s="32"/>
      <c r="W1479" s="33"/>
      <c r="X1479" s="32"/>
      <c r="Y1479" s="32"/>
      <c r="Z1479" s="32"/>
      <c r="AA1479" s="32"/>
      <c r="AB1479" s="31"/>
      <c r="AC1479" s="32"/>
      <c r="AD1479" s="32"/>
      <c r="AE1479" s="32"/>
      <c r="AF1479" s="32"/>
      <c r="AG1479" s="31"/>
      <c r="AH1479" s="32"/>
      <c r="AI1479" s="32"/>
      <c r="AJ1479" s="32"/>
      <c r="AK1479" s="32"/>
      <c r="AL1479" s="31"/>
      <c r="AM1479" s="32"/>
      <c r="AN1479" s="32"/>
      <c r="AO1479" s="32"/>
      <c r="AP1479" s="32"/>
      <c r="AQ1479" s="31"/>
      <c r="AR1479" s="32"/>
      <c r="AS1479" s="32"/>
      <c r="AT1479" s="32"/>
      <c r="AU1479" s="32"/>
      <c r="AV1479" s="31"/>
      <c r="AW1479" s="32"/>
      <c r="AX1479" s="32"/>
      <c r="AY1479" s="32"/>
      <c r="AZ1479" s="32"/>
      <c r="BA1479" s="33"/>
      <c r="BB1479" s="32"/>
      <c r="BC1479" s="32"/>
      <c r="BD1479" s="32"/>
      <c r="BE1479" s="32"/>
      <c r="BF1479" s="33"/>
      <c r="BG1479" s="32"/>
      <c r="BH1479" s="32"/>
      <c r="BI1479" s="32"/>
      <c r="BJ1479" s="32"/>
      <c r="BK1479" s="33"/>
      <c r="BL1479" s="32"/>
      <c r="BM1479" s="32"/>
      <c r="BN1479" s="32"/>
      <c r="BO1479" s="32"/>
      <c r="BP1479" s="33"/>
      <c r="BQ1479" s="16"/>
      <c r="BR1479" s="16"/>
      <c r="BS1479" s="16"/>
      <c r="BT1479" s="16"/>
      <c r="BU1479" s="21"/>
      <c r="BV1479" s="16"/>
      <c r="BW1479" s="16"/>
      <c r="BX1479" s="16"/>
      <c r="BY1479" s="16"/>
      <c r="BZ1479" s="10"/>
      <c r="CA1479" s="16"/>
      <c r="CB1479" s="16"/>
      <c r="CC1479" s="16"/>
      <c r="CD1479" s="16"/>
      <c r="CE1479" s="10"/>
      <c r="CF1479" s="16"/>
      <c r="CG1479" s="16"/>
      <c r="CH1479" s="16"/>
      <c r="CI1479" s="16"/>
      <c r="CJ1479" s="10"/>
      <c r="CK1479" s="16"/>
      <c r="CL1479" s="16"/>
      <c r="CM1479" s="16"/>
      <c r="CN1479" s="16"/>
      <c r="CO1479" s="10"/>
      <c r="CP1479" s="16"/>
      <c r="CQ1479" s="16"/>
      <c r="CR1479" s="16"/>
      <c r="CS1479" s="16"/>
      <c r="CT1479" s="10"/>
      <c r="CU1479" s="16"/>
      <c r="CV1479" s="16"/>
      <c r="CW1479" s="16"/>
      <c r="CX1479" s="16"/>
      <c r="CY1479" s="10"/>
      <c r="CZ1479" s="16"/>
      <c r="DA1479" s="16"/>
      <c r="DB1479" s="16"/>
      <c r="DC1479" s="16"/>
      <c r="DD1479" s="10"/>
      <c r="DE1479" s="16"/>
      <c r="DF1479" s="16"/>
      <c r="DG1479" s="16"/>
      <c r="DH1479" s="16"/>
      <c r="DI1479" s="10"/>
      <c r="DJ1479" s="16"/>
      <c r="DK1479" s="16"/>
      <c r="DL1479" s="16"/>
      <c r="DM1479" s="16"/>
      <c r="DN1479" s="10"/>
      <c r="DO1479" s="16"/>
      <c r="DP1479" s="16"/>
      <c r="DQ1479" s="16"/>
      <c r="DR1479" s="16"/>
      <c r="DS1479" s="10"/>
      <c r="DT1479" s="16"/>
      <c r="DU1479" s="16"/>
      <c r="DV1479" s="16"/>
      <c r="DW1479" s="16"/>
      <c r="DX1479" s="10"/>
      <c r="DY1479" s="16"/>
      <c r="DZ1479" s="16"/>
      <c r="EA1479" s="16"/>
      <c r="EB1479" s="16"/>
      <c r="EC1479" s="10"/>
      <c r="ED1479" s="16"/>
      <c r="EE1479" s="16"/>
      <c r="EF1479" s="16"/>
      <c r="EG1479" s="16"/>
      <c r="EH1479" s="10"/>
      <c r="EI1479" s="214"/>
      <c r="EJ1479" s="16"/>
      <c r="EK1479" s="16"/>
      <c r="EL1479" s="16"/>
      <c r="EM1479" s="10"/>
      <c r="EN1479" s="16"/>
      <c r="EO1479" s="16"/>
      <c r="EP1479" s="16"/>
      <c r="EQ1479" s="16"/>
      <c r="ER1479" s="10"/>
      <c r="ES1479" s="16"/>
      <c r="ET1479" s="16"/>
      <c r="EU1479" s="16"/>
      <c r="EV1479" s="16"/>
      <c r="EW1479" s="10"/>
      <c r="EX1479" s="16"/>
      <c r="EY1479" s="16"/>
      <c r="EZ1479" s="16"/>
      <c r="FA1479" s="16"/>
      <c r="FB1479" s="10"/>
      <c r="FC1479" s="16"/>
      <c r="FD1479" s="16"/>
      <c r="FE1479" s="16"/>
      <c r="FF1479" s="16"/>
      <c r="FG1479" s="10"/>
      <c r="FH1479" s="21"/>
      <c r="FI1479" s="16"/>
      <c r="FJ1479" s="16"/>
      <c r="FK1479" s="16"/>
      <c r="FL1479" s="16"/>
    </row>
    <row r="1480" ht="12.75" customHeight="1">
      <c r="A1480" s="16"/>
      <c r="B1480" s="16"/>
      <c r="C1480" s="16"/>
      <c r="D1480" s="16"/>
      <c r="E1480" s="16"/>
      <c r="F1480" s="16"/>
      <c r="G1480" s="16"/>
      <c r="H1480" s="31"/>
      <c r="I1480" s="32"/>
      <c r="J1480" s="32"/>
      <c r="K1480" s="32"/>
      <c r="L1480" s="32"/>
      <c r="M1480" s="31"/>
      <c r="N1480" s="32"/>
      <c r="O1480" s="32"/>
      <c r="P1480" s="32"/>
      <c r="Q1480" s="32"/>
      <c r="R1480" s="33"/>
      <c r="S1480" s="32"/>
      <c r="T1480" s="32"/>
      <c r="U1480" s="32"/>
      <c r="V1480" s="32"/>
      <c r="W1480" s="33"/>
      <c r="X1480" s="32"/>
      <c r="Y1480" s="32"/>
      <c r="Z1480" s="32"/>
      <c r="AA1480" s="32"/>
      <c r="AB1480" s="31"/>
      <c r="AC1480" s="32"/>
      <c r="AD1480" s="32"/>
      <c r="AE1480" s="32"/>
      <c r="AF1480" s="32"/>
      <c r="AG1480" s="31"/>
      <c r="AH1480" s="32"/>
      <c r="AI1480" s="32"/>
      <c r="AJ1480" s="32"/>
      <c r="AK1480" s="32"/>
      <c r="AL1480" s="31"/>
      <c r="AM1480" s="32"/>
      <c r="AN1480" s="32"/>
      <c r="AO1480" s="32"/>
      <c r="AP1480" s="32"/>
      <c r="AQ1480" s="31"/>
      <c r="AR1480" s="32"/>
      <c r="AS1480" s="32"/>
      <c r="AT1480" s="32"/>
      <c r="AU1480" s="32"/>
      <c r="AV1480" s="31"/>
      <c r="AW1480" s="32"/>
      <c r="AX1480" s="32"/>
      <c r="AY1480" s="32"/>
      <c r="AZ1480" s="32"/>
      <c r="BA1480" s="33"/>
      <c r="BB1480" s="32"/>
      <c r="BC1480" s="32"/>
      <c r="BD1480" s="32"/>
      <c r="BE1480" s="32"/>
      <c r="BF1480" s="33"/>
      <c r="BG1480" s="32"/>
      <c r="BH1480" s="32"/>
      <c r="BI1480" s="32"/>
      <c r="BJ1480" s="32"/>
      <c r="BK1480" s="33"/>
      <c r="BL1480" s="32"/>
      <c r="BM1480" s="32"/>
      <c r="BN1480" s="32"/>
      <c r="BO1480" s="32"/>
      <c r="BP1480" s="33"/>
      <c r="BQ1480" s="16"/>
      <c r="BR1480" s="16"/>
      <c r="BS1480" s="16"/>
      <c r="BT1480" s="16"/>
      <c r="BU1480" s="21"/>
      <c r="BV1480" s="16"/>
      <c r="BW1480" s="16"/>
      <c r="BX1480" s="16"/>
      <c r="BY1480" s="16"/>
      <c r="BZ1480" s="10"/>
      <c r="CA1480" s="16"/>
      <c r="CB1480" s="16"/>
      <c r="CC1480" s="16"/>
      <c r="CD1480" s="16"/>
      <c r="CE1480" s="10"/>
      <c r="CF1480" s="16"/>
      <c r="CG1480" s="16"/>
      <c r="CH1480" s="16"/>
      <c r="CI1480" s="16"/>
      <c r="CJ1480" s="10"/>
      <c r="CK1480" s="16"/>
      <c r="CL1480" s="16"/>
      <c r="CM1480" s="16"/>
      <c r="CN1480" s="16"/>
      <c r="CO1480" s="10"/>
      <c r="CP1480" s="16"/>
      <c r="CQ1480" s="16"/>
      <c r="CR1480" s="16"/>
      <c r="CS1480" s="16"/>
      <c r="CT1480" s="10"/>
      <c r="CU1480" s="16"/>
      <c r="CV1480" s="16"/>
      <c r="CW1480" s="16"/>
      <c r="CX1480" s="16"/>
      <c r="CY1480" s="10"/>
      <c r="CZ1480" s="16"/>
      <c r="DA1480" s="16"/>
      <c r="DB1480" s="16"/>
      <c r="DC1480" s="16"/>
      <c r="DD1480" s="10"/>
      <c r="DE1480" s="16"/>
      <c r="DF1480" s="16"/>
      <c r="DG1480" s="16"/>
      <c r="DH1480" s="16"/>
      <c r="DI1480" s="10"/>
      <c r="DJ1480" s="16"/>
      <c r="DK1480" s="16"/>
      <c r="DL1480" s="16"/>
      <c r="DM1480" s="16"/>
      <c r="DN1480" s="10"/>
      <c r="DO1480" s="16"/>
      <c r="DP1480" s="16"/>
      <c r="DQ1480" s="16"/>
      <c r="DR1480" s="16"/>
      <c r="DS1480" s="10"/>
      <c r="DT1480" s="16"/>
      <c r="DU1480" s="16"/>
      <c r="DV1480" s="16"/>
      <c r="DW1480" s="16"/>
      <c r="DX1480" s="10"/>
      <c r="DY1480" s="16"/>
      <c r="DZ1480" s="16"/>
      <c r="EA1480" s="16"/>
      <c r="EB1480" s="16"/>
      <c r="EC1480" s="10"/>
      <c r="ED1480" s="16"/>
      <c r="EE1480" s="16"/>
      <c r="EF1480" s="16"/>
      <c r="EG1480" s="16"/>
      <c r="EH1480" s="10"/>
      <c r="EI1480" s="214"/>
      <c r="EJ1480" s="16"/>
      <c r="EK1480" s="16"/>
      <c r="EL1480" s="16"/>
      <c r="EM1480" s="10"/>
      <c r="EN1480" s="16"/>
      <c r="EO1480" s="16"/>
      <c r="EP1480" s="16"/>
      <c r="EQ1480" s="16"/>
      <c r="ER1480" s="10"/>
      <c r="ES1480" s="16"/>
      <c r="ET1480" s="16"/>
      <c r="EU1480" s="16"/>
      <c r="EV1480" s="16"/>
      <c r="EW1480" s="10"/>
      <c r="EX1480" s="16"/>
      <c r="EY1480" s="16"/>
      <c r="EZ1480" s="16"/>
      <c r="FA1480" s="16"/>
      <c r="FB1480" s="10"/>
      <c r="FC1480" s="16"/>
      <c r="FD1480" s="16"/>
      <c r="FE1480" s="16"/>
      <c r="FF1480" s="16"/>
      <c r="FG1480" s="10"/>
      <c r="FH1480" s="21"/>
      <c r="FI1480" s="16"/>
      <c r="FJ1480" s="16"/>
      <c r="FK1480" s="16"/>
      <c r="FL1480" s="16"/>
    </row>
    <row r="1481" ht="12.75" customHeight="1">
      <c r="A1481" s="16"/>
      <c r="B1481" s="16"/>
      <c r="C1481" s="16"/>
      <c r="D1481" s="16"/>
      <c r="E1481" s="16"/>
      <c r="F1481" s="16"/>
      <c r="G1481" s="16"/>
      <c r="H1481" s="31"/>
      <c r="I1481" s="32"/>
      <c r="J1481" s="32"/>
      <c r="K1481" s="32"/>
      <c r="L1481" s="32"/>
      <c r="M1481" s="31"/>
      <c r="N1481" s="32"/>
      <c r="O1481" s="32"/>
      <c r="P1481" s="32"/>
      <c r="Q1481" s="32"/>
      <c r="R1481" s="33"/>
      <c r="S1481" s="32"/>
      <c r="T1481" s="32"/>
      <c r="U1481" s="32"/>
      <c r="V1481" s="32"/>
      <c r="W1481" s="33"/>
      <c r="X1481" s="32"/>
      <c r="Y1481" s="32"/>
      <c r="Z1481" s="32"/>
      <c r="AA1481" s="32"/>
      <c r="AB1481" s="31"/>
      <c r="AC1481" s="32"/>
      <c r="AD1481" s="32"/>
      <c r="AE1481" s="32"/>
      <c r="AF1481" s="32"/>
      <c r="AG1481" s="31"/>
      <c r="AH1481" s="32"/>
      <c r="AI1481" s="32"/>
      <c r="AJ1481" s="32"/>
      <c r="AK1481" s="32"/>
      <c r="AL1481" s="31"/>
      <c r="AM1481" s="32"/>
      <c r="AN1481" s="32"/>
      <c r="AO1481" s="32"/>
      <c r="AP1481" s="32"/>
      <c r="AQ1481" s="31"/>
      <c r="AR1481" s="32"/>
      <c r="AS1481" s="32"/>
      <c r="AT1481" s="32"/>
      <c r="AU1481" s="32"/>
      <c r="AV1481" s="31"/>
      <c r="AW1481" s="32"/>
      <c r="AX1481" s="32"/>
      <c r="AY1481" s="32"/>
      <c r="AZ1481" s="32"/>
      <c r="BA1481" s="33"/>
      <c r="BB1481" s="32"/>
      <c r="BC1481" s="32"/>
      <c r="BD1481" s="32"/>
      <c r="BE1481" s="32"/>
      <c r="BF1481" s="33"/>
      <c r="BG1481" s="32"/>
      <c r="BH1481" s="32"/>
      <c r="BI1481" s="32"/>
      <c r="BJ1481" s="32"/>
      <c r="BK1481" s="33"/>
      <c r="BL1481" s="32"/>
      <c r="BM1481" s="32"/>
      <c r="BN1481" s="32"/>
      <c r="BO1481" s="32"/>
      <c r="BP1481" s="33"/>
      <c r="BQ1481" s="16"/>
      <c r="BR1481" s="16"/>
      <c r="BS1481" s="16"/>
      <c r="BT1481" s="16"/>
      <c r="BU1481" s="21"/>
      <c r="BV1481" s="16"/>
      <c r="BW1481" s="16"/>
      <c r="BX1481" s="16"/>
      <c r="BY1481" s="16"/>
      <c r="BZ1481" s="10"/>
      <c r="CA1481" s="16"/>
      <c r="CB1481" s="16"/>
      <c r="CC1481" s="16"/>
      <c r="CD1481" s="16"/>
      <c r="CE1481" s="10"/>
      <c r="CF1481" s="16"/>
      <c r="CG1481" s="16"/>
      <c r="CH1481" s="16"/>
      <c r="CI1481" s="16"/>
      <c r="CJ1481" s="10"/>
      <c r="CK1481" s="16"/>
      <c r="CL1481" s="16"/>
      <c r="CM1481" s="16"/>
      <c r="CN1481" s="16"/>
      <c r="CO1481" s="10"/>
      <c r="CP1481" s="16"/>
      <c r="CQ1481" s="16"/>
      <c r="CR1481" s="16"/>
      <c r="CS1481" s="16"/>
      <c r="CT1481" s="10"/>
      <c r="CU1481" s="16"/>
      <c r="CV1481" s="16"/>
      <c r="CW1481" s="16"/>
      <c r="CX1481" s="16"/>
      <c r="CY1481" s="10"/>
      <c r="CZ1481" s="16"/>
      <c r="DA1481" s="16"/>
      <c r="DB1481" s="16"/>
      <c r="DC1481" s="16"/>
      <c r="DD1481" s="10"/>
      <c r="DE1481" s="16"/>
      <c r="DF1481" s="16"/>
      <c r="DG1481" s="16"/>
      <c r="DH1481" s="16"/>
      <c r="DI1481" s="10"/>
      <c r="DJ1481" s="16"/>
      <c r="DK1481" s="16"/>
      <c r="DL1481" s="16"/>
      <c r="DM1481" s="16"/>
      <c r="DN1481" s="10"/>
      <c r="DO1481" s="16"/>
      <c r="DP1481" s="16"/>
      <c r="DQ1481" s="16"/>
      <c r="DR1481" s="16"/>
      <c r="DS1481" s="10"/>
      <c r="DT1481" s="16"/>
      <c r="DU1481" s="16"/>
      <c r="DV1481" s="16"/>
      <c r="DW1481" s="16"/>
      <c r="DX1481" s="10"/>
      <c r="DY1481" s="16"/>
      <c r="DZ1481" s="16"/>
      <c r="EA1481" s="16"/>
      <c r="EB1481" s="16"/>
      <c r="EC1481" s="10"/>
      <c r="ED1481" s="16"/>
      <c r="EE1481" s="16"/>
      <c r="EF1481" s="16"/>
      <c r="EG1481" s="16"/>
      <c r="EH1481" s="10"/>
      <c r="EI1481" s="214"/>
      <c r="EJ1481" s="16"/>
      <c r="EK1481" s="16"/>
      <c r="EL1481" s="16"/>
      <c r="EM1481" s="10"/>
      <c r="EN1481" s="16"/>
      <c r="EO1481" s="16"/>
      <c r="EP1481" s="16"/>
      <c r="EQ1481" s="16"/>
      <c r="ER1481" s="10"/>
      <c r="ES1481" s="16"/>
      <c r="ET1481" s="16"/>
      <c r="EU1481" s="16"/>
      <c r="EV1481" s="16"/>
      <c r="EW1481" s="10"/>
      <c r="EX1481" s="16"/>
      <c r="EY1481" s="16"/>
      <c r="EZ1481" s="16"/>
      <c r="FA1481" s="16"/>
      <c r="FB1481" s="10"/>
      <c r="FC1481" s="16"/>
      <c r="FD1481" s="16"/>
      <c r="FE1481" s="16"/>
      <c r="FF1481" s="16"/>
      <c r="FG1481" s="10"/>
      <c r="FH1481" s="21"/>
      <c r="FI1481" s="16"/>
      <c r="FJ1481" s="16"/>
      <c r="FK1481" s="16"/>
      <c r="FL1481" s="16"/>
    </row>
    <row r="1482" ht="12.75" customHeight="1">
      <c r="A1482" s="16"/>
      <c r="B1482" s="16"/>
      <c r="C1482" s="16"/>
      <c r="D1482" s="16"/>
      <c r="E1482" s="16"/>
      <c r="F1482" s="16"/>
      <c r="G1482" s="16"/>
      <c r="H1482" s="31"/>
      <c r="I1482" s="32"/>
      <c r="J1482" s="32"/>
      <c r="K1482" s="32"/>
      <c r="L1482" s="32"/>
      <c r="M1482" s="31"/>
      <c r="N1482" s="32"/>
      <c r="O1482" s="32"/>
      <c r="P1482" s="32"/>
      <c r="Q1482" s="32"/>
      <c r="R1482" s="33"/>
      <c r="S1482" s="32"/>
      <c r="T1482" s="32"/>
      <c r="U1482" s="32"/>
      <c r="V1482" s="32"/>
      <c r="W1482" s="33"/>
      <c r="X1482" s="32"/>
      <c r="Y1482" s="32"/>
      <c r="Z1482" s="32"/>
      <c r="AA1482" s="32"/>
      <c r="AB1482" s="31"/>
      <c r="AC1482" s="32"/>
      <c r="AD1482" s="32"/>
      <c r="AE1482" s="32"/>
      <c r="AF1482" s="32"/>
      <c r="AG1482" s="31"/>
      <c r="AH1482" s="32"/>
      <c r="AI1482" s="32"/>
      <c r="AJ1482" s="32"/>
      <c r="AK1482" s="32"/>
      <c r="AL1482" s="31"/>
      <c r="AM1482" s="32"/>
      <c r="AN1482" s="32"/>
      <c r="AO1482" s="32"/>
      <c r="AP1482" s="32"/>
      <c r="AQ1482" s="31"/>
      <c r="AR1482" s="32"/>
      <c r="AS1482" s="32"/>
      <c r="AT1482" s="32"/>
      <c r="AU1482" s="32"/>
      <c r="AV1482" s="31"/>
      <c r="AW1482" s="32"/>
      <c r="AX1482" s="32"/>
      <c r="AY1482" s="32"/>
      <c r="AZ1482" s="32"/>
      <c r="BA1482" s="33"/>
      <c r="BB1482" s="32"/>
      <c r="BC1482" s="32"/>
      <c r="BD1482" s="32"/>
      <c r="BE1482" s="32"/>
      <c r="BF1482" s="33"/>
      <c r="BG1482" s="32"/>
      <c r="BH1482" s="32"/>
      <c r="BI1482" s="32"/>
      <c r="BJ1482" s="32"/>
      <c r="BK1482" s="33"/>
      <c r="BL1482" s="32"/>
      <c r="BM1482" s="32"/>
      <c r="BN1482" s="32"/>
      <c r="BO1482" s="32"/>
      <c r="BP1482" s="33"/>
      <c r="BQ1482" s="16"/>
      <c r="BR1482" s="16"/>
      <c r="BS1482" s="16"/>
      <c r="BT1482" s="16"/>
      <c r="BU1482" s="21"/>
      <c r="BV1482" s="16"/>
      <c r="BW1482" s="16"/>
      <c r="BX1482" s="16"/>
      <c r="BY1482" s="16"/>
      <c r="BZ1482" s="10"/>
      <c r="CA1482" s="16"/>
      <c r="CB1482" s="16"/>
      <c r="CC1482" s="16"/>
      <c r="CD1482" s="16"/>
      <c r="CE1482" s="10"/>
      <c r="CF1482" s="16"/>
      <c r="CG1482" s="16"/>
      <c r="CH1482" s="16"/>
      <c r="CI1482" s="16"/>
      <c r="CJ1482" s="10"/>
      <c r="CK1482" s="16"/>
      <c r="CL1482" s="16"/>
      <c r="CM1482" s="16"/>
      <c r="CN1482" s="16"/>
      <c r="CO1482" s="10"/>
      <c r="CP1482" s="16"/>
      <c r="CQ1482" s="16"/>
      <c r="CR1482" s="16"/>
      <c r="CS1482" s="16"/>
      <c r="CT1482" s="10"/>
      <c r="CU1482" s="16"/>
      <c r="CV1482" s="16"/>
      <c r="CW1482" s="16"/>
      <c r="CX1482" s="16"/>
      <c r="CY1482" s="10"/>
      <c r="CZ1482" s="16"/>
      <c r="DA1482" s="16"/>
      <c r="DB1482" s="16"/>
      <c r="DC1482" s="16"/>
      <c r="DD1482" s="10"/>
      <c r="DE1482" s="16"/>
      <c r="DF1482" s="16"/>
      <c r="DG1482" s="16"/>
      <c r="DH1482" s="16"/>
      <c r="DI1482" s="10"/>
      <c r="DJ1482" s="16"/>
      <c r="DK1482" s="16"/>
      <c r="DL1482" s="16"/>
      <c r="DM1482" s="16"/>
      <c r="DN1482" s="10"/>
      <c r="DO1482" s="16"/>
      <c r="DP1482" s="16"/>
      <c r="DQ1482" s="16"/>
      <c r="DR1482" s="16"/>
      <c r="DS1482" s="10"/>
      <c r="DT1482" s="16"/>
      <c r="DU1482" s="16"/>
      <c r="DV1482" s="16"/>
      <c r="DW1482" s="16"/>
      <c r="DX1482" s="10"/>
      <c r="DY1482" s="16"/>
      <c r="DZ1482" s="16"/>
      <c r="EA1482" s="16"/>
      <c r="EB1482" s="16"/>
      <c r="EC1482" s="10"/>
      <c r="ED1482" s="16"/>
      <c r="EE1482" s="16"/>
      <c r="EF1482" s="16"/>
      <c r="EG1482" s="16"/>
      <c r="EH1482" s="10"/>
      <c r="EI1482" s="214"/>
      <c r="EJ1482" s="16"/>
      <c r="EK1482" s="16"/>
      <c r="EL1482" s="16"/>
      <c r="EM1482" s="10"/>
      <c r="EN1482" s="16"/>
      <c r="EO1482" s="16"/>
      <c r="EP1482" s="16"/>
      <c r="EQ1482" s="16"/>
      <c r="ER1482" s="10"/>
      <c r="ES1482" s="16"/>
      <c r="ET1482" s="16"/>
      <c r="EU1482" s="16"/>
      <c r="EV1482" s="16"/>
      <c r="EW1482" s="10"/>
      <c r="EX1482" s="16"/>
      <c r="EY1482" s="16"/>
      <c r="EZ1482" s="16"/>
      <c r="FA1482" s="16"/>
      <c r="FB1482" s="10"/>
      <c r="FC1482" s="16"/>
      <c r="FD1482" s="16"/>
      <c r="FE1482" s="16"/>
      <c r="FF1482" s="16"/>
      <c r="FG1482" s="10"/>
      <c r="FH1482" s="21"/>
      <c r="FI1482" s="16"/>
      <c r="FJ1482" s="16"/>
      <c r="FK1482" s="16"/>
      <c r="FL1482" s="16"/>
    </row>
    <row r="1483" ht="12.75" customHeight="1">
      <c r="A1483" s="16"/>
      <c r="B1483" s="16"/>
      <c r="C1483" s="16"/>
      <c r="D1483" s="16"/>
      <c r="E1483" s="16"/>
      <c r="F1483" s="16"/>
      <c r="G1483" s="16"/>
      <c r="H1483" s="31"/>
      <c r="I1483" s="32"/>
      <c r="J1483" s="32"/>
      <c r="K1483" s="32"/>
      <c r="L1483" s="32"/>
      <c r="M1483" s="31"/>
      <c r="N1483" s="32"/>
      <c r="O1483" s="32"/>
      <c r="P1483" s="32"/>
      <c r="Q1483" s="32"/>
      <c r="R1483" s="33"/>
      <c r="S1483" s="32"/>
      <c r="T1483" s="32"/>
      <c r="U1483" s="32"/>
      <c r="V1483" s="32"/>
      <c r="W1483" s="33"/>
      <c r="X1483" s="32"/>
      <c r="Y1483" s="32"/>
      <c r="Z1483" s="32"/>
      <c r="AA1483" s="32"/>
      <c r="AB1483" s="31"/>
      <c r="AC1483" s="32"/>
      <c r="AD1483" s="32"/>
      <c r="AE1483" s="32"/>
      <c r="AF1483" s="32"/>
      <c r="AG1483" s="31"/>
      <c r="AH1483" s="32"/>
      <c r="AI1483" s="32"/>
      <c r="AJ1483" s="32"/>
      <c r="AK1483" s="32"/>
      <c r="AL1483" s="31"/>
      <c r="AM1483" s="32"/>
      <c r="AN1483" s="32"/>
      <c r="AO1483" s="32"/>
      <c r="AP1483" s="32"/>
      <c r="AQ1483" s="31"/>
      <c r="AR1483" s="32"/>
      <c r="AS1483" s="32"/>
      <c r="AT1483" s="32"/>
      <c r="AU1483" s="32"/>
      <c r="AV1483" s="31"/>
      <c r="AW1483" s="32"/>
      <c r="AX1483" s="32"/>
      <c r="AY1483" s="32"/>
      <c r="AZ1483" s="32"/>
      <c r="BA1483" s="33"/>
      <c r="BB1483" s="32"/>
      <c r="BC1483" s="32"/>
      <c r="BD1483" s="32"/>
      <c r="BE1483" s="32"/>
      <c r="BF1483" s="33"/>
      <c r="BG1483" s="32"/>
      <c r="BH1483" s="32"/>
      <c r="BI1483" s="32"/>
      <c r="BJ1483" s="32"/>
      <c r="BK1483" s="33"/>
      <c r="BL1483" s="32"/>
      <c r="BM1483" s="32"/>
      <c r="BN1483" s="32"/>
      <c r="BO1483" s="32"/>
      <c r="BP1483" s="33"/>
      <c r="BQ1483" s="16"/>
      <c r="BR1483" s="16"/>
      <c r="BS1483" s="16"/>
      <c r="BT1483" s="16"/>
      <c r="BU1483" s="21"/>
      <c r="BV1483" s="16"/>
      <c r="BW1483" s="16"/>
      <c r="BX1483" s="16"/>
      <c r="BY1483" s="16"/>
      <c r="BZ1483" s="10"/>
      <c r="CA1483" s="16"/>
      <c r="CB1483" s="16"/>
      <c r="CC1483" s="16"/>
      <c r="CD1483" s="16"/>
      <c r="CE1483" s="10"/>
      <c r="CF1483" s="16"/>
      <c r="CG1483" s="16"/>
      <c r="CH1483" s="16"/>
      <c r="CI1483" s="16"/>
      <c r="CJ1483" s="10"/>
      <c r="CK1483" s="16"/>
      <c r="CL1483" s="16"/>
      <c r="CM1483" s="16"/>
      <c r="CN1483" s="16"/>
      <c r="CO1483" s="10"/>
      <c r="CP1483" s="16"/>
      <c r="CQ1483" s="16"/>
      <c r="CR1483" s="16"/>
      <c r="CS1483" s="16"/>
      <c r="CT1483" s="10"/>
      <c r="CU1483" s="16"/>
      <c r="CV1483" s="16"/>
      <c r="CW1483" s="16"/>
      <c r="CX1483" s="16"/>
      <c r="CY1483" s="10"/>
      <c r="CZ1483" s="16"/>
      <c r="DA1483" s="16"/>
      <c r="DB1483" s="16"/>
      <c r="DC1483" s="16"/>
      <c r="DD1483" s="10"/>
      <c r="DE1483" s="16"/>
      <c r="DF1483" s="16"/>
      <c r="DG1483" s="16"/>
      <c r="DH1483" s="16"/>
      <c r="DI1483" s="10"/>
      <c r="DJ1483" s="16"/>
      <c r="DK1483" s="16"/>
      <c r="DL1483" s="16"/>
      <c r="DM1483" s="16"/>
      <c r="DN1483" s="10"/>
      <c r="DO1483" s="16"/>
      <c r="DP1483" s="16"/>
      <c r="DQ1483" s="16"/>
      <c r="DR1483" s="16"/>
      <c r="DS1483" s="10"/>
      <c r="DT1483" s="16"/>
      <c r="DU1483" s="16"/>
      <c r="DV1483" s="16"/>
      <c r="DW1483" s="16"/>
      <c r="DX1483" s="10"/>
      <c r="DY1483" s="16"/>
      <c r="DZ1483" s="16"/>
      <c r="EA1483" s="16"/>
      <c r="EB1483" s="16"/>
      <c r="EC1483" s="10"/>
      <c r="ED1483" s="16"/>
      <c r="EE1483" s="16"/>
      <c r="EF1483" s="16"/>
      <c r="EG1483" s="16"/>
      <c r="EH1483" s="10"/>
      <c r="EI1483" s="214"/>
      <c r="EJ1483" s="16"/>
      <c r="EK1483" s="16"/>
      <c r="EL1483" s="16"/>
      <c r="EM1483" s="10"/>
      <c r="EN1483" s="16"/>
      <c r="EO1483" s="16"/>
      <c r="EP1483" s="16"/>
      <c r="EQ1483" s="16"/>
      <c r="ER1483" s="10"/>
      <c r="ES1483" s="16"/>
      <c r="ET1483" s="16"/>
      <c r="EU1483" s="16"/>
      <c r="EV1483" s="16"/>
      <c r="EW1483" s="10"/>
      <c r="EX1483" s="16"/>
      <c r="EY1483" s="16"/>
      <c r="EZ1483" s="16"/>
      <c r="FA1483" s="16"/>
      <c r="FB1483" s="10"/>
      <c r="FC1483" s="16"/>
      <c r="FD1483" s="16"/>
      <c r="FE1483" s="16"/>
      <c r="FF1483" s="16"/>
      <c r="FG1483" s="10"/>
      <c r="FH1483" s="21"/>
      <c r="FI1483" s="16"/>
      <c r="FJ1483" s="16"/>
      <c r="FK1483" s="16"/>
      <c r="FL1483" s="16"/>
    </row>
    <row r="1484" ht="12.75" customHeight="1">
      <c r="A1484" s="16"/>
      <c r="B1484" s="16"/>
      <c r="C1484" s="16"/>
      <c r="D1484" s="16"/>
      <c r="E1484" s="16"/>
      <c r="F1484" s="16"/>
      <c r="G1484" s="16"/>
      <c r="H1484" s="31"/>
      <c r="I1484" s="32"/>
      <c r="J1484" s="32"/>
      <c r="K1484" s="32"/>
      <c r="L1484" s="32"/>
      <c r="M1484" s="31"/>
      <c r="N1484" s="32"/>
      <c r="O1484" s="32"/>
      <c r="P1484" s="32"/>
      <c r="Q1484" s="32"/>
      <c r="R1484" s="33"/>
      <c r="S1484" s="32"/>
      <c r="T1484" s="32"/>
      <c r="U1484" s="32"/>
      <c r="V1484" s="32"/>
      <c r="W1484" s="33"/>
      <c r="X1484" s="32"/>
      <c r="Y1484" s="32"/>
      <c r="Z1484" s="32"/>
      <c r="AA1484" s="32"/>
      <c r="AB1484" s="31"/>
      <c r="AC1484" s="32"/>
      <c r="AD1484" s="32"/>
      <c r="AE1484" s="32"/>
      <c r="AF1484" s="32"/>
      <c r="AG1484" s="31"/>
      <c r="AH1484" s="32"/>
      <c r="AI1484" s="32"/>
      <c r="AJ1484" s="32"/>
      <c r="AK1484" s="32"/>
      <c r="AL1484" s="31"/>
      <c r="AM1484" s="32"/>
      <c r="AN1484" s="32"/>
      <c r="AO1484" s="32"/>
      <c r="AP1484" s="32"/>
      <c r="AQ1484" s="31"/>
      <c r="AR1484" s="32"/>
      <c r="AS1484" s="32"/>
      <c r="AT1484" s="32"/>
      <c r="AU1484" s="32"/>
      <c r="AV1484" s="31"/>
      <c r="AW1484" s="32"/>
      <c r="AX1484" s="32"/>
      <c r="AY1484" s="32"/>
      <c r="AZ1484" s="32"/>
      <c r="BA1484" s="33"/>
      <c r="BB1484" s="32"/>
      <c r="BC1484" s="32"/>
      <c r="BD1484" s="32"/>
      <c r="BE1484" s="32"/>
      <c r="BF1484" s="33"/>
      <c r="BG1484" s="32"/>
      <c r="BH1484" s="32"/>
      <c r="BI1484" s="32"/>
      <c r="BJ1484" s="32"/>
      <c r="BK1484" s="33"/>
      <c r="BL1484" s="32"/>
      <c r="BM1484" s="32"/>
      <c r="BN1484" s="32"/>
      <c r="BO1484" s="32"/>
      <c r="BP1484" s="33"/>
      <c r="BQ1484" s="16"/>
      <c r="BR1484" s="16"/>
      <c r="BS1484" s="16"/>
      <c r="BT1484" s="16"/>
      <c r="BU1484" s="21"/>
      <c r="BV1484" s="16"/>
      <c r="BW1484" s="16"/>
      <c r="BX1484" s="16"/>
      <c r="BY1484" s="16"/>
      <c r="BZ1484" s="10"/>
      <c r="CA1484" s="16"/>
      <c r="CB1484" s="16"/>
      <c r="CC1484" s="16"/>
      <c r="CD1484" s="16"/>
      <c r="CE1484" s="10"/>
      <c r="CF1484" s="16"/>
      <c r="CG1484" s="16"/>
      <c r="CH1484" s="16"/>
      <c r="CI1484" s="16"/>
      <c r="CJ1484" s="10"/>
      <c r="CK1484" s="16"/>
      <c r="CL1484" s="16"/>
      <c r="CM1484" s="16"/>
      <c r="CN1484" s="16"/>
      <c r="CO1484" s="10"/>
      <c r="CP1484" s="16"/>
      <c r="CQ1484" s="16"/>
      <c r="CR1484" s="16"/>
      <c r="CS1484" s="16"/>
      <c r="CT1484" s="10"/>
      <c r="CU1484" s="16"/>
      <c r="CV1484" s="16"/>
      <c r="CW1484" s="16"/>
      <c r="CX1484" s="16"/>
      <c r="CY1484" s="10"/>
      <c r="CZ1484" s="16"/>
      <c r="DA1484" s="16"/>
      <c r="DB1484" s="16"/>
      <c r="DC1484" s="16"/>
      <c r="DD1484" s="10"/>
      <c r="DE1484" s="16"/>
      <c r="DF1484" s="16"/>
      <c r="DG1484" s="16"/>
      <c r="DH1484" s="16"/>
      <c r="DI1484" s="10"/>
      <c r="DJ1484" s="16"/>
      <c r="DK1484" s="16"/>
      <c r="DL1484" s="16"/>
      <c r="DM1484" s="16"/>
      <c r="DN1484" s="10"/>
      <c r="DO1484" s="16"/>
      <c r="DP1484" s="16"/>
      <c r="DQ1484" s="16"/>
      <c r="DR1484" s="16"/>
      <c r="DS1484" s="10"/>
      <c r="DT1484" s="16"/>
      <c r="DU1484" s="16"/>
      <c r="DV1484" s="16"/>
      <c r="DW1484" s="16"/>
      <c r="DX1484" s="10"/>
      <c r="DY1484" s="16"/>
      <c r="DZ1484" s="16"/>
      <c r="EA1484" s="16"/>
      <c r="EB1484" s="16"/>
      <c r="EC1484" s="10"/>
      <c r="ED1484" s="16"/>
      <c r="EE1484" s="16"/>
      <c r="EF1484" s="16"/>
      <c r="EG1484" s="16"/>
      <c r="EH1484" s="10"/>
      <c r="EI1484" s="214"/>
      <c r="EJ1484" s="16"/>
      <c r="EK1484" s="16"/>
      <c r="EL1484" s="16"/>
      <c r="EM1484" s="10"/>
      <c r="EN1484" s="16"/>
      <c r="EO1484" s="16"/>
      <c r="EP1484" s="16"/>
      <c r="EQ1484" s="16"/>
      <c r="ER1484" s="10"/>
      <c r="ES1484" s="16"/>
      <c r="ET1484" s="16"/>
      <c r="EU1484" s="16"/>
      <c r="EV1484" s="16"/>
      <c r="EW1484" s="10"/>
      <c r="EX1484" s="16"/>
      <c r="EY1484" s="16"/>
      <c r="EZ1484" s="16"/>
      <c r="FA1484" s="16"/>
      <c r="FB1484" s="10"/>
      <c r="FC1484" s="16"/>
      <c r="FD1484" s="16"/>
      <c r="FE1484" s="16"/>
      <c r="FF1484" s="16"/>
      <c r="FG1484" s="10"/>
      <c r="FH1484" s="21"/>
      <c r="FI1484" s="16"/>
      <c r="FJ1484" s="16"/>
      <c r="FK1484" s="16"/>
      <c r="FL1484" s="16"/>
    </row>
    <row r="1485" ht="12.75" customHeight="1">
      <c r="A1485" s="16"/>
      <c r="B1485" s="16"/>
      <c r="C1485" s="16"/>
      <c r="D1485" s="16"/>
      <c r="E1485" s="16"/>
      <c r="F1485" s="16"/>
      <c r="G1485" s="16"/>
      <c r="H1485" s="31"/>
      <c r="I1485" s="32"/>
      <c r="J1485" s="32"/>
      <c r="K1485" s="32"/>
      <c r="L1485" s="32"/>
      <c r="M1485" s="31"/>
      <c r="N1485" s="32"/>
      <c r="O1485" s="32"/>
      <c r="P1485" s="32"/>
      <c r="Q1485" s="32"/>
      <c r="R1485" s="33"/>
      <c r="S1485" s="32"/>
      <c r="T1485" s="32"/>
      <c r="U1485" s="32"/>
      <c r="V1485" s="32"/>
      <c r="W1485" s="33"/>
      <c r="X1485" s="32"/>
      <c r="Y1485" s="32"/>
      <c r="Z1485" s="32"/>
      <c r="AA1485" s="32"/>
      <c r="AB1485" s="31"/>
      <c r="AC1485" s="32"/>
      <c r="AD1485" s="32"/>
      <c r="AE1485" s="32"/>
      <c r="AF1485" s="32"/>
      <c r="AG1485" s="31"/>
      <c r="AH1485" s="32"/>
      <c r="AI1485" s="32"/>
      <c r="AJ1485" s="32"/>
      <c r="AK1485" s="32"/>
      <c r="AL1485" s="31"/>
      <c r="AM1485" s="32"/>
      <c r="AN1485" s="32"/>
      <c r="AO1485" s="32"/>
      <c r="AP1485" s="32"/>
      <c r="AQ1485" s="31"/>
      <c r="AR1485" s="32"/>
      <c r="AS1485" s="32"/>
      <c r="AT1485" s="32"/>
      <c r="AU1485" s="32"/>
      <c r="AV1485" s="31"/>
      <c r="AW1485" s="32"/>
      <c r="AX1485" s="32"/>
      <c r="AY1485" s="32"/>
      <c r="AZ1485" s="32"/>
      <c r="BA1485" s="33"/>
      <c r="BB1485" s="32"/>
      <c r="BC1485" s="32"/>
      <c r="BD1485" s="32"/>
      <c r="BE1485" s="32"/>
      <c r="BF1485" s="33"/>
      <c r="BG1485" s="32"/>
      <c r="BH1485" s="32"/>
      <c r="BI1485" s="32"/>
      <c r="BJ1485" s="32"/>
      <c r="BK1485" s="33"/>
      <c r="BL1485" s="32"/>
      <c r="BM1485" s="32"/>
      <c r="BN1485" s="32"/>
      <c r="BO1485" s="32"/>
      <c r="BP1485" s="33"/>
      <c r="BQ1485" s="16"/>
      <c r="BR1485" s="16"/>
      <c r="BS1485" s="16"/>
      <c r="BT1485" s="16"/>
      <c r="BU1485" s="21"/>
      <c r="BV1485" s="16"/>
      <c r="BW1485" s="16"/>
      <c r="BX1485" s="16"/>
      <c r="BY1485" s="16"/>
      <c r="BZ1485" s="10"/>
      <c r="CA1485" s="16"/>
      <c r="CB1485" s="16"/>
      <c r="CC1485" s="16"/>
      <c r="CD1485" s="16"/>
      <c r="CE1485" s="10"/>
      <c r="CF1485" s="16"/>
      <c r="CG1485" s="16"/>
      <c r="CH1485" s="16"/>
      <c r="CI1485" s="16"/>
      <c r="CJ1485" s="10"/>
      <c r="CK1485" s="16"/>
      <c r="CL1485" s="16"/>
      <c r="CM1485" s="16"/>
      <c r="CN1485" s="16"/>
      <c r="CO1485" s="10"/>
      <c r="CP1485" s="16"/>
      <c r="CQ1485" s="16"/>
      <c r="CR1485" s="16"/>
      <c r="CS1485" s="16"/>
      <c r="CT1485" s="10"/>
      <c r="CU1485" s="16"/>
      <c r="CV1485" s="16"/>
      <c r="CW1485" s="16"/>
      <c r="CX1485" s="16"/>
      <c r="CY1485" s="10"/>
      <c r="CZ1485" s="16"/>
      <c r="DA1485" s="16"/>
      <c r="DB1485" s="16"/>
      <c r="DC1485" s="16"/>
      <c r="DD1485" s="10"/>
      <c r="DE1485" s="16"/>
      <c r="DF1485" s="16"/>
      <c r="DG1485" s="16"/>
      <c r="DH1485" s="16"/>
      <c r="DI1485" s="10"/>
      <c r="DJ1485" s="16"/>
      <c r="DK1485" s="16"/>
      <c r="DL1485" s="16"/>
      <c r="DM1485" s="16"/>
      <c r="DN1485" s="10"/>
      <c r="DO1485" s="16"/>
      <c r="DP1485" s="16"/>
      <c r="DQ1485" s="16"/>
      <c r="DR1485" s="16"/>
      <c r="DS1485" s="10"/>
      <c r="DT1485" s="16"/>
      <c r="DU1485" s="16"/>
      <c r="DV1485" s="16"/>
      <c r="DW1485" s="16"/>
      <c r="DX1485" s="10"/>
      <c r="DY1485" s="16"/>
      <c r="DZ1485" s="16"/>
      <c r="EA1485" s="16"/>
      <c r="EB1485" s="16"/>
      <c r="EC1485" s="10"/>
      <c r="ED1485" s="16"/>
      <c r="EE1485" s="16"/>
      <c r="EF1485" s="16"/>
      <c r="EG1485" s="16"/>
      <c r="EH1485" s="10"/>
      <c r="EI1485" s="214"/>
      <c r="EJ1485" s="16"/>
      <c r="EK1485" s="16"/>
      <c r="EL1485" s="16"/>
      <c r="EM1485" s="10"/>
      <c r="EN1485" s="16"/>
      <c r="EO1485" s="16"/>
      <c r="EP1485" s="16"/>
      <c r="EQ1485" s="16"/>
      <c r="ER1485" s="10"/>
      <c r="ES1485" s="16"/>
      <c r="ET1485" s="16"/>
      <c r="EU1485" s="16"/>
      <c r="EV1485" s="16"/>
      <c r="EW1485" s="10"/>
      <c r="EX1485" s="16"/>
      <c r="EY1485" s="16"/>
      <c r="EZ1485" s="16"/>
      <c r="FA1485" s="16"/>
      <c r="FB1485" s="10"/>
      <c r="FC1485" s="16"/>
      <c r="FD1485" s="16"/>
      <c r="FE1485" s="16"/>
      <c r="FF1485" s="16"/>
      <c r="FG1485" s="10"/>
      <c r="FH1485" s="21"/>
      <c r="FI1485" s="16"/>
      <c r="FJ1485" s="16"/>
      <c r="FK1485" s="16"/>
      <c r="FL1485" s="16"/>
    </row>
    <row r="1486" ht="12.75" customHeight="1">
      <c r="A1486" s="16"/>
      <c r="B1486" s="16"/>
      <c r="C1486" s="16"/>
      <c r="D1486" s="16"/>
      <c r="E1486" s="16"/>
      <c r="F1486" s="16"/>
      <c r="G1486" s="16"/>
      <c r="H1486" s="31"/>
      <c r="I1486" s="32"/>
      <c r="J1486" s="32"/>
      <c r="K1486" s="32"/>
      <c r="L1486" s="32"/>
      <c r="M1486" s="31"/>
      <c r="N1486" s="32"/>
      <c r="O1486" s="32"/>
      <c r="P1486" s="32"/>
      <c r="Q1486" s="32"/>
      <c r="R1486" s="33"/>
      <c r="S1486" s="32"/>
      <c r="T1486" s="32"/>
      <c r="U1486" s="32"/>
      <c r="V1486" s="32"/>
      <c r="W1486" s="33"/>
      <c r="X1486" s="32"/>
      <c r="Y1486" s="32"/>
      <c r="Z1486" s="32"/>
      <c r="AA1486" s="32"/>
      <c r="AB1486" s="31"/>
      <c r="AC1486" s="32"/>
      <c r="AD1486" s="32"/>
      <c r="AE1486" s="32"/>
      <c r="AF1486" s="32"/>
      <c r="AG1486" s="31"/>
      <c r="AH1486" s="32"/>
      <c r="AI1486" s="32"/>
      <c r="AJ1486" s="32"/>
      <c r="AK1486" s="32"/>
      <c r="AL1486" s="31"/>
      <c r="AM1486" s="32"/>
      <c r="AN1486" s="32"/>
      <c r="AO1486" s="32"/>
      <c r="AP1486" s="32"/>
      <c r="AQ1486" s="31"/>
      <c r="AR1486" s="32"/>
      <c r="AS1486" s="32"/>
      <c r="AT1486" s="32"/>
      <c r="AU1486" s="32"/>
      <c r="AV1486" s="31"/>
      <c r="AW1486" s="32"/>
      <c r="AX1486" s="32"/>
      <c r="AY1486" s="32"/>
      <c r="AZ1486" s="32"/>
      <c r="BA1486" s="33"/>
      <c r="BB1486" s="32"/>
      <c r="BC1486" s="32"/>
      <c r="BD1486" s="32"/>
      <c r="BE1486" s="32"/>
      <c r="BF1486" s="33"/>
      <c r="BG1486" s="32"/>
      <c r="BH1486" s="32"/>
      <c r="BI1486" s="32"/>
      <c r="BJ1486" s="32"/>
      <c r="BK1486" s="33"/>
      <c r="BL1486" s="32"/>
      <c r="BM1486" s="32"/>
      <c r="BN1486" s="32"/>
      <c r="BO1486" s="32"/>
      <c r="BP1486" s="33"/>
      <c r="BQ1486" s="16"/>
      <c r="BR1486" s="16"/>
      <c r="BS1486" s="16"/>
      <c r="BT1486" s="16"/>
      <c r="BU1486" s="21"/>
      <c r="BV1486" s="16"/>
      <c r="BW1486" s="16"/>
      <c r="BX1486" s="16"/>
      <c r="BY1486" s="16"/>
      <c r="BZ1486" s="10"/>
      <c r="CA1486" s="16"/>
      <c r="CB1486" s="16"/>
      <c r="CC1486" s="16"/>
      <c r="CD1486" s="16"/>
      <c r="CE1486" s="10"/>
      <c r="CF1486" s="16"/>
      <c r="CG1486" s="16"/>
      <c r="CH1486" s="16"/>
      <c r="CI1486" s="16"/>
      <c r="CJ1486" s="10"/>
      <c r="CK1486" s="16"/>
      <c r="CL1486" s="16"/>
      <c r="CM1486" s="16"/>
      <c r="CN1486" s="16"/>
      <c r="CO1486" s="10"/>
      <c r="CP1486" s="16"/>
      <c r="CQ1486" s="16"/>
      <c r="CR1486" s="16"/>
      <c r="CS1486" s="16"/>
      <c r="CT1486" s="10"/>
      <c r="CU1486" s="16"/>
      <c r="CV1486" s="16"/>
      <c r="CW1486" s="16"/>
      <c r="CX1486" s="16"/>
      <c r="CY1486" s="10"/>
      <c r="CZ1486" s="16"/>
      <c r="DA1486" s="16"/>
      <c r="DB1486" s="16"/>
      <c r="DC1486" s="16"/>
      <c r="DD1486" s="10"/>
      <c r="DE1486" s="16"/>
      <c r="DF1486" s="16"/>
      <c r="DG1486" s="16"/>
      <c r="DH1486" s="16"/>
      <c r="DI1486" s="10"/>
      <c r="DJ1486" s="16"/>
      <c r="DK1486" s="16"/>
      <c r="DL1486" s="16"/>
      <c r="DM1486" s="16"/>
      <c r="DN1486" s="10"/>
      <c r="DO1486" s="16"/>
      <c r="DP1486" s="16"/>
      <c r="DQ1486" s="16"/>
      <c r="DR1486" s="16"/>
      <c r="DS1486" s="10"/>
      <c r="DT1486" s="16"/>
      <c r="DU1486" s="16"/>
      <c r="DV1486" s="16"/>
      <c r="DW1486" s="16"/>
      <c r="DX1486" s="10"/>
      <c r="DY1486" s="16"/>
      <c r="DZ1486" s="16"/>
      <c r="EA1486" s="16"/>
      <c r="EB1486" s="16"/>
      <c r="EC1486" s="10"/>
      <c r="ED1486" s="16"/>
      <c r="EE1486" s="16"/>
      <c r="EF1486" s="16"/>
      <c r="EG1486" s="16"/>
      <c r="EH1486" s="10"/>
      <c r="EI1486" s="214"/>
      <c r="EJ1486" s="16"/>
      <c r="EK1486" s="16"/>
      <c r="EL1486" s="16"/>
      <c r="EM1486" s="10"/>
      <c r="EN1486" s="16"/>
      <c r="EO1486" s="16"/>
      <c r="EP1486" s="16"/>
      <c r="EQ1486" s="16"/>
      <c r="ER1486" s="10"/>
      <c r="ES1486" s="16"/>
      <c r="ET1486" s="16"/>
      <c r="EU1486" s="16"/>
      <c r="EV1486" s="16"/>
      <c r="EW1486" s="10"/>
      <c r="EX1486" s="16"/>
      <c r="EY1486" s="16"/>
      <c r="EZ1486" s="16"/>
      <c r="FA1486" s="16"/>
      <c r="FB1486" s="10"/>
      <c r="FC1486" s="16"/>
      <c r="FD1486" s="16"/>
      <c r="FE1486" s="16"/>
      <c r="FF1486" s="16"/>
      <c r="FG1486" s="10"/>
      <c r="FH1486" s="21"/>
      <c r="FI1486" s="16"/>
      <c r="FJ1486" s="16"/>
      <c r="FK1486" s="16"/>
      <c r="FL1486" s="16"/>
    </row>
    <row r="1487" ht="12.75" customHeight="1">
      <c r="A1487" s="16"/>
      <c r="B1487" s="16"/>
      <c r="C1487" s="16"/>
      <c r="D1487" s="16"/>
      <c r="E1487" s="16"/>
      <c r="F1487" s="16"/>
      <c r="G1487" s="16"/>
      <c r="H1487" s="31"/>
      <c r="I1487" s="32"/>
      <c r="J1487" s="32"/>
      <c r="K1487" s="32"/>
      <c r="L1487" s="32"/>
      <c r="M1487" s="31"/>
      <c r="N1487" s="32"/>
      <c r="O1487" s="32"/>
      <c r="P1487" s="32"/>
      <c r="Q1487" s="32"/>
      <c r="R1487" s="33"/>
      <c r="S1487" s="32"/>
      <c r="T1487" s="32"/>
      <c r="U1487" s="32"/>
      <c r="V1487" s="32"/>
      <c r="W1487" s="33"/>
      <c r="X1487" s="32"/>
      <c r="Y1487" s="32"/>
      <c r="Z1487" s="32"/>
      <c r="AA1487" s="32"/>
      <c r="AB1487" s="31"/>
      <c r="AC1487" s="32"/>
      <c r="AD1487" s="32"/>
      <c r="AE1487" s="32"/>
      <c r="AF1487" s="32"/>
      <c r="AG1487" s="31"/>
      <c r="AH1487" s="32"/>
      <c r="AI1487" s="32"/>
      <c r="AJ1487" s="32"/>
      <c r="AK1487" s="32"/>
      <c r="AL1487" s="31"/>
      <c r="AM1487" s="32"/>
      <c r="AN1487" s="32"/>
      <c r="AO1487" s="32"/>
      <c r="AP1487" s="32"/>
      <c r="AQ1487" s="31"/>
      <c r="AR1487" s="32"/>
      <c r="AS1487" s="32"/>
      <c r="AT1487" s="32"/>
      <c r="AU1487" s="32"/>
      <c r="AV1487" s="31"/>
      <c r="AW1487" s="32"/>
      <c r="AX1487" s="32"/>
      <c r="AY1487" s="32"/>
      <c r="AZ1487" s="32"/>
      <c r="BA1487" s="33"/>
      <c r="BB1487" s="32"/>
      <c r="BC1487" s="32"/>
      <c r="BD1487" s="32"/>
      <c r="BE1487" s="32"/>
      <c r="BF1487" s="33"/>
      <c r="BG1487" s="32"/>
      <c r="BH1487" s="32"/>
      <c r="BI1487" s="32"/>
      <c r="BJ1487" s="32"/>
      <c r="BK1487" s="33"/>
      <c r="BL1487" s="32"/>
      <c r="BM1487" s="32"/>
      <c r="BN1487" s="32"/>
      <c r="BO1487" s="32"/>
      <c r="BP1487" s="33"/>
      <c r="BQ1487" s="16"/>
      <c r="BR1487" s="16"/>
      <c r="BS1487" s="16"/>
      <c r="BT1487" s="16"/>
      <c r="BU1487" s="21"/>
      <c r="BV1487" s="16"/>
      <c r="BW1487" s="16"/>
      <c r="BX1487" s="16"/>
      <c r="BY1487" s="16"/>
      <c r="BZ1487" s="10"/>
      <c r="CA1487" s="16"/>
      <c r="CB1487" s="16"/>
      <c r="CC1487" s="16"/>
      <c r="CD1487" s="16"/>
      <c r="CE1487" s="10"/>
      <c r="CF1487" s="16"/>
      <c r="CG1487" s="16"/>
      <c r="CH1487" s="16"/>
      <c r="CI1487" s="16"/>
      <c r="CJ1487" s="10"/>
      <c r="CK1487" s="16"/>
      <c r="CL1487" s="16"/>
      <c r="CM1487" s="16"/>
      <c r="CN1487" s="16"/>
      <c r="CO1487" s="10"/>
      <c r="CP1487" s="16"/>
      <c r="CQ1487" s="16"/>
      <c r="CR1487" s="16"/>
      <c r="CS1487" s="16"/>
      <c r="CT1487" s="10"/>
      <c r="CU1487" s="16"/>
      <c r="CV1487" s="16"/>
      <c r="CW1487" s="16"/>
      <c r="CX1487" s="16"/>
      <c r="CY1487" s="10"/>
      <c r="CZ1487" s="16"/>
      <c r="DA1487" s="16"/>
      <c r="DB1487" s="16"/>
      <c r="DC1487" s="16"/>
      <c r="DD1487" s="10"/>
      <c r="DE1487" s="16"/>
      <c r="DF1487" s="16"/>
      <c r="DG1487" s="16"/>
      <c r="DH1487" s="16"/>
      <c r="DI1487" s="10"/>
      <c r="DJ1487" s="16"/>
      <c r="DK1487" s="16"/>
      <c r="DL1487" s="16"/>
      <c r="DM1487" s="16"/>
      <c r="DN1487" s="10"/>
      <c r="DO1487" s="16"/>
      <c r="DP1487" s="16"/>
      <c r="DQ1487" s="16"/>
      <c r="DR1487" s="16"/>
      <c r="DS1487" s="10"/>
      <c r="DT1487" s="16"/>
      <c r="DU1487" s="16"/>
      <c r="DV1487" s="16"/>
      <c r="DW1487" s="16"/>
      <c r="DX1487" s="10"/>
      <c r="DY1487" s="16"/>
      <c r="DZ1487" s="16"/>
      <c r="EA1487" s="16"/>
      <c r="EB1487" s="16"/>
      <c r="EC1487" s="10"/>
      <c r="ED1487" s="16"/>
      <c r="EE1487" s="16"/>
      <c r="EF1487" s="16"/>
      <c r="EG1487" s="16"/>
      <c r="EH1487" s="10"/>
      <c r="EI1487" s="214"/>
      <c r="EJ1487" s="16"/>
      <c r="EK1487" s="16"/>
      <c r="EL1487" s="16"/>
      <c r="EM1487" s="10"/>
      <c r="EN1487" s="16"/>
      <c r="EO1487" s="16"/>
      <c r="EP1487" s="16"/>
      <c r="EQ1487" s="16"/>
      <c r="ER1487" s="10"/>
      <c r="ES1487" s="16"/>
      <c r="ET1487" s="16"/>
      <c r="EU1487" s="16"/>
      <c r="EV1487" s="16"/>
      <c r="EW1487" s="10"/>
      <c r="EX1487" s="16"/>
      <c r="EY1487" s="16"/>
      <c r="EZ1487" s="16"/>
      <c r="FA1487" s="16"/>
      <c r="FB1487" s="10"/>
      <c r="FC1487" s="16"/>
      <c r="FD1487" s="16"/>
      <c r="FE1487" s="16"/>
      <c r="FF1487" s="16"/>
      <c r="FG1487" s="10"/>
      <c r="FH1487" s="21"/>
      <c r="FI1487" s="16"/>
      <c r="FJ1487" s="16"/>
      <c r="FK1487" s="16"/>
      <c r="FL1487" s="16"/>
    </row>
    <row r="1488" ht="12.75" customHeight="1">
      <c r="A1488" s="16"/>
      <c r="B1488" s="16"/>
      <c r="C1488" s="16"/>
      <c r="D1488" s="16"/>
      <c r="E1488" s="16"/>
      <c r="F1488" s="16"/>
      <c r="G1488" s="16"/>
      <c r="H1488" s="31"/>
      <c r="I1488" s="32"/>
      <c r="J1488" s="32"/>
      <c r="K1488" s="32"/>
      <c r="L1488" s="32"/>
      <c r="M1488" s="31"/>
      <c r="N1488" s="32"/>
      <c r="O1488" s="32"/>
      <c r="P1488" s="32"/>
      <c r="Q1488" s="32"/>
      <c r="R1488" s="33"/>
      <c r="S1488" s="32"/>
      <c r="T1488" s="32"/>
      <c r="U1488" s="32"/>
      <c r="V1488" s="32"/>
      <c r="W1488" s="33"/>
      <c r="X1488" s="32"/>
      <c r="Y1488" s="32"/>
      <c r="Z1488" s="32"/>
      <c r="AA1488" s="32"/>
      <c r="AB1488" s="31"/>
      <c r="AC1488" s="32"/>
      <c r="AD1488" s="32"/>
      <c r="AE1488" s="32"/>
      <c r="AF1488" s="32"/>
      <c r="AG1488" s="31"/>
      <c r="AH1488" s="32"/>
      <c r="AI1488" s="32"/>
      <c r="AJ1488" s="32"/>
      <c r="AK1488" s="32"/>
      <c r="AL1488" s="31"/>
      <c r="AM1488" s="32"/>
      <c r="AN1488" s="32"/>
      <c r="AO1488" s="32"/>
      <c r="AP1488" s="32"/>
      <c r="AQ1488" s="31"/>
      <c r="AR1488" s="32"/>
      <c r="AS1488" s="32"/>
      <c r="AT1488" s="32"/>
      <c r="AU1488" s="32"/>
      <c r="AV1488" s="31"/>
      <c r="AW1488" s="32"/>
      <c r="AX1488" s="32"/>
      <c r="AY1488" s="32"/>
      <c r="AZ1488" s="32"/>
      <c r="BA1488" s="33"/>
      <c r="BB1488" s="32"/>
      <c r="BC1488" s="32"/>
      <c r="BD1488" s="32"/>
      <c r="BE1488" s="32"/>
      <c r="BF1488" s="33"/>
      <c r="BG1488" s="32"/>
      <c r="BH1488" s="32"/>
      <c r="BI1488" s="32"/>
      <c r="BJ1488" s="32"/>
      <c r="BK1488" s="33"/>
      <c r="BL1488" s="32"/>
      <c r="BM1488" s="32"/>
      <c r="BN1488" s="32"/>
      <c r="BO1488" s="32"/>
      <c r="BP1488" s="33"/>
      <c r="BQ1488" s="16"/>
      <c r="BR1488" s="16"/>
      <c r="BS1488" s="16"/>
      <c r="BT1488" s="16"/>
      <c r="BU1488" s="21"/>
      <c r="BV1488" s="16"/>
      <c r="BW1488" s="16"/>
      <c r="BX1488" s="16"/>
      <c r="BY1488" s="16"/>
      <c r="BZ1488" s="10"/>
      <c r="CA1488" s="16"/>
      <c r="CB1488" s="16"/>
      <c r="CC1488" s="16"/>
      <c r="CD1488" s="16"/>
      <c r="CE1488" s="10"/>
      <c r="CF1488" s="16"/>
      <c r="CG1488" s="16"/>
      <c r="CH1488" s="16"/>
      <c r="CI1488" s="16"/>
      <c r="CJ1488" s="10"/>
      <c r="CK1488" s="16"/>
      <c r="CL1488" s="16"/>
      <c r="CM1488" s="16"/>
      <c r="CN1488" s="16"/>
      <c r="CO1488" s="10"/>
      <c r="CP1488" s="16"/>
      <c r="CQ1488" s="16"/>
      <c r="CR1488" s="16"/>
      <c r="CS1488" s="16"/>
      <c r="CT1488" s="10"/>
      <c r="CU1488" s="16"/>
      <c r="CV1488" s="16"/>
      <c r="CW1488" s="16"/>
      <c r="CX1488" s="16"/>
      <c r="CY1488" s="10"/>
      <c r="CZ1488" s="16"/>
      <c r="DA1488" s="16"/>
      <c r="DB1488" s="16"/>
      <c r="DC1488" s="16"/>
      <c r="DD1488" s="10"/>
      <c r="DE1488" s="16"/>
      <c r="DF1488" s="16"/>
      <c r="DG1488" s="16"/>
      <c r="DH1488" s="16"/>
      <c r="DI1488" s="10"/>
      <c r="DJ1488" s="16"/>
      <c r="DK1488" s="16"/>
      <c r="DL1488" s="16"/>
      <c r="DM1488" s="16"/>
      <c r="DN1488" s="10"/>
      <c r="DO1488" s="16"/>
      <c r="DP1488" s="16"/>
      <c r="DQ1488" s="16"/>
      <c r="DR1488" s="16"/>
      <c r="DS1488" s="10"/>
      <c r="DT1488" s="16"/>
      <c r="DU1488" s="16"/>
      <c r="DV1488" s="16"/>
      <c r="DW1488" s="16"/>
      <c r="DX1488" s="10"/>
      <c r="DY1488" s="16"/>
      <c r="DZ1488" s="16"/>
      <c r="EA1488" s="16"/>
      <c r="EB1488" s="16"/>
      <c r="EC1488" s="10"/>
      <c r="ED1488" s="16"/>
      <c r="EE1488" s="16"/>
      <c r="EF1488" s="16"/>
      <c r="EG1488" s="16"/>
      <c r="EH1488" s="10"/>
      <c r="EI1488" s="214"/>
      <c r="EJ1488" s="16"/>
      <c r="EK1488" s="16"/>
      <c r="EL1488" s="16"/>
      <c r="EM1488" s="10"/>
      <c r="EN1488" s="16"/>
      <c r="EO1488" s="16"/>
      <c r="EP1488" s="16"/>
      <c r="EQ1488" s="16"/>
      <c r="ER1488" s="10"/>
      <c r="ES1488" s="16"/>
      <c r="ET1488" s="16"/>
      <c r="EU1488" s="16"/>
      <c r="EV1488" s="16"/>
      <c r="EW1488" s="10"/>
      <c r="EX1488" s="16"/>
      <c r="EY1488" s="16"/>
      <c r="EZ1488" s="16"/>
      <c r="FA1488" s="16"/>
      <c r="FB1488" s="10"/>
      <c r="FC1488" s="16"/>
      <c r="FD1488" s="16"/>
      <c r="FE1488" s="16"/>
      <c r="FF1488" s="16"/>
      <c r="FG1488" s="10"/>
      <c r="FH1488" s="21"/>
      <c r="FI1488" s="16"/>
      <c r="FJ1488" s="16"/>
      <c r="FK1488" s="16"/>
      <c r="FL1488" s="16"/>
    </row>
    <row r="1489" ht="12.75" customHeight="1">
      <c r="A1489" s="16"/>
      <c r="B1489" s="16"/>
      <c r="C1489" s="16"/>
      <c r="D1489" s="16"/>
      <c r="E1489" s="16"/>
      <c r="F1489" s="16"/>
      <c r="G1489" s="16"/>
      <c r="H1489" s="31"/>
      <c r="I1489" s="32"/>
      <c r="J1489" s="32"/>
      <c r="K1489" s="32"/>
      <c r="L1489" s="32"/>
      <c r="M1489" s="31"/>
      <c r="N1489" s="32"/>
      <c r="O1489" s="32"/>
      <c r="P1489" s="32"/>
      <c r="Q1489" s="32"/>
      <c r="R1489" s="33"/>
      <c r="S1489" s="32"/>
      <c r="T1489" s="32"/>
      <c r="U1489" s="32"/>
      <c r="V1489" s="32"/>
      <c r="W1489" s="33"/>
      <c r="X1489" s="32"/>
      <c r="Y1489" s="32"/>
      <c r="Z1489" s="32"/>
      <c r="AA1489" s="32"/>
      <c r="AB1489" s="31"/>
      <c r="AC1489" s="32"/>
      <c r="AD1489" s="32"/>
      <c r="AE1489" s="32"/>
      <c r="AF1489" s="32"/>
      <c r="AG1489" s="31"/>
      <c r="AH1489" s="32"/>
      <c r="AI1489" s="32"/>
      <c r="AJ1489" s="32"/>
      <c r="AK1489" s="32"/>
      <c r="AL1489" s="31"/>
      <c r="AM1489" s="32"/>
      <c r="AN1489" s="32"/>
      <c r="AO1489" s="32"/>
      <c r="AP1489" s="32"/>
      <c r="AQ1489" s="31"/>
      <c r="AR1489" s="32"/>
      <c r="AS1489" s="32"/>
      <c r="AT1489" s="32"/>
      <c r="AU1489" s="32"/>
      <c r="AV1489" s="31"/>
      <c r="AW1489" s="32"/>
      <c r="AX1489" s="32"/>
      <c r="AY1489" s="32"/>
      <c r="AZ1489" s="32"/>
      <c r="BA1489" s="33"/>
      <c r="BB1489" s="32"/>
      <c r="BC1489" s="32"/>
      <c r="BD1489" s="32"/>
      <c r="BE1489" s="32"/>
      <c r="BF1489" s="33"/>
      <c r="BG1489" s="32"/>
      <c r="BH1489" s="32"/>
      <c r="BI1489" s="32"/>
      <c r="BJ1489" s="32"/>
      <c r="BK1489" s="33"/>
      <c r="BL1489" s="32"/>
      <c r="BM1489" s="32"/>
      <c r="BN1489" s="32"/>
      <c r="BO1489" s="32"/>
      <c r="BP1489" s="33"/>
      <c r="BQ1489" s="16"/>
      <c r="BR1489" s="16"/>
      <c r="BS1489" s="16"/>
      <c r="BT1489" s="16"/>
      <c r="BU1489" s="21"/>
      <c r="BV1489" s="16"/>
      <c r="BW1489" s="16"/>
      <c r="BX1489" s="16"/>
      <c r="BY1489" s="16"/>
      <c r="BZ1489" s="10"/>
      <c r="CA1489" s="16"/>
      <c r="CB1489" s="16"/>
      <c r="CC1489" s="16"/>
      <c r="CD1489" s="16"/>
      <c r="CE1489" s="10"/>
      <c r="CF1489" s="16"/>
      <c r="CG1489" s="16"/>
      <c r="CH1489" s="16"/>
      <c r="CI1489" s="16"/>
      <c r="CJ1489" s="10"/>
      <c r="CK1489" s="16"/>
      <c r="CL1489" s="16"/>
      <c r="CM1489" s="16"/>
      <c r="CN1489" s="16"/>
      <c r="CO1489" s="10"/>
      <c r="CP1489" s="16"/>
      <c r="CQ1489" s="16"/>
      <c r="CR1489" s="16"/>
      <c r="CS1489" s="16"/>
      <c r="CT1489" s="10"/>
      <c r="CU1489" s="16"/>
      <c r="CV1489" s="16"/>
      <c r="CW1489" s="16"/>
      <c r="CX1489" s="16"/>
      <c r="CY1489" s="10"/>
      <c r="CZ1489" s="16"/>
      <c r="DA1489" s="16"/>
      <c r="DB1489" s="16"/>
      <c r="DC1489" s="16"/>
      <c r="DD1489" s="10"/>
      <c r="DE1489" s="16"/>
      <c r="DF1489" s="16"/>
      <c r="DG1489" s="16"/>
      <c r="DH1489" s="16"/>
      <c r="DI1489" s="10"/>
      <c r="DJ1489" s="16"/>
      <c r="DK1489" s="16"/>
      <c r="DL1489" s="16"/>
      <c r="DM1489" s="16"/>
      <c r="DN1489" s="10"/>
      <c r="DO1489" s="16"/>
      <c r="DP1489" s="16"/>
      <c r="DQ1489" s="16"/>
      <c r="DR1489" s="16"/>
      <c r="DS1489" s="10"/>
      <c r="DT1489" s="16"/>
      <c r="DU1489" s="16"/>
      <c r="DV1489" s="16"/>
      <c r="DW1489" s="16"/>
      <c r="DX1489" s="10"/>
      <c r="DY1489" s="16"/>
      <c r="DZ1489" s="16"/>
      <c r="EA1489" s="16"/>
      <c r="EB1489" s="16"/>
      <c r="EC1489" s="10"/>
      <c r="ED1489" s="16"/>
      <c r="EE1489" s="16"/>
      <c r="EF1489" s="16"/>
      <c r="EG1489" s="16"/>
      <c r="EH1489" s="10"/>
      <c r="EI1489" s="214"/>
      <c r="EJ1489" s="16"/>
      <c r="EK1489" s="16"/>
      <c r="EL1489" s="16"/>
      <c r="EM1489" s="10"/>
      <c r="EN1489" s="16"/>
      <c r="EO1489" s="16"/>
      <c r="EP1489" s="16"/>
      <c r="EQ1489" s="16"/>
      <c r="ER1489" s="10"/>
      <c r="ES1489" s="16"/>
      <c r="ET1489" s="16"/>
      <c r="EU1489" s="16"/>
      <c r="EV1489" s="16"/>
      <c r="EW1489" s="10"/>
      <c r="EX1489" s="16"/>
      <c r="EY1489" s="16"/>
      <c r="EZ1489" s="16"/>
      <c r="FA1489" s="16"/>
      <c r="FB1489" s="10"/>
      <c r="FC1489" s="16"/>
      <c r="FD1489" s="16"/>
      <c r="FE1489" s="16"/>
      <c r="FF1489" s="16"/>
      <c r="FG1489" s="10"/>
      <c r="FH1489" s="21"/>
      <c r="FI1489" s="16"/>
      <c r="FJ1489" s="16"/>
      <c r="FK1489" s="16"/>
      <c r="FL1489" s="16"/>
    </row>
    <row r="1490" ht="12.75" customHeight="1">
      <c r="A1490" s="16"/>
      <c r="B1490" s="16"/>
      <c r="C1490" s="16"/>
      <c r="D1490" s="16"/>
      <c r="E1490" s="16"/>
      <c r="F1490" s="16"/>
      <c r="G1490" s="16"/>
      <c r="H1490" s="31"/>
      <c r="I1490" s="32"/>
      <c r="J1490" s="32"/>
      <c r="K1490" s="32"/>
      <c r="L1490" s="32"/>
      <c r="M1490" s="31"/>
      <c r="N1490" s="32"/>
      <c r="O1490" s="32"/>
      <c r="P1490" s="32"/>
      <c r="Q1490" s="32"/>
      <c r="R1490" s="33"/>
      <c r="S1490" s="32"/>
      <c r="T1490" s="32"/>
      <c r="U1490" s="32"/>
      <c r="V1490" s="32"/>
      <c r="W1490" s="33"/>
      <c r="X1490" s="32"/>
      <c r="Y1490" s="32"/>
      <c r="Z1490" s="32"/>
      <c r="AA1490" s="32"/>
      <c r="AB1490" s="31"/>
      <c r="AC1490" s="32"/>
      <c r="AD1490" s="32"/>
      <c r="AE1490" s="32"/>
      <c r="AF1490" s="32"/>
      <c r="AG1490" s="31"/>
      <c r="AH1490" s="32"/>
      <c r="AI1490" s="32"/>
      <c r="AJ1490" s="32"/>
      <c r="AK1490" s="32"/>
      <c r="AL1490" s="31"/>
      <c r="AM1490" s="32"/>
      <c r="AN1490" s="32"/>
      <c r="AO1490" s="32"/>
      <c r="AP1490" s="32"/>
      <c r="AQ1490" s="31"/>
      <c r="AR1490" s="32"/>
      <c r="AS1490" s="32"/>
      <c r="AT1490" s="32"/>
      <c r="AU1490" s="32"/>
      <c r="AV1490" s="31"/>
      <c r="AW1490" s="32"/>
      <c r="AX1490" s="32"/>
      <c r="AY1490" s="32"/>
      <c r="AZ1490" s="32"/>
      <c r="BA1490" s="33"/>
      <c r="BB1490" s="32"/>
      <c r="BC1490" s="32"/>
      <c r="BD1490" s="32"/>
      <c r="BE1490" s="32"/>
      <c r="BF1490" s="33"/>
      <c r="BG1490" s="32"/>
      <c r="BH1490" s="32"/>
      <c r="BI1490" s="32"/>
      <c r="BJ1490" s="32"/>
      <c r="BK1490" s="33"/>
      <c r="BL1490" s="32"/>
      <c r="BM1490" s="32"/>
      <c r="BN1490" s="32"/>
      <c r="BO1490" s="32"/>
      <c r="BP1490" s="33"/>
      <c r="BQ1490" s="16"/>
      <c r="BR1490" s="16"/>
      <c r="BS1490" s="16"/>
      <c r="BT1490" s="16"/>
      <c r="BU1490" s="21"/>
      <c r="BV1490" s="16"/>
      <c r="BW1490" s="16"/>
      <c r="BX1490" s="16"/>
      <c r="BY1490" s="16"/>
      <c r="BZ1490" s="10"/>
      <c r="CA1490" s="16"/>
      <c r="CB1490" s="16"/>
      <c r="CC1490" s="16"/>
      <c r="CD1490" s="16"/>
      <c r="CE1490" s="10"/>
      <c r="CF1490" s="16"/>
      <c r="CG1490" s="16"/>
      <c r="CH1490" s="16"/>
      <c r="CI1490" s="16"/>
      <c r="CJ1490" s="10"/>
      <c r="CK1490" s="16"/>
      <c r="CL1490" s="16"/>
      <c r="CM1490" s="16"/>
      <c r="CN1490" s="16"/>
      <c r="CO1490" s="10"/>
      <c r="CP1490" s="16"/>
      <c r="CQ1490" s="16"/>
      <c r="CR1490" s="16"/>
      <c r="CS1490" s="16"/>
      <c r="CT1490" s="10"/>
      <c r="CU1490" s="16"/>
      <c r="CV1490" s="16"/>
      <c r="CW1490" s="16"/>
      <c r="CX1490" s="16"/>
      <c r="CY1490" s="10"/>
      <c r="CZ1490" s="16"/>
      <c r="DA1490" s="16"/>
      <c r="DB1490" s="16"/>
      <c r="DC1490" s="16"/>
      <c r="DD1490" s="10"/>
      <c r="DE1490" s="16"/>
      <c r="DF1490" s="16"/>
      <c r="DG1490" s="16"/>
      <c r="DH1490" s="16"/>
      <c r="DI1490" s="10"/>
      <c r="DJ1490" s="16"/>
      <c r="DK1490" s="16"/>
      <c r="DL1490" s="16"/>
      <c r="DM1490" s="16"/>
      <c r="DN1490" s="10"/>
      <c r="DO1490" s="16"/>
      <c r="DP1490" s="16"/>
      <c r="DQ1490" s="16"/>
      <c r="DR1490" s="16"/>
      <c r="DS1490" s="10"/>
      <c r="DT1490" s="16"/>
      <c r="DU1490" s="16"/>
      <c r="DV1490" s="16"/>
      <c r="DW1490" s="16"/>
      <c r="DX1490" s="10"/>
      <c r="DY1490" s="16"/>
      <c r="DZ1490" s="16"/>
      <c r="EA1490" s="16"/>
      <c r="EB1490" s="16"/>
      <c r="EC1490" s="10"/>
      <c r="ED1490" s="16"/>
      <c r="EE1490" s="16"/>
      <c r="EF1490" s="16"/>
      <c r="EG1490" s="16"/>
      <c r="EH1490" s="10"/>
      <c r="EI1490" s="214"/>
      <c r="EJ1490" s="16"/>
      <c r="EK1490" s="16"/>
      <c r="EL1490" s="16"/>
      <c r="EM1490" s="10"/>
      <c r="EN1490" s="16"/>
      <c r="EO1490" s="16"/>
      <c r="EP1490" s="16"/>
      <c r="EQ1490" s="16"/>
      <c r="ER1490" s="10"/>
      <c r="ES1490" s="16"/>
      <c r="ET1490" s="16"/>
      <c r="EU1490" s="16"/>
      <c r="EV1490" s="16"/>
      <c r="EW1490" s="10"/>
      <c r="EX1490" s="16"/>
      <c r="EY1490" s="16"/>
      <c r="EZ1490" s="16"/>
      <c r="FA1490" s="16"/>
      <c r="FB1490" s="10"/>
      <c r="FC1490" s="16"/>
      <c r="FD1490" s="16"/>
      <c r="FE1490" s="16"/>
      <c r="FF1490" s="16"/>
      <c r="FG1490" s="10"/>
      <c r="FH1490" s="21"/>
      <c r="FI1490" s="16"/>
      <c r="FJ1490" s="16"/>
      <c r="FK1490" s="16"/>
      <c r="FL1490" s="16"/>
    </row>
    <row r="1491" ht="12.75" customHeight="1">
      <c r="A1491" s="16"/>
      <c r="B1491" s="16"/>
      <c r="C1491" s="16"/>
      <c r="D1491" s="16"/>
      <c r="E1491" s="16"/>
      <c r="F1491" s="16"/>
      <c r="G1491" s="16"/>
      <c r="H1491" s="31"/>
      <c r="I1491" s="32"/>
      <c r="J1491" s="32"/>
      <c r="K1491" s="32"/>
      <c r="L1491" s="32"/>
      <c r="M1491" s="31"/>
      <c r="N1491" s="32"/>
      <c r="O1491" s="32"/>
      <c r="P1491" s="32"/>
      <c r="Q1491" s="32"/>
      <c r="R1491" s="33"/>
      <c r="S1491" s="32"/>
      <c r="T1491" s="32"/>
      <c r="U1491" s="32"/>
      <c r="V1491" s="32"/>
      <c r="W1491" s="33"/>
      <c r="X1491" s="32"/>
      <c r="Y1491" s="32"/>
      <c r="Z1491" s="32"/>
      <c r="AA1491" s="32"/>
      <c r="AB1491" s="31"/>
      <c r="AC1491" s="32"/>
      <c r="AD1491" s="32"/>
      <c r="AE1491" s="32"/>
      <c r="AF1491" s="32"/>
      <c r="AG1491" s="31"/>
      <c r="AH1491" s="32"/>
      <c r="AI1491" s="32"/>
      <c r="AJ1491" s="32"/>
      <c r="AK1491" s="32"/>
      <c r="AL1491" s="31"/>
      <c r="AM1491" s="32"/>
      <c r="AN1491" s="32"/>
      <c r="AO1491" s="32"/>
      <c r="AP1491" s="32"/>
      <c r="AQ1491" s="31"/>
      <c r="AR1491" s="32"/>
      <c r="AS1491" s="32"/>
      <c r="AT1491" s="32"/>
      <c r="AU1491" s="32"/>
      <c r="AV1491" s="31"/>
      <c r="AW1491" s="32"/>
      <c r="AX1491" s="32"/>
      <c r="AY1491" s="32"/>
      <c r="AZ1491" s="32"/>
      <c r="BA1491" s="33"/>
      <c r="BB1491" s="32"/>
      <c r="BC1491" s="32"/>
      <c r="BD1491" s="32"/>
      <c r="BE1491" s="32"/>
      <c r="BF1491" s="33"/>
      <c r="BG1491" s="32"/>
      <c r="BH1491" s="32"/>
      <c r="BI1491" s="32"/>
      <c r="BJ1491" s="32"/>
      <c r="BK1491" s="33"/>
      <c r="BL1491" s="32"/>
      <c r="BM1491" s="32"/>
      <c r="BN1491" s="32"/>
      <c r="BO1491" s="32"/>
      <c r="BP1491" s="33"/>
      <c r="BQ1491" s="16"/>
      <c r="BR1491" s="16"/>
      <c r="BS1491" s="16"/>
      <c r="BT1491" s="16"/>
      <c r="BU1491" s="21"/>
      <c r="BV1491" s="16"/>
      <c r="BW1491" s="16"/>
      <c r="BX1491" s="16"/>
      <c r="BY1491" s="16"/>
      <c r="BZ1491" s="10"/>
      <c r="CA1491" s="16"/>
      <c r="CB1491" s="16"/>
      <c r="CC1491" s="16"/>
      <c r="CD1491" s="16"/>
      <c r="CE1491" s="10"/>
      <c r="CF1491" s="16"/>
      <c r="CG1491" s="16"/>
      <c r="CH1491" s="16"/>
      <c r="CI1491" s="16"/>
      <c r="CJ1491" s="10"/>
      <c r="CK1491" s="16"/>
      <c r="CL1491" s="16"/>
      <c r="CM1491" s="16"/>
      <c r="CN1491" s="16"/>
      <c r="CO1491" s="10"/>
      <c r="CP1491" s="16"/>
      <c r="CQ1491" s="16"/>
      <c r="CR1491" s="16"/>
      <c r="CS1491" s="16"/>
      <c r="CT1491" s="10"/>
      <c r="CU1491" s="16"/>
      <c r="CV1491" s="16"/>
      <c r="CW1491" s="16"/>
      <c r="CX1491" s="16"/>
      <c r="CY1491" s="10"/>
      <c r="CZ1491" s="16"/>
      <c r="DA1491" s="16"/>
      <c r="DB1491" s="16"/>
      <c r="DC1491" s="16"/>
      <c r="DD1491" s="10"/>
      <c r="DE1491" s="16"/>
      <c r="DF1491" s="16"/>
      <c r="DG1491" s="16"/>
      <c r="DH1491" s="16"/>
      <c r="DI1491" s="10"/>
      <c r="DJ1491" s="16"/>
      <c r="DK1491" s="16"/>
      <c r="DL1491" s="16"/>
      <c r="DM1491" s="16"/>
      <c r="DN1491" s="10"/>
      <c r="DO1491" s="16"/>
      <c r="DP1491" s="16"/>
      <c r="DQ1491" s="16"/>
      <c r="DR1491" s="16"/>
      <c r="DS1491" s="10"/>
      <c r="DT1491" s="16"/>
      <c r="DU1491" s="16"/>
      <c r="DV1491" s="16"/>
      <c r="DW1491" s="16"/>
      <c r="DX1491" s="10"/>
      <c r="DY1491" s="16"/>
      <c r="DZ1491" s="16"/>
      <c r="EA1491" s="16"/>
      <c r="EB1491" s="16"/>
      <c r="EC1491" s="10"/>
      <c r="ED1491" s="16"/>
      <c r="EE1491" s="16"/>
      <c r="EF1491" s="16"/>
      <c r="EG1491" s="16"/>
      <c r="EH1491" s="10"/>
      <c r="EI1491" s="214"/>
      <c r="EJ1491" s="16"/>
      <c r="EK1491" s="16"/>
      <c r="EL1491" s="16"/>
      <c r="EM1491" s="10"/>
      <c r="EN1491" s="16"/>
      <c r="EO1491" s="16"/>
      <c r="EP1491" s="16"/>
      <c r="EQ1491" s="16"/>
      <c r="ER1491" s="10"/>
      <c r="ES1491" s="16"/>
      <c r="ET1491" s="16"/>
      <c r="EU1491" s="16"/>
      <c r="EV1491" s="16"/>
      <c r="EW1491" s="10"/>
      <c r="EX1491" s="16"/>
      <c r="EY1491" s="16"/>
      <c r="EZ1491" s="16"/>
      <c r="FA1491" s="16"/>
      <c r="FB1491" s="10"/>
      <c r="FC1491" s="16"/>
      <c r="FD1491" s="16"/>
      <c r="FE1491" s="16"/>
      <c r="FF1491" s="16"/>
      <c r="FG1491" s="10"/>
      <c r="FH1491" s="21"/>
      <c r="FI1491" s="16"/>
      <c r="FJ1491" s="16"/>
      <c r="FK1491" s="16"/>
      <c r="FL1491" s="16"/>
    </row>
    <row r="1492" ht="12.75" customHeight="1">
      <c r="A1492" s="16"/>
      <c r="B1492" s="16"/>
      <c r="C1492" s="16"/>
      <c r="D1492" s="16"/>
      <c r="E1492" s="16"/>
      <c r="F1492" s="16"/>
      <c r="G1492" s="16"/>
      <c r="H1492" s="31"/>
      <c r="I1492" s="32"/>
      <c r="J1492" s="32"/>
      <c r="K1492" s="32"/>
      <c r="L1492" s="32"/>
      <c r="M1492" s="31"/>
      <c r="N1492" s="32"/>
      <c r="O1492" s="32"/>
      <c r="P1492" s="32"/>
      <c r="Q1492" s="32"/>
      <c r="R1492" s="33"/>
      <c r="S1492" s="32"/>
      <c r="T1492" s="32"/>
      <c r="U1492" s="32"/>
      <c r="V1492" s="32"/>
      <c r="W1492" s="33"/>
      <c r="X1492" s="32"/>
      <c r="Y1492" s="32"/>
      <c r="Z1492" s="32"/>
      <c r="AA1492" s="32"/>
      <c r="AB1492" s="31"/>
      <c r="AC1492" s="32"/>
      <c r="AD1492" s="32"/>
      <c r="AE1492" s="32"/>
      <c r="AF1492" s="32"/>
      <c r="AG1492" s="31"/>
      <c r="AH1492" s="32"/>
      <c r="AI1492" s="32"/>
      <c r="AJ1492" s="32"/>
      <c r="AK1492" s="32"/>
      <c r="AL1492" s="31"/>
      <c r="AM1492" s="32"/>
      <c r="AN1492" s="32"/>
      <c r="AO1492" s="32"/>
      <c r="AP1492" s="32"/>
      <c r="AQ1492" s="31"/>
      <c r="AR1492" s="32"/>
      <c r="AS1492" s="32"/>
      <c r="AT1492" s="32"/>
      <c r="AU1492" s="32"/>
      <c r="AV1492" s="31"/>
      <c r="AW1492" s="32"/>
      <c r="AX1492" s="32"/>
      <c r="AY1492" s="32"/>
      <c r="AZ1492" s="32"/>
      <c r="BA1492" s="33"/>
      <c r="BB1492" s="32"/>
      <c r="BC1492" s="32"/>
      <c r="BD1492" s="32"/>
      <c r="BE1492" s="32"/>
      <c r="BF1492" s="33"/>
      <c r="BG1492" s="32"/>
      <c r="BH1492" s="32"/>
      <c r="BI1492" s="32"/>
      <c r="BJ1492" s="32"/>
      <c r="BK1492" s="33"/>
      <c r="BL1492" s="32"/>
      <c r="BM1492" s="32"/>
      <c r="BN1492" s="32"/>
      <c r="BO1492" s="32"/>
      <c r="BP1492" s="33"/>
      <c r="BQ1492" s="16"/>
      <c r="BR1492" s="16"/>
      <c r="BS1492" s="16"/>
      <c r="BT1492" s="16"/>
      <c r="BU1492" s="21"/>
      <c r="BV1492" s="16"/>
      <c r="BW1492" s="16"/>
      <c r="BX1492" s="16"/>
      <c r="BY1492" s="16"/>
      <c r="BZ1492" s="10"/>
      <c r="CA1492" s="16"/>
      <c r="CB1492" s="16"/>
      <c r="CC1492" s="16"/>
      <c r="CD1492" s="16"/>
      <c r="CE1492" s="10"/>
      <c r="CF1492" s="16"/>
      <c r="CG1492" s="16"/>
      <c r="CH1492" s="16"/>
      <c r="CI1492" s="16"/>
      <c r="CJ1492" s="10"/>
      <c r="CK1492" s="16"/>
      <c r="CL1492" s="16"/>
      <c r="CM1492" s="16"/>
      <c r="CN1492" s="16"/>
      <c r="CO1492" s="10"/>
      <c r="CP1492" s="16"/>
      <c r="CQ1492" s="16"/>
      <c r="CR1492" s="16"/>
      <c r="CS1492" s="16"/>
      <c r="CT1492" s="10"/>
      <c r="CU1492" s="16"/>
      <c r="CV1492" s="16"/>
      <c r="CW1492" s="16"/>
      <c r="CX1492" s="16"/>
      <c r="CY1492" s="10"/>
      <c r="CZ1492" s="16"/>
      <c r="DA1492" s="16"/>
      <c r="DB1492" s="16"/>
      <c r="DC1492" s="16"/>
      <c r="DD1492" s="10"/>
      <c r="DE1492" s="16"/>
      <c r="DF1492" s="16"/>
      <c r="DG1492" s="16"/>
      <c r="DH1492" s="16"/>
      <c r="DI1492" s="10"/>
      <c r="DJ1492" s="16"/>
      <c r="DK1492" s="16"/>
      <c r="DL1492" s="16"/>
      <c r="DM1492" s="16"/>
      <c r="DN1492" s="10"/>
      <c r="DO1492" s="16"/>
      <c r="DP1492" s="16"/>
      <c r="DQ1492" s="16"/>
      <c r="DR1492" s="16"/>
      <c r="DS1492" s="10"/>
      <c r="DT1492" s="16"/>
      <c r="DU1492" s="16"/>
      <c r="DV1492" s="16"/>
      <c r="DW1492" s="16"/>
      <c r="DX1492" s="10"/>
      <c r="DY1492" s="16"/>
      <c r="DZ1492" s="16"/>
      <c r="EA1492" s="16"/>
      <c r="EB1492" s="16"/>
      <c r="EC1492" s="10"/>
      <c r="ED1492" s="16"/>
      <c r="EE1492" s="16"/>
      <c r="EF1492" s="16"/>
      <c r="EG1492" s="16"/>
      <c r="EH1492" s="10"/>
      <c r="EI1492" s="214"/>
      <c r="EJ1492" s="16"/>
      <c r="EK1492" s="16"/>
      <c r="EL1492" s="16"/>
      <c r="EM1492" s="10"/>
      <c r="EN1492" s="16"/>
      <c r="EO1492" s="16"/>
      <c r="EP1492" s="16"/>
      <c r="EQ1492" s="16"/>
      <c r="ER1492" s="10"/>
      <c r="ES1492" s="16"/>
      <c r="ET1492" s="16"/>
      <c r="EU1492" s="16"/>
      <c r="EV1492" s="16"/>
      <c r="EW1492" s="10"/>
      <c r="EX1492" s="16"/>
      <c r="EY1492" s="16"/>
      <c r="EZ1492" s="16"/>
      <c r="FA1492" s="16"/>
      <c r="FB1492" s="10"/>
      <c r="FC1492" s="16"/>
      <c r="FD1492" s="16"/>
      <c r="FE1492" s="16"/>
      <c r="FF1492" s="16"/>
      <c r="FG1492" s="10"/>
      <c r="FH1492" s="21"/>
      <c r="FI1492" s="16"/>
      <c r="FJ1492" s="16"/>
      <c r="FK1492" s="16"/>
      <c r="FL1492" s="16"/>
    </row>
    <row r="1493" ht="12.75" customHeight="1">
      <c r="A1493" s="16"/>
      <c r="B1493" s="16"/>
      <c r="C1493" s="16"/>
      <c r="D1493" s="16"/>
      <c r="E1493" s="16"/>
      <c r="F1493" s="16"/>
      <c r="G1493" s="16"/>
      <c r="H1493" s="31"/>
      <c r="I1493" s="32"/>
      <c r="J1493" s="32"/>
      <c r="K1493" s="32"/>
      <c r="L1493" s="32"/>
      <c r="M1493" s="31"/>
      <c r="N1493" s="32"/>
      <c r="O1493" s="32"/>
      <c r="P1493" s="32"/>
      <c r="Q1493" s="32"/>
      <c r="R1493" s="33"/>
      <c r="S1493" s="32"/>
      <c r="T1493" s="32"/>
      <c r="U1493" s="32"/>
      <c r="V1493" s="32"/>
      <c r="W1493" s="33"/>
      <c r="X1493" s="32"/>
      <c r="Y1493" s="32"/>
      <c r="Z1493" s="32"/>
      <c r="AA1493" s="32"/>
      <c r="AB1493" s="31"/>
      <c r="AC1493" s="32"/>
      <c r="AD1493" s="32"/>
      <c r="AE1493" s="32"/>
      <c r="AF1493" s="32"/>
      <c r="AG1493" s="31"/>
      <c r="AH1493" s="32"/>
      <c r="AI1493" s="32"/>
      <c r="AJ1493" s="32"/>
      <c r="AK1493" s="32"/>
      <c r="AL1493" s="31"/>
      <c r="AM1493" s="32"/>
      <c r="AN1493" s="32"/>
      <c r="AO1493" s="32"/>
      <c r="AP1493" s="32"/>
      <c r="AQ1493" s="31"/>
      <c r="AR1493" s="32"/>
      <c r="AS1493" s="32"/>
      <c r="AT1493" s="32"/>
      <c r="AU1493" s="32"/>
      <c r="AV1493" s="31"/>
      <c r="AW1493" s="32"/>
      <c r="AX1493" s="32"/>
      <c r="AY1493" s="32"/>
      <c r="AZ1493" s="32"/>
      <c r="BA1493" s="33"/>
      <c r="BB1493" s="32"/>
      <c r="BC1493" s="32"/>
      <c r="BD1493" s="32"/>
      <c r="BE1493" s="32"/>
      <c r="BF1493" s="33"/>
      <c r="BG1493" s="32"/>
      <c r="BH1493" s="32"/>
      <c r="BI1493" s="32"/>
      <c r="BJ1493" s="32"/>
      <c r="BK1493" s="33"/>
      <c r="BL1493" s="32"/>
      <c r="BM1493" s="32"/>
      <c r="BN1493" s="32"/>
      <c r="BO1493" s="32"/>
      <c r="BP1493" s="33"/>
      <c r="BQ1493" s="16"/>
      <c r="BR1493" s="16"/>
      <c r="BS1493" s="16"/>
      <c r="BT1493" s="16"/>
      <c r="BU1493" s="21"/>
      <c r="BV1493" s="16"/>
      <c r="BW1493" s="16"/>
      <c r="BX1493" s="16"/>
      <c r="BY1493" s="16"/>
      <c r="BZ1493" s="10"/>
      <c r="CA1493" s="16"/>
      <c r="CB1493" s="16"/>
      <c r="CC1493" s="16"/>
      <c r="CD1493" s="16"/>
      <c r="CE1493" s="10"/>
      <c r="CF1493" s="16"/>
      <c r="CG1493" s="16"/>
      <c r="CH1493" s="16"/>
      <c r="CI1493" s="16"/>
      <c r="CJ1493" s="10"/>
      <c r="CK1493" s="16"/>
      <c r="CL1493" s="16"/>
      <c r="CM1493" s="16"/>
      <c r="CN1493" s="16"/>
      <c r="CO1493" s="10"/>
      <c r="CP1493" s="16"/>
      <c r="CQ1493" s="16"/>
      <c r="CR1493" s="16"/>
      <c r="CS1493" s="16"/>
      <c r="CT1493" s="10"/>
      <c r="CU1493" s="16"/>
      <c r="CV1493" s="16"/>
      <c r="CW1493" s="16"/>
      <c r="CX1493" s="16"/>
      <c r="CY1493" s="10"/>
      <c r="CZ1493" s="16"/>
      <c r="DA1493" s="16"/>
      <c r="DB1493" s="16"/>
      <c r="DC1493" s="16"/>
      <c r="DD1493" s="10"/>
      <c r="DE1493" s="16"/>
      <c r="DF1493" s="16"/>
      <c r="DG1493" s="16"/>
      <c r="DH1493" s="16"/>
      <c r="DI1493" s="10"/>
      <c r="DJ1493" s="16"/>
      <c r="DK1493" s="16"/>
      <c r="DL1493" s="16"/>
      <c r="DM1493" s="16"/>
      <c r="DN1493" s="10"/>
      <c r="DO1493" s="16"/>
      <c r="DP1493" s="16"/>
      <c r="DQ1493" s="16"/>
      <c r="DR1493" s="16"/>
      <c r="DS1493" s="10"/>
      <c r="DT1493" s="16"/>
      <c r="DU1493" s="16"/>
      <c r="DV1493" s="16"/>
      <c r="DW1493" s="16"/>
      <c r="DX1493" s="10"/>
      <c r="DY1493" s="16"/>
      <c r="DZ1493" s="16"/>
      <c r="EA1493" s="16"/>
      <c r="EB1493" s="16"/>
      <c r="EC1493" s="10"/>
      <c r="ED1493" s="16"/>
      <c r="EE1493" s="16"/>
      <c r="EF1493" s="16"/>
      <c r="EG1493" s="16"/>
      <c r="EH1493" s="10"/>
      <c r="EI1493" s="214"/>
      <c r="EJ1493" s="16"/>
      <c r="EK1493" s="16"/>
      <c r="EL1493" s="16"/>
      <c r="EM1493" s="10"/>
      <c r="EN1493" s="16"/>
      <c r="EO1493" s="16"/>
      <c r="EP1493" s="16"/>
      <c r="EQ1493" s="16"/>
      <c r="ER1493" s="10"/>
      <c r="ES1493" s="16"/>
      <c r="ET1493" s="16"/>
      <c r="EU1493" s="16"/>
      <c r="EV1493" s="16"/>
      <c r="EW1493" s="10"/>
      <c r="EX1493" s="16"/>
      <c r="EY1493" s="16"/>
      <c r="EZ1493" s="16"/>
      <c r="FA1493" s="16"/>
      <c r="FB1493" s="10"/>
      <c r="FC1493" s="16"/>
      <c r="FD1493" s="16"/>
      <c r="FE1493" s="16"/>
      <c r="FF1493" s="16"/>
      <c r="FG1493" s="10"/>
      <c r="FH1493" s="21"/>
      <c r="FI1493" s="16"/>
      <c r="FJ1493" s="16"/>
      <c r="FK1493" s="16"/>
      <c r="FL1493" s="16"/>
    </row>
    <row r="1494" ht="12.75" customHeight="1">
      <c r="A1494" s="16"/>
      <c r="B1494" s="16"/>
      <c r="C1494" s="16"/>
      <c r="D1494" s="16"/>
      <c r="E1494" s="16"/>
      <c r="F1494" s="16"/>
      <c r="G1494" s="16"/>
      <c r="H1494" s="31"/>
      <c r="I1494" s="32"/>
      <c r="J1494" s="32"/>
      <c r="K1494" s="32"/>
      <c r="L1494" s="32"/>
      <c r="M1494" s="31"/>
      <c r="N1494" s="32"/>
      <c r="O1494" s="32"/>
      <c r="P1494" s="32"/>
      <c r="Q1494" s="32"/>
      <c r="R1494" s="33"/>
      <c r="S1494" s="32"/>
      <c r="T1494" s="32"/>
      <c r="U1494" s="32"/>
      <c r="V1494" s="32"/>
      <c r="W1494" s="33"/>
      <c r="X1494" s="32"/>
      <c r="Y1494" s="32"/>
      <c r="Z1494" s="32"/>
      <c r="AA1494" s="32"/>
      <c r="AB1494" s="31"/>
      <c r="AC1494" s="32"/>
      <c r="AD1494" s="32"/>
      <c r="AE1494" s="32"/>
      <c r="AF1494" s="32"/>
      <c r="AG1494" s="31"/>
      <c r="AH1494" s="32"/>
      <c r="AI1494" s="32"/>
      <c r="AJ1494" s="32"/>
      <c r="AK1494" s="32"/>
      <c r="AL1494" s="31"/>
      <c r="AM1494" s="32"/>
      <c r="AN1494" s="32"/>
      <c r="AO1494" s="32"/>
      <c r="AP1494" s="32"/>
      <c r="AQ1494" s="31"/>
      <c r="AR1494" s="32"/>
      <c r="AS1494" s="32"/>
      <c r="AT1494" s="32"/>
      <c r="AU1494" s="32"/>
      <c r="AV1494" s="31"/>
      <c r="AW1494" s="32"/>
      <c r="AX1494" s="32"/>
      <c r="AY1494" s="32"/>
      <c r="AZ1494" s="32"/>
      <c r="BA1494" s="33"/>
      <c r="BB1494" s="32"/>
      <c r="BC1494" s="32"/>
      <c r="BD1494" s="32"/>
      <c r="BE1494" s="32"/>
      <c r="BF1494" s="33"/>
      <c r="BG1494" s="32"/>
      <c r="BH1494" s="32"/>
      <c r="BI1494" s="32"/>
      <c r="BJ1494" s="32"/>
      <c r="BK1494" s="33"/>
      <c r="BL1494" s="32"/>
      <c r="BM1494" s="32"/>
      <c r="BN1494" s="32"/>
      <c r="BO1494" s="32"/>
      <c r="BP1494" s="33"/>
      <c r="BQ1494" s="16"/>
      <c r="BR1494" s="16"/>
      <c r="BS1494" s="16"/>
      <c r="BT1494" s="16"/>
      <c r="BU1494" s="21"/>
      <c r="BV1494" s="16"/>
      <c r="BW1494" s="16"/>
      <c r="BX1494" s="16"/>
      <c r="BY1494" s="16"/>
      <c r="BZ1494" s="10"/>
      <c r="CA1494" s="16"/>
      <c r="CB1494" s="16"/>
      <c r="CC1494" s="16"/>
      <c r="CD1494" s="16"/>
      <c r="CE1494" s="10"/>
      <c r="CF1494" s="16"/>
      <c r="CG1494" s="16"/>
      <c r="CH1494" s="16"/>
      <c r="CI1494" s="16"/>
      <c r="CJ1494" s="10"/>
      <c r="CK1494" s="16"/>
      <c r="CL1494" s="16"/>
      <c r="CM1494" s="16"/>
      <c r="CN1494" s="16"/>
      <c r="CO1494" s="10"/>
      <c r="CP1494" s="16"/>
      <c r="CQ1494" s="16"/>
      <c r="CR1494" s="16"/>
      <c r="CS1494" s="16"/>
      <c r="CT1494" s="10"/>
      <c r="CU1494" s="16"/>
      <c r="CV1494" s="16"/>
      <c r="CW1494" s="16"/>
      <c r="CX1494" s="16"/>
      <c r="CY1494" s="10"/>
      <c r="CZ1494" s="16"/>
      <c r="DA1494" s="16"/>
      <c r="DB1494" s="16"/>
      <c r="DC1494" s="16"/>
      <c r="DD1494" s="10"/>
      <c r="DE1494" s="16"/>
      <c r="DF1494" s="16"/>
      <c r="DG1494" s="16"/>
      <c r="DH1494" s="16"/>
      <c r="DI1494" s="10"/>
      <c r="DJ1494" s="16"/>
      <c r="DK1494" s="16"/>
      <c r="DL1494" s="16"/>
      <c r="DM1494" s="16"/>
      <c r="DN1494" s="10"/>
      <c r="DO1494" s="16"/>
      <c r="DP1494" s="16"/>
      <c r="DQ1494" s="16"/>
      <c r="DR1494" s="16"/>
      <c r="DS1494" s="10"/>
      <c r="DT1494" s="16"/>
      <c r="DU1494" s="16"/>
      <c r="DV1494" s="16"/>
      <c r="DW1494" s="16"/>
      <c r="DX1494" s="10"/>
      <c r="DY1494" s="16"/>
      <c r="DZ1494" s="16"/>
      <c r="EA1494" s="16"/>
      <c r="EB1494" s="16"/>
      <c r="EC1494" s="10"/>
      <c r="ED1494" s="16"/>
      <c r="EE1494" s="16"/>
      <c r="EF1494" s="16"/>
      <c r="EG1494" s="16"/>
      <c r="EH1494" s="10"/>
      <c r="EI1494" s="214"/>
      <c r="EJ1494" s="16"/>
      <c r="EK1494" s="16"/>
      <c r="EL1494" s="16"/>
      <c r="EM1494" s="10"/>
      <c r="EN1494" s="16"/>
      <c r="EO1494" s="16"/>
      <c r="EP1494" s="16"/>
      <c r="EQ1494" s="16"/>
      <c r="ER1494" s="10"/>
      <c r="ES1494" s="16"/>
      <c r="ET1494" s="16"/>
      <c r="EU1494" s="16"/>
      <c r="EV1494" s="16"/>
      <c r="EW1494" s="10"/>
      <c r="EX1494" s="16"/>
      <c r="EY1494" s="16"/>
      <c r="EZ1494" s="16"/>
      <c r="FA1494" s="16"/>
      <c r="FB1494" s="10"/>
      <c r="FC1494" s="16"/>
      <c r="FD1494" s="16"/>
      <c r="FE1494" s="16"/>
      <c r="FF1494" s="16"/>
      <c r="FG1494" s="10"/>
      <c r="FH1494" s="21"/>
      <c r="FI1494" s="16"/>
      <c r="FJ1494" s="16"/>
      <c r="FK1494" s="16"/>
      <c r="FL1494" s="16"/>
    </row>
    <row r="1495" ht="12.75" customHeight="1">
      <c r="A1495" s="16"/>
      <c r="B1495" s="16"/>
      <c r="C1495" s="16"/>
      <c r="D1495" s="16"/>
      <c r="E1495" s="16"/>
      <c r="F1495" s="16"/>
      <c r="G1495" s="16"/>
      <c r="H1495" s="31"/>
      <c r="I1495" s="32"/>
      <c r="J1495" s="32"/>
      <c r="K1495" s="32"/>
      <c r="L1495" s="32"/>
      <c r="M1495" s="31"/>
      <c r="N1495" s="32"/>
      <c r="O1495" s="32"/>
      <c r="P1495" s="32"/>
      <c r="Q1495" s="32"/>
      <c r="R1495" s="33"/>
      <c r="S1495" s="32"/>
      <c r="T1495" s="32"/>
      <c r="U1495" s="32"/>
      <c r="V1495" s="32"/>
      <c r="W1495" s="33"/>
      <c r="X1495" s="32"/>
      <c r="Y1495" s="32"/>
      <c r="Z1495" s="32"/>
      <c r="AA1495" s="32"/>
      <c r="AB1495" s="31"/>
      <c r="AC1495" s="32"/>
      <c r="AD1495" s="32"/>
      <c r="AE1495" s="32"/>
      <c r="AF1495" s="32"/>
      <c r="AG1495" s="31"/>
      <c r="AH1495" s="32"/>
      <c r="AI1495" s="32"/>
      <c r="AJ1495" s="32"/>
      <c r="AK1495" s="32"/>
      <c r="AL1495" s="31"/>
      <c r="AM1495" s="32"/>
      <c r="AN1495" s="32"/>
      <c r="AO1495" s="32"/>
      <c r="AP1495" s="32"/>
      <c r="AQ1495" s="31"/>
      <c r="AR1495" s="32"/>
      <c r="AS1495" s="32"/>
      <c r="AT1495" s="32"/>
      <c r="AU1495" s="32"/>
      <c r="AV1495" s="31"/>
      <c r="AW1495" s="32"/>
      <c r="AX1495" s="32"/>
      <c r="AY1495" s="32"/>
      <c r="AZ1495" s="32"/>
      <c r="BA1495" s="33"/>
      <c r="BB1495" s="32"/>
      <c r="BC1495" s="32"/>
      <c r="BD1495" s="32"/>
      <c r="BE1495" s="32"/>
      <c r="BF1495" s="33"/>
      <c r="BG1495" s="32"/>
      <c r="BH1495" s="32"/>
      <c r="BI1495" s="32"/>
      <c r="BJ1495" s="32"/>
      <c r="BK1495" s="33"/>
      <c r="BL1495" s="32"/>
      <c r="BM1495" s="32"/>
      <c r="BN1495" s="32"/>
      <c r="BO1495" s="32"/>
      <c r="BP1495" s="33"/>
      <c r="BQ1495" s="16"/>
      <c r="BR1495" s="16"/>
      <c r="BS1495" s="16"/>
      <c r="BT1495" s="16"/>
      <c r="BU1495" s="21"/>
      <c r="BV1495" s="16"/>
      <c r="BW1495" s="16"/>
      <c r="BX1495" s="16"/>
      <c r="BY1495" s="16"/>
      <c r="BZ1495" s="10"/>
      <c r="CA1495" s="16"/>
      <c r="CB1495" s="16"/>
      <c r="CC1495" s="16"/>
      <c r="CD1495" s="16"/>
      <c r="CE1495" s="10"/>
      <c r="CF1495" s="16"/>
      <c r="CG1495" s="16"/>
      <c r="CH1495" s="16"/>
      <c r="CI1495" s="16"/>
      <c r="CJ1495" s="10"/>
      <c r="CK1495" s="16"/>
      <c r="CL1495" s="16"/>
      <c r="CM1495" s="16"/>
      <c r="CN1495" s="16"/>
      <c r="CO1495" s="10"/>
      <c r="CP1495" s="16"/>
      <c r="CQ1495" s="16"/>
      <c r="CR1495" s="16"/>
      <c r="CS1495" s="16"/>
      <c r="CT1495" s="10"/>
      <c r="CU1495" s="16"/>
      <c r="CV1495" s="16"/>
      <c r="CW1495" s="16"/>
      <c r="CX1495" s="16"/>
      <c r="CY1495" s="10"/>
      <c r="CZ1495" s="16"/>
      <c r="DA1495" s="16"/>
      <c r="DB1495" s="16"/>
      <c r="DC1495" s="16"/>
      <c r="DD1495" s="10"/>
      <c r="DE1495" s="16"/>
      <c r="DF1495" s="16"/>
      <c r="DG1495" s="16"/>
      <c r="DH1495" s="16"/>
      <c r="DI1495" s="10"/>
      <c r="DJ1495" s="16"/>
      <c r="DK1495" s="16"/>
      <c r="DL1495" s="16"/>
      <c r="DM1495" s="16"/>
      <c r="DN1495" s="10"/>
      <c r="DO1495" s="16"/>
      <c r="DP1495" s="16"/>
      <c r="DQ1495" s="16"/>
      <c r="DR1495" s="16"/>
      <c r="DS1495" s="10"/>
      <c r="DT1495" s="16"/>
      <c r="DU1495" s="16"/>
      <c r="DV1495" s="16"/>
      <c r="DW1495" s="16"/>
      <c r="DX1495" s="10"/>
      <c r="DY1495" s="16"/>
      <c r="DZ1495" s="16"/>
      <c r="EA1495" s="16"/>
      <c r="EB1495" s="16"/>
      <c r="EC1495" s="10"/>
      <c r="ED1495" s="16"/>
      <c r="EE1495" s="16"/>
      <c r="EF1495" s="16"/>
      <c r="EG1495" s="16"/>
      <c r="EH1495" s="10"/>
      <c r="EI1495" s="214"/>
      <c r="EJ1495" s="16"/>
      <c r="EK1495" s="16"/>
      <c r="EL1495" s="16"/>
      <c r="EM1495" s="10"/>
      <c r="EN1495" s="16"/>
      <c r="EO1495" s="16"/>
      <c r="EP1495" s="16"/>
      <c r="EQ1495" s="16"/>
      <c r="ER1495" s="10"/>
      <c r="ES1495" s="16"/>
      <c r="ET1495" s="16"/>
      <c r="EU1495" s="16"/>
      <c r="EV1495" s="16"/>
      <c r="EW1495" s="10"/>
      <c r="EX1495" s="16"/>
      <c r="EY1495" s="16"/>
      <c r="EZ1495" s="16"/>
      <c r="FA1495" s="16"/>
      <c r="FB1495" s="10"/>
      <c r="FC1495" s="16"/>
      <c r="FD1495" s="16"/>
      <c r="FE1495" s="16"/>
      <c r="FF1495" s="16"/>
      <c r="FG1495" s="10"/>
      <c r="FH1495" s="21"/>
      <c r="FI1495" s="16"/>
      <c r="FJ1495" s="16"/>
      <c r="FK1495" s="16"/>
      <c r="FL1495" s="16"/>
    </row>
    <row r="1496" ht="12.75" customHeight="1">
      <c r="A1496" s="16"/>
      <c r="B1496" s="16"/>
      <c r="C1496" s="16"/>
      <c r="D1496" s="16"/>
      <c r="E1496" s="16"/>
      <c r="F1496" s="16"/>
      <c r="G1496" s="16"/>
      <c r="H1496" s="31"/>
      <c r="I1496" s="32"/>
      <c r="J1496" s="32"/>
      <c r="K1496" s="32"/>
      <c r="L1496" s="32"/>
      <c r="M1496" s="31"/>
      <c r="N1496" s="32"/>
      <c r="O1496" s="32"/>
      <c r="P1496" s="32"/>
      <c r="Q1496" s="32"/>
      <c r="R1496" s="33"/>
      <c r="S1496" s="32"/>
      <c r="T1496" s="32"/>
      <c r="U1496" s="32"/>
      <c r="V1496" s="32"/>
      <c r="W1496" s="33"/>
      <c r="X1496" s="32"/>
      <c r="Y1496" s="32"/>
      <c r="Z1496" s="32"/>
      <c r="AA1496" s="32"/>
      <c r="AB1496" s="31"/>
      <c r="AC1496" s="32"/>
      <c r="AD1496" s="32"/>
      <c r="AE1496" s="32"/>
      <c r="AF1496" s="32"/>
      <c r="AG1496" s="31"/>
      <c r="AH1496" s="32"/>
      <c r="AI1496" s="32"/>
      <c r="AJ1496" s="32"/>
      <c r="AK1496" s="32"/>
      <c r="AL1496" s="31"/>
      <c r="AM1496" s="32"/>
      <c r="AN1496" s="32"/>
      <c r="AO1496" s="32"/>
      <c r="AP1496" s="32"/>
      <c r="AQ1496" s="31"/>
      <c r="AR1496" s="32"/>
      <c r="AS1496" s="32"/>
      <c r="AT1496" s="32"/>
      <c r="AU1496" s="32"/>
      <c r="AV1496" s="31"/>
      <c r="AW1496" s="32"/>
      <c r="AX1496" s="32"/>
      <c r="AY1496" s="32"/>
      <c r="AZ1496" s="32"/>
      <c r="BA1496" s="33"/>
      <c r="BB1496" s="32"/>
      <c r="BC1496" s="32"/>
      <c r="BD1496" s="32"/>
      <c r="BE1496" s="32"/>
      <c r="BF1496" s="33"/>
      <c r="BG1496" s="32"/>
      <c r="BH1496" s="32"/>
      <c r="BI1496" s="32"/>
      <c r="BJ1496" s="32"/>
      <c r="BK1496" s="33"/>
      <c r="BL1496" s="32"/>
      <c r="BM1496" s="32"/>
      <c r="BN1496" s="32"/>
      <c r="BO1496" s="32"/>
      <c r="BP1496" s="33"/>
      <c r="BQ1496" s="16"/>
      <c r="BR1496" s="16"/>
      <c r="BS1496" s="16"/>
      <c r="BT1496" s="16"/>
      <c r="BU1496" s="21"/>
      <c r="BV1496" s="16"/>
      <c r="BW1496" s="16"/>
      <c r="BX1496" s="16"/>
      <c r="BY1496" s="16"/>
      <c r="BZ1496" s="10"/>
      <c r="CA1496" s="16"/>
      <c r="CB1496" s="16"/>
      <c r="CC1496" s="16"/>
      <c r="CD1496" s="16"/>
      <c r="CE1496" s="10"/>
      <c r="CF1496" s="16"/>
      <c r="CG1496" s="16"/>
      <c r="CH1496" s="16"/>
      <c r="CI1496" s="16"/>
      <c r="CJ1496" s="10"/>
      <c r="CK1496" s="16"/>
      <c r="CL1496" s="16"/>
      <c r="CM1496" s="16"/>
      <c r="CN1496" s="16"/>
      <c r="CO1496" s="10"/>
      <c r="CP1496" s="16"/>
      <c r="CQ1496" s="16"/>
      <c r="CR1496" s="16"/>
      <c r="CS1496" s="16"/>
      <c r="CT1496" s="10"/>
      <c r="CU1496" s="16"/>
      <c r="CV1496" s="16"/>
      <c r="CW1496" s="16"/>
      <c r="CX1496" s="16"/>
      <c r="CY1496" s="10"/>
      <c r="CZ1496" s="16"/>
      <c r="DA1496" s="16"/>
      <c r="DB1496" s="16"/>
      <c r="DC1496" s="16"/>
      <c r="DD1496" s="10"/>
      <c r="DE1496" s="16"/>
      <c r="DF1496" s="16"/>
      <c r="DG1496" s="16"/>
      <c r="DH1496" s="16"/>
      <c r="DI1496" s="10"/>
      <c r="DJ1496" s="16"/>
      <c r="DK1496" s="16"/>
      <c r="DL1496" s="16"/>
      <c r="DM1496" s="16"/>
      <c r="DN1496" s="10"/>
      <c r="DO1496" s="16"/>
      <c r="DP1496" s="16"/>
      <c r="DQ1496" s="16"/>
      <c r="DR1496" s="16"/>
      <c r="DS1496" s="10"/>
      <c r="DT1496" s="16"/>
      <c r="DU1496" s="16"/>
      <c r="DV1496" s="16"/>
      <c r="DW1496" s="16"/>
      <c r="DX1496" s="10"/>
      <c r="DY1496" s="16"/>
      <c r="DZ1496" s="16"/>
      <c r="EA1496" s="16"/>
      <c r="EB1496" s="16"/>
      <c r="EC1496" s="10"/>
      <c r="ED1496" s="16"/>
      <c r="EE1496" s="16"/>
      <c r="EF1496" s="16"/>
      <c r="EG1496" s="16"/>
      <c r="EH1496" s="10"/>
      <c r="EI1496" s="214"/>
      <c r="EJ1496" s="16"/>
      <c r="EK1496" s="16"/>
      <c r="EL1496" s="16"/>
      <c r="EM1496" s="10"/>
      <c r="EN1496" s="16"/>
      <c r="EO1496" s="16"/>
      <c r="EP1496" s="16"/>
      <c r="EQ1496" s="16"/>
      <c r="ER1496" s="10"/>
      <c r="ES1496" s="16"/>
      <c r="ET1496" s="16"/>
      <c r="EU1496" s="16"/>
      <c r="EV1496" s="16"/>
      <c r="EW1496" s="10"/>
      <c r="EX1496" s="16"/>
      <c r="EY1496" s="16"/>
      <c r="EZ1496" s="16"/>
      <c r="FA1496" s="16"/>
      <c r="FB1496" s="10"/>
      <c r="FC1496" s="16"/>
      <c r="FD1496" s="16"/>
      <c r="FE1496" s="16"/>
      <c r="FF1496" s="16"/>
      <c r="FG1496" s="10"/>
      <c r="FH1496" s="21"/>
      <c r="FI1496" s="16"/>
      <c r="FJ1496" s="16"/>
      <c r="FK1496" s="16"/>
      <c r="FL1496" s="16"/>
    </row>
    <row r="1497" ht="12.75" customHeight="1">
      <c r="A1497" s="16"/>
      <c r="B1497" s="16"/>
      <c r="C1497" s="16"/>
      <c r="D1497" s="16"/>
      <c r="E1497" s="16"/>
      <c r="F1497" s="16"/>
      <c r="G1497" s="16"/>
      <c r="H1497" s="31"/>
      <c r="I1497" s="32"/>
      <c r="J1497" s="32"/>
      <c r="K1497" s="32"/>
      <c r="L1497" s="32"/>
      <c r="M1497" s="31"/>
      <c r="N1497" s="32"/>
      <c r="O1497" s="32"/>
      <c r="P1497" s="32"/>
      <c r="Q1497" s="32"/>
      <c r="R1497" s="33"/>
      <c r="S1497" s="32"/>
      <c r="T1497" s="32"/>
      <c r="U1497" s="32"/>
      <c r="V1497" s="32"/>
      <c r="W1497" s="33"/>
      <c r="X1497" s="32"/>
      <c r="Y1497" s="32"/>
      <c r="Z1497" s="32"/>
      <c r="AA1497" s="32"/>
      <c r="AB1497" s="31"/>
      <c r="AC1497" s="32"/>
      <c r="AD1497" s="32"/>
      <c r="AE1497" s="32"/>
      <c r="AF1497" s="32"/>
      <c r="AG1497" s="31"/>
      <c r="AH1497" s="32"/>
      <c r="AI1497" s="32"/>
      <c r="AJ1497" s="32"/>
      <c r="AK1497" s="32"/>
      <c r="AL1497" s="31"/>
      <c r="AM1497" s="32"/>
      <c r="AN1497" s="32"/>
      <c r="AO1497" s="32"/>
      <c r="AP1497" s="32"/>
      <c r="AQ1497" s="31"/>
      <c r="AR1497" s="32"/>
      <c r="AS1497" s="32"/>
      <c r="AT1497" s="32"/>
      <c r="AU1497" s="32"/>
      <c r="AV1497" s="31"/>
      <c r="AW1497" s="32"/>
      <c r="AX1497" s="32"/>
      <c r="AY1497" s="32"/>
      <c r="AZ1497" s="32"/>
      <c r="BA1497" s="33"/>
      <c r="BB1497" s="32"/>
      <c r="BC1497" s="32"/>
      <c r="BD1497" s="32"/>
      <c r="BE1497" s="32"/>
      <c r="BF1497" s="33"/>
      <c r="BG1497" s="32"/>
      <c r="BH1497" s="32"/>
      <c r="BI1497" s="32"/>
      <c r="BJ1497" s="32"/>
      <c r="BK1497" s="33"/>
      <c r="BL1497" s="32"/>
      <c r="BM1497" s="32"/>
      <c r="BN1497" s="32"/>
      <c r="BO1497" s="32"/>
      <c r="BP1497" s="33"/>
      <c r="BQ1497" s="16"/>
      <c r="BR1497" s="16"/>
      <c r="BS1497" s="16"/>
      <c r="BT1497" s="16"/>
      <c r="BU1497" s="21"/>
      <c r="BV1497" s="16"/>
      <c r="BW1497" s="16"/>
      <c r="BX1497" s="16"/>
      <c r="BY1497" s="16"/>
      <c r="BZ1497" s="10"/>
      <c r="CA1497" s="16"/>
      <c r="CB1497" s="16"/>
      <c r="CC1497" s="16"/>
      <c r="CD1497" s="16"/>
      <c r="CE1497" s="10"/>
      <c r="CF1497" s="16"/>
      <c r="CG1497" s="16"/>
      <c r="CH1497" s="16"/>
      <c r="CI1497" s="16"/>
      <c r="CJ1497" s="10"/>
      <c r="CK1497" s="16"/>
      <c r="CL1497" s="16"/>
      <c r="CM1497" s="16"/>
      <c r="CN1497" s="16"/>
      <c r="CO1497" s="10"/>
      <c r="CP1497" s="16"/>
      <c r="CQ1497" s="16"/>
      <c r="CR1497" s="16"/>
      <c r="CS1497" s="16"/>
      <c r="CT1497" s="10"/>
      <c r="CU1497" s="16"/>
      <c r="CV1497" s="16"/>
      <c r="CW1497" s="16"/>
      <c r="CX1497" s="16"/>
      <c r="CY1497" s="10"/>
      <c r="CZ1497" s="16"/>
      <c r="DA1497" s="16"/>
      <c r="DB1497" s="16"/>
      <c r="DC1497" s="16"/>
      <c r="DD1497" s="10"/>
      <c r="DE1497" s="16"/>
      <c r="DF1497" s="16"/>
      <c r="DG1497" s="16"/>
      <c r="DH1497" s="16"/>
      <c r="DI1497" s="10"/>
      <c r="DJ1497" s="16"/>
      <c r="DK1497" s="16"/>
      <c r="DL1497" s="16"/>
      <c r="DM1497" s="16"/>
      <c r="DN1497" s="10"/>
      <c r="DO1497" s="16"/>
      <c r="DP1497" s="16"/>
      <c r="DQ1497" s="16"/>
      <c r="DR1497" s="16"/>
      <c r="DS1497" s="10"/>
      <c r="DT1497" s="16"/>
      <c r="DU1497" s="16"/>
      <c r="DV1497" s="16"/>
      <c r="DW1497" s="16"/>
      <c r="DX1497" s="10"/>
      <c r="DY1497" s="16"/>
      <c r="DZ1497" s="16"/>
      <c r="EA1497" s="16"/>
      <c r="EB1497" s="16"/>
      <c r="EC1497" s="10"/>
      <c r="ED1497" s="16"/>
      <c r="EE1497" s="16"/>
      <c r="EF1497" s="16"/>
      <c r="EG1497" s="16"/>
      <c r="EH1497" s="10"/>
      <c r="EI1497" s="214"/>
      <c r="EJ1497" s="16"/>
      <c r="EK1497" s="16"/>
      <c r="EL1497" s="16"/>
      <c r="EM1497" s="10"/>
      <c r="EN1497" s="16"/>
      <c r="EO1497" s="16"/>
      <c r="EP1497" s="16"/>
      <c r="EQ1497" s="16"/>
      <c r="ER1497" s="10"/>
      <c r="ES1497" s="16"/>
      <c r="ET1497" s="16"/>
      <c r="EU1497" s="16"/>
      <c r="EV1497" s="16"/>
      <c r="EW1497" s="10"/>
      <c r="EX1497" s="16"/>
      <c r="EY1497" s="16"/>
      <c r="EZ1497" s="16"/>
      <c r="FA1497" s="16"/>
      <c r="FB1497" s="10"/>
      <c r="FC1497" s="16"/>
      <c r="FD1497" s="16"/>
      <c r="FE1497" s="16"/>
      <c r="FF1497" s="16"/>
      <c r="FG1497" s="10"/>
      <c r="FH1497" s="21"/>
      <c r="FI1497" s="16"/>
      <c r="FJ1497" s="16"/>
      <c r="FK1497" s="16"/>
      <c r="FL1497" s="16"/>
    </row>
    <row r="1498" ht="12.75" customHeight="1">
      <c r="A1498" s="16"/>
      <c r="B1498" s="16"/>
      <c r="C1498" s="16"/>
      <c r="D1498" s="16"/>
      <c r="E1498" s="16"/>
      <c r="F1498" s="16"/>
      <c r="G1498" s="16"/>
      <c r="H1498" s="31"/>
      <c r="I1498" s="32"/>
      <c r="J1498" s="32"/>
      <c r="K1498" s="32"/>
      <c r="L1498" s="32"/>
      <c r="M1498" s="31"/>
      <c r="N1498" s="32"/>
      <c r="O1498" s="32"/>
      <c r="P1498" s="32"/>
      <c r="Q1498" s="32"/>
      <c r="R1498" s="33"/>
      <c r="S1498" s="32"/>
      <c r="T1498" s="32"/>
      <c r="U1498" s="32"/>
      <c r="V1498" s="32"/>
      <c r="W1498" s="33"/>
      <c r="X1498" s="32"/>
      <c r="Y1498" s="32"/>
      <c r="Z1498" s="32"/>
      <c r="AA1498" s="32"/>
      <c r="AB1498" s="31"/>
      <c r="AC1498" s="32"/>
      <c r="AD1498" s="32"/>
      <c r="AE1498" s="32"/>
      <c r="AF1498" s="32"/>
      <c r="AG1498" s="31"/>
      <c r="AH1498" s="32"/>
      <c r="AI1498" s="32"/>
      <c r="AJ1498" s="32"/>
      <c r="AK1498" s="32"/>
      <c r="AL1498" s="31"/>
      <c r="AM1498" s="32"/>
      <c r="AN1498" s="32"/>
      <c r="AO1498" s="32"/>
      <c r="AP1498" s="32"/>
      <c r="AQ1498" s="31"/>
      <c r="AR1498" s="32"/>
      <c r="AS1498" s="32"/>
      <c r="AT1498" s="32"/>
      <c r="AU1498" s="32"/>
      <c r="AV1498" s="31"/>
      <c r="AW1498" s="32"/>
      <c r="AX1498" s="32"/>
      <c r="AY1498" s="32"/>
      <c r="AZ1498" s="32"/>
      <c r="BA1498" s="33"/>
      <c r="BB1498" s="32"/>
      <c r="BC1498" s="32"/>
      <c r="BD1498" s="32"/>
      <c r="BE1498" s="32"/>
      <c r="BF1498" s="33"/>
      <c r="BG1498" s="32"/>
      <c r="BH1498" s="32"/>
      <c r="BI1498" s="32"/>
      <c r="BJ1498" s="32"/>
      <c r="BK1498" s="33"/>
      <c r="BL1498" s="32"/>
      <c r="BM1498" s="32"/>
      <c r="BN1498" s="32"/>
      <c r="BO1498" s="32"/>
      <c r="BP1498" s="33"/>
      <c r="BQ1498" s="16"/>
      <c r="BR1498" s="16"/>
      <c r="BS1498" s="16"/>
      <c r="BT1498" s="16"/>
      <c r="BU1498" s="21"/>
      <c r="BV1498" s="16"/>
      <c r="BW1498" s="16"/>
      <c r="BX1498" s="16"/>
      <c r="BY1498" s="16"/>
      <c r="BZ1498" s="10"/>
      <c r="CA1498" s="16"/>
      <c r="CB1498" s="16"/>
      <c r="CC1498" s="16"/>
      <c r="CD1498" s="16"/>
      <c r="CE1498" s="10"/>
      <c r="CF1498" s="16"/>
      <c r="CG1498" s="16"/>
      <c r="CH1498" s="16"/>
      <c r="CI1498" s="16"/>
      <c r="CJ1498" s="10"/>
      <c r="CK1498" s="16"/>
      <c r="CL1498" s="16"/>
      <c r="CM1498" s="16"/>
      <c r="CN1498" s="16"/>
      <c r="CO1498" s="10"/>
      <c r="CP1498" s="16"/>
      <c r="CQ1498" s="16"/>
      <c r="CR1498" s="16"/>
      <c r="CS1498" s="16"/>
      <c r="CT1498" s="10"/>
      <c r="CU1498" s="16"/>
      <c r="CV1498" s="16"/>
      <c r="CW1498" s="16"/>
      <c r="CX1498" s="16"/>
      <c r="CY1498" s="10"/>
      <c r="CZ1498" s="16"/>
      <c r="DA1498" s="16"/>
      <c r="DB1498" s="16"/>
      <c r="DC1498" s="16"/>
      <c r="DD1498" s="10"/>
      <c r="DE1498" s="16"/>
      <c r="DF1498" s="16"/>
      <c r="DG1498" s="16"/>
      <c r="DH1498" s="16"/>
      <c r="DI1498" s="10"/>
      <c r="DJ1498" s="16"/>
      <c r="DK1498" s="16"/>
      <c r="DL1498" s="16"/>
      <c r="DM1498" s="16"/>
      <c r="DN1498" s="10"/>
      <c r="DO1498" s="16"/>
      <c r="DP1498" s="16"/>
      <c r="DQ1498" s="16"/>
      <c r="DR1498" s="16"/>
      <c r="DS1498" s="10"/>
      <c r="DT1498" s="16"/>
      <c r="DU1498" s="16"/>
      <c r="DV1498" s="16"/>
      <c r="DW1498" s="16"/>
      <c r="DX1498" s="10"/>
      <c r="DY1498" s="16"/>
      <c r="DZ1498" s="16"/>
      <c r="EA1498" s="16"/>
      <c r="EB1498" s="16"/>
      <c r="EC1498" s="10"/>
      <c r="ED1498" s="16"/>
      <c r="EE1498" s="16"/>
      <c r="EF1498" s="16"/>
      <c r="EG1498" s="16"/>
      <c r="EH1498" s="10"/>
      <c r="EI1498" s="214"/>
      <c r="EJ1498" s="16"/>
      <c r="EK1498" s="16"/>
      <c r="EL1498" s="16"/>
      <c r="EM1498" s="10"/>
      <c r="EN1498" s="16"/>
      <c r="EO1498" s="16"/>
      <c r="EP1498" s="16"/>
      <c r="EQ1498" s="16"/>
      <c r="ER1498" s="10"/>
      <c r="ES1498" s="16"/>
      <c r="ET1498" s="16"/>
      <c r="EU1498" s="16"/>
      <c r="EV1498" s="16"/>
      <c r="EW1498" s="10"/>
      <c r="EX1498" s="16"/>
      <c r="EY1498" s="16"/>
      <c r="EZ1498" s="16"/>
      <c r="FA1498" s="16"/>
      <c r="FB1498" s="10"/>
      <c r="FC1498" s="16"/>
      <c r="FD1498" s="16"/>
      <c r="FE1498" s="16"/>
      <c r="FF1498" s="16"/>
      <c r="FG1498" s="10"/>
      <c r="FH1498" s="21"/>
      <c r="FI1498" s="16"/>
      <c r="FJ1498" s="16"/>
      <c r="FK1498" s="16"/>
      <c r="FL1498" s="16"/>
    </row>
    <row r="1499" ht="12.75" customHeight="1">
      <c r="A1499" s="16"/>
      <c r="B1499" s="16"/>
      <c r="C1499" s="16"/>
      <c r="D1499" s="16"/>
      <c r="E1499" s="16"/>
      <c r="F1499" s="16"/>
      <c r="G1499" s="16"/>
      <c r="H1499" s="31"/>
      <c r="I1499" s="32"/>
      <c r="J1499" s="32"/>
      <c r="K1499" s="32"/>
      <c r="L1499" s="32"/>
      <c r="M1499" s="31"/>
      <c r="N1499" s="32"/>
      <c r="O1499" s="32"/>
      <c r="P1499" s="32"/>
      <c r="Q1499" s="32"/>
      <c r="R1499" s="33"/>
      <c r="S1499" s="32"/>
      <c r="T1499" s="32"/>
      <c r="U1499" s="32"/>
      <c r="V1499" s="32"/>
      <c r="W1499" s="33"/>
      <c r="X1499" s="32"/>
      <c r="Y1499" s="32"/>
      <c r="Z1499" s="32"/>
      <c r="AA1499" s="32"/>
      <c r="AB1499" s="31"/>
      <c r="AC1499" s="32"/>
      <c r="AD1499" s="32"/>
      <c r="AE1499" s="32"/>
      <c r="AF1499" s="32"/>
      <c r="AG1499" s="31"/>
      <c r="AH1499" s="32"/>
      <c r="AI1499" s="32"/>
      <c r="AJ1499" s="32"/>
      <c r="AK1499" s="32"/>
      <c r="AL1499" s="31"/>
      <c r="AM1499" s="32"/>
      <c r="AN1499" s="32"/>
      <c r="AO1499" s="32"/>
      <c r="AP1499" s="32"/>
      <c r="AQ1499" s="31"/>
      <c r="AR1499" s="32"/>
      <c r="AS1499" s="32"/>
      <c r="AT1499" s="32"/>
      <c r="AU1499" s="32"/>
      <c r="AV1499" s="31"/>
      <c r="AW1499" s="32"/>
      <c r="AX1499" s="32"/>
      <c r="AY1499" s="32"/>
      <c r="AZ1499" s="32"/>
      <c r="BA1499" s="33"/>
      <c r="BB1499" s="32"/>
      <c r="BC1499" s="32"/>
      <c r="BD1499" s="32"/>
      <c r="BE1499" s="32"/>
      <c r="BF1499" s="33"/>
      <c r="BG1499" s="32"/>
      <c r="BH1499" s="32"/>
      <c r="BI1499" s="32"/>
      <c r="BJ1499" s="32"/>
      <c r="BK1499" s="33"/>
      <c r="BL1499" s="32"/>
      <c r="BM1499" s="32"/>
      <c r="BN1499" s="32"/>
      <c r="BO1499" s="32"/>
      <c r="BP1499" s="33"/>
      <c r="BQ1499" s="16"/>
      <c r="BR1499" s="16"/>
      <c r="BS1499" s="16"/>
      <c r="BT1499" s="16"/>
      <c r="BU1499" s="21"/>
      <c r="BV1499" s="16"/>
      <c r="BW1499" s="16"/>
      <c r="BX1499" s="16"/>
      <c r="BY1499" s="16"/>
      <c r="BZ1499" s="10"/>
      <c r="CA1499" s="16"/>
      <c r="CB1499" s="16"/>
      <c r="CC1499" s="16"/>
      <c r="CD1499" s="16"/>
      <c r="CE1499" s="10"/>
      <c r="CF1499" s="16"/>
      <c r="CG1499" s="16"/>
      <c r="CH1499" s="16"/>
      <c r="CI1499" s="16"/>
      <c r="CJ1499" s="10"/>
      <c r="CK1499" s="16"/>
      <c r="CL1499" s="16"/>
      <c r="CM1499" s="16"/>
      <c r="CN1499" s="16"/>
      <c r="CO1499" s="10"/>
      <c r="CP1499" s="16"/>
      <c r="CQ1499" s="16"/>
      <c r="CR1499" s="16"/>
      <c r="CS1499" s="16"/>
      <c r="CT1499" s="10"/>
      <c r="CU1499" s="16"/>
      <c r="CV1499" s="16"/>
      <c r="CW1499" s="16"/>
      <c r="CX1499" s="16"/>
      <c r="CY1499" s="10"/>
      <c r="CZ1499" s="16"/>
      <c r="DA1499" s="16"/>
      <c r="DB1499" s="16"/>
      <c r="DC1499" s="16"/>
      <c r="DD1499" s="10"/>
      <c r="DE1499" s="16"/>
      <c r="DF1499" s="16"/>
      <c r="DG1499" s="16"/>
      <c r="DH1499" s="16"/>
      <c r="DI1499" s="10"/>
      <c r="DJ1499" s="16"/>
      <c r="DK1499" s="16"/>
      <c r="DL1499" s="16"/>
      <c r="DM1499" s="16"/>
      <c r="DN1499" s="10"/>
      <c r="DO1499" s="16"/>
      <c r="DP1499" s="16"/>
      <c r="DQ1499" s="16"/>
      <c r="DR1499" s="16"/>
      <c r="DS1499" s="10"/>
      <c r="DT1499" s="16"/>
      <c r="DU1499" s="16"/>
      <c r="DV1499" s="16"/>
      <c r="DW1499" s="16"/>
      <c r="DX1499" s="10"/>
      <c r="DY1499" s="16"/>
      <c r="DZ1499" s="16"/>
      <c r="EA1499" s="16"/>
      <c r="EB1499" s="16"/>
      <c r="EC1499" s="10"/>
      <c r="ED1499" s="16"/>
      <c r="EE1499" s="16"/>
      <c r="EF1499" s="16"/>
      <c r="EG1499" s="16"/>
      <c r="EH1499" s="10"/>
      <c r="EI1499" s="214"/>
      <c r="EJ1499" s="16"/>
      <c r="EK1499" s="16"/>
      <c r="EL1499" s="16"/>
      <c r="EM1499" s="10"/>
      <c r="EN1499" s="16"/>
      <c r="EO1499" s="16"/>
      <c r="EP1499" s="16"/>
      <c r="EQ1499" s="16"/>
      <c r="ER1499" s="10"/>
      <c r="ES1499" s="16"/>
      <c r="ET1499" s="16"/>
      <c r="EU1499" s="16"/>
      <c r="EV1499" s="16"/>
      <c r="EW1499" s="10"/>
      <c r="EX1499" s="16"/>
      <c r="EY1499" s="16"/>
      <c r="EZ1499" s="16"/>
      <c r="FA1499" s="16"/>
      <c r="FB1499" s="10"/>
      <c r="FC1499" s="16"/>
      <c r="FD1499" s="16"/>
      <c r="FE1499" s="16"/>
      <c r="FF1499" s="16"/>
      <c r="FG1499" s="10"/>
      <c r="FH1499" s="21"/>
      <c r="FI1499" s="16"/>
      <c r="FJ1499" s="16"/>
      <c r="FK1499" s="16"/>
      <c r="FL1499" s="16"/>
    </row>
    <row r="1500" ht="12.75" customHeight="1">
      <c r="A1500" s="16"/>
      <c r="B1500" s="16"/>
      <c r="C1500" s="16"/>
      <c r="D1500" s="16"/>
      <c r="E1500" s="16"/>
      <c r="F1500" s="16"/>
      <c r="G1500" s="16"/>
      <c r="H1500" s="31"/>
      <c r="I1500" s="32"/>
      <c r="J1500" s="32"/>
      <c r="K1500" s="32"/>
      <c r="L1500" s="32"/>
      <c r="M1500" s="31"/>
      <c r="N1500" s="32"/>
      <c r="O1500" s="32"/>
      <c r="P1500" s="32"/>
      <c r="Q1500" s="32"/>
      <c r="R1500" s="33"/>
      <c r="S1500" s="32"/>
      <c r="T1500" s="32"/>
      <c r="U1500" s="32"/>
      <c r="V1500" s="32"/>
      <c r="W1500" s="33"/>
      <c r="X1500" s="32"/>
      <c r="Y1500" s="32"/>
      <c r="Z1500" s="32"/>
      <c r="AA1500" s="32"/>
      <c r="AB1500" s="31"/>
      <c r="AC1500" s="32"/>
      <c r="AD1500" s="32"/>
      <c r="AE1500" s="32"/>
      <c r="AF1500" s="32"/>
      <c r="AG1500" s="31"/>
      <c r="AH1500" s="32"/>
      <c r="AI1500" s="32"/>
      <c r="AJ1500" s="32"/>
      <c r="AK1500" s="32"/>
      <c r="AL1500" s="31"/>
      <c r="AM1500" s="32"/>
      <c r="AN1500" s="32"/>
      <c r="AO1500" s="32"/>
      <c r="AP1500" s="32"/>
      <c r="AQ1500" s="31"/>
      <c r="AR1500" s="32"/>
      <c r="AS1500" s="32"/>
      <c r="AT1500" s="32"/>
      <c r="AU1500" s="32"/>
      <c r="AV1500" s="31"/>
      <c r="AW1500" s="32"/>
      <c r="AX1500" s="32"/>
      <c r="AY1500" s="32"/>
      <c r="AZ1500" s="32"/>
      <c r="BA1500" s="33"/>
      <c r="BB1500" s="32"/>
      <c r="BC1500" s="32"/>
      <c r="BD1500" s="32"/>
      <c r="BE1500" s="32"/>
      <c r="BF1500" s="33"/>
      <c r="BG1500" s="32"/>
      <c r="BH1500" s="32"/>
      <c r="BI1500" s="32"/>
      <c r="BJ1500" s="32"/>
      <c r="BK1500" s="33"/>
      <c r="BL1500" s="32"/>
      <c r="BM1500" s="32"/>
      <c r="BN1500" s="32"/>
      <c r="BO1500" s="32"/>
      <c r="BP1500" s="33"/>
      <c r="BQ1500" s="16"/>
      <c r="BR1500" s="16"/>
      <c r="BS1500" s="16"/>
      <c r="BT1500" s="16"/>
      <c r="BU1500" s="21"/>
      <c r="BV1500" s="16"/>
      <c r="BW1500" s="16"/>
      <c r="BX1500" s="16"/>
      <c r="BY1500" s="16"/>
      <c r="BZ1500" s="10"/>
      <c r="CA1500" s="16"/>
      <c r="CB1500" s="16"/>
      <c r="CC1500" s="16"/>
      <c r="CD1500" s="16"/>
      <c r="CE1500" s="10"/>
      <c r="CF1500" s="16"/>
      <c r="CG1500" s="16"/>
      <c r="CH1500" s="16"/>
      <c r="CI1500" s="16"/>
      <c r="CJ1500" s="10"/>
      <c r="CK1500" s="16"/>
      <c r="CL1500" s="16"/>
      <c r="CM1500" s="16"/>
      <c r="CN1500" s="16"/>
      <c r="CO1500" s="10"/>
      <c r="CP1500" s="16"/>
      <c r="CQ1500" s="16"/>
      <c r="CR1500" s="16"/>
      <c r="CS1500" s="16"/>
      <c r="CT1500" s="10"/>
      <c r="CU1500" s="16"/>
      <c r="CV1500" s="16"/>
      <c r="CW1500" s="16"/>
      <c r="CX1500" s="16"/>
      <c r="CY1500" s="10"/>
      <c r="CZ1500" s="16"/>
      <c r="DA1500" s="16"/>
      <c r="DB1500" s="16"/>
      <c r="DC1500" s="16"/>
      <c r="DD1500" s="10"/>
      <c r="DE1500" s="16"/>
      <c r="DF1500" s="16"/>
      <c r="DG1500" s="16"/>
      <c r="DH1500" s="16"/>
      <c r="DI1500" s="10"/>
      <c r="DJ1500" s="16"/>
      <c r="DK1500" s="16"/>
      <c r="DL1500" s="16"/>
      <c r="DM1500" s="16"/>
      <c r="DN1500" s="10"/>
      <c r="DO1500" s="16"/>
      <c r="DP1500" s="16"/>
      <c r="DQ1500" s="16"/>
      <c r="DR1500" s="16"/>
      <c r="DS1500" s="10"/>
      <c r="DT1500" s="16"/>
      <c r="DU1500" s="16"/>
      <c r="DV1500" s="16"/>
      <c r="DW1500" s="16"/>
      <c r="DX1500" s="10"/>
      <c r="DY1500" s="16"/>
      <c r="DZ1500" s="16"/>
      <c r="EA1500" s="16"/>
      <c r="EB1500" s="16"/>
      <c r="EC1500" s="10"/>
      <c r="ED1500" s="16"/>
      <c r="EE1500" s="16"/>
      <c r="EF1500" s="16"/>
      <c r="EG1500" s="16"/>
      <c r="EH1500" s="10"/>
      <c r="EI1500" s="214"/>
      <c r="EJ1500" s="16"/>
      <c r="EK1500" s="16"/>
      <c r="EL1500" s="16"/>
      <c r="EM1500" s="10"/>
      <c r="EN1500" s="16"/>
      <c r="EO1500" s="16"/>
      <c r="EP1500" s="16"/>
      <c r="EQ1500" s="16"/>
      <c r="ER1500" s="10"/>
      <c r="ES1500" s="16"/>
      <c r="ET1500" s="16"/>
      <c r="EU1500" s="16"/>
      <c r="EV1500" s="16"/>
      <c r="EW1500" s="10"/>
      <c r="EX1500" s="16"/>
      <c r="EY1500" s="16"/>
      <c r="EZ1500" s="16"/>
      <c r="FA1500" s="16"/>
      <c r="FB1500" s="10"/>
      <c r="FC1500" s="16"/>
      <c r="FD1500" s="16"/>
      <c r="FE1500" s="16"/>
      <c r="FF1500" s="16"/>
      <c r="FG1500" s="10"/>
      <c r="FH1500" s="21"/>
      <c r="FI1500" s="16"/>
      <c r="FJ1500" s="16"/>
      <c r="FK1500" s="16"/>
      <c r="FL1500" s="16"/>
    </row>
    <row r="1501" ht="12.75" customHeight="1">
      <c r="A1501" s="16"/>
      <c r="B1501" s="16"/>
      <c r="C1501" s="16"/>
      <c r="D1501" s="16"/>
      <c r="E1501" s="16"/>
      <c r="F1501" s="16"/>
      <c r="G1501" s="16"/>
      <c r="H1501" s="31"/>
      <c r="I1501" s="32"/>
      <c r="J1501" s="32"/>
      <c r="K1501" s="32"/>
      <c r="L1501" s="32"/>
      <c r="M1501" s="31"/>
      <c r="N1501" s="32"/>
      <c r="O1501" s="32"/>
      <c r="P1501" s="32"/>
      <c r="Q1501" s="32"/>
      <c r="R1501" s="33"/>
      <c r="S1501" s="32"/>
      <c r="T1501" s="32"/>
      <c r="U1501" s="32"/>
      <c r="V1501" s="32"/>
      <c r="W1501" s="33"/>
      <c r="X1501" s="32"/>
      <c r="Y1501" s="32"/>
      <c r="Z1501" s="32"/>
      <c r="AA1501" s="32"/>
      <c r="AB1501" s="31"/>
      <c r="AC1501" s="32"/>
      <c r="AD1501" s="32"/>
      <c r="AE1501" s="32"/>
      <c r="AF1501" s="32"/>
      <c r="AG1501" s="31"/>
      <c r="AH1501" s="32"/>
      <c r="AI1501" s="32"/>
      <c r="AJ1501" s="32"/>
      <c r="AK1501" s="32"/>
      <c r="AL1501" s="31"/>
      <c r="AM1501" s="32"/>
      <c r="AN1501" s="32"/>
      <c r="AO1501" s="32"/>
      <c r="AP1501" s="32"/>
      <c r="AQ1501" s="31"/>
      <c r="AR1501" s="32"/>
      <c r="AS1501" s="32"/>
      <c r="AT1501" s="32"/>
      <c r="AU1501" s="32"/>
      <c r="AV1501" s="31"/>
      <c r="AW1501" s="32"/>
      <c r="AX1501" s="32"/>
      <c r="AY1501" s="32"/>
      <c r="AZ1501" s="32"/>
      <c r="BA1501" s="33"/>
      <c r="BB1501" s="32"/>
      <c r="BC1501" s="32"/>
      <c r="BD1501" s="32"/>
      <c r="BE1501" s="32"/>
      <c r="BF1501" s="33"/>
      <c r="BG1501" s="32"/>
      <c r="BH1501" s="32"/>
      <c r="BI1501" s="32"/>
      <c r="BJ1501" s="32"/>
      <c r="BK1501" s="33"/>
      <c r="BL1501" s="32"/>
      <c r="BM1501" s="32"/>
      <c r="BN1501" s="32"/>
      <c r="BO1501" s="32"/>
      <c r="BP1501" s="33"/>
      <c r="BQ1501" s="16"/>
      <c r="BR1501" s="16"/>
      <c r="BS1501" s="16"/>
      <c r="BT1501" s="16"/>
      <c r="BU1501" s="21"/>
      <c r="BV1501" s="16"/>
      <c r="BW1501" s="16"/>
      <c r="BX1501" s="16"/>
      <c r="BY1501" s="16"/>
      <c r="BZ1501" s="10"/>
      <c r="CA1501" s="16"/>
      <c r="CB1501" s="16"/>
      <c r="CC1501" s="16"/>
      <c r="CD1501" s="16"/>
      <c r="CE1501" s="10"/>
      <c r="CF1501" s="16"/>
      <c r="CG1501" s="16"/>
      <c r="CH1501" s="16"/>
      <c r="CI1501" s="16"/>
      <c r="CJ1501" s="10"/>
      <c r="CK1501" s="16"/>
      <c r="CL1501" s="16"/>
      <c r="CM1501" s="16"/>
      <c r="CN1501" s="16"/>
      <c r="CO1501" s="10"/>
      <c r="CP1501" s="16"/>
      <c r="CQ1501" s="16"/>
      <c r="CR1501" s="16"/>
      <c r="CS1501" s="16"/>
      <c r="CT1501" s="10"/>
      <c r="CU1501" s="16"/>
      <c r="CV1501" s="16"/>
      <c r="CW1501" s="16"/>
      <c r="CX1501" s="16"/>
      <c r="CY1501" s="10"/>
      <c r="CZ1501" s="16"/>
      <c r="DA1501" s="16"/>
      <c r="DB1501" s="16"/>
      <c r="DC1501" s="16"/>
      <c r="DD1501" s="10"/>
      <c r="DE1501" s="16"/>
      <c r="DF1501" s="16"/>
      <c r="DG1501" s="16"/>
      <c r="DH1501" s="16"/>
      <c r="DI1501" s="10"/>
      <c r="DJ1501" s="16"/>
      <c r="DK1501" s="16"/>
      <c r="DL1501" s="16"/>
      <c r="DM1501" s="16"/>
      <c r="DN1501" s="10"/>
      <c r="DO1501" s="16"/>
      <c r="DP1501" s="16"/>
      <c r="DQ1501" s="16"/>
      <c r="DR1501" s="16"/>
      <c r="DS1501" s="10"/>
      <c r="DT1501" s="16"/>
      <c r="DU1501" s="16"/>
      <c r="DV1501" s="16"/>
      <c r="DW1501" s="16"/>
      <c r="DX1501" s="10"/>
      <c r="DY1501" s="16"/>
      <c r="DZ1501" s="16"/>
      <c r="EA1501" s="16"/>
      <c r="EB1501" s="16"/>
      <c r="EC1501" s="10"/>
      <c r="ED1501" s="16"/>
      <c r="EE1501" s="16"/>
      <c r="EF1501" s="16"/>
      <c r="EG1501" s="16"/>
      <c r="EH1501" s="10"/>
      <c r="EI1501" s="214"/>
      <c r="EJ1501" s="16"/>
      <c r="EK1501" s="16"/>
      <c r="EL1501" s="16"/>
      <c r="EM1501" s="10"/>
      <c r="EN1501" s="16"/>
      <c r="EO1501" s="16"/>
      <c r="EP1501" s="16"/>
      <c r="EQ1501" s="16"/>
      <c r="ER1501" s="10"/>
      <c r="ES1501" s="16"/>
      <c r="ET1501" s="16"/>
      <c r="EU1501" s="16"/>
      <c r="EV1501" s="16"/>
      <c r="EW1501" s="10"/>
      <c r="EX1501" s="16"/>
      <c r="EY1501" s="16"/>
      <c r="EZ1501" s="16"/>
      <c r="FA1501" s="16"/>
      <c r="FB1501" s="10"/>
      <c r="FC1501" s="16"/>
      <c r="FD1501" s="16"/>
      <c r="FE1501" s="16"/>
      <c r="FF1501" s="16"/>
      <c r="FG1501" s="10"/>
      <c r="FH1501" s="21"/>
      <c r="FI1501" s="16"/>
      <c r="FJ1501" s="16"/>
      <c r="FK1501" s="16"/>
      <c r="FL1501" s="16"/>
    </row>
    <row r="1502" ht="12.75" customHeight="1">
      <c r="A1502" s="16"/>
      <c r="B1502" s="16"/>
      <c r="C1502" s="16"/>
      <c r="D1502" s="16"/>
      <c r="E1502" s="16"/>
      <c r="F1502" s="16"/>
      <c r="G1502" s="16"/>
      <c r="H1502" s="31"/>
      <c r="I1502" s="32"/>
      <c r="J1502" s="32"/>
      <c r="K1502" s="32"/>
      <c r="L1502" s="32"/>
      <c r="M1502" s="31"/>
      <c r="N1502" s="32"/>
      <c r="O1502" s="32"/>
      <c r="P1502" s="32"/>
      <c r="Q1502" s="32"/>
      <c r="R1502" s="33"/>
      <c r="S1502" s="32"/>
      <c r="T1502" s="32"/>
      <c r="U1502" s="32"/>
      <c r="V1502" s="32"/>
      <c r="W1502" s="33"/>
      <c r="X1502" s="32"/>
      <c r="Y1502" s="32"/>
      <c r="Z1502" s="32"/>
      <c r="AA1502" s="32"/>
      <c r="AB1502" s="31"/>
      <c r="AC1502" s="32"/>
      <c r="AD1502" s="32"/>
      <c r="AE1502" s="32"/>
      <c r="AF1502" s="32"/>
      <c r="AG1502" s="31"/>
      <c r="AH1502" s="32"/>
      <c r="AI1502" s="32"/>
      <c r="AJ1502" s="32"/>
      <c r="AK1502" s="32"/>
      <c r="AL1502" s="31"/>
      <c r="AM1502" s="32"/>
      <c r="AN1502" s="32"/>
      <c r="AO1502" s="32"/>
      <c r="AP1502" s="32"/>
      <c r="AQ1502" s="31"/>
      <c r="AR1502" s="32"/>
      <c r="AS1502" s="32"/>
      <c r="AT1502" s="32"/>
      <c r="AU1502" s="32"/>
      <c r="AV1502" s="31"/>
      <c r="AW1502" s="32"/>
      <c r="AX1502" s="32"/>
      <c r="AY1502" s="32"/>
      <c r="AZ1502" s="32"/>
      <c r="BA1502" s="33"/>
      <c r="BB1502" s="32"/>
      <c r="BC1502" s="32"/>
      <c r="BD1502" s="32"/>
      <c r="BE1502" s="32"/>
      <c r="BF1502" s="33"/>
      <c r="BG1502" s="32"/>
      <c r="BH1502" s="32"/>
      <c r="BI1502" s="32"/>
      <c r="BJ1502" s="32"/>
      <c r="BK1502" s="33"/>
      <c r="BL1502" s="32"/>
      <c r="BM1502" s="32"/>
      <c r="BN1502" s="32"/>
      <c r="BO1502" s="32"/>
      <c r="BP1502" s="33"/>
      <c r="BQ1502" s="16"/>
      <c r="BR1502" s="16"/>
      <c r="BS1502" s="16"/>
      <c r="BT1502" s="16"/>
      <c r="BU1502" s="21"/>
      <c r="BV1502" s="16"/>
      <c r="BW1502" s="16"/>
      <c r="BX1502" s="16"/>
      <c r="BY1502" s="16"/>
      <c r="BZ1502" s="10"/>
      <c r="CA1502" s="16"/>
      <c r="CB1502" s="16"/>
      <c r="CC1502" s="16"/>
      <c r="CD1502" s="16"/>
      <c r="CE1502" s="10"/>
      <c r="CF1502" s="16"/>
      <c r="CG1502" s="16"/>
      <c r="CH1502" s="16"/>
      <c r="CI1502" s="16"/>
      <c r="CJ1502" s="10"/>
      <c r="CK1502" s="16"/>
      <c r="CL1502" s="16"/>
      <c r="CM1502" s="16"/>
      <c r="CN1502" s="16"/>
      <c r="CO1502" s="10"/>
      <c r="CP1502" s="16"/>
      <c r="CQ1502" s="16"/>
      <c r="CR1502" s="16"/>
      <c r="CS1502" s="16"/>
      <c r="CT1502" s="10"/>
      <c r="CU1502" s="16"/>
      <c r="CV1502" s="16"/>
      <c r="CW1502" s="16"/>
      <c r="CX1502" s="16"/>
      <c r="CY1502" s="10"/>
      <c r="CZ1502" s="16"/>
      <c r="DA1502" s="16"/>
      <c r="DB1502" s="16"/>
      <c r="DC1502" s="16"/>
      <c r="DD1502" s="10"/>
      <c r="DE1502" s="16"/>
      <c r="DF1502" s="16"/>
      <c r="DG1502" s="16"/>
      <c r="DH1502" s="16"/>
      <c r="DI1502" s="10"/>
      <c r="DJ1502" s="16"/>
      <c r="DK1502" s="16"/>
      <c r="DL1502" s="16"/>
      <c r="DM1502" s="16"/>
      <c r="DN1502" s="10"/>
      <c r="DO1502" s="16"/>
      <c r="DP1502" s="16"/>
      <c r="DQ1502" s="16"/>
      <c r="DR1502" s="16"/>
      <c r="DS1502" s="10"/>
      <c r="DT1502" s="16"/>
      <c r="DU1502" s="16"/>
      <c r="DV1502" s="16"/>
      <c r="DW1502" s="16"/>
      <c r="DX1502" s="10"/>
      <c r="DY1502" s="16"/>
      <c r="DZ1502" s="16"/>
      <c r="EA1502" s="16"/>
      <c r="EB1502" s="16"/>
      <c r="EC1502" s="10"/>
      <c r="ED1502" s="16"/>
      <c r="EE1502" s="16"/>
      <c r="EF1502" s="16"/>
      <c r="EG1502" s="16"/>
      <c r="EH1502" s="10"/>
      <c r="EI1502" s="214"/>
      <c r="EJ1502" s="16"/>
      <c r="EK1502" s="16"/>
      <c r="EL1502" s="16"/>
      <c r="EM1502" s="10"/>
      <c r="EN1502" s="16"/>
      <c r="EO1502" s="16"/>
      <c r="EP1502" s="16"/>
      <c r="EQ1502" s="16"/>
      <c r="ER1502" s="10"/>
      <c r="ES1502" s="16"/>
      <c r="ET1502" s="16"/>
      <c r="EU1502" s="16"/>
      <c r="EV1502" s="16"/>
      <c r="EW1502" s="10"/>
      <c r="EX1502" s="16"/>
      <c r="EY1502" s="16"/>
      <c r="EZ1502" s="16"/>
      <c r="FA1502" s="16"/>
      <c r="FB1502" s="10"/>
      <c r="FC1502" s="16"/>
      <c r="FD1502" s="16"/>
      <c r="FE1502" s="16"/>
      <c r="FF1502" s="16"/>
      <c r="FG1502" s="10"/>
      <c r="FH1502" s="21"/>
      <c r="FI1502" s="16"/>
      <c r="FJ1502" s="16"/>
      <c r="FK1502" s="16"/>
      <c r="FL1502" s="16"/>
    </row>
    <row r="1503" ht="12.75" customHeight="1">
      <c r="A1503" s="16"/>
      <c r="B1503" s="16"/>
      <c r="C1503" s="16"/>
      <c r="D1503" s="16"/>
      <c r="E1503" s="16"/>
      <c r="F1503" s="16"/>
      <c r="G1503" s="16"/>
      <c r="H1503" s="31"/>
      <c r="I1503" s="32"/>
      <c r="J1503" s="32"/>
      <c r="K1503" s="32"/>
      <c r="L1503" s="32"/>
      <c r="M1503" s="31"/>
      <c r="N1503" s="32"/>
      <c r="O1503" s="32"/>
      <c r="P1503" s="32"/>
      <c r="Q1503" s="32"/>
      <c r="R1503" s="33"/>
      <c r="S1503" s="32"/>
      <c r="T1503" s="32"/>
      <c r="U1503" s="32"/>
      <c r="V1503" s="32"/>
      <c r="W1503" s="33"/>
      <c r="X1503" s="32"/>
      <c r="Y1503" s="32"/>
      <c r="Z1503" s="32"/>
      <c r="AA1503" s="32"/>
      <c r="AB1503" s="31"/>
      <c r="AC1503" s="32"/>
      <c r="AD1503" s="32"/>
      <c r="AE1503" s="32"/>
      <c r="AF1503" s="32"/>
      <c r="AG1503" s="31"/>
      <c r="AH1503" s="32"/>
      <c r="AI1503" s="32"/>
      <c r="AJ1503" s="32"/>
      <c r="AK1503" s="32"/>
      <c r="AL1503" s="31"/>
      <c r="AM1503" s="32"/>
      <c r="AN1503" s="32"/>
      <c r="AO1503" s="32"/>
      <c r="AP1503" s="32"/>
      <c r="AQ1503" s="31"/>
      <c r="AR1503" s="32"/>
      <c r="AS1503" s="32"/>
      <c r="AT1503" s="32"/>
      <c r="AU1503" s="32"/>
      <c r="AV1503" s="31"/>
      <c r="AW1503" s="32"/>
      <c r="AX1503" s="32"/>
      <c r="AY1503" s="32"/>
      <c r="AZ1503" s="32"/>
      <c r="BA1503" s="33"/>
      <c r="BB1503" s="32"/>
      <c r="BC1503" s="32"/>
      <c r="BD1503" s="32"/>
      <c r="BE1503" s="32"/>
      <c r="BF1503" s="33"/>
      <c r="BG1503" s="32"/>
      <c r="BH1503" s="32"/>
      <c r="BI1503" s="32"/>
      <c r="BJ1503" s="32"/>
      <c r="BK1503" s="33"/>
      <c r="BL1503" s="32"/>
      <c r="BM1503" s="32"/>
      <c r="BN1503" s="32"/>
      <c r="BO1503" s="32"/>
      <c r="BP1503" s="33"/>
      <c r="BQ1503" s="16"/>
      <c r="BR1503" s="16"/>
      <c r="BS1503" s="16"/>
      <c r="BT1503" s="16"/>
      <c r="BU1503" s="21"/>
      <c r="BV1503" s="16"/>
      <c r="BW1503" s="16"/>
      <c r="BX1503" s="16"/>
      <c r="BY1503" s="16"/>
      <c r="BZ1503" s="10"/>
      <c r="CA1503" s="16"/>
      <c r="CB1503" s="16"/>
      <c r="CC1503" s="16"/>
      <c r="CD1503" s="16"/>
      <c r="CE1503" s="10"/>
      <c r="CF1503" s="16"/>
      <c r="CG1503" s="16"/>
      <c r="CH1503" s="16"/>
      <c r="CI1503" s="16"/>
      <c r="CJ1503" s="10"/>
      <c r="CK1503" s="16"/>
      <c r="CL1503" s="16"/>
      <c r="CM1503" s="16"/>
      <c r="CN1503" s="16"/>
      <c r="CO1503" s="10"/>
      <c r="CP1503" s="16"/>
      <c r="CQ1503" s="16"/>
      <c r="CR1503" s="16"/>
      <c r="CS1503" s="16"/>
      <c r="CT1503" s="10"/>
      <c r="CU1503" s="16"/>
      <c r="CV1503" s="16"/>
      <c r="CW1503" s="16"/>
      <c r="CX1503" s="16"/>
      <c r="CY1503" s="10"/>
      <c r="CZ1503" s="16"/>
      <c r="DA1503" s="16"/>
      <c r="DB1503" s="16"/>
      <c r="DC1503" s="16"/>
      <c r="DD1503" s="10"/>
      <c r="DE1503" s="16"/>
      <c r="DF1503" s="16"/>
      <c r="DG1503" s="16"/>
      <c r="DH1503" s="16"/>
      <c r="DI1503" s="10"/>
      <c r="DJ1503" s="16"/>
      <c r="DK1503" s="16"/>
      <c r="DL1503" s="16"/>
      <c r="DM1503" s="16"/>
      <c r="DN1503" s="10"/>
      <c r="DO1503" s="16"/>
      <c r="DP1503" s="16"/>
      <c r="DQ1503" s="16"/>
      <c r="DR1503" s="16"/>
      <c r="DS1503" s="10"/>
      <c r="DT1503" s="16"/>
      <c r="DU1503" s="16"/>
      <c r="DV1503" s="16"/>
      <c r="DW1503" s="16"/>
      <c r="DX1503" s="10"/>
      <c r="DY1503" s="16"/>
      <c r="DZ1503" s="16"/>
      <c r="EA1503" s="16"/>
      <c r="EB1503" s="16"/>
      <c r="EC1503" s="10"/>
      <c r="ED1503" s="16"/>
      <c r="EE1503" s="16"/>
      <c r="EF1503" s="16"/>
      <c r="EG1503" s="16"/>
      <c r="EH1503" s="10"/>
      <c r="EI1503" s="214"/>
      <c r="EJ1503" s="16"/>
      <c r="EK1503" s="16"/>
      <c r="EL1503" s="16"/>
      <c r="EM1503" s="10"/>
      <c r="EN1503" s="16"/>
      <c r="EO1503" s="16"/>
      <c r="EP1503" s="16"/>
      <c r="EQ1503" s="16"/>
      <c r="ER1503" s="10"/>
      <c r="ES1503" s="16"/>
      <c r="ET1503" s="16"/>
      <c r="EU1503" s="16"/>
      <c r="EV1503" s="16"/>
      <c r="EW1503" s="10"/>
      <c r="EX1503" s="16"/>
      <c r="EY1503" s="16"/>
      <c r="EZ1503" s="16"/>
      <c r="FA1503" s="16"/>
      <c r="FB1503" s="10"/>
      <c r="FC1503" s="16"/>
      <c r="FD1503" s="16"/>
      <c r="FE1503" s="16"/>
      <c r="FF1503" s="16"/>
      <c r="FG1503" s="10"/>
      <c r="FH1503" s="21"/>
      <c r="FI1503" s="16"/>
      <c r="FJ1503" s="16"/>
      <c r="FK1503" s="16"/>
      <c r="FL1503" s="16"/>
    </row>
    <row r="1504" ht="12.75" customHeight="1">
      <c r="A1504" s="16"/>
      <c r="B1504" s="16"/>
      <c r="C1504" s="16"/>
      <c r="D1504" s="16"/>
      <c r="E1504" s="16"/>
      <c r="F1504" s="16"/>
      <c r="G1504" s="16"/>
      <c r="H1504" s="31"/>
      <c r="I1504" s="32"/>
      <c r="J1504" s="32"/>
      <c r="K1504" s="32"/>
      <c r="L1504" s="32"/>
      <c r="M1504" s="31"/>
      <c r="N1504" s="32"/>
      <c r="O1504" s="32"/>
      <c r="P1504" s="32"/>
      <c r="Q1504" s="32"/>
      <c r="R1504" s="33"/>
      <c r="S1504" s="32"/>
      <c r="T1504" s="32"/>
      <c r="U1504" s="32"/>
      <c r="V1504" s="32"/>
      <c r="W1504" s="33"/>
      <c r="X1504" s="32"/>
      <c r="Y1504" s="32"/>
      <c r="Z1504" s="32"/>
      <c r="AA1504" s="32"/>
      <c r="AB1504" s="31"/>
      <c r="AC1504" s="32"/>
      <c r="AD1504" s="32"/>
      <c r="AE1504" s="32"/>
      <c r="AF1504" s="32"/>
      <c r="AG1504" s="31"/>
      <c r="AH1504" s="32"/>
      <c r="AI1504" s="32"/>
      <c r="AJ1504" s="32"/>
      <c r="AK1504" s="32"/>
      <c r="AL1504" s="31"/>
      <c r="AM1504" s="32"/>
      <c r="AN1504" s="32"/>
      <c r="AO1504" s="32"/>
      <c r="AP1504" s="32"/>
      <c r="AQ1504" s="31"/>
      <c r="AR1504" s="32"/>
      <c r="AS1504" s="32"/>
      <c r="AT1504" s="32"/>
      <c r="AU1504" s="32"/>
      <c r="AV1504" s="31"/>
      <c r="AW1504" s="32"/>
      <c r="AX1504" s="32"/>
      <c r="AY1504" s="32"/>
      <c r="AZ1504" s="32"/>
      <c r="BA1504" s="33"/>
      <c r="BB1504" s="32"/>
      <c r="BC1504" s="32"/>
      <c r="BD1504" s="32"/>
      <c r="BE1504" s="32"/>
      <c r="BF1504" s="33"/>
      <c r="BG1504" s="32"/>
      <c r="BH1504" s="32"/>
      <c r="BI1504" s="32"/>
      <c r="BJ1504" s="32"/>
      <c r="BK1504" s="33"/>
      <c r="BL1504" s="32"/>
      <c r="BM1504" s="32"/>
      <c r="BN1504" s="32"/>
      <c r="BO1504" s="32"/>
      <c r="BP1504" s="33"/>
      <c r="BQ1504" s="16"/>
      <c r="BR1504" s="16"/>
      <c r="BS1504" s="16"/>
      <c r="BT1504" s="16"/>
      <c r="BU1504" s="21"/>
      <c r="BV1504" s="16"/>
      <c r="BW1504" s="16"/>
      <c r="BX1504" s="16"/>
      <c r="BY1504" s="16"/>
      <c r="BZ1504" s="10"/>
      <c r="CA1504" s="16"/>
      <c r="CB1504" s="16"/>
      <c r="CC1504" s="16"/>
      <c r="CD1504" s="16"/>
      <c r="CE1504" s="10"/>
      <c r="CF1504" s="16"/>
      <c r="CG1504" s="16"/>
      <c r="CH1504" s="16"/>
      <c r="CI1504" s="16"/>
      <c r="CJ1504" s="10"/>
      <c r="CK1504" s="16"/>
      <c r="CL1504" s="16"/>
      <c r="CM1504" s="16"/>
      <c r="CN1504" s="16"/>
      <c r="CO1504" s="10"/>
      <c r="CP1504" s="16"/>
      <c r="CQ1504" s="16"/>
      <c r="CR1504" s="16"/>
      <c r="CS1504" s="16"/>
      <c r="CT1504" s="10"/>
      <c r="CU1504" s="16"/>
      <c r="CV1504" s="16"/>
      <c r="CW1504" s="16"/>
      <c r="CX1504" s="16"/>
      <c r="CY1504" s="10"/>
      <c r="CZ1504" s="16"/>
      <c r="DA1504" s="16"/>
      <c r="DB1504" s="16"/>
      <c r="DC1504" s="16"/>
      <c r="DD1504" s="10"/>
      <c r="DE1504" s="16"/>
      <c r="DF1504" s="16"/>
      <c r="DG1504" s="16"/>
      <c r="DH1504" s="16"/>
      <c r="DI1504" s="10"/>
      <c r="DJ1504" s="16"/>
      <c r="DK1504" s="16"/>
      <c r="DL1504" s="16"/>
      <c r="DM1504" s="16"/>
      <c r="DN1504" s="10"/>
      <c r="DO1504" s="16"/>
      <c r="DP1504" s="16"/>
      <c r="DQ1504" s="16"/>
      <c r="DR1504" s="16"/>
      <c r="DS1504" s="10"/>
      <c r="DT1504" s="16"/>
      <c r="DU1504" s="16"/>
      <c r="DV1504" s="16"/>
      <c r="DW1504" s="16"/>
      <c r="DX1504" s="10"/>
      <c r="DY1504" s="16"/>
      <c r="DZ1504" s="16"/>
      <c r="EA1504" s="16"/>
      <c r="EB1504" s="16"/>
      <c r="EC1504" s="10"/>
      <c r="ED1504" s="16"/>
      <c r="EE1504" s="16"/>
      <c r="EF1504" s="16"/>
      <c r="EG1504" s="16"/>
      <c r="EH1504" s="10"/>
      <c r="EI1504" s="214"/>
      <c r="EJ1504" s="16"/>
      <c r="EK1504" s="16"/>
      <c r="EL1504" s="16"/>
      <c r="EM1504" s="10"/>
      <c r="EN1504" s="16"/>
      <c r="EO1504" s="16"/>
      <c r="EP1504" s="16"/>
      <c r="EQ1504" s="16"/>
      <c r="ER1504" s="10"/>
      <c r="ES1504" s="16"/>
      <c r="ET1504" s="16"/>
      <c r="EU1504" s="16"/>
      <c r="EV1504" s="16"/>
      <c r="EW1504" s="10"/>
      <c r="EX1504" s="16"/>
      <c r="EY1504" s="16"/>
      <c r="EZ1504" s="16"/>
      <c r="FA1504" s="16"/>
      <c r="FB1504" s="10"/>
      <c r="FC1504" s="16"/>
      <c r="FD1504" s="16"/>
      <c r="FE1504" s="16"/>
      <c r="FF1504" s="16"/>
      <c r="FG1504" s="10"/>
      <c r="FH1504" s="21"/>
      <c r="FI1504" s="16"/>
      <c r="FJ1504" s="16"/>
      <c r="FK1504" s="16"/>
      <c r="FL1504" s="16"/>
    </row>
    <row r="1505" ht="12.75" customHeight="1">
      <c r="A1505" s="16"/>
      <c r="B1505" s="16"/>
      <c r="C1505" s="16"/>
      <c r="D1505" s="16"/>
      <c r="E1505" s="16"/>
      <c r="F1505" s="16"/>
      <c r="G1505" s="16"/>
      <c r="H1505" s="31"/>
      <c r="I1505" s="32"/>
      <c r="J1505" s="32"/>
      <c r="K1505" s="32"/>
      <c r="L1505" s="32"/>
      <c r="M1505" s="31"/>
      <c r="N1505" s="32"/>
      <c r="O1505" s="32"/>
      <c r="P1505" s="32"/>
      <c r="Q1505" s="32"/>
      <c r="R1505" s="33"/>
      <c r="S1505" s="32"/>
      <c r="T1505" s="32"/>
      <c r="U1505" s="32"/>
      <c r="V1505" s="32"/>
      <c r="W1505" s="33"/>
      <c r="X1505" s="32"/>
      <c r="Y1505" s="32"/>
      <c r="Z1505" s="32"/>
      <c r="AA1505" s="32"/>
      <c r="AB1505" s="31"/>
      <c r="AC1505" s="32"/>
      <c r="AD1505" s="32"/>
      <c r="AE1505" s="32"/>
      <c r="AF1505" s="32"/>
      <c r="AG1505" s="31"/>
      <c r="AH1505" s="32"/>
      <c r="AI1505" s="32"/>
      <c r="AJ1505" s="32"/>
      <c r="AK1505" s="32"/>
      <c r="AL1505" s="31"/>
      <c r="AM1505" s="32"/>
      <c r="AN1505" s="32"/>
      <c r="AO1505" s="32"/>
      <c r="AP1505" s="32"/>
      <c r="AQ1505" s="31"/>
      <c r="AR1505" s="32"/>
      <c r="AS1505" s="32"/>
      <c r="AT1505" s="32"/>
      <c r="AU1505" s="32"/>
      <c r="AV1505" s="31"/>
      <c r="AW1505" s="32"/>
      <c r="AX1505" s="32"/>
      <c r="AY1505" s="32"/>
      <c r="AZ1505" s="32"/>
      <c r="BA1505" s="33"/>
      <c r="BB1505" s="32"/>
      <c r="BC1505" s="32"/>
      <c r="BD1505" s="32"/>
      <c r="BE1505" s="32"/>
      <c r="BF1505" s="33"/>
      <c r="BG1505" s="32"/>
      <c r="BH1505" s="32"/>
      <c r="BI1505" s="32"/>
      <c r="BJ1505" s="32"/>
      <c r="BK1505" s="33"/>
      <c r="BL1505" s="32"/>
      <c r="BM1505" s="32"/>
      <c r="BN1505" s="32"/>
      <c r="BO1505" s="32"/>
      <c r="BP1505" s="33"/>
      <c r="BQ1505" s="16"/>
      <c r="BR1505" s="16"/>
      <c r="BS1505" s="16"/>
      <c r="BT1505" s="16"/>
      <c r="BU1505" s="21"/>
      <c r="BV1505" s="16"/>
      <c r="BW1505" s="16"/>
      <c r="BX1505" s="16"/>
      <c r="BY1505" s="16"/>
      <c r="BZ1505" s="10"/>
      <c r="CA1505" s="16"/>
      <c r="CB1505" s="16"/>
      <c r="CC1505" s="16"/>
      <c r="CD1505" s="16"/>
      <c r="CE1505" s="10"/>
      <c r="CF1505" s="16"/>
      <c r="CG1505" s="16"/>
      <c r="CH1505" s="16"/>
      <c r="CI1505" s="16"/>
      <c r="CJ1505" s="10"/>
      <c r="CK1505" s="16"/>
      <c r="CL1505" s="16"/>
      <c r="CM1505" s="16"/>
      <c r="CN1505" s="16"/>
      <c r="CO1505" s="10"/>
      <c r="CP1505" s="16"/>
      <c r="CQ1505" s="16"/>
      <c r="CR1505" s="16"/>
      <c r="CS1505" s="16"/>
      <c r="CT1505" s="10"/>
      <c r="CU1505" s="16"/>
      <c r="CV1505" s="16"/>
      <c r="CW1505" s="16"/>
      <c r="CX1505" s="16"/>
      <c r="CY1505" s="10"/>
      <c r="CZ1505" s="16"/>
      <c r="DA1505" s="16"/>
      <c r="DB1505" s="16"/>
      <c r="DC1505" s="16"/>
      <c r="DD1505" s="10"/>
      <c r="DE1505" s="16"/>
      <c r="DF1505" s="16"/>
      <c r="DG1505" s="16"/>
      <c r="DH1505" s="16"/>
      <c r="DI1505" s="10"/>
      <c r="DJ1505" s="16"/>
      <c r="DK1505" s="16"/>
      <c r="DL1505" s="16"/>
      <c r="DM1505" s="16"/>
      <c r="DN1505" s="10"/>
      <c r="DO1505" s="16"/>
      <c r="DP1505" s="16"/>
      <c r="DQ1505" s="16"/>
      <c r="DR1505" s="16"/>
      <c r="DS1505" s="10"/>
      <c r="DT1505" s="16"/>
      <c r="DU1505" s="16"/>
      <c r="DV1505" s="16"/>
      <c r="DW1505" s="16"/>
      <c r="DX1505" s="10"/>
      <c r="DY1505" s="16"/>
      <c r="DZ1505" s="16"/>
      <c r="EA1505" s="16"/>
      <c r="EB1505" s="16"/>
      <c r="EC1505" s="10"/>
      <c r="ED1505" s="16"/>
      <c r="EE1505" s="16"/>
      <c r="EF1505" s="16"/>
      <c r="EG1505" s="16"/>
      <c r="EH1505" s="10"/>
      <c r="EI1505" s="214"/>
      <c r="EJ1505" s="16"/>
      <c r="EK1505" s="16"/>
      <c r="EL1505" s="16"/>
      <c r="EM1505" s="10"/>
      <c r="EN1505" s="16"/>
      <c r="EO1505" s="16"/>
      <c r="EP1505" s="16"/>
      <c r="EQ1505" s="16"/>
      <c r="ER1505" s="10"/>
      <c r="ES1505" s="16"/>
      <c r="ET1505" s="16"/>
      <c r="EU1505" s="16"/>
      <c r="EV1505" s="16"/>
      <c r="EW1505" s="10"/>
      <c r="EX1505" s="16"/>
      <c r="EY1505" s="16"/>
      <c r="EZ1505" s="16"/>
      <c r="FA1505" s="16"/>
      <c r="FB1505" s="10"/>
      <c r="FC1505" s="16"/>
      <c r="FD1505" s="16"/>
      <c r="FE1505" s="16"/>
      <c r="FF1505" s="16"/>
      <c r="FG1505" s="10"/>
      <c r="FH1505" s="21"/>
      <c r="FI1505" s="16"/>
      <c r="FJ1505" s="16"/>
      <c r="FK1505" s="16"/>
      <c r="FL1505" s="16"/>
    </row>
    <row r="1506" ht="12.75" customHeight="1">
      <c r="A1506" s="16"/>
      <c r="B1506" s="16"/>
      <c r="C1506" s="16"/>
      <c r="D1506" s="16"/>
      <c r="E1506" s="16"/>
      <c r="F1506" s="16"/>
      <c r="G1506" s="16"/>
      <c r="H1506" s="31"/>
      <c r="I1506" s="32"/>
      <c r="J1506" s="32"/>
      <c r="K1506" s="32"/>
      <c r="L1506" s="32"/>
      <c r="M1506" s="31"/>
      <c r="N1506" s="32"/>
      <c r="O1506" s="32"/>
      <c r="P1506" s="32"/>
      <c r="Q1506" s="32"/>
      <c r="R1506" s="33"/>
      <c r="S1506" s="32"/>
      <c r="T1506" s="32"/>
      <c r="U1506" s="32"/>
      <c r="V1506" s="32"/>
      <c r="W1506" s="33"/>
      <c r="X1506" s="32"/>
      <c r="Y1506" s="32"/>
      <c r="Z1506" s="32"/>
      <c r="AA1506" s="32"/>
      <c r="AB1506" s="31"/>
      <c r="AC1506" s="32"/>
      <c r="AD1506" s="32"/>
      <c r="AE1506" s="32"/>
      <c r="AF1506" s="32"/>
      <c r="AG1506" s="31"/>
      <c r="AH1506" s="32"/>
      <c r="AI1506" s="32"/>
      <c r="AJ1506" s="32"/>
      <c r="AK1506" s="32"/>
      <c r="AL1506" s="31"/>
      <c r="AM1506" s="32"/>
      <c r="AN1506" s="32"/>
      <c r="AO1506" s="32"/>
      <c r="AP1506" s="32"/>
      <c r="AQ1506" s="31"/>
      <c r="AR1506" s="32"/>
      <c r="AS1506" s="32"/>
      <c r="AT1506" s="32"/>
      <c r="AU1506" s="32"/>
      <c r="AV1506" s="31"/>
      <c r="AW1506" s="32"/>
      <c r="AX1506" s="32"/>
      <c r="AY1506" s="32"/>
      <c r="AZ1506" s="32"/>
      <c r="BA1506" s="33"/>
      <c r="BB1506" s="32"/>
      <c r="BC1506" s="32"/>
      <c r="BD1506" s="32"/>
      <c r="BE1506" s="32"/>
      <c r="BF1506" s="33"/>
      <c r="BG1506" s="32"/>
      <c r="BH1506" s="32"/>
      <c r="BI1506" s="32"/>
      <c r="BJ1506" s="32"/>
      <c r="BK1506" s="33"/>
      <c r="BL1506" s="32"/>
      <c r="BM1506" s="32"/>
      <c r="BN1506" s="32"/>
      <c r="BO1506" s="32"/>
      <c r="BP1506" s="33"/>
      <c r="BQ1506" s="16"/>
      <c r="BR1506" s="16"/>
      <c r="BS1506" s="16"/>
      <c r="BT1506" s="16"/>
      <c r="BU1506" s="21"/>
      <c r="BV1506" s="16"/>
      <c r="BW1506" s="16"/>
      <c r="BX1506" s="16"/>
      <c r="BY1506" s="16"/>
      <c r="BZ1506" s="10"/>
      <c r="CA1506" s="16"/>
      <c r="CB1506" s="16"/>
      <c r="CC1506" s="16"/>
      <c r="CD1506" s="16"/>
      <c r="CE1506" s="10"/>
      <c r="CF1506" s="16"/>
      <c r="CG1506" s="16"/>
      <c r="CH1506" s="16"/>
      <c r="CI1506" s="16"/>
      <c r="CJ1506" s="10"/>
      <c r="CK1506" s="16"/>
      <c r="CL1506" s="16"/>
      <c r="CM1506" s="16"/>
      <c r="CN1506" s="16"/>
      <c r="CO1506" s="10"/>
      <c r="CP1506" s="16"/>
      <c r="CQ1506" s="16"/>
      <c r="CR1506" s="16"/>
      <c r="CS1506" s="16"/>
      <c r="CT1506" s="10"/>
      <c r="CU1506" s="16"/>
      <c r="CV1506" s="16"/>
      <c r="CW1506" s="16"/>
      <c r="CX1506" s="16"/>
      <c r="CY1506" s="10"/>
      <c r="CZ1506" s="16"/>
      <c r="DA1506" s="16"/>
      <c r="DB1506" s="16"/>
      <c r="DC1506" s="16"/>
      <c r="DD1506" s="10"/>
      <c r="DE1506" s="16"/>
      <c r="DF1506" s="16"/>
      <c r="DG1506" s="16"/>
      <c r="DH1506" s="16"/>
      <c r="DI1506" s="10"/>
      <c r="DJ1506" s="16"/>
      <c r="DK1506" s="16"/>
      <c r="DL1506" s="16"/>
      <c r="DM1506" s="16"/>
      <c r="DN1506" s="10"/>
      <c r="DO1506" s="16"/>
      <c r="DP1506" s="16"/>
      <c r="DQ1506" s="16"/>
      <c r="DR1506" s="16"/>
      <c r="DS1506" s="10"/>
      <c r="DT1506" s="16"/>
      <c r="DU1506" s="16"/>
      <c r="DV1506" s="16"/>
      <c r="DW1506" s="16"/>
      <c r="DX1506" s="10"/>
      <c r="DY1506" s="16"/>
      <c r="DZ1506" s="16"/>
      <c r="EA1506" s="16"/>
      <c r="EB1506" s="16"/>
      <c r="EC1506" s="10"/>
      <c r="ED1506" s="16"/>
      <c r="EE1506" s="16"/>
      <c r="EF1506" s="16"/>
      <c r="EG1506" s="16"/>
      <c r="EH1506" s="10"/>
      <c r="EI1506" s="214"/>
      <c r="EJ1506" s="16"/>
      <c r="EK1506" s="16"/>
      <c r="EL1506" s="16"/>
      <c r="EM1506" s="10"/>
      <c r="EN1506" s="16"/>
      <c r="EO1506" s="16"/>
      <c r="EP1506" s="16"/>
      <c r="EQ1506" s="16"/>
      <c r="ER1506" s="10"/>
      <c r="ES1506" s="16"/>
      <c r="ET1506" s="16"/>
      <c r="EU1506" s="16"/>
      <c r="EV1506" s="16"/>
      <c r="EW1506" s="10"/>
      <c r="EX1506" s="16"/>
      <c r="EY1506" s="16"/>
      <c r="EZ1506" s="16"/>
      <c r="FA1506" s="16"/>
      <c r="FB1506" s="10"/>
      <c r="FC1506" s="16"/>
      <c r="FD1506" s="16"/>
      <c r="FE1506" s="16"/>
      <c r="FF1506" s="16"/>
      <c r="FG1506" s="10"/>
      <c r="FH1506" s="21"/>
      <c r="FI1506" s="16"/>
      <c r="FJ1506" s="16"/>
      <c r="FK1506" s="16"/>
      <c r="FL1506" s="16"/>
    </row>
    <row r="1507" ht="12.75" customHeight="1">
      <c r="A1507" s="16"/>
      <c r="B1507" s="16"/>
      <c r="C1507" s="16"/>
      <c r="D1507" s="16"/>
      <c r="E1507" s="16"/>
      <c r="F1507" s="16"/>
      <c r="G1507" s="16"/>
      <c r="H1507" s="31"/>
      <c r="I1507" s="32"/>
      <c r="J1507" s="32"/>
      <c r="K1507" s="32"/>
      <c r="L1507" s="32"/>
      <c r="M1507" s="31"/>
      <c r="N1507" s="32"/>
      <c r="O1507" s="32"/>
      <c r="P1507" s="32"/>
      <c r="Q1507" s="32"/>
      <c r="R1507" s="33"/>
      <c r="S1507" s="32"/>
      <c r="T1507" s="32"/>
      <c r="U1507" s="32"/>
      <c r="V1507" s="32"/>
      <c r="W1507" s="33"/>
      <c r="X1507" s="32"/>
      <c r="Y1507" s="32"/>
      <c r="Z1507" s="32"/>
      <c r="AA1507" s="32"/>
      <c r="AB1507" s="31"/>
      <c r="AC1507" s="32"/>
      <c r="AD1507" s="32"/>
      <c r="AE1507" s="32"/>
      <c r="AF1507" s="32"/>
      <c r="AG1507" s="31"/>
      <c r="AH1507" s="32"/>
      <c r="AI1507" s="32"/>
      <c r="AJ1507" s="32"/>
      <c r="AK1507" s="32"/>
      <c r="AL1507" s="31"/>
      <c r="AM1507" s="32"/>
      <c r="AN1507" s="32"/>
      <c r="AO1507" s="32"/>
      <c r="AP1507" s="32"/>
      <c r="AQ1507" s="31"/>
      <c r="AR1507" s="32"/>
      <c r="AS1507" s="32"/>
      <c r="AT1507" s="32"/>
      <c r="AU1507" s="32"/>
      <c r="AV1507" s="31"/>
      <c r="AW1507" s="32"/>
      <c r="AX1507" s="32"/>
      <c r="AY1507" s="32"/>
      <c r="AZ1507" s="32"/>
      <c r="BA1507" s="33"/>
      <c r="BB1507" s="32"/>
      <c r="BC1507" s="32"/>
      <c r="BD1507" s="32"/>
      <c r="BE1507" s="32"/>
      <c r="BF1507" s="33"/>
      <c r="BG1507" s="32"/>
      <c r="BH1507" s="32"/>
      <c r="BI1507" s="32"/>
      <c r="BJ1507" s="32"/>
      <c r="BK1507" s="33"/>
      <c r="BL1507" s="32"/>
      <c r="BM1507" s="32"/>
      <c r="BN1507" s="32"/>
      <c r="BO1507" s="32"/>
      <c r="BP1507" s="33"/>
      <c r="BQ1507" s="16"/>
      <c r="BR1507" s="16"/>
      <c r="BS1507" s="16"/>
      <c r="BT1507" s="16"/>
      <c r="BU1507" s="21"/>
      <c r="BV1507" s="16"/>
      <c r="BW1507" s="16"/>
      <c r="BX1507" s="16"/>
      <c r="BY1507" s="16"/>
      <c r="BZ1507" s="10"/>
      <c r="CA1507" s="16"/>
      <c r="CB1507" s="16"/>
      <c r="CC1507" s="16"/>
      <c r="CD1507" s="16"/>
      <c r="CE1507" s="10"/>
      <c r="CF1507" s="16"/>
      <c r="CG1507" s="16"/>
      <c r="CH1507" s="16"/>
      <c r="CI1507" s="16"/>
      <c r="CJ1507" s="10"/>
      <c r="CK1507" s="16"/>
      <c r="CL1507" s="16"/>
      <c r="CM1507" s="16"/>
      <c r="CN1507" s="16"/>
      <c r="CO1507" s="10"/>
      <c r="CP1507" s="16"/>
      <c r="CQ1507" s="16"/>
      <c r="CR1507" s="16"/>
      <c r="CS1507" s="16"/>
      <c r="CT1507" s="10"/>
      <c r="CU1507" s="16"/>
      <c r="CV1507" s="16"/>
      <c r="CW1507" s="16"/>
      <c r="CX1507" s="16"/>
      <c r="CY1507" s="10"/>
      <c r="CZ1507" s="16"/>
      <c r="DA1507" s="16"/>
      <c r="DB1507" s="16"/>
      <c r="DC1507" s="16"/>
      <c r="DD1507" s="10"/>
      <c r="DE1507" s="16"/>
      <c r="DF1507" s="16"/>
      <c r="DG1507" s="16"/>
      <c r="DH1507" s="16"/>
      <c r="DI1507" s="10"/>
      <c r="DJ1507" s="16"/>
      <c r="DK1507" s="16"/>
      <c r="DL1507" s="16"/>
      <c r="DM1507" s="16"/>
      <c r="DN1507" s="10"/>
      <c r="DO1507" s="16"/>
      <c r="DP1507" s="16"/>
      <c r="DQ1507" s="16"/>
      <c r="DR1507" s="16"/>
      <c r="DS1507" s="10"/>
      <c r="DT1507" s="16"/>
      <c r="DU1507" s="16"/>
      <c r="DV1507" s="16"/>
      <c r="DW1507" s="16"/>
      <c r="DX1507" s="10"/>
      <c r="DY1507" s="16"/>
      <c r="DZ1507" s="16"/>
      <c r="EA1507" s="16"/>
      <c r="EB1507" s="16"/>
      <c r="EC1507" s="10"/>
      <c r="ED1507" s="16"/>
      <c r="EE1507" s="16"/>
      <c r="EF1507" s="16"/>
      <c r="EG1507" s="16"/>
      <c r="EH1507" s="10"/>
      <c r="EI1507" s="214"/>
      <c r="EJ1507" s="16"/>
      <c r="EK1507" s="16"/>
      <c r="EL1507" s="16"/>
      <c r="EM1507" s="10"/>
      <c r="EN1507" s="16"/>
      <c r="EO1507" s="16"/>
      <c r="EP1507" s="16"/>
      <c r="EQ1507" s="16"/>
      <c r="ER1507" s="10"/>
      <c r="ES1507" s="16"/>
      <c r="ET1507" s="16"/>
      <c r="EU1507" s="16"/>
      <c r="EV1507" s="16"/>
      <c r="EW1507" s="10"/>
      <c r="EX1507" s="16"/>
      <c r="EY1507" s="16"/>
      <c r="EZ1507" s="16"/>
      <c r="FA1507" s="16"/>
      <c r="FB1507" s="10"/>
      <c r="FC1507" s="16"/>
      <c r="FD1507" s="16"/>
      <c r="FE1507" s="16"/>
      <c r="FF1507" s="16"/>
      <c r="FG1507" s="10"/>
      <c r="FH1507" s="21"/>
      <c r="FI1507" s="16"/>
      <c r="FJ1507" s="16"/>
      <c r="FK1507" s="16"/>
      <c r="FL1507" s="16"/>
    </row>
    <row r="1508" ht="12.75" customHeight="1">
      <c r="A1508" s="16"/>
      <c r="B1508" s="16"/>
      <c r="C1508" s="16"/>
      <c r="D1508" s="16"/>
      <c r="E1508" s="16"/>
      <c r="F1508" s="16"/>
      <c r="G1508" s="16"/>
      <c r="H1508" s="31"/>
      <c r="I1508" s="32"/>
      <c r="J1508" s="32"/>
      <c r="K1508" s="32"/>
      <c r="L1508" s="32"/>
      <c r="M1508" s="31"/>
      <c r="N1508" s="32"/>
      <c r="O1508" s="32"/>
      <c r="P1508" s="32"/>
      <c r="Q1508" s="32"/>
      <c r="R1508" s="33"/>
      <c r="S1508" s="32"/>
      <c r="T1508" s="32"/>
      <c r="U1508" s="32"/>
      <c r="V1508" s="32"/>
      <c r="W1508" s="33"/>
      <c r="X1508" s="32"/>
      <c r="Y1508" s="32"/>
      <c r="Z1508" s="32"/>
      <c r="AA1508" s="32"/>
      <c r="AB1508" s="31"/>
      <c r="AC1508" s="32"/>
      <c r="AD1508" s="32"/>
      <c r="AE1508" s="32"/>
      <c r="AF1508" s="32"/>
      <c r="AG1508" s="31"/>
      <c r="AH1508" s="32"/>
      <c r="AI1508" s="32"/>
      <c r="AJ1508" s="32"/>
      <c r="AK1508" s="32"/>
      <c r="AL1508" s="31"/>
      <c r="AM1508" s="32"/>
      <c r="AN1508" s="32"/>
      <c r="AO1508" s="32"/>
      <c r="AP1508" s="32"/>
      <c r="AQ1508" s="31"/>
      <c r="AR1508" s="32"/>
      <c r="AS1508" s="32"/>
      <c r="AT1508" s="32"/>
      <c r="AU1508" s="32"/>
      <c r="AV1508" s="31"/>
      <c r="AW1508" s="32"/>
      <c r="AX1508" s="32"/>
      <c r="AY1508" s="32"/>
      <c r="AZ1508" s="32"/>
      <c r="BA1508" s="33"/>
      <c r="BB1508" s="32"/>
      <c r="BC1508" s="32"/>
      <c r="BD1508" s="32"/>
      <c r="BE1508" s="32"/>
      <c r="BF1508" s="33"/>
      <c r="BG1508" s="32"/>
      <c r="BH1508" s="32"/>
      <c r="BI1508" s="32"/>
      <c r="BJ1508" s="32"/>
      <c r="BK1508" s="33"/>
      <c r="BL1508" s="32"/>
      <c r="BM1508" s="32"/>
      <c r="BN1508" s="32"/>
      <c r="BO1508" s="32"/>
      <c r="BP1508" s="33"/>
      <c r="BQ1508" s="16"/>
      <c r="BR1508" s="16"/>
      <c r="BS1508" s="16"/>
      <c r="BT1508" s="16"/>
      <c r="BU1508" s="21"/>
      <c r="BV1508" s="16"/>
      <c r="BW1508" s="16"/>
      <c r="BX1508" s="16"/>
      <c r="BY1508" s="16"/>
      <c r="BZ1508" s="10"/>
      <c r="CA1508" s="16"/>
      <c r="CB1508" s="16"/>
      <c r="CC1508" s="16"/>
      <c r="CD1508" s="16"/>
      <c r="CE1508" s="10"/>
      <c r="CF1508" s="16"/>
      <c r="CG1508" s="16"/>
      <c r="CH1508" s="16"/>
      <c r="CI1508" s="16"/>
      <c r="CJ1508" s="10"/>
      <c r="CK1508" s="16"/>
      <c r="CL1508" s="16"/>
      <c r="CM1508" s="16"/>
      <c r="CN1508" s="16"/>
      <c r="CO1508" s="10"/>
      <c r="CP1508" s="16"/>
      <c r="CQ1508" s="16"/>
      <c r="CR1508" s="16"/>
      <c r="CS1508" s="16"/>
      <c r="CT1508" s="10"/>
      <c r="CU1508" s="16"/>
      <c r="CV1508" s="16"/>
      <c r="CW1508" s="16"/>
      <c r="CX1508" s="16"/>
      <c r="CY1508" s="10"/>
      <c r="CZ1508" s="16"/>
      <c r="DA1508" s="16"/>
      <c r="DB1508" s="16"/>
      <c r="DC1508" s="16"/>
      <c r="DD1508" s="10"/>
      <c r="DE1508" s="16"/>
      <c r="DF1508" s="16"/>
      <c r="DG1508" s="16"/>
      <c r="DH1508" s="16"/>
      <c r="DI1508" s="10"/>
      <c r="DJ1508" s="16"/>
      <c r="DK1508" s="16"/>
      <c r="DL1508" s="16"/>
      <c r="DM1508" s="16"/>
      <c r="DN1508" s="10"/>
      <c r="DO1508" s="16"/>
      <c r="DP1508" s="16"/>
      <c r="DQ1508" s="16"/>
      <c r="DR1508" s="16"/>
      <c r="DS1508" s="10"/>
      <c r="DT1508" s="16"/>
      <c r="DU1508" s="16"/>
      <c r="DV1508" s="16"/>
      <c r="DW1508" s="16"/>
      <c r="DX1508" s="10"/>
      <c r="DY1508" s="16"/>
      <c r="DZ1508" s="16"/>
      <c r="EA1508" s="16"/>
      <c r="EB1508" s="16"/>
      <c r="EC1508" s="10"/>
      <c r="ED1508" s="16"/>
      <c r="EE1508" s="16"/>
      <c r="EF1508" s="16"/>
      <c r="EG1508" s="16"/>
      <c r="EH1508" s="10"/>
      <c r="EI1508" s="214"/>
      <c r="EJ1508" s="16"/>
      <c r="EK1508" s="16"/>
      <c r="EL1508" s="16"/>
      <c r="EM1508" s="10"/>
      <c r="EN1508" s="16"/>
      <c r="EO1508" s="16"/>
      <c r="EP1508" s="16"/>
      <c r="EQ1508" s="16"/>
      <c r="ER1508" s="10"/>
      <c r="ES1508" s="16"/>
      <c r="ET1508" s="16"/>
      <c r="EU1508" s="16"/>
      <c r="EV1508" s="16"/>
      <c r="EW1508" s="10"/>
      <c r="EX1508" s="16"/>
      <c r="EY1508" s="16"/>
      <c r="EZ1508" s="16"/>
      <c r="FA1508" s="16"/>
      <c r="FB1508" s="10"/>
      <c r="FC1508" s="16"/>
      <c r="FD1508" s="16"/>
      <c r="FE1508" s="16"/>
      <c r="FF1508" s="16"/>
      <c r="FG1508" s="10"/>
      <c r="FH1508" s="21"/>
      <c r="FI1508" s="16"/>
      <c r="FJ1508" s="16"/>
      <c r="FK1508" s="16"/>
      <c r="FL1508" s="16"/>
    </row>
    <row r="1509" ht="12.75" customHeight="1">
      <c r="A1509" s="16"/>
      <c r="B1509" s="16"/>
      <c r="C1509" s="16"/>
      <c r="D1509" s="16"/>
      <c r="E1509" s="16"/>
      <c r="F1509" s="16"/>
      <c r="G1509" s="16"/>
      <c r="H1509" s="31"/>
      <c r="I1509" s="32"/>
      <c r="J1509" s="32"/>
      <c r="K1509" s="32"/>
      <c r="L1509" s="32"/>
      <c r="M1509" s="31"/>
      <c r="N1509" s="32"/>
      <c r="O1509" s="32"/>
      <c r="P1509" s="32"/>
      <c r="Q1509" s="32"/>
      <c r="R1509" s="33"/>
      <c r="S1509" s="32"/>
      <c r="T1509" s="32"/>
      <c r="U1509" s="32"/>
      <c r="V1509" s="32"/>
      <c r="W1509" s="33"/>
      <c r="X1509" s="32"/>
      <c r="Y1509" s="32"/>
      <c r="Z1509" s="32"/>
      <c r="AA1509" s="32"/>
      <c r="AB1509" s="31"/>
      <c r="AC1509" s="32"/>
      <c r="AD1509" s="32"/>
      <c r="AE1509" s="32"/>
      <c r="AF1509" s="32"/>
      <c r="AG1509" s="31"/>
      <c r="AH1509" s="32"/>
      <c r="AI1509" s="32"/>
      <c r="AJ1509" s="32"/>
      <c r="AK1509" s="32"/>
      <c r="AL1509" s="31"/>
      <c r="AM1509" s="32"/>
      <c r="AN1509" s="32"/>
      <c r="AO1509" s="32"/>
      <c r="AP1509" s="32"/>
      <c r="AQ1509" s="31"/>
      <c r="AR1509" s="32"/>
      <c r="AS1509" s="32"/>
      <c r="AT1509" s="32"/>
      <c r="AU1509" s="32"/>
      <c r="AV1509" s="31"/>
      <c r="AW1509" s="32"/>
      <c r="AX1509" s="32"/>
      <c r="AY1509" s="32"/>
      <c r="AZ1509" s="32"/>
      <c r="BA1509" s="33"/>
      <c r="BB1509" s="32"/>
      <c r="BC1509" s="32"/>
      <c r="BD1509" s="32"/>
      <c r="BE1509" s="32"/>
      <c r="BF1509" s="33"/>
      <c r="BG1509" s="32"/>
      <c r="BH1509" s="32"/>
      <c r="BI1509" s="32"/>
      <c r="BJ1509" s="32"/>
      <c r="BK1509" s="33"/>
      <c r="BL1509" s="32"/>
      <c r="BM1509" s="32"/>
      <c r="BN1509" s="32"/>
      <c r="BO1509" s="32"/>
      <c r="BP1509" s="33"/>
      <c r="BQ1509" s="16"/>
      <c r="BR1509" s="16"/>
      <c r="BS1509" s="16"/>
      <c r="BT1509" s="16"/>
      <c r="BU1509" s="21"/>
      <c r="BV1509" s="16"/>
      <c r="BW1509" s="16"/>
      <c r="BX1509" s="16"/>
      <c r="BY1509" s="16"/>
      <c r="BZ1509" s="10"/>
      <c r="CA1509" s="16"/>
      <c r="CB1509" s="16"/>
      <c r="CC1509" s="16"/>
      <c r="CD1509" s="16"/>
      <c r="CE1509" s="10"/>
      <c r="CF1509" s="16"/>
      <c r="CG1509" s="16"/>
      <c r="CH1509" s="16"/>
      <c r="CI1509" s="16"/>
      <c r="CJ1509" s="10"/>
      <c r="CK1509" s="16"/>
      <c r="CL1509" s="16"/>
      <c r="CM1509" s="16"/>
      <c r="CN1509" s="16"/>
      <c r="CO1509" s="10"/>
      <c r="CP1509" s="16"/>
      <c r="CQ1509" s="16"/>
      <c r="CR1509" s="16"/>
      <c r="CS1509" s="16"/>
      <c r="CT1509" s="10"/>
      <c r="CU1509" s="16"/>
      <c r="CV1509" s="16"/>
      <c r="CW1509" s="16"/>
      <c r="CX1509" s="16"/>
      <c r="CY1509" s="10"/>
      <c r="CZ1509" s="16"/>
      <c r="DA1509" s="16"/>
      <c r="DB1509" s="16"/>
      <c r="DC1509" s="16"/>
      <c r="DD1509" s="10"/>
      <c r="DE1509" s="16"/>
      <c r="DF1509" s="16"/>
      <c r="DG1509" s="16"/>
      <c r="DH1509" s="16"/>
      <c r="DI1509" s="10"/>
      <c r="DJ1509" s="16"/>
      <c r="DK1509" s="16"/>
      <c r="DL1509" s="16"/>
      <c r="DM1509" s="16"/>
      <c r="DN1509" s="10"/>
      <c r="DO1509" s="16"/>
      <c r="DP1509" s="16"/>
      <c r="DQ1509" s="16"/>
      <c r="DR1509" s="16"/>
      <c r="DS1509" s="10"/>
      <c r="DT1509" s="16"/>
      <c r="DU1509" s="16"/>
      <c r="DV1509" s="16"/>
      <c r="DW1509" s="16"/>
      <c r="DX1509" s="10"/>
      <c r="DY1509" s="16"/>
      <c r="DZ1509" s="16"/>
      <c r="EA1509" s="16"/>
      <c r="EB1509" s="16"/>
      <c r="EC1509" s="10"/>
      <c r="ED1509" s="16"/>
      <c r="EE1509" s="16"/>
      <c r="EF1509" s="16"/>
      <c r="EG1509" s="16"/>
      <c r="EH1509" s="10"/>
      <c r="EI1509" s="214"/>
      <c r="EJ1509" s="16"/>
      <c r="EK1509" s="16"/>
      <c r="EL1509" s="16"/>
      <c r="EM1509" s="10"/>
      <c r="EN1509" s="16"/>
      <c r="EO1509" s="16"/>
      <c r="EP1509" s="16"/>
      <c r="EQ1509" s="16"/>
      <c r="ER1509" s="10"/>
      <c r="ES1509" s="16"/>
      <c r="ET1509" s="16"/>
      <c r="EU1509" s="16"/>
      <c r="EV1509" s="16"/>
      <c r="EW1509" s="10"/>
      <c r="EX1509" s="16"/>
      <c r="EY1509" s="16"/>
      <c r="EZ1509" s="16"/>
      <c r="FA1509" s="16"/>
      <c r="FB1509" s="10"/>
      <c r="FC1509" s="16"/>
      <c r="FD1509" s="16"/>
      <c r="FE1509" s="16"/>
      <c r="FF1509" s="16"/>
      <c r="FG1509" s="10"/>
      <c r="FH1509" s="21"/>
      <c r="FI1509" s="16"/>
      <c r="FJ1509" s="16"/>
      <c r="FK1509" s="16"/>
      <c r="FL1509" s="16"/>
    </row>
    <row r="1510" ht="12.75" customHeight="1">
      <c r="A1510" s="16"/>
      <c r="B1510" s="16"/>
      <c r="C1510" s="16"/>
      <c r="D1510" s="16"/>
      <c r="E1510" s="16"/>
      <c r="F1510" s="16"/>
      <c r="G1510" s="16"/>
      <c r="H1510" s="31"/>
      <c r="I1510" s="32"/>
      <c r="J1510" s="32"/>
      <c r="K1510" s="32"/>
      <c r="L1510" s="32"/>
      <c r="M1510" s="31"/>
      <c r="N1510" s="32"/>
      <c r="O1510" s="32"/>
      <c r="P1510" s="32"/>
      <c r="Q1510" s="32"/>
      <c r="R1510" s="33"/>
      <c r="S1510" s="32"/>
      <c r="T1510" s="32"/>
      <c r="U1510" s="32"/>
      <c r="V1510" s="32"/>
      <c r="W1510" s="33"/>
      <c r="X1510" s="32"/>
      <c r="Y1510" s="32"/>
      <c r="Z1510" s="32"/>
      <c r="AA1510" s="32"/>
      <c r="AB1510" s="31"/>
      <c r="AC1510" s="32"/>
      <c r="AD1510" s="32"/>
      <c r="AE1510" s="32"/>
      <c r="AF1510" s="32"/>
      <c r="AG1510" s="31"/>
      <c r="AH1510" s="32"/>
      <c r="AI1510" s="32"/>
      <c r="AJ1510" s="32"/>
      <c r="AK1510" s="32"/>
      <c r="AL1510" s="31"/>
      <c r="AM1510" s="32"/>
      <c r="AN1510" s="32"/>
      <c r="AO1510" s="32"/>
      <c r="AP1510" s="32"/>
      <c r="AQ1510" s="31"/>
      <c r="AR1510" s="32"/>
      <c r="AS1510" s="32"/>
      <c r="AT1510" s="32"/>
      <c r="AU1510" s="32"/>
      <c r="AV1510" s="31"/>
      <c r="AW1510" s="32"/>
      <c r="AX1510" s="32"/>
      <c r="AY1510" s="32"/>
      <c r="AZ1510" s="32"/>
      <c r="BA1510" s="33"/>
      <c r="BB1510" s="32"/>
      <c r="BC1510" s="32"/>
      <c r="BD1510" s="32"/>
      <c r="BE1510" s="32"/>
      <c r="BF1510" s="33"/>
      <c r="BG1510" s="32"/>
      <c r="BH1510" s="32"/>
      <c r="BI1510" s="32"/>
      <c r="BJ1510" s="32"/>
      <c r="BK1510" s="33"/>
      <c r="BL1510" s="32"/>
      <c r="BM1510" s="32"/>
      <c r="BN1510" s="32"/>
      <c r="BO1510" s="32"/>
      <c r="BP1510" s="33"/>
      <c r="BQ1510" s="16"/>
      <c r="BR1510" s="16"/>
      <c r="BS1510" s="16"/>
      <c r="BT1510" s="16"/>
      <c r="BU1510" s="21"/>
      <c r="BV1510" s="16"/>
      <c r="BW1510" s="16"/>
      <c r="BX1510" s="16"/>
      <c r="BY1510" s="16"/>
      <c r="BZ1510" s="10"/>
      <c r="CA1510" s="16"/>
      <c r="CB1510" s="16"/>
      <c r="CC1510" s="16"/>
      <c r="CD1510" s="16"/>
      <c r="CE1510" s="10"/>
      <c r="CF1510" s="16"/>
      <c r="CG1510" s="16"/>
      <c r="CH1510" s="16"/>
      <c r="CI1510" s="16"/>
      <c r="CJ1510" s="10"/>
      <c r="CK1510" s="16"/>
      <c r="CL1510" s="16"/>
      <c r="CM1510" s="16"/>
      <c r="CN1510" s="16"/>
      <c r="CO1510" s="10"/>
      <c r="CP1510" s="16"/>
      <c r="CQ1510" s="16"/>
      <c r="CR1510" s="16"/>
      <c r="CS1510" s="16"/>
      <c r="CT1510" s="10"/>
      <c r="CU1510" s="16"/>
      <c r="CV1510" s="16"/>
      <c r="CW1510" s="16"/>
      <c r="CX1510" s="16"/>
      <c r="CY1510" s="10"/>
      <c r="CZ1510" s="16"/>
      <c r="DA1510" s="16"/>
      <c r="DB1510" s="16"/>
      <c r="DC1510" s="16"/>
      <c r="DD1510" s="10"/>
      <c r="DE1510" s="16"/>
      <c r="DF1510" s="16"/>
      <c r="DG1510" s="16"/>
      <c r="DH1510" s="16"/>
      <c r="DI1510" s="10"/>
      <c r="DJ1510" s="16"/>
      <c r="DK1510" s="16"/>
      <c r="DL1510" s="16"/>
      <c r="DM1510" s="16"/>
      <c r="DN1510" s="10"/>
      <c r="DO1510" s="16"/>
      <c r="DP1510" s="16"/>
      <c r="DQ1510" s="16"/>
      <c r="DR1510" s="16"/>
      <c r="DS1510" s="10"/>
      <c r="DT1510" s="16"/>
      <c r="DU1510" s="16"/>
      <c r="DV1510" s="16"/>
      <c r="DW1510" s="16"/>
      <c r="DX1510" s="10"/>
      <c r="DY1510" s="16"/>
      <c r="DZ1510" s="16"/>
      <c r="EA1510" s="16"/>
      <c r="EB1510" s="16"/>
      <c r="EC1510" s="10"/>
      <c r="ED1510" s="16"/>
      <c r="EE1510" s="16"/>
      <c r="EF1510" s="16"/>
      <c r="EG1510" s="16"/>
      <c r="EH1510" s="10"/>
      <c r="EI1510" s="214"/>
      <c r="EJ1510" s="16"/>
      <c r="EK1510" s="16"/>
      <c r="EL1510" s="16"/>
      <c r="EM1510" s="10"/>
      <c r="EN1510" s="16"/>
      <c r="EO1510" s="16"/>
      <c r="EP1510" s="16"/>
      <c r="EQ1510" s="16"/>
      <c r="ER1510" s="10"/>
      <c r="ES1510" s="16"/>
      <c r="ET1510" s="16"/>
      <c r="EU1510" s="16"/>
      <c r="EV1510" s="16"/>
      <c r="EW1510" s="10"/>
      <c r="EX1510" s="16"/>
      <c r="EY1510" s="16"/>
      <c r="EZ1510" s="16"/>
      <c r="FA1510" s="16"/>
      <c r="FB1510" s="10"/>
      <c r="FC1510" s="16"/>
      <c r="FD1510" s="16"/>
      <c r="FE1510" s="16"/>
      <c r="FF1510" s="16"/>
      <c r="FG1510" s="10"/>
      <c r="FH1510" s="21"/>
      <c r="FI1510" s="16"/>
      <c r="FJ1510" s="16"/>
      <c r="FK1510" s="16"/>
      <c r="FL1510" s="16"/>
    </row>
    <row r="1511" ht="12.75" customHeight="1">
      <c r="A1511" s="16"/>
      <c r="B1511" s="16"/>
      <c r="C1511" s="16"/>
      <c r="D1511" s="16"/>
      <c r="E1511" s="16"/>
      <c r="F1511" s="16"/>
      <c r="G1511" s="16"/>
      <c r="H1511" s="31"/>
      <c r="I1511" s="32"/>
      <c r="J1511" s="32"/>
      <c r="K1511" s="32"/>
      <c r="L1511" s="32"/>
      <c r="M1511" s="31"/>
      <c r="N1511" s="32"/>
      <c r="O1511" s="32"/>
      <c r="P1511" s="32"/>
      <c r="Q1511" s="32"/>
      <c r="R1511" s="33"/>
      <c r="S1511" s="32"/>
      <c r="T1511" s="32"/>
      <c r="U1511" s="32"/>
      <c r="V1511" s="32"/>
      <c r="W1511" s="33"/>
      <c r="X1511" s="32"/>
      <c r="Y1511" s="32"/>
      <c r="Z1511" s="32"/>
      <c r="AA1511" s="32"/>
      <c r="AB1511" s="31"/>
      <c r="AC1511" s="32"/>
      <c r="AD1511" s="32"/>
      <c r="AE1511" s="32"/>
      <c r="AF1511" s="32"/>
      <c r="AG1511" s="31"/>
      <c r="AH1511" s="32"/>
      <c r="AI1511" s="32"/>
      <c r="AJ1511" s="32"/>
      <c r="AK1511" s="32"/>
      <c r="AL1511" s="31"/>
      <c r="AM1511" s="32"/>
      <c r="AN1511" s="32"/>
      <c r="AO1511" s="32"/>
      <c r="AP1511" s="32"/>
      <c r="AQ1511" s="31"/>
      <c r="AR1511" s="32"/>
      <c r="AS1511" s="32"/>
      <c r="AT1511" s="32"/>
      <c r="AU1511" s="32"/>
      <c r="AV1511" s="31"/>
      <c r="AW1511" s="32"/>
      <c r="AX1511" s="32"/>
      <c r="AY1511" s="32"/>
      <c r="AZ1511" s="32"/>
      <c r="BA1511" s="33"/>
      <c r="BB1511" s="32"/>
      <c r="BC1511" s="32"/>
      <c r="BD1511" s="32"/>
      <c r="BE1511" s="32"/>
      <c r="BF1511" s="33"/>
      <c r="BG1511" s="32"/>
      <c r="BH1511" s="32"/>
      <c r="BI1511" s="32"/>
      <c r="BJ1511" s="32"/>
      <c r="BK1511" s="33"/>
      <c r="BL1511" s="32"/>
      <c r="BM1511" s="32"/>
      <c r="BN1511" s="32"/>
      <c r="BO1511" s="32"/>
      <c r="BP1511" s="33"/>
      <c r="BQ1511" s="16"/>
      <c r="BR1511" s="16"/>
      <c r="BS1511" s="16"/>
      <c r="BT1511" s="16"/>
      <c r="BU1511" s="21"/>
      <c r="BV1511" s="16"/>
      <c r="BW1511" s="16"/>
      <c r="BX1511" s="16"/>
      <c r="BY1511" s="16"/>
      <c r="BZ1511" s="10"/>
      <c r="CA1511" s="16"/>
      <c r="CB1511" s="16"/>
      <c r="CC1511" s="16"/>
      <c r="CD1511" s="16"/>
      <c r="CE1511" s="10"/>
      <c r="CF1511" s="16"/>
      <c r="CG1511" s="16"/>
      <c r="CH1511" s="16"/>
      <c r="CI1511" s="16"/>
      <c r="CJ1511" s="10"/>
      <c r="CK1511" s="16"/>
      <c r="CL1511" s="16"/>
      <c r="CM1511" s="16"/>
      <c r="CN1511" s="16"/>
      <c r="CO1511" s="10"/>
      <c r="CP1511" s="16"/>
      <c r="CQ1511" s="16"/>
      <c r="CR1511" s="16"/>
      <c r="CS1511" s="16"/>
      <c r="CT1511" s="10"/>
      <c r="CU1511" s="16"/>
      <c r="CV1511" s="16"/>
      <c r="CW1511" s="16"/>
      <c r="CX1511" s="16"/>
      <c r="CY1511" s="10"/>
      <c r="CZ1511" s="16"/>
      <c r="DA1511" s="16"/>
      <c r="DB1511" s="16"/>
      <c r="DC1511" s="16"/>
      <c r="DD1511" s="10"/>
      <c r="DE1511" s="16"/>
      <c r="DF1511" s="16"/>
      <c r="DG1511" s="16"/>
      <c r="DH1511" s="16"/>
      <c r="DI1511" s="10"/>
      <c r="DJ1511" s="16"/>
      <c r="DK1511" s="16"/>
      <c r="DL1511" s="16"/>
      <c r="DM1511" s="16"/>
      <c r="DN1511" s="10"/>
      <c r="DO1511" s="16"/>
      <c r="DP1511" s="16"/>
      <c r="DQ1511" s="16"/>
      <c r="DR1511" s="16"/>
      <c r="DS1511" s="10"/>
      <c r="DT1511" s="16"/>
      <c r="DU1511" s="16"/>
      <c r="DV1511" s="16"/>
      <c r="DW1511" s="16"/>
      <c r="DX1511" s="10"/>
      <c r="DY1511" s="16"/>
      <c r="DZ1511" s="16"/>
      <c r="EA1511" s="16"/>
      <c r="EB1511" s="16"/>
      <c r="EC1511" s="10"/>
      <c r="ED1511" s="16"/>
      <c r="EE1511" s="16"/>
      <c r="EF1511" s="16"/>
      <c r="EG1511" s="16"/>
      <c r="EH1511" s="10"/>
      <c r="EI1511" s="214"/>
      <c r="EJ1511" s="16"/>
      <c r="EK1511" s="16"/>
      <c r="EL1511" s="16"/>
      <c r="EM1511" s="10"/>
      <c r="EN1511" s="16"/>
      <c r="EO1511" s="16"/>
      <c r="EP1511" s="16"/>
      <c r="EQ1511" s="16"/>
      <c r="ER1511" s="10"/>
      <c r="ES1511" s="16"/>
      <c r="ET1511" s="16"/>
      <c r="EU1511" s="16"/>
      <c r="EV1511" s="16"/>
      <c r="EW1511" s="10"/>
      <c r="EX1511" s="16"/>
      <c r="EY1511" s="16"/>
      <c r="EZ1511" s="16"/>
      <c r="FA1511" s="16"/>
      <c r="FB1511" s="10"/>
      <c r="FC1511" s="16"/>
      <c r="FD1511" s="16"/>
      <c r="FE1511" s="16"/>
      <c r="FF1511" s="16"/>
      <c r="FG1511" s="10"/>
      <c r="FH1511" s="21"/>
      <c r="FI1511" s="16"/>
      <c r="FJ1511" s="16"/>
      <c r="FK1511" s="16"/>
      <c r="FL1511" s="16"/>
    </row>
    <row r="1512" ht="12.75" customHeight="1">
      <c r="A1512" s="16"/>
      <c r="B1512" s="16"/>
      <c r="C1512" s="16"/>
      <c r="D1512" s="16"/>
      <c r="E1512" s="16"/>
      <c r="F1512" s="16"/>
      <c r="G1512" s="16"/>
      <c r="H1512" s="31"/>
      <c r="I1512" s="32"/>
      <c r="J1512" s="32"/>
      <c r="K1512" s="32"/>
      <c r="L1512" s="32"/>
      <c r="M1512" s="31"/>
      <c r="N1512" s="32"/>
      <c r="O1512" s="32"/>
      <c r="P1512" s="32"/>
      <c r="Q1512" s="32"/>
      <c r="R1512" s="33"/>
      <c r="S1512" s="32"/>
      <c r="T1512" s="32"/>
      <c r="U1512" s="32"/>
      <c r="V1512" s="32"/>
      <c r="W1512" s="33"/>
      <c r="X1512" s="32"/>
      <c r="Y1512" s="32"/>
      <c r="Z1512" s="32"/>
      <c r="AA1512" s="32"/>
      <c r="AB1512" s="31"/>
      <c r="AC1512" s="32"/>
      <c r="AD1512" s="32"/>
      <c r="AE1512" s="32"/>
      <c r="AF1512" s="32"/>
      <c r="AG1512" s="31"/>
      <c r="AH1512" s="32"/>
      <c r="AI1512" s="32"/>
      <c r="AJ1512" s="32"/>
      <c r="AK1512" s="32"/>
      <c r="AL1512" s="31"/>
      <c r="AM1512" s="32"/>
      <c r="AN1512" s="32"/>
      <c r="AO1512" s="32"/>
      <c r="AP1512" s="32"/>
      <c r="AQ1512" s="31"/>
      <c r="AR1512" s="32"/>
      <c r="AS1512" s="32"/>
      <c r="AT1512" s="32"/>
      <c r="AU1512" s="32"/>
      <c r="AV1512" s="31"/>
      <c r="AW1512" s="32"/>
      <c r="AX1512" s="32"/>
      <c r="AY1512" s="32"/>
      <c r="AZ1512" s="32"/>
      <c r="BA1512" s="33"/>
      <c r="BB1512" s="32"/>
      <c r="BC1512" s="32"/>
      <c r="BD1512" s="32"/>
      <c r="BE1512" s="32"/>
      <c r="BF1512" s="33"/>
      <c r="BG1512" s="32"/>
      <c r="BH1512" s="32"/>
      <c r="BI1512" s="32"/>
      <c r="BJ1512" s="32"/>
      <c r="BK1512" s="33"/>
      <c r="BL1512" s="32"/>
      <c r="BM1512" s="32"/>
      <c r="BN1512" s="32"/>
      <c r="BO1512" s="32"/>
      <c r="BP1512" s="33"/>
      <c r="BQ1512" s="16"/>
      <c r="BR1512" s="16"/>
      <c r="BS1512" s="16"/>
      <c r="BT1512" s="16"/>
      <c r="BU1512" s="21"/>
      <c r="BV1512" s="16"/>
      <c r="BW1512" s="16"/>
      <c r="BX1512" s="16"/>
      <c r="BY1512" s="16"/>
      <c r="BZ1512" s="10"/>
      <c r="CA1512" s="16"/>
      <c r="CB1512" s="16"/>
      <c r="CC1512" s="16"/>
      <c r="CD1512" s="16"/>
      <c r="CE1512" s="10"/>
      <c r="CF1512" s="16"/>
      <c r="CG1512" s="16"/>
      <c r="CH1512" s="16"/>
      <c r="CI1512" s="16"/>
      <c r="CJ1512" s="10"/>
      <c r="CK1512" s="16"/>
      <c r="CL1512" s="16"/>
      <c r="CM1512" s="16"/>
      <c r="CN1512" s="16"/>
      <c r="CO1512" s="10"/>
      <c r="CP1512" s="16"/>
      <c r="CQ1512" s="16"/>
      <c r="CR1512" s="16"/>
      <c r="CS1512" s="16"/>
      <c r="CT1512" s="10"/>
      <c r="CU1512" s="16"/>
      <c r="CV1512" s="16"/>
      <c r="CW1512" s="16"/>
      <c r="CX1512" s="16"/>
      <c r="CY1512" s="10"/>
      <c r="CZ1512" s="16"/>
      <c r="DA1512" s="16"/>
      <c r="DB1512" s="16"/>
      <c r="DC1512" s="16"/>
      <c r="DD1512" s="10"/>
      <c r="DE1512" s="16"/>
      <c r="DF1512" s="16"/>
      <c r="DG1512" s="16"/>
      <c r="DH1512" s="16"/>
      <c r="DI1512" s="10"/>
      <c r="DJ1512" s="16"/>
      <c r="DK1512" s="16"/>
      <c r="DL1512" s="16"/>
      <c r="DM1512" s="16"/>
      <c r="DN1512" s="10"/>
      <c r="DO1512" s="16"/>
      <c r="DP1512" s="16"/>
      <c r="DQ1512" s="16"/>
      <c r="DR1512" s="16"/>
      <c r="DS1512" s="10"/>
      <c r="DT1512" s="16"/>
      <c r="DU1512" s="16"/>
      <c r="DV1512" s="16"/>
      <c r="DW1512" s="16"/>
      <c r="DX1512" s="10"/>
      <c r="DY1512" s="16"/>
      <c r="DZ1512" s="16"/>
      <c r="EA1512" s="16"/>
      <c r="EB1512" s="16"/>
      <c r="EC1512" s="10"/>
      <c r="ED1512" s="16"/>
      <c r="EE1512" s="16"/>
      <c r="EF1512" s="16"/>
      <c r="EG1512" s="16"/>
      <c r="EH1512" s="10"/>
      <c r="EI1512" s="214"/>
      <c r="EJ1512" s="16"/>
      <c r="EK1512" s="16"/>
      <c r="EL1512" s="16"/>
      <c r="EM1512" s="10"/>
      <c r="EN1512" s="16"/>
      <c r="EO1512" s="16"/>
      <c r="EP1512" s="16"/>
      <c r="EQ1512" s="16"/>
      <c r="ER1512" s="10"/>
      <c r="ES1512" s="16"/>
      <c r="ET1512" s="16"/>
      <c r="EU1512" s="16"/>
      <c r="EV1512" s="16"/>
      <c r="EW1512" s="10"/>
      <c r="EX1512" s="16"/>
      <c r="EY1512" s="16"/>
      <c r="EZ1512" s="16"/>
      <c r="FA1512" s="16"/>
      <c r="FB1512" s="10"/>
      <c r="FC1512" s="16"/>
      <c r="FD1512" s="16"/>
      <c r="FE1512" s="16"/>
      <c r="FF1512" s="16"/>
      <c r="FG1512" s="10"/>
      <c r="FH1512" s="21"/>
      <c r="FI1512" s="16"/>
      <c r="FJ1512" s="16"/>
      <c r="FK1512" s="16"/>
      <c r="FL1512" s="16"/>
    </row>
    <row r="1513" ht="12.75" customHeight="1">
      <c r="A1513" s="16"/>
      <c r="B1513" s="16"/>
      <c r="C1513" s="16"/>
      <c r="D1513" s="16"/>
      <c r="E1513" s="16"/>
      <c r="F1513" s="16"/>
      <c r="G1513" s="16"/>
      <c r="H1513" s="31"/>
      <c r="I1513" s="32"/>
      <c r="J1513" s="32"/>
      <c r="K1513" s="32"/>
      <c r="L1513" s="32"/>
      <c r="M1513" s="31"/>
      <c r="N1513" s="32"/>
      <c r="O1513" s="32"/>
      <c r="P1513" s="32"/>
      <c r="Q1513" s="32"/>
      <c r="R1513" s="33"/>
      <c r="S1513" s="32"/>
      <c r="T1513" s="32"/>
      <c r="U1513" s="32"/>
      <c r="V1513" s="32"/>
      <c r="W1513" s="33"/>
      <c r="X1513" s="32"/>
      <c r="Y1513" s="32"/>
      <c r="Z1513" s="32"/>
      <c r="AA1513" s="32"/>
      <c r="AB1513" s="31"/>
      <c r="AC1513" s="32"/>
      <c r="AD1513" s="32"/>
      <c r="AE1513" s="32"/>
      <c r="AF1513" s="32"/>
      <c r="AG1513" s="31"/>
      <c r="AH1513" s="32"/>
      <c r="AI1513" s="32"/>
      <c r="AJ1513" s="32"/>
      <c r="AK1513" s="32"/>
      <c r="AL1513" s="31"/>
      <c r="AM1513" s="32"/>
      <c r="AN1513" s="32"/>
      <c r="AO1513" s="32"/>
      <c r="AP1513" s="32"/>
      <c r="AQ1513" s="31"/>
      <c r="AR1513" s="32"/>
      <c r="AS1513" s="32"/>
      <c r="AT1513" s="32"/>
      <c r="AU1513" s="32"/>
      <c r="AV1513" s="31"/>
      <c r="AW1513" s="32"/>
      <c r="AX1513" s="32"/>
      <c r="AY1513" s="32"/>
      <c r="AZ1513" s="32"/>
      <c r="BA1513" s="33"/>
      <c r="BB1513" s="32"/>
      <c r="BC1513" s="32"/>
      <c r="BD1513" s="32"/>
      <c r="BE1513" s="32"/>
      <c r="BF1513" s="33"/>
      <c r="BG1513" s="32"/>
      <c r="BH1513" s="32"/>
      <c r="BI1513" s="32"/>
      <c r="BJ1513" s="32"/>
      <c r="BK1513" s="33"/>
      <c r="BL1513" s="32"/>
      <c r="BM1513" s="32"/>
      <c r="BN1513" s="32"/>
      <c r="BO1513" s="32"/>
      <c r="BP1513" s="33"/>
      <c r="BQ1513" s="16"/>
      <c r="BR1513" s="16"/>
      <c r="BS1513" s="16"/>
      <c r="BT1513" s="16"/>
      <c r="BU1513" s="21"/>
      <c r="BV1513" s="16"/>
      <c r="BW1513" s="16"/>
      <c r="BX1513" s="16"/>
      <c r="BY1513" s="16"/>
      <c r="BZ1513" s="10"/>
      <c r="CA1513" s="16"/>
      <c r="CB1513" s="16"/>
      <c r="CC1513" s="16"/>
      <c r="CD1513" s="16"/>
      <c r="CE1513" s="10"/>
      <c r="CF1513" s="16"/>
      <c r="CG1513" s="16"/>
      <c r="CH1513" s="16"/>
      <c r="CI1513" s="16"/>
      <c r="CJ1513" s="10"/>
      <c r="CK1513" s="16"/>
      <c r="CL1513" s="16"/>
      <c r="CM1513" s="16"/>
      <c r="CN1513" s="16"/>
      <c r="CO1513" s="10"/>
      <c r="CP1513" s="16"/>
      <c r="CQ1513" s="16"/>
      <c r="CR1513" s="16"/>
      <c r="CS1513" s="16"/>
      <c r="CT1513" s="10"/>
      <c r="CU1513" s="16"/>
      <c r="CV1513" s="16"/>
      <c r="CW1513" s="16"/>
      <c r="CX1513" s="16"/>
      <c r="CY1513" s="10"/>
      <c r="CZ1513" s="16"/>
      <c r="DA1513" s="16"/>
      <c r="DB1513" s="16"/>
      <c r="DC1513" s="16"/>
      <c r="DD1513" s="10"/>
      <c r="DE1513" s="16"/>
      <c r="DF1513" s="16"/>
      <c r="DG1513" s="16"/>
      <c r="DH1513" s="16"/>
      <c r="DI1513" s="10"/>
      <c r="DJ1513" s="16"/>
      <c r="DK1513" s="16"/>
      <c r="DL1513" s="16"/>
      <c r="DM1513" s="16"/>
      <c r="DN1513" s="10"/>
      <c r="DO1513" s="16"/>
      <c r="DP1513" s="16"/>
      <c r="DQ1513" s="16"/>
      <c r="DR1513" s="16"/>
      <c r="DS1513" s="10"/>
      <c r="DT1513" s="16"/>
      <c r="DU1513" s="16"/>
      <c r="DV1513" s="16"/>
      <c r="DW1513" s="16"/>
      <c r="DX1513" s="10"/>
      <c r="DY1513" s="16"/>
      <c r="DZ1513" s="16"/>
      <c r="EA1513" s="16"/>
      <c r="EB1513" s="16"/>
      <c r="EC1513" s="10"/>
      <c r="ED1513" s="16"/>
      <c r="EE1513" s="16"/>
      <c r="EF1513" s="16"/>
      <c r="EG1513" s="16"/>
      <c r="EH1513" s="10"/>
      <c r="EI1513" s="214"/>
      <c r="EJ1513" s="16"/>
      <c r="EK1513" s="16"/>
      <c r="EL1513" s="16"/>
      <c r="EM1513" s="10"/>
      <c r="EN1513" s="16"/>
      <c r="EO1513" s="16"/>
      <c r="EP1513" s="16"/>
      <c r="EQ1513" s="16"/>
      <c r="ER1513" s="10"/>
      <c r="ES1513" s="16"/>
      <c r="ET1513" s="16"/>
      <c r="EU1513" s="16"/>
      <c r="EV1513" s="16"/>
      <c r="EW1513" s="10"/>
      <c r="EX1513" s="16"/>
      <c r="EY1513" s="16"/>
      <c r="EZ1513" s="16"/>
      <c r="FA1513" s="16"/>
      <c r="FB1513" s="10"/>
      <c r="FC1513" s="16"/>
      <c r="FD1513" s="16"/>
      <c r="FE1513" s="16"/>
      <c r="FF1513" s="16"/>
      <c r="FG1513" s="10"/>
      <c r="FH1513" s="21"/>
      <c r="FI1513" s="16"/>
      <c r="FJ1513" s="16"/>
      <c r="FK1513" s="16"/>
      <c r="FL1513" s="16"/>
    </row>
    <row r="1514" ht="12.75" customHeight="1">
      <c r="A1514" s="16"/>
      <c r="B1514" s="16"/>
      <c r="C1514" s="16"/>
      <c r="D1514" s="16"/>
      <c r="E1514" s="16"/>
      <c r="F1514" s="16"/>
      <c r="G1514" s="16"/>
      <c r="H1514" s="31"/>
      <c r="I1514" s="32"/>
      <c r="J1514" s="32"/>
      <c r="K1514" s="32"/>
      <c r="L1514" s="32"/>
      <c r="M1514" s="31"/>
      <c r="N1514" s="32"/>
      <c r="O1514" s="32"/>
      <c r="P1514" s="32"/>
      <c r="Q1514" s="32"/>
      <c r="R1514" s="33"/>
      <c r="S1514" s="32"/>
      <c r="T1514" s="32"/>
      <c r="U1514" s="32"/>
      <c r="V1514" s="32"/>
      <c r="W1514" s="33"/>
      <c r="X1514" s="32"/>
      <c r="Y1514" s="32"/>
      <c r="Z1514" s="32"/>
      <c r="AA1514" s="32"/>
      <c r="AB1514" s="31"/>
      <c r="AC1514" s="32"/>
      <c r="AD1514" s="32"/>
      <c r="AE1514" s="32"/>
      <c r="AF1514" s="32"/>
      <c r="AG1514" s="31"/>
      <c r="AH1514" s="32"/>
      <c r="AI1514" s="32"/>
      <c r="AJ1514" s="32"/>
      <c r="AK1514" s="32"/>
      <c r="AL1514" s="31"/>
      <c r="AM1514" s="32"/>
      <c r="AN1514" s="32"/>
      <c r="AO1514" s="32"/>
      <c r="AP1514" s="32"/>
      <c r="AQ1514" s="31"/>
      <c r="AR1514" s="32"/>
      <c r="AS1514" s="32"/>
      <c r="AT1514" s="32"/>
      <c r="AU1514" s="32"/>
      <c r="AV1514" s="31"/>
      <c r="AW1514" s="32"/>
      <c r="AX1514" s="32"/>
      <c r="AY1514" s="32"/>
      <c r="AZ1514" s="32"/>
      <c r="BA1514" s="33"/>
      <c r="BB1514" s="32"/>
      <c r="BC1514" s="32"/>
      <c r="BD1514" s="32"/>
      <c r="BE1514" s="32"/>
      <c r="BF1514" s="33"/>
      <c r="BG1514" s="32"/>
      <c r="BH1514" s="32"/>
      <c r="BI1514" s="32"/>
      <c r="BJ1514" s="32"/>
      <c r="BK1514" s="33"/>
      <c r="BL1514" s="32"/>
      <c r="BM1514" s="32"/>
      <c r="BN1514" s="32"/>
      <c r="BO1514" s="32"/>
      <c r="BP1514" s="33"/>
      <c r="BQ1514" s="16"/>
      <c r="BR1514" s="16"/>
      <c r="BS1514" s="16"/>
      <c r="BT1514" s="16"/>
      <c r="BU1514" s="21"/>
      <c r="BV1514" s="16"/>
      <c r="BW1514" s="16"/>
      <c r="BX1514" s="16"/>
      <c r="BY1514" s="16"/>
      <c r="BZ1514" s="10"/>
      <c r="CA1514" s="16"/>
      <c r="CB1514" s="16"/>
      <c r="CC1514" s="16"/>
      <c r="CD1514" s="16"/>
      <c r="CE1514" s="10"/>
      <c r="CF1514" s="16"/>
      <c r="CG1514" s="16"/>
      <c r="CH1514" s="16"/>
      <c r="CI1514" s="16"/>
      <c r="CJ1514" s="10"/>
      <c r="CK1514" s="16"/>
      <c r="CL1514" s="16"/>
      <c r="CM1514" s="16"/>
      <c r="CN1514" s="16"/>
      <c r="CO1514" s="10"/>
      <c r="CP1514" s="16"/>
      <c r="CQ1514" s="16"/>
      <c r="CR1514" s="16"/>
      <c r="CS1514" s="16"/>
      <c r="CT1514" s="10"/>
      <c r="CU1514" s="16"/>
      <c r="CV1514" s="16"/>
      <c r="CW1514" s="16"/>
      <c r="CX1514" s="16"/>
      <c r="CY1514" s="10"/>
      <c r="CZ1514" s="16"/>
      <c r="DA1514" s="16"/>
      <c r="DB1514" s="16"/>
      <c r="DC1514" s="16"/>
      <c r="DD1514" s="10"/>
      <c r="DE1514" s="16"/>
      <c r="DF1514" s="16"/>
      <c r="DG1514" s="16"/>
      <c r="DH1514" s="16"/>
      <c r="DI1514" s="10"/>
      <c r="DJ1514" s="16"/>
      <c r="DK1514" s="16"/>
      <c r="DL1514" s="16"/>
      <c r="DM1514" s="16"/>
      <c r="DN1514" s="10"/>
      <c r="DO1514" s="16"/>
      <c r="DP1514" s="16"/>
      <c r="DQ1514" s="16"/>
      <c r="DR1514" s="16"/>
      <c r="DS1514" s="10"/>
      <c r="DT1514" s="16"/>
      <c r="DU1514" s="16"/>
      <c r="DV1514" s="16"/>
      <c r="DW1514" s="16"/>
      <c r="DX1514" s="10"/>
      <c r="DY1514" s="16"/>
      <c r="DZ1514" s="16"/>
      <c r="EA1514" s="16"/>
      <c r="EB1514" s="16"/>
      <c r="EC1514" s="10"/>
      <c r="ED1514" s="16"/>
      <c r="EE1514" s="16"/>
      <c r="EF1514" s="16"/>
      <c r="EG1514" s="16"/>
      <c r="EH1514" s="10"/>
      <c r="EI1514" s="214"/>
      <c r="EJ1514" s="16"/>
      <c r="EK1514" s="16"/>
      <c r="EL1514" s="16"/>
      <c r="EM1514" s="10"/>
      <c r="EN1514" s="16"/>
      <c r="EO1514" s="16"/>
      <c r="EP1514" s="16"/>
      <c r="EQ1514" s="16"/>
      <c r="ER1514" s="10"/>
      <c r="ES1514" s="16"/>
      <c r="ET1514" s="16"/>
      <c r="EU1514" s="16"/>
      <c r="EV1514" s="16"/>
      <c r="EW1514" s="10"/>
      <c r="EX1514" s="16"/>
      <c r="EY1514" s="16"/>
      <c r="EZ1514" s="16"/>
      <c r="FA1514" s="16"/>
      <c r="FB1514" s="10"/>
      <c r="FC1514" s="16"/>
      <c r="FD1514" s="16"/>
      <c r="FE1514" s="16"/>
      <c r="FF1514" s="16"/>
      <c r="FG1514" s="10"/>
      <c r="FH1514" s="21"/>
      <c r="FI1514" s="16"/>
      <c r="FJ1514" s="16"/>
      <c r="FK1514" s="16"/>
      <c r="FL1514" s="16"/>
    </row>
    <row r="1515" ht="12.75" customHeight="1">
      <c r="A1515" s="16"/>
      <c r="B1515" s="16"/>
      <c r="C1515" s="16"/>
      <c r="D1515" s="16"/>
      <c r="E1515" s="16"/>
      <c r="F1515" s="16"/>
      <c r="G1515" s="16"/>
      <c r="H1515" s="31"/>
      <c r="I1515" s="32"/>
      <c r="J1515" s="32"/>
      <c r="K1515" s="32"/>
      <c r="L1515" s="32"/>
      <c r="M1515" s="31"/>
      <c r="N1515" s="32"/>
      <c r="O1515" s="32"/>
      <c r="P1515" s="32"/>
      <c r="Q1515" s="32"/>
      <c r="R1515" s="33"/>
      <c r="S1515" s="32"/>
      <c r="T1515" s="32"/>
      <c r="U1515" s="32"/>
      <c r="V1515" s="32"/>
      <c r="W1515" s="33"/>
      <c r="X1515" s="32"/>
      <c r="Y1515" s="32"/>
      <c r="Z1515" s="32"/>
      <c r="AA1515" s="32"/>
      <c r="AB1515" s="31"/>
      <c r="AC1515" s="32"/>
      <c r="AD1515" s="32"/>
      <c r="AE1515" s="32"/>
      <c r="AF1515" s="32"/>
      <c r="AG1515" s="31"/>
      <c r="AH1515" s="32"/>
      <c r="AI1515" s="32"/>
      <c r="AJ1515" s="32"/>
      <c r="AK1515" s="32"/>
      <c r="AL1515" s="31"/>
      <c r="AM1515" s="32"/>
      <c r="AN1515" s="32"/>
      <c r="AO1515" s="32"/>
      <c r="AP1515" s="32"/>
      <c r="AQ1515" s="31"/>
      <c r="AR1515" s="32"/>
      <c r="AS1515" s="32"/>
      <c r="AT1515" s="32"/>
      <c r="AU1515" s="32"/>
      <c r="AV1515" s="31"/>
      <c r="AW1515" s="32"/>
      <c r="AX1515" s="32"/>
      <c r="AY1515" s="32"/>
      <c r="AZ1515" s="32"/>
      <c r="BA1515" s="33"/>
      <c r="BB1515" s="32"/>
      <c r="BC1515" s="32"/>
      <c r="BD1515" s="32"/>
      <c r="BE1515" s="32"/>
      <c r="BF1515" s="33"/>
      <c r="BG1515" s="32"/>
      <c r="BH1515" s="32"/>
      <c r="BI1515" s="32"/>
      <c r="BJ1515" s="32"/>
      <c r="BK1515" s="33"/>
      <c r="BL1515" s="32"/>
      <c r="BM1515" s="32"/>
      <c r="BN1515" s="32"/>
      <c r="BO1515" s="32"/>
      <c r="BP1515" s="33"/>
      <c r="BQ1515" s="16"/>
      <c r="BR1515" s="16"/>
      <c r="BS1515" s="16"/>
      <c r="BT1515" s="16"/>
      <c r="BU1515" s="21"/>
      <c r="BV1515" s="16"/>
      <c r="BW1515" s="16"/>
      <c r="BX1515" s="16"/>
      <c r="BY1515" s="16"/>
      <c r="BZ1515" s="10"/>
      <c r="CA1515" s="16"/>
      <c r="CB1515" s="16"/>
      <c r="CC1515" s="16"/>
      <c r="CD1515" s="16"/>
      <c r="CE1515" s="10"/>
      <c r="CF1515" s="16"/>
      <c r="CG1515" s="16"/>
      <c r="CH1515" s="16"/>
      <c r="CI1515" s="16"/>
      <c r="CJ1515" s="10"/>
      <c r="CK1515" s="16"/>
      <c r="CL1515" s="16"/>
      <c r="CM1515" s="16"/>
      <c r="CN1515" s="16"/>
      <c r="CO1515" s="10"/>
      <c r="CP1515" s="16"/>
      <c r="CQ1515" s="16"/>
      <c r="CR1515" s="16"/>
      <c r="CS1515" s="16"/>
      <c r="CT1515" s="10"/>
      <c r="CU1515" s="16"/>
      <c r="CV1515" s="16"/>
      <c r="CW1515" s="16"/>
      <c r="CX1515" s="16"/>
      <c r="CY1515" s="10"/>
      <c r="CZ1515" s="16"/>
      <c r="DA1515" s="16"/>
      <c r="DB1515" s="16"/>
      <c r="DC1515" s="16"/>
      <c r="DD1515" s="10"/>
      <c r="DE1515" s="16"/>
      <c r="DF1515" s="16"/>
      <c r="DG1515" s="16"/>
      <c r="DH1515" s="16"/>
      <c r="DI1515" s="10"/>
      <c r="DJ1515" s="16"/>
      <c r="DK1515" s="16"/>
      <c r="DL1515" s="16"/>
      <c r="DM1515" s="16"/>
      <c r="DN1515" s="10"/>
      <c r="DO1515" s="16"/>
      <c r="DP1515" s="16"/>
      <c r="DQ1515" s="16"/>
      <c r="DR1515" s="16"/>
      <c r="DS1515" s="10"/>
      <c r="DT1515" s="16"/>
      <c r="DU1515" s="16"/>
      <c r="DV1515" s="16"/>
      <c r="DW1515" s="16"/>
      <c r="DX1515" s="10"/>
      <c r="DY1515" s="16"/>
      <c r="DZ1515" s="16"/>
      <c r="EA1515" s="16"/>
      <c r="EB1515" s="16"/>
      <c r="EC1515" s="10"/>
      <c r="ED1515" s="16"/>
      <c r="EE1515" s="16"/>
      <c r="EF1515" s="16"/>
      <c r="EG1515" s="16"/>
      <c r="EH1515" s="10"/>
      <c r="EI1515" s="214"/>
      <c r="EJ1515" s="16"/>
      <c r="EK1515" s="16"/>
      <c r="EL1515" s="16"/>
      <c r="EM1515" s="10"/>
      <c r="EN1515" s="16"/>
      <c r="EO1515" s="16"/>
      <c r="EP1515" s="16"/>
      <c r="EQ1515" s="16"/>
      <c r="ER1515" s="10"/>
      <c r="ES1515" s="16"/>
      <c r="ET1515" s="16"/>
      <c r="EU1515" s="16"/>
      <c r="EV1515" s="16"/>
      <c r="EW1515" s="10"/>
      <c r="EX1515" s="16"/>
      <c r="EY1515" s="16"/>
      <c r="EZ1515" s="16"/>
      <c r="FA1515" s="16"/>
      <c r="FB1515" s="10"/>
      <c r="FC1515" s="16"/>
      <c r="FD1515" s="16"/>
      <c r="FE1515" s="16"/>
      <c r="FF1515" s="16"/>
      <c r="FG1515" s="10"/>
      <c r="FH1515" s="21"/>
      <c r="FI1515" s="16"/>
      <c r="FJ1515" s="16"/>
      <c r="FK1515" s="16"/>
      <c r="FL1515" s="16"/>
    </row>
    <row r="1516" ht="12.75" customHeight="1">
      <c r="A1516" s="16"/>
      <c r="B1516" s="16"/>
      <c r="C1516" s="16"/>
      <c r="D1516" s="16"/>
      <c r="E1516" s="16"/>
      <c r="F1516" s="16"/>
      <c r="G1516" s="16"/>
      <c r="H1516" s="31"/>
      <c r="I1516" s="32"/>
      <c r="J1516" s="32"/>
      <c r="K1516" s="32"/>
      <c r="L1516" s="32"/>
      <c r="M1516" s="31"/>
      <c r="N1516" s="32"/>
      <c r="O1516" s="32"/>
      <c r="P1516" s="32"/>
      <c r="Q1516" s="32"/>
      <c r="R1516" s="33"/>
      <c r="S1516" s="32"/>
      <c r="T1516" s="32"/>
      <c r="U1516" s="32"/>
      <c r="V1516" s="32"/>
      <c r="W1516" s="33"/>
      <c r="X1516" s="32"/>
      <c r="Y1516" s="32"/>
      <c r="Z1516" s="32"/>
      <c r="AA1516" s="32"/>
      <c r="AB1516" s="31"/>
      <c r="AC1516" s="32"/>
      <c r="AD1516" s="32"/>
      <c r="AE1516" s="32"/>
      <c r="AF1516" s="32"/>
      <c r="AG1516" s="31"/>
      <c r="AH1516" s="32"/>
      <c r="AI1516" s="32"/>
      <c r="AJ1516" s="32"/>
      <c r="AK1516" s="32"/>
      <c r="AL1516" s="31"/>
      <c r="AM1516" s="32"/>
      <c r="AN1516" s="32"/>
      <c r="AO1516" s="32"/>
      <c r="AP1516" s="32"/>
      <c r="AQ1516" s="31"/>
      <c r="AR1516" s="32"/>
      <c r="AS1516" s="32"/>
      <c r="AT1516" s="32"/>
      <c r="AU1516" s="32"/>
      <c r="AV1516" s="31"/>
      <c r="AW1516" s="32"/>
      <c r="AX1516" s="32"/>
      <c r="AY1516" s="32"/>
      <c r="AZ1516" s="32"/>
      <c r="BA1516" s="33"/>
      <c r="BB1516" s="32"/>
      <c r="BC1516" s="32"/>
      <c r="BD1516" s="32"/>
      <c r="BE1516" s="32"/>
      <c r="BF1516" s="33"/>
      <c r="BG1516" s="32"/>
      <c r="BH1516" s="32"/>
      <c r="BI1516" s="32"/>
      <c r="BJ1516" s="32"/>
      <c r="BK1516" s="33"/>
      <c r="BL1516" s="32"/>
      <c r="BM1516" s="32"/>
      <c r="BN1516" s="32"/>
      <c r="BO1516" s="32"/>
      <c r="BP1516" s="33"/>
      <c r="BQ1516" s="16"/>
      <c r="BR1516" s="16"/>
      <c r="BS1516" s="16"/>
      <c r="BT1516" s="16"/>
      <c r="BU1516" s="21"/>
      <c r="BV1516" s="16"/>
      <c r="BW1516" s="16"/>
      <c r="BX1516" s="16"/>
      <c r="BY1516" s="16"/>
      <c r="BZ1516" s="10"/>
      <c r="CA1516" s="16"/>
      <c r="CB1516" s="16"/>
      <c r="CC1516" s="16"/>
      <c r="CD1516" s="16"/>
      <c r="CE1516" s="10"/>
      <c r="CF1516" s="16"/>
      <c r="CG1516" s="16"/>
      <c r="CH1516" s="16"/>
      <c r="CI1516" s="16"/>
      <c r="CJ1516" s="10"/>
      <c r="CK1516" s="16"/>
      <c r="CL1516" s="16"/>
      <c r="CM1516" s="16"/>
      <c r="CN1516" s="16"/>
      <c r="CO1516" s="10"/>
      <c r="CP1516" s="16"/>
      <c r="CQ1516" s="16"/>
      <c r="CR1516" s="16"/>
      <c r="CS1516" s="16"/>
      <c r="CT1516" s="10"/>
      <c r="CU1516" s="16"/>
      <c r="CV1516" s="16"/>
      <c r="CW1516" s="16"/>
      <c r="CX1516" s="16"/>
      <c r="CY1516" s="10"/>
      <c r="CZ1516" s="16"/>
      <c r="DA1516" s="16"/>
      <c r="DB1516" s="16"/>
      <c r="DC1516" s="16"/>
      <c r="DD1516" s="10"/>
      <c r="DE1516" s="16"/>
      <c r="DF1516" s="16"/>
      <c r="DG1516" s="16"/>
      <c r="DH1516" s="16"/>
      <c r="DI1516" s="10"/>
      <c r="DJ1516" s="16"/>
      <c r="DK1516" s="16"/>
      <c r="DL1516" s="16"/>
      <c r="DM1516" s="16"/>
      <c r="DN1516" s="10"/>
      <c r="DO1516" s="16"/>
      <c r="DP1516" s="16"/>
      <c r="DQ1516" s="16"/>
      <c r="DR1516" s="16"/>
      <c r="DS1516" s="10"/>
      <c r="DT1516" s="16"/>
      <c r="DU1516" s="16"/>
      <c r="DV1516" s="16"/>
      <c r="DW1516" s="16"/>
      <c r="DX1516" s="10"/>
      <c r="DY1516" s="16"/>
      <c r="DZ1516" s="16"/>
      <c r="EA1516" s="16"/>
      <c r="EB1516" s="16"/>
      <c r="EC1516" s="10"/>
      <c r="ED1516" s="16"/>
      <c r="EE1516" s="16"/>
      <c r="EF1516" s="16"/>
      <c r="EG1516" s="16"/>
      <c r="EH1516" s="10"/>
      <c r="EI1516" s="214"/>
      <c r="EJ1516" s="16"/>
      <c r="EK1516" s="16"/>
      <c r="EL1516" s="16"/>
      <c r="EM1516" s="10"/>
      <c r="EN1516" s="16"/>
      <c r="EO1516" s="16"/>
      <c r="EP1516" s="16"/>
      <c r="EQ1516" s="16"/>
      <c r="ER1516" s="10"/>
      <c r="ES1516" s="16"/>
      <c r="ET1516" s="16"/>
      <c r="EU1516" s="16"/>
      <c r="EV1516" s="16"/>
      <c r="EW1516" s="10"/>
      <c r="EX1516" s="16"/>
      <c r="EY1516" s="16"/>
      <c r="EZ1516" s="16"/>
      <c r="FA1516" s="16"/>
      <c r="FB1516" s="10"/>
      <c r="FC1516" s="16"/>
      <c r="FD1516" s="16"/>
      <c r="FE1516" s="16"/>
      <c r="FF1516" s="16"/>
      <c r="FG1516" s="10"/>
      <c r="FH1516" s="21"/>
      <c r="FI1516" s="16"/>
      <c r="FJ1516" s="16"/>
      <c r="FK1516" s="16"/>
      <c r="FL1516" s="16"/>
    </row>
    <row r="1517" ht="12.75" customHeight="1">
      <c r="A1517" s="16"/>
      <c r="B1517" s="16"/>
      <c r="C1517" s="16"/>
      <c r="D1517" s="16"/>
      <c r="E1517" s="16"/>
      <c r="F1517" s="16"/>
      <c r="G1517" s="16"/>
      <c r="H1517" s="31"/>
      <c r="I1517" s="32"/>
      <c r="J1517" s="32"/>
      <c r="K1517" s="32"/>
      <c r="L1517" s="32"/>
      <c r="M1517" s="31"/>
      <c r="N1517" s="32"/>
      <c r="O1517" s="32"/>
      <c r="P1517" s="32"/>
      <c r="Q1517" s="32"/>
      <c r="R1517" s="33"/>
      <c r="S1517" s="32"/>
      <c r="T1517" s="32"/>
      <c r="U1517" s="32"/>
      <c r="V1517" s="32"/>
      <c r="W1517" s="33"/>
      <c r="X1517" s="32"/>
      <c r="Y1517" s="32"/>
      <c r="Z1517" s="32"/>
      <c r="AA1517" s="32"/>
      <c r="AB1517" s="31"/>
      <c r="AC1517" s="32"/>
      <c r="AD1517" s="32"/>
      <c r="AE1517" s="32"/>
      <c r="AF1517" s="32"/>
      <c r="AG1517" s="31"/>
      <c r="AH1517" s="32"/>
      <c r="AI1517" s="32"/>
      <c r="AJ1517" s="32"/>
      <c r="AK1517" s="32"/>
      <c r="AL1517" s="31"/>
      <c r="AM1517" s="32"/>
      <c r="AN1517" s="32"/>
      <c r="AO1517" s="32"/>
      <c r="AP1517" s="32"/>
      <c r="AQ1517" s="31"/>
      <c r="AR1517" s="32"/>
      <c r="AS1517" s="32"/>
      <c r="AT1517" s="32"/>
      <c r="AU1517" s="32"/>
      <c r="AV1517" s="31"/>
      <c r="AW1517" s="32"/>
      <c r="AX1517" s="32"/>
      <c r="AY1517" s="32"/>
      <c r="AZ1517" s="32"/>
      <c r="BA1517" s="33"/>
      <c r="BB1517" s="32"/>
      <c r="BC1517" s="32"/>
      <c r="BD1517" s="32"/>
      <c r="BE1517" s="32"/>
      <c r="BF1517" s="33"/>
      <c r="BG1517" s="32"/>
      <c r="BH1517" s="32"/>
      <c r="BI1517" s="32"/>
      <c r="BJ1517" s="32"/>
      <c r="BK1517" s="33"/>
      <c r="BL1517" s="32"/>
      <c r="BM1517" s="32"/>
      <c r="BN1517" s="32"/>
      <c r="BO1517" s="32"/>
      <c r="BP1517" s="33"/>
      <c r="BQ1517" s="16"/>
      <c r="BR1517" s="16"/>
      <c r="BS1517" s="16"/>
      <c r="BT1517" s="16"/>
      <c r="BU1517" s="21"/>
      <c r="BV1517" s="16"/>
      <c r="BW1517" s="16"/>
      <c r="BX1517" s="16"/>
      <c r="BY1517" s="16"/>
      <c r="BZ1517" s="10"/>
      <c r="CA1517" s="16"/>
      <c r="CB1517" s="16"/>
      <c r="CC1517" s="16"/>
      <c r="CD1517" s="16"/>
      <c r="CE1517" s="10"/>
      <c r="CF1517" s="16"/>
      <c r="CG1517" s="16"/>
      <c r="CH1517" s="16"/>
      <c r="CI1517" s="16"/>
      <c r="CJ1517" s="10"/>
      <c r="CK1517" s="16"/>
      <c r="CL1517" s="16"/>
      <c r="CM1517" s="16"/>
      <c r="CN1517" s="16"/>
      <c r="CO1517" s="10"/>
      <c r="CP1517" s="16"/>
      <c r="CQ1517" s="16"/>
      <c r="CR1517" s="16"/>
      <c r="CS1517" s="16"/>
      <c r="CT1517" s="10"/>
      <c r="CU1517" s="16"/>
      <c r="CV1517" s="16"/>
      <c r="CW1517" s="16"/>
      <c r="CX1517" s="16"/>
      <c r="CY1517" s="10"/>
      <c r="CZ1517" s="16"/>
      <c r="DA1517" s="16"/>
      <c r="DB1517" s="16"/>
      <c r="DC1517" s="16"/>
      <c r="DD1517" s="10"/>
      <c r="DE1517" s="16"/>
      <c r="DF1517" s="16"/>
      <c r="DG1517" s="16"/>
      <c r="DH1517" s="16"/>
      <c r="DI1517" s="10"/>
      <c r="DJ1517" s="16"/>
      <c r="DK1517" s="16"/>
      <c r="DL1517" s="16"/>
      <c r="DM1517" s="16"/>
      <c r="DN1517" s="10"/>
      <c r="DO1517" s="16"/>
      <c r="DP1517" s="16"/>
      <c r="DQ1517" s="16"/>
      <c r="DR1517" s="16"/>
      <c r="DS1517" s="10"/>
      <c r="DT1517" s="16"/>
      <c r="DU1517" s="16"/>
      <c r="DV1517" s="16"/>
      <c r="DW1517" s="16"/>
      <c r="DX1517" s="10"/>
      <c r="DY1517" s="16"/>
      <c r="DZ1517" s="16"/>
      <c r="EA1517" s="16"/>
      <c r="EB1517" s="16"/>
      <c r="EC1517" s="10"/>
      <c r="ED1517" s="16"/>
      <c r="EE1517" s="16"/>
      <c r="EF1517" s="16"/>
      <c r="EG1517" s="16"/>
      <c r="EH1517" s="10"/>
      <c r="EI1517" s="214"/>
      <c r="EJ1517" s="16"/>
      <c r="EK1517" s="16"/>
      <c r="EL1517" s="16"/>
      <c r="EM1517" s="10"/>
      <c r="EN1517" s="16"/>
      <c r="EO1517" s="16"/>
      <c r="EP1517" s="16"/>
      <c r="EQ1517" s="16"/>
      <c r="ER1517" s="10"/>
      <c r="ES1517" s="16"/>
      <c r="ET1517" s="16"/>
      <c r="EU1517" s="16"/>
      <c r="EV1517" s="16"/>
      <c r="EW1517" s="10"/>
      <c r="EX1517" s="16"/>
      <c r="EY1517" s="16"/>
      <c r="EZ1517" s="16"/>
      <c r="FA1517" s="16"/>
      <c r="FB1517" s="10"/>
      <c r="FC1517" s="16"/>
      <c r="FD1517" s="16"/>
      <c r="FE1517" s="16"/>
      <c r="FF1517" s="16"/>
      <c r="FG1517" s="10"/>
      <c r="FH1517" s="21"/>
      <c r="FI1517" s="16"/>
      <c r="FJ1517" s="16"/>
      <c r="FK1517" s="16"/>
      <c r="FL1517" s="16"/>
    </row>
    <row r="1518" ht="12.75" customHeight="1">
      <c r="A1518" s="16"/>
      <c r="B1518" s="16"/>
      <c r="C1518" s="16"/>
      <c r="D1518" s="16"/>
      <c r="E1518" s="16"/>
      <c r="F1518" s="16"/>
      <c r="G1518" s="16"/>
      <c r="H1518" s="31"/>
      <c r="I1518" s="32"/>
      <c r="J1518" s="32"/>
      <c r="K1518" s="32"/>
      <c r="L1518" s="32"/>
      <c r="M1518" s="31"/>
      <c r="N1518" s="32"/>
      <c r="O1518" s="32"/>
      <c r="P1518" s="32"/>
      <c r="Q1518" s="32"/>
      <c r="R1518" s="33"/>
      <c r="S1518" s="32"/>
      <c r="T1518" s="32"/>
      <c r="U1518" s="32"/>
      <c r="V1518" s="32"/>
      <c r="W1518" s="33"/>
      <c r="X1518" s="32"/>
      <c r="Y1518" s="32"/>
      <c r="Z1518" s="32"/>
      <c r="AA1518" s="32"/>
      <c r="AB1518" s="31"/>
      <c r="AC1518" s="32"/>
      <c r="AD1518" s="32"/>
      <c r="AE1518" s="32"/>
      <c r="AF1518" s="32"/>
      <c r="AG1518" s="31"/>
      <c r="AH1518" s="32"/>
      <c r="AI1518" s="32"/>
      <c r="AJ1518" s="32"/>
      <c r="AK1518" s="32"/>
      <c r="AL1518" s="31"/>
      <c r="AM1518" s="32"/>
      <c r="AN1518" s="32"/>
      <c r="AO1518" s="32"/>
      <c r="AP1518" s="32"/>
      <c r="AQ1518" s="31"/>
      <c r="AR1518" s="32"/>
      <c r="AS1518" s="32"/>
      <c r="AT1518" s="32"/>
      <c r="AU1518" s="32"/>
      <c r="AV1518" s="31"/>
      <c r="AW1518" s="32"/>
      <c r="AX1518" s="32"/>
      <c r="AY1518" s="32"/>
      <c r="AZ1518" s="32"/>
      <c r="BA1518" s="33"/>
      <c r="BB1518" s="32"/>
      <c r="BC1518" s="32"/>
      <c r="BD1518" s="32"/>
      <c r="BE1518" s="32"/>
      <c r="BF1518" s="33"/>
      <c r="BG1518" s="32"/>
      <c r="BH1518" s="32"/>
      <c r="BI1518" s="32"/>
      <c r="BJ1518" s="32"/>
      <c r="BK1518" s="33"/>
      <c r="BL1518" s="32"/>
      <c r="BM1518" s="32"/>
      <c r="BN1518" s="32"/>
      <c r="BO1518" s="32"/>
      <c r="BP1518" s="33"/>
      <c r="BQ1518" s="16"/>
      <c r="BR1518" s="16"/>
      <c r="BS1518" s="16"/>
      <c r="BT1518" s="16"/>
      <c r="BU1518" s="21"/>
      <c r="BV1518" s="16"/>
      <c r="BW1518" s="16"/>
      <c r="BX1518" s="16"/>
      <c r="BY1518" s="16"/>
      <c r="BZ1518" s="10"/>
      <c r="CA1518" s="16"/>
      <c r="CB1518" s="16"/>
      <c r="CC1518" s="16"/>
      <c r="CD1518" s="16"/>
      <c r="CE1518" s="10"/>
      <c r="CF1518" s="16"/>
      <c r="CG1518" s="16"/>
      <c r="CH1518" s="16"/>
      <c r="CI1518" s="16"/>
      <c r="CJ1518" s="10"/>
      <c r="CK1518" s="16"/>
      <c r="CL1518" s="16"/>
      <c r="CM1518" s="16"/>
      <c r="CN1518" s="16"/>
      <c r="CO1518" s="10"/>
      <c r="CP1518" s="16"/>
      <c r="CQ1518" s="16"/>
      <c r="CR1518" s="16"/>
      <c r="CS1518" s="16"/>
      <c r="CT1518" s="10"/>
      <c r="CU1518" s="16"/>
      <c r="CV1518" s="16"/>
      <c r="CW1518" s="16"/>
      <c r="CX1518" s="16"/>
      <c r="CY1518" s="10"/>
      <c r="CZ1518" s="16"/>
      <c r="DA1518" s="16"/>
      <c r="DB1518" s="16"/>
      <c r="DC1518" s="16"/>
      <c r="DD1518" s="10"/>
      <c r="DE1518" s="16"/>
      <c r="DF1518" s="16"/>
      <c r="DG1518" s="16"/>
      <c r="DH1518" s="16"/>
      <c r="DI1518" s="10"/>
      <c r="DJ1518" s="16"/>
      <c r="DK1518" s="16"/>
      <c r="DL1518" s="16"/>
      <c r="DM1518" s="16"/>
      <c r="DN1518" s="10"/>
      <c r="DO1518" s="16"/>
      <c r="DP1518" s="16"/>
      <c r="DQ1518" s="16"/>
      <c r="DR1518" s="16"/>
      <c r="DS1518" s="10"/>
      <c r="DT1518" s="16"/>
      <c r="DU1518" s="16"/>
      <c r="DV1518" s="16"/>
      <c r="DW1518" s="16"/>
      <c r="DX1518" s="10"/>
      <c r="DY1518" s="16"/>
      <c r="DZ1518" s="16"/>
      <c r="EA1518" s="16"/>
      <c r="EB1518" s="16"/>
      <c r="EC1518" s="10"/>
      <c r="ED1518" s="16"/>
      <c r="EE1518" s="16"/>
      <c r="EF1518" s="16"/>
      <c r="EG1518" s="16"/>
      <c r="EH1518" s="10"/>
      <c r="EI1518" s="214"/>
      <c r="EJ1518" s="16"/>
      <c r="EK1518" s="16"/>
      <c r="EL1518" s="16"/>
      <c r="EM1518" s="10"/>
      <c r="EN1518" s="16"/>
      <c r="EO1518" s="16"/>
      <c r="EP1518" s="16"/>
      <c r="EQ1518" s="16"/>
      <c r="ER1518" s="10"/>
      <c r="ES1518" s="16"/>
      <c r="ET1518" s="16"/>
      <c r="EU1518" s="16"/>
      <c r="EV1518" s="16"/>
      <c r="EW1518" s="10"/>
      <c r="EX1518" s="16"/>
      <c r="EY1518" s="16"/>
      <c r="EZ1518" s="16"/>
      <c r="FA1518" s="16"/>
      <c r="FB1518" s="10"/>
      <c r="FC1518" s="16"/>
      <c r="FD1518" s="16"/>
      <c r="FE1518" s="16"/>
      <c r="FF1518" s="16"/>
      <c r="FG1518" s="10"/>
      <c r="FH1518" s="21"/>
      <c r="FI1518" s="16"/>
      <c r="FJ1518" s="16"/>
      <c r="FK1518" s="16"/>
      <c r="FL1518" s="16"/>
    </row>
    <row r="1519" ht="12.75" customHeight="1">
      <c r="A1519" s="16"/>
      <c r="B1519" s="16"/>
      <c r="C1519" s="16"/>
      <c r="D1519" s="16"/>
      <c r="E1519" s="16"/>
      <c r="F1519" s="16"/>
      <c r="G1519" s="16"/>
      <c r="H1519" s="31"/>
      <c r="I1519" s="32"/>
      <c r="J1519" s="32"/>
      <c r="K1519" s="32"/>
      <c r="L1519" s="32"/>
      <c r="M1519" s="31"/>
      <c r="N1519" s="32"/>
      <c r="O1519" s="32"/>
      <c r="P1519" s="32"/>
      <c r="Q1519" s="32"/>
      <c r="R1519" s="33"/>
      <c r="S1519" s="32"/>
      <c r="T1519" s="32"/>
      <c r="U1519" s="32"/>
      <c r="V1519" s="32"/>
      <c r="W1519" s="33"/>
      <c r="X1519" s="32"/>
      <c r="Y1519" s="32"/>
      <c r="Z1519" s="32"/>
      <c r="AA1519" s="32"/>
      <c r="AB1519" s="31"/>
      <c r="AC1519" s="32"/>
      <c r="AD1519" s="32"/>
      <c r="AE1519" s="32"/>
      <c r="AF1519" s="32"/>
      <c r="AG1519" s="31"/>
      <c r="AH1519" s="32"/>
      <c r="AI1519" s="32"/>
      <c r="AJ1519" s="32"/>
      <c r="AK1519" s="32"/>
      <c r="AL1519" s="31"/>
      <c r="AM1519" s="32"/>
      <c r="AN1519" s="32"/>
      <c r="AO1519" s="32"/>
      <c r="AP1519" s="32"/>
      <c r="AQ1519" s="31"/>
      <c r="AR1519" s="32"/>
      <c r="AS1519" s="32"/>
      <c r="AT1519" s="32"/>
      <c r="AU1519" s="32"/>
      <c r="AV1519" s="31"/>
      <c r="AW1519" s="32"/>
      <c r="AX1519" s="32"/>
      <c r="AY1519" s="32"/>
      <c r="AZ1519" s="32"/>
      <c r="BA1519" s="33"/>
      <c r="BB1519" s="32"/>
      <c r="BC1519" s="32"/>
      <c r="BD1519" s="32"/>
      <c r="BE1519" s="32"/>
      <c r="BF1519" s="33"/>
      <c r="BG1519" s="32"/>
      <c r="BH1519" s="32"/>
      <c r="BI1519" s="32"/>
      <c r="BJ1519" s="32"/>
      <c r="BK1519" s="33"/>
      <c r="BL1519" s="32"/>
      <c r="BM1519" s="32"/>
      <c r="BN1519" s="32"/>
      <c r="BO1519" s="32"/>
      <c r="BP1519" s="33"/>
      <c r="BQ1519" s="16"/>
      <c r="BR1519" s="16"/>
      <c r="BS1519" s="16"/>
      <c r="BT1519" s="16"/>
      <c r="BU1519" s="21"/>
      <c r="BV1519" s="16"/>
      <c r="BW1519" s="16"/>
      <c r="BX1519" s="16"/>
      <c r="BY1519" s="16"/>
      <c r="BZ1519" s="10"/>
      <c r="CA1519" s="16"/>
      <c r="CB1519" s="16"/>
      <c r="CC1519" s="16"/>
      <c r="CD1519" s="16"/>
      <c r="CE1519" s="10"/>
      <c r="CF1519" s="16"/>
      <c r="CG1519" s="16"/>
      <c r="CH1519" s="16"/>
      <c r="CI1519" s="16"/>
      <c r="CJ1519" s="10"/>
      <c r="CK1519" s="16"/>
      <c r="CL1519" s="16"/>
      <c r="CM1519" s="16"/>
      <c r="CN1519" s="16"/>
      <c r="CO1519" s="10"/>
      <c r="CP1519" s="16"/>
      <c r="CQ1519" s="16"/>
      <c r="CR1519" s="16"/>
      <c r="CS1519" s="16"/>
      <c r="CT1519" s="10"/>
      <c r="CU1519" s="16"/>
      <c r="CV1519" s="16"/>
      <c r="CW1519" s="16"/>
      <c r="CX1519" s="16"/>
      <c r="CY1519" s="10"/>
      <c r="CZ1519" s="16"/>
      <c r="DA1519" s="16"/>
      <c r="DB1519" s="16"/>
      <c r="DC1519" s="16"/>
      <c r="DD1519" s="10"/>
      <c r="DE1519" s="16"/>
      <c r="DF1519" s="16"/>
      <c r="DG1519" s="16"/>
      <c r="DH1519" s="16"/>
      <c r="DI1519" s="10"/>
      <c r="DJ1519" s="16"/>
      <c r="DK1519" s="16"/>
      <c r="DL1519" s="16"/>
      <c r="DM1519" s="16"/>
      <c r="DN1519" s="10"/>
      <c r="DO1519" s="16"/>
      <c r="DP1519" s="16"/>
      <c r="DQ1519" s="16"/>
      <c r="DR1519" s="16"/>
      <c r="DS1519" s="10"/>
      <c r="DT1519" s="16"/>
      <c r="DU1519" s="16"/>
      <c r="DV1519" s="16"/>
      <c r="DW1519" s="16"/>
      <c r="DX1519" s="10"/>
      <c r="DY1519" s="16"/>
      <c r="DZ1519" s="16"/>
      <c r="EA1519" s="16"/>
      <c r="EB1519" s="16"/>
      <c r="EC1519" s="10"/>
      <c r="ED1519" s="16"/>
      <c r="EE1519" s="16"/>
      <c r="EF1519" s="16"/>
      <c r="EG1519" s="16"/>
      <c r="EH1519" s="10"/>
      <c r="EI1519" s="214"/>
      <c r="EJ1519" s="16"/>
      <c r="EK1519" s="16"/>
      <c r="EL1519" s="16"/>
      <c r="EM1519" s="10"/>
      <c r="EN1519" s="16"/>
      <c r="EO1519" s="16"/>
      <c r="EP1519" s="16"/>
      <c r="EQ1519" s="16"/>
      <c r="ER1519" s="10"/>
      <c r="ES1519" s="16"/>
      <c r="ET1519" s="16"/>
      <c r="EU1519" s="16"/>
      <c r="EV1519" s="16"/>
      <c r="EW1519" s="10"/>
      <c r="EX1519" s="16"/>
      <c r="EY1519" s="16"/>
      <c r="EZ1519" s="16"/>
      <c r="FA1519" s="16"/>
      <c r="FB1519" s="10"/>
      <c r="FC1519" s="16"/>
      <c r="FD1519" s="16"/>
      <c r="FE1519" s="16"/>
      <c r="FF1519" s="16"/>
      <c r="FG1519" s="10"/>
      <c r="FH1519" s="21"/>
      <c r="FI1519" s="16"/>
      <c r="FJ1519" s="16"/>
      <c r="FK1519" s="16"/>
      <c r="FL1519" s="16"/>
    </row>
  </sheetData>
  <mergeCells count="87">
    <mergeCell ref="V5:Z5"/>
    <mergeCell ref="AA5:AE5"/>
    <mergeCell ref="AF5:AJ5"/>
    <mergeCell ref="AK5:AO5"/>
    <mergeCell ref="AP5:BA5"/>
    <mergeCell ref="BE5:BF5"/>
    <mergeCell ref="BJ5:BP5"/>
    <mergeCell ref="Q5:U5"/>
    <mergeCell ref="D6:G6"/>
    <mergeCell ref="I6:L6"/>
    <mergeCell ref="N6:Q6"/>
    <mergeCell ref="S6:V6"/>
    <mergeCell ref="X6:AA6"/>
    <mergeCell ref="AC6:AF6"/>
    <mergeCell ref="BQ6:BT6"/>
    <mergeCell ref="BV6:BY6"/>
    <mergeCell ref="CA6:CD6"/>
    <mergeCell ref="CF6:CI6"/>
    <mergeCell ref="CK6:CN6"/>
    <mergeCell ref="CP6:CS6"/>
    <mergeCell ref="CU6:CX6"/>
    <mergeCell ref="EI6:EL6"/>
    <mergeCell ref="EN6:EQ6"/>
    <mergeCell ref="ES6:EV6"/>
    <mergeCell ref="EX6:FA6"/>
    <mergeCell ref="FC6:FF6"/>
    <mergeCell ref="CZ6:DC6"/>
    <mergeCell ref="DE6:DH6"/>
    <mergeCell ref="DJ6:DM6"/>
    <mergeCell ref="DO6:DR6"/>
    <mergeCell ref="DT6:DW6"/>
    <mergeCell ref="DY6:EB6"/>
    <mergeCell ref="ED6:EG6"/>
    <mergeCell ref="AH6:AK6"/>
    <mergeCell ref="AM6:AP6"/>
    <mergeCell ref="AR6:AU6"/>
    <mergeCell ref="AW6:AZ6"/>
    <mergeCell ref="BB6:BE6"/>
    <mergeCell ref="BG6:BJ6"/>
    <mergeCell ref="BL6:BO6"/>
    <mergeCell ref="V1304:W1304"/>
    <mergeCell ref="AA1304:AB1304"/>
    <mergeCell ref="AL1321:BP1321"/>
    <mergeCell ref="AL1322:BP1322"/>
    <mergeCell ref="AL1323:BP1323"/>
    <mergeCell ref="AL1325:BP1325"/>
    <mergeCell ref="AL1312:BP1312"/>
    <mergeCell ref="AL1313:BP1313"/>
    <mergeCell ref="AL1315:BP1315"/>
    <mergeCell ref="AL1316:BP1316"/>
    <mergeCell ref="AL1317:BP1317"/>
    <mergeCell ref="AL1319:BP1319"/>
    <mergeCell ref="AL1320:BP1320"/>
    <mergeCell ref="AL1299:BP1299"/>
    <mergeCell ref="V1300:W1300"/>
    <mergeCell ref="AA1300:AB1300"/>
    <mergeCell ref="AF1300:AG1300"/>
    <mergeCell ref="AK1300:BP1300"/>
    <mergeCell ref="AL1301:BP1301"/>
    <mergeCell ref="Q1304:S1304"/>
    <mergeCell ref="AF1304:AG1304"/>
    <mergeCell ref="AK1304:AL1304"/>
    <mergeCell ref="V1305:W1305"/>
    <mergeCell ref="AA1305:AB1305"/>
    <mergeCell ref="AF1305:AG1305"/>
    <mergeCell ref="AK1305:AM1305"/>
    <mergeCell ref="AP1305:AR1305"/>
    <mergeCell ref="V1306:W1306"/>
    <mergeCell ref="V1307:W1307"/>
    <mergeCell ref="AF1306:AG1306"/>
    <mergeCell ref="AF1307:AG1307"/>
    <mergeCell ref="AP1306:AR1306"/>
    <mergeCell ref="AP1307:AR1307"/>
    <mergeCell ref="Q1305:R1305"/>
    <mergeCell ref="Q1306:R1306"/>
    <mergeCell ref="AA1306:AB1306"/>
    <mergeCell ref="AK1306:AM1306"/>
    <mergeCell ref="Q1307:R1307"/>
    <mergeCell ref="AA1307:AB1307"/>
    <mergeCell ref="AK1307:AM1307"/>
    <mergeCell ref="AP1304:AQ1304"/>
    <mergeCell ref="AU1304:BP1304"/>
    <mergeCell ref="AU1305:BP1305"/>
    <mergeCell ref="AU1306:BP1306"/>
    <mergeCell ref="AU1307:BP1307"/>
    <mergeCell ref="AL1310:BP1310"/>
    <mergeCell ref="AL1311:BP1311"/>
  </mergeCells>
  <conditionalFormatting sqref="D858:CL858 CN858:CO858 CQ858:CU858 CW858:DG858 DI858 DS858 FI858:FL858">
    <cfRule type="cellIs" dxfId="0" priority="1" stopIfTrue="1" operator="greaterThan">
      <formula>D12*(1+$B$859)</formula>
    </cfRule>
  </conditionalFormatting>
  <conditionalFormatting sqref="D858:CL858 CN858:CO858 CQ858:CU858 CW858:DG858 DI858 DS858 FI858:FL858">
    <cfRule type="cellIs" dxfId="1" priority="2" stopIfTrue="1" operator="lessThan">
      <formula>D12*(1-$B$859)</formula>
    </cfRule>
  </conditionalFormatting>
  <conditionalFormatting sqref="D852:G852 I852:L852 N852:Q852 S852:V852 X852:AA852 AC852:AF852 AH852:AK852 AM852:AP852 AR852:AU852 AW852:AZ852 BB852:BE852 BG852:BJ852 BL852:BO852 BQ852:BT852 BV852:BY852 CA852:CD852 CF852:CI852 CK852:CL852 CN852 CQ852:CS852 CU852 CW852:CX852 CZ852:DC852 DE852:DG852 FI852:FJ852 FL852">
    <cfRule type="cellIs" dxfId="1" priority="3" stopIfTrue="1" operator="greaterThan">
      <formula>(D849+D850+D851)*(1+$B$859)</formula>
    </cfRule>
  </conditionalFormatting>
  <conditionalFormatting sqref="D852:G852 I852:L852 N852:Q852 S852:V852 X852:AA852 AC852:AF852 AH852:AK852 AM852:AP852 AR852:AU852 AW852:AZ852 BB852:BE852 BG852:BJ852 BL852:BO852 BQ852:BT852 BV852:BY852 CA852:CD852 CF852:CI852 CK852:CL852 CN852 CQ852:CS852 CU852 CW852:CX852 CZ852:DC852 DE852:DG852 FI852:FJ852 FL852">
    <cfRule type="cellIs" dxfId="0" priority="4" stopIfTrue="1" operator="lessThan">
      <formula>(D849+D850+D851)*(1-$B$859)</formula>
    </cfRule>
  </conditionalFormatting>
  <conditionalFormatting sqref="D857:G857 I857:L857 N857:Q857 S857:V857 X857:AA857 AC857:AF857 AH857:AK857 AM857:AP857 AR857:AU857 AW857:AZ857 BB857:BE857 BG857:BJ857 BL857:BO857 BQ857:BT857 BV857:BY857 CA857:CD857 CF857:CI857 CK857:CL857 CN857 CQ857:CS857 CU857 CW857:CX857 CZ857:DC857 DE857:DG857 FI857:FJ857 FL857">
    <cfRule type="cellIs" dxfId="1" priority="5" stopIfTrue="1" operator="notBetween">
      <formula>(D854+D855+D856)*(1+$B$859)</formula>
      <formula>(D853+D855+D856)*(1-$B$859)</formula>
    </cfRule>
  </conditionalFormatting>
  <conditionalFormatting sqref="D1226:CL1226 CN1226:CO1226 CQ1226:CU1226 CW1226:DG1226 DI1226 DS1226 FI1226:FL1226">
    <cfRule type="cellIs" dxfId="1" priority="6" stopIfTrue="1" operator="notBetween">
      <formula>(1-$A$1227)*D1227</formula>
      <formula>(1+$A$1227)*D1227</formula>
    </cfRule>
  </conditionalFormatting>
  <conditionalFormatting sqref="D833:CL833 CN833:CO833 CQ833:CU833 CW833:DG833 DI833 DS833 FI833:FL833">
    <cfRule type="cellIs" dxfId="0" priority="7" stopIfTrue="1" operator="greaterThan">
      <formula>D745*(1+$B$814)</formula>
    </cfRule>
  </conditionalFormatting>
  <conditionalFormatting sqref="D833:CL833 CN833:CO833 CQ833:CU833 CW833:DG833 DI833 DS833 FI833:FL833">
    <cfRule type="cellIs" dxfId="1" priority="8" stopIfTrue="1" operator="lessThan">
      <formula>D745*(1-$B$814)</formula>
    </cfRule>
  </conditionalFormatting>
  <conditionalFormatting sqref="D825:CL825 CN825:CO825 CQ825:CU825 CW825:DG825 DI825 DS825 FI825:FL825">
    <cfRule type="cellIs" dxfId="0" priority="9" stopIfTrue="1" operator="greaterThan">
      <formula>D127*(1+$B$814)</formula>
    </cfRule>
  </conditionalFormatting>
  <conditionalFormatting sqref="D825:CL825 CN825:CO825 CQ825:CU825 CW825:DG825 DI825 DS825 FI825:FL825">
    <cfRule type="cellIs" dxfId="1" priority="10" stopIfTrue="1" operator="lessThan">
      <formula>D127*(1-$B$814)</formula>
    </cfRule>
  </conditionalFormatting>
  <conditionalFormatting sqref="D742:CL742 CN742:CO742 CQ742:CU742 CW742:DG742 DI742 DS742 FI742:FL742">
    <cfRule type="cellIs" dxfId="0" priority="11" stopIfTrue="1" operator="greaterThan">
      <formula>D499*(1+$B$814)</formula>
    </cfRule>
  </conditionalFormatting>
  <conditionalFormatting sqref="D742:CL742 CN742:CO742 CQ742:CU742 CW742:DG742 DI742 DS742 FI742:FL742">
    <cfRule type="cellIs" dxfId="1" priority="12" stopIfTrue="1" operator="lessThan">
      <formula>D499*(1-$B$814)</formula>
    </cfRule>
  </conditionalFormatting>
  <conditionalFormatting sqref="D519:CU519 D606:CK606 D683:CL683 D763:DG763 CN606:CO606 CN683:DN683 CQ606:DI606 CW519:DQ519 DI763:DP763 DS519:DT519 DS606 DS763 DX519 FI519:FL519 FI606:FL606 FI683:FL683 FI763:FL763">
    <cfRule type="cellIs" dxfId="0" priority="13" stopIfTrue="1" operator="greaterThan">
      <formula>#REF!*(1+$B$814)</formula>
    </cfRule>
  </conditionalFormatting>
  <conditionalFormatting sqref="D519:CU519 D606:CK606 D683:CL683 D763:DG763 CN606:CO606 CN683:DN683 CQ606:DI606 CW519:DQ519 DI763:DP763 DS519:DT519 DS606 DS763 DX519 FI519:FL519 FI606:FL606 FI683:FL683 FI763:FL763">
    <cfRule type="cellIs" dxfId="1" priority="14" stopIfTrue="1" operator="lessThan">
      <formula>#REF!*(1-$B$814)</formula>
    </cfRule>
  </conditionalFormatting>
  <conditionalFormatting sqref="D575:CM575 D657:DN657 D733:CL733 CN733:CO733 CQ733:CU733 CW733:DP733 CX575:DG575 DI575 DS575 DS657 DS733 EI575 EI657 EI683 EI733 FI575:FL575 FI657:FL657 FI733:FL733">
    <cfRule type="cellIs" dxfId="0" priority="15" stopIfTrue="1" operator="greaterThan">
      <formula>#REF!*(1+$B$814)</formula>
    </cfRule>
  </conditionalFormatting>
  <conditionalFormatting sqref="D575:CM575 D657:DN657 D733:CL733 CN733:CO733 CQ733:CU733 CW733:DP733 CX575:DG575 DI575 DS575 DS657 DS733 EI575 EI657 EI683 EI733 FI575:FL575 FI657:FL657 FI733:FL733">
    <cfRule type="cellIs" dxfId="1" priority="16" stopIfTrue="1" operator="lessThan">
      <formula>#REF!*(1-$B$814)</formula>
    </cfRule>
  </conditionalFormatting>
  <conditionalFormatting sqref="D586:CK586 D587:CL587 CN587:CO587 CO586 CQ587:CU587 CW587:DG587 CX586:DG586 DI586:DN587 DS586:DS587 FI586:FL587">
    <cfRule type="cellIs" dxfId="0" priority="17" stopIfTrue="1" operator="greaterThan">
      <formula>D18*(1+$B$814)</formula>
    </cfRule>
  </conditionalFormatting>
  <conditionalFormatting sqref="D586:CK586 D587:CL587 CN587:CO587 CO586 CQ587:CU587 CW587:DG587 CX586:DG586 DI586:DN587 DS586:DS587 FI586:FL587">
    <cfRule type="cellIs" dxfId="1" priority="18" stopIfTrue="1" operator="lessThan">
      <formula>D18*(1-$B$814)</formula>
    </cfRule>
  </conditionalFormatting>
  <conditionalFormatting sqref="D649:CO649 CQ649:CU649 CW649:DG649 DI649 DS649 FI649:FL649">
    <cfRule type="cellIs" dxfId="0" priority="19" stopIfTrue="1" operator="greaterThan">
      <formula>D20*(1+$B$814)</formula>
    </cfRule>
  </conditionalFormatting>
  <conditionalFormatting sqref="D649:CO649 CQ649:CU649 CW649:DG649 DI649 DS649 FI649:FL649">
    <cfRule type="cellIs" dxfId="1" priority="20" stopIfTrue="1" operator="lessThan">
      <formula>D20*(1-$B$814)</formula>
    </cfRule>
  </conditionalFormatting>
  <conditionalFormatting sqref="BL742:BP742">
    <cfRule type="cellIs" dxfId="0" priority="21" stopIfTrue="1" operator="greaterThan">
      <formula>BL499*(1+$B$814)</formula>
    </cfRule>
  </conditionalFormatting>
  <conditionalFormatting sqref="BL742:BP742">
    <cfRule type="cellIs" dxfId="1" priority="22" stopIfTrue="1" operator="lessThan">
      <formula>BL499*(1-$B$814)</formula>
    </cfRule>
  </conditionalFormatting>
  <conditionalFormatting sqref="BL683:BP683">
    <cfRule type="cellIs" dxfId="0" priority="23" stopIfTrue="1" operator="greaterThan">
      <formula>#REF!*(1+$B$814)</formula>
    </cfRule>
  </conditionalFormatting>
  <conditionalFormatting sqref="BL683:BP683">
    <cfRule type="cellIs" dxfId="1" priority="24" stopIfTrue="1" operator="lessThan">
      <formula>#REF!*(1-$B$814)</formula>
    </cfRule>
  </conditionalFormatting>
  <conditionalFormatting sqref="BL733:BP733">
    <cfRule type="cellIs" dxfId="0" priority="25" stopIfTrue="1" operator="greaterThan">
      <formula>#REF!*(1+$B$814)</formula>
    </cfRule>
  </conditionalFormatting>
  <conditionalFormatting sqref="BL733:BP733">
    <cfRule type="cellIs" dxfId="1" priority="26" stopIfTrue="1" operator="lessThan">
      <formula>#REF!*(1-$B$814)</formula>
    </cfRule>
  </conditionalFormatting>
  <conditionalFormatting sqref="BL586:BP587">
    <cfRule type="cellIs" dxfId="0" priority="27" stopIfTrue="1" operator="greaterThan">
      <formula>BL18*(1+$B$814)</formula>
    </cfRule>
  </conditionalFormatting>
  <conditionalFormatting sqref="BL586:BP587">
    <cfRule type="cellIs" dxfId="1" priority="28" stopIfTrue="1" operator="lessThan">
      <formula>BL18*(1-$B$814)</formula>
    </cfRule>
  </conditionalFormatting>
  <conditionalFormatting sqref="BL649:BP649">
    <cfRule type="cellIs" dxfId="0" priority="29" stopIfTrue="1" operator="greaterThan">
      <formula>BL20*(1+$B$814)</formula>
    </cfRule>
  </conditionalFormatting>
  <conditionalFormatting sqref="BL649:BP649">
    <cfRule type="cellIs" dxfId="1" priority="30" stopIfTrue="1" operator="lessThan">
      <formula>BL20*(1-$B$814)</formula>
    </cfRule>
  </conditionalFormatting>
  <conditionalFormatting sqref="BG742:BK742">
    <cfRule type="cellIs" dxfId="0" priority="31" stopIfTrue="1" operator="greaterThan">
      <formula>BG499*(1+$B$814)</formula>
    </cfRule>
  </conditionalFormatting>
  <conditionalFormatting sqref="BG742:BK742">
    <cfRule type="cellIs" dxfId="1" priority="32" stopIfTrue="1" operator="lessThan">
      <formula>BG499*(1-$B$814)</formula>
    </cfRule>
  </conditionalFormatting>
  <conditionalFormatting sqref="BG683:BK683">
    <cfRule type="cellIs" dxfId="0" priority="33" stopIfTrue="1" operator="greaterThan">
      <formula>#REF!*(1+$B$814)</formula>
    </cfRule>
  </conditionalFormatting>
  <conditionalFormatting sqref="BG683:BK683">
    <cfRule type="cellIs" dxfId="1" priority="34" stopIfTrue="1" operator="lessThan">
      <formula>#REF!*(1-$B$814)</formula>
    </cfRule>
  </conditionalFormatting>
  <conditionalFormatting sqref="BG733:BK733">
    <cfRule type="cellIs" dxfId="0" priority="35" stopIfTrue="1" operator="greaterThan">
      <formula>#REF!*(1+$B$814)</formula>
    </cfRule>
  </conditionalFormatting>
  <conditionalFormatting sqref="BG733:BK733">
    <cfRule type="cellIs" dxfId="1" priority="36" stopIfTrue="1" operator="lessThan">
      <formula>#REF!*(1-$B$814)</formula>
    </cfRule>
  </conditionalFormatting>
  <conditionalFormatting sqref="BG586:BK587">
    <cfRule type="cellIs" dxfId="0" priority="37" stopIfTrue="1" operator="greaterThan">
      <formula>BG18*(1+$B$814)</formula>
    </cfRule>
  </conditionalFormatting>
  <conditionalFormatting sqref="BG586:BK587">
    <cfRule type="cellIs" dxfId="1" priority="38" stopIfTrue="1" operator="lessThan">
      <formula>BG18*(1-$B$814)</formula>
    </cfRule>
  </conditionalFormatting>
  <conditionalFormatting sqref="BG649:BK649">
    <cfRule type="cellIs" dxfId="0" priority="39" stopIfTrue="1" operator="greaterThan">
      <formula>BG20*(1+$B$814)</formula>
    </cfRule>
  </conditionalFormatting>
  <conditionalFormatting sqref="BG649:BK649">
    <cfRule type="cellIs" dxfId="1" priority="40" stopIfTrue="1" operator="lessThan">
      <formula>BG20*(1-$B$814)</formula>
    </cfRule>
  </conditionalFormatting>
  <conditionalFormatting sqref="CL586">
    <cfRule type="cellIs" dxfId="0" priority="41" stopIfTrue="1" operator="greaterThan">
      <formula>CL18*(1+$B$814)</formula>
    </cfRule>
  </conditionalFormatting>
  <conditionalFormatting sqref="CL586">
    <cfRule type="cellIs" dxfId="1" priority="42" stopIfTrue="1" operator="lessThan">
      <formula>CL18*(1-$B$814)</formula>
    </cfRule>
  </conditionalFormatting>
  <conditionalFormatting sqref="CL606:CM606 DS683">
    <cfRule type="cellIs" dxfId="0" priority="43" stopIfTrue="1" operator="greaterThan">
      <formula>#REF!*(1+$B$814)</formula>
    </cfRule>
  </conditionalFormatting>
  <conditionalFormatting sqref="CL606:CM606 DS683">
    <cfRule type="cellIs" dxfId="1" priority="44" stopIfTrue="1" operator="lessThan">
      <formula>#REF!*(1-$B$814)</formula>
    </cfRule>
  </conditionalFormatting>
  <conditionalFormatting sqref="CM858">
    <cfRule type="cellIs" dxfId="0" priority="45" stopIfTrue="1" operator="greaterThan">
      <formula>CM12*(1+$B$859)</formula>
    </cfRule>
  </conditionalFormatting>
  <conditionalFormatting sqref="CM858">
    <cfRule type="cellIs" dxfId="1" priority="46" stopIfTrue="1" operator="lessThan">
      <formula>CM12*(1-$B$859)</formula>
    </cfRule>
  </conditionalFormatting>
  <conditionalFormatting sqref="CM852">
    <cfRule type="cellIs" dxfId="1" priority="47" stopIfTrue="1" operator="greaterThan">
      <formula>(CM849+CM850+CM851)*(1+$B$859)</formula>
    </cfRule>
  </conditionalFormatting>
  <conditionalFormatting sqref="CM852">
    <cfRule type="cellIs" dxfId="0" priority="48" stopIfTrue="1" operator="lessThan">
      <formula>(CM849+CM850+CM851)*(1-$B$859)</formula>
    </cfRule>
  </conditionalFormatting>
  <conditionalFormatting sqref="CM857">
    <cfRule type="cellIs" dxfId="1" priority="49" stopIfTrue="1" operator="notBetween">
      <formula>(CM854+CM855+CM856)*(1+$B$859)</formula>
      <formula>(CM853+CM855+CM856)*(1-$B$859)</formula>
    </cfRule>
  </conditionalFormatting>
  <conditionalFormatting sqref="CM1226">
    <cfRule type="cellIs" dxfId="1" priority="50" stopIfTrue="1" operator="notBetween">
      <formula>(1-$A$1227)*CM1227</formula>
      <formula>(1+$A$1227)*CM1227</formula>
    </cfRule>
  </conditionalFormatting>
  <conditionalFormatting sqref="CM833">
    <cfRule type="cellIs" dxfId="0" priority="51" stopIfTrue="1" operator="greaterThan">
      <formula>CM745*(1+$B$814)</formula>
    </cfRule>
  </conditionalFormatting>
  <conditionalFormatting sqref="CM833">
    <cfRule type="cellIs" dxfId="1" priority="52" stopIfTrue="1" operator="lessThan">
      <formula>CM745*(1-$B$814)</formula>
    </cfRule>
  </conditionalFormatting>
  <conditionalFormatting sqref="CM825">
    <cfRule type="cellIs" dxfId="0" priority="53" stopIfTrue="1" operator="greaterThan">
      <formula>CM127*(1+$B$814)</formula>
    </cfRule>
  </conditionalFormatting>
  <conditionalFormatting sqref="CM825">
    <cfRule type="cellIs" dxfId="1" priority="54" stopIfTrue="1" operator="lessThan">
      <formula>CM127*(1-$B$814)</formula>
    </cfRule>
  </conditionalFormatting>
  <conditionalFormatting sqref="CM742">
    <cfRule type="cellIs" dxfId="0" priority="55" stopIfTrue="1" operator="greaterThan">
      <formula>CM499*(1+$B$814)</formula>
    </cfRule>
  </conditionalFormatting>
  <conditionalFormatting sqref="CM742">
    <cfRule type="cellIs" dxfId="1" priority="56" stopIfTrue="1" operator="lessThan">
      <formula>CM499*(1-$B$814)</formula>
    </cfRule>
  </conditionalFormatting>
  <conditionalFormatting sqref="CM683">
    <cfRule type="cellIs" dxfId="0" priority="57" stopIfTrue="1" operator="greaterThan">
      <formula>#REF!*(1+$B$814)</formula>
    </cfRule>
  </conditionalFormatting>
  <conditionalFormatting sqref="CM683">
    <cfRule type="cellIs" dxfId="1" priority="58" stopIfTrue="1" operator="lessThan">
      <formula>#REF!*(1-$B$814)</formula>
    </cfRule>
  </conditionalFormatting>
  <conditionalFormatting sqref="CM733">
    <cfRule type="cellIs" dxfId="0" priority="59" stopIfTrue="1" operator="greaterThan">
      <formula>#REF!*(1+$B$814)</formula>
    </cfRule>
  </conditionalFormatting>
  <conditionalFormatting sqref="CM733">
    <cfRule type="cellIs" dxfId="1" priority="60" stopIfTrue="1" operator="lessThan">
      <formula>#REF!*(1-$B$814)</formula>
    </cfRule>
  </conditionalFormatting>
  <conditionalFormatting sqref="CM587">
    <cfRule type="cellIs" dxfId="0" priority="61" stopIfTrue="1" operator="greaterThan">
      <formula>CM19*(1+$B$814)</formula>
    </cfRule>
  </conditionalFormatting>
  <conditionalFormatting sqref="CM587">
    <cfRule type="cellIs" dxfId="1" priority="62" stopIfTrue="1" operator="lessThan">
      <formula>CM19*(1-$B$814)</formula>
    </cfRule>
  </conditionalFormatting>
  <conditionalFormatting sqref="CM586:CN586">
    <cfRule type="cellIs" dxfId="0" priority="63" stopIfTrue="1" operator="greaterThan">
      <formula>CM18*(1+$B$814)</formula>
    </cfRule>
  </conditionalFormatting>
  <conditionalFormatting sqref="CM586:CN586">
    <cfRule type="cellIs" dxfId="1" priority="64" stopIfTrue="1" operator="lessThan">
      <formula>CM18*(1-$B$814)</formula>
    </cfRule>
  </conditionalFormatting>
  <conditionalFormatting sqref="CN575">
    <cfRule type="cellIs" dxfId="0" priority="65" stopIfTrue="1" operator="greaterThan">
      <formula>#REF!*(1+$B$814)</formula>
    </cfRule>
  </conditionalFormatting>
  <conditionalFormatting sqref="CN575">
    <cfRule type="cellIs" dxfId="1" priority="66" stopIfTrue="1" operator="lessThan">
      <formula>#REF!*(1-$B$814)</formula>
    </cfRule>
  </conditionalFormatting>
  <conditionalFormatting sqref="DJ858:DN858">
    <cfRule type="cellIs" dxfId="0" priority="67" stopIfTrue="1" operator="greaterThan">
      <formula>DJ12*(1+$B$859)</formula>
    </cfRule>
  </conditionalFormatting>
  <conditionalFormatting sqref="DJ858:DN858">
    <cfRule type="cellIs" dxfId="1" priority="68" stopIfTrue="1" operator="lessThan">
      <formula>DJ12*(1-$B$859)</formula>
    </cfRule>
  </conditionalFormatting>
  <conditionalFormatting sqref="DJ852:DM852">
    <cfRule type="cellIs" dxfId="1" priority="69" stopIfTrue="1" operator="greaterThan">
      <formula>(DJ849+DJ850+DJ851)*(1+$B$859)</formula>
    </cfRule>
  </conditionalFormatting>
  <conditionalFormatting sqref="DJ852:DM852">
    <cfRule type="cellIs" dxfId="0" priority="70" stopIfTrue="1" operator="lessThan">
      <formula>(DJ849+DJ850+DJ851)*(1-$B$859)</formula>
    </cfRule>
  </conditionalFormatting>
  <conditionalFormatting sqref="DJ857:DM857">
    <cfRule type="cellIs" dxfId="1" priority="71" stopIfTrue="1" operator="notBetween">
      <formula>(DJ854+DJ855+DJ856)*(1+$B$859)</formula>
      <formula>(DJ853+DJ855+DJ856)*(1-$B$859)</formula>
    </cfRule>
  </conditionalFormatting>
  <conditionalFormatting sqref="DJ1226:DN1226">
    <cfRule type="cellIs" dxfId="1" priority="72" stopIfTrue="1" operator="notBetween">
      <formula>(1-$A$1227)*DJ1227</formula>
      <formula>(1+$A$1227)*DJ1227</formula>
    </cfRule>
  </conditionalFormatting>
  <conditionalFormatting sqref="DJ833:DN833">
    <cfRule type="cellIs" dxfId="0" priority="73" stopIfTrue="1" operator="greaterThan">
      <formula>DJ745*(1+$B$814)</formula>
    </cfRule>
  </conditionalFormatting>
  <conditionalFormatting sqref="DJ833:DN833">
    <cfRule type="cellIs" dxfId="1" priority="74" stopIfTrue="1" operator="lessThan">
      <formula>DJ745*(1-$B$814)</formula>
    </cfRule>
  </conditionalFormatting>
  <conditionalFormatting sqref="DJ825:DN825">
    <cfRule type="cellIs" dxfId="0" priority="75" stopIfTrue="1" operator="greaterThan">
      <formula>DJ127*(1+$B$814)</formula>
    </cfRule>
  </conditionalFormatting>
  <conditionalFormatting sqref="DJ825:DN825">
    <cfRule type="cellIs" dxfId="1" priority="76" stopIfTrue="1" operator="lessThan">
      <formula>DJ127*(1-$B$814)</formula>
    </cfRule>
  </conditionalFormatting>
  <conditionalFormatting sqref="DJ742:DN742">
    <cfRule type="cellIs" dxfId="0" priority="77" stopIfTrue="1" operator="greaterThan">
      <formula>DJ499*(1+$B$814)</formula>
    </cfRule>
  </conditionalFormatting>
  <conditionalFormatting sqref="DJ742:DN742">
    <cfRule type="cellIs" dxfId="1" priority="78" stopIfTrue="1" operator="lessThan">
      <formula>DJ499*(1-$B$814)</formula>
    </cfRule>
  </conditionalFormatting>
  <conditionalFormatting sqref="DJ606:DN606">
    <cfRule type="cellIs" dxfId="0" priority="79" stopIfTrue="1" operator="greaterThan">
      <formula>#REF!*(1+$B$814)</formula>
    </cfRule>
  </conditionalFormatting>
  <conditionalFormatting sqref="DJ606:DN606">
    <cfRule type="cellIs" dxfId="1" priority="80" stopIfTrue="1" operator="lessThan">
      <formula>#REF!*(1-$B$814)</formula>
    </cfRule>
  </conditionalFormatting>
  <conditionalFormatting sqref="DJ575:DN575">
    <cfRule type="cellIs" dxfId="0" priority="81" stopIfTrue="1" operator="greaterThan">
      <formula>#REF!*(1+$B$814)</formula>
    </cfRule>
  </conditionalFormatting>
  <conditionalFormatting sqref="DJ575:DN575">
    <cfRule type="cellIs" dxfId="1" priority="82" stopIfTrue="1" operator="lessThan">
      <formula>#REF!*(1-$B$814)</formula>
    </cfRule>
  </conditionalFormatting>
  <conditionalFormatting sqref="D666:CU667 CW666:DG667 DI666:DN667 DS666:DS667 FI666:FL667">
    <cfRule type="cellIs" dxfId="0" priority="83" stopIfTrue="1" operator="greaterThan">
      <formula>D506*(1+$B$814)</formula>
    </cfRule>
  </conditionalFormatting>
  <conditionalFormatting sqref="D666:CU667 CW666:DG667 DI666:DN667 DS666:DS667 FI666:FL667">
    <cfRule type="cellIs" dxfId="1" priority="84" stopIfTrue="1" operator="lessThan">
      <formula>D506*(1-$B$814)</formula>
    </cfRule>
  </conditionalFormatting>
  <conditionalFormatting sqref="DJ649:DN649">
    <cfRule type="cellIs" dxfId="0" priority="85" stopIfTrue="1" operator="greaterThan">
      <formula>DJ20*(1+$B$814)</formula>
    </cfRule>
  </conditionalFormatting>
  <conditionalFormatting sqref="DJ649:DN649">
    <cfRule type="cellIs" dxfId="1" priority="86" stopIfTrue="1" operator="lessThan">
      <formula>DJ20*(1-$B$814)</formula>
    </cfRule>
  </conditionalFormatting>
  <conditionalFormatting sqref="CP858">
    <cfRule type="cellIs" dxfId="0" priority="87" stopIfTrue="1" operator="greaterThan">
      <formula>CP12*(1+$B$859)</formula>
    </cfRule>
  </conditionalFormatting>
  <conditionalFormatting sqref="CP858">
    <cfRule type="cellIs" dxfId="1" priority="88" stopIfTrue="1" operator="lessThan">
      <formula>CP12*(1-$B$859)</formula>
    </cfRule>
  </conditionalFormatting>
  <conditionalFormatting sqref="CP852">
    <cfRule type="cellIs" dxfId="1" priority="89" stopIfTrue="1" operator="greaterThan">
      <formula>(CP849+CP850+CP851)*(1+$B$859)</formula>
    </cfRule>
  </conditionalFormatting>
  <conditionalFormatting sqref="CP852">
    <cfRule type="cellIs" dxfId="0" priority="90" stopIfTrue="1" operator="lessThan">
      <formula>(CP849+CP850+CP851)*(1-$B$859)</formula>
    </cfRule>
  </conditionalFormatting>
  <conditionalFormatting sqref="CP857">
    <cfRule type="cellIs" dxfId="1" priority="91" stopIfTrue="1" operator="notBetween">
      <formula>(CP854+CP855+CP856)*(1+$B$859)</formula>
      <formula>(CP853+CP855+CP856)*(1-$B$859)</formula>
    </cfRule>
  </conditionalFormatting>
  <conditionalFormatting sqref="CP1226">
    <cfRule type="cellIs" dxfId="1" priority="92" stopIfTrue="1" operator="notBetween">
      <formula>(1-$A$1227)*CP1227</formula>
      <formula>(1+$A$1227)*CP1227</formula>
    </cfRule>
  </conditionalFormatting>
  <conditionalFormatting sqref="CP833">
    <cfRule type="cellIs" dxfId="0" priority="93" stopIfTrue="1" operator="greaterThan">
      <formula>CP745*(1+$B$814)</formula>
    </cfRule>
  </conditionalFormatting>
  <conditionalFormatting sqref="CP833">
    <cfRule type="cellIs" dxfId="1" priority="94" stopIfTrue="1" operator="lessThan">
      <formula>CP745*(1-$B$814)</formula>
    </cfRule>
  </conditionalFormatting>
  <conditionalFormatting sqref="CP825">
    <cfRule type="cellIs" dxfId="0" priority="95" stopIfTrue="1" operator="greaterThan">
      <formula>CP127*(1+$B$814)</formula>
    </cfRule>
  </conditionalFormatting>
  <conditionalFormatting sqref="CP825">
    <cfRule type="cellIs" dxfId="1" priority="96" stopIfTrue="1" operator="lessThan">
      <formula>CP127*(1-$B$814)</formula>
    </cfRule>
  </conditionalFormatting>
  <conditionalFormatting sqref="CP742">
    <cfRule type="cellIs" dxfId="0" priority="97" stopIfTrue="1" operator="greaterThan">
      <formula>CP499*(1+$B$814)</formula>
    </cfRule>
  </conditionalFormatting>
  <conditionalFormatting sqref="CP742">
    <cfRule type="cellIs" dxfId="1" priority="98" stopIfTrue="1" operator="lessThan">
      <formula>CP499*(1-$B$814)</formula>
    </cfRule>
  </conditionalFormatting>
  <conditionalFormatting sqref="CP606">
    <cfRule type="cellIs" dxfId="0" priority="99" stopIfTrue="1" operator="greaterThan">
      <formula>#REF!*(1+$B$814)</formula>
    </cfRule>
  </conditionalFormatting>
  <conditionalFormatting sqref="CP606">
    <cfRule type="cellIs" dxfId="1" priority="100" stopIfTrue="1" operator="lessThan">
      <formula>#REF!*(1-$B$814)</formula>
    </cfRule>
  </conditionalFormatting>
  <conditionalFormatting sqref="CP733">
    <cfRule type="cellIs" dxfId="0" priority="101" stopIfTrue="1" operator="greaterThan">
      <formula>#REF!*(1+$B$814)</formula>
    </cfRule>
  </conditionalFormatting>
  <conditionalFormatting sqref="CP733">
    <cfRule type="cellIs" dxfId="1" priority="102" stopIfTrue="1" operator="lessThan">
      <formula>#REF!*(1-$B$814)</formula>
    </cfRule>
  </conditionalFormatting>
  <conditionalFormatting sqref="CP587">
    <cfRule type="cellIs" dxfId="0" priority="103" stopIfTrue="1" operator="greaterThan">
      <formula>CP19*(1+$B$814)</formula>
    </cfRule>
  </conditionalFormatting>
  <conditionalFormatting sqref="CP587">
    <cfRule type="cellIs" dxfId="1" priority="104" stopIfTrue="1" operator="lessThan">
      <formula>CP19*(1-$B$814)</formula>
    </cfRule>
  </conditionalFormatting>
  <conditionalFormatting sqref="CP649">
    <cfRule type="cellIs" dxfId="0" priority="105" stopIfTrue="1" operator="greaterThan">
      <formula>CP20*(1+$B$814)</formula>
    </cfRule>
  </conditionalFormatting>
  <conditionalFormatting sqref="CP649">
    <cfRule type="cellIs" dxfId="1" priority="106" stopIfTrue="1" operator="lessThan">
      <formula>CP20*(1-$B$814)</formula>
    </cfRule>
  </conditionalFormatting>
  <conditionalFormatting sqref="CP586">
    <cfRule type="cellIs" dxfId="0" priority="107" stopIfTrue="1" operator="greaterThan">
      <formula>CP18*(1+$B$814)</formula>
    </cfRule>
  </conditionalFormatting>
  <conditionalFormatting sqref="CP586">
    <cfRule type="cellIs" dxfId="1" priority="108" stopIfTrue="1" operator="lessThan">
      <formula>CP18*(1-$B$814)</formula>
    </cfRule>
  </conditionalFormatting>
  <conditionalFormatting sqref="CP575">
    <cfRule type="cellIs" dxfId="0" priority="109" stopIfTrue="1" operator="greaterThan">
      <formula>#REF!*(1+$B$814)</formula>
    </cfRule>
  </conditionalFormatting>
  <conditionalFormatting sqref="CP575">
    <cfRule type="cellIs" dxfId="1" priority="110" stopIfTrue="1" operator="lessThan">
      <formula>#REF!*(1-$B$814)</formula>
    </cfRule>
  </conditionalFormatting>
  <conditionalFormatting sqref="CQ575:CR575">
    <cfRule type="cellIs" dxfId="0" priority="111" stopIfTrue="1" operator="greaterThan">
      <formula>#REF!*(1+$B$814)</formula>
    </cfRule>
  </conditionalFormatting>
  <conditionalFormatting sqref="CQ575:CR575">
    <cfRule type="cellIs" dxfId="1" priority="112" stopIfTrue="1" operator="lessThan">
      <formula>#REF!*(1-$B$814)</formula>
    </cfRule>
  </conditionalFormatting>
  <conditionalFormatting sqref="CQ586:CR586">
    <cfRule type="cellIs" dxfId="0" priority="113" stopIfTrue="1" operator="greaterThan">
      <formula>CQ18*(1+$B$814)</formula>
    </cfRule>
  </conditionalFormatting>
  <conditionalFormatting sqref="CQ586:CR586">
    <cfRule type="cellIs" dxfId="1" priority="114" stopIfTrue="1" operator="lessThan">
      <formula>CQ18*(1-$B$814)</formula>
    </cfRule>
  </conditionalFormatting>
  <conditionalFormatting sqref="CS575">
    <cfRule type="cellIs" dxfId="0" priority="115" stopIfTrue="1" operator="greaterThan">
      <formula>#REF!*(1+$B$814)</formula>
    </cfRule>
  </conditionalFormatting>
  <conditionalFormatting sqref="CS575">
    <cfRule type="cellIs" dxfId="1" priority="116" stopIfTrue="1" operator="lessThan">
      <formula>#REF!*(1-$B$814)</formula>
    </cfRule>
  </conditionalFormatting>
  <conditionalFormatting sqref="CO575">
    <cfRule type="cellIs" dxfId="0" priority="117" stopIfTrue="1" operator="greaterThan">
      <formula>#REF!*(1+$B$814)</formula>
    </cfRule>
  </conditionalFormatting>
  <conditionalFormatting sqref="CO575">
    <cfRule type="cellIs" dxfId="1" priority="118" stopIfTrue="1" operator="lessThan">
      <formula>#REF!*(1-$B$814)</formula>
    </cfRule>
  </conditionalFormatting>
  <conditionalFormatting sqref="CT575">
    <cfRule type="cellIs" dxfId="0" priority="119" stopIfTrue="1" operator="greaterThan">
      <formula>#REF!*(1+$B$814)</formula>
    </cfRule>
  </conditionalFormatting>
  <conditionalFormatting sqref="CT575">
    <cfRule type="cellIs" dxfId="1" priority="120" stopIfTrue="1" operator="lessThan">
      <formula>#REF!*(1-$B$814)</formula>
    </cfRule>
  </conditionalFormatting>
  <conditionalFormatting sqref="CS586:CT586">
    <cfRule type="cellIs" dxfId="0" priority="121" stopIfTrue="1" operator="greaterThan">
      <formula>CS18*(1+$B$814)</formula>
    </cfRule>
  </conditionalFormatting>
  <conditionalFormatting sqref="CS586:CT586">
    <cfRule type="cellIs" dxfId="1" priority="122" stopIfTrue="1" operator="lessThan">
      <formula>CS18*(1-$B$814)</formula>
    </cfRule>
  </conditionalFormatting>
  <conditionalFormatting sqref="DO683:DP683">
    <cfRule type="cellIs" dxfId="0" priority="123" stopIfTrue="1" operator="greaterThan">
      <formula>#REF!*(1+$B$814)</formula>
    </cfRule>
  </conditionalFormatting>
  <conditionalFormatting sqref="DO683:DP683">
    <cfRule type="cellIs" dxfId="1" priority="124" stopIfTrue="1" operator="lessThan">
      <formula>#REF!*(1-$B$814)</formula>
    </cfRule>
  </conditionalFormatting>
  <conditionalFormatting sqref="DO657:DP657">
    <cfRule type="cellIs" dxfId="0" priority="125" stopIfTrue="1" operator="greaterThan">
      <formula>#REF!*(1+$B$814)</formula>
    </cfRule>
  </conditionalFormatting>
  <conditionalFormatting sqref="DO657:DP657">
    <cfRule type="cellIs" dxfId="1" priority="126" stopIfTrue="1" operator="lessThan">
      <formula>#REF!*(1-$B$814)</formula>
    </cfRule>
  </conditionalFormatting>
  <conditionalFormatting sqref="DO586:DP587">
    <cfRule type="cellIs" dxfId="0" priority="127" stopIfTrue="1" operator="greaterThan">
      <formula>DO18*(1+$B$814)</formula>
    </cfRule>
  </conditionalFormatting>
  <conditionalFormatting sqref="DO586:DP587">
    <cfRule type="cellIs" dxfId="1" priority="128" stopIfTrue="1" operator="lessThan">
      <formula>DO18*(1-$B$814)</formula>
    </cfRule>
  </conditionalFormatting>
  <conditionalFormatting sqref="DO858:DP858">
    <cfRule type="cellIs" dxfId="0" priority="129" stopIfTrue="1" operator="greaterThan">
      <formula>DO12*(1+$B$859)</formula>
    </cfRule>
  </conditionalFormatting>
  <conditionalFormatting sqref="DO858:DP858">
    <cfRule type="cellIs" dxfId="1" priority="130" stopIfTrue="1" operator="lessThan">
      <formula>DO12*(1-$B$859)</formula>
    </cfRule>
  </conditionalFormatting>
  <conditionalFormatting sqref="DO852:DP852">
    <cfRule type="cellIs" dxfId="1" priority="131" stopIfTrue="1" operator="greaterThan">
      <formula>(DO849+DO850+DO851)*(1+$B$859)</formula>
    </cfRule>
  </conditionalFormatting>
  <conditionalFormatting sqref="DO852:DP852">
    <cfRule type="cellIs" dxfId="0" priority="132" stopIfTrue="1" operator="lessThan">
      <formula>(DO849+DO850+DO851)*(1-$B$859)</formula>
    </cfRule>
  </conditionalFormatting>
  <conditionalFormatting sqref="DO857:DP857">
    <cfRule type="cellIs" dxfId="1" priority="133" stopIfTrue="1" operator="notBetween">
      <formula>(DO854+DO855+DO856)*(1+$B$859)</formula>
      <formula>(DO853+DO855+DO856)*(1-$B$859)</formula>
    </cfRule>
  </conditionalFormatting>
  <conditionalFormatting sqref="DO1226:DP1226">
    <cfRule type="cellIs" dxfId="1" priority="134" stopIfTrue="1" operator="notBetween">
      <formula>(1-$A$1227)*DO1227</formula>
      <formula>(1+$A$1227)*DO1227</formula>
    </cfRule>
  </conditionalFormatting>
  <conditionalFormatting sqref="DO833:DP833">
    <cfRule type="cellIs" dxfId="0" priority="135" stopIfTrue="1" operator="greaterThan">
      <formula>DO745*(1+$B$814)</formula>
    </cfRule>
  </conditionalFormatting>
  <conditionalFormatting sqref="DO833:DP833">
    <cfRule type="cellIs" dxfId="1" priority="136" stopIfTrue="1" operator="lessThan">
      <formula>DO745*(1-$B$814)</formula>
    </cfRule>
  </conditionalFormatting>
  <conditionalFormatting sqref="DO825:DP825">
    <cfRule type="cellIs" dxfId="0" priority="137" stopIfTrue="1" operator="greaterThan">
      <formula>DO127*(1+$B$814)</formula>
    </cfRule>
  </conditionalFormatting>
  <conditionalFormatting sqref="DO825:DP825">
    <cfRule type="cellIs" dxfId="1" priority="138" stopIfTrue="1" operator="lessThan">
      <formula>DO127*(1-$B$814)</formula>
    </cfRule>
  </conditionalFormatting>
  <conditionalFormatting sqref="DO742:DP742">
    <cfRule type="cellIs" dxfId="0" priority="139" stopIfTrue="1" operator="greaterThan">
      <formula>DO499*(1+$B$814)</formula>
    </cfRule>
  </conditionalFormatting>
  <conditionalFormatting sqref="DO742:DP742">
    <cfRule type="cellIs" dxfId="1" priority="140" stopIfTrue="1" operator="lessThan">
      <formula>DO499*(1-$B$814)</formula>
    </cfRule>
  </conditionalFormatting>
  <conditionalFormatting sqref="DO606:DP606">
    <cfRule type="cellIs" dxfId="0" priority="141" stopIfTrue="1" operator="greaterThan">
      <formula>#REF!*(1+$B$814)</formula>
    </cfRule>
  </conditionalFormatting>
  <conditionalFormatting sqref="DO606:DP606">
    <cfRule type="cellIs" dxfId="1" priority="142" stopIfTrue="1" operator="lessThan">
      <formula>#REF!*(1-$B$814)</formula>
    </cfRule>
  </conditionalFormatting>
  <conditionalFormatting sqref="DO575:DP575">
    <cfRule type="cellIs" dxfId="0" priority="143" stopIfTrue="1" operator="greaterThan">
      <formula>#REF!*(1+$B$814)</formula>
    </cfRule>
  </conditionalFormatting>
  <conditionalFormatting sqref="DO575:DP575">
    <cfRule type="cellIs" dxfId="1" priority="144" stopIfTrue="1" operator="lessThan">
      <formula>#REF!*(1-$B$814)</formula>
    </cfRule>
  </conditionalFormatting>
  <conditionalFormatting sqref="DO666:DP667">
    <cfRule type="cellIs" dxfId="0" priority="145" stopIfTrue="1" operator="greaterThan">
      <formula>DO506*(1+$B$814)</formula>
    </cfRule>
  </conditionalFormatting>
  <conditionalFormatting sqref="DO666:DP667">
    <cfRule type="cellIs" dxfId="1" priority="146" stopIfTrue="1" operator="lessThan">
      <formula>DO506*(1-$B$814)</formula>
    </cfRule>
  </conditionalFormatting>
  <conditionalFormatting sqref="DO649:DP649">
    <cfRule type="cellIs" dxfId="0" priority="147" stopIfTrue="1" operator="greaterThan">
      <formula>DO20*(1+$B$814)</formula>
    </cfRule>
  </conditionalFormatting>
  <conditionalFormatting sqref="DO649:DP649">
    <cfRule type="cellIs" dxfId="1" priority="148" stopIfTrue="1" operator="lessThan">
      <formula>DO20*(1-$B$814)</formula>
    </cfRule>
  </conditionalFormatting>
  <conditionalFormatting sqref="CU575">
    <cfRule type="cellIs" dxfId="0" priority="149" stopIfTrue="1" operator="greaterThan">
      <formula>#REF!*(1+$B$814)</formula>
    </cfRule>
  </conditionalFormatting>
  <conditionalFormatting sqref="CU575">
    <cfRule type="cellIs" dxfId="1" priority="150" stopIfTrue="1" operator="lessThan">
      <formula>#REF!*(1-$B$814)</formula>
    </cfRule>
  </conditionalFormatting>
  <conditionalFormatting sqref="CU586:CW586">
    <cfRule type="cellIs" dxfId="0" priority="151" stopIfTrue="1" operator="greaterThan">
      <formula>CU18*(1+$B$814)</formula>
    </cfRule>
  </conditionalFormatting>
  <conditionalFormatting sqref="CU586:CW586">
    <cfRule type="cellIs" dxfId="1" priority="152" stopIfTrue="1" operator="lessThan">
      <formula>CU18*(1-$B$814)</formula>
    </cfRule>
  </conditionalFormatting>
  <conditionalFormatting sqref="CV666:CV667">
    <cfRule type="cellIs" dxfId="0" priority="153" stopIfTrue="1" operator="greaterThan">
      <formula>CV506*(1+$B$814)</formula>
    </cfRule>
  </conditionalFormatting>
  <conditionalFormatting sqref="CV666:CV667">
    <cfRule type="cellIs" dxfId="1" priority="154" stopIfTrue="1" operator="lessThan">
      <formula>CV506*(1-$B$814)</formula>
    </cfRule>
  </conditionalFormatting>
  <conditionalFormatting sqref="CV858">
    <cfRule type="cellIs" dxfId="0" priority="155" stopIfTrue="1" operator="greaterThan">
      <formula>CV12*(1+$B$859)</formula>
    </cfRule>
  </conditionalFormatting>
  <conditionalFormatting sqref="CV858">
    <cfRule type="cellIs" dxfId="1" priority="156" stopIfTrue="1" operator="lessThan">
      <formula>CV12*(1-$B$859)</formula>
    </cfRule>
  </conditionalFormatting>
  <conditionalFormatting sqref="CV852">
    <cfRule type="cellIs" dxfId="1" priority="157" stopIfTrue="1" operator="greaterThan">
      <formula>(CV849+CV850+CV851)*(1+$B$859)</formula>
    </cfRule>
  </conditionalFormatting>
  <conditionalFormatting sqref="CV852">
    <cfRule type="cellIs" dxfId="0" priority="158" stopIfTrue="1" operator="lessThan">
      <formula>(CV849+CV850+CV851)*(1-$B$859)</formula>
    </cfRule>
  </conditionalFormatting>
  <conditionalFormatting sqref="CV857">
    <cfRule type="cellIs" dxfId="1" priority="159" stopIfTrue="1" operator="notBetween">
      <formula>(CV854+CV855+CV856)*(1+$B$859)</formula>
      <formula>(CV853+CV855+CV856)*(1-$B$859)</formula>
    </cfRule>
  </conditionalFormatting>
  <conditionalFormatting sqref="CV1226">
    <cfRule type="cellIs" dxfId="1" priority="160" stopIfTrue="1" operator="notBetween">
      <formula>(1-$A$1227)*CV1227</formula>
      <formula>(1+$A$1227)*CV1227</formula>
    </cfRule>
  </conditionalFormatting>
  <conditionalFormatting sqref="CV833">
    <cfRule type="cellIs" dxfId="0" priority="161" stopIfTrue="1" operator="greaterThan">
      <formula>CV745*(1+$B$814)</formula>
    </cfRule>
  </conditionalFormatting>
  <conditionalFormatting sqref="CV833">
    <cfRule type="cellIs" dxfId="1" priority="162" stopIfTrue="1" operator="lessThan">
      <formula>CV745*(1-$B$814)</formula>
    </cfRule>
  </conditionalFormatting>
  <conditionalFormatting sqref="CV825">
    <cfRule type="cellIs" dxfId="0" priority="163" stopIfTrue="1" operator="greaterThan">
      <formula>CV127*(1+$B$814)</formula>
    </cfRule>
  </conditionalFormatting>
  <conditionalFormatting sqref="CV825">
    <cfRule type="cellIs" dxfId="1" priority="164" stopIfTrue="1" operator="lessThan">
      <formula>CV127*(1-$B$814)</formula>
    </cfRule>
  </conditionalFormatting>
  <conditionalFormatting sqref="CV742">
    <cfRule type="cellIs" dxfId="0" priority="165" stopIfTrue="1" operator="greaterThan">
      <formula>CV499*(1+$B$814)</formula>
    </cfRule>
  </conditionalFormatting>
  <conditionalFormatting sqref="CV742">
    <cfRule type="cellIs" dxfId="1" priority="166" stopIfTrue="1" operator="lessThan">
      <formula>CV499*(1-$B$814)</formula>
    </cfRule>
  </conditionalFormatting>
  <conditionalFormatting sqref="CV519">
    <cfRule type="cellIs" dxfId="0" priority="167" stopIfTrue="1" operator="greaterThan">
      <formula>#REF!*(1+$B$814)</formula>
    </cfRule>
  </conditionalFormatting>
  <conditionalFormatting sqref="CV519">
    <cfRule type="cellIs" dxfId="1" priority="168" stopIfTrue="1" operator="lessThan">
      <formula>#REF!*(1-$B$814)</formula>
    </cfRule>
  </conditionalFormatting>
  <conditionalFormatting sqref="CV733">
    <cfRule type="cellIs" dxfId="0" priority="169" stopIfTrue="1" operator="greaterThan">
      <formula>#REF!*(1+$B$814)</formula>
    </cfRule>
  </conditionalFormatting>
  <conditionalFormatting sqref="CV733">
    <cfRule type="cellIs" dxfId="1" priority="170" stopIfTrue="1" operator="lessThan">
      <formula>#REF!*(1-$B$814)</formula>
    </cfRule>
  </conditionalFormatting>
  <conditionalFormatting sqref="CV587">
    <cfRule type="cellIs" dxfId="0" priority="171" stopIfTrue="1" operator="greaterThan">
      <formula>CV19*(1+$B$814)</formula>
    </cfRule>
  </conditionalFormatting>
  <conditionalFormatting sqref="CV587">
    <cfRule type="cellIs" dxfId="1" priority="172" stopIfTrue="1" operator="lessThan">
      <formula>CV19*(1-$B$814)</formula>
    </cfRule>
  </conditionalFormatting>
  <conditionalFormatting sqref="CV649">
    <cfRule type="cellIs" dxfId="0" priority="173" stopIfTrue="1" operator="greaterThan">
      <formula>CV20*(1+$B$814)</formula>
    </cfRule>
  </conditionalFormatting>
  <conditionalFormatting sqref="CV649">
    <cfRule type="cellIs" dxfId="1" priority="174" stopIfTrue="1" operator="lessThan">
      <formula>CV20*(1-$B$814)</formula>
    </cfRule>
  </conditionalFormatting>
  <conditionalFormatting sqref="CV575">
    <cfRule type="cellIs" dxfId="0" priority="175" stopIfTrue="1" operator="greaterThan">
      <formula>#REF!*(1+$B$814)</formula>
    </cfRule>
  </conditionalFormatting>
  <conditionalFormatting sqref="CV575">
    <cfRule type="cellIs" dxfId="1" priority="176" stopIfTrue="1" operator="lessThan">
      <formula>#REF!*(1-$B$814)</formula>
    </cfRule>
  </conditionalFormatting>
  <conditionalFormatting sqref="CW575">
    <cfRule type="cellIs" dxfId="0" priority="177" stopIfTrue="1" operator="greaterThan">
      <formula>#REF!*(1+$B$814)</formula>
    </cfRule>
  </conditionalFormatting>
  <conditionalFormatting sqref="CW575">
    <cfRule type="cellIs" dxfId="1" priority="178" stopIfTrue="1" operator="lessThan">
      <formula>#REF!*(1-$B$814)</formula>
    </cfRule>
  </conditionalFormatting>
  <conditionalFormatting sqref="DX763">
    <cfRule type="cellIs" dxfId="0" priority="179" stopIfTrue="1" operator="greaterThan">
      <formula>#REF!*(1+$B$814)</formula>
    </cfRule>
  </conditionalFormatting>
  <conditionalFormatting sqref="DX763">
    <cfRule type="cellIs" dxfId="1" priority="180" stopIfTrue="1" operator="lessThan">
      <formula>#REF!*(1-$B$814)</formula>
    </cfRule>
  </conditionalFormatting>
  <conditionalFormatting sqref="DX733">
    <cfRule type="cellIs" dxfId="0" priority="181" stopIfTrue="1" operator="greaterThan">
      <formula>#REF!*(1+$B$814)</formula>
    </cfRule>
  </conditionalFormatting>
  <conditionalFormatting sqref="DX733">
    <cfRule type="cellIs" dxfId="1" priority="182" stopIfTrue="1" operator="lessThan">
      <formula>#REF!*(1-$B$814)</formula>
    </cfRule>
  </conditionalFormatting>
  <conditionalFormatting sqref="DX683">
    <cfRule type="cellIs" dxfId="0" priority="183" stopIfTrue="1" operator="greaterThan">
      <formula>#REF!*(1+$B$814)</formula>
    </cfRule>
  </conditionalFormatting>
  <conditionalFormatting sqref="DX683">
    <cfRule type="cellIs" dxfId="1" priority="184" stopIfTrue="1" operator="lessThan">
      <formula>#REF!*(1-$B$814)</formula>
    </cfRule>
  </conditionalFormatting>
  <conditionalFormatting sqref="DX657">
    <cfRule type="cellIs" dxfId="0" priority="185" stopIfTrue="1" operator="greaterThan">
      <formula>#REF!*(1+$B$814)</formula>
    </cfRule>
  </conditionalFormatting>
  <conditionalFormatting sqref="DX657">
    <cfRule type="cellIs" dxfId="1" priority="186" stopIfTrue="1" operator="lessThan">
      <formula>#REF!*(1-$B$814)</formula>
    </cfRule>
  </conditionalFormatting>
  <conditionalFormatting sqref="DX586:DX587">
    <cfRule type="cellIs" dxfId="0" priority="187" stopIfTrue="1" operator="greaterThan">
      <formula>DX18*(1+$B$814)</formula>
    </cfRule>
  </conditionalFormatting>
  <conditionalFormatting sqref="DX586:DX587">
    <cfRule type="cellIs" dxfId="1" priority="188" stopIfTrue="1" operator="lessThan">
      <formula>DX18*(1-$B$814)</formula>
    </cfRule>
  </conditionalFormatting>
  <conditionalFormatting sqref="DX858">
    <cfRule type="cellIs" dxfId="0" priority="189" stopIfTrue="1" operator="greaterThan">
      <formula>DX12*(1+$B$859)</formula>
    </cfRule>
  </conditionalFormatting>
  <conditionalFormatting sqref="DX858">
    <cfRule type="cellIs" dxfId="1" priority="190" stopIfTrue="1" operator="lessThan">
      <formula>DX12*(1-$B$859)</formula>
    </cfRule>
  </conditionalFormatting>
  <conditionalFormatting sqref="DX1226">
    <cfRule type="cellIs" dxfId="1" priority="191" stopIfTrue="1" operator="notBetween">
      <formula>(1-$A$1227)*DX1227</formula>
      <formula>(1+$A$1227)*DX1227</formula>
    </cfRule>
  </conditionalFormatting>
  <conditionalFormatting sqref="DX833">
    <cfRule type="cellIs" dxfId="0" priority="192" stopIfTrue="1" operator="greaterThan">
      <formula>DX745*(1+$B$814)</formula>
    </cfRule>
  </conditionalFormatting>
  <conditionalFormatting sqref="DX833">
    <cfRule type="cellIs" dxfId="1" priority="193" stopIfTrue="1" operator="lessThan">
      <formula>DX745*(1-$B$814)</formula>
    </cfRule>
  </conditionalFormatting>
  <conditionalFormatting sqref="DX825">
    <cfRule type="cellIs" dxfId="0" priority="194" stopIfTrue="1" operator="greaterThan">
      <formula>DX127*(1+$B$814)</formula>
    </cfRule>
  </conditionalFormatting>
  <conditionalFormatting sqref="DX825">
    <cfRule type="cellIs" dxfId="1" priority="195" stopIfTrue="1" operator="lessThan">
      <formula>DX127*(1-$B$814)</formula>
    </cfRule>
  </conditionalFormatting>
  <conditionalFormatting sqref="DX742">
    <cfRule type="cellIs" dxfId="0" priority="196" stopIfTrue="1" operator="greaterThan">
      <formula>DX499*(1+$B$814)</formula>
    </cfRule>
  </conditionalFormatting>
  <conditionalFormatting sqref="DX742">
    <cfRule type="cellIs" dxfId="1" priority="197" stopIfTrue="1" operator="lessThan">
      <formula>DX499*(1-$B$814)</formula>
    </cfRule>
  </conditionalFormatting>
  <conditionalFormatting sqref="DX606">
    <cfRule type="cellIs" dxfId="0" priority="198" stopIfTrue="1" operator="greaterThan">
      <formula>#REF!*(1+$B$814)</formula>
    </cfRule>
  </conditionalFormatting>
  <conditionalFormatting sqref="DX606">
    <cfRule type="cellIs" dxfId="1" priority="199" stopIfTrue="1" operator="lessThan">
      <formula>#REF!*(1-$B$814)</formula>
    </cfRule>
  </conditionalFormatting>
  <conditionalFormatting sqref="DX575">
    <cfRule type="cellIs" dxfId="0" priority="200" stopIfTrue="1" operator="greaterThan">
      <formula>#REF!*(1+$B$814)</formula>
    </cfRule>
  </conditionalFormatting>
  <conditionalFormatting sqref="DX575">
    <cfRule type="cellIs" dxfId="1" priority="201" stopIfTrue="1" operator="lessThan">
      <formula>#REF!*(1-$B$814)</formula>
    </cfRule>
  </conditionalFormatting>
  <conditionalFormatting sqref="DX666:DX667">
    <cfRule type="cellIs" dxfId="0" priority="202" stopIfTrue="1" operator="greaterThan">
      <formula>DX506*(1+$B$814)</formula>
    </cfRule>
  </conditionalFormatting>
  <conditionalFormatting sqref="DX666:DX667">
    <cfRule type="cellIs" dxfId="1" priority="203" stopIfTrue="1" operator="lessThan">
      <formula>DX506*(1-$B$814)</formula>
    </cfRule>
  </conditionalFormatting>
  <conditionalFormatting sqref="DX649">
    <cfRule type="cellIs" dxfId="0" priority="204" stopIfTrue="1" operator="greaterThan">
      <formula>DX20*(1+$B$814)</formula>
    </cfRule>
  </conditionalFormatting>
  <conditionalFormatting sqref="DX649">
    <cfRule type="cellIs" dxfId="1" priority="205" stopIfTrue="1" operator="lessThan">
      <formula>DX20*(1-$B$814)</formula>
    </cfRule>
  </conditionalFormatting>
  <conditionalFormatting sqref="EC519">
    <cfRule type="cellIs" dxfId="0" priority="206" stopIfTrue="1" operator="greaterThan">
      <formula>#REF!*(1+$B$814)</formula>
    </cfRule>
  </conditionalFormatting>
  <conditionalFormatting sqref="EC519">
    <cfRule type="cellIs" dxfId="1" priority="207" stopIfTrue="1" operator="lessThan">
      <formula>#REF!*(1-$B$814)</formula>
    </cfRule>
  </conditionalFormatting>
  <conditionalFormatting sqref="EC763">
    <cfRule type="cellIs" dxfId="0" priority="208" stopIfTrue="1" operator="greaterThan">
      <formula>#REF!*(1+$B$814)</formula>
    </cfRule>
  </conditionalFormatting>
  <conditionalFormatting sqref="EC763">
    <cfRule type="cellIs" dxfId="1" priority="209" stopIfTrue="1" operator="lessThan">
      <formula>#REF!*(1-$B$814)</formula>
    </cfRule>
  </conditionalFormatting>
  <conditionalFormatting sqref="EC733">
    <cfRule type="cellIs" dxfId="0" priority="210" stopIfTrue="1" operator="greaterThan">
      <formula>#REF!*(1+$B$814)</formula>
    </cfRule>
  </conditionalFormatting>
  <conditionalFormatting sqref="EC733">
    <cfRule type="cellIs" dxfId="1" priority="211" stopIfTrue="1" operator="lessThan">
      <formula>#REF!*(1-$B$814)</formula>
    </cfRule>
  </conditionalFormatting>
  <conditionalFormatting sqref="EC683">
    <cfRule type="cellIs" dxfId="0" priority="212" stopIfTrue="1" operator="greaterThan">
      <formula>#REF!*(1+$B$814)</formula>
    </cfRule>
  </conditionalFormatting>
  <conditionalFormatting sqref="EC683">
    <cfRule type="cellIs" dxfId="1" priority="213" stopIfTrue="1" operator="lessThan">
      <formula>#REF!*(1-$B$814)</formula>
    </cfRule>
  </conditionalFormatting>
  <conditionalFormatting sqref="EC657">
    <cfRule type="cellIs" dxfId="0" priority="214" stopIfTrue="1" operator="greaterThan">
      <formula>#REF!*(1+$B$814)</formula>
    </cfRule>
  </conditionalFormatting>
  <conditionalFormatting sqref="EC657">
    <cfRule type="cellIs" dxfId="1" priority="215" stopIfTrue="1" operator="lessThan">
      <formula>#REF!*(1-$B$814)</formula>
    </cfRule>
  </conditionalFormatting>
  <conditionalFormatting sqref="EC586:EC587">
    <cfRule type="cellIs" dxfId="0" priority="216" stopIfTrue="1" operator="greaterThan">
      <formula>EC18*(1+$B$814)</formula>
    </cfRule>
  </conditionalFormatting>
  <conditionalFormatting sqref="EC586:EC587">
    <cfRule type="cellIs" dxfId="1" priority="217" stopIfTrue="1" operator="lessThan">
      <formula>EC18*(1-$B$814)</formula>
    </cfRule>
  </conditionalFormatting>
  <conditionalFormatting sqref="EC858">
    <cfRule type="cellIs" dxfId="0" priority="218" stopIfTrue="1" operator="greaterThan">
      <formula>EC12*(1+$B$859)</formula>
    </cfRule>
  </conditionalFormatting>
  <conditionalFormatting sqref="EC858">
    <cfRule type="cellIs" dxfId="1" priority="219" stopIfTrue="1" operator="lessThan">
      <formula>EC12*(1-$B$859)</formula>
    </cfRule>
  </conditionalFormatting>
  <conditionalFormatting sqref="EC1226">
    <cfRule type="cellIs" dxfId="1" priority="220" stopIfTrue="1" operator="notBetween">
      <formula>(1-$A$1227)*EC1227</formula>
      <formula>(1+$A$1227)*EC1227</formula>
    </cfRule>
  </conditionalFormatting>
  <conditionalFormatting sqref="EC833">
    <cfRule type="cellIs" dxfId="0" priority="221" stopIfTrue="1" operator="greaterThan">
      <formula>EC745*(1+$B$814)</formula>
    </cfRule>
  </conditionalFormatting>
  <conditionalFormatting sqref="EC833">
    <cfRule type="cellIs" dxfId="1" priority="222" stopIfTrue="1" operator="lessThan">
      <formula>EC745*(1-$B$814)</formula>
    </cfRule>
  </conditionalFormatting>
  <conditionalFormatting sqref="EC825">
    <cfRule type="cellIs" dxfId="0" priority="223" stopIfTrue="1" operator="greaterThan">
      <formula>EC127*(1+$B$814)</formula>
    </cfRule>
  </conditionalFormatting>
  <conditionalFormatting sqref="EC825">
    <cfRule type="cellIs" dxfId="1" priority="224" stopIfTrue="1" operator="lessThan">
      <formula>EC127*(1-$B$814)</formula>
    </cfRule>
  </conditionalFormatting>
  <conditionalFormatting sqref="EC742">
    <cfRule type="cellIs" dxfId="0" priority="225" stopIfTrue="1" operator="greaterThan">
      <formula>EC499*(1+$B$814)</formula>
    </cfRule>
  </conditionalFormatting>
  <conditionalFormatting sqref="EC742">
    <cfRule type="cellIs" dxfId="1" priority="226" stopIfTrue="1" operator="lessThan">
      <formula>EC499*(1-$B$814)</formula>
    </cfRule>
  </conditionalFormatting>
  <conditionalFormatting sqref="EC606">
    <cfRule type="cellIs" dxfId="0" priority="227" stopIfTrue="1" operator="greaterThan">
      <formula>#REF!*(1+$B$814)</formula>
    </cfRule>
  </conditionalFormatting>
  <conditionalFormatting sqref="EC606">
    <cfRule type="cellIs" dxfId="1" priority="228" stopIfTrue="1" operator="lessThan">
      <formula>#REF!*(1-$B$814)</formula>
    </cfRule>
  </conditionalFormatting>
  <conditionalFormatting sqref="EC575">
    <cfRule type="cellIs" dxfId="0" priority="229" stopIfTrue="1" operator="greaterThan">
      <formula>#REF!*(1+$B$814)</formula>
    </cfRule>
  </conditionalFormatting>
  <conditionalFormatting sqref="EC575">
    <cfRule type="cellIs" dxfId="1" priority="230" stopIfTrue="1" operator="lessThan">
      <formula>#REF!*(1-$B$814)</formula>
    </cfRule>
  </conditionalFormatting>
  <conditionalFormatting sqref="EC666:EC667">
    <cfRule type="cellIs" dxfId="0" priority="231" stopIfTrue="1" operator="greaterThan">
      <formula>EC506*(1+$B$814)</formula>
    </cfRule>
  </conditionalFormatting>
  <conditionalFormatting sqref="EC666:EC667">
    <cfRule type="cellIs" dxfId="1" priority="232" stopIfTrue="1" operator="lessThan">
      <formula>EC506*(1-$B$814)</formula>
    </cfRule>
  </conditionalFormatting>
  <conditionalFormatting sqref="EC649">
    <cfRule type="cellIs" dxfId="0" priority="233" stopIfTrue="1" operator="greaterThan">
      <formula>EC20*(1+$B$814)</formula>
    </cfRule>
  </conditionalFormatting>
  <conditionalFormatting sqref="EC649">
    <cfRule type="cellIs" dxfId="1" priority="234" stopIfTrue="1" operator="lessThan">
      <formula>EC20*(1-$B$814)</formula>
    </cfRule>
  </conditionalFormatting>
  <conditionalFormatting sqref="DH858">
    <cfRule type="cellIs" dxfId="0" priority="235" stopIfTrue="1" operator="greaterThan">
      <formula>DH12*(1+$B$859)</formula>
    </cfRule>
  </conditionalFormatting>
  <conditionalFormatting sqref="DH858">
    <cfRule type="cellIs" dxfId="1" priority="236" stopIfTrue="1" operator="lessThan">
      <formula>DH12*(1-$B$859)</formula>
    </cfRule>
  </conditionalFormatting>
  <conditionalFormatting sqref="DH852">
    <cfRule type="cellIs" dxfId="1" priority="237" stopIfTrue="1" operator="greaterThan">
      <formula>(DH849+DH850+DH851)*(1+$B$859)</formula>
    </cfRule>
  </conditionalFormatting>
  <conditionalFormatting sqref="DH852">
    <cfRule type="cellIs" dxfId="0" priority="238" stopIfTrue="1" operator="lessThan">
      <formula>(DH849+DH850+DH851)*(1-$B$859)</formula>
    </cfRule>
  </conditionalFormatting>
  <conditionalFormatting sqref="DH857">
    <cfRule type="cellIs" dxfId="1" priority="239" stopIfTrue="1" operator="notBetween">
      <formula>(DH854+DH855+DH856)*(1+$B$859)</formula>
      <formula>(DH853+DH855+DH856)*(1-$B$859)</formula>
    </cfRule>
  </conditionalFormatting>
  <conditionalFormatting sqref="DH1226">
    <cfRule type="cellIs" dxfId="1" priority="240" stopIfTrue="1" operator="notBetween">
      <formula>(1-$A$1227)*DH1227</formula>
      <formula>(1+$A$1227)*DH1227</formula>
    </cfRule>
  </conditionalFormatting>
  <conditionalFormatting sqref="DH833">
    <cfRule type="cellIs" dxfId="0" priority="241" stopIfTrue="1" operator="greaterThan">
      <formula>DH745*(1+$B$814)</formula>
    </cfRule>
  </conditionalFormatting>
  <conditionalFormatting sqref="DH833">
    <cfRule type="cellIs" dxfId="1" priority="242" stopIfTrue="1" operator="lessThan">
      <formula>DH745*(1-$B$814)</formula>
    </cfRule>
  </conditionalFormatting>
  <conditionalFormatting sqref="DH825">
    <cfRule type="cellIs" dxfId="0" priority="243" stopIfTrue="1" operator="greaterThan">
      <formula>DH127*(1+$B$814)</formula>
    </cfRule>
  </conditionalFormatting>
  <conditionalFormatting sqref="DH825">
    <cfRule type="cellIs" dxfId="1" priority="244" stopIfTrue="1" operator="lessThan">
      <formula>DH127*(1-$B$814)</formula>
    </cfRule>
  </conditionalFormatting>
  <conditionalFormatting sqref="DH742">
    <cfRule type="cellIs" dxfId="0" priority="245" stopIfTrue="1" operator="greaterThan">
      <formula>DH499*(1+$B$814)</formula>
    </cfRule>
  </conditionalFormatting>
  <conditionalFormatting sqref="DH742">
    <cfRule type="cellIs" dxfId="1" priority="246" stopIfTrue="1" operator="lessThan">
      <formula>DH499*(1-$B$814)</formula>
    </cfRule>
  </conditionalFormatting>
  <conditionalFormatting sqref="DH763">
    <cfRule type="cellIs" dxfId="0" priority="247" stopIfTrue="1" operator="greaterThan">
      <formula>#REF!*(1+$B$814)</formula>
    </cfRule>
  </conditionalFormatting>
  <conditionalFormatting sqref="DH763">
    <cfRule type="cellIs" dxfId="1" priority="248" stopIfTrue="1" operator="lessThan">
      <formula>#REF!*(1-$B$814)</formula>
    </cfRule>
  </conditionalFormatting>
  <conditionalFormatting sqref="DH575">
    <cfRule type="cellIs" dxfId="0" priority="249" stopIfTrue="1" operator="greaterThan">
      <formula>#REF!*(1+$B$814)</formula>
    </cfRule>
  </conditionalFormatting>
  <conditionalFormatting sqref="DH575">
    <cfRule type="cellIs" dxfId="1" priority="250" stopIfTrue="1" operator="lessThan">
      <formula>#REF!*(1-$B$814)</formula>
    </cfRule>
  </conditionalFormatting>
  <conditionalFormatting sqref="DH586:DH587">
    <cfRule type="cellIs" dxfId="0" priority="251" stopIfTrue="1" operator="greaterThan">
      <formula>DH18*(1+$B$814)</formula>
    </cfRule>
  </conditionalFormatting>
  <conditionalFormatting sqref="DH586:DH587">
    <cfRule type="cellIs" dxfId="1" priority="252" stopIfTrue="1" operator="lessThan">
      <formula>DH18*(1-$B$814)</formula>
    </cfRule>
  </conditionalFormatting>
  <conditionalFormatting sqref="DH649">
    <cfRule type="cellIs" dxfId="0" priority="253" stopIfTrue="1" operator="greaterThan">
      <formula>DH20*(1+$B$814)</formula>
    </cfRule>
  </conditionalFormatting>
  <conditionalFormatting sqref="DH649">
    <cfRule type="cellIs" dxfId="1" priority="254" stopIfTrue="1" operator="lessThan">
      <formula>DH20*(1-$B$814)</formula>
    </cfRule>
  </conditionalFormatting>
  <conditionalFormatting sqref="DH666:DH667">
    <cfRule type="cellIs" dxfId="0" priority="255" stopIfTrue="1" operator="greaterThan">
      <formula>DH506*(1+$B$814)</formula>
    </cfRule>
  </conditionalFormatting>
  <conditionalFormatting sqref="DH666:DH667">
    <cfRule type="cellIs" dxfId="1" priority="256" stopIfTrue="1" operator="lessThan">
      <formula>DH506*(1-$B$814)</formula>
    </cfRule>
  </conditionalFormatting>
  <conditionalFormatting sqref="EJ858:EL858">
    <cfRule type="cellIs" dxfId="0" priority="257" stopIfTrue="1" operator="greaterThan">
      <formula>EJ12*(1+$B$859)</formula>
    </cfRule>
  </conditionalFormatting>
  <conditionalFormatting sqref="EJ858:EL858">
    <cfRule type="cellIs" dxfId="1" priority="258" stopIfTrue="1" operator="lessThan">
      <formula>EJ12*(1-$B$859)</formula>
    </cfRule>
  </conditionalFormatting>
  <conditionalFormatting sqref="EJ519:EL519">
    <cfRule type="cellIs" dxfId="0" priority="259" stopIfTrue="1" operator="greaterThan">
      <formula>#REF!*(1+$B$814)</formula>
    </cfRule>
  </conditionalFormatting>
  <conditionalFormatting sqref="EJ519:EL519">
    <cfRule type="cellIs" dxfId="1" priority="260" stopIfTrue="1" operator="lessThan">
      <formula>#REF!*(1-$B$814)</formula>
    </cfRule>
  </conditionalFormatting>
  <conditionalFormatting sqref="EJ763:EL763">
    <cfRule type="cellIs" dxfId="0" priority="261" stopIfTrue="1" operator="greaterThan">
      <formula>#REF!*(1+$B$814)</formula>
    </cfRule>
  </conditionalFormatting>
  <conditionalFormatting sqref="EJ763:EL763">
    <cfRule type="cellIs" dxfId="1" priority="262" stopIfTrue="1" operator="lessThan">
      <formula>#REF!*(1-$B$814)</formula>
    </cfRule>
  </conditionalFormatting>
  <conditionalFormatting sqref="EJ733:EL733">
    <cfRule type="cellIs" dxfId="0" priority="263" stopIfTrue="1" operator="greaterThan">
      <formula>#REF!*(1+$B$814)</formula>
    </cfRule>
  </conditionalFormatting>
  <conditionalFormatting sqref="EJ733:EL733">
    <cfRule type="cellIs" dxfId="1" priority="264" stopIfTrue="1" operator="lessThan">
      <formula>#REF!*(1-$B$814)</formula>
    </cfRule>
  </conditionalFormatting>
  <conditionalFormatting sqref="EJ683:EL683">
    <cfRule type="cellIs" dxfId="0" priority="265" stopIfTrue="1" operator="greaterThan">
      <formula>#REF!*(1+$B$814)</formula>
    </cfRule>
  </conditionalFormatting>
  <conditionalFormatting sqref="EJ683:EL683">
    <cfRule type="cellIs" dxfId="1" priority="266" stopIfTrue="1" operator="lessThan">
      <formula>#REF!*(1-$B$814)</formula>
    </cfRule>
  </conditionalFormatting>
  <conditionalFormatting sqref="EJ657:EL657">
    <cfRule type="cellIs" dxfId="0" priority="267" stopIfTrue="1" operator="greaterThan">
      <formula>#REF!*(1+$B$814)</formula>
    </cfRule>
  </conditionalFormatting>
  <conditionalFormatting sqref="EJ657:EL657">
    <cfRule type="cellIs" dxfId="1" priority="268" stopIfTrue="1" operator="lessThan">
      <formula>#REF!*(1-$B$814)</formula>
    </cfRule>
  </conditionalFormatting>
  <conditionalFormatting sqref="EJ586:EL587">
    <cfRule type="cellIs" dxfId="0" priority="269" stopIfTrue="1" operator="greaterThan">
      <formula>EJ18*(1+$B$814)</formula>
    </cfRule>
  </conditionalFormatting>
  <conditionalFormatting sqref="EJ586:EL587">
    <cfRule type="cellIs" dxfId="1" priority="270" stopIfTrue="1" operator="lessThan">
      <formula>EJ18*(1-$B$814)</formula>
    </cfRule>
  </conditionalFormatting>
  <conditionalFormatting sqref="EJ852:EL852">
    <cfRule type="cellIs" dxfId="1" priority="271" stopIfTrue="1" operator="greaterThan">
      <formula>(EJ849+EJ850+EJ851)*(1+$B$859)</formula>
    </cfRule>
  </conditionalFormatting>
  <conditionalFormatting sqref="EJ852:EL852">
    <cfRule type="cellIs" dxfId="0" priority="272" stopIfTrue="1" operator="lessThan">
      <formula>(EJ849+EJ850+EJ851)*(1-$B$859)</formula>
    </cfRule>
  </conditionalFormatting>
  <conditionalFormatting sqref="EJ857:EL857">
    <cfRule type="cellIs" dxfId="1" priority="273" stopIfTrue="1" operator="notBetween">
      <formula>(EJ854+EJ855+EJ856)*(1+$B$859)</formula>
      <formula>(EJ853+EJ855+EJ856)*(1-$B$859)</formula>
    </cfRule>
  </conditionalFormatting>
  <conditionalFormatting sqref="EJ1226:EL1226">
    <cfRule type="cellIs" dxfId="1" priority="274" stopIfTrue="1" operator="notBetween">
      <formula>(1-$A$1227)*EJ1227</formula>
      <formula>(1+$A$1227)*EJ1227</formula>
    </cfRule>
  </conditionalFormatting>
  <conditionalFormatting sqref="EJ833:EL833">
    <cfRule type="cellIs" dxfId="0" priority="275" stopIfTrue="1" operator="greaterThan">
      <formula>EJ745*(1+$B$814)</formula>
    </cfRule>
  </conditionalFormatting>
  <conditionalFormatting sqref="EJ833:EL833">
    <cfRule type="cellIs" dxfId="1" priority="276" stopIfTrue="1" operator="lessThan">
      <formula>EJ745*(1-$B$814)</formula>
    </cfRule>
  </conditionalFormatting>
  <conditionalFormatting sqref="EJ825:EL825">
    <cfRule type="cellIs" dxfId="0" priority="277" stopIfTrue="1" operator="greaterThan">
      <formula>EJ127*(1+$B$814)</formula>
    </cfRule>
  </conditionalFormatting>
  <conditionalFormatting sqref="EJ825:EL825">
    <cfRule type="cellIs" dxfId="1" priority="278" stopIfTrue="1" operator="lessThan">
      <formula>EJ127*(1-$B$814)</formula>
    </cfRule>
  </conditionalFormatting>
  <conditionalFormatting sqref="EJ742:EL742">
    <cfRule type="cellIs" dxfId="0" priority="279" stopIfTrue="1" operator="greaterThan">
      <formula>EJ499*(1+$B$814)</formula>
    </cfRule>
  </conditionalFormatting>
  <conditionalFormatting sqref="EJ742:EL742">
    <cfRule type="cellIs" dxfId="1" priority="280" stopIfTrue="1" operator="lessThan">
      <formula>EJ499*(1-$B$814)</formula>
    </cfRule>
  </conditionalFormatting>
  <conditionalFormatting sqref="EJ606:EL606">
    <cfRule type="cellIs" dxfId="0" priority="281" stopIfTrue="1" operator="greaterThan">
      <formula>#REF!*(1+$B$814)</formula>
    </cfRule>
  </conditionalFormatting>
  <conditionalFormatting sqref="EJ606:EL606">
    <cfRule type="cellIs" dxfId="1" priority="282" stopIfTrue="1" operator="lessThan">
      <formula>#REF!*(1-$B$814)</formula>
    </cfRule>
  </conditionalFormatting>
  <conditionalFormatting sqref="EJ575:EL575">
    <cfRule type="cellIs" dxfId="0" priority="283" stopIfTrue="1" operator="greaterThan">
      <formula>#REF!*(1+$B$814)</formula>
    </cfRule>
  </conditionalFormatting>
  <conditionalFormatting sqref="EJ575:EL575">
    <cfRule type="cellIs" dxfId="1" priority="284" stopIfTrue="1" operator="lessThan">
      <formula>#REF!*(1-$B$814)</formula>
    </cfRule>
  </conditionalFormatting>
  <conditionalFormatting sqref="EJ666:EL667">
    <cfRule type="cellIs" dxfId="0" priority="285" stopIfTrue="1" operator="greaterThan">
      <formula>EJ506*(1+$B$814)</formula>
    </cfRule>
  </conditionalFormatting>
  <conditionalFormatting sqref="EJ666:EL667">
    <cfRule type="cellIs" dxfId="1" priority="286" stopIfTrue="1" operator="lessThan">
      <formula>EJ506*(1-$B$814)</formula>
    </cfRule>
  </conditionalFormatting>
  <conditionalFormatting sqref="EJ649:EL649">
    <cfRule type="cellIs" dxfId="0" priority="287" stopIfTrue="1" operator="greaterThan">
      <formula>EJ20*(1+$B$814)</formula>
    </cfRule>
  </conditionalFormatting>
  <conditionalFormatting sqref="EJ649:EL649">
    <cfRule type="cellIs" dxfId="1" priority="288" stopIfTrue="1" operator="lessThan">
      <formula>EJ20*(1-$B$814)</formula>
    </cfRule>
  </conditionalFormatting>
  <conditionalFormatting sqref="DQ763">
    <cfRule type="cellIs" dxfId="0" priority="289" stopIfTrue="1" operator="greaterThan">
      <formula>#REF!*(1+$B$814)</formula>
    </cfRule>
  </conditionalFormatting>
  <conditionalFormatting sqref="DQ763">
    <cfRule type="cellIs" dxfId="1" priority="290" stopIfTrue="1" operator="lessThan">
      <formula>#REF!*(1-$B$814)</formula>
    </cfRule>
  </conditionalFormatting>
  <conditionalFormatting sqref="DQ733">
    <cfRule type="cellIs" dxfId="0" priority="291" stopIfTrue="1" operator="greaterThan">
      <formula>#REF!*(1+$B$814)</formula>
    </cfRule>
  </conditionalFormatting>
  <conditionalFormatting sqref="DQ733">
    <cfRule type="cellIs" dxfId="1" priority="292" stopIfTrue="1" operator="lessThan">
      <formula>#REF!*(1-$B$814)</formula>
    </cfRule>
  </conditionalFormatting>
  <conditionalFormatting sqref="DQ683">
    <cfRule type="cellIs" dxfId="0" priority="293" stopIfTrue="1" operator="greaterThan">
      <formula>#REF!*(1+$B$814)</formula>
    </cfRule>
  </conditionalFormatting>
  <conditionalFormatting sqref="DQ683">
    <cfRule type="cellIs" dxfId="1" priority="294" stopIfTrue="1" operator="lessThan">
      <formula>#REF!*(1-$B$814)</formula>
    </cfRule>
  </conditionalFormatting>
  <conditionalFormatting sqref="DQ657">
    <cfRule type="cellIs" dxfId="0" priority="295" stopIfTrue="1" operator="greaterThan">
      <formula>#REF!*(1+$B$814)</formula>
    </cfRule>
  </conditionalFormatting>
  <conditionalFormatting sqref="DQ657">
    <cfRule type="cellIs" dxfId="1" priority="296" stopIfTrue="1" operator="lessThan">
      <formula>#REF!*(1-$B$814)</formula>
    </cfRule>
  </conditionalFormatting>
  <conditionalFormatting sqref="DQ586:DQ587">
    <cfRule type="cellIs" dxfId="0" priority="297" stopIfTrue="1" operator="greaterThan">
      <formula>DQ18*(1+$B$814)</formula>
    </cfRule>
  </conditionalFormatting>
  <conditionalFormatting sqref="DQ586:DQ587">
    <cfRule type="cellIs" dxfId="1" priority="298" stopIfTrue="1" operator="lessThan">
      <formula>DQ18*(1-$B$814)</formula>
    </cfRule>
  </conditionalFormatting>
  <conditionalFormatting sqref="DQ858">
    <cfRule type="cellIs" dxfId="0" priority="299" stopIfTrue="1" operator="greaterThan">
      <formula>DQ12*(1+$B$859)</formula>
    </cfRule>
  </conditionalFormatting>
  <conditionalFormatting sqref="DQ858">
    <cfRule type="cellIs" dxfId="1" priority="300" stopIfTrue="1" operator="lessThan">
      <formula>DQ12*(1-$B$859)</formula>
    </cfRule>
  </conditionalFormatting>
  <conditionalFormatting sqref="DQ852">
    <cfRule type="cellIs" dxfId="1" priority="301" stopIfTrue="1" operator="greaterThan">
      <formula>(DQ849+DQ850+DQ851)*(1+$B$859)</formula>
    </cfRule>
  </conditionalFormatting>
  <conditionalFormatting sqref="DQ852">
    <cfRule type="cellIs" dxfId="0" priority="302" stopIfTrue="1" operator="lessThan">
      <formula>(DQ849+DQ850+DQ851)*(1-$B$859)</formula>
    </cfRule>
  </conditionalFormatting>
  <conditionalFormatting sqref="DQ857">
    <cfRule type="cellIs" dxfId="1" priority="303" stopIfTrue="1" operator="notBetween">
      <formula>(DQ854+DQ855+DQ856)*(1+$B$859)</formula>
      <formula>(DQ853+DQ855+DQ856)*(1-$B$859)</formula>
    </cfRule>
  </conditionalFormatting>
  <conditionalFormatting sqref="DQ1226">
    <cfRule type="cellIs" dxfId="1" priority="304" stopIfTrue="1" operator="notBetween">
      <formula>(1-$A$1227)*DQ1227</formula>
      <formula>(1+$A$1227)*DQ1227</formula>
    </cfRule>
  </conditionalFormatting>
  <conditionalFormatting sqref="DQ833">
    <cfRule type="cellIs" dxfId="0" priority="305" stopIfTrue="1" operator="greaterThan">
      <formula>DQ745*(1+$B$814)</formula>
    </cfRule>
  </conditionalFormatting>
  <conditionalFormatting sqref="DQ833">
    <cfRule type="cellIs" dxfId="1" priority="306" stopIfTrue="1" operator="lessThan">
      <formula>DQ745*(1-$B$814)</formula>
    </cfRule>
  </conditionalFormatting>
  <conditionalFormatting sqref="DQ825">
    <cfRule type="cellIs" dxfId="0" priority="307" stopIfTrue="1" operator="greaterThan">
      <formula>DQ127*(1+$B$814)</formula>
    </cfRule>
  </conditionalFormatting>
  <conditionalFormatting sqref="DQ825">
    <cfRule type="cellIs" dxfId="1" priority="308" stopIfTrue="1" operator="lessThan">
      <formula>DQ127*(1-$B$814)</formula>
    </cfRule>
  </conditionalFormatting>
  <conditionalFormatting sqref="DQ742">
    <cfRule type="cellIs" dxfId="0" priority="309" stopIfTrue="1" operator="greaterThan">
      <formula>DQ499*(1+$B$814)</formula>
    </cfRule>
  </conditionalFormatting>
  <conditionalFormatting sqref="DQ742">
    <cfRule type="cellIs" dxfId="1" priority="310" stopIfTrue="1" operator="lessThan">
      <formula>DQ499*(1-$B$814)</formula>
    </cfRule>
  </conditionalFormatting>
  <conditionalFormatting sqref="DQ606">
    <cfRule type="cellIs" dxfId="0" priority="311" stopIfTrue="1" operator="greaterThan">
      <formula>#REF!*(1+$B$814)</formula>
    </cfRule>
  </conditionalFormatting>
  <conditionalFormatting sqref="DQ606">
    <cfRule type="cellIs" dxfId="1" priority="312" stopIfTrue="1" operator="lessThan">
      <formula>#REF!*(1-$B$814)</formula>
    </cfRule>
  </conditionalFormatting>
  <conditionalFormatting sqref="DQ575">
    <cfRule type="cellIs" dxfId="0" priority="313" stopIfTrue="1" operator="greaterThan">
      <formula>#REF!*(1+$B$814)</formula>
    </cfRule>
  </conditionalFormatting>
  <conditionalFormatting sqref="DQ575">
    <cfRule type="cellIs" dxfId="1" priority="314" stopIfTrue="1" operator="lessThan">
      <formula>#REF!*(1-$B$814)</formula>
    </cfRule>
  </conditionalFormatting>
  <conditionalFormatting sqref="DQ666:DQ667">
    <cfRule type="cellIs" dxfId="0" priority="315" stopIfTrue="1" operator="greaterThan">
      <formula>DQ506*(1+$B$814)</formula>
    </cfRule>
  </conditionalFormatting>
  <conditionalFormatting sqref="DQ666:DQ667">
    <cfRule type="cellIs" dxfId="1" priority="316" stopIfTrue="1" operator="lessThan">
      <formula>DQ506*(1-$B$814)</formula>
    </cfRule>
  </conditionalFormatting>
  <conditionalFormatting sqref="DQ649">
    <cfRule type="cellIs" dxfId="0" priority="317" stopIfTrue="1" operator="greaterThan">
      <formula>DQ20*(1+$B$814)</formula>
    </cfRule>
  </conditionalFormatting>
  <conditionalFormatting sqref="DQ649">
    <cfRule type="cellIs" dxfId="1" priority="318" stopIfTrue="1" operator="lessThan">
      <formula>DQ20*(1-$B$814)</formula>
    </cfRule>
  </conditionalFormatting>
  <conditionalFormatting sqref="EN858:EQ858">
    <cfRule type="cellIs" dxfId="0" priority="319" stopIfTrue="1" operator="greaterThan">
      <formula>EN12*(1+$B$859)</formula>
    </cfRule>
  </conditionalFormatting>
  <conditionalFormatting sqref="EN858:EQ858">
    <cfRule type="cellIs" dxfId="1" priority="320" stopIfTrue="1" operator="lessThan">
      <formula>EN12*(1-$B$859)</formula>
    </cfRule>
  </conditionalFormatting>
  <conditionalFormatting sqref="EN519:EQ519">
    <cfRule type="cellIs" dxfId="0" priority="321" stopIfTrue="1" operator="greaterThan">
      <formula>#REF!*(1+$B$814)</formula>
    </cfRule>
  </conditionalFormatting>
  <conditionalFormatting sqref="EN519:EQ519">
    <cfRule type="cellIs" dxfId="1" priority="322" stopIfTrue="1" operator="lessThan">
      <formula>#REF!*(1-$B$814)</formula>
    </cfRule>
  </conditionalFormatting>
  <conditionalFormatting sqref="EN763:EQ763">
    <cfRule type="cellIs" dxfId="0" priority="323" stopIfTrue="1" operator="greaterThan">
      <formula>#REF!*(1+$B$814)</formula>
    </cfRule>
  </conditionalFormatting>
  <conditionalFormatting sqref="EN763:EQ763">
    <cfRule type="cellIs" dxfId="1" priority="324" stopIfTrue="1" operator="lessThan">
      <formula>#REF!*(1-$B$814)</formula>
    </cfRule>
  </conditionalFormatting>
  <conditionalFormatting sqref="EN733:EQ733">
    <cfRule type="cellIs" dxfId="0" priority="325" stopIfTrue="1" operator="greaterThan">
      <formula>#REF!*(1+$B$814)</formula>
    </cfRule>
  </conditionalFormatting>
  <conditionalFormatting sqref="EN733:EQ733">
    <cfRule type="cellIs" dxfId="1" priority="326" stopIfTrue="1" operator="lessThan">
      <formula>#REF!*(1-$B$814)</formula>
    </cfRule>
  </conditionalFormatting>
  <conditionalFormatting sqref="EN683:EQ683">
    <cfRule type="cellIs" dxfId="0" priority="327" stopIfTrue="1" operator="greaterThan">
      <formula>#REF!*(1+$B$814)</formula>
    </cfRule>
  </conditionalFormatting>
  <conditionalFormatting sqref="EN683:EQ683">
    <cfRule type="cellIs" dxfId="1" priority="328" stopIfTrue="1" operator="lessThan">
      <formula>#REF!*(1-$B$814)</formula>
    </cfRule>
  </conditionalFormatting>
  <conditionalFormatting sqref="EN657:EQ657">
    <cfRule type="cellIs" dxfId="0" priority="329" stopIfTrue="1" operator="greaterThan">
      <formula>#REF!*(1+$B$814)</formula>
    </cfRule>
  </conditionalFormatting>
  <conditionalFormatting sqref="EN657:EQ657">
    <cfRule type="cellIs" dxfId="1" priority="330" stopIfTrue="1" operator="lessThan">
      <formula>#REF!*(1-$B$814)</formula>
    </cfRule>
  </conditionalFormatting>
  <conditionalFormatting sqref="EN586:EQ587">
    <cfRule type="cellIs" dxfId="0" priority="331" stopIfTrue="1" operator="greaterThan">
      <formula>EN18*(1+$B$814)</formula>
    </cfRule>
  </conditionalFormatting>
  <conditionalFormatting sqref="EN586:EQ587">
    <cfRule type="cellIs" dxfId="1" priority="332" stopIfTrue="1" operator="lessThan">
      <formula>EN18*(1-$B$814)</formula>
    </cfRule>
  </conditionalFormatting>
  <conditionalFormatting sqref="EN852:EQ852">
    <cfRule type="cellIs" dxfId="1" priority="333" stopIfTrue="1" operator="greaterThan">
      <formula>(EN849+EN850+EN851)*(1+$B$859)</formula>
    </cfRule>
  </conditionalFormatting>
  <conditionalFormatting sqref="EN852:EQ852">
    <cfRule type="cellIs" dxfId="0" priority="334" stopIfTrue="1" operator="lessThan">
      <formula>(EN849+EN850+EN851)*(1-$B$859)</formula>
    </cfRule>
  </conditionalFormatting>
  <conditionalFormatting sqref="EN857:EQ857">
    <cfRule type="cellIs" dxfId="1" priority="335" stopIfTrue="1" operator="notBetween">
      <formula>(EN854+EN855+EN856)*(1+$B$859)</formula>
      <formula>(EN853+EN855+EN856)*(1-$B$859)</formula>
    </cfRule>
  </conditionalFormatting>
  <conditionalFormatting sqref="EN1226:EQ1226">
    <cfRule type="cellIs" dxfId="1" priority="336" stopIfTrue="1" operator="notBetween">
      <formula>(1-$A$1227)*EN1227</formula>
      <formula>(1+$A$1227)*EN1227</formula>
    </cfRule>
  </conditionalFormatting>
  <conditionalFormatting sqref="EN833:EQ833">
    <cfRule type="cellIs" dxfId="0" priority="337" stopIfTrue="1" operator="greaterThan">
      <formula>EN745*(1+$B$814)</formula>
    </cfRule>
  </conditionalFormatting>
  <conditionalFormatting sqref="EN833:EQ833">
    <cfRule type="cellIs" dxfId="1" priority="338" stopIfTrue="1" operator="lessThan">
      <formula>EN745*(1-$B$814)</formula>
    </cfRule>
  </conditionalFormatting>
  <conditionalFormatting sqref="EN825:EQ825">
    <cfRule type="cellIs" dxfId="0" priority="339" stopIfTrue="1" operator="greaterThan">
      <formula>EN127*(1+$B$814)</formula>
    </cfRule>
  </conditionalFormatting>
  <conditionalFormatting sqref="EN825:EQ825">
    <cfRule type="cellIs" dxfId="1" priority="340" stopIfTrue="1" operator="lessThan">
      <formula>EN127*(1-$B$814)</formula>
    </cfRule>
  </conditionalFormatting>
  <conditionalFormatting sqref="EN742:EQ742">
    <cfRule type="cellIs" dxfId="0" priority="341" stopIfTrue="1" operator="greaterThan">
      <formula>EN499*(1+$B$814)</formula>
    </cfRule>
  </conditionalFormatting>
  <conditionalFormatting sqref="EN742:EQ742">
    <cfRule type="cellIs" dxfId="1" priority="342" stopIfTrue="1" operator="lessThan">
      <formula>EN499*(1-$B$814)</formula>
    </cfRule>
  </conditionalFormatting>
  <conditionalFormatting sqref="EN606:EQ606">
    <cfRule type="cellIs" dxfId="0" priority="343" stopIfTrue="1" operator="greaterThan">
      <formula>#REF!*(1+$B$814)</formula>
    </cfRule>
  </conditionalFormatting>
  <conditionalFormatting sqref="EN606:EQ606">
    <cfRule type="cellIs" dxfId="1" priority="344" stopIfTrue="1" operator="lessThan">
      <formula>#REF!*(1-$B$814)</formula>
    </cfRule>
  </conditionalFormatting>
  <conditionalFormatting sqref="EN575:EQ575">
    <cfRule type="cellIs" dxfId="0" priority="345" stopIfTrue="1" operator="greaterThan">
      <formula>#REF!*(1+$B$814)</formula>
    </cfRule>
  </conditionalFormatting>
  <conditionalFormatting sqref="EN575:EQ575">
    <cfRule type="cellIs" dxfId="1" priority="346" stopIfTrue="1" operator="lessThan">
      <formula>#REF!*(1-$B$814)</formula>
    </cfRule>
  </conditionalFormatting>
  <conditionalFormatting sqref="EN666:EQ667">
    <cfRule type="cellIs" dxfId="0" priority="347" stopIfTrue="1" operator="greaterThan">
      <formula>EN506*(1+$B$814)</formula>
    </cfRule>
  </conditionalFormatting>
  <conditionalFormatting sqref="EN666:EQ667">
    <cfRule type="cellIs" dxfId="1" priority="348" stopIfTrue="1" operator="lessThan">
      <formula>EN506*(1-$B$814)</formula>
    </cfRule>
  </conditionalFormatting>
  <conditionalFormatting sqref="EN649:EQ649">
    <cfRule type="cellIs" dxfId="0" priority="349" stopIfTrue="1" operator="greaterThan">
      <formula>EN20*(1+$B$814)</formula>
    </cfRule>
  </conditionalFormatting>
  <conditionalFormatting sqref="EN649:EQ649">
    <cfRule type="cellIs" dxfId="1" priority="350" stopIfTrue="1" operator="lessThan">
      <formula>EN20*(1-$B$814)</formula>
    </cfRule>
  </conditionalFormatting>
  <conditionalFormatting sqref="DR519">
    <cfRule type="cellIs" dxfId="0" priority="351" stopIfTrue="1" operator="greaterThan">
      <formula>#REF!*(1+$B$814)</formula>
    </cfRule>
  </conditionalFormatting>
  <conditionalFormatting sqref="DR519">
    <cfRule type="cellIs" dxfId="1" priority="352" stopIfTrue="1" operator="lessThan">
      <formula>#REF!*(1-$B$814)</formula>
    </cfRule>
  </conditionalFormatting>
  <conditionalFormatting sqref="DR763">
    <cfRule type="cellIs" dxfId="0" priority="353" stopIfTrue="1" operator="greaterThan">
      <formula>#REF!*(1+$B$814)</formula>
    </cfRule>
  </conditionalFormatting>
  <conditionalFormatting sqref="DR763">
    <cfRule type="cellIs" dxfId="1" priority="354" stopIfTrue="1" operator="lessThan">
      <formula>#REF!*(1-$B$814)</formula>
    </cfRule>
  </conditionalFormatting>
  <conditionalFormatting sqref="DR733">
    <cfRule type="cellIs" dxfId="0" priority="355" stopIfTrue="1" operator="greaterThan">
      <formula>#REF!*(1+$B$814)</formula>
    </cfRule>
  </conditionalFormatting>
  <conditionalFormatting sqref="DR733">
    <cfRule type="cellIs" dxfId="1" priority="356" stopIfTrue="1" operator="lessThan">
      <formula>#REF!*(1-$B$814)</formula>
    </cfRule>
  </conditionalFormatting>
  <conditionalFormatting sqref="DR683">
    <cfRule type="cellIs" dxfId="0" priority="357" stopIfTrue="1" operator="greaterThan">
      <formula>#REF!*(1+$B$814)</formula>
    </cfRule>
  </conditionalFormatting>
  <conditionalFormatting sqref="DR683">
    <cfRule type="cellIs" dxfId="1" priority="358" stopIfTrue="1" operator="lessThan">
      <formula>#REF!*(1-$B$814)</formula>
    </cfRule>
  </conditionalFormatting>
  <conditionalFormatting sqref="DR657">
    <cfRule type="cellIs" dxfId="0" priority="359" stopIfTrue="1" operator="greaterThan">
      <formula>#REF!*(1+$B$814)</formula>
    </cfRule>
  </conditionalFormatting>
  <conditionalFormatting sqref="DR657">
    <cfRule type="cellIs" dxfId="1" priority="360" stopIfTrue="1" operator="lessThan">
      <formula>#REF!*(1-$B$814)</formula>
    </cfRule>
  </conditionalFormatting>
  <conditionalFormatting sqref="DR586:DR587">
    <cfRule type="cellIs" dxfId="0" priority="361" stopIfTrue="1" operator="greaterThan">
      <formula>DR18*(1+$B$814)</formula>
    </cfRule>
  </conditionalFormatting>
  <conditionalFormatting sqref="DR586:DR587">
    <cfRule type="cellIs" dxfId="1" priority="362" stopIfTrue="1" operator="lessThan">
      <formula>DR18*(1-$B$814)</formula>
    </cfRule>
  </conditionalFormatting>
  <conditionalFormatting sqref="DR858">
    <cfRule type="cellIs" dxfId="0" priority="363" stopIfTrue="1" operator="greaterThan">
      <formula>DR12*(1+$B$859)</formula>
    </cfRule>
  </conditionalFormatting>
  <conditionalFormatting sqref="DR858">
    <cfRule type="cellIs" dxfId="1" priority="364" stopIfTrue="1" operator="lessThan">
      <formula>DR12*(1-$B$859)</formula>
    </cfRule>
  </conditionalFormatting>
  <conditionalFormatting sqref="DR852">
    <cfRule type="cellIs" dxfId="1" priority="365" stopIfTrue="1" operator="greaterThan">
      <formula>(DR849+DR850+DR851)*(1+$B$859)</formula>
    </cfRule>
  </conditionalFormatting>
  <conditionalFormatting sqref="DR852">
    <cfRule type="cellIs" dxfId="0" priority="366" stopIfTrue="1" operator="lessThan">
      <formula>(DR849+DR850+DR851)*(1-$B$859)</formula>
    </cfRule>
  </conditionalFormatting>
  <conditionalFormatting sqref="DR857">
    <cfRule type="cellIs" dxfId="1" priority="367" stopIfTrue="1" operator="notBetween">
      <formula>(DR854+DR855+DR856)*(1+$B$859)</formula>
      <formula>(DR853+DR855+DR856)*(1-$B$859)</formula>
    </cfRule>
  </conditionalFormatting>
  <conditionalFormatting sqref="DR1226">
    <cfRule type="cellIs" dxfId="1" priority="368" stopIfTrue="1" operator="notBetween">
      <formula>(1-$A$1227)*DR1227</formula>
      <formula>(1+$A$1227)*DR1227</formula>
    </cfRule>
  </conditionalFormatting>
  <conditionalFormatting sqref="DR833">
    <cfRule type="cellIs" dxfId="0" priority="369" stopIfTrue="1" operator="greaterThan">
      <formula>DR745*(1+$B$814)</formula>
    </cfRule>
  </conditionalFormatting>
  <conditionalFormatting sqref="DR833">
    <cfRule type="cellIs" dxfId="1" priority="370" stopIfTrue="1" operator="lessThan">
      <formula>DR745*(1-$B$814)</formula>
    </cfRule>
  </conditionalFormatting>
  <conditionalFormatting sqref="DR825">
    <cfRule type="cellIs" dxfId="0" priority="371" stopIfTrue="1" operator="greaterThan">
      <formula>DR127*(1+$B$814)</formula>
    </cfRule>
  </conditionalFormatting>
  <conditionalFormatting sqref="DR825">
    <cfRule type="cellIs" dxfId="1" priority="372" stopIfTrue="1" operator="lessThan">
      <formula>DR127*(1-$B$814)</formula>
    </cfRule>
  </conditionalFormatting>
  <conditionalFormatting sqref="DR742">
    <cfRule type="cellIs" dxfId="0" priority="373" stopIfTrue="1" operator="greaterThan">
      <formula>DR499*(1+$B$814)</formula>
    </cfRule>
  </conditionalFormatting>
  <conditionalFormatting sqref="DR742">
    <cfRule type="cellIs" dxfId="1" priority="374" stopIfTrue="1" operator="lessThan">
      <formula>DR499*(1-$B$814)</formula>
    </cfRule>
  </conditionalFormatting>
  <conditionalFormatting sqref="DR606">
    <cfRule type="cellIs" dxfId="0" priority="375" stopIfTrue="1" operator="greaterThan">
      <formula>#REF!*(1+$B$814)</formula>
    </cfRule>
  </conditionalFormatting>
  <conditionalFormatting sqref="DR606">
    <cfRule type="cellIs" dxfId="1" priority="376" stopIfTrue="1" operator="lessThan">
      <formula>#REF!*(1-$B$814)</formula>
    </cfRule>
  </conditionalFormatting>
  <conditionalFormatting sqref="DR575">
    <cfRule type="cellIs" dxfId="0" priority="377" stopIfTrue="1" operator="greaterThan">
      <formula>#REF!*(1+$B$814)</formula>
    </cfRule>
  </conditionalFormatting>
  <conditionalFormatting sqref="DR575">
    <cfRule type="cellIs" dxfId="1" priority="378" stopIfTrue="1" operator="lessThan">
      <formula>#REF!*(1-$B$814)</formula>
    </cfRule>
  </conditionalFormatting>
  <conditionalFormatting sqref="DR666:DR667">
    <cfRule type="cellIs" dxfId="0" priority="379" stopIfTrue="1" operator="greaterThan">
      <formula>DR506*(1+$B$814)</formula>
    </cfRule>
  </conditionalFormatting>
  <conditionalFormatting sqref="DR666:DR667">
    <cfRule type="cellIs" dxfId="1" priority="380" stopIfTrue="1" operator="lessThan">
      <formula>DR506*(1-$B$814)</formula>
    </cfRule>
  </conditionalFormatting>
  <conditionalFormatting sqref="DR649">
    <cfRule type="cellIs" dxfId="0" priority="381" stopIfTrue="1" operator="greaterThan">
      <formula>DR20*(1+$B$814)</formula>
    </cfRule>
  </conditionalFormatting>
  <conditionalFormatting sqref="DR649">
    <cfRule type="cellIs" dxfId="1" priority="382" stopIfTrue="1" operator="lessThan">
      <formula>DR20*(1-$B$814)</formula>
    </cfRule>
  </conditionalFormatting>
  <conditionalFormatting sqref="DT763">
    <cfRule type="cellIs" dxfId="0" priority="383" stopIfTrue="1" operator="greaterThan">
      <formula>#REF!*(1+$B$814)</formula>
    </cfRule>
  </conditionalFormatting>
  <conditionalFormatting sqref="DT763">
    <cfRule type="cellIs" dxfId="1" priority="384" stopIfTrue="1" operator="lessThan">
      <formula>#REF!*(1-$B$814)</formula>
    </cfRule>
  </conditionalFormatting>
  <conditionalFormatting sqref="DT733">
    <cfRule type="cellIs" dxfId="0" priority="385" stopIfTrue="1" operator="greaterThan">
      <formula>#REF!*(1+$B$814)</formula>
    </cfRule>
  </conditionalFormatting>
  <conditionalFormatting sqref="DT733">
    <cfRule type="cellIs" dxfId="1" priority="386" stopIfTrue="1" operator="lessThan">
      <formula>#REF!*(1-$B$814)</formula>
    </cfRule>
  </conditionalFormatting>
  <conditionalFormatting sqref="DT683">
    <cfRule type="cellIs" dxfId="0" priority="387" stopIfTrue="1" operator="greaterThan">
      <formula>#REF!*(1+$B$814)</formula>
    </cfRule>
  </conditionalFormatting>
  <conditionalFormatting sqref="DT683">
    <cfRule type="cellIs" dxfId="1" priority="388" stopIfTrue="1" operator="lessThan">
      <formula>#REF!*(1-$B$814)</formula>
    </cfRule>
  </conditionalFormatting>
  <conditionalFormatting sqref="DT657">
    <cfRule type="cellIs" dxfId="0" priority="389" stopIfTrue="1" operator="greaterThan">
      <formula>#REF!*(1+$B$814)</formula>
    </cfRule>
  </conditionalFormatting>
  <conditionalFormatting sqref="DT657">
    <cfRule type="cellIs" dxfId="1" priority="390" stopIfTrue="1" operator="lessThan">
      <formula>#REF!*(1-$B$814)</formula>
    </cfRule>
  </conditionalFormatting>
  <conditionalFormatting sqref="DT586:DT587">
    <cfRule type="cellIs" dxfId="0" priority="391" stopIfTrue="1" operator="greaterThan">
      <formula>DT18*(1+$B$814)</formula>
    </cfRule>
  </conditionalFormatting>
  <conditionalFormatting sqref="DT586:DT587">
    <cfRule type="cellIs" dxfId="1" priority="392" stopIfTrue="1" operator="lessThan">
      <formula>DT18*(1-$B$814)</formula>
    </cfRule>
  </conditionalFormatting>
  <conditionalFormatting sqref="DT858">
    <cfRule type="cellIs" dxfId="0" priority="393" stopIfTrue="1" operator="greaterThan">
      <formula>DT12*(1+$B$859)</formula>
    </cfRule>
  </conditionalFormatting>
  <conditionalFormatting sqref="DT858">
    <cfRule type="cellIs" dxfId="1" priority="394" stopIfTrue="1" operator="lessThan">
      <formula>DT12*(1-$B$859)</formula>
    </cfRule>
  </conditionalFormatting>
  <conditionalFormatting sqref="DT852">
    <cfRule type="cellIs" dxfId="1" priority="395" stopIfTrue="1" operator="greaterThan">
      <formula>(DT849+DT850+DT851)*(1+$B$859)</formula>
    </cfRule>
  </conditionalFormatting>
  <conditionalFormatting sqref="DT852">
    <cfRule type="cellIs" dxfId="0" priority="396" stopIfTrue="1" operator="lessThan">
      <formula>(DT849+DT850+DT851)*(1-$B$859)</formula>
    </cfRule>
  </conditionalFormatting>
  <conditionalFormatting sqref="DT857">
    <cfRule type="cellIs" dxfId="1" priority="397" stopIfTrue="1" operator="notBetween">
      <formula>(DT854+DT855+DT856)*(1+$B$859)</formula>
      <formula>(DT853+DT855+DT856)*(1-$B$859)</formula>
    </cfRule>
  </conditionalFormatting>
  <conditionalFormatting sqref="DT1226">
    <cfRule type="cellIs" dxfId="1" priority="398" stopIfTrue="1" operator="notBetween">
      <formula>(1-$A$1227)*DT1227</formula>
      <formula>(1+$A$1227)*DT1227</formula>
    </cfRule>
  </conditionalFormatting>
  <conditionalFormatting sqref="DT833">
    <cfRule type="cellIs" dxfId="0" priority="399" stopIfTrue="1" operator="greaterThan">
      <formula>DT745*(1+$B$814)</formula>
    </cfRule>
  </conditionalFormatting>
  <conditionalFormatting sqref="DT833">
    <cfRule type="cellIs" dxfId="1" priority="400" stopIfTrue="1" operator="lessThan">
      <formula>DT745*(1-$B$814)</formula>
    </cfRule>
  </conditionalFormatting>
  <conditionalFormatting sqref="DT825">
    <cfRule type="cellIs" dxfId="0" priority="401" stopIfTrue="1" operator="greaterThan">
      <formula>DT127*(1+$B$814)</formula>
    </cfRule>
  </conditionalFormatting>
  <conditionalFormatting sqref="DT825">
    <cfRule type="cellIs" dxfId="1" priority="402" stopIfTrue="1" operator="lessThan">
      <formula>DT127*(1-$B$814)</formula>
    </cfRule>
  </conditionalFormatting>
  <conditionalFormatting sqref="DT742">
    <cfRule type="cellIs" dxfId="0" priority="403" stopIfTrue="1" operator="greaterThan">
      <formula>DT499*(1+$B$814)</formula>
    </cfRule>
  </conditionalFormatting>
  <conditionalFormatting sqref="DT742">
    <cfRule type="cellIs" dxfId="1" priority="404" stopIfTrue="1" operator="lessThan">
      <formula>DT499*(1-$B$814)</formula>
    </cfRule>
  </conditionalFormatting>
  <conditionalFormatting sqref="DT606">
    <cfRule type="cellIs" dxfId="0" priority="405" stopIfTrue="1" operator="greaterThan">
      <formula>#REF!*(1+$B$814)</formula>
    </cfRule>
  </conditionalFormatting>
  <conditionalFormatting sqref="DT606">
    <cfRule type="cellIs" dxfId="1" priority="406" stopIfTrue="1" operator="lessThan">
      <formula>#REF!*(1-$B$814)</formula>
    </cfRule>
  </conditionalFormatting>
  <conditionalFormatting sqref="DT575">
    <cfRule type="cellIs" dxfId="0" priority="407" stopIfTrue="1" operator="greaterThan">
      <formula>#REF!*(1+$B$814)</formula>
    </cfRule>
  </conditionalFormatting>
  <conditionalFormatting sqref="DT575">
    <cfRule type="cellIs" dxfId="1" priority="408" stopIfTrue="1" operator="lessThan">
      <formula>#REF!*(1-$B$814)</formula>
    </cfRule>
  </conditionalFormatting>
  <conditionalFormatting sqref="DT666:DT667">
    <cfRule type="cellIs" dxfId="0" priority="409" stopIfTrue="1" operator="greaterThan">
      <formula>DT506*(1+$B$814)</formula>
    </cfRule>
  </conditionalFormatting>
  <conditionalFormatting sqref="DT666:DT667">
    <cfRule type="cellIs" dxfId="1" priority="410" stopIfTrue="1" operator="lessThan">
      <formula>DT506*(1-$B$814)</formula>
    </cfRule>
  </conditionalFormatting>
  <conditionalFormatting sqref="DT649">
    <cfRule type="cellIs" dxfId="0" priority="411" stopIfTrue="1" operator="greaterThan">
      <formula>DT20*(1+$B$814)</formula>
    </cfRule>
  </conditionalFormatting>
  <conditionalFormatting sqref="DT649">
    <cfRule type="cellIs" dxfId="1" priority="412" stopIfTrue="1" operator="lessThan">
      <formula>DT20*(1-$B$814)</formula>
    </cfRule>
  </conditionalFormatting>
  <conditionalFormatting sqref="DU519">
    <cfRule type="cellIs" dxfId="0" priority="413" stopIfTrue="1" operator="greaterThan">
      <formula>#REF!*(1+$B$814)</formula>
    </cfRule>
  </conditionalFormatting>
  <conditionalFormatting sqref="DU519">
    <cfRule type="cellIs" dxfId="1" priority="414" stopIfTrue="1" operator="lessThan">
      <formula>#REF!*(1-$B$814)</formula>
    </cfRule>
  </conditionalFormatting>
  <conditionalFormatting sqref="DU763">
    <cfRule type="cellIs" dxfId="0" priority="415" stopIfTrue="1" operator="greaterThan">
      <formula>#REF!*(1+$B$814)</formula>
    </cfRule>
  </conditionalFormatting>
  <conditionalFormatting sqref="DU763">
    <cfRule type="cellIs" dxfId="1" priority="416" stopIfTrue="1" operator="lessThan">
      <formula>#REF!*(1-$B$814)</formula>
    </cfRule>
  </conditionalFormatting>
  <conditionalFormatting sqref="DU733">
    <cfRule type="cellIs" dxfId="0" priority="417" stopIfTrue="1" operator="greaterThan">
      <formula>#REF!*(1+$B$814)</formula>
    </cfRule>
  </conditionalFormatting>
  <conditionalFormatting sqref="DU733">
    <cfRule type="cellIs" dxfId="1" priority="418" stopIfTrue="1" operator="lessThan">
      <formula>#REF!*(1-$B$814)</formula>
    </cfRule>
  </conditionalFormatting>
  <conditionalFormatting sqref="DU683">
    <cfRule type="cellIs" dxfId="0" priority="419" stopIfTrue="1" operator="greaterThan">
      <formula>#REF!*(1+$B$814)</formula>
    </cfRule>
  </conditionalFormatting>
  <conditionalFormatting sqref="DU683">
    <cfRule type="cellIs" dxfId="1" priority="420" stopIfTrue="1" operator="lessThan">
      <formula>#REF!*(1-$B$814)</formula>
    </cfRule>
  </conditionalFormatting>
  <conditionalFormatting sqref="DU657">
    <cfRule type="cellIs" dxfId="0" priority="421" stopIfTrue="1" operator="greaterThan">
      <formula>#REF!*(1+$B$814)</formula>
    </cfRule>
  </conditionalFormatting>
  <conditionalFormatting sqref="DU657">
    <cfRule type="cellIs" dxfId="1" priority="422" stopIfTrue="1" operator="lessThan">
      <formula>#REF!*(1-$B$814)</formula>
    </cfRule>
  </conditionalFormatting>
  <conditionalFormatting sqref="DU586:DU587">
    <cfRule type="cellIs" dxfId="0" priority="423" stopIfTrue="1" operator="greaterThan">
      <formula>DU18*(1+$B$814)</formula>
    </cfRule>
  </conditionalFormatting>
  <conditionalFormatting sqref="DU586:DU587">
    <cfRule type="cellIs" dxfId="1" priority="424" stopIfTrue="1" operator="lessThan">
      <formula>DU18*(1-$B$814)</formula>
    </cfRule>
  </conditionalFormatting>
  <conditionalFormatting sqref="DU858">
    <cfRule type="cellIs" dxfId="0" priority="425" stopIfTrue="1" operator="greaterThan">
      <formula>DU12*(1+$B$859)</formula>
    </cfRule>
  </conditionalFormatting>
  <conditionalFormatting sqref="DU858">
    <cfRule type="cellIs" dxfId="1" priority="426" stopIfTrue="1" operator="lessThan">
      <formula>DU12*(1-$B$859)</formula>
    </cfRule>
  </conditionalFormatting>
  <conditionalFormatting sqref="DU852">
    <cfRule type="cellIs" dxfId="1" priority="427" stopIfTrue="1" operator="greaterThan">
      <formula>(DU849+DU850+DU851)*(1+$B$859)</formula>
    </cfRule>
  </conditionalFormatting>
  <conditionalFormatting sqref="DU852">
    <cfRule type="cellIs" dxfId="0" priority="428" stopIfTrue="1" operator="lessThan">
      <formula>(DU849+DU850+DU851)*(1-$B$859)</formula>
    </cfRule>
  </conditionalFormatting>
  <conditionalFormatting sqref="DU857">
    <cfRule type="cellIs" dxfId="1" priority="429" stopIfTrue="1" operator="notBetween">
      <formula>(DU854+DU855+DU856)*(1+$B$859)</formula>
      <formula>(DU853+DU855+DU856)*(1-$B$859)</formula>
    </cfRule>
  </conditionalFormatting>
  <conditionalFormatting sqref="DU1226">
    <cfRule type="cellIs" dxfId="1" priority="430" stopIfTrue="1" operator="notBetween">
      <formula>(1-$A$1227)*DU1227</formula>
      <formula>(1+$A$1227)*DU1227</formula>
    </cfRule>
  </conditionalFormatting>
  <conditionalFormatting sqref="DU833">
    <cfRule type="cellIs" dxfId="0" priority="431" stopIfTrue="1" operator="greaterThan">
      <formula>DU745*(1+$B$814)</formula>
    </cfRule>
  </conditionalFormatting>
  <conditionalFormatting sqref="DU833">
    <cfRule type="cellIs" dxfId="1" priority="432" stopIfTrue="1" operator="lessThan">
      <formula>DU745*(1-$B$814)</formula>
    </cfRule>
  </conditionalFormatting>
  <conditionalFormatting sqref="DU825">
    <cfRule type="cellIs" dxfId="0" priority="433" stopIfTrue="1" operator="greaterThan">
      <formula>DU127*(1+$B$814)</formula>
    </cfRule>
  </conditionalFormatting>
  <conditionalFormatting sqref="DU825">
    <cfRule type="cellIs" dxfId="1" priority="434" stopIfTrue="1" operator="lessThan">
      <formula>DU127*(1-$B$814)</formula>
    </cfRule>
  </conditionalFormatting>
  <conditionalFormatting sqref="DU742">
    <cfRule type="cellIs" dxfId="0" priority="435" stopIfTrue="1" operator="greaterThan">
      <formula>DU499*(1+$B$814)</formula>
    </cfRule>
  </conditionalFormatting>
  <conditionalFormatting sqref="DU742">
    <cfRule type="cellIs" dxfId="1" priority="436" stopIfTrue="1" operator="lessThan">
      <formula>DU499*(1-$B$814)</formula>
    </cfRule>
  </conditionalFormatting>
  <conditionalFormatting sqref="DU606">
    <cfRule type="cellIs" dxfId="0" priority="437" stopIfTrue="1" operator="greaterThan">
      <formula>#REF!*(1+$B$814)</formula>
    </cfRule>
  </conditionalFormatting>
  <conditionalFormatting sqref="DU606">
    <cfRule type="cellIs" dxfId="1" priority="438" stopIfTrue="1" operator="lessThan">
      <formula>#REF!*(1-$B$814)</formula>
    </cfRule>
  </conditionalFormatting>
  <conditionalFormatting sqref="DU575">
    <cfRule type="cellIs" dxfId="0" priority="439" stopIfTrue="1" operator="greaterThan">
      <formula>#REF!*(1+$B$814)</formula>
    </cfRule>
  </conditionalFormatting>
  <conditionalFormatting sqref="DU575">
    <cfRule type="cellIs" dxfId="1" priority="440" stopIfTrue="1" operator="lessThan">
      <formula>#REF!*(1-$B$814)</formula>
    </cfRule>
  </conditionalFormatting>
  <conditionalFormatting sqref="DU666:DU667">
    <cfRule type="cellIs" dxfId="0" priority="441" stopIfTrue="1" operator="greaterThan">
      <formula>DU506*(1+$B$814)</formula>
    </cfRule>
  </conditionalFormatting>
  <conditionalFormatting sqref="DU666:DU667">
    <cfRule type="cellIs" dxfId="1" priority="442" stopIfTrue="1" operator="lessThan">
      <formula>DU506*(1-$B$814)</formula>
    </cfRule>
  </conditionalFormatting>
  <conditionalFormatting sqref="DU649">
    <cfRule type="cellIs" dxfId="0" priority="443" stopIfTrue="1" operator="greaterThan">
      <formula>DU20*(1+$B$814)</formula>
    </cfRule>
  </conditionalFormatting>
  <conditionalFormatting sqref="DU649">
    <cfRule type="cellIs" dxfId="1" priority="444" stopIfTrue="1" operator="lessThan">
      <formula>DU20*(1-$B$814)</formula>
    </cfRule>
  </conditionalFormatting>
  <conditionalFormatting sqref="DV519">
    <cfRule type="cellIs" dxfId="0" priority="445" stopIfTrue="1" operator="greaterThan">
      <formula>#REF!*(1+$B$814)</formula>
    </cfRule>
  </conditionalFormatting>
  <conditionalFormatting sqref="DV519">
    <cfRule type="cellIs" dxfId="1" priority="446" stopIfTrue="1" operator="lessThan">
      <formula>#REF!*(1-$B$814)</formula>
    </cfRule>
  </conditionalFormatting>
  <conditionalFormatting sqref="DV763">
    <cfRule type="cellIs" dxfId="0" priority="447" stopIfTrue="1" operator="greaterThan">
      <formula>#REF!*(1+$B$814)</formula>
    </cfRule>
  </conditionalFormatting>
  <conditionalFormatting sqref="DV763">
    <cfRule type="cellIs" dxfId="1" priority="448" stopIfTrue="1" operator="lessThan">
      <formula>#REF!*(1-$B$814)</formula>
    </cfRule>
  </conditionalFormatting>
  <conditionalFormatting sqref="DV733">
    <cfRule type="cellIs" dxfId="0" priority="449" stopIfTrue="1" operator="greaterThan">
      <formula>#REF!*(1+$B$814)</formula>
    </cfRule>
  </conditionalFormatting>
  <conditionalFormatting sqref="DV733">
    <cfRule type="cellIs" dxfId="1" priority="450" stopIfTrue="1" operator="lessThan">
      <formula>#REF!*(1-$B$814)</formula>
    </cfRule>
  </conditionalFormatting>
  <conditionalFormatting sqref="DV683">
    <cfRule type="cellIs" dxfId="0" priority="451" stopIfTrue="1" operator="greaterThan">
      <formula>#REF!*(1+$B$814)</formula>
    </cfRule>
  </conditionalFormatting>
  <conditionalFormatting sqref="DV683">
    <cfRule type="cellIs" dxfId="1" priority="452" stopIfTrue="1" operator="lessThan">
      <formula>#REF!*(1-$B$814)</formula>
    </cfRule>
  </conditionalFormatting>
  <conditionalFormatting sqref="DV657">
    <cfRule type="cellIs" dxfId="0" priority="453" stopIfTrue="1" operator="greaterThan">
      <formula>#REF!*(1+$B$814)</formula>
    </cfRule>
  </conditionalFormatting>
  <conditionalFormatting sqref="DV657">
    <cfRule type="cellIs" dxfId="1" priority="454" stopIfTrue="1" operator="lessThan">
      <formula>#REF!*(1-$B$814)</formula>
    </cfRule>
  </conditionalFormatting>
  <conditionalFormatting sqref="DV586:DV587">
    <cfRule type="cellIs" dxfId="0" priority="455" stopIfTrue="1" operator="greaterThan">
      <formula>DV18*(1+$B$814)</formula>
    </cfRule>
  </conditionalFormatting>
  <conditionalFormatting sqref="DV586:DV587">
    <cfRule type="cellIs" dxfId="1" priority="456" stopIfTrue="1" operator="lessThan">
      <formula>DV18*(1-$B$814)</formula>
    </cfRule>
  </conditionalFormatting>
  <conditionalFormatting sqref="DV858">
    <cfRule type="cellIs" dxfId="0" priority="457" stopIfTrue="1" operator="greaterThan">
      <formula>DV12*(1+$B$859)</formula>
    </cfRule>
  </conditionalFormatting>
  <conditionalFormatting sqref="DV858">
    <cfRule type="cellIs" dxfId="1" priority="458" stopIfTrue="1" operator="lessThan">
      <formula>DV12*(1-$B$859)</formula>
    </cfRule>
  </conditionalFormatting>
  <conditionalFormatting sqref="DV852">
    <cfRule type="cellIs" dxfId="1" priority="459" stopIfTrue="1" operator="greaterThan">
      <formula>(DV849+DV850+DV851)*(1+$B$859)</formula>
    </cfRule>
  </conditionalFormatting>
  <conditionalFormatting sqref="DV852">
    <cfRule type="cellIs" dxfId="0" priority="460" stopIfTrue="1" operator="lessThan">
      <formula>(DV849+DV850+DV851)*(1-$B$859)</formula>
    </cfRule>
  </conditionalFormatting>
  <conditionalFormatting sqref="DV857">
    <cfRule type="cellIs" dxfId="1" priority="461" stopIfTrue="1" operator="notBetween">
      <formula>(DV854+DV855+DV856)*(1+$B$859)</formula>
      <formula>(DV853+DV855+DV856)*(1-$B$859)</formula>
    </cfRule>
  </conditionalFormatting>
  <conditionalFormatting sqref="DV1226">
    <cfRule type="cellIs" dxfId="1" priority="462" stopIfTrue="1" operator="notBetween">
      <formula>(1-$A$1227)*DV1227</formula>
      <formula>(1+$A$1227)*DV1227</formula>
    </cfRule>
  </conditionalFormatting>
  <conditionalFormatting sqref="DV833">
    <cfRule type="cellIs" dxfId="0" priority="463" stopIfTrue="1" operator="greaterThan">
      <formula>DV745*(1+$B$814)</formula>
    </cfRule>
  </conditionalFormatting>
  <conditionalFormatting sqref="DV833">
    <cfRule type="cellIs" dxfId="1" priority="464" stopIfTrue="1" operator="lessThan">
      <formula>DV745*(1-$B$814)</formula>
    </cfRule>
  </conditionalFormatting>
  <conditionalFormatting sqref="DV825">
    <cfRule type="cellIs" dxfId="0" priority="465" stopIfTrue="1" operator="greaterThan">
      <formula>DV127*(1+$B$814)</formula>
    </cfRule>
  </conditionalFormatting>
  <conditionalFormatting sqref="DV825">
    <cfRule type="cellIs" dxfId="1" priority="466" stopIfTrue="1" operator="lessThan">
      <formula>DV127*(1-$B$814)</formula>
    </cfRule>
  </conditionalFormatting>
  <conditionalFormatting sqref="DV742">
    <cfRule type="cellIs" dxfId="0" priority="467" stopIfTrue="1" operator="greaterThan">
      <formula>DV499*(1+$B$814)</formula>
    </cfRule>
  </conditionalFormatting>
  <conditionalFormatting sqref="DV742">
    <cfRule type="cellIs" dxfId="1" priority="468" stopIfTrue="1" operator="lessThan">
      <formula>DV499*(1-$B$814)</formula>
    </cfRule>
  </conditionalFormatting>
  <conditionalFormatting sqref="DV606">
    <cfRule type="cellIs" dxfId="0" priority="469" stopIfTrue="1" operator="greaterThan">
      <formula>#REF!*(1+$B$814)</formula>
    </cfRule>
  </conditionalFormatting>
  <conditionalFormatting sqref="DV606">
    <cfRule type="cellIs" dxfId="1" priority="470" stopIfTrue="1" operator="lessThan">
      <formula>#REF!*(1-$B$814)</formula>
    </cfRule>
  </conditionalFormatting>
  <conditionalFormatting sqref="DV575">
    <cfRule type="cellIs" dxfId="0" priority="471" stopIfTrue="1" operator="greaterThan">
      <formula>#REF!*(1+$B$814)</formula>
    </cfRule>
  </conditionalFormatting>
  <conditionalFormatting sqref="DV575">
    <cfRule type="cellIs" dxfId="1" priority="472" stopIfTrue="1" operator="lessThan">
      <formula>#REF!*(1-$B$814)</formula>
    </cfRule>
  </conditionalFormatting>
  <conditionalFormatting sqref="DV666:DV667">
    <cfRule type="cellIs" dxfId="0" priority="473" stopIfTrue="1" operator="greaterThan">
      <formula>DV506*(1+$B$814)</formula>
    </cfRule>
  </conditionalFormatting>
  <conditionalFormatting sqref="DV666:DV667">
    <cfRule type="cellIs" dxfId="1" priority="474" stopIfTrue="1" operator="lessThan">
      <formula>DV506*(1-$B$814)</formula>
    </cfRule>
  </conditionalFormatting>
  <conditionalFormatting sqref="DV649">
    <cfRule type="cellIs" dxfId="0" priority="475" stopIfTrue="1" operator="greaterThan">
      <formula>DV20*(1+$B$814)</formula>
    </cfRule>
  </conditionalFormatting>
  <conditionalFormatting sqref="DV649">
    <cfRule type="cellIs" dxfId="1" priority="476" stopIfTrue="1" operator="lessThan">
      <formula>DV20*(1-$B$814)</formula>
    </cfRule>
  </conditionalFormatting>
  <conditionalFormatting sqref="ES858:EV858">
    <cfRule type="cellIs" dxfId="0" priority="477" stopIfTrue="1" operator="greaterThan">
      <formula>ES12*(1+$B$859)</formula>
    </cfRule>
  </conditionalFormatting>
  <conditionalFormatting sqref="ES858:EV858">
    <cfRule type="cellIs" dxfId="1" priority="478" stopIfTrue="1" operator="lessThan">
      <formula>ES12*(1-$B$859)</formula>
    </cfRule>
  </conditionalFormatting>
  <conditionalFormatting sqref="ES519:EV519">
    <cfRule type="cellIs" dxfId="0" priority="479" stopIfTrue="1" operator="greaterThan">
      <formula>#REF!*(1+$B$814)</formula>
    </cfRule>
  </conditionalFormatting>
  <conditionalFormatting sqref="ES519:EV519">
    <cfRule type="cellIs" dxfId="1" priority="480" stopIfTrue="1" operator="lessThan">
      <formula>#REF!*(1-$B$814)</formula>
    </cfRule>
  </conditionalFormatting>
  <conditionalFormatting sqref="ES763:EV763">
    <cfRule type="cellIs" dxfId="0" priority="481" stopIfTrue="1" operator="greaterThan">
      <formula>#REF!*(1+$B$814)</formula>
    </cfRule>
  </conditionalFormatting>
  <conditionalFormatting sqref="ES763:EV763">
    <cfRule type="cellIs" dxfId="1" priority="482" stopIfTrue="1" operator="lessThan">
      <formula>#REF!*(1-$B$814)</formula>
    </cfRule>
  </conditionalFormatting>
  <conditionalFormatting sqref="ES733:EV733">
    <cfRule type="cellIs" dxfId="0" priority="483" stopIfTrue="1" operator="greaterThan">
      <formula>#REF!*(1+$B$814)</formula>
    </cfRule>
  </conditionalFormatting>
  <conditionalFormatting sqref="ES733:EV733">
    <cfRule type="cellIs" dxfId="1" priority="484" stopIfTrue="1" operator="lessThan">
      <formula>#REF!*(1-$B$814)</formula>
    </cfRule>
  </conditionalFormatting>
  <conditionalFormatting sqref="ES683:EV683">
    <cfRule type="cellIs" dxfId="0" priority="485" stopIfTrue="1" operator="greaterThan">
      <formula>#REF!*(1+$B$814)</formula>
    </cfRule>
  </conditionalFormatting>
  <conditionalFormatting sqref="ES683:EV683">
    <cfRule type="cellIs" dxfId="1" priority="486" stopIfTrue="1" operator="lessThan">
      <formula>#REF!*(1-$B$814)</formula>
    </cfRule>
  </conditionalFormatting>
  <conditionalFormatting sqref="ES657:EV657">
    <cfRule type="cellIs" dxfId="0" priority="487" stopIfTrue="1" operator="greaterThan">
      <formula>#REF!*(1+$B$814)</formula>
    </cfRule>
  </conditionalFormatting>
  <conditionalFormatting sqref="ES657:EV657">
    <cfRule type="cellIs" dxfId="1" priority="488" stopIfTrue="1" operator="lessThan">
      <formula>#REF!*(1-$B$814)</formula>
    </cfRule>
  </conditionalFormatting>
  <conditionalFormatting sqref="ES586:EV587">
    <cfRule type="cellIs" dxfId="0" priority="489" stopIfTrue="1" operator="greaterThan">
      <formula>ES18*(1+$B$814)</formula>
    </cfRule>
  </conditionalFormatting>
  <conditionalFormatting sqref="ES586:EV587">
    <cfRule type="cellIs" dxfId="1" priority="490" stopIfTrue="1" operator="lessThan">
      <formula>ES18*(1-$B$814)</formula>
    </cfRule>
  </conditionalFormatting>
  <conditionalFormatting sqref="ES852:EV852">
    <cfRule type="cellIs" dxfId="1" priority="491" stopIfTrue="1" operator="greaterThan">
      <formula>(ES849+ES850+ES851)*(1+$B$859)</formula>
    </cfRule>
  </conditionalFormatting>
  <conditionalFormatting sqref="ES852:EV852">
    <cfRule type="cellIs" dxfId="0" priority="492" stopIfTrue="1" operator="lessThan">
      <formula>(ES849+ES850+ES851)*(1-$B$859)</formula>
    </cfRule>
  </conditionalFormatting>
  <conditionalFormatting sqref="ES857:EV857">
    <cfRule type="cellIs" dxfId="1" priority="493" stopIfTrue="1" operator="notBetween">
      <formula>(ES854+ES855+ES856)*(1+$B$859)</formula>
      <formula>(ES853+ES855+ES856)*(1-$B$859)</formula>
    </cfRule>
  </conditionalFormatting>
  <conditionalFormatting sqref="ES1226:EV1226">
    <cfRule type="cellIs" dxfId="1" priority="494" stopIfTrue="1" operator="notBetween">
      <formula>(1-$A$1227)*ES1227</formula>
      <formula>(1+$A$1227)*ES1227</formula>
    </cfRule>
  </conditionalFormatting>
  <conditionalFormatting sqref="ES833:EV833">
    <cfRule type="cellIs" dxfId="0" priority="495" stopIfTrue="1" operator="greaterThan">
      <formula>ES745*(1+$B$814)</formula>
    </cfRule>
  </conditionalFormatting>
  <conditionalFormatting sqref="ES833:EV833">
    <cfRule type="cellIs" dxfId="1" priority="496" stopIfTrue="1" operator="lessThan">
      <formula>ES745*(1-$B$814)</formula>
    </cfRule>
  </conditionalFormatting>
  <conditionalFormatting sqref="ES825:EV825">
    <cfRule type="cellIs" dxfId="0" priority="497" stopIfTrue="1" operator="greaterThan">
      <formula>ES127*(1+$B$814)</formula>
    </cfRule>
  </conditionalFormatting>
  <conditionalFormatting sqref="ES825:EV825">
    <cfRule type="cellIs" dxfId="1" priority="498" stopIfTrue="1" operator="lessThan">
      <formula>ES127*(1-$B$814)</formula>
    </cfRule>
  </conditionalFormatting>
  <conditionalFormatting sqref="ES742:EV742">
    <cfRule type="cellIs" dxfId="0" priority="499" stopIfTrue="1" operator="greaterThan">
      <formula>ES499*(1+$B$814)</formula>
    </cfRule>
  </conditionalFormatting>
  <conditionalFormatting sqref="ES742:EV742">
    <cfRule type="cellIs" dxfId="1" priority="500" stopIfTrue="1" operator="lessThan">
      <formula>ES499*(1-$B$814)</formula>
    </cfRule>
  </conditionalFormatting>
  <conditionalFormatting sqref="ES606:EV606">
    <cfRule type="cellIs" dxfId="0" priority="501" stopIfTrue="1" operator="greaterThan">
      <formula>#REF!*(1+$B$814)</formula>
    </cfRule>
  </conditionalFormatting>
  <conditionalFormatting sqref="ES606:EV606">
    <cfRule type="cellIs" dxfId="1" priority="502" stopIfTrue="1" operator="lessThan">
      <formula>#REF!*(1-$B$814)</formula>
    </cfRule>
  </conditionalFormatting>
  <conditionalFormatting sqref="ES575:EV575">
    <cfRule type="cellIs" dxfId="0" priority="503" stopIfTrue="1" operator="greaterThan">
      <formula>#REF!*(1+$B$814)</formula>
    </cfRule>
  </conditionalFormatting>
  <conditionalFormatting sqref="ES575:EV575">
    <cfRule type="cellIs" dxfId="1" priority="504" stopIfTrue="1" operator="lessThan">
      <formula>#REF!*(1-$B$814)</formula>
    </cfRule>
  </conditionalFormatting>
  <conditionalFormatting sqref="ES666:EV667">
    <cfRule type="cellIs" dxfId="0" priority="505" stopIfTrue="1" operator="greaterThan">
      <formula>ES506*(1+$B$814)</formula>
    </cfRule>
  </conditionalFormatting>
  <conditionalFormatting sqref="ES666:EV667">
    <cfRule type="cellIs" dxfId="1" priority="506" stopIfTrue="1" operator="lessThan">
      <formula>ES506*(1-$B$814)</formula>
    </cfRule>
  </conditionalFormatting>
  <conditionalFormatting sqref="ES649:EV649">
    <cfRule type="cellIs" dxfId="0" priority="507" stopIfTrue="1" operator="greaterThan">
      <formula>ES20*(1+$B$814)</formula>
    </cfRule>
  </conditionalFormatting>
  <conditionalFormatting sqref="ES649:EV649">
    <cfRule type="cellIs" dxfId="1" priority="508" stopIfTrue="1" operator="lessThan">
      <formula>ES20*(1-$B$814)</formula>
    </cfRule>
  </conditionalFormatting>
  <conditionalFormatting sqref="DW519">
    <cfRule type="cellIs" dxfId="0" priority="509" stopIfTrue="1" operator="greaterThan">
      <formula>#REF!*(1+$B$814)</formula>
    </cfRule>
  </conditionalFormatting>
  <conditionalFormatting sqref="DW519">
    <cfRule type="cellIs" dxfId="1" priority="510" stopIfTrue="1" operator="lessThan">
      <formula>#REF!*(1-$B$814)</formula>
    </cfRule>
  </conditionalFormatting>
  <conditionalFormatting sqref="DW763">
    <cfRule type="cellIs" dxfId="0" priority="511" stopIfTrue="1" operator="greaterThan">
      <formula>#REF!*(1+$B$814)</formula>
    </cfRule>
  </conditionalFormatting>
  <conditionalFormatting sqref="DW763">
    <cfRule type="cellIs" dxfId="1" priority="512" stopIfTrue="1" operator="lessThan">
      <formula>#REF!*(1-$B$814)</formula>
    </cfRule>
  </conditionalFormatting>
  <conditionalFormatting sqref="DW733">
    <cfRule type="cellIs" dxfId="0" priority="513" stopIfTrue="1" operator="greaterThan">
      <formula>#REF!*(1+$B$814)</formula>
    </cfRule>
  </conditionalFormatting>
  <conditionalFormatting sqref="DW733">
    <cfRule type="cellIs" dxfId="1" priority="514" stopIfTrue="1" operator="lessThan">
      <formula>#REF!*(1-$B$814)</formula>
    </cfRule>
  </conditionalFormatting>
  <conditionalFormatting sqref="DW683">
    <cfRule type="cellIs" dxfId="0" priority="515" stopIfTrue="1" operator="greaterThan">
      <formula>#REF!*(1+$B$814)</formula>
    </cfRule>
  </conditionalFormatting>
  <conditionalFormatting sqref="DW683">
    <cfRule type="cellIs" dxfId="1" priority="516" stopIfTrue="1" operator="lessThan">
      <formula>#REF!*(1-$B$814)</formula>
    </cfRule>
  </conditionalFormatting>
  <conditionalFormatting sqref="DW657">
    <cfRule type="cellIs" dxfId="0" priority="517" stopIfTrue="1" operator="greaterThan">
      <formula>#REF!*(1+$B$814)</formula>
    </cfRule>
  </conditionalFormatting>
  <conditionalFormatting sqref="DW657">
    <cfRule type="cellIs" dxfId="1" priority="518" stopIfTrue="1" operator="lessThan">
      <formula>#REF!*(1-$B$814)</formula>
    </cfRule>
  </conditionalFormatting>
  <conditionalFormatting sqref="DW586:DW587">
    <cfRule type="cellIs" dxfId="0" priority="519" stopIfTrue="1" operator="greaterThan">
      <formula>DW18*(1+$B$814)</formula>
    </cfRule>
  </conditionalFormatting>
  <conditionalFormatting sqref="DW586:DW587">
    <cfRule type="cellIs" dxfId="1" priority="520" stopIfTrue="1" operator="lessThan">
      <formula>DW18*(1-$B$814)</formula>
    </cfRule>
  </conditionalFormatting>
  <conditionalFormatting sqref="DW858">
    <cfRule type="cellIs" dxfId="0" priority="521" stopIfTrue="1" operator="greaterThan">
      <formula>DW12*(1+$B$859)</formula>
    </cfRule>
  </conditionalFormatting>
  <conditionalFormatting sqref="DW858">
    <cfRule type="cellIs" dxfId="1" priority="522" stopIfTrue="1" operator="lessThan">
      <formula>DW12*(1-$B$859)</formula>
    </cfRule>
  </conditionalFormatting>
  <conditionalFormatting sqref="DW852">
    <cfRule type="cellIs" dxfId="1" priority="523" stopIfTrue="1" operator="greaterThan">
      <formula>(DW849+DW850+DW851)*(1+$B$859)</formula>
    </cfRule>
  </conditionalFormatting>
  <conditionalFormatting sqref="DW852">
    <cfRule type="cellIs" dxfId="0" priority="524" stopIfTrue="1" operator="lessThan">
      <formula>(DW849+DW850+DW851)*(1-$B$859)</formula>
    </cfRule>
  </conditionalFormatting>
  <conditionalFormatting sqref="DW857">
    <cfRule type="cellIs" dxfId="1" priority="525" stopIfTrue="1" operator="notBetween">
      <formula>(DW854+DW855+DW856)*(1+$B$859)</formula>
      <formula>(DW853+DW855+DW856)*(1-$B$859)</formula>
    </cfRule>
  </conditionalFormatting>
  <conditionalFormatting sqref="DW1226">
    <cfRule type="cellIs" dxfId="1" priority="526" stopIfTrue="1" operator="notBetween">
      <formula>(1-$A$1227)*DW1227</formula>
      <formula>(1+$A$1227)*DW1227</formula>
    </cfRule>
  </conditionalFormatting>
  <conditionalFormatting sqref="DW833">
    <cfRule type="cellIs" dxfId="0" priority="527" stopIfTrue="1" operator="greaterThan">
      <formula>DW745*(1+$B$814)</formula>
    </cfRule>
  </conditionalFormatting>
  <conditionalFormatting sqref="DW833">
    <cfRule type="cellIs" dxfId="1" priority="528" stopIfTrue="1" operator="lessThan">
      <formula>DW745*(1-$B$814)</formula>
    </cfRule>
  </conditionalFormatting>
  <conditionalFormatting sqref="DW825">
    <cfRule type="cellIs" dxfId="0" priority="529" stopIfTrue="1" operator="greaterThan">
      <formula>DW127*(1+$B$814)</formula>
    </cfRule>
  </conditionalFormatting>
  <conditionalFormatting sqref="DW825">
    <cfRule type="cellIs" dxfId="1" priority="530" stopIfTrue="1" operator="lessThan">
      <formula>DW127*(1-$B$814)</formula>
    </cfRule>
  </conditionalFormatting>
  <conditionalFormatting sqref="DW742">
    <cfRule type="cellIs" dxfId="0" priority="531" stopIfTrue="1" operator="greaterThan">
      <formula>DW499*(1+$B$814)</formula>
    </cfRule>
  </conditionalFormatting>
  <conditionalFormatting sqref="DW742">
    <cfRule type="cellIs" dxfId="1" priority="532" stopIfTrue="1" operator="lessThan">
      <formula>DW499*(1-$B$814)</formula>
    </cfRule>
  </conditionalFormatting>
  <conditionalFormatting sqref="DW606">
    <cfRule type="cellIs" dxfId="0" priority="533" stopIfTrue="1" operator="greaterThan">
      <formula>#REF!*(1+$B$814)</formula>
    </cfRule>
  </conditionalFormatting>
  <conditionalFormatting sqref="DW606">
    <cfRule type="cellIs" dxfId="1" priority="534" stopIfTrue="1" operator="lessThan">
      <formula>#REF!*(1-$B$814)</formula>
    </cfRule>
  </conditionalFormatting>
  <conditionalFormatting sqref="DW575">
    <cfRule type="cellIs" dxfId="0" priority="535" stopIfTrue="1" operator="greaterThan">
      <formula>#REF!*(1+$B$814)</formula>
    </cfRule>
  </conditionalFormatting>
  <conditionalFormatting sqref="DW575">
    <cfRule type="cellIs" dxfId="1" priority="536" stopIfTrue="1" operator="lessThan">
      <formula>#REF!*(1-$B$814)</formula>
    </cfRule>
  </conditionalFormatting>
  <conditionalFormatting sqref="DW666:DW667">
    <cfRule type="cellIs" dxfId="0" priority="537" stopIfTrue="1" operator="greaterThan">
      <formula>DW506*(1+$B$814)</formula>
    </cfRule>
  </conditionalFormatting>
  <conditionalFormatting sqref="DW666:DW667">
    <cfRule type="cellIs" dxfId="1" priority="538" stopIfTrue="1" operator="lessThan">
      <formula>DW506*(1-$B$814)</formula>
    </cfRule>
  </conditionalFormatting>
  <conditionalFormatting sqref="DW649">
    <cfRule type="cellIs" dxfId="0" priority="539" stopIfTrue="1" operator="greaterThan">
      <formula>DW20*(1+$B$814)</formula>
    </cfRule>
  </conditionalFormatting>
  <conditionalFormatting sqref="DW649">
    <cfRule type="cellIs" dxfId="1" priority="540" stopIfTrue="1" operator="lessThan">
      <formula>DW20*(1-$B$814)</formula>
    </cfRule>
  </conditionalFormatting>
  <conditionalFormatting sqref="EH519">
    <cfRule type="cellIs" dxfId="0" priority="541" stopIfTrue="1" operator="greaterThan">
      <formula>#REF!*(1+$B$814)</formula>
    </cfRule>
  </conditionalFormatting>
  <conditionalFormatting sqref="EH519">
    <cfRule type="cellIs" dxfId="1" priority="542" stopIfTrue="1" operator="lessThan">
      <formula>#REF!*(1-$B$814)</formula>
    </cfRule>
  </conditionalFormatting>
  <conditionalFormatting sqref="EH763">
    <cfRule type="cellIs" dxfId="0" priority="543" stopIfTrue="1" operator="greaterThan">
      <formula>#REF!*(1+$B$814)</formula>
    </cfRule>
  </conditionalFormatting>
  <conditionalFormatting sqref="EH763">
    <cfRule type="cellIs" dxfId="1" priority="544" stopIfTrue="1" operator="lessThan">
      <formula>#REF!*(1-$B$814)</formula>
    </cfRule>
  </conditionalFormatting>
  <conditionalFormatting sqref="EH733">
    <cfRule type="cellIs" dxfId="0" priority="545" stopIfTrue="1" operator="greaterThan">
      <formula>#REF!*(1+$B$814)</formula>
    </cfRule>
  </conditionalFormatting>
  <conditionalFormatting sqref="EH733">
    <cfRule type="cellIs" dxfId="1" priority="546" stopIfTrue="1" operator="lessThan">
      <formula>#REF!*(1-$B$814)</formula>
    </cfRule>
  </conditionalFormatting>
  <conditionalFormatting sqref="EH683">
    <cfRule type="cellIs" dxfId="0" priority="547" stopIfTrue="1" operator="greaterThan">
      <formula>#REF!*(1+$B$814)</formula>
    </cfRule>
  </conditionalFormatting>
  <conditionalFormatting sqref="EH683">
    <cfRule type="cellIs" dxfId="1" priority="548" stopIfTrue="1" operator="lessThan">
      <formula>#REF!*(1-$B$814)</formula>
    </cfRule>
  </conditionalFormatting>
  <conditionalFormatting sqref="EH657">
    <cfRule type="cellIs" dxfId="0" priority="549" stopIfTrue="1" operator="greaterThan">
      <formula>#REF!*(1+$B$814)</formula>
    </cfRule>
  </conditionalFormatting>
  <conditionalFormatting sqref="EH657">
    <cfRule type="cellIs" dxfId="1" priority="550" stopIfTrue="1" operator="lessThan">
      <formula>#REF!*(1-$B$814)</formula>
    </cfRule>
  </conditionalFormatting>
  <conditionalFormatting sqref="EH586:EH587">
    <cfRule type="cellIs" dxfId="0" priority="551" stopIfTrue="1" operator="greaterThan">
      <formula>EH18*(1+$B$814)</formula>
    </cfRule>
  </conditionalFormatting>
  <conditionalFormatting sqref="EH586:EH587">
    <cfRule type="cellIs" dxfId="1" priority="552" stopIfTrue="1" operator="lessThan">
      <formula>EH18*(1-$B$814)</formula>
    </cfRule>
  </conditionalFormatting>
  <conditionalFormatting sqref="EH858">
    <cfRule type="cellIs" dxfId="0" priority="553" stopIfTrue="1" operator="greaterThan">
      <formula>EH12*(1+$B$859)</formula>
    </cfRule>
  </conditionalFormatting>
  <conditionalFormatting sqref="EH858">
    <cfRule type="cellIs" dxfId="1" priority="554" stopIfTrue="1" operator="lessThan">
      <formula>EH12*(1-$B$859)</formula>
    </cfRule>
  </conditionalFormatting>
  <conditionalFormatting sqref="EH1226">
    <cfRule type="cellIs" dxfId="1" priority="555" stopIfTrue="1" operator="notBetween">
      <formula>(1-$A$1227)*EH1227</formula>
      <formula>(1+$A$1227)*EH1227</formula>
    </cfRule>
  </conditionalFormatting>
  <conditionalFormatting sqref="EH833">
    <cfRule type="cellIs" dxfId="0" priority="556" stopIfTrue="1" operator="greaterThan">
      <formula>EH745*(1+$B$814)</formula>
    </cfRule>
  </conditionalFormatting>
  <conditionalFormatting sqref="EH833">
    <cfRule type="cellIs" dxfId="1" priority="557" stopIfTrue="1" operator="lessThan">
      <formula>EH745*(1-$B$814)</formula>
    </cfRule>
  </conditionalFormatting>
  <conditionalFormatting sqref="EH825">
    <cfRule type="cellIs" dxfId="0" priority="558" stopIfTrue="1" operator="greaterThan">
      <formula>EH127*(1+$B$814)</formula>
    </cfRule>
  </conditionalFormatting>
  <conditionalFormatting sqref="EH825">
    <cfRule type="cellIs" dxfId="1" priority="559" stopIfTrue="1" operator="lessThan">
      <formula>EH127*(1-$B$814)</formula>
    </cfRule>
  </conditionalFormatting>
  <conditionalFormatting sqref="EH742">
    <cfRule type="cellIs" dxfId="0" priority="560" stopIfTrue="1" operator="greaterThan">
      <formula>EH499*(1+$B$814)</formula>
    </cfRule>
  </conditionalFormatting>
  <conditionalFormatting sqref="EH742">
    <cfRule type="cellIs" dxfId="1" priority="561" stopIfTrue="1" operator="lessThan">
      <formula>EH499*(1-$B$814)</formula>
    </cfRule>
  </conditionalFormatting>
  <conditionalFormatting sqref="EH606">
    <cfRule type="cellIs" dxfId="0" priority="562" stopIfTrue="1" operator="greaterThan">
      <formula>#REF!*(1+$B$814)</formula>
    </cfRule>
  </conditionalFormatting>
  <conditionalFormatting sqref="EH606">
    <cfRule type="cellIs" dxfId="1" priority="563" stopIfTrue="1" operator="lessThan">
      <formula>#REF!*(1-$B$814)</formula>
    </cfRule>
  </conditionalFormatting>
  <conditionalFormatting sqref="EH575">
    <cfRule type="cellIs" dxfId="0" priority="564" stopIfTrue="1" operator="greaterThan">
      <formula>#REF!*(1+$B$814)</formula>
    </cfRule>
  </conditionalFormatting>
  <conditionalFormatting sqref="EH575">
    <cfRule type="cellIs" dxfId="1" priority="565" stopIfTrue="1" operator="lessThan">
      <formula>#REF!*(1-$B$814)</formula>
    </cfRule>
  </conditionalFormatting>
  <conditionalFormatting sqref="EH666:EH667">
    <cfRule type="cellIs" dxfId="0" priority="566" stopIfTrue="1" operator="greaterThan">
      <formula>EH506*(1+$B$814)</formula>
    </cfRule>
  </conditionalFormatting>
  <conditionalFormatting sqref="EH666:EH667">
    <cfRule type="cellIs" dxfId="1" priority="567" stopIfTrue="1" operator="lessThan">
      <formula>EH506*(1-$B$814)</formula>
    </cfRule>
  </conditionalFormatting>
  <conditionalFormatting sqref="EH649">
    <cfRule type="cellIs" dxfId="0" priority="568" stopIfTrue="1" operator="greaterThan">
      <formula>EH20*(1+$B$814)</formula>
    </cfRule>
  </conditionalFormatting>
  <conditionalFormatting sqref="EH649">
    <cfRule type="cellIs" dxfId="1" priority="569" stopIfTrue="1" operator="lessThan">
      <formula>EH20*(1-$B$814)</formula>
    </cfRule>
  </conditionalFormatting>
  <conditionalFormatting sqref="EM519">
    <cfRule type="cellIs" dxfId="0" priority="570" stopIfTrue="1" operator="greaterThan">
      <formula>#REF!*(1+$B$814)</formula>
    </cfRule>
  </conditionalFormatting>
  <conditionalFormatting sqref="EM519">
    <cfRule type="cellIs" dxfId="1" priority="571" stopIfTrue="1" operator="lessThan">
      <formula>#REF!*(1-$B$814)</formula>
    </cfRule>
  </conditionalFormatting>
  <conditionalFormatting sqref="EM763">
    <cfRule type="cellIs" dxfId="0" priority="572" stopIfTrue="1" operator="greaterThan">
      <formula>#REF!*(1+$B$814)</formula>
    </cfRule>
  </conditionalFormatting>
  <conditionalFormatting sqref="EM763">
    <cfRule type="cellIs" dxfId="1" priority="573" stopIfTrue="1" operator="lessThan">
      <formula>#REF!*(1-$B$814)</formula>
    </cfRule>
  </conditionalFormatting>
  <conditionalFormatting sqref="EM733">
    <cfRule type="cellIs" dxfId="0" priority="574" stopIfTrue="1" operator="greaterThan">
      <formula>#REF!*(1+$B$814)</formula>
    </cfRule>
  </conditionalFormatting>
  <conditionalFormatting sqref="EM733">
    <cfRule type="cellIs" dxfId="1" priority="575" stopIfTrue="1" operator="lessThan">
      <formula>#REF!*(1-$B$814)</formula>
    </cfRule>
  </conditionalFormatting>
  <conditionalFormatting sqref="EM683">
    <cfRule type="cellIs" dxfId="0" priority="576" stopIfTrue="1" operator="greaterThan">
      <formula>#REF!*(1+$B$814)</formula>
    </cfRule>
  </conditionalFormatting>
  <conditionalFormatting sqref="EM683">
    <cfRule type="cellIs" dxfId="1" priority="577" stopIfTrue="1" operator="lessThan">
      <formula>#REF!*(1-$B$814)</formula>
    </cfRule>
  </conditionalFormatting>
  <conditionalFormatting sqref="EM657">
    <cfRule type="cellIs" dxfId="0" priority="578" stopIfTrue="1" operator="greaterThan">
      <formula>#REF!*(1+$B$814)</formula>
    </cfRule>
  </conditionalFormatting>
  <conditionalFormatting sqref="EM657">
    <cfRule type="cellIs" dxfId="1" priority="579" stopIfTrue="1" operator="lessThan">
      <formula>#REF!*(1-$B$814)</formula>
    </cfRule>
  </conditionalFormatting>
  <conditionalFormatting sqref="EM586:EM587">
    <cfRule type="cellIs" dxfId="0" priority="580" stopIfTrue="1" operator="greaterThan">
      <formula>EM18*(1+$B$814)</formula>
    </cfRule>
  </conditionalFormatting>
  <conditionalFormatting sqref="EM586:EM587">
    <cfRule type="cellIs" dxfId="1" priority="581" stopIfTrue="1" operator="lessThan">
      <formula>EM18*(1-$B$814)</formula>
    </cfRule>
  </conditionalFormatting>
  <conditionalFormatting sqref="EM858">
    <cfRule type="cellIs" dxfId="0" priority="582" stopIfTrue="1" operator="greaterThan">
      <formula>EM12*(1+$B$859)</formula>
    </cfRule>
  </conditionalFormatting>
  <conditionalFormatting sqref="EM858">
    <cfRule type="cellIs" dxfId="1" priority="583" stopIfTrue="1" operator="lessThan">
      <formula>EM12*(1-$B$859)</formula>
    </cfRule>
  </conditionalFormatting>
  <conditionalFormatting sqref="EM1226">
    <cfRule type="cellIs" dxfId="1" priority="584" stopIfTrue="1" operator="notBetween">
      <formula>(1-$A$1227)*EM1227</formula>
      <formula>(1+$A$1227)*EM1227</formula>
    </cfRule>
  </conditionalFormatting>
  <conditionalFormatting sqref="EM833">
    <cfRule type="cellIs" dxfId="0" priority="585" stopIfTrue="1" operator="greaterThan">
      <formula>EM745*(1+$B$814)</formula>
    </cfRule>
  </conditionalFormatting>
  <conditionalFormatting sqref="EM833">
    <cfRule type="cellIs" dxfId="1" priority="586" stopIfTrue="1" operator="lessThan">
      <formula>EM745*(1-$B$814)</formula>
    </cfRule>
  </conditionalFormatting>
  <conditionalFormatting sqref="EM825">
    <cfRule type="cellIs" dxfId="0" priority="587" stopIfTrue="1" operator="greaterThan">
      <formula>EM127*(1+$B$814)</formula>
    </cfRule>
  </conditionalFormatting>
  <conditionalFormatting sqref="EM825">
    <cfRule type="cellIs" dxfId="1" priority="588" stopIfTrue="1" operator="lessThan">
      <formula>EM127*(1-$B$814)</formula>
    </cfRule>
  </conditionalFormatting>
  <conditionalFormatting sqref="EM742">
    <cfRule type="cellIs" dxfId="0" priority="589" stopIfTrue="1" operator="greaterThan">
      <formula>EM499*(1+$B$814)</formula>
    </cfRule>
  </conditionalFormatting>
  <conditionalFormatting sqref="EM742">
    <cfRule type="cellIs" dxfId="1" priority="590" stopIfTrue="1" operator="lessThan">
      <formula>EM499*(1-$B$814)</formula>
    </cfRule>
  </conditionalFormatting>
  <conditionalFormatting sqref="EM606">
    <cfRule type="cellIs" dxfId="0" priority="591" stopIfTrue="1" operator="greaterThan">
      <formula>#REF!*(1+$B$814)</formula>
    </cfRule>
  </conditionalFormatting>
  <conditionalFormatting sqref="EM606">
    <cfRule type="cellIs" dxfId="1" priority="592" stopIfTrue="1" operator="lessThan">
      <formula>#REF!*(1-$B$814)</formula>
    </cfRule>
  </conditionalFormatting>
  <conditionalFormatting sqref="EM575">
    <cfRule type="cellIs" dxfId="0" priority="593" stopIfTrue="1" operator="greaterThan">
      <formula>#REF!*(1+$B$814)</formula>
    </cfRule>
  </conditionalFormatting>
  <conditionalFormatting sqref="EM575">
    <cfRule type="cellIs" dxfId="1" priority="594" stopIfTrue="1" operator="lessThan">
      <formula>#REF!*(1-$B$814)</formula>
    </cfRule>
  </conditionalFormatting>
  <conditionalFormatting sqref="EM666:EM667">
    <cfRule type="cellIs" dxfId="0" priority="595" stopIfTrue="1" operator="greaterThan">
      <formula>EM506*(1+$B$814)</formula>
    </cfRule>
  </conditionalFormatting>
  <conditionalFormatting sqref="EM666:EM667">
    <cfRule type="cellIs" dxfId="1" priority="596" stopIfTrue="1" operator="lessThan">
      <formula>EM506*(1-$B$814)</formula>
    </cfRule>
  </conditionalFormatting>
  <conditionalFormatting sqref="EM649">
    <cfRule type="cellIs" dxfId="0" priority="597" stopIfTrue="1" operator="greaterThan">
      <formula>EM20*(1+$B$814)</formula>
    </cfRule>
  </conditionalFormatting>
  <conditionalFormatting sqref="EM649">
    <cfRule type="cellIs" dxfId="1" priority="598" stopIfTrue="1" operator="lessThan">
      <formula>EM20*(1-$B$814)</formula>
    </cfRule>
  </conditionalFormatting>
  <conditionalFormatting sqref="ER519">
    <cfRule type="cellIs" dxfId="0" priority="599" stopIfTrue="1" operator="greaterThan">
      <formula>#REF!*(1+$B$814)</formula>
    </cfRule>
  </conditionalFormatting>
  <conditionalFormatting sqref="ER519">
    <cfRule type="cellIs" dxfId="1" priority="600" stopIfTrue="1" operator="lessThan">
      <formula>#REF!*(1-$B$814)</formula>
    </cfRule>
  </conditionalFormatting>
  <conditionalFormatting sqref="ER763">
    <cfRule type="cellIs" dxfId="0" priority="601" stopIfTrue="1" operator="greaterThan">
      <formula>#REF!*(1+$B$814)</formula>
    </cfRule>
  </conditionalFormatting>
  <conditionalFormatting sqref="ER763">
    <cfRule type="cellIs" dxfId="1" priority="602" stopIfTrue="1" operator="lessThan">
      <formula>#REF!*(1-$B$814)</formula>
    </cfRule>
  </conditionalFormatting>
  <conditionalFormatting sqref="ER733">
    <cfRule type="cellIs" dxfId="0" priority="603" stopIfTrue="1" operator="greaterThan">
      <formula>#REF!*(1+$B$814)</formula>
    </cfRule>
  </conditionalFormatting>
  <conditionalFormatting sqref="ER733">
    <cfRule type="cellIs" dxfId="1" priority="604" stopIfTrue="1" operator="lessThan">
      <formula>#REF!*(1-$B$814)</formula>
    </cfRule>
  </conditionalFormatting>
  <conditionalFormatting sqref="ER683">
    <cfRule type="cellIs" dxfId="0" priority="605" stopIfTrue="1" operator="greaterThan">
      <formula>#REF!*(1+$B$814)</formula>
    </cfRule>
  </conditionalFormatting>
  <conditionalFormatting sqref="ER683">
    <cfRule type="cellIs" dxfId="1" priority="606" stopIfTrue="1" operator="lessThan">
      <formula>#REF!*(1-$B$814)</formula>
    </cfRule>
  </conditionalFormatting>
  <conditionalFormatting sqref="ER657">
    <cfRule type="cellIs" dxfId="0" priority="607" stopIfTrue="1" operator="greaterThan">
      <formula>#REF!*(1+$B$814)</formula>
    </cfRule>
  </conditionalFormatting>
  <conditionalFormatting sqref="ER657">
    <cfRule type="cellIs" dxfId="1" priority="608" stopIfTrue="1" operator="lessThan">
      <formula>#REF!*(1-$B$814)</formula>
    </cfRule>
  </conditionalFormatting>
  <conditionalFormatting sqref="ER586:ER587">
    <cfRule type="cellIs" dxfId="0" priority="609" stopIfTrue="1" operator="greaterThan">
      <formula>ER18*(1+$B$814)</formula>
    </cfRule>
  </conditionalFormatting>
  <conditionalFormatting sqref="ER586:ER587">
    <cfRule type="cellIs" dxfId="1" priority="610" stopIfTrue="1" operator="lessThan">
      <formula>ER18*(1-$B$814)</formula>
    </cfRule>
  </conditionalFormatting>
  <conditionalFormatting sqref="ER858">
    <cfRule type="cellIs" dxfId="0" priority="611" stopIfTrue="1" operator="greaterThan">
      <formula>ER12*(1+$B$859)</formula>
    </cfRule>
  </conditionalFormatting>
  <conditionalFormatting sqref="ER858">
    <cfRule type="cellIs" dxfId="1" priority="612" stopIfTrue="1" operator="lessThan">
      <formula>ER12*(1-$B$859)</formula>
    </cfRule>
  </conditionalFormatting>
  <conditionalFormatting sqref="ER1226">
    <cfRule type="cellIs" dxfId="1" priority="613" stopIfTrue="1" operator="notBetween">
      <formula>(1-$A$1227)*ER1227</formula>
      <formula>(1+$A$1227)*ER1227</formula>
    </cfRule>
  </conditionalFormatting>
  <conditionalFormatting sqref="ER833">
    <cfRule type="cellIs" dxfId="0" priority="614" stopIfTrue="1" operator="greaterThan">
      <formula>ER745*(1+$B$814)</formula>
    </cfRule>
  </conditionalFormatting>
  <conditionalFormatting sqref="ER833">
    <cfRule type="cellIs" dxfId="1" priority="615" stopIfTrue="1" operator="lessThan">
      <formula>ER745*(1-$B$814)</formula>
    </cfRule>
  </conditionalFormatting>
  <conditionalFormatting sqref="ER825">
    <cfRule type="cellIs" dxfId="0" priority="616" stopIfTrue="1" operator="greaterThan">
      <formula>ER127*(1+$B$814)</formula>
    </cfRule>
  </conditionalFormatting>
  <conditionalFormatting sqref="ER825">
    <cfRule type="cellIs" dxfId="1" priority="617" stopIfTrue="1" operator="lessThan">
      <formula>ER127*(1-$B$814)</formula>
    </cfRule>
  </conditionalFormatting>
  <conditionalFormatting sqref="ER742">
    <cfRule type="cellIs" dxfId="0" priority="618" stopIfTrue="1" operator="greaterThan">
      <formula>ER499*(1+$B$814)</formula>
    </cfRule>
  </conditionalFormatting>
  <conditionalFormatting sqref="ER742">
    <cfRule type="cellIs" dxfId="1" priority="619" stopIfTrue="1" operator="lessThan">
      <formula>ER499*(1-$B$814)</formula>
    </cfRule>
  </conditionalFormatting>
  <conditionalFormatting sqref="ER606">
    <cfRule type="cellIs" dxfId="0" priority="620" stopIfTrue="1" operator="greaterThan">
      <formula>#REF!*(1+$B$814)</formula>
    </cfRule>
  </conditionalFormatting>
  <conditionalFormatting sqref="ER606">
    <cfRule type="cellIs" dxfId="1" priority="621" stopIfTrue="1" operator="lessThan">
      <formula>#REF!*(1-$B$814)</formula>
    </cfRule>
  </conditionalFormatting>
  <conditionalFormatting sqref="ER575">
    <cfRule type="cellIs" dxfId="0" priority="622" stopIfTrue="1" operator="greaterThan">
      <formula>#REF!*(1+$B$814)</formula>
    </cfRule>
  </conditionalFormatting>
  <conditionalFormatting sqref="ER575">
    <cfRule type="cellIs" dxfId="1" priority="623" stopIfTrue="1" operator="lessThan">
      <formula>#REF!*(1-$B$814)</formula>
    </cfRule>
  </conditionalFormatting>
  <conditionalFormatting sqref="ER666:ER667">
    <cfRule type="cellIs" dxfId="0" priority="624" stopIfTrue="1" operator="greaterThan">
      <formula>ER506*(1+$B$814)</formula>
    </cfRule>
  </conditionalFormatting>
  <conditionalFormatting sqref="ER666:ER667">
    <cfRule type="cellIs" dxfId="1" priority="625" stopIfTrue="1" operator="lessThan">
      <formula>ER506*(1-$B$814)</formula>
    </cfRule>
  </conditionalFormatting>
  <conditionalFormatting sqref="ER649">
    <cfRule type="cellIs" dxfId="0" priority="626" stopIfTrue="1" operator="greaterThan">
      <formula>ER20*(1+$B$814)</formula>
    </cfRule>
  </conditionalFormatting>
  <conditionalFormatting sqref="ER649">
    <cfRule type="cellIs" dxfId="1" priority="627" stopIfTrue="1" operator="lessThan">
      <formula>ER20*(1-$B$814)</formula>
    </cfRule>
  </conditionalFormatting>
  <conditionalFormatting sqref="EW519">
    <cfRule type="cellIs" dxfId="0" priority="628" stopIfTrue="1" operator="greaterThan">
      <formula>#REF!*(1+$B$814)</formula>
    </cfRule>
  </conditionalFormatting>
  <conditionalFormatting sqref="EW519">
    <cfRule type="cellIs" dxfId="1" priority="629" stopIfTrue="1" operator="lessThan">
      <formula>#REF!*(1-$B$814)</formula>
    </cfRule>
  </conditionalFormatting>
  <conditionalFormatting sqref="EW763">
    <cfRule type="cellIs" dxfId="0" priority="630" stopIfTrue="1" operator="greaterThan">
      <formula>#REF!*(1+$B$814)</formula>
    </cfRule>
  </conditionalFormatting>
  <conditionalFormatting sqref="EW763">
    <cfRule type="cellIs" dxfId="1" priority="631" stopIfTrue="1" operator="lessThan">
      <formula>#REF!*(1-$B$814)</formula>
    </cfRule>
  </conditionalFormatting>
  <conditionalFormatting sqref="EW733">
    <cfRule type="cellIs" dxfId="0" priority="632" stopIfTrue="1" operator="greaterThan">
      <formula>#REF!*(1+$B$814)</formula>
    </cfRule>
  </conditionalFormatting>
  <conditionalFormatting sqref="EW733">
    <cfRule type="cellIs" dxfId="1" priority="633" stopIfTrue="1" operator="lessThan">
      <formula>#REF!*(1-$B$814)</formula>
    </cfRule>
  </conditionalFormatting>
  <conditionalFormatting sqref="EW683">
    <cfRule type="cellIs" dxfId="0" priority="634" stopIfTrue="1" operator="greaterThan">
      <formula>#REF!*(1+$B$814)</formula>
    </cfRule>
  </conditionalFormatting>
  <conditionalFormatting sqref="EW683">
    <cfRule type="cellIs" dxfId="1" priority="635" stopIfTrue="1" operator="lessThan">
      <formula>#REF!*(1-$B$814)</formula>
    </cfRule>
  </conditionalFormatting>
  <conditionalFormatting sqref="EW657">
    <cfRule type="cellIs" dxfId="0" priority="636" stopIfTrue="1" operator="greaterThan">
      <formula>#REF!*(1+$B$814)</formula>
    </cfRule>
  </conditionalFormatting>
  <conditionalFormatting sqref="EW657">
    <cfRule type="cellIs" dxfId="1" priority="637" stopIfTrue="1" operator="lessThan">
      <formula>#REF!*(1-$B$814)</formula>
    </cfRule>
  </conditionalFormatting>
  <conditionalFormatting sqref="EW586:EW587">
    <cfRule type="cellIs" dxfId="0" priority="638" stopIfTrue="1" operator="greaterThan">
      <formula>EW18*(1+$B$814)</formula>
    </cfRule>
  </conditionalFormatting>
  <conditionalFormatting sqref="EW586:EW587">
    <cfRule type="cellIs" dxfId="1" priority="639" stopIfTrue="1" operator="lessThan">
      <formula>EW18*(1-$B$814)</formula>
    </cfRule>
  </conditionalFormatting>
  <conditionalFormatting sqref="EW858">
    <cfRule type="cellIs" dxfId="0" priority="640" stopIfTrue="1" operator="greaterThan">
      <formula>EW12*(1+$B$859)</formula>
    </cfRule>
  </conditionalFormatting>
  <conditionalFormatting sqref="EW858">
    <cfRule type="cellIs" dxfId="1" priority="641" stopIfTrue="1" operator="lessThan">
      <formula>EW12*(1-$B$859)</formula>
    </cfRule>
  </conditionalFormatting>
  <conditionalFormatting sqref="EW1226">
    <cfRule type="cellIs" dxfId="1" priority="642" stopIfTrue="1" operator="notBetween">
      <formula>(1-$A$1227)*EW1227</formula>
      <formula>(1+$A$1227)*EW1227</formula>
    </cfRule>
  </conditionalFormatting>
  <conditionalFormatting sqref="EW833">
    <cfRule type="cellIs" dxfId="0" priority="643" stopIfTrue="1" operator="greaterThan">
      <formula>EW745*(1+$B$814)</formula>
    </cfRule>
  </conditionalFormatting>
  <conditionalFormatting sqref="EW833">
    <cfRule type="cellIs" dxfId="1" priority="644" stopIfTrue="1" operator="lessThan">
      <formula>EW745*(1-$B$814)</formula>
    </cfRule>
  </conditionalFormatting>
  <conditionalFormatting sqref="EW825">
    <cfRule type="cellIs" dxfId="0" priority="645" stopIfTrue="1" operator="greaterThan">
      <formula>EW127*(1+$B$814)</formula>
    </cfRule>
  </conditionalFormatting>
  <conditionalFormatting sqref="EW825">
    <cfRule type="cellIs" dxfId="1" priority="646" stopIfTrue="1" operator="lessThan">
      <formula>EW127*(1-$B$814)</formula>
    </cfRule>
  </conditionalFormatting>
  <conditionalFormatting sqref="EW742">
    <cfRule type="cellIs" dxfId="0" priority="647" stopIfTrue="1" operator="greaterThan">
      <formula>EW499*(1+$B$814)</formula>
    </cfRule>
  </conditionalFormatting>
  <conditionalFormatting sqref="EW742">
    <cfRule type="cellIs" dxfId="1" priority="648" stopIfTrue="1" operator="lessThan">
      <formula>EW499*(1-$B$814)</formula>
    </cfRule>
  </conditionalFormatting>
  <conditionalFormatting sqref="EW606">
    <cfRule type="cellIs" dxfId="0" priority="649" stopIfTrue="1" operator="greaterThan">
      <formula>#REF!*(1+$B$814)</formula>
    </cfRule>
  </conditionalFormatting>
  <conditionalFormatting sqref="EW606">
    <cfRule type="cellIs" dxfId="1" priority="650" stopIfTrue="1" operator="lessThan">
      <formula>#REF!*(1-$B$814)</formula>
    </cfRule>
  </conditionalFormatting>
  <conditionalFormatting sqref="EW575">
    <cfRule type="cellIs" dxfId="0" priority="651" stopIfTrue="1" operator="greaterThan">
      <formula>#REF!*(1+$B$814)</formula>
    </cfRule>
  </conditionalFormatting>
  <conditionalFormatting sqref="EW575">
    <cfRule type="cellIs" dxfId="1" priority="652" stopIfTrue="1" operator="lessThan">
      <formula>#REF!*(1-$B$814)</formula>
    </cfRule>
  </conditionalFormatting>
  <conditionalFormatting sqref="EW666:EW667">
    <cfRule type="cellIs" dxfId="0" priority="653" stopIfTrue="1" operator="greaterThan">
      <formula>EW506*(1+$B$814)</formula>
    </cfRule>
  </conditionalFormatting>
  <conditionalFormatting sqref="EW666:EW667">
    <cfRule type="cellIs" dxfId="1" priority="654" stopIfTrue="1" operator="lessThan">
      <formula>EW506*(1-$B$814)</formula>
    </cfRule>
  </conditionalFormatting>
  <conditionalFormatting sqref="EW649">
    <cfRule type="cellIs" dxfId="0" priority="655" stopIfTrue="1" operator="greaterThan">
      <formula>EW20*(1+$B$814)</formula>
    </cfRule>
  </conditionalFormatting>
  <conditionalFormatting sqref="EW649">
    <cfRule type="cellIs" dxfId="1" priority="656" stopIfTrue="1" operator="lessThan">
      <formula>EW20*(1-$B$814)</formula>
    </cfRule>
  </conditionalFormatting>
  <conditionalFormatting sqref="DY519">
    <cfRule type="cellIs" dxfId="0" priority="657" stopIfTrue="1" operator="greaterThan">
      <formula>#REF!*(1+$B$814)</formula>
    </cfRule>
  </conditionalFormatting>
  <conditionalFormatting sqref="DY519">
    <cfRule type="cellIs" dxfId="1" priority="658" stopIfTrue="1" operator="lessThan">
      <formula>#REF!*(1-$B$814)</formula>
    </cfRule>
  </conditionalFormatting>
  <conditionalFormatting sqref="DY763">
    <cfRule type="cellIs" dxfId="0" priority="659" stopIfTrue="1" operator="greaterThan">
      <formula>#REF!*(1+$B$814)</formula>
    </cfRule>
  </conditionalFormatting>
  <conditionalFormatting sqref="DY763">
    <cfRule type="cellIs" dxfId="1" priority="660" stopIfTrue="1" operator="lessThan">
      <formula>#REF!*(1-$B$814)</formula>
    </cfRule>
  </conditionalFormatting>
  <conditionalFormatting sqref="DY733">
    <cfRule type="cellIs" dxfId="0" priority="661" stopIfTrue="1" operator="greaterThan">
      <formula>#REF!*(1+$B$814)</formula>
    </cfRule>
  </conditionalFormatting>
  <conditionalFormatting sqref="DY733">
    <cfRule type="cellIs" dxfId="1" priority="662" stopIfTrue="1" operator="lessThan">
      <formula>#REF!*(1-$B$814)</formula>
    </cfRule>
  </conditionalFormatting>
  <conditionalFormatting sqref="DY683">
    <cfRule type="cellIs" dxfId="0" priority="663" stopIfTrue="1" operator="greaterThan">
      <formula>#REF!*(1+$B$814)</formula>
    </cfRule>
  </conditionalFormatting>
  <conditionalFormatting sqref="DY683">
    <cfRule type="cellIs" dxfId="1" priority="664" stopIfTrue="1" operator="lessThan">
      <formula>#REF!*(1-$B$814)</formula>
    </cfRule>
  </conditionalFormatting>
  <conditionalFormatting sqref="DY657">
    <cfRule type="cellIs" dxfId="0" priority="665" stopIfTrue="1" operator="greaterThan">
      <formula>#REF!*(1+$B$814)</formula>
    </cfRule>
  </conditionalFormatting>
  <conditionalFormatting sqref="DY657">
    <cfRule type="cellIs" dxfId="1" priority="666" stopIfTrue="1" operator="lessThan">
      <formula>#REF!*(1-$B$814)</formula>
    </cfRule>
  </conditionalFormatting>
  <conditionalFormatting sqref="DY586:DY587">
    <cfRule type="cellIs" dxfId="0" priority="667" stopIfTrue="1" operator="greaterThan">
      <formula>DY18*(1+$B$814)</formula>
    </cfRule>
  </conditionalFormatting>
  <conditionalFormatting sqref="DY586:DY587">
    <cfRule type="cellIs" dxfId="1" priority="668" stopIfTrue="1" operator="lessThan">
      <formula>DY18*(1-$B$814)</formula>
    </cfRule>
  </conditionalFormatting>
  <conditionalFormatting sqref="DY858">
    <cfRule type="cellIs" dxfId="0" priority="669" stopIfTrue="1" operator="greaterThan">
      <formula>DY12*(1+$B$859)</formula>
    </cfRule>
  </conditionalFormatting>
  <conditionalFormatting sqref="DY858">
    <cfRule type="cellIs" dxfId="1" priority="670" stopIfTrue="1" operator="lessThan">
      <formula>DY12*(1-$B$859)</formula>
    </cfRule>
  </conditionalFormatting>
  <conditionalFormatting sqref="DY852">
    <cfRule type="cellIs" dxfId="1" priority="671" stopIfTrue="1" operator="greaterThan">
      <formula>(DY849+DY850+DY851)*(1+$B$859)</formula>
    </cfRule>
  </conditionalFormatting>
  <conditionalFormatting sqref="DY852">
    <cfRule type="cellIs" dxfId="0" priority="672" stopIfTrue="1" operator="lessThan">
      <formula>(DY849+DY850+DY851)*(1-$B$859)</formula>
    </cfRule>
  </conditionalFormatting>
  <conditionalFormatting sqref="DY857">
    <cfRule type="cellIs" dxfId="1" priority="673" stopIfTrue="1" operator="notBetween">
      <formula>(DY854+DY855+DY856)*(1+$B$859)</formula>
      <formula>(DY853+DY855+DY856)*(1-$B$859)</formula>
    </cfRule>
  </conditionalFormatting>
  <conditionalFormatting sqref="DY1226">
    <cfRule type="cellIs" dxfId="1" priority="674" stopIfTrue="1" operator="notBetween">
      <formula>(1-$A$1227)*DY1227</formula>
      <formula>(1+$A$1227)*DY1227</formula>
    </cfRule>
  </conditionalFormatting>
  <conditionalFormatting sqref="DY833">
    <cfRule type="cellIs" dxfId="0" priority="675" stopIfTrue="1" operator="greaterThan">
      <formula>DY745*(1+$B$814)</formula>
    </cfRule>
  </conditionalFormatting>
  <conditionalFormatting sqref="DY833">
    <cfRule type="cellIs" dxfId="1" priority="676" stopIfTrue="1" operator="lessThan">
      <formula>DY745*(1-$B$814)</formula>
    </cfRule>
  </conditionalFormatting>
  <conditionalFormatting sqref="DY825">
    <cfRule type="cellIs" dxfId="0" priority="677" stopIfTrue="1" operator="greaterThan">
      <formula>DY127*(1+$B$814)</formula>
    </cfRule>
  </conditionalFormatting>
  <conditionalFormatting sqref="DY825">
    <cfRule type="cellIs" dxfId="1" priority="678" stopIfTrue="1" operator="lessThan">
      <formula>DY127*(1-$B$814)</formula>
    </cfRule>
  </conditionalFormatting>
  <conditionalFormatting sqref="DY742">
    <cfRule type="cellIs" dxfId="0" priority="679" stopIfTrue="1" operator="greaterThan">
      <formula>DY499*(1+$B$814)</formula>
    </cfRule>
  </conditionalFormatting>
  <conditionalFormatting sqref="DY742">
    <cfRule type="cellIs" dxfId="1" priority="680" stopIfTrue="1" operator="lessThan">
      <formula>DY499*(1-$B$814)</formula>
    </cfRule>
  </conditionalFormatting>
  <conditionalFormatting sqref="DY606">
    <cfRule type="cellIs" dxfId="0" priority="681" stopIfTrue="1" operator="greaterThan">
      <formula>#REF!*(1+$B$814)</formula>
    </cfRule>
  </conditionalFormatting>
  <conditionalFormatting sqref="DY606">
    <cfRule type="cellIs" dxfId="1" priority="682" stopIfTrue="1" operator="lessThan">
      <formula>#REF!*(1-$B$814)</formula>
    </cfRule>
  </conditionalFormatting>
  <conditionalFormatting sqref="DY575">
    <cfRule type="cellIs" dxfId="0" priority="683" stopIfTrue="1" operator="greaterThan">
      <formula>#REF!*(1+$B$814)</formula>
    </cfRule>
  </conditionalFormatting>
  <conditionalFormatting sqref="DY575">
    <cfRule type="cellIs" dxfId="1" priority="684" stopIfTrue="1" operator="lessThan">
      <formula>#REF!*(1-$B$814)</formula>
    </cfRule>
  </conditionalFormatting>
  <conditionalFormatting sqref="DY666:DY667">
    <cfRule type="cellIs" dxfId="0" priority="685" stopIfTrue="1" operator="greaterThan">
      <formula>DY506*(1+$B$814)</formula>
    </cfRule>
  </conditionalFormatting>
  <conditionalFormatting sqref="DY666:DY667">
    <cfRule type="cellIs" dxfId="1" priority="686" stopIfTrue="1" operator="lessThan">
      <formula>DY506*(1-$B$814)</formula>
    </cfRule>
  </conditionalFormatting>
  <conditionalFormatting sqref="DY649">
    <cfRule type="cellIs" dxfId="0" priority="687" stopIfTrue="1" operator="greaterThan">
      <formula>DY20*(1+$B$814)</formula>
    </cfRule>
  </conditionalFormatting>
  <conditionalFormatting sqref="DY649">
    <cfRule type="cellIs" dxfId="1" priority="688" stopIfTrue="1" operator="lessThan">
      <formula>DY20*(1-$B$814)</formula>
    </cfRule>
  </conditionalFormatting>
  <conditionalFormatting sqref="DZ519">
    <cfRule type="cellIs" dxfId="0" priority="689" stopIfTrue="1" operator="greaterThan">
      <formula>#REF!*(1+$B$814)</formula>
    </cfRule>
  </conditionalFormatting>
  <conditionalFormatting sqref="DZ519">
    <cfRule type="cellIs" dxfId="1" priority="690" stopIfTrue="1" operator="lessThan">
      <formula>#REF!*(1-$B$814)</formula>
    </cfRule>
  </conditionalFormatting>
  <conditionalFormatting sqref="DZ763">
    <cfRule type="cellIs" dxfId="0" priority="691" stopIfTrue="1" operator="greaterThan">
      <formula>#REF!*(1+$B$814)</formula>
    </cfRule>
  </conditionalFormatting>
  <conditionalFormatting sqref="DZ763">
    <cfRule type="cellIs" dxfId="1" priority="692" stopIfTrue="1" operator="lessThan">
      <formula>#REF!*(1-$B$814)</formula>
    </cfRule>
  </conditionalFormatting>
  <conditionalFormatting sqref="DZ733">
    <cfRule type="cellIs" dxfId="0" priority="693" stopIfTrue="1" operator="greaterThan">
      <formula>#REF!*(1+$B$814)</formula>
    </cfRule>
  </conditionalFormatting>
  <conditionalFormatting sqref="DZ733">
    <cfRule type="cellIs" dxfId="1" priority="694" stopIfTrue="1" operator="lessThan">
      <formula>#REF!*(1-$B$814)</formula>
    </cfRule>
  </conditionalFormatting>
  <conditionalFormatting sqref="DZ683">
    <cfRule type="cellIs" dxfId="0" priority="695" stopIfTrue="1" operator="greaterThan">
      <formula>#REF!*(1+$B$814)</formula>
    </cfRule>
  </conditionalFormatting>
  <conditionalFormatting sqref="DZ683">
    <cfRule type="cellIs" dxfId="1" priority="696" stopIfTrue="1" operator="lessThan">
      <formula>#REF!*(1-$B$814)</formula>
    </cfRule>
  </conditionalFormatting>
  <conditionalFormatting sqref="DZ657">
    <cfRule type="cellIs" dxfId="0" priority="697" stopIfTrue="1" operator="greaterThan">
      <formula>#REF!*(1+$B$814)</formula>
    </cfRule>
  </conditionalFormatting>
  <conditionalFormatting sqref="DZ657">
    <cfRule type="cellIs" dxfId="1" priority="698" stopIfTrue="1" operator="lessThan">
      <formula>#REF!*(1-$B$814)</formula>
    </cfRule>
  </conditionalFormatting>
  <conditionalFormatting sqref="DZ586:DZ587">
    <cfRule type="cellIs" dxfId="0" priority="699" stopIfTrue="1" operator="greaterThan">
      <formula>DZ18*(1+$B$814)</formula>
    </cfRule>
  </conditionalFormatting>
  <conditionalFormatting sqref="DZ586:DZ587">
    <cfRule type="cellIs" dxfId="1" priority="700" stopIfTrue="1" operator="lessThan">
      <formula>DZ18*(1-$B$814)</formula>
    </cfRule>
  </conditionalFormatting>
  <conditionalFormatting sqref="DZ858">
    <cfRule type="cellIs" dxfId="0" priority="701" stopIfTrue="1" operator="greaterThan">
      <formula>DZ12*(1+$B$859)</formula>
    </cfRule>
  </conditionalFormatting>
  <conditionalFormatting sqref="DZ858">
    <cfRule type="cellIs" dxfId="1" priority="702" stopIfTrue="1" operator="lessThan">
      <formula>DZ12*(1-$B$859)</formula>
    </cfRule>
  </conditionalFormatting>
  <conditionalFormatting sqref="DZ852">
    <cfRule type="cellIs" dxfId="1" priority="703" stopIfTrue="1" operator="greaterThan">
      <formula>(DZ849+DZ850+DZ851)*(1+$B$859)</formula>
    </cfRule>
  </conditionalFormatting>
  <conditionalFormatting sqref="DZ852">
    <cfRule type="cellIs" dxfId="0" priority="704" stopIfTrue="1" operator="lessThan">
      <formula>(DZ849+DZ850+DZ851)*(1-$B$859)</formula>
    </cfRule>
  </conditionalFormatting>
  <conditionalFormatting sqref="DZ857">
    <cfRule type="cellIs" dxfId="1" priority="705" stopIfTrue="1" operator="notBetween">
      <formula>(DZ854+DZ855+DZ856)*(1+$B$859)</formula>
      <formula>(DZ853+DZ855+DZ856)*(1-$B$859)</formula>
    </cfRule>
  </conditionalFormatting>
  <conditionalFormatting sqref="DZ1226">
    <cfRule type="cellIs" dxfId="1" priority="706" stopIfTrue="1" operator="notBetween">
      <formula>(1-$A$1227)*DZ1227</formula>
      <formula>(1+$A$1227)*DZ1227</formula>
    </cfRule>
  </conditionalFormatting>
  <conditionalFormatting sqref="DZ833">
    <cfRule type="cellIs" dxfId="0" priority="707" stopIfTrue="1" operator="greaterThan">
      <formula>DZ745*(1+$B$814)</formula>
    </cfRule>
  </conditionalFormatting>
  <conditionalFormatting sqref="DZ833">
    <cfRule type="cellIs" dxfId="1" priority="708" stopIfTrue="1" operator="lessThan">
      <formula>DZ745*(1-$B$814)</formula>
    </cfRule>
  </conditionalFormatting>
  <conditionalFormatting sqref="DZ825">
    <cfRule type="cellIs" dxfId="0" priority="709" stopIfTrue="1" operator="greaterThan">
      <formula>DZ127*(1+$B$814)</formula>
    </cfRule>
  </conditionalFormatting>
  <conditionalFormatting sqref="DZ825">
    <cfRule type="cellIs" dxfId="1" priority="710" stopIfTrue="1" operator="lessThan">
      <formula>DZ127*(1-$B$814)</formula>
    </cfRule>
  </conditionalFormatting>
  <conditionalFormatting sqref="DZ742">
    <cfRule type="cellIs" dxfId="0" priority="711" stopIfTrue="1" operator="greaterThan">
      <formula>DZ499*(1+$B$814)</formula>
    </cfRule>
  </conditionalFormatting>
  <conditionalFormatting sqref="DZ742">
    <cfRule type="cellIs" dxfId="1" priority="712" stopIfTrue="1" operator="lessThan">
      <formula>DZ499*(1-$B$814)</formula>
    </cfRule>
  </conditionalFormatting>
  <conditionalFormatting sqref="DZ606">
    <cfRule type="cellIs" dxfId="0" priority="713" stopIfTrue="1" operator="greaterThan">
      <formula>#REF!*(1+$B$814)</formula>
    </cfRule>
  </conditionalFormatting>
  <conditionalFormatting sqref="DZ606">
    <cfRule type="cellIs" dxfId="1" priority="714" stopIfTrue="1" operator="lessThan">
      <formula>#REF!*(1-$B$814)</formula>
    </cfRule>
  </conditionalFormatting>
  <conditionalFormatting sqref="DZ575">
    <cfRule type="cellIs" dxfId="0" priority="715" stopIfTrue="1" operator="greaterThan">
      <formula>#REF!*(1+$B$814)</formula>
    </cfRule>
  </conditionalFormatting>
  <conditionalFormatting sqref="DZ575">
    <cfRule type="cellIs" dxfId="1" priority="716" stopIfTrue="1" operator="lessThan">
      <formula>#REF!*(1-$B$814)</formula>
    </cfRule>
  </conditionalFormatting>
  <conditionalFormatting sqref="DZ666:DZ667">
    <cfRule type="cellIs" dxfId="0" priority="717" stopIfTrue="1" operator="greaterThan">
      <formula>DZ506*(1+$B$814)</formula>
    </cfRule>
  </conditionalFormatting>
  <conditionalFormatting sqref="DZ666:DZ667">
    <cfRule type="cellIs" dxfId="1" priority="718" stopIfTrue="1" operator="lessThan">
      <formula>DZ506*(1-$B$814)</formula>
    </cfRule>
  </conditionalFormatting>
  <conditionalFormatting sqref="DZ649">
    <cfRule type="cellIs" dxfId="0" priority="719" stopIfTrue="1" operator="greaterThan">
      <formula>DZ20*(1+$B$814)</formula>
    </cfRule>
  </conditionalFormatting>
  <conditionalFormatting sqref="DZ649">
    <cfRule type="cellIs" dxfId="1" priority="720" stopIfTrue="1" operator="lessThan">
      <formula>DZ20*(1-$B$814)</formula>
    </cfRule>
  </conditionalFormatting>
  <conditionalFormatting sqref="EA519">
    <cfRule type="cellIs" dxfId="0" priority="721" stopIfTrue="1" operator="greaterThan">
      <formula>#REF!*(1+$B$814)</formula>
    </cfRule>
  </conditionalFormatting>
  <conditionalFormatting sqref="EA519">
    <cfRule type="cellIs" dxfId="1" priority="722" stopIfTrue="1" operator="lessThan">
      <formula>#REF!*(1-$B$814)</formula>
    </cfRule>
  </conditionalFormatting>
  <conditionalFormatting sqref="EA763">
    <cfRule type="cellIs" dxfId="0" priority="723" stopIfTrue="1" operator="greaterThan">
      <formula>#REF!*(1+$B$814)</formula>
    </cfRule>
  </conditionalFormatting>
  <conditionalFormatting sqref="EA763">
    <cfRule type="cellIs" dxfId="1" priority="724" stopIfTrue="1" operator="lessThan">
      <formula>#REF!*(1-$B$814)</formula>
    </cfRule>
  </conditionalFormatting>
  <conditionalFormatting sqref="EA733">
    <cfRule type="cellIs" dxfId="0" priority="725" stopIfTrue="1" operator="greaterThan">
      <formula>#REF!*(1+$B$814)</formula>
    </cfRule>
  </conditionalFormatting>
  <conditionalFormatting sqref="EA733">
    <cfRule type="cellIs" dxfId="1" priority="726" stopIfTrue="1" operator="lessThan">
      <formula>#REF!*(1-$B$814)</formula>
    </cfRule>
  </conditionalFormatting>
  <conditionalFormatting sqref="EA683">
    <cfRule type="cellIs" dxfId="0" priority="727" stopIfTrue="1" operator="greaterThan">
      <formula>#REF!*(1+$B$814)</formula>
    </cfRule>
  </conditionalFormatting>
  <conditionalFormatting sqref="EA683">
    <cfRule type="cellIs" dxfId="1" priority="728" stopIfTrue="1" operator="lessThan">
      <formula>#REF!*(1-$B$814)</formula>
    </cfRule>
  </conditionalFormatting>
  <conditionalFormatting sqref="EA657">
    <cfRule type="cellIs" dxfId="0" priority="729" stopIfTrue="1" operator="greaterThan">
      <formula>#REF!*(1+$B$814)</formula>
    </cfRule>
  </conditionalFormatting>
  <conditionalFormatting sqref="EA657">
    <cfRule type="cellIs" dxfId="1" priority="730" stopIfTrue="1" operator="lessThan">
      <formula>#REF!*(1-$B$814)</formula>
    </cfRule>
  </conditionalFormatting>
  <conditionalFormatting sqref="EA586:EA587">
    <cfRule type="cellIs" dxfId="0" priority="731" stopIfTrue="1" operator="greaterThan">
      <formula>EA18*(1+$B$814)</formula>
    </cfRule>
  </conditionalFormatting>
  <conditionalFormatting sqref="EA586:EA587">
    <cfRule type="cellIs" dxfId="1" priority="732" stopIfTrue="1" operator="lessThan">
      <formula>EA18*(1-$B$814)</formula>
    </cfRule>
  </conditionalFormatting>
  <conditionalFormatting sqref="EA858">
    <cfRule type="cellIs" dxfId="0" priority="733" stopIfTrue="1" operator="greaterThan">
      <formula>EA12*(1+$B$859)</formula>
    </cfRule>
  </conditionalFormatting>
  <conditionalFormatting sqref="EA858">
    <cfRule type="cellIs" dxfId="1" priority="734" stopIfTrue="1" operator="lessThan">
      <formula>EA12*(1-$B$859)</formula>
    </cfRule>
  </conditionalFormatting>
  <conditionalFormatting sqref="EA852">
    <cfRule type="cellIs" dxfId="1" priority="735" stopIfTrue="1" operator="greaterThan">
      <formula>(EA849+EA850+EA851)*(1+$B$859)</formula>
    </cfRule>
  </conditionalFormatting>
  <conditionalFormatting sqref="EA852">
    <cfRule type="cellIs" dxfId="0" priority="736" stopIfTrue="1" operator="lessThan">
      <formula>(EA849+EA850+EA851)*(1-$B$859)</formula>
    </cfRule>
  </conditionalFormatting>
  <conditionalFormatting sqref="EA857">
    <cfRule type="cellIs" dxfId="1" priority="737" stopIfTrue="1" operator="notBetween">
      <formula>(EA854+EA855+EA856)*(1+$B$859)</formula>
      <formula>(EA853+EA855+EA856)*(1-$B$859)</formula>
    </cfRule>
  </conditionalFormatting>
  <conditionalFormatting sqref="EA1226">
    <cfRule type="cellIs" dxfId="1" priority="738" stopIfTrue="1" operator="notBetween">
      <formula>(1-$A$1227)*EA1227</formula>
      <formula>(1+$A$1227)*EA1227</formula>
    </cfRule>
  </conditionalFormatting>
  <conditionalFormatting sqref="EA833">
    <cfRule type="cellIs" dxfId="0" priority="739" stopIfTrue="1" operator="greaterThan">
      <formula>EA745*(1+$B$814)</formula>
    </cfRule>
  </conditionalFormatting>
  <conditionalFormatting sqref="EA833">
    <cfRule type="cellIs" dxfId="1" priority="740" stopIfTrue="1" operator="lessThan">
      <formula>EA745*(1-$B$814)</formula>
    </cfRule>
  </conditionalFormatting>
  <conditionalFormatting sqref="EA825">
    <cfRule type="cellIs" dxfId="0" priority="741" stopIfTrue="1" operator="greaterThan">
      <formula>EA127*(1+$B$814)</formula>
    </cfRule>
  </conditionalFormatting>
  <conditionalFormatting sqref="EA825">
    <cfRule type="cellIs" dxfId="1" priority="742" stopIfTrue="1" operator="lessThan">
      <formula>EA127*(1-$B$814)</formula>
    </cfRule>
  </conditionalFormatting>
  <conditionalFormatting sqref="EA742">
    <cfRule type="cellIs" dxfId="0" priority="743" stopIfTrue="1" operator="greaterThan">
      <formula>EA499*(1+$B$814)</formula>
    </cfRule>
  </conditionalFormatting>
  <conditionalFormatting sqref="EA742">
    <cfRule type="cellIs" dxfId="1" priority="744" stopIfTrue="1" operator="lessThan">
      <formula>EA499*(1-$B$814)</formula>
    </cfRule>
  </conditionalFormatting>
  <conditionalFormatting sqref="EA606">
    <cfRule type="cellIs" dxfId="0" priority="745" stopIfTrue="1" operator="greaterThan">
      <formula>#REF!*(1+$B$814)</formula>
    </cfRule>
  </conditionalFormatting>
  <conditionalFormatting sqref="EA606">
    <cfRule type="cellIs" dxfId="1" priority="746" stopIfTrue="1" operator="lessThan">
      <formula>#REF!*(1-$B$814)</formula>
    </cfRule>
  </conditionalFormatting>
  <conditionalFormatting sqref="EA575">
    <cfRule type="cellIs" dxfId="0" priority="747" stopIfTrue="1" operator="greaterThan">
      <formula>#REF!*(1+$B$814)</formula>
    </cfRule>
  </conditionalFormatting>
  <conditionalFormatting sqref="EA575">
    <cfRule type="cellIs" dxfId="1" priority="748" stopIfTrue="1" operator="lessThan">
      <formula>#REF!*(1-$B$814)</formula>
    </cfRule>
  </conditionalFormatting>
  <conditionalFormatting sqref="EA666:EA667">
    <cfRule type="cellIs" dxfId="0" priority="749" stopIfTrue="1" operator="greaterThan">
      <formula>EA506*(1+$B$814)</formula>
    </cfRule>
  </conditionalFormatting>
  <conditionalFormatting sqref="EA666:EA667">
    <cfRule type="cellIs" dxfId="1" priority="750" stopIfTrue="1" operator="lessThan">
      <formula>EA506*(1-$B$814)</formula>
    </cfRule>
  </conditionalFormatting>
  <conditionalFormatting sqref="EA649">
    <cfRule type="cellIs" dxfId="0" priority="751" stopIfTrue="1" operator="greaterThan">
      <formula>EA20*(1+$B$814)</formula>
    </cfRule>
  </conditionalFormatting>
  <conditionalFormatting sqref="EA649">
    <cfRule type="cellIs" dxfId="1" priority="752" stopIfTrue="1" operator="lessThan">
      <formula>EA20*(1-$B$814)</formula>
    </cfRule>
  </conditionalFormatting>
  <conditionalFormatting sqref="EX858:FA858">
    <cfRule type="cellIs" dxfId="0" priority="753" stopIfTrue="1" operator="greaterThan">
      <formula>EX12*(1+$B$859)</formula>
    </cfRule>
  </conditionalFormatting>
  <conditionalFormatting sqref="EX858:FA858">
    <cfRule type="cellIs" dxfId="1" priority="754" stopIfTrue="1" operator="lessThan">
      <formula>EX12*(1-$B$859)</formula>
    </cfRule>
  </conditionalFormatting>
  <conditionalFormatting sqref="EX519:FA519">
    <cfRule type="cellIs" dxfId="0" priority="755" stopIfTrue="1" operator="greaterThan">
      <formula>#REF!*(1+$B$814)</formula>
    </cfRule>
  </conditionalFormatting>
  <conditionalFormatting sqref="EX519:FA519">
    <cfRule type="cellIs" dxfId="1" priority="756" stopIfTrue="1" operator="lessThan">
      <formula>#REF!*(1-$B$814)</formula>
    </cfRule>
  </conditionalFormatting>
  <conditionalFormatting sqref="EX763:FA763">
    <cfRule type="cellIs" dxfId="0" priority="757" stopIfTrue="1" operator="greaterThan">
      <formula>#REF!*(1+$B$814)</formula>
    </cfRule>
  </conditionalFormatting>
  <conditionalFormatting sqref="EX763:FA763">
    <cfRule type="cellIs" dxfId="1" priority="758" stopIfTrue="1" operator="lessThan">
      <formula>#REF!*(1-$B$814)</formula>
    </cfRule>
  </conditionalFormatting>
  <conditionalFormatting sqref="EX733:FA733">
    <cfRule type="cellIs" dxfId="0" priority="759" stopIfTrue="1" operator="greaterThan">
      <formula>#REF!*(1+$B$814)</formula>
    </cfRule>
  </conditionalFormatting>
  <conditionalFormatting sqref="EX733:FA733">
    <cfRule type="cellIs" dxfId="1" priority="760" stopIfTrue="1" operator="lessThan">
      <formula>#REF!*(1-$B$814)</formula>
    </cfRule>
  </conditionalFormatting>
  <conditionalFormatting sqref="EX683:FA683">
    <cfRule type="cellIs" dxfId="0" priority="761" stopIfTrue="1" operator="greaterThan">
      <formula>#REF!*(1+$B$814)</formula>
    </cfRule>
  </conditionalFormatting>
  <conditionalFormatting sqref="EX683:FA683">
    <cfRule type="cellIs" dxfId="1" priority="762" stopIfTrue="1" operator="lessThan">
      <formula>#REF!*(1-$B$814)</formula>
    </cfRule>
  </conditionalFormatting>
  <conditionalFormatting sqref="EX657:FA657">
    <cfRule type="cellIs" dxfId="0" priority="763" stopIfTrue="1" operator="greaterThan">
      <formula>#REF!*(1+$B$814)</formula>
    </cfRule>
  </conditionalFormatting>
  <conditionalFormatting sqref="EX657:FA657">
    <cfRule type="cellIs" dxfId="1" priority="764" stopIfTrue="1" operator="lessThan">
      <formula>#REF!*(1-$B$814)</formula>
    </cfRule>
  </conditionalFormatting>
  <conditionalFormatting sqref="EX586:FA587">
    <cfRule type="cellIs" dxfId="0" priority="765" stopIfTrue="1" operator="greaterThan">
      <formula>EX18*(1+$B$814)</formula>
    </cfRule>
  </conditionalFormatting>
  <conditionalFormatting sqref="EX586:FA587">
    <cfRule type="cellIs" dxfId="1" priority="766" stopIfTrue="1" operator="lessThan">
      <formula>EX18*(1-$B$814)</formula>
    </cfRule>
  </conditionalFormatting>
  <conditionalFormatting sqref="EX852:FA852">
    <cfRule type="cellIs" dxfId="1" priority="767" stopIfTrue="1" operator="greaterThan">
      <formula>(EX849+EX850+EX851)*(1+$B$859)</formula>
    </cfRule>
  </conditionalFormatting>
  <conditionalFormatting sqref="EX852:FA852">
    <cfRule type="cellIs" dxfId="0" priority="768" stopIfTrue="1" operator="lessThan">
      <formula>(EX849+EX850+EX851)*(1-$B$859)</formula>
    </cfRule>
  </conditionalFormatting>
  <conditionalFormatting sqref="EX857:FA857">
    <cfRule type="cellIs" dxfId="1" priority="769" stopIfTrue="1" operator="notBetween">
      <formula>(EX854+EX855+EX856)*(1+$B$859)</formula>
      <formula>(EX853+EX855+EX856)*(1-$B$859)</formula>
    </cfRule>
  </conditionalFormatting>
  <conditionalFormatting sqref="EX1226:FA1226">
    <cfRule type="cellIs" dxfId="1" priority="770" stopIfTrue="1" operator="notBetween">
      <formula>(1-$A$1227)*EX1227</formula>
      <formula>(1+$A$1227)*EX1227</formula>
    </cfRule>
  </conditionalFormatting>
  <conditionalFormatting sqref="EX833:FA833">
    <cfRule type="cellIs" dxfId="0" priority="771" stopIfTrue="1" operator="greaterThan">
      <formula>EX745*(1+$B$814)</formula>
    </cfRule>
  </conditionalFormatting>
  <conditionalFormatting sqref="EX833:FA833">
    <cfRule type="cellIs" dxfId="1" priority="772" stopIfTrue="1" operator="lessThan">
      <formula>EX745*(1-$B$814)</formula>
    </cfRule>
  </conditionalFormatting>
  <conditionalFormatting sqref="EX825:FA825">
    <cfRule type="cellIs" dxfId="0" priority="773" stopIfTrue="1" operator="greaterThan">
      <formula>EX127*(1+$B$814)</formula>
    </cfRule>
  </conditionalFormatting>
  <conditionalFormatting sqref="EX825:FA825">
    <cfRule type="cellIs" dxfId="1" priority="774" stopIfTrue="1" operator="lessThan">
      <formula>EX127*(1-$B$814)</formula>
    </cfRule>
  </conditionalFormatting>
  <conditionalFormatting sqref="EX742:FA742">
    <cfRule type="cellIs" dxfId="0" priority="775" stopIfTrue="1" operator="greaterThan">
      <formula>EX499*(1+$B$814)</formula>
    </cfRule>
  </conditionalFormatting>
  <conditionalFormatting sqref="EX742:FA742">
    <cfRule type="cellIs" dxfId="1" priority="776" stopIfTrue="1" operator="lessThan">
      <formula>EX499*(1-$B$814)</formula>
    </cfRule>
  </conditionalFormatting>
  <conditionalFormatting sqref="EX606:FA606">
    <cfRule type="cellIs" dxfId="0" priority="777" stopIfTrue="1" operator="greaterThan">
      <formula>#REF!*(1+$B$814)</formula>
    </cfRule>
  </conditionalFormatting>
  <conditionalFormatting sqref="EX606:FA606">
    <cfRule type="cellIs" dxfId="1" priority="778" stopIfTrue="1" operator="lessThan">
      <formula>#REF!*(1-$B$814)</formula>
    </cfRule>
  </conditionalFormatting>
  <conditionalFormatting sqref="EX575:FA575">
    <cfRule type="cellIs" dxfId="0" priority="779" stopIfTrue="1" operator="greaterThan">
      <formula>#REF!*(1+$B$814)</formula>
    </cfRule>
  </conditionalFormatting>
  <conditionalFormatting sqref="EX575:FA575">
    <cfRule type="cellIs" dxfId="1" priority="780" stopIfTrue="1" operator="lessThan">
      <formula>#REF!*(1-$B$814)</formula>
    </cfRule>
  </conditionalFormatting>
  <conditionalFormatting sqref="EX666:FA667">
    <cfRule type="cellIs" dxfId="0" priority="781" stopIfTrue="1" operator="greaterThan">
      <formula>EX506*(1+$B$814)</formula>
    </cfRule>
  </conditionalFormatting>
  <conditionalFormatting sqref="EX666:FA667">
    <cfRule type="cellIs" dxfId="1" priority="782" stopIfTrue="1" operator="lessThan">
      <formula>EX506*(1-$B$814)</formula>
    </cfRule>
  </conditionalFormatting>
  <conditionalFormatting sqref="EX649:FA649">
    <cfRule type="cellIs" dxfId="0" priority="783" stopIfTrue="1" operator="greaterThan">
      <formula>EX20*(1+$B$814)</formula>
    </cfRule>
  </conditionalFormatting>
  <conditionalFormatting sqref="EX649:FA649">
    <cfRule type="cellIs" dxfId="1" priority="784" stopIfTrue="1" operator="lessThan">
      <formula>EX20*(1-$B$814)</formula>
    </cfRule>
  </conditionalFormatting>
  <conditionalFormatting sqref="FB519">
    <cfRule type="cellIs" dxfId="0" priority="785" stopIfTrue="1" operator="greaterThan">
      <formula>#REF!*(1+$B$814)</formula>
    </cfRule>
  </conditionalFormatting>
  <conditionalFormatting sqref="FB519">
    <cfRule type="cellIs" dxfId="1" priority="786" stopIfTrue="1" operator="lessThan">
      <formula>#REF!*(1-$B$814)</formula>
    </cfRule>
  </conditionalFormatting>
  <conditionalFormatting sqref="FB763">
    <cfRule type="cellIs" dxfId="0" priority="787" stopIfTrue="1" operator="greaterThan">
      <formula>#REF!*(1+$B$814)</formula>
    </cfRule>
  </conditionalFormatting>
  <conditionalFormatting sqref="FB763">
    <cfRule type="cellIs" dxfId="1" priority="788" stopIfTrue="1" operator="lessThan">
      <formula>#REF!*(1-$B$814)</formula>
    </cfRule>
  </conditionalFormatting>
  <conditionalFormatting sqref="FB733">
    <cfRule type="cellIs" dxfId="0" priority="789" stopIfTrue="1" operator="greaterThan">
      <formula>#REF!*(1+$B$814)</formula>
    </cfRule>
  </conditionalFormatting>
  <conditionalFormatting sqref="FB733">
    <cfRule type="cellIs" dxfId="1" priority="790" stopIfTrue="1" operator="lessThan">
      <formula>#REF!*(1-$B$814)</formula>
    </cfRule>
  </conditionalFormatting>
  <conditionalFormatting sqref="FB683">
    <cfRule type="cellIs" dxfId="0" priority="791" stopIfTrue="1" operator="greaterThan">
      <formula>#REF!*(1+$B$814)</formula>
    </cfRule>
  </conditionalFormatting>
  <conditionalFormatting sqref="FB683">
    <cfRule type="cellIs" dxfId="1" priority="792" stopIfTrue="1" operator="lessThan">
      <formula>#REF!*(1-$B$814)</formula>
    </cfRule>
  </conditionalFormatting>
  <conditionalFormatting sqref="FB657">
    <cfRule type="cellIs" dxfId="0" priority="793" stopIfTrue="1" operator="greaterThan">
      <formula>#REF!*(1+$B$814)</formula>
    </cfRule>
  </conditionalFormatting>
  <conditionalFormatting sqref="FB657">
    <cfRule type="cellIs" dxfId="1" priority="794" stopIfTrue="1" operator="lessThan">
      <formula>#REF!*(1-$B$814)</formula>
    </cfRule>
  </conditionalFormatting>
  <conditionalFormatting sqref="FB586:FB587">
    <cfRule type="cellIs" dxfId="0" priority="795" stopIfTrue="1" operator="greaterThan">
      <formula>FB18*(1+$B$814)</formula>
    </cfRule>
  </conditionalFormatting>
  <conditionalFormatting sqref="FB586:FB587">
    <cfRule type="cellIs" dxfId="1" priority="796" stopIfTrue="1" operator="lessThan">
      <formula>FB18*(1-$B$814)</formula>
    </cfRule>
  </conditionalFormatting>
  <conditionalFormatting sqref="FB858">
    <cfRule type="cellIs" dxfId="0" priority="797" stopIfTrue="1" operator="greaterThan">
      <formula>FB12*(1+$B$859)</formula>
    </cfRule>
  </conditionalFormatting>
  <conditionalFormatting sqref="FB858">
    <cfRule type="cellIs" dxfId="1" priority="798" stopIfTrue="1" operator="lessThan">
      <formula>FB12*(1-$B$859)</formula>
    </cfRule>
  </conditionalFormatting>
  <conditionalFormatting sqref="FB1226">
    <cfRule type="cellIs" dxfId="1" priority="799" stopIfTrue="1" operator="notBetween">
      <formula>(1-$A$1227)*FB1227</formula>
      <formula>(1+$A$1227)*FB1227</formula>
    </cfRule>
  </conditionalFormatting>
  <conditionalFormatting sqref="FB833">
    <cfRule type="cellIs" dxfId="0" priority="800" stopIfTrue="1" operator="greaterThan">
      <formula>FB745*(1+$B$814)</formula>
    </cfRule>
  </conditionalFormatting>
  <conditionalFormatting sqref="FB833">
    <cfRule type="cellIs" dxfId="1" priority="801" stopIfTrue="1" operator="lessThan">
      <formula>FB745*(1-$B$814)</formula>
    </cfRule>
  </conditionalFormatting>
  <conditionalFormatting sqref="FB825">
    <cfRule type="cellIs" dxfId="0" priority="802" stopIfTrue="1" operator="greaterThan">
      <formula>FB127*(1+$B$814)</formula>
    </cfRule>
  </conditionalFormatting>
  <conditionalFormatting sqref="FB825">
    <cfRule type="cellIs" dxfId="1" priority="803" stopIfTrue="1" operator="lessThan">
      <formula>FB127*(1-$B$814)</formula>
    </cfRule>
  </conditionalFormatting>
  <conditionalFormatting sqref="FB742">
    <cfRule type="cellIs" dxfId="0" priority="804" stopIfTrue="1" operator="greaterThan">
      <formula>FB499*(1+$B$814)</formula>
    </cfRule>
  </conditionalFormatting>
  <conditionalFormatting sqref="FB742">
    <cfRule type="cellIs" dxfId="1" priority="805" stopIfTrue="1" operator="lessThan">
      <formula>FB499*(1-$B$814)</formula>
    </cfRule>
  </conditionalFormatting>
  <conditionalFormatting sqref="FB606">
    <cfRule type="cellIs" dxfId="0" priority="806" stopIfTrue="1" operator="greaterThan">
      <formula>#REF!*(1+$B$814)</formula>
    </cfRule>
  </conditionalFormatting>
  <conditionalFormatting sqref="FB606">
    <cfRule type="cellIs" dxfId="1" priority="807" stopIfTrue="1" operator="lessThan">
      <formula>#REF!*(1-$B$814)</formula>
    </cfRule>
  </conditionalFormatting>
  <conditionalFormatting sqref="FB575">
    <cfRule type="cellIs" dxfId="0" priority="808" stopIfTrue="1" operator="greaterThan">
      <formula>#REF!*(1+$B$814)</formula>
    </cfRule>
  </conditionalFormatting>
  <conditionalFormatting sqref="FB575">
    <cfRule type="cellIs" dxfId="1" priority="809" stopIfTrue="1" operator="lessThan">
      <formula>#REF!*(1-$B$814)</formula>
    </cfRule>
  </conditionalFormatting>
  <conditionalFormatting sqref="FB666:FB667">
    <cfRule type="cellIs" dxfId="0" priority="810" stopIfTrue="1" operator="greaterThan">
      <formula>FB506*(1+$B$814)</formula>
    </cfRule>
  </conditionalFormatting>
  <conditionalFormatting sqref="FB666:FB667">
    <cfRule type="cellIs" dxfId="1" priority="811" stopIfTrue="1" operator="lessThan">
      <formula>FB506*(1-$B$814)</formula>
    </cfRule>
  </conditionalFormatting>
  <conditionalFormatting sqref="FB649">
    <cfRule type="cellIs" dxfId="0" priority="812" stopIfTrue="1" operator="greaterThan">
      <formula>FB20*(1+$B$814)</formula>
    </cfRule>
  </conditionalFormatting>
  <conditionalFormatting sqref="FB649">
    <cfRule type="cellIs" dxfId="1" priority="813" stopIfTrue="1" operator="lessThan">
      <formula>FB20*(1-$B$814)</formula>
    </cfRule>
  </conditionalFormatting>
  <conditionalFormatting sqref="EB519">
    <cfRule type="cellIs" dxfId="0" priority="814" stopIfTrue="1" operator="greaterThan">
      <formula>#REF!*(1+$B$814)</formula>
    </cfRule>
  </conditionalFormatting>
  <conditionalFormatting sqref="EB519">
    <cfRule type="cellIs" dxfId="1" priority="815" stopIfTrue="1" operator="lessThan">
      <formula>#REF!*(1-$B$814)</formula>
    </cfRule>
  </conditionalFormatting>
  <conditionalFormatting sqref="EB763">
    <cfRule type="cellIs" dxfId="0" priority="816" stopIfTrue="1" operator="greaterThan">
      <formula>#REF!*(1+$B$814)</formula>
    </cfRule>
  </conditionalFormatting>
  <conditionalFormatting sqref="EB763">
    <cfRule type="cellIs" dxfId="1" priority="817" stopIfTrue="1" operator="lessThan">
      <formula>#REF!*(1-$B$814)</formula>
    </cfRule>
  </conditionalFormatting>
  <conditionalFormatting sqref="EB733">
    <cfRule type="cellIs" dxfId="0" priority="818" stopIfTrue="1" operator="greaterThan">
      <formula>#REF!*(1+$B$814)</formula>
    </cfRule>
  </conditionalFormatting>
  <conditionalFormatting sqref="EB733">
    <cfRule type="cellIs" dxfId="1" priority="819" stopIfTrue="1" operator="lessThan">
      <formula>#REF!*(1-$B$814)</formula>
    </cfRule>
  </conditionalFormatting>
  <conditionalFormatting sqref="EB683">
    <cfRule type="cellIs" dxfId="0" priority="820" stopIfTrue="1" operator="greaterThan">
      <formula>#REF!*(1+$B$814)</formula>
    </cfRule>
  </conditionalFormatting>
  <conditionalFormatting sqref="EB683">
    <cfRule type="cellIs" dxfId="1" priority="821" stopIfTrue="1" operator="lessThan">
      <formula>#REF!*(1-$B$814)</formula>
    </cfRule>
  </conditionalFormatting>
  <conditionalFormatting sqref="EB657">
    <cfRule type="cellIs" dxfId="0" priority="822" stopIfTrue="1" operator="greaterThan">
      <formula>#REF!*(1+$B$814)</formula>
    </cfRule>
  </conditionalFormatting>
  <conditionalFormatting sqref="EB657">
    <cfRule type="cellIs" dxfId="1" priority="823" stopIfTrue="1" operator="lessThan">
      <formula>#REF!*(1-$B$814)</formula>
    </cfRule>
  </conditionalFormatting>
  <conditionalFormatting sqref="EB586:EB587">
    <cfRule type="cellIs" dxfId="0" priority="824" stopIfTrue="1" operator="greaterThan">
      <formula>EB18*(1+$B$814)</formula>
    </cfRule>
  </conditionalFormatting>
  <conditionalFormatting sqref="EB586:EB587">
    <cfRule type="cellIs" dxfId="1" priority="825" stopIfTrue="1" operator="lessThan">
      <formula>EB18*(1-$B$814)</formula>
    </cfRule>
  </conditionalFormatting>
  <conditionalFormatting sqref="EB858">
    <cfRule type="cellIs" dxfId="0" priority="826" stopIfTrue="1" operator="greaterThan">
      <formula>EB12*(1+$B$859)</formula>
    </cfRule>
  </conditionalFormatting>
  <conditionalFormatting sqref="EB858">
    <cfRule type="cellIs" dxfId="1" priority="827" stopIfTrue="1" operator="lessThan">
      <formula>EB12*(1-$B$859)</formula>
    </cfRule>
  </conditionalFormatting>
  <conditionalFormatting sqref="EB852">
    <cfRule type="cellIs" dxfId="1" priority="828" stopIfTrue="1" operator="greaterThan">
      <formula>(EB849+EB850+EB851)*(1+$B$859)</formula>
    </cfRule>
  </conditionalFormatting>
  <conditionalFormatting sqref="EB852">
    <cfRule type="cellIs" dxfId="0" priority="829" stopIfTrue="1" operator="lessThan">
      <formula>(EB849+EB850+EB851)*(1-$B$859)</formula>
    </cfRule>
  </conditionalFormatting>
  <conditionalFormatting sqref="EB857">
    <cfRule type="cellIs" dxfId="1" priority="830" stopIfTrue="1" operator="notBetween">
      <formula>(EB854+EB855+EB856)*(1+$B$859)</formula>
      <formula>(EB853+EB855+EB856)*(1-$B$859)</formula>
    </cfRule>
  </conditionalFormatting>
  <conditionalFormatting sqref="EB1226">
    <cfRule type="cellIs" dxfId="1" priority="831" stopIfTrue="1" operator="notBetween">
      <formula>(1-$A$1227)*EB1227</formula>
      <formula>(1+$A$1227)*EB1227</formula>
    </cfRule>
  </conditionalFormatting>
  <conditionalFormatting sqref="EB833">
    <cfRule type="cellIs" dxfId="0" priority="832" stopIfTrue="1" operator="greaterThan">
      <formula>EB745*(1+$B$814)</formula>
    </cfRule>
  </conditionalFormatting>
  <conditionalFormatting sqref="EB833">
    <cfRule type="cellIs" dxfId="1" priority="833" stopIfTrue="1" operator="lessThan">
      <formula>EB745*(1-$B$814)</formula>
    </cfRule>
  </conditionalFormatting>
  <conditionalFormatting sqref="EB825">
    <cfRule type="cellIs" dxfId="0" priority="834" stopIfTrue="1" operator="greaterThan">
      <formula>EB127*(1+$B$814)</formula>
    </cfRule>
  </conditionalFormatting>
  <conditionalFormatting sqref="EB825">
    <cfRule type="cellIs" dxfId="1" priority="835" stopIfTrue="1" operator="lessThan">
      <formula>EB127*(1-$B$814)</formula>
    </cfRule>
  </conditionalFormatting>
  <conditionalFormatting sqref="EB742">
    <cfRule type="cellIs" dxfId="0" priority="836" stopIfTrue="1" operator="greaterThan">
      <formula>EB499*(1+$B$814)</formula>
    </cfRule>
  </conditionalFormatting>
  <conditionalFormatting sqref="EB742">
    <cfRule type="cellIs" dxfId="1" priority="837" stopIfTrue="1" operator="lessThan">
      <formula>EB499*(1-$B$814)</formula>
    </cfRule>
  </conditionalFormatting>
  <conditionalFormatting sqref="EB606">
    <cfRule type="cellIs" dxfId="0" priority="838" stopIfTrue="1" operator="greaterThan">
      <formula>#REF!*(1+$B$814)</formula>
    </cfRule>
  </conditionalFormatting>
  <conditionalFormatting sqref="EB606">
    <cfRule type="cellIs" dxfId="1" priority="839" stopIfTrue="1" operator="lessThan">
      <formula>#REF!*(1-$B$814)</formula>
    </cfRule>
  </conditionalFormatting>
  <conditionalFormatting sqref="EB575">
    <cfRule type="cellIs" dxfId="0" priority="840" stopIfTrue="1" operator="greaterThan">
      <formula>#REF!*(1+$B$814)</formula>
    </cfRule>
  </conditionalFormatting>
  <conditionalFormatting sqref="EB575">
    <cfRule type="cellIs" dxfId="1" priority="841" stopIfTrue="1" operator="lessThan">
      <formula>#REF!*(1-$B$814)</formula>
    </cfRule>
  </conditionalFormatting>
  <conditionalFormatting sqref="EB666:EB667">
    <cfRule type="cellIs" dxfId="0" priority="842" stopIfTrue="1" operator="greaterThan">
      <formula>EB506*(1+$B$814)</formula>
    </cfRule>
  </conditionalFormatting>
  <conditionalFormatting sqref="EB666:EB667">
    <cfRule type="cellIs" dxfId="1" priority="843" stopIfTrue="1" operator="lessThan">
      <formula>EB506*(1-$B$814)</formula>
    </cfRule>
  </conditionalFormatting>
  <conditionalFormatting sqref="EB649">
    <cfRule type="cellIs" dxfId="0" priority="844" stopIfTrue="1" operator="greaterThan">
      <formula>EB20*(1+$B$814)</formula>
    </cfRule>
  </conditionalFormatting>
  <conditionalFormatting sqref="EB649">
    <cfRule type="cellIs" dxfId="1" priority="845" stopIfTrue="1" operator="lessThan">
      <formula>EB20*(1-$B$814)</formula>
    </cfRule>
  </conditionalFormatting>
  <conditionalFormatting sqref="ED519">
    <cfRule type="cellIs" dxfId="0" priority="846" stopIfTrue="1" operator="greaterThan">
      <formula>#REF!*(1+$B$814)</formula>
    </cfRule>
  </conditionalFormatting>
  <conditionalFormatting sqref="ED519">
    <cfRule type="cellIs" dxfId="1" priority="847" stopIfTrue="1" operator="lessThan">
      <formula>#REF!*(1-$B$814)</formula>
    </cfRule>
  </conditionalFormatting>
  <conditionalFormatting sqref="ED763">
    <cfRule type="cellIs" dxfId="0" priority="848" stopIfTrue="1" operator="greaterThan">
      <formula>#REF!*(1+$B$814)</formula>
    </cfRule>
  </conditionalFormatting>
  <conditionalFormatting sqref="ED763">
    <cfRule type="cellIs" dxfId="1" priority="849" stopIfTrue="1" operator="lessThan">
      <formula>#REF!*(1-$B$814)</formula>
    </cfRule>
  </conditionalFormatting>
  <conditionalFormatting sqref="ED733">
    <cfRule type="cellIs" dxfId="0" priority="850" stopIfTrue="1" operator="greaterThan">
      <formula>#REF!*(1+$B$814)</formula>
    </cfRule>
  </conditionalFormatting>
  <conditionalFormatting sqref="ED733">
    <cfRule type="cellIs" dxfId="1" priority="851" stopIfTrue="1" operator="lessThan">
      <formula>#REF!*(1-$B$814)</formula>
    </cfRule>
  </conditionalFormatting>
  <conditionalFormatting sqref="ED683">
    <cfRule type="cellIs" dxfId="0" priority="852" stopIfTrue="1" operator="greaterThan">
      <formula>#REF!*(1+$B$814)</formula>
    </cfRule>
  </conditionalFormatting>
  <conditionalFormatting sqref="ED683">
    <cfRule type="cellIs" dxfId="1" priority="853" stopIfTrue="1" operator="lessThan">
      <formula>#REF!*(1-$B$814)</formula>
    </cfRule>
  </conditionalFormatting>
  <conditionalFormatting sqref="ED657">
    <cfRule type="cellIs" dxfId="0" priority="854" stopIfTrue="1" operator="greaterThan">
      <formula>#REF!*(1+$B$814)</formula>
    </cfRule>
  </conditionalFormatting>
  <conditionalFormatting sqref="ED657">
    <cfRule type="cellIs" dxfId="1" priority="855" stopIfTrue="1" operator="lessThan">
      <formula>#REF!*(1-$B$814)</formula>
    </cfRule>
  </conditionalFormatting>
  <conditionalFormatting sqref="ED586:ED587">
    <cfRule type="cellIs" dxfId="0" priority="856" stopIfTrue="1" operator="greaterThan">
      <formula>ED18*(1+$B$814)</formula>
    </cfRule>
  </conditionalFormatting>
  <conditionalFormatting sqref="ED586:ED587">
    <cfRule type="cellIs" dxfId="1" priority="857" stopIfTrue="1" operator="lessThan">
      <formula>ED18*(1-$B$814)</formula>
    </cfRule>
  </conditionalFormatting>
  <conditionalFormatting sqref="ED858">
    <cfRule type="cellIs" dxfId="0" priority="858" stopIfTrue="1" operator="greaterThan">
      <formula>ED12*(1+$B$859)</formula>
    </cfRule>
  </conditionalFormatting>
  <conditionalFormatting sqref="ED858">
    <cfRule type="cellIs" dxfId="1" priority="859" stopIfTrue="1" operator="lessThan">
      <formula>ED12*(1-$B$859)</formula>
    </cfRule>
  </conditionalFormatting>
  <conditionalFormatting sqref="ED852">
    <cfRule type="cellIs" dxfId="1" priority="860" stopIfTrue="1" operator="greaterThan">
      <formula>(ED849+ED850+ED851)*(1+$B$859)</formula>
    </cfRule>
  </conditionalFormatting>
  <conditionalFormatting sqref="ED852">
    <cfRule type="cellIs" dxfId="0" priority="861" stopIfTrue="1" operator="lessThan">
      <formula>(ED849+ED850+ED851)*(1-$B$859)</formula>
    </cfRule>
  </conditionalFormatting>
  <conditionalFormatting sqref="ED857">
    <cfRule type="cellIs" dxfId="1" priority="862" stopIfTrue="1" operator="notBetween">
      <formula>(ED854+ED855+ED856)*(1+$B$859)</formula>
      <formula>(ED853+ED855+ED856)*(1-$B$859)</formula>
    </cfRule>
  </conditionalFormatting>
  <conditionalFormatting sqref="ED1226">
    <cfRule type="cellIs" dxfId="1" priority="863" stopIfTrue="1" operator="notBetween">
      <formula>(1-$A$1227)*ED1227</formula>
      <formula>(1+$A$1227)*ED1227</formula>
    </cfRule>
  </conditionalFormatting>
  <conditionalFormatting sqref="ED833">
    <cfRule type="cellIs" dxfId="0" priority="864" stopIfTrue="1" operator="greaterThan">
      <formula>ED745*(1+$B$814)</formula>
    </cfRule>
  </conditionalFormatting>
  <conditionalFormatting sqref="ED833">
    <cfRule type="cellIs" dxfId="1" priority="865" stopIfTrue="1" operator="lessThan">
      <formula>ED745*(1-$B$814)</formula>
    </cfRule>
  </conditionalFormatting>
  <conditionalFormatting sqref="ED825">
    <cfRule type="cellIs" dxfId="0" priority="866" stopIfTrue="1" operator="greaterThan">
      <formula>ED127*(1+$B$814)</formula>
    </cfRule>
  </conditionalFormatting>
  <conditionalFormatting sqref="ED825">
    <cfRule type="cellIs" dxfId="1" priority="867" stopIfTrue="1" operator="lessThan">
      <formula>ED127*(1-$B$814)</formula>
    </cfRule>
  </conditionalFormatting>
  <conditionalFormatting sqref="ED742">
    <cfRule type="cellIs" dxfId="0" priority="868" stopIfTrue="1" operator="greaterThan">
      <formula>ED499*(1+$B$814)</formula>
    </cfRule>
  </conditionalFormatting>
  <conditionalFormatting sqref="ED742">
    <cfRule type="cellIs" dxfId="1" priority="869" stopIfTrue="1" operator="lessThan">
      <formula>ED499*(1-$B$814)</formula>
    </cfRule>
  </conditionalFormatting>
  <conditionalFormatting sqref="ED606">
    <cfRule type="cellIs" dxfId="0" priority="870" stopIfTrue="1" operator="greaterThan">
      <formula>#REF!*(1+$B$814)</formula>
    </cfRule>
  </conditionalFormatting>
  <conditionalFormatting sqref="ED606">
    <cfRule type="cellIs" dxfId="1" priority="871" stopIfTrue="1" operator="lessThan">
      <formula>#REF!*(1-$B$814)</formula>
    </cfRule>
  </conditionalFormatting>
  <conditionalFormatting sqref="ED575">
    <cfRule type="cellIs" dxfId="0" priority="872" stopIfTrue="1" operator="greaterThan">
      <formula>#REF!*(1+$B$814)</formula>
    </cfRule>
  </conditionalFormatting>
  <conditionalFormatting sqref="ED575">
    <cfRule type="cellIs" dxfId="1" priority="873" stopIfTrue="1" operator="lessThan">
      <formula>#REF!*(1-$B$814)</formula>
    </cfRule>
  </conditionalFormatting>
  <conditionalFormatting sqref="ED666:ED667">
    <cfRule type="cellIs" dxfId="0" priority="874" stopIfTrue="1" operator="greaterThan">
      <formula>ED506*(1+$B$814)</formula>
    </cfRule>
  </conditionalFormatting>
  <conditionalFormatting sqref="ED666:ED667">
    <cfRule type="cellIs" dxfId="1" priority="875" stopIfTrue="1" operator="lessThan">
      <formula>ED506*(1-$B$814)</formula>
    </cfRule>
  </conditionalFormatting>
  <conditionalFormatting sqref="ED649">
    <cfRule type="cellIs" dxfId="0" priority="876" stopIfTrue="1" operator="greaterThan">
      <formula>ED20*(1+$B$814)</formula>
    </cfRule>
  </conditionalFormatting>
  <conditionalFormatting sqref="ED649">
    <cfRule type="cellIs" dxfId="1" priority="877" stopIfTrue="1" operator="lessThan">
      <formula>ED20*(1-$B$814)</formula>
    </cfRule>
  </conditionalFormatting>
  <conditionalFormatting sqref="EE519">
    <cfRule type="cellIs" dxfId="0" priority="878" stopIfTrue="1" operator="greaterThan">
      <formula>#REF!*(1+$B$814)</formula>
    </cfRule>
  </conditionalFormatting>
  <conditionalFormatting sqref="EE519">
    <cfRule type="cellIs" dxfId="1" priority="879" stopIfTrue="1" operator="lessThan">
      <formula>#REF!*(1-$B$814)</formula>
    </cfRule>
  </conditionalFormatting>
  <conditionalFormatting sqref="EE763">
    <cfRule type="cellIs" dxfId="0" priority="880" stopIfTrue="1" operator="greaterThan">
      <formula>#REF!*(1+$B$814)</formula>
    </cfRule>
  </conditionalFormatting>
  <conditionalFormatting sqref="EE763">
    <cfRule type="cellIs" dxfId="1" priority="881" stopIfTrue="1" operator="lessThan">
      <formula>#REF!*(1-$B$814)</formula>
    </cfRule>
  </conditionalFormatting>
  <conditionalFormatting sqref="EE733">
    <cfRule type="cellIs" dxfId="0" priority="882" stopIfTrue="1" operator="greaterThan">
      <formula>#REF!*(1+$B$814)</formula>
    </cfRule>
  </conditionalFormatting>
  <conditionalFormatting sqref="EE733">
    <cfRule type="cellIs" dxfId="1" priority="883" stopIfTrue="1" operator="lessThan">
      <formula>#REF!*(1-$B$814)</formula>
    </cfRule>
  </conditionalFormatting>
  <conditionalFormatting sqref="EE683">
    <cfRule type="cellIs" dxfId="0" priority="884" stopIfTrue="1" operator="greaterThan">
      <formula>#REF!*(1+$B$814)</formula>
    </cfRule>
  </conditionalFormatting>
  <conditionalFormatting sqref="EE683">
    <cfRule type="cellIs" dxfId="1" priority="885" stopIfTrue="1" operator="lessThan">
      <formula>#REF!*(1-$B$814)</formula>
    </cfRule>
  </conditionalFormatting>
  <conditionalFormatting sqref="EE657">
    <cfRule type="cellIs" dxfId="0" priority="886" stopIfTrue="1" operator="greaterThan">
      <formula>#REF!*(1+$B$814)</formula>
    </cfRule>
  </conditionalFormatting>
  <conditionalFormatting sqref="EE657">
    <cfRule type="cellIs" dxfId="1" priority="887" stopIfTrue="1" operator="lessThan">
      <formula>#REF!*(1-$B$814)</formula>
    </cfRule>
  </conditionalFormatting>
  <conditionalFormatting sqref="EE586:EE587">
    <cfRule type="cellIs" dxfId="0" priority="888" stopIfTrue="1" operator="greaterThan">
      <formula>EE18*(1+$B$814)</formula>
    </cfRule>
  </conditionalFormatting>
  <conditionalFormatting sqref="EE586:EE587">
    <cfRule type="cellIs" dxfId="1" priority="889" stopIfTrue="1" operator="lessThan">
      <formula>EE18*(1-$B$814)</formula>
    </cfRule>
  </conditionalFormatting>
  <conditionalFormatting sqref="EE858">
    <cfRule type="cellIs" dxfId="0" priority="890" stopIfTrue="1" operator="greaterThan">
      <formula>EE12*(1+$B$859)</formula>
    </cfRule>
  </conditionalFormatting>
  <conditionalFormatting sqref="EE858">
    <cfRule type="cellIs" dxfId="1" priority="891" stopIfTrue="1" operator="lessThan">
      <formula>EE12*(1-$B$859)</formula>
    </cfRule>
  </conditionalFormatting>
  <conditionalFormatting sqref="EE852">
    <cfRule type="cellIs" dxfId="1" priority="892" stopIfTrue="1" operator="greaterThan">
      <formula>(EE849+EE850+EE851)*(1+$B$859)</formula>
    </cfRule>
  </conditionalFormatting>
  <conditionalFormatting sqref="EE852">
    <cfRule type="cellIs" dxfId="0" priority="893" stopIfTrue="1" operator="lessThan">
      <formula>(EE849+EE850+EE851)*(1-$B$859)</formula>
    </cfRule>
  </conditionalFormatting>
  <conditionalFormatting sqref="EE857">
    <cfRule type="cellIs" dxfId="1" priority="894" stopIfTrue="1" operator="notBetween">
      <formula>(EE854+EE855+EE856)*(1+$B$859)</formula>
      <formula>(EE853+EE855+EE856)*(1-$B$859)</formula>
    </cfRule>
  </conditionalFormatting>
  <conditionalFormatting sqref="EE1226">
    <cfRule type="cellIs" dxfId="1" priority="895" stopIfTrue="1" operator="notBetween">
      <formula>(1-$A$1227)*EE1227</formula>
      <formula>(1+$A$1227)*EE1227</formula>
    </cfRule>
  </conditionalFormatting>
  <conditionalFormatting sqref="EE833">
    <cfRule type="cellIs" dxfId="0" priority="896" stopIfTrue="1" operator="greaterThan">
      <formula>EE745*(1+$B$814)</formula>
    </cfRule>
  </conditionalFormatting>
  <conditionalFormatting sqref="EE833">
    <cfRule type="cellIs" dxfId="1" priority="897" stopIfTrue="1" operator="lessThan">
      <formula>EE745*(1-$B$814)</formula>
    </cfRule>
  </conditionalFormatting>
  <conditionalFormatting sqref="EE825">
    <cfRule type="cellIs" dxfId="0" priority="898" stopIfTrue="1" operator="greaterThan">
      <formula>EE127*(1+$B$814)</formula>
    </cfRule>
  </conditionalFormatting>
  <conditionalFormatting sqref="EE825">
    <cfRule type="cellIs" dxfId="1" priority="899" stopIfTrue="1" operator="lessThan">
      <formula>EE127*(1-$B$814)</formula>
    </cfRule>
  </conditionalFormatting>
  <conditionalFormatting sqref="EE742">
    <cfRule type="cellIs" dxfId="0" priority="900" stopIfTrue="1" operator="greaterThan">
      <formula>EE499*(1+$B$814)</formula>
    </cfRule>
  </conditionalFormatting>
  <conditionalFormatting sqref="EE742">
    <cfRule type="cellIs" dxfId="1" priority="901" stopIfTrue="1" operator="lessThan">
      <formula>EE499*(1-$B$814)</formula>
    </cfRule>
  </conditionalFormatting>
  <conditionalFormatting sqref="EE606">
    <cfRule type="cellIs" dxfId="0" priority="902" stopIfTrue="1" operator="greaterThan">
      <formula>#REF!*(1+$B$814)</formula>
    </cfRule>
  </conditionalFormatting>
  <conditionalFormatting sqref="EE606">
    <cfRule type="cellIs" dxfId="1" priority="903" stopIfTrue="1" operator="lessThan">
      <formula>#REF!*(1-$B$814)</formula>
    </cfRule>
  </conditionalFormatting>
  <conditionalFormatting sqref="EE575">
    <cfRule type="cellIs" dxfId="0" priority="904" stopIfTrue="1" operator="greaterThan">
      <formula>#REF!*(1+$B$814)</formula>
    </cfRule>
  </conditionalFormatting>
  <conditionalFormatting sqref="EE575">
    <cfRule type="cellIs" dxfId="1" priority="905" stopIfTrue="1" operator="lessThan">
      <formula>#REF!*(1-$B$814)</formula>
    </cfRule>
  </conditionalFormatting>
  <conditionalFormatting sqref="EE666:EE667">
    <cfRule type="cellIs" dxfId="0" priority="906" stopIfTrue="1" operator="greaterThan">
      <formula>EE506*(1+$B$814)</formula>
    </cfRule>
  </conditionalFormatting>
  <conditionalFormatting sqref="EE666:EE667">
    <cfRule type="cellIs" dxfId="1" priority="907" stopIfTrue="1" operator="lessThan">
      <formula>EE506*(1-$B$814)</formula>
    </cfRule>
  </conditionalFormatting>
  <conditionalFormatting sqref="EE649">
    <cfRule type="cellIs" dxfId="0" priority="908" stopIfTrue="1" operator="greaterThan">
      <formula>EE20*(1+$B$814)</formula>
    </cfRule>
  </conditionalFormatting>
  <conditionalFormatting sqref="EE649">
    <cfRule type="cellIs" dxfId="1" priority="909" stopIfTrue="1" operator="lessThan">
      <formula>EE20*(1-$B$814)</formula>
    </cfRule>
  </conditionalFormatting>
  <conditionalFormatting sqref="EF519:EG519">
    <cfRule type="cellIs" dxfId="0" priority="910" stopIfTrue="1" operator="greaterThan">
      <formula>#REF!*(1+$B$814)</formula>
    </cfRule>
  </conditionalFormatting>
  <conditionalFormatting sqref="EF519:EG519">
    <cfRule type="cellIs" dxfId="1" priority="911" stopIfTrue="1" operator="lessThan">
      <formula>#REF!*(1-$B$814)</formula>
    </cfRule>
  </conditionalFormatting>
  <conditionalFormatting sqref="EF763:EG763">
    <cfRule type="cellIs" dxfId="0" priority="912" stopIfTrue="1" operator="greaterThan">
      <formula>#REF!*(1+$B$814)</formula>
    </cfRule>
  </conditionalFormatting>
  <conditionalFormatting sqref="EF763:EG763">
    <cfRule type="cellIs" dxfId="1" priority="913" stopIfTrue="1" operator="lessThan">
      <formula>#REF!*(1-$B$814)</formula>
    </cfRule>
  </conditionalFormatting>
  <conditionalFormatting sqref="EF733:EG733">
    <cfRule type="cellIs" dxfId="0" priority="914" stopIfTrue="1" operator="greaterThan">
      <formula>#REF!*(1+$B$814)</formula>
    </cfRule>
  </conditionalFormatting>
  <conditionalFormatting sqref="EF733:EG733">
    <cfRule type="cellIs" dxfId="1" priority="915" stopIfTrue="1" operator="lessThan">
      <formula>#REF!*(1-$B$814)</formula>
    </cfRule>
  </conditionalFormatting>
  <conditionalFormatting sqref="EF683:EG683">
    <cfRule type="cellIs" dxfId="0" priority="916" stopIfTrue="1" operator="greaterThan">
      <formula>#REF!*(1+$B$814)</formula>
    </cfRule>
  </conditionalFormatting>
  <conditionalFormatting sqref="EF683:EG683">
    <cfRule type="cellIs" dxfId="1" priority="917" stopIfTrue="1" operator="lessThan">
      <formula>#REF!*(1-$B$814)</formula>
    </cfRule>
  </conditionalFormatting>
  <conditionalFormatting sqref="EF657:EG657">
    <cfRule type="cellIs" dxfId="0" priority="918" stopIfTrue="1" operator="greaterThan">
      <formula>#REF!*(1+$B$814)</formula>
    </cfRule>
  </conditionalFormatting>
  <conditionalFormatting sqref="EF657:EG657">
    <cfRule type="cellIs" dxfId="1" priority="919" stopIfTrue="1" operator="lessThan">
      <formula>#REF!*(1-$B$814)</formula>
    </cfRule>
  </conditionalFormatting>
  <conditionalFormatting sqref="EF586:EF587">
    <cfRule type="cellIs" dxfId="0" priority="920" stopIfTrue="1" operator="greaterThan">
      <formula>EF18*(1+$B$814)</formula>
    </cfRule>
  </conditionalFormatting>
  <conditionalFormatting sqref="EF586:EF587">
    <cfRule type="cellIs" dxfId="1" priority="921" stopIfTrue="1" operator="lessThan">
      <formula>EF18*(1-$B$814)</formula>
    </cfRule>
  </conditionalFormatting>
  <conditionalFormatting sqref="EF858:EG858">
    <cfRule type="cellIs" dxfId="0" priority="922" stopIfTrue="1" operator="greaterThan">
      <formula>EF12*(1+$B$859)</formula>
    </cfRule>
  </conditionalFormatting>
  <conditionalFormatting sqref="EF858:EG858">
    <cfRule type="cellIs" dxfId="1" priority="923" stopIfTrue="1" operator="lessThan">
      <formula>EF12*(1-$B$859)</formula>
    </cfRule>
  </conditionalFormatting>
  <conditionalFormatting sqref="EF852:EG852">
    <cfRule type="cellIs" dxfId="1" priority="924" stopIfTrue="1" operator="greaterThan">
      <formula>(EF849+EF850+EF851)*(1+$B$859)</formula>
    </cfRule>
  </conditionalFormatting>
  <conditionalFormatting sqref="EF852:EG852">
    <cfRule type="cellIs" dxfId="0" priority="925" stopIfTrue="1" operator="lessThan">
      <formula>(EF849+EF850+EF851)*(1-$B$859)</formula>
    </cfRule>
  </conditionalFormatting>
  <conditionalFormatting sqref="EF857:EG857">
    <cfRule type="cellIs" dxfId="1" priority="926" stopIfTrue="1" operator="notBetween">
      <formula>(EF854+EF855+EF856)*(1+$B$859)</formula>
      <formula>(EF853+EF855+EF856)*(1-$B$859)</formula>
    </cfRule>
  </conditionalFormatting>
  <conditionalFormatting sqref="EF1226:EG1226">
    <cfRule type="cellIs" dxfId="1" priority="927" stopIfTrue="1" operator="notBetween">
      <formula>(1-$A$1227)*EF1227</formula>
      <formula>(1+$A$1227)*EF1227</formula>
    </cfRule>
  </conditionalFormatting>
  <conditionalFormatting sqref="EF833:EG833">
    <cfRule type="cellIs" dxfId="0" priority="928" stopIfTrue="1" operator="greaterThan">
      <formula>EF745*(1+$B$814)</formula>
    </cfRule>
  </conditionalFormatting>
  <conditionalFormatting sqref="EF833:EG833">
    <cfRule type="cellIs" dxfId="1" priority="929" stopIfTrue="1" operator="lessThan">
      <formula>EF745*(1-$B$814)</formula>
    </cfRule>
  </conditionalFormatting>
  <conditionalFormatting sqref="EF825:EG825">
    <cfRule type="cellIs" dxfId="0" priority="930" stopIfTrue="1" operator="greaterThan">
      <formula>EF127*(1+$B$814)</formula>
    </cfRule>
  </conditionalFormatting>
  <conditionalFormatting sqref="EF825:EG825">
    <cfRule type="cellIs" dxfId="1" priority="931" stopIfTrue="1" operator="lessThan">
      <formula>EF127*(1-$B$814)</formula>
    </cfRule>
  </conditionalFormatting>
  <conditionalFormatting sqref="EF742:EG742">
    <cfRule type="cellIs" dxfId="0" priority="932" stopIfTrue="1" operator="greaterThan">
      <formula>EF499*(1+$B$814)</formula>
    </cfRule>
  </conditionalFormatting>
  <conditionalFormatting sqref="EF742:EG742">
    <cfRule type="cellIs" dxfId="1" priority="933" stopIfTrue="1" operator="lessThan">
      <formula>EF499*(1-$B$814)</formula>
    </cfRule>
  </conditionalFormatting>
  <conditionalFormatting sqref="EF606:EG606">
    <cfRule type="cellIs" dxfId="0" priority="934" stopIfTrue="1" operator="greaterThan">
      <formula>#REF!*(1+$B$814)</formula>
    </cfRule>
  </conditionalFormatting>
  <conditionalFormatting sqref="EF606:EG606">
    <cfRule type="cellIs" dxfId="1" priority="935" stopIfTrue="1" operator="lessThan">
      <formula>#REF!*(1-$B$814)</formula>
    </cfRule>
  </conditionalFormatting>
  <conditionalFormatting sqref="EF575:EG575">
    <cfRule type="cellIs" dxfId="0" priority="936" stopIfTrue="1" operator="greaterThan">
      <formula>#REF!*(1+$B$814)</formula>
    </cfRule>
  </conditionalFormatting>
  <conditionalFormatting sqref="EF575:EG575">
    <cfRule type="cellIs" dxfId="1" priority="937" stopIfTrue="1" operator="lessThan">
      <formula>#REF!*(1-$B$814)</formula>
    </cfRule>
  </conditionalFormatting>
  <conditionalFormatting sqref="EF666:EF667">
    <cfRule type="cellIs" dxfId="0" priority="938" stopIfTrue="1" operator="greaterThan">
      <formula>EF506*(1+$B$814)</formula>
    </cfRule>
  </conditionalFormatting>
  <conditionalFormatting sqref="EF666:EF667">
    <cfRule type="cellIs" dxfId="1" priority="939" stopIfTrue="1" operator="lessThan">
      <formula>EF506*(1-$B$814)</formula>
    </cfRule>
  </conditionalFormatting>
  <conditionalFormatting sqref="EF649:EG649">
    <cfRule type="cellIs" dxfId="0" priority="940" stopIfTrue="1" operator="greaterThan">
      <formula>EF20*(1+$B$814)</formula>
    </cfRule>
  </conditionalFormatting>
  <conditionalFormatting sqref="EF649:EG649">
    <cfRule type="cellIs" dxfId="1" priority="941" stopIfTrue="1" operator="lessThan">
      <formula>EF20*(1-$B$814)</formula>
    </cfRule>
  </conditionalFormatting>
  <conditionalFormatting sqref="FC858:FF858">
    <cfRule type="cellIs" dxfId="0" priority="942" stopIfTrue="1" operator="greaterThan">
      <formula>FC12*(1+$B$859)</formula>
    </cfRule>
  </conditionalFormatting>
  <conditionalFormatting sqref="FC858:FF858">
    <cfRule type="cellIs" dxfId="1" priority="943" stopIfTrue="1" operator="lessThan">
      <formula>FC12*(1-$B$859)</formula>
    </cfRule>
  </conditionalFormatting>
  <conditionalFormatting sqref="FC519:FF519">
    <cfRule type="cellIs" dxfId="0" priority="944" stopIfTrue="1" operator="greaterThan">
      <formula>#REF!*(1+$B$814)</formula>
    </cfRule>
  </conditionalFormatting>
  <conditionalFormatting sqref="FC519:FF519">
    <cfRule type="cellIs" dxfId="1" priority="945" stopIfTrue="1" operator="lessThan">
      <formula>#REF!*(1-$B$814)</formula>
    </cfRule>
  </conditionalFormatting>
  <conditionalFormatting sqref="FC763:FF763">
    <cfRule type="cellIs" dxfId="0" priority="946" stopIfTrue="1" operator="greaterThan">
      <formula>#REF!*(1+$B$814)</formula>
    </cfRule>
  </conditionalFormatting>
  <conditionalFormatting sqref="FC763:FF763">
    <cfRule type="cellIs" dxfId="1" priority="947" stopIfTrue="1" operator="lessThan">
      <formula>#REF!*(1-$B$814)</formula>
    </cfRule>
  </conditionalFormatting>
  <conditionalFormatting sqref="FC733:FF733">
    <cfRule type="cellIs" dxfId="0" priority="948" stopIfTrue="1" operator="greaterThan">
      <formula>#REF!*(1+$B$814)</formula>
    </cfRule>
  </conditionalFormatting>
  <conditionalFormatting sqref="FC733:FF733">
    <cfRule type="cellIs" dxfId="1" priority="949" stopIfTrue="1" operator="lessThan">
      <formula>#REF!*(1-$B$814)</formula>
    </cfRule>
  </conditionalFormatting>
  <conditionalFormatting sqref="FC683:FF683">
    <cfRule type="cellIs" dxfId="0" priority="950" stopIfTrue="1" operator="greaterThan">
      <formula>#REF!*(1+$B$814)</formula>
    </cfRule>
  </conditionalFormatting>
  <conditionalFormatting sqref="FC683:FF683">
    <cfRule type="cellIs" dxfId="1" priority="951" stopIfTrue="1" operator="lessThan">
      <formula>#REF!*(1-$B$814)</formula>
    </cfRule>
  </conditionalFormatting>
  <conditionalFormatting sqref="FC657:FF657">
    <cfRule type="cellIs" dxfId="0" priority="952" stopIfTrue="1" operator="greaterThan">
      <formula>#REF!*(1+$B$814)</formula>
    </cfRule>
  </conditionalFormatting>
  <conditionalFormatting sqref="FC657:FF657">
    <cfRule type="cellIs" dxfId="1" priority="953" stopIfTrue="1" operator="lessThan">
      <formula>#REF!*(1-$B$814)</formula>
    </cfRule>
  </conditionalFormatting>
  <conditionalFormatting sqref="FC586:FF587">
    <cfRule type="cellIs" dxfId="0" priority="954" stopIfTrue="1" operator="greaterThan">
      <formula>FC18*(1+$B$814)</formula>
    </cfRule>
  </conditionalFormatting>
  <conditionalFormatting sqref="FC586:FF587">
    <cfRule type="cellIs" dxfId="1" priority="955" stopIfTrue="1" operator="lessThan">
      <formula>FC18*(1-$B$814)</formula>
    </cfRule>
  </conditionalFormatting>
  <conditionalFormatting sqref="FC852:FF852">
    <cfRule type="cellIs" dxfId="1" priority="956" stopIfTrue="1" operator="greaterThan">
      <formula>(FC849+FC850+FC851)*(1+$B$859)</formula>
    </cfRule>
  </conditionalFormatting>
  <conditionalFormatting sqref="FC852:FF852">
    <cfRule type="cellIs" dxfId="0" priority="957" stopIfTrue="1" operator="lessThan">
      <formula>(FC849+FC850+FC851)*(1-$B$859)</formula>
    </cfRule>
  </conditionalFormatting>
  <conditionalFormatting sqref="FC857:FF857">
    <cfRule type="cellIs" dxfId="1" priority="958" stopIfTrue="1" operator="notBetween">
      <formula>(FC854+FC855+FC856)*(1+$B$859)</formula>
      <formula>(FC853+FC855+FC856)*(1-$B$859)</formula>
    </cfRule>
  </conditionalFormatting>
  <conditionalFormatting sqref="FC1226:FF1226">
    <cfRule type="cellIs" dxfId="1" priority="959" stopIfTrue="1" operator="notBetween">
      <formula>(1-$A$1227)*FC1227</formula>
      <formula>(1+$A$1227)*FC1227</formula>
    </cfRule>
  </conditionalFormatting>
  <conditionalFormatting sqref="FC833:FF833">
    <cfRule type="cellIs" dxfId="0" priority="960" stopIfTrue="1" operator="greaterThan">
      <formula>FC745*(1+$B$814)</formula>
    </cfRule>
  </conditionalFormatting>
  <conditionalFormatting sqref="FC833:FF833">
    <cfRule type="cellIs" dxfId="1" priority="961" stopIfTrue="1" operator="lessThan">
      <formula>FC745*(1-$B$814)</formula>
    </cfRule>
  </conditionalFormatting>
  <conditionalFormatting sqref="FC825:FF825">
    <cfRule type="cellIs" dxfId="0" priority="962" stopIfTrue="1" operator="greaterThan">
      <formula>FC127*(1+$B$814)</formula>
    </cfRule>
  </conditionalFormatting>
  <conditionalFormatting sqref="FC825:FF825">
    <cfRule type="cellIs" dxfId="1" priority="963" stopIfTrue="1" operator="lessThan">
      <formula>FC127*(1-$B$814)</formula>
    </cfRule>
  </conditionalFormatting>
  <conditionalFormatting sqref="FC742:FF742">
    <cfRule type="cellIs" dxfId="0" priority="964" stopIfTrue="1" operator="greaterThan">
      <formula>FC499*(1+$B$814)</formula>
    </cfRule>
  </conditionalFormatting>
  <conditionalFormatting sqref="FC742:FF742">
    <cfRule type="cellIs" dxfId="1" priority="965" stopIfTrue="1" operator="lessThan">
      <formula>FC499*(1-$B$814)</formula>
    </cfRule>
  </conditionalFormatting>
  <conditionalFormatting sqref="FC606:FF606">
    <cfRule type="cellIs" dxfId="0" priority="966" stopIfTrue="1" operator="greaterThan">
      <formula>#REF!*(1+$B$814)</formula>
    </cfRule>
  </conditionalFormatting>
  <conditionalFormatting sqref="FC606:FF606">
    <cfRule type="cellIs" dxfId="1" priority="967" stopIfTrue="1" operator="lessThan">
      <formula>#REF!*(1-$B$814)</formula>
    </cfRule>
  </conditionalFormatting>
  <conditionalFormatting sqref="FC575:FF575">
    <cfRule type="cellIs" dxfId="0" priority="968" stopIfTrue="1" operator="greaterThan">
      <formula>#REF!*(1+$B$814)</formula>
    </cfRule>
  </conditionalFormatting>
  <conditionalFormatting sqref="FC575:FF575">
    <cfRule type="cellIs" dxfId="1" priority="969" stopIfTrue="1" operator="lessThan">
      <formula>#REF!*(1-$B$814)</formula>
    </cfRule>
  </conditionalFormatting>
  <conditionalFormatting sqref="FC666:FF667">
    <cfRule type="cellIs" dxfId="0" priority="970" stopIfTrue="1" operator="greaterThan">
      <formula>FC506*(1+$B$814)</formula>
    </cfRule>
  </conditionalFormatting>
  <conditionalFormatting sqref="FC666:FF667">
    <cfRule type="cellIs" dxfId="1" priority="971" stopIfTrue="1" operator="lessThan">
      <formula>FC506*(1-$B$814)</formula>
    </cfRule>
  </conditionalFormatting>
  <conditionalFormatting sqref="FC649:FF649">
    <cfRule type="cellIs" dxfId="0" priority="972" stopIfTrue="1" operator="greaterThan">
      <formula>FC20*(1+$B$814)</formula>
    </cfRule>
  </conditionalFormatting>
  <conditionalFormatting sqref="FC649:FF649">
    <cfRule type="cellIs" dxfId="1" priority="973" stopIfTrue="1" operator="lessThan">
      <formula>FC20*(1-$B$814)</formula>
    </cfRule>
  </conditionalFormatting>
  <conditionalFormatting sqref="FG519:FH519">
    <cfRule type="cellIs" dxfId="0" priority="974" stopIfTrue="1" operator="greaterThan">
      <formula>#REF!*(1+$B$814)</formula>
    </cfRule>
  </conditionalFormatting>
  <conditionalFormatting sqref="FG519:FH519">
    <cfRule type="cellIs" dxfId="1" priority="975" stopIfTrue="1" operator="lessThan">
      <formula>#REF!*(1-$B$814)</formula>
    </cfRule>
  </conditionalFormatting>
  <conditionalFormatting sqref="FG763:FH763">
    <cfRule type="cellIs" dxfId="0" priority="976" stopIfTrue="1" operator="greaterThan">
      <formula>#REF!*(1+$B$814)</formula>
    </cfRule>
  </conditionalFormatting>
  <conditionalFormatting sqref="FG763:FH763">
    <cfRule type="cellIs" dxfId="1" priority="977" stopIfTrue="1" operator="lessThan">
      <formula>#REF!*(1-$B$814)</formula>
    </cfRule>
  </conditionalFormatting>
  <conditionalFormatting sqref="FG733:FH733">
    <cfRule type="cellIs" dxfId="0" priority="978" stopIfTrue="1" operator="greaterThan">
      <formula>#REF!*(1+$B$814)</formula>
    </cfRule>
  </conditionalFormatting>
  <conditionalFormatting sqref="FG733:FH733">
    <cfRule type="cellIs" dxfId="1" priority="979" stopIfTrue="1" operator="lessThan">
      <formula>#REF!*(1-$B$814)</formula>
    </cfRule>
  </conditionalFormatting>
  <conditionalFormatting sqref="FG683:FH683">
    <cfRule type="cellIs" dxfId="0" priority="980" stopIfTrue="1" operator="greaterThan">
      <formula>#REF!*(1+$B$814)</formula>
    </cfRule>
  </conditionalFormatting>
  <conditionalFormatting sqref="FG683:FH683">
    <cfRule type="cellIs" dxfId="1" priority="981" stopIfTrue="1" operator="lessThan">
      <formula>#REF!*(1-$B$814)</formula>
    </cfRule>
  </conditionalFormatting>
  <conditionalFormatting sqref="FG657:FH657">
    <cfRule type="cellIs" dxfId="0" priority="982" stopIfTrue="1" operator="greaterThan">
      <formula>#REF!*(1+$B$814)</formula>
    </cfRule>
  </conditionalFormatting>
  <conditionalFormatting sqref="FG657:FH657">
    <cfRule type="cellIs" dxfId="1" priority="983" stopIfTrue="1" operator="lessThan">
      <formula>#REF!*(1-$B$814)</formula>
    </cfRule>
  </conditionalFormatting>
  <conditionalFormatting sqref="FG586:FH587">
    <cfRule type="cellIs" dxfId="0" priority="984" stopIfTrue="1" operator="greaterThan">
      <formula>FG18*(1+$B$814)</formula>
    </cfRule>
  </conditionalFormatting>
  <conditionalFormatting sqref="FG586:FH587">
    <cfRule type="cellIs" dxfId="1" priority="985" stopIfTrue="1" operator="lessThan">
      <formula>FG18*(1-$B$814)</formula>
    </cfRule>
  </conditionalFormatting>
  <conditionalFormatting sqref="FG858:FH858">
    <cfRule type="cellIs" dxfId="0" priority="986" stopIfTrue="1" operator="greaterThan">
      <formula>FG12*(1+$B$859)</formula>
    </cfRule>
  </conditionalFormatting>
  <conditionalFormatting sqref="FG858:FH858">
    <cfRule type="cellIs" dxfId="1" priority="987" stopIfTrue="1" operator="lessThan">
      <formula>FG12*(1-$B$859)</formula>
    </cfRule>
  </conditionalFormatting>
  <conditionalFormatting sqref="FG1226:FH1226">
    <cfRule type="cellIs" dxfId="1" priority="988" stopIfTrue="1" operator="notBetween">
      <formula>(1-$A$1227)*FG1227</formula>
      <formula>(1+$A$1227)*FG1227</formula>
    </cfRule>
  </conditionalFormatting>
  <conditionalFormatting sqref="FG833:FH833">
    <cfRule type="cellIs" dxfId="0" priority="989" stopIfTrue="1" operator="greaterThan">
      <formula>FG745*(1+$B$814)</formula>
    </cfRule>
  </conditionalFormatting>
  <conditionalFormatting sqref="FG833:FH833">
    <cfRule type="cellIs" dxfId="1" priority="990" stopIfTrue="1" operator="lessThan">
      <formula>FG745*(1-$B$814)</formula>
    </cfRule>
  </conditionalFormatting>
  <conditionalFormatting sqref="FG825:FH825">
    <cfRule type="cellIs" dxfId="0" priority="991" stopIfTrue="1" operator="greaterThan">
      <formula>FG127*(1+$B$814)</formula>
    </cfRule>
  </conditionalFormatting>
  <conditionalFormatting sqref="FG825:FH825">
    <cfRule type="cellIs" dxfId="1" priority="992" stopIfTrue="1" operator="lessThan">
      <formula>FG127*(1-$B$814)</formula>
    </cfRule>
  </conditionalFormatting>
  <conditionalFormatting sqref="FG742:FH742">
    <cfRule type="cellIs" dxfId="0" priority="993" stopIfTrue="1" operator="greaterThan">
      <formula>FG499*(1+$B$814)</formula>
    </cfRule>
  </conditionalFormatting>
  <conditionalFormatting sqref="FG742:FH742">
    <cfRule type="cellIs" dxfId="1" priority="994" stopIfTrue="1" operator="lessThan">
      <formula>FG499*(1-$B$814)</formula>
    </cfRule>
  </conditionalFormatting>
  <conditionalFormatting sqref="FG606:FH606">
    <cfRule type="cellIs" dxfId="0" priority="995" stopIfTrue="1" operator="greaterThan">
      <formula>#REF!*(1+$B$814)</formula>
    </cfRule>
  </conditionalFormatting>
  <conditionalFormatting sqref="FG606:FH606">
    <cfRule type="cellIs" dxfId="1" priority="996" stopIfTrue="1" operator="lessThan">
      <formula>#REF!*(1-$B$814)</formula>
    </cfRule>
  </conditionalFormatting>
  <conditionalFormatting sqref="FG575:FH575">
    <cfRule type="cellIs" dxfId="0" priority="997" stopIfTrue="1" operator="greaterThan">
      <formula>#REF!*(1+$B$814)</formula>
    </cfRule>
  </conditionalFormatting>
  <conditionalFormatting sqref="FG575:FH575">
    <cfRule type="cellIs" dxfId="1" priority="998" stopIfTrue="1" operator="lessThan">
      <formula>#REF!*(1-$B$814)</formula>
    </cfRule>
  </conditionalFormatting>
  <conditionalFormatting sqref="FG666:FH667">
    <cfRule type="cellIs" dxfId="0" priority="999" stopIfTrue="1" operator="greaterThan">
      <formula>FG506*(1+$B$814)</formula>
    </cfRule>
  </conditionalFormatting>
  <conditionalFormatting sqref="FG666:FH667">
    <cfRule type="cellIs" dxfId="1" priority="1000" stopIfTrue="1" operator="lessThan">
      <formula>FG506*(1-$B$814)</formula>
    </cfRule>
  </conditionalFormatting>
  <conditionalFormatting sqref="FG649:FH649">
    <cfRule type="cellIs" dxfId="0" priority="1001" stopIfTrue="1" operator="greaterThan">
      <formula>FG20*(1+$B$814)</formula>
    </cfRule>
  </conditionalFormatting>
  <conditionalFormatting sqref="FG649:FH649">
    <cfRule type="cellIs" dxfId="1" priority="1002" stopIfTrue="1" operator="lessThan">
      <formula>FG20*(1-$B$814)</formula>
    </cfRule>
  </conditionalFormatting>
  <conditionalFormatting sqref="EI858">
    <cfRule type="cellIs" dxfId="0" priority="1003" stopIfTrue="1" operator="greaterThan">
      <formula>EI12*(1+$B$859)</formula>
    </cfRule>
  </conditionalFormatting>
  <conditionalFormatting sqref="EI858">
    <cfRule type="cellIs" dxfId="1" priority="1004" stopIfTrue="1" operator="lessThan">
      <formula>EI12*(1-$B$859)</formula>
    </cfRule>
  </conditionalFormatting>
  <conditionalFormatting sqref="EI852">
    <cfRule type="cellIs" dxfId="1" priority="1005" stopIfTrue="1" operator="greaterThan">
      <formula>(EI849+EI850+EI851)*(1+$B$859)</formula>
    </cfRule>
  </conditionalFormatting>
  <conditionalFormatting sqref="EI852">
    <cfRule type="cellIs" dxfId="0" priority="1006" stopIfTrue="1" operator="lessThan">
      <formula>(EI849+EI850+EI851)*(1-$B$859)</formula>
    </cfRule>
  </conditionalFormatting>
  <conditionalFormatting sqref="EI857">
    <cfRule type="cellIs" dxfId="1" priority="1007" stopIfTrue="1" operator="notBetween">
      <formula>(EI854+EI855+EI856)*(1+$B$859)</formula>
      <formula>(EI853+EI855+EI856)*(1-$B$859)</formula>
    </cfRule>
  </conditionalFormatting>
  <conditionalFormatting sqref="EI1226">
    <cfRule type="cellIs" dxfId="1" priority="1008" stopIfTrue="1" operator="notBetween">
      <formula>(1-$A$1227)*EI1227</formula>
      <formula>(1+$A$1227)*EI1227</formula>
    </cfRule>
  </conditionalFormatting>
  <conditionalFormatting sqref="EI833">
    <cfRule type="cellIs" dxfId="0" priority="1009" stopIfTrue="1" operator="greaterThan">
      <formula>EI745*(1+$B$814)</formula>
    </cfRule>
  </conditionalFormatting>
  <conditionalFormatting sqref="EI833">
    <cfRule type="cellIs" dxfId="1" priority="1010" stopIfTrue="1" operator="lessThan">
      <formula>EI745*(1-$B$814)</formula>
    </cfRule>
  </conditionalFormatting>
  <conditionalFormatting sqref="EI825">
    <cfRule type="cellIs" dxfId="0" priority="1011" stopIfTrue="1" operator="greaterThan">
      <formula>EI127*(1+$B$814)</formula>
    </cfRule>
  </conditionalFormatting>
  <conditionalFormatting sqref="EI825">
    <cfRule type="cellIs" dxfId="1" priority="1012" stopIfTrue="1" operator="lessThan">
      <formula>EI127*(1-$B$814)</formula>
    </cfRule>
  </conditionalFormatting>
  <conditionalFormatting sqref="EI742">
    <cfRule type="cellIs" dxfId="0" priority="1013" stopIfTrue="1" operator="greaterThan">
      <formula>EI499*(1+$B$814)</formula>
    </cfRule>
  </conditionalFormatting>
  <conditionalFormatting sqref="EI742">
    <cfRule type="cellIs" dxfId="1" priority="1014" stopIfTrue="1" operator="lessThan">
      <formula>EI499*(1-$B$814)</formula>
    </cfRule>
  </conditionalFormatting>
  <conditionalFormatting sqref="EI606">
    <cfRule type="cellIs" dxfId="0" priority="1015" stopIfTrue="1" operator="greaterThan">
      <formula>#REF!*(1+$B$814)</formula>
    </cfRule>
  </conditionalFormatting>
  <conditionalFormatting sqref="EI606">
    <cfRule type="cellIs" dxfId="1" priority="1016" stopIfTrue="1" operator="lessThan">
      <formula>#REF!*(1-$B$814)</formula>
    </cfRule>
  </conditionalFormatting>
  <conditionalFormatting sqref="EI763">
    <cfRule type="cellIs" dxfId="0" priority="1017" stopIfTrue="1" operator="greaterThan">
      <formula>#REF!*(1+$B$814)</formula>
    </cfRule>
  </conditionalFormatting>
  <conditionalFormatting sqref="EI763">
    <cfRule type="cellIs" dxfId="1" priority="1018" stopIfTrue="1" operator="lessThan">
      <formula>#REF!*(1-$B$814)</formula>
    </cfRule>
  </conditionalFormatting>
  <conditionalFormatting sqref="EI586:EI587">
    <cfRule type="cellIs" dxfId="0" priority="1019" stopIfTrue="1" operator="greaterThan">
      <formula>EI18*(1+$B$814)</formula>
    </cfRule>
  </conditionalFormatting>
  <conditionalFormatting sqref="EI586:EI587">
    <cfRule type="cellIs" dxfId="1" priority="1020" stopIfTrue="1" operator="lessThan">
      <formula>EI18*(1-$B$814)</formula>
    </cfRule>
  </conditionalFormatting>
  <conditionalFormatting sqref="EI649">
    <cfRule type="cellIs" dxfId="0" priority="1021" stopIfTrue="1" operator="greaterThan">
      <formula>EI20*(1+$B$814)</formula>
    </cfRule>
  </conditionalFormatting>
  <conditionalFormatting sqref="EI649">
    <cfRule type="cellIs" dxfId="1" priority="1022" stopIfTrue="1" operator="lessThan">
      <formula>EI20*(1-$B$814)</formula>
    </cfRule>
  </conditionalFormatting>
  <conditionalFormatting sqref="EI666:EI667">
    <cfRule type="cellIs" dxfId="0" priority="1023" stopIfTrue="1" operator="greaterThan">
      <formula>EI506*(1+$B$814)</formula>
    </cfRule>
  </conditionalFormatting>
  <conditionalFormatting sqref="EI666:EI667">
    <cfRule type="cellIs" dxfId="1" priority="1024" stopIfTrue="1" operator="lessThan">
      <formula>EI506*(1-$B$814)</formula>
    </cfRule>
  </conditionalFormatting>
  <conditionalFormatting sqref="EI519">
    <cfRule type="cellIs" dxfId="0" priority="1025" stopIfTrue="1" operator="greaterThan">
      <formula>#REF!*(1+$B$814)</formula>
    </cfRule>
  </conditionalFormatting>
  <conditionalFormatting sqref="EI519">
    <cfRule type="cellIs" dxfId="1" priority="1026" stopIfTrue="1" operator="lessThan">
      <formula>#REF!*(1-$B$814)</formula>
    </cfRule>
  </conditionalFormatting>
  <conditionalFormatting sqref="EG586:EG587">
    <cfRule type="cellIs" dxfId="0" priority="1027" stopIfTrue="1" operator="greaterThan">
      <formula>EG18*(1+$B$814)</formula>
    </cfRule>
  </conditionalFormatting>
  <conditionalFormatting sqref="EG586:EG587">
    <cfRule type="cellIs" dxfId="1" priority="1028" stopIfTrue="1" operator="lessThan">
      <formula>EG18*(1-$B$814)</formula>
    </cfRule>
  </conditionalFormatting>
  <conditionalFormatting sqref="EG666:EG667">
    <cfRule type="cellIs" dxfId="0" priority="1029" stopIfTrue="1" operator="greaterThan">
      <formula>EG506*(1+$B$814)</formula>
    </cfRule>
  </conditionalFormatting>
  <conditionalFormatting sqref="EG666:EG667">
    <cfRule type="cellIs" dxfId="1" priority="1030" stopIfTrue="1" operator="lessThan">
      <formula>EG506*(1-$B$814)</formula>
    </cfRule>
  </conditionalFormatting>
  <printOptions gridLines="1"/>
  <pageMargins bottom="0.5" footer="0.0" header="0.0" left="0.5" right="0.5" top="0.75"/>
  <pageSetup fitToHeight="0" orientation="landscape"/>
  <headerFooter>
    <oddFooter>&amp;LIntel Corporation (INTC)&amp;C&amp;D&amp;RUBS Investment Research, Uche Orji 212-713-4015, uche.orji@ubs.com</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77.0" ySplit="5.0" topLeftCell="BZ6" activePane="bottomRight" state="frozen"/>
      <selection activeCell="BZ1" sqref="BZ1" pane="topRight"/>
      <selection activeCell="A6" sqref="A6" pane="bottomLeft"/>
      <selection activeCell="BZ6" sqref="BZ6" pane="bottomRight"/>
    </sheetView>
  </sheetViews>
  <sheetFormatPr customHeight="1" defaultColWidth="12.63" defaultRowHeight="15.0" outlineLevelCol="2" outlineLevelRow="2"/>
  <cols>
    <col customWidth="1" min="1" max="1" width="1.63"/>
    <col customWidth="1" min="2" max="2" width="25.13"/>
    <col customWidth="1" hidden="1" min="3" max="3" width="2.38" outlineLevel="2"/>
    <col customWidth="1" hidden="1" min="4" max="13" width="1.13" outlineLevel="2"/>
    <col customWidth="1" hidden="1" min="14" max="14" width="5.25" outlineLevel="2"/>
    <col customWidth="1" hidden="1" min="15" max="15" width="5.38" outlineLevel="2"/>
    <col customWidth="1" hidden="1" min="16" max="16" width="5.5" outlineLevel="2"/>
    <col customWidth="1" hidden="1" min="17" max="17" width="5.38" outlineLevel="2"/>
    <col collapsed="1" customWidth="1" hidden="1" min="18" max="18" width="6.0"/>
    <col customWidth="1" hidden="1" min="19" max="22" width="5.63" outlineLevel="2"/>
    <col collapsed="1" customWidth="1" hidden="1" min="23" max="23" width="6.0"/>
    <col customWidth="1" hidden="1" min="24" max="26" width="5.63" outlineLevel="2"/>
    <col customWidth="1" hidden="1" min="27" max="27" width="5.38" outlineLevel="2"/>
    <col collapsed="1" customWidth="1" hidden="1" min="28" max="28" width="6.0"/>
    <col customWidth="1" hidden="1" min="29" max="29" width="5.63" outlineLevel="2"/>
    <col customWidth="1" hidden="1" min="30" max="30" width="5.38" outlineLevel="2"/>
    <col customWidth="1" hidden="1" min="31" max="31" width="5.5" outlineLevel="2"/>
    <col customWidth="1" hidden="1" min="32" max="32" width="5.38" outlineLevel="2"/>
    <col collapsed="1" customWidth="1" hidden="1" min="33" max="33" width="5.63"/>
    <col customWidth="1" hidden="1" min="34" max="35" width="5.38" outlineLevel="2"/>
    <col customWidth="1" hidden="1" min="36" max="36" width="5.5" outlineLevel="2"/>
    <col customWidth="1" hidden="1" min="37" max="37" width="5.63" outlineLevel="2"/>
    <col collapsed="1" customWidth="1" hidden="1" min="38" max="38" width="6.5"/>
    <col customWidth="1" hidden="1" min="39" max="42" width="5.63" outlineLevel="2"/>
    <col collapsed="1" customWidth="1" hidden="1" min="43" max="43" width="7.25"/>
    <col customWidth="1" hidden="1" min="44" max="47" width="5.63" outlineLevel="2"/>
    <col collapsed="1" customWidth="1" hidden="1" min="48" max="48" width="5.63"/>
    <col customWidth="1" hidden="1" min="49" max="49" width="7.13" outlineLevel="2"/>
    <col customWidth="1" hidden="1" min="50" max="52" width="5.63" outlineLevel="2"/>
    <col collapsed="1" customWidth="1" hidden="1" min="53" max="53" width="5.63"/>
    <col customWidth="1" hidden="1" min="54" max="54" width="7.38" outlineLevel="2"/>
    <col customWidth="1" hidden="1" min="55" max="57" width="5.63" outlineLevel="2"/>
    <col collapsed="1" customWidth="1" hidden="1" min="58" max="58" width="5.88"/>
    <col customWidth="1" hidden="1" min="59" max="59" width="7.38" outlineLevel="2"/>
    <col customWidth="1" hidden="1" min="60" max="60" width="5.63" outlineLevel="2"/>
    <col customWidth="1" hidden="1" min="61" max="62" width="5.75" outlineLevel="2"/>
    <col collapsed="1" customWidth="1" hidden="1" min="63" max="63" width="5.63"/>
    <col customWidth="1" hidden="1" min="64" max="66" width="5.63" outlineLevel="2"/>
    <col customWidth="1" hidden="1" min="67" max="67" width="5.38" outlineLevel="2"/>
    <col collapsed="1" customWidth="1" hidden="1" min="68" max="68" width="5.63"/>
    <col customWidth="1" hidden="1" min="69" max="70" width="5.38" outlineLevel="2"/>
    <col customWidth="1" hidden="1" min="71" max="72" width="5.63" outlineLevel="2"/>
    <col collapsed="1" customWidth="1" hidden="1" min="73" max="73" width="5.13"/>
    <col customWidth="1" hidden="1" min="74" max="77" width="5.63" outlineLevel="2"/>
    <col collapsed="1" customWidth="1" hidden="1" min="78" max="78" width="5.63"/>
    <col customWidth="1" hidden="1" min="79" max="82" width="6.0" outlineLevel="1"/>
    <col customWidth="1" hidden="1" min="83" max="83" width="5.63"/>
    <col customWidth="1" hidden="1" min="84" max="87" width="6.0" outlineLevel="1"/>
    <col customWidth="1" hidden="1" min="88" max="88" width="5.63"/>
    <col customWidth="1" hidden="1" min="89" max="92" width="6.0" outlineLevel="1"/>
    <col customWidth="1" hidden="1" min="93" max="93" width="5.63"/>
    <col customWidth="1" hidden="1" min="94" max="97" width="6.0" outlineLevel="1"/>
    <col customWidth="1" hidden="1" min="98" max="98" width="5.88"/>
    <col customWidth="1" hidden="1" min="99" max="102" width="6.0" outlineLevel="2"/>
    <col customWidth="1" hidden="1" min="103" max="103" width="5.88"/>
    <col customWidth="1" hidden="1" min="104" max="107" width="6.0" outlineLevel="2"/>
    <col customWidth="1" hidden="1" min="108" max="108" width="5.88"/>
    <col customWidth="1" min="109" max="112" width="6.0" outlineLevel="2"/>
    <col customWidth="1" min="113" max="113" width="5.88"/>
    <col customWidth="1" min="114" max="114" width="6.5" outlineLevel="2"/>
    <col customWidth="1" min="115" max="117" width="6.0" outlineLevel="2"/>
    <col customWidth="1" min="118" max="118" width="5.88"/>
    <col customWidth="1" min="119" max="119" width="6.75" outlineLevel="2"/>
    <col customWidth="1" min="120" max="122" width="6.0" outlineLevel="2"/>
    <col customWidth="1" min="123" max="123" width="5.88"/>
    <col customWidth="1" min="124" max="127" width="6.0" outlineLevel="2"/>
    <col customWidth="1" min="128" max="128" width="5.88"/>
    <col customWidth="1" min="129" max="132" width="6.0" outlineLevel="2"/>
    <col customWidth="1" min="133" max="133" width="5.88"/>
    <col customWidth="1" min="134" max="137" width="6.0" outlineLevel="2"/>
    <col customWidth="1" min="138" max="138" width="5.88"/>
    <col customWidth="1" min="139" max="142" width="6.0" outlineLevel="2"/>
    <col customWidth="1" min="143" max="143" width="6.0"/>
    <col customWidth="1" min="144" max="144" width="6.75" outlineLevel="2"/>
    <col customWidth="1" min="145" max="147" width="6.0" outlineLevel="2"/>
    <col customWidth="1" min="148" max="148" width="6.75"/>
    <col customWidth="1" min="149" max="149" width="6.75" outlineLevel="2"/>
    <col customWidth="1" min="150" max="152" width="6.0" outlineLevel="2"/>
    <col customWidth="1" min="153" max="153" width="6.75"/>
    <col customWidth="1" min="154" max="154" width="6.75" outlineLevel="2"/>
    <col customWidth="1" min="155" max="157" width="6.0" outlineLevel="2"/>
    <col customWidth="1" min="158" max="158" width="6.75"/>
    <col customWidth="1" min="159" max="159" width="6.75" outlineLevel="2"/>
    <col customWidth="1" min="160" max="162" width="6.0" outlineLevel="2"/>
    <col customWidth="1" min="163" max="163" width="6.75"/>
  </cols>
  <sheetData>
    <row r="1" ht="12.75" customHeight="1">
      <c r="A1" s="4"/>
      <c r="B1" s="4"/>
      <c r="C1" s="4"/>
      <c r="D1" s="4"/>
      <c r="E1" s="4"/>
      <c r="F1" s="4"/>
      <c r="G1" s="4"/>
      <c r="H1" s="4"/>
      <c r="I1" s="4"/>
      <c r="J1" s="4"/>
      <c r="K1" s="4"/>
      <c r="L1" s="4"/>
      <c r="M1" s="4"/>
      <c r="N1" s="4"/>
      <c r="O1" s="4"/>
      <c r="P1" s="4"/>
      <c r="Q1" s="4"/>
      <c r="R1" s="45"/>
      <c r="S1" s="4"/>
      <c r="T1" s="4"/>
      <c r="U1" s="4"/>
      <c r="V1" s="4"/>
      <c r="W1" s="45"/>
      <c r="X1" s="4"/>
      <c r="Y1" s="4"/>
      <c r="Z1" s="4"/>
      <c r="AA1" s="4"/>
      <c r="AB1" s="45"/>
      <c r="AC1" s="179"/>
      <c r="AD1" s="179"/>
      <c r="AE1" s="179"/>
      <c r="AF1" s="179"/>
      <c r="AG1" s="45"/>
      <c r="AH1" s="4"/>
      <c r="AI1" s="4"/>
      <c r="AJ1" s="4"/>
      <c r="AK1" s="4"/>
      <c r="AL1" s="45"/>
      <c r="AM1" s="179"/>
      <c r="AN1" s="179"/>
      <c r="AO1" s="179"/>
      <c r="AP1" s="179"/>
      <c r="AQ1" s="8"/>
      <c r="AR1" s="179"/>
      <c r="AS1" s="179"/>
      <c r="AT1" s="179"/>
      <c r="AU1" s="179"/>
      <c r="AV1" s="8"/>
      <c r="AW1" s="179"/>
      <c r="AX1" s="179"/>
      <c r="AY1" s="179"/>
      <c r="AZ1" s="179"/>
      <c r="BA1" s="8"/>
      <c r="BB1" s="179"/>
      <c r="BC1" s="179"/>
      <c r="BD1" s="179"/>
      <c r="BE1" s="179"/>
      <c r="BF1" s="8"/>
      <c r="BG1" s="179"/>
      <c r="BH1" s="179"/>
      <c r="BI1" s="179"/>
      <c r="BJ1" s="179"/>
      <c r="BK1" s="8"/>
      <c r="BL1" s="179"/>
      <c r="BM1" s="179"/>
      <c r="BN1" s="179"/>
      <c r="BO1" s="179"/>
      <c r="BP1" s="8"/>
      <c r="BQ1" s="179"/>
      <c r="BR1" s="179"/>
      <c r="BS1" s="179"/>
      <c r="BT1" s="179"/>
      <c r="BU1" s="8"/>
      <c r="BV1" s="179"/>
      <c r="BW1" s="179"/>
      <c r="BX1" s="179"/>
      <c r="BY1" s="179"/>
      <c r="BZ1" s="8"/>
      <c r="CA1" s="179"/>
      <c r="CB1" s="179"/>
      <c r="CC1" s="179"/>
      <c r="CD1" s="179"/>
      <c r="CE1" s="8"/>
      <c r="CF1" s="179"/>
      <c r="CG1" s="179"/>
      <c r="CH1" s="179"/>
      <c r="CI1" s="179"/>
      <c r="CJ1" s="8"/>
      <c r="CK1" s="179"/>
      <c r="CL1" s="179"/>
      <c r="CM1" s="179"/>
      <c r="CN1" s="179"/>
      <c r="CO1" s="8"/>
      <c r="CP1" s="179"/>
      <c r="CQ1" s="179"/>
      <c r="CR1" s="179"/>
      <c r="CS1" s="179"/>
      <c r="CT1" s="8"/>
      <c r="CU1" s="179"/>
      <c r="CV1" s="179"/>
      <c r="CW1" s="179"/>
      <c r="CX1" s="179"/>
      <c r="CY1" s="10"/>
      <c r="CZ1" s="179"/>
      <c r="DA1" s="179"/>
      <c r="DB1" s="179"/>
      <c r="DC1" s="179"/>
      <c r="DD1" s="10"/>
      <c r="DE1" s="179"/>
      <c r="DF1" s="179"/>
      <c r="DG1" s="774"/>
      <c r="DH1" s="179"/>
      <c r="DI1" s="10"/>
      <c r="DJ1" s="774"/>
      <c r="DK1" s="774"/>
      <c r="DL1" s="774"/>
      <c r="DM1" s="179"/>
      <c r="DN1" s="10"/>
      <c r="DO1" s="179"/>
      <c r="DP1" s="179"/>
      <c r="DQ1" s="774"/>
      <c r="DR1" s="774"/>
      <c r="DS1" s="10"/>
      <c r="DT1" s="774"/>
      <c r="DU1" s="774"/>
      <c r="DV1" s="774"/>
      <c r="DW1" s="774"/>
      <c r="DX1" s="10"/>
      <c r="DY1" s="774"/>
      <c r="DZ1" s="774"/>
      <c r="EA1" s="774"/>
      <c r="EB1" s="774"/>
      <c r="EC1" s="10"/>
      <c r="ED1" s="774"/>
      <c r="EE1" s="774"/>
      <c r="EF1" s="774"/>
      <c r="EG1" s="774"/>
      <c r="EH1" s="10"/>
      <c r="EI1" s="775"/>
      <c r="EJ1" s="179"/>
      <c r="EK1" s="179"/>
      <c r="EL1" s="179"/>
      <c r="EM1" s="10"/>
      <c r="EN1" s="179"/>
      <c r="EO1" s="179"/>
      <c r="EP1" s="179"/>
      <c r="EQ1" s="179"/>
      <c r="ER1" s="10"/>
      <c r="ES1" s="179"/>
      <c r="ET1" s="179"/>
      <c r="EU1" s="179"/>
      <c r="EV1" s="179"/>
      <c r="EW1" s="10"/>
      <c r="EX1" s="179"/>
      <c r="EY1" s="179"/>
      <c r="EZ1" s="179"/>
      <c r="FA1" s="179"/>
      <c r="FB1" s="10"/>
      <c r="FC1" s="179"/>
      <c r="FD1" s="179"/>
      <c r="FE1" s="179"/>
      <c r="FF1" s="179"/>
      <c r="FG1" s="10"/>
    </row>
    <row r="2" ht="12.75" customHeight="1">
      <c r="A2" s="179"/>
      <c r="B2" s="776" t="s">
        <v>5</v>
      </c>
      <c r="C2" s="8"/>
      <c r="D2" s="8"/>
      <c r="E2" s="8"/>
      <c r="F2" s="8"/>
      <c r="G2" s="8"/>
      <c r="H2" s="8"/>
      <c r="I2" s="8"/>
      <c r="J2" s="8"/>
      <c r="K2" s="8"/>
      <c r="L2" s="8"/>
      <c r="M2" s="8"/>
      <c r="N2" s="8"/>
      <c r="O2" s="8"/>
      <c r="P2" s="8"/>
      <c r="Q2" s="8"/>
      <c r="R2" s="8"/>
      <c r="S2" s="179"/>
      <c r="T2" s="179"/>
      <c r="U2" s="179"/>
      <c r="V2" s="179"/>
      <c r="W2" s="8"/>
      <c r="X2" s="179"/>
      <c r="Y2" s="179"/>
      <c r="Z2" s="179"/>
      <c r="AA2" s="179"/>
      <c r="AB2" s="8"/>
      <c r="AC2" s="179"/>
      <c r="AD2" s="179"/>
      <c r="AE2" s="179"/>
      <c r="AF2" s="179"/>
      <c r="AG2" s="8"/>
      <c r="AH2" s="179"/>
      <c r="AI2" s="128"/>
      <c r="AJ2" s="179"/>
      <c r="AK2" s="179"/>
      <c r="AL2" s="8"/>
      <c r="AM2" s="179"/>
      <c r="AN2" s="179"/>
      <c r="AO2" s="179"/>
      <c r="AP2" s="179"/>
      <c r="AQ2" s="8"/>
      <c r="AR2" s="179"/>
      <c r="AS2" s="179"/>
      <c r="AT2" s="179"/>
      <c r="AU2" s="179"/>
      <c r="AV2" s="8"/>
      <c r="AW2" s="179"/>
      <c r="AX2" s="179"/>
      <c r="AY2" s="179"/>
      <c r="AZ2" s="179"/>
      <c r="BA2" s="8"/>
      <c r="BB2" s="179"/>
      <c r="BC2" s="179"/>
      <c r="BD2" s="179"/>
      <c r="BE2" s="179"/>
      <c r="BF2" s="8"/>
      <c r="BG2" s="179"/>
      <c r="BH2" s="179"/>
      <c r="BI2" s="179"/>
      <c r="BJ2" s="179"/>
      <c r="BK2" s="8"/>
      <c r="BL2" s="179"/>
      <c r="BM2" s="179"/>
      <c r="BN2" s="179"/>
      <c r="BO2" s="179"/>
      <c r="BP2" s="8"/>
      <c r="BQ2" s="179"/>
      <c r="BR2" s="179"/>
      <c r="BS2" s="179"/>
      <c r="BT2" s="179"/>
      <c r="BU2" s="8"/>
      <c r="BV2" s="179"/>
      <c r="BW2" s="179"/>
      <c r="BX2" s="179"/>
      <c r="BY2" s="179"/>
      <c r="BZ2" s="8"/>
      <c r="CA2" s="179"/>
      <c r="CB2" s="179"/>
      <c r="CC2" s="179"/>
      <c r="CD2" s="179"/>
      <c r="CE2" s="8"/>
      <c r="CF2" s="179"/>
      <c r="CG2" s="179"/>
      <c r="CH2" s="179"/>
      <c r="CI2" s="179"/>
      <c r="CJ2" s="8"/>
      <c r="CK2" s="179"/>
      <c r="CL2" s="179"/>
      <c r="CM2" s="179"/>
      <c r="CN2" s="179"/>
      <c r="CO2" s="8"/>
      <c r="CP2" s="179"/>
      <c r="CQ2" s="179"/>
      <c r="CR2" s="179"/>
      <c r="CS2" s="179"/>
      <c r="CT2" s="8"/>
      <c r="CU2" s="179"/>
      <c r="CV2" s="179"/>
      <c r="CW2" s="179"/>
      <c r="CX2" s="179"/>
      <c r="CY2" s="10"/>
      <c r="CZ2" s="179"/>
      <c r="DA2" s="179"/>
      <c r="DB2" s="179"/>
      <c r="DC2" s="179"/>
      <c r="DD2" s="10"/>
      <c r="DE2" s="179"/>
      <c r="DF2" s="179"/>
      <c r="DG2" s="774"/>
      <c r="DH2" s="179"/>
      <c r="DI2" s="10"/>
      <c r="DJ2" s="774"/>
      <c r="DK2" s="774"/>
      <c r="DL2" s="774"/>
      <c r="DM2" s="179"/>
      <c r="DN2" s="10"/>
      <c r="DO2" s="179"/>
      <c r="DP2" s="179"/>
      <c r="DQ2" s="774"/>
      <c r="DR2" s="774"/>
      <c r="DS2" s="10"/>
      <c r="DT2" s="774"/>
      <c r="DU2" s="774"/>
      <c r="DV2" s="774"/>
      <c r="DW2" s="774"/>
      <c r="DX2" s="10"/>
      <c r="DY2" s="774"/>
      <c r="DZ2" s="774"/>
      <c r="EA2" s="774"/>
      <c r="EB2" s="774"/>
      <c r="EC2" s="10"/>
      <c r="ED2" s="774"/>
      <c r="EE2" s="774"/>
      <c r="EF2" s="774"/>
      <c r="EG2" s="774"/>
      <c r="EH2" s="10"/>
      <c r="EI2" s="177" t="str">
        <f>CF!EI59</f>
        <v>#ERROR!</v>
      </c>
      <c r="EJ2" s="175" t="str">
        <f>CF!EJ59</f>
        <v>#ERROR!</v>
      </c>
      <c r="EK2" s="175" t="str">
        <f>CF!EK59</f>
        <v>#ERROR!</v>
      </c>
      <c r="EL2" s="175" t="str">
        <f>CF!EL59</f>
        <v>#ERROR!</v>
      </c>
      <c r="EM2" s="777" t="str">
        <f>SUM(EI2:EL2)</f>
        <v>#ERROR!</v>
      </c>
      <c r="EN2" s="179"/>
      <c r="EO2" s="179"/>
      <c r="EP2" s="179"/>
      <c r="EQ2" s="179"/>
      <c r="ER2" s="10"/>
      <c r="ES2" s="179"/>
      <c r="ET2" s="179"/>
      <c r="EU2" s="179"/>
      <c r="EV2" s="179"/>
      <c r="EW2" s="10"/>
      <c r="EX2" s="179"/>
      <c r="EY2" s="179"/>
      <c r="EZ2" s="179"/>
      <c r="FA2" s="179"/>
      <c r="FB2" s="10"/>
      <c r="FC2" s="179"/>
      <c r="FD2" s="179"/>
      <c r="FE2" s="179"/>
      <c r="FF2" s="179"/>
      <c r="FG2" s="10"/>
    </row>
    <row r="3" ht="12.75" customHeight="1">
      <c r="A3" s="179"/>
      <c r="B3" s="8" t="s">
        <v>505</v>
      </c>
      <c r="C3" s="8"/>
      <c r="D3" s="8"/>
      <c r="E3" s="8"/>
      <c r="F3" s="8"/>
      <c r="G3" s="8"/>
      <c r="H3" s="8"/>
      <c r="I3" s="8"/>
      <c r="J3" s="8"/>
      <c r="K3" s="8"/>
      <c r="L3" s="8"/>
      <c r="M3" s="8"/>
      <c r="N3" s="778"/>
      <c r="O3" s="778"/>
      <c r="P3" s="778"/>
      <c r="Q3" s="778"/>
      <c r="R3" s="179"/>
      <c r="S3" s="179"/>
      <c r="T3" s="179"/>
      <c r="U3" s="179"/>
      <c r="V3" s="179"/>
      <c r="W3" s="8"/>
      <c r="X3" s="179"/>
      <c r="Y3" s="179"/>
      <c r="Z3" s="179"/>
      <c r="AA3" s="179"/>
      <c r="AB3" s="8"/>
      <c r="AC3" s="179"/>
      <c r="AD3" s="179"/>
      <c r="AE3" s="179"/>
      <c r="AF3" s="179"/>
      <c r="AG3" s="8"/>
      <c r="AH3" s="179"/>
      <c r="AI3" s="179"/>
      <c r="AJ3" s="179"/>
      <c r="AK3" s="179"/>
      <c r="AL3" s="8"/>
      <c r="AM3" s="179"/>
      <c r="AN3" s="179"/>
      <c r="AO3" s="179"/>
      <c r="AP3" s="179"/>
      <c r="AQ3" s="8"/>
      <c r="AR3" s="179"/>
      <c r="AS3" s="179"/>
      <c r="AT3" s="179"/>
      <c r="AU3" s="179"/>
      <c r="AV3" s="8"/>
      <c r="AW3" s="179"/>
      <c r="AX3" s="179"/>
      <c r="AY3" s="179"/>
      <c r="AZ3" s="179"/>
      <c r="BA3" s="8"/>
      <c r="BB3" s="179"/>
      <c r="BC3" s="179"/>
      <c r="BD3" s="179"/>
      <c r="BE3" s="179"/>
      <c r="BF3" s="8"/>
      <c r="BG3" s="179"/>
      <c r="BH3" s="179"/>
      <c r="BI3" s="179"/>
      <c r="BJ3" s="179"/>
      <c r="BK3" s="8"/>
      <c r="BL3" s="179"/>
      <c r="BM3" s="179"/>
      <c r="BN3" s="179"/>
      <c r="BO3" s="179"/>
      <c r="BP3" s="8"/>
      <c r="BQ3" s="179"/>
      <c r="BR3" s="179"/>
      <c r="BS3" s="179"/>
      <c r="BT3" s="179"/>
      <c r="BU3" s="8"/>
      <c r="BV3" s="179"/>
      <c r="BW3" s="179"/>
      <c r="BX3" s="179"/>
      <c r="BY3" s="179"/>
      <c r="BZ3" s="8"/>
      <c r="CA3" s="179"/>
      <c r="CB3" s="179"/>
      <c r="CC3" s="179"/>
      <c r="CD3" s="179"/>
      <c r="CE3" s="8"/>
      <c r="CF3" s="179"/>
      <c r="CG3" s="179"/>
      <c r="CH3" s="179"/>
      <c r="CI3" s="179"/>
      <c r="CJ3" s="8"/>
      <c r="CK3" s="179"/>
      <c r="CL3" s="179"/>
      <c r="CM3" s="179"/>
      <c r="CN3" s="179"/>
      <c r="CO3" s="8"/>
      <c r="CP3" s="179"/>
      <c r="CQ3" s="179"/>
      <c r="CR3" s="179"/>
      <c r="CS3" s="179"/>
      <c r="CT3" s="8"/>
      <c r="CU3" s="179"/>
      <c r="CV3" s="179"/>
      <c r="CW3" s="179"/>
      <c r="CX3" s="179"/>
      <c r="CY3" s="10"/>
      <c r="CZ3" s="179"/>
      <c r="DA3" s="179"/>
      <c r="DB3" s="179"/>
      <c r="DC3" s="179"/>
      <c r="DD3" s="10"/>
      <c r="DE3" s="179"/>
      <c r="DF3" s="179"/>
      <c r="DG3" s="774"/>
      <c r="DH3" s="179"/>
      <c r="DI3" s="10"/>
      <c r="DJ3" s="774"/>
      <c r="DK3" s="774"/>
      <c r="DL3" s="774"/>
      <c r="DM3" s="179"/>
      <c r="DN3" s="10"/>
      <c r="DO3" s="179"/>
      <c r="DP3" s="179"/>
      <c r="DQ3" s="774"/>
      <c r="DR3" s="774"/>
      <c r="DS3" s="10"/>
      <c r="DT3" s="774"/>
      <c r="DU3" s="774"/>
      <c r="DV3" s="774"/>
      <c r="DW3" s="774"/>
      <c r="DX3" s="10"/>
      <c r="DY3" s="774"/>
      <c r="DZ3" s="774"/>
      <c r="EA3" s="774"/>
      <c r="EB3" s="774"/>
      <c r="EC3" s="10"/>
      <c r="ED3" s="774"/>
      <c r="EE3" s="774"/>
      <c r="EF3" s="774"/>
      <c r="EG3" s="774"/>
      <c r="EH3" s="10"/>
      <c r="EI3" s="775"/>
      <c r="EJ3" s="179"/>
      <c r="EK3" s="179"/>
      <c r="EL3" s="179"/>
      <c r="EM3" s="10"/>
      <c r="EN3" s="179"/>
      <c r="EO3" s="179"/>
      <c r="EP3" s="179"/>
      <c r="EQ3" s="179"/>
      <c r="ER3" s="10"/>
      <c r="ES3" s="179"/>
      <c r="ET3" s="179"/>
      <c r="EU3" s="179"/>
      <c r="EV3" s="179"/>
      <c r="EW3" s="10"/>
      <c r="EX3" s="179"/>
      <c r="EY3" s="179"/>
      <c r="EZ3" s="179"/>
      <c r="FA3" s="179"/>
      <c r="FB3" s="10"/>
      <c r="FC3" s="179"/>
      <c r="FD3" s="179"/>
      <c r="FE3" s="179"/>
      <c r="FF3" s="179"/>
      <c r="FG3" s="10"/>
    </row>
    <row r="4" ht="12.75" customHeight="1">
      <c r="A4" s="779"/>
      <c r="B4" s="780" t="str">
        <f>IS!B6</f>
        <v>FY ends December 31</v>
      </c>
      <c r="C4" s="781"/>
      <c r="D4" s="781"/>
      <c r="E4" s="781"/>
      <c r="F4" s="781"/>
      <c r="G4" s="781"/>
      <c r="H4" s="781"/>
      <c r="I4" s="781"/>
      <c r="J4" s="781"/>
      <c r="K4" s="781"/>
      <c r="L4" s="781"/>
      <c r="M4" s="781"/>
      <c r="N4" s="52" t="str">
        <f>"FY"&amp;YEAR(Q5)</f>
        <v>FY1998</v>
      </c>
      <c r="O4" s="53"/>
      <c r="P4" s="53"/>
      <c r="Q4" s="54"/>
      <c r="R4" s="782"/>
      <c r="S4" s="52" t="str">
        <f>"FY"&amp;YEAR(V5)</f>
        <v>FY1999</v>
      </c>
      <c r="T4" s="53"/>
      <c r="U4" s="53"/>
      <c r="V4" s="54"/>
      <c r="W4" s="781"/>
      <c r="X4" s="52" t="str">
        <f>"FY"&amp;YEAR(AA5)</f>
        <v>FY2000</v>
      </c>
      <c r="Y4" s="53"/>
      <c r="Z4" s="53"/>
      <c r="AA4" s="54"/>
      <c r="AB4" s="781"/>
      <c r="AC4" s="52" t="str">
        <f>"FY"&amp;YEAR(AF5)</f>
        <v>FY2001</v>
      </c>
      <c r="AD4" s="53"/>
      <c r="AE4" s="53"/>
      <c r="AF4" s="54"/>
      <c r="AG4" s="781"/>
      <c r="AH4" s="52" t="str">
        <f>"FY"&amp;YEAR(AK5)</f>
        <v>FY2002</v>
      </c>
      <c r="AI4" s="53"/>
      <c r="AJ4" s="53"/>
      <c r="AK4" s="54"/>
      <c r="AL4" s="781"/>
      <c r="AM4" s="52" t="str">
        <f>"FY"&amp;YEAR(AP5)</f>
        <v>FY2003</v>
      </c>
      <c r="AN4" s="53"/>
      <c r="AO4" s="53"/>
      <c r="AP4" s="54"/>
      <c r="AQ4" s="781"/>
      <c r="AR4" s="52" t="str">
        <f>"FY"&amp;YEAR(AU5)</f>
        <v>FY2004</v>
      </c>
      <c r="AS4" s="53"/>
      <c r="AT4" s="53"/>
      <c r="AU4" s="54"/>
      <c r="AV4" s="781"/>
      <c r="AW4" s="52" t="str">
        <f>IS!6:6</f>
        <v>FY2005</v>
      </c>
      <c r="AX4" s="53"/>
      <c r="AY4" s="53"/>
      <c r="AZ4" s="54"/>
      <c r="BA4" s="781"/>
      <c r="BB4" s="52" t="str">
        <f>IS!6:6</f>
        <v>FY2006</v>
      </c>
      <c r="BC4" s="53"/>
      <c r="BD4" s="53"/>
      <c r="BE4" s="54"/>
      <c r="BF4" s="781"/>
      <c r="BG4" s="52" t="str">
        <f>IS!6:6</f>
        <v>FY2007</v>
      </c>
      <c r="BH4" s="53"/>
      <c r="BI4" s="53"/>
      <c r="BJ4" s="54"/>
      <c r="BK4" s="781"/>
      <c r="BL4" s="52" t="str">
        <f>IS!6:6</f>
        <v>FY2008</v>
      </c>
      <c r="BM4" s="53"/>
      <c r="BN4" s="53"/>
      <c r="BO4" s="54"/>
      <c r="BP4" s="781"/>
      <c r="BQ4" s="52" t="str">
        <f>IS!6:6</f>
        <v>FY2009</v>
      </c>
      <c r="BR4" s="53"/>
      <c r="BS4" s="53"/>
      <c r="BT4" s="54"/>
      <c r="BU4" s="781"/>
      <c r="BV4" s="52" t="str">
        <f>IS!6:6</f>
        <v>FY2010</v>
      </c>
      <c r="BW4" s="53"/>
      <c r="BX4" s="53"/>
      <c r="BY4" s="54"/>
      <c r="BZ4" s="781"/>
      <c r="CA4" s="52" t="str">
        <f>IS!6:6</f>
        <v>FY2011</v>
      </c>
      <c r="CB4" s="53"/>
      <c r="CC4" s="53"/>
      <c r="CD4" s="54"/>
      <c r="CE4" s="781"/>
      <c r="CF4" s="52" t="str">
        <f>IS!6:6</f>
        <v>FY2012</v>
      </c>
      <c r="CG4" s="53"/>
      <c r="CH4" s="53"/>
      <c r="CI4" s="54"/>
      <c r="CJ4" s="781"/>
      <c r="CK4" s="52" t="str">
        <f>IS!6:6</f>
        <v>FY2013</v>
      </c>
      <c r="CL4" s="53"/>
      <c r="CM4" s="53"/>
      <c r="CN4" s="54"/>
      <c r="CO4" s="781"/>
      <c r="CP4" s="52" t="str">
        <f>IS!6:6</f>
        <v>FY2014</v>
      </c>
      <c r="CQ4" s="53"/>
      <c r="CR4" s="53"/>
      <c r="CS4" s="54"/>
      <c r="CT4" s="781"/>
      <c r="CU4" s="52" t="str">
        <f>IS!6:6</f>
        <v>FY2015</v>
      </c>
      <c r="CV4" s="53"/>
      <c r="CW4" s="53"/>
      <c r="CX4" s="54"/>
      <c r="CY4" s="783"/>
      <c r="CZ4" s="52" t="str">
        <f>IS!6:6</f>
        <v>FY2016</v>
      </c>
      <c r="DA4" s="53"/>
      <c r="DB4" s="53"/>
      <c r="DC4" s="54"/>
      <c r="DD4" s="783"/>
      <c r="DE4" s="52" t="str">
        <f>IS!6:6</f>
        <v>FY2017</v>
      </c>
      <c r="DF4" s="53"/>
      <c r="DG4" s="53"/>
      <c r="DH4" s="54"/>
      <c r="DI4" s="783"/>
      <c r="DJ4" s="52" t="str">
        <f>IS!6:6</f>
        <v>FY2018</v>
      </c>
      <c r="DK4" s="53"/>
      <c r="DL4" s="53"/>
      <c r="DM4" s="54"/>
      <c r="DN4" s="783"/>
      <c r="DO4" s="52" t="str">
        <f>IS!6:6</f>
        <v>FY2019</v>
      </c>
      <c r="DP4" s="53"/>
      <c r="DQ4" s="53"/>
      <c r="DR4" s="54"/>
      <c r="DS4" s="783"/>
      <c r="DT4" s="784" t="str">
        <f>IS!6:6</f>
        <v>FY2020</v>
      </c>
      <c r="DU4" s="784"/>
      <c r="DV4" s="784"/>
      <c r="DW4" s="784"/>
      <c r="DX4" s="783"/>
      <c r="DY4" s="784" t="str">
        <f>IS!6:6</f>
        <v>FY2021</v>
      </c>
      <c r="DZ4" s="784"/>
      <c r="EA4" s="784"/>
      <c r="EB4" s="784"/>
      <c r="EC4" s="783"/>
      <c r="ED4" s="59" t="str">
        <f>IS!6:6</f>
        <v>FY2022</v>
      </c>
      <c r="EE4" s="53"/>
      <c r="EF4" s="53"/>
      <c r="EG4" s="54"/>
      <c r="EH4" s="783"/>
      <c r="EI4" s="59" t="str">
        <f>IS!6:6</f>
        <v>FY2023</v>
      </c>
      <c r="EJ4" s="53"/>
      <c r="EK4" s="53"/>
      <c r="EL4" s="54"/>
      <c r="EM4" s="783"/>
      <c r="EN4" s="52" t="str">
        <f>IS!6:6</f>
        <v>FY2024</v>
      </c>
      <c r="EO4" s="53"/>
      <c r="EP4" s="53"/>
      <c r="EQ4" s="54"/>
      <c r="ER4" s="783"/>
      <c r="ES4" s="52" t="str">
        <f>IS!6:6</f>
        <v>FY2025</v>
      </c>
      <c r="ET4" s="53"/>
      <c r="EU4" s="53"/>
      <c r="EV4" s="54"/>
      <c r="EW4" s="783"/>
      <c r="EX4" s="52" t="str">
        <f>IS!6:6</f>
        <v>FY2026</v>
      </c>
      <c r="EY4" s="53"/>
      <c r="EZ4" s="53"/>
      <c r="FA4" s="54"/>
      <c r="FB4" s="783"/>
      <c r="FC4" s="52" t="str">
        <f>IS!6:6</f>
        <v>FY2027</v>
      </c>
      <c r="FD4" s="53"/>
      <c r="FE4" s="53"/>
      <c r="FF4" s="54"/>
      <c r="FG4" s="783"/>
    </row>
    <row r="5" ht="12.75" customHeight="1">
      <c r="A5" s="785"/>
      <c r="B5" s="180" t="str">
        <f>+IS!B7</f>
        <v>($ in millions, except EPS)</v>
      </c>
      <c r="C5" s="786"/>
      <c r="D5" s="786"/>
      <c r="E5" s="786"/>
      <c r="F5" s="786"/>
      <c r="G5" s="786"/>
      <c r="H5" s="786"/>
      <c r="I5" s="786"/>
      <c r="J5" s="786"/>
      <c r="K5" s="786"/>
      <c r="L5" s="786"/>
      <c r="M5" s="786"/>
      <c r="N5" s="787">
        <f>+IS!N7</f>
        <v>35884</v>
      </c>
      <c r="O5" s="787">
        <f>+IS!O7</f>
        <v>35976</v>
      </c>
      <c r="P5" s="787">
        <f>+IS!P7</f>
        <v>36068</v>
      </c>
      <c r="Q5" s="787">
        <f>+IS!Q7</f>
        <v>36160</v>
      </c>
      <c r="R5" s="787" t="str">
        <f>+IS!R7</f>
        <v>1998</v>
      </c>
      <c r="S5" s="787">
        <f>+IS!S7</f>
        <v>36249</v>
      </c>
      <c r="T5" s="787">
        <f>+IS!T7</f>
        <v>36341</v>
      </c>
      <c r="U5" s="787">
        <f>+IS!U7</f>
        <v>36433</v>
      </c>
      <c r="V5" s="787">
        <f>+IS!V7</f>
        <v>36525</v>
      </c>
      <c r="W5" s="787" t="str">
        <f>+IS!W7</f>
        <v>1999</v>
      </c>
      <c r="X5" s="787">
        <f>+IS!X7</f>
        <v>36614</v>
      </c>
      <c r="Y5" s="787">
        <f>+IS!Y7</f>
        <v>36706</v>
      </c>
      <c r="Z5" s="787">
        <f>+IS!Z7</f>
        <v>36798</v>
      </c>
      <c r="AA5" s="787">
        <f>+IS!AA7</f>
        <v>36890</v>
      </c>
      <c r="AB5" s="787" t="str">
        <f>+IS!AB7</f>
        <v>2000</v>
      </c>
      <c r="AC5" s="787">
        <f>+IS!AC7</f>
        <v>36979</v>
      </c>
      <c r="AD5" s="787">
        <f>+IS!AD7</f>
        <v>37071</v>
      </c>
      <c r="AE5" s="787">
        <f>+IS!AE7</f>
        <v>37163</v>
      </c>
      <c r="AF5" s="787">
        <f>+IS!AF7</f>
        <v>37255</v>
      </c>
      <c r="AG5" s="787" t="str">
        <f>+IS!AG7</f>
        <v>2001</v>
      </c>
      <c r="AH5" s="787">
        <f>+IS!AH7</f>
        <v>37344</v>
      </c>
      <c r="AI5" s="787">
        <f>+IS!AI7</f>
        <v>37436</v>
      </c>
      <c r="AJ5" s="787">
        <f>+IS!AJ7</f>
        <v>37528</v>
      </c>
      <c r="AK5" s="787">
        <f>+IS!AK7</f>
        <v>37619</v>
      </c>
      <c r="AL5" s="787" t="str">
        <f>+IS!AL7</f>
        <v>2002</v>
      </c>
      <c r="AM5" s="787">
        <f>+IS!AM7</f>
        <v>37709</v>
      </c>
      <c r="AN5" s="787">
        <f>+IS!AN7</f>
        <v>37801</v>
      </c>
      <c r="AO5" s="787">
        <f>+IS!AO7</f>
        <v>37893</v>
      </c>
      <c r="AP5" s="787">
        <f>+IS!AP7</f>
        <v>37984</v>
      </c>
      <c r="AQ5" s="787" t="str">
        <f>+IS!AQ7</f>
        <v>2003</v>
      </c>
      <c r="AR5" s="787">
        <f>+IS!AR7</f>
        <v>38074</v>
      </c>
      <c r="AS5" s="787">
        <f>+IS!AS7</f>
        <v>38166</v>
      </c>
      <c r="AT5" s="787">
        <f>+IS!AT7</f>
        <v>38258</v>
      </c>
      <c r="AU5" s="787">
        <f>+IS!AU7</f>
        <v>38349</v>
      </c>
      <c r="AV5" s="787" t="str">
        <f>+IS!AV7</f>
        <v>2004</v>
      </c>
      <c r="AW5" s="787">
        <f>Dates</f>
        <v>38439</v>
      </c>
      <c r="AX5" s="787">
        <f>Dates</f>
        <v>38531</v>
      </c>
      <c r="AY5" s="787">
        <f>Dates</f>
        <v>38623</v>
      </c>
      <c r="AZ5" s="787">
        <f>Dates</f>
        <v>38714</v>
      </c>
      <c r="BA5" s="787" t="str">
        <f>Dates</f>
        <v>2005</v>
      </c>
      <c r="BB5" s="787">
        <f>Dates</f>
        <v>38804</v>
      </c>
      <c r="BC5" s="787">
        <f>Dates</f>
        <v>38896</v>
      </c>
      <c r="BD5" s="787">
        <f>Dates</f>
        <v>38988</v>
      </c>
      <c r="BE5" s="787">
        <f>Dates</f>
        <v>39079</v>
      </c>
      <c r="BF5" s="787" t="str">
        <f>Dates</f>
        <v>2006</v>
      </c>
      <c r="BG5" s="787">
        <f>Dates</f>
        <v>39169</v>
      </c>
      <c r="BH5" s="787">
        <f>Dates</f>
        <v>39261</v>
      </c>
      <c r="BI5" s="787">
        <f>Dates</f>
        <v>39353</v>
      </c>
      <c r="BJ5" s="787">
        <f>Dates</f>
        <v>39444</v>
      </c>
      <c r="BK5" s="787" t="str">
        <f>Dates</f>
        <v>2007</v>
      </c>
      <c r="BL5" s="787">
        <f>Dates</f>
        <v>39534</v>
      </c>
      <c r="BM5" s="787">
        <f>Dates</f>
        <v>39626</v>
      </c>
      <c r="BN5" s="787">
        <f>Dates</f>
        <v>39718</v>
      </c>
      <c r="BO5" s="787">
        <f>Dates</f>
        <v>39809</v>
      </c>
      <c r="BP5" s="787" t="str">
        <f>Dates</f>
        <v>2008</v>
      </c>
      <c r="BQ5" s="787">
        <f>Dates</f>
        <v>39899</v>
      </c>
      <c r="BR5" s="787">
        <f>Dates</f>
        <v>39991</v>
      </c>
      <c r="BS5" s="787">
        <f>Dates</f>
        <v>40083</v>
      </c>
      <c r="BT5" s="787">
        <f>Dates</f>
        <v>40174</v>
      </c>
      <c r="BU5" s="787" t="str">
        <f>Dates</f>
        <v>2009</v>
      </c>
      <c r="BV5" s="787">
        <f>Dates</f>
        <v>40264</v>
      </c>
      <c r="BW5" s="787">
        <f>Dates</f>
        <v>40356</v>
      </c>
      <c r="BX5" s="787">
        <f>Dates</f>
        <v>40448</v>
      </c>
      <c r="BY5" s="787">
        <f>Dates</f>
        <v>40539</v>
      </c>
      <c r="BZ5" s="787" t="str">
        <f>Dates</f>
        <v>2010</v>
      </c>
      <c r="CA5" s="787">
        <f>Dates</f>
        <v>40629</v>
      </c>
      <c r="CB5" s="787">
        <f>Dates</f>
        <v>40721</v>
      </c>
      <c r="CC5" s="787">
        <f>Dates</f>
        <v>40813</v>
      </c>
      <c r="CD5" s="787">
        <f>Dates</f>
        <v>40904</v>
      </c>
      <c r="CE5" s="787" t="str">
        <f>Dates</f>
        <v>2011</v>
      </c>
      <c r="CF5" s="787">
        <f>Dates</f>
        <v>40994</v>
      </c>
      <c r="CG5" s="787">
        <f>Dates</f>
        <v>41086</v>
      </c>
      <c r="CH5" s="787">
        <f>Dates</f>
        <v>41178</v>
      </c>
      <c r="CI5" s="787">
        <f>Dates</f>
        <v>41269</v>
      </c>
      <c r="CJ5" s="787" t="str">
        <f>Dates</f>
        <v>2012</v>
      </c>
      <c r="CK5" s="787">
        <f>Dates</f>
        <v>41359</v>
      </c>
      <c r="CL5" s="787">
        <f>Dates</f>
        <v>41451</v>
      </c>
      <c r="CM5" s="787">
        <f>Dates</f>
        <v>41543</v>
      </c>
      <c r="CN5" s="787">
        <f>Dates</f>
        <v>41634</v>
      </c>
      <c r="CO5" s="787" t="str">
        <f>Dates</f>
        <v>2013</v>
      </c>
      <c r="CP5" s="787">
        <f>Dates</f>
        <v>41724</v>
      </c>
      <c r="CQ5" s="787">
        <f>Dates</f>
        <v>41816</v>
      </c>
      <c r="CR5" s="787">
        <f>Dates</f>
        <v>41908</v>
      </c>
      <c r="CS5" s="787">
        <f>Dates</f>
        <v>41999</v>
      </c>
      <c r="CT5" s="787" t="str">
        <f>Dates</f>
        <v>2014</v>
      </c>
      <c r="CU5" s="787">
        <f>Dates</f>
        <v>42089</v>
      </c>
      <c r="CV5" s="787">
        <f>Dates</f>
        <v>42181</v>
      </c>
      <c r="CW5" s="787">
        <f>Dates</f>
        <v>42273</v>
      </c>
      <c r="CX5" s="787">
        <f>Dates</f>
        <v>42364</v>
      </c>
      <c r="CY5" s="788" t="str">
        <f>Dates</f>
        <v>2015</v>
      </c>
      <c r="CZ5" s="787">
        <f>Dates</f>
        <v>42454</v>
      </c>
      <c r="DA5" s="787">
        <f>Dates</f>
        <v>42546</v>
      </c>
      <c r="DB5" s="787">
        <f>Dates</f>
        <v>42638</v>
      </c>
      <c r="DC5" s="787">
        <f>Dates</f>
        <v>42729</v>
      </c>
      <c r="DD5" s="788" t="str">
        <f>Dates</f>
        <v>2016</v>
      </c>
      <c r="DE5" s="787">
        <f>Dates</f>
        <v>42819</v>
      </c>
      <c r="DF5" s="787">
        <f>Dates</f>
        <v>42911</v>
      </c>
      <c r="DG5" s="789">
        <f>Dates</f>
        <v>43003</v>
      </c>
      <c r="DH5" s="787">
        <f>Dates</f>
        <v>43094</v>
      </c>
      <c r="DI5" s="788" t="str">
        <f>Dates</f>
        <v>2017</v>
      </c>
      <c r="DJ5" s="789">
        <f>Dates</f>
        <v>43184</v>
      </c>
      <c r="DK5" s="789">
        <f>Dates</f>
        <v>43276</v>
      </c>
      <c r="DL5" s="789">
        <f>Dates</f>
        <v>43368</v>
      </c>
      <c r="DM5" s="789">
        <f>Dates</f>
        <v>43459</v>
      </c>
      <c r="DN5" s="788" t="str">
        <f>Dates</f>
        <v>2018</v>
      </c>
      <c r="DO5" s="789">
        <f>Dates</f>
        <v>43549</v>
      </c>
      <c r="DP5" s="789">
        <f>Dates</f>
        <v>43641</v>
      </c>
      <c r="DQ5" s="789">
        <f>Dates</f>
        <v>43733</v>
      </c>
      <c r="DR5" s="789">
        <f>Dates</f>
        <v>43824</v>
      </c>
      <c r="DS5" s="788" t="str">
        <f>Dates</f>
        <v>2019</v>
      </c>
      <c r="DT5" s="789">
        <f>Dates</f>
        <v>43914</v>
      </c>
      <c r="DU5" s="789">
        <f>Dates</f>
        <v>44006</v>
      </c>
      <c r="DV5" s="789">
        <f>Dates</f>
        <v>44098</v>
      </c>
      <c r="DW5" s="789">
        <f>Dates</f>
        <v>44189</v>
      </c>
      <c r="DX5" s="788" t="str">
        <f>Dates</f>
        <v>2020</v>
      </c>
      <c r="DY5" s="789">
        <f>Dates</f>
        <v>44279</v>
      </c>
      <c r="DZ5" s="789">
        <f>Dates</f>
        <v>44371</v>
      </c>
      <c r="EA5" s="789">
        <f>Dates</f>
        <v>44463</v>
      </c>
      <c r="EB5" s="789">
        <f>Dates</f>
        <v>44554</v>
      </c>
      <c r="EC5" s="788" t="str">
        <f>Dates</f>
        <v>2021</v>
      </c>
      <c r="ED5" s="789">
        <f>Dates</f>
        <v>44644</v>
      </c>
      <c r="EE5" s="789">
        <f>Dates</f>
        <v>44736</v>
      </c>
      <c r="EF5" s="789">
        <f>Dates</f>
        <v>44828</v>
      </c>
      <c r="EG5" s="789">
        <f>Dates</f>
        <v>44919</v>
      </c>
      <c r="EH5" s="788" t="str">
        <f>Dates</f>
        <v>2022</v>
      </c>
      <c r="EI5" s="790">
        <f>Dates</f>
        <v>45009</v>
      </c>
      <c r="EJ5" s="787">
        <f>Dates</f>
        <v>45101</v>
      </c>
      <c r="EK5" s="787">
        <f>Dates</f>
        <v>45193</v>
      </c>
      <c r="EL5" s="787">
        <f>Dates</f>
        <v>45284</v>
      </c>
      <c r="EM5" s="788" t="str">
        <f>Dates</f>
        <v>2023</v>
      </c>
      <c r="EN5" s="787">
        <f>Dates</f>
        <v>45374</v>
      </c>
      <c r="EO5" s="787">
        <f>Dates</f>
        <v>45466</v>
      </c>
      <c r="EP5" s="787">
        <f>Dates</f>
        <v>45558</v>
      </c>
      <c r="EQ5" s="787">
        <f>Dates</f>
        <v>45649</v>
      </c>
      <c r="ER5" s="788" t="str">
        <f>Dates</f>
        <v>2024</v>
      </c>
      <c r="ES5" s="787">
        <f>Dates</f>
        <v>45739</v>
      </c>
      <c r="ET5" s="787">
        <f>Dates</f>
        <v>45831</v>
      </c>
      <c r="EU5" s="787">
        <f>Dates</f>
        <v>45923</v>
      </c>
      <c r="EV5" s="787">
        <f>Dates</f>
        <v>46014</v>
      </c>
      <c r="EW5" s="788" t="str">
        <f>Dates</f>
        <v>2025</v>
      </c>
      <c r="EX5" s="787">
        <f>Dates</f>
        <v>46104</v>
      </c>
      <c r="EY5" s="787">
        <f>Dates</f>
        <v>46196</v>
      </c>
      <c r="EZ5" s="787">
        <f>Dates</f>
        <v>46288</v>
      </c>
      <c r="FA5" s="787">
        <f>Dates</f>
        <v>46379</v>
      </c>
      <c r="FB5" s="788" t="str">
        <f>Dates</f>
        <v>2026E</v>
      </c>
      <c r="FC5" s="787">
        <f>Dates</f>
        <v>46469</v>
      </c>
      <c r="FD5" s="787">
        <f>Dates</f>
        <v>46561</v>
      </c>
      <c r="FE5" s="787">
        <f>Dates</f>
        <v>46653</v>
      </c>
      <c r="FF5" s="787">
        <f>Dates</f>
        <v>46744</v>
      </c>
      <c r="FG5" s="788" t="str">
        <f>Dates</f>
        <v>2027E</v>
      </c>
    </row>
    <row r="6" ht="12.75" customHeight="1">
      <c r="A6" s="785"/>
      <c r="B6" s="785"/>
      <c r="C6" s="785"/>
      <c r="D6" s="785"/>
      <c r="E6" s="785"/>
      <c r="F6" s="785"/>
      <c r="G6" s="785"/>
      <c r="H6" s="785"/>
      <c r="I6" s="785"/>
      <c r="J6" s="785"/>
      <c r="K6" s="785"/>
      <c r="L6" s="785"/>
      <c r="M6" s="785"/>
      <c r="N6" s="787" t="str">
        <f>+IS!N8</f>
        <v>Q1A</v>
      </c>
      <c r="O6" s="787" t="str">
        <f>+IS!O8</f>
        <v>Q2A</v>
      </c>
      <c r="P6" s="787" t="str">
        <f>+IS!P8</f>
        <v>Q3A</v>
      </c>
      <c r="Q6" s="787" t="str">
        <f>+IS!Q8</f>
        <v>Q4A</v>
      </c>
      <c r="R6" s="62"/>
      <c r="S6" s="787" t="str">
        <f>+IS!S8</f>
        <v>Q1A</v>
      </c>
      <c r="T6" s="787" t="str">
        <f>+IS!T8</f>
        <v>Q2A</v>
      </c>
      <c r="U6" s="787" t="str">
        <f>+IS!U8</f>
        <v>Q3A</v>
      </c>
      <c r="V6" s="787" t="str">
        <f>+IS!V8</f>
        <v>Q4A</v>
      </c>
      <c r="W6" s="62"/>
      <c r="X6" s="787" t="str">
        <f>+IS!X8</f>
        <v>Q1A</v>
      </c>
      <c r="Y6" s="787" t="str">
        <f>+IS!Y8</f>
        <v>Q2A</v>
      </c>
      <c r="Z6" s="787" t="str">
        <f>+IS!Z8</f>
        <v>Q3A</v>
      </c>
      <c r="AA6" s="787" t="str">
        <f>+IS!AA8</f>
        <v>Q4A</v>
      </c>
      <c r="AB6" s="62"/>
      <c r="AC6" s="787" t="str">
        <f>+IS!AC8</f>
        <v>Q1A</v>
      </c>
      <c r="AD6" s="787" t="str">
        <f>+IS!AD8</f>
        <v>Q2A</v>
      </c>
      <c r="AE6" s="787" t="str">
        <f>+IS!AE8</f>
        <v>Q3A</v>
      </c>
      <c r="AF6" s="787" t="str">
        <f>+IS!AF8</f>
        <v>Q4A</v>
      </c>
      <c r="AG6" s="62"/>
      <c r="AH6" s="791" t="s">
        <v>506</v>
      </c>
      <c r="AI6" s="791" t="s">
        <v>507</v>
      </c>
      <c r="AJ6" s="791" t="s">
        <v>508</v>
      </c>
      <c r="AK6" s="791" t="s">
        <v>509</v>
      </c>
      <c r="AL6" s="62"/>
      <c r="AM6" s="787" t="str">
        <f>+IS!AM8</f>
        <v>Q1A</v>
      </c>
      <c r="AN6" s="787" t="str">
        <f>+IS!AN8</f>
        <v>Q2A</v>
      </c>
      <c r="AO6" s="787" t="str">
        <f>+IS!AO8</f>
        <v>Q3A</v>
      </c>
      <c r="AP6" s="787" t="str">
        <f>+IS!AP8</f>
        <v>Q4A</v>
      </c>
      <c r="AQ6" s="62"/>
      <c r="AR6" s="787" t="str">
        <f>+IS!AR8</f>
        <v>Q1A</v>
      </c>
      <c r="AS6" s="787" t="str">
        <f>+IS!AS8</f>
        <v>Q2A</v>
      </c>
      <c r="AT6" s="787" t="str">
        <f>+IS!AT8</f>
        <v>Q3A</v>
      </c>
      <c r="AU6" s="787" t="str">
        <f>+IS!AU8</f>
        <v>Q4A</v>
      </c>
      <c r="AV6" s="62"/>
      <c r="AW6" s="787" t="str">
        <f>IS!8:8</f>
        <v>Q1A</v>
      </c>
      <c r="AX6" s="787" t="str">
        <f>IS!8:8</f>
        <v>Q2A</v>
      </c>
      <c r="AY6" s="787" t="str">
        <f>IS!8:8</f>
        <v>Q3A</v>
      </c>
      <c r="AZ6" s="787" t="str">
        <f>IS!8:8</f>
        <v>Q4A</v>
      </c>
      <c r="BA6" s="62"/>
      <c r="BB6" s="787" t="str">
        <f>IS!8:8</f>
        <v>Q1A</v>
      </c>
      <c r="BC6" s="787" t="str">
        <f>IS!8:8</f>
        <v>Q2A</v>
      </c>
      <c r="BD6" s="787" t="str">
        <f>IS!8:8</f>
        <v>Q3A</v>
      </c>
      <c r="BE6" s="787" t="str">
        <f>IS!8:8</f>
        <v>Q4A</v>
      </c>
      <c r="BF6" s="62"/>
      <c r="BG6" s="787" t="str">
        <f>IS!8:8</f>
        <v>Q1A</v>
      </c>
      <c r="BH6" s="787" t="str">
        <f>IS!8:8</f>
        <v>Q2A</v>
      </c>
      <c r="BI6" s="787" t="str">
        <f>IS!8:8</f>
        <v>Q3A</v>
      </c>
      <c r="BJ6" s="787" t="str">
        <f>IS!8:8</f>
        <v>Q4A</v>
      </c>
      <c r="BK6" s="62"/>
      <c r="BL6" s="787" t="str">
        <f>IS!8:8</f>
        <v>Q1A</v>
      </c>
      <c r="BM6" s="787" t="str">
        <f>IS!8:8</f>
        <v>Q2A</v>
      </c>
      <c r="BN6" s="787" t="str">
        <f>IS!8:8</f>
        <v>Q3A</v>
      </c>
      <c r="BO6" s="787" t="str">
        <f>IS!8:8</f>
        <v>Q4A</v>
      </c>
      <c r="BP6" s="62"/>
      <c r="BQ6" s="787" t="str">
        <f>IS!8:8</f>
        <v>Q1A</v>
      </c>
      <c r="BR6" s="787" t="str">
        <f>IS!8:8</f>
        <v>Q2A</v>
      </c>
      <c r="BS6" s="787" t="str">
        <f>IS!8:8</f>
        <v>Q3A</v>
      </c>
      <c r="BT6" s="787" t="str">
        <f>IS!8:8</f>
        <v>Q4A</v>
      </c>
      <c r="BU6" s="62"/>
      <c r="BV6" s="787" t="str">
        <f>IS!8:8</f>
        <v>Q1A</v>
      </c>
      <c r="BW6" s="787" t="str">
        <f>IS!8:8</f>
        <v>Q2A</v>
      </c>
      <c r="BX6" s="787" t="str">
        <f>IS!8:8</f>
        <v>Q3A</v>
      </c>
      <c r="BY6" s="787" t="str">
        <f>IS!8:8</f>
        <v>Q4A</v>
      </c>
      <c r="BZ6" s="62"/>
      <c r="CA6" s="787" t="str">
        <f>IS!8:8</f>
        <v>Q1A</v>
      </c>
      <c r="CB6" s="787" t="str">
        <f>IS!8:8</f>
        <v>Q2A</v>
      </c>
      <c r="CC6" s="787" t="str">
        <f>IS!8:8</f>
        <v>Q3A</v>
      </c>
      <c r="CD6" s="787" t="str">
        <f>IS!8:8</f>
        <v>Q4A</v>
      </c>
      <c r="CE6" s="62"/>
      <c r="CF6" s="787" t="str">
        <f>IS!8:8</f>
        <v>Q1A</v>
      </c>
      <c r="CG6" s="787" t="str">
        <f>IS!8:8</f>
        <v>Q2A</v>
      </c>
      <c r="CH6" s="787" t="str">
        <f>IS!8:8</f>
        <v>Q3A</v>
      </c>
      <c r="CI6" s="787" t="str">
        <f>IS!8:8</f>
        <v>Q4A</v>
      </c>
      <c r="CJ6" s="62"/>
      <c r="CK6" s="787" t="str">
        <f>IS!8:8</f>
        <v>Q1A</v>
      </c>
      <c r="CL6" s="787" t="str">
        <f>IS!8:8</f>
        <v>Q2A</v>
      </c>
      <c r="CM6" s="787" t="str">
        <f>IS!8:8</f>
        <v>Q3A</v>
      </c>
      <c r="CN6" s="787" t="str">
        <f>IS!8:8</f>
        <v>Q4A</v>
      </c>
      <c r="CO6" s="62"/>
      <c r="CP6" s="787" t="str">
        <f>IS!8:8</f>
        <v>Q1A</v>
      </c>
      <c r="CQ6" s="787" t="str">
        <f>IS!8:8</f>
        <v>Q2A</v>
      </c>
      <c r="CR6" s="787" t="str">
        <f>IS!8:8</f>
        <v>Q3A</v>
      </c>
      <c r="CS6" s="787" t="str">
        <f>IS!8:8</f>
        <v>Q4A</v>
      </c>
      <c r="CT6" s="62"/>
      <c r="CU6" s="787" t="str">
        <f>IS!8:8</f>
        <v>Q1A</v>
      </c>
      <c r="CV6" s="787" t="str">
        <f>IS!8:8</f>
        <v>Q2A</v>
      </c>
      <c r="CW6" s="787" t="str">
        <f>IS!8:8</f>
        <v>Q3A</v>
      </c>
      <c r="CX6" s="787" t="str">
        <f>IS!8:8</f>
        <v>Q4A</v>
      </c>
      <c r="CY6" s="792"/>
      <c r="CZ6" s="787" t="str">
        <f>IS!8:8</f>
        <v>Q1A</v>
      </c>
      <c r="DA6" s="787" t="str">
        <f>IS!8:8</f>
        <v>Q2A</v>
      </c>
      <c r="DB6" s="787" t="str">
        <f>IS!8:8</f>
        <v>Q3A</v>
      </c>
      <c r="DC6" s="787" t="str">
        <f>IS!8:8</f>
        <v>Q4A</v>
      </c>
      <c r="DD6" s="792"/>
      <c r="DE6" s="787" t="str">
        <f>IS!8:8</f>
        <v>Q1A</v>
      </c>
      <c r="DF6" s="787" t="str">
        <f>IS!8:8</f>
        <v>Q2A</v>
      </c>
      <c r="DG6" s="789" t="str">
        <f>IS!8:8</f>
        <v>Q3A</v>
      </c>
      <c r="DH6" s="787" t="str">
        <f>IS!8:8</f>
        <v>Q4A</v>
      </c>
      <c r="DI6" s="792"/>
      <c r="DJ6" s="789" t="str">
        <f>IS!8:8</f>
        <v>Q1A</v>
      </c>
      <c r="DK6" s="789" t="str">
        <f>IS!8:8</f>
        <v>Q2A</v>
      </c>
      <c r="DL6" s="789" t="str">
        <f>IS!8:8</f>
        <v>Q3A</v>
      </c>
      <c r="DM6" s="789" t="str">
        <f>IS!8:8</f>
        <v>Q4A</v>
      </c>
      <c r="DN6" s="792"/>
      <c r="DO6" s="789" t="str">
        <f>IS!8:8</f>
        <v>Q1A</v>
      </c>
      <c r="DP6" s="789" t="str">
        <f>IS!8:8</f>
        <v>Q2A</v>
      </c>
      <c r="DQ6" s="789" t="str">
        <f>IS!8:8</f>
        <v>Q3A</v>
      </c>
      <c r="DR6" s="789" t="str">
        <f>IS!8:8</f>
        <v>Q4A</v>
      </c>
      <c r="DS6" s="792"/>
      <c r="DT6" s="789" t="str">
        <f>IS!8:8</f>
        <v>Q1A</v>
      </c>
      <c r="DU6" s="789" t="str">
        <f>IS!8:8</f>
        <v>Q2A</v>
      </c>
      <c r="DV6" s="789" t="str">
        <f>IS!8:8</f>
        <v>Q3A</v>
      </c>
      <c r="DW6" s="789" t="str">
        <f>IS!8:8</f>
        <v>Q4A</v>
      </c>
      <c r="DX6" s="792"/>
      <c r="DY6" s="789" t="str">
        <f>IS!8:8</f>
        <v>Q1A</v>
      </c>
      <c r="DZ6" s="789" t="str">
        <f>IS!8:8</f>
        <v>Q2A</v>
      </c>
      <c r="EA6" s="789" t="str">
        <f>IS!8:8</f>
        <v>Q3A</v>
      </c>
      <c r="EB6" s="789" t="str">
        <f>IS!8:8</f>
        <v>Q4A</v>
      </c>
      <c r="EC6" s="792"/>
      <c r="ED6" s="789" t="str">
        <f>IS!8:8</f>
        <v>Q1A</v>
      </c>
      <c r="EE6" s="789" t="str">
        <f>IS!8:8</f>
        <v>Q2A</v>
      </c>
      <c r="EF6" s="789" t="str">
        <f>IS!8:8</f>
        <v>Q3A</v>
      </c>
      <c r="EG6" s="789" t="str">
        <f>IS!8:8</f>
        <v>Q4A</v>
      </c>
      <c r="EH6" s="792"/>
      <c r="EI6" s="790" t="str">
        <f>IS!8:8</f>
        <v>Q1A</v>
      </c>
      <c r="EJ6" s="787" t="str">
        <f>IS!8:8</f>
        <v>Q2A</v>
      </c>
      <c r="EK6" s="787" t="str">
        <f>IS!8:8</f>
        <v>Q3A</v>
      </c>
      <c r="EL6" s="787" t="str">
        <f>IS!8:8</f>
        <v>Q4A</v>
      </c>
      <c r="EM6" s="792"/>
      <c r="EN6" s="787" t="str">
        <f>IS!8:8</f>
        <v>Q1A</v>
      </c>
      <c r="EO6" s="787" t="str">
        <f>IS!8:8</f>
        <v>Q2A</v>
      </c>
      <c r="EP6" s="787" t="str">
        <f>IS!8:8</f>
        <v>Q3A</v>
      </c>
      <c r="EQ6" s="787" t="str">
        <f>IS!8:8</f>
        <v>Q4A</v>
      </c>
      <c r="ER6" s="792"/>
      <c r="ES6" s="787" t="str">
        <f>IS!8:8</f>
        <v>Q1A</v>
      </c>
      <c r="ET6" s="787" t="str">
        <f>IS!8:8</f>
        <v>Q2A</v>
      </c>
      <c r="EU6" s="787" t="str">
        <f>IS!8:8</f>
        <v>Q3A</v>
      </c>
      <c r="EV6" s="787" t="str">
        <f>IS!8:8</f>
        <v>Q4A</v>
      </c>
      <c r="EW6" s="792"/>
      <c r="EX6" s="787" t="str">
        <f>IS!8:8</f>
        <v>Q1A</v>
      </c>
      <c r="EY6" s="787" t="str">
        <f>IS!8:8</f>
        <v>Q2E</v>
      </c>
      <c r="EZ6" s="787" t="str">
        <f>IS!8:8</f>
        <v>Q3E</v>
      </c>
      <c r="FA6" s="787" t="str">
        <f>IS!8:8</f>
        <v>Q4E</v>
      </c>
      <c r="FB6" s="792"/>
      <c r="FC6" s="787" t="str">
        <f>IS!8:8</f>
        <v>Q1E</v>
      </c>
      <c r="FD6" s="787" t="str">
        <f>IS!8:8</f>
        <v>Q2E</v>
      </c>
      <c r="FE6" s="787" t="str">
        <f>IS!8:8</f>
        <v>Q3E</v>
      </c>
      <c r="FF6" s="787" t="str">
        <f>IS!8:8</f>
        <v>Q4E</v>
      </c>
      <c r="FG6" s="792"/>
    </row>
    <row r="7" ht="12.75" customHeight="1">
      <c r="A7" s="179"/>
      <c r="B7" s="780" t="s">
        <v>510</v>
      </c>
      <c r="C7" s="180"/>
      <c r="D7" s="180"/>
      <c r="E7" s="180"/>
      <c r="F7" s="180"/>
      <c r="G7" s="180"/>
      <c r="H7" s="180"/>
      <c r="I7" s="180"/>
      <c r="J7" s="180"/>
      <c r="K7" s="180"/>
      <c r="L7" s="180"/>
      <c r="M7" s="180"/>
      <c r="N7" s="8"/>
      <c r="O7" s="8"/>
      <c r="P7" s="8"/>
      <c r="Q7" s="8"/>
      <c r="R7" s="8"/>
      <c r="S7" s="179"/>
      <c r="T7" s="179"/>
      <c r="U7" s="179"/>
      <c r="V7" s="179"/>
      <c r="W7" s="8"/>
      <c r="X7" s="179"/>
      <c r="Y7" s="179"/>
      <c r="Z7" s="179"/>
      <c r="AA7" s="179"/>
      <c r="AB7" s="8"/>
      <c r="AC7" s="179"/>
      <c r="AD7" s="179"/>
      <c r="AE7" s="179"/>
      <c r="AF7" s="179"/>
      <c r="AG7" s="8"/>
      <c r="AH7" s="179"/>
      <c r="AI7" s="179"/>
      <c r="AJ7" s="179"/>
      <c r="AK7" s="179"/>
      <c r="AL7" s="8"/>
      <c r="AM7" s="179"/>
      <c r="AN7" s="179"/>
      <c r="AO7" s="179"/>
      <c r="AP7" s="179"/>
      <c r="AQ7" s="8"/>
      <c r="AR7" s="179"/>
      <c r="AS7" s="179"/>
      <c r="AT7" s="179"/>
      <c r="AU7" s="179"/>
      <c r="AV7" s="8"/>
      <c r="AW7" s="179"/>
      <c r="AX7" s="179"/>
      <c r="AY7" s="179"/>
      <c r="AZ7" s="179"/>
      <c r="BA7" s="8"/>
      <c r="BB7" s="179"/>
      <c r="BC7" s="179"/>
      <c r="BD7" s="179"/>
      <c r="BE7" s="179"/>
      <c r="BF7" s="8"/>
      <c r="BG7" s="179"/>
      <c r="BH7" s="179"/>
      <c r="BI7" s="179"/>
      <c r="BJ7" s="179"/>
      <c r="BK7" s="8"/>
      <c r="BL7" s="179"/>
      <c r="BM7" s="179"/>
      <c r="BN7" s="179"/>
      <c r="BO7" s="179"/>
      <c r="BP7" s="8"/>
      <c r="BQ7" s="179"/>
      <c r="BR7" s="179"/>
      <c r="BS7" s="179"/>
      <c r="BT7" s="179"/>
      <c r="BU7" s="8"/>
      <c r="BV7" s="179"/>
      <c r="BW7" s="179"/>
      <c r="BX7" s="179"/>
      <c r="BY7" s="179"/>
      <c r="BZ7" s="8"/>
      <c r="CA7" s="179"/>
      <c r="CB7" s="179"/>
      <c r="CC7" s="179"/>
      <c r="CD7" s="128"/>
      <c r="CE7" s="8"/>
      <c r="CF7" s="179"/>
      <c r="CG7" s="179"/>
      <c r="CH7" s="179"/>
      <c r="CI7" s="179"/>
      <c r="CJ7" s="8"/>
      <c r="CK7" s="179"/>
      <c r="CL7" s="179"/>
      <c r="CM7" s="179"/>
      <c r="CN7" s="179"/>
      <c r="CO7" s="8"/>
      <c r="CP7" s="179"/>
      <c r="CQ7" s="179"/>
      <c r="CR7" s="179"/>
      <c r="CS7" s="179"/>
      <c r="CT7" s="8"/>
      <c r="CU7" s="179"/>
      <c r="CV7" s="179"/>
      <c r="CW7" s="179"/>
      <c r="CX7" s="179"/>
      <c r="CY7" s="10"/>
      <c r="CZ7" s="179"/>
      <c r="DA7" s="179"/>
      <c r="DB7" s="179"/>
      <c r="DC7" s="179"/>
      <c r="DD7" s="10"/>
      <c r="DE7" s="179"/>
      <c r="DF7" s="179"/>
      <c r="DG7" s="774"/>
      <c r="DH7" s="179"/>
      <c r="DI7" s="10"/>
      <c r="DJ7" s="774"/>
      <c r="DK7" s="774"/>
      <c r="DL7" s="774"/>
      <c r="DM7" s="774"/>
      <c r="DN7" s="10"/>
      <c r="DO7" s="774"/>
      <c r="DP7" s="774"/>
      <c r="DQ7" s="774"/>
      <c r="DR7" s="774"/>
      <c r="DS7" s="10"/>
      <c r="DT7" s="774"/>
      <c r="DU7" s="774"/>
      <c r="DV7" s="774"/>
      <c r="DW7" s="774"/>
      <c r="DX7" s="10"/>
      <c r="DY7" s="774"/>
      <c r="DZ7" s="774"/>
      <c r="EA7" s="774"/>
      <c r="EB7" s="774"/>
      <c r="EC7" s="10"/>
      <c r="ED7" s="774"/>
      <c r="EE7" s="774"/>
      <c r="EF7" s="774"/>
      <c r="EG7" s="774"/>
      <c r="EH7" s="10"/>
      <c r="EI7" s="775"/>
      <c r="EJ7" s="179"/>
      <c r="EK7" s="179"/>
      <c r="EL7" s="179"/>
      <c r="EM7" s="10"/>
      <c r="EN7" s="179"/>
      <c r="EO7" s="179"/>
      <c r="EP7" s="179"/>
      <c r="EQ7" s="179"/>
      <c r="ER7" s="10"/>
      <c r="ES7" s="179"/>
      <c r="ET7" s="179"/>
      <c r="EU7" s="179"/>
      <c r="EV7" s="179"/>
      <c r="EW7" s="10"/>
      <c r="EX7" s="179"/>
      <c r="EY7" s="179"/>
      <c r="EZ7" s="179"/>
      <c r="FA7" s="179"/>
      <c r="FB7" s="10"/>
      <c r="FC7" s="179"/>
      <c r="FD7" s="179"/>
      <c r="FE7" s="179"/>
      <c r="FF7" s="179"/>
      <c r="FG7" s="10"/>
    </row>
    <row r="8" ht="12.75" customHeight="1" outlineLevel="1">
      <c r="A8" s="180"/>
      <c r="B8" s="180" t="s">
        <v>511</v>
      </c>
      <c r="C8" s="180"/>
      <c r="D8" s="180"/>
      <c r="E8" s="180"/>
      <c r="F8" s="180"/>
      <c r="G8" s="180"/>
      <c r="H8" s="180"/>
      <c r="I8" s="180"/>
      <c r="J8" s="180"/>
      <c r="K8" s="180"/>
      <c r="L8" s="180"/>
      <c r="M8" s="180"/>
      <c r="N8" s="128">
        <v>5073.0</v>
      </c>
      <c r="O8" s="128">
        <f>N8+changeInCash</f>
        <v>1887</v>
      </c>
      <c r="P8" s="128">
        <f>O8+changeInCash</f>
        <v>2900</v>
      </c>
      <c r="Q8" s="128">
        <f>P8+changeInCash</f>
        <v>2038</v>
      </c>
      <c r="R8" s="73">
        <f>Q8</f>
        <v>2038</v>
      </c>
      <c r="S8" s="128">
        <f>R8+changeInCash</f>
        <v>2503</v>
      </c>
      <c r="T8" s="128">
        <f>S8+changeInCash</f>
        <v>3599</v>
      </c>
      <c r="U8" s="128">
        <f>T8+changeInCash</f>
        <v>3512</v>
      </c>
      <c r="V8" s="128">
        <f>U8+changeInCash</f>
        <v>3695</v>
      </c>
      <c r="W8" s="73">
        <f>V8</f>
        <v>3695</v>
      </c>
      <c r="X8" s="128">
        <f>W8+changeInCash</f>
        <v>6204</v>
      </c>
      <c r="Y8" s="128">
        <f>X8+changeInCash</f>
        <v>7308</v>
      </c>
      <c r="Z8" s="128">
        <f>Y8+changeInCash</f>
        <v>6434</v>
      </c>
      <c r="AA8" s="128">
        <f>Z8+changeInCash</f>
        <v>2976</v>
      </c>
      <c r="AB8" s="73">
        <f>AA8</f>
        <v>2976</v>
      </c>
      <c r="AC8" s="128">
        <f>AB8+changeInCash</f>
        <v>2861</v>
      </c>
      <c r="AD8" s="128">
        <f>AC8+changeInCash</f>
        <v>3205</v>
      </c>
      <c r="AE8" s="128">
        <f>AD8+changeInCash</f>
        <v>4864</v>
      </c>
      <c r="AF8" s="128">
        <f>AE8+changeInCash</f>
        <v>7970</v>
      </c>
      <c r="AG8" s="73">
        <f t="shared" ref="AG8:AG9" si="1">AF8</f>
        <v>7970</v>
      </c>
      <c r="AH8" s="128">
        <f>AG8+changeInCash</f>
        <v>6524</v>
      </c>
      <c r="AI8" s="128">
        <f>AH8+changeInCash</f>
        <v>6068</v>
      </c>
      <c r="AJ8" s="128">
        <f>AI8+changeInCash</f>
        <v>6678</v>
      </c>
      <c r="AK8" s="128">
        <f>AJ8+changeInCash</f>
        <v>7404</v>
      </c>
      <c r="AL8" s="73">
        <f t="shared" ref="AL8:AL10" si="2">AK8</f>
        <v>7404</v>
      </c>
      <c r="AM8" s="128">
        <f>AL8+changeInCash</f>
        <v>7134</v>
      </c>
      <c r="AN8" s="128">
        <f>AM8+changeInCash</f>
        <v>8382</v>
      </c>
      <c r="AO8" s="128">
        <f>AN8+changeInCash</f>
        <v>9406</v>
      </c>
      <c r="AP8" s="128">
        <f>AO8+changeInCash</f>
        <v>7971</v>
      </c>
      <c r="AQ8" s="73">
        <f t="shared" ref="AQ8:AQ9" si="3">AP8</f>
        <v>7971</v>
      </c>
      <c r="AR8" s="128">
        <f>AQ8+changeInCash</f>
        <v>7539</v>
      </c>
      <c r="AS8" s="128">
        <f>AR8+changeInCash</f>
        <v>7153</v>
      </c>
      <c r="AT8" s="128">
        <f>AS8+changeInCash</f>
        <v>6533</v>
      </c>
      <c r="AU8" s="128">
        <f>AT8+changeInCash</f>
        <v>8407</v>
      </c>
      <c r="AV8" s="73">
        <f t="shared" ref="AV8:AV9" si="4">AU8</f>
        <v>8407</v>
      </c>
      <c r="AW8" s="128">
        <f>AV8+changeInCash</f>
        <v>9279</v>
      </c>
      <c r="AX8" s="128">
        <f>AW8+changeInCash</f>
        <v>8975</v>
      </c>
      <c r="AY8" s="128">
        <f>AX8+changeInCash</f>
        <v>8857</v>
      </c>
      <c r="AZ8" s="128">
        <f>AY8+changeInCash</f>
        <v>7324</v>
      </c>
      <c r="BA8" s="73">
        <f t="shared" ref="BA8:BA9" si="5">AZ8</f>
        <v>7324</v>
      </c>
      <c r="BB8" s="128">
        <f>BA8+changeInCash</f>
        <v>3948</v>
      </c>
      <c r="BC8" s="128">
        <f>BB8+changeInCash</f>
        <v>3436</v>
      </c>
      <c r="BD8" s="128">
        <f>BC8+changeInCash</f>
        <v>4469</v>
      </c>
      <c r="BE8" s="128">
        <f>BD8+changeInCash</f>
        <v>6598</v>
      </c>
      <c r="BF8" s="73">
        <f t="shared" ref="BF8:BF9" si="6">BE8</f>
        <v>6598</v>
      </c>
      <c r="BG8" s="128">
        <f>BF8+changeInCash</f>
        <v>4472</v>
      </c>
      <c r="BH8" s="128">
        <f>BG8+changeInCash</f>
        <v>4709</v>
      </c>
      <c r="BI8" s="128">
        <f>BH8+changeInCash</f>
        <v>5844</v>
      </c>
      <c r="BJ8" s="128">
        <f>BI8+changeInCash</f>
        <v>7307</v>
      </c>
      <c r="BK8" s="73">
        <f t="shared" ref="BK8:BK10" si="7">BJ8</f>
        <v>7307</v>
      </c>
      <c r="BL8" s="128">
        <f>BK8+changeInCash</f>
        <v>5883</v>
      </c>
      <c r="BM8" s="128">
        <f>BL8+changeInCash</f>
        <v>4079</v>
      </c>
      <c r="BN8" s="128">
        <f>BM8+changeInCash</f>
        <v>3704</v>
      </c>
      <c r="BO8" s="128">
        <f>BN8+changeInCash</f>
        <v>3350</v>
      </c>
      <c r="BP8" s="73">
        <f t="shared" ref="BP8:BP10" si="8">BO8</f>
        <v>3350</v>
      </c>
      <c r="BQ8" s="128">
        <f>BP8+changeInCash</f>
        <v>3536</v>
      </c>
      <c r="BR8" s="128">
        <f>BQ8+changeInCash</f>
        <v>3826</v>
      </c>
      <c r="BS8" s="128">
        <f>BR8+changeInCash</f>
        <v>4109</v>
      </c>
      <c r="BT8" s="128">
        <f>BS8+changeInCash</f>
        <v>3987</v>
      </c>
      <c r="BU8" s="73">
        <f t="shared" ref="BU8:BU10" si="9">BT8</f>
        <v>3987</v>
      </c>
      <c r="BV8" s="128">
        <f>BU8+changeInCash</f>
        <v>4988</v>
      </c>
      <c r="BW8" s="128">
        <f>BV8+changeInCash</f>
        <v>5514</v>
      </c>
      <c r="BX8" s="128">
        <f>BW8+changeInCash</f>
        <v>5517</v>
      </c>
      <c r="BY8" s="128">
        <f>BX8+changeInCash</f>
        <v>5498</v>
      </c>
      <c r="BZ8" s="73">
        <f t="shared" ref="BZ8:BZ10" si="10">BY8</f>
        <v>5498</v>
      </c>
      <c r="CA8" s="128">
        <f>BZ8+changeInCash</f>
        <v>4188</v>
      </c>
      <c r="CB8" s="128">
        <f>CA8+changeInCash</f>
        <v>4635</v>
      </c>
      <c r="CC8" s="128">
        <f>CB8+changeInCash</f>
        <v>7057</v>
      </c>
      <c r="CD8" s="128">
        <f>CC8+changeInCash</f>
        <v>5065</v>
      </c>
      <c r="CE8" s="73">
        <f t="shared" ref="CE8:CE10" si="11">CD8</f>
        <v>5065</v>
      </c>
      <c r="CF8" s="128">
        <f>CE8+changeInCash</f>
        <v>4429</v>
      </c>
      <c r="CG8" s="128">
        <f>CF8+changeInCash</f>
        <v>5223</v>
      </c>
      <c r="CH8" s="128">
        <f>CG8+changeInCash</f>
        <v>3520</v>
      </c>
      <c r="CI8" s="128">
        <f>CH8+changeInCash</f>
        <v>8478</v>
      </c>
      <c r="CJ8" s="73">
        <f t="shared" ref="CJ8:CJ10" si="12">CI8</f>
        <v>8478</v>
      </c>
      <c r="CK8" s="128">
        <f>CJ8+changeInCash</f>
        <v>5698</v>
      </c>
      <c r="CL8" s="128">
        <f>CK8+changeInCash</f>
        <v>3778</v>
      </c>
      <c r="CM8" s="128">
        <f>CL8+changeInCash</f>
        <v>4881</v>
      </c>
      <c r="CN8" s="450">
        <v>5674.0</v>
      </c>
      <c r="CO8" s="73">
        <f t="shared" ref="CO8:CO10" si="13">CN8</f>
        <v>5674</v>
      </c>
      <c r="CP8" s="128">
        <v>4777.0</v>
      </c>
      <c r="CQ8" s="128">
        <v>3049.0</v>
      </c>
      <c r="CR8" s="128">
        <f>CQ8+changeInCash</f>
        <v>3143</v>
      </c>
      <c r="CS8" s="128">
        <f>CR8+changeInCash</f>
        <v>2561</v>
      </c>
      <c r="CT8" s="73">
        <f t="shared" ref="CT8:CT10" si="14">CS8</f>
        <v>2561</v>
      </c>
      <c r="CU8" s="128">
        <f>CT8+changeInCash</f>
        <v>4244</v>
      </c>
      <c r="CV8" s="128">
        <f>CU8+changeInCash</f>
        <v>4454</v>
      </c>
      <c r="CW8" s="128">
        <f>CV8+changeInCash</f>
        <v>7065</v>
      </c>
      <c r="CX8" s="17">
        <f>CW8+changeInCash</f>
        <v>15308</v>
      </c>
      <c r="CY8" s="18">
        <f t="shared" ref="CY8:CY10" si="15">CX8</f>
        <v>15308</v>
      </c>
      <c r="CZ8" s="17">
        <f>CY8+changeInCash</f>
        <v>3061</v>
      </c>
      <c r="DA8" s="128">
        <f>CZ8+changeInCash</f>
        <v>3885</v>
      </c>
      <c r="DB8" s="128">
        <f>DA8+changeInCash</f>
        <v>4752</v>
      </c>
      <c r="DC8" s="128">
        <f>DB8+changeInCash</f>
        <v>5560</v>
      </c>
      <c r="DD8" s="18">
        <f t="shared" ref="DD8:DD10" si="16">DC8</f>
        <v>5560</v>
      </c>
      <c r="DE8" s="128">
        <f>DD8+changeInCash</f>
        <v>4934</v>
      </c>
      <c r="DF8" s="128">
        <f>DE8+changeInCash</f>
        <v>11687</v>
      </c>
      <c r="DG8" s="128">
        <f>DF8+changeInCash</f>
        <v>9075</v>
      </c>
      <c r="DH8" s="128">
        <f>3433</f>
        <v>3433</v>
      </c>
      <c r="DI8" s="18">
        <f t="shared" ref="DI8:DI10" si="17">DH8</f>
        <v>3433</v>
      </c>
      <c r="DJ8" s="129">
        <v>3554.0</v>
      </c>
      <c r="DK8" s="129">
        <v>2614.0</v>
      </c>
      <c r="DL8" s="129">
        <v>3407.0</v>
      </c>
      <c r="DM8" s="129">
        <v>3019.0</v>
      </c>
      <c r="DN8" s="18">
        <f t="shared" ref="DN8:DN10" si="18">DM8</f>
        <v>3019</v>
      </c>
      <c r="DO8" s="129">
        <v>3154.0</v>
      </c>
      <c r="DP8" s="129">
        <v>2867.0</v>
      </c>
      <c r="DQ8" s="129">
        <v>3935.0</v>
      </c>
      <c r="DR8" s="129">
        <v>4194.0</v>
      </c>
      <c r="DS8" s="18">
        <f t="shared" ref="DS8:DS10" si="19">DR8</f>
        <v>4194</v>
      </c>
      <c r="DT8" s="129">
        <v>11380.0</v>
      </c>
      <c r="DU8" s="129">
        <v>8736.0</v>
      </c>
      <c r="DV8" s="129">
        <v>3356.0</v>
      </c>
      <c r="DW8" s="129">
        <v>5865.0</v>
      </c>
      <c r="DX8" s="18">
        <f t="shared" ref="DX8:DX10" si="20">DW8</f>
        <v>5865</v>
      </c>
      <c r="DY8" s="129">
        <v>5192.0</v>
      </c>
      <c r="DZ8" s="129">
        <v>4746.0</v>
      </c>
      <c r="EA8" s="129">
        <v>7870.0</v>
      </c>
      <c r="EB8" s="129">
        <v>4827.0</v>
      </c>
      <c r="EC8" s="18">
        <f t="shared" ref="EC8:EC10" si="21">EB8</f>
        <v>4827</v>
      </c>
      <c r="ED8" s="129">
        <v>6215.0</v>
      </c>
      <c r="EE8" s="129">
        <v>4390.0</v>
      </c>
      <c r="EF8" s="129">
        <v>4529.0</v>
      </c>
      <c r="EG8" s="129">
        <v>11144.0</v>
      </c>
      <c r="EH8" s="18">
        <f t="shared" ref="EH8:EH10" si="22">EG8</f>
        <v>11144</v>
      </c>
      <c r="EI8" s="134" t="str">
        <f>EH8+changeInCash</f>
        <v>#ERROR!</v>
      </c>
      <c r="EJ8" s="129" t="str">
        <f>EI8+changeInCash</f>
        <v>#ERROR!</v>
      </c>
      <c r="EK8" s="129" t="str">
        <f>EJ8+changeInCash</f>
        <v>#ERROR!</v>
      </c>
      <c r="EL8" s="129" t="str">
        <f>EK8+changeInCash</f>
        <v>#ERROR!</v>
      </c>
      <c r="EM8" s="18" t="str">
        <f t="shared" ref="EM8:EM10" si="24">EL8</f>
        <v>#ERROR!</v>
      </c>
      <c r="EN8" s="129" t="str">
        <f>EM8+changeInCash</f>
        <v>#ERROR!</v>
      </c>
      <c r="EO8" s="129" t="str">
        <f>EN8+changeInCash</f>
        <v>#ERROR!</v>
      </c>
      <c r="EP8" s="129" t="str">
        <f>EO8+changeInCash</f>
        <v>#ERROR!</v>
      </c>
      <c r="EQ8" s="129" t="str">
        <f>EP8+changeInCash</f>
        <v>#ERROR!</v>
      </c>
      <c r="ER8" s="18" t="str">
        <f>EQ8</f>
        <v>#ERROR!</v>
      </c>
      <c r="ES8" s="129" t="str">
        <f>ER8+changeInCash</f>
        <v>#ERROR!</v>
      </c>
      <c r="ET8" s="129" t="str">
        <f>ES8+changeInCash</f>
        <v>#ERROR!</v>
      </c>
      <c r="EU8" s="129" t="str">
        <f>ET8+changeInCash</f>
        <v>#ERROR!</v>
      </c>
      <c r="EV8" s="129" t="str">
        <f>EU8+changeInCash</f>
        <v>#ERROR!</v>
      </c>
      <c r="EW8" s="18" t="str">
        <f t="shared" ref="EW8:EW10" si="27">EV8</f>
        <v>#ERROR!</v>
      </c>
      <c r="EX8" s="129" t="str">
        <f>EW8+changeInCash</f>
        <v>#ERROR!</v>
      </c>
      <c r="EY8" s="129" t="str">
        <f>EX8+changeInCash</f>
        <v>#ERROR!</v>
      </c>
      <c r="EZ8" s="129" t="str">
        <f>EY8+changeInCash</f>
        <v>#ERROR!</v>
      </c>
      <c r="FA8" s="129" t="str">
        <f>EZ8+changeInCash</f>
        <v>#ERROR!</v>
      </c>
      <c r="FB8" s="18" t="str">
        <f>FA8</f>
        <v>#ERROR!</v>
      </c>
      <c r="FC8" s="129" t="str">
        <f>FB8+changeInCash</f>
        <v>#ERROR!</v>
      </c>
      <c r="FD8" s="129" t="str">
        <f>FC8+changeInCash</f>
        <v>#ERROR!</v>
      </c>
      <c r="FE8" s="129" t="str">
        <f>FD8+changeInCash</f>
        <v>#ERROR!</v>
      </c>
      <c r="FF8" s="129" t="str">
        <f>FE8+changeInCash</f>
        <v>#ERROR!</v>
      </c>
      <c r="FG8" s="18" t="str">
        <f>FF8</f>
        <v>#ERROR!</v>
      </c>
    </row>
    <row r="9" ht="12.75" customHeight="1" outlineLevel="1">
      <c r="A9" s="180"/>
      <c r="B9" s="180" t="s">
        <v>512</v>
      </c>
      <c r="C9" s="180"/>
      <c r="D9" s="180"/>
      <c r="E9" s="180"/>
      <c r="F9" s="180"/>
      <c r="G9" s="180"/>
      <c r="H9" s="180"/>
      <c r="I9" s="180"/>
      <c r="J9" s="180"/>
      <c r="K9" s="180"/>
      <c r="L9" s="180"/>
      <c r="M9" s="180"/>
      <c r="N9" s="700">
        <v>5256.0</v>
      </c>
      <c r="O9" s="700">
        <v>5522.0</v>
      </c>
      <c r="P9" s="700">
        <v>5519.0</v>
      </c>
      <c r="Q9" s="700">
        <v>5272.0</v>
      </c>
      <c r="R9" s="76">
        <v>5272.0</v>
      </c>
      <c r="S9" s="700">
        <v>7731.0</v>
      </c>
      <c r="T9" s="700">
        <v>6652.0</v>
      </c>
      <c r="U9" s="700">
        <v>8032.0</v>
      </c>
      <c r="V9" s="700">
        <v>7705.0</v>
      </c>
      <c r="W9" s="76">
        <f>+V9</f>
        <v>7705</v>
      </c>
      <c r="X9" s="700">
        <v>4555.0</v>
      </c>
      <c r="Y9" s="700">
        <v>5902.0</v>
      </c>
      <c r="Z9" s="700">
        <v>7170.0</v>
      </c>
      <c r="AA9" s="700">
        <v>10497.0</v>
      </c>
      <c r="AB9" s="76">
        <f>+AA9</f>
        <v>10497</v>
      </c>
      <c r="AC9" s="700">
        <v>7197.0</v>
      </c>
      <c r="AD9" s="700">
        <v>6135.0</v>
      </c>
      <c r="AE9" s="700">
        <v>4294.0</v>
      </c>
      <c r="AF9" s="700">
        <v>2356.0</v>
      </c>
      <c r="AG9" s="76">
        <f t="shared" si="1"/>
        <v>2356</v>
      </c>
      <c r="AH9" s="700">
        <v>2707.0</v>
      </c>
      <c r="AI9" s="700">
        <v>2889.0</v>
      </c>
      <c r="AJ9" s="700">
        <v>2937.0</v>
      </c>
      <c r="AK9" s="700">
        <v>3382.0</v>
      </c>
      <c r="AL9" s="76">
        <f t="shared" si="2"/>
        <v>3382</v>
      </c>
      <c r="AM9" s="700">
        <f>AL9</f>
        <v>3382</v>
      </c>
      <c r="AN9" s="700">
        <v>2820.0</v>
      </c>
      <c r="AO9" s="700">
        <v>3632.0</v>
      </c>
      <c r="AP9" s="700">
        <v>5568.0</v>
      </c>
      <c r="AQ9" s="76">
        <f t="shared" si="3"/>
        <v>5568</v>
      </c>
      <c r="AR9" s="700">
        <v>5607.0</v>
      </c>
      <c r="AS9" s="700">
        <v>7111.0</v>
      </c>
      <c r="AT9" s="700">
        <v>7114.0</v>
      </c>
      <c r="AU9" s="700">
        <v>5654.0</v>
      </c>
      <c r="AV9" s="76">
        <f t="shared" si="4"/>
        <v>5654</v>
      </c>
      <c r="AW9" s="700">
        <v>4394.0</v>
      </c>
      <c r="AX9" s="700">
        <v>3625.0</v>
      </c>
      <c r="AY9" s="700">
        <v>3094.0</v>
      </c>
      <c r="AZ9" s="700">
        <v>3990.0</v>
      </c>
      <c r="BA9" s="76">
        <f t="shared" si="5"/>
        <v>3990</v>
      </c>
      <c r="BB9" s="700">
        <v>3906.0</v>
      </c>
      <c r="BC9" s="700">
        <v>2985.0</v>
      </c>
      <c r="BD9" s="700">
        <v>2654.0</v>
      </c>
      <c r="BE9" s="700">
        <v>2270.0</v>
      </c>
      <c r="BF9" s="76">
        <f t="shared" si="6"/>
        <v>2270</v>
      </c>
      <c r="BG9" s="700">
        <v>3217.0</v>
      </c>
      <c r="BH9" s="700">
        <v>4217.0</v>
      </c>
      <c r="BI9" s="700">
        <v>4952.0</v>
      </c>
      <c r="BJ9" s="700">
        <v>5490.0</v>
      </c>
      <c r="BK9" s="76">
        <f t="shared" si="7"/>
        <v>5490</v>
      </c>
      <c r="BL9" s="700">
        <v>4993.0</v>
      </c>
      <c r="BM9" s="700">
        <v>4312.0</v>
      </c>
      <c r="BN9" s="700">
        <v>4583.0</v>
      </c>
      <c r="BO9" s="700">
        <v>5331.0</v>
      </c>
      <c r="BP9" s="76">
        <f t="shared" si="8"/>
        <v>5331</v>
      </c>
      <c r="BQ9" s="700">
        <v>4256.0</v>
      </c>
      <c r="BR9" s="700">
        <v>5195.0</v>
      </c>
      <c r="BS9" s="700">
        <v>5150.0</v>
      </c>
      <c r="BT9" s="700">
        <v>5285.0</v>
      </c>
      <c r="BU9" s="76">
        <f t="shared" si="9"/>
        <v>5285</v>
      </c>
      <c r="BV9" s="700">
        <v>5927.0</v>
      </c>
      <c r="BW9" s="700">
        <v>6715.0</v>
      </c>
      <c r="BX9" s="700">
        <v>9470.0</v>
      </c>
      <c r="BY9" s="700">
        <v>11294.0</v>
      </c>
      <c r="BZ9" s="76">
        <f t="shared" si="10"/>
        <v>11294</v>
      </c>
      <c r="CA9" s="700">
        <v>3536.0</v>
      </c>
      <c r="CB9" s="700">
        <v>3106.0</v>
      </c>
      <c r="CC9" s="700">
        <v>3876.0</v>
      </c>
      <c r="CD9" s="700">
        <v>5181.0</v>
      </c>
      <c r="CE9" s="76">
        <f t="shared" si="11"/>
        <v>5181</v>
      </c>
      <c r="CF9" s="700">
        <v>5012.0</v>
      </c>
      <c r="CG9" s="700">
        <v>3981.0</v>
      </c>
      <c r="CH9" s="700">
        <v>2483.0</v>
      </c>
      <c r="CI9" s="700">
        <v>3999.0</v>
      </c>
      <c r="CJ9" s="76">
        <f t="shared" si="12"/>
        <v>3999</v>
      </c>
      <c r="CK9" s="700">
        <v>4323.0</v>
      </c>
      <c r="CL9" s="700">
        <v>6214.0</v>
      </c>
      <c r="CM9" s="700">
        <v>6492.0</v>
      </c>
      <c r="CN9" s="700">
        <v>5972.0</v>
      </c>
      <c r="CO9" s="76">
        <f t="shared" si="13"/>
        <v>5972</v>
      </c>
      <c r="CP9" s="700">
        <v>5234.0</v>
      </c>
      <c r="CQ9" s="75">
        <v>4491.0</v>
      </c>
      <c r="CR9" s="75">
        <f>3451</f>
        <v>3451</v>
      </c>
      <c r="CS9" s="75">
        <f>2430</f>
        <v>2430</v>
      </c>
      <c r="CT9" s="76">
        <f t="shared" si="14"/>
        <v>2430</v>
      </c>
      <c r="CU9" s="75">
        <f>1864</f>
        <v>1864</v>
      </c>
      <c r="CV9" s="700">
        <v>2606.0</v>
      </c>
      <c r="CW9" s="700">
        <v>7119.0</v>
      </c>
      <c r="CX9" s="700">
        <v>2682.0</v>
      </c>
      <c r="CY9" s="78">
        <f t="shared" si="15"/>
        <v>2682</v>
      </c>
      <c r="CZ9" s="793">
        <v>2927.0</v>
      </c>
      <c r="DA9" s="700">
        <v>4301.0</v>
      </c>
      <c r="DB9" s="700">
        <v>3270.0</v>
      </c>
      <c r="DC9" s="700">
        <v>3225.0</v>
      </c>
      <c r="DD9" s="78">
        <f t="shared" si="16"/>
        <v>3225</v>
      </c>
      <c r="DE9" s="700">
        <v>3058.0</v>
      </c>
      <c r="DF9" s="700">
        <v>3158.0</v>
      </c>
      <c r="DG9" s="702">
        <v>1446.0</v>
      </c>
      <c r="DH9" s="700">
        <v>1814.0</v>
      </c>
      <c r="DI9" s="78">
        <f t="shared" si="17"/>
        <v>1814</v>
      </c>
      <c r="DJ9" s="702">
        <v>2020.0</v>
      </c>
      <c r="DK9" s="702">
        <v>2263.0</v>
      </c>
      <c r="DL9" s="702">
        <v>2641.0</v>
      </c>
      <c r="DM9" s="702">
        <v>2788.0</v>
      </c>
      <c r="DN9" s="78">
        <f t="shared" si="18"/>
        <v>2788</v>
      </c>
      <c r="DO9" s="702">
        <v>2698.0</v>
      </c>
      <c r="DP9" s="702">
        <v>2414.0</v>
      </c>
      <c r="DQ9" s="702">
        <v>1849.0</v>
      </c>
      <c r="DR9" s="702">
        <v>1082.0</v>
      </c>
      <c r="DS9" s="78">
        <f t="shared" si="19"/>
        <v>1082</v>
      </c>
      <c r="DT9" s="702">
        <v>1296.0</v>
      </c>
      <c r="DU9" s="702">
        <v>4791.0</v>
      </c>
      <c r="DV9" s="702">
        <v>2987.0</v>
      </c>
      <c r="DW9" s="702">
        <v>2292.0</v>
      </c>
      <c r="DX9" s="78">
        <f t="shared" si="20"/>
        <v>2292</v>
      </c>
      <c r="DY9" s="702">
        <v>2417.0</v>
      </c>
      <c r="DZ9" s="702">
        <v>3014.0</v>
      </c>
      <c r="EA9" s="702">
        <v>4004.0</v>
      </c>
      <c r="EB9" s="702">
        <v>2103.0</v>
      </c>
      <c r="EC9" s="78">
        <f t="shared" si="21"/>
        <v>2103</v>
      </c>
      <c r="ED9" s="702">
        <v>32481.0</v>
      </c>
      <c r="EE9" s="702">
        <v>22654.0</v>
      </c>
      <c r="EF9" s="702">
        <v>18030.0</v>
      </c>
      <c r="EG9" s="702">
        <v>17194.0</v>
      </c>
      <c r="EH9" s="78">
        <f t="shared" si="22"/>
        <v>17194</v>
      </c>
      <c r="EI9" s="703">
        <f>EH9-4000</f>
        <v>13194</v>
      </c>
      <c r="EJ9" s="700">
        <f t="shared" ref="EJ9:EL9" si="23">EI9-1000</f>
        <v>12194</v>
      </c>
      <c r="EK9" s="700">
        <f t="shared" si="23"/>
        <v>11194</v>
      </c>
      <c r="EL9" s="700">
        <f t="shared" si="23"/>
        <v>10194</v>
      </c>
      <c r="EM9" s="78">
        <f t="shared" si="24"/>
        <v>10194</v>
      </c>
      <c r="EN9" s="700">
        <f t="shared" ref="EN9:EP9" si="25">EM9-2000</f>
        <v>8194</v>
      </c>
      <c r="EO9" s="700">
        <f t="shared" si="25"/>
        <v>6194</v>
      </c>
      <c r="EP9" s="700">
        <f t="shared" si="25"/>
        <v>4194</v>
      </c>
      <c r="EQ9" s="700">
        <f t="shared" ref="EQ9:ES9" si="26">EP9</f>
        <v>4194</v>
      </c>
      <c r="ER9" s="78">
        <f t="shared" si="26"/>
        <v>4194</v>
      </c>
      <c r="ES9" s="700">
        <f t="shared" si="26"/>
        <v>4194</v>
      </c>
      <c r="ET9" s="700">
        <f>ES9-2000</f>
        <v>2194</v>
      </c>
      <c r="EU9" s="700">
        <f>ET9</f>
        <v>2194</v>
      </c>
      <c r="EV9" s="700">
        <f>EU9-1000</f>
        <v>1194</v>
      </c>
      <c r="EW9" s="78">
        <f t="shared" si="27"/>
        <v>1194</v>
      </c>
      <c r="EX9" s="700">
        <f t="shared" ref="EX9:FG9" si="28">EW9</f>
        <v>1194</v>
      </c>
      <c r="EY9" s="700">
        <f t="shared" si="28"/>
        <v>1194</v>
      </c>
      <c r="EZ9" s="700">
        <f t="shared" si="28"/>
        <v>1194</v>
      </c>
      <c r="FA9" s="700">
        <f t="shared" si="28"/>
        <v>1194</v>
      </c>
      <c r="FB9" s="78">
        <f t="shared" si="28"/>
        <v>1194</v>
      </c>
      <c r="FC9" s="700">
        <f t="shared" si="28"/>
        <v>1194</v>
      </c>
      <c r="FD9" s="700">
        <f t="shared" si="28"/>
        <v>1194</v>
      </c>
      <c r="FE9" s="700">
        <f t="shared" si="28"/>
        <v>1194</v>
      </c>
      <c r="FF9" s="700">
        <f t="shared" si="28"/>
        <v>1194</v>
      </c>
      <c r="FG9" s="78">
        <f t="shared" si="28"/>
        <v>1194</v>
      </c>
    </row>
    <row r="10" ht="12.75" customHeight="1">
      <c r="A10" s="179"/>
      <c r="B10" s="180" t="s">
        <v>513</v>
      </c>
      <c r="C10" s="180"/>
      <c r="D10" s="180"/>
      <c r="E10" s="180"/>
      <c r="F10" s="180"/>
      <c r="G10" s="180"/>
      <c r="H10" s="180"/>
      <c r="I10" s="180"/>
      <c r="J10" s="180"/>
      <c r="K10" s="180"/>
      <c r="L10" s="180"/>
      <c r="M10" s="180"/>
      <c r="N10" s="128">
        <f t="shared" ref="N10:AJ10" si="29">SUM(N8,N9)</f>
        <v>10329</v>
      </c>
      <c r="O10" s="128">
        <f t="shared" si="29"/>
        <v>7409</v>
      </c>
      <c r="P10" s="128">
        <f t="shared" si="29"/>
        <v>8419</v>
      </c>
      <c r="Q10" s="128">
        <f t="shared" si="29"/>
        <v>7310</v>
      </c>
      <c r="R10" s="73">
        <f t="shared" si="29"/>
        <v>7310</v>
      </c>
      <c r="S10" s="128">
        <f t="shared" si="29"/>
        <v>10234</v>
      </c>
      <c r="T10" s="128">
        <f t="shared" si="29"/>
        <v>10251</v>
      </c>
      <c r="U10" s="128">
        <f t="shared" si="29"/>
        <v>11544</v>
      </c>
      <c r="V10" s="128">
        <f t="shared" si="29"/>
        <v>11400</v>
      </c>
      <c r="W10" s="73">
        <f t="shared" si="29"/>
        <v>11400</v>
      </c>
      <c r="X10" s="128">
        <f t="shared" si="29"/>
        <v>10759</v>
      </c>
      <c r="Y10" s="128">
        <f t="shared" si="29"/>
        <v>13210</v>
      </c>
      <c r="Z10" s="128">
        <f t="shared" si="29"/>
        <v>13604</v>
      </c>
      <c r="AA10" s="128">
        <f t="shared" si="29"/>
        <v>13473</v>
      </c>
      <c r="AB10" s="73">
        <f t="shared" si="29"/>
        <v>13473</v>
      </c>
      <c r="AC10" s="128">
        <f t="shared" si="29"/>
        <v>10058</v>
      </c>
      <c r="AD10" s="128">
        <f t="shared" si="29"/>
        <v>9340</v>
      </c>
      <c r="AE10" s="128">
        <f t="shared" si="29"/>
        <v>9158</v>
      </c>
      <c r="AF10" s="128">
        <f t="shared" si="29"/>
        <v>10326</v>
      </c>
      <c r="AG10" s="73">
        <f t="shared" si="29"/>
        <v>10326</v>
      </c>
      <c r="AH10" s="128">
        <f t="shared" si="29"/>
        <v>9231</v>
      </c>
      <c r="AI10" s="128">
        <f t="shared" si="29"/>
        <v>8957</v>
      </c>
      <c r="AJ10" s="128">
        <f t="shared" si="29"/>
        <v>9615</v>
      </c>
      <c r="AK10" s="128">
        <f>AK9+AK8</f>
        <v>10786</v>
      </c>
      <c r="AL10" s="73">
        <f t="shared" si="2"/>
        <v>10786</v>
      </c>
      <c r="AM10" s="128">
        <v>10511.0</v>
      </c>
      <c r="AN10" s="128">
        <v>11202.0</v>
      </c>
      <c r="AO10" s="128">
        <f>SUM(AO8,AO9)</f>
        <v>13038</v>
      </c>
      <c r="AP10" s="128">
        <f>AP8+AP9</f>
        <v>13539</v>
      </c>
      <c r="AQ10" s="73">
        <f>SUM(AQ8,AQ9)</f>
        <v>13539</v>
      </c>
      <c r="AR10" s="128">
        <f t="shared" ref="AR10:AU10" si="30">AR8+AR9</f>
        <v>13146</v>
      </c>
      <c r="AS10" s="128">
        <f t="shared" si="30"/>
        <v>14264</v>
      </c>
      <c r="AT10" s="128">
        <f t="shared" si="30"/>
        <v>13647</v>
      </c>
      <c r="AU10" s="128">
        <f t="shared" si="30"/>
        <v>14061</v>
      </c>
      <c r="AV10" s="73">
        <f>SUM(AV8,AV9)</f>
        <v>14061</v>
      </c>
      <c r="AW10" s="128">
        <f t="shared" ref="AW10:AZ10" si="31">AW8+AW9</f>
        <v>13673</v>
      </c>
      <c r="AX10" s="128">
        <f t="shared" si="31"/>
        <v>12600</v>
      </c>
      <c r="AY10" s="128">
        <f t="shared" si="31"/>
        <v>11951</v>
      </c>
      <c r="AZ10" s="128">
        <f t="shared" si="31"/>
        <v>11314</v>
      </c>
      <c r="BA10" s="73">
        <f>SUM(BA8,BA9)</f>
        <v>11314</v>
      </c>
      <c r="BB10" s="128">
        <f t="shared" ref="BB10:BE10" si="32">BB8+BB9</f>
        <v>7854</v>
      </c>
      <c r="BC10" s="128">
        <f t="shared" si="32"/>
        <v>6421</v>
      </c>
      <c r="BD10" s="128">
        <f t="shared" si="32"/>
        <v>7123</v>
      </c>
      <c r="BE10" s="128">
        <f t="shared" si="32"/>
        <v>8868</v>
      </c>
      <c r="BF10" s="73">
        <f>SUM(BF8,BF9)</f>
        <v>8868</v>
      </c>
      <c r="BG10" s="128">
        <f t="shared" ref="BG10:BJ10" si="33">BG8+BG9</f>
        <v>7689</v>
      </c>
      <c r="BH10" s="128">
        <f t="shared" si="33"/>
        <v>8926</v>
      </c>
      <c r="BI10" s="128">
        <f t="shared" si="33"/>
        <v>10796</v>
      </c>
      <c r="BJ10" s="128">
        <f t="shared" si="33"/>
        <v>12797</v>
      </c>
      <c r="BK10" s="73">
        <f t="shared" si="7"/>
        <v>12797</v>
      </c>
      <c r="BL10" s="128">
        <f t="shared" ref="BL10:BM10" si="34">BL8+BL9</f>
        <v>10876</v>
      </c>
      <c r="BM10" s="128">
        <f t="shared" si="34"/>
        <v>8391</v>
      </c>
      <c r="BN10" s="128">
        <f t="shared" ref="BN10:BO10" si="35">SUM(BN8,BN9)</f>
        <v>8287</v>
      </c>
      <c r="BO10" s="128">
        <f t="shared" si="35"/>
        <v>8681</v>
      </c>
      <c r="BP10" s="73">
        <f t="shared" si="8"/>
        <v>8681</v>
      </c>
      <c r="BQ10" s="128">
        <f t="shared" ref="BQ10:BT10" si="36">SUM(BQ8,BQ9)</f>
        <v>7792</v>
      </c>
      <c r="BR10" s="128">
        <f t="shared" si="36"/>
        <v>9021</v>
      </c>
      <c r="BS10" s="128">
        <f t="shared" si="36"/>
        <v>9259</v>
      </c>
      <c r="BT10" s="128">
        <f t="shared" si="36"/>
        <v>9272</v>
      </c>
      <c r="BU10" s="73">
        <f t="shared" si="9"/>
        <v>9272</v>
      </c>
      <c r="BV10" s="128">
        <f t="shared" ref="BV10:BY10" si="37">SUM(BV8,BV9)</f>
        <v>10915</v>
      </c>
      <c r="BW10" s="128">
        <f t="shared" si="37"/>
        <v>12229</v>
      </c>
      <c r="BX10" s="128">
        <f t="shared" si="37"/>
        <v>14987</v>
      </c>
      <c r="BY10" s="128">
        <f t="shared" si="37"/>
        <v>16792</v>
      </c>
      <c r="BZ10" s="73">
        <f t="shared" si="10"/>
        <v>16792</v>
      </c>
      <c r="CA10" s="128">
        <f t="shared" ref="CA10:CD10" si="38">SUM(CA8,CA9)</f>
        <v>7724</v>
      </c>
      <c r="CB10" s="128">
        <f t="shared" si="38"/>
        <v>7741</v>
      </c>
      <c r="CC10" s="128">
        <f t="shared" si="38"/>
        <v>10933</v>
      </c>
      <c r="CD10" s="128">
        <f t="shared" si="38"/>
        <v>10246</v>
      </c>
      <c r="CE10" s="73">
        <f t="shared" si="11"/>
        <v>10246</v>
      </c>
      <c r="CF10" s="128">
        <f t="shared" ref="CF10:CI10" si="39">SUM(CF8,CF9)</f>
        <v>9441</v>
      </c>
      <c r="CG10" s="128">
        <f t="shared" si="39"/>
        <v>9204</v>
      </c>
      <c r="CH10" s="128">
        <f t="shared" si="39"/>
        <v>6003</v>
      </c>
      <c r="CI10" s="128">
        <f t="shared" si="39"/>
        <v>12477</v>
      </c>
      <c r="CJ10" s="73">
        <f t="shared" si="12"/>
        <v>12477</v>
      </c>
      <c r="CK10" s="128">
        <f t="shared" ref="CK10:CN10" si="40">SUM(CK8,CK9)</f>
        <v>10021</v>
      </c>
      <c r="CL10" s="128">
        <f t="shared" si="40"/>
        <v>9992</v>
      </c>
      <c r="CM10" s="128">
        <f t="shared" si="40"/>
        <v>11373</v>
      </c>
      <c r="CN10" s="128">
        <f t="shared" si="40"/>
        <v>11646</v>
      </c>
      <c r="CO10" s="73">
        <f t="shared" si="13"/>
        <v>11646</v>
      </c>
      <c r="CP10" s="128">
        <f t="shared" ref="CP10:CS10" si="41">SUM(CP8,CP9)</f>
        <v>10011</v>
      </c>
      <c r="CQ10" s="128">
        <f t="shared" si="41"/>
        <v>7540</v>
      </c>
      <c r="CR10" s="17">
        <f t="shared" si="41"/>
        <v>6594</v>
      </c>
      <c r="CS10" s="17">
        <f t="shared" si="41"/>
        <v>4991</v>
      </c>
      <c r="CT10" s="73">
        <f t="shared" si="14"/>
        <v>4991</v>
      </c>
      <c r="CU10" s="128">
        <f t="shared" ref="CU10:CX10" si="42">SUM(CU8,CU9)</f>
        <v>6108</v>
      </c>
      <c r="CV10" s="128">
        <f t="shared" si="42"/>
        <v>7060</v>
      </c>
      <c r="CW10" s="128">
        <f t="shared" si="42"/>
        <v>14184</v>
      </c>
      <c r="CX10" s="128">
        <f t="shared" si="42"/>
        <v>17990</v>
      </c>
      <c r="CY10" s="18">
        <f t="shared" si="15"/>
        <v>17990</v>
      </c>
      <c r="CZ10" s="128">
        <f t="shared" ref="CZ10:DC10" si="43">SUM(CZ8,CZ9)</f>
        <v>5988</v>
      </c>
      <c r="DA10" s="128">
        <f t="shared" si="43"/>
        <v>8186</v>
      </c>
      <c r="DB10" s="128">
        <f t="shared" si="43"/>
        <v>8022</v>
      </c>
      <c r="DC10" s="128">
        <f t="shared" si="43"/>
        <v>8785</v>
      </c>
      <c r="DD10" s="18">
        <f t="shared" si="16"/>
        <v>8785</v>
      </c>
      <c r="DE10" s="128">
        <f t="shared" ref="DE10:DH10" si="44">SUM(DE8,DE9)</f>
        <v>7992</v>
      </c>
      <c r="DF10" s="128">
        <f t="shared" si="44"/>
        <v>14845</v>
      </c>
      <c r="DG10" s="129">
        <f t="shared" si="44"/>
        <v>10521</v>
      </c>
      <c r="DH10" s="128">
        <f t="shared" si="44"/>
        <v>5247</v>
      </c>
      <c r="DI10" s="18">
        <f t="shared" si="17"/>
        <v>5247</v>
      </c>
      <c r="DJ10" s="129">
        <f t="shared" ref="DJ10:DM10" si="45">SUM(DJ8,DJ9)</f>
        <v>5574</v>
      </c>
      <c r="DK10" s="129">
        <f t="shared" si="45"/>
        <v>4877</v>
      </c>
      <c r="DL10" s="129">
        <f t="shared" si="45"/>
        <v>6048</v>
      </c>
      <c r="DM10" s="129">
        <f t="shared" si="45"/>
        <v>5807</v>
      </c>
      <c r="DN10" s="18">
        <f t="shared" si="18"/>
        <v>5807</v>
      </c>
      <c r="DO10" s="129">
        <f t="shared" ref="DO10:DR10" si="46">SUM(DO8,DO9)</f>
        <v>5852</v>
      </c>
      <c r="DP10" s="129">
        <f t="shared" si="46"/>
        <v>5281</v>
      </c>
      <c r="DQ10" s="129">
        <f t="shared" si="46"/>
        <v>5784</v>
      </c>
      <c r="DR10" s="129">
        <f t="shared" si="46"/>
        <v>5276</v>
      </c>
      <c r="DS10" s="18">
        <f t="shared" si="19"/>
        <v>5276</v>
      </c>
      <c r="DT10" s="129">
        <f t="shared" ref="DT10:DW10" si="47">SUM(DT8,DT9)</f>
        <v>12676</v>
      </c>
      <c r="DU10" s="129">
        <f t="shared" si="47"/>
        <v>13527</v>
      </c>
      <c r="DV10" s="129">
        <f t="shared" si="47"/>
        <v>6343</v>
      </c>
      <c r="DW10" s="129">
        <f t="shared" si="47"/>
        <v>8157</v>
      </c>
      <c r="DX10" s="18">
        <f t="shared" si="20"/>
        <v>8157</v>
      </c>
      <c r="DY10" s="129">
        <f t="shared" ref="DY10:EB10" si="48">SUM(DY8,DY9)</f>
        <v>7609</v>
      </c>
      <c r="DZ10" s="129">
        <f t="shared" si="48"/>
        <v>7760</v>
      </c>
      <c r="EA10" s="129">
        <f t="shared" si="48"/>
        <v>11874</v>
      </c>
      <c r="EB10" s="129">
        <f t="shared" si="48"/>
        <v>6930</v>
      </c>
      <c r="EC10" s="18">
        <f t="shared" si="21"/>
        <v>6930</v>
      </c>
      <c r="ED10" s="129">
        <f t="shared" ref="ED10:EG10" si="49">SUM(ED8,ED9)</f>
        <v>38696</v>
      </c>
      <c r="EE10" s="129">
        <f t="shared" si="49"/>
        <v>27044</v>
      </c>
      <c r="EF10" s="129">
        <f t="shared" si="49"/>
        <v>22559</v>
      </c>
      <c r="EG10" s="129">
        <f t="shared" si="49"/>
        <v>28338</v>
      </c>
      <c r="EH10" s="18">
        <f t="shared" si="22"/>
        <v>28338</v>
      </c>
      <c r="EI10" s="134" t="str">
        <f t="shared" ref="EI10:EL10" si="50">SUM(EI8,EI9)</f>
        <v>#ERROR!</v>
      </c>
      <c r="EJ10" s="128" t="str">
        <f t="shared" si="50"/>
        <v>#ERROR!</v>
      </c>
      <c r="EK10" s="128" t="str">
        <f t="shared" si="50"/>
        <v>#ERROR!</v>
      </c>
      <c r="EL10" s="128" t="str">
        <f t="shared" si="50"/>
        <v>#ERROR!</v>
      </c>
      <c r="EM10" s="18" t="str">
        <f t="shared" si="24"/>
        <v>#ERROR!</v>
      </c>
      <c r="EN10" s="128" t="str">
        <f t="shared" ref="EN10:EQ10" si="51">SUM(EN8,EN9)</f>
        <v>#ERROR!</v>
      </c>
      <c r="EO10" s="128" t="str">
        <f t="shared" si="51"/>
        <v>#ERROR!</v>
      </c>
      <c r="EP10" s="128" t="str">
        <f t="shared" si="51"/>
        <v>#ERROR!</v>
      </c>
      <c r="EQ10" s="128" t="str">
        <f t="shared" si="51"/>
        <v>#ERROR!</v>
      </c>
      <c r="ER10" s="18" t="str">
        <f>EQ10</f>
        <v>#ERROR!</v>
      </c>
      <c r="ES10" s="128" t="str">
        <f t="shared" ref="ES10:EV10" si="52">SUM(ES8,ES9)</f>
        <v>#ERROR!</v>
      </c>
      <c r="ET10" s="128" t="str">
        <f t="shared" si="52"/>
        <v>#ERROR!</v>
      </c>
      <c r="EU10" s="128" t="str">
        <f t="shared" si="52"/>
        <v>#ERROR!</v>
      </c>
      <c r="EV10" s="128" t="str">
        <f t="shared" si="52"/>
        <v>#ERROR!</v>
      </c>
      <c r="EW10" s="18" t="str">
        <f t="shared" si="27"/>
        <v>#ERROR!</v>
      </c>
      <c r="EX10" s="128" t="str">
        <f t="shared" ref="EX10:FA10" si="53">SUM(EX8,EX9)</f>
        <v>#ERROR!</v>
      </c>
      <c r="EY10" s="128" t="str">
        <f t="shared" si="53"/>
        <v>#ERROR!</v>
      </c>
      <c r="EZ10" s="128" t="str">
        <f t="shared" si="53"/>
        <v>#ERROR!</v>
      </c>
      <c r="FA10" s="128" t="str">
        <f t="shared" si="53"/>
        <v>#ERROR!</v>
      </c>
      <c r="FB10" s="18" t="str">
        <f>FA10</f>
        <v>#ERROR!</v>
      </c>
      <c r="FC10" s="128" t="str">
        <f t="shared" ref="FC10:FF10" si="54">SUM(FC8,FC9)</f>
        <v>#ERROR!</v>
      </c>
      <c r="FD10" s="128" t="str">
        <f t="shared" si="54"/>
        <v>#ERROR!</v>
      </c>
      <c r="FE10" s="128" t="str">
        <f t="shared" si="54"/>
        <v>#ERROR!</v>
      </c>
      <c r="FF10" s="128" t="str">
        <f t="shared" si="54"/>
        <v>#ERROR!</v>
      </c>
      <c r="FG10" s="18" t="str">
        <f>FF10</f>
        <v>#ERROR!</v>
      </c>
    </row>
    <row r="11" ht="12.75" hidden="1" customHeight="1" outlineLevel="1">
      <c r="A11" s="660"/>
      <c r="B11" s="794" t="s">
        <v>373</v>
      </c>
      <c r="C11" s="794"/>
      <c r="D11" s="794"/>
      <c r="E11" s="794"/>
      <c r="F11" s="794"/>
      <c r="G11" s="794"/>
      <c r="H11" s="794"/>
      <c r="I11" s="794"/>
      <c r="J11" s="794"/>
      <c r="K11" s="794"/>
      <c r="L11" s="794"/>
      <c r="M11" s="794"/>
      <c r="N11" s="660">
        <f>N12/Sales/IF(ISNUMBER(Dates),4,1)</f>
        <v>0.01166472255</v>
      </c>
      <c r="O11" s="660">
        <f>O12/Sales/IF(ISNUMBER(Dates),4,1)</f>
        <v>0.01218997807</v>
      </c>
      <c r="P11" s="660">
        <f>P12/Sales/IF(ISNUMBER(Dates),4,1)</f>
        <v>0.009953944436</v>
      </c>
      <c r="Q11" s="660">
        <f>Q12/Sales/IF(ISNUMBER(Dates),4,1)</f>
        <v>0.01037562385</v>
      </c>
      <c r="R11" s="309">
        <f>R12/Sales/IF(ISNUMBER(Dates),4,1)</f>
        <v>0.01202755681</v>
      </c>
      <c r="S11" s="660">
        <f>S12/Sales/IF(ISNUMBER(Dates),4,1)</f>
        <v>0.01249472054</v>
      </c>
      <c r="T11" s="660">
        <f>T12/Sales/IF(ISNUMBER(Dates),4,1)</f>
        <v>0.01326712126</v>
      </c>
      <c r="U11" s="660">
        <f>U12/Sales/IF(ISNUMBER(Dates),4,1)</f>
        <v>0.01183815502</v>
      </c>
      <c r="V11" s="660">
        <f>V12/Sales/IF(ISNUMBER(Dates),4,1)</f>
        <v>0.01181198246</v>
      </c>
      <c r="W11" s="309">
        <f>W12/Sales/IF(ISNUMBER(Dates),4,1)</f>
        <v>0.01320221852</v>
      </c>
      <c r="X11" s="660">
        <f>X12/Sales/IF(ISNUMBER(Dates),4,1)</f>
        <v>0.01429375704</v>
      </c>
      <c r="Y11" s="660">
        <f>Y12/Sales/IF(ISNUMBER(Dates),4,1)</f>
        <v>0.01307228916</v>
      </c>
      <c r="Z11" s="660">
        <f>Z12/Sales/IF(ISNUMBER(Dates),4,1)</f>
        <v>0.01153934257</v>
      </c>
      <c r="AA11" s="660">
        <f>AA12/Sales/IF(ISNUMBER(Dates),4,1)</f>
        <v>0.01005515973</v>
      </c>
      <c r="AB11" s="309">
        <f>AB12/Sales/IF(ISNUMBER(Dates),4,1)</f>
        <v>0.0103777501</v>
      </c>
      <c r="AC11" s="660">
        <f>AC12/Sales/IF(ISNUMBER(Dates),4,1)</f>
        <v>0.05784783585</v>
      </c>
      <c r="AD11" s="660">
        <f>AD12/Sales/IF(ISNUMBER(Dates),4,1)</f>
        <v>0.04835017367</v>
      </c>
      <c r="AE11" s="660">
        <f>AE12/Sales/IF(ISNUMBER(Dates),4,1)</f>
        <v>0.04045072574</v>
      </c>
      <c r="AF11" s="660">
        <f>AF12/Sales/IF(ISNUMBER(Dates),4,1)</f>
        <v>0.04382070743</v>
      </c>
      <c r="AG11" s="660">
        <f>AG12/Sales/IF(ISNUMBER(Dates),4,1)</f>
        <v>0.04612080335</v>
      </c>
      <c r="AH11" s="660">
        <f>AH12/Sales/IF(ISNUMBER(Dates),4,1)</f>
        <v>0.05961510102</v>
      </c>
      <c r="AI11" s="660">
        <f>AI12/Sales/IF(ISNUMBER(Dates),4,1)</f>
        <v>0.06527931635</v>
      </c>
      <c r="AJ11" s="660">
        <f>AJ12/Sales/IF(ISNUMBER(Dates),4,1)</f>
        <v>0.06253843788</v>
      </c>
      <c r="AK11" s="660">
        <f>AK12/Sales/IF(ISNUMBER(Dates),4,1)</f>
        <v>0.06288407821</v>
      </c>
      <c r="AL11" s="660">
        <f>AL12/Sales/IF(ISNUMBER(Dates),4,1)</f>
        <v>0.06729188462</v>
      </c>
      <c r="AM11" s="660">
        <f>AM12/Sales/IF(ISNUMBER(Dates),4,1)</f>
        <v>0.0712487039</v>
      </c>
      <c r="AN11" s="660">
        <f>AN12/Sales/IF(ISNUMBER(Dates),4,1)</f>
        <v>0.08927523474</v>
      </c>
      <c r="AO11" s="660">
        <f>AO12/Sales/IF(ISNUMBER(Dates),4,1)</f>
        <v>0.07666283672</v>
      </c>
      <c r="AP11" s="660">
        <f>AP12/Sales/IF(ISNUMBER(Dates),4,1)</f>
        <v>0.07507722229</v>
      </c>
      <c r="AQ11" s="309">
        <f>AQ12/Sales/IF(ISNUMBER(Dates),4,1)</f>
        <v>0.08709067383</v>
      </c>
      <c r="AR11" s="660">
        <f>AR12/Sales/IF(ISNUMBER(Dates),4,1)</f>
        <v>0.07947101718</v>
      </c>
      <c r="AS11" s="660">
        <f>AS12/Sales/IF(ISNUMBER(Dates),4,1)</f>
        <v>0.08410982731</v>
      </c>
      <c r="AT11" s="660">
        <f>AT12/Sales/IF(ISNUMBER(Dates),4,1)</f>
        <v>0.07407626018</v>
      </c>
      <c r="AU11" s="660">
        <f>AU12/Sales/IF(ISNUMBER(Dates),4,1)</f>
        <v>0.08103250677</v>
      </c>
      <c r="AV11" s="309">
        <f>AV12/Sales/IF(ISNUMBER(Dates),4,1)</f>
        <v>0.09094098044</v>
      </c>
      <c r="AW11" s="660">
        <f>AW12/Sales/IF(ISNUMBER(Dates),4,1)</f>
        <v>0.06473924104</v>
      </c>
      <c r="AX11" s="660">
        <f>AX12/Sales/IF(ISNUMBER(Dates),4,1)</f>
        <v>0.06023182754</v>
      </c>
      <c r="AY11" s="660">
        <f>AY12/Sales/IF(ISNUMBER(Dates),4,1)</f>
        <v>0.04974899598</v>
      </c>
      <c r="AZ11" s="660">
        <f>AZ12/Sales/IF(ISNUMBER(Dates),4,1)</f>
        <v>0.035731791</v>
      </c>
      <c r="BA11" s="309">
        <f>BA12/Sales/IF(ISNUMBER(Dates),4,1)</f>
        <v>0.03755215577</v>
      </c>
      <c r="BB11" s="660">
        <f>BB12/Sales/IF(ISNUMBER(Dates),4,1)</f>
        <v>0.03537472036</v>
      </c>
      <c r="BC11" s="660">
        <f>BC12/Sales/IF(ISNUMBER(Dates),4,1)</f>
        <v>0.03814458734</v>
      </c>
      <c r="BD11" s="660">
        <f>BD12/Sales/IF(ISNUMBER(Dates),4,1)</f>
        <v>0.0313537018</v>
      </c>
      <c r="BE11" s="660">
        <f>BE12/Sales/IF(ISNUMBER(Dates),4,1)</f>
        <v>0.02924489375</v>
      </c>
      <c r="BF11" s="309">
        <f>BF12/Sales/IF(ISNUMBER(Dates),4,1)</f>
        <v>0.03205019501</v>
      </c>
      <c r="BG11" s="660">
        <f>BG12/Sales/IF(ISNUMBER(Dates),4,1)</f>
        <v>0.03770334388</v>
      </c>
      <c r="BH11" s="660">
        <f>BH12/Sales/IF(ISNUMBER(Dates),4,1)</f>
        <v>0.04997119816</v>
      </c>
      <c r="BI11" s="660">
        <f>BI12/Sales/IF(ISNUMBER(Dates),4,1)</f>
        <v>0.05512884044</v>
      </c>
      <c r="BJ11" s="660">
        <f>BJ12/Sales/IF(ISNUMBER(Dates),4,1)</f>
        <v>0.05988610904</v>
      </c>
      <c r="BK11" s="309">
        <f>BK12/Sales/IF(ISNUMBER(Dates),4,1)</f>
        <v>0.0669379663</v>
      </c>
      <c r="BL11" s="660">
        <f>BL12/Sales/IF(ISNUMBER(Dates),4,1)</f>
        <v>0.07277990282</v>
      </c>
      <c r="BM11" s="660">
        <f>BM12/Sales/IF(ISNUMBER(Dates),4,1)</f>
        <v>0.09424498416</v>
      </c>
      <c r="BN11" s="660">
        <f>BN12/Sales/IF(ISNUMBER(Dates),4,1)</f>
        <v>0.09584516003</v>
      </c>
      <c r="BO11" s="660">
        <f>BO12/Sales/IF(ISNUMBER(Dates),4,1)</f>
        <v>0.09609773888</v>
      </c>
      <c r="BP11" s="309">
        <f>BP12/Sales/IF(ISNUMBER(Dates),4,1)</f>
        <v>0.08412706859</v>
      </c>
      <c r="BQ11" s="660">
        <f>BQ12/Sales/IF(ISNUMBER(Dates),4,1)</f>
        <v>0.09821553534</v>
      </c>
      <c r="BR11" s="660">
        <f>BR12/Sales/IF(ISNUMBER(Dates),4,1)</f>
        <v>0.08110044865</v>
      </c>
      <c r="BS11" s="660">
        <f>BS12/Sales/IF(ISNUMBER(Dates),4,1)</f>
        <v>0.09774736394</v>
      </c>
      <c r="BT11" s="660">
        <f>BT12/Sales/IF(ISNUMBER(Dates),4,1)</f>
        <v>0.1099441764</v>
      </c>
      <c r="BU11" s="309">
        <f>BU12/Sales/IF(ISNUMBER(Dates),4,1)</f>
        <v>0.1323198679</v>
      </c>
      <c r="BV11" s="660">
        <f>BV12/Sales/IF(ISNUMBER(Dates),4,1)</f>
        <v>0.1317360909</v>
      </c>
      <c r="BW11" s="660">
        <f>BW12/Sales/IF(ISNUMBER(Dates),4,1)</f>
        <v>0.1410589875</v>
      </c>
      <c r="BX11" s="660">
        <f>BX12/Sales/IF(ISNUMBER(Dates),4,1)</f>
        <v>0.1297739146</v>
      </c>
      <c r="BY11" s="660">
        <f>BY12/Sales/IF(ISNUMBER(Dates),4,1)</f>
        <v>0.1111329318</v>
      </c>
      <c r="BZ11" s="309">
        <f>BZ12/Sales/IF(ISNUMBER(Dates),4,1)</f>
        <v>0.1167503381</v>
      </c>
      <c r="CA11" s="660">
        <f>CA12/Sales/IF(ISNUMBER(Dates),4,1)</f>
        <v>0.08278197244</v>
      </c>
      <c r="CB11" s="660">
        <f>CB12/Sales/IF(ISNUMBER(Dates),4,1)</f>
        <v>0.07301258441</v>
      </c>
      <c r="CC11" s="660">
        <f>CC12/Sales/IF(ISNUMBER(Dates),4,1)</f>
        <v>0.07491393241</v>
      </c>
      <c r="CD11" s="660">
        <f>CD12/Sales/IF(ISNUMBER(Dates),4,1)</f>
        <v>0.0826492403</v>
      </c>
      <c r="CE11" s="309">
        <f>CE12/Sales/IF(ISNUMBER(Dates),4,1)</f>
        <v>0.08502009296</v>
      </c>
      <c r="CF11" s="660">
        <f>CF12/Sales/IF(ISNUMBER(Dates),4,1)</f>
        <v>0.08352704169</v>
      </c>
      <c r="CG11" s="660">
        <f>CG12/Sales/IF(ISNUMBER(Dates),4,1)</f>
        <v>0.08229020073</v>
      </c>
      <c r="CH11" s="660">
        <f>CH12/Sales/IF(ISNUMBER(Dates),4,1)</f>
        <v>0.08289366129</v>
      </c>
      <c r="CI11" s="660">
        <f>CI12/Sales/IF(ISNUMBER(Dates),4,1)</f>
        <v>0.105457446</v>
      </c>
      <c r="CJ11" s="309">
        <f>CJ12/Sales/IF(ISNUMBER(Dates),4,1)</f>
        <v>0.1065784294</v>
      </c>
      <c r="CK11" s="660">
        <f>CK12/Sales/IF(ISNUMBER(Dates),4,1)</f>
        <v>0.1401430843</v>
      </c>
      <c r="CL11" s="660">
        <f>CL12/Sales/IF(ISNUMBER(Dates),4,1)</f>
        <v>0.143587542</v>
      </c>
      <c r="CM11" s="660">
        <f>CM12/Sales/IF(ISNUMBER(Dates),4,1)</f>
        <v>0.1441259364</v>
      </c>
      <c r="CN11" s="660">
        <f>CN12/Sales/IF(ISNUMBER(Dates),4,1)</f>
        <v>0.1525408414</v>
      </c>
      <c r="CO11" s="309">
        <f>CO12/Sales/IF(ISNUMBER(Dates),4,1)</f>
        <v>0.1601464673</v>
      </c>
      <c r="CP11" s="660">
        <f>CP12/Sales/IF(ISNUMBER(Dates),4,1)</f>
        <v>0.1769625509</v>
      </c>
      <c r="CQ11" s="660">
        <f>CQ12/Sales/IF(ISNUMBER(Dates),4,1)</f>
        <v>0.1766141277</v>
      </c>
      <c r="CR11" s="660">
        <f>CR12/Sales/IF(ISNUMBER(Dates),4,1)</f>
        <v>0.1545966745</v>
      </c>
      <c r="CS11" s="660">
        <f>CS12/Sales/IF(ISNUMBER(Dates),4,1)</f>
        <v>0.1539127777</v>
      </c>
      <c r="CT11" s="309">
        <f>CT12/Sales/IF(ISNUMBER(Dates),4,1)</f>
        <v>0.1622158582</v>
      </c>
      <c r="CU11" s="660">
        <f>CU12/Sales/IF(ISNUMBER(Dates),4,1)</f>
        <v>0.1566778812</v>
      </c>
      <c r="CV11" s="660">
        <f>CV12/Sales/IF(ISNUMBER(Dates),4,1)</f>
        <v>0.1290261463</v>
      </c>
      <c r="CW11" s="660">
        <f>CW12/Sales/IF(ISNUMBER(Dates),4,1)</f>
        <v>0.1150881438</v>
      </c>
      <c r="CX11" s="660">
        <f>CX12/Sales/IF(ISNUMBER(Dates),4,1)</f>
        <v>0.1227537884</v>
      </c>
      <c r="CY11" s="37">
        <f>CY12/Sales/IF(ISNUMBER(Dates),4,1)</f>
        <v>0.1322915726</v>
      </c>
      <c r="CZ11" s="660">
        <f>CZ12/Sales/IF(ISNUMBER(Dates),4,1)</f>
        <v>0.1648974712</v>
      </c>
      <c r="DA11" s="660">
        <f>DA12/Sales/IF(ISNUMBER(Dates),4,1)</f>
        <v>0.1755523535</v>
      </c>
      <c r="DB11" s="660">
        <f>DB12/Sales/IF(ISNUMBER(Dates),4,1)</f>
        <v>0.1544397262</v>
      </c>
      <c r="DC11" s="660">
        <f>DC12/Sales/IF(ISNUMBER(Dates),4,1)</f>
        <v>0.1269390497</v>
      </c>
      <c r="DD11" s="37">
        <f>DD12/Sales/IF(ISNUMBER(Dates),4,1)</f>
        <v>0.1397639781</v>
      </c>
      <c r="DE11" s="660">
        <f>DE12/Sales/IF(ISNUMBER(Dates),4,1)</f>
        <v>0.1571877534</v>
      </c>
      <c r="DF11" s="660">
        <f>DF12/Sales/IF(ISNUMBER(Dates),4,1)</f>
        <v>0.1876989772</v>
      </c>
      <c r="DG11" s="83">
        <f>DG12/Sales/IF(ISNUMBER(Dates),4,1)</f>
        <v>0.1081026689</v>
      </c>
      <c r="DH11" s="660">
        <f>DH12/Sales/IF(ISNUMBER(Dates),4,1)</f>
        <v>0.1283498505</v>
      </c>
      <c r="DI11" s="37">
        <f>DI12/Sales/IF(ISNUMBER(Dates),4,1)</f>
        <v>0.1394974586</v>
      </c>
      <c r="DJ11" s="660">
        <f>DJ12/Sales/IF(ISNUMBER(Dates),4,1)</f>
        <v>0.1653025022</v>
      </c>
      <c r="DK11" s="660">
        <f>DK12/Sales/IF(ISNUMBER(Dates),4,1)</f>
        <v>0.1083009079</v>
      </c>
      <c r="DL11" s="660">
        <f>DL12/Sales/IF(ISNUMBER(Dates),4,1)</f>
        <v>0.0931221625</v>
      </c>
      <c r="DM11" s="660">
        <f>DM12/Sales/IF(ISNUMBER(Dates),4,1)</f>
        <v>0.07829500992</v>
      </c>
      <c r="DN11" s="37">
        <f>DN12/Sales/IF(ISNUMBER(Dates),4,1)</f>
        <v>0.08247233514</v>
      </c>
      <c r="DO11" s="660">
        <f>DO12/Sales/IF(ISNUMBER(Dates),4,1)</f>
        <v>0.09621131934</v>
      </c>
      <c r="DP11" s="660">
        <f>DP12/Sales/IF(ISNUMBER(Dates),4,1)</f>
        <v>0.1009239624</v>
      </c>
      <c r="DQ11" s="83">
        <f>DQ12/Sales/IF(ISNUMBER(Dates),4,1)</f>
        <v>0.08130536738</v>
      </c>
      <c r="DR11" s="83">
        <f>DR12/Sales/IF(ISNUMBER(Dates),4,1)</f>
        <v>0.09707308625</v>
      </c>
      <c r="DS11" s="37">
        <f>DS12/Sales/IF(ISNUMBER(Dates),4,1)</f>
        <v>0.1090391162</v>
      </c>
      <c r="DT11" s="83">
        <f>DT12/Sales/IF(ISNUMBER(Dates),4,1)</f>
        <v>0.1024687311</v>
      </c>
      <c r="DU11" s="83">
        <f>DU12/Sales/IF(ISNUMBER(Dates),4,1)</f>
        <v>0.1557177616</v>
      </c>
      <c r="DV11" s="83">
        <f>DV12/Sales/IF(ISNUMBER(Dates),4,1)</f>
        <v>0.1624120439</v>
      </c>
      <c r="DW11" s="83">
        <f>DW12/Sales/IF(ISNUMBER(Dates),4,1)</f>
        <v>0.1969416358</v>
      </c>
      <c r="DX11" s="37">
        <f>DX12/Sales/IF(ISNUMBER(Dates),4,1)</f>
        <v>0.2021138608</v>
      </c>
      <c r="DY11" s="83">
        <f>DY12/Sales/IF(ISNUMBER(Dates),4,1)</f>
        <v>0.1991274373</v>
      </c>
      <c r="DZ11" s="83">
        <f>DZ12/Sales/IF(ISNUMBER(Dates),4,1)</f>
        <v>0.230629148</v>
      </c>
      <c r="EA11" s="83">
        <f>EA12/Sales/IF(ISNUMBER(Dates),4,1)</f>
        <v>0.314604412</v>
      </c>
      <c r="EB11" s="83">
        <f>EB12/Sales/IF(ISNUMBER(Dates),4,1)</f>
        <v>0.2749718411</v>
      </c>
      <c r="EC11" s="37">
        <f>EC12/Sales/IF(ISNUMBER(Dates),4,1)</f>
        <v>0.2875210793</v>
      </c>
      <c r="ED11" s="83">
        <f>ED12/Sales/IF(ISNUMBER(Dates),4,1)</f>
        <v>0</v>
      </c>
      <c r="EE11" s="83">
        <f>EE12/Sales/IF(ISNUMBER(Dates),4,1)</f>
        <v>0</v>
      </c>
      <c r="EF11" s="83">
        <f>EF12/Sales/IF(ISNUMBER(Dates),4,1)</f>
        <v>0</v>
      </c>
      <c r="EG11" s="83">
        <f>EG12/Sales/IF(ISNUMBER(Dates),4,1)</f>
        <v>0</v>
      </c>
      <c r="EH11" s="37">
        <f>EH12/Sales/IF(ISNUMBER(Dates),4,1)</f>
        <v>0</v>
      </c>
      <c r="EI11" s="314">
        <f>EG11</f>
        <v>0</v>
      </c>
      <c r="EJ11" s="315">
        <f t="shared" ref="EJ11:EL11" si="55">EI11</f>
        <v>0</v>
      </c>
      <c r="EK11" s="315">
        <f t="shared" si="55"/>
        <v>0</v>
      </c>
      <c r="EL11" s="315">
        <f t="shared" si="55"/>
        <v>0</v>
      </c>
      <c r="EM11" s="37" t="str">
        <f>EM12/Sales/IF(ISNUMBER(Dates),4,1)</f>
        <v>#ERROR!</v>
      </c>
      <c r="EN11" s="315">
        <f>EL11</f>
        <v>0</v>
      </c>
      <c r="EO11" s="315">
        <f t="shared" ref="EO11:EQ11" si="56">EN11</f>
        <v>0</v>
      </c>
      <c r="EP11" s="315">
        <f t="shared" si="56"/>
        <v>0</v>
      </c>
      <c r="EQ11" s="315">
        <f t="shared" si="56"/>
        <v>0</v>
      </c>
      <c r="ER11" s="37" t="str">
        <f>ER12/Sales/IF(ISNUMBER(Dates),4,1)</f>
        <v>#ERROR!</v>
      </c>
      <c r="ES11" s="315">
        <f>EQ11</f>
        <v>0</v>
      </c>
      <c r="ET11" s="315">
        <f t="shared" ref="ET11:EV11" si="57">ES11</f>
        <v>0</v>
      </c>
      <c r="EU11" s="315">
        <f t="shared" si="57"/>
        <v>0</v>
      </c>
      <c r="EV11" s="315">
        <f t="shared" si="57"/>
        <v>0</v>
      </c>
      <c r="EW11" s="37" t="str">
        <f>EW12/Sales/IF(ISNUMBER(Dates),4,1)</f>
        <v>#ERROR!</v>
      </c>
      <c r="EX11" s="315">
        <f>EV11</f>
        <v>0</v>
      </c>
      <c r="EY11" s="315">
        <f t="shared" ref="EY11:FA11" si="58">EX11</f>
        <v>0</v>
      </c>
      <c r="EZ11" s="315">
        <f t="shared" si="58"/>
        <v>0</v>
      </c>
      <c r="FA11" s="315">
        <f t="shared" si="58"/>
        <v>0</v>
      </c>
      <c r="FB11" s="37" t="str">
        <f>FB12/Sales/IF(ISNUMBER(Dates),4,1)</f>
        <v>#ERROR!</v>
      </c>
      <c r="FC11" s="315">
        <f>FA11</f>
        <v>0</v>
      </c>
      <c r="FD11" s="315">
        <f t="shared" ref="FD11:FF11" si="59">FC11</f>
        <v>0</v>
      </c>
      <c r="FE11" s="315">
        <f t="shared" si="59"/>
        <v>0</v>
      </c>
      <c r="FF11" s="315">
        <f t="shared" si="59"/>
        <v>0</v>
      </c>
      <c r="FG11" s="37" t="str">
        <f>FG12/Sales/IF(ISNUMBER(Dates),4,1)</f>
        <v>#ERROR!</v>
      </c>
    </row>
    <row r="12" ht="12.75" customHeight="1" collapsed="1">
      <c r="A12" s="179"/>
      <c r="B12" s="180" t="s">
        <v>514</v>
      </c>
      <c r="C12" s="180"/>
      <c r="D12" s="180"/>
      <c r="E12" s="180"/>
      <c r="F12" s="180"/>
      <c r="G12" s="180"/>
      <c r="H12" s="180"/>
      <c r="I12" s="180"/>
      <c r="J12" s="180"/>
      <c r="K12" s="180"/>
      <c r="L12" s="180"/>
      <c r="M12" s="180"/>
      <c r="N12" s="128">
        <v>280.0</v>
      </c>
      <c r="O12" s="128">
        <v>289.0</v>
      </c>
      <c r="P12" s="128">
        <v>268.0</v>
      </c>
      <c r="Q12" s="128">
        <v>316.0</v>
      </c>
      <c r="R12" s="73">
        <v>316.0</v>
      </c>
      <c r="S12" s="128">
        <v>355.0</v>
      </c>
      <c r="T12" s="128">
        <v>358.0</v>
      </c>
      <c r="U12" s="128">
        <v>347.0</v>
      </c>
      <c r="V12" s="128">
        <v>388.0</v>
      </c>
      <c r="W12" s="73">
        <f>+V12</f>
        <v>388</v>
      </c>
      <c r="X12" s="128">
        <v>457.0</v>
      </c>
      <c r="Y12" s="128">
        <v>434.0</v>
      </c>
      <c r="Z12" s="128">
        <v>403.0</v>
      </c>
      <c r="AA12" s="128">
        <v>350.0</v>
      </c>
      <c r="AB12" s="73">
        <f>+AA12</f>
        <v>350</v>
      </c>
      <c r="AC12" s="128">
        <v>1545.0</v>
      </c>
      <c r="AD12" s="128">
        <v>1225.0</v>
      </c>
      <c r="AE12" s="128">
        <v>1059.0</v>
      </c>
      <c r="AF12" s="128">
        <v>1224.0</v>
      </c>
      <c r="AG12" s="73">
        <f>AF12</f>
        <v>1224</v>
      </c>
      <c r="AH12" s="128">
        <v>1617.0</v>
      </c>
      <c r="AI12" s="128">
        <v>1650.0</v>
      </c>
      <c r="AJ12" s="128">
        <v>1627.0</v>
      </c>
      <c r="AK12" s="128">
        <v>1801.0</v>
      </c>
      <c r="AL12" s="73">
        <f>AK12</f>
        <v>1801</v>
      </c>
      <c r="AM12" s="128">
        <v>1924.0</v>
      </c>
      <c r="AN12" s="128">
        <v>2434.0</v>
      </c>
      <c r="AO12" s="128">
        <v>2402.0</v>
      </c>
      <c r="AP12" s="128">
        <v>2625.0</v>
      </c>
      <c r="AQ12" s="73">
        <f>AP12</f>
        <v>2625</v>
      </c>
      <c r="AR12" s="128">
        <v>2572.0</v>
      </c>
      <c r="AS12" s="128">
        <v>2708.0</v>
      </c>
      <c r="AT12" s="128">
        <v>2510.0</v>
      </c>
      <c r="AU12" s="128">
        <v>3111.0</v>
      </c>
      <c r="AV12" s="73">
        <f>AU12</f>
        <v>3111</v>
      </c>
      <c r="AW12" s="128">
        <v>2443.0</v>
      </c>
      <c r="AX12" s="128">
        <v>2224.0</v>
      </c>
      <c r="AY12" s="128">
        <v>1982.0</v>
      </c>
      <c r="AZ12" s="128">
        <v>1458.0</v>
      </c>
      <c r="BA12" s="73">
        <f>AZ12</f>
        <v>1458</v>
      </c>
      <c r="BB12" s="128">
        <v>1265.0</v>
      </c>
      <c r="BC12" s="128">
        <v>1222.0</v>
      </c>
      <c r="BD12" s="128">
        <v>1096.0</v>
      </c>
      <c r="BE12" s="128">
        <v>1134.0</v>
      </c>
      <c r="BF12" s="73">
        <f>BE12</f>
        <v>1134</v>
      </c>
      <c r="BG12" s="128">
        <v>1335.0</v>
      </c>
      <c r="BH12" s="128">
        <v>1735.0</v>
      </c>
      <c r="BI12" s="128">
        <v>2225.0</v>
      </c>
      <c r="BJ12" s="128">
        <v>2566.0</v>
      </c>
      <c r="BK12" s="73">
        <f>BJ12</f>
        <v>2566</v>
      </c>
      <c r="BL12" s="128">
        <v>2816.0</v>
      </c>
      <c r="BM12" s="128">
        <v>3570.0</v>
      </c>
      <c r="BN12" s="128">
        <v>3917.0</v>
      </c>
      <c r="BO12" s="128">
        <v>3162.0</v>
      </c>
      <c r="BP12" s="73">
        <f>BO12</f>
        <v>3162</v>
      </c>
      <c r="BQ12" s="128">
        <v>2807.0</v>
      </c>
      <c r="BR12" s="128">
        <v>2603.0</v>
      </c>
      <c r="BS12" s="128">
        <v>3671.0</v>
      </c>
      <c r="BT12" s="128">
        <v>4648.0</v>
      </c>
      <c r="BU12" s="73">
        <f>BT12</f>
        <v>4648</v>
      </c>
      <c r="BV12" s="128">
        <v>5427.0</v>
      </c>
      <c r="BW12" s="128">
        <v>6074.0</v>
      </c>
      <c r="BX12" s="128">
        <v>5763.0</v>
      </c>
      <c r="BY12" s="128">
        <v>5093.0</v>
      </c>
      <c r="BZ12" s="73">
        <f>BY12</f>
        <v>5093</v>
      </c>
      <c r="CA12" s="128">
        <v>4254.0</v>
      </c>
      <c r="CB12" s="128">
        <v>3806.0</v>
      </c>
      <c r="CC12" s="128">
        <v>4265.0</v>
      </c>
      <c r="CD12" s="128">
        <v>4591.0</v>
      </c>
      <c r="CE12" s="73">
        <f>CD12</f>
        <v>4591</v>
      </c>
      <c r="CF12" s="128">
        <v>4312.0</v>
      </c>
      <c r="CG12" s="128">
        <v>4444.0</v>
      </c>
      <c r="CH12" s="128">
        <v>4462.0</v>
      </c>
      <c r="CI12" s="128">
        <v>5685.0</v>
      </c>
      <c r="CJ12" s="73">
        <f>CI12</f>
        <v>5685</v>
      </c>
      <c r="CK12" s="128">
        <v>7052.0</v>
      </c>
      <c r="CL12" s="128">
        <v>7358.0</v>
      </c>
      <c r="CM12" s="128">
        <v>7773.0</v>
      </c>
      <c r="CN12" s="128">
        <v>8441.0</v>
      </c>
      <c r="CO12" s="73">
        <f>CN12</f>
        <v>8441</v>
      </c>
      <c r="CP12" s="128">
        <v>9035.0</v>
      </c>
      <c r="CQ12" s="17">
        <v>9771.0</v>
      </c>
      <c r="CR12" s="17">
        <v>9000.0</v>
      </c>
      <c r="CS12" s="17">
        <v>9063.0</v>
      </c>
      <c r="CT12" s="73">
        <f>CS12</f>
        <v>9063</v>
      </c>
      <c r="CU12" s="128">
        <v>8010.0</v>
      </c>
      <c r="CV12" s="128">
        <v>6810.0</v>
      </c>
      <c r="CW12" s="128">
        <v>6659.0</v>
      </c>
      <c r="CX12" s="128">
        <v>7323.0</v>
      </c>
      <c r="CY12" s="18">
        <f>CX12</f>
        <v>7323</v>
      </c>
      <c r="CZ12" s="128">
        <v>9103.0</v>
      </c>
      <c r="DA12" s="128">
        <v>9503.0</v>
      </c>
      <c r="DB12" s="128">
        <v>9747.0</v>
      </c>
      <c r="DC12" s="128">
        <v>8314.0</v>
      </c>
      <c r="DD12" s="18">
        <f>DC12</f>
        <v>8314</v>
      </c>
      <c r="DE12" s="128">
        <v>9303.0</v>
      </c>
      <c r="DF12" s="128">
        <v>11084.0</v>
      </c>
      <c r="DG12" s="129">
        <v>6983.0</v>
      </c>
      <c r="DH12" s="128">
        <v>8755.0</v>
      </c>
      <c r="DI12" s="18">
        <f>DH12</f>
        <v>8755</v>
      </c>
      <c r="DJ12" s="129">
        <v>10623.0</v>
      </c>
      <c r="DK12" s="129">
        <v>7348.0</v>
      </c>
      <c r="DL12" s="129">
        <v>7138.0</v>
      </c>
      <c r="DM12" s="129">
        <v>5843.0</v>
      </c>
      <c r="DN12" s="18">
        <f>DM12</f>
        <v>5843</v>
      </c>
      <c r="DO12" s="129">
        <v>6181.0</v>
      </c>
      <c r="DP12" s="129">
        <v>6663.0</v>
      </c>
      <c r="DQ12" s="129">
        <v>6241.0</v>
      </c>
      <c r="DR12" s="129">
        <v>7847.0</v>
      </c>
      <c r="DS12" s="18">
        <f>DR12</f>
        <v>7847</v>
      </c>
      <c r="DT12" s="129">
        <v>8127.0</v>
      </c>
      <c r="DU12" s="129">
        <v>12288.0</v>
      </c>
      <c r="DV12" s="129">
        <v>11910.0</v>
      </c>
      <c r="DW12" s="129">
        <v>15738.0</v>
      </c>
      <c r="DX12" s="18">
        <f>DW12</f>
        <v>15738</v>
      </c>
      <c r="DY12" s="129">
        <v>14788.0</v>
      </c>
      <c r="DZ12" s="129">
        <v>17097.0</v>
      </c>
      <c r="EA12" s="129">
        <v>22761.0</v>
      </c>
      <c r="EB12" s="129">
        <v>21483.0</v>
      </c>
      <c r="EC12" s="18">
        <f>EB12</f>
        <v>21483</v>
      </c>
      <c r="ED12" s="129">
        <v>0.0</v>
      </c>
      <c r="EE12" s="129">
        <v>0.0</v>
      </c>
      <c r="EF12" s="129">
        <v>0.0</v>
      </c>
      <c r="EG12" s="129">
        <v>0.0</v>
      </c>
      <c r="EH12" s="18">
        <f>EG12</f>
        <v>0</v>
      </c>
      <c r="EI12" s="134" t="str">
        <f>EI11*Sales*IF(ISNUMBER(Dates), 4, 1)</f>
        <v>#ERROR!</v>
      </c>
      <c r="EJ12" s="128" t="str">
        <f>EJ11*Sales*IF(ISNUMBER(Dates), 4, 1)</f>
        <v>#ERROR!</v>
      </c>
      <c r="EK12" s="128" t="str">
        <f>EK11*Sales*IF(ISNUMBER(Dates), 4, 1)</f>
        <v>#ERROR!</v>
      </c>
      <c r="EL12" s="128" t="str">
        <f>EL11*Sales*IF(ISNUMBER(Dates), 4, 1)</f>
        <v>#ERROR!</v>
      </c>
      <c r="EM12" s="18" t="str">
        <f>EL12</f>
        <v>#ERROR!</v>
      </c>
      <c r="EN12" s="128" t="str">
        <f>EN11*Sales*IF(ISNUMBER(Dates), 4, 1)</f>
        <v>#ERROR!</v>
      </c>
      <c r="EO12" s="128" t="str">
        <f>EO11*Sales*IF(ISNUMBER(Dates), 4, 1)</f>
        <v>#ERROR!</v>
      </c>
      <c r="EP12" s="128" t="str">
        <f>EP11*Sales*IF(ISNUMBER(Dates), 4, 1)</f>
        <v>#ERROR!</v>
      </c>
      <c r="EQ12" s="128" t="str">
        <f>EQ11*Sales*IF(ISNUMBER(Dates), 4, 1)</f>
        <v>#ERROR!</v>
      </c>
      <c r="ER12" s="18" t="str">
        <f>EQ12</f>
        <v>#ERROR!</v>
      </c>
      <c r="ES12" s="128" t="str">
        <f>ES11*Sales*IF(ISNUMBER(Dates), 4, 1)</f>
        <v>#ERROR!</v>
      </c>
      <c r="ET12" s="128" t="str">
        <f>ET11*Sales*IF(ISNUMBER(Dates), 4, 1)</f>
        <v>#ERROR!</v>
      </c>
      <c r="EU12" s="128" t="str">
        <f>EU11*Sales*IF(ISNUMBER(Dates), 4, 1)</f>
        <v>#ERROR!</v>
      </c>
      <c r="EV12" s="128" t="str">
        <f>EV11*Sales*IF(ISNUMBER(Dates), 4, 1)</f>
        <v>#ERROR!</v>
      </c>
      <c r="EW12" s="18" t="str">
        <f>EV12</f>
        <v>#ERROR!</v>
      </c>
      <c r="EX12" s="128" t="str">
        <f>EX11*Sales*IF(ISNUMBER(Dates), 4, 1)</f>
        <v>#ERROR!</v>
      </c>
      <c r="EY12" s="128" t="str">
        <f>EY11*Sales*IF(ISNUMBER(Dates), 4, 1)</f>
        <v>#ERROR!</v>
      </c>
      <c r="EZ12" s="128" t="str">
        <f>EZ11*Sales*IF(ISNUMBER(Dates), 4, 1)</f>
        <v>#ERROR!</v>
      </c>
      <c r="FA12" s="128" t="str">
        <f>FA11*Sales*IF(ISNUMBER(Dates), 4, 1)</f>
        <v>#ERROR!</v>
      </c>
      <c r="FB12" s="18" t="str">
        <f>FA12</f>
        <v>#ERROR!</v>
      </c>
      <c r="FC12" s="128" t="str">
        <f>FC11*Sales*IF(ISNUMBER(Dates), 4, 1)</f>
        <v>#ERROR!</v>
      </c>
      <c r="FD12" s="128" t="str">
        <f>FD11*Sales*IF(ISNUMBER(Dates), 4, 1)</f>
        <v>#ERROR!</v>
      </c>
      <c r="FE12" s="128" t="str">
        <f>FE11*Sales*IF(ISNUMBER(Dates), 4, 1)</f>
        <v>#ERROR!</v>
      </c>
      <c r="FF12" s="128" t="str">
        <f>FF11*Sales*IF(ISNUMBER(Dates), 4, 1)</f>
        <v>#ERROR!</v>
      </c>
      <c r="FG12" s="18" t="str">
        <f>FF12</f>
        <v>#ERROR!</v>
      </c>
    </row>
    <row r="13" ht="12.75" customHeight="1" outlineLevel="1">
      <c r="A13" s="179"/>
      <c r="B13" s="180" t="s">
        <v>373</v>
      </c>
      <c r="C13" s="180"/>
      <c r="D13" s="180"/>
      <c r="E13" s="180"/>
      <c r="F13" s="180"/>
      <c r="G13" s="180"/>
      <c r="H13" s="180"/>
      <c r="I13" s="180"/>
      <c r="J13" s="180"/>
      <c r="K13" s="180"/>
      <c r="L13" s="180"/>
      <c r="M13" s="180"/>
      <c r="N13" s="660">
        <f>N14/(Sales*4)</f>
        <v>0.1288118647</v>
      </c>
      <c r="O13" s="660">
        <f>O14/(Sales*4)</f>
        <v>0.1318542264</v>
      </c>
      <c r="P13" s="660">
        <f>P14/(Sales*4)</f>
        <v>0.1350467984</v>
      </c>
      <c r="Q13" s="660">
        <f>Q14/(Sales*4)</f>
        <v>0.1158064092</v>
      </c>
      <c r="R13" s="309">
        <f>AR/Sales</f>
        <v>0.1342442812</v>
      </c>
      <c r="S13" s="660">
        <f>S14/(Sales*4)</f>
        <v>0.116816838</v>
      </c>
      <c r="T13" s="660">
        <f>T14/(Sales*4)</f>
        <v>0.1209976282</v>
      </c>
      <c r="U13" s="660">
        <f>U14/(Sales*4)</f>
        <v>0.1192003275</v>
      </c>
      <c r="V13" s="660">
        <f>V14/(Sales*4)</f>
        <v>0.112640039</v>
      </c>
      <c r="W13" s="309">
        <f>AR/Sales</f>
        <v>0.1258974446</v>
      </c>
      <c r="X13" s="660">
        <f>X14/(Sales*4)</f>
        <v>0.1150381584</v>
      </c>
      <c r="Y13" s="660">
        <f>Y14/(Sales*4)</f>
        <v>0.1305120482</v>
      </c>
      <c r="Z13" s="660">
        <f>Z14/(Sales*4)</f>
        <v>0.1309701065</v>
      </c>
      <c r="AA13" s="660">
        <f>AA14/(Sales*4)</f>
        <v>0.1186221558</v>
      </c>
      <c r="AB13" s="309">
        <f>AR/Sales</f>
        <v>0.1224278005</v>
      </c>
      <c r="AC13" s="660">
        <f>AC14/(Sales*4)</f>
        <v>0.1285008237</v>
      </c>
      <c r="AD13" s="660">
        <f>AD14/(Sales*4)</f>
        <v>0.1146195137</v>
      </c>
      <c r="AE13" s="660">
        <f>AE14/(Sales*4)</f>
        <v>0.1162337662</v>
      </c>
      <c r="AF13" s="660">
        <f>AF14/(Sales*4)</f>
        <v>0.09333381068</v>
      </c>
      <c r="AG13" s="660">
        <f>AR/Sales/IF(ISNUMBER(Dates), 4, 1)</f>
        <v>0.09823278948</v>
      </c>
      <c r="AH13" s="660">
        <f>AR/Sales/IF(ISNUMBER(Dates), 4, 1)</f>
        <v>0.1062896328</v>
      </c>
      <c r="AI13" s="660">
        <f>AR/Sales/IF(ISNUMBER(Dates), 4, 1)</f>
        <v>0.1150102864</v>
      </c>
      <c r="AJ13" s="660">
        <f>AR/Sales/IF(ISNUMBER(Dates), 4, 1)</f>
        <v>0.1187346248</v>
      </c>
      <c r="AK13" s="660">
        <f>AR/Sales/IF(ISNUMBER(Dates), 4, 1)</f>
        <v>0.08987430168</v>
      </c>
      <c r="AL13" s="660">
        <f>AR/Sales/IF(ISNUMBER(Dates), 4, 1)</f>
        <v>0.09617396503</v>
      </c>
      <c r="AM13" s="660">
        <f>AR/Sales/IF(ISNUMBER(Dates), 4, 1)</f>
        <v>0.1097615168</v>
      </c>
      <c r="AN13" s="660">
        <f>AR/Sales/IF(ISNUMBER(Dates), 4, 1)</f>
        <v>0.1045334507</v>
      </c>
      <c r="AO13" s="660">
        <f>AR/Sales/IF(ISNUMBER(Dates), 4, 1)</f>
        <v>0.1050044683</v>
      </c>
      <c r="AP13" s="660">
        <f>AR/Sales/IF(ISNUMBER(Dates), 4, 1)</f>
        <v>0.08465850589</v>
      </c>
      <c r="AQ13" s="309">
        <f>AR/Sales/IF(ISNUMBER(Dates), 4, 1)</f>
        <v>0.09820510268</v>
      </c>
      <c r="AR13" s="660">
        <f>AR/Sales/IF(ISNUMBER(Dates), 4, 1)</f>
        <v>0.1042516376</v>
      </c>
      <c r="AS13" s="660">
        <f>AR/Sales/IF(ISNUMBER(Dates), 4, 1)</f>
        <v>0.09886321282</v>
      </c>
      <c r="AT13" s="660">
        <f>AR/Sales/IF(ISNUMBER(Dates), 4, 1)</f>
        <v>0.0963876756</v>
      </c>
      <c r="AU13" s="660">
        <f>AR/Sales/IF(ISNUMBER(Dates), 4, 1)</f>
        <v>0.07811523234</v>
      </c>
      <c r="AV13" s="309">
        <f>AR/Sales/IF(ISNUMBER(Dates), 4, 1)</f>
        <v>0.08766698822</v>
      </c>
      <c r="AW13" s="660">
        <f>AR/Sales/IF(ISNUMBER(Dates), 4, 1)</f>
        <v>0.08548865805</v>
      </c>
      <c r="AX13" s="660">
        <f>AR/Sales/IF(ISNUMBER(Dates), 4, 1)</f>
        <v>0.09338099881</v>
      </c>
      <c r="AY13" s="660">
        <f>AR/Sales/IF(ISNUMBER(Dates), 4, 1)</f>
        <v>0.09407630522</v>
      </c>
      <c r="AZ13" s="660">
        <f>AR/Sales/IF(ISNUMBER(Dates), 4, 1)</f>
        <v>0.09592196843</v>
      </c>
      <c r="BA13" s="309">
        <f>AR/Sales/IF(ISNUMBER(Dates), 4, 1)</f>
        <v>0.1008087364</v>
      </c>
      <c r="BB13" s="660">
        <f>AR/Sales/IF(ISNUMBER(Dates), 4, 1)</f>
        <v>0.1093959732</v>
      </c>
      <c r="BC13" s="660">
        <f>AR/Sales/IF(ISNUMBER(Dates), 4, 1)</f>
        <v>0.09920089899</v>
      </c>
      <c r="BD13" s="660">
        <f>AR/Sales/IF(ISNUMBER(Dates), 4, 1)</f>
        <v>0.09606362284</v>
      </c>
      <c r="BE13" s="660">
        <f>AR/Sales/IF(ISNUMBER(Dates), 4, 1)</f>
        <v>0.06986280173</v>
      </c>
      <c r="BF13" s="309">
        <f>AR/Sales/IF(ISNUMBER(Dates), 4, 1)</f>
        <v>0.07656435476</v>
      </c>
      <c r="BG13" s="660">
        <f>AR/Sales/IF(ISNUMBER(Dates), 4, 1)</f>
        <v>0.07851333032</v>
      </c>
      <c r="BH13" s="660">
        <f>AR/Sales/IF(ISNUMBER(Dates), 4, 1)</f>
        <v>0.07289746544</v>
      </c>
      <c r="BI13" s="660">
        <f>AR/Sales/IF(ISNUMBER(Dates), 4, 1)</f>
        <v>0.07267096135</v>
      </c>
      <c r="BJ13" s="660">
        <f>AR/Sales/IF(ISNUMBER(Dates), 4, 1)</f>
        <v>0.06011949216</v>
      </c>
      <c r="BK13" s="309">
        <f>AR/Sales/IF(ISNUMBER(Dates), 4, 1)</f>
        <v>0.06719883132</v>
      </c>
      <c r="BL13" s="660">
        <f>AR/Sales/IF(ISNUMBER(Dates), 4, 1)</f>
        <v>0.07042799545</v>
      </c>
      <c r="BM13" s="660">
        <f>AR/Sales/IF(ISNUMBER(Dates), 4, 1)</f>
        <v>0.06333157339</v>
      </c>
      <c r="BN13" s="660">
        <f>AR/Sales/IF(ISNUMBER(Dates), 4, 1)</f>
        <v>0.06697171381</v>
      </c>
      <c r="BO13" s="660">
        <f>AR/Sales/IF(ISNUMBER(Dates), 4, 1)</f>
        <v>0.05203014831</v>
      </c>
      <c r="BP13" s="309">
        <f>AR/Sales/IF(ISNUMBER(Dates), 4, 1)</f>
        <v>0.04554887458</v>
      </c>
      <c r="BQ13" s="660">
        <f>AR/Sales/IF(ISNUMBER(Dates), 4, 1)</f>
        <v>0.07298810357</v>
      </c>
      <c r="BR13" s="660">
        <f>AR/Sales/IF(ISNUMBER(Dates), 4, 1)</f>
        <v>0.06038135593</v>
      </c>
      <c r="BS13" s="660">
        <f>AR/Sales/IF(ISNUMBER(Dates), 4, 1)</f>
        <v>0.05391948024</v>
      </c>
      <c r="BT13" s="660">
        <f>AR/Sales/IF(ISNUMBER(Dates), 4, 1)</f>
        <v>0.05376572996</v>
      </c>
      <c r="BU13" s="309">
        <f>AR/Sales/IF(ISNUMBER(Dates), 4, 1)</f>
        <v>0.06470805933</v>
      </c>
      <c r="BV13" s="660">
        <f>AR/Sales/IF(ISNUMBER(Dates), 4, 1)</f>
        <v>0.05320904942</v>
      </c>
      <c r="BW13" s="660">
        <f>AR/Sales/IF(ISNUMBER(Dates), 4, 1)</f>
        <v>0.05643288435</v>
      </c>
      <c r="BX13" s="660">
        <f>AR/Sales/IF(ISNUMBER(Dates), 4, 1)</f>
        <v>0.06555125203</v>
      </c>
      <c r="BY13" s="660">
        <f>AR/Sales/IF(ISNUMBER(Dates), 4, 1)</f>
        <v>0.06256000698</v>
      </c>
      <c r="BZ13" s="309">
        <f>AR/Sales/IF(ISNUMBER(Dates), 4, 1)</f>
        <v>0.06572221076</v>
      </c>
      <c r="CA13" s="660">
        <f>AR/Sales/IF(ISNUMBER(Dates), 4, 1)</f>
        <v>0.06892659765</v>
      </c>
      <c r="CB13" s="660">
        <f>AR/Sales/IF(ISNUMBER(Dates), 4, 1)</f>
        <v>0.06443753837</v>
      </c>
      <c r="CC13" s="660">
        <f>AR/Sales/IF(ISNUMBER(Dates), 4, 1)</f>
        <v>0.06711515492</v>
      </c>
      <c r="CD13" s="660">
        <f>AR/Sales/IF(ISNUMBER(Dates), 4, 1)</f>
        <v>0.06570893642</v>
      </c>
      <c r="CE13" s="309">
        <f>AR/Sales/IF(ISNUMBER(Dates), 4, 1)</f>
        <v>0.06759384433</v>
      </c>
      <c r="CF13" s="660">
        <f>AR/Sales/IF(ISNUMBER(Dates), 4, 1)</f>
        <v>0.07820006199</v>
      </c>
      <c r="CG13" s="660">
        <f>AR/Sales/IF(ISNUMBER(Dates), 4, 1)</f>
        <v>0.06562476854</v>
      </c>
      <c r="CH13" s="660">
        <f>AR/Sales/IF(ISNUMBER(Dates), 4, 1)</f>
        <v>0.07315895073</v>
      </c>
      <c r="CI13" s="660">
        <f>AR/Sales/IF(ISNUMBER(Dates), 4, 1)</f>
        <v>0.07110261928</v>
      </c>
      <c r="CJ13" s="309">
        <f>AR/Sales/IF(ISNUMBER(Dates), 4, 1)</f>
        <v>0.07185842035</v>
      </c>
      <c r="CK13" s="660">
        <f>AR/Sales/IF(ISNUMBER(Dates), 4, 1)</f>
        <v>0.07027027027</v>
      </c>
      <c r="CL13" s="660">
        <f>AR/Sales/IF(ISNUMBER(Dates), 4, 1)</f>
        <v>0.06779330263</v>
      </c>
      <c r="CM13" s="660">
        <f>AR/Sales/IF(ISNUMBER(Dates), 4, 1)</f>
        <v>0.06895720537</v>
      </c>
      <c r="CN13" s="660">
        <f>AR/Sales/IF(ISNUMBER(Dates), 4, 1)</f>
        <v>0.06473182015</v>
      </c>
      <c r="CO13" s="309">
        <f>AR/Sales/IF(ISNUMBER(Dates), 4, 1)</f>
        <v>0.06795932306</v>
      </c>
      <c r="CP13" s="660">
        <f>AR/Sales/IF(ISNUMBER(Dates), 4, 1)</f>
        <v>0.06865010968</v>
      </c>
      <c r="CQ13" s="660">
        <f>AR/Sales/IF(ISNUMBER(Dates), 4, 1)</f>
        <v>0.06306485431</v>
      </c>
      <c r="CR13" s="660">
        <f>AR/Sales/IF(ISNUMBER(Dates), 4, 1)</f>
        <v>0.06264600797</v>
      </c>
      <c r="CS13" s="15">
        <f>AR/Sales/IF(ISNUMBER(Dates), 4, 1)</f>
        <v>0.0751817132</v>
      </c>
      <c r="CT13" s="309">
        <f>AR/Sales/IF(ISNUMBER(Dates), 4, 1)</f>
        <v>0.07923751566</v>
      </c>
      <c r="CU13" s="660">
        <f>AR/Sales/IF(ISNUMBER(Dates), 4, 1)</f>
        <v>0.06349268445</v>
      </c>
      <c r="CV13" s="660">
        <f>AR/Sales/IF(ISNUMBER(Dates), 4, 1)</f>
        <v>0.07313376279</v>
      </c>
      <c r="CW13" s="660">
        <f>AR/Sales/IF(ISNUMBER(Dates), 4, 1)</f>
        <v>0.07087798133</v>
      </c>
      <c r="CX13" s="660">
        <f>AR/Sales/IF(ISNUMBER(Dates), 4, 1)</f>
        <v>0.08024339547</v>
      </c>
      <c r="CY13" s="37">
        <f>AR/Sales/IF(ISNUMBER(Dates), 4, 1)</f>
        <v>0.08647818625</v>
      </c>
      <c r="CZ13" s="660">
        <f>AR/Sales/IF(ISNUMBER(Dates), 4, 1)</f>
        <v>0.07637127744</v>
      </c>
      <c r="DA13" s="660">
        <f>AR/Sales/IF(ISNUMBER(Dates), 4, 1)</f>
        <v>0.08176309761</v>
      </c>
      <c r="DB13" s="660">
        <f>AR/Sales/IF(ISNUMBER(Dates), 4, 1)</f>
        <v>0.07846368361</v>
      </c>
      <c r="DC13" s="660">
        <f>AR/Sales/IF(ISNUMBER(Dates), 4, 1)</f>
        <v>0.07160742641</v>
      </c>
      <c r="DD13" s="37">
        <f>AR/Sales/IF(ISNUMBER(Dates), 4, 1)</f>
        <v>0.07884208049</v>
      </c>
      <c r="DE13" s="660">
        <f>AR/Sales/IF(ISNUMBER(Dates), 4, 1)</f>
        <v>0.08314747229</v>
      </c>
      <c r="DF13" s="660">
        <f>AR/Sales/IF(ISNUMBER(Dates), 4, 1)</f>
        <v>0.0913940256</v>
      </c>
      <c r="DG13" s="83">
        <f>AR/Sales/IF(ISNUMBER(Dates), 4, 1)</f>
        <v>0.09217288996</v>
      </c>
      <c r="DH13" s="660">
        <f>AR/Sales/IF(ISNUMBER(Dates), 4, 1)</f>
        <v>0.08219961297</v>
      </c>
      <c r="DI13" s="37">
        <f>AR/Sales/IF(ISNUMBER(Dates), 4, 1)</f>
        <v>0.08933892067</v>
      </c>
      <c r="DJ13" s="83">
        <f>AR/Sales/IF(ISNUMBER(Dates), 4, 1)</f>
        <v>0.07592120005</v>
      </c>
      <c r="DK13" s="83">
        <f>AR/Sales/IF(ISNUMBER(Dates), 4, 1)</f>
        <v>0.06832920646</v>
      </c>
      <c r="DL13" s="83">
        <f>AR/Sales/IF(ISNUMBER(Dates), 4, 1)</f>
        <v>0.07119188019</v>
      </c>
      <c r="DM13" s="83">
        <f>AR/Sales/IF(ISNUMBER(Dates), 4, 1)</f>
        <v>0.09007343088</v>
      </c>
      <c r="DN13" s="37">
        <f>AR/Sales/IF(ISNUMBER(Dates), 4, 1)</f>
        <v>0.09487917796</v>
      </c>
      <c r="DO13" s="83">
        <f>AR/Sales/IF(ISNUMBER(Dates), 4, 1)</f>
        <v>0.1082902684</v>
      </c>
      <c r="DP13" s="83">
        <f>AR/Sales/IF(ISNUMBER(Dates), 4, 1)</f>
        <v>0.09441078461</v>
      </c>
      <c r="DQ13" s="83">
        <f>AR/Sales/IF(ISNUMBER(Dates), 4, 1)</f>
        <v>0.08963001563</v>
      </c>
      <c r="DR13" s="83">
        <f>AR/Sales/IF(ISNUMBER(Dates), 4, 1)</f>
        <v>0.09474738978</v>
      </c>
      <c r="DS13" s="37">
        <f>AR/Sales/IF(ISNUMBER(Dates), 4, 1)</f>
        <v>0.1064267352</v>
      </c>
      <c r="DT13" s="83">
        <f>AR/Sales/IF(ISNUMBER(Dates), 4, 1)</f>
        <v>0.106604297</v>
      </c>
      <c r="DU13" s="83">
        <f>AR/Sales/IF(ISNUMBER(Dates), 4, 1)</f>
        <v>0.09429491079</v>
      </c>
      <c r="DV13" s="83">
        <f>AR/Sales/IF(ISNUMBER(Dates), 4, 1)</f>
        <v>0.09736540664</v>
      </c>
      <c r="DW13" s="83">
        <f>AR/Sales/IF(ISNUMBER(Dates), 4, 1)</f>
        <v>0.08486835519</v>
      </c>
      <c r="DX13" s="37">
        <f>AR/Sales/IF(ISNUMBER(Dates), 4, 1)</f>
        <v>0.08709722989</v>
      </c>
      <c r="DY13" s="83">
        <f>AR/Sales/IF(ISNUMBER(Dates), 4, 1)</f>
        <v>0.09705914036</v>
      </c>
      <c r="DZ13" s="83">
        <f>AR/Sales/IF(ISNUMBER(Dates), 4, 1)</f>
        <v>0.1006313063</v>
      </c>
      <c r="EA13" s="83">
        <f>AR/Sales/IF(ISNUMBER(Dates), 4, 1)</f>
        <v>0.1161054901</v>
      </c>
      <c r="EB13" s="83">
        <f>AR/Sales/IF(ISNUMBER(Dates), 4, 1)</f>
        <v>0.1210449519</v>
      </c>
      <c r="EC13" s="37">
        <f>AR/Sales/IF(ISNUMBER(Dates), 4, 1)</f>
        <v>0.1265692337</v>
      </c>
      <c r="ED13" s="83">
        <f>AR/Sales/IF(ISNUMBER(Dates), 4, 1)</f>
        <v>0.09636026808</v>
      </c>
      <c r="EE13" s="83">
        <f>AR/Sales/IF(ISNUMBER(Dates), 4, 1)</f>
        <v>0.09893283728</v>
      </c>
      <c r="EF13" s="83">
        <f>AR/Sales/IF(ISNUMBER(Dates), 4, 1)</f>
        <v>0.1217401226</v>
      </c>
      <c r="EG13" s="83">
        <f>AR/Sales/IF(ISNUMBER(Dates), 4, 1)</f>
        <v>0.07358282296</v>
      </c>
      <c r="EH13" s="37">
        <f>AR/Sales/IF(ISNUMBER(Dates), 4, 1)</f>
        <v>0.06554699147</v>
      </c>
      <c r="EI13" s="661" t="str">
        <f>AR/Sales/IF(ISNUMBER(Dates), 4, 1)</f>
        <v>#ERROR!</v>
      </c>
      <c r="EJ13" s="660" t="str">
        <f>AR/Sales/IF(ISNUMBER(Dates), 4, 1)</f>
        <v>#ERROR!</v>
      </c>
      <c r="EK13" s="660" t="str">
        <f>AR/Sales/IF(ISNUMBER(Dates), 4, 1)</f>
        <v>#ERROR!</v>
      </c>
      <c r="EL13" s="660" t="str">
        <f>AR/Sales/IF(ISNUMBER(Dates), 4, 1)</f>
        <v>#ERROR!</v>
      </c>
      <c r="EM13" s="37" t="str">
        <f>AR/Sales/IF(ISNUMBER(Dates), 4, 1)</f>
        <v>#ERROR!</v>
      </c>
      <c r="EN13" s="660" t="str">
        <f>AR/Sales/IF(ISNUMBER(Dates), 4, 1)</f>
        <v>#ERROR!</v>
      </c>
      <c r="EO13" s="660" t="str">
        <f>AR/Sales/IF(ISNUMBER(Dates), 4, 1)</f>
        <v>#ERROR!</v>
      </c>
      <c r="EP13" s="660" t="str">
        <f>AR/Sales/IF(ISNUMBER(Dates), 4, 1)</f>
        <v>#ERROR!</v>
      </c>
      <c r="EQ13" s="660" t="str">
        <f>AR/Sales/IF(ISNUMBER(Dates), 4, 1)</f>
        <v>#ERROR!</v>
      </c>
      <c r="ER13" s="37" t="str">
        <f>AR/Sales/IF(ISNUMBER(Dates), 4, 1)</f>
        <v>#ERROR!</v>
      </c>
      <c r="ES13" s="660" t="str">
        <f>AR/Sales/IF(ISNUMBER(Dates), 4, 1)</f>
        <v>#ERROR!</v>
      </c>
      <c r="ET13" s="660" t="str">
        <f>AR/Sales/IF(ISNUMBER(Dates), 4, 1)</f>
        <v>#ERROR!</v>
      </c>
      <c r="EU13" s="660" t="str">
        <f>AR/Sales/IF(ISNUMBER(Dates), 4, 1)</f>
        <v>#ERROR!</v>
      </c>
      <c r="EV13" s="660" t="str">
        <f>AR/Sales/IF(ISNUMBER(Dates), 4, 1)</f>
        <v>#ERROR!</v>
      </c>
      <c r="EW13" s="37" t="str">
        <f>AR/Sales/IF(ISNUMBER(Dates), 4, 1)</f>
        <v>#ERROR!</v>
      </c>
      <c r="EX13" s="660" t="str">
        <f>AR/Sales/IF(ISNUMBER(Dates), 4, 1)</f>
        <v>#ERROR!</v>
      </c>
      <c r="EY13" s="660" t="str">
        <f>AR/Sales/IF(ISNUMBER(Dates), 4, 1)</f>
        <v>#ERROR!</v>
      </c>
      <c r="EZ13" s="660" t="str">
        <f>AR/Sales/IF(ISNUMBER(Dates), 4, 1)</f>
        <v>#ERROR!</v>
      </c>
      <c r="FA13" s="660" t="str">
        <f>AR/Sales/IF(ISNUMBER(Dates), 4, 1)</f>
        <v>#ERROR!</v>
      </c>
      <c r="FB13" s="37" t="str">
        <f>AR/Sales/IF(ISNUMBER(Dates), 4, 1)</f>
        <v>#ERROR!</v>
      </c>
      <c r="FC13" s="660" t="str">
        <f>AR/Sales/IF(ISNUMBER(Dates), 4, 1)</f>
        <v>#ERROR!</v>
      </c>
      <c r="FD13" s="660" t="str">
        <f>AR/Sales/IF(ISNUMBER(Dates), 4, 1)</f>
        <v>#ERROR!</v>
      </c>
      <c r="FE13" s="660" t="str">
        <f>AR/Sales/IF(ISNUMBER(Dates), 4, 1)</f>
        <v>#ERROR!</v>
      </c>
      <c r="FF13" s="660" t="str">
        <f>AR/Sales/IF(ISNUMBER(Dates), 4, 1)</f>
        <v>#ERROR!</v>
      </c>
      <c r="FG13" s="37" t="str">
        <f>AR/Sales/IF(ISNUMBER(Dates), 4, 1)</f>
        <v>#ERROR!</v>
      </c>
    </row>
    <row r="14" ht="12.75" customHeight="1">
      <c r="A14" s="179"/>
      <c r="B14" s="180" t="s">
        <v>515</v>
      </c>
      <c r="C14" s="180"/>
      <c r="D14" s="180"/>
      <c r="E14" s="180"/>
      <c r="F14" s="180"/>
      <c r="G14" s="180"/>
      <c r="H14" s="180"/>
      <c r="I14" s="180"/>
      <c r="J14" s="180"/>
      <c r="K14" s="180"/>
      <c r="L14" s="180"/>
      <c r="M14" s="180"/>
      <c r="N14" s="128">
        <v>3092.0</v>
      </c>
      <c r="O14" s="128">
        <v>3126.0</v>
      </c>
      <c r="P14" s="128">
        <v>3636.0</v>
      </c>
      <c r="Q14" s="128">
        <v>3527.0</v>
      </c>
      <c r="R14" s="73">
        <v>3527.0</v>
      </c>
      <c r="S14" s="128">
        <v>3319.0</v>
      </c>
      <c r="T14" s="128">
        <v>3265.0</v>
      </c>
      <c r="U14" s="128">
        <v>3494.0</v>
      </c>
      <c r="V14" s="128">
        <v>3700.0</v>
      </c>
      <c r="W14" s="73">
        <f>+V14</f>
        <v>3700</v>
      </c>
      <c r="X14" s="128">
        <v>3678.0</v>
      </c>
      <c r="Y14" s="128">
        <v>4333.0</v>
      </c>
      <c r="Z14" s="128">
        <v>4574.0</v>
      </c>
      <c r="AA14" s="128">
        <v>4129.0</v>
      </c>
      <c r="AB14" s="73">
        <f>+AA14</f>
        <v>4129</v>
      </c>
      <c r="AC14" s="128">
        <v>3432.0</v>
      </c>
      <c r="AD14" s="128">
        <v>2904.0</v>
      </c>
      <c r="AE14" s="128">
        <v>3043.0</v>
      </c>
      <c r="AF14" s="128">
        <v>2607.0</v>
      </c>
      <c r="AG14" s="73">
        <f>AF14</f>
        <v>2607</v>
      </c>
      <c r="AH14" s="128">
        <v>2883.0</v>
      </c>
      <c r="AI14" s="128">
        <v>2907.0</v>
      </c>
      <c r="AJ14" s="128">
        <v>3089.0</v>
      </c>
      <c r="AK14" s="128">
        <v>2574.0</v>
      </c>
      <c r="AL14" s="73">
        <f>AK14</f>
        <v>2574</v>
      </c>
      <c r="AM14" s="128">
        <v>2964.0</v>
      </c>
      <c r="AN14" s="128">
        <v>2850.0</v>
      </c>
      <c r="AO14" s="128">
        <v>3290.0</v>
      </c>
      <c r="AP14" s="128">
        <v>2960.0</v>
      </c>
      <c r="AQ14" s="73">
        <f>AP14</f>
        <v>2960</v>
      </c>
      <c r="AR14" s="128">
        <v>3374.0</v>
      </c>
      <c r="AS14" s="128">
        <v>3183.0</v>
      </c>
      <c r="AT14" s="128">
        <v>3266.0</v>
      </c>
      <c r="AU14" s="128">
        <v>2999.0</v>
      </c>
      <c r="AV14" s="73">
        <f>AU14</f>
        <v>2999</v>
      </c>
      <c r="AW14" s="128">
        <v>3226.0</v>
      </c>
      <c r="AX14" s="128">
        <v>3448.0</v>
      </c>
      <c r="AY14" s="128">
        <v>3748.0</v>
      </c>
      <c r="AZ14" s="128">
        <v>3914.0</v>
      </c>
      <c r="BA14" s="73">
        <f>AZ14</f>
        <v>3914</v>
      </c>
      <c r="BB14" s="128">
        <v>3912.0</v>
      </c>
      <c r="BC14" s="128">
        <v>3178.0</v>
      </c>
      <c r="BD14" s="128">
        <v>3358.0</v>
      </c>
      <c r="BE14" s="128">
        <v>2709.0</v>
      </c>
      <c r="BF14" s="73">
        <f>BE14</f>
        <v>2709</v>
      </c>
      <c r="BG14" s="128">
        <v>2780.0</v>
      </c>
      <c r="BH14" s="128">
        <v>2531.0</v>
      </c>
      <c r="BI14" s="128">
        <v>2933.0</v>
      </c>
      <c r="BJ14" s="128">
        <v>2576.0</v>
      </c>
      <c r="BK14" s="73">
        <f>BJ14</f>
        <v>2576</v>
      </c>
      <c r="BL14" s="128">
        <v>2725.0</v>
      </c>
      <c r="BM14" s="128">
        <v>2399.0</v>
      </c>
      <c r="BN14" s="128">
        <v>2737.0</v>
      </c>
      <c r="BO14" s="128">
        <v>1712.0</v>
      </c>
      <c r="BP14" s="73">
        <f>BO14</f>
        <v>1712</v>
      </c>
      <c r="BQ14" s="128">
        <v>2086.0</v>
      </c>
      <c r="BR14" s="128">
        <v>1938.0</v>
      </c>
      <c r="BS14" s="128">
        <v>2025.0</v>
      </c>
      <c r="BT14" s="128">
        <v>2273.0</v>
      </c>
      <c r="BU14" s="73">
        <f>BT14</f>
        <v>2273</v>
      </c>
      <c r="BV14" s="128">
        <v>2192.0</v>
      </c>
      <c r="BW14" s="128">
        <v>2430.0</v>
      </c>
      <c r="BX14" s="128">
        <v>2911.0</v>
      </c>
      <c r="BY14" s="128">
        <v>2867.0</v>
      </c>
      <c r="BZ14" s="73">
        <f>BY14</f>
        <v>2867</v>
      </c>
      <c r="CA14" s="128">
        <v>3542.0</v>
      </c>
      <c r="CB14" s="128">
        <v>3359.0</v>
      </c>
      <c r="CC14" s="128">
        <v>3821.0</v>
      </c>
      <c r="CD14" s="128">
        <v>3650.0</v>
      </c>
      <c r="CE14" s="73">
        <f>CD14</f>
        <v>3650</v>
      </c>
      <c r="CF14" s="128">
        <v>4037.0</v>
      </c>
      <c r="CG14" s="128">
        <v>3544.0</v>
      </c>
      <c r="CH14" s="128">
        <v>3938.0</v>
      </c>
      <c r="CI14" s="128">
        <v>3833.0</v>
      </c>
      <c r="CJ14" s="73">
        <f>CI14</f>
        <v>3833</v>
      </c>
      <c r="CK14" s="128">
        <v>3536.0</v>
      </c>
      <c r="CL14" s="128">
        <v>3474.0</v>
      </c>
      <c r="CM14" s="128">
        <v>3719.0</v>
      </c>
      <c r="CN14" s="128">
        <v>3582.0</v>
      </c>
      <c r="CO14" s="73">
        <f>CN14</f>
        <v>3582</v>
      </c>
      <c r="CP14" s="128">
        <v>3505.0</v>
      </c>
      <c r="CQ14" s="17">
        <v>3489.0</v>
      </c>
      <c r="CR14" s="17">
        <v>3647.0</v>
      </c>
      <c r="CS14" s="17">
        <v>4427.0</v>
      </c>
      <c r="CT14" s="73">
        <f>CS14</f>
        <v>4427</v>
      </c>
      <c r="CU14" s="128">
        <v>3246.0</v>
      </c>
      <c r="CV14" s="128">
        <v>3860.0</v>
      </c>
      <c r="CW14" s="128">
        <v>4101.0</v>
      </c>
      <c r="CX14" s="128">
        <v>4787.0</v>
      </c>
      <c r="CY14" s="18">
        <f>CX14</f>
        <v>4787</v>
      </c>
      <c r="CZ14" s="128">
        <v>4216.0</v>
      </c>
      <c r="DA14" s="128">
        <v>4426.0</v>
      </c>
      <c r="DB14" s="128">
        <v>4952.0</v>
      </c>
      <c r="DC14" s="128">
        <v>4690.0</v>
      </c>
      <c r="DD14" s="18">
        <f>DC14</f>
        <v>4690</v>
      </c>
      <c r="DE14" s="128">
        <v>4921.0</v>
      </c>
      <c r="DF14" s="128">
        <v>5397.0</v>
      </c>
      <c r="DG14" s="129">
        <v>5954.0</v>
      </c>
      <c r="DH14" s="128">
        <v>5607.0</v>
      </c>
      <c r="DI14" s="18">
        <f>DH14</f>
        <v>5607</v>
      </c>
      <c r="DJ14" s="129">
        <v>4879.0</v>
      </c>
      <c r="DK14" s="129">
        <v>4636.0</v>
      </c>
      <c r="DL14" s="129">
        <v>5457.0</v>
      </c>
      <c r="DM14" s="129">
        <v>6722.0</v>
      </c>
      <c r="DN14" s="18">
        <f>DM14</f>
        <v>6722</v>
      </c>
      <c r="DO14" s="129">
        <v>6957.0</v>
      </c>
      <c r="DP14" s="129">
        <v>6233.0</v>
      </c>
      <c r="DQ14" s="129">
        <v>6880.0</v>
      </c>
      <c r="DR14" s="129">
        <v>7659.0</v>
      </c>
      <c r="DS14" s="18">
        <f>DR14</f>
        <v>7659</v>
      </c>
      <c r="DT14" s="129">
        <v>8455.0</v>
      </c>
      <c r="DU14" s="129">
        <v>7441.0</v>
      </c>
      <c r="DV14" s="129">
        <v>7140.0</v>
      </c>
      <c r="DW14" s="129">
        <v>6782.0</v>
      </c>
      <c r="DX14" s="18">
        <f>DW14</f>
        <v>6782</v>
      </c>
      <c r="DY14" s="129">
        <v>7208.0</v>
      </c>
      <c r="DZ14" s="129">
        <v>7460.0</v>
      </c>
      <c r="EA14" s="129">
        <v>8400.0</v>
      </c>
      <c r="EB14" s="129">
        <v>9457.0</v>
      </c>
      <c r="EC14" s="18">
        <f>EB14</f>
        <v>9457</v>
      </c>
      <c r="ED14" s="129">
        <v>7074.0</v>
      </c>
      <c r="EE14" s="129">
        <v>6063.0</v>
      </c>
      <c r="EF14" s="129">
        <v>7469.0</v>
      </c>
      <c r="EG14" s="129">
        <v>4133.0</v>
      </c>
      <c r="EH14" s="18">
        <f>EG14</f>
        <v>4133</v>
      </c>
      <c r="EI14" s="134" t="str">
        <f>DSO*Sales/IF(ISNUMBER(Dates),90,365)</f>
        <v>#ERROR!</v>
      </c>
      <c r="EJ14" s="128" t="str">
        <f>DSO*Sales/IF(ISNUMBER(Dates),90,365)</f>
        <v>#ERROR!</v>
      </c>
      <c r="EK14" s="128" t="str">
        <f>DSO*Sales/IF(ISNUMBER(Dates),90,365)</f>
        <v>#ERROR!</v>
      </c>
      <c r="EL14" s="128" t="str">
        <f>DSO*Sales/IF(ISNUMBER(Dates),90,365)</f>
        <v>#ERROR!</v>
      </c>
      <c r="EM14" s="18" t="str">
        <f>EL14</f>
        <v>#ERROR!</v>
      </c>
      <c r="EN14" s="128" t="str">
        <f>DSO*Sales/IF(ISNUMBER(Dates),90,365)</f>
        <v>#ERROR!</v>
      </c>
      <c r="EO14" s="128" t="str">
        <f>DSO*Sales/IF(ISNUMBER(Dates),90,365)</f>
        <v>#ERROR!</v>
      </c>
      <c r="EP14" s="128" t="str">
        <f>DSO*Sales/IF(ISNUMBER(Dates),90,365)</f>
        <v>#ERROR!</v>
      </c>
      <c r="EQ14" s="128" t="str">
        <f>DSO*Sales/IF(ISNUMBER(Dates),90,365)</f>
        <v>#ERROR!</v>
      </c>
      <c r="ER14" s="18" t="str">
        <f>EQ14</f>
        <v>#ERROR!</v>
      </c>
      <c r="ES14" s="128" t="str">
        <f>DSO*Sales/IF(ISNUMBER(Dates),90,365)</f>
        <v>#ERROR!</v>
      </c>
      <c r="ET14" s="128" t="str">
        <f>DSO*Sales/IF(ISNUMBER(Dates),90,365)</f>
        <v>#ERROR!</v>
      </c>
      <c r="EU14" s="128" t="str">
        <f>DSO*Sales/IF(ISNUMBER(Dates),90,365)</f>
        <v>#ERROR!</v>
      </c>
      <c r="EV14" s="128" t="str">
        <f>DSO*Sales/IF(ISNUMBER(Dates),90,365)</f>
        <v>#ERROR!</v>
      </c>
      <c r="EW14" s="18" t="str">
        <f>EV14</f>
        <v>#ERROR!</v>
      </c>
      <c r="EX14" s="128" t="str">
        <f>DSO*Sales/IF(ISNUMBER(Dates),90,365)</f>
        <v>#ERROR!</v>
      </c>
      <c r="EY14" s="128" t="str">
        <f>DSO*Sales/IF(ISNUMBER(Dates),90,365)</f>
        <v>#ERROR!</v>
      </c>
      <c r="EZ14" s="128" t="str">
        <f>DSO*Sales/IF(ISNUMBER(Dates),90,365)</f>
        <v>#ERROR!</v>
      </c>
      <c r="FA14" s="128" t="str">
        <f>DSO*Sales/IF(ISNUMBER(Dates),90,365)</f>
        <v>#ERROR!</v>
      </c>
      <c r="FB14" s="18" t="str">
        <f>FA14</f>
        <v>#ERROR!</v>
      </c>
      <c r="FC14" s="128" t="str">
        <f>DSO*Sales/IF(ISNUMBER(Dates),90,365)</f>
        <v>#ERROR!</v>
      </c>
      <c r="FD14" s="128" t="str">
        <f>DSO*Sales/IF(ISNUMBER(Dates),90,365)</f>
        <v>#ERROR!</v>
      </c>
      <c r="FE14" s="128" t="str">
        <f>DSO*Sales/IF(ISNUMBER(Dates),90,365)</f>
        <v>#ERROR!</v>
      </c>
      <c r="FF14" s="128" t="str">
        <f>DSO*Sales/IF(ISNUMBER(Dates),90,365)</f>
        <v>#ERROR!</v>
      </c>
      <c r="FG14" s="18" t="str">
        <f>FF14</f>
        <v>#ERROR!</v>
      </c>
    </row>
    <row r="15" ht="12.75" customHeight="1" outlineLevel="1">
      <c r="A15" s="179"/>
      <c r="B15" s="180" t="s">
        <v>373</v>
      </c>
      <c r="C15" s="180"/>
      <c r="D15" s="180"/>
      <c r="E15" s="180"/>
      <c r="F15" s="180"/>
      <c r="G15" s="180"/>
      <c r="H15" s="180"/>
      <c r="I15" s="180"/>
      <c r="J15" s="180"/>
      <c r="K15" s="180"/>
      <c r="L15" s="180"/>
      <c r="M15" s="180"/>
      <c r="N15" s="660">
        <f>N19/(Sales*4)</f>
        <v>0.07586235627</v>
      </c>
      <c r="O15" s="660">
        <f>O19/(Sales*4)</f>
        <v>0.0718322929</v>
      </c>
      <c r="P15" s="660">
        <f>P19/(Sales*4)</f>
        <v>0.05860941911</v>
      </c>
      <c r="Q15" s="660">
        <f>Q19/(Sales*4)</f>
        <v>0.05194378776</v>
      </c>
      <c r="R15" s="309">
        <f>R19/Sales</f>
        <v>0.06021390781</v>
      </c>
      <c r="S15" s="660">
        <f>S19/(Sales*4)</f>
        <v>0.06011544418</v>
      </c>
      <c r="T15" s="660">
        <f>T19/(Sales*4)</f>
        <v>0.06533501334</v>
      </c>
      <c r="U15" s="660">
        <f>U19/(Sales*4)</f>
        <v>0.05547216157</v>
      </c>
      <c r="V15" s="660">
        <f>V19/(Sales*4)</f>
        <v>0.04499512908</v>
      </c>
      <c r="W15" s="309">
        <f>W19/Sales</f>
        <v>0.05029092518</v>
      </c>
      <c r="X15" s="660">
        <f>X19/(Sales*4)</f>
        <v>0.04807331415</v>
      </c>
      <c r="Y15" s="660">
        <f>Y19/(Sales*4)</f>
        <v>0.04840361446</v>
      </c>
      <c r="Z15" s="660">
        <f>Z19/(Sales*4)</f>
        <v>0.05543465811</v>
      </c>
      <c r="AA15" s="660">
        <f>AA19/(Sales*4)</f>
        <v>0.06438175132</v>
      </c>
      <c r="AB15" s="309">
        <f>AB19/Sales</f>
        <v>0.06644725138</v>
      </c>
      <c r="AC15" s="660">
        <f>AC19/(Sales*4)</f>
        <v>0.09929609106</v>
      </c>
      <c r="AD15" s="660">
        <f>AD19/(Sales*4)</f>
        <v>0.1115408904</v>
      </c>
      <c r="AE15" s="660">
        <f>AE19/(Sales*4)</f>
        <v>0.0898013751</v>
      </c>
      <c r="AF15" s="660">
        <f>AF19/(Sales*4)</f>
        <v>0.08066017471</v>
      </c>
      <c r="AG15" s="660">
        <f>inventories/Sales/IF(ISNUMBER(Dates), 4, 1)</f>
        <v>0.08489392969</v>
      </c>
      <c r="AH15" s="660">
        <f>inventories/Sales/IF(ISNUMBER(Dates), 4, 1)</f>
        <v>0.09143194219</v>
      </c>
      <c r="AI15" s="660">
        <f>inventories/Sales/IF(ISNUMBER(Dates), 4, 1)</f>
        <v>0.09910587118</v>
      </c>
      <c r="AJ15" s="660">
        <f>inventories/Sales/IF(ISNUMBER(Dates), 4, 1)</f>
        <v>0.09536439114</v>
      </c>
      <c r="AK15" s="660">
        <f>inventories/Sales/IF(ISNUMBER(Dates), 4, 1)</f>
        <v>0.07946927374</v>
      </c>
      <c r="AL15" s="660">
        <f>inventories/Sales/IF(ISNUMBER(Dates), 4, 1)</f>
        <v>0.08503960544</v>
      </c>
      <c r="AM15" s="660">
        <f>inventories/Sales/IF(ISNUMBER(Dates), 4, 1)</f>
        <v>0.08013627611</v>
      </c>
      <c r="AN15" s="660">
        <f>inventories/Sales/IF(ISNUMBER(Dates), 4, 1)</f>
        <v>0.07893192488</v>
      </c>
      <c r="AO15" s="660">
        <f>inventories/Sales/IF(ISNUMBER(Dates), 4, 1)</f>
        <v>0.07101366016</v>
      </c>
      <c r="AP15" s="660">
        <f>inventories/Sales/IF(ISNUMBER(Dates), 4, 1)</f>
        <v>0.07204553255</v>
      </c>
      <c r="AQ15" s="309">
        <f>inventories/Sales/IF(ISNUMBER(Dates), 4, 1)</f>
        <v>0.08357386948</v>
      </c>
      <c r="AR15" s="660">
        <f>inventories/Sales/IF(ISNUMBER(Dates), 4, 1)</f>
        <v>0.08639228773</v>
      </c>
      <c r="AS15" s="660">
        <f>inventories/Sales/IF(ISNUMBER(Dates), 4, 1)</f>
        <v>0.1001056032</v>
      </c>
      <c r="AT15" s="660">
        <f>inventories/Sales/IF(ISNUMBER(Dates), 4, 1)</f>
        <v>0.09384960453</v>
      </c>
      <c r="AU15" s="660">
        <f>inventories/Sales/IF(ISNUMBER(Dates), 4, 1)</f>
        <v>0.06826943113</v>
      </c>
      <c r="AV15" s="309">
        <f>inventories/Sales/IF(ISNUMBER(Dates), 4, 1)</f>
        <v>0.07661726446</v>
      </c>
      <c r="AW15" s="660">
        <f>inventories/Sales/IF(ISNUMBER(Dates), 4, 1)</f>
        <v>0.07441170235</v>
      </c>
      <c r="AX15" s="660">
        <f>inventories/Sales/IF(ISNUMBER(Dates), 4, 1)</f>
        <v>0.07417939552</v>
      </c>
      <c r="AY15" s="660">
        <f>inventories/Sales/IF(ISNUMBER(Dates), 4, 1)</f>
        <v>0.07065763052</v>
      </c>
      <c r="AZ15" s="660">
        <f>inventories/Sales/IF(ISNUMBER(Dates), 4, 1)</f>
        <v>0.07661013626</v>
      </c>
      <c r="BA15" s="309">
        <f>inventories/Sales/IF(ISNUMBER(Dates), 4, 1)</f>
        <v>0.08051305826</v>
      </c>
      <c r="BB15" s="660">
        <f>inventories/Sales/IF(ISNUMBER(Dates), 4, 1)</f>
        <v>0.09974832215</v>
      </c>
      <c r="BC15" s="660">
        <f>inventories/Sales/IF(ISNUMBER(Dates), 4, 1)</f>
        <v>0.1352228743</v>
      </c>
      <c r="BD15" s="660">
        <f>inventories/Sales/IF(ISNUMBER(Dates), 4, 1)</f>
        <v>0.1280752947</v>
      </c>
      <c r="BE15" s="660">
        <f>inventories/Sales/IF(ISNUMBER(Dates), 4, 1)</f>
        <v>0.1112543842</v>
      </c>
      <c r="BF15" s="309">
        <f>inventories/Sales/IF(ISNUMBER(Dates), 4, 1)</f>
        <v>0.1219264033</v>
      </c>
      <c r="BG15" s="660">
        <f>inventories/Sales/IF(ISNUMBER(Dates), 4, 1)</f>
        <v>0.1233054677</v>
      </c>
      <c r="BH15" s="660">
        <f>inventories/Sales/IF(ISNUMBER(Dates), 4, 1)</f>
        <v>0.1188652074</v>
      </c>
      <c r="BI15" s="660">
        <f>inventories/Sales/IF(ISNUMBER(Dates), 4, 1)</f>
        <v>0.08766105055</v>
      </c>
      <c r="BJ15" s="660">
        <f>inventories/Sales/IF(ISNUMBER(Dates), 4, 1)</f>
        <v>0.07865011202</v>
      </c>
      <c r="BK15" s="309">
        <f>inventories/Sales/IF(ISNUMBER(Dates), 4, 1)</f>
        <v>0.08791151458</v>
      </c>
      <c r="BL15" s="660">
        <f>inventories/Sales/IF(ISNUMBER(Dates), 4, 1)</f>
        <v>0.08456528481</v>
      </c>
      <c r="BM15" s="660">
        <f>inventories/Sales/IF(ISNUMBER(Dates), 4, 1)</f>
        <v>0.08619324182</v>
      </c>
      <c r="BN15" s="660">
        <f>inventories/Sales/IF(ISNUMBER(Dates), 4, 1)</f>
        <v>0.0831457375</v>
      </c>
      <c r="BO15" s="660">
        <f>inventories/Sales/IF(ISNUMBER(Dates), 4, 1)</f>
        <v>0.113785558</v>
      </c>
      <c r="BP15" s="309">
        <f>inventories/Sales/IF(ISNUMBER(Dates), 4, 1)</f>
        <v>0.09961155749</v>
      </c>
      <c r="BQ15" s="660">
        <f>inventories/Sales/IF(ISNUMBER(Dates), 4, 1)</f>
        <v>0.1065430371</v>
      </c>
      <c r="BR15" s="660">
        <f>inventories/Sales/IF(ISNUMBER(Dates), 4, 1)</f>
        <v>0.0873940678</v>
      </c>
      <c r="BS15" s="660">
        <f>inventories/Sales/IF(ISNUMBER(Dates), 4, 1)</f>
        <v>0.06630099052</v>
      </c>
      <c r="BT15" s="660">
        <f>inventories/Sales/IF(ISNUMBER(Dates), 4, 1)</f>
        <v>0.06942473271</v>
      </c>
      <c r="BU15" s="309">
        <f>inventories/Sales/IF(ISNUMBER(Dates), 4, 1)</f>
        <v>0.08355396134</v>
      </c>
      <c r="BV15" s="660">
        <f>inventories/Sales/IF(ISNUMBER(Dates), 4, 1)</f>
        <v>0.07248276532</v>
      </c>
      <c r="BW15" s="660">
        <f>inventories/Sales/IF(ISNUMBER(Dates), 4, 1)</f>
        <v>0.07768230376</v>
      </c>
      <c r="BX15" s="660">
        <f>inventories/Sales/IF(ISNUMBER(Dates), 4, 1)</f>
        <v>0.07708070618</v>
      </c>
      <c r="BY15" s="660">
        <f>inventories/Sales/IF(ISNUMBER(Dates), 4, 1)</f>
        <v>0.08198044863</v>
      </c>
      <c r="BZ15" s="309">
        <f>inventories/Sales/IF(ISNUMBER(Dates), 4, 1)</f>
        <v>0.08612429223</v>
      </c>
      <c r="CA15" s="660">
        <f>inventories/Sales/IF(ISNUMBER(Dates), 4, 1)</f>
        <v>0.07976570406</v>
      </c>
      <c r="CB15" s="660">
        <f>inventories/Sales/IF(ISNUMBER(Dates), 4, 1)</f>
        <v>0.0773096992</v>
      </c>
      <c r="CC15" s="660">
        <f>inventories/Sales/IF(ISNUMBER(Dates), 4, 1)</f>
        <v>0.06953909928</v>
      </c>
      <c r="CD15" s="660">
        <f>inventories/Sales/IF(ISNUMBER(Dates), 4, 1)</f>
        <v>0.07373802837</v>
      </c>
      <c r="CE15" s="309">
        <f>inventories/Sales/IF(ISNUMBER(Dates), 4, 1)</f>
        <v>0.07585325654</v>
      </c>
      <c r="CF15" s="660">
        <f>inventories/Sales/IF(ISNUMBER(Dates), 4, 1)</f>
        <v>0.08695567953</v>
      </c>
      <c r="CG15" s="660">
        <f>inventories/Sales/IF(ISNUMBER(Dates), 4, 1)</f>
        <v>0.09080808829</v>
      </c>
      <c r="CH15" s="660">
        <f>inventories/Sales/IF(ISNUMBER(Dates), 4, 1)</f>
        <v>0.09881474326</v>
      </c>
      <c r="CI15" s="660">
        <f>inventories/Sales/IF(ISNUMBER(Dates), 4, 1)</f>
        <v>0.08781627959</v>
      </c>
      <c r="CJ15" s="309">
        <f>inventories/Sales/IF(ISNUMBER(Dates), 4, 1)</f>
        <v>0.08874974222</v>
      </c>
      <c r="CK15" s="660">
        <f>inventories/Sales/IF(ISNUMBER(Dates), 4, 1)</f>
        <v>0.08660572337</v>
      </c>
      <c r="CL15" s="660">
        <f>inventories/Sales/IF(ISNUMBER(Dates), 4, 1)</f>
        <v>0.088634767</v>
      </c>
      <c r="CM15" s="660">
        <f>inventories/Sales/IF(ISNUMBER(Dates), 4, 1)</f>
        <v>0.08405028554</v>
      </c>
      <c r="CN15" s="660">
        <f>inventories/Sales/IF(ISNUMBER(Dates), 4, 1)</f>
        <v>0.07539395692</v>
      </c>
      <c r="CO15" s="309">
        <f>inventories/Sales/IF(ISNUMBER(Dates), 4, 1)</f>
        <v>0.07915306974</v>
      </c>
      <c r="CP15" s="660">
        <f>inventories/Sales/IF(ISNUMBER(Dates), 4, 1)</f>
        <v>0.07370338452</v>
      </c>
      <c r="CQ15" s="660">
        <f>inventories/Sales/IF(ISNUMBER(Dates), 4, 1)</f>
        <v>0.07127105777</v>
      </c>
      <c r="CR15" s="660">
        <f>inventories/Sales/IF(ISNUMBER(Dates), 4, 1)</f>
        <v>0.07068503504</v>
      </c>
      <c r="CS15" s="15">
        <f>inventories/Sales/IF(ISNUMBER(Dates), 4, 1)</f>
        <v>0.07256640174</v>
      </c>
      <c r="CT15" s="309">
        <f>inventories/Sales/IF(ISNUMBER(Dates), 4, 1)</f>
        <v>0.07648111688</v>
      </c>
      <c r="CU15" s="660">
        <f>inventories/Sales/IF(ISNUMBER(Dates), 4, 1)</f>
        <v>0.08641733824</v>
      </c>
      <c r="CV15" s="660">
        <f>inventories/Sales/IF(ISNUMBER(Dates), 4, 1)</f>
        <v>0.09128457749</v>
      </c>
      <c r="CW15" s="660">
        <f>inventories/Sales/IF(ISNUMBER(Dates), 4, 1)</f>
        <v>0.08581057726</v>
      </c>
      <c r="CX15" s="660">
        <f>inventories/Sales/IF(ISNUMBER(Dates), 4, 1)</f>
        <v>0.0866132493</v>
      </c>
      <c r="CY15" s="37">
        <f>inventories/Sales/IF(ISNUMBER(Dates), 4, 1)</f>
        <v>0.09334296811</v>
      </c>
      <c r="CZ15" s="660">
        <f>inventories/Sales/IF(ISNUMBER(Dates), 4, 1)</f>
        <v>0.1041772335</v>
      </c>
      <c r="DA15" s="660">
        <f>inventories/Sales/IF(ISNUMBER(Dates), 4, 1)</f>
        <v>0.1071454962</v>
      </c>
      <c r="DB15" s="660">
        <f>inventories/Sales/IF(ISNUMBER(Dates), 4, 1)</f>
        <v>0.09163075168</v>
      </c>
      <c r="DC15" s="660">
        <f>inventories/Sales/IF(ISNUMBER(Dates), 4, 1)</f>
        <v>0.08478380359</v>
      </c>
      <c r="DD15" s="37">
        <f>inventories/Sales/IF(ISNUMBER(Dates), 4, 1)</f>
        <v>0.09334969573</v>
      </c>
      <c r="DE15" s="660">
        <f>inventories/Sales/IF(ISNUMBER(Dates), 4, 1)</f>
        <v>0.09801635577</v>
      </c>
      <c r="DF15" s="660">
        <f>inventories/Sales/IF(ISNUMBER(Dates), 4, 1)</f>
        <v>0.1070920545</v>
      </c>
      <c r="DG15" s="83">
        <f>inventories/Sales/IF(ISNUMBER(Dates), 4, 1)</f>
        <v>0.1072667038</v>
      </c>
      <c r="DH15" s="660">
        <f>inventories/Sales/IF(ISNUMBER(Dates), 4, 1)</f>
        <v>0.1023720167</v>
      </c>
      <c r="DI15" s="37">
        <f>inventories/Sales/IF(ISNUMBER(Dates), 4, 1)</f>
        <v>0.1112633642</v>
      </c>
      <c r="DJ15" s="83">
        <f>inventories/Sales/IF(ISNUMBER(Dates), 4, 1)</f>
        <v>0.1111975601</v>
      </c>
      <c r="DK15" s="83">
        <f>inventories/Sales/IF(ISNUMBER(Dates), 4, 1)</f>
        <v>0.1082419526</v>
      </c>
      <c r="DL15" s="83">
        <f>inventories/Sales/IF(ISNUMBER(Dates), 4, 1)</f>
        <v>0.09655325367</v>
      </c>
      <c r="DM15" s="83">
        <f>inventories/Sales/IF(ISNUMBER(Dates), 4, 1)</f>
        <v>0.09718872273</v>
      </c>
      <c r="DN15" s="37">
        <f>inventories/Sales/IF(ISNUMBER(Dates), 4, 1)</f>
        <v>0.1023740967</v>
      </c>
      <c r="DO15" s="83">
        <f>inventories/Sales/IF(ISNUMBER(Dates), 4, 1)</f>
        <v>0.1208673183</v>
      </c>
      <c r="DP15" s="83">
        <f>inventories/Sales/IF(ISNUMBER(Dates), 4, 1)</f>
        <v>0.1317176613</v>
      </c>
      <c r="DQ15" s="83">
        <f>inventories/Sales/IF(ISNUMBER(Dates), 4, 1)</f>
        <v>0.112532569</v>
      </c>
      <c r="DR15" s="83">
        <f>inventories/Sales/IF(ISNUMBER(Dates), 4, 1)</f>
        <v>0.1081696274</v>
      </c>
      <c r="DS15" s="37">
        <f>inventories/Sales/IF(ISNUMBER(Dates), 4, 1)</f>
        <v>0.1215035087</v>
      </c>
      <c r="DT15" s="83">
        <f>inventories/Sales/IF(ISNUMBER(Dates), 4, 1)</f>
        <v>0.1165775671</v>
      </c>
      <c r="DU15" s="83">
        <f>inventories/Sales/IF(ISNUMBER(Dates), 4, 1)</f>
        <v>0.1136582522</v>
      </c>
      <c r="DV15" s="83">
        <f>inventories/Sales/IF(ISNUMBER(Dates), 4, 1)</f>
        <v>0.1264522991</v>
      </c>
      <c r="DW15" s="83">
        <f>inventories/Sales/IF(ISNUMBER(Dates), 4, 1)</f>
        <v>0.1054534988</v>
      </c>
      <c r="DX15" s="37">
        <f>inventories/Sales/IF(ISNUMBER(Dates), 4, 1)</f>
        <v>0.1082229956</v>
      </c>
      <c r="DY15" s="83">
        <f>inventories/Sales/IF(ISNUMBER(Dates), 4, 1)</f>
        <v>0.1142814823</v>
      </c>
      <c r="DZ15" s="83">
        <f>inventories/Sales/IF(ISNUMBER(Dates), 4, 1)</f>
        <v>0.1189364917</v>
      </c>
      <c r="EA15" s="83">
        <f>inventories/Sales/IF(ISNUMBER(Dates), 4, 1)</f>
        <v>0.135428761</v>
      </c>
      <c r="EB15" s="83">
        <f>inventories/Sales/IF(ISNUMBER(Dates), 4, 1)</f>
        <v>0.1379275036</v>
      </c>
      <c r="EC15" s="37">
        <f>inventories/Sales/IF(ISNUMBER(Dates), 4, 1)</f>
        <v>0.1442222758</v>
      </c>
      <c r="ED15" s="83">
        <f>inventories/Sales/IF(ISNUMBER(Dates), 4, 1)</f>
        <v>0.1625756007</v>
      </c>
      <c r="EE15" s="83">
        <f>inventories/Sales/IF(ISNUMBER(Dates), 4, 1)</f>
        <v>0.1986489133</v>
      </c>
      <c r="EF15" s="83">
        <f>inventories/Sales/IF(ISNUMBER(Dates), 4, 1)</f>
        <v>0.2091374364</v>
      </c>
      <c r="EG15" s="83">
        <f>inventories/Sales/IF(ISNUMBER(Dates), 4, 1)</f>
        <v>0.2354365475</v>
      </c>
      <c r="EH15" s="37">
        <f>inventories/Sales/IF(ISNUMBER(Dates), 4, 1)</f>
        <v>0.2097249976</v>
      </c>
      <c r="EI15" s="661" t="str">
        <f>inventories/Sales/IF(ISNUMBER(Dates), 4, 1)</f>
        <v>#ERROR!</v>
      </c>
      <c r="EJ15" s="660" t="str">
        <f>inventories/Sales/IF(ISNUMBER(Dates), 4, 1)</f>
        <v>#ERROR!</v>
      </c>
      <c r="EK15" s="660" t="str">
        <f>inventories/Sales/IF(ISNUMBER(Dates), 4, 1)</f>
        <v>#ERROR!</v>
      </c>
      <c r="EL15" s="660" t="str">
        <f>inventories/Sales/IF(ISNUMBER(Dates), 4, 1)</f>
        <v>#ERROR!</v>
      </c>
      <c r="EM15" s="37" t="str">
        <f>inventories/Sales/IF(ISNUMBER(Dates), 4, 1)</f>
        <v>#ERROR!</v>
      </c>
      <c r="EN15" s="660" t="str">
        <f>inventories/Sales/IF(ISNUMBER(Dates), 4, 1)</f>
        <v>#ERROR!</v>
      </c>
      <c r="EO15" s="660" t="str">
        <f>inventories/Sales/IF(ISNUMBER(Dates), 4, 1)</f>
        <v>#ERROR!</v>
      </c>
      <c r="EP15" s="660" t="str">
        <f>inventories/Sales/IF(ISNUMBER(Dates), 4, 1)</f>
        <v>#ERROR!</v>
      </c>
      <c r="EQ15" s="660" t="str">
        <f>inventories/Sales/IF(ISNUMBER(Dates), 4, 1)</f>
        <v>#ERROR!</v>
      </c>
      <c r="ER15" s="37" t="str">
        <f>inventories/Sales/IF(ISNUMBER(Dates), 4, 1)</f>
        <v>#ERROR!</v>
      </c>
      <c r="ES15" s="660" t="str">
        <f>inventories/Sales/IF(ISNUMBER(Dates), 4, 1)</f>
        <v>#ERROR!</v>
      </c>
      <c r="ET15" s="660" t="str">
        <f>inventories/Sales/IF(ISNUMBER(Dates), 4, 1)</f>
        <v>#ERROR!</v>
      </c>
      <c r="EU15" s="660" t="str">
        <f>inventories/Sales/IF(ISNUMBER(Dates), 4, 1)</f>
        <v>#ERROR!</v>
      </c>
      <c r="EV15" s="660" t="str">
        <f>inventories/Sales/IF(ISNUMBER(Dates), 4, 1)</f>
        <v>#ERROR!</v>
      </c>
      <c r="EW15" s="37" t="str">
        <f>inventories/Sales/IF(ISNUMBER(Dates), 4, 1)</f>
        <v>#ERROR!</v>
      </c>
      <c r="EX15" s="660" t="str">
        <f>inventories/Sales/IF(ISNUMBER(Dates), 4, 1)</f>
        <v>#ERROR!</v>
      </c>
      <c r="EY15" s="660" t="str">
        <f>inventories/Sales/IF(ISNUMBER(Dates), 4, 1)</f>
        <v>#ERROR!</v>
      </c>
      <c r="EZ15" s="660" t="str">
        <f>inventories/Sales/IF(ISNUMBER(Dates), 4, 1)</f>
        <v>#ERROR!</v>
      </c>
      <c r="FA15" s="660" t="str">
        <f>inventories/Sales/IF(ISNUMBER(Dates), 4, 1)</f>
        <v>#ERROR!</v>
      </c>
      <c r="FB15" s="37" t="str">
        <f>inventories/Sales/IF(ISNUMBER(Dates), 4, 1)</f>
        <v>#ERROR!</v>
      </c>
      <c r="FC15" s="660" t="str">
        <f>inventories/Sales/IF(ISNUMBER(Dates), 4, 1)</f>
        <v>#ERROR!</v>
      </c>
      <c r="FD15" s="660" t="str">
        <f>inventories/Sales/IF(ISNUMBER(Dates), 4, 1)</f>
        <v>#ERROR!</v>
      </c>
      <c r="FE15" s="660" t="str">
        <f>inventories/Sales/IF(ISNUMBER(Dates), 4, 1)</f>
        <v>#ERROR!</v>
      </c>
      <c r="FF15" s="660" t="str">
        <f>inventories/Sales/IF(ISNUMBER(Dates), 4, 1)</f>
        <v>#ERROR!</v>
      </c>
      <c r="FG15" s="37" t="str">
        <f>inventories/Sales/IF(ISNUMBER(Dates), 4, 1)</f>
        <v>#ERROR!</v>
      </c>
    </row>
    <row r="16" ht="12.75" customHeight="1" outlineLevel="1">
      <c r="A16" s="795"/>
      <c r="B16" s="796" t="s">
        <v>516</v>
      </c>
      <c r="C16" s="796"/>
      <c r="D16" s="796"/>
      <c r="E16" s="796"/>
      <c r="F16" s="796"/>
      <c r="G16" s="796"/>
      <c r="H16" s="796"/>
      <c r="I16" s="796"/>
      <c r="J16" s="796"/>
      <c r="K16" s="796"/>
      <c r="L16" s="796"/>
      <c r="M16" s="796"/>
      <c r="N16" s="795"/>
      <c r="O16" s="795"/>
      <c r="P16" s="795"/>
      <c r="Q16" s="795"/>
      <c r="R16" s="747"/>
      <c r="S16" s="795"/>
      <c r="T16" s="795"/>
      <c r="U16" s="795"/>
      <c r="V16" s="795"/>
      <c r="W16" s="747"/>
      <c r="X16" s="795"/>
      <c r="Y16" s="795"/>
      <c r="Z16" s="795"/>
      <c r="AA16" s="795"/>
      <c r="AB16" s="747"/>
      <c r="AC16" s="795"/>
      <c r="AD16" s="795"/>
      <c r="AE16" s="795"/>
      <c r="AF16" s="795"/>
      <c r="AG16" s="747"/>
      <c r="AH16" s="795"/>
      <c r="AI16" s="795"/>
      <c r="AJ16" s="795"/>
      <c r="AK16" s="795"/>
      <c r="AL16" s="747">
        <v>223.0</v>
      </c>
      <c r="AM16" s="795">
        <v>248.0</v>
      </c>
      <c r="AN16" s="795">
        <v>245.0</v>
      </c>
      <c r="AO16" s="795">
        <v>273.0</v>
      </c>
      <c r="AP16" s="795">
        <v>333.0</v>
      </c>
      <c r="AQ16" s="747">
        <v>223.0</v>
      </c>
      <c r="AR16" s="128">
        <v>355.0</v>
      </c>
      <c r="AS16" s="128">
        <v>395.0</v>
      </c>
      <c r="AT16" s="128">
        <v>434.0</v>
      </c>
      <c r="AU16" s="128">
        <v>388.0</v>
      </c>
      <c r="AV16" s="73">
        <f t="shared" ref="AV16:AV19" si="60">AU16</f>
        <v>388</v>
      </c>
      <c r="AW16" s="128">
        <v>392.0</v>
      </c>
      <c r="AX16" s="128">
        <v>384.0</v>
      </c>
      <c r="AY16" s="128">
        <v>381.0</v>
      </c>
      <c r="AZ16" s="128">
        <v>409.0</v>
      </c>
      <c r="BA16" s="73">
        <f t="shared" ref="BA16:BA19" si="61">AZ16</f>
        <v>409</v>
      </c>
      <c r="BB16" s="128">
        <v>416.0</v>
      </c>
      <c r="BC16" s="128">
        <v>496.0</v>
      </c>
      <c r="BD16" s="128">
        <v>535.0</v>
      </c>
      <c r="BE16" s="128">
        <v>608.0</v>
      </c>
      <c r="BF16" s="73">
        <f t="shared" ref="BF16:BF19" si="62">BE16</f>
        <v>608</v>
      </c>
      <c r="BG16" s="128">
        <v>670.0</v>
      </c>
      <c r="BH16" s="128">
        <v>583.0</v>
      </c>
      <c r="BI16" s="128">
        <v>538.0</v>
      </c>
      <c r="BJ16" s="128">
        <v>507.0</v>
      </c>
      <c r="BK16" s="73">
        <f t="shared" ref="BK16:BK19" si="63">BJ16</f>
        <v>507</v>
      </c>
      <c r="BL16" s="128">
        <v>545.0</v>
      </c>
      <c r="BM16" s="128">
        <v>580.0</v>
      </c>
      <c r="BN16" s="128">
        <v>583.0</v>
      </c>
      <c r="BO16" s="128">
        <v>608.0</v>
      </c>
      <c r="BP16" s="73">
        <f t="shared" ref="BP16:BP19" si="64">BO16</f>
        <v>608</v>
      </c>
      <c r="BQ16" s="128">
        <v>380.0</v>
      </c>
      <c r="BR16" s="128">
        <v>385.0</v>
      </c>
      <c r="BS16" s="128">
        <v>398.0</v>
      </c>
      <c r="BT16" s="128">
        <v>437.0</v>
      </c>
      <c r="BU16" s="73">
        <f t="shared" ref="BU16:BU19" si="65">BT16</f>
        <v>437</v>
      </c>
      <c r="BV16" s="128">
        <v>464.0</v>
      </c>
      <c r="BW16" s="128">
        <v>407.0</v>
      </c>
      <c r="BX16" s="128">
        <v>380.0</v>
      </c>
      <c r="BY16" s="128">
        <v>471.0</v>
      </c>
      <c r="BZ16" s="73">
        <f t="shared" ref="BZ16:BZ19" si="66">BY16</f>
        <v>471</v>
      </c>
      <c r="CA16" s="128">
        <v>585.0</v>
      </c>
      <c r="CB16" s="128">
        <v>546.0</v>
      </c>
      <c r="CC16" s="128">
        <v>614.0</v>
      </c>
      <c r="CD16" s="128">
        <v>644.0</v>
      </c>
      <c r="CE16" s="73">
        <f t="shared" ref="CE16:CE19" si="67">CD16</f>
        <v>644</v>
      </c>
      <c r="CF16" s="128">
        <v>646.0</v>
      </c>
      <c r="CG16" s="128">
        <v>655.0</v>
      </c>
      <c r="CH16" s="128">
        <v>614.0</v>
      </c>
      <c r="CI16" s="128">
        <v>478.0</v>
      </c>
      <c r="CJ16" s="73">
        <f t="shared" ref="CJ16:CJ19" si="68">CI16</f>
        <v>478</v>
      </c>
      <c r="CK16" s="128">
        <v>451.0</v>
      </c>
      <c r="CL16" s="128">
        <v>487.0</v>
      </c>
      <c r="CM16" s="128">
        <v>505.0</v>
      </c>
      <c r="CN16" s="128">
        <v>458.0</v>
      </c>
      <c r="CO16" s="73">
        <f t="shared" ref="CO16:CO19" si="69">CN16</f>
        <v>458</v>
      </c>
      <c r="CP16" s="128">
        <v>463.0</v>
      </c>
      <c r="CQ16" s="17">
        <v>503.0</v>
      </c>
      <c r="CR16" s="17">
        <v>496.0</v>
      </c>
      <c r="CS16" s="17">
        <v>462.0</v>
      </c>
      <c r="CT16" s="73">
        <f t="shared" ref="CT16:CT19" si="70">CS16</f>
        <v>462</v>
      </c>
      <c r="CU16" s="128">
        <v>528.0</v>
      </c>
      <c r="CV16" s="128">
        <v>490.0</v>
      </c>
      <c r="CW16" s="128">
        <v>557.0</v>
      </c>
      <c r="CX16" s="128">
        <v>532.0</v>
      </c>
      <c r="CY16" s="18">
        <f t="shared" ref="CY16:CY19" si="71">CX16</f>
        <v>532</v>
      </c>
      <c r="CZ16" s="128">
        <v>628.0</v>
      </c>
      <c r="DA16" s="128">
        <v>651.0</v>
      </c>
      <c r="DB16" s="128">
        <v>688.0</v>
      </c>
      <c r="DC16" s="128">
        <v>695.0</v>
      </c>
      <c r="DD16" s="18">
        <f t="shared" ref="DD16:DD19" si="72">DC16</f>
        <v>695</v>
      </c>
      <c r="DE16" s="128">
        <v>786.0</v>
      </c>
      <c r="DF16" s="128">
        <v>1014.0</v>
      </c>
      <c r="DG16" s="129">
        <v>1115.0</v>
      </c>
      <c r="DH16" s="128">
        <v>1098.0</v>
      </c>
      <c r="DI16" s="18">
        <f t="shared" ref="DI16:DI19" si="73">DH16</f>
        <v>1098</v>
      </c>
      <c r="DJ16" s="129">
        <v>1242.0</v>
      </c>
      <c r="DK16" s="129">
        <v>1236.0</v>
      </c>
      <c r="DL16" s="129">
        <v>932.0</v>
      </c>
      <c r="DM16" s="129">
        <v>813.0</v>
      </c>
      <c r="DN16" s="18">
        <f t="shared" ref="DN16:DN19" si="74">DM16</f>
        <v>813</v>
      </c>
      <c r="DO16" s="129">
        <v>789.0</v>
      </c>
      <c r="DP16" s="129">
        <v>808.0</v>
      </c>
      <c r="DQ16" s="129">
        <v>803.0</v>
      </c>
      <c r="DR16" s="129">
        <v>840.0</v>
      </c>
      <c r="DS16" s="18">
        <f t="shared" ref="DS16:DS19" si="75">DR16</f>
        <v>840</v>
      </c>
      <c r="DT16" s="129">
        <v>877.0</v>
      </c>
      <c r="DU16" s="129">
        <v>903.0</v>
      </c>
      <c r="DV16" s="129">
        <v>975.0</v>
      </c>
      <c r="DW16" s="129">
        <v>908.0</v>
      </c>
      <c r="DX16" s="18">
        <f t="shared" ref="DX16:DX19" si="76">DW16</f>
        <v>908</v>
      </c>
      <c r="DY16" s="129">
        <v>926.0</v>
      </c>
      <c r="DZ16" s="129">
        <v>1010.0</v>
      </c>
      <c r="EA16" s="129">
        <v>1274.0</v>
      </c>
      <c r="EB16" s="129">
        <v>1441.0</v>
      </c>
      <c r="EC16" s="18">
        <f t="shared" ref="EC16:EC19" si="77">EB16</f>
        <v>1441</v>
      </c>
      <c r="ED16" s="129">
        <v>1596.0</v>
      </c>
      <c r="EE16" s="129">
        <v>1587.0</v>
      </c>
      <c r="EF16" s="129">
        <v>1635.0</v>
      </c>
      <c r="EG16" s="129">
        <v>1517.0</v>
      </c>
      <c r="EH16" s="18">
        <f t="shared" ref="EH16:EH19" si="78">EG16</f>
        <v>1517</v>
      </c>
      <c r="EI16" s="134"/>
      <c r="EJ16" s="128"/>
      <c r="EK16" s="128"/>
      <c r="EL16" s="128"/>
      <c r="EM16" s="18" t="str">
        <f t="shared" ref="EM16:EM19" si="79">EL16</f>
        <v/>
      </c>
      <c r="EN16" s="128"/>
      <c r="EO16" s="128"/>
      <c r="EP16" s="128"/>
      <c r="EQ16" s="128"/>
      <c r="ER16" s="18" t="str">
        <f t="shared" ref="ER16:ER19" si="80">EQ16</f>
        <v/>
      </c>
      <c r="ES16" s="128"/>
      <c r="ET16" s="128"/>
      <c r="EU16" s="128"/>
      <c r="EV16" s="128"/>
      <c r="EW16" s="18" t="str">
        <f t="shared" ref="EW16:EW19" si="81">EV16</f>
        <v/>
      </c>
      <c r="EX16" s="128"/>
      <c r="EY16" s="128"/>
      <c r="EZ16" s="128"/>
      <c r="FA16" s="128"/>
      <c r="FB16" s="18" t="str">
        <f t="shared" ref="FB16:FB19" si="82">FA16</f>
        <v/>
      </c>
      <c r="FC16" s="128"/>
      <c r="FD16" s="128"/>
      <c r="FE16" s="128"/>
      <c r="FF16" s="128"/>
      <c r="FG16" s="18" t="str">
        <f t="shared" ref="FG16:FG19" si="83">FF16</f>
        <v/>
      </c>
    </row>
    <row r="17" ht="12.75" customHeight="1" outlineLevel="1">
      <c r="A17" s="795"/>
      <c r="B17" s="796" t="s">
        <v>517</v>
      </c>
      <c r="C17" s="796"/>
      <c r="D17" s="796"/>
      <c r="E17" s="796"/>
      <c r="F17" s="796"/>
      <c r="G17" s="796"/>
      <c r="H17" s="796"/>
      <c r="I17" s="796"/>
      <c r="J17" s="796"/>
      <c r="K17" s="796"/>
      <c r="L17" s="796"/>
      <c r="M17" s="796"/>
      <c r="N17" s="795"/>
      <c r="O17" s="795"/>
      <c r="P17" s="795"/>
      <c r="Q17" s="795"/>
      <c r="R17" s="747"/>
      <c r="S17" s="795"/>
      <c r="T17" s="795"/>
      <c r="U17" s="795"/>
      <c r="V17" s="795"/>
      <c r="W17" s="747"/>
      <c r="X17" s="795"/>
      <c r="Y17" s="795"/>
      <c r="Z17" s="795"/>
      <c r="AA17" s="795"/>
      <c r="AB17" s="747"/>
      <c r="AC17" s="795"/>
      <c r="AD17" s="795"/>
      <c r="AE17" s="795"/>
      <c r="AF17" s="795"/>
      <c r="AG17" s="747"/>
      <c r="AH17" s="795"/>
      <c r="AI17" s="795"/>
      <c r="AJ17" s="795"/>
      <c r="AK17" s="795"/>
      <c r="AL17" s="747">
        <v>1365.0</v>
      </c>
      <c r="AM17" s="795">
        <v>1355.0</v>
      </c>
      <c r="AN17" s="795">
        <v>1315.0</v>
      </c>
      <c r="AO17" s="795">
        <v>1247.0</v>
      </c>
      <c r="AP17" s="795">
        <v>1490.0</v>
      </c>
      <c r="AQ17" s="747">
        <v>1365.0</v>
      </c>
      <c r="AR17" s="128">
        <v>1682.0</v>
      </c>
      <c r="AS17" s="128">
        <v>1912.0</v>
      </c>
      <c r="AT17" s="128">
        <v>1750.0</v>
      </c>
      <c r="AU17" s="128">
        <v>1418.0</v>
      </c>
      <c r="AV17" s="73">
        <f t="shared" si="60"/>
        <v>1418</v>
      </c>
      <c r="AW17" s="128">
        <v>1517.0</v>
      </c>
      <c r="AX17" s="128">
        <v>1506.0</v>
      </c>
      <c r="AY17" s="128">
        <v>1434.0</v>
      </c>
      <c r="AZ17" s="128">
        <v>1662.0</v>
      </c>
      <c r="BA17" s="73">
        <f t="shared" si="61"/>
        <v>1662</v>
      </c>
      <c r="BB17" s="128">
        <v>1944.0</v>
      </c>
      <c r="BC17" s="128">
        <v>2331.0</v>
      </c>
      <c r="BD17" s="128">
        <v>2265.0</v>
      </c>
      <c r="BE17" s="128">
        <v>2044.0</v>
      </c>
      <c r="BF17" s="73">
        <f t="shared" si="62"/>
        <v>2044</v>
      </c>
      <c r="BG17" s="128">
        <v>2187.0</v>
      </c>
      <c r="BH17" s="128">
        <v>2063.0</v>
      </c>
      <c r="BI17" s="128">
        <v>1647.0</v>
      </c>
      <c r="BJ17" s="128">
        <v>1460.0</v>
      </c>
      <c r="BK17" s="73">
        <f t="shared" si="63"/>
        <v>1460</v>
      </c>
      <c r="BL17" s="128">
        <v>1361.0</v>
      </c>
      <c r="BM17" s="128">
        <v>1355.0</v>
      </c>
      <c r="BN17" s="128">
        <v>1427.0</v>
      </c>
      <c r="BO17" s="128">
        <v>1577.0</v>
      </c>
      <c r="BP17" s="73">
        <f t="shared" si="64"/>
        <v>1577</v>
      </c>
      <c r="BQ17" s="128">
        <v>1448.0</v>
      </c>
      <c r="BR17" s="128">
        <v>1209.0</v>
      </c>
      <c r="BS17" s="128">
        <v>1072.0</v>
      </c>
      <c r="BT17" s="128">
        <v>1469.0</v>
      </c>
      <c r="BU17" s="73">
        <f t="shared" si="65"/>
        <v>1469</v>
      </c>
      <c r="BV17" s="128">
        <v>1473.0</v>
      </c>
      <c r="BW17" s="128">
        <v>1637.0</v>
      </c>
      <c r="BX17" s="128">
        <v>1634.0</v>
      </c>
      <c r="BY17" s="128">
        <v>1887.0</v>
      </c>
      <c r="BZ17" s="73">
        <f t="shared" si="66"/>
        <v>1887</v>
      </c>
      <c r="CA17" s="128">
        <v>1783.0</v>
      </c>
      <c r="CB17" s="128">
        <v>1450.0</v>
      </c>
      <c r="CC17" s="128">
        <v>1494.0</v>
      </c>
      <c r="CD17" s="128">
        <v>1680.0</v>
      </c>
      <c r="CE17" s="73">
        <f t="shared" si="67"/>
        <v>1680</v>
      </c>
      <c r="CF17" s="128">
        <v>2048.0</v>
      </c>
      <c r="CG17" s="128">
        <v>2068.0</v>
      </c>
      <c r="CH17" s="128">
        <v>2363.0</v>
      </c>
      <c r="CI17" s="128">
        <v>2219.0</v>
      </c>
      <c r="CJ17" s="73">
        <f t="shared" si="68"/>
        <v>2219</v>
      </c>
      <c r="CK17" s="128">
        <v>2129.0</v>
      </c>
      <c r="CL17" s="128">
        <v>2220.0</v>
      </c>
      <c r="CM17" s="128">
        <v>2259.0</v>
      </c>
      <c r="CN17" s="128">
        <v>1998.0</v>
      </c>
      <c r="CO17" s="73">
        <f t="shared" si="69"/>
        <v>1998</v>
      </c>
      <c r="CP17" s="128">
        <v>1803.0</v>
      </c>
      <c r="CQ17" s="17">
        <v>2071.0</v>
      </c>
      <c r="CR17" s="17">
        <v>2292.0</v>
      </c>
      <c r="CS17" s="17">
        <v>2375.0</v>
      </c>
      <c r="CT17" s="73">
        <f t="shared" si="70"/>
        <v>2375</v>
      </c>
      <c r="CU17" s="128">
        <v>2190.0</v>
      </c>
      <c r="CV17" s="128">
        <v>2668.0</v>
      </c>
      <c r="CW17" s="128">
        <v>2690.0</v>
      </c>
      <c r="CX17" s="128">
        <v>2983.0</v>
      </c>
      <c r="CY17" s="18">
        <f t="shared" si="71"/>
        <v>2983</v>
      </c>
      <c r="CZ17" s="128">
        <v>2980.0</v>
      </c>
      <c r="DA17" s="128">
        <v>3218.0</v>
      </c>
      <c r="DB17" s="128">
        <v>3443.0</v>
      </c>
      <c r="DC17" s="128">
        <v>3190.0</v>
      </c>
      <c r="DD17" s="18">
        <f t="shared" si="72"/>
        <v>3190</v>
      </c>
      <c r="DE17" s="128">
        <v>3412.0</v>
      </c>
      <c r="DF17" s="128">
        <v>3775.0</v>
      </c>
      <c r="DG17" s="129">
        <v>3965.0</v>
      </c>
      <c r="DH17" s="128">
        <v>3893.0</v>
      </c>
      <c r="DI17" s="18">
        <f t="shared" si="73"/>
        <v>3893</v>
      </c>
      <c r="DJ17" s="129">
        <v>3750.0</v>
      </c>
      <c r="DK17" s="129">
        <v>4081.0</v>
      </c>
      <c r="DL17" s="129">
        <v>4507.0</v>
      </c>
      <c r="DM17" s="129">
        <v>4511.0</v>
      </c>
      <c r="DN17" s="18">
        <f t="shared" si="74"/>
        <v>4511</v>
      </c>
      <c r="DO17" s="129">
        <v>4758.0</v>
      </c>
      <c r="DP17" s="129">
        <v>5612.0</v>
      </c>
      <c r="DQ17" s="129">
        <v>5945.0</v>
      </c>
      <c r="DR17" s="129">
        <v>6225.0</v>
      </c>
      <c r="DS17" s="18">
        <f t="shared" si="75"/>
        <v>6225</v>
      </c>
      <c r="DT17" s="129">
        <v>6654.0</v>
      </c>
      <c r="DU17" s="129">
        <v>6093.0</v>
      </c>
      <c r="DV17" s="129">
        <v>6313.0</v>
      </c>
      <c r="DW17" s="129">
        <v>6007.0</v>
      </c>
      <c r="DX17" s="18">
        <f t="shared" si="76"/>
        <v>6007</v>
      </c>
      <c r="DY17" s="129">
        <v>5758.0</v>
      </c>
      <c r="DZ17" s="129">
        <v>5968.0</v>
      </c>
      <c r="EA17" s="129">
        <v>6304.0</v>
      </c>
      <c r="EB17" s="129">
        <v>6656.0</v>
      </c>
      <c r="EC17" s="18">
        <f t="shared" si="77"/>
        <v>6656</v>
      </c>
      <c r="ED17" s="129">
        <v>6928.0</v>
      </c>
      <c r="EE17" s="129">
        <v>6164.0</v>
      </c>
      <c r="EF17" s="129">
        <v>7030.0</v>
      </c>
      <c r="EG17" s="129">
        <v>7565.0</v>
      </c>
      <c r="EH17" s="18">
        <f t="shared" si="78"/>
        <v>7565</v>
      </c>
      <c r="EI17" s="134"/>
      <c r="EJ17" s="128"/>
      <c r="EK17" s="128"/>
      <c r="EL17" s="128"/>
      <c r="EM17" s="18" t="str">
        <f t="shared" si="79"/>
        <v/>
      </c>
      <c r="EN17" s="128"/>
      <c r="EO17" s="128"/>
      <c r="EP17" s="128"/>
      <c r="EQ17" s="128"/>
      <c r="ER17" s="18" t="str">
        <f t="shared" si="80"/>
        <v/>
      </c>
      <c r="ES17" s="128"/>
      <c r="ET17" s="128"/>
      <c r="EU17" s="128"/>
      <c r="EV17" s="128"/>
      <c r="EW17" s="18" t="str">
        <f t="shared" si="81"/>
        <v/>
      </c>
      <c r="EX17" s="128"/>
      <c r="EY17" s="128"/>
      <c r="EZ17" s="128"/>
      <c r="FA17" s="128"/>
      <c r="FB17" s="18" t="str">
        <f t="shared" si="82"/>
        <v/>
      </c>
      <c r="FC17" s="128"/>
      <c r="FD17" s="128"/>
      <c r="FE17" s="128"/>
      <c r="FF17" s="128"/>
      <c r="FG17" s="18" t="str">
        <f t="shared" si="83"/>
        <v/>
      </c>
    </row>
    <row r="18" ht="12.75" customHeight="1" outlineLevel="1">
      <c r="A18" s="795"/>
      <c r="B18" s="796" t="s">
        <v>518</v>
      </c>
      <c r="C18" s="796"/>
      <c r="D18" s="796"/>
      <c r="E18" s="796"/>
      <c r="F18" s="796"/>
      <c r="G18" s="796"/>
      <c r="H18" s="796"/>
      <c r="I18" s="796"/>
      <c r="J18" s="796"/>
      <c r="K18" s="796"/>
      <c r="L18" s="796"/>
      <c r="M18" s="796"/>
      <c r="N18" s="795"/>
      <c r="O18" s="795"/>
      <c r="P18" s="795"/>
      <c r="Q18" s="795"/>
      <c r="R18" s="747"/>
      <c r="S18" s="795"/>
      <c r="T18" s="795"/>
      <c r="U18" s="795"/>
      <c r="V18" s="795"/>
      <c r="W18" s="747"/>
      <c r="X18" s="795"/>
      <c r="Y18" s="795"/>
      <c r="Z18" s="795"/>
      <c r="AA18" s="795"/>
      <c r="AB18" s="747"/>
      <c r="AC18" s="795"/>
      <c r="AD18" s="795"/>
      <c r="AE18" s="795"/>
      <c r="AF18" s="795"/>
      <c r="AG18" s="747"/>
      <c r="AH18" s="795"/>
      <c r="AI18" s="795"/>
      <c r="AJ18" s="795"/>
      <c r="AK18" s="795"/>
      <c r="AL18" s="747">
        <v>688.0</v>
      </c>
      <c r="AM18" s="795">
        <v>561.0</v>
      </c>
      <c r="AN18" s="795">
        <v>592.0</v>
      </c>
      <c r="AO18" s="795">
        <v>705.0</v>
      </c>
      <c r="AP18" s="795">
        <v>696.0</v>
      </c>
      <c r="AQ18" s="747">
        <v>688.0</v>
      </c>
      <c r="AR18" s="128">
        <v>759.0</v>
      </c>
      <c r="AS18" s="128">
        <v>916.0</v>
      </c>
      <c r="AT18" s="128">
        <v>996.0</v>
      </c>
      <c r="AU18" s="128">
        <v>815.0</v>
      </c>
      <c r="AV18" s="73">
        <f t="shared" si="60"/>
        <v>815</v>
      </c>
      <c r="AW18" s="128">
        <v>899.0</v>
      </c>
      <c r="AX18" s="128">
        <v>849.0</v>
      </c>
      <c r="AY18" s="128">
        <v>1000.0</v>
      </c>
      <c r="AZ18" s="128">
        <v>1055.0</v>
      </c>
      <c r="BA18" s="73">
        <f t="shared" si="61"/>
        <v>1055</v>
      </c>
      <c r="BB18" s="128">
        <v>1207.0</v>
      </c>
      <c r="BC18" s="128">
        <v>1505.0</v>
      </c>
      <c r="BD18" s="128">
        <v>1677.0</v>
      </c>
      <c r="BE18" s="128">
        <v>1662.0</v>
      </c>
      <c r="BF18" s="73">
        <f t="shared" si="62"/>
        <v>1662</v>
      </c>
      <c r="BG18" s="128">
        <v>1509.0</v>
      </c>
      <c r="BH18" s="128">
        <v>1481.0</v>
      </c>
      <c r="BI18" s="128">
        <v>1353.0</v>
      </c>
      <c r="BJ18" s="128">
        <v>1403.0</v>
      </c>
      <c r="BK18" s="73">
        <f t="shared" si="63"/>
        <v>1403</v>
      </c>
      <c r="BL18" s="128">
        <v>1366.0</v>
      </c>
      <c r="BM18" s="128">
        <v>1330.0</v>
      </c>
      <c r="BN18" s="128">
        <v>1388.0</v>
      </c>
      <c r="BO18" s="128">
        <v>1559.0</v>
      </c>
      <c r="BP18" s="73">
        <f t="shared" si="64"/>
        <v>1559</v>
      </c>
      <c r="BQ18" s="128">
        <v>1217.0</v>
      </c>
      <c r="BR18" s="128">
        <v>1211.0</v>
      </c>
      <c r="BS18" s="128">
        <v>1020.0</v>
      </c>
      <c r="BT18" s="128">
        <v>1029.0</v>
      </c>
      <c r="BU18" s="73">
        <f t="shared" si="65"/>
        <v>1029</v>
      </c>
      <c r="BV18" s="128">
        <v>1049.0</v>
      </c>
      <c r="BW18" s="128">
        <v>1301.0</v>
      </c>
      <c r="BX18" s="128">
        <v>1409.0</v>
      </c>
      <c r="BY18" s="128">
        <v>1399.0</v>
      </c>
      <c r="BZ18" s="73">
        <f t="shared" si="66"/>
        <v>1399</v>
      </c>
      <c r="CA18" s="128">
        <v>1731.0</v>
      </c>
      <c r="CB18" s="128">
        <v>2034.0</v>
      </c>
      <c r="CC18" s="128">
        <v>1851.0</v>
      </c>
      <c r="CD18" s="128">
        <v>1772.0</v>
      </c>
      <c r="CE18" s="73">
        <f t="shared" si="67"/>
        <v>1772</v>
      </c>
      <c r="CF18" s="128">
        <v>1795.0</v>
      </c>
      <c r="CG18" s="128">
        <v>2181.0</v>
      </c>
      <c r="CH18" s="128">
        <v>2342.0</v>
      </c>
      <c r="CI18" s="128">
        <v>2037.0</v>
      </c>
      <c r="CJ18" s="73">
        <f t="shared" si="68"/>
        <v>2037</v>
      </c>
      <c r="CK18" s="128">
        <v>1778.0</v>
      </c>
      <c r="CL18" s="128">
        <v>1835.0</v>
      </c>
      <c r="CM18" s="128">
        <v>1769.0</v>
      </c>
      <c r="CN18" s="128">
        <v>1716.0</v>
      </c>
      <c r="CO18" s="73">
        <f t="shared" si="69"/>
        <v>1716</v>
      </c>
      <c r="CP18" s="128">
        <v>1497.0</v>
      </c>
      <c r="CQ18" s="17">
        <v>1369.0</v>
      </c>
      <c r="CR18" s="17">
        <v>1327.0</v>
      </c>
      <c r="CS18" s="17">
        <v>1436.0</v>
      </c>
      <c r="CT18" s="73">
        <f t="shared" si="70"/>
        <v>1436</v>
      </c>
      <c r="CU18" s="128">
        <v>1700.0</v>
      </c>
      <c r="CV18" s="128">
        <v>1660.0</v>
      </c>
      <c r="CW18" s="128">
        <v>1718.0</v>
      </c>
      <c r="CX18" s="128">
        <v>1742.0</v>
      </c>
      <c r="CY18" s="18">
        <f t="shared" si="71"/>
        <v>1742</v>
      </c>
      <c r="CZ18" s="128">
        <v>2143.0</v>
      </c>
      <c r="DA18" s="128">
        <v>1931.0</v>
      </c>
      <c r="DB18" s="128">
        <v>1652.0</v>
      </c>
      <c r="DC18" s="128">
        <v>1668.0</v>
      </c>
      <c r="DD18" s="18">
        <f t="shared" si="72"/>
        <v>1668</v>
      </c>
      <c r="DE18" s="128">
        <v>1603.0</v>
      </c>
      <c r="DF18" s="128">
        <v>1535.0</v>
      </c>
      <c r="DG18" s="129">
        <v>1849.0</v>
      </c>
      <c r="DH18" s="128">
        <v>1992.0</v>
      </c>
      <c r="DI18" s="18">
        <f t="shared" si="73"/>
        <v>1992</v>
      </c>
      <c r="DJ18" s="129">
        <v>2154.0</v>
      </c>
      <c r="DK18" s="129">
        <v>2027.0</v>
      </c>
      <c r="DL18" s="129">
        <v>1962.0</v>
      </c>
      <c r="DM18" s="129">
        <v>1929.0</v>
      </c>
      <c r="DN18" s="18">
        <f t="shared" si="74"/>
        <v>1929</v>
      </c>
      <c r="DO18" s="129">
        <v>2218.0</v>
      </c>
      <c r="DP18" s="129">
        <v>2276.0</v>
      </c>
      <c r="DQ18" s="129">
        <v>1890.0</v>
      </c>
      <c r="DR18" s="129">
        <v>1679.0</v>
      </c>
      <c r="DS18" s="18">
        <f t="shared" si="75"/>
        <v>1679</v>
      </c>
      <c r="DT18" s="129">
        <v>1715.0</v>
      </c>
      <c r="DU18" s="129">
        <v>1973.0</v>
      </c>
      <c r="DV18" s="129">
        <v>1985.0</v>
      </c>
      <c r="DW18" s="129">
        <v>1512.0</v>
      </c>
      <c r="DX18" s="18">
        <f t="shared" si="76"/>
        <v>1512</v>
      </c>
      <c r="DY18" s="129">
        <v>1803.0</v>
      </c>
      <c r="DZ18" s="129">
        <v>1839.0</v>
      </c>
      <c r="EA18" s="129">
        <v>2220.0</v>
      </c>
      <c r="EB18" s="129">
        <v>2679.0</v>
      </c>
      <c r="EC18" s="18">
        <f t="shared" si="77"/>
        <v>2679</v>
      </c>
      <c r="ED18" s="129">
        <v>3411.0</v>
      </c>
      <c r="EE18" s="129">
        <v>4423.0</v>
      </c>
      <c r="EF18" s="129">
        <v>4166.0</v>
      </c>
      <c r="EG18" s="129">
        <v>4142.0</v>
      </c>
      <c r="EH18" s="18">
        <f t="shared" si="78"/>
        <v>4142</v>
      </c>
      <c r="EI18" s="134"/>
      <c r="EJ18" s="128"/>
      <c r="EK18" s="128"/>
      <c r="EL18" s="128"/>
      <c r="EM18" s="18" t="str">
        <f t="shared" si="79"/>
        <v/>
      </c>
      <c r="EN18" s="128"/>
      <c r="EO18" s="128"/>
      <c r="EP18" s="128"/>
      <c r="EQ18" s="128"/>
      <c r="ER18" s="18" t="str">
        <f t="shared" si="80"/>
        <v/>
      </c>
      <c r="ES18" s="128"/>
      <c r="ET18" s="128"/>
      <c r="EU18" s="128"/>
      <c r="EV18" s="128"/>
      <c r="EW18" s="18" t="str">
        <f t="shared" si="81"/>
        <v/>
      </c>
      <c r="EX18" s="128"/>
      <c r="EY18" s="128"/>
      <c r="EZ18" s="128"/>
      <c r="FA18" s="128"/>
      <c r="FB18" s="18" t="str">
        <f t="shared" si="82"/>
        <v/>
      </c>
      <c r="FC18" s="128"/>
      <c r="FD18" s="128"/>
      <c r="FE18" s="128"/>
      <c r="FF18" s="128"/>
      <c r="FG18" s="18" t="str">
        <f t="shared" si="83"/>
        <v/>
      </c>
    </row>
    <row r="19" ht="12.75" customHeight="1">
      <c r="A19" s="179"/>
      <c r="B19" s="180" t="s">
        <v>519</v>
      </c>
      <c r="C19" s="180"/>
      <c r="D19" s="180"/>
      <c r="E19" s="180"/>
      <c r="F19" s="180"/>
      <c r="G19" s="180"/>
      <c r="H19" s="180"/>
      <c r="I19" s="180"/>
      <c r="J19" s="180"/>
      <c r="K19" s="180"/>
      <c r="L19" s="180"/>
      <c r="M19" s="180"/>
      <c r="N19" s="128">
        <v>1821.0</v>
      </c>
      <c r="O19" s="128">
        <v>1703.0</v>
      </c>
      <c r="P19" s="128">
        <v>1578.0</v>
      </c>
      <c r="Q19" s="128">
        <v>1582.0</v>
      </c>
      <c r="R19" s="73">
        <v>1582.0</v>
      </c>
      <c r="S19" s="128">
        <v>1708.0</v>
      </c>
      <c r="T19" s="128">
        <v>1763.0</v>
      </c>
      <c r="U19" s="128">
        <v>1626.0</v>
      </c>
      <c r="V19" s="128">
        <v>1478.0</v>
      </c>
      <c r="W19" s="73">
        <f>+V19</f>
        <v>1478</v>
      </c>
      <c r="X19" s="128">
        <v>1537.0</v>
      </c>
      <c r="Y19" s="128">
        <v>1607.0</v>
      </c>
      <c r="Z19" s="128">
        <v>1936.0</v>
      </c>
      <c r="AA19" s="128">
        <v>2241.0</v>
      </c>
      <c r="AB19" s="73">
        <f>+AA19</f>
        <v>2241</v>
      </c>
      <c r="AC19" s="128">
        <v>2652.0</v>
      </c>
      <c r="AD19" s="128">
        <v>2826.0</v>
      </c>
      <c r="AE19" s="128">
        <v>2351.0</v>
      </c>
      <c r="AF19" s="128">
        <v>2253.0</v>
      </c>
      <c r="AG19" s="73">
        <f>AF19</f>
        <v>2253</v>
      </c>
      <c r="AH19" s="128">
        <v>2480.0</v>
      </c>
      <c r="AI19" s="128">
        <v>2505.0</v>
      </c>
      <c r="AJ19" s="128">
        <v>2481.0</v>
      </c>
      <c r="AK19" s="128">
        <v>2276.0</v>
      </c>
      <c r="AL19" s="73">
        <f>AK19</f>
        <v>2276</v>
      </c>
      <c r="AM19" s="128">
        <v>2164.0</v>
      </c>
      <c r="AN19" s="128">
        <f t="shared" ref="AN19:AP19" si="84">SUM(AN16:AN18)</f>
        <v>2152</v>
      </c>
      <c r="AO19" s="128">
        <f t="shared" si="84"/>
        <v>2225</v>
      </c>
      <c r="AP19" s="128">
        <f t="shared" si="84"/>
        <v>2519</v>
      </c>
      <c r="AQ19" s="73">
        <f>AP19</f>
        <v>2519</v>
      </c>
      <c r="AR19" s="128">
        <f t="shared" ref="AR19:AU19" si="85">SUM(AR16:AR18)</f>
        <v>2796</v>
      </c>
      <c r="AS19" s="128">
        <f t="shared" si="85"/>
        <v>3223</v>
      </c>
      <c r="AT19" s="128">
        <f t="shared" si="85"/>
        <v>3180</v>
      </c>
      <c r="AU19" s="128">
        <f t="shared" si="85"/>
        <v>2621</v>
      </c>
      <c r="AV19" s="73">
        <f t="shared" si="60"/>
        <v>2621</v>
      </c>
      <c r="AW19" s="128">
        <f t="shared" ref="AW19:AZ19" si="86">SUM(AW16:AW18)</f>
        <v>2808</v>
      </c>
      <c r="AX19" s="128">
        <f t="shared" si="86"/>
        <v>2739</v>
      </c>
      <c r="AY19" s="128">
        <f t="shared" si="86"/>
        <v>2815</v>
      </c>
      <c r="AZ19" s="128">
        <f t="shared" si="86"/>
        <v>3126</v>
      </c>
      <c r="BA19" s="73">
        <f t="shared" si="61"/>
        <v>3126</v>
      </c>
      <c r="BB19" s="128">
        <f t="shared" ref="BB19:BE19" si="87">SUM(BB16:BB18)</f>
        <v>3567</v>
      </c>
      <c r="BC19" s="128">
        <f t="shared" si="87"/>
        <v>4332</v>
      </c>
      <c r="BD19" s="128">
        <f t="shared" si="87"/>
        <v>4477</v>
      </c>
      <c r="BE19" s="128">
        <f t="shared" si="87"/>
        <v>4314</v>
      </c>
      <c r="BF19" s="73">
        <f t="shared" si="62"/>
        <v>4314</v>
      </c>
      <c r="BG19" s="128">
        <f t="shared" ref="BG19:BJ19" si="88">SUM(BG16:BG18)</f>
        <v>4366</v>
      </c>
      <c r="BH19" s="128">
        <f t="shared" si="88"/>
        <v>4127</v>
      </c>
      <c r="BI19" s="128">
        <f t="shared" si="88"/>
        <v>3538</v>
      </c>
      <c r="BJ19" s="128">
        <f t="shared" si="88"/>
        <v>3370</v>
      </c>
      <c r="BK19" s="73">
        <f t="shared" si="63"/>
        <v>3370</v>
      </c>
      <c r="BL19" s="128">
        <f t="shared" ref="BL19:BO19" si="89">SUM(BL16:BL18)</f>
        <v>3272</v>
      </c>
      <c r="BM19" s="128">
        <f t="shared" si="89"/>
        <v>3265</v>
      </c>
      <c r="BN19" s="128">
        <f t="shared" si="89"/>
        <v>3398</v>
      </c>
      <c r="BO19" s="128">
        <f t="shared" si="89"/>
        <v>3744</v>
      </c>
      <c r="BP19" s="73">
        <f t="shared" si="64"/>
        <v>3744</v>
      </c>
      <c r="BQ19" s="128">
        <f t="shared" ref="BQ19:BT19" si="90">SUM(BQ16:BQ18)</f>
        <v>3045</v>
      </c>
      <c r="BR19" s="128">
        <f t="shared" si="90"/>
        <v>2805</v>
      </c>
      <c r="BS19" s="128">
        <f t="shared" si="90"/>
        <v>2490</v>
      </c>
      <c r="BT19" s="128">
        <f t="shared" si="90"/>
        <v>2935</v>
      </c>
      <c r="BU19" s="73">
        <f t="shared" si="65"/>
        <v>2935</v>
      </c>
      <c r="BV19" s="128">
        <f t="shared" ref="BV19:BY19" si="91">SUM(BV16:BV18)</f>
        <v>2986</v>
      </c>
      <c r="BW19" s="128">
        <f t="shared" si="91"/>
        <v>3345</v>
      </c>
      <c r="BX19" s="128">
        <f t="shared" si="91"/>
        <v>3423</v>
      </c>
      <c r="BY19" s="128">
        <f t="shared" si="91"/>
        <v>3757</v>
      </c>
      <c r="BZ19" s="73">
        <f t="shared" si="66"/>
        <v>3757</v>
      </c>
      <c r="CA19" s="128">
        <f t="shared" ref="CA19:CD19" si="92">SUM(CA16:CA18)</f>
        <v>4099</v>
      </c>
      <c r="CB19" s="128">
        <f t="shared" si="92"/>
        <v>4030</v>
      </c>
      <c r="CC19" s="128">
        <f t="shared" si="92"/>
        <v>3959</v>
      </c>
      <c r="CD19" s="128">
        <f t="shared" si="92"/>
        <v>4096</v>
      </c>
      <c r="CE19" s="73">
        <f t="shared" si="67"/>
        <v>4096</v>
      </c>
      <c r="CF19" s="128">
        <f t="shared" ref="CF19:CI19" si="93">SUM(CF16:CF18)</f>
        <v>4489</v>
      </c>
      <c r="CG19" s="128">
        <f t="shared" si="93"/>
        <v>4904</v>
      </c>
      <c r="CH19" s="128">
        <f t="shared" si="93"/>
        <v>5319</v>
      </c>
      <c r="CI19" s="128">
        <f t="shared" si="93"/>
        <v>4734</v>
      </c>
      <c r="CJ19" s="73">
        <f t="shared" si="68"/>
        <v>4734</v>
      </c>
      <c r="CK19" s="128">
        <f t="shared" ref="CK19:CN19" si="94">SUM(CK16:CK18)</f>
        <v>4358</v>
      </c>
      <c r="CL19" s="128">
        <f t="shared" si="94"/>
        <v>4542</v>
      </c>
      <c r="CM19" s="128">
        <f t="shared" si="94"/>
        <v>4533</v>
      </c>
      <c r="CN19" s="128">
        <f t="shared" si="94"/>
        <v>4172</v>
      </c>
      <c r="CO19" s="73">
        <f t="shared" si="69"/>
        <v>4172</v>
      </c>
      <c r="CP19" s="128">
        <f t="shared" ref="CP19:CS19" si="95">SUM(CP16:CP18)</f>
        <v>3763</v>
      </c>
      <c r="CQ19" s="128">
        <f t="shared" si="95"/>
        <v>3943</v>
      </c>
      <c r="CR19" s="128">
        <f t="shared" si="95"/>
        <v>4115</v>
      </c>
      <c r="CS19" s="17">
        <f t="shared" si="95"/>
        <v>4273</v>
      </c>
      <c r="CT19" s="73">
        <f t="shared" si="70"/>
        <v>4273</v>
      </c>
      <c r="CU19" s="17">
        <f t="shared" ref="CU19:CV19" si="96">SUM(CU16:CU18)</f>
        <v>4418</v>
      </c>
      <c r="CV19" s="17">
        <f t="shared" si="96"/>
        <v>4818</v>
      </c>
      <c r="CW19" s="128">
        <v>4965.0</v>
      </c>
      <c r="CX19" s="128">
        <v>5167.0</v>
      </c>
      <c r="CY19" s="18">
        <f t="shared" si="71"/>
        <v>5167</v>
      </c>
      <c r="CZ19" s="128">
        <v>5751.0</v>
      </c>
      <c r="DA19" s="128">
        <v>5800.0</v>
      </c>
      <c r="DB19" s="128">
        <v>5783.0</v>
      </c>
      <c r="DC19" s="128">
        <v>5553.0</v>
      </c>
      <c r="DD19" s="18">
        <f t="shared" si="72"/>
        <v>5553</v>
      </c>
      <c r="DE19" s="128">
        <v>5801.0</v>
      </c>
      <c r="DF19" s="128">
        <v>6324.0</v>
      </c>
      <c r="DG19" s="129">
        <v>6929.0</v>
      </c>
      <c r="DH19" s="128">
        <v>6983.0</v>
      </c>
      <c r="DI19" s="18">
        <f t="shared" si="73"/>
        <v>6983</v>
      </c>
      <c r="DJ19" s="129">
        <f t="shared" ref="DJ19:DM19" si="97">SUM(DJ16:DJ18)</f>
        <v>7146</v>
      </c>
      <c r="DK19" s="129">
        <f t="shared" si="97"/>
        <v>7344</v>
      </c>
      <c r="DL19" s="129">
        <f t="shared" si="97"/>
        <v>7401</v>
      </c>
      <c r="DM19" s="129">
        <f t="shared" si="97"/>
        <v>7253</v>
      </c>
      <c r="DN19" s="18">
        <f t="shared" si="74"/>
        <v>7253</v>
      </c>
      <c r="DO19" s="129">
        <f t="shared" ref="DO19:DR19" si="98">SUM(DO16:DO18)</f>
        <v>7765</v>
      </c>
      <c r="DP19" s="129">
        <f t="shared" si="98"/>
        <v>8696</v>
      </c>
      <c r="DQ19" s="129">
        <f t="shared" si="98"/>
        <v>8638</v>
      </c>
      <c r="DR19" s="129">
        <f t="shared" si="98"/>
        <v>8744</v>
      </c>
      <c r="DS19" s="18">
        <f t="shared" si="75"/>
        <v>8744</v>
      </c>
      <c r="DT19" s="129">
        <f t="shared" ref="DT19:DW19" si="99">SUM(DT16:DT18)</f>
        <v>9246</v>
      </c>
      <c r="DU19" s="129">
        <f t="shared" si="99"/>
        <v>8969</v>
      </c>
      <c r="DV19" s="129">
        <f t="shared" si="99"/>
        <v>9273</v>
      </c>
      <c r="DW19" s="129">
        <f t="shared" si="99"/>
        <v>8427</v>
      </c>
      <c r="DX19" s="18">
        <f t="shared" si="76"/>
        <v>8427</v>
      </c>
      <c r="DY19" s="129">
        <f t="shared" ref="DY19:EB19" si="100">SUM(DY16:DY18)</f>
        <v>8487</v>
      </c>
      <c r="DZ19" s="129">
        <f t="shared" si="100"/>
        <v>8817</v>
      </c>
      <c r="EA19" s="129">
        <f t="shared" si="100"/>
        <v>9798</v>
      </c>
      <c r="EB19" s="129">
        <f t="shared" si="100"/>
        <v>10776</v>
      </c>
      <c r="EC19" s="18">
        <f t="shared" si="77"/>
        <v>10776</v>
      </c>
      <c r="ED19" s="129">
        <f t="shared" ref="ED19:EG19" si="101">SUM(ED16:ED18)</f>
        <v>11935</v>
      </c>
      <c r="EE19" s="129">
        <f t="shared" si="101"/>
        <v>12174</v>
      </c>
      <c r="EF19" s="129">
        <f t="shared" si="101"/>
        <v>12831</v>
      </c>
      <c r="EG19" s="129">
        <f t="shared" si="101"/>
        <v>13224</v>
      </c>
      <c r="EH19" s="18">
        <f t="shared" si="78"/>
        <v>13224</v>
      </c>
      <c r="EI19" s="134" t="str">
        <f>COGS/invTurns*IF(ISNUMBER(Dates),4,1)</f>
        <v>#ERROR!</v>
      </c>
      <c r="EJ19" s="128" t="str">
        <f>COGS/invTurns*IF(ISNUMBER(Dates),4,1)</f>
        <v>#ERROR!</v>
      </c>
      <c r="EK19" s="128" t="str">
        <f>COGS/invTurns*IF(ISNUMBER(Dates),4,1)</f>
        <v>#ERROR!</v>
      </c>
      <c r="EL19" s="128" t="str">
        <f>COGS/invTurns*IF(ISNUMBER(Dates),4,1)</f>
        <v>#ERROR!</v>
      </c>
      <c r="EM19" s="18" t="str">
        <f t="shared" si="79"/>
        <v>#ERROR!</v>
      </c>
      <c r="EN19" s="128" t="str">
        <f>COGS/invTurns*IF(ISNUMBER(Dates),4,1)</f>
        <v>#ERROR!</v>
      </c>
      <c r="EO19" s="128" t="str">
        <f>COGS/invTurns*IF(ISNUMBER(Dates),4,1)</f>
        <v>#ERROR!</v>
      </c>
      <c r="EP19" s="128" t="str">
        <f>COGS/invTurns*IF(ISNUMBER(Dates),4,1)</f>
        <v>#ERROR!</v>
      </c>
      <c r="EQ19" s="128" t="str">
        <f>COGS/invTurns*IF(ISNUMBER(Dates),4,1)</f>
        <v>#ERROR!</v>
      </c>
      <c r="ER19" s="18" t="str">
        <f t="shared" si="80"/>
        <v>#ERROR!</v>
      </c>
      <c r="ES19" s="128" t="str">
        <f>COGS/invTurns*IF(ISNUMBER(Dates),4,1)</f>
        <v>#ERROR!</v>
      </c>
      <c r="ET19" s="128" t="str">
        <f>COGS/invTurns*IF(ISNUMBER(Dates),4,1)</f>
        <v>#ERROR!</v>
      </c>
      <c r="EU19" s="128" t="str">
        <f>COGS/invTurns*IF(ISNUMBER(Dates),4,1)</f>
        <v>#ERROR!</v>
      </c>
      <c r="EV19" s="128" t="str">
        <f>COGS/invTurns*IF(ISNUMBER(Dates),4,1)</f>
        <v>#ERROR!</v>
      </c>
      <c r="EW19" s="18" t="str">
        <f t="shared" si="81"/>
        <v>#ERROR!</v>
      </c>
      <c r="EX19" s="128" t="str">
        <f>COGS/invTurns*IF(ISNUMBER(Dates),4,1)</f>
        <v>#ERROR!</v>
      </c>
      <c r="EY19" s="128" t="str">
        <f>COGS/invTurns*IF(ISNUMBER(Dates),4,1)</f>
        <v>#ERROR!</v>
      </c>
      <c r="EZ19" s="128" t="str">
        <f>COGS/invTurns*IF(ISNUMBER(Dates),4,1)</f>
        <v>#ERROR!</v>
      </c>
      <c r="FA19" s="128" t="str">
        <f>COGS/invTurns*IF(ISNUMBER(Dates),4,1)</f>
        <v>#ERROR!</v>
      </c>
      <c r="FB19" s="18" t="str">
        <f t="shared" si="82"/>
        <v>#ERROR!</v>
      </c>
      <c r="FC19" s="128" t="str">
        <f>COGS/invTurns*IF(ISNUMBER(Dates),4,1)</f>
        <v>#ERROR!</v>
      </c>
      <c r="FD19" s="128" t="str">
        <f>COGS/invTurns*IF(ISNUMBER(Dates),4,1)</f>
        <v>#ERROR!</v>
      </c>
      <c r="FE19" s="128" t="str">
        <f>COGS/invTurns*IF(ISNUMBER(Dates),4,1)</f>
        <v>#ERROR!</v>
      </c>
      <c r="FF19" s="128" t="str">
        <f>COGS/invTurns*IF(ISNUMBER(Dates),4,1)</f>
        <v>#ERROR!</v>
      </c>
      <c r="FG19" s="18" t="str">
        <f t="shared" si="83"/>
        <v>#ERROR!</v>
      </c>
    </row>
    <row r="20" ht="12.75" customHeight="1" outlineLevel="1">
      <c r="A20" s="660"/>
      <c r="B20" s="794" t="s">
        <v>373</v>
      </c>
      <c r="C20" s="794"/>
      <c r="D20" s="794"/>
      <c r="E20" s="794"/>
      <c r="F20" s="794"/>
      <c r="G20" s="794"/>
      <c r="H20" s="794"/>
      <c r="I20" s="794"/>
      <c r="J20" s="794"/>
      <c r="K20" s="794"/>
      <c r="L20" s="794"/>
      <c r="M20" s="794"/>
      <c r="N20" s="660"/>
      <c r="O20" s="660"/>
      <c r="P20" s="660"/>
      <c r="Q20" s="660">
        <f>+Q21/IS!$Q$12</f>
        <v>0.09718938797</v>
      </c>
      <c r="R20" s="309">
        <f>+R21/IS!$Q$12</f>
        <v>0.09718938797</v>
      </c>
      <c r="S20" s="660">
        <f>+S21/IS!$S$12</f>
        <v>0.1172743911</v>
      </c>
      <c r="T20" s="660">
        <f>+T21/IS!$T$12</f>
        <v>0.1239252891</v>
      </c>
      <c r="U20" s="660">
        <f>+U21/IS!$U$12</f>
        <v>0.1234989083</v>
      </c>
      <c r="V20" s="660">
        <f>+V21/IS!$V$12</f>
        <v>0.1038723819</v>
      </c>
      <c r="W20" s="309"/>
      <c r="X20" s="660">
        <f>X21/(Sales*4)</f>
        <v>0.03055798824</v>
      </c>
      <c r="Y20" s="660">
        <f>Y21/(Sales*4)</f>
        <v>0.02909638554</v>
      </c>
      <c r="Z20" s="660">
        <f>Z21/(Sales*4)</f>
        <v>0.02843316917</v>
      </c>
      <c r="AA20" s="660">
        <f>AA21/(Sales*4)</f>
        <v>0.02749367961</v>
      </c>
      <c r="AB20" s="309">
        <f>AB21/Sales</f>
        <v>0.02837573386</v>
      </c>
      <c r="AC20" s="660">
        <f>AC21/Sales/IF(ISNUMBER(Dates),4,1)</f>
        <v>0.03938894713</v>
      </c>
      <c r="AD20" s="660">
        <f>AD21/Sales/IF(ISNUMBER(Dates),4,1)</f>
        <v>0.03986422482</v>
      </c>
      <c r="AE20" s="660">
        <f>AE21/Sales/IF(ISNUMBER(Dates),4,1)</f>
        <v>0.04797555386</v>
      </c>
      <c r="AF20" s="660">
        <f>AF21/Sales/IF(ISNUMBER(Dates),4,1)</f>
        <v>0.0437849062</v>
      </c>
      <c r="AG20" s="660">
        <f>AG21/Sales/IF(ISNUMBER(Dates),4,1)</f>
        <v>0.04608312295</v>
      </c>
      <c r="AH20" s="660">
        <f>AH21/Sales/IF(ISNUMBER(Dates),4,1)</f>
        <v>0.0471169444</v>
      </c>
      <c r="AI20" s="660">
        <f>AI21/Sales/IF(ISNUMBER(Dates),4,1)</f>
        <v>0.04676372844</v>
      </c>
      <c r="AJ20" s="660">
        <f>AJ21/Sales/IF(ISNUMBER(Dates),4,1)</f>
        <v>0.04739391144</v>
      </c>
      <c r="AK20" s="660">
        <f>AK21/Sales/IF(ISNUMBER(Dates),4,1)</f>
        <v>0.05195530726</v>
      </c>
      <c r="AL20" s="660">
        <f>AL21/Sales/IF(ISNUMBER(Dates),4,1)</f>
        <v>0.05559707069</v>
      </c>
      <c r="AM20" s="660">
        <f>AM21/Sales/IF(ISNUMBER(Dates),4,1)</f>
        <v>0.05602873648</v>
      </c>
      <c r="AN20" s="660">
        <f>AN21/Sales/IF(ISNUMBER(Dates),4,1)</f>
        <v>0.0536971831</v>
      </c>
      <c r="AO20" s="660">
        <f>AO21/Sales/IF(ISNUMBER(Dates),4,1)</f>
        <v>0.04414017618</v>
      </c>
      <c r="AP20" s="660">
        <f>AP21/Sales/IF(ISNUMBER(Dates),4,1)</f>
        <v>0.03543644892</v>
      </c>
      <c r="AQ20" s="309">
        <f>AQ21/Sales/IF(ISNUMBER(Dates),4,1)</f>
        <v>0.04110679805</v>
      </c>
      <c r="AR20" s="660">
        <f>AR21/Sales/IF(ISNUMBER(Dates),4,1)</f>
        <v>0.03717093066</v>
      </c>
      <c r="AS20" s="660">
        <f>AS21/Sales/IF(ISNUMBER(Dates),4,1)</f>
        <v>0.04286246739</v>
      </c>
      <c r="AT20" s="660">
        <f>AT21/Sales/IF(ISNUMBER(Dates),4,1)</f>
        <v>0.04093377405</v>
      </c>
      <c r="AU20" s="660">
        <f>AU21/Sales/IF(ISNUMBER(Dates),4,1)</f>
        <v>0.03297561992</v>
      </c>
      <c r="AV20" s="309">
        <f>AV21/Sales/IF(ISNUMBER(Dates),4,1)</f>
        <v>0.03700780496</v>
      </c>
      <c r="AW20" s="660">
        <f>AW21/Sales/IF(ISNUMBER(Dates),4,1)</f>
        <v>0.03519185923</v>
      </c>
      <c r="AX20" s="660">
        <f>AX21/Sales/IF(ISNUMBER(Dates),4,1)</f>
        <v>0.03193045174</v>
      </c>
      <c r="AY20" s="660">
        <f>AY21/Sales/IF(ISNUMBER(Dates),4,1)</f>
        <v>0.03082329317</v>
      </c>
      <c r="AZ20" s="660">
        <f>AZ21/Sales/IF(ISNUMBER(Dates),4,1)</f>
        <v>0.03386922851</v>
      </c>
      <c r="BA20" s="309">
        <f>BA21/Sales/IF(ISNUMBER(Dates),4,1)</f>
        <v>0.03559470458</v>
      </c>
      <c r="BB20" s="660">
        <f>BB21/Sales/IF(ISNUMBER(Dates),4,1)</f>
        <v>0.03996085011</v>
      </c>
      <c r="BC20" s="660">
        <f>BC21/Sales/IF(ISNUMBER(Dates),4,1)</f>
        <v>0.05000624298</v>
      </c>
      <c r="BD20" s="660">
        <f>BD21/Sales/IF(ISNUMBER(Dates),4,1)</f>
        <v>0.04434145783</v>
      </c>
      <c r="BE20" s="660">
        <f>BE21/Sales/IF(ISNUMBER(Dates),4,1)</f>
        <v>0.03236538065</v>
      </c>
      <c r="BF20" s="309">
        <f>BF21/Sales/IF(ISNUMBER(Dates),4,1)</f>
        <v>0.035470013</v>
      </c>
      <c r="BG20" s="660">
        <f>BG21/Sales/IF(ISNUMBER(Dates),4,1)</f>
        <v>0.04304112065</v>
      </c>
      <c r="BH20" s="660">
        <f>BH21/Sales/IF(ISNUMBER(Dates),4,1)</f>
        <v>0.06707949309</v>
      </c>
      <c r="BI20" s="660">
        <f>BI21/Sales/IF(ISNUMBER(Dates),4,1)</f>
        <v>0.04791873142</v>
      </c>
      <c r="BJ20" s="660">
        <f>BJ21/Sales/IF(ISNUMBER(Dates),4,1)</f>
        <v>0.06011949216</v>
      </c>
      <c r="BK20" s="309">
        <f>BK21/Sales/IF(ISNUMBER(Dates),4,1)</f>
        <v>0.06719883132</v>
      </c>
      <c r="BL20" s="660">
        <f>BL21/Sales/IF(ISNUMBER(Dates),4,1)</f>
        <v>0.06138219787</v>
      </c>
      <c r="BM20" s="660">
        <f>BM21/Sales/IF(ISNUMBER(Dates),4,1)</f>
        <v>0.0568373812</v>
      </c>
      <c r="BN20" s="660">
        <f>BN21/Sales/IF(ISNUMBER(Dates),4,1)</f>
        <v>0.07546246452</v>
      </c>
      <c r="BO20" s="660">
        <f>BO21/Sales/IF(ISNUMBER(Dates),4,1)</f>
        <v>0.07816678823</v>
      </c>
      <c r="BP20" s="309">
        <f>BP21/Sales/IF(ISNUMBER(Dates),4,1)</f>
        <v>0.06842973448</v>
      </c>
      <c r="BQ20" s="660">
        <f>BQ21/Sales/IF(ISNUMBER(Dates),4,1)</f>
        <v>0.0843946816</v>
      </c>
      <c r="BR20" s="660">
        <f>BR21/Sales/IF(ISNUMBER(Dates),4,1)</f>
        <v>0.06542871386</v>
      </c>
      <c r="BS20" s="660">
        <f>BS21/Sales/IF(ISNUMBER(Dates),4,1)</f>
        <v>0.04798168069</v>
      </c>
      <c r="BT20" s="660">
        <f>BT21/Sales/IF(ISNUMBER(Dates),4,1)</f>
        <v>0.04799413379</v>
      </c>
      <c r="BU20" s="309">
        <f>BU21/Sales/IF(ISNUMBER(Dates),4,1)</f>
        <v>0.05776183563</v>
      </c>
      <c r="BV20" s="660">
        <f>BV21/Sales/IF(ISNUMBER(Dates),4,1)</f>
        <v>0.05350033984</v>
      </c>
      <c r="BW20" s="660">
        <f>BW21/Sales/IF(ISNUMBER(Dates),4,1)</f>
        <v>0.05541105434</v>
      </c>
      <c r="BX20" s="660">
        <f>BX21/Sales/IF(ISNUMBER(Dates),4,1)</f>
        <v>0.05438209332</v>
      </c>
      <c r="BY20" s="660">
        <f>BY21/Sales/IF(ISNUMBER(Dates),4,1)</f>
        <v>0.06768787641</v>
      </c>
      <c r="BZ20" s="309">
        <f>BZ21/Sales/IF(ISNUMBER(Dates),4,1)</f>
        <v>0.07110927722</v>
      </c>
      <c r="CA20" s="660">
        <f>CA21/Sales/IF(ISNUMBER(Dates),4,1)</f>
        <v>0.06180431229</v>
      </c>
      <c r="CB20" s="660">
        <f>CB21/Sales/IF(ISNUMBER(Dates),4,1)</f>
        <v>0.07991866176</v>
      </c>
      <c r="CC20" s="660">
        <f>CC21/Sales/IF(ISNUMBER(Dates),4,1)</f>
        <v>0.06534110869</v>
      </c>
      <c r="CD20" s="660">
        <f>CD21/Sales/IF(ISNUMBER(Dates),4,1)</f>
        <v>0.05921005257</v>
      </c>
      <c r="CE20" s="309">
        <f>CE21/Sales/IF(ISNUMBER(Dates),4,1)</f>
        <v>0.06090853534</v>
      </c>
      <c r="CF20" s="660">
        <f>CF21/Sales/IF(ISNUMBER(Dates),4,1)</f>
        <v>0.06086316442</v>
      </c>
      <c r="CG20" s="660">
        <f>CG21/Sales/IF(ISNUMBER(Dates),4,1)</f>
        <v>0.06830975483</v>
      </c>
      <c r="CH20" s="660">
        <f>CH21/Sales/IF(ISNUMBER(Dates),4,1)</f>
        <v>0.06115776176</v>
      </c>
      <c r="CI20" s="660">
        <f>CI21/Sales/IF(ISNUMBER(Dates),4,1)</f>
        <v>0.08586851673</v>
      </c>
      <c r="CJ20" s="309">
        <f>CJ21/Sales/IF(ISNUMBER(Dates),4,1)</f>
        <v>0.08678127519</v>
      </c>
      <c r="CK20" s="660">
        <f>CK21/Sales/IF(ISNUMBER(Dates),4,1)</f>
        <v>0.0737281399</v>
      </c>
      <c r="CL20" s="660">
        <f>CL21/Sales/IF(ISNUMBER(Dates),4,1)</f>
        <v>0.07185231442</v>
      </c>
      <c r="CM20" s="660">
        <f>CM21/Sales/IF(ISNUMBER(Dates),4,1)</f>
        <v>0.07327746051</v>
      </c>
      <c r="CN20" s="660">
        <f>CN21/Sales/IF(ISNUMBER(Dates),4,1)</f>
        <v>0.07667702761</v>
      </c>
      <c r="CO20" s="309">
        <f>CO21/Sales/IF(ISNUMBER(Dates),4,1)</f>
        <v>0.08050011383</v>
      </c>
      <c r="CP20" s="660">
        <f>CP21/Sales/IF(ISNUMBER(Dates),4,1)</f>
        <v>0.08304606706</v>
      </c>
      <c r="CQ20" s="660">
        <f>CQ21/Sales/IF(ISNUMBER(Dates),4,1)</f>
        <v>0.07705516593</v>
      </c>
      <c r="CR20" s="660">
        <f>CR21/Sales/IF(ISNUMBER(Dates),4,1)</f>
        <v>0.07133777656</v>
      </c>
      <c r="CS20" s="15">
        <f>CS21/Sales/IF(ISNUMBER(Dates),4,1)</f>
        <v>0.08450512873</v>
      </c>
      <c r="CT20" s="309">
        <f>CT21/Sales/IF(ISNUMBER(Dates),4,1)</f>
        <v>0.08906389834</v>
      </c>
      <c r="CU20" s="15">
        <f>CU21/Sales/IF(ISNUMBER(Dates),4,1)</f>
        <v>0.09162037399</v>
      </c>
      <c r="CV20" s="15">
        <f>CV21/Sales/IF(ISNUMBER(Dates),4,1)</f>
        <v>0.07885562713</v>
      </c>
      <c r="CW20" s="15">
        <f>CW21/Sales/IF(ISNUMBER(Dates),4,1)</f>
        <v>0.1088143795</v>
      </c>
      <c r="CX20" s="15">
        <f>CX21/Sales/IF(ISNUMBER(Dates),4,1)</f>
        <v>0.08530575298</v>
      </c>
      <c r="CY20" s="37">
        <f>CY21/Sales/IF(ISNUMBER(Dates),4,1)</f>
        <v>0.09193388131</v>
      </c>
      <c r="CZ20" s="15">
        <f>CZ21/Sales/IF(ISNUMBER(Dates),4,1)</f>
        <v>0.04237011811</v>
      </c>
      <c r="DA20" s="15">
        <f>DA21/Sales/IF(ISNUMBER(Dates),4,1)</f>
        <v>0.0604633119</v>
      </c>
      <c r="DB20" s="15">
        <f>DB21/Sales/IF(ISNUMBER(Dates),4,1)</f>
        <v>0.122195462</v>
      </c>
      <c r="DC20" s="15">
        <f>DC21/Sales/IF(ISNUMBER(Dates),4,1)</f>
        <v>0.1246793697</v>
      </c>
      <c r="DD20" s="37">
        <f>DD21/Sales/IF(ISNUMBER(Dates),4,1)</f>
        <v>0.1372759977</v>
      </c>
      <c r="DE20" s="15">
        <f>DE21/Sales/IF(ISNUMBER(Dates),4,1)</f>
        <v>0.1358644228</v>
      </c>
      <c r="DF20" s="15">
        <f>DF21/Sales/IF(ISNUMBER(Dates),4,1)</f>
        <v>0.05024385288</v>
      </c>
      <c r="DG20" s="40">
        <f>DG21/Sales/IF(ISNUMBER(Dates),4,1)</f>
        <v>0.04283546969</v>
      </c>
      <c r="DH20" s="15">
        <f>DH19/IS!DH12/4</f>
        <v>0.1023720167</v>
      </c>
      <c r="DI20" s="37">
        <f>DI21/Sales/IF(ISNUMBER(Dates),4,1)</f>
        <v>0.0463345071</v>
      </c>
      <c r="DJ20" s="40">
        <f>DJ19/IS!DJ12/4</f>
        <v>0.1111975601</v>
      </c>
      <c r="DK20" s="40">
        <f>DK19/IS!DK12/4</f>
        <v>0.1082419526</v>
      </c>
      <c r="DL20" s="40">
        <f>DL19/IS!DL12/4</f>
        <v>0.09655325367</v>
      </c>
      <c r="DM20" s="40">
        <f>DM19/IS!DM12/4</f>
        <v>0.09718872273</v>
      </c>
      <c r="DN20" s="37">
        <f>DN21/Sales/IF(ISNUMBER(Dates),4,1)</f>
        <v>0.04463075881</v>
      </c>
      <c r="DO20" s="40">
        <f>DO19/IS!DO12/4</f>
        <v>0.1208673183</v>
      </c>
      <c r="DP20" s="40">
        <f>DP19/IS!DP12/4</f>
        <v>0.1317176613</v>
      </c>
      <c r="DQ20" s="40">
        <f>DQ19/IS!DQ12/4</f>
        <v>0.112532569</v>
      </c>
      <c r="DR20" s="40">
        <f>DR19/IS!DR12/4</f>
        <v>0.1081696274</v>
      </c>
      <c r="DS20" s="37">
        <f>DS21/Sales/IF(ISNUMBER(Dates),4,1)</f>
        <v>0.02380323768</v>
      </c>
      <c r="DT20" s="40">
        <f>DT19/IS!DT12/4</f>
        <v>0.1165775671</v>
      </c>
      <c r="DU20" s="40">
        <f>DU19/IS!DU12/4</f>
        <v>0.1136582522</v>
      </c>
      <c r="DV20" s="40">
        <f>DV19/IS!DV12/4</f>
        <v>0.1264522991</v>
      </c>
      <c r="DW20" s="40">
        <f>DW19/IS!DW12/4</f>
        <v>0.1054534988</v>
      </c>
      <c r="DX20" s="37">
        <f>DX21/Sales/IF(ISNUMBER(Dates),4,1)</f>
        <v>0.1046014358</v>
      </c>
      <c r="DY20" s="40">
        <f>DY19/IS!DY12/4</f>
        <v>0.1142814823</v>
      </c>
      <c r="DZ20" s="40">
        <f>DZ19/IS!DZ12/4</f>
        <v>0.1189364917</v>
      </c>
      <c r="EA20" s="40">
        <f>EA19/IS!EA12/4</f>
        <v>0.135428761</v>
      </c>
      <c r="EB20" s="40">
        <f>EB19/IS!EB12/4</f>
        <v>0.1379275036</v>
      </c>
      <c r="EC20" s="37">
        <f>EC21/Sales/IF(ISNUMBER(Dates),4,1)</f>
        <v>0.1214165261</v>
      </c>
      <c r="ED20" s="40">
        <f>ED19/IS!ED12/4</f>
        <v>0.1625756007</v>
      </c>
      <c r="EE20" s="40">
        <f>EE19/IS!EE12/4</f>
        <v>0.1986489133</v>
      </c>
      <c r="EF20" s="40">
        <f>EF19/IS!EF12/4</f>
        <v>0.2091374364</v>
      </c>
      <c r="EG20" s="40">
        <f>EG19/IS!EG12/4</f>
        <v>0.2354365475</v>
      </c>
      <c r="EH20" s="37">
        <f>EH21/Sales/IF(ISNUMBER(Dates),4,1)</f>
        <v>0.07472959685</v>
      </c>
      <c r="EI20" s="82" t="str">
        <f>EI19/IS!EI12/4</f>
        <v>#ERROR!</v>
      </c>
      <c r="EJ20" s="15" t="str">
        <f>EJ19/IS!EJ12/4</f>
        <v>#ERROR!</v>
      </c>
      <c r="EK20" s="15" t="str">
        <f>EK19/IS!EK12/4</f>
        <v>#ERROR!</v>
      </c>
      <c r="EL20" s="15" t="str">
        <f>EL19/IS!EL12/4</f>
        <v>#ERROR!</v>
      </c>
      <c r="EM20" s="37" t="str">
        <f>EM21/Sales/IF(ISNUMBER(Dates),4,1)</f>
        <v>#ERROR!</v>
      </c>
      <c r="EN20" s="15" t="str">
        <f>EN19/IS!EN12/4</f>
        <v>#ERROR!</v>
      </c>
      <c r="EO20" s="15" t="str">
        <f>EO19/IS!EO12/4</f>
        <v>#ERROR!</v>
      </c>
      <c r="EP20" s="15" t="str">
        <f>EP19/IS!EP12/4</f>
        <v>#ERROR!</v>
      </c>
      <c r="EQ20" s="15" t="str">
        <f>EQ19/IS!EQ12/4</f>
        <v>#ERROR!</v>
      </c>
      <c r="ER20" s="37" t="str">
        <f>ER21/Sales/IF(ISNUMBER(Dates),4,1)</f>
        <v>#ERROR!</v>
      </c>
      <c r="ES20" s="15" t="str">
        <f>ES19/IS!ES12/4</f>
        <v>#ERROR!</v>
      </c>
      <c r="ET20" s="15" t="str">
        <f>ET19/IS!ET12/4</f>
        <v>#ERROR!</v>
      </c>
      <c r="EU20" s="15" t="str">
        <f>EU19/IS!EU12/4</f>
        <v>#ERROR!</v>
      </c>
      <c r="EV20" s="15" t="str">
        <f>EV19/IS!EV12/4</f>
        <v>#ERROR!</v>
      </c>
      <c r="EW20" s="37" t="str">
        <f>EW21/Sales/IF(ISNUMBER(Dates),4,1)</f>
        <v>#ERROR!</v>
      </c>
      <c r="EX20" s="15" t="str">
        <f>EX19/IS!EX12/4</f>
        <v>#ERROR!</v>
      </c>
      <c r="EY20" s="15" t="str">
        <f>EY19/IS!EY12/4</f>
        <v>#ERROR!</v>
      </c>
      <c r="EZ20" s="15" t="str">
        <f>EZ19/IS!EZ12/4</f>
        <v>#ERROR!</v>
      </c>
      <c r="FA20" s="15" t="str">
        <f>FA19/IS!FA12/4</f>
        <v>#ERROR!</v>
      </c>
      <c r="FB20" s="37" t="str">
        <f>FB21/Sales/IF(ISNUMBER(Dates),4,1)</f>
        <v>#ERROR!</v>
      </c>
      <c r="FC20" s="15" t="str">
        <f>FC19/IS!FC12/4</f>
        <v>#ERROR!</v>
      </c>
      <c r="FD20" s="15" t="str">
        <f>FD19/IS!FD12/4</f>
        <v>#ERROR!</v>
      </c>
      <c r="FE20" s="15" t="str">
        <f>FE19/IS!FE12/4</f>
        <v>#ERROR!</v>
      </c>
      <c r="FF20" s="15" t="str">
        <f>FF19/IS!FF12/4</f>
        <v>#ERROR!</v>
      </c>
      <c r="FG20" s="37" t="str">
        <f>FG21/Sales/IF(ISNUMBER(Dates),4,1)</f>
        <v>#ERROR!</v>
      </c>
    </row>
    <row r="21" ht="12.75" customHeight="1">
      <c r="A21" s="179"/>
      <c r="B21" s="180" t="s">
        <v>520</v>
      </c>
      <c r="C21" s="180"/>
      <c r="D21" s="180"/>
      <c r="E21" s="180"/>
      <c r="F21" s="180"/>
      <c r="G21" s="180"/>
      <c r="H21" s="180"/>
      <c r="I21" s="180"/>
      <c r="J21" s="180"/>
      <c r="K21" s="180"/>
      <c r="L21" s="180"/>
      <c r="M21" s="180"/>
      <c r="N21" s="128">
        <f>680+70</f>
        <v>750</v>
      </c>
      <c r="O21" s="128">
        <f>665+176</f>
        <v>841</v>
      </c>
      <c r="P21" s="128">
        <f>629+183</f>
        <v>812</v>
      </c>
      <c r="Q21" s="128">
        <f t="shared" ref="Q21:R21" si="102">618+122</f>
        <v>740</v>
      </c>
      <c r="R21" s="73">
        <f t="shared" si="102"/>
        <v>740</v>
      </c>
      <c r="S21" s="128">
        <f>646+187</f>
        <v>833</v>
      </c>
      <c r="T21" s="128">
        <f>659+177</f>
        <v>836</v>
      </c>
      <c r="U21" s="128">
        <f>714+191</f>
        <v>905</v>
      </c>
      <c r="V21" s="128">
        <f>673+180</f>
        <v>853</v>
      </c>
      <c r="W21" s="73">
        <f t="shared" ref="W21:W22" si="105">+V21</f>
        <v>853</v>
      </c>
      <c r="X21" s="128">
        <f>709+268</f>
        <v>977</v>
      </c>
      <c r="Y21" s="128">
        <f>721+245</f>
        <v>966</v>
      </c>
      <c r="Z21" s="128">
        <f>736+257</f>
        <v>993</v>
      </c>
      <c r="AA21" s="128">
        <f>721+236</f>
        <v>957</v>
      </c>
      <c r="AB21" s="73">
        <f t="shared" ref="AB21:AB22" si="107">+AA21</f>
        <v>957</v>
      </c>
      <c r="AC21" s="128">
        <f>718+334</f>
        <v>1052</v>
      </c>
      <c r="AD21" s="128">
        <f>730+280</f>
        <v>1010</v>
      </c>
      <c r="AE21" s="128">
        <v>1256.0</v>
      </c>
      <c r="AF21" s="128">
        <f>958+265</f>
        <v>1223</v>
      </c>
      <c r="AG21" s="73">
        <f t="shared" ref="AG21:AG22" si="109">AF21</f>
        <v>1223</v>
      </c>
      <c r="AH21" s="128">
        <f>933+345</f>
        <v>1278</v>
      </c>
      <c r="AI21" s="128">
        <f>917+265</f>
        <v>1182</v>
      </c>
      <c r="AJ21" s="128">
        <f>885+348</f>
        <v>1233</v>
      </c>
      <c r="AK21" s="128">
        <f>1136+352</f>
        <v>1488</v>
      </c>
      <c r="AL21" s="73">
        <f t="shared" ref="AL21:AL22" si="111">AK21</f>
        <v>1488</v>
      </c>
      <c r="AM21" s="128">
        <v>1513.0</v>
      </c>
      <c r="AN21" s="128">
        <v>1464.0</v>
      </c>
      <c r="AO21" s="128">
        <v>1383.0</v>
      </c>
      <c r="AP21" s="128">
        <v>1239.0</v>
      </c>
      <c r="AQ21" s="73">
        <f t="shared" ref="AQ21:AQ22" si="113">AP21</f>
        <v>1239</v>
      </c>
      <c r="AR21" s="128">
        <v>1203.0</v>
      </c>
      <c r="AS21" s="128">
        <v>1380.0</v>
      </c>
      <c r="AT21" s="128">
        <v>1387.0</v>
      </c>
      <c r="AU21" s="128">
        <f>979+287</f>
        <v>1266</v>
      </c>
      <c r="AV21" s="73">
        <f t="shared" ref="AV21:AV22" si="115">AU21</f>
        <v>1266</v>
      </c>
      <c r="AW21" s="128">
        <f>975+353</f>
        <v>1328</v>
      </c>
      <c r="AX21" s="128">
        <f>900+279</f>
        <v>1179</v>
      </c>
      <c r="AY21" s="128">
        <f>967+261</f>
        <v>1228</v>
      </c>
      <c r="AZ21" s="128">
        <f>1149+233</f>
        <v>1382</v>
      </c>
      <c r="BA21" s="73">
        <f t="shared" ref="BA21:BA22" si="117">AZ21</f>
        <v>1382</v>
      </c>
      <c r="BB21" s="128">
        <f>1032+397</f>
        <v>1429</v>
      </c>
      <c r="BC21" s="128">
        <f>1221+381</f>
        <v>1602</v>
      </c>
      <c r="BD21" s="128">
        <f>1138+412</f>
        <v>1550</v>
      </c>
      <c r="BE21" s="128">
        <f>997+258</f>
        <v>1255</v>
      </c>
      <c r="BF21" s="73">
        <f t="shared" ref="BF21:BF22" si="119">BE21</f>
        <v>1255</v>
      </c>
      <c r="BG21" s="128">
        <f>1060+464</f>
        <v>1524</v>
      </c>
      <c r="BH21" s="128">
        <f>1060+1269</f>
        <v>2329</v>
      </c>
      <c r="BI21" s="128">
        <f>1088+846</f>
        <v>1934</v>
      </c>
      <c r="BJ21" s="128">
        <f>1186+1390</f>
        <v>2576</v>
      </c>
      <c r="BK21" s="73">
        <f t="shared" ref="BK21:BK22" si="121">BJ21</f>
        <v>2576</v>
      </c>
      <c r="BL21" s="128">
        <f>1143+1232</f>
        <v>2375</v>
      </c>
      <c r="BM21" s="128">
        <f>1209+944</f>
        <v>2153</v>
      </c>
      <c r="BN21" s="128">
        <f>1430+1654</f>
        <v>3084</v>
      </c>
      <c r="BO21" s="128">
        <f>1390+1182</f>
        <v>2572</v>
      </c>
      <c r="BP21" s="73">
        <f t="shared" ref="BP21:BP22" si="123">BO21</f>
        <v>2572</v>
      </c>
      <c r="BQ21" s="128">
        <f>1337+1075</f>
        <v>2412</v>
      </c>
      <c r="BR21" s="128">
        <f>1217+883</f>
        <v>2100</v>
      </c>
      <c r="BS21" s="128">
        <f>1260+542</f>
        <v>1802</v>
      </c>
      <c r="BT21" s="128">
        <f>1216+813</f>
        <v>2029</v>
      </c>
      <c r="BU21" s="73">
        <f t="shared" ref="BU21:BU22" si="125">BT21</f>
        <v>2029</v>
      </c>
      <c r="BV21" s="128">
        <f>1423+781</f>
        <v>2204</v>
      </c>
      <c r="BW21" s="128">
        <f>1206+1180</f>
        <v>2386</v>
      </c>
      <c r="BX21" s="128">
        <f>1233+1182</f>
        <v>2415</v>
      </c>
      <c r="BY21" s="128">
        <f>1488+1614</f>
        <v>3102</v>
      </c>
      <c r="BZ21" s="73">
        <f t="shared" ref="BZ21:BZ22" si="127">BY21</f>
        <v>3102</v>
      </c>
      <c r="CA21" s="128">
        <f>1906+1270</f>
        <v>3176</v>
      </c>
      <c r="CB21" s="128">
        <f>1973+905+1288</f>
        <v>4166</v>
      </c>
      <c r="CC21" s="128">
        <f>2011+1709</f>
        <v>3720</v>
      </c>
      <c r="CD21" s="128">
        <f>1700+1589</f>
        <v>3289</v>
      </c>
      <c r="CE21" s="73">
        <f t="shared" ref="CE21:CE22" si="129">CD21</f>
        <v>3289</v>
      </c>
      <c r="CF21" s="128">
        <f>1794+1348</f>
        <v>3142</v>
      </c>
      <c r="CG21" s="128">
        <f>1517+2172</f>
        <v>3689</v>
      </c>
      <c r="CH21" s="128">
        <f>1633+1659</f>
        <v>3292</v>
      </c>
      <c r="CI21" s="128">
        <f>2117+2512</f>
        <v>4629</v>
      </c>
      <c r="CJ21" s="73">
        <f t="shared" ref="CJ21:CJ22" si="131">CI21</f>
        <v>4629</v>
      </c>
      <c r="CK21" s="128">
        <f>2109+1601</f>
        <v>3710</v>
      </c>
      <c r="CL21" s="128">
        <f>2121+1561</f>
        <v>3682</v>
      </c>
      <c r="CM21" s="128">
        <f>2435+1517</f>
        <v>3952</v>
      </c>
      <c r="CN21" s="128">
        <f>2594+1649</f>
        <v>4243</v>
      </c>
      <c r="CO21" s="73">
        <f t="shared" ref="CO21:CO22" si="133">CN21</f>
        <v>4243</v>
      </c>
      <c r="CP21" s="128">
        <f>2507+1733</f>
        <v>4240</v>
      </c>
      <c r="CQ21" s="17">
        <f>2255+2008</f>
        <v>4263</v>
      </c>
      <c r="CR21" s="17">
        <f>1674+2479</f>
        <v>4153</v>
      </c>
      <c r="CS21" s="17">
        <f>1958+3018</f>
        <v>4976</v>
      </c>
      <c r="CT21" s="73">
        <f t="shared" ref="CT21:CT22" si="135">CS21</f>
        <v>4976</v>
      </c>
      <c r="CU21" s="128">
        <f>2048+2636</f>
        <v>4684</v>
      </c>
      <c r="CV21" s="128">
        <f>1895+2267</f>
        <v>4162</v>
      </c>
      <c r="CW21" s="128">
        <f>1992+4304</f>
        <v>6296</v>
      </c>
      <c r="CX21" s="128">
        <f>2036+3053</f>
        <v>5089</v>
      </c>
      <c r="CY21" s="18">
        <f t="shared" ref="CY21:CY22" si="137">CX21</f>
        <v>5089</v>
      </c>
      <c r="CZ21" s="128">
        <v>2339.0</v>
      </c>
      <c r="DA21" s="128">
        <v>3273.0</v>
      </c>
      <c r="DB21" s="128">
        <f>5100+2612</f>
        <v>7712</v>
      </c>
      <c r="DC21" s="128">
        <f>5210+2956</f>
        <v>8166</v>
      </c>
      <c r="DD21" s="18">
        <f t="shared" ref="DD21:DD22" si="139">DC21</f>
        <v>8166</v>
      </c>
      <c r="DE21" s="128">
        <f>5138+2903</f>
        <v>8041</v>
      </c>
      <c r="DF21" s="128">
        <f>2967</f>
        <v>2967</v>
      </c>
      <c r="DG21" s="129">
        <v>2767.0</v>
      </c>
      <c r="DH21" s="128">
        <v>2908.0</v>
      </c>
      <c r="DI21" s="18">
        <f t="shared" ref="DI21:DI22" si="141">DH21</f>
        <v>2908</v>
      </c>
      <c r="DJ21" s="129">
        <v>3408.0</v>
      </c>
      <c r="DK21" s="129">
        <v>3398.0</v>
      </c>
      <c r="DL21" s="129">
        <v>3546.0</v>
      </c>
      <c r="DM21" s="129">
        <v>3162.0</v>
      </c>
      <c r="DN21" s="18">
        <f t="shared" ref="DN21:DN22" si="143">DM21</f>
        <v>3162</v>
      </c>
      <c r="DO21" s="129">
        <v>2305.0</v>
      </c>
      <c r="DP21" s="129">
        <v>2366.0</v>
      </c>
      <c r="DQ21" s="129">
        <v>2414.0</v>
      </c>
      <c r="DR21" s="129">
        <v>1713.0</v>
      </c>
      <c r="DS21" s="18">
        <f t="shared" ref="DS21:DS22" si="145">DR21</f>
        <v>1713</v>
      </c>
      <c r="DT21" s="129">
        <v>2997.0</v>
      </c>
      <c r="DU21" s="129">
        <v>2165.0</v>
      </c>
      <c r="DV21" s="129">
        <v>2119.0</v>
      </c>
      <c r="DW21" s="129">
        <f>5400+2745</f>
        <v>8145</v>
      </c>
      <c r="DX21" s="18">
        <f t="shared" ref="DX21:DX22" si="147">DW21</f>
        <v>8145</v>
      </c>
      <c r="DY21" s="129">
        <f>2124+5557</f>
        <v>7681</v>
      </c>
      <c r="DZ21" s="129">
        <f>5817+2421</f>
        <v>8238</v>
      </c>
      <c r="EA21" s="129">
        <f>6398+2073</f>
        <v>8471</v>
      </c>
      <c r="EB21" s="129">
        <f>6942+2130</f>
        <v>9072</v>
      </c>
      <c r="EC21" s="18">
        <f t="shared" ref="EC21:EC22" si="149">EB21</f>
        <v>9072</v>
      </c>
      <c r="ED21" s="129">
        <f>4627+236</f>
        <v>4863</v>
      </c>
      <c r="EE21" s="129">
        <f>32+5275</f>
        <v>5307</v>
      </c>
      <c r="EF21" s="129">
        <f>56+6348</f>
        <v>6404</v>
      </c>
      <c r="EG21" s="129">
        <f>45+4667</f>
        <v>4712</v>
      </c>
      <c r="EH21" s="18">
        <f t="shared" ref="EH21:EH22" si="151">EG21</f>
        <v>4712</v>
      </c>
      <c r="EI21" s="134">
        <f>AVERAGE(ED21,EE21,EF21,EG21)</f>
        <v>5321.5</v>
      </c>
      <c r="EJ21" s="128">
        <f>AVERAGE(EE21,EF21,EG21,EI21)</f>
        <v>5436.125</v>
      </c>
      <c r="EK21" s="128">
        <f>AVERAGE(EF21,EG21,EI21,EJ21)</f>
        <v>5468.40625</v>
      </c>
      <c r="EL21" s="128">
        <f>AVERAGE(EG21,EI21,EJ21,EK21)</f>
        <v>5234.507813</v>
      </c>
      <c r="EM21" s="18">
        <f t="shared" ref="EM21:EM22" si="153">EL21</f>
        <v>5234.507813</v>
      </c>
      <c r="EN21" s="128">
        <f>AVERAGE(EI21,EJ21,EK21,EL21)</f>
        <v>5365.134766</v>
      </c>
      <c r="EO21" s="128">
        <f>AVERAGE(EJ21,EK21,EL21,EN21)</f>
        <v>5376.043457</v>
      </c>
      <c r="EP21" s="128">
        <f>AVERAGE(EK21,EL21,EN21,EO21)</f>
        <v>5361.023071</v>
      </c>
      <c r="EQ21" s="128">
        <f>AVERAGE(EL21,EN21,EO21,EP21)</f>
        <v>5334.177277</v>
      </c>
      <c r="ER21" s="18">
        <f t="shared" ref="ER21:ER22" si="155">EQ21</f>
        <v>5334.177277</v>
      </c>
      <c r="ES21" s="128">
        <f>AVERAGE(EN21,EO21,EP21,EQ21)</f>
        <v>5359.094643</v>
      </c>
      <c r="ET21" s="128">
        <f>AVERAGE(EO21,EP21,EQ21,ES21)</f>
        <v>5357.584612</v>
      </c>
      <c r="EU21" s="128">
        <f>AVERAGE(EP21,EQ21,ES21,ET21)</f>
        <v>5352.969901</v>
      </c>
      <c r="EV21" s="128">
        <f>AVERAGE(EQ21,ES21,ET21,EU21)</f>
        <v>5350.956608</v>
      </c>
      <c r="EW21" s="18">
        <f t="shared" ref="EW21:EW22" si="157">EV21</f>
        <v>5350.956608</v>
      </c>
      <c r="EX21" s="128">
        <f>AVERAGE(ES21,ET21,EU21,EV21)</f>
        <v>5355.151441</v>
      </c>
      <c r="EY21" s="128">
        <f>AVERAGE(ET21,EU21,EV21,EX21)</f>
        <v>5354.16564</v>
      </c>
      <c r="EZ21" s="128">
        <f>AVERAGE(EU21,EV21,EX21,EY21)</f>
        <v>5353.310897</v>
      </c>
      <c r="FA21" s="128">
        <f>AVERAGE(EV21,EX21,EY21,EZ21)</f>
        <v>5353.396147</v>
      </c>
      <c r="FB21" s="18">
        <f t="shared" ref="FB21:FB22" si="159">FA21</f>
        <v>5353.396147</v>
      </c>
      <c r="FC21" s="128">
        <f>AVERAGE(EX21,EY21,EZ21,FA21)</f>
        <v>5354.006031</v>
      </c>
      <c r="FD21" s="128">
        <f>AVERAGE(EY21,EZ21,FA21,FC21)</f>
        <v>5353.719679</v>
      </c>
      <c r="FE21" s="128">
        <f>AVERAGE(EZ21,FA21,FC21,FD21)</f>
        <v>5353.608189</v>
      </c>
      <c r="FF21" s="128">
        <f>AVERAGE(FA21,FC21,FD21,FE21)</f>
        <v>5353.682511</v>
      </c>
      <c r="FG21" s="18">
        <f t="shared" ref="FG21:FG22" si="161">FF21</f>
        <v>5353.682511</v>
      </c>
    </row>
    <row r="22" ht="12.75" customHeight="1">
      <c r="A22" s="8"/>
      <c r="B22" s="797" t="s">
        <v>521</v>
      </c>
      <c r="C22" s="798"/>
      <c r="D22" s="798"/>
      <c r="E22" s="798"/>
      <c r="F22" s="798"/>
      <c r="G22" s="798"/>
      <c r="H22" s="798"/>
      <c r="I22" s="798"/>
      <c r="J22" s="798"/>
      <c r="K22" s="798"/>
      <c r="L22" s="798"/>
      <c r="M22" s="798"/>
      <c r="N22" s="612">
        <f t="shared" ref="N22:Q22" si="103">+N21+N19+N14+N10+N12</f>
        <v>16272</v>
      </c>
      <c r="O22" s="612">
        <f t="shared" si="103"/>
        <v>13368</v>
      </c>
      <c r="P22" s="612">
        <f t="shared" si="103"/>
        <v>14713</v>
      </c>
      <c r="Q22" s="612">
        <f t="shared" si="103"/>
        <v>13475</v>
      </c>
      <c r="R22" s="612">
        <f>+R21+R19+R14+R8+R9+R12</f>
        <v>13475</v>
      </c>
      <c r="S22" s="612">
        <f t="shared" ref="S22:V22" si="104">+S21+S19+S14+S10+S12</f>
        <v>16449</v>
      </c>
      <c r="T22" s="612">
        <f t="shared" si="104"/>
        <v>16473</v>
      </c>
      <c r="U22" s="612">
        <f t="shared" si="104"/>
        <v>17916</v>
      </c>
      <c r="V22" s="612">
        <f t="shared" si="104"/>
        <v>17819</v>
      </c>
      <c r="W22" s="612">
        <f t="shared" si="105"/>
        <v>17819</v>
      </c>
      <c r="X22" s="612">
        <f t="shared" ref="X22:AA22" si="106">+X21+X19+X14+X12+X10</f>
        <v>17408</v>
      </c>
      <c r="Y22" s="612">
        <f t="shared" si="106"/>
        <v>20550</v>
      </c>
      <c r="Z22" s="612">
        <f t="shared" si="106"/>
        <v>21510</v>
      </c>
      <c r="AA22" s="612">
        <f t="shared" si="106"/>
        <v>21150</v>
      </c>
      <c r="AB22" s="612">
        <f t="shared" si="107"/>
        <v>21150</v>
      </c>
      <c r="AC22" s="612">
        <f t="shared" ref="AC22:AF22" si="108">+AC21+AC19+AC14+AC12+AC10</f>
        <v>18739</v>
      </c>
      <c r="AD22" s="612">
        <f t="shared" si="108"/>
        <v>17305</v>
      </c>
      <c r="AE22" s="612">
        <f t="shared" si="108"/>
        <v>16867</v>
      </c>
      <c r="AF22" s="612">
        <f t="shared" si="108"/>
        <v>17633</v>
      </c>
      <c r="AG22" s="612">
        <f t="shared" si="109"/>
        <v>17633</v>
      </c>
      <c r="AH22" s="612">
        <f t="shared" ref="AH22:AK22" si="110">+AH21+AH19+AH14+AH12+AH10</f>
        <v>17489</v>
      </c>
      <c r="AI22" s="612">
        <f t="shared" si="110"/>
        <v>17201</v>
      </c>
      <c r="AJ22" s="612">
        <f t="shared" si="110"/>
        <v>18045</v>
      </c>
      <c r="AK22" s="612">
        <f t="shared" si="110"/>
        <v>18925</v>
      </c>
      <c r="AL22" s="612">
        <f t="shared" si="111"/>
        <v>18925</v>
      </c>
      <c r="AM22" s="612">
        <f t="shared" ref="AM22:AP22" si="112">+AM21+AM19+AM14+AM12+AM10</f>
        <v>19076</v>
      </c>
      <c r="AN22" s="612">
        <f t="shared" si="112"/>
        <v>20102</v>
      </c>
      <c r="AO22" s="612">
        <f t="shared" si="112"/>
        <v>22338</v>
      </c>
      <c r="AP22" s="612">
        <f t="shared" si="112"/>
        <v>22882</v>
      </c>
      <c r="AQ22" s="612">
        <f t="shared" si="113"/>
        <v>22882</v>
      </c>
      <c r="AR22" s="612">
        <f t="shared" ref="AR22:AU22" si="114">+AR21+AR19+AR14+AR12+AR10</f>
        <v>23091</v>
      </c>
      <c r="AS22" s="612">
        <f t="shared" si="114"/>
        <v>24758</v>
      </c>
      <c r="AT22" s="612">
        <f t="shared" si="114"/>
        <v>23990</v>
      </c>
      <c r="AU22" s="612">
        <f t="shared" si="114"/>
        <v>24058</v>
      </c>
      <c r="AV22" s="612">
        <f t="shared" si="115"/>
        <v>24058</v>
      </c>
      <c r="AW22" s="612">
        <f t="shared" ref="AW22:AZ22" si="116">+AW21+AW19+AW14+AW12+AW10</f>
        <v>23478</v>
      </c>
      <c r="AX22" s="612">
        <f t="shared" si="116"/>
        <v>22190</v>
      </c>
      <c r="AY22" s="612">
        <f t="shared" si="116"/>
        <v>21724</v>
      </c>
      <c r="AZ22" s="612">
        <f t="shared" si="116"/>
        <v>21194</v>
      </c>
      <c r="BA22" s="612">
        <f t="shared" si="117"/>
        <v>21194</v>
      </c>
      <c r="BB22" s="612">
        <f t="shared" ref="BB22:BE22" si="118">+BB21+BB19+BB14+BB12+BB10</f>
        <v>18027</v>
      </c>
      <c r="BC22" s="612">
        <f t="shared" si="118"/>
        <v>16755</v>
      </c>
      <c r="BD22" s="612">
        <f t="shared" si="118"/>
        <v>17604</v>
      </c>
      <c r="BE22" s="612">
        <f t="shared" si="118"/>
        <v>18280</v>
      </c>
      <c r="BF22" s="612">
        <f t="shared" si="119"/>
        <v>18280</v>
      </c>
      <c r="BG22" s="612">
        <f t="shared" ref="BG22:BJ22" si="120">+BG21+BG19+BG14+BG12+BG10</f>
        <v>17694</v>
      </c>
      <c r="BH22" s="612">
        <f t="shared" si="120"/>
        <v>19648</v>
      </c>
      <c r="BI22" s="612">
        <f t="shared" si="120"/>
        <v>21426</v>
      </c>
      <c r="BJ22" s="612">
        <f t="shared" si="120"/>
        <v>23885</v>
      </c>
      <c r="BK22" s="612">
        <f t="shared" si="121"/>
        <v>23885</v>
      </c>
      <c r="BL22" s="612">
        <f t="shared" ref="BL22:BO22" si="122">+BL21+BL19+BL14+BL12+BL10</f>
        <v>22064</v>
      </c>
      <c r="BM22" s="612">
        <f t="shared" si="122"/>
        <v>19778</v>
      </c>
      <c r="BN22" s="612">
        <f t="shared" si="122"/>
        <v>21423</v>
      </c>
      <c r="BO22" s="612">
        <f t="shared" si="122"/>
        <v>19871</v>
      </c>
      <c r="BP22" s="612">
        <f t="shared" si="123"/>
        <v>19871</v>
      </c>
      <c r="BQ22" s="612">
        <f t="shared" ref="BQ22:BT22" si="124">+BQ21+BQ19+BQ14+BQ12+BQ10</f>
        <v>18142</v>
      </c>
      <c r="BR22" s="612">
        <f t="shared" si="124"/>
        <v>18467</v>
      </c>
      <c r="BS22" s="612">
        <f t="shared" si="124"/>
        <v>19247</v>
      </c>
      <c r="BT22" s="612">
        <f t="shared" si="124"/>
        <v>21157</v>
      </c>
      <c r="BU22" s="612">
        <f t="shared" si="125"/>
        <v>21157</v>
      </c>
      <c r="BV22" s="612">
        <f t="shared" ref="BV22:BY22" si="126">+BV21+BV19+BV14+BV12+BV10</f>
        <v>23724</v>
      </c>
      <c r="BW22" s="612">
        <f t="shared" si="126"/>
        <v>26464</v>
      </c>
      <c r="BX22" s="612">
        <f t="shared" si="126"/>
        <v>29499</v>
      </c>
      <c r="BY22" s="612">
        <f t="shared" si="126"/>
        <v>31611</v>
      </c>
      <c r="BZ22" s="612">
        <f t="shared" si="127"/>
        <v>31611</v>
      </c>
      <c r="CA22" s="612">
        <f t="shared" ref="CA22:CD22" si="128">+CA21+CA19+CA14+CA12+CA10</f>
        <v>22795</v>
      </c>
      <c r="CB22" s="612">
        <f t="shared" si="128"/>
        <v>23102</v>
      </c>
      <c r="CC22" s="612">
        <f t="shared" si="128"/>
        <v>26698</v>
      </c>
      <c r="CD22" s="612">
        <f t="shared" si="128"/>
        <v>25872</v>
      </c>
      <c r="CE22" s="612">
        <f t="shared" si="129"/>
        <v>25872</v>
      </c>
      <c r="CF22" s="612">
        <f t="shared" ref="CF22:CI22" si="130">+CF21+CF19+CF14+CF12+CF10</f>
        <v>25421</v>
      </c>
      <c r="CG22" s="612">
        <f t="shared" si="130"/>
        <v>25785</v>
      </c>
      <c r="CH22" s="612">
        <f t="shared" si="130"/>
        <v>23014</v>
      </c>
      <c r="CI22" s="612">
        <f t="shared" si="130"/>
        <v>31358</v>
      </c>
      <c r="CJ22" s="612">
        <f t="shared" si="131"/>
        <v>31358</v>
      </c>
      <c r="CK22" s="612">
        <f t="shared" ref="CK22:CN22" si="132">+CK21+CK19+CK14+CK12+CK10</f>
        <v>28677</v>
      </c>
      <c r="CL22" s="612">
        <f t="shared" si="132"/>
        <v>29048</v>
      </c>
      <c r="CM22" s="612">
        <f t="shared" si="132"/>
        <v>31350</v>
      </c>
      <c r="CN22" s="612">
        <f t="shared" si="132"/>
        <v>32084</v>
      </c>
      <c r="CO22" s="612">
        <f t="shared" si="133"/>
        <v>32084</v>
      </c>
      <c r="CP22" s="612">
        <f t="shared" ref="CP22:CS22" si="134">+CP21+CP19+CP14+CP12+CP10</f>
        <v>30554</v>
      </c>
      <c r="CQ22" s="612">
        <f t="shared" si="134"/>
        <v>29006</v>
      </c>
      <c r="CR22" s="612">
        <f t="shared" si="134"/>
        <v>27509</v>
      </c>
      <c r="CS22" s="612">
        <f t="shared" si="134"/>
        <v>27730</v>
      </c>
      <c r="CT22" s="612">
        <f t="shared" si="135"/>
        <v>27730</v>
      </c>
      <c r="CU22" s="612">
        <f t="shared" ref="CU22:CX22" si="136">+CU21+CU19+CU14+CU12+CU10</f>
        <v>26466</v>
      </c>
      <c r="CV22" s="612">
        <f t="shared" si="136"/>
        <v>26710</v>
      </c>
      <c r="CW22" s="612">
        <f t="shared" si="136"/>
        <v>36205</v>
      </c>
      <c r="CX22" s="612">
        <f t="shared" si="136"/>
        <v>40356</v>
      </c>
      <c r="CY22" s="613">
        <f t="shared" si="137"/>
        <v>40356</v>
      </c>
      <c r="CZ22" s="612">
        <f t="shared" ref="CZ22:DC22" si="138">+CZ21+CZ19+CZ14+CZ12+CZ10</f>
        <v>27397</v>
      </c>
      <c r="DA22" s="612">
        <f t="shared" si="138"/>
        <v>31188</v>
      </c>
      <c r="DB22" s="612">
        <f t="shared" si="138"/>
        <v>36216</v>
      </c>
      <c r="DC22" s="612">
        <f t="shared" si="138"/>
        <v>35508</v>
      </c>
      <c r="DD22" s="613">
        <f t="shared" si="139"/>
        <v>35508</v>
      </c>
      <c r="DE22" s="612">
        <f t="shared" ref="DE22:DH22" si="140">+DE21+DE19+DE14+DE12+DE10</f>
        <v>36058</v>
      </c>
      <c r="DF22" s="612">
        <f t="shared" si="140"/>
        <v>40617</v>
      </c>
      <c r="DG22" s="616">
        <f t="shared" si="140"/>
        <v>33154</v>
      </c>
      <c r="DH22" s="612">
        <f t="shared" si="140"/>
        <v>29500</v>
      </c>
      <c r="DI22" s="613">
        <f t="shared" si="141"/>
        <v>29500</v>
      </c>
      <c r="DJ22" s="616">
        <f t="shared" ref="DJ22:DM22" si="142">+DJ21+DJ19+DJ14+DJ12+DJ10</f>
        <v>31630</v>
      </c>
      <c r="DK22" s="616">
        <f t="shared" si="142"/>
        <v>27603</v>
      </c>
      <c r="DL22" s="616">
        <f t="shared" si="142"/>
        <v>29590</v>
      </c>
      <c r="DM22" s="616">
        <f t="shared" si="142"/>
        <v>28787</v>
      </c>
      <c r="DN22" s="613">
        <f t="shared" si="143"/>
        <v>28787</v>
      </c>
      <c r="DO22" s="616">
        <f t="shared" ref="DO22:DR22" si="144">+DO21+DO19+DO14+DO12+DO10</f>
        <v>29060</v>
      </c>
      <c r="DP22" s="616">
        <f t="shared" si="144"/>
        <v>29239</v>
      </c>
      <c r="DQ22" s="616">
        <f t="shared" si="144"/>
        <v>29957</v>
      </c>
      <c r="DR22" s="616">
        <f t="shared" si="144"/>
        <v>31239</v>
      </c>
      <c r="DS22" s="613">
        <f t="shared" si="145"/>
        <v>31239</v>
      </c>
      <c r="DT22" s="616">
        <f t="shared" ref="DT22:DW22" si="146">+DT21+DT19+DT14+DT12+DT10</f>
        <v>41501</v>
      </c>
      <c r="DU22" s="616">
        <f t="shared" si="146"/>
        <v>44390</v>
      </c>
      <c r="DV22" s="616">
        <f t="shared" si="146"/>
        <v>36785</v>
      </c>
      <c r="DW22" s="616">
        <f t="shared" si="146"/>
        <v>47249</v>
      </c>
      <c r="DX22" s="613">
        <f t="shared" si="147"/>
        <v>47249</v>
      </c>
      <c r="DY22" s="616">
        <f t="shared" ref="DY22:EB22" si="148">+DY21+DY19+DY14+DY12+DY10</f>
        <v>45773</v>
      </c>
      <c r="DZ22" s="616">
        <f t="shared" si="148"/>
        <v>49372</v>
      </c>
      <c r="EA22" s="616">
        <f t="shared" si="148"/>
        <v>61304</v>
      </c>
      <c r="EB22" s="616">
        <f t="shared" si="148"/>
        <v>57718</v>
      </c>
      <c r="EC22" s="613">
        <f t="shared" si="149"/>
        <v>57718</v>
      </c>
      <c r="ED22" s="616">
        <f t="shared" ref="ED22:EG22" si="150">+ED21+ED19+ED14+ED12+ED10</f>
        <v>62568</v>
      </c>
      <c r="EE22" s="616">
        <f t="shared" si="150"/>
        <v>50588</v>
      </c>
      <c r="EF22" s="616">
        <f t="shared" si="150"/>
        <v>49263</v>
      </c>
      <c r="EG22" s="616">
        <f t="shared" si="150"/>
        <v>50407</v>
      </c>
      <c r="EH22" s="613">
        <f t="shared" si="151"/>
        <v>50407</v>
      </c>
      <c r="EI22" s="799" t="str">
        <f t="shared" ref="EI22:EL22" si="152">+EI21+EI19+EI14+EI12+EI10</f>
        <v>#ERROR!</v>
      </c>
      <c r="EJ22" s="612" t="str">
        <f t="shared" si="152"/>
        <v>#ERROR!</v>
      </c>
      <c r="EK22" s="612" t="str">
        <f t="shared" si="152"/>
        <v>#ERROR!</v>
      </c>
      <c r="EL22" s="612" t="str">
        <f t="shared" si="152"/>
        <v>#ERROR!</v>
      </c>
      <c r="EM22" s="613" t="str">
        <f t="shared" si="153"/>
        <v>#ERROR!</v>
      </c>
      <c r="EN22" s="612" t="str">
        <f t="shared" ref="EN22:EQ22" si="154">+EN21+EN19+EN14+EN12+EN10</f>
        <v>#ERROR!</v>
      </c>
      <c r="EO22" s="612" t="str">
        <f t="shared" si="154"/>
        <v>#ERROR!</v>
      </c>
      <c r="EP22" s="612" t="str">
        <f t="shared" si="154"/>
        <v>#ERROR!</v>
      </c>
      <c r="EQ22" s="612" t="str">
        <f t="shared" si="154"/>
        <v>#ERROR!</v>
      </c>
      <c r="ER22" s="613" t="str">
        <f t="shared" si="155"/>
        <v>#ERROR!</v>
      </c>
      <c r="ES22" s="612" t="str">
        <f t="shared" ref="ES22:EV22" si="156">+ES21+ES19+ES14+ES12+ES10</f>
        <v>#ERROR!</v>
      </c>
      <c r="ET22" s="612" t="str">
        <f t="shared" si="156"/>
        <v>#ERROR!</v>
      </c>
      <c r="EU22" s="612" t="str">
        <f t="shared" si="156"/>
        <v>#ERROR!</v>
      </c>
      <c r="EV22" s="612" t="str">
        <f t="shared" si="156"/>
        <v>#ERROR!</v>
      </c>
      <c r="EW22" s="613" t="str">
        <f t="shared" si="157"/>
        <v>#ERROR!</v>
      </c>
      <c r="EX22" s="612" t="str">
        <f t="shared" ref="EX22:FA22" si="158">+EX21+EX19+EX14+EX12+EX10</f>
        <v>#ERROR!</v>
      </c>
      <c r="EY22" s="612" t="str">
        <f t="shared" si="158"/>
        <v>#ERROR!</v>
      </c>
      <c r="EZ22" s="612" t="str">
        <f t="shared" si="158"/>
        <v>#ERROR!</v>
      </c>
      <c r="FA22" s="612" t="str">
        <f t="shared" si="158"/>
        <v>#ERROR!</v>
      </c>
      <c r="FB22" s="613" t="str">
        <f t="shared" si="159"/>
        <v>#ERROR!</v>
      </c>
      <c r="FC22" s="612" t="str">
        <f t="shared" ref="FC22:FF22" si="160">+FC21+FC19+FC14+FC12+FC10</f>
        <v>#ERROR!</v>
      </c>
      <c r="FD22" s="612" t="str">
        <f t="shared" si="160"/>
        <v>#ERROR!</v>
      </c>
      <c r="FE22" s="612" t="str">
        <f t="shared" si="160"/>
        <v>#ERROR!</v>
      </c>
      <c r="FF22" s="612" t="str">
        <f t="shared" si="160"/>
        <v>#ERROR!</v>
      </c>
      <c r="FG22" s="613" t="str">
        <f t="shared" si="161"/>
        <v>#ERROR!</v>
      </c>
    </row>
    <row r="23" ht="12.75" customHeight="1">
      <c r="A23" s="179"/>
      <c r="B23" s="800"/>
      <c r="C23" s="800"/>
      <c r="D23" s="800"/>
      <c r="E23" s="800"/>
      <c r="F23" s="800"/>
      <c r="G23" s="800"/>
      <c r="H23" s="800"/>
      <c r="I23" s="800"/>
      <c r="J23" s="800"/>
      <c r="K23" s="800"/>
      <c r="L23" s="800"/>
      <c r="M23" s="800"/>
      <c r="N23" s="128"/>
      <c r="O23" s="128"/>
      <c r="P23" s="128"/>
      <c r="Q23" s="128"/>
      <c r="R23" s="73"/>
      <c r="S23" s="128"/>
      <c r="T23" s="128"/>
      <c r="U23" s="128"/>
      <c r="V23" s="128"/>
      <c r="W23" s="73"/>
      <c r="X23" s="128"/>
      <c r="Y23" s="128"/>
      <c r="Z23" s="128"/>
      <c r="AA23" s="128"/>
      <c r="AB23" s="73"/>
      <c r="AC23" s="128"/>
      <c r="AD23" s="128"/>
      <c r="AE23" s="128"/>
      <c r="AF23" s="128"/>
      <c r="AG23" s="73"/>
      <c r="AH23" s="128"/>
      <c r="AI23" s="128"/>
      <c r="AJ23" s="128"/>
      <c r="AK23" s="128"/>
      <c r="AL23" s="73"/>
      <c r="AM23" s="128"/>
      <c r="AN23" s="128"/>
      <c r="AO23" s="128"/>
      <c r="AP23" s="128"/>
      <c r="AQ23" s="73"/>
      <c r="AR23" s="128"/>
      <c r="AS23" s="128"/>
      <c r="AT23" s="128"/>
      <c r="AU23" s="128"/>
      <c r="AV23" s="73"/>
      <c r="AW23" s="128"/>
      <c r="AX23" s="128"/>
      <c r="AY23" s="128"/>
      <c r="AZ23" s="128"/>
      <c r="BA23" s="73"/>
      <c r="BB23" s="128"/>
      <c r="BC23" s="128"/>
      <c r="BD23" s="128"/>
      <c r="BE23" s="128"/>
      <c r="BF23" s="73"/>
      <c r="BG23" s="128"/>
      <c r="BH23" s="128"/>
      <c r="BI23" s="128"/>
      <c r="BJ23" s="128"/>
      <c r="BK23" s="73"/>
      <c r="BL23" s="128"/>
      <c r="BM23" s="128"/>
      <c r="BN23" s="128"/>
      <c r="BO23" s="128"/>
      <c r="BP23" s="73"/>
      <c r="BQ23" s="128"/>
      <c r="BR23" s="128"/>
      <c r="BS23" s="128"/>
      <c r="BT23" s="128"/>
      <c r="BU23" s="73"/>
      <c r="BV23" s="128"/>
      <c r="BW23" s="128"/>
      <c r="BX23" s="128"/>
      <c r="BY23" s="128"/>
      <c r="BZ23" s="73"/>
      <c r="CA23" s="128"/>
      <c r="CB23" s="128"/>
      <c r="CC23" s="128"/>
      <c r="CD23" s="128"/>
      <c r="CE23" s="73"/>
      <c r="CF23" s="128"/>
      <c r="CG23" s="128"/>
      <c r="CH23" s="128"/>
      <c r="CI23" s="128"/>
      <c r="CJ23" s="73"/>
      <c r="CK23" s="128"/>
      <c r="CL23" s="128"/>
      <c r="CM23" s="128"/>
      <c r="CN23" s="128"/>
      <c r="CO23" s="73"/>
      <c r="CP23" s="128"/>
      <c r="CQ23" s="128"/>
      <c r="CR23" s="128"/>
      <c r="CS23" s="128"/>
      <c r="CT23" s="73"/>
      <c r="CU23" s="128"/>
      <c r="CV23" s="128"/>
      <c r="CW23" s="128"/>
      <c r="CX23" s="128"/>
      <c r="CY23" s="18"/>
      <c r="CZ23" s="128"/>
      <c r="DA23" s="128"/>
      <c r="DB23" s="128"/>
      <c r="DC23" s="128"/>
      <c r="DD23" s="18"/>
      <c r="DE23" s="128"/>
      <c r="DF23" s="128"/>
      <c r="DG23" s="129"/>
      <c r="DH23" s="128"/>
      <c r="DI23" s="18"/>
      <c r="DJ23" s="129"/>
      <c r="DK23" s="129"/>
      <c r="DL23" s="129"/>
      <c r="DM23" s="129"/>
      <c r="DN23" s="18"/>
      <c r="DO23" s="129"/>
      <c r="DP23" s="129"/>
      <c r="DQ23" s="129"/>
      <c r="DR23" s="129"/>
      <c r="DS23" s="18"/>
      <c r="DT23" s="129"/>
      <c r="DU23" s="129"/>
      <c r="DV23" s="129"/>
      <c r="DW23" s="129"/>
      <c r="DX23" s="18"/>
      <c r="DY23" s="129"/>
      <c r="DZ23" s="129"/>
      <c r="EA23" s="129"/>
      <c r="EB23" s="129"/>
      <c r="EC23" s="18"/>
      <c r="ED23" s="129"/>
      <c r="EE23" s="129"/>
      <c r="EF23" s="129"/>
      <c r="EG23" s="129"/>
      <c r="EH23" s="18"/>
      <c r="EI23" s="134"/>
      <c r="EJ23" s="128"/>
      <c r="EK23" s="128"/>
      <c r="EL23" s="128"/>
      <c r="EM23" s="18"/>
      <c r="EN23" s="128"/>
      <c r="EO23" s="128"/>
      <c r="EP23" s="128"/>
      <c r="EQ23" s="128"/>
      <c r="ER23" s="18"/>
      <c r="ES23" s="128"/>
      <c r="ET23" s="128"/>
      <c r="EU23" s="128"/>
      <c r="EV23" s="128"/>
      <c r="EW23" s="18"/>
      <c r="EX23" s="128"/>
      <c r="EY23" s="128"/>
      <c r="EZ23" s="128"/>
      <c r="FA23" s="128"/>
      <c r="FB23" s="18"/>
      <c r="FC23" s="128"/>
      <c r="FD23" s="128"/>
      <c r="FE23" s="128"/>
      <c r="FF23" s="128"/>
      <c r="FG23" s="18"/>
    </row>
    <row r="24" ht="12.75" customHeight="1" outlineLevel="1">
      <c r="A24" s="179"/>
      <c r="B24" s="800" t="s">
        <v>522</v>
      </c>
      <c r="C24" s="800"/>
      <c r="D24" s="800"/>
      <c r="E24" s="800"/>
      <c r="F24" s="800"/>
      <c r="G24" s="800"/>
      <c r="H24" s="800"/>
      <c r="I24" s="800"/>
      <c r="J24" s="800"/>
      <c r="K24" s="800"/>
      <c r="L24" s="800"/>
      <c r="M24" s="800"/>
      <c r="N24" s="128">
        <v>19013.0</v>
      </c>
      <c r="O24" s="128">
        <v>20303.0</v>
      </c>
      <c r="P24" s="128">
        <v>20748.0</v>
      </c>
      <c r="Q24" s="128">
        <f t="shared" ref="Q24:Q25" si="165">R24</f>
        <v>21068</v>
      </c>
      <c r="R24" s="73">
        <v>21068.0</v>
      </c>
      <c r="S24" s="128">
        <v>21520.0</v>
      </c>
      <c r="T24" s="128">
        <v>21998.0</v>
      </c>
      <c r="U24" s="128">
        <v>22858.0</v>
      </c>
      <c r="V24" s="128">
        <f t="shared" ref="V24:V25" si="166">W24</f>
        <v>23557</v>
      </c>
      <c r="W24" s="73">
        <v>23557.0</v>
      </c>
      <c r="X24" s="128">
        <v>24119.0</v>
      </c>
      <c r="Y24" s="128">
        <v>24902.0</v>
      </c>
      <c r="Z24" s="128">
        <v>26037.0</v>
      </c>
      <c r="AA24" s="128">
        <f t="shared" ref="AA24:AA25" si="167">AB24</f>
        <v>28253</v>
      </c>
      <c r="AB24" s="73">
        <v>28253.0</v>
      </c>
      <c r="AC24" s="128">
        <v>30774.0</v>
      </c>
      <c r="AD24" s="128">
        <v>32614.0</v>
      </c>
      <c r="AE24" s="128">
        <v>33521.0</v>
      </c>
      <c r="AF24" s="128">
        <v>34356.0</v>
      </c>
      <c r="AG24" s="73">
        <f t="shared" ref="AG24:AG25" si="168">AF24</f>
        <v>34356</v>
      </c>
      <c r="AH24" s="128">
        <v>34829.0</v>
      </c>
      <c r="AI24" s="128">
        <v>35543.0</v>
      </c>
      <c r="AJ24" s="128">
        <v>36161.0</v>
      </c>
      <c r="AK24" s="128">
        <v>36912.0</v>
      </c>
      <c r="AL24" s="73">
        <f t="shared" ref="AL24:AL26" si="169">AK24</f>
        <v>36912</v>
      </c>
      <c r="AM24" s="128">
        <f>AL24-capex</f>
        <v>37866</v>
      </c>
      <c r="AN24" s="128">
        <f>AN25+AN26</f>
        <v>37926</v>
      </c>
      <c r="AO24" s="128">
        <f>AO26+AO25</f>
        <v>38732</v>
      </c>
      <c r="AP24" s="128">
        <f>12651+24233+1808</f>
        <v>38692</v>
      </c>
      <c r="AQ24" s="73">
        <f t="shared" ref="AQ24:AQ26" si="170">AP24</f>
        <v>38692</v>
      </c>
      <c r="AR24" s="128">
        <f t="shared" ref="AR24:AU24" si="162">AR26+AR25</f>
        <v>39095</v>
      </c>
      <c r="AS24" s="128">
        <f t="shared" si="162"/>
        <v>39567</v>
      </c>
      <c r="AT24" s="128">
        <f t="shared" si="162"/>
        <v>40639</v>
      </c>
      <c r="AU24" s="128">
        <f t="shared" si="162"/>
        <v>39833</v>
      </c>
      <c r="AV24" s="73">
        <f t="shared" ref="AV24:AV26" si="171">AU24</f>
        <v>39833</v>
      </c>
      <c r="AW24" s="128">
        <f t="shared" ref="AW24:AZ24" si="163">AW26+AW25</f>
        <v>41259</v>
      </c>
      <c r="AX24" s="128">
        <f t="shared" si="163"/>
        <v>42329</v>
      </c>
      <c r="AY24" s="128">
        <f t="shared" si="163"/>
        <v>43128</v>
      </c>
      <c r="AZ24" s="128">
        <f t="shared" si="163"/>
        <v>44132</v>
      </c>
      <c r="BA24" s="73">
        <f t="shared" ref="BA24:BA26" si="172">AZ24</f>
        <v>44132</v>
      </c>
      <c r="BB24" s="128">
        <f>BB25+BB26</f>
        <v>45404</v>
      </c>
      <c r="BC24" s="128">
        <f t="shared" ref="BC24:BE24" si="164">BC26+BC25</f>
        <v>46463</v>
      </c>
      <c r="BD24" s="128">
        <f t="shared" si="164"/>
        <v>46975</v>
      </c>
      <c r="BE24" s="128">
        <f t="shared" si="164"/>
        <v>47084</v>
      </c>
      <c r="BF24" s="73">
        <f t="shared" ref="BF24:BF26" si="173">BE24</f>
        <v>47084</v>
      </c>
      <c r="BG24" s="128">
        <f>netPPE+accumulateDepreciation</f>
        <v>47910</v>
      </c>
      <c r="BH24" s="128">
        <f>netPPE+accumulateDepreciation</f>
        <v>46805</v>
      </c>
      <c r="BI24" s="128">
        <f>netPPE+accumulateDepreciation</f>
        <v>47810</v>
      </c>
      <c r="BJ24" s="128">
        <f>15267+27754+3031</f>
        <v>46052</v>
      </c>
      <c r="BK24" s="73">
        <f t="shared" ref="BK24:BK26" si="174">BJ24</f>
        <v>46052</v>
      </c>
      <c r="BL24" s="128">
        <f>netPPE+accumulateDepreciation</f>
        <v>46927</v>
      </c>
      <c r="BM24" s="128">
        <f>netPPE+accumulateDepreciation</f>
        <v>48088</v>
      </c>
      <c r="BN24" s="128">
        <f>netPPE+accumulateDepreciation</f>
        <v>47368</v>
      </c>
      <c r="BO24" s="128">
        <f>netPPE+accumulateDepreciation</f>
        <v>48088</v>
      </c>
      <c r="BP24" s="73">
        <f t="shared" ref="BP24:BP26" si="175">BO24</f>
        <v>48088</v>
      </c>
      <c r="BQ24" s="128">
        <f>netPPE+accumulateDepreciation</f>
        <v>49010</v>
      </c>
      <c r="BR24" s="128">
        <f>netPPE+accumulateDepreciation</f>
        <v>48471</v>
      </c>
      <c r="BS24" s="128">
        <f>netPPE+accumulateDepreciation</f>
        <v>48615</v>
      </c>
      <c r="BT24" s="128">
        <f>netPPE+accumulateDepreciation</f>
        <v>47822</v>
      </c>
      <c r="BU24" s="73">
        <f t="shared" ref="BU24:BU26" si="176">BT24</f>
        <v>47822</v>
      </c>
      <c r="BV24" s="128">
        <f>netPPE+accumulateDepreciation</f>
        <v>47963</v>
      </c>
      <c r="BW24" s="128">
        <f>netPPE+accumulateDepreciation</f>
        <v>48418</v>
      </c>
      <c r="BX24" s="128">
        <f>netPPE+accumulateDepreciation</f>
        <v>49108</v>
      </c>
      <c r="BY24" s="128">
        <f>17421+30421+2639</f>
        <v>50481</v>
      </c>
      <c r="BZ24" s="73">
        <f t="shared" ref="BZ24:BZ26" si="177">BY24</f>
        <v>50481</v>
      </c>
      <c r="CA24" s="128">
        <f>netPPE+accumulateDepreciation</f>
        <v>53012</v>
      </c>
      <c r="CB24" s="128">
        <f>netPPE+accumulateDepreciation</f>
        <v>54871</v>
      </c>
      <c r="CC24" s="128">
        <f>netPPE+accumulateDepreciation</f>
        <v>56817</v>
      </c>
      <c r="CD24" s="128">
        <f>17883+34351+5839</f>
        <v>58073</v>
      </c>
      <c r="CE24" s="73">
        <f t="shared" ref="CE24:CE26" si="178">CD24</f>
        <v>58073</v>
      </c>
      <c r="CF24" s="128">
        <f>netPPE+accumulateDepreciation</f>
        <v>60602</v>
      </c>
      <c r="CG24" s="128">
        <f>netPPE+accumulateDepreciation</f>
        <v>61999</v>
      </c>
      <c r="CH24" s="128">
        <f>netPPE+accumulateDepreciation</f>
        <v>64166</v>
      </c>
      <c r="CI24" s="128">
        <f>18807+39033+8206</f>
        <v>66046</v>
      </c>
      <c r="CJ24" s="73">
        <f t="shared" ref="CJ24:CJ26" si="179">CI24</f>
        <v>66046</v>
      </c>
      <c r="CK24" s="128">
        <f>netPPE+accumulateDepreciation</f>
        <v>67441</v>
      </c>
      <c r="CL24" s="128">
        <f>netPPE+accumulateDepreciation</f>
        <v>70359</v>
      </c>
      <c r="CM24" s="128">
        <f>netPPE+accumulateDepreciation</f>
        <v>73381</v>
      </c>
      <c r="CN24" s="128">
        <f>netPPE+accumulateDepreciation</f>
        <v>76419</v>
      </c>
      <c r="CO24" s="73">
        <f t="shared" ref="CO24:CO26" si="180">CN24</f>
        <v>76419</v>
      </c>
      <c r="CP24" s="128">
        <f>netPPE+accumulateDepreciation</f>
        <v>79500</v>
      </c>
      <c r="CQ24" s="128">
        <f>netPPE+accumulateDepreciation</f>
        <v>82283</v>
      </c>
      <c r="CR24" s="128">
        <f>netPPE+accumulateDepreciation</f>
        <v>84501</v>
      </c>
      <c r="CS24" s="128">
        <f>netPPE+accumulateDepreciation</f>
        <v>86778</v>
      </c>
      <c r="CT24" s="73">
        <f t="shared" ref="CT24:CT26" si="181">CS24</f>
        <v>86778</v>
      </c>
      <c r="CU24" s="450">
        <f>CT24-capex</f>
        <v>88803</v>
      </c>
      <c r="CV24" s="450">
        <f>CU24-capex</f>
        <v>90570</v>
      </c>
      <c r="CW24" s="128">
        <f>CV24-capex</f>
        <v>91776</v>
      </c>
      <c r="CX24" s="128">
        <f>CW24-capex</f>
        <v>94104</v>
      </c>
      <c r="CY24" s="18">
        <f t="shared" ref="CY24:CY26" si="183">CX24</f>
        <v>94104</v>
      </c>
      <c r="CZ24" s="128">
        <f>CY24-capex</f>
        <v>95450</v>
      </c>
      <c r="DA24" s="128">
        <f>CZ24-capex</f>
        <v>97736</v>
      </c>
      <c r="DB24" s="128">
        <f>DA24-capex</f>
        <v>100199</v>
      </c>
      <c r="DC24" s="128">
        <f>DB24-capex</f>
        <v>103729</v>
      </c>
      <c r="DD24" s="18">
        <f t="shared" ref="DD24:DD26" si="185">DC24</f>
        <v>103729</v>
      </c>
      <c r="DE24" s="128">
        <f>DD24-capex</f>
        <v>105681</v>
      </c>
      <c r="DF24" s="128">
        <f>DE24-capex</f>
        <v>108459</v>
      </c>
      <c r="DG24" s="129">
        <f>DF24-capex</f>
        <v>111438</v>
      </c>
      <c r="DH24" s="128">
        <f>DG24-capex</f>
        <v>115507</v>
      </c>
      <c r="DI24" s="18">
        <f t="shared" ref="DI24:DI26" si="187">DH24</f>
        <v>115507</v>
      </c>
      <c r="DJ24" s="129">
        <f>DI24-capex</f>
        <v>118417</v>
      </c>
      <c r="DK24" s="129">
        <f>DJ24-capex</f>
        <v>122947</v>
      </c>
      <c r="DL24" s="129">
        <f>DK24-capex</f>
        <v>126798</v>
      </c>
      <c r="DM24" s="129">
        <f>DL24-capex</f>
        <v>130688</v>
      </c>
      <c r="DN24" s="18">
        <f t="shared" ref="DN24:DN26" si="189">DM24</f>
        <v>130688</v>
      </c>
      <c r="DO24" s="129">
        <f>DN24-capex</f>
        <v>134009</v>
      </c>
      <c r="DP24" s="129">
        <f>DO24-capex</f>
        <v>137563</v>
      </c>
      <c r="DQ24" s="129">
        <f>DP24-capex</f>
        <v>142235</v>
      </c>
      <c r="DR24" s="129">
        <f>DQ24-capex</f>
        <v>146901</v>
      </c>
      <c r="DS24" s="18">
        <f t="shared" ref="DS24:DS26" si="191">DR24</f>
        <v>146901</v>
      </c>
      <c r="DT24" s="129">
        <f>DS24-capex</f>
        <v>150169</v>
      </c>
      <c r="DU24" s="129">
        <f>DT24-capex</f>
        <v>153577</v>
      </c>
      <c r="DV24" s="129">
        <f>DU24-capex</f>
        <v>157293</v>
      </c>
      <c r="DW24" s="129">
        <f>DV24-capex</f>
        <v>161160</v>
      </c>
      <c r="DX24" s="18">
        <f t="shared" ref="DX24:DX26" si="193">DW24</f>
        <v>161160</v>
      </c>
      <c r="DY24" s="129">
        <f>DX24-capex</f>
        <v>165132</v>
      </c>
      <c r="DZ24" s="129">
        <f>DY24-capex</f>
        <v>168734</v>
      </c>
      <c r="EA24" s="129">
        <f>DZ24-capex</f>
        <v>172739</v>
      </c>
      <c r="EB24" s="129">
        <f>EA24-capex</f>
        <v>179893</v>
      </c>
      <c r="EC24" s="18">
        <f t="shared" ref="EC24:EC26" si="195">EB24</f>
        <v>179893</v>
      </c>
      <c r="ED24" s="129">
        <f>EC24-capex</f>
        <v>184690</v>
      </c>
      <c r="EE24" s="129">
        <f>ED24-capex</f>
        <v>191945</v>
      </c>
      <c r="EF24" s="129">
        <f>EE24-capex-CF!EF32</f>
        <v>199038</v>
      </c>
      <c r="EG24" s="129">
        <f>EF24-capex-CF!EG32</f>
        <v>204737</v>
      </c>
      <c r="EH24" s="18">
        <f t="shared" ref="EH24:EH26" si="197">EG24</f>
        <v>204737</v>
      </c>
      <c r="EI24" s="134">
        <f>EH24-capex-CF!EI32</f>
        <v>210237</v>
      </c>
      <c r="EJ24" s="128">
        <f>EI24-capex-CF!EJ32</f>
        <v>215737</v>
      </c>
      <c r="EK24" s="128">
        <f>EJ24-capex-CF!EK32</f>
        <v>221237</v>
      </c>
      <c r="EL24" s="128">
        <f>EK24-capex-CF!EL32</f>
        <v>226737</v>
      </c>
      <c r="EM24" s="18">
        <f t="shared" ref="EM24:EM26" si="198">EL24</f>
        <v>226737</v>
      </c>
      <c r="EN24" s="128">
        <f>EM24-capex-CF!EN32</f>
        <v>232237</v>
      </c>
      <c r="EO24" s="128">
        <f>EN24-capex-CF!EO32</f>
        <v>238737</v>
      </c>
      <c r="EP24" s="128">
        <f>EO24-capex-CF!EP32</f>
        <v>246237</v>
      </c>
      <c r="EQ24" s="128">
        <f>EP24-capex-CF!EQ32</f>
        <v>253737</v>
      </c>
      <c r="ER24" s="18">
        <f t="shared" ref="ER24:ER26" si="199">EQ24</f>
        <v>253737</v>
      </c>
      <c r="ES24" s="128">
        <f>ER24-capex-CF!ES32</f>
        <v>261237</v>
      </c>
      <c r="ET24" s="128">
        <f>ES24-capex-CF!ET32</f>
        <v>268737</v>
      </c>
      <c r="EU24" s="128">
        <f>ET24-capex-CF!EU32</f>
        <v>276237</v>
      </c>
      <c r="EV24" s="128">
        <f>EU24-capex-CF!EV32</f>
        <v>283737</v>
      </c>
      <c r="EW24" s="18">
        <f t="shared" ref="EW24:EW26" si="200">EV24</f>
        <v>283737</v>
      </c>
      <c r="EX24" s="128">
        <f>EW24-capex-CF!EX32</f>
        <v>291237</v>
      </c>
      <c r="EY24" s="128">
        <f>EX24-capex-CF!EY32</f>
        <v>298737</v>
      </c>
      <c r="EZ24" s="128">
        <f>EY24-capex-CF!EZ32</f>
        <v>306737</v>
      </c>
      <c r="FA24" s="128">
        <f>EZ24-capex-CF!FA32</f>
        <v>314737</v>
      </c>
      <c r="FB24" s="18">
        <f t="shared" ref="FB24:FB26" si="201">FA24</f>
        <v>314737</v>
      </c>
      <c r="FC24" s="128">
        <f>FB24-capex-CF!FC32</f>
        <v>322237</v>
      </c>
      <c r="FD24" s="128">
        <f>FC24-capex-CF!FD32</f>
        <v>329737</v>
      </c>
      <c r="FE24" s="128">
        <f>FD24-capex-CF!FE32</f>
        <v>337737</v>
      </c>
      <c r="FF24" s="128">
        <f>FE24-capex-CF!FF32</f>
        <v>345737</v>
      </c>
      <c r="FG24" s="18">
        <f t="shared" ref="FG24:FG26" si="202">FF24</f>
        <v>345737</v>
      </c>
    </row>
    <row r="25" ht="12.75" customHeight="1" outlineLevel="1">
      <c r="A25" s="179"/>
      <c r="B25" s="800" t="s">
        <v>523</v>
      </c>
      <c r="C25" s="800"/>
      <c r="D25" s="800"/>
      <c r="E25" s="800"/>
      <c r="F25" s="800"/>
      <c r="G25" s="800"/>
      <c r="H25" s="800"/>
      <c r="I25" s="800"/>
      <c r="J25" s="800"/>
      <c r="K25" s="800"/>
      <c r="L25" s="800"/>
      <c r="M25" s="800"/>
      <c r="N25" s="801">
        <v>7876.0</v>
      </c>
      <c r="O25" s="801">
        <v>8300.0</v>
      </c>
      <c r="P25" s="801">
        <v>8885.0</v>
      </c>
      <c r="Q25" s="801">
        <f t="shared" si="165"/>
        <v>9459</v>
      </c>
      <c r="R25" s="802">
        <v>9459.0</v>
      </c>
      <c r="S25" s="801">
        <v>10028.0</v>
      </c>
      <c r="T25" s="801">
        <v>10586.0</v>
      </c>
      <c r="U25" s="801">
        <v>11264.0</v>
      </c>
      <c r="V25" s="801">
        <f t="shared" si="166"/>
        <v>11842</v>
      </c>
      <c r="W25" s="802">
        <v>11842.0</v>
      </c>
      <c r="X25" s="801">
        <v>12240.0</v>
      </c>
      <c r="Y25" s="801">
        <v>12578.0</v>
      </c>
      <c r="Z25" s="801">
        <v>12623.0</v>
      </c>
      <c r="AA25" s="801">
        <f t="shared" si="167"/>
        <v>13240</v>
      </c>
      <c r="AB25" s="802">
        <v>13240.0</v>
      </c>
      <c r="AC25" s="801">
        <v>14000.0</v>
      </c>
      <c r="AD25" s="801">
        <v>14786.0</v>
      </c>
      <c r="AE25" s="801">
        <v>15383.0</v>
      </c>
      <c r="AF25" s="801">
        <v>16235.0</v>
      </c>
      <c r="AG25" s="802">
        <f t="shared" si="168"/>
        <v>16235</v>
      </c>
      <c r="AH25" s="801">
        <v>16515.0</v>
      </c>
      <c r="AI25" s="801">
        <v>17367.0</v>
      </c>
      <c r="AJ25" s="801">
        <v>18191.0</v>
      </c>
      <c r="AK25" s="801">
        <v>19065.0</v>
      </c>
      <c r="AL25" s="802">
        <f t="shared" si="169"/>
        <v>19065</v>
      </c>
      <c r="AM25" s="801">
        <f>AL25+depreciation</f>
        <v>20210</v>
      </c>
      <c r="AN25" s="801">
        <v>20634.0</v>
      </c>
      <c r="AO25" s="801">
        <v>21512.0</v>
      </c>
      <c r="AP25" s="801">
        <v>22031.0</v>
      </c>
      <c r="AQ25" s="802">
        <f t="shared" si="170"/>
        <v>22031</v>
      </c>
      <c r="AR25" s="801">
        <v>22903.0</v>
      </c>
      <c r="AS25" s="801">
        <v>23560.0</v>
      </c>
      <c r="AT25" s="801">
        <f>AS25+depreciation</f>
        <v>24715</v>
      </c>
      <c r="AU25" s="801">
        <v>24065.0</v>
      </c>
      <c r="AV25" s="802">
        <f t="shared" si="171"/>
        <v>24065</v>
      </c>
      <c r="AW25" s="801">
        <v>24938.0</v>
      </c>
      <c r="AX25" s="801">
        <v>25705.0</v>
      </c>
      <c r="AY25" s="801">
        <v>26303.0</v>
      </c>
      <c r="AZ25" s="801">
        <v>27021.0</v>
      </c>
      <c r="BA25" s="802">
        <f t="shared" si="172"/>
        <v>27021</v>
      </c>
      <c r="BB25" s="801">
        <v>27786.0</v>
      </c>
      <c r="BC25" s="801">
        <v>28365.0</v>
      </c>
      <c r="BD25" s="801">
        <v>28937.0</v>
      </c>
      <c r="BE25" s="801">
        <v>29482.0</v>
      </c>
      <c r="BF25" s="802">
        <f t="shared" si="173"/>
        <v>29482</v>
      </c>
      <c r="BG25" s="803">
        <v>30293.0</v>
      </c>
      <c r="BH25" s="801">
        <v>29662.0</v>
      </c>
      <c r="BI25" s="801">
        <f>BH25+depAmort</f>
        <v>30825</v>
      </c>
      <c r="BJ25" s="801">
        <v>29134.0</v>
      </c>
      <c r="BK25" s="802">
        <f t="shared" si="174"/>
        <v>29134</v>
      </c>
      <c r="BL25" s="801">
        <v>30260.0</v>
      </c>
      <c r="BM25" s="801">
        <f>BL25+depAmort</f>
        <v>31365</v>
      </c>
      <c r="BN25" s="801">
        <v>30342.0</v>
      </c>
      <c r="BO25" s="801">
        <v>30544.0</v>
      </c>
      <c r="BP25" s="802">
        <f t="shared" si="175"/>
        <v>30544</v>
      </c>
      <c r="BQ25" s="801">
        <v>31195.0</v>
      </c>
      <c r="BR25" s="801">
        <v>30956.0</v>
      </c>
      <c r="BS25" s="801">
        <v>31261.0</v>
      </c>
      <c r="BT25" s="801">
        <v>30597.0</v>
      </c>
      <c r="BU25" s="802">
        <f t="shared" si="176"/>
        <v>30597</v>
      </c>
      <c r="BV25" s="801">
        <v>30935.0</v>
      </c>
      <c r="BW25" s="801">
        <v>31472.0</v>
      </c>
      <c r="BX25" s="801">
        <v>31919.0</v>
      </c>
      <c r="BY25" s="801">
        <v>32582.0</v>
      </c>
      <c r="BZ25" s="802">
        <f t="shared" si="177"/>
        <v>32582</v>
      </c>
      <c r="CA25" s="801">
        <v>33453.0</v>
      </c>
      <c r="CB25" s="801">
        <v>34093.0</v>
      </c>
      <c r="CC25" s="801">
        <v>34660.0</v>
      </c>
      <c r="CD25" s="801">
        <v>34446.0</v>
      </c>
      <c r="CE25" s="802">
        <f t="shared" si="178"/>
        <v>34446</v>
      </c>
      <c r="CF25" s="801">
        <v>35575.0</v>
      </c>
      <c r="CG25" s="801">
        <v>36023.0</v>
      </c>
      <c r="CH25" s="801">
        <v>37009.0</v>
      </c>
      <c r="CI25" s="801">
        <v>38063.0</v>
      </c>
      <c r="CJ25" s="802">
        <f t="shared" si="179"/>
        <v>38063</v>
      </c>
      <c r="CK25" s="801">
        <v>39023.0</v>
      </c>
      <c r="CL25" s="801">
        <f>CK25+depAmort</f>
        <v>41014</v>
      </c>
      <c r="CM25" s="801">
        <f>CL25+depAmort</f>
        <v>43035</v>
      </c>
      <c r="CN25" s="801">
        <f>CM25+depAmort</f>
        <v>44991</v>
      </c>
      <c r="CO25" s="802">
        <f t="shared" si="180"/>
        <v>44991</v>
      </c>
      <c r="CP25" s="801">
        <f>CO25+depAmort</f>
        <v>46998</v>
      </c>
      <c r="CQ25" s="801">
        <f>CP25+depAmort</f>
        <v>49168</v>
      </c>
      <c r="CR25" s="801">
        <f>CQ25+depAmort</f>
        <v>51366</v>
      </c>
      <c r="CS25" s="804">
        <f>CR25+depAmort</f>
        <v>53540</v>
      </c>
      <c r="CT25" s="802">
        <f t="shared" si="181"/>
        <v>53540</v>
      </c>
      <c r="CU25" s="805">
        <f t="shared" ref="CU25:CX25" si="182">CU24-CU26</f>
        <v>55507</v>
      </c>
      <c r="CV25" s="805">
        <f t="shared" si="182"/>
        <v>57887</v>
      </c>
      <c r="CW25" s="805">
        <f t="shared" si="182"/>
        <v>60179</v>
      </c>
      <c r="CX25" s="805">
        <f t="shared" si="182"/>
        <v>62246</v>
      </c>
      <c r="CY25" s="806">
        <f t="shared" si="183"/>
        <v>62246</v>
      </c>
      <c r="CZ25" s="805">
        <f t="shared" ref="CZ25:DC25" si="184">CZ24-CZ26</f>
        <v>62806</v>
      </c>
      <c r="DA25" s="805">
        <f t="shared" si="184"/>
        <v>63932</v>
      </c>
      <c r="DB25" s="805">
        <f t="shared" si="184"/>
        <v>65492</v>
      </c>
      <c r="DC25" s="805">
        <f t="shared" si="184"/>
        <v>67558</v>
      </c>
      <c r="DD25" s="806">
        <f t="shared" si="185"/>
        <v>67558</v>
      </c>
      <c r="DE25" s="805">
        <f t="shared" ref="DE25:DH25" si="186">DE24-DE26</f>
        <v>68770</v>
      </c>
      <c r="DF25" s="805">
        <f t="shared" si="186"/>
        <v>70329</v>
      </c>
      <c r="DG25" s="807">
        <f t="shared" si="186"/>
        <v>71966</v>
      </c>
      <c r="DH25" s="805">
        <f t="shared" si="186"/>
        <v>74398</v>
      </c>
      <c r="DI25" s="806">
        <f t="shared" si="187"/>
        <v>74398</v>
      </c>
      <c r="DJ25" s="808">
        <f t="shared" ref="DJ25:DM25" si="188">DJ24-DJ26</f>
        <v>74682</v>
      </c>
      <c r="DK25" s="808">
        <f t="shared" si="188"/>
        <v>77033</v>
      </c>
      <c r="DL25" s="808">
        <f t="shared" si="188"/>
        <v>79727</v>
      </c>
      <c r="DM25" s="808">
        <f t="shared" si="188"/>
        <v>81712</v>
      </c>
      <c r="DN25" s="806">
        <f t="shared" si="189"/>
        <v>81712</v>
      </c>
      <c r="DO25" s="808">
        <f t="shared" ref="DO25:DR25" si="190">DO24-DO26</f>
        <v>83969</v>
      </c>
      <c r="DP25" s="808">
        <f t="shared" si="190"/>
        <v>86186</v>
      </c>
      <c r="DQ25" s="808">
        <f t="shared" si="190"/>
        <v>88672</v>
      </c>
      <c r="DR25" s="808">
        <f t="shared" si="190"/>
        <v>91515</v>
      </c>
      <c r="DS25" s="806">
        <f t="shared" si="191"/>
        <v>91515</v>
      </c>
      <c r="DT25" s="808">
        <f t="shared" ref="DT25:DW25" si="192">DT24-DT26</f>
        <v>93399</v>
      </c>
      <c r="DU25" s="808">
        <f t="shared" si="192"/>
        <v>95541</v>
      </c>
      <c r="DV25" s="808">
        <f t="shared" si="192"/>
        <v>98088</v>
      </c>
      <c r="DW25" s="808">
        <f t="shared" si="192"/>
        <v>104576</v>
      </c>
      <c r="DX25" s="806">
        <f t="shared" si="193"/>
        <v>104576</v>
      </c>
      <c r="DY25" s="808">
        <f t="shared" ref="DY25:EB25" si="194">DY24-DY26</f>
        <v>107802</v>
      </c>
      <c r="DZ25" s="808">
        <f t="shared" si="194"/>
        <v>110568</v>
      </c>
      <c r="EA25" s="808">
        <f t="shared" si="194"/>
        <v>113006</v>
      </c>
      <c r="EB25" s="808">
        <f t="shared" si="194"/>
        <v>116648</v>
      </c>
      <c r="EC25" s="806">
        <f t="shared" si="195"/>
        <v>116648</v>
      </c>
      <c r="ED25" s="808">
        <f t="shared" ref="ED25:EG25" si="196">ED24-ED26</f>
        <v>117972</v>
      </c>
      <c r="EE25" s="808">
        <f t="shared" si="196"/>
        <v>120285</v>
      </c>
      <c r="EF25" s="808">
        <f t="shared" si="196"/>
        <v>123275</v>
      </c>
      <c r="EG25" s="808">
        <f t="shared" si="196"/>
        <v>123877</v>
      </c>
      <c r="EH25" s="806">
        <f t="shared" si="197"/>
        <v>123877</v>
      </c>
      <c r="EI25" s="809">
        <f>EH25+depAmort</f>
        <v>127209.7344</v>
      </c>
      <c r="EJ25" s="801">
        <f>EI25+depAmort</f>
        <v>130572.2349</v>
      </c>
      <c r="EK25" s="801">
        <f>EJ25+depAmort</f>
        <v>133970.2099</v>
      </c>
      <c r="EL25" s="801">
        <f>EK25+depAmort</f>
        <v>137401.8103</v>
      </c>
      <c r="EM25" s="806">
        <f t="shared" si="198"/>
        <v>137401.8103</v>
      </c>
      <c r="EN25" s="801">
        <f>EM25+depAmort</f>
        <v>140851.6218</v>
      </c>
      <c r="EO25" s="801">
        <f>EN25+depAmort</f>
        <v>144344.496</v>
      </c>
      <c r="EP25" s="801">
        <f>EO25+depAmort</f>
        <v>147907.662</v>
      </c>
      <c r="EQ25" s="801">
        <f>EP25+depAmort</f>
        <v>151538.7632</v>
      </c>
      <c r="ER25" s="806">
        <f t="shared" si="199"/>
        <v>151538.7632</v>
      </c>
      <c r="ES25" s="801">
        <f>ER25+depAmort</f>
        <v>155235.6619</v>
      </c>
      <c r="ET25" s="801">
        <f>ES25+depAmort</f>
        <v>158996.0852</v>
      </c>
      <c r="EU25" s="801">
        <f>ET25+depAmort</f>
        <v>162818.2578</v>
      </c>
      <c r="EV25" s="801">
        <f>EU25+depAmort</f>
        <v>166700.2047</v>
      </c>
      <c r="EW25" s="806">
        <f t="shared" si="200"/>
        <v>166700.2047</v>
      </c>
      <c r="EX25" s="801">
        <f>EW25+depAmort</f>
        <v>170640.0413</v>
      </c>
      <c r="EY25" s="801">
        <f>EX25+depAmort</f>
        <v>174635.9412</v>
      </c>
      <c r="EZ25" s="801">
        <f>EY25+depAmort</f>
        <v>178699.8569</v>
      </c>
      <c r="FA25" s="801">
        <f>EZ25+depAmort</f>
        <v>182829.6513</v>
      </c>
      <c r="FB25" s="806">
        <f t="shared" si="201"/>
        <v>182829.6513</v>
      </c>
      <c r="FC25" s="801">
        <f>FB25+depAmort</f>
        <v>187009.5906</v>
      </c>
      <c r="FD25" s="801">
        <f>FC25+depAmort</f>
        <v>191238.1079</v>
      </c>
      <c r="FE25" s="801">
        <f>FD25+depAmort</f>
        <v>195527.3614</v>
      </c>
      <c r="FF25" s="801">
        <f>FE25+depAmort</f>
        <v>199875.4505</v>
      </c>
      <c r="FG25" s="806">
        <f t="shared" si="202"/>
        <v>199875.4505</v>
      </c>
    </row>
    <row r="26" ht="12.75" customHeight="1">
      <c r="A26" s="179"/>
      <c r="B26" s="180" t="s">
        <v>524</v>
      </c>
      <c r="C26" s="180"/>
      <c r="D26" s="180"/>
      <c r="E26" s="180"/>
      <c r="F26" s="180"/>
      <c r="G26" s="180"/>
      <c r="H26" s="180"/>
      <c r="I26" s="180"/>
      <c r="J26" s="180"/>
      <c r="K26" s="180"/>
      <c r="L26" s="180"/>
      <c r="M26" s="180"/>
      <c r="N26" s="128">
        <f t="shared" ref="N26:P26" si="203">N24-N25</f>
        <v>11137</v>
      </c>
      <c r="O26" s="128">
        <f t="shared" si="203"/>
        <v>12003</v>
      </c>
      <c r="P26" s="128">
        <f t="shared" si="203"/>
        <v>11863</v>
      </c>
      <c r="Q26" s="128">
        <v>11609.0</v>
      </c>
      <c r="R26" s="73">
        <f t="shared" ref="R26:AJ26" si="204">R24-R25</f>
        <v>11609</v>
      </c>
      <c r="S26" s="128">
        <f t="shared" si="204"/>
        <v>11492</v>
      </c>
      <c r="T26" s="128">
        <f t="shared" si="204"/>
        <v>11412</v>
      </c>
      <c r="U26" s="128">
        <f t="shared" si="204"/>
        <v>11594</v>
      </c>
      <c r="V26" s="128">
        <f t="shared" si="204"/>
        <v>11715</v>
      </c>
      <c r="W26" s="73">
        <f t="shared" si="204"/>
        <v>11715</v>
      </c>
      <c r="X26" s="128">
        <f t="shared" si="204"/>
        <v>11879</v>
      </c>
      <c r="Y26" s="128">
        <f t="shared" si="204"/>
        <v>12324</v>
      </c>
      <c r="Z26" s="128">
        <f t="shared" si="204"/>
        <v>13414</v>
      </c>
      <c r="AA26" s="128">
        <f t="shared" si="204"/>
        <v>15013</v>
      </c>
      <c r="AB26" s="73">
        <f t="shared" si="204"/>
        <v>15013</v>
      </c>
      <c r="AC26" s="128">
        <f t="shared" si="204"/>
        <v>16774</v>
      </c>
      <c r="AD26" s="128">
        <f t="shared" si="204"/>
        <v>17828</v>
      </c>
      <c r="AE26" s="128">
        <f t="shared" si="204"/>
        <v>18138</v>
      </c>
      <c r="AF26" s="128">
        <f t="shared" si="204"/>
        <v>18121</v>
      </c>
      <c r="AG26" s="73">
        <f t="shared" si="204"/>
        <v>18121</v>
      </c>
      <c r="AH26" s="128">
        <f t="shared" si="204"/>
        <v>18314</v>
      </c>
      <c r="AI26" s="128">
        <f t="shared" si="204"/>
        <v>18176</v>
      </c>
      <c r="AJ26" s="128">
        <f t="shared" si="204"/>
        <v>17970</v>
      </c>
      <c r="AK26" s="128">
        <v>17847.0</v>
      </c>
      <c r="AL26" s="73">
        <f t="shared" si="169"/>
        <v>17847</v>
      </c>
      <c r="AM26" s="128">
        <v>17589.0</v>
      </c>
      <c r="AN26" s="128">
        <v>17292.0</v>
      </c>
      <c r="AO26" s="128">
        <v>17220.0</v>
      </c>
      <c r="AP26" s="128">
        <f>AP24-AP25</f>
        <v>16661</v>
      </c>
      <c r="AQ26" s="73">
        <f t="shared" si="170"/>
        <v>16661</v>
      </c>
      <c r="AR26" s="128">
        <v>16192.0</v>
      </c>
      <c r="AS26" s="128">
        <v>16007.0</v>
      </c>
      <c r="AT26" s="128">
        <v>15924.0</v>
      </c>
      <c r="AU26" s="128">
        <v>15768.0</v>
      </c>
      <c r="AV26" s="73">
        <f t="shared" si="171"/>
        <v>15768</v>
      </c>
      <c r="AW26" s="128">
        <v>16321.0</v>
      </c>
      <c r="AX26" s="128">
        <v>16624.0</v>
      </c>
      <c r="AY26" s="128">
        <v>16825.0</v>
      </c>
      <c r="AZ26" s="128">
        <v>17111.0</v>
      </c>
      <c r="BA26" s="73">
        <f t="shared" si="172"/>
        <v>17111</v>
      </c>
      <c r="BB26" s="128">
        <v>17618.0</v>
      </c>
      <c r="BC26" s="128">
        <v>18098.0</v>
      </c>
      <c r="BD26" s="128">
        <v>18038.0</v>
      </c>
      <c r="BE26" s="128">
        <v>17602.0</v>
      </c>
      <c r="BF26" s="73">
        <f t="shared" si="173"/>
        <v>17602</v>
      </c>
      <c r="BG26" s="128">
        <v>17617.0</v>
      </c>
      <c r="BH26" s="128">
        <v>17143.0</v>
      </c>
      <c r="BI26" s="128">
        <v>16985.0</v>
      </c>
      <c r="BJ26" s="128">
        <f>BJ24-BJ25</f>
        <v>16918</v>
      </c>
      <c r="BK26" s="73">
        <f t="shared" si="174"/>
        <v>16918</v>
      </c>
      <c r="BL26" s="128">
        <v>16667.0</v>
      </c>
      <c r="BM26" s="128">
        <v>16723.0</v>
      </c>
      <c r="BN26" s="128">
        <v>17026.0</v>
      </c>
      <c r="BO26" s="128">
        <v>17544.0</v>
      </c>
      <c r="BP26" s="73">
        <f t="shared" si="175"/>
        <v>17544</v>
      </c>
      <c r="BQ26" s="128">
        <v>17815.0</v>
      </c>
      <c r="BR26" s="128">
        <v>17515.0</v>
      </c>
      <c r="BS26" s="128">
        <v>17354.0</v>
      </c>
      <c r="BT26" s="128">
        <v>17225.0</v>
      </c>
      <c r="BU26" s="73">
        <f t="shared" si="176"/>
        <v>17225</v>
      </c>
      <c r="BV26" s="128">
        <v>17028.0</v>
      </c>
      <c r="BW26" s="128">
        <v>16946.0</v>
      </c>
      <c r="BX26" s="128">
        <v>17189.0</v>
      </c>
      <c r="BY26" s="128">
        <f>grossPPE-accumulateDepreciation</f>
        <v>17899</v>
      </c>
      <c r="BZ26" s="73">
        <f t="shared" si="177"/>
        <v>17899</v>
      </c>
      <c r="CA26" s="128">
        <v>19559.0</v>
      </c>
      <c r="CB26" s="128">
        <v>20778.0</v>
      </c>
      <c r="CC26" s="128">
        <v>22157.0</v>
      </c>
      <c r="CD26" s="128">
        <f>grossPPE-accumulateDepreciation</f>
        <v>23627</v>
      </c>
      <c r="CE26" s="73">
        <f t="shared" si="178"/>
        <v>23627</v>
      </c>
      <c r="CF26" s="128">
        <v>25027.0</v>
      </c>
      <c r="CG26" s="128">
        <v>25976.0</v>
      </c>
      <c r="CH26" s="128">
        <v>27157.0</v>
      </c>
      <c r="CI26" s="128">
        <f>grossPPE-accumulateDepreciation</f>
        <v>27983</v>
      </c>
      <c r="CJ26" s="73">
        <f t="shared" si="179"/>
        <v>27983</v>
      </c>
      <c r="CK26" s="128">
        <v>28418.0</v>
      </c>
      <c r="CL26" s="128">
        <v>29345.0</v>
      </c>
      <c r="CM26" s="128">
        <v>30346.0</v>
      </c>
      <c r="CN26" s="128">
        <v>31428.0</v>
      </c>
      <c r="CO26" s="73">
        <f t="shared" si="180"/>
        <v>31428</v>
      </c>
      <c r="CP26" s="128">
        <v>32502.0</v>
      </c>
      <c r="CQ26" s="17">
        <v>33115.0</v>
      </c>
      <c r="CR26" s="17">
        <v>33135.0</v>
      </c>
      <c r="CS26" s="17">
        <v>33238.0</v>
      </c>
      <c r="CT26" s="73">
        <f t="shared" si="181"/>
        <v>33238</v>
      </c>
      <c r="CU26" s="128">
        <v>33296.0</v>
      </c>
      <c r="CV26" s="128">
        <v>32683.0</v>
      </c>
      <c r="CW26" s="128">
        <v>31597.0</v>
      </c>
      <c r="CX26" s="128">
        <v>31858.0</v>
      </c>
      <c r="CY26" s="18">
        <f t="shared" si="183"/>
        <v>31858</v>
      </c>
      <c r="CZ26" s="17">
        <v>32644.0</v>
      </c>
      <c r="DA26" s="128">
        <v>33804.0</v>
      </c>
      <c r="DB26" s="128">
        <v>34707.0</v>
      </c>
      <c r="DC26" s="128">
        <v>36171.0</v>
      </c>
      <c r="DD26" s="18">
        <f t="shared" si="185"/>
        <v>36171</v>
      </c>
      <c r="DE26" s="128">
        <v>36911.0</v>
      </c>
      <c r="DF26" s="128">
        <v>38130.0</v>
      </c>
      <c r="DG26" s="129">
        <v>39472.0</v>
      </c>
      <c r="DH26" s="128">
        <v>41109.0</v>
      </c>
      <c r="DI26" s="18">
        <f t="shared" si="187"/>
        <v>41109</v>
      </c>
      <c r="DJ26" s="129">
        <v>43735.0</v>
      </c>
      <c r="DK26" s="129">
        <v>45914.0</v>
      </c>
      <c r="DL26" s="129">
        <v>47071.0</v>
      </c>
      <c r="DM26" s="129">
        <v>48976.0</v>
      </c>
      <c r="DN26" s="18">
        <f t="shared" si="189"/>
        <v>48976</v>
      </c>
      <c r="DO26" s="129">
        <v>50040.0</v>
      </c>
      <c r="DP26" s="129">
        <v>51377.0</v>
      </c>
      <c r="DQ26" s="129">
        <v>53563.0</v>
      </c>
      <c r="DR26" s="129">
        <v>55386.0</v>
      </c>
      <c r="DS26" s="18">
        <f t="shared" si="191"/>
        <v>55386</v>
      </c>
      <c r="DT26" s="129">
        <v>56770.0</v>
      </c>
      <c r="DU26" s="129">
        <v>58036.0</v>
      </c>
      <c r="DV26" s="129">
        <v>59205.0</v>
      </c>
      <c r="DW26" s="129">
        <v>56584.0</v>
      </c>
      <c r="DX26" s="18">
        <f t="shared" si="193"/>
        <v>56584</v>
      </c>
      <c r="DY26" s="129">
        <v>57330.0</v>
      </c>
      <c r="DZ26" s="129">
        <v>58166.0</v>
      </c>
      <c r="EA26" s="129">
        <v>59733.0</v>
      </c>
      <c r="EB26" s="129">
        <v>63245.0</v>
      </c>
      <c r="EC26" s="18">
        <f t="shared" si="195"/>
        <v>63245</v>
      </c>
      <c r="ED26" s="129">
        <v>66718.0</v>
      </c>
      <c r="EE26" s="129">
        <v>71660.0</v>
      </c>
      <c r="EF26" s="129">
        <v>75763.0</v>
      </c>
      <c r="EG26" s="129">
        <v>80860.0</v>
      </c>
      <c r="EH26" s="18">
        <f t="shared" si="197"/>
        <v>80860</v>
      </c>
      <c r="EI26" s="134">
        <f>grossPPE-accumulateDepreciation</f>
        <v>83027.26563</v>
      </c>
      <c r="EJ26" s="128">
        <f>grossPPE-accumulateDepreciation</f>
        <v>85164.76514</v>
      </c>
      <c r="EK26" s="128">
        <f>grossPPE-accumulateDepreciation</f>
        <v>87266.79005</v>
      </c>
      <c r="EL26" s="128">
        <f>grossPPE-accumulateDepreciation</f>
        <v>89335.18968</v>
      </c>
      <c r="EM26" s="18">
        <f t="shared" si="198"/>
        <v>89335.18968</v>
      </c>
      <c r="EN26" s="128">
        <f>grossPPE-accumulateDepreciation</f>
        <v>91385.37821</v>
      </c>
      <c r="EO26" s="128">
        <f>grossPPE-accumulateDepreciation</f>
        <v>94392.504</v>
      </c>
      <c r="EP26" s="128">
        <f>grossPPE-accumulateDepreciation</f>
        <v>98329.33799</v>
      </c>
      <c r="EQ26" s="128">
        <f>grossPPE-accumulateDepreciation</f>
        <v>102198.2368</v>
      </c>
      <c r="ER26" s="18">
        <f t="shared" si="199"/>
        <v>102198.2368</v>
      </c>
      <c r="ES26" s="128">
        <f>grossPPE-accumulateDepreciation</f>
        <v>106001.3381</v>
      </c>
      <c r="ET26" s="128">
        <f>grossPPE-accumulateDepreciation</f>
        <v>109740.9148</v>
      </c>
      <c r="EU26" s="128">
        <f>grossPPE-accumulateDepreciation</f>
        <v>113418.7422</v>
      </c>
      <c r="EV26" s="128">
        <f>grossPPE-accumulateDepreciation</f>
        <v>117036.7953</v>
      </c>
      <c r="EW26" s="18">
        <f t="shared" si="200"/>
        <v>117036.7953</v>
      </c>
      <c r="EX26" s="128">
        <f>grossPPE-accumulateDepreciation</f>
        <v>120596.9587</v>
      </c>
      <c r="EY26" s="128">
        <f>grossPPE-accumulateDepreciation</f>
        <v>124101.0588</v>
      </c>
      <c r="EZ26" s="128">
        <f>grossPPE-accumulateDepreciation</f>
        <v>128037.1431</v>
      </c>
      <c r="FA26" s="128">
        <f>grossPPE-accumulateDepreciation</f>
        <v>131907.3487</v>
      </c>
      <c r="FB26" s="18">
        <f t="shared" si="201"/>
        <v>131907.3487</v>
      </c>
      <c r="FC26" s="128">
        <f>grossPPE-accumulateDepreciation</f>
        <v>135227.4094</v>
      </c>
      <c r="FD26" s="128">
        <f>grossPPE-accumulateDepreciation</f>
        <v>138498.8921</v>
      </c>
      <c r="FE26" s="128">
        <f>grossPPE-accumulateDepreciation</f>
        <v>142209.6386</v>
      </c>
      <c r="FF26" s="128">
        <f>grossPPE-accumulateDepreciation</f>
        <v>145861.5495</v>
      </c>
      <c r="FG26" s="18">
        <f t="shared" si="202"/>
        <v>145861.5495</v>
      </c>
    </row>
    <row r="27" ht="12.75" customHeight="1" outlineLevel="1">
      <c r="A27" s="660"/>
      <c r="B27" s="794" t="s">
        <v>373</v>
      </c>
      <c r="C27" s="794"/>
      <c r="D27" s="794"/>
      <c r="E27" s="794"/>
      <c r="F27" s="794"/>
      <c r="G27" s="794"/>
      <c r="H27" s="794"/>
      <c r="I27" s="794"/>
      <c r="J27" s="794"/>
      <c r="K27" s="794"/>
      <c r="L27" s="794"/>
      <c r="M27" s="794"/>
      <c r="N27" s="660">
        <f>N28/Sales/IF(ISNUMBER(Dates),4,1)</f>
        <v>0.08673554408</v>
      </c>
      <c r="O27" s="660">
        <f>O28/Sales/IF(ISNUMBER(Dates),4,1)</f>
        <v>0.086046904</v>
      </c>
      <c r="P27" s="660">
        <f>P28/Sales/IF(ISNUMBER(Dates),4,1)</f>
        <v>0.06644629327</v>
      </c>
      <c r="Q27" s="660">
        <f>Q28/Sales/IF(ISNUMBER(Dates),4,1)</f>
        <v>0.05768978198</v>
      </c>
      <c r="R27" s="309">
        <f>R28/Sales/IF(ISNUMBER(Dates),4,1)</f>
        <v>0.06687473832</v>
      </c>
      <c r="S27" s="660">
        <f>S28/Sales/IF(ISNUMBER(Dates),4,1)</f>
        <v>0.1361044629</v>
      </c>
      <c r="T27" s="660">
        <f>T28/Sales/IF(ISNUMBER(Dates),4,1)</f>
        <v>0.1279647198</v>
      </c>
      <c r="U27" s="660">
        <f>U28/Sales/IF(ISNUMBER(Dates),4,1)</f>
        <v>0.1691798581</v>
      </c>
      <c r="V27" s="660">
        <f>V28/Sales/IF(ISNUMBER(Dates),4,1)</f>
        <v>0.2167864101</v>
      </c>
      <c r="W27" s="309">
        <f>W28/Sales/IF(ISNUMBER(Dates),4,1)</f>
        <v>0.2423015414</v>
      </c>
      <c r="X27" s="660">
        <f>X28/Sales/IF(ISNUMBER(Dates),4,1)</f>
        <v>0.3067996997</v>
      </c>
      <c r="Y27" s="660">
        <f>Y28/Sales/IF(ISNUMBER(Dates),4,1)</f>
        <v>0.1867771084</v>
      </c>
      <c r="Z27" s="660">
        <f>Z28/Sales/IF(ISNUMBER(Dates),4,1)</f>
        <v>0.1302256328</v>
      </c>
      <c r="AA27" s="660">
        <f>AA28/Sales/IF(ISNUMBER(Dates),4,1)</f>
        <v>0.05501608826</v>
      </c>
      <c r="AB27" s="309">
        <f>AB28/Sales/IF(ISNUMBER(Dates),4,1)</f>
        <v>0.05678111842</v>
      </c>
      <c r="AC27" s="660">
        <f>AC28/Sales/IF(ISNUMBER(Dates),4,1)</f>
        <v>0.04339523738</v>
      </c>
      <c r="AD27" s="660">
        <f>AD28/Sales/IF(ISNUMBER(Dates),4,1)</f>
        <v>0.02561572466</v>
      </c>
      <c r="AE27" s="660">
        <f>AE28/Sales/IF(ISNUMBER(Dates),4,1)</f>
        <v>0.006302521008</v>
      </c>
      <c r="AF27" s="660">
        <f>AF28/Sales/IF(ISNUMBER(Dates),4,1)</f>
        <v>0.005549190892</v>
      </c>
      <c r="AG27" s="309">
        <f>AG28/Sales/IF(ISNUMBER(Dates),4,1)</f>
        <v>0.005840461208</v>
      </c>
      <c r="AH27" s="660">
        <f>AH28/Sales/IF(ISNUMBER(Dates),4,1)</f>
        <v>0.004755935703</v>
      </c>
      <c r="AI27" s="660">
        <f>AI28/Sales/IF(ISNUMBER(Dates),4,1)</f>
        <v>0.003798069315</v>
      </c>
      <c r="AJ27" s="660">
        <f>AJ28/Sales/IF(ISNUMBER(Dates),4,1)</f>
        <v>0.002152521525</v>
      </c>
      <c r="AK27" s="660">
        <f>AK28/Sales/IF(ISNUMBER(Dates),4,1)</f>
        <v>0</v>
      </c>
      <c r="AL27" s="309">
        <f>AL28/Sales/IF(ISNUMBER(Dates),4,1)</f>
        <v>0</v>
      </c>
      <c r="AM27" s="660">
        <f>AM28/Sales/IF(ISNUMBER(Dates),4,1)</f>
        <v>0</v>
      </c>
      <c r="AN27" s="660">
        <f>AN28/Sales/IF(ISNUMBER(Dates),4,1)</f>
        <v>0</v>
      </c>
      <c r="AO27" s="660">
        <f>AO28/Sales/IF(ISNUMBER(Dates),4,1)</f>
        <v>0.01790501723</v>
      </c>
      <c r="AP27" s="660">
        <f>AP28/Sales/IF(ISNUMBER(Dates),4,1)</f>
        <v>0.01470083514</v>
      </c>
      <c r="AQ27" s="309">
        <f>AQ28/Sales/IF(ISNUMBER(Dates),4,1)</f>
        <v>0.01705318337</v>
      </c>
      <c r="AR27" s="660">
        <f>AR28/Sales/IF(ISNUMBER(Dates),4,1)</f>
        <v>0.01878630577</v>
      </c>
      <c r="AS27" s="660">
        <f>AS28/Sales/IF(ISNUMBER(Dates),4,1)</f>
        <v>0.01807677972</v>
      </c>
      <c r="AT27" s="660">
        <f>AT28/Sales/IF(ISNUMBER(Dates),4,1)</f>
        <v>0.01360524141</v>
      </c>
      <c r="AU27" s="660">
        <f>AU28/Sales/IF(ISNUMBER(Dates),4,1)</f>
        <v>0.0170868931</v>
      </c>
      <c r="AV27" s="309">
        <f>AV28/Sales/IF(ISNUMBER(Dates),4,1)</f>
        <v>0.01917624017</v>
      </c>
      <c r="AW27" s="660">
        <f>AW28/Sales/IF(ISNUMBER(Dates),4,1)</f>
        <v>0.01552893788</v>
      </c>
      <c r="AX27" s="660">
        <f>AX28/Sales/IF(ISNUMBER(Dates),4,1)</f>
        <v>0.009803921569</v>
      </c>
      <c r="AY27" s="660">
        <f>AY28/Sales/IF(ISNUMBER(Dates),4,1)</f>
        <v>0.01305220884</v>
      </c>
      <c r="AZ27" s="660">
        <f>AZ28/Sales/IF(ISNUMBER(Dates),4,1)</f>
        <v>0.01316047446</v>
      </c>
      <c r="BA27" s="309">
        <f>BA28/Sales/IF(ISNUMBER(Dates),4,1)</f>
        <v>0.01383093803</v>
      </c>
      <c r="BB27" s="660">
        <f>BB28/Sales/IF(ISNUMBER(Dates),4,1)</f>
        <v>0.01644295302</v>
      </c>
      <c r="BC27" s="660">
        <f>BC28/Sales/IF(ISNUMBER(Dates),4,1)</f>
        <v>0.01885378949</v>
      </c>
      <c r="BD27" s="660">
        <f>BD28/Sales/IF(ISNUMBER(Dates),4,1)</f>
        <v>0.01109966815</v>
      </c>
      <c r="BE27" s="660">
        <f>BE28/Sales/IF(ISNUMBER(Dates),4,1)</f>
        <v>0.01026408087</v>
      </c>
      <c r="BF27" s="309">
        <f>BF28/Sales/IF(ISNUMBER(Dates),4,1)</f>
        <v>0.01124865751</v>
      </c>
      <c r="BG27" s="660">
        <f>BG28/Sales/IF(ISNUMBER(Dates),4,1)</f>
        <v>0.01013895165</v>
      </c>
      <c r="BH27" s="660">
        <f>BH28/Sales/IF(ISNUMBER(Dates),4,1)</f>
        <v>0.01008064516</v>
      </c>
      <c r="BI27" s="660">
        <f>BI28/Sales/IF(ISNUMBER(Dates),4,1)</f>
        <v>0.02628840436</v>
      </c>
      <c r="BJ27" s="660">
        <f>BJ28/Sales/IF(ISNUMBER(Dates),4,1)</f>
        <v>0.02303491412</v>
      </c>
      <c r="BK27" s="309">
        <f>BK28/Sales/IF(ISNUMBER(Dates),4,1)</f>
        <v>0.02574737831</v>
      </c>
      <c r="BL27" s="660">
        <f>BL28/Sales/IF(ISNUMBER(Dates),4,1)</f>
        <v>0.01369792205</v>
      </c>
      <c r="BM27" s="660">
        <f>BM28/Sales/IF(ISNUMBER(Dates),4,1)</f>
        <v>0.01700105597</v>
      </c>
      <c r="BN27" s="660">
        <f>BN28/Sales/IF(ISNUMBER(Dates),4,1)</f>
        <v>0.009812077909</v>
      </c>
      <c r="BO27" s="660">
        <f>BO28/Sales/IF(ISNUMBER(Dates),4,1)</f>
        <v>0.0106977875</v>
      </c>
      <c r="BP27" s="309">
        <f>BP28/Sales/IF(ISNUMBER(Dates),4,1)</f>
        <v>0.009365189166</v>
      </c>
      <c r="BQ27" s="660">
        <f>BQ28/Sales/IF(ISNUMBER(Dates),4,1)</f>
        <v>0.0144156753</v>
      </c>
      <c r="BR27" s="660">
        <f>BR28/Sales/IF(ISNUMBER(Dates),4,1)</f>
        <v>0.0159833001</v>
      </c>
      <c r="BS27" s="660">
        <f>BS28/Sales/IF(ISNUMBER(Dates),4,1)</f>
        <v>0.02039620833</v>
      </c>
      <c r="BT27" s="660">
        <f>BT28/Sales/IF(ISNUMBER(Dates),4,1)</f>
        <v>0.01828460592</v>
      </c>
      <c r="BU27" s="309">
        <f>BU28/Sales/IF(ISNUMBER(Dates),4,1)</f>
        <v>0.02200586443</v>
      </c>
      <c r="BV27" s="660">
        <f>BV28/Sales/IF(ISNUMBER(Dates),4,1)</f>
        <v>0.02247791048</v>
      </c>
      <c r="BW27" s="660">
        <f>BW28/Sales/IF(ISNUMBER(Dates),4,1)</f>
        <v>0.02127264282</v>
      </c>
      <c r="BX27" s="660">
        <f>BX28/Sales/IF(ISNUMBER(Dates),4,1)</f>
        <v>0.02373446226</v>
      </c>
      <c r="BY27" s="660">
        <f>BY28/Sales/IF(ISNUMBER(Dates),4,1)</f>
        <v>0.02199528672</v>
      </c>
      <c r="BZ27" s="309">
        <f>BZ28/Sales/IF(ISNUMBER(Dates),4,1)</f>
        <v>0.02310707654</v>
      </c>
      <c r="CA27" s="660">
        <f>CA28/Sales/IF(ISNUMBER(Dates),4,1)</f>
        <v>0.01907060014</v>
      </c>
      <c r="CB27" s="660">
        <f>CB28/Sales/IF(ISNUMBER(Dates),4,1)</f>
        <v>0.01711172498</v>
      </c>
      <c r="CC27" s="660">
        <f>CC28/Sales/IF(ISNUMBER(Dates),4,1)</f>
        <v>0.009063444109</v>
      </c>
      <c r="CD27" s="660">
        <f>CD28/Sales/IF(ISNUMBER(Dates),4,1)</f>
        <v>0.01011737596</v>
      </c>
      <c r="CE27" s="309">
        <f>CE28/Sales/IF(ISNUMBER(Dates),4,1)</f>
        <v>0.01040760014</v>
      </c>
      <c r="CF27" s="660">
        <f>CF28/Sales/IF(ISNUMBER(Dates),4,1)</f>
        <v>0.01586471409</v>
      </c>
      <c r="CG27" s="660">
        <f>CG28/Sales/IF(ISNUMBER(Dates),4,1)</f>
        <v>0.01109177098</v>
      </c>
      <c r="CH27" s="660">
        <f>CH28/Sales/IF(ISNUMBER(Dates),4,1)</f>
        <v>0.07289886305</v>
      </c>
      <c r="CI27" s="660">
        <f>CI28/Sales/IF(ISNUMBER(Dates),4,1)</f>
        <v>0.08206574163</v>
      </c>
      <c r="CJ27" s="309">
        <f>CJ28/Sales/IF(ISNUMBER(Dates),4,1)</f>
        <v>0.08293807765</v>
      </c>
      <c r="CK27" s="660">
        <f>CK28/Sales/IF(ISNUMBER(Dates),4,1)</f>
        <v>0.09336248013</v>
      </c>
      <c r="CL27" s="660">
        <f>CL28/Sales/IF(ISNUMBER(Dates),4,1)</f>
        <v>0.1046171259</v>
      </c>
      <c r="CM27" s="660">
        <f>CM28/Sales/IF(ISNUMBER(Dates),4,1)</f>
        <v>0.1207817251</v>
      </c>
      <c r="CN27" s="660">
        <f>CN28/Sales/IF(ISNUMBER(Dates),4,1)</f>
        <v>0.1124222929</v>
      </c>
      <c r="CO27" s="309">
        <f>CO28/Sales/IF(ISNUMBER(Dates),4,1)</f>
        <v>0.1180276239</v>
      </c>
      <c r="CP27" s="660">
        <f>CP28/Sales/IF(ISNUMBER(Dates),4,1)</f>
        <v>0.119182858</v>
      </c>
      <c r="CQ27" s="660">
        <f>CQ28/Sales/IF(ISNUMBER(Dates),4,1)</f>
        <v>0.1092473429</v>
      </c>
      <c r="CR27" s="660">
        <f>CR28/Sales/IF(ISNUMBER(Dates),4,1)</f>
        <v>0.1118936375</v>
      </c>
      <c r="CS27" s="15">
        <f>CS28/Sales/IF(ISNUMBER(Dates),4,1)</f>
        <v>0.1205251002</v>
      </c>
      <c r="CT27" s="309">
        <f>CT28/Sales/IF(ISNUMBER(Dates),4,1)</f>
        <v>0.127027027</v>
      </c>
      <c r="CU27" s="15">
        <f>CU28/Sales/IF(ISNUMBER(Dates),4,1)</f>
        <v>0.1281003051</v>
      </c>
      <c r="CV27" s="15">
        <f>CV28/Sales/IF(ISNUMBER(Dates),4,1)</f>
        <v>0.1365668814</v>
      </c>
      <c r="CW27" s="15">
        <f>CW28/Sales/IF(ISNUMBER(Dates),4,1)</f>
        <v>0.09709643968</v>
      </c>
      <c r="CX27" s="15">
        <f>CX28/Sales/IF(ISNUMBER(Dates),4,1)</f>
        <v>0.09990612847</v>
      </c>
      <c r="CY27" s="37">
        <f>CY28/Sales/IF(ISNUMBER(Dates),4,1)</f>
        <v>0.1076686839</v>
      </c>
      <c r="CZ27" s="660">
        <f>CZ28/Sales/IF(ISNUMBER(Dates),4,1)</f>
        <v>0.1155169915</v>
      </c>
      <c r="DA27" s="660">
        <f>DA28/Sales/IF(ISNUMBER(Dates),4,1)</f>
        <v>0.09964531146</v>
      </c>
      <c r="DB27" s="660">
        <f>DB28/Sales/IF(ISNUMBER(Dates),4,1)</f>
        <v>0.09541767017</v>
      </c>
      <c r="DC27" s="15">
        <f>DC28/Sales/IF(ISNUMBER(Dates),4,1)</f>
        <v>0.09435690729</v>
      </c>
      <c r="DD27" s="37">
        <f>DD28/Sales/IF(ISNUMBER(Dates),4,1)</f>
        <v>0.1038899909</v>
      </c>
      <c r="DE27" s="660">
        <f>DE28/Sales/IF(ISNUMBER(Dates),4,1)</f>
        <v>0.115419708</v>
      </c>
      <c r="DF27" s="660">
        <f>DF28/Sales/IF(ISNUMBER(Dates),4,1)</f>
        <v>0.09997967893</v>
      </c>
      <c r="DG27" s="660">
        <f>DG28/Sales/IF(ISNUMBER(Dates),4,1)</f>
        <v>0.09379837761</v>
      </c>
      <c r="DH27" s="15">
        <f>DH28/Sales/IF(ISNUMBER(Dates),4,1)</f>
        <v>0.06145546238</v>
      </c>
      <c r="DI27" s="37">
        <f>DI28/Sales/IF(ISNUMBER(Dates),4,1)</f>
        <v>0.06679307213</v>
      </c>
      <c r="DJ27" s="660">
        <f>DJ28/Sales/IF(ISNUMBER(Dates),4,1)</f>
        <v>0.1475320553</v>
      </c>
      <c r="DK27" s="660">
        <f>DK28/Sales/IF(ISNUMBER(Dates),4,1)</f>
        <v>0.1362604646</v>
      </c>
      <c r="DL27" s="660">
        <f>DL28/Sales/IF(ISNUMBER(Dates),4,1)</f>
        <v>0.09851014977</v>
      </c>
      <c r="DM27" s="660">
        <f>DM28/Sales/IF(ISNUMBER(Dates),4,1)</f>
        <v>0.08096156938</v>
      </c>
      <c r="DN27" s="37">
        <f>DN28/Sales/IF(ISNUMBER(Dates),4,1)</f>
        <v>0.08528116531</v>
      </c>
      <c r="DO27" s="83">
        <f>DO28/Sales/IF(ISNUMBER(Dates),4,1)</f>
        <v>0.08178195629</v>
      </c>
      <c r="DP27" s="83">
        <f>DP28/Sales/IF(ISNUMBER(Dates),4,1)</f>
        <v>0.07011511663</v>
      </c>
      <c r="DQ27" s="83">
        <f>DQ28/Sales/IF(ISNUMBER(Dates),4,1)</f>
        <v>0.0627800938</v>
      </c>
      <c r="DR27" s="83">
        <f>DR28/Sales/IF(ISNUMBER(Dates),4,1)</f>
        <v>0.0490746697</v>
      </c>
      <c r="DS27" s="37">
        <f>DS28/Sales/IF(ISNUMBER(Dates),4,1)</f>
        <v>0.05512401862</v>
      </c>
      <c r="DT27" s="83">
        <f>DT28/Sales/IF(ISNUMBER(Dates),4,1)</f>
        <v>0.04892071818</v>
      </c>
      <c r="DU27" s="83">
        <f>DU28/Sales/IF(ISNUMBER(Dates),4,1)</f>
        <v>0.04943481346</v>
      </c>
      <c r="DV27" s="83">
        <f>DV28/Sales/IF(ISNUMBER(Dates),4,1)</f>
        <v>0.05016909398</v>
      </c>
      <c r="DW27" s="83">
        <f>DW28/Sales/IF(ISNUMBER(Dates),4,1)</f>
        <v>0.06447091801</v>
      </c>
      <c r="DX27" s="37">
        <f>DX28/Sales/IF(ISNUMBER(Dates),4,1)</f>
        <v>0.06616410032</v>
      </c>
      <c r="DY27" s="83">
        <f>DY28/Sales/IF(ISNUMBER(Dates),4,1)</f>
        <v>0.07276742432</v>
      </c>
      <c r="DZ27" s="83">
        <f>DZ28/Sales/IF(ISNUMBER(Dates),4,1)</f>
        <v>0.07628284681</v>
      </c>
      <c r="EA27" s="83">
        <f>EA28/Sales/IF(ISNUMBER(Dates),4,1)</f>
        <v>0.08362359706</v>
      </c>
      <c r="EB27" s="83">
        <f>EB28/Sales/IF(ISNUMBER(Dates),4,1)</f>
        <v>0.08061130453</v>
      </c>
      <c r="EC27" s="37">
        <f>EC28/Sales/IF(ISNUMBER(Dates),4,1)</f>
        <v>0.08429026473</v>
      </c>
      <c r="ED27" s="83">
        <f>ED28/Sales/IF(ISNUMBER(Dates),4,1)</f>
        <v>0.08222089032</v>
      </c>
      <c r="EE27" s="83">
        <f>EE28/Sales/IF(ISNUMBER(Dates),4,1)</f>
        <v>0.09674629593</v>
      </c>
      <c r="EF27" s="83">
        <f>EF28/Sales/IF(ISNUMBER(Dates),4,1)</f>
        <v>0.09489503195</v>
      </c>
      <c r="EG27" s="83">
        <f>EG28/Sales/IF(ISNUMBER(Dates),4,1)</f>
        <v>0.1052556616</v>
      </c>
      <c r="EH27" s="37">
        <f>EH28/Sales/IF(ISNUMBER(Dates),4,1)</f>
        <v>0.09376090335</v>
      </c>
      <c r="EI27" s="661">
        <f>EG27</f>
        <v>0.1052556616</v>
      </c>
      <c r="EJ27" s="660">
        <f t="shared" ref="EJ27:EL27" si="205">EI27</f>
        <v>0.1052556616</v>
      </c>
      <c r="EK27" s="660">
        <f t="shared" si="205"/>
        <v>0.1052556616</v>
      </c>
      <c r="EL27" s="660">
        <f t="shared" si="205"/>
        <v>0.1052556616</v>
      </c>
      <c r="EM27" s="37" t="str">
        <f>EM28/Sales/IF(ISNUMBER(Dates),4,1)</f>
        <v>#ERROR!</v>
      </c>
      <c r="EN27" s="660">
        <f>EL27</f>
        <v>0.1052556616</v>
      </c>
      <c r="EO27" s="660">
        <f t="shared" ref="EO27:EQ27" si="206">EN27</f>
        <v>0.1052556616</v>
      </c>
      <c r="EP27" s="660">
        <f t="shared" si="206"/>
        <v>0.1052556616</v>
      </c>
      <c r="EQ27" s="660">
        <f t="shared" si="206"/>
        <v>0.1052556616</v>
      </c>
      <c r="ER27" s="37" t="str">
        <f>ER28/Sales/IF(ISNUMBER(Dates),4,1)</f>
        <v>#ERROR!</v>
      </c>
      <c r="ES27" s="660">
        <f>EQ27</f>
        <v>0.1052556616</v>
      </c>
      <c r="ET27" s="660">
        <f t="shared" ref="ET27:EV27" si="207">ES27</f>
        <v>0.1052556616</v>
      </c>
      <c r="EU27" s="660">
        <f t="shared" si="207"/>
        <v>0.1052556616</v>
      </c>
      <c r="EV27" s="660">
        <f t="shared" si="207"/>
        <v>0.1052556616</v>
      </c>
      <c r="EW27" s="37" t="str">
        <f>EW28/Sales/IF(ISNUMBER(Dates),4,1)</f>
        <v>#ERROR!</v>
      </c>
      <c r="EX27" s="660">
        <f>EV27</f>
        <v>0.1052556616</v>
      </c>
      <c r="EY27" s="660">
        <f t="shared" ref="EY27:FA27" si="208">EX27</f>
        <v>0.1052556616</v>
      </c>
      <c r="EZ27" s="660">
        <f t="shared" si="208"/>
        <v>0.1052556616</v>
      </c>
      <c r="FA27" s="660">
        <f t="shared" si="208"/>
        <v>0.1052556616</v>
      </c>
      <c r="FB27" s="37" t="str">
        <f>FB28/Sales/IF(ISNUMBER(Dates),4,1)</f>
        <v>#ERROR!</v>
      </c>
      <c r="FC27" s="660">
        <f>FA27</f>
        <v>0.1052556616</v>
      </c>
      <c r="FD27" s="660">
        <f t="shared" ref="FD27:FF27" si="209">FC27</f>
        <v>0.1052556616</v>
      </c>
      <c r="FE27" s="660">
        <f t="shared" si="209"/>
        <v>0.1052556616</v>
      </c>
      <c r="FF27" s="660">
        <f t="shared" si="209"/>
        <v>0.1052556616</v>
      </c>
      <c r="FG27" s="37" t="str">
        <f>FG28/Sales/IF(ISNUMBER(Dates),4,1)</f>
        <v>#ERROR!</v>
      </c>
    </row>
    <row r="28" ht="12.75" customHeight="1">
      <c r="A28" s="179"/>
      <c r="B28" s="180" t="s">
        <v>525</v>
      </c>
      <c r="C28" s="180"/>
      <c r="D28" s="180"/>
      <c r="E28" s="180"/>
      <c r="F28" s="180"/>
      <c r="G28" s="180"/>
      <c r="H28" s="180"/>
      <c r="I28" s="180"/>
      <c r="J28" s="180"/>
      <c r="K28" s="180"/>
      <c r="L28" s="180"/>
      <c r="M28" s="180"/>
      <c r="N28" s="128">
        <v>2082.0</v>
      </c>
      <c r="O28" s="128">
        <v>2040.0</v>
      </c>
      <c r="P28" s="128">
        <v>1789.0</v>
      </c>
      <c r="Q28" s="128">
        <v>1757.0</v>
      </c>
      <c r="R28" s="73">
        <v>1757.0</v>
      </c>
      <c r="S28" s="128">
        <v>3867.0</v>
      </c>
      <c r="T28" s="128">
        <v>3453.0</v>
      </c>
      <c r="U28" s="128">
        <v>4959.0</v>
      </c>
      <c r="V28" s="128">
        <v>7121.0</v>
      </c>
      <c r="W28" s="73">
        <f>+V28</f>
        <v>7121</v>
      </c>
      <c r="X28" s="128">
        <v>9809.0</v>
      </c>
      <c r="Y28" s="128">
        <v>6201.0</v>
      </c>
      <c r="Z28" s="128">
        <v>4548.0</v>
      </c>
      <c r="AA28" s="128">
        <v>1915.0</v>
      </c>
      <c r="AB28" s="73">
        <f>+AA28</f>
        <v>1915</v>
      </c>
      <c r="AC28" s="128">
        <v>1159.0</v>
      </c>
      <c r="AD28" s="128">
        <v>649.0</v>
      </c>
      <c r="AE28" s="128">
        <v>165.0</v>
      </c>
      <c r="AF28" s="128">
        <v>155.0</v>
      </c>
      <c r="AG28" s="73">
        <f>+AF28</f>
        <v>155</v>
      </c>
      <c r="AH28" s="128">
        <v>129.0</v>
      </c>
      <c r="AI28" s="128">
        <v>96.0</v>
      </c>
      <c r="AJ28" s="128">
        <v>56.0</v>
      </c>
      <c r="AK28" s="128">
        <v>0.0</v>
      </c>
      <c r="AL28" s="73">
        <f>AK28</f>
        <v>0</v>
      </c>
      <c r="AM28" s="128">
        <v>0.0</v>
      </c>
      <c r="AN28" s="128">
        <v>0.0</v>
      </c>
      <c r="AO28" s="128">
        <v>561.0</v>
      </c>
      <c r="AP28" s="128">
        <v>514.0</v>
      </c>
      <c r="AQ28" s="73">
        <f>AP28</f>
        <v>514</v>
      </c>
      <c r="AR28" s="128">
        <v>608.0</v>
      </c>
      <c r="AS28" s="128">
        <v>582.0</v>
      </c>
      <c r="AT28" s="128">
        <v>461.0</v>
      </c>
      <c r="AU28" s="128">
        <v>656.0</v>
      </c>
      <c r="AV28" s="73">
        <f>AU28</f>
        <v>656</v>
      </c>
      <c r="AW28" s="128">
        <v>586.0</v>
      </c>
      <c r="AX28" s="128">
        <v>362.0</v>
      </c>
      <c r="AY28" s="128">
        <v>520.0</v>
      </c>
      <c r="AZ28" s="128">
        <v>537.0</v>
      </c>
      <c r="BA28" s="73">
        <f>AZ28</f>
        <v>537</v>
      </c>
      <c r="BB28" s="128">
        <v>588.0</v>
      </c>
      <c r="BC28" s="128">
        <v>604.0</v>
      </c>
      <c r="BD28" s="128">
        <v>388.0</v>
      </c>
      <c r="BE28" s="128">
        <v>398.0</v>
      </c>
      <c r="BF28" s="73">
        <f>BE28</f>
        <v>398</v>
      </c>
      <c r="BG28" s="128">
        <v>359.0</v>
      </c>
      <c r="BH28" s="128">
        <v>350.0</v>
      </c>
      <c r="BI28" s="128">
        <v>1061.0</v>
      </c>
      <c r="BJ28" s="128">
        <v>987.0</v>
      </c>
      <c r="BK28" s="73">
        <f>BJ28</f>
        <v>987</v>
      </c>
      <c r="BL28" s="128">
        <v>530.0</v>
      </c>
      <c r="BM28" s="128">
        <v>644.0</v>
      </c>
      <c r="BN28" s="128">
        <v>401.0</v>
      </c>
      <c r="BO28" s="128">
        <v>352.0</v>
      </c>
      <c r="BP28" s="73">
        <f>BO28</f>
        <v>352</v>
      </c>
      <c r="BQ28" s="128">
        <v>412.0</v>
      </c>
      <c r="BR28" s="128">
        <v>513.0</v>
      </c>
      <c r="BS28" s="128">
        <v>766.0</v>
      </c>
      <c r="BT28" s="128">
        <v>773.0</v>
      </c>
      <c r="BU28" s="73">
        <f>BT28</f>
        <v>773</v>
      </c>
      <c r="BV28" s="128">
        <v>926.0</v>
      </c>
      <c r="BW28" s="128">
        <v>916.0</v>
      </c>
      <c r="BX28" s="128">
        <v>1054.0</v>
      </c>
      <c r="BY28" s="128">
        <v>1008.0</v>
      </c>
      <c r="BZ28" s="73">
        <f>BY28</f>
        <v>1008</v>
      </c>
      <c r="CA28" s="128">
        <v>980.0</v>
      </c>
      <c r="CB28" s="128">
        <v>892.0</v>
      </c>
      <c r="CC28" s="128">
        <v>516.0</v>
      </c>
      <c r="CD28" s="128">
        <v>562.0</v>
      </c>
      <c r="CE28" s="73">
        <f>CD28</f>
        <v>562</v>
      </c>
      <c r="CF28" s="128">
        <v>819.0</v>
      </c>
      <c r="CG28" s="128">
        <v>599.0</v>
      </c>
      <c r="CH28" s="128">
        <v>3924.0</v>
      </c>
      <c r="CI28" s="128">
        <v>4424.0</v>
      </c>
      <c r="CJ28" s="73">
        <f>CI28</f>
        <v>4424</v>
      </c>
      <c r="CK28" s="128">
        <v>4698.0</v>
      </c>
      <c r="CL28" s="128">
        <v>5361.0</v>
      </c>
      <c r="CM28" s="128">
        <v>6514.0</v>
      </c>
      <c r="CN28" s="128">
        <v>6221.0</v>
      </c>
      <c r="CO28" s="73">
        <f>CN28</f>
        <v>6221</v>
      </c>
      <c r="CP28" s="128">
        <v>6085.0</v>
      </c>
      <c r="CQ28" s="17">
        <v>6044.0</v>
      </c>
      <c r="CR28" s="17">
        <v>6514.0</v>
      </c>
      <c r="CS28" s="17">
        <v>7097.0</v>
      </c>
      <c r="CT28" s="73">
        <f>CS28</f>
        <v>7097</v>
      </c>
      <c r="CU28" s="128">
        <v>6549.0</v>
      </c>
      <c r="CV28" s="128">
        <v>7208.0</v>
      </c>
      <c r="CW28" s="128">
        <v>5618.0</v>
      </c>
      <c r="CX28" s="128">
        <v>5960.0</v>
      </c>
      <c r="CY28" s="18">
        <f>CX28</f>
        <v>5960</v>
      </c>
      <c r="CZ28" s="128">
        <v>6377.0</v>
      </c>
      <c r="DA28" s="128">
        <v>5394.0</v>
      </c>
      <c r="DB28" s="128">
        <v>6022.0</v>
      </c>
      <c r="DC28" s="128">
        <v>6180.0</v>
      </c>
      <c r="DD28" s="18">
        <f>DC28</f>
        <v>6180</v>
      </c>
      <c r="DE28" s="128">
        <v>6831.0</v>
      </c>
      <c r="DF28" s="128">
        <v>5904.0</v>
      </c>
      <c r="DG28" s="129">
        <v>6059.0</v>
      </c>
      <c r="DH28" s="128">
        <v>4192.0</v>
      </c>
      <c r="DI28" s="18">
        <f>DH28</f>
        <v>4192</v>
      </c>
      <c r="DJ28" s="129">
        <v>9481.0</v>
      </c>
      <c r="DK28" s="129">
        <v>9245.0</v>
      </c>
      <c r="DL28" s="129">
        <v>7551.0</v>
      </c>
      <c r="DM28" s="129">
        <v>6042.0</v>
      </c>
      <c r="DN28" s="18">
        <f>DM28</f>
        <v>6042</v>
      </c>
      <c r="DO28" s="129">
        <v>5254.0</v>
      </c>
      <c r="DP28" s="129">
        <v>4629.0</v>
      </c>
      <c r="DQ28" s="129">
        <v>4819.0</v>
      </c>
      <c r="DR28" s="129">
        <v>3967.0</v>
      </c>
      <c r="DS28" s="18">
        <f>DR28</f>
        <v>3967</v>
      </c>
      <c r="DT28" s="129">
        <v>3880.0</v>
      </c>
      <c r="DU28" s="129">
        <v>3901.0</v>
      </c>
      <c r="DV28" s="129">
        <v>3679.0</v>
      </c>
      <c r="DW28" s="129">
        <v>5152.0</v>
      </c>
      <c r="DX28" s="18">
        <f>DW28</f>
        <v>5152</v>
      </c>
      <c r="DY28" s="129">
        <v>5404.0</v>
      </c>
      <c r="DZ28" s="129">
        <v>5655.0</v>
      </c>
      <c r="EA28" s="129">
        <v>6050.0</v>
      </c>
      <c r="EB28" s="129">
        <v>6298.0</v>
      </c>
      <c r="EC28" s="18">
        <f>EB28</f>
        <v>6298</v>
      </c>
      <c r="ED28" s="129">
        <v>6036.0</v>
      </c>
      <c r="EE28" s="129">
        <v>5929.0</v>
      </c>
      <c r="EF28" s="129">
        <v>5822.0</v>
      </c>
      <c r="EG28" s="129">
        <v>5912.0</v>
      </c>
      <c r="EH28" s="18">
        <f>EG28</f>
        <v>5912</v>
      </c>
      <c r="EI28" s="134">
        <f>+EG28</f>
        <v>5912</v>
      </c>
      <c r="EJ28" s="128">
        <f t="shared" ref="EJ28:EL28" si="210">+EI28</f>
        <v>5912</v>
      </c>
      <c r="EK28" s="128">
        <f t="shared" si="210"/>
        <v>5912</v>
      </c>
      <c r="EL28" s="128">
        <f t="shared" si="210"/>
        <v>5912</v>
      </c>
      <c r="EM28" s="18">
        <f>EL28</f>
        <v>5912</v>
      </c>
      <c r="EN28" s="128">
        <f>+EL28</f>
        <v>5912</v>
      </c>
      <c r="EO28" s="128">
        <f t="shared" ref="EO28:EQ28" si="211">+EN28</f>
        <v>5912</v>
      </c>
      <c r="EP28" s="128">
        <f t="shared" si="211"/>
        <v>5912</v>
      </c>
      <c r="EQ28" s="128">
        <f t="shared" si="211"/>
        <v>5912</v>
      </c>
      <c r="ER28" s="18">
        <f>EQ28</f>
        <v>5912</v>
      </c>
      <c r="ES28" s="128">
        <f>+EQ28</f>
        <v>5912</v>
      </c>
      <c r="ET28" s="128">
        <f t="shared" ref="ET28:EV28" si="212">+ES28</f>
        <v>5912</v>
      </c>
      <c r="EU28" s="128">
        <f t="shared" si="212"/>
        <v>5912</v>
      </c>
      <c r="EV28" s="128">
        <f t="shared" si="212"/>
        <v>5912</v>
      </c>
      <c r="EW28" s="18">
        <f>EV28</f>
        <v>5912</v>
      </c>
      <c r="EX28" s="128">
        <f>+EV28</f>
        <v>5912</v>
      </c>
      <c r="EY28" s="128">
        <f t="shared" ref="EY28:FA28" si="213">+EX28</f>
        <v>5912</v>
      </c>
      <c r="EZ28" s="128">
        <f t="shared" si="213"/>
        <v>5912</v>
      </c>
      <c r="FA28" s="128">
        <f t="shared" si="213"/>
        <v>5912</v>
      </c>
      <c r="FB28" s="18">
        <f>FA28</f>
        <v>5912</v>
      </c>
      <c r="FC28" s="128">
        <f>+FA28</f>
        <v>5912</v>
      </c>
      <c r="FD28" s="128">
        <f t="shared" ref="FD28:FF28" si="214">+FC28</f>
        <v>5912</v>
      </c>
      <c r="FE28" s="128">
        <f t="shared" si="214"/>
        <v>5912</v>
      </c>
      <c r="FF28" s="128">
        <f t="shared" si="214"/>
        <v>5912</v>
      </c>
      <c r="FG28" s="18">
        <f>FF28</f>
        <v>5912</v>
      </c>
    </row>
    <row r="29" ht="12.75" customHeight="1" outlineLevel="1">
      <c r="A29" s="660"/>
      <c r="B29" s="794" t="s">
        <v>373</v>
      </c>
      <c r="C29" s="794"/>
      <c r="D29" s="794"/>
      <c r="E29" s="794"/>
      <c r="F29" s="794"/>
      <c r="G29" s="794"/>
      <c r="H29" s="794"/>
      <c r="I29" s="794"/>
      <c r="J29" s="794"/>
      <c r="K29" s="794"/>
      <c r="L29" s="794"/>
      <c r="M29" s="794"/>
      <c r="N29" s="660">
        <f>N33/Sales/IF(ISNUMBER(Dates),4,1)</f>
        <v>0.03074487585</v>
      </c>
      <c r="O29" s="660">
        <f>O33/Sales/IF(ISNUMBER(Dates),4,1)</f>
        <v>0.04247511389</v>
      </c>
      <c r="P29" s="660">
        <f>P33/Sales/IF(ISNUMBER(Dates),4,1)</f>
        <v>0.03799584014</v>
      </c>
      <c r="Q29" s="660">
        <f>Q33/Sales/IF(ISNUMBER(Dates),4,1)</f>
        <v>0.15202259</v>
      </c>
      <c r="R29" s="309">
        <f>+R33/IS!$Q$12</f>
        <v>0.6080903599</v>
      </c>
      <c r="S29" s="660">
        <f>S33/Sales/IF(ISNUMBER(Dates),4,1)</f>
        <v>0.04522736872</v>
      </c>
      <c r="T29" s="660">
        <f>T33/Sales/IF(ISNUMBER(Dates),4,1)</f>
        <v>0.05421731396</v>
      </c>
      <c r="U29" s="660">
        <f>U33/Sales/IF(ISNUMBER(Dates),4,1)</f>
        <v>0.152463155</v>
      </c>
      <c r="V29" s="660">
        <f>V33/Sales/IF(ISNUMBER(Dates),4,1)</f>
        <v>0.2190087677</v>
      </c>
      <c r="W29" s="309">
        <f>W33/Sales</f>
        <v>0.2447854639</v>
      </c>
      <c r="X29" s="660">
        <f>X33/Sales/IF(ISNUMBER(Dates),4,1)</f>
        <v>0.2725822595</v>
      </c>
      <c r="Y29" s="660">
        <f>Y33/Sales/IF(ISNUMBER(Dates),4,1)</f>
        <v>0.2844879518</v>
      </c>
      <c r="Z29" s="660">
        <f>Z33/Sales/IF(ISNUMBER(Dates),4,1)</f>
        <v>0.2731932196</v>
      </c>
      <c r="AA29" s="660">
        <f>AA33/Sales/IF(ISNUMBER(Dates),4,1)</f>
        <v>0.2834693174</v>
      </c>
      <c r="AB29" s="309">
        <f>AB33/Sales</f>
        <v>0.2925636008</v>
      </c>
      <c r="AC29" s="660">
        <f>AC33/Sales/IF(ISNUMBER(Dates),4,1)</f>
        <v>0.3585816984</v>
      </c>
      <c r="AD29" s="660">
        <f>AD33/Sales/IF(ISNUMBER(Dates),4,1)</f>
        <v>0.3884591096</v>
      </c>
      <c r="AE29" s="660">
        <f>AE33/Sales/IF(ISNUMBER(Dates),4,1)</f>
        <v>0.3461038961</v>
      </c>
      <c r="AF29" s="660">
        <f>AF33/Sales/IF(ISNUMBER(Dates),4,1)</f>
        <v>0.303809251</v>
      </c>
      <c r="AG29" s="309">
        <f>AG33/Sales</f>
        <v>0.319755831</v>
      </c>
      <c r="AH29" s="660">
        <f>AH33/Sales/IF(ISNUMBER(Dates),4,1)</f>
        <v>0.3117902964</v>
      </c>
      <c r="AI29" s="660">
        <f>AI33/Sales/IF(ISNUMBER(Dates),4,1)</f>
        <v>0.3174948568</v>
      </c>
      <c r="AJ29" s="660">
        <f>AJ33/Sales/IF(ISNUMBER(Dates),4,1)</f>
        <v>0.2907825953</v>
      </c>
      <c r="AK29" s="660">
        <f>AK33/Sales/IF(ISNUMBER(Dates),4,1)</f>
        <v>0.2601955307</v>
      </c>
      <c r="AL29" s="309">
        <f>AL33/Sales/IF(ISNUMBER(Dates),4,1)</f>
        <v>0.2784337169</v>
      </c>
      <c r="AM29" s="660">
        <f>AM33/Sales/IF(ISNUMBER(Dates),4,1)</f>
        <v>0.2644423048</v>
      </c>
      <c r="AN29" s="660">
        <f>AN33/Sales/IF(ISNUMBER(Dates),4,1)</f>
        <v>0.259352993</v>
      </c>
      <c r="AO29" s="660">
        <f>AO33/Sales/IF(ISNUMBER(Dates),4,1)</f>
        <v>0.2197114771</v>
      </c>
      <c r="AP29" s="660">
        <f>AP33/Sales/IF(ISNUMBER(Dates),4,1)</f>
        <v>0.2026655989</v>
      </c>
      <c r="AQ29" s="309">
        <f>AQ33/Sales/IF(ISNUMBER(Dates),4,1)</f>
        <v>0.2350950532</v>
      </c>
      <c r="AR29" s="660">
        <f>AR33/Sales/IF(ISNUMBER(Dates),4,1)</f>
        <v>0.2223767149</v>
      </c>
      <c r="AS29" s="660">
        <f>AS33/Sales/IF(ISNUMBER(Dates),4,1)</f>
        <v>0.2275127345</v>
      </c>
      <c r="AT29" s="660">
        <f>AT33/Sales/IF(ISNUMBER(Dates),4,1)</f>
        <v>0.2191299728</v>
      </c>
      <c r="AU29" s="660">
        <f>AU33/Sales/IF(ISNUMBER(Dates),4,1)</f>
        <v>0.1995467806</v>
      </c>
      <c r="AV29" s="309">
        <f>AV33/Sales/IF(ISNUMBER(Dates),4,1)</f>
        <v>0.2239469146</v>
      </c>
      <c r="AW29" s="660">
        <f>AW33/Sales/IF(ISNUMBER(Dates),4,1)</f>
        <v>0.1902957388</v>
      </c>
      <c r="AX29" s="660">
        <f>AX33/Sales/IF(ISNUMBER(Dates),4,1)</f>
        <v>0.198705449</v>
      </c>
      <c r="AY29" s="660">
        <f>AY33/Sales/IF(ISNUMBER(Dates),4,1)</f>
        <v>0.2081074297</v>
      </c>
      <c r="AZ29" s="660">
        <f>AZ33/Sales/IF(ISNUMBER(Dates),4,1)</f>
        <v>0.2321341045</v>
      </c>
      <c r="BA29" s="309">
        <f>BA33/Sales/IF(ISNUMBER(Dates),4,1)</f>
        <v>0.2439602328</v>
      </c>
      <c r="BB29" s="660">
        <f>BB33/Sales/IF(ISNUMBER(Dates),4,1)</f>
        <v>0.30651566</v>
      </c>
      <c r="BC29" s="660">
        <f>BC33/Sales/IF(ISNUMBER(Dates),4,1)</f>
        <v>0.3318454239</v>
      </c>
      <c r="BD29" s="660">
        <f>BD33/Sales/IF(ISNUMBER(Dates),4,1)</f>
        <v>0.30967502</v>
      </c>
      <c r="BE29" s="660">
        <f>BE33/Sales/IF(ISNUMBER(Dates),4,1)</f>
        <v>0.3117392201</v>
      </c>
      <c r="BF29" s="309">
        <f>BF33/Sales/IF(ISNUMBER(Dates),4,1)</f>
        <v>0.3416426432</v>
      </c>
      <c r="BG29" s="660">
        <f>BG33/Sales/IF(ISNUMBER(Dates),4,1)</f>
        <v>0.3695774966</v>
      </c>
      <c r="BH29" s="660">
        <f>BH33/Sales/IF(ISNUMBER(Dates),4,1)</f>
        <v>0.3788306452</v>
      </c>
      <c r="BI29" s="660">
        <f>BI33/Sales/IF(ISNUMBER(Dates),4,1)</f>
        <v>0.3361496531</v>
      </c>
      <c r="BJ29" s="660">
        <f>BJ33/Sales/IF(ISNUMBER(Dates),4,1)</f>
        <v>0.323492345</v>
      </c>
      <c r="BK29" s="309">
        <f>BK33/Sales/IF(ISNUMBER(Dates),4,1)</f>
        <v>0.3615850159</v>
      </c>
      <c r="BL29" s="660">
        <f>BL33/Sales/IF(ISNUMBER(Dates),4,1)</f>
        <v>0.3650883904</v>
      </c>
      <c r="BM29" s="660">
        <f>BM33/Sales/IF(ISNUMBER(Dates),4,1)</f>
        <v>0.4025079197</v>
      </c>
      <c r="BN29" s="660">
        <f>BN33/Sales/IF(ISNUMBER(Dates),4,1)</f>
        <v>0.3393608691</v>
      </c>
      <c r="BO29" s="660">
        <f>BO33/Sales/IF(ISNUMBER(Dates),4,1)</f>
        <v>0.393508388</v>
      </c>
      <c r="BP29" s="309">
        <f>BP33/Sales/IF(ISNUMBER(Dates),4,1)</f>
        <v>0.3444899697</v>
      </c>
      <c r="BQ29" s="660">
        <f>BQ33/Sales/IF(ISNUMBER(Dates),4,1)</f>
        <v>0.4228481456</v>
      </c>
      <c r="BR29" s="660">
        <f>BR33/Sales/IF(ISNUMBER(Dates),4,1)</f>
        <v>0.3915129611</v>
      </c>
      <c r="BS29" s="660">
        <f>BS33/Sales/IF(ISNUMBER(Dates),4,1)</f>
        <v>0.3628980722</v>
      </c>
      <c r="BT29" s="660">
        <f>BT33/Sales/IF(ISNUMBER(Dates),4,1)</f>
        <v>0.3297379128</v>
      </c>
      <c r="BU29" s="309">
        <f>BU33/Sales/IF(ISNUMBER(Dates),4,1)</f>
        <v>0.3968457312</v>
      </c>
      <c r="BV29" s="660">
        <f>BV33/Sales/IF(ISNUMBER(Dates),4,1)</f>
        <v>0.3421448684</v>
      </c>
      <c r="BW29" s="660">
        <f>BW33/Sales/IF(ISNUMBER(Dates),4,1)</f>
        <v>0.3103808639</v>
      </c>
      <c r="BX29" s="660">
        <f>BX33/Sales/IF(ISNUMBER(Dates),4,1)</f>
        <v>0.2892722032</v>
      </c>
      <c r="BY29" s="660">
        <f>BY33/Sales/IF(ISNUMBER(Dates),4,1)</f>
        <v>0.2764248931</v>
      </c>
      <c r="BZ29" s="309">
        <f>BZ33/Sales/IF(ISNUMBER(Dates),4,1)</f>
        <v>0.2903972675</v>
      </c>
      <c r="CA29" s="660">
        <f>CA33/Sales/IF(ISNUMBER(Dates),4,1)</f>
        <v>0.4323577489</v>
      </c>
      <c r="CB29" s="660">
        <f>CB33/Sales/IF(ISNUMBER(Dates),4,1)</f>
        <v>0.4089356967</v>
      </c>
      <c r="CC29" s="660">
        <f>CC33/Sales/IF(ISNUMBER(Dates),4,1)</f>
        <v>0.372022764</v>
      </c>
      <c r="CD29" s="660">
        <f>CD33/Sales/IF(ISNUMBER(Dates),4,1)</f>
        <v>0.379095557</v>
      </c>
      <c r="CE29" s="309">
        <f>CE33/Sales/IF(ISNUMBER(Dates),4,1)</f>
        <v>0.3899701846</v>
      </c>
      <c r="CF29" s="660">
        <f>CF33/Sales/IF(ISNUMBER(Dates),4,1)</f>
        <v>0.3980706648</v>
      </c>
      <c r="CG29" s="660">
        <f>CG33/Sales/IF(ISNUMBER(Dates),4,1)</f>
        <v>0.3701948004</v>
      </c>
      <c r="CH29" s="660">
        <f>CH33/Sales/IF(ISNUMBER(Dates),4,1)</f>
        <v>0.3779817196</v>
      </c>
      <c r="CI29" s="660">
        <f>CI33/Sales/IF(ISNUMBER(Dates),4,1)</f>
        <v>0.3818728204</v>
      </c>
      <c r="CJ29" s="309">
        <f>CJ33/Sales/IF(ISNUMBER(Dates),4,1)</f>
        <v>0.3859320223</v>
      </c>
      <c r="CK29" s="660">
        <f>CK33/Sales/IF(ISNUMBER(Dates),4,1)</f>
        <v>0.4230922099</v>
      </c>
      <c r="CL29" s="660">
        <f>CL33/Sales/IF(ISNUMBER(Dates),4,1)</f>
        <v>0.4275037078</v>
      </c>
      <c r="CM29" s="660">
        <f>CM33/Sales/IF(ISNUMBER(Dates),4,1)</f>
        <v>0.4142438626</v>
      </c>
      <c r="CN29" s="660">
        <f>CN33/Sales/IF(ISNUMBER(Dates),4,1)</f>
        <v>0.4088658378</v>
      </c>
      <c r="CO29" s="309">
        <f>CO33/Sales/IF(ISNUMBER(Dates),4,1)</f>
        <v>0.4292517265</v>
      </c>
      <c r="CP29" s="660">
        <f>CP33/Sales/IF(ISNUMBER(Dates),4,1)</f>
        <v>0.4463921968</v>
      </c>
      <c r="CQ29" s="660">
        <f>CQ33/Sales/IF(ISNUMBER(Dates),4,1)</f>
        <v>0.4270840865</v>
      </c>
      <c r="CR29" s="660">
        <f>CR33/Sales/IF(ISNUMBER(Dates),4,1)</f>
        <v>0.4029476433</v>
      </c>
      <c r="CS29" s="15">
        <f>CS33/Sales/IF(ISNUMBER(Dates),4,1)</f>
        <v>0.4057299097</v>
      </c>
      <c r="CT29" s="309">
        <f>CT33/Sales/IF(ISNUMBER(Dates),4,1)</f>
        <v>0.4276176839</v>
      </c>
      <c r="CU29" s="660">
        <f>CU33/Sales/IF(ISNUMBER(Dates),4,1)</f>
        <v>0.454874423</v>
      </c>
      <c r="CV29" s="660">
        <f>CV33/Sales/IF(ISNUMBER(Dates),4,1)</f>
        <v>0.4526525199</v>
      </c>
      <c r="CW29" s="660">
        <f>CW33/Sales/IF(ISNUMBER(Dates),4,1)</f>
        <v>0.4343587971</v>
      </c>
      <c r="CX29" s="660">
        <f>CX33/Sales/IF(ISNUMBER(Dates),4,1)</f>
        <v>0.4172421885</v>
      </c>
      <c r="CY29" s="37">
        <f>CY33/Sales/IF(ISNUMBER(Dates),4,1)</f>
        <v>0.4496612772</v>
      </c>
      <c r="CZ29" s="660">
        <f>CZ33/Sales/IF(ISNUMBER(Dates),4,1)</f>
        <v>0.7073581625</v>
      </c>
      <c r="DA29" s="660">
        <f>DA33/Sales/IF(ISNUMBER(Dates),4,1)</f>
        <v>0.7286817409</v>
      </c>
      <c r="DB29" s="660">
        <f>DB33/Sales/IF(ISNUMBER(Dates),4,1)</f>
        <v>0.5588794524</v>
      </c>
      <c r="DC29" s="660">
        <f>DC33/Sales/IF(ISNUMBER(Dates),4,1)</f>
        <v>0.5415292537</v>
      </c>
      <c r="DD29" s="37">
        <f>DD33/Sales/IF(ISNUMBER(Dates),4,1)</f>
        <v>0.5962411324</v>
      </c>
      <c r="DE29" s="660">
        <f>DE33/Sales/IF(ISNUMBER(Dates),4,1)</f>
        <v>0.6057042444</v>
      </c>
      <c r="DF29" s="660">
        <f>DF33/Sales/IF(ISNUMBER(Dates),4,1)</f>
        <v>0.6342884238</v>
      </c>
      <c r="DG29" s="83">
        <f>DG33/Sales/IF(ISNUMBER(Dates),4,1)</f>
        <v>0.7493188433</v>
      </c>
      <c r="DH29" s="660">
        <f>DH33/Sales/IF(ISNUMBER(Dates),4,1)</f>
        <v>0.7102562599</v>
      </c>
      <c r="DI29" s="37">
        <f>DI33/Sales/IF(ISNUMBER(Dates),4,1)</f>
        <v>0.7719443604</v>
      </c>
      <c r="DJ29" s="83">
        <f>DJ33/Sales/IF(ISNUMBER(Dates),4,1)</f>
        <v>0.6807855098</v>
      </c>
      <c r="DK29" s="83">
        <f>DK33/Sales/IF(ISNUMBER(Dates),4,1)</f>
        <v>0.6368647565</v>
      </c>
      <c r="DL29" s="83">
        <f>DL33/Sales/IF(ISNUMBER(Dates),4,1)</f>
        <v>0.5744142358</v>
      </c>
      <c r="DM29" s="83">
        <f>DM33/Sales/IF(ISNUMBER(Dates),4,1)</f>
        <v>0.591708206</v>
      </c>
      <c r="DN29" s="37">
        <f>DN33/Sales/IF(ISNUMBER(Dates),4,1)</f>
        <v>0.6232780036</v>
      </c>
      <c r="DO29" s="83">
        <f>DO33/Sales/IF(ISNUMBER(Dates),4,1)</f>
        <v>0.7020733454</v>
      </c>
      <c r="DP29" s="83">
        <f>DP33/Sales/IF(ISNUMBER(Dates),4,1)</f>
        <v>0.6893971524</v>
      </c>
      <c r="DQ29" s="83">
        <f>DQ33/Sales/IF(ISNUMBER(Dates),4,1)</f>
        <v>0.5918316832</v>
      </c>
      <c r="DR29" s="83">
        <f>DR33/Sales/IF(ISNUMBER(Dates),4,1)</f>
        <v>0.5682121827</v>
      </c>
      <c r="DS29" s="37">
        <f>DS33/Sales/IF(ISNUMBER(Dates),4,1)</f>
        <v>0.6382547071</v>
      </c>
      <c r="DT29" s="83">
        <f>DT33/Sales/IF(ISNUMBER(Dates),4,1)</f>
        <v>0.5744275772</v>
      </c>
      <c r="DU29" s="83">
        <f>DU33/Sales/IF(ISNUMBER(Dates),4,1)</f>
        <v>0.5856143552</v>
      </c>
      <c r="DV29" s="83">
        <f>DV33/Sales/IF(ISNUMBER(Dates),4,1)</f>
        <v>0.6217203949</v>
      </c>
      <c r="DW29" s="83">
        <f>DW33/Sales/IF(ISNUMBER(Dates),4,1)</f>
        <v>0.5519321253</v>
      </c>
      <c r="DX29" s="37">
        <f>DX33/Sales/IF(ISNUMBER(Dates),4,1)</f>
        <v>0.5664273697</v>
      </c>
      <c r="DY29" s="83">
        <f>DY33/Sales/IF(ISNUMBER(Dates),4,1)</f>
        <v>0.5670984595</v>
      </c>
      <c r="DZ29" s="83">
        <f>DZ33/Sales/IF(ISNUMBER(Dates),4,1)</f>
        <v>0.5585172395</v>
      </c>
      <c r="EA29" s="83">
        <f>EA33/Sales/IF(ISNUMBER(Dates),4,1)</f>
        <v>0.5649776082</v>
      </c>
      <c r="EB29" s="83">
        <f>EB33/Sales/IF(ISNUMBER(Dates),4,1)</f>
        <v>0.5266357772</v>
      </c>
      <c r="EC29" s="37">
        <f>EC33/Sales/IF(ISNUMBER(Dates),4,1)</f>
        <v>0.5506705212</v>
      </c>
      <c r="ED29" s="83">
        <f>ED33/Sales/IF(ISNUMBER(Dates),4,1)</f>
        <v>0.5589549392</v>
      </c>
      <c r="EE29" s="83">
        <f>EE33/Sales/IF(ISNUMBER(Dates),4,1)</f>
        <v>0.6892663664</v>
      </c>
      <c r="EF29" s="83">
        <f>EF33/Sales/IF(ISNUMBER(Dates),4,1)</f>
        <v>0.7170589386</v>
      </c>
      <c r="EG29" s="83">
        <f>EG33/Sales/IF(ISNUMBER(Dates),4,1)</f>
        <v>0.7998148412</v>
      </c>
      <c r="EH29" s="37">
        <f>EH33/Sales/IF(ISNUMBER(Dates),4,1)</f>
        <v>0.7124686776</v>
      </c>
      <c r="EI29" s="661" t="str">
        <f>EI33/Sales/IF(ISNUMBER(Dates),4,1)</f>
        <v>#ERROR!</v>
      </c>
      <c r="EJ29" s="660" t="str">
        <f>EJ33/Sales/IF(ISNUMBER(Dates),4,1)</f>
        <v>#ERROR!</v>
      </c>
      <c r="EK29" s="660" t="str">
        <f>EK33/Sales/IF(ISNUMBER(Dates),4,1)</f>
        <v>#ERROR!</v>
      </c>
      <c r="EL29" s="660" t="str">
        <f>EL33/Sales/IF(ISNUMBER(Dates),4,1)</f>
        <v>#ERROR!</v>
      </c>
      <c r="EM29" s="37" t="str">
        <f>EM33/Sales/IF(ISNUMBER(Dates),4,1)</f>
        <v>#ERROR!</v>
      </c>
      <c r="EN29" s="660" t="str">
        <f>EN33/Sales/IF(ISNUMBER(Dates),4,1)</f>
        <v>#ERROR!</v>
      </c>
      <c r="EO29" s="660" t="str">
        <f>EO33/Sales/IF(ISNUMBER(Dates),4,1)</f>
        <v>#ERROR!</v>
      </c>
      <c r="EP29" s="660" t="str">
        <f>EP33/Sales/IF(ISNUMBER(Dates),4,1)</f>
        <v>#ERROR!</v>
      </c>
      <c r="EQ29" s="660" t="str">
        <f>EQ33/Sales/IF(ISNUMBER(Dates),4,1)</f>
        <v>#ERROR!</v>
      </c>
      <c r="ER29" s="37" t="str">
        <f>ER33/Sales/IF(ISNUMBER(Dates),4,1)</f>
        <v>#ERROR!</v>
      </c>
      <c r="ES29" s="660" t="str">
        <f>ES33/Sales/IF(ISNUMBER(Dates),4,1)</f>
        <v>#ERROR!</v>
      </c>
      <c r="ET29" s="660" t="str">
        <f>ET33/Sales/IF(ISNUMBER(Dates),4,1)</f>
        <v>#ERROR!</v>
      </c>
      <c r="EU29" s="660" t="str">
        <f>EU33/Sales/IF(ISNUMBER(Dates),4,1)</f>
        <v>#ERROR!</v>
      </c>
      <c r="EV29" s="660" t="str">
        <f>EV33/Sales/IF(ISNUMBER(Dates),4,1)</f>
        <v>#ERROR!</v>
      </c>
      <c r="EW29" s="37" t="str">
        <f>EW33/Sales/IF(ISNUMBER(Dates),4,1)</f>
        <v>#ERROR!</v>
      </c>
      <c r="EX29" s="660" t="str">
        <f>EX33/Sales/IF(ISNUMBER(Dates),4,1)</f>
        <v>#ERROR!</v>
      </c>
      <c r="EY29" s="660" t="str">
        <f>EY33/Sales/IF(ISNUMBER(Dates),4,1)</f>
        <v>#ERROR!</v>
      </c>
      <c r="EZ29" s="660" t="str">
        <f>EZ33/Sales/IF(ISNUMBER(Dates),4,1)</f>
        <v>#ERROR!</v>
      </c>
      <c r="FA29" s="660" t="str">
        <f>FA33/Sales/IF(ISNUMBER(Dates),4,1)</f>
        <v>#ERROR!</v>
      </c>
      <c r="FB29" s="37" t="str">
        <f>FB33/Sales/IF(ISNUMBER(Dates),4,1)</f>
        <v>#ERROR!</v>
      </c>
      <c r="FC29" s="660" t="str">
        <f>FC33/Sales/IF(ISNUMBER(Dates),4,1)</f>
        <v>#ERROR!</v>
      </c>
      <c r="FD29" s="660" t="str">
        <f>FD33/Sales/IF(ISNUMBER(Dates),4,1)</f>
        <v>#ERROR!</v>
      </c>
      <c r="FE29" s="660" t="str">
        <f>FE33/Sales/IF(ISNUMBER(Dates),4,1)</f>
        <v>#ERROR!</v>
      </c>
      <c r="FF29" s="660" t="str">
        <f>FF33/Sales/IF(ISNUMBER(Dates),4,1)</f>
        <v>#ERROR!</v>
      </c>
      <c r="FG29" s="37" t="str">
        <f>FG33/Sales/IF(ISNUMBER(Dates),4,1)</f>
        <v>#ERROR!</v>
      </c>
    </row>
    <row r="30" ht="12.75" customHeight="1" outlineLevel="1">
      <c r="A30" s="660"/>
      <c r="B30" s="794" t="s">
        <v>526</v>
      </c>
      <c r="C30" s="794"/>
      <c r="D30" s="794"/>
      <c r="E30" s="794"/>
      <c r="F30" s="794"/>
      <c r="G30" s="794"/>
      <c r="H30" s="794"/>
      <c r="I30" s="794"/>
      <c r="J30" s="794"/>
      <c r="K30" s="794"/>
      <c r="L30" s="794"/>
      <c r="M30" s="794"/>
      <c r="N30" s="660"/>
      <c r="O30" s="660"/>
      <c r="P30" s="660"/>
      <c r="Q30" s="660"/>
      <c r="R30" s="309"/>
      <c r="S30" s="660"/>
      <c r="T30" s="660"/>
      <c r="U30" s="660"/>
      <c r="V30" s="660"/>
      <c r="W30" s="309"/>
      <c r="X30" s="660"/>
      <c r="Y30" s="660"/>
      <c r="Z30" s="660"/>
      <c r="AA30" s="660"/>
      <c r="AB30" s="309"/>
      <c r="AC30" s="660"/>
      <c r="AD30" s="660"/>
      <c r="AE30" s="660"/>
      <c r="AF30" s="660"/>
      <c r="AG30" s="309"/>
      <c r="AH30" s="795">
        <v>1605.0</v>
      </c>
      <c r="AI30" s="795">
        <v>1438.0</v>
      </c>
      <c r="AJ30" s="795">
        <v>1182.0</v>
      </c>
      <c r="AK30" s="795">
        <v>1234.0</v>
      </c>
      <c r="AL30" s="73">
        <f t="shared" ref="AL30:AL34" si="220">AK30</f>
        <v>1234</v>
      </c>
      <c r="AM30" s="795">
        <v>1188.0</v>
      </c>
      <c r="AN30" s="795">
        <v>1282.0</v>
      </c>
      <c r="AO30" s="795">
        <v>1134.0</v>
      </c>
      <c r="AP30" s="795">
        <v>1866.0</v>
      </c>
      <c r="AQ30" s="73"/>
      <c r="AR30" s="795">
        <v>2043.0</v>
      </c>
      <c r="AS30" s="795">
        <v>2238.0</v>
      </c>
      <c r="AT30" s="795">
        <v>2365.0</v>
      </c>
      <c r="AU30" s="795">
        <v>2563.0</v>
      </c>
      <c r="AV30" s="73">
        <f t="shared" ref="AV30:AV34" si="221">AU30</f>
        <v>2563</v>
      </c>
      <c r="AW30" s="795">
        <v>2140.0</v>
      </c>
      <c r="AX30" s="795">
        <v>2247.0</v>
      </c>
      <c r="AY30" s="795">
        <v>3047.0</v>
      </c>
      <c r="AZ30" s="795">
        <v>4135.0</v>
      </c>
      <c r="BA30" s="73">
        <f t="shared" ref="BA30:BA34" si="222">AZ30</f>
        <v>4135</v>
      </c>
      <c r="BB30" s="795">
        <v>3927.0</v>
      </c>
      <c r="BC30" s="795">
        <v>3513.0</v>
      </c>
      <c r="BD30" s="795">
        <v>3085.0</v>
      </c>
      <c r="BE30" s="795">
        <v>4023.0</v>
      </c>
      <c r="BF30" s="73">
        <f t="shared" ref="BF30:BF34" si="223">BE30</f>
        <v>4023</v>
      </c>
      <c r="BG30" s="795">
        <v>4496.0</v>
      </c>
      <c r="BH30" s="795">
        <v>4346.0</v>
      </c>
      <c r="BI30" s="795">
        <v>4081.0</v>
      </c>
      <c r="BJ30" s="795">
        <v>4398.0</v>
      </c>
      <c r="BK30" s="73">
        <f t="shared" ref="BK30:BK34" si="224">BJ30</f>
        <v>4398</v>
      </c>
      <c r="BL30" s="795">
        <v>4473.0</v>
      </c>
      <c r="BM30" s="795">
        <v>4651.0</v>
      </c>
      <c r="BN30" s="795">
        <v>3820.0</v>
      </c>
      <c r="BO30" s="795">
        <v>2924.0</v>
      </c>
      <c r="BP30" s="73">
        <f t="shared" ref="BP30:BP34" si="225">BO30</f>
        <v>2924</v>
      </c>
      <c r="BQ30" s="795">
        <v>2513.0</v>
      </c>
      <c r="BR30" s="795">
        <v>3002.0</v>
      </c>
      <c r="BS30" s="795">
        <v>3611.0</v>
      </c>
      <c r="BT30" s="795">
        <v>4179.0</v>
      </c>
      <c r="BU30" s="73">
        <f t="shared" ref="BU30:BU34" si="226">BT30</f>
        <v>4179</v>
      </c>
      <c r="BV30" s="795">
        <v>4326.0</v>
      </c>
      <c r="BW30" s="795">
        <v>3947.0</v>
      </c>
      <c r="BX30" s="795">
        <v>3482.0</v>
      </c>
      <c r="BY30" s="795">
        <v>3026.0</v>
      </c>
      <c r="BZ30" s="73">
        <f t="shared" ref="BZ30:BZ34" si="227">BY30</f>
        <v>3026</v>
      </c>
      <c r="CA30" s="795">
        <v>1863.0</v>
      </c>
      <c r="CB30" s="795">
        <v>992.0</v>
      </c>
      <c r="CC30" s="795">
        <v>858.0</v>
      </c>
      <c r="CD30" s="795">
        <v>889.0</v>
      </c>
      <c r="CE30" s="73">
        <f t="shared" ref="CE30:CE34" si="228">CD30</f>
        <v>889</v>
      </c>
      <c r="CF30" s="795">
        <v>498.0</v>
      </c>
      <c r="CG30" s="795">
        <v>568.0</v>
      </c>
      <c r="CH30" s="795">
        <v>469.0</v>
      </c>
      <c r="CI30" s="795">
        <v>493.0</v>
      </c>
      <c r="CJ30" s="73">
        <f t="shared" ref="CJ30:CJ34" si="229">CI30</f>
        <v>493</v>
      </c>
      <c r="CK30" s="795">
        <v>1309.0</v>
      </c>
      <c r="CL30" s="795">
        <v>1642.0</v>
      </c>
      <c r="CM30" s="795">
        <v>1583.0</v>
      </c>
      <c r="CN30" s="795">
        <v>1473.0</v>
      </c>
      <c r="CO30" s="73">
        <f t="shared" ref="CO30:CO34" si="230">CN30</f>
        <v>1473</v>
      </c>
      <c r="CP30" s="795">
        <v>1765.0</v>
      </c>
      <c r="CQ30" s="377">
        <v>2184.0</v>
      </c>
      <c r="CR30" s="377">
        <v>2153.0</v>
      </c>
      <c r="CS30" s="377">
        <v>2023.0</v>
      </c>
      <c r="CT30" s="73">
        <f t="shared" ref="CT30:CT34" si="231">CS30</f>
        <v>2023</v>
      </c>
      <c r="CU30" s="795">
        <v>1675.0</v>
      </c>
      <c r="CV30" s="795">
        <v>1727.0</v>
      </c>
      <c r="CW30" s="795">
        <v>1829.0</v>
      </c>
      <c r="CX30" s="795">
        <v>1891.0</v>
      </c>
      <c r="CY30" s="18">
        <f t="shared" ref="CY30:CY34" si="232">CX30</f>
        <v>1891</v>
      </c>
      <c r="CZ30" s="795">
        <v>3097.0</v>
      </c>
      <c r="DA30" s="795">
        <v>3567.0</v>
      </c>
      <c r="DB30" s="795">
        <v>4189.0</v>
      </c>
      <c r="DC30" s="795">
        <v>4716.0</v>
      </c>
      <c r="DD30" s="18">
        <f t="shared" ref="DD30:DD34" si="233">DC30</f>
        <v>4716</v>
      </c>
      <c r="DE30" s="795">
        <v>5149.0</v>
      </c>
      <c r="DF30" s="795">
        <v>4481.0</v>
      </c>
      <c r="DG30" s="810">
        <v>3844.0</v>
      </c>
      <c r="DH30" s="795">
        <v>3712.0</v>
      </c>
      <c r="DI30" s="18">
        <f t="shared" ref="DI30:DI34" si="234">DH30</f>
        <v>3712</v>
      </c>
      <c r="DJ30" s="810">
        <v>3435.0</v>
      </c>
      <c r="DK30" s="810">
        <v>3071.0</v>
      </c>
      <c r="DL30" s="810">
        <v>3562.0</v>
      </c>
      <c r="DM30" s="810">
        <v>3388.0</v>
      </c>
      <c r="DN30" s="18">
        <f t="shared" ref="DN30:DN34" si="235">DM30</f>
        <v>3388</v>
      </c>
      <c r="DO30" s="810">
        <v>3465.0</v>
      </c>
      <c r="DP30" s="810">
        <v>3577.0</v>
      </c>
      <c r="DQ30" s="810">
        <v>3428.0</v>
      </c>
      <c r="DR30" s="810">
        <v>3276.0</v>
      </c>
      <c r="DS30" s="18">
        <f t="shared" ref="DS30:DS34" si="236">DR30</f>
        <v>3276</v>
      </c>
      <c r="DT30" s="810">
        <v>2943.0</v>
      </c>
      <c r="DU30" s="810">
        <v>2884.0</v>
      </c>
      <c r="DV30" s="810">
        <v>2720.0</v>
      </c>
      <c r="DW30" s="810">
        <v>2192.0</v>
      </c>
      <c r="DX30" s="18">
        <f t="shared" ref="DX30:DX34" si="237">DW30</f>
        <v>2192</v>
      </c>
      <c r="DY30" s="810">
        <v>1409.0</v>
      </c>
      <c r="DZ30" s="810">
        <v>1262.0</v>
      </c>
      <c r="EA30" s="810">
        <v>953.0</v>
      </c>
      <c r="EB30" s="810">
        <v>840.0</v>
      </c>
      <c r="EC30" s="18">
        <f t="shared" ref="EC30:EC34" si="238">EB30</f>
        <v>840</v>
      </c>
      <c r="ED30" s="810">
        <v>0.0</v>
      </c>
      <c r="EE30" s="810">
        <v>0.0</v>
      </c>
      <c r="EF30" s="810">
        <v>0.0</v>
      </c>
      <c r="EG30" s="810">
        <f>+EF30</f>
        <v>0</v>
      </c>
      <c r="EH30" s="18">
        <f t="shared" ref="EH30:EH34" si="239">EG30</f>
        <v>0</v>
      </c>
      <c r="EI30" s="811">
        <f>+EG30</f>
        <v>0</v>
      </c>
      <c r="EJ30" s="795">
        <f t="shared" ref="EJ30:EL30" si="215">+EI30</f>
        <v>0</v>
      </c>
      <c r="EK30" s="795">
        <f t="shared" si="215"/>
        <v>0</v>
      </c>
      <c r="EL30" s="795">
        <f t="shared" si="215"/>
        <v>0</v>
      </c>
      <c r="EM30" s="18">
        <f>EL30</f>
        <v>0</v>
      </c>
      <c r="EN30" s="795">
        <f>+EL30</f>
        <v>0</v>
      </c>
      <c r="EO30" s="795">
        <f t="shared" ref="EO30:EQ30" si="216">+EN30</f>
        <v>0</v>
      </c>
      <c r="EP30" s="795">
        <f t="shared" si="216"/>
        <v>0</v>
      </c>
      <c r="EQ30" s="795">
        <f t="shared" si="216"/>
        <v>0</v>
      </c>
      <c r="ER30" s="18">
        <f>EQ30</f>
        <v>0</v>
      </c>
      <c r="ES30" s="795">
        <f>+EQ30</f>
        <v>0</v>
      </c>
      <c r="ET30" s="795">
        <f t="shared" ref="ET30:EV30" si="217">+ES30</f>
        <v>0</v>
      </c>
      <c r="EU30" s="795">
        <f t="shared" si="217"/>
        <v>0</v>
      </c>
      <c r="EV30" s="795">
        <f t="shared" si="217"/>
        <v>0</v>
      </c>
      <c r="EW30" s="18">
        <f>EV30</f>
        <v>0</v>
      </c>
      <c r="EX30" s="795">
        <f>+EV30</f>
        <v>0</v>
      </c>
      <c r="EY30" s="795">
        <f t="shared" ref="EY30:FA30" si="218">+EX30</f>
        <v>0</v>
      </c>
      <c r="EZ30" s="795">
        <f t="shared" si="218"/>
        <v>0</v>
      </c>
      <c r="FA30" s="795">
        <f t="shared" si="218"/>
        <v>0</v>
      </c>
      <c r="FB30" s="18">
        <f>FA30</f>
        <v>0</v>
      </c>
      <c r="FC30" s="795">
        <f>+FA30</f>
        <v>0</v>
      </c>
      <c r="FD30" s="795">
        <f t="shared" ref="FD30:FF30" si="219">+FC30</f>
        <v>0</v>
      </c>
      <c r="FE30" s="795">
        <f t="shared" si="219"/>
        <v>0</v>
      </c>
      <c r="FF30" s="795">
        <f t="shared" si="219"/>
        <v>0</v>
      </c>
      <c r="FG30" s="18">
        <f>FF30</f>
        <v>0</v>
      </c>
    </row>
    <row r="31" ht="12.75" customHeight="1" outlineLevel="1">
      <c r="A31" s="660"/>
      <c r="B31" s="794" t="s">
        <v>87</v>
      </c>
      <c r="C31" s="794"/>
      <c r="D31" s="794"/>
      <c r="E31" s="794"/>
      <c r="F31" s="794"/>
      <c r="G31" s="794"/>
      <c r="H31" s="794"/>
      <c r="I31" s="794"/>
      <c r="J31" s="794"/>
      <c r="K31" s="794"/>
      <c r="L31" s="794"/>
      <c r="M31" s="794"/>
      <c r="N31" s="660"/>
      <c r="O31" s="660"/>
      <c r="P31" s="660"/>
      <c r="Q31" s="660"/>
      <c r="R31" s="309"/>
      <c r="S31" s="660"/>
      <c r="T31" s="660"/>
      <c r="U31" s="660"/>
      <c r="V31" s="660"/>
      <c r="W31" s="309"/>
      <c r="X31" s="660"/>
      <c r="Y31" s="660"/>
      <c r="Z31" s="660"/>
      <c r="AA31" s="660"/>
      <c r="AB31" s="309"/>
      <c r="AC31" s="660"/>
      <c r="AD31" s="660"/>
      <c r="AE31" s="660"/>
      <c r="AF31" s="660"/>
      <c r="AG31" s="309"/>
      <c r="AH31" s="795">
        <v>4338.0</v>
      </c>
      <c r="AI31" s="795">
        <v>4338.0</v>
      </c>
      <c r="AJ31" s="795">
        <v>4334.0</v>
      </c>
      <c r="AK31" s="795">
        <v>4330.0</v>
      </c>
      <c r="AL31" s="73">
        <f t="shared" si="220"/>
        <v>4330</v>
      </c>
      <c r="AM31" s="795">
        <v>4328.0</v>
      </c>
      <c r="AN31" s="795">
        <v>4314.0</v>
      </c>
      <c r="AO31" s="795">
        <v>4317.0</v>
      </c>
      <c r="AP31" s="795">
        <v>3705.0</v>
      </c>
      <c r="AQ31" s="73">
        <f t="shared" ref="AQ31:AQ34" si="246">AP31</f>
        <v>3705</v>
      </c>
      <c r="AR31" s="795">
        <v>3705.0</v>
      </c>
      <c r="AS31" s="795">
        <v>3730.0</v>
      </c>
      <c r="AT31" s="795">
        <v>3734.0</v>
      </c>
      <c r="AU31" s="795">
        <v>3719.0</v>
      </c>
      <c r="AV31" s="73">
        <f t="shared" si="221"/>
        <v>3719</v>
      </c>
      <c r="AW31" s="795">
        <v>3716.0</v>
      </c>
      <c r="AX31" s="795">
        <v>3805.0</v>
      </c>
      <c r="AY31" s="795">
        <v>3814.0</v>
      </c>
      <c r="AZ31" s="795">
        <v>3873.0</v>
      </c>
      <c r="BA31" s="73">
        <f t="shared" si="222"/>
        <v>3873</v>
      </c>
      <c r="BB31" s="795">
        <v>3873.0</v>
      </c>
      <c r="BC31" s="795">
        <v>3871.0</v>
      </c>
      <c r="BD31" s="795">
        <v>3861.0</v>
      </c>
      <c r="BE31" s="795">
        <v>3861.0</v>
      </c>
      <c r="BF31" s="73">
        <f t="shared" si="223"/>
        <v>3861</v>
      </c>
      <c r="BG31" s="795">
        <v>3861.0</v>
      </c>
      <c r="BH31" s="795">
        <v>3861.0</v>
      </c>
      <c r="BI31" s="795">
        <v>3917.0</v>
      </c>
      <c r="BJ31" s="795">
        <v>3916.0</v>
      </c>
      <c r="BK31" s="73">
        <f t="shared" si="224"/>
        <v>3916</v>
      </c>
      <c r="BL31" s="795">
        <v>3916.0</v>
      </c>
      <c r="BM31" s="795">
        <v>3915.0</v>
      </c>
      <c r="BN31" s="795">
        <v>3924.0</v>
      </c>
      <c r="BO31" s="795">
        <v>3932.0</v>
      </c>
      <c r="BP31" s="73">
        <f t="shared" si="225"/>
        <v>3932</v>
      </c>
      <c r="BQ31" s="795">
        <v>3932.0</v>
      </c>
      <c r="BR31" s="795">
        <v>3932.0</v>
      </c>
      <c r="BS31" s="795">
        <v>4421.0</v>
      </c>
      <c r="BT31" s="795">
        <v>4421.0</v>
      </c>
      <c r="BU31" s="73">
        <f t="shared" si="226"/>
        <v>4421</v>
      </c>
      <c r="BV31" s="795">
        <v>4452.0</v>
      </c>
      <c r="BW31" s="795">
        <v>4481.0</v>
      </c>
      <c r="BX31" s="795">
        <v>4481.0</v>
      </c>
      <c r="BY31" s="795">
        <v>4531.0</v>
      </c>
      <c r="BZ31" s="73">
        <f t="shared" si="227"/>
        <v>4531</v>
      </c>
      <c r="CA31" s="795">
        <v>9069.0</v>
      </c>
      <c r="CB31" s="795">
        <v>9141.0</v>
      </c>
      <c r="CC31" s="795">
        <v>9138.0</v>
      </c>
      <c r="CD31" s="795">
        <v>9254.0</v>
      </c>
      <c r="CE31" s="73">
        <f t="shared" si="228"/>
        <v>9254</v>
      </c>
      <c r="CF31" s="795">
        <v>9388.0</v>
      </c>
      <c r="CG31" s="795">
        <v>9442.0</v>
      </c>
      <c r="CH31" s="795">
        <v>9623.0</v>
      </c>
      <c r="CI31" s="795">
        <v>9710.0</v>
      </c>
      <c r="CJ31" s="73">
        <f t="shared" si="229"/>
        <v>9710</v>
      </c>
      <c r="CK31" s="795">
        <v>9756.0</v>
      </c>
      <c r="CL31" s="795">
        <v>10005.0</v>
      </c>
      <c r="CM31" s="795">
        <v>10467.0</v>
      </c>
      <c r="CN31" s="795">
        <v>10513.0</v>
      </c>
      <c r="CO31" s="73">
        <f t="shared" si="230"/>
        <v>10513</v>
      </c>
      <c r="CP31" s="795">
        <v>10617.0</v>
      </c>
      <c r="CQ31" s="377">
        <v>10621.0</v>
      </c>
      <c r="CR31" s="377">
        <v>10556.0</v>
      </c>
      <c r="CS31" s="377">
        <v>10861.0</v>
      </c>
      <c r="CT31" s="73">
        <f t="shared" si="231"/>
        <v>10861</v>
      </c>
      <c r="CU31" s="795">
        <v>10766.0</v>
      </c>
      <c r="CV31" s="795">
        <v>11037.0</v>
      </c>
      <c r="CW31" s="795">
        <v>11026.0</v>
      </c>
      <c r="CX31" s="795">
        <v>11332.0</v>
      </c>
      <c r="CY31" s="18">
        <f t="shared" si="232"/>
        <v>11332</v>
      </c>
      <c r="CZ31" s="795">
        <v>16942.0</v>
      </c>
      <c r="DA31" s="795">
        <v>16992.0</v>
      </c>
      <c r="DB31" s="795">
        <v>13868.0</v>
      </c>
      <c r="DC31" s="795">
        <v>14099.0</v>
      </c>
      <c r="DD31" s="18">
        <f t="shared" si="233"/>
        <v>14099</v>
      </c>
      <c r="DE31" s="795">
        <v>14099.0</v>
      </c>
      <c r="DF31" s="795">
        <v>14102.0</v>
      </c>
      <c r="DG31" s="810">
        <v>24389.0</v>
      </c>
      <c r="DH31" s="795">
        <v>24389.0</v>
      </c>
      <c r="DI31" s="18">
        <f t="shared" si="234"/>
        <v>24389</v>
      </c>
      <c r="DJ31" s="810">
        <v>24346.0</v>
      </c>
      <c r="DK31" s="810">
        <v>24351.0</v>
      </c>
      <c r="DL31" s="810">
        <v>24506.0</v>
      </c>
      <c r="DM31" s="810">
        <v>24513.0</v>
      </c>
      <c r="DN31" s="18">
        <f t="shared" si="235"/>
        <v>24513</v>
      </c>
      <c r="DO31" s="810">
        <v>24521.0</v>
      </c>
      <c r="DP31" s="810">
        <v>24583.0</v>
      </c>
      <c r="DQ31" s="810">
        <v>24727.0</v>
      </c>
      <c r="DR31" s="810">
        <v>26276.0</v>
      </c>
      <c r="DS31" s="18">
        <f t="shared" si="236"/>
        <v>26276</v>
      </c>
      <c r="DT31" s="810">
        <v>26276.0</v>
      </c>
      <c r="DU31" s="810">
        <v>26943.0</v>
      </c>
      <c r="DV31" s="810">
        <v>26955.0</v>
      </c>
      <c r="DW31" s="810">
        <v>26971.0</v>
      </c>
      <c r="DX31" s="18">
        <f t="shared" si="237"/>
        <v>26971</v>
      </c>
      <c r="DY31" s="810">
        <v>26971.0</v>
      </c>
      <c r="DZ31" s="810">
        <v>26768.0</v>
      </c>
      <c r="EA31" s="810">
        <v>26786.0</v>
      </c>
      <c r="EB31" s="810">
        <v>26963.0</v>
      </c>
      <c r="EC31" s="18">
        <f t="shared" si="238"/>
        <v>26963</v>
      </c>
      <c r="ED31" s="810">
        <v>27011.0</v>
      </c>
      <c r="EE31" s="810">
        <v>27587.0</v>
      </c>
      <c r="EF31" s="810">
        <v>27591.0</v>
      </c>
      <c r="EG31" s="810">
        <v>27591.0</v>
      </c>
      <c r="EH31" s="18">
        <f t="shared" si="239"/>
        <v>27591</v>
      </c>
      <c r="EI31" s="811">
        <f t="shared" ref="EI31:EI32" si="247">EG31</f>
        <v>27591</v>
      </c>
      <c r="EJ31" s="795">
        <f t="shared" ref="EJ31:EM31" si="240">EI31</f>
        <v>27591</v>
      </c>
      <c r="EK31" s="795">
        <f t="shared" si="240"/>
        <v>27591</v>
      </c>
      <c r="EL31" s="795">
        <f t="shared" si="240"/>
        <v>27591</v>
      </c>
      <c r="EM31" s="18">
        <f t="shared" si="240"/>
        <v>27591</v>
      </c>
      <c r="EN31" s="795">
        <f t="shared" ref="EN31:EN32" si="249">EL31</f>
        <v>27591</v>
      </c>
      <c r="EO31" s="795">
        <f t="shared" ref="EO31:ER31" si="241">EN31</f>
        <v>27591</v>
      </c>
      <c r="EP31" s="795">
        <f t="shared" si="241"/>
        <v>27591</v>
      </c>
      <c r="EQ31" s="795">
        <f t="shared" si="241"/>
        <v>27591</v>
      </c>
      <c r="ER31" s="18">
        <f t="shared" si="241"/>
        <v>27591</v>
      </c>
      <c r="ES31" s="795">
        <f t="shared" ref="ES31:ES32" si="251">EQ31</f>
        <v>27591</v>
      </c>
      <c r="ET31" s="795">
        <f t="shared" ref="ET31:EW31" si="242">ES31</f>
        <v>27591</v>
      </c>
      <c r="EU31" s="795">
        <f t="shared" si="242"/>
        <v>27591</v>
      </c>
      <c r="EV31" s="795">
        <f t="shared" si="242"/>
        <v>27591</v>
      </c>
      <c r="EW31" s="18">
        <f t="shared" si="242"/>
        <v>27591</v>
      </c>
      <c r="EX31" s="795">
        <f t="shared" ref="EX31:EX32" si="253">EV31</f>
        <v>27591</v>
      </c>
      <c r="EY31" s="795">
        <f t="shared" ref="EY31:FB31" si="243">EX31</f>
        <v>27591</v>
      </c>
      <c r="EZ31" s="795">
        <f t="shared" si="243"/>
        <v>27591</v>
      </c>
      <c r="FA31" s="795">
        <f t="shared" si="243"/>
        <v>27591</v>
      </c>
      <c r="FB31" s="18">
        <f t="shared" si="243"/>
        <v>27591</v>
      </c>
      <c r="FC31" s="795">
        <f t="shared" ref="FC31:FC32" si="255">FA31</f>
        <v>27591</v>
      </c>
      <c r="FD31" s="795">
        <f t="shared" ref="FD31:FG31" si="244">FC31</f>
        <v>27591</v>
      </c>
      <c r="FE31" s="795">
        <f t="shared" si="244"/>
        <v>27591</v>
      </c>
      <c r="FF31" s="795">
        <f t="shared" si="244"/>
        <v>27591</v>
      </c>
      <c r="FG31" s="18">
        <f t="shared" si="244"/>
        <v>27591</v>
      </c>
    </row>
    <row r="32" ht="12.75" customHeight="1" outlineLevel="1">
      <c r="A32" s="660"/>
      <c r="B32" s="794" t="s">
        <v>527</v>
      </c>
      <c r="C32" s="794"/>
      <c r="D32" s="794"/>
      <c r="E32" s="794"/>
      <c r="F32" s="794"/>
      <c r="G32" s="794"/>
      <c r="H32" s="794"/>
      <c r="I32" s="794"/>
      <c r="J32" s="794"/>
      <c r="K32" s="794"/>
      <c r="L32" s="794"/>
      <c r="M32" s="794"/>
      <c r="N32" s="128">
        <v>738.0</v>
      </c>
      <c r="O32" s="128">
        <v>1007.0</v>
      </c>
      <c r="P32" s="128">
        <v>1023.0</v>
      </c>
      <c r="Q32" s="128">
        <f t="shared" ref="Q32:R32" si="245">3608+111+911</f>
        <v>4630</v>
      </c>
      <c r="R32" s="73">
        <f t="shared" si="245"/>
        <v>4630</v>
      </c>
      <c r="S32" s="128">
        <f>1285</f>
        <v>1285</v>
      </c>
      <c r="T32" s="128">
        <f>1463</f>
        <v>1463</v>
      </c>
      <c r="U32" s="128">
        <f>3114+1355</f>
        <v>4469</v>
      </c>
      <c r="V32" s="128">
        <f>790+4934+1470</f>
        <v>7194</v>
      </c>
      <c r="W32" s="73">
        <f>+V32</f>
        <v>7194</v>
      </c>
      <c r="X32" s="128">
        <f>1163+5978+1574</f>
        <v>8715</v>
      </c>
      <c r="Y32" s="128">
        <f>1574+6240+1631</f>
        <v>9445</v>
      </c>
      <c r="Z32" s="128">
        <f>1770+6163+1608</f>
        <v>9541</v>
      </c>
      <c r="AA32" s="128">
        <f>1797+5941+2129</f>
        <v>9867</v>
      </c>
      <c r="AB32" s="73">
        <f>+AA32</f>
        <v>9867</v>
      </c>
      <c r="AC32" s="128">
        <f>1141+6071+2365</f>
        <v>9577</v>
      </c>
      <c r="AD32" s="128">
        <f>1094+6277+2471</f>
        <v>9842</v>
      </c>
      <c r="AE32" s="128">
        <v>9061.0</v>
      </c>
      <c r="AF32" s="128">
        <f>1319+4330+797+2040</f>
        <v>8486</v>
      </c>
      <c r="AG32" s="73">
        <f>+AF32</f>
        <v>8486</v>
      </c>
      <c r="AH32" s="795">
        <v>2514.0</v>
      </c>
      <c r="AI32" s="795">
        <v>2249.0</v>
      </c>
      <c r="AJ32" s="795">
        <v>2049.0</v>
      </c>
      <c r="AK32" s="795">
        <v>1888.0</v>
      </c>
      <c r="AL32" s="73">
        <f t="shared" si="220"/>
        <v>1888</v>
      </c>
      <c r="AM32" s="795">
        <v>1625.0</v>
      </c>
      <c r="AN32" s="795">
        <v>1475.0</v>
      </c>
      <c r="AO32" s="795">
        <v>1433.0</v>
      </c>
      <c r="AP32" s="795">
        <v>1515.0</v>
      </c>
      <c r="AQ32" s="73">
        <f t="shared" si="246"/>
        <v>1515</v>
      </c>
      <c r="AR32" s="795">
        <v>1449.0</v>
      </c>
      <c r="AS32" s="795">
        <v>1357.0</v>
      </c>
      <c r="AT32" s="795">
        <v>1326.0</v>
      </c>
      <c r="AU32" s="795">
        <v>1379.0</v>
      </c>
      <c r="AV32" s="73">
        <f t="shared" si="221"/>
        <v>1379</v>
      </c>
      <c r="AW32" s="795">
        <v>1325.0</v>
      </c>
      <c r="AX32" s="795">
        <v>1285.0</v>
      </c>
      <c r="AY32" s="795">
        <v>1430.0</v>
      </c>
      <c r="AZ32" s="795">
        <v>1464.0</v>
      </c>
      <c r="BA32" s="73">
        <f t="shared" si="222"/>
        <v>1464</v>
      </c>
      <c r="BB32" s="795">
        <v>3161.0</v>
      </c>
      <c r="BC32" s="795">
        <v>3247.0</v>
      </c>
      <c r="BD32" s="795">
        <v>3879.0</v>
      </c>
      <c r="BE32" s="795">
        <v>4204.0</v>
      </c>
      <c r="BF32" s="73">
        <f t="shared" si="223"/>
        <v>4204</v>
      </c>
      <c r="BG32" s="795">
        <v>4729.0</v>
      </c>
      <c r="BH32" s="795">
        <v>4946.0</v>
      </c>
      <c r="BI32" s="795">
        <v>5569.0</v>
      </c>
      <c r="BJ32" s="795">
        <v>5547.0</v>
      </c>
      <c r="BK32" s="73">
        <f t="shared" si="224"/>
        <v>5547</v>
      </c>
      <c r="BL32" s="795">
        <v>5737.0</v>
      </c>
      <c r="BM32" s="795">
        <v>6681.0</v>
      </c>
      <c r="BN32" s="795">
        <v>6125.0</v>
      </c>
      <c r="BO32" s="795">
        <v>6092.0</v>
      </c>
      <c r="BP32" s="73">
        <f t="shared" si="225"/>
        <v>6092</v>
      </c>
      <c r="BQ32" s="795">
        <v>5640.0</v>
      </c>
      <c r="BR32" s="795">
        <v>5632.0</v>
      </c>
      <c r="BS32" s="795">
        <v>5597.0</v>
      </c>
      <c r="BT32" s="795">
        <v>5340.0</v>
      </c>
      <c r="BU32" s="73">
        <f t="shared" si="226"/>
        <v>5340</v>
      </c>
      <c r="BV32" s="795">
        <v>5317.0</v>
      </c>
      <c r="BW32" s="795">
        <v>4937.0</v>
      </c>
      <c r="BX32" s="795">
        <v>4883.0</v>
      </c>
      <c r="BY32" s="795">
        <f>860+4251</f>
        <v>5111</v>
      </c>
      <c r="BZ32" s="73">
        <f t="shared" si="227"/>
        <v>5111</v>
      </c>
      <c r="CA32" s="795">
        <f>6872+4414</f>
        <v>11286</v>
      </c>
      <c r="CB32" s="795">
        <f>6700+4484</f>
        <v>11184</v>
      </c>
      <c r="CC32" s="795">
        <f>6445+4739</f>
        <v>11184</v>
      </c>
      <c r="CD32" s="795">
        <f>6267+4648</f>
        <v>10915</v>
      </c>
      <c r="CE32" s="73">
        <f t="shared" si="228"/>
        <v>10915</v>
      </c>
      <c r="CF32" s="795">
        <f>6064+4600</f>
        <v>10664</v>
      </c>
      <c r="CG32" s="795">
        <f>5974+4008</f>
        <v>9982</v>
      </c>
      <c r="CH32" s="795">
        <f>6221+4033</f>
        <v>10254</v>
      </c>
      <c r="CI32" s="795">
        <f>6235+4148</f>
        <v>10383</v>
      </c>
      <c r="CJ32" s="73">
        <f t="shared" si="229"/>
        <v>10383</v>
      </c>
      <c r="CK32" s="795">
        <f>5807+4418</f>
        <v>10225</v>
      </c>
      <c r="CL32" s="795">
        <f>5620+4640</f>
        <v>10260</v>
      </c>
      <c r="CM32" s="795">
        <f>5434+4857</f>
        <v>10291</v>
      </c>
      <c r="CN32" s="795">
        <f>5150+5489</f>
        <v>10639</v>
      </c>
      <c r="CO32" s="73">
        <f t="shared" si="230"/>
        <v>10639</v>
      </c>
      <c r="CP32" s="795">
        <f>4963+5446</f>
        <v>10409</v>
      </c>
      <c r="CQ32" s="377">
        <f>4697+6126</f>
        <v>10823</v>
      </c>
      <c r="CR32" s="377">
        <f>4379+6370</f>
        <v>10749</v>
      </c>
      <c r="CS32" s="377">
        <f>4446+6561</f>
        <v>11007</v>
      </c>
      <c r="CT32" s="73">
        <f t="shared" si="231"/>
        <v>11007</v>
      </c>
      <c r="CU32" s="795">
        <f>4211+6603</f>
        <v>10814</v>
      </c>
      <c r="CV32" s="795">
        <f>4226+6901</f>
        <v>11127</v>
      </c>
      <c r="CW32" s="795">
        <f>4022+8255</f>
        <v>12277</v>
      </c>
      <c r="CX32" s="795">
        <f>3933+7735</f>
        <v>11668</v>
      </c>
      <c r="CY32" s="18">
        <f t="shared" si="232"/>
        <v>11668</v>
      </c>
      <c r="CZ32" s="795">
        <f>11140+7870</f>
        <v>19010</v>
      </c>
      <c r="DA32" s="795">
        <f>10821+8065</f>
        <v>18886</v>
      </c>
      <c r="DB32" s="795">
        <f>9524+7691</f>
        <v>17215</v>
      </c>
      <c r="DC32" s="795">
        <f>9494+7159</f>
        <v>16653</v>
      </c>
      <c r="DD32" s="18">
        <f t="shared" si="233"/>
        <v>16653</v>
      </c>
      <c r="DE32" s="795">
        <f>9157+7443</f>
        <v>16600</v>
      </c>
      <c r="DF32" s="795">
        <f>8867+10006</f>
        <v>18873</v>
      </c>
      <c r="DG32" s="810">
        <f>13058+7112</f>
        <v>20170</v>
      </c>
      <c r="DH32" s="795">
        <f>12745+7602</f>
        <v>20347</v>
      </c>
      <c r="DI32" s="18">
        <f t="shared" si="234"/>
        <v>20347</v>
      </c>
      <c r="DJ32" s="810">
        <f>12355+3614</f>
        <v>15969</v>
      </c>
      <c r="DK32" s="810">
        <f>12098+3690</f>
        <v>15788</v>
      </c>
      <c r="DL32" s="810">
        <f>12007+3955</f>
        <v>15962</v>
      </c>
      <c r="DM32" s="810">
        <f>11836+4421</f>
        <v>16257</v>
      </c>
      <c r="DN32" s="18">
        <f t="shared" si="235"/>
        <v>16257</v>
      </c>
      <c r="DO32" s="810">
        <f>11457+5661</f>
        <v>17118</v>
      </c>
      <c r="DP32" s="810">
        <f>11249+6105</f>
        <v>17354</v>
      </c>
      <c r="DQ32" s="810">
        <f>6255+11019</f>
        <v>17274</v>
      </c>
      <c r="DR32" s="810">
        <f>10827+5553</f>
        <v>16380</v>
      </c>
      <c r="DS32" s="18">
        <f t="shared" si="236"/>
        <v>16380</v>
      </c>
      <c r="DT32" s="810">
        <f>10429+5911</f>
        <v>16340</v>
      </c>
      <c r="DU32" s="810">
        <f>10303+6082</f>
        <v>16385</v>
      </c>
      <c r="DV32" s="810">
        <f>9881+6036</f>
        <v>15917</v>
      </c>
      <c r="DW32" s="810">
        <f>9026+5917</f>
        <v>14943</v>
      </c>
      <c r="DX32" s="18">
        <f t="shared" si="237"/>
        <v>14943</v>
      </c>
      <c r="DY32" s="810">
        <f>8408+5327</f>
        <v>13735</v>
      </c>
      <c r="DZ32" s="810">
        <f>8018+5356</f>
        <v>13374</v>
      </c>
      <c r="EA32" s="810">
        <f>7684+5452</f>
        <v>13136</v>
      </c>
      <c r="EB32" s="810">
        <f>6072+7270</f>
        <v>13342</v>
      </c>
      <c r="EC32" s="18">
        <f t="shared" si="238"/>
        <v>13342</v>
      </c>
      <c r="ED32" s="810">
        <f>6813+7210</f>
        <v>14023</v>
      </c>
      <c r="EE32" s="810">
        <f>8227+6427</f>
        <v>14654</v>
      </c>
      <c r="EF32" s="810">
        <f>10134+6268</f>
        <v>16402</v>
      </c>
      <c r="EG32" s="810">
        <f>6018+11315</f>
        <v>17333</v>
      </c>
      <c r="EH32" s="18">
        <f t="shared" si="239"/>
        <v>17333</v>
      </c>
      <c r="EI32" s="811">
        <f t="shared" si="247"/>
        <v>17333</v>
      </c>
      <c r="EJ32" s="795">
        <f t="shared" ref="EJ32:EM32" si="248">EI32</f>
        <v>17333</v>
      </c>
      <c r="EK32" s="795">
        <f t="shared" si="248"/>
        <v>17333</v>
      </c>
      <c r="EL32" s="795">
        <f t="shared" si="248"/>
        <v>17333</v>
      </c>
      <c r="EM32" s="18">
        <f t="shared" si="248"/>
        <v>17333</v>
      </c>
      <c r="EN32" s="795">
        <f t="shared" si="249"/>
        <v>17333</v>
      </c>
      <c r="EO32" s="795">
        <f t="shared" ref="EO32:ER32" si="250">EN32</f>
        <v>17333</v>
      </c>
      <c r="EP32" s="795">
        <f t="shared" si="250"/>
        <v>17333</v>
      </c>
      <c r="EQ32" s="795">
        <f t="shared" si="250"/>
        <v>17333</v>
      </c>
      <c r="ER32" s="18">
        <f t="shared" si="250"/>
        <v>17333</v>
      </c>
      <c r="ES32" s="795">
        <f t="shared" si="251"/>
        <v>17333</v>
      </c>
      <c r="ET32" s="795">
        <f t="shared" ref="ET32:EW32" si="252">ES32</f>
        <v>17333</v>
      </c>
      <c r="EU32" s="795">
        <f t="shared" si="252"/>
        <v>17333</v>
      </c>
      <c r="EV32" s="795">
        <f t="shared" si="252"/>
        <v>17333</v>
      </c>
      <c r="EW32" s="18">
        <f t="shared" si="252"/>
        <v>17333</v>
      </c>
      <c r="EX32" s="795">
        <f t="shared" si="253"/>
        <v>17333</v>
      </c>
      <c r="EY32" s="795">
        <f t="shared" ref="EY32:FB32" si="254">EX32</f>
        <v>17333</v>
      </c>
      <c r="EZ32" s="795">
        <f t="shared" si="254"/>
        <v>17333</v>
      </c>
      <c r="FA32" s="795">
        <f t="shared" si="254"/>
        <v>17333</v>
      </c>
      <c r="FB32" s="18">
        <f t="shared" si="254"/>
        <v>17333</v>
      </c>
      <c r="FC32" s="795">
        <f t="shared" si="255"/>
        <v>17333</v>
      </c>
      <c r="FD32" s="795">
        <f t="shared" ref="FD32:FG32" si="256">FC32</f>
        <v>17333</v>
      </c>
      <c r="FE32" s="795">
        <f t="shared" si="256"/>
        <v>17333</v>
      </c>
      <c r="FF32" s="795">
        <f t="shared" si="256"/>
        <v>17333</v>
      </c>
      <c r="FG32" s="18">
        <f t="shared" si="256"/>
        <v>17333</v>
      </c>
    </row>
    <row r="33" ht="12.75" customHeight="1">
      <c r="A33" s="179"/>
      <c r="B33" s="180" t="s">
        <v>527</v>
      </c>
      <c r="C33" s="180"/>
      <c r="D33" s="180"/>
      <c r="E33" s="180"/>
      <c r="F33" s="180"/>
      <c r="G33" s="180"/>
      <c r="H33" s="180"/>
      <c r="I33" s="180"/>
      <c r="J33" s="180"/>
      <c r="K33" s="180"/>
      <c r="L33" s="180"/>
      <c r="M33" s="180"/>
      <c r="N33" s="128">
        <f t="shared" ref="N33:Q33" si="257">N30+N31+N32</f>
        <v>738</v>
      </c>
      <c r="O33" s="128">
        <f t="shared" si="257"/>
        <v>1007</v>
      </c>
      <c r="P33" s="128">
        <f t="shared" si="257"/>
        <v>1023</v>
      </c>
      <c r="Q33" s="128">
        <f t="shared" si="257"/>
        <v>4630</v>
      </c>
      <c r="R33" s="73">
        <f>Q33</f>
        <v>4630</v>
      </c>
      <c r="S33" s="128">
        <f t="shared" ref="S33:V33" si="258">S30+S31+S32</f>
        <v>1285</v>
      </c>
      <c r="T33" s="128">
        <f t="shared" si="258"/>
        <v>1463</v>
      </c>
      <c r="U33" s="128">
        <f t="shared" si="258"/>
        <v>4469</v>
      </c>
      <c r="V33" s="128">
        <f t="shared" si="258"/>
        <v>7194</v>
      </c>
      <c r="W33" s="73">
        <f>V33</f>
        <v>7194</v>
      </c>
      <c r="X33" s="128">
        <f t="shared" ref="X33:AA33" si="259">X30+X31+X32</f>
        <v>8715</v>
      </c>
      <c r="Y33" s="128">
        <f t="shared" si="259"/>
        <v>9445</v>
      </c>
      <c r="Z33" s="128">
        <f t="shared" si="259"/>
        <v>9541</v>
      </c>
      <c r="AA33" s="128">
        <f t="shared" si="259"/>
        <v>9867</v>
      </c>
      <c r="AB33" s="73">
        <f>AA33</f>
        <v>9867</v>
      </c>
      <c r="AC33" s="128">
        <f t="shared" ref="AC33:AF33" si="260">AC30+AC31+AC32</f>
        <v>9577</v>
      </c>
      <c r="AD33" s="128">
        <f t="shared" si="260"/>
        <v>9842</v>
      </c>
      <c r="AE33" s="128">
        <f t="shared" si="260"/>
        <v>9061</v>
      </c>
      <c r="AF33" s="128">
        <f t="shared" si="260"/>
        <v>8486</v>
      </c>
      <c r="AG33" s="73">
        <f t="shared" ref="AG33:AG34" si="290">AF33</f>
        <v>8486</v>
      </c>
      <c r="AH33" s="128">
        <f t="shared" ref="AH33:AK33" si="261">AH30+AH31+AH32</f>
        <v>8457</v>
      </c>
      <c r="AI33" s="128">
        <f t="shared" si="261"/>
        <v>8025</v>
      </c>
      <c r="AJ33" s="128">
        <f t="shared" si="261"/>
        <v>7565</v>
      </c>
      <c r="AK33" s="128">
        <f t="shared" si="261"/>
        <v>7452</v>
      </c>
      <c r="AL33" s="73">
        <f t="shared" si="220"/>
        <v>7452</v>
      </c>
      <c r="AM33" s="128">
        <f t="shared" ref="AM33:AP33" si="262">AM30+AM31+AM32</f>
        <v>7141</v>
      </c>
      <c r="AN33" s="128">
        <f t="shared" si="262"/>
        <v>7071</v>
      </c>
      <c r="AO33" s="128">
        <f t="shared" si="262"/>
        <v>6884</v>
      </c>
      <c r="AP33" s="128">
        <f t="shared" si="262"/>
        <v>7086</v>
      </c>
      <c r="AQ33" s="73">
        <f t="shared" si="246"/>
        <v>7086</v>
      </c>
      <c r="AR33" s="128">
        <f t="shared" ref="AR33:AU33" si="263">AR30+AR31+AR32</f>
        <v>7197</v>
      </c>
      <c r="AS33" s="128">
        <f t="shared" si="263"/>
        <v>7325</v>
      </c>
      <c r="AT33" s="128">
        <f t="shared" si="263"/>
        <v>7425</v>
      </c>
      <c r="AU33" s="128">
        <f t="shared" si="263"/>
        <v>7661</v>
      </c>
      <c r="AV33" s="73">
        <f t="shared" si="221"/>
        <v>7661</v>
      </c>
      <c r="AW33" s="128">
        <f t="shared" ref="AW33:AZ33" si="264">SUM(AW30:AW32)</f>
        <v>7181</v>
      </c>
      <c r="AX33" s="128">
        <f t="shared" si="264"/>
        <v>7337</v>
      </c>
      <c r="AY33" s="128">
        <f t="shared" si="264"/>
        <v>8291</v>
      </c>
      <c r="AZ33" s="128">
        <f t="shared" si="264"/>
        <v>9472</v>
      </c>
      <c r="BA33" s="73">
        <f t="shared" si="222"/>
        <v>9472</v>
      </c>
      <c r="BB33" s="128">
        <f t="shared" ref="BB33:BE33" si="265">SUM(BB30:BB32)</f>
        <v>10961</v>
      </c>
      <c r="BC33" s="128">
        <f t="shared" si="265"/>
        <v>10631</v>
      </c>
      <c r="BD33" s="128">
        <f t="shared" si="265"/>
        <v>10825</v>
      </c>
      <c r="BE33" s="128">
        <f t="shared" si="265"/>
        <v>12088</v>
      </c>
      <c r="BF33" s="73">
        <f t="shared" si="223"/>
        <v>12088</v>
      </c>
      <c r="BG33" s="128">
        <f t="shared" ref="BG33:BJ33" si="266">SUM(BG30:BG32)</f>
        <v>13086</v>
      </c>
      <c r="BH33" s="128">
        <f t="shared" si="266"/>
        <v>13153</v>
      </c>
      <c r="BI33" s="128">
        <f t="shared" si="266"/>
        <v>13567</v>
      </c>
      <c r="BJ33" s="128">
        <f t="shared" si="266"/>
        <v>13861</v>
      </c>
      <c r="BK33" s="73">
        <f t="shared" si="224"/>
        <v>13861</v>
      </c>
      <c r="BL33" s="128">
        <f t="shared" ref="BL33:BO33" si="267">SUM(BL30:BL32)</f>
        <v>14126</v>
      </c>
      <c r="BM33" s="128">
        <f t="shared" si="267"/>
        <v>15247</v>
      </c>
      <c r="BN33" s="128">
        <f t="shared" si="267"/>
        <v>13869</v>
      </c>
      <c r="BO33" s="128">
        <f t="shared" si="267"/>
        <v>12948</v>
      </c>
      <c r="BP33" s="73">
        <f t="shared" si="225"/>
        <v>12948</v>
      </c>
      <c r="BQ33" s="128">
        <f t="shared" ref="BQ33:BT33" si="268">SUM(BQ30:BQ32)</f>
        <v>12085</v>
      </c>
      <c r="BR33" s="128">
        <f t="shared" si="268"/>
        <v>12566</v>
      </c>
      <c r="BS33" s="128">
        <f t="shared" si="268"/>
        <v>13629</v>
      </c>
      <c r="BT33" s="128">
        <f t="shared" si="268"/>
        <v>13940</v>
      </c>
      <c r="BU33" s="73">
        <f t="shared" si="226"/>
        <v>13940</v>
      </c>
      <c r="BV33" s="128">
        <f t="shared" ref="BV33:BY33" si="269">SUM(BV30:BV32)</f>
        <v>14095</v>
      </c>
      <c r="BW33" s="128">
        <f t="shared" si="269"/>
        <v>13365</v>
      </c>
      <c r="BX33" s="128">
        <f t="shared" si="269"/>
        <v>12846</v>
      </c>
      <c r="BY33" s="128">
        <f t="shared" si="269"/>
        <v>12668</v>
      </c>
      <c r="BZ33" s="73">
        <f t="shared" si="227"/>
        <v>12668</v>
      </c>
      <c r="CA33" s="128">
        <f t="shared" ref="CA33:CD33" si="270">SUM(CA30:CA32)</f>
        <v>22218</v>
      </c>
      <c r="CB33" s="128">
        <f t="shared" si="270"/>
        <v>21317</v>
      </c>
      <c r="CC33" s="128">
        <f t="shared" si="270"/>
        <v>21180</v>
      </c>
      <c r="CD33" s="128">
        <f t="shared" si="270"/>
        <v>21058</v>
      </c>
      <c r="CE33" s="73">
        <f t="shared" si="228"/>
        <v>21058</v>
      </c>
      <c r="CF33" s="128">
        <f t="shared" ref="CF33:CI33" si="271">SUM(CF30:CF32)</f>
        <v>20550</v>
      </c>
      <c r="CG33" s="128">
        <f t="shared" si="271"/>
        <v>19992</v>
      </c>
      <c r="CH33" s="128">
        <f t="shared" si="271"/>
        <v>20346</v>
      </c>
      <c r="CI33" s="128">
        <f t="shared" si="271"/>
        <v>20586</v>
      </c>
      <c r="CJ33" s="73">
        <f t="shared" si="229"/>
        <v>20586</v>
      </c>
      <c r="CK33" s="128">
        <f t="shared" ref="CK33:CN33" si="272">SUM(CK30:CK32)</f>
        <v>21290</v>
      </c>
      <c r="CL33" s="128">
        <f t="shared" si="272"/>
        <v>21907</v>
      </c>
      <c r="CM33" s="128">
        <f t="shared" si="272"/>
        <v>22341</v>
      </c>
      <c r="CN33" s="128">
        <f t="shared" si="272"/>
        <v>22625</v>
      </c>
      <c r="CO33" s="73">
        <f t="shared" si="230"/>
        <v>22625</v>
      </c>
      <c r="CP33" s="128">
        <f t="shared" ref="CP33:CS33" si="273">SUM(CP30:CP32)</f>
        <v>22791</v>
      </c>
      <c r="CQ33" s="128">
        <f t="shared" si="273"/>
        <v>23628</v>
      </c>
      <c r="CR33" s="17">
        <f t="shared" si="273"/>
        <v>23458</v>
      </c>
      <c r="CS33" s="17">
        <f t="shared" si="273"/>
        <v>23891</v>
      </c>
      <c r="CT33" s="73">
        <f t="shared" si="231"/>
        <v>23891</v>
      </c>
      <c r="CU33" s="128">
        <f t="shared" ref="CU33:CX33" si="274">SUM(CU30:CU32)</f>
        <v>23255</v>
      </c>
      <c r="CV33" s="128">
        <f t="shared" si="274"/>
        <v>23891</v>
      </c>
      <c r="CW33" s="128">
        <f t="shared" si="274"/>
        <v>25132</v>
      </c>
      <c r="CX33" s="128">
        <f t="shared" si="274"/>
        <v>24891</v>
      </c>
      <c r="CY33" s="18">
        <f t="shared" si="232"/>
        <v>24891</v>
      </c>
      <c r="CZ33" s="128">
        <f t="shared" ref="CZ33:DC33" si="275">SUM(CZ30:CZ32)</f>
        <v>39049</v>
      </c>
      <c r="DA33" s="128">
        <f t="shared" si="275"/>
        <v>39445</v>
      </c>
      <c r="DB33" s="128">
        <f t="shared" si="275"/>
        <v>35272</v>
      </c>
      <c r="DC33" s="128">
        <f t="shared" si="275"/>
        <v>35468</v>
      </c>
      <c r="DD33" s="18">
        <f t="shared" si="233"/>
        <v>35468</v>
      </c>
      <c r="DE33" s="128">
        <f t="shared" ref="DE33:DH33" si="276">SUM(DE30:DE32)</f>
        <v>35848</v>
      </c>
      <c r="DF33" s="128">
        <f t="shared" si="276"/>
        <v>37456</v>
      </c>
      <c r="DG33" s="129">
        <f t="shared" si="276"/>
        <v>48403</v>
      </c>
      <c r="DH33" s="128">
        <f t="shared" si="276"/>
        <v>48448</v>
      </c>
      <c r="DI33" s="18">
        <f t="shared" si="234"/>
        <v>48448</v>
      </c>
      <c r="DJ33" s="129">
        <f t="shared" ref="DJ33:DM33" si="277">SUM(DJ30:DJ32)</f>
        <v>43750</v>
      </c>
      <c r="DK33" s="129">
        <f t="shared" si="277"/>
        <v>43210</v>
      </c>
      <c r="DL33" s="129">
        <f t="shared" si="277"/>
        <v>44030</v>
      </c>
      <c r="DM33" s="129">
        <f t="shared" si="277"/>
        <v>44158</v>
      </c>
      <c r="DN33" s="18">
        <f t="shared" si="235"/>
        <v>44158</v>
      </c>
      <c r="DO33" s="129">
        <f t="shared" ref="DO33:DR33" si="278">SUM(DO30:DO32)</f>
        <v>45104</v>
      </c>
      <c r="DP33" s="129">
        <f t="shared" si="278"/>
        <v>45514</v>
      </c>
      <c r="DQ33" s="129">
        <f t="shared" si="278"/>
        <v>45429</v>
      </c>
      <c r="DR33" s="129">
        <f t="shared" si="278"/>
        <v>45932</v>
      </c>
      <c r="DS33" s="18">
        <f t="shared" si="236"/>
        <v>45932</v>
      </c>
      <c r="DT33" s="129">
        <f t="shared" ref="DT33:DW33" si="279">SUM(DT30:DT32)</f>
        <v>45559</v>
      </c>
      <c r="DU33" s="129">
        <f t="shared" si="279"/>
        <v>46212</v>
      </c>
      <c r="DV33" s="129">
        <f t="shared" si="279"/>
        <v>45592</v>
      </c>
      <c r="DW33" s="129">
        <f t="shared" si="279"/>
        <v>44106</v>
      </c>
      <c r="DX33" s="18">
        <f t="shared" si="237"/>
        <v>44106</v>
      </c>
      <c r="DY33" s="129">
        <f t="shared" ref="DY33:EB33" si="280">SUM(DY30:DY32)</f>
        <v>42115</v>
      </c>
      <c r="DZ33" s="129">
        <f t="shared" si="280"/>
        <v>41404</v>
      </c>
      <c r="EA33" s="129">
        <f t="shared" si="280"/>
        <v>40875</v>
      </c>
      <c r="EB33" s="129">
        <f t="shared" si="280"/>
        <v>41145</v>
      </c>
      <c r="EC33" s="18">
        <f t="shared" si="238"/>
        <v>41145</v>
      </c>
      <c r="ED33" s="129">
        <f t="shared" ref="ED33:EG33" si="281">SUM(ED30:ED32)</f>
        <v>41034</v>
      </c>
      <c r="EE33" s="129">
        <f t="shared" si="281"/>
        <v>42241</v>
      </c>
      <c r="EF33" s="129">
        <f t="shared" si="281"/>
        <v>43993</v>
      </c>
      <c r="EG33" s="129">
        <f t="shared" si="281"/>
        <v>44924</v>
      </c>
      <c r="EH33" s="18">
        <f t="shared" si="239"/>
        <v>44924</v>
      </c>
      <c r="EI33" s="134">
        <f t="shared" ref="EI33:EL33" si="282">SUM(EI30:EI32)</f>
        <v>44924</v>
      </c>
      <c r="EJ33" s="128">
        <f t="shared" si="282"/>
        <v>44924</v>
      </c>
      <c r="EK33" s="128">
        <f t="shared" si="282"/>
        <v>44924</v>
      </c>
      <c r="EL33" s="128">
        <f t="shared" si="282"/>
        <v>44924</v>
      </c>
      <c r="EM33" s="18">
        <f t="shared" ref="EM33:EM34" si="313">EL33</f>
        <v>44924</v>
      </c>
      <c r="EN33" s="128">
        <f t="shared" ref="EN33:EQ33" si="283">SUM(EN30:EN32)</f>
        <v>44924</v>
      </c>
      <c r="EO33" s="128">
        <f t="shared" si="283"/>
        <v>44924</v>
      </c>
      <c r="EP33" s="128">
        <f t="shared" si="283"/>
        <v>44924</v>
      </c>
      <c r="EQ33" s="128">
        <f t="shared" si="283"/>
        <v>44924</v>
      </c>
      <c r="ER33" s="18">
        <f t="shared" ref="ER33:ER34" si="315">EQ33</f>
        <v>44924</v>
      </c>
      <c r="ES33" s="128">
        <f t="shared" ref="ES33:EV33" si="284">SUM(ES30:ES32)</f>
        <v>44924</v>
      </c>
      <c r="ET33" s="128">
        <f t="shared" si="284"/>
        <v>44924</v>
      </c>
      <c r="EU33" s="128">
        <f t="shared" si="284"/>
        <v>44924</v>
      </c>
      <c r="EV33" s="128">
        <f t="shared" si="284"/>
        <v>44924</v>
      </c>
      <c r="EW33" s="18">
        <f t="shared" ref="EW33:EW34" si="317">EV33</f>
        <v>44924</v>
      </c>
      <c r="EX33" s="128">
        <f t="shared" ref="EX33:FA33" si="285">SUM(EX30:EX32)</f>
        <v>44924</v>
      </c>
      <c r="EY33" s="128">
        <f t="shared" si="285"/>
        <v>44924</v>
      </c>
      <c r="EZ33" s="128">
        <f t="shared" si="285"/>
        <v>44924</v>
      </c>
      <c r="FA33" s="128">
        <f t="shared" si="285"/>
        <v>44924</v>
      </c>
      <c r="FB33" s="18">
        <f t="shared" ref="FB33:FB34" si="319">FA33</f>
        <v>44924</v>
      </c>
      <c r="FC33" s="128">
        <f t="shared" ref="FC33:FF33" si="286">SUM(FC30:FC32)</f>
        <v>44924</v>
      </c>
      <c r="FD33" s="128">
        <f t="shared" si="286"/>
        <v>44924</v>
      </c>
      <c r="FE33" s="128">
        <f t="shared" si="286"/>
        <v>44924</v>
      </c>
      <c r="FF33" s="128">
        <f t="shared" si="286"/>
        <v>44924</v>
      </c>
      <c r="FG33" s="18">
        <f t="shared" ref="FG33:FG34" si="321">FF33</f>
        <v>44924</v>
      </c>
    </row>
    <row r="34" ht="12.75" customHeight="1">
      <c r="A34" s="8"/>
      <c r="B34" s="812" t="s">
        <v>528</v>
      </c>
      <c r="C34" s="813"/>
      <c r="D34" s="813"/>
      <c r="E34" s="813"/>
      <c r="F34" s="813"/>
      <c r="G34" s="813"/>
      <c r="H34" s="813"/>
      <c r="I34" s="813"/>
      <c r="J34" s="813"/>
      <c r="K34" s="813"/>
      <c r="L34" s="813"/>
      <c r="M34" s="813"/>
      <c r="N34" s="166">
        <f t="shared" ref="N34:V34" si="287">+N22+N26+N33+N28</f>
        <v>30229</v>
      </c>
      <c r="O34" s="166">
        <f t="shared" si="287"/>
        <v>28418</v>
      </c>
      <c r="P34" s="166">
        <f t="shared" si="287"/>
        <v>29388</v>
      </c>
      <c r="Q34" s="166">
        <f t="shared" si="287"/>
        <v>31471</v>
      </c>
      <c r="R34" s="166">
        <f t="shared" si="287"/>
        <v>31471</v>
      </c>
      <c r="S34" s="166">
        <f t="shared" si="287"/>
        <v>33093</v>
      </c>
      <c r="T34" s="166">
        <f t="shared" si="287"/>
        <v>32801</v>
      </c>
      <c r="U34" s="166">
        <f t="shared" si="287"/>
        <v>38938</v>
      </c>
      <c r="V34" s="166">
        <f t="shared" si="287"/>
        <v>43849</v>
      </c>
      <c r="W34" s="166">
        <f>+V34</f>
        <v>43849</v>
      </c>
      <c r="X34" s="166">
        <f t="shared" ref="X34:AA34" si="288">+X22+X26+X33+X28</f>
        <v>47811</v>
      </c>
      <c r="Y34" s="166">
        <f t="shared" si="288"/>
        <v>48520</v>
      </c>
      <c r="Z34" s="166">
        <f t="shared" si="288"/>
        <v>49013</v>
      </c>
      <c r="AA34" s="166">
        <f t="shared" si="288"/>
        <v>47945</v>
      </c>
      <c r="AB34" s="166">
        <f>+AA34</f>
        <v>47945</v>
      </c>
      <c r="AC34" s="166">
        <f t="shared" ref="AC34:AF34" si="289">+AC22+AC26+AC33+AC28</f>
        <v>46249</v>
      </c>
      <c r="AD34" s="166">
        <f t="shared" si="289"/>
        <v>45624</v>
      </c>
      <c r="AE34" s="166">
        <f t="shared" si="289"/>
        <v>44231</v>
      </c>
      <c r="AF34" s="166">
        <f t="shared" si="289"/>
        <v>44395</v>
      </c>
      <c r="AG34" s="166">
        <f t="shared" si="290"/>
        <v>44395</v>
      </c>
      <c r="AH34" s="166">
        <f t="shared" ref="AH34:AK34" si="291">+AH22+AH26+AH33+AH28</f>
        <v>44389</v>
      </c>
      <c r="AI34" s="166">
        <f t="shared" si="291"/>
        <v>43498</v>
      </c>
      <c r="AJ34" s="166">
        <f t="shared" si="291"/>
        <v>43636</v>
      </c>
      <c r="AK34" s="166">
        <f t="shared" si="291"/>
        <v>44224</v>
      </c>
      <c r="AL34" s="166">
        <f t="shared" si="220"/>
        <v>44224</v>
      </c>
      <c r="AM34" s="166">
        <f t="shared" ref="AM34:AP34" si="292">+AM22+AM26+AM33+AM28</f>
        <v>43806</v>
      </c>
      <c r="AN34" s="166">
        <f t="shared" si="292"/>
        <v>44465</v>
      </c>
      <c r="AO34" s="166">
        <f t="shared" si="292"/>
        <v>47003</v>
      </c>
      <c r="AP34" s="166">
        <f t="shared" si="292"/>
        <v>47143</v>
      </c>
      <c r="AQ34" s="166">
        <f t="shared" si="246"/>
        <v>47143</v>
      </c>
      <c r="AR34" s="166">
        <f t="shared" ref="AR34:AU34" si="293">+AR22+AR26+AR33+AR28</f>
        <v>47088</v>
      </c>
      <c r="AS34" s="166">
        <f t="shared" si="293"/>
        <v>48672</v>
      </c>
      <c r="AT34" s="166">
        <f t="shared" si="293"/>
        <v>47800</v>
      </c>
      <c r="AU34" s="166">
        <f t="shared" si="293"/>
        <v>48143</v>
      </c>
      <c r="AV34" s="166">
        <f t="shared" si="221"/>
        <v>48143</v>
      </c>
      <c r="AW34" s="166">
        <f t="shared" ref="AW34:AZ34" si="294">+AW22+AW26+AW33+AW28</f>
        <v>47566</v>
      </c>
      <c r="AX34" s="166">
        <f t="shared" si="294"/>
        <v>46513</v>
      </c>
      <c r="AY34" s="166">
        <f t="shared" si="294"/>
        <v>47360</v>
      </c>
      <c r="AZ34" s="166">
        <f t="shared" si="294"/>
        <v>48314</v>
      </c>
      <c r="BA34" s="166">
        <f t="shared" si="222"/>
        <v>48314</v>
      </c>
      <c r="BB34" s="166">
        <f t="shared" ref="BB34:BE34" si="295">+BB22+BB26+BB33+BB28</f>
        <v>47194</v>
      </c>
      <c r="BC34" s="166">
        <f t="shared" si="295"/>
        <v>46088</v>
      </c>
      <c r="BD34" s="166">
        <f t="shared" si="295"/>
        <v>46855</v>
      </c>
      <c r="BE34" s="166">
        <f t="shared" si="295"/>
        <v>48368</v>
      </c>
      <c r="BF34" s="166">
        <f t="shared" si="223"/>
        <v>48368</v>
      </c>
      <c r="BG34" s="166">
        <f t="shared" ref="BG34:BJ34" si="296">+BG22+BG26+BG33+BG28</f>
        <v>48756</v>
      </c>
      <c r="BH34" s="166">
        <f t="shared" si="296"/>
        <v>50294</v>
      </c>
      <c r="BI34" s="166">
        <f t="shared" si="296"/>
        <v>53039</v>
      </c>
      <c r="BJ34" s="166">
        <f t="shared" si="296"/>
        <v>55651</v>
      </c>
      <c r="BK34" s="166">
        <f t="shared" si="224"/>
        <v>55651</v>
      </c>
      <c r="BL34" s="166">
        <f t="shared" ref="BL34:BO34" si="297">+BL22+BL26+BL33+BL28</f>
        <v>53387</v>
      </c>
      <c r="BM34" s="166">
        <f t="shared" si="297"/>
        <v>52392</v>
      </c>
      <c r="BN34" s="166">
        <f t="shared" si="297"/>
        <v>52719</v>
      </c>
      <c r="BO34" s="166">
        <f t="shared" si="297"/>
        <v>50715</v>
      </c>
      <c r="BP34" s="166">
        <f t="shared" si="225"/>
        <v>50715</v>
      </c>
      <c r="BQ34" s="166">
        <f t="shared" ref="BQ34:BT34" si="298">+BQ22+BQ26+BQ33+BQ28</f>
        <v>48454</v>
      </c>
      <c r="BR34" s="166">
        <f t="shared" si="298"/>
        <v>49061</v>
      </c>
      <c r="BS34" s="166">
        <f t="shared" si="298"/>
        <v>50996</v>
      </c>
      <c r="BT34" s="166">
        <f t="shared" si="298"/>
        <v>53095</v>
      </c>
      <c r="BU34" s="166">
        <f t="shared" si="226"/>
        <v>53095</v>
      </c>
      <c r="BV34" s="166">
        <f t="shared" ref="BV34:BY34" si="299">+BV22+BV26+BV33+BV28</f>
        <v>55773</v>
      </c>
      <c r="BW34" s="166">
        <f t="shared" si="299"/>
        <v>57691</v>
      </c>
      <c r="BX34" s="166">
        <f t="shared" si="299"/>
        <v>60588</v>
      </c>
      <c r="BY34" s="166">
        <f t="shared" si="299"/>
        <v>63186</v>
      </c>
      <c r="BZ34" s="166">
        <f t="shared" si="227"/>
        <v>63186</v>
      </c>
      <c r="CA34" s="166">
        <f t="shared" ref="CA34:CD34" si="300">+CA22+CA26+CA33+CA28</f>
        <v>65552</v>
      </c>
      <c r="CB34" s="166">
        <f t="shared" si="300"/>
        <v>66089</v>
      </c>
      <c r="CC34" s="166">
        <f t="shared" si="300"/>
        <v>70551</v>
      </c>
      <c r="CD34" s="166">
        <f t="shared" si="300"/>
        <v>71119</v>
      </c>
      <c r="CE34" s="166">
        <f t="shared" si="228"/>
        <v>71119</v>
      </c>
      <c r="CF34" s="166">
        <f t="shared" ref="CF34:CI34" si="301">+CF22+CF26+CF33+CF28</f>
        <v>71817</v>
      </c>
      <c r="CG34" s="166">
        <f t="shared" si="301"/>
        <v>72352</v>
      </c>
      <c r="CH34" s="166">
        <f t="shared" si="301"/>
        <v>74441</v>
      </c>
      <c r="CI34" s="166">
        <f t="shared" si="301"/>
        <v>84351</v>
      </c>
      <c r="CJ34" s="166">
        <f t="shared" si="229"/>
        <v>84351</v>
      </c>
      <c r="CK34" s="166">
        <f t="shared" ref="CK34:CN34" si="302">+CK22+CK26+CK33+CK28</f>
        <v>83083</v>
      </c>
      <c r="CL34" s="166">
        <f t="shared" si="302"/>
        <v>85661</v>
      </c>
      <c r="CM34" s="166">
        <f t="shared" si="302"/>
        <v>90551</v>
      </c>
      <c r="CN34" s="166">
        <f t="shared" si="302"/>
        <v>92358</v>
      </c>
      <c r="CO34" s="166">
        <f t="shared" si="230"/>
        <v>92358</v>
      </c>
      <c r="CP34" s="166">
        <f t="shared" ref="CP34:CS34" si="303">+CP22+CP26+CP33+CP28</f>
        <v>91932</v>
      </c>
      <c r="CQ34" s="166">
        <f t="shared" si="303"/>
        <v>91793</v>
      </c>
      <c r="CR34" s="166">
        <f t="shared" si="303"/>
        <v>90616</v>
      </c>
      <c r="CS34" s="166">
        <f t="shared" si="303"/>
        <v>91956</v>
      </c>
      <c r="CT34" s="814">
        <f t="shared" si="231"/>
        <v>91956</v>
      </c>
      <c r="CU34" s="166">
        <f t="shared" ref="CU34:CX34" si="304">+CU22+CU26+CU33+CU28</f>
        <v>89566</v>
      </c>
      <c r="CV34" s="166">
        <f t="shared" si="304"/>
        <v>90492</v>
      </c>
      <c r="CW34" s="166">
        <f t="shared" si="304"/>
        <v>98552</v>
      </c>
      <c r="CX34" s="166">
        <f t="shared" si="304"/>
        <v>103065</v>
      </c>
      <c r="CY34" s="168">
        <f t="shared" si="232"/>
        <v>103065</v>
      </c>
      <c r="CZ34" s="166">
        <f t="shared" ref="CZ34:DC34" si="305">+CZ22+CZ26+CZ33+CZ28</f>
        <v>105467</v>
      </c>
      <c r="DA34" s="166">
        <f t="shared" si="305"/>
        <v>109831</v>
      </c>
      <c r="DB34" s="166">
        <f t="shared" si="305"/>
        <v>112217</v>
      </c>
      <c r="DC34" s="166">
        <f t="shared" si="305"/>
        <v>113327</v>
      </c>
      <c r="DD34" s="168">
        <f t="shared" si="233"/>
        <v>113327</v>
      </c>
      <c r="DE34" s="166">
        <f t="shared" ref="DE34:DH34" si="306">+DE22+DE26+DE33+DE28</f>
        <v>115648</v>
      </c>
      <c r="DF34" s="166">
        <f t="shared" si="306"/>
        <v>122107</v>
      </c>
      <c r="DG34" s="167">
        <f t="shared" si="306"/>
        <v>127088</v>
      </c>
      <c r="DH34" s="166">
        <f t="shared" si="306"/>
        <v>123249</v>
      </c>
      <c r="DI34" s="168">
        <f t="shared" si="234"/>
        <v>123249</v>
      </c>
      <c r="DJ34" s="167">
        <f t="shared" ref="DJ34:DM34" si="307">+DJ22+DJ26+DJ33+DJ28</f>
        <v>128596</v>
      </c>
      <c r="DK34" s="167">
        <f t="shared" si="307"/>
        <v>125972</v>
      </c>
      <c r="DL34" s="167">
        <f t="shared" si="307"/>
        <v>128242</v>
      </c>
      <c r="DM34" s="167">
        <f t="shared" si="307"/>
        <v>127963</v>
      </c>
      <c r="DN34" s="168">
        <f t="shared" si="235"/>
        <v>127963</v>
      </c>
      <c r="DO34" s="167">
        <f t="shared" ref="DO34:DR34" si="308">+DO22+DO26+DO33+DO28</f>
        <v>129458</v>
      </c>
      <c r="DP34" s="167">
        <f t="shared" si="308"/>
        <v>130759</v>
      </c>
      <c r="DQ34" s="167">
        <f t="shared" si="308"/>
        <v>133768</v>
      </c>
      <c r="DR34" s="167">
        <f t="shared" si="308"/>
        <v>136524</v>
      </c>
      <c r="DS34" s="168">
        <f t="shared" si="236"/>
        <v>136524</v>
      </c>
      <c r="DT34" s="167">
        <f t="shared" ref="DT34:DW34" si="309">+DT22+DT26+DT33+DT28</f>
        <v>147710</v>
      </c>
      <c r="DU34" s="167">
        <f t="shared" si="309"/>
        <v>152539</v>
      </c>
      <c r="DV34" s="167">
        <f t="shared" si="309"/>
        <v>145261</v>
      </c>
      <c r="DW34" s="167">
        <f t="shared" si="309"/>
        <v>153091</v>
      </c>
      <c r="DX34" s="168">
        <f t="shared" si="237"/>
        <v>153091</v>
      </c>
      <c r="DY34" s="167">
        <f t="shared" ref="DY34:EB34" si="310">+DY22+DY26+DY33+DY28</f>
        <v>150622</v>
      </c>
      <c r="DZ34" s="167">
        <f t="shared" si="310"/>
        <v>154597</v>
      </c>
      <c r="EA34" s="167">
        <f t="shared" si="310"/>
        <v>167962</v>
      </c>
      <c r="EB34" s="167">
        <f t="shared" si="310"/>
        <v>168406</v>
      </c>
      <c r="EC34" s="168">
        <f t="shared" si="238"/>
        <v>168406</v>
      </c>
      <c r="ED34" s="167">
        <f t="shared" ref="ED34:EG34" si="311">+ED22+ED26+ED33+ED28</f>
        <v>176356</v>
      </c>
      <c r="EE34" s="167">
        <f t="shared" si="311"/>
        <v>170418</v>
      </c>
      <c r="EF34" s="167">
        <f t="shared" si="311"/>
        <v>174841</v>
      </c>
      <c r="EG34" s="167">
        <f t="shared" si="311"/>
        <v>182103</v>
      </c>
      <c r="EH34" s="168">
        <f t="shared" si="239"/>
        <v>182103</v>
      </c>
      <c r="EI34" s="169" t="str">
        <f t="shared" ref="EI34:EL34" si="312">+EI22+EI26+EI33+EI28</f>
        <v>#ERROR!</v>
      </c>
      <c r="EJ34" s="166" t="str">
        <f t="shared" si="312"/>
        <v>#ERROR!</v>
      </c>
      <c r="EK34" s="166" t="str">
        <f t="shared" si="312"/>
        <v>#ERROR!</v>
      </c>
      <c r="EL34" s="166" t="str">
        <f t="shared" si="312"/>
        <v>#ERROR!</v>
      </c>
      <c r="EM34" s="168" t="str">
        <f t="shared" si="313"/>
        <v>#ERROR!</v>
      </c>
      <c r="EN34" s="166" t="str">
        <f t="shared" ref="EN34:EQ34" si="314">+EN22+EN26+EN33+EN28</f>
        <v>#ERROR!</v>
      </c>
      <c r="EO34" s="166" t="str">
        <f t="shared" si="314"/>
        <v>#ERROR!</v>
      </c>
      <c r="EP34" s="166" t="str">
        <f t="shared" si="314"/>
        <v>#ERROR!</v>
      </c>
      <c r="EQ34" s="166" t="str">
        <f t="shared" si="314"/>
        <v>#ERROR!</v>
      </c>
      <c r="ER34" s="168" t="str">
        <f t="shared" si="315"/>
        <v>#ERROR!</v>
      </c>
      <c r="ES34" s="166" t="str">
        <f t="shared" ref="ES34:EV34" si="316">+ES22+ES26+ES33+ES28</f>
        <v>#ERROR!</v>
      </c>
      <c r="ET34" s="166" t="str">
        <f t="shared" si="316"/>
        <v>#ERROR!</v>
      </c>
      <c r="EU34" s="166" t="str">
        <f t="shared" si="316"/>
        <v>#ERROR!</v>
      </c>
      <c r="EV34" s="166" t="str">
        <f t="shared" si="316"/>
        <v>#ERROR!</v>
      </c>
      <c r="EW34" s="168" t="str">
        <f t="shared" si="317"/>
        <v>#ERROR!</v>
      </c>
      <c r="EX34" s="166" t="str">
        <f t="shared" ref="EX34:FA34" si="318">+EX22+EX26+EX33+EX28</f>
        <v>#ERROR!</v>
      </c>
      <c r="EY34" s="166" t="str">
        <f t="shared" si="318"/>
        <v>#ERROR!</v>
      </c>
      <c r="EZ34" s="166" t="str">
        <f t="shared" si="318"/>
        <v>#ERROR!</v>
      </c>
      <c r="FA34" s="166" t="str">
        <f t="shared" si="318"/>
        <v>#ERROR!</v>
      </c>
      <c r="FB34" s="168" t="str">
        <f t="shared" si="319"/>
        <v>#ERROR!</v>
      </c>
      <c r="FC34" s="166" t="str">
        <f t="shared" ref="FC34:FF34" si="320">+FC22+FC26+FC33+FC28</f>
        <v>#ERROR!</v>
      </c>
      <c r="FD34" s="166" t="str">
        <f t="shared" si="320"/>
        <v>#ERROR!</v>
      </c>
      <c r="FE34" s="166" t="str">
        <f t="shared" si="320"/>
        <v>#ERROR!</v>
      </c>
      <c r="FF34" s="166" t="str">
        <f t="shared" si="320"/>
        <v>#ERROR!</v>
      </c>
      <c r="FG34" s="168" t="str">
        <f t="shared" si="321"/>
        <v>#ERROR!</v>
      </c>
    </row>
    <row r="35" ht="12.75" customHeight="1">
      <c r="A35" s="179"/>
      <c r="B35" s="800"/>
      <c r="C35" s="800"/>
      <c r="D35" s="800"/>
      <c r="E35" s="800"/>
      <c r="F35" s="800"/>
      <c r="G35" s="800"/>
      <c r="H35" s="800"/>
      <c r="I35" s="800"/>
      <c r="J35" s="800"/>
      <c r="K35" s="800"/>
      <c r="L35" s="800"/>
      <c r="M35" s="800"/>
      <c r="N35" s="128"/>
      <c r="O35" s="128"/>
      <c r="P35" s="128"/>
      <c r="Q35" s="128"/>
      <c r="R35" s="73"/>
      <c r="S35" s="128"/>
      <c r="T35" s="128"/>
      <c r="U35" s="128"/>
      <c r="V35" s="128"/>
      <c r="W35" s="73"/>
      <c r="X35" s="128"/>
      <c r="Y35" s="128"/>
      <c r="Z35" s="128"/>
      <c r="AA35" s="128"/>
      <c r="AB35" s="73"/>
      <c r="AC35" s="128"/>
      <c r="AD35" s="128"/>
      <c r="AE35" s="128"/>
      <c r="AF35" s="128"/>
      <c r="AG35" s="73"/>
      <c r="AH35" s="128"/>
      <c r="AI35" s="128"/>
      <c r="AJ35" s="128"/>
      <c r="AK35" s="128"/>
      <c r="AL35" s="73"/>
      <c r="AM35" s="128"/>
      <c r="AN35" s="128"/>
      <c r="AO35" s="128"/>
      <c r="AP35" s="128"/>
      <c r="AQ35" s="73"/>
      <c r="AR35" s="128"/>
      <c r="AS35" s="128"/>
      <c r="AT35" s="128"/>
      <c r="AU35" s="128"/>
      <c r="AV35" s="73"/>
      <c r="AW35" s="128"/>
      <c r="AX35" s="128"/>
      <c r="AY35" s="128"/>
      <c r="AZ35" s="128"/>
      <c r="BA35" s="73"/>
      <c r="BB35" s="128"/>
      <c r="BC35" s="128"/>
      <c r="BD35" s="128"/>
      <c r="BE35" s="128"/>
      <c r="BF35" s="73"/>
      <c r="BG35" s="128"/>
      <c r="BH35" s="128"/>
      <c r="BI35" s="128"/>
      <c r="BJ35" s="128"/>
      <c r="BK35" s="73"/>
      <c r="BL35" s="128"/>
      <c r="BM35" s="128"/>
      <c r="BN35" s="128"/>
      <c r="BO35" s="128"/>
      <c r="BP35" s="73"/>
      <c r="BQ35" s="128"/>
      <c r="BR35" s="128"/>
      <c r="BS35" s="128"/>
      <c r="BT35" s="128"/>
      <c r="BU35" s="73"/>
      <c r="BV35" s="128"/>
      <c r="BW35" s="128"/>
      <c r="BX35" s="128"/>
      <c r="BY35" s="128"/>
      <c r="BZ35" s="73"/>
      <c r="CA35" s="128"/>
      <c r="CB35" s="128"/>
      <c r="CC35" s="128"/>
      <c r="CD35" s="128"/>
      <c r="CE35" s="73"/>
      <c r="CF35" s="128"/>
      <c r="CG35" s="128"/>
      <c r="CH35" s="128"/>
      <c r="CI35" s="128"/>
      <c r="CJ35" s="73"/>
      <c r="CK35" s="128"/>
      <c r="CL35" s="128"/>
      <c r="CM35" s="128"/>
      <c r="CN35" s="128"/>
      <c r="CO35" s="73"/>
      <c r="CP35" s="128"/>
      <c r="CQ35" s="128"/>
      <c r="CR35" s="128"/>
      <c r="CS35" s="128"/>
      <c r="CT35" s="73"/>
      <c r="CU35" s="128"/>
      <c r="CV35" s="128"/>
      <c r="CW35" s="128"/>
      <c r="CX35" s="128"/>
      <c r="CY35" s="18"/>
      <c r="CZ35" s="128"/>
      <c r="DA35" s="128"/>
      <c r="DB35" s="128"/>
      <c r="DC35" s="128"/>
      <c r="DD35" s="18"/>
      <c r="DE35" s="128"/>
      <c r="DF35" s="128"/>
      <c r="DG35" s="129"/>
      <c r="DH35" s="128"/>
      <c r="DI35" s="18"/>
      <c r="DJ35" s="129"/>
      <c r="DK35" s="129"/>
      <c r="DL35" s="129"/>
      <c r="DM35" s="129"/>
      <c r="DN35" s="18"/>
      <c r="DO35" s="129"/>
      <c r="DP35" s="129"/>
      <c r="DQ35" s="129"/>
      <c r="DR35" s="129"/>
      <c r="DS35" s="18"/>
      <c r="DT35" s="129"/>
      <c r="DU35" s="129"/>
      <c r="DV35" s="129"/>
      <c r="DW35" s="129"/>
      <c r="DX35" s="18"/>
      <c r="DY35" s="129"/>
      <c r="DZ35" s="129"/>
      <c r="EA35" s="129"/>
      <c r="EB35" s="129"/>
      <c r="EC35" s="18"/>
      <c r="ED35" s="129"/>
      <c r="EE35" s="129"/>
      <c r="EF35" s="129"/>
      <c r="EG35" s="129"/>
      <c r="EH35" s="18"/>
      <c r="EI35" s="134"/>
      <c r="EJ35" s="128"/>
      <c r="EK35" s="128"/>
      <c r="EL35" s="128"/>
      <c r="EM35" s="18"/>
      <c r="EN35" s="128"/>
      <c r="EO35" s="128"/>
      <c r="EP35" s="128"/>
      <c r="EQ35" s="128"/>
      <c r="ER35" s="18"/>
      <c r="ES35" s="128"/>
      <c r="ET35" s="128"/>
      <c r="EU35" s="128"/>
      <c r="EV35" s="128"/>
      <c r="EW35" s="18"/>
      <c r="EX35" s="128"/>
      <c r="EY35" s="128"/>
      <c r="EZ35" s="128"/>
      <c r="FA35" s="128"/>
      <c r="FB35" s="18"/>
      <c r="FC35" s="128"/>
      <c r="FD35" s="128"/>
      <c r="FE35" s="128"/>
      <c r="FF35" s="128"/>
      <c r="FG35" s="18"/>
    </row>
    <row r="36" ht="12.75" customHeight="1">
      <c r="A36" s="179"/>
      <c r="B36" s="780" t="s">
        <v>529</v>
      </c>
      <c r="C36" s="180"/>
      <c r="D36" s="180"/>
      <c r="E36" s="180"/>
      <c r="F36" s="180"/>
      <c r="G36" s="180"/>
      <c r="H36" s="180"/>
      <c r="I36" s="180"/>
      <c r="J36" s="180"/>
      <c r="K36" s="180"/>
      <c r="L36" s="180"/>
      <c r="M36" s="180"/>
      <c r="N36" s="73"/>
      <c r="O36" s="73"/>
      <c r="P36" s="73"/>
      <c r="Q36" s="73"/>
      <c r="R36" s="73"/>
      <c r="S36" s="128"/>
      <c r="T36" s="128"/>
      <c r="U36" s="128"/>
      <c r="V36" s="128"/>
      <c r="W36" s="73"/>
      <c r="X36" s="128"/>
      <c r="Y36" s="128"/>
      <c r="Z36" s="128"/>
      <c r="AA36" s="128"/>
      <c r="AB36" s="73"/>
      <c r="AC36" s="128"/>
      <c r="AD36" s="128"/>
      <c r="AE36" s="128"/>
      <c r="AF36" s="128"/>
      <c r="AG36" s="73"/>
      <c r="AH36" s="128"/>
      <c r="AI36" s="128"/>
      <c r="AJ36" s="128"/>
      <c r="AK36" s="128"/>
      <c r="AL36" s="73"/>
      <c r="AM36" s="128"/>
      <c r="AN36" s="128"/>
      <c r="AO36" s="128"/>
      <c r="AP36" s="128"/>
      <c r="AQ36" s="73"/>
      <c r="AR36" s="128"/>
      <c r="AS36" s="128"/>
      <c r="AT36" s="128"/>
      <c r="AU36" s="128"/>
      <c r="AV36" s="73"/>
      <c r="AW36" s="128"/>
      <c r="AX36" s="128"/>
      <c r="AY36" s="128"/>
      <c r="AZ36" s="128"/>
      <c r="BA36" s="73"/>
      <c r="BB36" s="128"/>
      <c r="BC36" s="128"/>
      <c r="BD36" s="128"/>
      <c r="BE36" s="128"/>
      <c r="BF36" s="73"/>
      <c r="BG36" s="128"/>
      <c r="BH36" s="128"/>
      <c r="BI36" s="128"/>
      <c r="BJ36" s="128"/>
      <c r="BK36" s="73"/>
      <c r="BL36" s="128"/>
      <c r="BM36" s="128"/>
      <c r="BN36" s="128"/>
      <c r="BO36" s="128"/>
      <c r="BP36" s="73"/>
      <c r="BQ36" s="128"/>
      <c r="BR36" s="128"/>
      <c r="BS36" s="128"/>
      <c r="BT36" s="128"/>
      <c r="BU36" s="73"/>
      <c r="BV36" s="128"/>
      <c r="BW36" s="128"/>
      <c r="BX36" s="128"/>
      <c r="BY36" s="128"/>
      <c r="BZ36" s="73"/>
      <c r="CA36" s="128"/>
      <c r="CB36" s="128"/>
      <c r="CC36" s="128"/>
      <c r="CD36" s="128"/>
      <c r="CE36" s="73"/>
      <c r="CF36" s="128"/>
      <c r="CG36" s="128"/>
      <c r="CH36" s="128"/>
      <c r="CI36" s="128"/>
      <c r="CJ36" s="73"/>
      <c r="CK36" s="128"/>
      <c r="CL36" s="128"/>
      <c r="CM36" s="128"/>
      <c r="CN36" s="128"/>
      <c r="CO36" s="73"/>
      <c r="CP36" s="128"/>
      <c r="CQ36" s="128"/>
      <c r="CR36" s="17"/>
      <c r="CS36" s="128"/>
      <c r="CT36" s="73"/>
      <c r="CU36" s="128"/>
      <c r="CV36" s="128"/>
      <c r="CW36" s="128"/>
      <c r="CX36" s="128"/>
      <c r="CY36" s="18"/>
      <c r="CZ36" s="128"/>
      <c r="DA36" s="128"/>
      <c r="DB36" s="128"/>
      <c r="DC36" s="128"/>
      <c r="DD36" s="18"/>
      <c r="DE36" s="128"/>
      <c r="DF36" s="128"/>
      <c r="DG36" s="129"/>
      <c r="DH36" s="128"/>
      <c r="DI36" s="18"/>
      <c r="DJ36" s="129"/>
      <c r="DK36" s="129"/>
      <c r="DL36" s="129"/>
      <c r="DM36" s="129"/>
      <c r="DN36" s="18"/>
      <c r="DO36" s="129"/>
      <c r="DP36" s="129"/>
      <c r="DQ36" s="129"/>
      <c r="DR36" s="129"/>
      <c r="DS36" s="18"/>
      <c r="DT36" s="129"/>
      <c r="DU36" s="129"/>
      <c r="DV36" s="129"/>
      <c r="DW36" s="129"/>
      <c r="DX36" s="18"/>
      <c r="DY36" s="129"/>
      <c r="DZ36" s="129"/>
      <c r="EA36" s="129"/>
      <c r="EB36" s="129"/>
      <c r="EC36" s="18"/>
      <c r="ED36" s="129"/>
      <c r="EE36" s="129"/>
      <c r="EF36" s="129"/>
      <c r="EG36" s="129"/>
      <c r="EH36" s="18"/>
      <c r="EI36" s="134"/>
      <c r="EJ36" s="128"/>
      <c r="EK36" s="128"/>
      <c r="EL36" s="128"/>
      <c r="EM36" s="18"/>
      <c r="EN36" s="128"/>
      <c r="EO36" s="128"/>
      <c r="EP36" s="128"/>
      <c r="EQ36" s="128"/>
      <c r="ER36" s="18"/>
      <c r="ES36" s="128"/>
      <c r="ET36" s="128"/>
      <c r="EU36" s="128"/>
      <c r="EV36" s="128"/>
      <c r="EW36" s="18"/>
      <c r="EX36" s="128"/>
      <c r="EY36" s="128"/>
      <c r="EZ36" s="128"/>
      <c r="FA36" s="128"/>
      <c r="FB36" s="18"/>
      <c r="FC36" s="128"/>
      <c r="FD36" s="128"/>
      <c r="FE36" s="128"/>
      <c r="FF36" s="128"/>
      <c r="FG36" s="18"/>
    </row>
    <row r="37" ht="12.75" customHeight="1">
      <c r="A37" s="179"/>
      <c r="B37" s="180" t="s">
        <v>530</v>
      </c>
      <c r="C37" s="180"/>
      <c r="D37" s="180"/>
      <c r="E37" s="180"/>
      <c r="F37" s="180"/>
      <c r="G37" s="180"/>
      <c r="H37" s="180"/>
      <c r="I37" s="180"/>
      <c r="J37" s="180"/>
      <c r="K37" s="180"/>
      <c r="L37" s="180"/>
      <c r="M37" s="180"/>
      <c r="N37" s="128">
        <f>255+110</f>
        <v>365</v>
      </c>
      <c r="O37" s="128">
        <f>132+110</f>
        <v>242</v>
      </c>
      <c r="P37" s="128">
        <f>162+30</f>
        <v>192</v>
      </c>
      <c r="Q37" s="128">
        <v>159.0</v>
      </c>
      <c r="R37" s="73">
        <v>159.0</v>
      </c>
      <c r="S37" s="128">
        <v>182.0</v>
      </c>
      <c r="T37" s="128">
        <v>135.0</v>
      </c>
      <c r="U37" s="128">
        <v>164.0</v>
      </c>
      <c r="V37" s="128">
        <v>230.0</v>
      </c>
      <c r="W37" s="73">
        <f>+V37</f>
        <v>230</v>
      </c>
      <c r="X37" s="128">
        <v>373.0</v>
      </c>
      <c r="Y37" s="128">
        <v>385.0</v>
      </c>
      <c r="Z37" s="128">
        <v>336.0</v>
      </c>
      <c r="AA37" s="128">
        <v>378.0</v>
      </c>
      <c r="AB37" s="73">
        <f>+AA37</f>
        <v>378</v>
      </c>
      <c r="AC37" s="128">
        <v>479.0</v>
      </c>
      <c r="AD37" s="128">
        <v>411.0</v>
      </c>
      <c r="AE37" s="128">
        <v>302.0</v>
      </c>
      <c r="AF37" s="128">
        <v>409.0</v>
      </c>
      <c r="AG37" s="73">
        <f>AF37</f>
        <v>409</v>
      </c>
      <c r="AH37" s="128">
        <v>412.0</v>
      </c>
      <c r="AI37" s="128">
        <v>383.0</v>
      </c>
      <c r="AJ37" s="128">
        <v>317.0</v>
      </c>
      <c r="AK37" s="128">
        <v>436.0</v>
      </c>
      <c r="AL37" s="73">
        <f>AK37</f>
        <v>436</v>
      </c>
      <c r="AM37" s="128">
        <v>393.0</v>
      </c>
      <c r="AN37" s="128">
        <v>385.0</v>
      </c>
      <c r="AO37" s="128">
        <v>352.0</v>
      </c>
      <c r="AP37" s="128">
        <v>224.0</v>
      </c>
      <c r="AQ37" s="73">
        <f>AP37</f>
        <v>224</v>
      </c>
      <c r="AR37" s="128">
        <v>296.0</v>
      </c>
      <c r="AS37" s="128">
        <v>216.0</v>
      </c>
      <c r="AT37" s="128">
        <v>213.0</v>
      </c>
      <c r="AU37" s="128">
        <v>201.0</v>
      </c>
      <c r="AV37" s="73">
        <f>AU37</f>
        <v>201</v>
      </c>
      <c r="AW37" s="128">
        <v>222.0</v>
      </c>
      <c r="AX37" s="128">
        <v>318.0</v>
      </c>
      <c r="AY37" s="128">
        <v>252.0</v>
      </c>
      <c r="AZ37" s="128">
        <v>313.0</v>
      </c>
      <c r="BA37" s="73">
        <f>AZ37</f>
        <v>313</v>
      </c>
      <c r="BB37" s="128">
        <v>224.0</v>
      </c>
      <c r="BC37" s="128">
        <v>287.0</v>
      </c>
      <c r="BD37" s="128">
        <v>196.0</v>
      </c>
      <c r="BE37" s="128">
        <v>180.0</v>
      </c>
      <c r="BF37" s="73">
        <f>BE37</f>
        <v>180</v>
      </c>
      <c r="BG37" s="128">
        <v>139.0</v>
      </c>
      <c r="BH37" s="128">
        <v>221.0</v>
      </c>
      <c r="BI37" s="128">
        <v>137.0</v>
      </c>
      <c r="BJ37" s="128">
        <v>142.0</v>
      </c>
      <c r="BK37" s="73">
        <f>BJ37</f>
        <v>142</v>
      </c>
      <c r="BL37" s="128">
        <v>189.0</v>
      </c>
      <c r="BM37" s="128">
        <v>175.0</v>
      </c>
      <c r="BN37" s="128">
        <v>467.0</v>
      </c>
      <c r="BO37" s="128">
        <v>102.0</v>
      </c>
      <c r="BP37" s="73">
        <f>BO37</f>
        <v>102</v>
      </c>
      <c r="BQ37" s="128">
        <v>31.0</v>
      </c>
      <c r="BR37" s="128">
        <v>24.0</v>
      </c>
      <c r="BS37" s="128">
        <v>23.0</v>
      </c>
      <c r="BT37" s="128">
        <v>172.0</v>
      </c>
      <c r="BU37" s="73">
        <f>BT37</f>
        <v>172</v>
      </c>
      <c r="BV37" s="128">
        <v>330.0</v>
      </c>
      <c r="BW37" s="128">
        <v>215.0</v>
      </c>
      <c r="BX37" s="128">
        <v>259.0</v>
      </c>
      <c r="BY37" s="128">
        <v>38.0</v>
      </c>
      <c r="BZ37" s="73">
        <f>BY37</f>
        <v>38</v>
      </c>
      <c r="CA37" s="128">
        <v>54.0</v>
      </c>
      <c r="CB37" s="128">
        <v>71.0</v>
      </c>
      <c r="CC37" s="128">
        <v>66.0</v>
      </c>
      <c r="CD37" s="128">
        <v>247.0</v>
      </c>
      <c r="CE37" s="73">
        <f>CD37</f>
        <v>247</v>
      </c>
      <c r="CF37" s="128">
        <v>362.0</v>
      </c>
      <c r="CG37" s="128">
        <v>92.0</v>
      </c>
      <c r="CH37" s="128">
        <v>56.0</v>
      </c>
      <c r="CI37" s="128">
        <v>312.0</v>
      </c>
      <c r="CJ37" s="73">
        <f>CI37</f>
        <v>312</v>
      </c>
      <c r="CK37" s="128">
        <v>88.0</v>
      </c>
      <c r="CL37" s="128">
        <v>263.0</v>
      </c>
      <c r="CM37" s="128">
        <v>350.0</v>
      </c>
      <c r="CN37" s="128">
        <v>281.0</v>
      </c>
      <c r="CO37" s="73">
        <f>CN37</f>
        <v>281</v>
      </c>
      <c r="CP37" s="128">
        <v>36.0</v>
      </c>
      <c r="CQ37" s="17">
        <v>14.0</v>
      </c>
      <c r="CR37" s="17">
        <v>1164.0</v>
      </c>
      <c r="CS37" s="128">
        <v>1604.0</v>
      </c>
      <c r="CT37" s="73">
        <f>CS37</f>
        <v>1604</v>
      </c>
      <c r="CU37" s="128">
        <v>1121.0</v>
      </c>
      <c r="CV37" s="128">
        <v>1118.0</v>
      </c>
      <c r="CW37" s="128">
        <v>1129.0</v>
      </c>
      <c r="CX37" s="128">
        <v>2634.0</v>
      </c>
      <c r="CY37" s="18">
        <f>CX37</f>
        <v>2634</v>
      </c>
      <c r="CZ37" s="128">
        <v>3594.0</v>
      </c>
      <c r="DA37" s="128">
        <v>4560.0</v>
      </c>
      <c r="DB37" s="128">
        <v>3573.0</v>
      </c>
      <c r="DC37" s="128">
        <v>4634.0</v>
      </c>
      <c r="DD37" s="18">
        <f>DC37</f>
        <v>4634</v>
      </c>
      <c r="DE37" s="128">
        <v>5073.0</v>
      </c>
      <c r="DF37" s="128">
        <v>4130.0</v>
      </c>
      <c r="DG37" s="129">
        <v>4142.0</v>
      </c>
      <c r="DH37" s="128">
        <v>1776.0</v>
      </c>
      <c r="DI37" s="18">
        <f>DH37</f>
        <v>1776</v>
      </c>
      <c r="DJ37" s="129">
        <v>3842.0</v>
      </c>
      <c r="DK37" s="129">
        <v>3510.0</v>
      </c>
      <c r="DL37" s="129">
        <v>3051.0</v>
      </c>
      <c r="DM37" s="129">
        <v>1261.0</v>
      </c>
      <c r="DN37" s="18">
        <f>DM37</f>
        <v>1261</v>
      </c>
      <c r="DO37" s="129">
        <v>2750.0</v>
      </c>
      <c r="DP37" s="129">
        <v>3726.0</v>
      </c>
      <c r="DQ37" s="129">
        <v>5200.0</v>
      </c>
      <c r="DR37" s="129">
        <v>3693.0</v>
      </c>
      <c r="DS37" s="18">
        <f>DR37</f>
        <v>3693</v>
      </c>
      <c r="DT37" s="129">
        <v>3464.0</v>
      </c>
      <c r="DU37" s="129">
        <v>2254.0</v>
      </c>
      <c r="DV37" s="129">
        <v>504.0</v>
      </c>
      <c r="DW37" s="129">
        <v>2504.0</v>
      </c>
      <c r="DX37" s="18">
        <f>DW37</f>
        <v>2504</v>
      </c>
      <c r="DY37" s="129">
        <v>2647.0</v>
      </c>
      <c r="DZ37" s="129">
        <v>3695.0</v>
      </c>
      <c r="EA37" s="129">
        <v>4694.0</v>
      </c>
      <c r="EB37" s="129">
        <v>4591.0</v>
      </c>
      <c r="EC37" s="18">
        <f>EB37</f>
        <v>4591</v>
      </c>
      <c r="ED37" s="129">
        <v>4459.0</v>
      </c>
      <c r="EE37" s="129">
        <v>2882.0</v>
      </c>
      <c r="EF37" s="129">
        <v>2283.0</v>
      </c>
      <c r="EG37" s="129">
        <v>4367.0</v>
      </c>
      <c r="EH37" s="18">
        <f>EG37</f>
        <v>4367</v>
      </c>
      <c r="EI37" s="134">
        <f>-SUM(CF!EN42,CF!EJ42:EL42)</f>
        <v>400</v>
      </c>
      <c r="EJ37" s="128">
        <f>-SUM(CF!EK42:EL42,CF!EN42:EO42)</f>
        <v>1650</v>
      </c>
      <c r="EK37" s="128">
        <f>-SUM(CF!EL42,CF!EN42:EP42)</f>
        <v>2250</v>
      </c>
      <c r="EL37" s="128">
        <f>-SUM(CF!EN42:EQ42)</f>
        <v>1850</v>
      </c>
      <c r="EM37" s="18">
        <f>EL37</f>
        <v>1850</v>
      </c>
      <c r="EN37" s="128">
        <f>-SUM(CF!ES42,CF!EO42:EQ42)</f>
        <v>1850</v>
      </c>
      <c r="EO37" s="128">
        <f>-SUM(CF!EP42:EQ42,CF!ES42:ET42)</f>
        <v>2100</v>
      </c>
      <c r="EP37" s="128">
        <f>-SUM(CF!EQ42,CF!ES42:EU42)</f>
        <v>3750</v>
      </c>
      <c r="EQ37" s="128">
        <f>-SUM(CF!ES42:EV42)</f>
        <v>3750</v>
      </c>
      <c r="ER37" s="18">
        <f>EQ37</f>
        <v>3750</v>
      </c>
      <c r="ES37" s="128">
        <f>-SUM(CF!EX42,CF!ET42:EV42)</f>
        <v>3750</v>
      </c>
      <c r="ET37" s="128">
        <f>-SUM(CF!EU42:EV42,CF!EX42:EY42)</f>
        <v>3250</v>
      </c>
      <c r="EU37" s="128">
        <f>-SUM(CF!EV42,CF!EX42:EZ42)</f>
        <v>1000</v>
      </c>
      <c r="EV37" s="128">
        <f>-SUM(CF!EX42:FA42)</f>
        <v>1000</v>
      </c>
      <c r="EW37" s="18">
        <f>EV37</f>
        <v>1000</v>
      </c>
      <c r="EX37" s="128">
        <f>-SUM(CF!FC42,CF!EY42:FA42)</f>
        <v>2000</v>
      </c>
      <c r="EY37" s="128">
        <f>-SUM(CF!EZ42:FA42,CF!FC42:FD42)</f>
        <v>2000</v>
      </c>
      <c r="EZ37" s="128">
        <f>-SUM(CF!FA42,CF!FC42:FE42)</f>
        <v>3250</v>
      </c>
      <c r="FA37" s="128">
        <f>-SUM(CF!FC42:FF42)</f>
        <v>3250</v>
      </c>
      <c r="FB37" s="18">
        <f>FA37</f>
        <v>3250</v>
      </c>
      <c r="FC37" s="128">
        <f>-SUM(CF!FH42,CF!FD42:FF42)</f>
        <v>2250</v>
      </c>
      <c r="FD37" s="128">
        <f>-SUM(CF!FE42:FF42,CF!FH42:FI42)</f>
        <v>1250</v>
      </c>
      <c r="FE37" s="128">
        <f>-SUM(CF!FF42,CF!FH42:FJ42)</f>
        <v>0</v>
      </c>
      <c r="FF37" s="128">
        <f>-SUM(CF!FH42:FK42)</f>
        <v>0</v>
      </c>
      <c r="FG37" s="18">
        <f>FF37</f>
        <v>0</v>
      </c>
    </row>
    <row r="38" ht="12.75" customHeight="1" outlineLevel="2">
      <c r="A38" s="660"/>
      <c r="B38" s="180" t="s">
        <v>373</v>
      </c>
      <c r="C38" s="794"/>
      <c r="D38" s="794"/>
      <c r="E38" s="794"/>
      <c r="F38" s="794"/>
      <c r="G38" s="794"/>
      <c r="H38" s="794"/>
      <c r="I38" s="794"/>
      <c r="J38" s="794"/>
      <c r="K38" s="794"/>
      <c r="L38" s="794"/>
      <c r="M38" s="794"/>
      <c r="N38" s="660">
        <f>AP/Sales/IF(ISNUMBER(Dates), 4, 1)</f>
        <v>0.05515747375</v>
      </c>
      <c r="O38" s="660">
        <f>AP/Sales/IF(ISNUMBER(Dates), 4, 1)</f>
        <v>0.04606040155</v>
      </c>
      <c r="P38" s="660">
        <f>AP/Sales/IF(ISNUMBER(Dates), 4, 1)</f>
        <v>0.04475560838</v>
      </c>
      <c r="Q38" s="660">
        <f>AP/Sales/IF(ISNUMBER(Dates), 4, 1)</f>
        <v>0.04084581035</v>
      </c>
      <c r="R38" s="660">
        <f>AP/Sales/IF(ISNUMBER(Dates), 4, 1)</f>
        <v>0.04734898946</v>
      </c>
      <c r="S38" s="660">
        <f>AP/Sales/IF(ISNUMBER(Dates), 4, 1)</f>
        <v>0.05099957764</v>
      </c>
      <c r="T38" s="660">
        <f>AP/Sales/IF(ISNUMBER(Dates), 4, 1)</f>
        <v>0.05017788319</v>
      </c>
      <c r="U38" s="660">
        <f>AP/Sales/IF(ISNUMBER(Dates), 4, 1)</f>
        <v>0.05342521834</v>
      </c>
      <c r="V38" s="660">
        <f>AP/Sales/IF(ISNUMBER(Dates), 4, 1)</f>
        <v>0.04170725767</v>
      </c>
      <c r="W38" s="660">
        <f>AP/Sales/IF(ISNUMBER(Dates), 4, 1)</f>
        <v>0.04661608085</v>
      </c>
      <c r="X38" s="660">
        <f>AP/Sales/IF(ISNUMBER(Dates), 4, 1)</f>
        <v>0.05504816715</v>
      </c>
      <c r="Y38" s="660">
        <f>AP/Sales/IF(ISNUMBER(Dates), 4, 1)</f>
        <v>0.05927710843</v>
      </c>
      <c r="Z38" s="660">
        <f>AP/Sales/IF(ISNUMBER(Dates), 4, 1)</f>
        <v>0.06757530638</v>
      </c>
      <c r="AA38" s="660">
        <f>AP/Sales/IF(ISNUMBER(Dates), 4, 1)</f>
        <v>0.06857618938</v>
      </c>
      <c r="AB38" s="660">
        <f>AP/Sales/IF(ISNUMBER(Dates), 4, 1)</f>
        <v>0.07077625571</v>
      </c>
      <c r="AC38" s="660">
        <f>AP/Sales/IF(ISNUMBER(Dates), 4, 1)</f>
        <v>0.08870001498</v>
      </c>
      <c r="AD38" s="660">
        <f>AP/Sales/IF(ISNUMBER(Dates), 4, 1)</f>
        <v>0.08012314493</v>
      </c>
      <c r="AE38" s="660">
        <f>AP/Sales/IF(ISNUMBER(Dates), 4, 1)</f>
        <v>0.06844919786</v>
      </c>
      <c r="AF38" s="660">
        <f>AP/Sales/IF(ISNUMBER(Dates), 4, 1)</f>
        <v>0.06333237863</v>
      </c>
      <c r="AG38" s="660">
        <f>AP/Sales/IF(ISNUMBER(Dates), 4, 1)</f>
        <v>0.06665661856</v>
      </c>
      <c r="AH38" s="660">
        <f>AP/Sales/IF(ISNUMBER(Dates), 4, 1)</f>
        <v>0.07097035835</v>
      </c>
      <c r="AI38" s="660">
        <f>AP/Sales/IF(ISNUMBER(Dates), 4, 1)</f>
        <v>0.06559582212</v>
      </c>
      <c r="AJ38" s="660">
        <f>AP/Sales/IF(ISNUMBER(Dates), 4, 1)</f>
        <v>0.06230781058</v>
      </c>
      <c r="AK38" s="660">
        <f>AP/Sales/IF(ISNUMBER(Dates), 4, 1)</f>
        <v>0.05387569832</v>
      </c>
      <c r="AL38" s="309">
        <f>AP/Sales/IF(ISNUMBER(Dates), 4, 1)</f>
        <v>0.05765206994</v>
      </c>
      <c r="AM38" s="660">
        <f>AP/Sales/IF(ISNUMBER(Dates), 4, 1)</f>
        <v>0.06039845949</v>
      </c>
      <c r="AN38" s="660">
        <f>AP/Sales/IF(ISNUMBER(Dates), 4, 1)</f>
        <v>0.05879548122</v>
      </c>
      <c r="AO38" s="660">
        <f>AP/Sales/IF(ISNUMBER(Dates), 4, 1)</f>
        <v>0.05288522916</v>
      </c>
      <c r="AP38" s="660">
        <f>AP/Sales/IF(ISNUMBER(Dates), 4, 1)</f>
        <v>0.04747740533</v>
      </c>
      <c r="AQ38" s="309">
        <f>AP/Sales/IF(ISNUMBER(Dates), 4, 1)</f>
        <v>0.05507448326</v>
      </c>
      <c r="AR38" s="660">
        <f>AP/Sales/IF(ISNUMBER(Dates), 4, 1)</f>
        <v>0.04996292176</v>
      </c>
      <c r="AS38" s="660">
        <f>AP/Sales/IF(ISNUMBER(Dates), 4, 1)</f>
        <v>0.05901354205</v>
      </c>
      <c r="AT38" s="660">
        <f>AP/Sales/IF(ISNUMBER(Dates), 4, 1)</f>
        <v>0.05592610081</v>
      </c>
      <c r="AU38" s="660">
        <f>AP/Sales/IF(ISNUMBER(Dates), 4, 1)</f>
        <v>0.05060950198</v>
      </c>
      <c r="AV38" s="309">
        <f>AP/Sales/IF(ISNUMBER(Dates), 4, 1)</f>
        <v>0.05679791868</v>
      </c>
      <c r="AW38" s="660">
        <f>AP/Sales/IF(ISNUMBER(Dates), 4, 1)</f>
        <v>0.05514627941</v>
      </c>
      <c r="AX38" s="660">
        <f>AP/Sales/IF(ISNUMBER(Dates), 4, 1)</f>
        <v>0.05397573394</v>
      </c>
      <c r="AY38" s="660">
        <f>AP/Sales/IF(ISNUMBER(Dates), 4, 1)</f>
        <v>0.05213353414</v>
      </c>
      <c r="AZ38" s="660">
        <f>AP/Sales/IF(ISNUMBER(Dates), 4, 1)</f>
        <v>0.05511714538</v>
      </c>
      <c r="BA38" s="309">
        <f>AP/Sales/IF(ISNUMBER(Dates), 4, 1)</f>
        <v>0.05792510174</v>
      </c>
      <c r="BB38" s="660">
        <f>AP/Sales/IF(ISNUMBER(Dates), 4, 1)</f>
        <v>0.06742170022</v>
      </c>
      <c r="BC38" s="660">
        <f>AP/Sales/IF(ISNUMBER(Dates), 4, 1)</f>
        <v>0.07735048071</v>
      </c>
      <c r="BD38" s="660">
        <f>AP/Sales/IF(ISNUMBER(Dates), 4, 1)</f>
        <v>0.06868634855</v>
      </c>
      <c r="BE38" s="660">
        <f>AP/Sales/IF(ISNUMBER(Dates), 4, 1)</f>
        <v>0.05818031772</v>
      </c>
      <c r="BF38" s="309">
        <f>AP/Sales/IF(ISNUMBER(Dates), 4, 1)</f>
        <v>0.06376123453</v>
      </c>
      <c r="BG38" s="660">
        <f>AP/Sales/IF(ISNUMBER(Dates), 4, 1)</f>
        <v>0.06419453231</v>
      </c>
      <c r="BH38" s="660">
        <f>AP/Sales/IF(ISNUMBER(Dates), 4, 1)</f>
        <v>0.06275921659</v>
      </c>
      <c r="BI38" s="660">
        <f>AP/Sales/IF(ISNUMBER(Dates), 4, 1)</f>
        <v>0.05792864222</v>
      </c>
      <c r="BJ38" s="660">
        <f>AP/Sales/IF(ISNUMBER(Dates), 4, 1)</f>
        <v>0.05510175504</v>
      </c>
      <c r="BK38" s="309">
        <f>AP/Sales/IF(ISNUMBER(Dates), 4, 1)</f>
        <v>0.06159023321</v>
      </c>
      <c r="BL38" s="660">
        <f>AP/Sales/IF(ISNUMBER(Dates), 4, 1)</f>
        <v>0.06042592784</v>
      </c>
      <c r="BM38" s="660">
        <f>AP/Sales/IF(ISNUMBER(Dates), 4, 1)</f>
        <v>0.06280359029</v>
      </c>
      <c r="BN38" s="660">
        <v>0.05510899604653577</v>
      </c>
      <c r="BO38" s="660">
        <f>AP/Sales/IF(ISNUMBER(Dates), 4, 1)</f>
        <v>0.07263554583</v>
      </c>
      <c r="BP38" s="309">
        <f>AP/Sales/IF(ISNUMBER(Dates), 4, 1)</f>
        <v>0.06358750599</v>
      </c>
      <c r="BQ38" s="660">
        <f>AP/Sales/IF(ISNUMBER(Dates), 4, 1)</f>
        <v>0.05839748076</v>
      </c>
      <c r="BR38" s="660">
        <f>AP/Sales/IF(ISNUMBER(Dates), 4, 1)</f>
        <v>0.05377617149</v>
      </c>
      <c r="BS38" s="660">
        <f>AP/Sales/IF(ISNUMBER(Dates), 4, 1)</f>
        <v>0.05077750559</v>
      </c>
      <c r="BT38" s="660">
        <f>AP/Sales/IF(ISNUMBER(Dates), 4, 1)</f>
        <v>0.04454063771</v>
      </c>
      <c r="BU38" s="309">
        <f>AP/Sales/IF(ISNUMBER(Dates), 4, 1)</f>
        <v>0.05360548866</v>
      </c>
      <c r="BV38" s="660">
        <f>AP/Sales/IF(ISNUMBER(Dates), 4, 1)</f>
        <v>0.04641227304</v>
      </c>
      <c r="BW38" s="660">
        <f>AP/Sales/IF(ISNUMBER(Dates), 4, 1)</f>
        <v>0.04937296795</v>
      </c>
      <c r="BX38" s="660">
        <f>AP/Sales/IF(ISNUMBER(Dates), 4, 1)</f>
        <v>0.04285263916</v>
      </c>
      <c r="BY38" s="660">
        <f>AP/Sales/IF(ISNUMBER(Dates), 4, 1)</f>
        <v>0.04996945099</v>
      </c>
      <c r="BZ38" s="309">
        <f>AP/Sales/IF(ISNUMBER(Dates), 4, 1)</f>
        <v>0.05249524333</v>
      </c>
      <c r="CA38" s="660">
        <f>AP/Sales/IF(ISNUMBER(Dates), 4, 1)</f>
        <v>0.05365065774</v>
      </c>
      <c r="CB38" s="660">
        <f>AP/Sales/IF(ISNUMBER(Dates), 4, 1)</f>
        <v>0.05260128913</v>
      </c>
      <c r="CC38" s="660">
        <f>AP/Sales/IF(ISNUMBER(Dates), 4, 1)</f>
        <v>0.05267687768</v>
      </c>
      <c r="CD38" s="660">
        <f>AP/Sales/IF(ISNUMBER(Dates), 4, 1)</f>
        <v>0.05321523727</v>
      </c>
      <c r="CE38" s="309">
        <f>AP/Sales/IF(ISNUMBER(Dates), 4, 1)</f>
        <v>0.05474175448</v>
      </c>
      <c r="CF38" s="660">
        <f>AP/Sales/IF(ISNUMBER(Dates), 4, 1)</f>
        <v>0.05797690996</v>
      </c>
      <c r="CG38" s="660">
        <f>AP/Sales/IF(ISNUMBER(Dates), 4, 1)</f>
        <v>0.06053255314</v>
      </c>
      <c r="CH38" s="660">
        <f>AP/Sales/IF(ISNUMBER(Dates), 4, 1)</f>
        <v>0.0592256818</v>
      </c>
      <c r="CI38" s="660">
        <f>AP/Sales/IF(ISNUMBER(Dates), 4, 1)</f>
        <v>0.05607702011</v>
      </c>
      <c r="CJ38" s="309">
        <f>AP/Sales/IF(ISNUMBER(Dates), 4, 1)</f>
        <v>0.05667310324</v>
      </c>
      <c r="CK38" s="660">
        <f>AP/Sales/IF(ISNUMBER(Dates), 4, 1)</f>
        <v>0.05274244833</v>
      </c>
      <c r="CL38" s="660">
        <f>AP/Sales/IF(ISNUMBER(Dates), 4, 1)</f>
        <v>0.05588946999</v>
      </c>
      <c r="CM38" s="660">
        <f>AP/Sales/IF(ISNUMBER(Dates), 4, 1)</f>
        <v>0.05555143514</v>
      </c>
      <c r="CN38" s="660">
        <f>AP/Sales/IF(ISNUMBER(Dates), 4, 1)</f>
        <v>0.05365404077</v>
      </c>
      <c r="CO38" s="309">
        <f>AP/Sales/IF(ISNUMBER(Dates), 4, 1)</f>
        <v>0.05632920999</v>
      </c>
      <c r="CP38" s="660">
        <f>AP/Sales/IF(ISNUMBER(Dates), 4, 1)</f>
        <v>0.05895487308</v>
      </c>
      <c r="CQ38" s="660">
        <f>AP/Sales/IF(ISNUMBER(Dates), 4, 1)</f>
        <v>0.05350300051</v>
      </c>
      <c r="CR38" s="15">
        <f>AP/Sales/IF(ISNUMBER(Dates), 4, 1)</f>
        <v>0.04460972928</v>
      </c>
      <c r="CS38" s="660">
        <f>AP/Sales/IF(ISNUMBER(Dates), 4, 1)</f>
        <v>0.04666802527</v>
      </c>
      <c r="CT38" s="309">
        <f>AP/Sales/IF(ISNUMBER(Dates), 4, 1)</f>
        <v>0.04918560945</v>
      </c>
      <c r="CU38" s="660">
        <f>AP/Sales/IF(ISNUMBER(Dates), 4, 1)</f>
        <v>0.05427979031</v>
      </c>
      <c r="CV38" s="660">
        <f>AP/Sales/IF(ISNUMBER(Dates), 4, 1)</f>
        <v>0.04469496021</v>
      </c>
      <c r="CW38" s="660">
        <f>AP/Sales/IF(ISNUMBER(Dates), 4, 1)</f>
        <v>0.04232630487</v>
      </c>
      <c r="CX38" s="660">
        <f>AP/Sales/IF(ISNUMBER(Dates), 4, 1)</f>
        <v>0.03458160118</v>
      </c>
      <c r="CY38" s="37">
        <f>AP/Sales/IF(ISNUMBER(Dates), 4, 1)</f>
        <v>0.03726853943</v>
      </c>
      <c r="CZ38" s="660">
        <f>AP/Sales/IF(ISNUMBER(Dates), 4, 1)</f>
        <v>0.05729657271</v>
      </c>
      <c r="DA38" s="660">
        <f>AP/Sales/IF(ISNUMBER(Dates), 4, 1)</f>
        <v>0.06317889603</v>
      </c>
      <c r="DB38" s="660">
        <f>AP/Sales/IF(ISNUMBER(Dates), 4, 1)</f>
        <v>0.05040245912</v>
      </c>
      <c r="DC38" s="660">
        <f>AP/Sales/IF(ISNUMBER(Dates), 4, 1)</f>
        <v>0.03778856724</v>
      </c>
      <c r="DD38" s="37">
        <f>AP/Sales/IF(ISNUMBER(Dates), 4, 1)</f>
        <v>0.0416064284</v>
      </c>
      <c r="DE38" s="660">
        <f>AP/Sales/IF(ISNUMBER(Dates), 4, 1)</f>
        <v>0.05442349284</v>
      </c>
      <c r="DF38" s="660">
        <f>AP/Sales/IF(ISNUMBER(Dates), 4, 1)</f>
        <v>0.06216554901</v>
      </c>
      <c r="DG38" s="83">
        <f>AP/Sales/IF(ISNUMBER(Dates), 4, 1)</f>
        <v>0.05501888662</v>
      </c>
      <c r="DH38" s="660">
        <f>AP/Sales/IF(ISNUMBER(Dates), 4, 1)</f>
        <v>0.04292499853</v>
      </c>
      <c r="DI38" s="37">
        <f>AP/Sales/IF(ISNUMBER(Dates), 4, 1)</f>
        <v>0.04665317634</v>
      </c>
      <c r="DJ38" s="83">
        <f>AP/Sales/IF(ISNUMBER(Dates), 4, 1)</f>
        <v>0.06870098344</v>
      </c>
      <c r="DK38" s="83">
        <f>AP/Sales/IF(ISNUMBER(Dates), 4, 1)</f>
        <v>0.06106296427</v>
      </c>
      <c r="DL38" s="83">
        <f>AP/Sales/IF(ISNUMBER(Dates), 4, 1)</f>
        <v>0.04687418463</v>
      </c>
      <c r="DM38" s="83">
        <f>AP/Sales/IF(ISNUMBER(Dates), 4, 1)</f>
        <v>0.05124082114</v>
      </c>
      <c r="DN38" s="37">
        <f>AP/Sales/IF(ISNUMBER(Dates), 4, 1)</f>
        <v>0.05397470641</v>
      </c>
      <c r="DO38" s="83">
        <f>AP/Sales/IF(ISNUMBER(Dates), 4, 1)</f>
        <v>0.06318099745</v>
      </c>
      <c r="DP38" s="83">
        <f>AP/Sales/IF(ISNUMBER(Dates), 4, 1)</f>
        <v>0.07091790367</v>
      </c>
      <c r="DQ38" s="83">
        <f>AP/Sales/IF(ISNUMBER(Dates), 4, 1)</f>
        <v>0.06264981761</v>
      </c>
      <c r="DR38" s="83">
        <f>AP/Sales/IF(ISNUMBER(Dates), 4, 1)</f>
        <v>0.05106635657</v>
      </c>
      <c r="DS38" s="37">
        <f>AP/Sales/IF(ISNUMBER(Dates), 4, 1)</f>
        <v>0.05736121726</v>
      </c>
      <c r="DT38" s="83">
        <f>AP/Sales/IF(ISNUMBER(Dates), 4, 1)</f>
        <v>0.05847791003</v>
      </c>
      <c r="DU38" s="83">
        <f>AP/Sales/IF(ISNUMBER(Dates), 4, 1)</f>
        <v>0.06393197486</v>
      </c>
      <c r="DV38" s="83">
        <f>AP/Sales/IF(ISNUMBER(Dates), 4, 1)</f>
        <v>0.07035127911</v>
      </c>
      <c r="DW38" s="83">
        <f>AP/Sales/IF(ISNUMBER(Dates), 4, 1)</f>
        <v>0.06983932326</v>
      </c>
      <c r="DX38" s="37">
        <f>AP/Sales/IF(ISNUMBER(Dates), 4, 1)</f>
        <v>0.07167349455</v>
      </c>
      <c r="DY38" s="83">
        <f>AP/Sales/IF(ISNUMBER(Dates), 4, 1)</f>
        <v>0.07317138856</v>
      </c>
      <c r="DZ38" s="83">
        <f>AP/Sales/IF(ISNUMBER(Dates), 4, 1)</f>
        <v>0.07981708304</v>
      </c>
      <c r="EA38" s="83">
        <f>AP/Sales/IF(ISNUMBER(Dates), 4, 1)</f>
        <v>0.09387958202</v>
      </c>
      <c r="EB38" s="83">
        <f>AP/Sales/IF(ISNUMBER(Dates), 4, 1)</f>
        <v>0.07355877534</v>
      </c>
      <c r="EC38" s="37">
        <f>AP/Sales/IF(ISNUMBER(Dates), 4, 1)</f>
        <v>0.07691587034</v>
      </c>
      <c r="ED38" s="83">
        <f>AP/Sales/IF(ISNUMBER(Dates), 4, 1)</f>
        <v>0.09821282624</v>
      </c>
      <c r="EE38" s="83">
        <f>AP/Sales/IF(ISNUMBER(Dates), 4, 1)</f>
        <v>0.129642321</v>
      </c>
      <c r="EF38" s="83">
        <f>AP/Sales/IF(ISNUMBER(Dates), 4, 1)</f>
        <v>0.1162635285</v>
      </c>
      <c r="EG38" s="83">
        <f>AP/Sales/IF(ISNUMBER(Dates), 4, 1)</f>
        <v>0.1708268053</v>
      </c>
      <c r="EH38" s="37">
        <f>AP/Sales/IF(ISNUMBER(Dates), 4, 1)</f>
        <v>0.1521711549</v>
      </c>
      <c r="EI38" s="661" t="str">
        <f>AP/Sales/IF(ISNUMBER(Dates), 4, 1)</f>
        <v>#ERROR!</v>
      </c>
      <c r="EJ38" s="660" t="str">
        <f>AP/Sales/IF(ISNUMBER(Dates), 4, 1)</f>
        <v>#ERROR!</v>
      </c>
      <c r="EK38" s="660" t="str">
        <f>AP/Sales/IF(ISNUMBER(Dates), 4, 1)</f>
        <v>#ERROR!</v>
      </c>
      <c r="EL38" s="660" t="str">
        <f>AP/Sales/IF(ISNUMBER(Dates), 4, 1)</f>
        <v>#ERROR!</v>
      </c>
      <c r="EM38" s="37" t="str">
        <f>AP/Sales/IF(ISNUMBER(Dates), 4, 1)</f>
        <v>#ERROR!</v>
      </c>
      <c r="EN38" s="660" t="str">
        <f>AP/Sales/IF(ISNUMBER(Dates), 4, 1)</f>
        <v>#ERROR!</v>
      </c>
      <c r="EO38" s="660" t="str">
        <f>AP/Sales/IF(ISNUMBER(Dates), 4, 1)</f>
        <v>#ERROR!</v>
      </c>
      <c r="EP38" s="660" t="str">
        <f>AP/Sales/IF(ISNUMBER(Dates), 4, 1)</f>
        <v>#ERROR!</v>
      </c>
      <c r="EQ38" s="660" t="str">
        <f>AP/Sales/IF(ISNUMBER(Dates), 4, 1)</f>
        <v>#ERROR!</v>
      </c>
      <c r="ER38" s="37" t="str">
        <f>AP/Sales/IF(ISNUMBER(Dates), 4, 1)</f>
        <v>#ERROR!</v>
      </c>
      <c r="ES38" s="660" t="str">
        <f>AP/Sales/IF(ISNUMBER(Dates), 4, 1)</f>
        <v>#ERROR!</v>
      </c>
      <c r="ET38" s="660" t="str">
        <f>AP/Sales/IF(ISNUMBER(Dates), 4, 1)</f>
        <v>#ERROR!</v>
      </c>
      <c r="EU38" s="660" t="str">
        <f>AP/Sales/IF(ISNUMBER(Dates), 4, 1)</f>
        <v>#ERROR!</v>
      </c>
      <c r="EV38" s="660" t="str">
        <f>AP/Sales/IF(ISNUMBER(Dates), 4, 1)</f>
        <v>#ERROR!</v>
      </c>
      <c r="EW38" s="37" t="str">
        <f>AP/Sales/IF(ISNUMBER(Dates), 4, 1)</f>
        <v>#ERROR!</v>
      </c>
      <c r="EX38" s="660" t="str">
        <f>AP/Sales/IF(ISNUMBER(Dates), 4, 1)</f>
        <v>#ERROR!</v>
      </c>
      <c r="EY38" s="660" t="str">
        <f>AP/Sales/IF(ISNUMBER(Dates), 4, 1)</f>
        <v>#ERROR!</v>
      </c>
      <c r="EZ38" s="660" t="str">
        <f>AP/Sales/IF(ISNUMBER(Dates), 4, 1)</f>
        <v>#ERROR!</v>
      </c>
      <c r="FA38" s="660" t="str">
        <f>AP/Sales/IF(ISNUMBER(Dates), 4, 1)</f>
        <v>#ERROR!</v>
      </c>
      <c r="FB38" s="37" t="str">
        <f>AP/Sales/IF(ISNUMBER(Dates), 4, 1)</f>
        <v>#ERROR!</v>
      </c>
      <c r="FC38" s="660" t="str">
        <f>AP/Sales/IF(ISNUMBER(Dates), 4, 1)</f>
        <v>#ERROR!</v>
      </c>
      <c r="FD38" s="660" t="str">
        <f>AP/Sales/IF(ISNUMBER(Dates), 4, 1)</f>
        <v>#ERROR!</v>
      </c>
      <c r="FE38" s="660" t="str">
        <f>AP/Sales/IF(ISNUMBER(Dates), 4, 1)</f>
        <v>#ERROR!</v>
      </c>
      <c r="FF38" s="660" t="str">
        <f>AP/Sales/IF(ISNUMBER(Dates), 4, 1)</f>
        <v>#ERROR!</v>
      </c>
      <c r="FG38" s="37" t="str">
        <f>AP/Sales/IF(ISNUMBER(Dates), 4, 1)</f>
        <v>#ERROR!</v>
      </c>
    </row>
    <row r="39" ht="12.75" customHeight="1" outlineLevel="1">
      <c r="A39" s="179"/>
      <c r="B39" s="180" t="s">
        <v>531</v>
      </c>
      <c r="C39" s="180"/>
      <c r="D39" s="180"/>
      <c r="E39" s="180"/>
      <c r="F39" s="180"/>
      <c r="G39" s="180"/>
      <c r="H39" s="180"/>
      <c r="I39" s="180"/>
      <c r="J39" s="180"/>
      <c r="K39" s="180"/>
      <c r="L39" s="180"/>
      <c r="M39" s="180"/>
      <c r="N39" s="128">
        <v>1324.0</v>
      </c>
      <c r="O39" s="128">
        <v>1092.0</v>
      </c>
      <c r="P39" s="128">
        <v>1205.0</v>
      </c>
      <c r="Q39" s="128">
        <v>1244.0</v>
      </c>
      <c r="R39" s="73">
        <v>1244.0</v>
      </c>
      <c r="S39" s="128">
        <v>1449.0</v>
      </c>
      <c r="T39" s="128">
        <v>1354.0</v>
      </c>
      <c r="U39" s="128">
        <v>1566.0</v>
      </c>
      <c r="V39" s="128">
        <v>1370.0</v>
      </c>
      <c r="W39" s="73">
        <f>+V39</f>
        <v>1370</v>
      </c>
      <c r="X39" s="128">
        <v>1760.0</v>
      </c>
      <c r="Y39" s="128">
        <v>1968.0</v>
      </c>
      <c r="Z39" s="128">
        <v>2360.0</v>
      </c>
      <c r="AA39" s="128">
        <v>2387.0</v>
      </c>
      <c r="AB39" s="73">
        <f>+AA39</f>
        <v>2387</v>
      </c>
      <c r="AC39" s="128">
        <v>2369.0</v>
      </c>
      <c r="AD39" s="128">
        <v>2030.0</v>
      </c>
      <c r="AE39" s="128">
        <v>1792.0</v>
      </c>
      <c r="AF39" s="128">
        <v>1769.0</v>
      </c>
      <c r="AG39" s="73">
        <f>AF39</f>
        <v>1769</v>
      </c>
      <c r="AH39" s="128">
        <v>1925.0</v>
      </c>
      <c r="AI39" s="128">
        <v>1658.0</v>
      </c>
      <c r="AJ39" s="128">
        <v>1621.0</v>
      </c>
      <c r="AK39" s="128">
        <v>1543.0</v>
      </c>
      <c r="AL39" s="73">
        <f>AK39</f>
        <v>1543</v>
      </c>
      <c r="AM39" s="128">
        <v>1631.0</v>
      </c>
      <c r="AN39" s="128">
        <v>1603.0</v>
      </c>
      <c r="AO39" s="128">
        <v>1657.0</v>
      </c>
      <c r="AP39" s="128">
        <v>1660.0</v>
      </c>
      <c r="AQ39" s="73">
        <f>AP39</f>
        <v>1660</v>
      </c>
      <c r="AR39" s="128">
        <v>1617.0</v>
      </c>
      <c r="AS39" s="128">
        <v>1900.0</v>
      </c>
      <c r="AT39" s="128">
        <v>1895.0</v>
      </c>
      <c r="AU39" s="128">
        <v>1943.0</v>
      </c>
      <c r="AV39" s="73">
        <f>AU39</f>
        <v>1943</v>
      </c>
      <c r="AW39" s="128">
        <v>2081.0</v>
      </c>
      <c r="AX39" s="128">
        <v>1993.0</v>
      </c>
      <c r="AY39" s="128">
        <v>2077.0</v>
      </c>
      <c r="AZ39" s="128">
        <v>2249.0</v>
      </c>
      <c r="BA39" s="73">
        <f>AZ39</f>
        <v>2249</v>
      </c>
      <c r="BB39" s="128">
        <v>2411.0</v>
      </c>
      <c r="BC39" s="128">
        <v>2478.0</v>
      </c>
      <c r="BD39" s="128">
        <v>2401.0</v>
      </c>
      <c r="BE39" s="128">
        <v>2256.0</v>
      </c>
      <c r="BF39" s="73">
        <f>BE39</f>
        <v>2256</v>
      </c>
      <c r="BG39" s="128">
        <v>2273.0</v>
      </c>
      <c r="BH39" s="128">
        <v>2179.0</v>
      </c>
      <c r="BI39" s="128">
        <v>2338.0</v>
      </c>
      <c r="BJ39" s="128">
        <v>2361.0</v>
      </c>
      <c r="BK39" s="73">
        <f>BJ39</f>
        <v>2361</v>
      </c>
      <c r="BL39" s="128">
        <v>2338.0</v>
      </c>
      <c r="BM39" s="128">
        <v>2379.0</v>
      </c>
      <c r="BN39" s="128">
        <v>2507.0</v>
      </c>
      <c r="BO39" s="128">
        <v>2390.0</v>
      </c>
      <c r="BP39" s="73">
        <f>BO39</f>
        <v>2390</v>
      </c>
      <c r="BQ39" s="128">
        <v>1669.0</v>
      </c>
      <c r="BR39" s="128">
        <v>1726.0</v>
      </c>
      <c r="BS39" s="128">
        <v>1907.0</v>
      </c>
      <c r="BT39" s="128">
        <v>1883.0</v>
      </c>
      <c r="BU39" s="73">
        <f>BT39</f>
        <v>1883</v>
      </c>
      <c r="BV39" s="128">
        <v>1912.0</v>
      </c>
      <c r="BW39" s="128">
        <v>2126.0</v>
      </c>
      <c r="BX39" s="128">
        <v>1903.0</v>
      </c>
      <c r="BY39" s="128">
        <v>2290.0</v>
      </c>
      <c r="BZ39" s="73">
        <f>BY39</f>
        <v>2290</v>
      </c>
      <c r="CA39" s="128">
        <v>2757.0</v>
      </c>
      <c r="CB39" s="128">
        <v>2742.0</v>
      </c>
      <c r="CC39" s="128">
        <v>2999.0</v>
      </c>
      <c r="CD39" s="128">
        <v>2956.0</v>
      </c>
      <c r="CE39" s="73">
        <f>CD39</f>
        <v>2956</v>
      </c>
      <c r="CF39" s="128">
        <v>2993.0</v>
      </c>
      <c r="CG39" s="128">
        <v>3269.0</v>
      </c>
      <c r="CH39" s="128">
        <v>3188.0</v>
      </c>
      <c r="CI39" s="128">
        <v>3023.0</v>
      </c>
      <c r="CJ39" s="73">
        <f>CI39</f>
        <v>3023</v>
      </c>
      <c r="CK39" s="128">
        <v>2654.0</v>
      </c>
      <c r="CL39" s="128">
        <v>2864.0</v>
      </c>
      <c r="CM39" s="128">
        <v>2996.0</v>
      </c>
      <c r="CN39" s="128">
        <v>2969.0</v>
      </c>
      <c r="CO39" s="73">
        <f>CN39</f>
        <v>2969</v>
      </c>
      <c r="CP39" s="128">
        <v>3010.0</v>
      </c>
      <c r="CQ39" s="17">
        <v>2960.0</v>
      </c>
      <c r="CR39" s="17">
        <v>2597.0</v>
      </c>
      <c r="CS39" s="128">
        <v>2748.0</v>
      </c>
      <c r="CT39" s="73">
        <f>CS39</f>
        <v>2748</v>
      </c>
      <c r="CU39" s="128">
        <v>2775.0</v>
      </c>
      <c r="CV39" s="128">
        <v>2359.0</v>
      </c>
      <c r="CW39" s="128">
        <v>2449.0</v>
      </c>
      <c r="CX39" s="128">
        <v>2063.0</v>
      </c>
      <c r="CY39" s="18">
        <f>CX39</f>
        <v>2063</v>
      </c>
      <c r="CZ39" s="128">
        <v>3163.0</v>
      </c>
      <c r="DA39" s="128">
        <v>3420.0</v>
      </c>
      <c r="DB39" s="128">
        <v>3181.0</v>
      </c>
      <c r="DC39" s="128">
        <v>2475.0</v>
      </c>
      <c r="DD39" s="18">
        <f>DC39</f>
        <v>2475</v>
      </c>
      <c r="DE39" s="128">
        <v>3221.0</v>
      </c>
      <c r="DF39" s="128">
        <v>3671.0</v>
      </c>
      <c r="DG39" s="129">
        <v>3554.0</v>
      </c>
      <c r="DH39" s="128">
        <v>2928.0</v>
      </c>
      <c r="DI39" s="18">
        <f>DH39</f>
        <v>2928</v>
      </c>
      <c r="DJ39" s="129">
        <v>4415.0</v>
      </c>
      <c r="DK39" s="129">
        <v>4143.0</v>
      </c>
      <c r="DL39" s="129">
        <v>3593.0</v>
      </c>
      <c r="DM39" s="129">
        <v>3824.0</v>
      </c>
      <c r="DN39" s="18">
        <f>DM39</f>
        <v>3824</v>
      </c>
      <c r="DO39" s="129">
        <v>4059.0</v>
      </c>
      <c r="DP39" s="129">
        <v>4682.0</v>
      </c>
      <c r="DQ39" s="129">
        <v>4809.0</v>
      </c>
      <c r="DR39" s="129">
        <v>4128.0</v>
      </c>
      <c r="DS39" s="18">
        <f>DR39</f>
        <v>4128</v>
      </c>
      <c r="DT39" s="129">
        <v>4638.0</v>
      </c>
      <c r="DU39" s="129">
        <v>5045.0</v>
      </c>
      <c r="DV39" s="129">
        <v>5159.0</v>
      </c>
      <c r="DW39" s="129">
        <v>5581.0</v>
      </c>
      <c r="DX39" s="18">
        <f>DW39</f>
        <v>5581</v>
      </c>
      <c r="DY39" s="129">
        <v>5434.0</v>
      </c>
      <c r="DZ39" s="129">
        <v>5917.0</v>
      </c>
      <c r="EA39" s="129">
        <v>6792.0</v>
      </c>
      <c r="EB39" s="129">
        <v>5747.0</v>
      </c>
      <c r="EC39" s="18">
        <f>EB39</f>
        <v>5747</v>
      </c>
      <c r="ED39" s="129">
        <v>7210.0</v>
      </c>
      <c r="EE39" s="129">
        <v>7945.0</v>
      </c>
      <c r="EF39" s="129">
        <v>7133.0</v>
      </c>
      <c r="EG39" s="129">
        <v>9595.0</v>
      </c>
      <c r="EH39" s="18">
        <f>EG39</f>
        <v>9595</v>
      </c>
      <c r="EI39" s="134" t="str">
        <f>daysPayable*COGS/IF(ISNUMBER(Dates),90,365)</f>
        <v>#ERROR!</v>
      </c>
      <c r="EJ39" s="128" t="str">
        <f>daysPayable*COGS/IF(ISNUMBER(Dates),90,365)</f>
        <v>#ERROR!</v>
      </c>
      <c r="EK39" s="128" t="str">
        <f>daysPayable*COGS/IF(ISNUMBER(Dates),90,365)</f>
        <v>#ERROR!</v>
      </c>
      <c r="EL39" s="128" t="str">
        <f>daysPayable*COGS/IF(ISNUMBER(Dates),90,365)</f>
        <v>#ERROR!</v>
      </c>
      <c r="EM39" s="18" t="str">
        <f>EL39</f>
        <v>#ERROR!</v>
      </c>
      <c r="EN39" s="128" t="str">
        <f>daysPayable*COGS/IF(ISNUMBER(Dates),90,365)</f>
        <v>#ERROR!</v>
      </c>
      <c r="EO39" s="128" t="str">
        <f>daysPayable*COGS/IF(ISNUMBER(Dates),90,365)</f>
        <v>#ERROR!</v>
      </c>
      <c r="EP39" s="128" t="str">
        <f>daysPayable*COGS/IF(ISNUMBER(Dates),90,365)</f>
        <v>#ERROR!</v>
      </c>
      <c r="EQ39" s="128" t="str">
        <f>daysPayable*COGS/IF(ISNUMBER(Dates),90,365)</f>
        <v>#ERROR!</v>
      </c>
      <c r="ER39" s="18" t="str">
        <f>EQ39</f>
        <v>#ERROR!</v>
      </c>
      <c r="ES39" s="128" t="str">
        <f>daysPayable*COGS/IF(ISNUMBER(Dates),90,365)</f>
        <v>#ERROR!</v>
      </c>
      <c r="ET39" s="128" t="str">
        <f>daysPayable*COGS/IF(ISNUMBER(Dates),90,365)</f>
        <v>#ERROR!</v>
      </c>
      <c r="EU39" s="128" t="str">
        <f>daysPayable*COGS/IF(ISNUMBER(Dates),90,365)</f>
        <v>#ERROR!</v>
      </c>
      <c r="EV39" s="128" t="str">
        <f>daysPayable*COGS/IF(ISNUMBER(Dates),90,365)</f>
        <v>#ERROR!</v>
      </c>
      <c r="EW39" s="18" t="str">
        <f>EV39</f>
        <v>#ERROR!</v>
      </c>
      <c r="EX39" s="128" t="str">
        <f>daysPayable*COGS/IF(ISNUMBER(Dates),90,365)</f>
        <v>#ERROR!</v>
      </c>
      <c r="EY39" s="128" t="str">
        <f>daysPayable*COGS/IF(ISNUMBER(Dates),90,365)</f>
        <v>#ERROR!</v>
      </c>
      <c r="EZ39" s="128" t="str">
        <f>daysPayable*COGS/IF(ISNUMBER(Dates),90,365)</f>
        <v>#ERROR!</v>
      </c>
      <c r="FA39" s="128" t="str">
        <f>daysPayable*COGS/IF(ISNUMBER(Dates),90,365)</f>
        <v>#ERROR!</v>
      </c>
      <c r="FB39" s="18" t="str">
        <f>FA39</f>
        <v>#ERROR!</v>
      </c>
      <c r="FC39" s="128" t="str">
        <f>daysPayable*COGS/IF(ISNUMBER(Dates),90,365)</f>
        <v>#ERROR!</v>
      </c>
      <c r="FD39" s="128" t="str">
        <f>daysPayable*COGS/IF(ISNUMBER(Dates),90,365)</f>
        <v>#ERROR!</v>
      </c>
      <c r="FE39" s="128" t="str">
        <f>daysPayable*COGS/IF(ISNUMBER(Dates),90,365)</f>
        <v>#ERROR!</v>
      </c>
      <c r="FF39" s="128" t="str">
        <f>daysPayable*COGS/IF(ISNUMBER(Dates),90,365)</f>
        <v>#ERROR!</v>
      </c>
      <c r="FG39" s="18" t="str">
        <f>FF39</f>
        <v>#ERROR!</v>
      </c>
    </row>
    <row r="40" ht="12.75" customHeight="1" outlineLevel="2">
      <c r="A40" s="660"/>
      <c r="B40" s="180" t="s">
        <v>373</v>
      </c>
      <c r="C40" s="794"/>
      <c r="D40" s="794"/>
      <c r="E40" s="794"/>
      <c r="F40" s="794"/>
      <c r="G40" s="794"/>
      <c r="H40" s="794"/>
      <c r="I40" s="794"/>
      <c r="J40" s="794"/>
      <c r="K40" s="794"/>
      <c r="L40" s="794"/>
      <c r="M40" s="794"/>
      <c r="N40" s="660">
        <f>N41/Sales/IF(ISNUMBER(Dates),4,1)</f>
        <v>0.0887352108</v>
      </c>
      <c r="O40" s="660">
        <f>O41/Sales/IF(ISNUMBER(Dates),4,1)</f>
        <v>0.09924919858</v>
      </c>
      <c r="P40" s="660">
        <f>P41/Sales/IF(ISNUMBER(Dates),4,1)</f>
        <v>0.09619670183</v>
      </c>
      <c r="Q40" s="660">
        <f>Q41/Sales/IF(ISNUMBER(Dates),4,1)</f>
        <v>0.09315077489</v>
      </c>
      <c r="R40" s="660">
        <f>R41/Sales/IF(ISNUMBER(Dates),4,1)</f>
        <v>0.107981578</v>
      </c>
      <c r="S40" s="660">
        <f>S41/Sales/IF(ISNUMBER(Dates),4,1)</f>
        <v>0.08700549064</v>
      </c>
      <c r="T40" s="660">
        <f>T41/Sales/IF(ISNUMBER(Dates),4,1)</f>
        <v>0.09212866884</v>
      </c>
      <c r="U40" s="660">
        <f>U41/Sales/IF(ISNUMBER(Dates),4,1)</f>
        <v>0.09869677948</v>
      </c>
      <c r="V40" s="660">
        <f>V41/Sales/IF(ISNUMBER(Dates),4,1)</f>
        <v>0.09726619581</v>
      </c>
      <c r="W40" s="660">
        <f>W41/Sales/IF(ISNUMBER(Dates),4,1)</f>
        <v>0.1087141447</v>
      </c>
      <c r="X40" s="660">
        <f>X41/Sales/IF(ISNUMBER(Dates),4,1)</f>
        <v>0.09001626423</v>
      </c>
      <c r="Y40" s="660">
        <f>Y41/Sales/IF(ISNUMBER(Dates),4,1)</f>
        <v>0.1094578313</v>
      </c>
      <c r="Z40" s="660">
        <f>Z41/Sales/IF(ISNUMBER(Dates),4,1)</f>
        <v>0.1067174436</v>
      </c>
      <c r="AA40" s="660">
        <f>AA41/Sales/IF(ISNUMBER(Dates),4,1)</f>
        <v>0.112560331</v>
      </c>
      <c r="AB40" s="660">
        <f>AB41/Sales/IF(ISNUMBER(Dates),4,1)</f>
        <v>0.1161714997</v>
      </c>
      <c r="AC40" s="660">
        <f>AC41/Sales/IF(ISNUMBER(Dates),4,1)</f>
        <v>0.1134117118</v>
      </c>
      <c r="AD40" s="660">
        <f>AD41/Sales/IF(ISNUMBER(Dates),4,1)</f>
        <v>0.1165929902</v>
      </c>
      <c r="AE40" s="660">
        <f>AE41/Sales/IF(ISNUMBER(Dates),4,1)</f>
        <v>0.107868602</v>
      </c>
      <c r="AF40" s="660">
        <f>AF41/Sales/IF(ISNUMBER(Dates),4,1)</f>
        <v>0.1069024774</v>
      </c>
      <c r="AG40" s="660">
        <f>AG41/Sales/IF(ISNUMBER(Dates),4,1)</f>
        <v>0.1125136591</v>
      </c>
      <c r="AH40" s="660">
        <f>AH41/Sales/IF(ISNUMBER(Dates),4,1)</f>
        <v>0.0987686182</v>
      </c>
      <c r="AI40" s="660">
        <f>AI41/Sales/IF(ISNUMBER(Dates),4,1)</f>
        <v>0.1003718943</v>
      </c>
      <c r="AJ40" s="660">
        <f>AJ41/Sales/IF(ISNUMBER(Dates),4,1)</f>
        <v>0.1103551661</v>
      </c>
      <c r="AK40" s="660">
        <f>AK41/Sales/IF(ISNUMBER(Dates),4,1)</f>
        <v>0.1041899441</v>
      </c>
      <c r="AL40" s="309">
        <f>AL41/Sales/IF(ISNUMBER(Dates),4,1)</f>
        <v>0.1114930504</v>
      </c>
      <c r="AM40" s="660">
        <f>AM41/Sales/IF(ISNUMBER(Dates),4,1)</f>
        <v>0.08998666864</v>
      </c>
      <c r="AN40" s="660">
        <f>AN41/Sales/IF(ISNUMBER(Dates),4,1)</f>
        <v>0.09723444836</v>
      </c>
      <c r="AO40" s="660">
        <f>AO41/Sales/IF(ISNUMBER(Dates),4,1)</f>
        <v>0.09874888293</v>
      </c>
      <c r="AP40" s="660">
        <f>AP41/Sales/IF(ISNUMBER(Dates),4,1)</f>
        <v>0.1023052282</v>
      </c>
      <c r="AQ40" s="309">
        <f>AQ41/Sales/IF(ISNUMBER(Dates),4,1)</f>
        <v>0.1186755582</v>
      </c>
      <c r="AR40" s="660">
        <f>AR41/Sales/IF(ISNUMBER(Dates),4,1)</f>
        <v>0.1023050303</v>
      </c>
      <c r="AS40" s="660">
        <f>AS41/Sales/IF(ISNUMBER(Dates),4,1)</f>
        <v>0.1041433718</v>
      </c>
      <c r="AT40" s="660">
        <f>AT41/Sales/IF(ISNUMBER(Dates),4,1)</f>
        <v>0.106805572</v>
      </c>
      <c r="AU40" s="660">
        <f>AU41/Sales/IF(ISNUMBER(Dates),4,1)</f>
        <v>0.1069754115</v>
      </c>
      <c r="AV40" s="309">
        <f>AV41/Sales/IF(ISNUMBER(Dates),4,1)</f>
        <v>0.1200561256</v>
      </c>
      <c r="AW40" s="660">
        <f>AW41/Sales/IF(ISNUMBER(Dates),4,1)</f>
        <v>0.09566461734</v>
      </c>
      <c r="AX40" s="660">
        <f>AX41/Sales/IF(ISNUMBER(Dates),4,1)</f>
        <v>0.09294767631</v>
      </c>
      <c r="AY40" s="660">
        <f>AY41/Sales/IF(ISNUMBER(Dates),4,1)</f>
        <v>0.1148845382</v>
      </c>
      <c r="AZ40" s="660">
        <v>0.1</v>
      </c>
      <c r="BA40" s="309">
        <f>BA41/Sales/IF(ISNUMBER(Dates),4,1)</f>
        <v>0.1050842219</v>
      </c>
      <c r="BB40" s="660">
        <f>BB41/Sales/IF(ISNUMBER(Dates),4,1)</f>
        <v>0.1310123043</v>
      </c>
      <c r="BC40" s="660">
        <f>BC41/Sales/IF(ISNUMBER(Dates),4,1)</f>
        <v>0.1277313023</v>
      </c>
      <c r="BD40" s="660">
        <f>BD41/Sales/IF(ISNUMBER(Dates),4,1)</f>
        <v>0.1281325094</v>
      </c>
      <c r="BE40" s="660">
        <f>BE41/Sales/IF(ISNUMBER(Dates),4,1)</f>
        <v>0.09495564267</v>
      </c>
      <c r="BF40" s="309">
        <f>BF41/Sales/IF(ISNUMBER(Dates),4,1)</f>
        <v>0.1040642134</v>
      </c>
      <c r="BG40" s="660">
        <f>BG41/Sales/IF(ISNUMBER(Dates),4,1)</f>
        <v>0.1017566652</v>
      </c>
      <c r="BH40" s="660">
        <f>BH41/Sales/IF(ISNUMBER(Dates),4,1)</f>
        <v>0.1016417051</v>
      </c>
      <c r="BI40" s="660">
        <f>BI41/Sales/IF(ISNUMBER(Dates),4,1)</f>
        <v>0.1153121903</v>
      </c>
      <c r="BJ40" s="660">
        <f>BJ41/Sales/IF(ISNUMBER(Dates),4,1)</f>
        <v>0.1191187453</v>
      </c>
      <c r="BK40" s="309">
        <f>BK41/Sales/IF(ISNUMBER(Dates),4,1)</f>
        <v>0.1331455105</v>
      </c>
      <c r="BL40" s="660">
        <f>BL41/Sales/IF(ISNUMBER(Dates),4,1)</f>
        <v>0.1255815156</v>
      </c>
      <c r="BM40" s="660">
        <f>BM41/Sales/IF(ISNUMBER(Dates),4,1)</f>
        <v>0.1270591341</v>
      </c>
      <c r="BN40" s="660">
        <f>BN41/Sales/IF(ISNUMBER(Dates),4,1)</f>
        <v>0.157531565</v>
      </c>
      <c r="BO40" s="660">
        <f>BO41/Sales/IF(ISNUMBER(Dates),4,1)</f>
        <v>0.1477935813</v>
      </c>
      <c r="BP40" s="309">
        <f>BP41/Sales/IF(ISNUMBER(Dates),4,1)</f>
        <v>0.129383281</v>
      </c>
      <c r="BQ40" s="660">
        <f>BQ41/Sales/IF(ISNUMBER(Dates),4,1)</f>
        <v>0.1460111966</v>
      </c>
      <c r="BR40" s="660">
        <f>BR41/Sales/IF(ISNUMBER(Dates),4,1)</f>
        <v>0.151078016</v>
      </c>
      <c r="BS40" s="660">
        <f>BS41/Sales/IF(ISNUMBER(Dates),4,1)</f>
        <v>0.1263712855</v>
      </c>
      <c r="BT40" s="660">
        <f>BT41/Sales/IF(ISNUMBER(Dates),4,1)</f>
        <v>0.1148878796</v>
      </c>
      <c r="BU40" s="309">
        <f>BU41/Sales/IF(ISNUMBER(Dates),4,1)</f>
        <v>0.1382697071</v>
      </c>
      <c r="BV40" s="660">
        <f>BV41/Sales/IF(ISNUMBER(Dates),4,1)</f>
        <v>0.1238227012</v>
      </c>
      <c r="BW40" s="660">
        <f>BW41/Sales/IF(ISNUMBER(Dates),4,1)</f>
        <v>0.1164421737</v>
      </c>
      <c r="BX40" s="660">
        <f>BX41/Sales/IF(ISNUMBER(Dates),4,1)</f>
        <v>0.1362141956</v>
      </c>
      <c r="BY40" s="660">
        <f>BY41/Sales/IF(ISNUMBER(Dates),4,1)</f>
        <v>0.1313607402</v>
      </c>
      <c r="BZ40" s="309">
        <f>BZ41/Sales/IF(ISNUMBER(Dates),4,1)</f>
        <v>0.138000596</v>
      </c>
      <c r="CA40" s="660">
        <f>CA41/Sales/IF(ISNUMBER(Dates),4,1)</f>
        <v>0.1208842531</v>
      </c>
      <c r="CB40" s="660">
        <f>CB41/Sales/IF(ISNUMBER(Dates),4,1)</f>
        <v>0.109672345</v>
      </c>
      <c r="CC40" s="660">
        <f>CC41/Sales/IF(ISNUMBER(Dates),4,1)</f>
        <v>0.1216714677</v>
      </c>
      <c r="CD40" s="660">
        <f>CD41/Sales/IF(ISNUMBER(Dates),4,1)</f>
        <v>0.1241448837</v>
      </c>
      <c r="CE40" s="309">
        <f>CE41/Sales/IF(ISNUMBER(Dates),4,1)</f>
        <v>0.1277060686</v>
      </c>
      <c r="CF40" s="660">
        <f>CF41/Sales/IF(ISNUMBER(Dates),4,1)</f>
        <v>0.1275569503</v>
      </c>
      <c r="CG40" s="660">
        <f>CG41/Sales/IF(ISNUMBER(Dates),4,1)</f>
        <v>0.09743722687</v>
      </c>
      <c r="CH40" s="660">
        <f>CH41/Sales/IF(ISNUMBER(Dates),4,1)</f>
        <v>0.1254923088</v>
      </c>
      <c r="CI40" s="660">
        <f>CI41/Sales/IF(ISNUMBER(Dates),4,1)</f>
        <v>0.1415559843</v>
      </c>
      <c r="CJ40" s="309">
        <f>CJ41/Sales/IF(ISNUMBER(Dates),4,1)</f>
        <v>0.143060685</v>
      </c>
      <c r="CK40" s="660">
        <f>CK41/Sales/IF(ISNUMBER(Dates),4,1)</f>
        <v>0.1421899841</v>
      </c>
      <c r="CL40" s="660">
        <f>CL41/Sales/IF(ISNUMBER(Dates),4,1)</f>
        <v>0.1227655921</v>
      </c>
      <c r="CM40" s="660">
        <f>CM41/Sales/IF(ISNUMBER(Dates),4,1)</f>
        <v>0.1564191945</v>
      </c>
      <c r="CN40" s="660">
        <f>CN41/Sales/IF(ISNUMBER(Dates),4,1)</f>
        <v>0.1485832008</v>
      </c>
      <c r="CO40" s="309">
        <f>CO41/Sales/IF(ISNUMBER(Dates),4,1)</f>
        <v>0.1559915003</v>
      </c>
      <c r="CP40" s="660">
        <f>CP41/Sales/IF(ISNUMBER(Dates),4,1)</f>
        <v>0.1632521153</v>
      </c>
      <c r="CQ40" s="660">
        <f>CQ41/Sales/IF(ISNUMBER(Dates),4,1)</f>
        <v>0.1284433519</v>
      </c>
      <c r="CR40" s="660">
        <f>CR41/Sales/IF(ISNUMBER(Dates),4,1)</f>
        <v>0.1538065137</v>
      </c>
      <c r="CS40" s="660">
        <f>CS41/Sales/IF(ISNUMBER(Dates),4,1)</f>
        <v>0.1606888119</v>
      </c>
      <c r="CT40" s="309">
        <f>CT41/Sales/IF(ISNUMBER(Dates),4,1)</f>
        <v>0.1693574369</v>
      </c>
      <c r="CU40" s="660">
        <f>CU41/Sales/IF(ISNUMBER(Dates),4,1)</f>
        <v>0.1749276269</v>
      </c>
      <c r="CV40" s="660">
        <f>CV41/Sales/IF(ISNUMBER(Dates),4,1)</f>
        <v>0.1510041682</v>
      </c>
      <c r="CW40" s="660">
        <f>CW41/Sales/IF(ISNUMBER(Dates),4,1)</f>
        <v>0.1614586934</v>
      </c>
      <c r="CX40" s="660">
        <f>CX41/Sales/IF(ISNUMBER(Dates),4,1)</f>
        <v>0.1472106745</v>
      </c>
      <c r="CY40" s="37">
        <f>CY41/Sales/IF(ISNUMBER(Dates),4,1)</f>
        <v>0.1586487219</v>
      </c>
      <c r="CZ40" s="660">
        <f>CZ41/Sales/IF(ISNUMBER(Dates),4,1)</f>
        <v>0.1473987392</v>
      </c>
      <c r="DA40" s="660">
        <f>DA41/Sales/IF(ISNUMBER(Dates),4,1)</f>
        <v>0.1463829158</v>
      </c>
      <c r="DB40" s="660">
        <f>DB41/Sales/IF(ISNUMBER(Dates),4,1)</f>
        <v>0.1840379009</v>
      </c>
      <c r="DC40" s="660">
        <f>DC41/Sales/IF(ISNUMBER(Dates),4,1)</f>
        <v>0.175201539</v>
      </c>
      <c r="DD40" s="37">
        <f>DD41/Sales/IF(ISNUMBER(Dates),4,1)</f>
        <v>0.1929025317</v>
      </c>
      <c r="DE40" s="660">
        <f>DE41/Sales/IF(ISNUMBER(Dates),4,1)</f>
        <v>0.191149635</v>
      </c>
      <c r="DF40" s="660">
        <f>DF41/Sales/IF(ISNUMBER(Dates),4,1)</f>
        <v>0.1590801328</v>
      </c>
      <c r="DG40" s="83">
        <f>DG41/Sales/IF(ISNUMBER(Dates),4,1)</f>
        <v>0.1747321816</v>
      </c>
      <c r="DH40" s="660">
        <f>DH41/Sales/IF(ISNUMBER(Dates),4,1)</f>
        <v>0.1621562188</v>
      </c>
      <c r="DI40" s="37">
        <f>DI41/Sales/IF(ISNUMBER(Dates),4,1)</f>
        <v>0.1762400217</v>
      </c>
      <c r="DJ40" s="660">
        <f>DJ41/Sales/IF(ISNUMBER(Dates),4,1)</f>
        <v>0.1821237396</v>
      </c>
      <c r="DK40" s="660">
        <f>DK41/Sales/IF(ISNUMBER(Dates),4,1)</f>
        <v>0.1461796958</v>
      </c>
      <c r="DL40" s="660">
        <f>DL41/Sales/IF(ISNUMBER(Dates),4,1)</f>
        <v>0.168684444</v>
      </c>
      <c r="DM40" s="660">
        <f>DM41/Sales/IF(ISNUMBER(Dates),4,1)</f>
        <v>0.1546470494</v>
      </c>
      <c r="DN40" s="37">
        <f>DN41/Sales/IF(ISNUMBER(Dates),4,1)</f>
        <v>0.1628980352</v>
      </c>
      <c r="DO40" s="660">
        <f>DO41/Sales/IF(ISNUMBER(Dates),4,1)</f>
        <v>0.1883755681</v>
      </c>
      <c r="DP40" s="660">
        <f>DP41/Sales/IF(ISNUMBER(Dates),4,1)</f>
        <v>0.1711148137</v>
      </c>
      <c r="DQ40" s="83">
        <f>DQ41/Sales/IF(ISNUMBER(Dates),4,1)</f>
        <v>0.1961307973</v>
      </c>
      <c r="DR40" s="83">
        <f>DR41/Sales/IF(ISNUMBER(Dates),4,1)</f>
        <v>0.1792394478</v>
      </c>
      <c r="DS40" s="37">
        <f>DS41/Sales/IF(ISNUMBER(Dates),4,1)</f>
        <v>0.2013339818</v>
      </c>
      <c r="DT40" s="83">
        <f>DT41/Sales/IF(ISNUMBER(Dates),4,1)</f>
        <v>0.1991249748</v>
      </c>
      <c r="DU40" s="83">
        <f>DU41/Sales/IF(ISNUMBER(Dates),4,1)</f>
        <v>0.1923915247</v>
      </c>
      <c r="DV40" s="83">
        <f>DV41/Sales/IF(ISNUMBER(Dates),4,1)</f>
        <v>0.2243086238</v>
      </c>
      <c r="DW40" s="83">
        <f>DW41/Sales/IF(ISNUMBER(Dates),4,1)</f>
        <v>0.2085919511</v>
      </c>
      <c r="DX40" s="37">
        <f>DX41/Sales/IF(ISNUMBER(Dates),4,1)</f>
        <v>0.2140701452</v>
      </c>
      <c r="DY40" s="83">
        <f>DY41/Sales/IF(ISNUMBER(Dates),4,1)</f>
        <v>0.2163901756</v>
      </c>
      <c r="DZ40" s="83">
        <f>DZ41/Sales/IF(ISNUMBER(Dates),4,1)</f>
        <v>0.2053634058</v>
      </c>
      <c r="EA40" s="83">
        <f>EA41/Sales/IF(ISNUMBER(Dates),4,1)</f>
        <v>0.2499861779</v>
      </c>
      <c r="EB40" s="83">
        <f>EB41/Sales/IF(ISNUMBER(Dates),4,1)</f>
        <v>0.2191787835</v>
      </c>
      <c r="EC40" s="37">
        <f>EC41/Sales/IF(ISNUMBER(Dates),4,1)</f>
        <v>0.2291817233</v>
      </c>
      <c r="ED40" s="83">
        <f>ED41/Sales/IF(ISNUMBER(Dates),4,1)</f>
        <v>0.2404647742</v>
      </c>
      <c r="EE40" s="83">
        <f>EE41/Sales/IF(ISNUMBER(Dates),4,1)</f>
        <v>0.2674596958</v>
      </c>
      <c r="EF40" s="83">
        <f>EF41/Sales/IF(ISNUMBER(Dates),4,1)</f>
        <v>0.2998598253</v>
      </c>
      <c r="EG40" s="83">
        <f>EG41/Sales/IF(ISNUMBER(Dates),4,1)</f>
        <v>0.2838270902</v>
      </c>
      <c r="EH40" s="37">
        <f>EH41/Sales/IF(ISNUMBER(Dates),4,1)</f>
        <v>0.2528309068</v>
      </c>
      <c r="EI40" s="314">
        <f>EG40</f>
        <v>0.2838270902</v>
      </c>
      <c r="EJ40" s="315">
        <f t="shared" ref="EJ40:EL40" si="322">EI40</f>
        <v>0.2838270902</v>
      </c>
      <c r="EK40" s="315">
        <f t="shared" si="322"/>
        <v>0.2838270902</v>
      </c>
      <c r="EL40" s="315">
        <f t="shared" si="322"/>
        <v>0.2838270902</v>
      </c>
      <c r="EM40" s="37" t="str">
        <f>EM41/Sales/IF(ISNUMBER(Dates),4,1)</f>
        <v>#ERROR!</v>
      </c>
      <c r="EN40" s="315">
        <f>EL40</f>
        <v>0.2838270902</v>
      </c>
      <c r="EO40" s="315">
        <f t="shared" ref="EO40:EQ40" si="323">EN40</f>
        <v>0.2838270902</v>
      </c>
      <c r="EP40" s="315">
        <f t="shared" si="323"/>
        <v>0.2838270902</v>
      </c>
      <c r="EQ40" s="315">
        <f t="shared" si="323"/>
        <v>0.2838270902</v>
      </c>
      <c r="ER40" s="37" t="str">
        <f>ER41/Sales/IF(ISNUMBER(Dates),4,1)</f>
        <v>#ERROR!</v>
      </c>
      <c r="ES40" s="315">
        <f>EQ40</f>
        <v>0.2838270902</v>
      </c>
      <c r="ET40" s="315">
        <f t="shared" ref="ET40:EV40" si="324">ES40</f>
        <v>0.2838270902</v>
      </c>
      <c r="EU40" s="315">
        <f t="shared" si="324"/>
        <v>0.2838270902</v>
      </c>
      <c r="EV40" s="315">
        <f t="shared" si="324"/>
        <v>0.2838270902</v>
      </c>
      <c r="EW40" s="37" t="str">
        <f>EW41/Sales/IF(ISNUMBER(Dates),4,1)</f>
        <v>#ERROR!</v>
      </c>
      <c r="EX40" s="315">
        <f>EV40</f>
        <v>0.2838270902</v>
      </c>
      <c r="EY40" s="315">
        <f t="shared" ref="EY40:FA40" si="325">EX40</f>
        <v>0.2838270902</v>
      </c>
      <c r="EZ40" s="315">
        <f t="shared" si="325"/>
        <v>0.2838270902</v>
      </c>
      <c r="FA40" s="315">
        <f t="shared" si="325"/>
        <v>0.2838270902</v>
      </c>
      <c r="FB40" s="37" t="str">
        <f>FB41/Sales/IF(ISNUMBER(Dates),4,1)</f>
        <v>#ERROR!</v>
      </c>
      <c r="FC40" s="315">
        <f>FA40</f>
        <v>0.2838270902</v>
      </c>
      <c r="FD40" s="315">
        <f t="shared" ref="FD40:FF40" si="326">FC40</f>
        <v>0.2838270902</v>
      </c>
      <c r="FE40" s="315">
        <f t="shared" si="326"/>
        <v>0.2838270902</v>
      </c>
      <c r="FF40" s="315">
        <f t="shared" si="326"/>
        <v>0.2838270902</v>
      </c>
      <c r="FG40" s="37" t="str">
        <f>FG41/Sales/IF(ISNUMBER(Dates),4,1)</f>
        <v>#ERROR!</v>
      </c>
    </row>
    <row r="41" ht="12.75" customHeight="1" outlineLevel="1">
      <c r="A41" s="179"/>
      <c r="B41" s="180" t="s">
        <v>532</v>
      </c>
      <c r="C41" s="180"/>
      <c r="D41" s="180"/>
      <c r="E41" s="180"/>
      <c r="F41" s="180"/>
      <c r="G41" s="180"/>
      <c r="H41" s="180"/>
      <c r="I41" s="180"/>
      <c r="J41" s="180"/>
      <c r="K41" s="180"/>
      <c r="L41" s="180"/>
      <c r="M41" s="180"/>
      <c r="N41" s="128">
        <f>739+417+974</f>
        <v>2130</v>
      </c>
      <c r="O41" s="128">
        <f>883+362+1108</f>
        <v>2353</v>
      </c>
      <c r="P41" s="128">
        <f>411+1145+1034</f>
        <v>2590</v>
      </c>
      <c r="Q41" s="128">
        <f t="shared" ref="Q41:R41" si="327">1285+458+1094</f>
        <v>2837</v>
      </c>
      <c r="R41" s="73">
        <f t="shared" si="327"/>
        <v>2837</v>
      </c>
      <c r="S41" s="128">
        <f>798+473+1201</f>
        <v>2472</v>
      </c>
      <c r="T41" s="128">
        <f>963+505+1018</f>
        <v>2486</v>
      </c>
      <c r="U41" s="128">
        <f>1187+543+1163</f>
        <v>2893</v>
      </c>
      <c r="V41" s="128">
        <f>1454+582+1159</f>
        <v>3195</v>
      </c>
      <c r="W41" s="73">
        <f>+V41</f>
        <v>3195</v>
      </c>
      <c r="X41" s="128">
        <f>774+570+1534</f>
        <v>2878</v>
      </c>
      <c r="Y41" s="128">
        <f>1197+658+1779</f>
        <v>3634</v>
      </c>
      <c r="Z41" s="128">
        <f>1381+1621+725</f>
        <v>3727</v>
      </c>
      <c r="AA41" s="128">
        <f>1696+782+1440</f>
        <v>3918</v>
      </c>
      <c r="AB41" s="73">
        <f>+AA41</f>
        <v>3918</v>
      </c>
      <c r="AC41" s="128">
        <f>774+674+1581</f>
        <v>3029</v>
      </c>
      <c r="AD41" s="128">
        <f>935+658+1361</f>
        <v>2954</v>
      </c>
      <c r="AE41" s="128">
        <v>2824.0</v>
      </c>
      <c r="AF41" s="128">
        <f>1179+560+1247</f>
        <v>2986</v>
      </c>
      <c r="AG41" s="73">
        <f t="shared" ref="AG41:AG42" si="329">AF41</f>
        <v>2986</v>
      </c>
      <c r="AH41" s="128">
        <f>1441+552+686</f>
        <v>2679</v>
      </c>
      <c r="AI41" s="128">
        <f>892+564+1081</f>
        <v>2537</v>
      </c>
      <c r="AJ41" s="128">
        <f>1033+594+1244</f>
        <v>2871</v>
      </c>
      <c r="AK41" s="128">
        <f>1287+622+1075</f>
        <v>2984</v>
      </c>
      <c r="AL41" s="73">
        <f t="shared" ref="AL41:AL42" si="331">AK41</f>
        <v>2984</v>
      </c>
      <c r="AM41" s="128">
        <f>AM42-AM39</f>
        <v>2430</v>
      </c>
      <c r="AN41" s="128">
        <f>1079+631+941</f>
        <v>2651</v>
      </c>
      <c r="AO41" s="128">
        <f>1225+671+1198</f>
        <v>3094</v>
      </c>
      <c r="AP41" s="128">
        <f>1559+716+1302</f>
        <v>3577</v>
      </c>
      <c r="AQ41" s="73">
        <f t="shared" ref="AQ41:AQ42" si="333">AP41</f>
        <v>3577</v>
      </c>
      <c r="AR41" s="128">
        <f>949+746+1616</f>
        <v>3311</v>
      </c>
      <c r="AS41" s="128">
        <f>1288+814+1251</f>
        <v>3353</v>
      </c>
      <c r="AT41" s="128">
        <f>1400+842+1377</f>
        <v>3619</v>
      </c>
      <c r="AU41" s="128">
        <f>1858+894+1355</f>
        <v>4107</v>
      </c>
      <c r="AV41" s="73">
        <f t="shared" ref="AV41:AV42" si="335">AU41</f>
        <v>4107</v>
      </c>
      <c r="AW41" s="128">
        <f>1175+806+1629</f>
        <v>3610</v>
      </c>
      <c r="AX41" s="128">
        <f>1489+822+1121</f>
        <v>3432</v>
      </c>
      <c r="AY41" s="128">
        <f>1754+995+1828</f>
        <v>4577</v>
      </c>
      <c r="AZ41" s="128">
        <f>2110+1160+810</f>
        <v>4080</v>
      </c>
      <c r="BA41" s="73">
        <f t="shared" ref="BA41:BA42" si="337">AZ41</f>
        <v>4080</v>
      </c>
      <c r="BB41" s="128">
        <f>1183+1133+2369</f>
        <v>4685</v>
      </c>
      <c r="BC41" s="128">
        <f>1469+1035+1588</f>
        <v>4092</v>
      </c>
      <c r="BD41" s="128">
        <f>1597+974+1908</f>
        <v>4479</v>
      </c>
      <c r="BE41" s="128">
        <f>1644+846+1192</f>
        <v>3682</v>
      </c>
      <c r="BF41" s="73">
        <f t="shared" ref="BF41:BF42" si="339">BE41</f>
        <v>3682</v>
      </c>
      <c r="BG41" s="128">
        <f>1079+704+1820</f>
        <v>3603</v>
      </c>
      <c r="BH41" s="128">
        <f>1455+660+1414</f>
        <v>3529</v>
      </c>
      <c r="BI41" s="128">
        <f>1737+702+2215</f>
        <v>4654</v>
      </c>
      <c r="BJ41" s="128">
        <f>2417+749+1938</f>
        <v>5104</v>
      </c>
      <c r="BK41" s="73">
        <f t="shared" ref="BK41:BK42" si="341">BJ41</f>
        <v>5104</v>
      </c>
      <c r="BL41" s="128">
        <f>1325+759+2775</f>
        <v>4859</v>
      </c>
      <c r="BM41" s="128">
        <f>1658+787+2368</f>
        <v>4813</v>
      </c>
      <c r="BN41" s="128">
        <f>1858+882+3698</f>
        <v>6438</v>
      </c>
      <c r="BO41" s="128">
        <f>2015+807+2041</f>
        <v>4863</v>
      </c>
      <c r="BP41" s="73">
        <f t="shared" ref="BP41:BP42" si="343">BO41</f>
        <v>4863</v>
      </c>
      <c r="BQ41" s="128">
        <f>1134+738+2301</f>
        <v>4173</v>
      </c>
      <c r="BR41" s="128">
        <f>1412+718+2719</f>
        <v>4849</v>
      </c>
      <c r="BS41" s="128">
        <f>1758+763+2225</f>
        <v>4746</v>
      </c>
      <c r="BT41" s="128">
        <f>2448+773+1636</f>
        <v>4857</v>
      </c>
      <c r="BU41" s="73">
        <f t="shared" ref="BU41:BU42" si="345">BT41</f>
        <v>4857</v>
      </c>
      <c r="BV41" s="128">
        <f>1377+843+2881</f>
        <v>5101</v>
      </c>
      <c r="BW41" s="128">
        <f>1962+958+2094</f>
        <v>5014</v>
      </c>
      <c r="BX41" s="128">
        <f>2270+1017+2762</f>
        <v>6049</v>
      </c>
      <c r="BY41" s="128">
        <f>2888+1007+2125</f>
        <v>6020</v>
      </c>
      <c r="BZ41" s="73">
        <f t="shared" ref="BZ41:BZ42" si="347">BY41</f>
        <v>6020</v>
      </c>
      <c r="CA41" s="128">
        <f>1536+1055+3621</f>
        <v>6212</v>
      </c>
      <c r="CB41" s="128">
        <f>2111+1086+2520</f>
        <v>5717</v>
      </c>
      <c r="CC41" s="128">
        <f>2270+1215+3442</f>
        <v>6927</v>
      </c>
      <c r="CD41" s="128">
        <f>2948+1134+2814</f>
        <v>6896</v>
      </c>
      <c r="CE41" s="73">
        <f t="shared" ref="CE41:CE42" si="349">CD41</f>
        <v>6896</v>
      </c>
      <c r="CF41" s="128">
        <f>1498+1095+3992</f>
        <v>6585</v>
      </c>
      <c r="CG41" s="128">
        <f>2020+1060+2182</f>
        <v>5262</v>
      </c>
      <c r="CH41" s="128">
        <f>2320+1096+3339</f>
        <v>6755</v>
      </c>
      <c r="CI41" s="128">
        <f>2972+1015+3644</f>
        <v>7631</v>
      </c>
      <c r="CJ41" s="73">
        <f t="shared" ref="CJ41:CJ42" si="351">CI41</f>
        <v>7631</v>
      </c>
      <c r="CK41" s="128">
        <f>1501+987+4667</f>
        <v>7155</v>
      </c>
      <c r="CL41" s="128">
        <f>1060+3250+1981</f>
        <v>6291</v>
      </c>
      <c r="CM41" s="128">
        <f>2530+1012+4894</f>
        <v>8436</v>
      </c>
      <c r="CN41" s="128">
        <f>3123+1021+4078</f>
        <v>8222</v>
      </c>
      <c r="CO41" s="73">
        <f t="shared" ref="CO41:CO42" si="353">CN41</f>
        <v>8222</v>
      </c>
      <c r="CP41" s="128">
        <f>1979+1019+5337</f>
        <v>8335</v>
      </c>
      <c r="CQ41" s="17">
        <f>2409+1067+3630</f>
        <v>7106</v>
      </c>
      <c r="CR41" s="17">
        <f>2931+1100+4923</f>
        <v>8954</v>
      </c>
      <c r="CS41" s="128">
        <f>3475+1092+4895</f>
        <v>9462</v>
      </c>
      <c r="CT41" s="73">
        <f t="shared" ref="CT41:CT42" si="355">CS41</f>
        <v>9462</v>
      </c>
      <c r="CU41" s="128">
        <f>2011+1014+5918</f>
        <v>8943</v>
      </c>
      <c r="CV41" s="128">
        <f>2572+1021+4377</f>
        <v>7970</v>
      </c>
      <c r="CW41" s="128">
        <f>2732+1028+5582</f>
        <v>9342</v>
      </c>
      <c r="CX41" s="128">
        <f>3138+960+4684</f>
        <v>8782</v>
      </c>
      <c r="CY41" s="18">
        <f t="shared" ref="CY41:CY42" si="357">CX41</f>
        <v>8782</v>
      </c>
      <c r="CZ41" s="128">
        <f>1834+820+5483</f>
        <v>8137</v>
      </c>
      <c r="DA41" s="128">
        <f>2809+736+4379</f>
        <v>7924</v>
      </c>
      <c r="DB41" s="128">
        <f>3110+820+5804+1881</f>
        <v>11615</v>
      </c>
      <c r="DC41" s="128">
        <f>3465+810+1920+5280</f>
        <v>11475</v>
      </c>
      <c r="DD41" s="18">
        <f t="shared" ref="DD41:DD42" si="359">DC41</f>
        <v>11475</v>
      </c>
      <c r="DE41" s="128">
        <f>2145+772+6650+1746</f>
        <v>11313</v>
      </c>
      <c r="DF41" s="128">
        <f>2332+835+6227</f>
        <v>9394</v>
      </c>
      <c r="DG41" s="129">
        <f>7590+892+2805</f>
        <v>11287</v>
      </c>
      <c r="DH41" s="128">
        <f>3526+7535</f>
        <v>11061</v>
      </c>
      <c r="DI41" s="18">
        <f t="shared" ref="DI41:DI42" si="361">DH41</f>
        <v>11061</v>
      </c>
      <c r="DJ41" s="129">
        <f>2118+9586</f>
        <v>11704</v>
      </c>
      <c r="DK41" s="129">
        <f>2601+7317</f>
        <v>9918</v>
      </c>
      <c r="DL41" s="129">
        <f>3095+9835</f>
        <v>12930</v>
      </c>
      <c r="DM41" s="129">
        <f>3622+7919</f>
        <v>11541</v>
      </c>
      <c r="DN41" s="18">
        <f t="shared" ref="DN41:DN42" si="363">DM41</f>
        <v>11541</v>
      </c>
      <c r="DO41" s="129">
        <f>1984+10118</f>
        <v>12102</v>
      </c>
      <c r="DP41" s="129">
        <f>2554+8743</f>
        <v>11297</v>
      </c>
      <c r="DQ41" s="129">
        <f>11835+3220</f>
        <v>15055</v>
      </c>
      <c r="DR41" s="129">
        <f>3853+10636</f>
        <v>14489</v>
      </c>
      <c r="DS41" s="18">
        <f t="shared" ref="DS41:DS42" si="365">DR41</f>
        <v>14489</v>
      </c>
      <c r="DT41" s="129">
        <f>2358+13435</f>
        <v>15793</v>
      </c>
      <c r="DU41" s="129">
        <f>2833+12349</f>
        <v>15182</v>
      </c>
      <c r="DV41" s="129">
        <f>13252+3197</f>
        <v>16449</v>
      </c>
      <c r="DW41" s="129">
        <f>3999+12670</f>
        <v>16669</v>
      </c>
      <c r="DX41" s="18">
        <f t="shared" ref="DX41:DX42" si="367">DW41</f>
        <v>16669</v>
      </c>
      <c r="DY41" s="129">
        <f>2757+13313</f>
        <v>16070</v>
      </c>
      <c r="DZ41" s="129">
        <f>3176+12048</f>
        <v>15224</v>
      </c>
      <c r="EA41" s="129">
        <f>4026+14060</f>
        <v>18086</v>
      </c>
      <c r="EB41" s="129">
        <f>4535+12589</f>
        <v>17124</v>
      </c>
      <c r="EC41" s="18">
        <f t="shared" ref="EC41:EC42" si="369">EB41</f>
        <v>17124</v>
      </c>
      <c r="ED41" s="129">
        <f>2731+14922</f>
        <v>17653</v>
      </c>
      <c r="EE41" s="129">
        <f>13661+2730</f>
        <v>16391</v>
      </c>
      <c r="EF41" s="129">
        <f>3421+14976</f>
        <v>18397</v>
      </c>
      <c r="EG41" s="129">
        <f>4084+11858</f>
        <v>15942</v>
      </c>
      <c r="EH41" s="18">
        <f t="shared" ref="EH41:EH42" si="371">EG41</f>
        <v>15942</v>
      </c>
      <c r="EI41" s="134" t="str">
        <f>EI40*Sales*IF(ISNUMBER(Dates), 4, 1)</f>
        <v>#ERROR!</v>
      </c>
      <c r="EJ41" s="128" t="str">
        <f>EJ40*Sales*IF(ISNUMBER(Dates), 4, 1)</f>
        <v>#ERROR!</v>
      </c>
      <c r="EK41" s="128" t="str">
        <f>EK40*Sales*IF(ISNUMBER(Dates), 4, 1)</f>
        <v>#ERROR!</v>
      </c>
      <c r="EL41" s="128" t="str">
        <f>EL40*Sales*IF(ISNUMBER(Dates), 4, 1)</f>
        <v>#ERROR!</v>
      </c>
      <c r="EM41" s="18" t="str">
        <f t="shared" ref="EM41:EM42" si="373">EL41</f>
        <v>#ERROR!</v>
      </c>
      <c r="EN41" s="128" t="str">
        <f>EN40*Sales*IF(ISNUMBER(Dates), 4, 1)</f>
        <v>#ERROR!</v>
      </c>
      <c r="EO41" s="128" t="str">
        <f>EO40*Sales*IF(ISNUMBER(Dates), 4, 1)</f>
        <v>#ERROR!</v>
      </c>
      <c r="EP41" s="128" t="str">
        <f>EP40*Sales*IF(ISNUMBER(Dates), 4, 1)</f>
        <v>#ERROR!</v>
      </c>
      <c r="EQ41" s="128" t="str">
        <f>EQ40*Sales*IF(ISNUMBER(Dates), 4, 1)</f>
        <v>#ERROR!</v>
      </c>
      <c r="ER41" s="18" t="str">
        <f t="shared" ref="ER41:ER42" si="375">EQ41</f>
        <v>#ERROR!</v>
      </c>
      <c r="ES41" s="128" t="str">
        <f>ES40*Sales*IF(ISNUMBER(Dates), 4, 1)</f>
        <v>#ERROR!</v>
      </c>
      <c r="ET41" s="128" t="str">
        <f>ET40*Sales*IF(ISNUMBER(Dates), 4, 1)</f>
        <v>#ERROR!</v>
      </c>
      <c r="EU41" s="128" t="str">
        <f>EU40*Sales*IF(ISNUMBER(Dates), 4, 1)</f>
        <v>#ERROR!</v>
      </c>
      <c r="EV41" s="128" t="str">
        <f>EV40*Sales*IF(ISNUMBER(Dates), 4, 1)</f>
        <v>#ERROR!</v>
      </c>
      <c r="EW41" s="18" t="str">
        <f t="shared" ref="EW41:EW42" si="377">EV41</f>
        <v>#ERROR!</v>
      </c>
      <c r="EX41" s="128" t="str">
        <f>EX40*Sales*IF(ISNUMBER(Dates), 4, 1)</f>
        <v>#ERROR!</v>
      </c>
      <c r="EY41" s="128" t="str">
        <f>EY40*Sales*IF(ISNUMBER(Dates), 4, 1)</f>
        <v>#ERROR!</v>
      </c>
      <c r="EZ41" s="128" t="str">
        <f>EZ40*Sales*IF(ISNUMBER(Dates), 4, 1)</f>
        <v>#ERROR!</v>
      </c>
      <c r="FA41" s="128" t="str">
        <f>FA40*Sales*IF(ISNUMBER(Dates), 4, 1)</f>
        <v>#ERROR!</v>
      </c>
      <c r="FB41" s="18" t="str">
        <f t="shared" ref="FB41:FB42" si="379">FA41</f>
        <v>#ERROR!</v>
      </c>
      <c r="FC41" s="128" t="str">
        <f>FC40*Sales*IF(ISNUMBER(Dates), 4, 1)</f>
        <v>#ERROR!</v>
      </c>
      <c r="FD41" s="128" t="str">
        <f>FD40*Sales*IF(ISNUMBER(Dates), 4, 1)</f>
        <v>#ERROR!</v>
      </c>
      <c r="FE41" s="128" t="str">
        <f>FE40*Sales*IF(ISNUMBER(Dates), 4, 1)</f>
        <v>#ERROR!</v>
      </c>
      <c r="FF41" s="128" t="str">
        <f>FF40*Sales*IF(ISNUMBER(Dates), 4, 1)</f>
        <v>#ERROR!</v>
      </c>
      <c r="FG41" s="18" t="str">
        <f t="shared" ref="FG41:FG42" si="381">FF41</f>
        <v>#ERROR!</v>
      </c>
    </row>
    <row r="42" ht="12.75" customHeight="1">
      <c r="A42" s="179"/>
      <c r="B42" s="180" t="s">
        <v>533</v>
      </c>
      <c r="C42" s="180"/>
      <c r="D42" s="180"/>
      <c r="E42" s="180"/>
      <c r="F42" s="180"/>
      <c r="G42" s="180"/>
      <c r="H42" s="180"/>
      <c r="I42" s="180"/>
      <c r="J42" s="180"/>
      <c r="K42" s="180"/>
      <c r="L42" s="180"/>
      <c r="M42" s="180"/>
      <c r="N42" s="128">
        <f t="shared" ref="N42:AF42" si="328">N39+N41</f>
        <v>3454</v>
      </c>
      <c r="O42" s="128">
        <f t="shared" si="328"/>
        <v>3445</v>
      </c>
      <c r="P42" s="128">
        <f t="shared" si="328"/>
        <v>3795</v>
      </c>
      <c r="Q42" s="128">
        <f t="shared" si="328"/>
        <v>4081</v>
      </c>
      <c r="R42" s="73">
        <f t="shared" si="328"/>
        <v>4081</v>
      </c>
      <c r="S42" s="128">
        <f t="shared" si="328"/>
        <v>3921</v>
      </c>
      <c r="T42" s="128">
        <f t="shared" si="328"/>
        <v>3840</v>
      </c>
      <c r="U42" s="128">
        <f t="shared" si="328"/>
        <v>4459</v>
      </c>
      <c r="V42" s="128">
        <f t="shared" si="328"/>
        <v>4565</v>
      </c>
      <c r="W42" s="73">
        <f t="shared" si="328"/>
        <v>4565</v>
      </c>
      <c r="X42" s="128">
        <f t="shared" si="328"/>
        <v>4638</v>
      </c>
      <c r="Y42" s="128">
        <f t="shared" si="328"/>
        <v>5602</v>
      </c>
      <c r="Z42" s="128">
        <f t="shared" si="328"/>
        <v>6087</v>
      </c>
      <c r="AA42" s="128">
        <f t="shared" si="328"/>
        <v>6305</v>
      </c>
      <c r="AB42" s="73">
        <f t="shared" si="328"/>
        <v>6305</v>
      </c>
      <c r="AC42" s="128">
        <f t="shared" si="328"/>
        <v>5398</v>
      </c>
      <c r="AD42" s="128">
        <f t="shared" si="328"/>
        <v>4984</v>
      </c>
      <c r="AE42" s="128">
        <f t="shared" si="328"/>
        <v>4616</v>
      </c>
      <c r="AF42" s="128">
        <f t="shared" si="328"/>
        <v>4755</v>
      </c>
      <c r="AG42" s="73">
        <f t="shared" si="329"/>
        <v>4755</v>
      </c>
      <c r="AH42" s="128">
        <f t="shared" ref="AH42:AK42" si="330">AH39+AH41</f>
        <v>4604</v>
      </c>
      <c r="AI42" s="128">
        <f t="shared" si="330"/>
        <v>4195</v>
      </c>
      <c r="AJ42" s="128">
        <f t="shared" si="330"/>
        <v>4492</v>
      </c>
      <c r="AK42" s="128">
        <f t="shared" si="330"/>
        <v>4527</v>
      </c>
      <c r="AL42" s="73">
        <f t="shared" si="331"/>
        <v>4527</v>
      </c>
      <c r="AM42" s="128">
        <v>4061.0</v>
      </c>
      <c r="AN42" s="128">
        <f t="shared" ref="AN42:AO42" si="332">AN41+AN39</f>
        <v>4254</v>
      </c>
      <c r="AO42" s="128">
        <f t="shared" si="332"/>
        <v>4751</v>
      </c>
      <c r="AP42" s="128">
        <f>AP39+AP41</f>
        <v>5237</v>
      </c>
      <c r="AQ42" s="73">
        <f t="shared" si="333"/>
        <v>5237</v>
      </c>
      <c r="AR42" s="128">
        <f t="shared" ref="AR42:AU42" si="334">AR39+AR41</f>
        <v>4928</v>
      </c>
      <c r="AS42" s="128">
        <f t="shared" si="334"/>
        <v>5253</v>
      </c>
      <c r="AT42" s="128">
        <f t="shared" si="334"/>
        <v>5514</v>
      </c>
      <c r="AU42" s="128">
        <f t="shared" si="334"/>
        <v>6050</v>
      </c>
      <c r="AV42" s="73">
        <f t="shared" si="335"/>
        <v>6050</v>
      </c>
      <c r="AW42" s="128">
        <f t="shared" ref="AW42:AZ42" si="336">AW39+AW41</f>
        <v>5691</v>
      </c>
      <c r="AX42" s="128">
        <f t="shared" si="336"/>
        <v>5425</v>
      </c>
      <c r="AY42" s="128">
        <f t="shared" si="336"/>
        <v>6654</v>
      </c>
      <c r="AZ42" s="128">
        <f t="shared" si="336"/>
        <v>6329</v>
      </c>
      <c r="BA42" s="73">
        <f t="shared" si="337"/>
        <v>6329</v>
      </c>
      <c r="BB42" s="128">
        <f t="shared" ref="BB42:BE42" si="338">BB39+BB41</f>
        <v>7096</v>
      </c>
      <c r="BC42" s="128">
        <f t="shared" si="338"/>
        <v>6570</v>
      </c>
      <c r="BD42" s="128">
        <f t="shared" si="338"/>
        <v>6880</v>
      </c>
      <c r="BE42" s="128">
        <f t="shared" si="338"/>
        <v>5938</v>
      </c>
      <c r="BF42" s="73">
        <f t="shared" si="339"/>
        <v>5938</v>
      </c>
      <c r="BG42" s="128">
        <v>5876.0</v>
      </c>
      <c r="BH42" s="128">
        <f t="shared" ref="BH42:BJ42" si="340">BH39+BH41</f>
        <v>5708</v>
      </c>
      <c r="BI42" s="128">
        <f t="shared" si="340"/>
        <v>6992</v>
      </c>
      <c r="BJ42" s="128">
        <f t="shared" si="340"/>
        <v>7465</v>
      </c>
      <c r="BK42" s="73">
        <f t="shared" si="341"/>
        <v>7465</v>
      </c>
      <c r="BL42" s="128">
        <f t="shared" ref="BL42:BO42" si="342">BL39+BL41</f>
        <v>7197</v>
      </c>
      <c r="BM42" s="128">
        <f t="shared" si="342"/>
        <v>7192</v>
      </c>
      <c r="BN42" s="128">
        <f t="shared" si="342"/>
        <v>8945</v>
      </c>
      <c r="BO42" s="128">
        <f t="shared" si="342"/>
        <v>7253</v>
      </c>
      <c r="BP42" s="73">
        <f t="shared" si="343"/>
        <v>7253</v>
      </c>
      <c r="BQ42" s="128">
        <f t="shared" ref="BQ42:BT42" si="344">BQ39+BQ41</f>
        <v>5842</v>
      </c>
      <c r="BR42" s="128">
        <f t="shared" si="344"/>
        <v>6575</v>
      </c>
      <c r="BS42" s="128">
        <f t="shared" si="344"/>
        <v>6653</v>
      </c>
      <c r="BT42" s="128">
        <f t="shared" si="344"/>
        <v>6740</v>
      </c>
      <c r="BU42" s="73">
        <f t="shared" si="345"/>
        <v>6740</v>
      </c>
      <c r="BV42" s="128">
        <f t="shared" ref="BV42:BY42" si="346">BV39+BV41</f>
        <v>7013</v>
      </c>
      <c r="BW42" s="128">
        <f t="shared" si="346"/>
        <v>7140</v>
      </c>
      <c r="BX42" s="128">
        <f t="shared" si="346"/>
        <v>7952</v>
      </c>
      <c r="BY42" s="128">
        <f t="shared" si="346"/>
        <v>8310</v>
      </c>
      <c r="BZ42" s="73">
        <f t="shared" si="347"/>
        <v>8310</v>
      </c>
      <c r="CA42" s="128">
        <f t="shared" ref="CA42:CD42" si="348">CA39+CA41</f>
        <v>8969</v>
      </c>
      <c r="CB42" s="128">
        <f t="shared" si="348"/>
        <v>8459</v>
      </c>
      <c r="CC42" s="128">
        <f t="shared" si="348"/>
        <v>9926</v>
      </c>
      <c r="CD42" s="128">
        <f t="shared" si="348"/>
        <v>9852</v>
      </c>
      <c r="CE42" s="73">
        <f t="shared" si="349"/>
        <v>9852</v>
      </c>
      <c r="CF42" s="128">
        <f t="shared" ref="CF42:CI42" si="350">CF39+CF41</f>
        <v>9578</v>
      </c>
      <c r="CG42" s="128">
        <f t="shared" si="350"/>
        <v>8531</v>
      </c>
      <c r="CH42" s="128">
        <f t="shared" si="350"/>
        <v>9943</v>
      </c>
      <c r="CI42" s="128">
        <f t="shared" si="350"/>
        <v>10654</v>
      </c>
      <c r="CJ42" s="73">
        <f t="shared" si="351"/>
        <v>10654</v>
      </c>
      <c r="CK42" s="128">
        <f t="shared" ref="CK42:CN42" si="352">CK39+CK41</f>
        <v>9809</v>
      </c>
      <c r="CL42" s="128">
        <f t="shared" si="352"/>
        <v>9155</v>
      </c>
      <c r="CM42" s="128">
        <f t="shared" si="352"/>
        <v>11432</v>
      </c>
      <c r="CN42" s="128">
        <f t="shared" si="352"/>
        <v>11191</v>
      </c>
      <c r="CO42" s="73">
        <f t="shared" si="353"/>
        <v>11191</v>
      </c>
      <c r="CP42" s="128">
        <f t="shared" ref="CP42:CS42" si="354">CP39+CP41</f>
        <v>11345</v>
      </c>
      <c r="CQ42" s="17">
        <f t="shared" si="354"/>
        <v>10066</v>
      </c>
      <c r="CR42" s="17">
        <f t="shared" si="354"/>
        <v>11551</v>
      </c>
      <c r="CS42" s="128">
        <f t="shared" si="354"/>
        <v>12210</v>
      </c>
      <c r="CT42" s="73">
        <f t="shared" si="355"/>
        <v>12210</v>
      </c>
      <c r="CU42" s="128">
        <f t="shared" ref="CU42:CX42" si="356">CU39+CU41</f>
        <v>11718</v>
      </c>
      <c r="CV42" s="128">
        <f t="shared" si="356"/>
        <v>10329</v>
      </c>
      <c r="CW42" s="128">
        <f t="shared" si="356"/>
        <v>11791</v>
      </c>
      <c r="CX42" s="128">
        <f t="shared" si="356"/>
        <v>10845</v>
      </c>
      <c r="CY42" s="18">
        <f t="shared" si="357"/>
        <v>10845</v>
      </c>
      <c r="CZ42" s="128">
        <f t="shared" ref="CZ42:DC42" si="358">CZ39+CZ41</f>
        <v>11300</v>
      </c>
      <c r="DA42" s="128">
        <f t="shared" si="358"/>
        <v>11344</v>
      </c>
      <c r="DB42" s="128">
        <f t="shared" si="358"/>
        <v>14796</v>
      </c>
      <c r="DC42" s="128">
        <f t="shared" si="358"/>
        <v>13950</v>
      </c>
      <c r="DD42" s="18">
        <f t="shared" si="359"/>
        <v>13950</v>
      </c>
      <c r="DE42" s="128">
        <f t="shared" ref="DE42:DH42" si="360">DE39+DE41</f>
        <v>14534</v>
      </c>
      <c r="DF42" s="128">
        <f t="shared" si="360"/>
        <v>13065</v>
      </c>
      <c r="DG42" s="129">
        <f t="shared" si="360"/>
        <v>14841</v>
      </c>
      <c r="DH42" s="128">
        <f t="shared" si="360"/>
        <v>13989</v>
      </c>
      <c r="DI42" s="18">
        <f t="shared" si="361"/>
        <v>13989</v>
      </c>
      <c r="DJ42" s="129">
        <f t="shared" ref="DJ42:DM42" si="362">DJ39+DJ41</f>
        <v>16119</v>
      </c>
      <c r="DK42" s="129">
        <f t="shared" si="362"/>
        <v>14061</v>
      </c>
      <c r="DL42" s="129">
        <f t="shared" si="362"/>
        <v>16523</v>
      </c>
      <c r="DM42" s="129">
        <f t="shared" si="362"/>
        <v>15365</v>
      </c>
      <c r="DN42" s="18">
        <f t="shared" si="363"/>
        <v>15365</v>
      </c>
      <c r="DO42" s="129">
        <f t="shared" ref="DO42:DR42" si="364">DO39+DO41</f>
        <v>16161</v>
      </c>
      <c r="DP42" s="129">
        <f t="shared" si="364"/>
        <v>15979</v>
      </c>
      <c r="DQ42" s="129">
        <f t="shared" si="364"/>
        <v>19864</v>
      </c>
      <c r="DR42" s="129">
        <f t="shared" si="364"/>
        <v>18617</v>
      </c>
      <c r="DS42" s="18">
        <f t="shared" si="365"/>
        <v>18617</v>
      </c>
      <c r="DT42" s="129">
        <f t="shared" ref="DT42:DW42" si="366">DT39+DT41</f>
        <v>20431</v>
      </c>
      <c r="DU42" s="129">
        <f t="shared" si="366"/>
        <v>20227</v>
      </c>
      <c r="DV42" s="129">
        <f t="shared" si="366"/>
        <v>21608</v>
      </c>
      <c r="DW42" s="129">
        <f t="shared" si="366"/>
        <v>22250</v>
      </c>
      <c r="DX42" s="18">
        <f t="shared" si="367"/>
        <v>22250</v>
      </c>
      <c r="DY42" s="129">
        <f t="shared" ref="DY42:EB42" si="368">DY39+DY41</f>
        <v>21504</v>
      </c>
      <c r="DZ42" s="129">
        <f t="shared" si="368"/>
        <v>21141</v>
      </c>
      <c r="EA42" s="129">
        <f t="shared" si="368"/>
        <v>24878</v>
      </c>
      <c r="EB42" s="129">
        <f t="shared" si="368"/>
        <v>22871</v>
      </c>
      <c r="EC42" s="18">
        <f t="shared" si="369"/>
        <v>22871</v>
      </c>
      <c r="ED42" s="129">
        <f t="shared" ref="ED42:EG42" si="370">ED39+ED41</f>
        <v>24863</v>
      </c>
      <c r="EE42" s="129">
        <f t="shared" si="370"/>
        <v>24336</v>
      </c>
      <c r="EF42" s="129">
        <f t="shared" si="370"/>
        <v>25530</v>
      </c>
      <c r="EG42" s="129">
        <f t="shared" si="370"/>
        <v>25537</v>
      </c>
      <c r="EH42" s="18">
        <f t="shared" si="371"/>
        <v>25537</v>
      </c>
      <c r="EI42" s="134" t="str">
        <f t="shared" ref="EI42:EL42" si="372">EI39+EI41</f>
        <v>#ERROR!</v>
      </c>
      <c r="EJ42" s="128" t="str">
        <f t="shared" si="372"/>
        <v>#ERROR!</v>
      </c>
      <c r="EK42" s="128" t="str">
        <f t="shared" si="372"/>
        <v>#ERROR!</v>
      </c>
      <c r="EL42" s="128" t="str">
        <f t="shared" si="372"/>
        <v>#ERROR!</v>
      </c>
      <c r="EM42" s="18" t="str">
        <f t="shared" si="373"/>
        <v>#ERROR!</v>
      </c>
      <c r="EN42" s="128" t="str">
        <f t="shared" ref="EN42:EQ42" si="374">EN39+EN41</f>
        <v>#ERROR!</v>
      </c>
      <c r="EO42" s="128" t="str">
        <f t="shared" si="374"/>
        <v>#ERROR!</v>
      </c>
      <c r="EP42" s="128" t="str">
        <f t="shared" si="374"/>
        <v>#ERROR!</v>
      </c>
      <c r="EQ42" s="128" t="str">
        <f t="shared" si="374"/>
        <v>#ERROR!</v>
      </c>
      <c r="ER42" s="18" t="str">
        <f t="shared" si="375"/>
        <v>#ERROR!</v>
      </c>
      <c r="ES42" s="128" t="str">
        <f t="shared" ref="ES42:EV42" si="376">ES39+ES41</f>
        <v>#ERROR!</v>
      </c>
      <c r="ET42" s="128" t="str">
        <f t="shared" si="376"/>
        <v>#ERROR!</v>
      </c>
      <c r="EU42" s="128" t="str">
        <f t="shared" si="376"/>
        <v>#ERROR!</v>
      </c>
      <c r="EV42" s="128" t="str">
        <f t="shared" si="376"/>
        <v>#ERROR!</v>
      </c>
      <c r="EW42" s="18" t="str">
        <f t="shared" si="377"/>
        <v>#ERROR!</v>
      </c>
      <c r="EX42" s="128" t="str">
        <f t="shared" ref="EX42:FA42" si="378">EX39+EX41</f>
        <v>#ERROR!</v>
      </c>
      <c r="EY42" s="128" t="str">
        <f t="shared" si="378"/>
        <v>#ERROR!</v>
      </c>
      <c r="EZ42" s="128" t="str">
        <f t="shared" si="378"/>
        <v>#ERROR!</v>
      </c>
      <c r="FA42" s="128" t="str">
        <f t="shared" si="378"/>
        <v>#ERROR!</v>
      </c>
      <c r="FB42" s="18" t="str">
        <f t="shared" si="379"/>
        <v>#ERROR!</v>
      </c>
      <c r="FC42" s="128" t="str">
        <f t="shared" ref="FC42:FF42" si="380">FC39+FC41</f>
        <v>#ERROR!</v>
      </c>
      <c r="FD42" s="128" t="str">
        <f t="shared" si="380"/>
        <v>#ERROR!</v>
      </c>
      <c r="FE42" s="128" t="str">
        <f t="shared" si="380"/>
        <v>#ERROR!</v>
      </c>
      <c r="FF42" s="128" t="str">
        <f t="shared" si="380"/>
        <v>#ERROR!</v>
      </c>
      <c r="FG42" s="18" t="str">
        <f t="shared" si="381"/>
        <v>#ERROR!</v>
      </c>
    </row>
    <row r="43" ht="12.75" customHeight="1" outlineLevel="1">
      <c r="A43" s="660"/>
      <c r="B43" s="794" t="s">
        <v>373</v>
      </c>
      <c r="C43" s="794"/>
      <c r="D43" s="794"/>
      <c r="E43" s="794"/>
      <c r="F43" s="794"/>
      <c r="G43" s="794"/>
      <c r="H43" s="794"/>
      <c r="I43" s="794"/>
      <c r="J43" s="794"/>
      <c r="K43" s="794"/>
      <c r="L43" s="794"/>
      <c r="M43" s="794"/>
      <c r="N43" s="660">
        <f>N44/Sales/IF(ISNUMBER(Dates),4,1)</f>
        <v>0.02149641726</v>
      </c>
      <c r="O43" s="660">
        <f>O44/Sales/IF(ISNUMBER(Dates),4,1)</f>
        <v>0.01649232327</v>
      </c>
      <c r="P43" s="660">
        <f>P44/Sales/IF(ISNUMBER(Dates),4,1)</f>
        <v>0.01749368593</v>
      </c>
      <c r="Q43" s="660">
        <f>Q44/Sales/IF(ISNUMBER(Dates),4,1)</f>
        <v>0.01989755713</v>
      </c>
      <c r="R43" s="660">
        <f>R44/Sales/IF(ISNUMBER(Dates),4,1)</f>
        <v>0.02306550451</v>
      </c>
      <c r="S43" s="660">
        <f>S44/Sales/IF(ISNUMBER(Dates),4,1)</f>
        <v>0.02428551316</v>
      </c>
      <c r="T43" s="660">
        <f>T44/Sales/IF(ISNUMBER(Dates),4,1)</f>
        <v>0.01849243996</v>
      </c>
      <c r="U43" s="660">
        <f>U44/Sales/IF(ISNUMBER(Dates),4,1)</f>
        <v>0.02033296943</v>
      </c>
      <c r="V43" s="660">
        <f>V44/Sales/IF(ISNUMBER(Dates),4,1)</f>
        <v>0.01853994155</v>
      </c>
      <c r="W43" s="660">
        <f>W44/Sales/IF(ISNUMBER(Dates),4,1)</f>
        <v>0.02072203886</v>
      </c>
      <c r="X43" s="660">
        <f>X44/Sales/IF(ISNUMBER(Dates),4,1)</f>
        <v>0.0171399975</v>
      </c>
      <c r="Y43" s="660">
        <f>Y44/Sales/IF(ISNUMBER(Dates),4,1)</f>
        <v>0.02186746988</v>
      </c>
      <c r="Z43" s="660">
        <f>Z44/Sales/IF(ISNUMBER(Dates),4,1)</f>
        <v>0.02050166075</v>
      </c>
      <c r="AA43" s="660">
        <f>AA44/Sales/IF(ISNUMBER(Dates),4,1)</f>
        <v>0.01936336474</v>
      </c>
      <c r="AB43" s="660">
        <f>AB44/Sales/IF(ISNUMBER(Dates),4,1)</f>
        <v>0.01998458163</v>
      </c>
      <c r="AC43" s="660">
        <f>AC44/Sales/IF(ISNUMBER(Dates),4,1)</f>
        <v>0.02426239329</v>
      </c>
      <c r="AD43" s="660">
        <f>AD44/Sales/IF(ISNUMBER(Dates),4,1)</f>
        <v>0.02166877171</v>
      </c>
      <c r="AE43" s="660">
        <f>AE44/Sales/IF(ISNUMBER(Dates),4,1)</f>
        <v>0.01936592819</v>
      </c>
      <c r="AF43" s="660">
        <f>AF44/Sales/IF(ISNUMBER(Dates),4,1)</f>
        <v>0.01496491479</v>
      </c>
      <c r="AG43" s="660">
        <f>AG44/Sales/IF(ISNUMBER(Dates),4,1)</f>
        <v>0.01575040506</v>
      </c>
      <c r="AH43" s="660">
        <f>AH44/Sales/IF(ISNUMBER(Dates),4,1)</f>
        <v>0.02108833505</v>
      </c>
      <c r="AI43" s="660">
        <f>AI44/Sales/IF(ISNUMBER(Dates),4,1)</f>
        <v>0.01970248457</v>
      </c>
      <c r="AJ43" s="660">
        <f>AJ44/Sales/IF(ISNUMBER(Dates),4,1)</f>
        <v>0.0196801968</v>
      </c>
      <c r="AK43" s="660">
        <f>AK44/Sales/IF(ISNUMBER(Dates),4,1)</f>
        <v>0.01658519553</v>
      </c>
      <c r="AL43" s="309">
        <f>AL44/Sales/IF(ISNUMBER(Dates),4,1)</f>
        <v>0.01774772082</v>
      </c>
      <c r="AM43" s="660">
        <f>AM44/Sales/IF(ISNUMBER(Dates),4,1)</f>
        <v>0.01970078507</v>
      </c>
      <c r="AN43" s="660">
        <f>AN44/Sales/IF(ISNUMBER(Dates),4,1)</f>
        <v>0.02193368545</v>
      </c>
      <c r="AO43" s="660">
        <f>AO44/Sales/IF(ISNUMBER(Dates),4,1)</f>
        <v>0.02221371122</v>
      </c>
      <c r="AP43" s="660">
        <f>AP44/Sales/IF(ISNUMBER(Dates),4,1)</f>
        <v>0.01810433589</v>
      </c>
      <c r="AQ43" s="309">
        <f>AQ44/Sales/IF(ISNUMBER(Dates),4,1)</f>
        <v>0.02100129392</v>
      </c>
      <c r="AR43" s="660">
        <f>AR44/Sales/IF(ISNUMBER(Dates),4,1)</f>
        <v>0.02165986899</v>
      </c>
      <c r="AS43" s="660">
        <f>AS44/Sales/IF(ISNUMBER(Dates),4,1)</f>
        <v>0.01987824574</v>
      </c>
      <c r="AT43" s="660">
        <f>AT44/Sales/IF(ISNUMBER(Dates),4,1)</f>
        <v>0.01924212017</v>
      </c>
      <c r="AU43" s="660">
        <f>AU44/Sales/IF(ISNUMBER(Dates),4,1)</f>
        <v>0.01541987914</v>
      </c>
      <c r="AV43" s="309">
        <f>AV44/Sales/IF(ISNUMBER(Dates),4,1)</f>
        <v>0.01730538747</v>
      </c>
      <c r="AW43" s="660">
        <f>AW44/Sales/IF(ISNUMBER(Dates),4,1)</f>
        <v>0.01873542506</v>
      </c>
      <c r="AX43" s="660">
        <f>AX44/Sales/IF(ISNUMBER(Dates),4,1)</f>
        <v>0.01914743798</v>
      </c>
      <c r="AY43" s="660">
        <f>AY44/Sales/IF(ISNUMBER(Dates),4,1)</f>
        <v>0.01736947791</v>
      </c>
      <c r="AZ43" s="660">
        <f>AZ44/Sales/IF(ISNUMBER(Dates),4,1)</f>
        <v>0.01548867758</v>
      </c>
      <c r="BA43" s="309">
        <f>BA44/Sales/IF(ISNUMBER(Dates),4,1)</f>
        <v>0.01627775202</v>
      </c>
      <c r="BB43" s="660">
        <f>BB44/Sales/IF(ISNUMBER(Dates),4,1)</f>
        <v>0.01870805369</v>
      </c>
      <c r="BC43" s="660">
        <f>BC44/Sales/IF(ISNUMBER(Dates),4,1)</f>
        <v>0.01769883881</v>
      </c>
      <c r="BD43" s="660">
        <f>BD44/Sales/IF(ISNUMBER(Dates),4,1)</f>
        <v>0.01725025747</v>
      </c>
      <c r="BE43" s="660">
        <f>BE44/Sales/IF(ISNUMBER(Dates),4,1)</f>
        <v>0.01544769961</v>
      </c>
      <c r="BF43" s="309">
        <f>BF44/Sales/IF(ISNUMBER(Dates),4,1)</f>
        <v>0.01692951218</v>
      </c>
      <c r="BG43" s="660">
        <f>BG44/Sales/IF(ISNUMBER(Dates),4,1)</f>
        <v>0.01725598735</v>
      </c>
      <c r="BH43" s="660">
        <f>BH44/Sales/IF(ISNUMBER(Dates),4,1)</f>
        <v>0.01540898618</v>
      </c>
      <c r="BI43" s="660">
        <f>BI44/Sales/IF(ISNUMBER(Dates),4,1)</f>
        <v>0.01555996036</v>
      </c>
      <c r="BJ43" s="660">
        <f>BJ44/Sales/IF(ISNUMBER(Dates),4,1)</f>
        <v>0.01458644511</v>
      </c>
      <c r="BK43" s="309">
        <f>BK44/Sales/IF(ISNUMBER(Dates),4,1)</f>
        <v>0.01630406428</v>
      </c>
      <c r="BL43" s="660">
        <f>BL44/Sales/IF(ISNUMBER(Dates),4,1)</f>
        <v>0.01661842241</v>
      </c>
      <c r="BM43" s="660">
        <f>BM44/Sales/IF(ISNUMBER(Dates),4,1)</f>
        <v>0.01755543823</v>
      </c>
      <c r="BN43" s="660">
        <f>BN44/Sales/IF(ISNUMBER(Dates),4,1)</f>
        <v>0.01605167857</v>
      </c>
      <c r="BO43" s="660">
        <f>BO44/Sales/IF(ISNUMBER(Dates),4,1)</f>
        <v>0.01407123754</v>
      </c>
      <c r="BP43" s="309">
        <f>BP44/Sales/IF(ISNUMBER(Dates),4,1)</f>
        <v>0.01231841643</v>
      </c>
      <c r="BQ43" s="660">
        <f>BQ44/Sales/IF(ISNUMBER(Dates),4,1)</f>
        <v>0.01637508747</v>
      </c>
      <c r="BR43" s="660">
        <f>BR44/Sales/IF(ISNUMBER(Dates),4,1)</f>
        <v>0.0149551346</v>
      </c>
      <c r="BS43" s="660">
        <f>BS44/Sales/IF(ISNUMBER(Dates),4,1)</f>
        <v>0.0160293961</v>
      </c>
      <c r="BT43" s="660">
        <f>BT44/Sales/IF(ISNUMBER(Dates),4,1)</f>
        <v>0.01402687104</v>
      </c>
      <c r="BU43" s="309">
        <f>BU44/Sales/IF(ISNUMBER(Dates),4,1)</f>
        <v>0.01688160105</v>
      </c>
      <c r="BV43" s="660">
        <f>BV44/Sales/IF(ISNUMBER(Dates),4,1)</f>
        <v>0.0158510535</v>
      </c>
      <c r="BW43" s="660">
        <f>BW44/Sales/IF(ISNUMBER(Dates),4,1)</f>
        <v>0.01351602415</v>
      </c>
      <c r="BX43" s="660">
        <f>BX44/Sales/IF(ISNUMBER(Dates),4,1)</f>
        <v>0.01409655918</v>
      </c>
      <c r="BY43" s="660">
        <f>BY44/Sales/IF(ISNUMBER(Dates),4,1)</f>
        <v>0.01630007855</v>
      </c>
      <c r="BZ43" s="309">
        <f>BZ44/Sales/IF(ISNUMBER(Dates),4,1)</f>
        <v>0.01712399422</v>
      </c>
      <c r="CA43" s="660">
        <f>CA44/Sales/IF(ISNUMBER(Dates),4,1)</f>
        <v>0.03528061026</v>
      </c>
      <c r="CB43" s="660">
        <f>CB44/Sales/IF(ISNUMBER(Dates),4,1)</f>
        <v>0.0349907919</v>
      </c>
      <c r="CC43" s="660">
        <f>CC44/Sales/IF(ISNUMBER(Dates),4,1)</f>
        <v>0.03367174875</v>
      </c>
      <c r="CD43" s="660">
        <f>CD44/Sales/IF(ISNUMBER(Dates),4,1)</f>
        <v>0.03472672283</v>
      </c>
      <c r="CE43" s="309">
        <f>CE44/Sales/IF(ISNUMBER(Dates),4,1)</f>
        <v>0.03572288376</v>
      </c>
      <c r="CF43" s="660">
        <f>CF44/Sales/IF(ISNUMBER(Dates),4,1)</f>
        <v>0.03876104138</v>
      </c>
      <c r="CG43" s="660">
        <f>CG44/Sales/IF(ISNUMBER(Dates),4,1)</f>
        <v>0.03546033627</v>
      </c>
      <c r="CH43" s="660">
        <f>CH44/Sales/IF(ISNUMBER(Dates),4,1)</f>
        <v>0.03630080999</v>
      </c>
      <c r="CI43" s="660">
        <f>CI44/Sales/IF(ISNUMBER(Dates),4,1)</f>
        <v>0.03583883654</v>
      </c>
      <c r="CJ43" s="309">
        <f>CJ44/Sales/IF(ISNUMBER(Dates),4,1)</f>
        <v>0.0362197934</v>
      </c>
      <c r="CK43" s="660">
        <f>CK44/Sales/IF(ISNUMBER(Dates),4,1)</f>
        <v>0.0377782194</v>
      </c>
      <c r="CL43" s="660">
        <f>CL44/Sales/IF(ISNUMBER(Dates),4,1)</f>
        <v>0.03846303958</v>
      </c>
      <c r="CM43" s="660">
        <f>CM44/Sales/IF(ISNUMBER(Dates),4,1)</f>
        <v>0.03880812875</v>
      </c>
      <c r="CN43" s="660">
        <f>CN44/Sales/IF(ISNUMBER(Dates),4,1)</f>
        <v>0.03787769264</v>
      </c>
      <c r="CO43" s="309">
        <f>CO44/Sales/IF(ISNUMBER(Dates),4,1)</f>
        <v>0.03976625939</v>
      </c>
      <c r="CP43" s="660">
        <f>CP44/Sales/IF(ISNUMBER(Dates),4,1)</f>
        <v>0.0425219367</v>
      </c>
      <c r="CQ43" s="660">
        <f>CQ44/Sales/IF(ISNUMBER(Dates),4,1)</f>
        <v>0.03924155882</v>
      </c>
      <c r="CR43" s="660">
        <f>CR44/Sales/IF(ISNUMBER(Dates),4,1)</f>
        <v>0.03760134671</v>
      </c>
      <c r="CS43" s="660">
        <f>CS44/Sales/IF(ISNUMBER(Dates),4,1)</f>
        <v>0.03744650499</v>
      </c>
      <c r="CT43" s="309">
        <f>CT44/Sales/IF(ISNUMBER(Dates),4,1)</f>
        <v>0.03946661894</v>
      </c>
      <c r="CU43" s="660">
        <f>CU44/Sales/IF(ISNUMBER(Dates),4,1)</f>
        <v>0.04295438542</v>
      </c>
      <c r="CV43" s="660">
        <f>CV44/Sales/IF(ISNUMBER(Dates),4,1)</f>
        <v>0.03944676014</v>
      </c>
      <c r="CW43" s="660">
        <f>CW44/Sales/IF(ISNUMBER(Dates),4,1)</f>
        <v>0.0373314898</v>
      </c>
      <c r="CX43" s="660">
        <f>CX44/Sales/IF(ISNUMBER(Dates),4,1)</f>
        <v>0.03667694783</v>
      </c>
      <c r="CY43" s="37">
        <f>CY44/Sales/IF(ISNUMBER(Dates),4,1)</f>
        <v>0.03952669136</v>
      </c>
      <c r="CZ43" s="660">
        <f>CZ44/Sales/IF(ISNUMBER(Dates),4,1)</f>
        <v>0.04767770451</v>
      </c>
      <c r="DA43" s="660">
        <f>DA44/Sales/IF(ISNUMBER(Dates),4,1)</f>
        <v>0.05185472549</v>
      </c>
      <c r="DB43" s="660">
        <f>DB44/Sales/IF(ISNUMBER(Dates),4,1)</f>
        <v>0.02731651667</v>
      </c>
      <c r="DC43" s="660">
        <f>DC44/Sales/IF(ISNUMBER(Dates),4,1)</f>
        <v>0.0262306095</v>
      </c>
      <c r="DD43" s="37">
        <f>DD44/Sales/IF(ISNUMBER(Dates),4,1)</f>
        <v>0.02888074505</v>
      </c>
      <c r="DE43" s="660">
        <f>DE44/Sales/IF(ISNUMBER(Dates),4,1)</f>
        <v>0.02869018654</v>
      </c>
      <c r="DF43" s="660">
        <f>DF44/Sales/IF(ISNUMBER(Dates),4,1)</f>
        <v>0.02687461898</v>
      </c>
      <c r="DG43" s="83">
        <f>DG44/Sales/IF(ISNUMBER(Dates),4,1)</f>
        <v>0.02641030404</v>
      </c>
      <c r="DH43" s="660">
        <f>DH44/Sales/IF(ISNUMBER(Dates),4,1)</f>
        <v>0.02427725327</v>
      </c>
      <c r="DI43" s="37">
        <f>DI44/Sales/IF(ISNUMBER(Dates),4,1)</f>
        <v>0.02638581285</v>
      </c>
      <c r="DJ43" s="660">
        <f>DJ44/Sales/IF(ISNUMBER(Dates),4,1)</f>
        <v>0</v>
      </c>
      <c r="DK43" s="660">
        <f>DK44/Sales/IF(ISNUMBER(Dates),4,1)</f>
        <v>0</v>
      </c>
      <c r="DL43" s="660">
        <f>DL44/Sales/IF(ISNUMBER(Dates),4,1)</f>
        <v>0</v>
      </c>
      <c r="DM43" s="660">
        <f>DM44/Sales/IF(ISNUMBER(Dates),4,1)</f>
        <v>0</v>
      </c>
      <c r="DN43" s="37">
        <f>DN44/Sales/IF(ISNUMBER(Dates),4,1)</f>
        <v>0</v>
      </c>
      <c r="DO43" s="660">
        <f>DO44/Sales/IF(ISNUMBER(Dates),4,1)</f>
        <v>0</v>
      </c>
      <c r="DP43" s="660">
        <f>DP44/Sales/IF(ISNUMBER(Dates),4,1)</f>
        <v>0</v>
      </c>
      <c r="DQ43" s="83">
        <f>DQ44/Sales/IF(ISNUMBER(Dates),4,1)</f>
        <v>0</v>
      </c>
      <c r="DR43" s="83">
        <f>DR44/Sales/IF(ISNUMBER(Dates),4,1)</f>
        <v>0</v>
      </c>
      <c r="DS43" s="37">
        <f>DS44/Sales/IF(ISNUMBER(Dates),4,1)</f>
        <v>0</v>
      </c>
      <c r="DT43" s="83">
        <f t="shared" ref="DT43:DV43" si="382">DR43</f>
        <v>0</v>
      </c>
      <c r="DU43" s="83">
        <f t="shared" si="382"/>
        <v>0</v>
      </c>
      <c r="DV43" s="83">
        <f t="shared" si="382"/>
        <v>0</v>
      </c>
      <c r="DW43" s="83">
        <f>DV43</f>
        <v>0</v>
      </c>
      <c r="DX43" s="37">
        <f>DX44/Sales/IF(ISNUMBER(Dates),4,1)</f>
        <v>0</v>
      </c>
      <c r="DY43" s="83">
        <f>DW43</f>
        <v>0</v>
      </c>
      <c r="DZ43" s="83">
        <f t="shared" ref="DZ43:EB43" si="383">DY43</f>
        <v>0</v>
      </c>
      <c r="EA43" s="83">
        <f t="shared" si="383"/>
        <v>0</v>
      </c>
      <c r="EB43" s="83">
        <f t="shared" si="383"/>
        <v>0</v>
      </c>
      <c r="EC43" s="37">
        <f>EC44/Sales/IF(ISNUMBER(Dates),4,1)</f>
        <v>0</v>
      </c>
      <c r="ED43" s="83">
        <f>EB43</f>
        <v>0</v>
      </c>
      <c r="EE43" s="83">
        <f t="shared" ref="EE43:EG43" si="384">ED43</f>
        <v>0</v>
      </c>
      <c r="EF43" s="83">
        <f t="shared" si="384"/>
        <v>0</v>
      </c>
      <c r="EG43" s="83">
        <f t="shared" si="384"/>
        <v>0</v>
      </c>
      <c r="EH43" s="37">
        <f>EH44/Sales/IF(ISNUMBER(Dates),4,1)</f>
        <v>0</v>
      </c>
      <c r="EI43" s="314">
        <f>EG43</f>
        <v>0</v>
      </c>
      <c r="EJ43" s="315">
        <f t="shared" ref="EJ43:EL43" si="385">EI43</f>
        <v>0</v>
      </c>
      <c r="EK43" s="315">
        <f t="shared" si="385"/>
        <v>0</v>
      </c>
      <c r="EL43" s="315">
        <f t="shared" si="385"/>
        <v>0</v>
      </c>
      <c r="EM43" s="37" t="str">
        <f>EM44/Sales/IF(ISNUMBER(Dates),4,1)</f>
        <v>#ERROR!</v>
      </c>
      <c r="EN43" s="315">
        <f>EL43</f>
        <v>0</v>
      </c>
      <c r="EO43" s="315">
        <f t="shared" ref="EO43:EQ43" si="386">EN43</f>
        <v>0</v>
      </c>
      <c r="EP43" s="315">
        <f t="shared" si="386"/>
        <v>0</v>
      </c>
      <c r="EQ43" s="315">
        <f t="shared" si="386"/>
        <v>0</v>
      </c>
      <c r="ER43" s="37" t="str">
        <f>ER44/Sales/IF(ISNUMBER(Dates),4,1)</f>
        <v>#ERROR!</v>
      </c>
      <c r="ES43" s="315">
        <f>EQ43</f>
        <v>0</v>
      </c>
      <c r="ET43" s="315">
        <f t="shared" ref="ET43:EV43" si="387">ES43</f>
        <v>0</v>
      </c>
      <c r="EU43" s="315">
        <f t="shared" si="387"/>
        <v>0</v>
      </c>
      <c r="EV43" s="315">
        <f t="shared" si="387"/>
        <v>0</v>
      </c>
      <c r="EW43" s="37" t="str">
        <f>EW44/Sales/IF(ISNUMBER(Dates),4,1)</f>
        <v>#ERROR!</v>
      </c>
      <c r="EX43" s="315">
        <f>EV43</f>
        <v>0</v>
      </c>
      <c r="EY43" s="315">
        <f t="shared" ref="EY43:FA43" si="388">EX43</f>
        <v>0</v>
      </c>
      <c r="EZ43" s="315">
        <f t="shared" si="388"/>
        <v>0</v>
      </c>
      <c r="FA43" s="315">
        <f t="shared" si="388"/>
        <v>0</v>
      </c>
      <c r="FB43" s="37" t="str">
        <f>FB44/Sales/IF(ISNUMBER(Dates),4,1)</f>
        <v>#ERROR!</v>
      </c>
      <c r="FC43" s="315">
        <f>FA43</f>
        <v>0</v>
      </c>
      <c r="FD43" s="315">
        <f t="shared" ref="FD43:FF43" si="389">FC43</f>
        <v>0</v>
      </c>
      <c r="FE43" s="315">
        <f t="shared" si="389"/>
        <v>0</v>
      </c>
      <c r="FF43" s="315">
        <f t="shared" si="389"/>
        <v>0</v>
      </c>
      <c r="FG43" s="37" t="str">
        <f>FG44/Sales/IF(ISNUMBER(Dates),4,1)</f>
        <v>#ERROR!</v>
      </c>
    </row>
    <row r="44" ht="12.75" customHeight="1">
      <c r="A44" s="179"/>
      <c r="B44" s="180" t="s">
        <v>534</v>
      </c>
      <c r="C44" s="180"/>
      <c r="D44" s="180"/>
      <c r="E44" s="180"/>
      <c r="F44" s="180"/>
      <c r="G44" s="180"/>
      <c r="H44" s="180"/>
      <c r="I44" s="180"/>
      <c r="J44" s="180"/>
      <c r="K44" s="180"/>
      <c r="L44" s="180"/>
      <c r="M44" s="180"/>
      <c r="N44" s="128">
        <v>516.0</v>
      </c>
      <c r="O44" s="128">
        <v>391.0</v>
      </c>
      <c r="P44" s="128">
        <v>471.0</v>
      </c>
      <c r="Q44" s="128">
        <v>606.0</v>
      </c>
      <c r="R44" s="73">
        <v>606.0</v>
      </c>
      <c r="S44" s="128">
        <v>690.0</v>
      </c>
      <c r="T44" s="128">
        <v>499.0</v>
      </c>
      <c r="U44" s="128">
        <v>596.0</v>
      </c>
      <c r="V44" s="128">
        <v>609.0</v>
      </c>
      <c r="W44" s="73">
        <f>+V44</f>
        <v>609</v>
      </c>
      <c r="X44" s="128">
        <v>548.0</v>
      </c>
      <c r="Y44" s="128">
        <v>726.0</v>
      </c>
      <c r="Z44" s="128">
        <v>716.0</v>
      </c>
      <c r="AA44" s="128">
        <v>674.0</v>
      </c>
      <c r="AB44" s="73">
        <f>+AA44</f>
        <v>674</v>
      </c>
      <c r="AC44" s="128">
        <v>648.0</v>
      </c>
      <c r="AD44" s="128">
        <v>549.0</v>
      </c>
      <c r="AE44" s="128">
        <v>507.0</v>
      </c>
      <c r="AF44" s="128">
        <v>418.0</v>
      </c>
      <c r="AG44" s="73">
        <f>AF44</f>
        <v>418</v>
      </c>
      <c r="AH44" s="128">
        <v>572.0</v>
      </c>
      <c r="AI44" s="128">
        <v>498.0</v>
      </c>
      <c r="AJ44" s="128">
        <v>512.0</v>
      </c>
      <c r="AK44" s="128">
        <v>475.0</v>
      </c>
      <c r="AL44" s="73">
        <f>AK44</f>
        <v>475</v>
      </c>
      <c r="AM44" s="128">
        <v>532.0</v>
      </c>
      <c r="AN44" s="128">
        <v>598.0</v>
      </c>
      <c r="AO44" s="128">
        <v>696.0</v>
      </c>
      <c r="AP44" s="128">
        <v>633.0</v>
      </c>
      <c r="AQ44" s="73">
        <f>AP44</f>
        <v>633</v>
      </c>
      <c r="AR44" s="128">
        <v>701.0</v>
      </c>
      <c r="AS44" s="128">
        <v>640.0</v>
      </c>
      <c r="AT44" s="128">
        <v>652.0</v>
      </c>
      <c r="AU44" s="128">
        <v>592.0</v>
      </c>
      <c r="AV44" s="73">
        <f>AU44</f>
        <v>592</v>
      </c>
      <c r="AW44" s="128">
        <v>707.0</v>
      </c>
      <c r="AX44" s="128">
        <v>707.0</v>
      </c>
      <c r="AY44" s="128">
        <v>692.0</v>
      </c>
      <c r="AZ44" s="128">
        <v>632.0</v>
      </c>
      <c r="BA44" s="73">
        <f>AZ44</f>
        <v>632</v>
      </c>
      <c r="BB44" s="128">
        <v>669.0</v>
      </c>
      <c r="BC44" s="128">
        <v>567.0</v>
      </c>
      <c r="BD44" s="128">
        <v>603.0</v>
      </c>
      <c r="BE44" s="128">
        <v>599.0</v>
      </c>
      <c r="BF44" s="73">
        <f>BE44</f>
        <v>599</v>
      </c>
      <c r="BG44" s="128">
        <v>611.0</v>
      </c>
      <c r="BH44" s="128">
        <v>535.0</v>
      </c>
      <c r="BI44" s="128">
        <v>628.0</v>
      </c>
      <c r="BJ44" s="128">
        <v>625.0</v>
      </c>
      <c r="BK44" s="73">
        <f t="shared" ref="BK44:BK46" si="390">BJ44</f>
        <v>625</v>
      </c>
      <c r="BL44" s="128">
        <v>643.0</v>
      </c>
      <c r="BM44" s="128">
        <v>665.0</v>
      </c>
      <c r="BN44" s="128">
        <v>656.0</v>
      </c>
      <c r="BO44" s="128">
        <v>463.0</v>
      </c>
      <c r="BP44" s="73">
        <f>BO44</f>
        <v>463</v>
      </c>
      <c r="BQ44" s="128">
        <v>468.0</v>
      </c>
      <c r="BR44" s="128">
        <v>480.0</v>
      </c>
      <c r="BS44" s="128">
        <v>602.0</v>
      </c>
      <c r="BT44" s="128">
        <v>593.0</v>
      </c>
      <c r="BU44" s="73">
        <f>BT44</f>
        <v>593</v>
      </c>
      <c r="BV44" s="128">
        <v>653.0</v>
      </c>
      <c r="BW44" s="128">
        <v>582.0</v>
      </c>
      <c r="BX44" s="128">
        <v>626.0</v>
      </c>
      <c r="BY44" s="128">
        <v>747.0</v>
      </c>
      <c r="BZ44" s="73">
        <f>BY44</f>
        <v>747</v>
      </c>
      <c r="CA44" s="128">
        <v>1813.0</v>
      </c>
      <c r="CB44" s="128">
        <v>1824.0</v>
      </c>
      <c r="CC44" s="128">
        <v>1917.0</v>
      </c>
      <c r="CD44" s="128">
        <v>1929.0</v>
      </c>
      <c r="CE44" s="73">
        <f>CD44</f>
        <v>1929</v>
      </c>
      <c r="CF44" s="128">
        <v>2001.0</v>
      </c>
      <c r="CG44" s="128">
        <v>1915.0</v>
      </c>
      <c r="CH44" s="128">
        <v>1954.0</v>
      </c>
      <c r="CI44" s="128">
        <v>1932.0</v>
      </c>
      <c r="CJ44" s="73">
        <f>CI44</f>
        <v>1932</v>
      </c>
      <c r="CK44" s="128">
        <v>1901.0</v>
      </c>
      <c r="CL44" s="128">
        <v>1971.0</v>
      </c>
      <c r="CM44" s="128">
        <v>2093.0</v>
      </c>
      <c r="CN44" s="128">
        <v>2096.0</v>
      </c>
      <c r="CO44" s="73">
        <f>CN44</f>
        <v>2096</v>
      </c>
      <c r="CP44" s="128">
        <v>2171.0</v>
      </c>
      <c r="CQ44" s="17">
        <v>2171.0</v>
      </c>
      <c r="CR44" s="17">
        <v>2189.0</v>
      </c>
      <c r="CS44" s="128">
        <v>2205.0</v>
      </c>
      <c r="CT44" s="73">
        <f>CS44</f>
        <v>2205</v>
      </c>
      <c r="CU44" s="128">
        <v>2196.0</v>
      </c>
      <c r="CV44" s="128">
        <v>2082.0</v>
      </c>
      <c r="CW44" s="128">
        <v>2160.0</v>
      </c>
      <c r="CX44" s="128">
        <v>2188.0</v>
      </c>
      <c r="CY44" s="18">
        <f>CX44</f>
        <v>2188</v>
      </c>
      <c r="CZ44" s="128">
        <v>2632.0</v>
      </c>
      <c r="DA44" s="128">
        <v>2807.0</v>
      </c>
      <c r="DB44" s="128">
        <v>1724.0</v>
      </c>
      <c r="DC44" s="128">
        <v>1718.0</v>
      </c>
      <c r="DD44" s="18">
        <f>DC44</f>
        <v>1718</v>
      </c>
      <c r="DE44" s="128">
        <v>1698.0</v>
      </c>
      <c r="DF44" s="128">
        <v>1587.0</v>
      </c>
      <c r="DG44" s="129">
        <v>1706.0</v>
      </c>
      <c r="DH44" s="128">
        <v>1656.0</v>
      </c>
      <c r="DI44" s="18">
        <f>DH44</f>
        <v>1656</v>
      </c>
      <c r="DJ44" s="129">
        <v>0.0</v>
      </c>
      <c r="DK44" s="129">
        <v>0.0</v>
      </c>
      <c r="DL44" s="129">
        <v>0.0</v>
      </c>
      <c r="DM44" s="129">
        <v>0.0</v>
      </c>
      <c r="DN44" s="18">
        <f>DM44</f>
        <v>0</v>
      </c>
      <c r="DO44" s="129">
        <v>0.0</v>
      </c>
      <c r="DP44" s="129">
        <v>0.0</v>
      </c>
      <c r="DQ44" s="129">
        <v>0.0</v>
      </c>
      <c r="DR44" s="129">
        <v>0.0</v>
      </c>
      <c r="DS44" s="18">
        <f>DR44</f>
        <v>0</v>
      </c>
      <c r="DT44" s="129">
        <f>DT43*Sales*IF(ISNUMBER(Dates), 4, 1)</f>
        <v>0</v>
      </c>
      <c r="DU44" s="129">
        <f>DU43*Sales*IF(ISNUMBER(Dates), 4, 1)</f>
        <v>0</v>
      </c>
      <c r="DV44" s="129">
        <f>DV43*Sales*IF(ISNUMBER(Dates), 4, 1)</f>
        <v>0</v>
      </c>
      <c r="DW44" s="129">
        <f>DW43*Sales*IF(ISNUMBER(Dates), 4, 1)</f>
        <v>0</v>
      </c>
      <c r="DX44" s="18">
        <f>DW44</f>
        <v>0</v>
      </c>
      <c r="DY44" s="129">
        <f>DY43*Sales*IF(ISNUMBER(Dates), 4, 1)</f>
        <v>0</v>
      </c>
      <c r="DZ44" s="129">
        <f>DZ43*Sales*IF(ISNUMBER(Dates), 4, 1)</f>
        <v>0</v>
      </c>
      <c r="EA44" s="129">
        <f>EA43*Sales*IF(ISNUMBER(Dates), 4, 1)</f>
        <v>0</v>
      </c>
      <c r="EB44" s="129">
        <f>EB43*Sales*IF(ISNUMBER(Dates), 4, 1)</f>
        <v>0</v>
      </c>
      <c r="EC44" s="18">
        <f>EB44</f>
        <v>0</v>
      </c>
      <c r="ED44" s="129">
        <f>ED43*Sales*IF(ISNUMBER(Dates), 4, 1)</f>
        <v>0</v>
      </c>
      <c r="EE44" s="129">
        <f>EE43*Sales*IF(ISNUMBER(Dates), 4, 1)</f>
        <v>0</v>
      </c>
      <c r="EF44" s="129">
        <f>EF43*Sales*IF(ISNUMBER(Dates), 4, 1)</f>
        <v>0</v>
      </c>
      <c r="EG44" s="129">
        <f>EG43*Sales*IF(ISNUMBER(Dates), 4, 1)</f>
        <v>0</v>
      </c>
      <c r="EH44" s="18">
        <f>EG44</f>
        <v>0</v>
      </c>
      <c r="EI44" s="134" t="str">
        <f>EI43*Sales*IF(ISNUMBER(Dates), 4, 1)</f>
        <v>#ERROR!</v>
      </c>
      <c r="EJ44" s="128" t="str">
        <f>EJ43*Sales*IF(ISNUMBER(Dates), 4, 1)</f>
        <v>#ERROR!</v>
      </c>
      <c r="EK44" s="128" t="str">
        <f>EK43*Sales*IF(ISNUMBER(Dates), 4, 1)</f>
        <v>#ERROR!</v>
      </c>
      <c r="EL44" s="128" t="str">
        <f>EL43*Sales*IF(ISNUMBER(Dates), 4, 1)</f>
        <v>#ERROR!</v>
      </c>
      <c r="EM44" s="18" t="str">
        <f>EL44</f>
        <v>#ERROR!</v>
      </c>
      <c r="EN44" s="128" t="str">
        <f>EN43*Sales*IF(ISNUMBER(Dates), 4, 1)</f>
        <v>#ERROR!</v>
      </c>
      <c r="EO44" s="128" t="str">
        <f>EO43*Sales*IF(ISNUMBER(Dates), 4, 1)</f>
        <v>#ERROR!</v>
      </c>
      <c r="EP44" s="128" t="str">
        <f>EP43*Sales*IF(ISNUMBER(Dates), 4, 1)</f>
        <v>#ERROR!</v>
      </c>
      <c r="EQ44" s="128" t="str">
        <f>EQ43*Sales*IF(ISNUMBER(Dates), 4, 1)</f>
        <v>#ERROR!</v>
      </c>
      <c r="ER44" s="18" t="str">
        <f>EQ44</f>
        <v>#ERROR!</v>
      </c>
      <c r="ES44" s="128" t="str">
        <f>ES43*Sales*IF(ISNUMBER(Dates), 4, 1)</f>
        <v>#ERROR!</v>
      </c>
      <c r="ET44" s="128" t="str">
        <f>ET43*Sales*IF(ISNUMBER(Dates), 4, 1)</f>
        <v>#ERROR!</v>
      </c>
      <c r="EU44" s="128" t="str">
        <f>EU43*Sales*IF(ISNUMBER(Dates), 4, 1)</f>
        <v>#ERROR!</v>
      </c>
      <c r="EV44" s="128" t="str">
        <f>EV43*Sales*IF(ISNUMBER(Dates), 4, 1)</f>
        <v>#ERROR!</v>
      </c>
      <c r="EW44" s="18" t="str">
        <f>EV44</f>
        <v>#ERROR!</v>
      </c>
      <c r="EX44" s="128" t="str">
        <f>EX43*Sales*IF(ISNUMBER(Dates), 4, 1)</f>
        <v>#ERROR!</v>
      </c>
      <c r="EY44" s="128" t="str">
        <f>EY43*Sales*IF(ISNUMBER(Dates), 4, 1)</f>
        <v>#ERROR!</v>
      </c>
      <c r="EZ44" s="128" t="str">
        <f>EZ43*Sales*IF(ISNUMBER(Dates), 4, 1)</f>
        <v>#ERROR!</v>
      </c>
      <c r="FA44" s="128" t="str">
        <f>FA43*Sales*IF(ISNUMBER(Dates), 4, 1)</f>
        <v>#ERROR!</v>
      </c>
      <c r="FB44" s="18" t="str">
        <f>FA44</f>
        <v>#ERROR!</v>
      </c>
      <c r="FC44" s="128" t="str">
        <f>FC43*Sales*IF(ISNUMBER(Dates), 4, 1)</f>
        <v>#ERROR!</v>
      </c>
      <c r="FD44" s="128" t="str">
        <f>FD43*Sales*IF(ISNUMBER(Dates), 4, 1)</f>
        <v>#ERROR!</v>
      </c>
      <c r="FE44" s="128" t="str">
        <f>FE43*Sales*IF(ISNUMBER(Dates), 4, 1)</f>
        <v>#ERROR!</v>
      </c>
      <c r="FF44" s="128" t="str">
        <f>FF43*Sales*IF(ISNUMBER(Dates), 4, 1)</f>
        <v>#ERROR!</v>
      </c>
      <c r="FG44" s="18" t="str">
        <f>FF44</f>
        <v>#ERROR!</v>
      </c>
    </row>
    <row r="45" ht="12.75" customHeight="1" outlineLevel="1">
      <c r="A45" s="660"/>
      <c r="B45" s="794" t="s">
        <v>373</v>
      </c>
      <c r="C45" s="660"/>
      <c r="D45" s="660" t="str">
        <f>D46/Sales/IF(ISNUMBER(Dates),4,1)</f>
        <v>#DIV/0!</v>
      </c>
      <c r="E45" s="660" t="str">
        <f>E46/Sales/IF(ISNUMBER(Dates),4,1)</f>
        <v>#DIV/0!</v>
      </c>
      <c r="F45" s="660" t="str">
        <f>F46/Sales/IF(ISNUMBER(Dates),4,1)</f>
        <v>#DIV/0!</v>
      </c>
      <c r="G45" s="660" t="str">
        <f>G46/Sales/IF(ISNUMBER(Dates),4,1)</f>
        <v>#DIV/0!</v>
      </c>
      <c r="H45" s="660">
        <f>H46/Sales/IF(ISNUMBER(Dates),4,1)</f>
        <v>0</v>
      </c>
      <c r="I45" s="660" t="str">
        <f>I46/Sales/IF(ISNUMBER(Dates),4,1)</f>
        <v>#DIV/0!</v>
      </c>
      <c r="J45" s="660" t="str">
        <f>J46/Sales/IF(ISNUMBER(Dates),4,1)</f>
        <v>#DIV/0!</v>
      </c>
      <c r="K45" s="660" t="str">
        <f>K46/Sales/IF(ISNUMBER(Dates),4,1)</f>
        <v>#DIV/0!</v>
      </c>
      <c r="L45" s="660" t="str">
        <f>L46/Sales/IF(ISNUMBER(Dates),4,1)</f>
        <v>#DIV/0!</v>
      </c>
      <c r="M45" s="660">
        <f>M46/Sales/IF(ISNUMBER(Dates),4,1)</f>
        <v>0</v>
      </c>
      <c r="N45" s="660">
        <f>N46/Sales/IF(ISNUMBER(Dates),4,1)</f>
        <v>0.06328111981</v>
      </c>
      <c r="O45" s="660">
        <f>O46/Sales/IF(ISNUMBER(Dates),4,1)</f>
        <v>0.007423654463</v>
      </c>
      <c r="P45" s="660">
        <f>P46/Sales/IF(ISNUMBER(Dates),4,1)</f>
        <v>0.02963898381</v>
      </c>
      <c r="Q45" s="660">
        <f>Q46/Sales/IF(ISNUMBER(Dates),4,1)</f>
        <v>0.03145521408</v>
      </c>
      <c r="R45" s="660">
        <f>R46/Sales/IF(ISNUMBER(Dates),4,1)</f>
        <v>0.03646328931</v>
      </c>
      <c r="S45" s="660">
        <f>S46/Sales/IF(ISNUMBER(Dates),4,1)</f>
        <v>0.05008447135</v>
      </c>
      <c r="T45" s="660">
        <f>T46/Sales/IF(ISNUMBER(Dates),4,1)</f>
        <v>0.02382893567</v>
      </c>
      <c r="U45" s="660">
        <f>U46/Sales/IF(ISNUMBER(Dates),4,1)</f>
        <v>0.03991539301</v>
      </c>
      <c r="V45" s="660">
        <f>V46/Sales/IF(ISNUMBER(Dates),4,1)</f>
        <v>0.05160131515</v>
      </c>
      <c r="W45" s="660">
        <f>W46/Sales/IF(ISNUMBER(Dates),4,1)</f>
        <v>0.05767464017</v>
      </c>
      <c r="X45" s="660">
        <f>X46/Sales/IF(ISNUMBER(Dates),4,1)</f>
        <v>0.04788564994</v>
      </c>
      <c r="Y45" s="660">
        <f>Y46/Sales/IF(ISNUMBER(Dates),4,1)</f>
        <v>0.04888554217</v>
      </c>
      <c r="Z45" s="660">
        <f>Z46/Sales/IF(ISNUMBER(Dates),4,1)</f>
        <v>0.0396861757</v>
      </c>
      <c r="AA45" s="660">
        <f>AA46/Sales/IF(ISNUMBER(Dates),4,1)</f>
        <v>0.03714663296</v>
      </c>
      <c r="AB45" s="660">
        <f>AB46/Sales/IF(ISNUMBER(Dates),4,1)</f>
        <v>0.03833837395</v>
      </c>
      <c r="AC45" s="660">
        <f>AC46/Sales/IF(ISNUMBER(Dates),4,1)</f>
        <v>0.03227497379</v>
      </c>
      <c r="AD45" s="660">
        <f>AD46/Sales/IF(ISNUMBER(Dates),4,1)</f>
        <v>0.03429902116</v>
      </c>
      <c r="AE45" s="660">
        <f>AE46/Sales/IF(ISNUMBER(Dates),4,1)</f>
        <v>0.02933537051</v>
      </c>
      <c r="AF45" s="660">
        <f>AF46/Sales/IF(ISNUMBER(Dates),4,1)</f>
        <v>0.03537161678</v>
      </c>
      <c r="AG45" s="660">
        <f>AG46/Sales/IF(ISNUMBER(Dates),4,1)</f>
        <v>0.03722823015</v>
      </c>
      <c r="AH45" s="660">
        <f>AH46/Sales/IF(ISNUMBER(Dates),4,1)</f>
        <v>0.03749446984</v>
      </c>
      <c r="AI45" s="660">
        <f>AI46/Sales/IF(ISNUMBER(Dates),4,1)</f>
        <v>0.0265864852</v>
      </c>
      <c r="AJ45" s="660">
        <f>AJ46/Sales/IF(ISNUMBER(Dates),4,1)</f>
        <v>0.036900369</v>
      </c>
      <c r="AK45" s="660">
        <f>AK46/Sales/IF(ISNUMBER(Dates),4,1)</f>
        <v>0.04039804469</v>
      </c>
      <c r="AL45" s="309">
        <f>AL46/Sales/IF(ISNUMBER(Dates),4,1)</f>
        <v>0.04322971155</v>
      </c>
      <c r="AM45" s="660">
        <f>AM46/Sales/IF(ISNUMBER(Dates),4,1)</f>
        <v>0.04788179529</v>
      </c>
      <c r="AN45" s="660">
        <f>AN46/Sales/IF(ISNUMBER(Dates),4,1)</f>
        <v>0.05362382629</v>
      </c>
      <c r="AO45" s="660">
        <f>AO46/Sales/IF(ISNUMBER(Dates),4,1)</f>
        <v>0.04691689008</v>
      </c>
      <c r="AP45" s="660">
        <f>AP46/Sales/IF(ISNUMBER(Dates),4,1)</f>
        <v>0.02245166457</v>
      </c>
      <c r="AQ45" s="309">
        <f>AQ46/Sales/IF(ISNUMBER(Dates),4,1)</f>
        <v>0.02604425865</v>
      </c>
      <c r="AR45" s="660">
        <f>AR46/Sales/IF(ISNUMBER(Dates),4,1)</f>
        <v>0.01517117785</v>
      </c>
      <c r="AS45" s="660">
        <f>AS46/Sales/IF(ISNUMBER(Dates),4,1)</f>
        <v>0.04438439558</v>
      </c>
      <c r="AT45" s="660">
        <f>AT46/Sales/IF(ISNUMBER(Dates),4,1)</f>
        <v>0.04223232204</v>
      </c>
      <c r="AU45" s="660">
        <f>AU46/Sales/IF(ISNUMBER(Dates),4,1)</f>
        <v>0.03029276933</v>
      </c>
      <c r="AV45" s="309">
        <f>AV46/Sales/IF(ISNUMBER(Dates),4,1)</f>
        <v>0.0339969014</v>
      </c>
      <c r="AW45" s="660">
        <f>AW46/Sales/IF(ISNUMBER(Dates),4,1)</f>
        <v>0.05175429298</v>
      </c>
      <c r="AX45" s="660">
        <f>AX46/Sales/IF(ISNUMBER(Dates),4,1)</f>
        <v>0.03601993284</v>
      </c>
      <c r="AY45" s="660">
        <f>AY46/Sales/IF(ISNUMBER(Dates),4,1)</f>
        <v>0.04771586345</v>
      </c>
      <c r="AZ45" s="660">
        <f>AZ46/Sales/IF(ISNUMBER(Dates),4,1)</f>
        <v>0.04803450642</v>
      </c>
      <c r="BA45" s="309">
        <f>BA46/Sales/IF(ISNUMBER(Dates),4,1)</f>
        <v>0.05048163602</v>
      </c>
      <c r="BB45" s="660">
        <f>BB46/Sales/IF(ISNUMBER(Dates),4,1)</f>
        <v>0.05184563758</v>
      </c>
      <c r="BC45" s="660">
        <f>BC46/Sales/IF(ISNUMBER(Dates),4,1)</f>
        <v>0.03115245349</v>
      </c>
      <c r="BD45" s="660">
        <f>BD46/Sales/IF(ISNUMBER(Dates),4,1)</f>
        <v>0.03942098638</v>
      </c>
      <c r="BE45" s="660">
        <f>BE46/Sales/IF(ISNUMBER(Dates),4,1)</f>
        <v>0.04634309882</v>
      </c>
      <c r="BF45" s="309">
        <f>BF46/Sales/IF(ISNUMBER(Dates),4,1)</f>
        <v>0.05078853654</v>
      </c>
      <c r="BG45" s="660">
        <f>BG46/Sales/IF(ISNUMBER(Dates),4,1)</f>
        <v>0</v>
      </c>
      <c r="BH45" s="660">
        <f>BH46/Sales/IF(ISNUMBER(Dates),4,1)</f>
        <v>0</v>
      </c>
      <c r="BI45" s="660">
        <f>BI46/Sales/IF(ISNUMBER(Dates),4,1)</f>
        <v>0.0001486620416</v>
      </c>
      <c r="BJ45" s="660">
        <f>BJ46/Sales/IF(ISNUMBER(Dates),4,1)</f>
        <v>0.007911687827</v>
      </c>
      <c r="BK45" s="309">
        <f t="shared" si="390"/>
        <v>0.007911687827</v>
      </c>
      <c r="BL45" s="660">
        <f>BL46/Sales/IF(ISNUMBER(Dates),4,1)</f>
        <v>0.01651504187</v>
      </c>
      <c r="BM45" s="660">
        <f>BM46/Sales/IF(ISNUMBER(Dates),4,1)</f>
        <v>0</v>
      </c>
      <c r="BN45" s="660">
        <f>BN46/Sales/IF(ISNUMBER(Dates),4,1)</f>
        <v>0</v>
      </c>
      <c r="BO45" s="660">
        <f>BO46/Sales/IF(ISNUMBER(Dates),4,1)</f>
        <v>0</v>
      </c>
      <c r="BP45" s="309">
        <f>BP46/Sales/IF(ISNUMBER(Dates),4,1)</f>
        <v>0</v>
      </c>
      <c r="BQ45" s="660">
        <f>BQ46/Sales/IF(ISNUMBER(Dates),4,1)</f>
        <v>0</v>
      </c>
      <c r="BR45" s="660">
        <f>BR46/Sales/IF(ISNUMBER(Dates),4,1)</f>
        <v>0</v>
      </c>
      <c r="BS45" s="660">
        <f>BS46/Sales/IF(ISNUMBER(Dates),4,1)</f>
        <v>0.0125412717</v>
      </c>
      <c r="BT45" s="660">
        <f>BT46/Sales/IF(ISNUMBER(Dates),4,1)</f>
        <v>0.002034251112</v>
      </c>
      <c r="BU45" s="309">
        <f>BU46/Sales/IF(ISNUMBER(Dates),4,1)</f>
        <v>0.002448259174</v>
      </c>
      <c r="BV45" s="660">
        <f>BV46/Sales/IF(ISNUMBER(Dates),4,1)</f>
        <v>0.02223516846</v>
      </c>
      <c r="BW45" s="660">
        <f>BW46/Sales/IF(ISNUMBER(Dates),4,1)</f>
        <v>0</v>
      </c>
      <c r="BX45" s="660">
        <f>BX46/Sales/IF(ISNUMBER(Dates),4,1)</f>
        <v>0</v>
      </c>
      <c r="BY45" s="660">
        <f>BY46/Sales/IF(ISNUMBER(Dates),4,1)</f>
        <v>0.005062407262</v>
      </c>
      <c r="BZ45" s="309">
        <f>BZ46/Sales/IF(ISNUMBER(Dates),4,1)</f>
        <v>0.005318295395</v>
      </c>
      <c r="CA45" s="660">
        <f>CA46/Sales/IF(ISNUMBER(Dates),4,1)</f>
        <v>0.01418619133</v>
      </c>
      <c r="CB45" s="660">
        <f>CB46/Sales/IF(ISNUMBER(Dates),4,1)</f>
        <v>0</v>
      </c>
      <c r="CC45" s="660">
        <f>CC46/Sales/IF(ISNUMBER(Dates),4,1)</f>
        <v>0</v>
      </c>
      <c r="CD45" s="660">
        <f>CD46/Sales/IF(ISNUMBER(Dates),4,1)</f>
        <v>0</v>
      </c>
      <c r="CE45" s="309">
        <f>CE46/Sales/IF(ISNUMBER(Dates),4,1)</f>
        <v>0</v>
      </c>
      <c r="CF45" s="660">
        <f>CF46/Sales/IF(ISNUMBER(Dates),4,1)</f>
        <v>0</v>
      </c>
      <c r="CG45" s="660">
        <f>CG46/Sales/IF(ISNUMBER(Dates),4,1)</f>
        <v>0</v>
      </c>
      <c r="CH45" s="660">
        <f>CH46/Sales/IF(ISNUMBER(Dates),4,1)</f>
        <v>0</v>
      </c>
      <c r="CI45" s="660">
        <f>CI46/Sales/IF(ISNUMBER(Dates),4,1)</f>
        <v>0</v>
      </c>
      <c r="CJ45" s="309">
        <f>CJ46/Sales/IF(ISNUMBER(Dates),4,1)</f>
        <v>0</v>
      </c>
      <c r="CK45" s="660">
        <f>CK46/Sales/IF(ISNUMBER(Dates),4,1)</f>
        <v>0</v>
      </c>
      <c r="CL45" s="660">
        <f>CL46/Sales/IF(ISNUMBER(Dates),4,1)</f>
        <v>0</v>
      </c>
      <c r="CM45" s="660">
        <f>CM46/Sales/IF(ISNUMBER(Dates),4,1)</f>
        <v>0</v>
      </c>
      <c r="CN45" s="660">
        <f>CN46/Sales/IF(ISNUMBER(Dates),4,1)</f>
        <v>0</v>
      </c>
      <c r="CO45" s="309">
        <f>CO46/Sales/IF(ISNUMBER(Dates),4,1)</f>
        <v>0</v>
      </c>
      <c r="CP45" s="660">
        <f>CP46/Sales/IF(ISNUMBER(Dates),4,1)</f>
        <v>0</v>
      </c>
      <c r="CQ45" s="660">
        <f>CQ46/Sales/IF(ISNUMBER(Dates),4,1)</f>
        <v>0</v>
      </c>
      <c r="CR45" s="660">
        <f>CR46/Sales/IF(ISNUMBER(Dates),4,1)</f>
        <v>0</v>
      </c>
      <c r="CS45" s="660">
        <f>CS46/Sales/IF(ISNUMBER(Dates),4,1)</f>
        <v>0</v>
      </c>
      <c r="CT45" s="309">
        <f>CT46/Sales/IF(ISNUMBER(Dates),4,1)</f>
        <v>0</v>
      </c>
      <c r="CU45" s="660">
        <f>CU46/Sales/IF(ISNUMBER(Dates),4,1)</f>
        <v>0</v>
      </c>
      <c r="CV45" s="660">
        <f>CV46/Sales/IF(ISNUMBER(Dates),4,1)</f>
        <v>0</v>
      </c>
      <c r="CW45" s="660">
        <f>CW46/Sales/IF(ISNUMBER(Dates),4,1)</f>
        <v>0</v>
      </c>
      <c r="CX45" s="660">
        <f>CX46/Sales/IF(ISNUMBER(Dates),4,1)</f>
        <v>0</v>
      </c>
      <c r="CY45" s="37">
        <f>CY46/Sales/IF(ISNUMBER(Dates),4,1)</f>
        <v>0</v>
      </c>
      <c r="CZ45" s="660">
        <f>CZ46/Sales/IF(ISNUMBER(Dates),4,1)</f>
        <v>0</v>
      </c>
      <c r="DA45" s="660">
        <f>DA46/Sales/IF(ISNUMBER(Dates),4,1)</f>
        <v>0</v>
      </c>
      <c r="DB45" s="660">
        <f>DB46/Sales/IF(ISNUMBER(Dates),4,1)</f>
        <v>0</v>
      </c>
      <c r="DC45" s="660">
        <f>DC46/Sales/IF(ISNUMBER(Dates),4,1)</f>
        <v>0</v>
      </c>
      <c r="DD45" s="37">
        <f>DD46/Sales/IF(ISNUMBER(Dates),4,1)</f>
        <v>0</v>
      </c>
      <c r="DE45" s="660">
        <f>DE46/Sales/IF(ISNUMBER(Dates),4,1)</f>
        <v>0</v>
      </c>
      <c r="DF45" s="660">
        <f>DF46/Sales/IF(ISNUMBER(Dates),4,1)</f>
        <v>0</v>
      </c>
      <c r="DG45" s="83">
        <f>DG46/Sales/IF(ISNUMBER(Dates),4,1)</f>
        <v>0</v>
      </c>
      <c r="DH45" s="660">
        <f>DH46/Sales/IF(ISNUMBER(Dates),4,1)</f>
        <v>0</v>
      </c>
      <c r="DI45" s="37">
        <f>DI46/Sales/IF(ISNUMBER(Dates),4,1)</f>
        <v>0</v>
      </c>
      <c r="DJ45" s="83">
        <f>DJ46/Sales/IF(ISNUMBER(Dates),4,1)</f>
        <v>0</v>
      </c>
      <c r="DK45" s="83">
        <f>DK46/Sales/IF(ISNUMBER(Dates),4,1)</f>
        <v>0</v>
      </c>
      <c r="DL45" s="83">
        <f>DL46/Sales/IF(ISNUMBER(Dates),4,1)</f>
        <v>0</v>
      </c>
      <c r="DM45" s="83">
        <f>DM46/Sales/IF(ISNUMBER(Dates),4,1)</f>
        <v>0</v>
      </c>
      <c r="DN45" s="37">
        <f>DN46/Sales/IF(ISNUMBER(Dates),4,1)</f>
        <v>0</v>
      </c>
      <c r="DO45" s="83">
        <f>DO46/Sales/IF(ISNUMBER(Dates),4,1)</f>
        <v>0</v>
      </c>
      <c r="DP45" s="83">
        <f>DP46/Sales/IF(ISNUMBER(Dates),4,1)</f>
        <v>0</v>
      </c>
      <c r="DQ45" s="83">
        <f>DQ46/Sales/IF(ISNUMBER(Dates),4,1)</f>
        <v>0</v>
      </c>
      <c r="DR45" s="83">
        <f>DR46/Sales/IF(ISNUMBER(Dates),4,1)</f>
        <v>0</v>
      </c>
      <c r="DS45" s="37">
        <f>DS46/Sales/IF(ISNUMBER(Dates),4,1)</f>
        <v>0</v>
      </c>
      <c r="DT45" s="83">
        <f>DT46/Sales/IF(ISNUMBER(Dates),4,1)</f>
        <v>0</v>
      </c>
      <c r="DU45" s="83">
        <f>DU46/Sales/IF(ISNUMBER(Dates),4,1)</f>
        <v>0</v>
      </c>
      <c r="DV45" s="83">
        <f>DV46/Sales/IF(ISNUMBER(Dates),4,1)</f>
        <v>0</v>
      </c>
      <c r="DW45" s="83">
        <f>DW46/Sales/IF(ISNUMBER(Dates),4,1)</f>
        <v>0</v>
      </c>
      <c r="DX45" s="37">
        <f>DX46/Sales/IF(ISNUMBER(Dates),4,1)</f>
        <v>0</v>
      </c>
      <c r="DY45" s="83">
        <f>DY46/Sales/IF(ISNUMBER(Dates),4,1)</f>
        <v>0</v>
      </c>
      <c r="DZ45" s="83">
        <f>DZ46/Sales/IF(ISNUMBER(Dates),4,1)</f>
        <v>0</v>
      </c>
      <c r="EA45" s="83">
        <f>EA46/Sales/IF(ISNUMBER(Dates),4,1)</f>
        <v>0</v>
      </c>
      <c r="EB45" s="83">
        <f>EB46/Sales/IF(ISNUMBER(Dates),4,1)</f>
        <v>0</v>
      </c>
      <c r="EC45" s="37">
        <f>EC46/Sales/IF(ISNUMBER(Dates),4,1)</f>
        <v>0</v>
      </c>
      <c r="ED45" s="83">
        <f>ED46/Sales/IF(ISNUMBER(Dates),4,1)</f>
        <v>0</v>
      </c>
      <c r="EE45" s="83">
        <f>EE46/Sales/IF(ISNUMBER(Dates),4,1)</f>
        <v>0</v>
      </c>
      <c r="EF45" s="83">
        <f>EF46/Sales/IF(ISNUMBER(Dates),4,1)</f>
        <v>0</v>
      </c>
      <c r="EG45" s="83">
        <f>EG46/Sales/IF(ISNUMBER(Dates),4,1)</f>
        <v>0.04007619997</v>
      </c>
      <c r="EH45" s="37">
        <f>EH46/Sales/IF(ISNUMBER(Dates),4,1)</f>
        <v>0.03569955911</v>
      </c>
      <c r="EI45" s="661" t="str">
        <f>EI46/Sales/IF(ISNUMBER(Dates),4,1)</f>
        <v>#ERROR!</v>
      </c>
      <c r="EJ45" s="660" t="str">
        <f>EJ46/Sales/IF(ISNUMBER(Dates),4,1)</f>
        <v>#ERROR!</v>
      </c>
      <c r="EK45" s="660" t="str">
        <f>EK46/Sales/IF(ISNUMBER(Dates),4,1)</f>
        <v>#ERROR!</v>
      </c>
      <c r="EL45" s="660" t="str">
        <f>EL46/Sales/IF(ISNUMBER(Dates),4,1)</f>
        <v>#ERROR!</v>
      </c>
      <c r="EM45" s="37" t="str">
        <f>EM46/Sales/IF(ISNUMBER(Dates),4,1)</f>
        <v>#ERROR!</v>
      </c>
      <c r="EN45" s="660" t="str">
        <f>EN46/Sales/IF(ISNUMBER(Dates),4,1)</f>
        <v>#ERROR!</v>
      </c>
      <c r="EO45" s="660" t="str">
        <f>EO46/Sales/IF(ISNUMBER(Dates),4,1)</f>
        <v>#ERROR!</v>
      </c>
      <c r="EP45" s="660" t="str">
        <f>EP46/Sales/IF(ISNUMBER(Dates),4,1)</f>
        <v>#ERROR!</v>
      </c>
      <c r="EQ45" s="660" t="str">
        <f>EQ46/Sales/IF(ISNUMBER(Dates),4,1)</f>
        <v>#ERROR!</v>
      </c>
      <c r="ER45" s="37" t="str">
        <f>ER46/Sales/IF(ISNUMBER(Dates),4,1)</f>
        <v>#ERROR!</v>
      </c>
      <c r="ES45" s="660" t="str">
        <f>ES46/Sales/IF(ISNUMBER(Dates),4,1)</f>
        <v>#ERROR!</v>
      </c>
      <c r="ET45" s="660" t="str">
        <f>ET46/Sales/IF(ISNUMBER(Dates),4,1)</f>
        <v>#ERROR!</v>
      </c>
      <c r="EU45" s="660" t="str">
        <f>EU46/Sales/IF(ISNUMBER(Dates),4,1)</f>
        <v>#ERROR!</v>
      </c>
      <c r="EV45" s="660" t="str">
        <f>EV46/Sales/IF(ISNUMBER(Dates),4,1)</f>
        <v>#ERROR!</v>
      </c>
      <c r="EW45" s="37" t="str">
        <f>EW46/Sales/IF(ISNUMBER(Dates),4,1)</f>
        <v>#ERROR!</v>
      </c>
      <c r="EX45" s="660" t="str">
        <f>EX46/Sales/IF(ISNUMBER(Dates),4,1)</f>
        <v>#ERROR!</v>
      </c>
      <c r="EY45" s="660" t="str">
        <f>EY46/Sales/IF(ISNUMBER(Dates),4,1)</f>
        <v>#ERROR!</v>
      </c>
      <c r="EZ45" s="660" t="str">
        <f>EZ46/Sales/IF(ISNUMBER(Dates),4,1)</f>
        <v>#ERROR!</v>
      </c>
      <c r="FA45" s="660" t="str">
        <f>FA46/Sales/IF(ISNUMBER(Dates),4,1)</f>
        <v>#ERROR!</v>
      </c>
      <c r="FB45" s="37" t="str">
        <f>FB46/Sales/IF(ISNUMBER(Dates),4,1)</f>
        <v>#ERROR!</v>
      </c>
      <c r="FC45" s="660" t="str">
        <f>FC46/Sales/IF(ISNUMBER(Dates),4,1)</f>
        <v>#ERROR!</v>
      </c>
      <c r="FD45" s="660" t="str">
        <f>FD46/Sales/IF(ISNUMBER(Dates),4,1)</f>
        <v>#ERROR!</v>
      </c>
      <c r="FE45" s="660" t="str">
        <f>FE46/Sales/IF(ISNUMBER(Dates),4,1)</f>
        <v>#ERROR!</v>
      </c>
      <c r="FF45" s="660" t="str">
        <f>FF46/Sales/IF(ISNUMBER(Dates),4,1)</f>
        <v>#ERROR!</v>
      </c>
      <c r="FG45" s="37" t="str">
        <f>FG46/Sales/IF(ISNUMBER(Dates),4,1)</f>
        <v>#ERROR!</v>
      </c>
    </row>
    <row r="46" ht="12.75" customHeight="1">
      <c r="A46" s="179"/>
      <c r="B46" s="180" t="s">
        <v>535</v>
      </c>
      <c r="C46" s="180"/>
      <c r="D46" s="180"/>
      <c r="E46" s="180"/>
      <c r="F46" s="180"/>
      <c r="G46" s="180"/>
      <c r="H46" s="180"/>
      <c r="I46" s="180"/>
      <c r="J46" s="180"/>
      <c r="K46" s="180"/>
      <c r="L46" s="180"/>
      <c r="M46" s="180"/>
      <c r="N46" s="128">
        <v>1519.0</v>
      </c>
      <c r="O46" s="128">
        <v>176.0</v>
      </c>
      <c r="P46" s="128">
        <v>798.0</v>
      </c>
      <c r="Q46" s="128">
        <v>958.0</v>
      </c>
      <c r="R46" s="73">
        <v>958.0</v>
      </c>
      <c r="S46" s="128">
        <v>1423.0</v>
      </c>
      <c r="T46" s="128">
        <v>643.0</v>
      </c>
      <c r="U46" s="128">
        <v>1170.0</v>
      </c>
      <c r="V46" s="128">
        <v>1695.0</v>
      </c>
      <c r="W46" s="73">
        <f t="shared" ref="W46:W47" si="392">+V46</f>
        <v>1695</v>
      </c>
      <c r="X46" s="128">
        <v>1531.0</v>
      </c>
      <c r="Y46" s="128">
        <v>1623.0</v>
      </c>
      <c r="Z46" s="128">
        <v>1386.0</v>
      </c>
      <c r="AA46" s="128">
        <v>1293.0</v>
      </c>
      <c r="AB46" s="73">
        <f t="shared" ref="AB46:AB47" si="394">+AA46</f>
        <v>1293</v>
      </c>
      <c r="AC46" s="128">
        <v>862.0</v>
      </c>
      <c r="AD46" s="128">
        <v>869.0</v>
      </c>
      <c r="AE46" s="128">
        <v>768.0</v>
      </c>
      <c r="AF46" s="128">
        <v>988.0</v>
      </c>
      <c r="AG46" s="73">
        <f t="shared" ref="AG46:AG47" si="396">AF46</f>
        <v>988</v>
      </c>
      <c r="AH46" s="128">
        <v>1017.0</v>
      </c>
      <c r="AI46" s="128">
        <v>672.0</v>
      </c>
      <c r="AJ46" s="128">
        <v>960.0</v>
      </c>
      <c r="AK46" s="128">
        <v>1157.0</v>
      </c>
      <c r="AL46" s="73">
        <f t="shared" ref="AL46:AL47" si="398">AK46</f>
        <v>1157</v>
      </c>
      <c r="AM46" s="128">
        <v>1293.0</v>
      </c>
      <c r="AN46" s="128">
        <v>1462.0</v>
      </c>
      <c r="AO46" s="128">
        <v>1470.0</v>
      </c>
      <c r="AP46" s="128">
        <v>785.0</v>
      </c>
      <c r="AQ46" s="73">
        <f>AP46</f>
        <v>785</v>
      </c>
      <c r="AR46" s="128">
        <v>491.0</v>
      </c>
      <c r="AS46" s="128">
        <v>1429.0</v>
      </c>
      <c r="AT46" s="128">
        <v>1431.0</v>
      </c>
      <c r="AU46" s="128">
        <v>1163.0</v>
      </c>
      <c r="AV46" s="73">
        <f>AU46</f>
        <v>1163</v>
      </c>
      <c r="AW46" s="128">
        <v>1953.0</v>
      </c>
      <c r="AX46" s="128">
        <v>1330.0</v>
      </c>
      <c r="AY46" s="128">
        <v>1901.0</v>
      </c>
      <c r="AZ46" s="128">
        <v>1960.0</v>
      </c>
      <c r="BA46" s="73">
        <f>AZ46</f>
        <v>1960</v>
      </c>
      <c r="BB46" s="128">
        <v>1854.0</v>
      </c>
      <c r="BC46" s="128">
        <v>998.0</v>
      </c>
      <c r="BD46" s="128">
        <v>1378.0</v>
      </c>
      <c r="BE46" s="128">
        <v>1797.0</v>
      </c>
      <c r="BF46" s="73">
        <f>BE46</f>
        <v>1797</v>
      </c>
      <c r="BG46" s="128">
        <v>0.0</v>
      </c>
      <c r="BH46" s="128">
        <v>0.0</v>
      </c>
      <c r="BI46" s="128">
        <v>6.0</v>
      </c>
      <c r="BJ46" s="128">
        <v>339.0</v>
      </c>
      <c r="BK46" s="73">
        <f t="shared" si="390"/>
        <v>339</v>
      </c>
      <c r="BL46" s="128">
        <v>639.0</v>
      </c>
      <c r="BM46" s="128">
        <v>0.0</v>
      </c>
      <c r="BN46" s="128">
        <v>0.0</v>
      </c>
      <c r="BO46" s="128">
        <v>0.0</v>
      </c>
      <c r="BP46" s="73">
        <f>BO46</f>
        <v>0</v>
      </c>
      <c r="BQ46" s="128">
        <v>0.0</v>
      </c>
      <c r="BR46" s="128">
        <v>0.0</v>
      </c>
      <c r="BS46" s="128">
        <v>471.0</v>
      </c>
      <c r="BT46" s="128">
        <v>86.0</v>
      </c>
      <c r="BU46" s="73">
        <f>BT46</f>
        <v>86</v>
      </c>
      <c r="BV46" s="128">
        <v>916.0</v>
      </c>
      <c r="BW46" s="128">
        <v>0.0</v>
      </c>
      <c r="BX46" s="128">
        <v>0.0</v>
      </c>
      <c r="BY46" s="128">
        <v>232.0</v>
      </c>
      <c r="BZ46" s="73">
        <f>BY46</f>
        <v>232</v>
      </c>
      <c r="CA46" s="128">
        <v>729.0</v>
      </c>
      <c r="CB46" s="128">
        <v>0.0</v>
      </c>
      <c r="CC46" s="128">
        <v>0.0</v>
      </c>
      <c r="CD46" s="128">
        <v>0.0</v>
      </c>
      <c r="CE46" s="73">
        <f>CD46</f>
        <v>0</v>
      </c>
      <c r="CF46" s="128">
        <v>0.0</v>
      </c>
      <c r="CG46" s="128">
        <v>0.0</v>
      </c>
      <c r="CH46" s="128">
        <v>0.0</v>
      </c>
      <c r="CI46" s="128">
        <v>0.0</v>
      </c>
      <c r="CJ46" s="73">
        <f>CI46</f>
        <v>0</v>
      </c>
      <c r="CK46" s="128">
        <v>0.0</v>
      </c>
      <c r="CL46" s="128">
        <v>0.0</v>
      </c>
      <c r="CM46" s="128">
        <v>0.0</v>
      </c>
      <c r="CN46" s="128">
        <v>0.0</v>
      </c>
      <c r="CO46" s="73">
        <f>CN46</f>
        <v>0</v>
      </c>
      <c r="CP46" s="128">
        <v>0.0</v>
      </c>
      <c r="CQ46" s="128">
        <v>0.0</v>
      </c>
      <c r="CR46" s="128">
        <v>0.0</v>
      </c>
      <c r="CS46" s="128">
        <v>0.0</v>
      </c>
      <c r="CT46" s="73">
        <f>CS46</f>
        <v>0</v>
      </c>
      <c r="CU46" s="128">
        <v>0.0</v>
      </c>
      <c r="CV46" s="128">
        <v>0.0</v>
      </c>
      <c r="CW46" s="128">
        <v>0.0</v>
      </c>
      <c r="CX46" s="128">
        <v>0.0</v>
      </c>
      <c r="CY46" s="18">
        <f>CX46</f>
        <v>0</v>
      </c>
      <c r="CZ46" s="128">
        <v>0.0</v>
      </c>
      <c r="DA46" s="128">
        <v>0.0</v>
      </c>
      <c r="DB46" s="128">
        <v>0.0</v>
      </c>
      <c r="DC46" s="128">
        <v>0.0</v>
      </c>
      <c r="DD46" s="18">
        <f>DC46</f>
        <v>0</v>
      </c>
      <c r="DE46" s="128">
        <v>0.0</v>
      </c>
      <c r="DF46" s="128">
        <v>0.0</v>
      </c>
      <c r="DG46" s="129">
        <v>0.0</v>
      </c>
      <c r="DH46" s="128">
        <v>0.0</v>
      </c>
      <c r="DI46" s="18">
        <f>DH46</f>
        <v>0</v>
      </c>
      <c r="DJ46" s="129">
        <v>0.0</v>
      </c>
      <c r="DK46" s="129">
        <v>0.0</v>
      </c>
      <c r="DL46" s="129">
        <v>0.0</v>
      </c>
      <c r="DM46" s="129">
        <v>0.0</v>
      </c>
      <c r="DN46" s="18">
        <f>DM46</f>
        <v>0</v>
      </c>
      <c r="DO46" s="129">
        <v>0.0</v>
      </c>
      <c r="DP46" s="129">
        <v>0.0</v>
      </c>
      <c r="DQ46" s="129">
        <v>0.0</v>
      </c>
      <c r="DR46" s="129">
        <v>0.0</v>
      </c>
      <c r="DS46" s="18">
        <f>DR46</f>
        <v>0</v>
      </c>
      <c r="DT46" s="129">
        <v>0.0</v>
      </c>
      <c r="DU46" s="129">
        <v>0.0</v>
      </c>
      <c r="DV46" s="129">
        <v>0.0</v>
      </c>
      <c r="DW46" s="129">
        <v>0.0</v>
      </c>
      <c r="DX46" s="18">
        <f>DW46</f>
        <v>0</v>
      </c>
      <c r="DY46" s="129">
        <v>0.0</v>
      </c>
      <c r="DZ46" s="129">
        <v>0.0</v>
      </c>
      <c r="EA46" s="129">
        <v>0.0</v>
      </c>
      <c r="EB46" s="129">
        <v>0.0</v>
      </c>
      <c r="EC46" s="18">
        <f>EB46</f>
        <v>0</v>
      </c>
      <c r="ED46" s="129">
        <v>0.0</v>
      </c>
      <c r="EE46" s="129">
        <v>0.0</v>
      </c>
      <c r="EF46" s="129">
        <v>0.0</v>
      </c>
      <c r="EG46" s="129">
        <v>2251.0</v>
      </c>
      <c r="EH46" s="18">
        <f>EG46</f>
        <v>2251</v>
      </c>
      <c r="EI46" s="134">
        <v>0.0</v>
      </c>
      <c r="EJ46" s="128">
        <v>0.0</v>
      </c>
      <c r="EK46" s="128">
        <v>0.0</v>
      </c>
      <c r="EL46" s="128">
        <v>0.0</v>
      </c>
      <c r="EM46" s="18">
        <f>EL46</f>
        <v>0</v>
      </c>
      <c r="EN46" s="128">
        <v>0.0</v>
      </c>
      <c r="EO46" s="128">
        <v>0.0</v>
      </c>
      <c r="EP46" s="128">
        <v>0.0</v>
      </c>
      <c r="EQ46" s="128">
        <v>0.0</v>
      </c>
      <c r="ER46" s="18">
        <f>EQ46</f>
        <v>0</v>
      </c>
      <c r="ES46" s="128">
        <v>0.0</v>
      </c>
      <c r="ET46" s="128">
        <v>0.0</v>
      </c>
      <c r="EU46" s="128">
        <v>0.0</v>
      </c>
      <c r="EV46" s="128">
        <v>0.0</v>
      </c>
      <c r="EW46" s="18">
        <f>EV46</f>
        <v>0</v>
      </c>
      <c r="EX46" s="128">
        <v>0.0</v>
      </c>
      <c r="EY46" s="128">
        <v>0.0</v>
      </c>
      <c r="EZ46" s="128">
        <v>0.0</v>
      </c>
      <c r="FA46" s="128">
        <v>0.0</v>
      </c>
      <c r="FB46" s="18">
        <f>FA46</f>
        <v>0</v>
      </c>
      <c r="FC46" s="128">
        <v>0.0</v>
      </c>
      <c r="FD46" s="128">
        <v>0.0</v>
      </c>
      <c r="FE46" s="128">
        <v>0.0</v>
      </c>
      <c r="FF46" s="128">
        <v>0.0</v>
      </c>
      <c r="FG46" s="18">
        <f>FF46</f>
        <v>0</v>
      </c>
    </row>
    <row r="47" ht="12.75" customHeight="1">
      <c r="A47" s="8"/>
      <c r="B47" s="797" t="s">
        <v>536</v>
      </c>
      <c r="C47" s="798"/>
      <c r="D47" s="798"/>
      <c r="E47" s="798"/>
      <c r="F47" s="798"/>
      <c r="G47" s="798"/>
      <c r="H47" s="798"/>
      <c r="I47" s="798"/>
      <c r="J47" s="798"/>
      <c r="K47" s="798"/>
      <c r="L47" s="798"/>
      <c r="M47" s="798"/>
      <c r="N47" s="612">
        <f t="shared" ref="N47:V47" si="391">+N39+N41+N44+N37+N46</f>
        <v>5854</v>
      </c>
      <c r="O47" s="612">
        <f t="shared" si="391"/>
        <v>4254</v>
      </c>
      <c r="P47" s="612">
        <f t="shared" si="391"/>
        <v>5256</v>
      </c>
      <c r="Q47" s="612">
        <f t="shared" si="391"/>
        <v>5804</v>
      </c>
      <c r="R47" s="612">
        <f t="shared" si="391"/>
        <v>5804</v>
      </c>
      <c r="S47" s="612">
        <f t="shared" si="391"/>
        <v>6216</v>
      </c>
      <c r="T47" s="612">
        <f t="shared" si="391"/>
        <v>5117</v>
      </c>
      <c r="U47" s="612">
        <f t="shared" si="391"/>
        <v>6389</v>
      </c>
      <c r="V47" s="612">
        <f t="shared" si="391"/>
        <v>7099</v>
      </c>
      <c r="W47" s="612">
        <f t="shared" si="392"/>
        <v>7099</v>
      </c>
      <c r="X47" s="612">
        <f t="shared" ref="X47:AA47" si="393">+X39+X41+X44+X37+X46</f>
        <v>7090</v>
      </c>
      <c r="Y47" s="612">
        <f t="shared" si="393"/>
        <v>8336</v>
      </c>
      <c r="Z47" s="612">
        <f t="shared" si="393"/>
        <v>8525</v>
      </c>
      <c r="AA47" s="612">
        <f t="shared" si="393"/>
        <v>8650</v>
      </c>
      <c r="AB47" s="612">
        <f t="shared" si="394"/>
        <v>8650</v>
      </c>
      <c r="AC47" s="612">
        <f t="shared" ref="AC47:AE47" si="395">+AC39+AC41+AC44+AC37+AC46</f>
        <v>7387</v>
      </c>
      <c r="AD47" s="612">
        <f t="shared" si="395"/>
        <v>6813</v>
      </c>
      <c r="AE47" s="612">
        <f t="shared" si="395"/>
        <v>6193</v>
      </c>
      <c r="AF47" s="612">
        <f>+AF42++AF44+AF37+AF46</f>
        <v>6570</v>
      </c>
      <c r="AG47" s="612">
        <f t="shared" si="396"/>
        <v>6570</v>
      </c>
      <c r="AH47" s="612">
        <f>+AH42+AH44+AH37+AH46</f>
        <v>6605</v>
      </c>
      <c r="AI47" s="612">
        <f t="shared" ref="AI47:AJ47" si="397">+AI39+AI41+AI44+AI37+AI46</f>
        <v>5748</v>
      </c>
      <c r="AJ47" s="612">
        <f t="shared" si="397"/>
        <v>6281</v>
      </c>
      <c r="AK47" s="612">
        <f>+AK42+AK44+AK37+AK46</f>
        <v>6595</v>
      </c>
      <c r="AL47" s="612">
        <f t="shared" si="398"/>
        <v>6595</v>
      </c>
      <c r="AM47" s="612">
        <f t="shared" ref="AM47:FG47" si="399">+AM42+AM44+AM37+AM46</f>
        <v>6279</v>
      </c>
      <c r="AN47" s="612">
        <f t="shared" si="399"/>
        <v>6699</v>
      </c>
      <c r="AO47" s="612">
        <f t="shared" si="399"/>
        <v>7269</v>
      </c>
      <c r="AP47" s="612">
        <f t="shared" si="399"/>
        <v>6879</v>
      </c>
      <c r="AQ47" s="612">
        <f t="shared" si="399"/>
        <v>6879</v>
      </c>
      <c r="AR47" s="612">
        <f t="shared" si="399"/>
        <v>6416</v>
      </c>
      <c r="AS47" s="612">
        <f t="shared" si="399"/>
        <v>7538</v>
      </c>
      <c r="AT47" s="612">
        <f t="shared" si="399"/>
        <v>7810</v>
      </c>
      <c r="AU47" s="612">
        <f t="shared" si="399"/>
        <v>8006</v>
      </c>
      <c r="AV47" s="612">
        <f t="shared" si="399"/>
        <v>8006</v>
      </c>
      <c r="AW47" s="612">
        <f t="shared" si="399"/>
        <v>8573</v>
      </c>
      <c r="AX47" s="612">
        <f t="shared" si="399"/>
        <v>7780</v>
      </c>
      <c r="AY47" s="612">
        <f t="shared" si="399"/>
        <v>9499</v>
      </c>
      <c r="AZ47" s="612">
        <f t="shared" si="399"/>
        <v>9234</v>
      </c>
      <c r="BA47" s="612">
        <f t="shared" si="399"/>
        <v>9234</v>
      </c>
      <c r="BB47" s="612">
        <f t="shared" si="399"/>
        <v>9843</v>
      </c>
      <c r="BC47" s="612">
        <f t="shared" si="399"/>
        <v>8422</v>
      </c>
      <c r="BD47" s="612">
        <f t="shared" si="399"/>
        <v>9057</v>
      </c>
      <c r="BE47" s="612">
        <f t="shared" si="399"/>
        <v>8514</v>
      </c>
      <c r="BF47" s="612">
        <f t="shared" si="399"/>
        <v>8514</v>
      </c>
      <c r="BG47" s="612">
        <f t="shared" si="399"/>
        <v>6626</v>
      </c>
      <c r="BH47" s="612">
        <f t="shared" si="399"/>
        <v>6464</v>
      </c>
      <c r="BI47" s="612">
        <f t="shared" si="399"/>
        <v>7763</v>
      </c>
      <c r="BJ47" s="612">
        <f t="shared" si="399"/>
        <v>8571</v>
      </c>
      <c r="BK47" s="612">
        <f t="shared" si="399"/>
        <v>8571</v>
      </c>
      <c r="BL47" s="612">
        <f t="shared" si="399"/>
        <v>8668</v>
      </c>
      <c r="BM47" s="612">
        <f t="shared" si="399"/>
        <v>8032</v>
      </c>
      <c r="BN47" s="612">
        <f t="shared" si="399"/>
        <v>10068</v>
      </c>
      <c r="BO47" s="612">
        <f t="shared" si="399"/>
        <v>7818</v>
      </c>
      <c r="BP47" s="612">
        <f t="shared" si="399"/>
        <v>7818</v>
      </c>
      <c r="BQ47" s="612">
        <f t="shared" si="399"/>
        <v>6341</v>
      </c>
      <c r="BR47" s="612">
        <f t="shared" si="399"/>
        <v>7079</v>
      </c>
      <c r="BS47" s="612">
        <f t="shared" si="399"/>
        <v>7749</v>
      </c>
      <c r="BT47" s="612">
        <f t="shared" si="399"/>
        <v>7591</v>
      </c>
      <c r="BU47" s="612">
        <f t="shared" si="399"/>
        <v>7591</v>
      </c>
      <c r="BV47" s="612">
        <f t="shared" si="399"/>
        <v>8912</v>
      </c>
      <c r="BW47" s="612">
        <f t="shared" si="399"/>
        <v>7937</v>
      </c>
      <c r="BX47" s="612">
        <f t="shared" si="399"/>
        <v>8837</v>
      </c>
      <c r="BY47" s="612">
        <f t="shared" si="399"/>
        <v>9327</v>
      </c>
      <c r="BZ47" s="612">
        <f t="shared" si="399"/>
        <v>9327</v>
      </c>
      <c r="CA47" s="612">
        <f t="shared" si="399"/>
        <v>11565</v>
      </c>
      <c r="CB47" s="612">
        <f t="shared" si="399"/>
        <v>10354</v>
      </c>
      <c r="CC47" s="612">
        <f t="shared" si="399"/>
        <v>11909</v>
      </c>
      <c r="CD47" s="612">
        <f t="shared" si="399"/>
        <v>12028</v>
      </c>
      <c r="CE47" s="612">
        <f t="shared" si="399"/>
        <v>12028</v>
      </c>
      <c r="CF47" s="612">
        <f t="shared" si="399"/>
        <v>11941</v>
      </c>
      <c r="CG47" s="612">
        <f t="shared" si="399"/>
        <v>10538</v>
      </c>
      <c r="CH47" s="612">
        <f t="shared" si="399"/>
        <v>11953</v>
      </c>
      <c r="CI47" s="612">
        <f t="shared" si="399"/>
        <v>12898</v>
      </c>
      <c r="CJ47" s="612">
        <f t="shared" si="399"/>
        <v>12898</v>
      </c>
      <c r="CK47" s="612">
        <f t="shared" si="399"/>
        <v>11798</v>
      </c>
      <c r="CL47" s="612">
        <f t="shared" si="399"/>
        <v>11389</v>
      </c>
      <c r="CM47" s="612">
        <f t="shared" si="399"/>
        <v>13875</v>
      </c>
      <c r="CN47" s="612">
        <f t="shared" si="399"/>
        <v>13568</v>
      </c>
      <c r="CO47" s="612">
        <f t="shared" si="399"/>
        <v>13568</v>
      </c>
      <c r="CP47" s="612">
        <f t="shared" si="399"/>
        <v>13552</v>
      </c>
      <c r="CQ47" s="612">
        <f t="shared" si="399"/>
        <v>12251</v>
      </c>
      <c r="CR47" s="612">
        <f t="shared" si="399"/>
        <v>14904</v>
      </c>
      <c r="CS47" s="612">
        <f t="shared" si="399"/>
        <v>16019</v>
      </c>
      <c r="CT47" s="815">
        <f t="shared" si="399"/>
        <v>16019</v>
      </c>
      <c r="CU47" s="612">
        <f t="shared" si="399"/>
        <v>15035</v>
      </c>
      <c r="CV47" s="612">
        <f t="shared" si="399"/>
        <v>13529</v>
      </c>
      <c r="CW47" s="612">
        <f t="shared" si="399"/>
        <v>15080</v>
      </c>
      <c r="CX47" s="612">
        <f t="shared" si="399"/>
        <v>15667</v>
      </c>
      <c r="CY47" s="613">
        <f t="shared" si="399"/>
        <v>15667</v>
      </c>
      <c r="CZ47" s="612">
        <f t="shared" si="399"/>
        <v>17526</v>
      </c>
      <c r="DA47" s="612">
        <f t="shared" si="399"/>
        <v>18711</v>
      </c>
      <c r="DB47" s="612">
        <f t="shared" si="399"/>
        <v>20093</v>
      </c>
      <c r="DC47" s="612">
        <f t="shared" si="399"/>
        <v>20302</v>
      </c>
      <c r="DD47" s="613">
        <f t="shared" si="399"/>
        <v>20302</v>
      </c>
      <c r="DE47" s="612">
        <f t="shared" si="399"/>
        <v>21305</v>
      </c>
      <c r="DF47" s="612">
        <f t="shared" si="399"/>
        <v>18782</v>
      </c>
      <c r="DG47" s="616">
        <f t="shared" si="399"/>
        <v>20689</v>
      </c>
      <c r="DH47" s="612">
        <f t="shared" si="399"/>
        <v>17421</v>
      </c>
      <c r="DI47" s="613">
        <f t="shared" si="399"/>
        <v>17421</v>
      </c>
      <c r="DJ47" s="616">
        <f t="shared" si="399"/>
        <v>19961</v>
      </c>
      <c r="DK47" s="616">
        <f t="shared" si="399"/>
        <v>17571</v>
      </c>
      <c r="DL47" s="616">
        <f t="shared" si="399"/>
        <v>19574</v>
      </c>
      <c r="DM47" s="616">
        <f t="shared" si="399"/>
        <v>16626</v>
      </c>
      <c r="DN47" s="613">
        <f t="shared" si="399"/>
        <v>16626</v>
      </c>
      <c r="DO47" s="616">
        <f t="shared" si="399"/>
        <v>18911</v>
      </c>
      <c r="DP47" s="616">
        <f t="shared" si="399"/>
        <v>19705</v>
      </c>
      <c r="DQ47" s="616">
        <f t="shared" si="399"/>
        <v>25064</v>
      </c>
      <c r="DR47" s="616">
        <f t="shared" si="399"/>
        <v>22310</v>
      </c>
      <c r="DS47" s="613">
        <f t="shared" si="399"/>
        <v>22310</v>
      </c>
      <c r="DT47" s="616">
        <f t="shared" si="399"/>
        <v>23895</v>
      </c>
      <c r="DU47" s="616">
        <f t="shared" si="399"/>
        <v>22481</v>
      </c>
      <c r="DV47" s="616">
        <f t="shared" si="399"/>
        <v>22112</v>
      </c>
      <c r="DW47" s="616">
        <f t="shared" si="399"/>
        <v>24754</v>
      </c>
      <c r="DX47" s="613">
        <f t="shared" si="399"/>
        <v>24754</v>
      </c>
      <c r="DY47" s="616">
        <f t="shared" si="399"/>
        <v>24151</v>
      </c>
      <c r="DZ47" s="616">
        <f t="shared" si="399"/>
        <v>24836</v>
      </c>
      <c r="EA47" s="616">
        <f t="shared" si="399"/>
        <v>29572</v>
      </c>
      <c r="EB47" s="616">
        <f t="shared" si="399"/>
        <v>27462</v>
      </c>
      <c r="EC47" s="613">
        <f t="shared" si="399"/>
        <v>27462</v>
      </c>
      <c r="ED47" s="616">
        <f t="shared" si="399"/>
        <v>29322</v>
      </c>
      <c r="EE47" s="616">
        <f t="shared" si="399"/>
        <v>27218</v>
      </c>
      <c r="EF47" s="616">
        <f t="shared" si="399"/>
        <v>27813</v>
      </c>
      <c r="EG47" s="616">
        <f t="shared" si="399"/>
        <v>32155</v>
      </c>
      <c r="EH47" s="613">
        <f t="shared" si="399"/>
        <v>32155</v>
      </c>
      <c r="EI47" s="799" t="str">
        <f t="shared" si="399"/>
        <v>#ERROR!</v>
      </c>
      <c r="EJ47" s="612" t="str">
        <f t="shared" si="399"/>
        <v>#ERROR!</v>
      </c>
      <c r="EK47" s="612" t="str">
        <f t="shared" si="399"/>
        <v>#ERROR!</v>
      </c>
      <c r="EL47" s="612" t="str">
        <f t="shared" si="399"/>
        <v>#ERROR!</v>
      </c>
      <c r="EM47" s="613" t="str">
        <f t="shared" si="399"/>
        <v>#ERROR!</v>
      </c>
      <c r="EN47" s="612" t="str">
        <f t="shared" si="399"/>
        <v>#ERROR!</v>
      </c>
      <c r="EO47" s="612" t="str">
        <f t="shared" si="399"/>
        <v>#ERROR!</v>
      </c>
      <c r="EP47" s="612" t="str">
        <f t="shared" si="399"/>
        <v>#ERROR!</v>
      </c>
      <c r="EQ47" s="612" t="str">
        <f t="shared" si="399"/>
        <v>#ERROR!</v>
      </c>
      <c r="ER47" s="613" t="str">
        <f t="shared" si="399"/>
        <v>#ERROR!</v>
      </c>
      <c r="ES47" s="612" t="str">
        <f t="shared" si="399"/>
        <v>#ERROR!</v>
      </c>
      <c r="ET47" s="612" t="str">
        <f t="shared" si="399"/>
        <v>#ERROR!</v>
      </c>
      <c r="EU47" s="612" t="str">
        <f t="shared" si="399"/>
        <v>#ERROR!</v>
      </c>
      <c r="EV47" s="612" t="str">
        <f t="shared" si="399"/>
        <v>#ERROR!</v>
      </c>
      <c r="EW47" s="613" t="str">
        <f t="shared" si="399"/>
        <v>#ERROR!</v>
      </c>
      <c r="EX47" s="612" t="str">
        <f t="shared" si="399"/>
        <v>#ERROR!</v>
      </c>
      <c r="EY47" s="612" t="str">
        <f t="shared" si="399"/>
        <v>#ERROR!</v>
      </c>
      <c r="EZ47" s="612" t="str">
        <f t="shared" si="399"/>
        <v>#ERROR!</v>
      </c>
      <c r="FA47" s="612" t="str">
        <f t="shared" si="399"/>
        <v>#ERROR!</v>
      </c>
      <c r="FB47" s="613" t="str">
        <f t="shared" si="399"/>
        <v>#ERROR!</v>
      </c>
      <c r="FC47" s="612" t="str">
        <f t="shared" si="399"/>
        <v>#ERROR!</v>
      </c>
      <c r="FD47" s="612" t="str">
        <f t="shared" si="399"/>
        <v>#ERROR!</v>
      </c>
      <c r="FE47" s="612" t="str">
        <f t="shared" si="399"/>
        <v>#ERROR!</v>
      </c>
      <c r="FF47" s="612" t="str">
        <f t="shared" si="399"/>
        <v>#ERROR!</v>
      </c>
      <c r="FG47" s="613" t="str">
        <f t="shared" si="399"/>
        <v>#ERROR!</v>
      </c>
    </row>
    <row r="48" ht="12.75" customHeight="1">
      <c r="A48" s="179"/>
      <c r="B48" s="8"/>
      <c r="C48" s="179"/>
      <c r="D48" s="179"/>
      <c r="E48" s="179"/>
      <c r="F48" s="179"/>
      <c r="G48" s="179"/>
      <c r="H48" s="179"/>
      <c r="I48" s="179"/>
      <c r="J48" s="179"/>
      <c r="K48" s="179"/>
      <c r="L48" s="179"/>
      <c r="M48" s="179"/>
      <c r="N48" s="128"/>
      <c r="O48" s="128"/>
      <c r="P48" s="128"/>
      <c r="Q48" s="128"/>
      <c r="R48" s="73"/>
      <c r="S48" s="128"/>
      <c r="T48" s="128"/>
      <c r="U48" s="128"/>
      <c r="V48" s="128"/>
      <c r="W48" s="73"/>
      <c r="X48" s="128"/>
      <c r="Y48" s="128"/>
      <c r="Z48" s="128"/>
      <c r="AA48" s="128"/>
      <c r="AB48" s="73"/>
      <c r="AC48" s="128"/>
      <c r="AD48" s="128"/>
      <c r="AE48" s="128"/>
      <c r="AF48" s="128"/>
      <c r="AG48" s="73"/>
      <c r="AH48" s="128"/>
      <c r="AI48" s="128"/>
      <c r="AJ48" s="128"/>
      <c r="AK48" s="128"/>
      <c r="AL48" s="73"/>
      <c r="AM48" s="128"/>
      <c r="AN48" s="128"/>
      <c r="AO48" s="128"/>
      <c r="AP48" s="128"/>
      <c r="AQ48" s="73"/>
      <c r="AR48" s="128"/>
      <c r="AS48" s="128"/>
      <c r="AT48" s="128"/>
      <c r="AU48" s="128"/>
      <c r="AV48" s="73"/>
      <c r="AW48" s="128"/>
      <c r="AX48" s="128"/>
      <c r="AY48" s="128"/>
      <c r="AZ48" s="128"/>
      <c r="BA48" s="73"/>
      <c r="BB48" s="128"/>
      <c r="BC48" s="128"/>
      <c r="BD48" s="128"/>
      <c r="BE48" s="128"/>
      <c r="BF48" s="73"/>
      <c r="BG48" s="128"/>
      <c r="BH48" s="128"/>
      <c r="BI48" s="128"/>
      <c r="BJ48" s="128"/>
      <c r="BK48" s="73"/>
      <c r="BL48" s="128"/>
      <c r="BM48" s="128"/>
      <c r="BN48" s="128"/>
      <c r="BO48" s="128"/>
      <c r="BP48" s="73"/>
      <c r="BQ48" s="128"/>
      <c r="BR48" s="128"/>
      <c r="BS48" s="128"/>
      <c r="BT48" s="128"/>
      <c r="BU48" s="73"/>
      <c r="BV48" s="128"/>
      <c r="BW48" s="128"/>
      <c r="BX48" s="128"/>
      <c r="BY48" s="128"/>
      <c r="BZ48" s="73"/>
      <c r="CA48" s="128"/>
      <c r="CB48" s="128"/>
      <c r="CC48" s="128"/>
      <c r="CD48" s="128"/>
      <c r="CE48" s="73"/>
      <c r="CF48" s="128"/>
      <c r="CG48" s="128"/>
      <c r="CH48" s="128"/>
      <c r="CI48" s="128"/>
      <c r="CJ48" s="73"/>
      <c r="CK48" s="128"/>
      <c r="CL48" s="128"/>
      <c r="CM48" s="128"/>
      <c r="CN48" s="128"/>
      <c r="CO48" s="73"/>
      <c r="CP48" s="128"/>
      <c r="CQ48" s="128"/>
      <c r="CR48" s="128"/>
      <c r="CS48" s="128"/>
      <c r="CT48" s="73"/>
      <c r="CU48" s="128"/>
      <c r="CV48" s="128"/>
      <c r="CW48" s="128"/>
      <c r="CX48" s="128"/>
      <c r="CY48" s="18"/>
      <c r="CZ48" s="128"/>
      <c r="DA48" s="128"/>
      <c r="DB48" s="128"/>
      <c r="DC48" s="128"/>
      <c r="DD48" s="18"/>
      <c r="DE48" s="128"/>
      <c r="DF48" s="128"/>
      <c r="DG48" s="129"/>
      <c r="DH48" s="128"/>
      <c r="DI48" s="18"/>
      <c r="DJ48" s="129"/>
      <c r="DK48" s="129"/>
      <c r="DL48" s="129"/>
      <c r="DM48" s="129"/>
      <c r="DN48" s="18"/>
      <c r="DO48" s="129"/>
      <c r="DP48" s="129"/>
      <c r="DQ48" s="129"/>
      <c r="DR48" s="129"/>
      <c r="DS48" s="18"/>
      <c r="DT48" s="129"/>
      <c r="DU48" s="129"/>
      <c r="DV48" s="129"/>
      <c r="DW48" s="129"/>
      <c r="DX48" s="18"/>
      <c r="DY48" s="129"/>
      <c r="DZ48" s="129"/>
      <c r="EA48" s="129"/>
      <c r="EB48" s="129"/>
      <c r="EC48" s="18"/>
      <c r="ED48" s="129"/>
      <c r="EE48" s="129"/>
      <c r="EF48" s="129"/>
      <c r="EG48" s="129"/>
      <c r="EH48" s="18"/>
      <c r="EI48" s="134"/>
      <c r="EJ48" s="128"/>
      <c r="EK48" s="128"/>
      <c r="EL48" s="128"/>
      <c r="EM48" s="18"/>
      <c r="EN48" s="128"/>
      <c r="EO48" s="128"/>
      <c r="EP48" s="128"/>
      <c r="EQ48" s="128"/>
      <c r="ER48" s="18"/>
      <c r="ES48" s="128"/>
      <c r="ET48" s="128"/>
      <c r="EU48" s="128"/>
      <c r="EV48" s="128"/>
      <c r="EW48" s="18"/>
      <c r="EX48" s="128"/>
      <c r="EY48" s="128"/>
      <c r="EZ48" s="128"/>
      <c r="FA48" s="128"/>
      <c r="FB48" s="18"/>
      <c r="FC48" s="128"/>
      <c r="FD48" s="128"/>
      <c r="FE48" s="128"/>
      <c r="FF48" s="128"/>
      <c r="FG48" s="18"/>
    </row>
    <row r="49" ht="12.75" customHeight="1" outlineLevel="1">
      <c r="A49" s="660"/>
      <c r="B49" s="794" t="s">
        <v>373</v>
      </c>
      <c r="C49" s="794"/>
      <c r="D49" s="794"/>
      <c r="E49" s="794"/>
      <c r="F49" s="794"/>
      <c r="G49" s="794"/>
      <c r="H49" s="794"/>
      <c r="I49" s="794"/>
      <c r="J49" s="794"/>
      <c r="K49" s="794"/>
      <c r="L49" s="794"/>
      <c r="M49" s="794"/>
      <c r="N49" s="660">
        <f>N50/Sales/IF(ISNUMBER(Dates),4,1)</f>
        <v>0.04849191801</v>
      </c>
      <c r="O49" s="660">
        <f>O50/Sales/IF(ISNUMBER(Dates),4,1)</f>
        <v>0.05264045892</v>
      </c>
      <c r="P49" s="660">
        <f>P50/Sales/IF(ISNUMBER(Dates),4,1)</f>
        <v>0.04315852028</v>
      </c>
      <c r="Q49" s="660">
        <f>Q50/Sales/IF(ISNUMBER(Dates),4,1)</f>
        <v>0.04554110848</v>
      </c>
      <c r="R49" s="660">
        <f>R50/Sales/IF(ISNUMBER(Dates),4,1)</f>
        <v>0.05279183953</v>
      </c>
      <c r="S49" s="660">
        <f>S50/Sales/IF(ISNUMBER(Dates),4,1)</f>
        <v>0.05110516683</v>
      </c>
      <c r="T49" s="660">
        <f>T50/Sales/IF(ISNUMBER(Dates),4,1)</f>
        <v>0.05729321079</v>
      </c>
      <c r="U49" s="660">
        <f>U50/Sales/IF(ISNUMBER(Dates),4,1)</f>
        <v>0.075805131</v>
      </c>
      <c r="V49" s="660">
        <f>V50/Sales/IF(ISNUMBER(Dates),4,1)</f>
        <v>0.09528738432</v>
      </c>
      <c r="W49" s="660">
        <f>W50/Sales/IF(ISNUMBER(Dates),4,1)</f>
        <v>0.1065024329</v>
      </c>
      <c r="X49" s="660">
        <f>X50/Sales/IF(ISNUMBER(Dates),4,1)</f>
        <v>0.1172901289</v>
      </c>
      <c r="Y49" s="660">
        <f>Y50/Sales/IF(ISNUMBER(Dates),4,1)</f>
        <v>0.08114457831</v>
      </c>
      <c r="Z49" s="660">
        <f>Z50/Sales/IF(ISNUMBER(Dates),4,1)</f>
        <v>0.06222082236</v>
      </c>
      <c r="AA49" s="660">
        <f>AA50/Sales/IF(ISNUMBER(Dates),4,1)</f>
        <v>0.03637094921</v>
      </c>
      <c r="AB49" s="660">
        <f>AB50/Sales/IF(ISNUMBER(Dates),4,1)</f>
        <v>0.03753780466</v>
      </c>
      <c r="AC49" s="660">
        <f>AC50/Sales/IF(ISNUMBER(Dates),4,1)</f>
        <v>0.04642803654</v>
      </c>
      <c r="AD49" s="660">
        <f>AD50/Sales/IF(ISNUMBER(Dates),4,1)</f>
        <v>0.0451926113</v>
      </c>
      <c r="AE49" s="660">
        <f>AE50/Sales/IF(ISNUMBER(Dates),4,1)</f>
        <v>0.04446142093</v>
      </c>
      <c r="AF49" s="660">
        <f>AF50/Sales/IF(ISNUMBER(Dates),4,1)</f>
        <v>0.03383216383</v>
      </c>
      <c r="AG49" s="660">
        <f>AG50/Sales/IF(ISNUMBER(Dates),4,1)</f>
        <v>0.03560797317</v>
      </c>
      <c r="AH49" s="660">
        <f>AH50/Sales/IF(ISNUMBER(Dates),4,1)</f>
        <v>0.03922725262</v>
      </c>
      <c r="AI49" s="660">
        <f>AI50/Sales/IF(ISNUMBER(Dates),4,1)</f>
        <v>0.04308434879</v>
      </c>
      <c r="AJ49" s="660">
        <f>AJ50/Sales/IF(ISNUMBER(Dates),4,1)</f>
        <v>0.04028290283</v>
      </c>
      <c r="AK49" s="660">
        <f>AK50/Sales/IF(ISNUMBER(Dates),4,1)</f>
        <v>0.04301675978</v>
      </c>
      <c r="AL49" s="309">
        <f>AL50/Sales/IF(ISNUMBER(Dates),4,1)</f>
        <v>0.04603198326</v>
      </c>
      <c r="AM49" s="660">
        <f>AM50/Sales/IF(ISNUMBER(Dates),4,1)</f>
        <v>0.04802992149</v>
      </c>
      <c r="AN49" s="660">
        <f>AN50/Sales/IF(ISNUMBER(Dates),4,1)</f>
        <v>0.04995598592</v>
      </c>
      <c r="AO49" s="660">
        <f>AO50/Sales/IF(ISNUMBER(Dates),4,1)</f>
        <v>0.04758713137</v>
      </c>
      <c r="AP49" s="660">
        <f>AP50/Sales/IF(ISNUMBER(Dates),4,1)</f>
        <v>0.04238645464</v>
      </c>
      <c r="AQ49" s="309">
        <f>AQ50/Sales/IF(ISNUMBER(Dates),4,1)</f>
        <v>0.04916890614</v>
      </c>
      <c r="AR49" s="660">
        <f>AR50/Sales/IF(ISNUMBER(Dates),4,1)</f>
        <v>0.05051909529</v>
      </c>
      <c r="AS49" s="660">
        <f>AS50/Sales/IF(ISNUMBER(Dates),4,1)</f>
        <v>0.051031184</v>
      </c>
      <c r="AT49" s="660">
        <f>AT50/Sales/IF(ISNUMBER(Dates),4,1)</f>
        <v>0.02694487074</v>
      </c>
      <c r="AU49" s="660">
        <f>AU50/Sales/IF(ISNUMBER(Dates),4,1)</f>
        <v>0.02227026464</v>
      </c>
      <c r="AV49" s="309">
        <f>AV50/Sales/IF(ISNUMBER(Dates),4,1)</f>
        <v>0.02499342278</v>
      </c>
      <c r="AW49" s="660">
        <f>AW50/Sales/IF(ISNUMBER(Dates),4,1)</f>
        <v>0.02167691329</v>
      </c>
      <c r="AX49" s="660">
        <f>AX50/Sales/IF(ISNUMBER(Dates),4,1)</f>
        <v>0.01865995017</v>
      </c>
      <c r="AY49" s="660">
        <f>AY50/Sales/IF(ISNUMBER(Dates),4,1)</f>
        <v>0.01890060241</v>
      </c>
      <c r="AZ49" s="660">
        <f>AZ50/Sales/IF(ISNUMBER(Dates),4,1)</f>
        <v>0.01722870307</v>
      </c>
      <c r="BA49" s="309">
        <f>BA50/Sales/IF(ISNUMBER(Dates),4,1)</f>
        <v>0.01810642353</v>
      </c>
      <c r="BB49" s="660">
        <f>BB50/Sales/IF(ISNUMBER(Dates),4,1)</f>
        <v>0.01697427293</v>
      </c>
      <c r="BC49" s="660">
        <f>BC50/Sales/IF(ISNUMBER(Dates),4,1)</f>
        <v>0.01467099513</v>
      </c>
      <c r="BD49" s="660">
        <f>BD50/Sales/IF(ISNUMBER(Dates),4,1)</f>
        <v>0.01072777206</v>
      </c>
      <c r="BE49" s="660">
        <f>BE50/Sales/IF(ISNUMBER(Dates),4,1)</f>
        <v>0.006834124201</v>
      </c>
      <c r="BF49" s="309">
        <f>BF50/Sales/IF(ISNUMBER(Dates),4,1)</f>
        <v>0.00748968402</v>
      </c>
      <c r="BG49" s="660">
        <f>BG50/Sales/IF(ISNUMBER(Dates),4,1)</f>
        <v>0.04388838681</v>
      </c>
      <c r="BH49" s="660">
        <f>BH50/Sales/IF(ISNUMBER(Dates),4,1)</f>
        <v>0.03021313364</v>
      </c>
      <c r="BI49" s="660">
        <f>BI50/Sales/IF(ISNUMBER(Dates),4,1)</f>
        <v>0.0314172448</v>
      </c>
      <c r="BJ49" s="660">
        <f>BJ50/Sales/IF(ISNUMBER(Dates),4,1)</f>
        <v>0.02791262136</v>
      </c>
      <c r="BK49" s="309">
        <f>BK50/Sales/IF(ISNUMBER(Dates),4,1)</f>
        <v>0.0311994574</v>
      </c>
      <c r="BL49" s="660">
        <f>BL50/Sales/IF(ISNUMBER(Dates),4,1)</f>
        <v>0.02535407836</v>
      </c>
      <c r="BM49" s="660">
        <f>BM50/Sales/IF(ISNUMBER(Dates),4,1)</f>
        <v>0.02457761352</v>
      </c>
      <c r="BN49" s="660">
        <f>BN50/Sales/IF(ISNUMBER(Dates),4,1)</f>
        <v>0.02001566017</v>
      </c>
      <c r="BO49" s="660">
        <f>BO50/Sales/IF(ISNUMBER(Dates),4,1)</f>
        <v>0.02376610746</v>
      </c>
      <c r="BP49" s="309">
        <f>BP50/Sales/IF(ISNUMBER(Dates),4,1)</f>
        <v>0.02080561911</v>
      </c>
      <c r="BQ49" s="660">
        <f>BQ50/Sales/IF(ISNUMBER(Dates),4,1)</f>
        <v>0.02316305108</v>
      </c>
      <c r="BR49" s="660">
        <f>BR50/Sales/IF(ISNUMBER(Dates),4,1)</f>
        <v>0.01732303091</v>
      </c>
      <c r="BS49" s="660">
        <f>BS50/Sales/IF(ISNUMBER(Dates),4,1)</f>
        <v>0.01027798488</v>
      </c>
      <c r="BT49" s="660">
        <f>BT50/Sales/IF(ISNUMBER(Dates),4,1)</f>
        <v>0.00456523796</v>
      </c>
      <c r="BU49" s="309">
        <f>BU50/Sales/IF(ISNUMBER(Dates),4,1)</f>
        <v>0.005494349076</v>
      </c>
      <c r="BV49" s="660">
        <f>BV50/Sales/IF(ISNUMBER(Dates),4,1)</f>
        <v>0.00422371104</v>
      </c>
      <c r="BW49" s="660">
        <f>BW50/Sales/IF(ISNUMBER(Dates),4,1)</f>
        <v>0.0040408732</v>
      </c>
      <c r="BX49" s="660">
        <f>BX50/Sales/IF(ISNUMBER(Dates),4,1)</f>
        <v>0.003918212935</v>
      </c>
      <c r="BY49" s="660">
        <f>BY50/Sales/IF(ISNUMBER(Dates),4,1)</f>
        <v>0.004145936982</v>
      </c>
      <c r="BZ49" s="309">
        <f>BZ50/Sales/IF(ISNUMBER(Dates),4,1)</f>
        <v>0.004355500539</v>
      </c>
      <c r="CA49" s="660">
        <f>CA50/Sales/IF(ISNUMBER(Dates),4,1)</f>
        <v>0.03989258193</v>
      </c>
      <c r="CB49" s="660">
        <f>CB50/Sales/IF(ISNUMBER(Dates),4,1)</f>
        <v>0.0460980663</v>
      </c>
      <c r="CC49" s="660">
        <f>CC50/Sales/IF(ISNUMBER(Dates),4,1)</f>
        <v>0.05188646104</v>
      </c>
      <c r="CD49" s="660">
        <f>CD50/Sales/IF(ISNUMBER(Dates),4,1)</f>
        <v>0.04711240729</v>
      </c>
      <c r="CE49" s="309">
        <f>CE50/Sales/IF(ISNUMBER(Dates),4,1)</f>
        <v>0.04846386044</v>
      </c>
      <c r="CF49" s="660">
        <f>CF50/Sales/IF(ISNUMBER(Dates),4,1)</f>
        <v>0.05410274291</v>
      </c>
      <c r="CG49" s="660">
        <f>CG50/Sales/IF(ISNUMBER(Dates),4,1)</f>
        <v>0.05138508259</v>
      </c>
      <c r="CH49" s="660">
        <f>CH50/Sales/IF(ISNUMBER(Dates),4,1)</f>
        <v>0.0539496173</v>
      </c>
      <c r="CI49" s="660">
        <f>CI50/Sales/IF(ISNUMBER(Dates),4,1)</f>
        <v>0.06329301773</v>
      </c>
      <c r="CJ49" s="309">
        <f>CJ50/Sales/IF(ISNUMBER(Dates),4,1)</f>
        <v>0.06396580492</v>
      </c>
      <c r="CK49" s="660">
        <f>CK50/Sales/IF(ISNUMBER(Dates),4,1)</f>
        <v>0.06810413355</v>
      </c>
      <c r="CL49" s="660">
        <f>CL50/Sales/IF(ISNUMBER(Dates),4,1)</f>
        <v>0.07237920537</v>
      </c>
      <c r="CM49" s="660">
        <f>CM50/Sales/IF(ISNUMBER(Dates),4,1)</f>
        <v>0.08128754728</v>
      </c>
      <c r="CN49" s="660">
        <f>CN50/Sales/IF(ISNUMBER(Dates),4,1)</f>
        <v>0.07946002602</v>
      </c>
      <c r="CO49" s="309">
        <f>CO50/Sales/IF(ISNUMBER(Dates),4,1)</f>
        <v>0.08342187144</v>
      </c>
      <c r="CP49" s="660">
        <f>CP50/Sales/IF(ISNUMBER(Dates),4,1)</f>
        <v>0.08426041993</v>
      </c>
      <c r="CQ49" s="660">
        <f>CQ50/Sales/IF(ISNUMBER(Dates),4,1)</f>
        <v>0.07568144024</v>
      </c>
      <c r="CR49" s="660">
        <f>CR50/Sales/IF(ISNUMBER(Dates),4,1)</f>
        <v>0.06099697678</v>
      </c>
      <c r="CS49" s="660">
        <f>CS50/Sales/IF(ISNUMBER(Dates),4,1)</f>
        <v>0.06410909585</v>
      </c>
      <c r="CT49" s="309">
        <f>CT50/Sales/IF(ISNUMBER(Dates),4,1)</f>
        <v>0.06756756757</v>
      </c>
      <c r="CU49" s="660">
        <f>CU50/Sales/IF(ISNUMBER(Dates),4,1)</f>
        <v>0.06771770597</v>
      </c>
      <c r="CV49" s="660">
        <f>CV50/Sales/IF(ISNUMBER(Dates),4,1)</f>
        <v>0.06159530125</v>
      </c>
      <c r="CW49" s="660">
        <f>CW50/Sales/IF(ISNUMBER(Dates),4,1)</f>
        <v>0.04324230902</v>
      </c>
      <c r="CX49" s="660">
        <f>CX50/Sales/IF(ISNUMBER(Dates),4,1)</f>
        <v>0.04256068124</v>
      </c>
      <c r="CY49" s="37">
        <f>CY50/Sales/IF(ISNUMBER(Dates),4,1)</f>
        <v>0.04586758197</v>
      </c>
      <c r="CZ49" s="660">
        <f>CZ50/Sales/IF(ISNUMBER(Dates),4,1)</f>
        <v>0.02258894283</v>
      </c>
      <c r="DA49" s="660">
        <f>DA50/Sales/IF(ISNUMBER(Dates),4,1)</f>
        <v>0.02388605631</v>
      </c>
      <c r="DB49" s="660">
        <f>DB50/Sales/IF(ISNUMBER(Dates),4,1)</f>
        <v>0.01918811003</v>
      </c>
      <c r="DC49" s="660">
        <f>DC50/Sales/IF(ISNUMBER(Dates),4,1)</f>
        <v>0.0264138268</v>
      </c>
      <c r="DD49" s="37">
        <f>DD50/Sales/IF(ISNUMBER(Dates),4,1)</f>
        <v>0.02908247319</v>
      </c>
      <c r="DE49" s="660">
        <f>DE50/Sales/IF(ISNUMBER(Dates),4,1)</f>
        <v>0.03860840768</v>
      </c>
      <c r="DF49" s="660">
        <f>DF50/Sales/IF(ISNUMBER(Dates),4,1)</f>
        <v>0.04236943711</v>
      </c>
      <c r="DG49" s="83">
        <f>DG50/Sales/IF(ISNUMBER(Dates),4,1)</f>
        <v>0.0455600966</v>
      </c>
      <c r="DH49" s="660">
        <f>DH50/Sales/IF(ISNUMBER(Dates),4,1)</f>
        <v>0.04465489943</v>
      </c>
      <c r="DI49" s="37">
        <f>DI50/Sales/IF(ISNUMBER(Dates),4,1)</f>
        <v>0.04853332484</v>
      </c>
      <c r="DJ49" s="660">
        <f>DJ50/Sales/IF(ISNUMBER(Dates),4,1)</f>
        <v>0.02433710942</v>
      </c>
      <c r="DK49" s="660">
        <f>DK50/Sales/IF(ISNUMBER(Dates),4,1)</f>
        <v>0.0245548874</v>
      </c>
      <c r="DL49" s="660">
        <f>DL50/Sales/IF(ISNUMBER(Dates),4,1)</f>
        <v>0.01937327141</v>
      </c>
      <c r="DM49" s="660">
        <f>DM50/Sales/IF(ISNUMBER(Dates),4,1)</f>
        <v>0.02231066088</v>
      </c>
      <c r="DN49" s="37">
        <f>DN50/Sales/IF(ISNUMBER(Dates),4,1)</f>
        <v>0.02350101626</v>
      </c>
      <c r="DO49" s="40">
        <f>DO50/Sales/IF(ISNUMBER(Dates),4,1)</f>
        <v>0.02367536268</v>
      </c>
      <c r="DP49" s="40">
        <f>DP50/Sales/IF(ISNUMBER(Dates),4,1)</f>
        <v>0.02700696759</v>
      </c>
      <c r="DQ49" s="40">
        <f>DQ50/Sales/IF(ISNUMBER(Dates),4,1)</f>
        <v>0.02209484106</v>
      </c>
      <c r="DR49" s="40">
        <f>DR50/Sales/IF(ISNUMBER(Dates),4,1)</f>
        <v>0.02528576377</v>
      </c>
      <c r="DS49" s="37">
        <f>DS50/Sales/IF(ISNUMBER(Dates),4,1)</f>
        <v>0.02840269575</v>
      </c>
      <c r="DT49" s="40">
        <f>DT50/Sales/IF(ISNUMBER(Dates),4,1)</f>
        <v>0.02555729272</v>
      </c>
      <c r="DU49" s="40">
        <f>DU50/Sales/IF(ISNUMBER(Dates),4,1)</f>
        <v>0.03450679238</v>
      </c>
      <c r="DV49" s="40">
        <f>DV50/Sales/IF(ISNUMBER(Dates),4,1)</f>
        <v>0.04084165167</v>
      </c>
      <c r="DW49" s="40">
        <f>DW50/Sales/IF(ISNUMBER(Dates),4,1)</f>
        <v>0.04809039944</v>
      </c>
      <c r="DX49" s="37">
        <f>DX50/Sales/IF(ISNUMBER(Dates),4,1)</f>
        <v>0.04935338462</v>
      </c>
      <c r="DY49" s="40">
        <f>DY50/Sales/IF(ISNUMBER(Dates),4,1)</f>
        <v>0.04712916083</v>
      </c>
      <c r="DZ49" s="40">
        <f>DZ50/Sales/IF(ISNUMBER(Dates),4,1)</f>
        <v>0.04412399504</v>
      </c>
      <c r="EA49" s="40">
        <f>EA50/Sales/IF(ISNUMBER(Dates),4,1)</f>
        <v>0.04172886604</v>
      </c>
      <c r="EB49" s="40">
        <f>EB50/Sales/IF(ISNUMBER(Dates),4,1)</f>
        <v>0.03413628917</v>
      </c>
      <c r="EC49" s="37">
        <f>EC50/Sales/IF(ISNUMBER(Dates),4,1)</f>
        <v>0.03569421023</v>
      </c>
      <c r="ED49" s="40">
        <f>ED50/Sales/IF(ISNUMBER(Dates),4,1)</f>
        <v>0.0595542963</v>
      </c>
      <c r="EE49" s="40">
        <f>EE50/Sales/IF(ISNUMBER(Dates),4,1)</f>
        <v>0.06011356961</v>
      </c>
      <c r="EF49" s="40">
        <f>EF50/Sales/IF(ISNUMBER(Dates),4,1)</f>
        <v>0.06164428217</v>
      </c>
      <c r="EG49" s="40">
        <f>EG50/Sales/IF(ISNUMBER(Dates),4,1)</f>
        <v>0.07117931919</v>
      </c>
      <c r="EH49" s="37">
        <f>EH50/Sales/IF(ISNUMBER(Dates),4,1)</f>
        <v>0.06340596949</v>
      </c>
      <c r="EI49" s="314">
        <f>EG49</f>
        <v>0.07117931919</v>
      </c>
      <c r="EJ49" s="315">
        <f t="shared" ref="EJ49:EL49" si="400">EI49</f>
        <v>0.07117931919</v>
      </c>
      <c r="EK49" s="315">
        <f t="shared" si="400"/>
        <v>0.07117931919</v>
      </c>
      <c r="EL49" s="315">
        <f t="shared" si="400"/>
        <v>0.07117931919</v>
      </c>
      <c r="EM49" s="37" t="str">
        <f>EM50/Sales/IF(ISNUMBER(Dates),4,1)</f>
        <v>#ERROR!</v>
      </c>
      <c r="EN49" s="315">
        <f>EL49</f>
        <v>0.07117931919</v>
      </c>
      <c r="EO49" s="315">
        <f t="shared" ref="EO49:EQ49" si="401">EN49</f>
        <v>0.07117931919</v>
      </c>
      <c r="EP49" s="315">
        <f t="shared" si="401"/>
        <v>0.07117931919</v>
      </c>
      <c r="EQ49" s="315">
        <f t="shared" si="401"/>
        <v>0.07117931919</v>
      </c>
      <c r="ER49" s="37" t="str">
        <f>ER50/Sales/IF(ISNUMBER(Dates),4,1)</f>
        <v>#ERROR!</v>
      </c>
      <c r="ES49" s="315">
        <f>EQ49</f>
        <v>0.07117931919</v>
      </c>
      <c r="ET49" s="315">
        <f t="shared" ref="ET49:EV49" si="402">ES49</f>
        <v>0.07117931919</v>
      </c>
      <c r="EU49" s="315">
        <f t="shared" si="402"/>
        <v>0.07117931919</v>
      </c>
      <c r="EV49" s="315">
        <f t="shared" si="402"/>
        <v>0.07117931919</v>
      </c>
      <c r="EW49" s="37" t="str">
        <f>EW50/Sales/IF(ISNUMBER(Dates),4,1)</f>
        <v>#ERROR!</v>
      </c>
      <c r="EX49" s="315">
        <f>EV49</f>
        <v>0.07117931919</v>
      </c>
      <c r="EY49" s="315">
        <f t="shared" ref="EY49:FA49" si="403">EX49</f>
        <v>0.07117931919</v>
      </c>
      <c r="EZ49" s="315">
        <f t="shared" si="403"/>
        <v>0.07117931919</v>
      </c>
      <c r="FA49" s="315">
        <f t="shared" si="403"/>
        <v>0.07117931919</v>
      </c>
      <c r="FB49" s="37" t="str">
        <f>FB50/Sales/IF(ISNUMBER(Dates),4,1)</f>
        <v>#ERROR!</v>
      </c>
      <c r="FC49" s="315">
        <f>FA49</f>
        <v>0.07117931919</v>
      </c>
      <c r="FD49" s="315">
        <f t="shared" ref="FD49:FF49" si="404">FC49</f>
        <v>0.07117931919</v>
      </c>
      <c r="FE49" s="315">
        <f t="shared" si="404"/>
        <v>0.07117931919</v>
      </c>
      <c r="FF49" s="315">
        <f t="shared" si="404"/>
        <v>0.07117931919</v>
      </c>
      <c r="FG49" s="37" t="str">
        <f>FG50/Sales/IF(ISNUMBER(Dates),4,1)</f>
        <v>#ERROR!</v>
      </c>
    </row>
    <row r="50" ht="12.75" customHeight="1">
      <c r="A50" s="179"/>
      <c r="B50" s="180" t="s">
        <v>537</v>
      </c>
      <c r="C50" s="180"/>
      <c r="D50" s="180"/>
      <c r="E50" s="180"/>
      <c r="F50" s="180"/>
      <c r="G50" s="180"/>
      <c r="H50" s="180"/>
      <c r="I50" s="180"/>
      <c r="J50" s="180"/>
      <c r="K50" s="180"/>
      <c r="L50" s="180"/>
      <c r="M50" s="180"/>
      <c r="N50" s="128">
        <v>1164.0</v>
      </c>
      <c r="O50" s="128">
        <v>1248.0</v>
      </c>
      <c r="P50" s="128">
        <v>1162.0</v>
      </c>
      <c r="Q50" s="128">
        <v>1387.0</v>
      </c>
      <c r="R50" s="73">
        <v>1387.0</v>
      </c>
      <c r="S50" s="128">
        <v>1452.0</v>
      </c>
      <c r="T50" s="128">
        <v>1546.0</v>
      </c>
      <c r="U50" s="128">
        <v>2222.0</v>
      </c>
      <c r="V50" s="128">
        <v>3130.0</v>
      </c>
      <c r="W50" s="73">
        <f>+V50</f>
        <v>3130</v>
      </c>
      <c r="X50" s="128">
        <v>3750.0</v>
      </c>
      <c r="Y50" s="128">
        <v>2694.0</v>
      </c>
      <c r="Z50" s="128">
        <v>2173.0</v>
      </c>
      <c r="AA50" s="128">
        <v>1266.0</v>
      </c>
      <c r="AB50" s="73">
        <f>+AA50</f>
        <v>1266</v>
      </c>
      <c r="AC50" s="128">
        <v>1240.0</v>
      </c>
      <c r="AD50" s="128">
        <v>1145.0</v>
      </c>
      <c r="AE50" s="128">
        <v>1164.0</v>
      </c>
      <c r="AF50" s="128">
        <v>945.0</v>
      </c>
      <c r="AG50" s="73">
        <f>AF50</f>
        <v>945</v>
      </c>
      <c r="AH50" s="128">
        <v>1064.0</v>
      </c>
      <c r="AI50" s="128">
        <v>1089.0</v>
      </c>
      <c r="AJ50" s="128">
        <v>1048.0</v>
      </c>
      <c r="AK50" s="128">
        <v>1232.0</v>
      </c>
      <c r="AL50" s="73">
        <f>AK50</f>
        <v>1232</v>
      </c>
      <c r="AM50" s="128">
        <v>1297.0</v>
      </c>
      <c r="AN50" s="128">
        <v>1362.0</v>
      </c>
      <c r="AO50" s="128">
        <v>1491.0</v>
      </c>
      <c r="AP50" s="128">
        <v>1482.0</v>
      </c>
      <c r="AQ50" s="73">
        <f>AP50</f>
        <v>1482</v>
      </c>
      <c r="AR50" s="128">
        <v>1635.0</v>
      </c>
      <c r="AS50" s="128">
        <v>1643.0</v>
      </c>
      <c r="AT50" s="128">
        <v>913.0</v>
      </c>
      <c r="AU50" s="128">
        <v>855.0</v>
      </c>
      <c r="AV50" s="73">
        <f>AU50</f>
        <v>855</v>
      </c>
      <c r="AW50" s="128">
        <v>818.0</v>
      </c>
      <c r="AX50" s="128">
        <v>689.0</v>
      </c>
      <c r="AY50" s="128">
        <v>753.0</v>
      </c>
      <c r="AZ50" s="128">
        <v>703.0</v>
      </c>
      <c r="BA50" s="73">
        <f>AZ50</f>
        <v>703</v>
      </c>
      <c r="BB50" s="128">
        <v>607.0</v>
      </c>
      <c r="BC50" s="128">
        <v>470.0</v>
      </c>
      <c r="BD50" s="128">
        <v>375.0</v>
      </c>
      <c r="BE50" s="128">
        <v>265.0</v>
      </c>
      <c r="BF50" s="73">
        <f>BE50</f>
        <v>265</v>
      </c>
      <c r="BG50" s="128">
        <f>1320+234</f>
        <v>1554</v>
      </c>
      <c r="BH50" s="128">
        <f>814+235</f>
        <v>1049</v>
      </c>
      <c r="BI50" s="128">
        <f>814+454</f>
        <v>1268</v>
      </c>
      <c r="BJ50" s="128">
        <f>785+411</f>
        <v>1196</v>
      </c>
      <c r="BK50" s="73">
        <f>BJ50</f>
        <v>1196</v>
      </c>
      <c r="BL50" s="128">
        <f>811+170</f>
        <v>981</v>
      </c>
      <c r="BM50" s="128">
        <f>760+171</f>
        <v>931</v>
      </c>
      <c r="BN50" s="128">
        <f>782+36</f>
        <v>818</v>
      </c>
      <c r="BO50" s="128">
        <f>736+46</f>
        <v>782</v>
      </c>
      <c r="BP50" s="73">
        <f>BO50</f>
        <v>782</v>
      </c>
      <c r="BQ50" s="128">
        <v>662.0</v>
      </c>
      <c r="BR50" s="128">
        <v>556.0</v>
      </c>
      <c r="BS50" s="128">
        <v>386.0</v>
      </c>
      <c r="BT50" s="128">
        <v>193.0</v>
      </c>
      <c r="BU50" s="73">
        <f>BT50</f>
        <v>193</v>
      </c>
      <c r="BV50" s="128">
        <v>174.0</v>
      </c>
      <c r="BW50" s="128">
        <v>174.0</v>
      </c>
      <c r="BX50" s="128">
        <v>174.0</v>
      </c>
      <c r="BY50" s="128">
        <v>190.0</v>
      </c>
      <c r="BZ50" s="73">
        <f>BY50</f>
        <v>190</v>
      </c>
      <c r="CA50" s="128">
        <f>267+1783</f>
        <v>2050</v>
      </c>
      <c r="CB50" s="128">
        <f>188+2215</f>
        <v>2403</v>
      </c>
      <c r="CC50" s="128">
        <f>192+2762</f>
        <v>2954</v>
      </c>
      <c r="CD50" s="128">
        <v>2617.0</v>
      </c>
      <c r="CE50" s="73">
        <f>CD50</f>
        <v>2617</v>
      </c>
      <c r="CF50" s="128">
        <v>2793.0</v>
      </c>
      <c r="CG50" s="128">
        <v>2775.0</v>
      </c>
      <c r="CH50" s="128">
        <v>2904.0</v>
      </c>
      <c r="CI50" s="128">
        <v>3412.0</v>
      </c>
      <c r="CJ50" s="73">
        <f>CI50</f>
        <v>3412</v>
      </c>
      <c r="CK50" s="128">
        <v>3427.0</v>
      </c>
      <c r="CL50" s="128">
        <v>3709.0</v>
      </c>
      <c r="CM50" s="128">
        <v>4384.0</v>
      </c>
      <c r="CN50" s="128">
        <v>4397.0</v>
      </c>
      <c r="CO50" s="73">
        <f>CN50</f>
        <v>4397</v>
      </c>
      <c r="CP50" s="128">
        <v>4302.0</v>
      </c>
      <c r="CQ50" s="17">
        <v>4187.0</v>
      </c>
      <c r="CR50" s="17">
        <v>3551.0</v>
      </c>
      <c r="CS50" s="128">
        <v>3775.0</v>
      </c>
      <c r="CT50" s="73">
        <f>CS50</f>
        <v>3775</v>
      </c>
      <c r="CU50" s="128">
        <v>3462.0</v>
      </c>
      <c r="CV50" s="128">
        <v>3251.0</v>
      </c>
      <c r="CW50" s="128">
        <v>2502.0</v>
      </c>
      <c r="CX50" s="128">
        <v>2539.0</v>
      </c>
      <c r="CY50" s="18">
        <f>CX50</f>
        <v>2539</v>
      </c>
      <c r="CZ50" s="128">
        <v>1247.0</v>
      </c>
      <c r="DA50" s="128">
        <v>1293.0</v>
      </c>
      <c r="DB50" s="128">
        <v>1211.0</v>
      </c>
      <c r="DC50" s="128">
        <v>1730.0</v>
      </c>
      <c r="DD50" s="18">
        <f>DC50</f>
        <v>1730</v>
      </c>
      <c r="DE50" s="128">
        <v>2285.0</v>
      </c>
      <c r="DF50" s="128">
        <v>2502.0</v>
      </c>
      <c r="DG50" s="129">
        <v>2943.0</v>
      </c>
      <c r="DH50" s="128">
        <v>3046.0</v>
      </c>
      <c r="DI50" s="18">
        <f>DH50</f>
        <v>3046</v>
      </c>
      <c r="DJ50" s="129">
        <v>1564.0</v>
      </c>
      <c r="DK50" s="129">
        <v>1666.0</v>
      </c>
      <c r="DL50" s="129">
        <v>1485.0</v>
      </c>
      <c r="DM50" s="129">
        <v>1665.0</v>
      </c>
      <c r="DN50" s="18">
        <f>DM50</f>
        <v>1665</v>
      </c>
      <c r="DO50" s="129">
        <v>1521.0</v>
      </c>
      <c r="DP50" s="129">
        <v>1783.0</v>
      </c>
      <c r="DQ50" s="129">
        <v>1696.0</v>
      </c>
      <c r="DR50" s="129">
        <v>2044.0</v>
      </c>
      <c r="DS50" s="18">
        <f>DR50</f>
        <v>2044</v>
      </c>
      <c r="DT50" s="129">
        <v>2027.0</v>
      </c>
      <c r="DU50" s="129">
        <v>2723.0</v>
      </c>
      <c r="DV50" s="129">
        <v>2995.0</v>
      </c>
      <c r="DW50" s="129">
        <v>3843.0</v>
      </c>
      <c r="DX50" s="18">
        <f>DW50</f>
        <v>3843</v>
      </c>
      <c r="DY50" s="129">
        <f>3410+90</f>
        <v>3500</v>
      </c>
      <c r="DZ50" s="129">
        <v>3271.0</v>
      </c>
      <c r="EA50" s="129">
        <v>3019.0</v>
      </c>
      <c r="EB50" s="129">
        <f>2667</f>
        <v>2667</v>
      </c>
      <c r="EC50" s="18">
        <f>EB50</f>
        <v>2667</v>
      </c>
      <c r="ED50" s="129">
        <v>4372.0</v>
      </c>
      <c r="EE50" s="129">
        <v>3684.0</v>
      </c>
      <c r="EF50" s="129">
        <v>3782.0</v>
      </c>
      <c r="EG50" s="129">
        <f>202+3796</f>
        <v>3998</v>
      </c>
      <c r="EH50" s="18">
        <f>EG50</f>
        <v>3998</v>
      </c>
      <c r="EI50" s="134" t="str">
        <f>EI49*Sales*IF(ISNUMBER(Dates), 4, 1)</f>
        <v>#ERROR!</v>
      </c>
      <c r="EJ50" s="128" t="str">
        <f>EJ49*Sales*IF(ISNUMBER(Dates), 4, 1)</f>
        <v>#ERROR!</v>
      </c>
      <c r="EK50" s="128" t="str">
        <f>EK49*Sales*IF(ISNUMBER(Dates), 4, 1)</f>
        <v>#ERROR!</v>
      </c>
      <c r="EL50" s="128" t="str">
        <f>EL49*Sales*IF(ISNUMBER(Dates), 4, 1)</f>
        <v>#ERROR!</v>
      </c>
      <c r="EM50" s="18" t="str">
        <f>EL50</f>
        <v>#ERROR!</v>
      </c>
      <c r="EN50" s="128" t="str">
        <f>EN49*Sales*IF(ISNUMBER(Dates), 4, 1)</f>
        <v>#ERROR!</v>
      </c>
      <c r="EO50" s="128" t="str">
        <f>EO49*Sales*IF(ISNUMBER(Dates), 4, 1)</f>
        <v>#ERROR!</v>
      </c>
      <c r="EP50" s="128" t="str">
        <f>EP49*Sales*IF(ISNUMBER(Dates), 4, 1)</f>
        <v>#ERROR!</v>
      </c>
      <c r="EQ50" s="128" t="str">
        <f>EQ49*Sales*IF(ISNUMBER(Dates), 4, 1)</f>
        <v>#ERROR!</v>
      </c>
      <c r="ER50" s="18" t="str">
        <f>EQ50</f>
        <v>#ERROR!</v>
      </c>
      <c r="ES50" s="128" t="str">
        <f>ES49*Sales*IF(ISNUMBER(Dates), 4, 1)</f>
        <v>#ERROR!</v>
      </c>
      <c r="ET50" s="128" t="str">
        <f>ET49*Sales*IF(ISNUMBER(Dates), 4, 1)</f>
        <v>#ERROR!</v>
      </c>
      <c r="EU50" s="128" t="str">
        <f>EU49*Sales*IF(ISNUMBER(Dates), 4, 1)</f>
        <v>#ERROR!</v>
      </c>
      <c r="EV50" s="128" t="str">
        <f>EV49*Sales*IF(ISNUMBER(Dates), 4, 1)</f>
        <v>#ERROR!</v>
      </c>
      <c r="EW50" s="18" t="str">
        <f>EV50</f>
        <v>#ERROR!</v>
      </c>
      <c r="EX50" s="128" t="str">
        <f>EX49*Sales*IF(ISNUMBER(Dates), 4, 1)</f>
        <v>#ERROR!</v>
      </c>
      <c r="EY50" s="128" t="str">
        <f>EY49*Sales*IF(ISNUMBER(Dates), 4, 1)</f>
        <v>#ERROR!</v>
      </c>
      <c r="EZ50" s="128" t="str">
        <f>EZ49*Sales*IF(ISNUMBER(Dates), 4, 1)</f>
        <v>#ERROR!</v>
      </c>
      <c r="FA50" s="128" t="str">
        <f>FA49*Sales*IF(ISNUMBER(Dates), 4, 1)</f>
        <v>#ERROR!</v>
      </c>
      <c r="FB50" s="18" t="str">
        <f>FA50</f>
        <v>#ERROR!</v>
      </c>
      <c r="FC50" s="128" t="str">
        <f>FC49*Sales*IF(ISNUMBER(Dates), 4, 1)</f>
        <v>#ERROR!</v>
      </c>
      <c r="FD50" s="128" t="str">
        <f>FD49*Sales*IF(ISNUMBER(Dates), 4, 1)</f>
        <v>#ERROR!</v>
      </c>
      <c r="FE50" s="128" t="str">
        <f>FE49*Sales*IF(ISNUMBER(Dates), 4, 1)</f>
        <v>#ERROR!</v>
      </c>
      <c r="FF50" s="128" t="str">
        <f>FF49*Sales*IF(ISNUMBER(Dates), 4, 1)</f>
        <v>#ERROR!</v>
      </c>
      <c r="FG50" s="18" t="str">
        <f>FF50</f>
        <v>#ERROR!</v>
      </c>
    </row>
    <row r="51" ht="12.75" customHeight="1" outlineLevel="1">
      <c r="A51" s="660"/>
      <c r="B51" s="794" t="s">
        <v>373</v>
      </c>
      <c r="C51" s="794"/>
      <c r="D51" s="794"/>
      <c r="E51" s="794"/>
      <c r="F51" s="794"/>
      <c r="G51" s="794"/>
      <c r="H51" s="794"/>
      <c r="I51" s="794"/>
      <c r="J51" s="794"/>
      <c r="K51" s="794"/>
      <c r="L51" s="794"/>
      <c r="M51" s="794"/>
      <c r="N51" s="660"/>
      <c r="O51" s="660"/>
      <c r="P51" s="660"/>
      <c r="Q51" s="660">
        <f>+Q52/IS!$Q$12</f>
        <v>0.02639873916</v>
      </c>
      <c r="R51" s="660">
        <f>+R52/IS!$Q$12</f>
        <v>0.02639873916</v>
      </c>
      <c r="S51" s="660">
        <f>+S52/IS!$S$12</f>
        <v>0</v>
      </c>
      <c r="T51" s="660">
        <f>+T52/IS!$T$12</f>
        <v>0</v>
      </c>
      <c r="U51" s="660">
        <f>+U52/IS!$U$12</f>
        <v>0.03561681223</v>
      </c>
      <c r="V51" s="660">
        <f>+V52/IS!$V$12</f>
        <v>0.01583049196</v>
      </c>
      <c r="W51" s="660"/>
      <c r="X51" s="660">
        <f>+X52/IS!$X$12</f>
        <v>0</v>
      </c>
      <c r="Y51" s="660">
        <f>+Y52/IS!$Y$12</f>
        <v>0</v>
      </c>
      <c r="Z51" s="660">
        <f>+Z52/IS!Z$12</f>
        <v>0</v>
      </c>
      <c r="AA51" s="660">
        <f>+AA52/IS!AA$12</f>
        <v>0</v>
      </c>
      <c r="AB51" s="660"/>
      <c r="AC51" s="660">
        <v>0.0</v>
      </c>
      <c r="AD51" s="660">
        <v>0.0</v>
      </c>
      <c r="AE51" s="660">
        <v>0.0</v>
      </c>
      <c r="AF51" s="660">
        <v>0.0</v>
      </c>
      <c r="AG51" s="660">
        <f>AG52/Sales/IF(ISNUMBER(Dates),4,1)</f>
        <v>0</v>
      </c>
      <c r="AH51" s="660">
        <v>0.0</v>
      </c>
      <c r="AI51" s="660">
        <f>AI52/Sales/IF(ISNUMBER(Dates),4,1)</f>
        <v>0</v>
      </c>
      <c r="AJ51" s="660">
        <f>AJ52/Sales/IF(ISNUMBER(Dates),4,1)</f>
        <v>0</v>
      </c>
      <c r="AK51" s="660">
        <f>AK52/Sales/IF(ISNUMBER(Dates),4,1)</f>
        <v>0</v>
      </c>
      <c r="AL51" s="309">
        <f>AL52/Sales/IF(ISNUMBER(Dates),4,1)</f>
        <v>0</v>
      </c>
      <c r="AM51" s="660">
        <f>AM52/Sales/IF(ISNUMBER(Dates),4,1)</f>
        <v>0</v>
      </c>
      <c r="AN51" s="660">
        <f>AN52/Sales/IF(ISNUMBER(Dates),4,1)</f>
        <v>0</v>
      </c>
      <c r="AO51" s="660">
        <f>AO52/Sales/IF(ISNUMBER(Dates),4,1)</f>
        <v>0</v>
      </c>
      <c r="AP51" s="660">
        <f>AP52/Sales/IF(ISNUMBER(Dates),4,1)</f>
        <v>0</v>
      </c>
      <c r="AQ51" s="309">
        <f>AQ52/Sales/IF(ISNUMBER(Dates),4,1)</f>
        <v>0</v>
      </c>
      <c r="AR51" s="660">
        <f>AR52/Sales/IF(ISNUMBER(Dates),4,1)</f>
        <v>0</v>
      </c>
      <c r="AS51" s="660">
        <f>AS52/Sales/IF(ISNUMBER(Dates),4,1)</f>
        <v>0</v>
      </c>
      <c r="AT51" s="660">
        <f>AT52/Sales/IF(ISNUMBER(Dates),4,1)</f>
        <v>0</v>
      </c>
      <c r="AU51" s="660">
        <f>AU52/Sales/IF(ISNUMBER(Dates),4,1)</f>
        <v>0</v>
      </c>
      <c r="AV51" s="309">
        <f>AV52/Sales/IF(ISNUMBER(Dates),4,1)</f>
        <v>0</v>
      </c>
      <c r="AW51" s="660">
        <f>AW52/Sales/IF(ISNUMBER(Dates),4,1)</f>
        <v>0</v>
      </c>
      <c r="AX51" s="660">
        <f>AX52/Sales/IF(ISNUMBER(Dates),4,1)</f>
        <v>0</v>
      </c>
      <c r="AY51" s="660">
        <f>AY52/Sales/IF(ISNUMBER(Dates),4,1)</f>
        <v>0</v>
      </c>
      <c r="AZ51" s="660">
        <f>AZ52/Sales/IF(ISNUMBER(Dates),4,1)</f>
        <v>0.00218115871</v>
      </c>
      <c r="BA51" s="309">
        <f>BA52/Sales/IF(ISNUMBER(Dates),4,1)</f>
        <v>0.00229227837</v>
      </c>
      <c r="BB51" s="660">
        <f>BB52/Sales/IF(ISNUMBER(Dates),4,1)</f>
        <v>0.009675615213</v>
      </c>
      <c r="BC51" s="660">
        <f>BC52/Sales/IF(ISNUMBER(Dates),4,1)</f>
        <v>0.01080034961</v>
      </c>
      <c r="BD51" s="660">
        <f>BD52/Sales/IF(ISNUMBER(Dates),4,1)</f>
        <v>0.009898157684</v>
      </c>
      <c r="BE51" s="660">
        <f>BE52/Sales/IF(ISNUMBER(Dates),4,1)</f>
        <v>0.0255054673</v>
      </c>
      <c r="BF51" s="309">
        <f>BF52/Sales/IF(ISNUMBER(Dates),4,1)</f>
        <v>0.02795206602</v>
      </c>
      <c r="BG51" s="660">
        <f>BG52/Sales/IF(ISNUMBER(Dates),4,1)</f>
        <v>0.03394713059</v>
      </c>
      <c r="BH51" s="660">
        <f>BH52/Sales/IF(ISNUMBER(Dates),4,1)</f>
        <v>0.0355702765</v>
      </c>
      <c r="BI51" s="660">
        <f>BI52/Sales/IF(ISNUMBER(Dates),4,1)</f>
        <v>0.03104558969</v>
      </c>
      <c r="BJ51" s="660">
        <f>BJ52/Sales/IF(ISNUMBER(Dates),4,1)</f>
        <v>0.0266523525</v>
      </c>
      <c r="BK51" s="309">
        <f>BK52/Sales/IF(ISNUMBER(Dates),4,1)</f>
        <v>0.02979078625</v>
      </c>
      <c r="BL51" s="660">
        <f>BL52/Sales/IF(ISNUMBER(Dates),4,1)</f>
        <v>0.02811950791</v>
      </c>
      <c r="BM51" s="660">
        <f>BM52/Sales/IF(ISNUMBER(Dates),4,1)</f>
        <v>0.03104540655</v>
      </c>
      <c r="BN51" s="660">
        <f>BN52/Sales/IF(ISNUMBER(Dates),4,1)</f>
        <v>0.02527649995</v>
      </c>
      <c r="BO51" s="660">
        <f>BO52/Sales/IF(ISNUMBER(Dates),4,1)</f>
        <v>0.03467663506</v>
      </c>
      <c r="BP51" s="309">
        <f>BP52/Sales/IF(ISNUMBER(Dates),4,1)</f>
        <v>0.03035704784</v>
      </c>
      <c r="BQ51" s="660">
        <f>BQ52/Sales/IF(ISNUMBER(Dates),4,1)</f>
        <v>0.04258222533</v>
      </c>
      <c r="BR51" s="660">
        <f>BR52/Sales/IF(ISNUMBER(Dates),4,1)</f>
        <v>0.0365777667</v>
      </c>
      <c r="BS51" s="660">
        <f>BS52/Sales/IF(ISNUMBER(Dates),4,1)</f>
        <v>0.04332197252</v>
      </c>
      <c r="BT51" s="660">
        <f>BT52/Sales/IF(ISNUMBER(Dates),4,1)</f>
        <v>0.03685306084</v>
      </c>
      <c r="BU51" s="309">
        <f>BU52/Sales/IF(ISNUMBER(Dates),4,1)</f>
        <v>0.04435334643</v>
      </c>
      <c r="BV51" s="660">
        <f>BV52/Sales/IF(ISNUMBER(Dates),4,1)</f>
        <v>0.04211573939</v>
      </c>
      <c r="BW51" s="660">
        <f>BW52/Sales/IF(ISNUMBER(Dates),4,1)</f>
        <v>0.03903855086</v>
      </c>
      <c r="BX51" s="660">
        <f>BX52/Sales/IF(ISNUMBER(Dates),4,1)</f>
        <v>0.04071338498</v>
      </c>
      <c r="BY51" s="660">
        <f>BY52/Sales/IF(ISNUMBER(Dates),4,1)</f>
        <v>0.04717639871</v>
      </c>
      <c r="BZ51" s="309">
        <f>BZ52/Sales/IF(ISNUMBER(Dates),4,1)</f>
        <v>0.04956101139</v>
      </c>
      <c r="CA51" s="660">
        <f>CA52/Sales/IF(ISNUMBER(Dates),4,1)</f>
        <v>0.04874678913</v>
      </c>
      <c r="CB51" s="660">
        <f>CB52/Sales/IF(ISNUMBER(Dates),4,1)</f>
        <v>0.04832335789</v>
      </c>
      <c r="CC51" s="660">
        <f>CC52/Sales/IF(ISNUMBER(Dates),4,1)</f>
        <v>0.04382421134</v>
      </c>
      <c r="CD51" s="660">
        <f>CD52/Sales/IF(ISNUMBER(Dates),4,1)</f>
        <v>0.06263051775</v>
      </c>
      <c r="CE51" s="309">
        <f>CE52/Sales/IF(ISNUMBER(Dates),4,1)</f>
        <v>0.06442711902</v>
      </c>
      <c r="CF51" s="660">
        <f>CF52/Sales/IF(ISNUMBER(Dates),4,1)</f>
        <v>0.0626646521</v>
      </c>
      <c r="CG51" s="660">
        <f>CG52/Sales/IF(ISNUMBER(Dates),4,1)</f>
        <v>0.05864380416</v>
      </c>
      <c r="CH51" s="660">
        <f>CH52/Sales/IF(ISNUMBER(Dates),4,1)</f>
        <v>0.05972727948</v>
      </c>
      <c r="CI51" s="660">
        <f>CI52/Sales/IF(ISNUMBER(Dates),4,1)</f>
        <v>0.06867255324</v>
      </c>
      <c r="CJ51" s="309">
        <f>CJ52/Sales/IF(ISNUMBER(Dates),4,1)</f>
        <v>0.06940252339</v>
      </c>
      <c r="CK51" s="660">
        <f>CK52/Sales/IF(ISNUMBER(Dates),4,1)</f>
        <v>0.06997217806</v>
      </c>
      <c r="CL51" s="660">
        <f>CL52/Sales/IF(ISNUMBER(Dates),4,1)</f>
        <v>0.06972523613</v>
      </c>
      <c r="CM51" s="660">
        <f>CM52/Sales/IF(ISNUMBER(Dates),4,1)</f>
        <v>0.06828969814</v>
      </c>
      <c r="CN51" s="660">
        <f>CN52/Sales/IF(ISNUMBER(Dates),4,1)</f>
        <v>0.05370825502</v>
      </c>
      <c r="CO51" s="309">
        <f>CO52/Sales/IF(ISNUMBER(Dates),4,1)</f>
        <v>0.05638612734</v>
      </c>
      <c r="CP51" s="660">
        <f>CP52/Sales/IF(ISNUMBER(Dates),4,1)</f>
        <v>0.05617361329</v>
      </c>
      <c r="CQ51" s="660">
        <f>CQ52/Sales/IF(ISNUMBER(Dates),4,1)</f>
        <v>0.05292458969</v>
      </c>
      <c r="CR51" s="15">
        <f>CR52/Sales/IF(ISNUMBER(Dates),4,1)</f>
        <v>0.0527346434</v>
      </c>
      <c r="CS51" s="660">
        <f>CS52/Sales/IF(ISNUMBER(Dates),4,1)</f>
        <v>0.0556687725</v>
      </c>
      <c r="CT51" s="309">
        <f>CT52/Sales/IF(ISNUMBER(Dates),4,1)</f>
        <v>0.05867191695</v>
      </c>
      <c r="CU51" s="660">
        <f>CU52/Sales/IF(ISNUMBER(Dates),4,1)</f>
        <v>0.06112588999</v>
      </c>
      <c r="CV51" s="660">
        <f>CV52/Sales/IF(ISNUMBER(Dates),4,1)</f>
        <v>0.05676392573</v>
      </c>
      <c r="CW51" s="660">
        <f>CW52/Sales/IF(ISNUMBER(Dates),4,1)</f>
        <v>0.05027652955</v>
      </c>
      <c r="CX51" s="660">
        <f>CX52/Sales/IF(ISNUMBER(Dates),4,1)</f>
        <v>0.04762303876</v>
      </c>
      <c r="CY51" s="37">
        <f>CY52/Sales/IF(ISNUMBER(Dates),4,1)</f>
        <v>0.05132327703</v>
      </c>
      <c r="CZ51" s="660">
        <f>CZ52/Sales/IF(ISNUMBER(Dates),4,1)</f>
        <v>0.05164480835</v>
      </c>
      <c r="DA51" s="660">
        <f>DA52/Sales/IF(ISNUMBER(Dates),4,1)</f>
        <v>0.06497081209</v>
      </c>
      <c r="DB51" s="660">
        <f>DB52/Sales/IF(ISNUMBER(Dates),4,1)</f>
        <v>0.04545886678</v>
      </c>
      <c r="DC51" s="660">
        <f>DC52/Sales/IF(ISNUMBER(Dates),4,1)</f>
        <v>0.05401856602</v>
      </c>
      <c r="DD51" s="37">
        <f>DD52/Sales/IF(ISNUMBER(Dates),4,1)</f>
        <v>0.05947617927</v>
      </c>
      <c r="DE51" s="660">
        <f>DE52/Sales/IF(ISNUMBER(Dates),4,1)</f>
        <v>0.0618072452</v>
      </c>
      <c r="DF51" s="660">
        <f>DF52/Sales/IF(ISNUMBER(Dates),4,1)</f>
        <v>0.05874483506</v>
      </c>
      <c r="DG51" s="83">
        <f>DG52/Sales/IF(ISNUMBER(Dates),4,1)</f>
        <v>0.06427642578</v>
      </c>
      <c r="DH51" s="660">
        <f>DH52/Sales/IF(ISNUMBER(Dates),4,1)</f>
        <v>0.115228992</v>
      </c>
      <c r="DI51" s="37">
        <f>DI52/Sales/IF(ISNUMBER(Dates),4,1)</f>
        <v>0.1252370102</v>
      </c>
      <c r="DJ51" s="83">
        <f>DJ52/Sales/IF(ISNUMBER(Dates),4,1)</f>
        <v>0.1888460102</v>
      </c>
      <c r="DK51" s="83">
        <f>DK52/Sales/IF(ISNUMBER(Dates),4,1)</f>
        <v>0.1277119443</v>
      </c>
      <c r="DL51" s="83">
        <f>DL52/Sales/IF(ISNUMBER(Dates),4,1)</f>
        <v>0.1351823827</v>
      </c>
      <c r="DM51" s="83">
        <f>DM52/Sales/IF(ISNUMBER(Dates),4,1)</f>
        <v>0.134145361</v>
      </c>
      <c r="DN51" s="37">
        <f>DN52/Sales/IF(ISNUMBER(Dates),4,1)</f>
        <v>0.1413025068</v>
      </c>
      <c r="DO51" s="83">
        <f>DO52/Sales/IF(ISNUMBER(Dates),4,1)</f>
        <v>0.1498661354</v>
      </c>
      <c r="DP51" s="83">
        <f>DP52/Sales/IF(ISNUMBER(Dates),4,1)</f>
        <v>0.139881854</v>
      </c>
      <c r="DQ51" s="83">
        <f>DQ52/Sales/IF(ISNUMBER(Dates),4,1)</f>
        <v>0.1158546118</v>
      </c>
      <c r="DR51" s="83">
        <f>DR52/Sales/IF(ISNUMBER(Dates),4,1)</f>
        <v>0.1138477906</v>
      </c>
      <c r="DS51" s="37">
        <f>DS52/Sales/IF(ISNUMBER(Dates),4,1)</f>
        <v>0.1278816091</v>
      </c>
      <c r="DT51" s="83">
        <f>DT52/Sales/IF(ISNUMBER(Dates),4,1)</f>
        <v>0.1132111156</v>
      </c>
      <c r="DU51" s="83">
        <f>DU52/Sales/IF(ISNUMBER(Dates),4,1)</f>
        <v>0.1169910787</v>
      </c>
      <c r="DV51" s="83">
        <f>DV52/Sales/IF(ISNUMBER(Dates),4,1)</f>
        <v>0.130106911</v>
      </c>
      <c r="DW51" s="83">
        <f>DW52/Sales/IF(ISNUMBER(Dates),4,1)</f>
        <v>0.119619081</v>
      </c>
      <c r="DX51" s="37">
        <f>DX52/Sales/IF(ISNUMBER(Dates),4,1)</f>
        <v>0.1227606046</v>
      </c>
      <c r="DY51" s="83">
        <f>DY52/Sales/IF(ISNUMBER(Dates),4,1)</f>
        <v>0.1336717656</v>
      </c>
      <c r="DZ51" s="83">
        <f>DZ52/Sales/IF(ISNUMBER(Dates),4,1)</f>
        <v>0.129080559</v>
      </c>
      <c r="EA51" s="83">
        <f>EA52/Sales/IF(ISNUMBER(Dates),4,1)</f>
        <v>0.1337148228</v>
      </c>
      <c r="EB51" s="83">
        <f>EB52/Sales/IF(ISNUMBER(Dates),4,1)</f>
        <v>0.1200081917</v>
      </c>
      <c r="EC51" s="37">
        <f>EC52/Sales/IF(ISNUMBER(Dates),4,1)</f>
        <v>0.1254851575</v>
      </c>
      <c r="ED51" s="83">
        <f>ED52/Sales/IF(ISNUMBER(Dates),4,1)</f>
        <v>0.09178335967</v>
      </c>
      <c r="EE51" s="83">
        <f>EE52/Sales/IF(ISNUMBER(Dates),4,1)</f>
        <v>0.09382546831</v>
      </c>
      <c r="EF51" s="83">
        <f>EF52/Sales/IF(ISNUMBER(Dates),4,1)</f>
        <v>0.0997685487</v>
      </c>
      <c r="EG51" s="83">
        <f>EG52/Sales/IF(ISNUMBER(Dates),4,1)</f>
        <v>0.08866258368</v>
      </c>
      <c r="EH51" s="37">
        <f>EH52/Sales/IF(ISNUMBER(Dates),4,1)</f>
        <v>0.07897992197</v>
      </c>
      <c r="EI51" s="661" t="str">
        <f>EI52/Sales/IF(ISNUMBER(Dates),4,1)</f>
        <v>#ERROR!</v>
      </c>
      <c r="EJ51" s="660" t="str">
        <f>EJ52/Sales/IF(ISNUMBER(Dates),4,1)</f>
        <v>#ERROR!</v>
      </c>
      <c r="EK51" s="660" t="str">
        <f>EK52/Sales/IF(ISNUMBER(Dates),4,1)</f>
        <v>#ERROR!</v>
      </c>
      <c r="EL51" s="660" t="str">
        <f>EL52/Sales/IF(ISNUMBER(Dates),4,1)</f>
        <v>#ERROR!</v>
      </c>
      <c r="EM51" s="37" t="str">
        <f>EM52/Sales/IF(ISNUMBER(Dates),4,1)</f>
        <v>#ERROR!</v>
      </c>
      <c r="EN51" s="660" t="str">
        <f>EN52/Sales/IF(ISNUMBER(Dates),4,1)</f>
        <v>#ERROR!</v>
      </c>
      <c r="EO51" s="660" t="str">
        <f>EO52/Sales/IF(ISNUMBER(Dates),4,1)</f>
        <v>#ERROR!</v>
      </c>
      <c r="EP51" s="660" t="str">
        <f>EP52/Sales/IF(ISNUMBER(Dates),4,1)</f>
        <v>#ERROR!</v>
      </c>
      <c r="EQ51" s="660" t="str">
        <f>EQ52/Sales/IF(ISNUMBER(Dates),4,1)</f>
        <v>#ERROR!</v>
      </c>
      <c r="ER51" s="37" t="str">
        <f>ER52/Sales/IF(ISNUMBER(Dates),4,1)</f>
        <v>#ERROR!</v>
      </c>
      <c r="ES51" s="660" t="str">
        <f>ES52/Sales/IF(ISNUMBER(Dates),4,1)</f>
        <v>#ERROR!</v>
      </c>
      <c r="ET51" s="660" t="str">
        <f>ET52/Sales/IF(ISNUMBER(Dates),4,1)</f>
        <v>#ERROR!</v>
      </c>
      <c r="EU51" s="660" t="str">
        <f>EU52/Sales/IF(ISNUMBER(Dates),4,1)</f>
        <v>#ERROR!</v>
      </c>
      <c r="EV51" s="660" t="str">
        <f>EV52/Sales/IF(ISNUMBER(Dates),4,1)</f>
        <v>#ERROR!</v>
      </c>
      <c r="EW51" s="37" t="str">
        <f>EW52/Sales/IF(ISNUMBER(Dates),4,1)</f>
        <v>#ERROR!</v>
      </c>
      <c r="EX51" s="660" t="str">
        <f>EX52/Sales/IF(ISNUMBER(Dates),4,1)</f>
        <v>#ERROR!</v>
      </c>
      <c r="EY51" s="660" t="str">
        <f>EY52/Sales/IF(ISNUMBER(Dates),4,1)</f>
        <v>#ERROR!</v>
      </c>
      <c r="EZ51" s="660" t="str">
        <f>EZ52/Sales/IF(ISNUMBER(Dates),4,1)</f>
        <v>#ERROR!</v>
      </c>
      <c r="FA51" s="660" t="str">
        <f>FA52/Sales/IF(ISNUMBER(Dates),4,1)</f>
        <v>#ERROR!</v>
      </c>
      <c r="FB51" s="37" t="str">
        <f>FB52/Sales/IF(ISNUMBER(Dates),4,1)</f>
        <v>#ERROR!</v>
      </c>
      <c r="FC51" s="660" t="str">
        <f>FC52/Sales/IF(ISNUMBER(Dates),4,1)</f>
        <v>#ERROR!</v>
      </c>
      <c r="FD51" s="660" t="str">
        <f>FD52/Sales/IF(ISNUMBER(Dates),4,1)</f>
        <v>#ERROR!</v>
      </c>
      <c r="FE51" s="660" t="str">
        <f>FE52/Sales/IF(ISNUMBER(Dates),4,1)</f>
        <v>#ERROR!</v>
      </c>
      <c r="FF51" s="660" t="str">
        <f>FF52/Sales/IF(ISNUMBER(Dates),4,1)</f>
        <v>#ERROR!</v>
      </c>
      <c r="FG51" s="37" t="str">
        <f>FG52/Sales/IF(ISNUMBER(Dates),4,1)</f>
        <v>#ERROR!</v>
      </c>
    </row>
    <row r="52" ht="12.75" customHeight="1">
      <c r="A52" s="179"/>
      <c r="B52" s="180" t="s">
        <v>538</v>
      </c>
      <c r="C52" s="180"/>
      <c r="D52" s="180"/>
      <c r="E52" s="180"/>
      <c r="F52" s="180"/>
      <c r="G52" s="180"/>
      <c r="H52" s="180"/>
      <c r="I52" s="180"/>
      <c r="J52" s="180"/>
      <c r="K52" s="180"/>
      <c r="L52" s="180"/>
      <c r="M52" s="180"/>
      <c r="N52" s="128">
        <f>1185</f>
        <v>1185</v>
      </c>
      <c r="O52" s="128">
        <v>711.0</v>
      </c>
      <c r="P52" s="128">
        <v>588.0</v>
      </c>
      <c r="Q52" s="128">
        <v>201.0</v>
      </c>
      <c r="R52" s="73">
        <v>201.0</v>
      </c>
      <c r="S52" s="128">
        <v>0.0</v>
      </c>
      <c r="T52" s="128">
        <v>0.0</v>
      </c>
      <c r="U52" s="128">
        <v>261.0</v>
      </c>
      <c r="V52" s="128">
        <v>130.0</v>
      </c>
      <c r="W52" s="73">
        <f t="shared" ref="W52:W54" si="414">+V52</f>
        <v>130</v>
      </c>
      <c r="X52" s="128">
        <v>0.0</v>
      </c>
      <c r="Y52" s="128">
        <v>0.0</v>
      </c>
      <c r="Z52" s="128">
        <v>0.0</v>
      </c>
      <c r="AA52" s="128">
        <v>0.0</v>
      </c>
      <c r="AB52" s="73">
        <f t="shared" ref="AB52:AB54" si="415">+AA52</f>
        <v>0</v>
      </c>
      <c r="AC52" s="128">
        <f>+AC51*IS!$AC$12</f>
        <v>0</v>
      </c>
      <c r="AD52" s="128">
        <f>+AD51*IS!$AD$12</f>
        <v>0</v>
      </c>
      <c r="AE52" s="128">
        <f>+AE51*IS!$AD$12</f>
        <v>0</v>
      </c>
      <c r="AF52" s="128">
        <v>0.0</v>
      </c>
      <c r="AG52" s="73">
        <f t="shared" ref="AG52:AG54" si="416">AF52</f>
        <v>0</v>
      </c>
      <c r="AH52" s="128">
        <f>+AH51*IS!$AC$12</f>
        <v>0</v>
      </c>
      <c r="AI52" s="128">
        <f>AD52</f>
        <v>0</v>
      </c>
      <c r="AJ52" s="128">
        <f t="shared" ref="AJ52:AM52" si="405">AI52</f>
        <v>0</v>
      </c>
      <c r="AK52" s="128">
        <f t="shared" si="405"/>
        <v>0</v>
      </c>
      <c r="AL52" s="73">
        <f t="shared" si="405"/>
        <v>0</v>
      </c>
      <c r="AM52" s="128">
        <f t="shared" si="405"/>
        <v>0</v>
      </c>
      <c r="AN52" s="128">
        <f>AI52</f>
        <v>0</v>
      </c>
      <c r="AO52" s="128">
        <f t="shared" ref="AO52:AQ52" si="406">AN52</f>
        <v>0</v>
      </c>
      <c r="AP52" s="128">
        <f t="shared" si="406"/>
        <v>0</v>
      </c>
      <c r="AQ52" s="73">
        <f t="shared" si="406"/>
        <v>0</v>
      </c>
      <c r="AR52" s="128">
        <v>0.0</v>
      </c>
      <c r="AS52" s="128">
        <f>AN52</f>
        <v>0</v>
      </c>
      <c r="AT52" s="128">
        <f>AS52</f>
        <v>0</v>
      </c>
      <c r="AU52" s="128">
        <v>0.0</v>
      </c>
      <c r="AV52" s="73">
        <f t="shared" ref="AV52:AW52" si="407">AU52</f>
        <v>0</v>
      </c>
      <c r="AW52" s="128">
        <f t="shared" si="407"/>
        <v>0</v>
      </c>
      <c r="AX52" s="128">
        <f>AS52</f>
        <v>0</v>
      </c>
      <c r="AY52" s="128">
        <v>0.0</v>
      </c>
      <c r="AZ52" s="128">
        <v>89.0</v>
      </c>
      <c r="BA52" s="73">
        <f t="shared" ref="BA52:BA54" si="417">AZ52</f>
        <v>89</v>
      </c>
      <c r="BB52" s="128">
        <v>346.0</v>
      </c>
      <c r="BC52" s="128">
        <v>346.0</v>
      </c>
      <c r="BD52" s="128">
        <v>346.0</v>
      </c>
      <c r="BE52" s="128">
        <v>989.0</v>
      </c>
      <c r="BF52" s="73">
        <f t="shared" ref="BF52:BF54" si="418">BE52</f>
        <v>989</v>
      </c>
      <c r="BG52" s="128">
        <v>1202.0</v>
      </c>
      <c r="BH52" s="128">
        <v>1235.0</v>
      </c>
      <c r="BI52" s="128">
        <v>1253.0</v>
      </c>
      <c r="BJ52" s="128">
        <v>1142.0</v>
      </c>
      <c r="BK52" s="73">
        <f t="shared" ref="BK52:BK54" si="419">BJ52</f>
        <v>1142</v>
      </c>
      <c r="BL52" s="128">
        <v>1088.0</v>
      </c>
      <c r="BM52" s="128">
        <v>1176.0</v>
      </c>
      <c r="BN52" s="128">
        <v>1033.0</v>
      </c>
      <c r="BO52" s="128">
        <v>1141.0</v>
      </c>
      <c r="BP52" s="73">
        <f t="shared" ref="BP52:BP54" si="420">BO52</f>
        <v>1141</v>
      </c>
      <c r="BQ52" s="128">
        <v>1217.0</v>
      </c>
      <c r="BR52" s="128">
        <v>1174.0</v>
      </c>
      <c r="BS52" s="128">
        <v>1627.0</v>
      </c>
      <c r="BT52" s="128">
        <v>1558.0</v>
      </c>
      <c r="BU52" s="73">
        <f t="shared" ref="BU52:BU54" si="421">BT52</f>
        <v>1558</v>
      </c>
      <c r="BV52" s="128">
        <f>707+1028</f>
        <v>1735</v>
      </c>
      <c r="BW52" s="128">
        <f>586+1095</f>
        <v>1681</v>
      </c>
      <c r="BX52" s="128">
        <f>681+1127</f>
        <v>1808</v>
      </c>
      <c r="BY52" s="128">
        <f>926+1236</f>
        <v>2162</v>
      </c>
      <c r="BZ52" s="73">
        <f t="shared" ref="BZ52:BZ54" si="422">BY52</f>
        <v>2162</v>
      </c>
      <c r="CA52" s="128">
        <v>2505.0</v>
      </c>
      <c r="CB52" s="128">
        <v>2519.0</v>
      </c>
      <c r="CC52" s="128">
        <v>2495.0</v>
      </c>
      <c r="CD52" s="128">
        <v>3479.0</v>
      </c>
      <c r="CE52" s="73">
        <f t="shared" ref="CE52:CE54" si="423">CD52</f>
        <v>3479</v>
      </c>
      <c r="CF52" s="128">
        <v>3235.0</v>
      </c>
      <c r="CG52" s="128">
        <v>3167.0</v>
      </c>
      <c r="CH52" s="128">
        <v>3215.0</v>
      </c>
      <c r="CI52" s="128">
        <v>3702.0</v>
      </c>
      <c r="CJ52" s="73">
        <f t="shared" ref="CJ52:CJ54" si="424">CI52</f>
        <v>3702</v>
      </c>
      <c r="CK52" s="128">
        <v>3521.0</v>
      </c>
      <c r="CL52" s="128">
        <v>3573.0</v>
      </c>
      <c r="CM52" s="128">
        <v>3683.0</v>
      </c>
      <c r="CN52" s="128">
        <v>2972.0</v>
      </c>
      <c r="CO52" s="73">
        <f t="shared" ref="CO52:CO54" si="425">CN52</f>
        <v>2972</v>
      </c>
      <c r="CP52" s="128">
        <v>2868.0</v>
      </c>
      <c r="CQ52" s="17">
        <v>2928.0</v>
      </c>
      <c r="CR52" s="17">
        <v>3070.0</v>
      </c>
      <c r="CS52" s="128">
        <v>3278.0</v>
      </c>
      <c r="CT52" s="73">
        <f t="shared" ref="CT52:CT54" si="426">CS52</f>
        <v>3278</v>
      </c>
      <c r="CU52" s="128">
        <v>3125.0</v>
      </c>
      <c r="CV52" s="128">
        <v>2996.0</v>
      </c>
      <c r="CW52" s="128">
        <v>2909.0</v>
      </c>
      <c r="CX52" s="128">
        <v>2841.0</v>
      </c>
      <c r="CY52" s="18">
        <f t="shared" ref="CY52:CY54" si="427">CX52</f>
        <v>2841</v>
      </c>
      <c r="CZ52" s="128">
        <v>2851.0</v>
      </c>
      <c r="DA52" s="128">
        <v>3517.0</v>
      </c>
      <c r="DB52" s="128">
        <v>2869.0</v>
      </c>
      <c r="DC52" s="128">
        <v>3538.0</v>
      </c>
      <c r="DD52" s="18">
        <f t="shared" ref="DD52:DD54" si="428">DC52</f>
        <v>3538</v>
      </c>
      <c r="DE52" s="128">
        <v>3658.0</v>
      </c>
      <c r="DF52" s="128">
        <v>3469.0</v>
      </c>
      <c r="DG52" s="129">
        <v>4152.0</v>
      </c>
      <c r="DH52" s="128">
        <v>7860.0</v>
      </c>
      <c r="DI52" s="18">
        <f t="shared" ref="DI52:DI54" si="429">DH52</f>
        <v>7860</v>
      </c>
      <c r="DJ52" s="129">
        <f>2479+5774+3082+801</f>
        <v>12136</v>
      </c>
      <c r="DK52" s="129">
        <f>2393+5618+654</f>
        <v>8665</v>
      </c>
      <c r="DL52" s="129">
        <f>2220+4879+3263</f>
        <v>10362</v>
      </c>
      <c r="DM52" s="129">
        <f>2049+4897+2646+419</f>
        <v>10011</v>
      </c>
      <c r="DN52" s="18">
        <f t="shared" ref="DN52:DN54" si="430">DM52</f>
        <v>10011</v>
      </c>
      <c r="DO52" s="129">
        <f>1775+4781+2797+275</f>
        <v>9628</v>
      </c>
      <c r="DP52" s="129">
        <f>1558+4847+2583+247</f>
        <v>9235</v>
      </c>
      <c r="DQ52" s="129">
        <f>1413+4974+2506</f>
        <v>8893</v>
      </c>
      <c r="DR52" s="129">
        <f>1368+4919+2916</f>
        <v>9203</v>
      </c>
      <c r="DS52" s="18">
        <f t="shared" ref="DS52:DS54" si="431">DR52</f>
        <v>9203</v>
      </c>
      <c r="DT52" s="129">
        <f>4651+2975+1353</f>
        <v>8979</v>
      </c>
      <c r="DU52" s="129">
        <f>1329+4795+3108</f>
        <v>9232</v>
      </c>
      <c r="DV52" s="129">
        <f>1381+3349+4811</f>
        <v>9541</v>
      </c>
      <c r="DW52" s="129">
        <f>1367+4578+3614</f>
        <v>9559</v>
      </c>
      <c r="DX52" s="18">
        <f t="shared" ref="DX52:DX54" si="432">DW52</f>
        <v>9559</v>
      </c>
      <c r="DY52" s="129">
        <f>5322+4605</f>
        <v>9927</v>
      </c>
      <c r="DZ52" s="129">
        <f>68+4172+5329</f>
        <v>9569</v>
      </c>
      <c r="EA52" s="129">
        <f>4223+62+5389</f>
        <v>9674</v>
      </c>
      <c r="EB52" s="129">
        <f>4886+4305+185</f>
        <v>9376</v>
      </c>
      <c r="EC52" s="18">
        <f t="shared" ref="EC52:EC54" si="433">EB52</f>
        <v>9376</v>
      </c>
      <c r="ED52" s="129">
        <f>1547+5191</f>
        <v>6738</v>
      </c>
      <c r="EE52" s="129">
        <f>5178+572</f>
        <v>5750</v>
      </c>
      <c r="EF52" s="129">
        <f>5760+361</f>
        <v>6121</v>
      </c>
      <c r="EG52" s="129">
        <f>4980</f>
        <v>4980</v>
      </c>
      <c r="EH52" s="18">
        <f t="shared" ref="EH52:EI52" si="408">EG52</f>
        <v>4980</v>
      </c>
      <c r="EI52" s="134">
        <f t="shared" si="408"/>
        <v>4980</v>
      </c>
      <c r="EJ52" s="128">
        <f>EE52</f>
        <v>5750</v>
      </c>
      <c r="EK52" s="128">
        <f t="shared" ref="EK52:EN52" si="409">EJ52</f>
        <v>5750</v>
      </c>
      <c r="EL52" s="128">
        <f t="shared" si="409"/>
        <v>5750</v>
      </c>
      <c r="EM52" s="18">
        <f t="shared" si="409"/>
        <v>5750</v>
      </c>
      <c r="EN52" s="128">
        <f t="shared" si="409"/>
        <v>5750</v>
      </c>
      <c r="EO52" s="128">
        <f>EJ52</f>
        <v>5750</v>
      </c>
      <c r="EP52" s="128">
        <f t="shared" ref="EP52:ES52" si="410">EO52</f>
        <v>5750</v>
      </c>
      <c r="EQ52" s="128">
        <f t="shared" si="410"/>
        <v>5750</v>
      </c>
      <c r="ER52" s="18">
        <f t="shared" si="410"/>
        <v>5750</v>
      </c>
      <c r="ES52" s="128">
        <f t="shared" si="410"/>
        <v>5750</v>
      </c>
      <c r="ET52" s="128">
        <f>EO52</f>
        <v>5750</v>
      </c>
      <c r="EU52" s="128">
        <f t="shared" ref="EU52:EX52" si="411">ET52</f>
        <v>5750</v>
      </c>
      <c r="EV52" s="128">
        <f t="shared" si="411"/>
        <v>5750</v>
      </c>
      <c r="EW52" s="18">
        <f t="shared" si="411"/>
        <v>5750</v>
      </c>
      <c r="EX52" s="128">
        <f t="shared" si="411"/>
        <v>5750</v>
      </c>
      <c r="EY52" s="128">
        <f>ET52</f>
        <v>5750</v>
      </c>
      <c r="EZ52" s="128">
        <f t="shared" ref="EZ52:FC52" si="412">EY52</f>
        <v>5750</v>
      </c>
      <c r="FA52" s="128">
        <f t="shared" si="412"/>
        <v>5750</v>
      </c>
      <c r="FB52" s="18">
        <f t="shared" si="412"/>
        <v>5750</v>
      </c>
      <c r="FC52" s="128">
        <f t="shared" si="412"/>
        <v>5750</v>
      </c>
      <c r="FD52" s="128">
        <f>EY52</f>
        <v>5750</v>
      </c>
      <c r="FE52" s="128">
        <f t="shared" ref="FE52:FG52" si="413">FD52</f>
        <v>5750</v>
      </c>
      <c r="FF52" s="128">
        <f t="shared" si="413"/>
        <v>5750</v>
      </c>
      <c r="FG52" s="18">
        <f t="shared" si="413"/>
        <v>5750</v>
      </c>
    </row>
    <row r="53" ht="12.75" customHeight="1">
      <c r="A53" s="179"/>
      <c r="B53" s="180" t="s">
        <v>539</v>
      </c>
      <c r="C53" s="180"/>
      <c r="D53" s="180"/>
      <c r="E53" s="180"/>
      <c r="F53" s="180"/>
      <c r="G53" s="180"/>
      <c r="H53" s="180"/>
      <c r="I53" s="180"/>
      <c r="J53" s="180"/>
      <c r="K53" s="180"/>
      <c r="L53" s="180"/>
      <c r="M53" s="180"/>
      <c r="N53" s="128">
        <v>441.0</v>
      </c>
      <c r="O53" s="128">
        <v>472.0</v>
      </c>
      <c r="P53" s="128">
        <v>583.0</v>
      </c>
      <c r="Q53" s="128">
        <v>702.0</v>
      </c>
      <c r="R53" s="73">
        <v>702.0</v>
      </c>
      <c r="S53" s="128">
        <v>699.0</v>
      </c>
      <c r="T53" s="128">
        <v>666.0</v>
      </c>
      <c r="U53" s="128">
        <v>884.0</v>
      </c>
      <c r="V53" s="128">
        <v>955.0</v>
      </c>
      <c r="W53" s="73">
        <f t="shared" si="414"/>
        <v>955</v>
      </c>
      <c r="X53" s="128">
        <v>868.0</v>
      </c>
      <c r="Y53" s="128">
        <v>870.0</v>
      </c>
      <c r="Z53" s="128">
        <v>610.0</v>
      </c>
      <c r="AA53" s="128">
        <v>707.0</v>
      </c>
      <c r="AB53" s="73">
        <f t="shared" si="415"/>
        <v>707</v>
      </c>
      <c r="AC53" s="128">
        <v>704.0</v>
      </c>
      <c r="AD53" s="128">
        <v>928.0</v>
      </c>
      <c r="AE53" s="128">
        <v>972.0</v>
      </c>
      <c r="AF53" s="128">
        <v>1050.0</v>
      </c>
      <c r="AG53" s="73">
        <f t="shared" si="416"/>
        <v>1050</v>
      </c>
      <c r="AH53" s="128">
        <v>860.0</v>
      </c>
      <c r="AI53" s="128">
        <v>1081.0</v>
      </c>
      <c r="AJ53" s="128">
        <v>1000.0</v>
      </c>
      <c r="AK53" s="128">
        <v>929.0</v>
      </c>
      <c r="AL53" s="73">
        <f t="shared" ref="AL53:AL54" si="438">AK53</f>
        <v>929</v>
      </c>
      <c r="AM53" s="128">
        <v>829.0</v>
      </c>
      <c r="AN53" s="128">
        <v>914.0</v>
      </c>
      <c r="AO53" s="128">
        <v>882.0</v>
      </c>
      <c r="AP53" s="128">
        <v>936.0</v>
      </c>
      <c r="AQ53" s="73">
        <f t="shared" ref="AQ53:AQ54" si="440">AP53</f>
        <v>936</v>
      </c>
      <c r="AR53" s="128">
        <v>927.0</v>
      </c>
      <c r="AS53" s="128">
        <v>898.0</v>
      </c>
      <c r="AT53" s="128">
        <v>882.0</v>
      </c>
      <c r="AU53" s="128">
        <v>703.0</v>
      </c>
      <c r="AV53" s="73">
        <f t="shared" ref="AV53:AV54" si="442">AU53</f>
        <v>703</v>
      </c>
      <c r="AW53" s="128">
        <v>464.0</v>
      </c>
      <c r="AX53" s="128">
        <v>430.0</v>
      </c>
      <c r="AY53" s="128">
        <v>432.0</v>
      </c>
      <c r="AZ53" s="128">
        <v>2106.0</v>
      </c>
      <c r="BA53" s="73">
        <f t="shared" si="417"/>
        <v>2106</v>
      </c>
      <c r="BB53" s="128">
        <v>2040.0</v>
      </c>
      <c r="BC53" s="128">
        <v>2054.0</v>
      </c>
      <c r="BD53" s="128">
        <v>2060.0</v>
      </c>
      <c r="BE53" s="128">
        <v>1848.0</v>
      </c>
      <c r="BF53" s="73">
        <f t="shared" si="418"/>
        <v>1848</v>
      </c>
      <c r="BG53" s="128">
        <v>1848.0</v>
      </c>
      <c r="BH53" s="128">
        <v>1848.0</v>
      </c>
      <c r="BI53" s="128">
        <v>1853.0</v>
      </c>
      <c r="BJ53" s="128">
        <v>1980.0</v>
      </c>
      <c r="BK53" s="73">
        <f t="shared" si="419"/>
        <v>1980</v>
      </c>
      <c r="BL53" s="128">
        <v>1990.0</v>
      </c>
      <c r="BM53" s="128">
        <v>1892.0</v>
      </c>
      <c r="BN53" s="128">
        <v>1889.0</v>
      </c>
      <c r="BO53" s="128">
        <v>1886.0</v>
      </c>
      <c r="BP53" s="73">
        <f t="shared" si="420"/>
        <v>1886</v>
      </c>
      <c r="BQ53" s="128">
        <v>1170.0</v>
      </c>
      <c r="BR53" s="128">
        <v>1205.0</v>
      </c>
      <c r="BS53" s="128">
        <v>2201.0</v>
      </c>
      <c r="BT53" s="128">
        <v>2049.0</v>
      </c>
      <c r="BU53" s="73">
        <f t="shared" si="421"/>
        <v>2049</v>
      </c>
      <c r="BV53" s="128">
        <v>2052.0</v>
      </c>
      <c r="BW53" s="128">
        <v>2058.0</v>
      </c>
      <c r="BX53" s="128">
        <v>2073.0</v>
      </c>
      <c r="BY53" s="128">
        <v>2077.0</v>
      </c>
      <c r="BZ53" s="73">
        <f t="shared" si="422"/>
        <v>2077</v>
      </c>
      <c r="CA53" s="128">
        <v>2083.0</v>
      </c>
      <c r="CB53" s="128">
        <v>2090.0</v>
      </c>
      <c r="CC53" s="128">
        <v>7076.0</v>
      </c>
      <c r="CD53" s="128">
        <v>7084.0</v>
      </c>
      <c r="CE53" s="73">
        <f t="shared" si="423"/>
        <v>7084</v>
      </c>
      <c r="CF53" s="128">
        <v>7088.0</v>
      </c>
      <c r="CG53" s="128">
        <v>7093.0</v>
      </c>
      <c r="CH53" s="128">
        <v>7100.0</v>
      </c>
      <c r="CI53" s="128">
        <v>13136.0</v>
      </c>
      <c r="CJ53" s="73">
        <f t="shared" si="424"/>
        <v>13136</v>
      </c>
      <c r="CK53" s="128">
        <v>13143.0</v>
      </c>
      <c r="CL53" s="128">
        <v>13150.0</v>
      </c>
      <c r="CM53" s="128">
        <v>13157.0</v>
      </c>
      <c r="CN53" s="128">
        <v>13165.0</v>
      </c>
      <c r="CO53" s="73">
        <f t="shared" si="425"/>
        <v>13165</v>
      </c>
      <c r="CP53" s="128">
        <v>13172.0</v>
      </c>
      <c r="CQ53" s="17">
        <v>13180.0</v>
      </c>
      <c r="CR53" s="17">
        <v>12103.0</v>
      </c>
      <c r="CS53" s="128">
        <v>12107.0</v>
      </c>
      <c r="CT53" s="73">
        <f t="shared" si="426"/>
        <v>12107</v>
      </c>
      <c r="CU53" s="128">
        <v>12112.0</v>
      </c>
      <c r="CV53" s="128">
        <v>12116.0</v>
      </c>
      <c r="CW53" s="128">
        <v>20059.0</v>
      </c>
      <c r="CX53" s="128">
        <v>20036.0</v>
      </c>
      <c r="CY53" s="18">
        <f t="shared" si="427"/>
        <v>20036</v>
      </c>
      <c r="CZ53" s="128">
        <v>21775.0</v>
      </c>
      <c r="DA53" s="128">
        <v>24053.0</v>
      </c>
      <c r="DB53" s="128">
        <v>24043.0</v>
      </c>
      <c r="DC53" s="128">
        <v>20649.0</v>
      </c>
      <c r="DD53" s="18">
        <f t="shared" si="428"/>
        <v>20649</v>
      </c>
      <c r="DE53" s="128">
        <v>20678.0</v>
      </c>
      <c r="DF53" s="128">
        <v>27855.0</v>
      </c>
      <c r="DG53" s="129">
        <v>27498.0</v>
      </c>
      <c r="DH53" s="128">
        <v>25037.0</v>
      </c>
      <c r="DI53" s="18">
        <f t="shared" si="429"/>
        <v>25037</v>
      </c>
      <c r="DJ53" s="129">
        <v>24770.0</v>
      </c>
      <c r="DK53" s="129">
        <f>24632+3391</f>
        <v>28023</v>
      </c>
      <c r="DL53" s="129">
        <v>24823.0</v>
      </c>
      <c r="DM53" s="129">
        <v>25098.0</v>
      </c>
      <c r="DN53" s="18">
        <f t="shared" si="430"/>
        <v>25098</v>
      </c>
      <c r="DO53" s="129">
        <v>25737.0</v>
      </c>
      <c r="DP53" s="129">
        <v>25089.0</v>
      </c>
      <c r="DQ53" s="129">
        <v>23707.0</v>
      </c>
      <c r="DR53" s="129">
        <v>25308.0</v>
      </c>
      <c r="DS53" s="18">
        <f t="shared" si="431"/>
        <v>25308</v>
      </c>
      <c r="DT53" s="129">
        <v>36455.0</v>
      </c>
      <c r="DU53" s="129">
        <v>36093.0</v>
      </c>
      <c r="DV53" s="129">
        <v>36059.0</v>
      </c>
      <c r="DW53" s="129">
        <v>33897.0</v>
      </c>
      <c r="DX53" s="18">
        <f t="shared" si="432"/>
        <v>33897</v>
      </c>
      <c r="DY53" s="129">
        <v>33237.0</v>
      </c>
      <c r="DZ53" s="129">
        <v>31714.0</v>
      </c>
      <c r="EA53" s="129">
        <v>35610.0</v>
      </c>
      <c r="EB53" s="129">
        <v>33510.0</v>
      </c>
      <c r="EC53" s="18">
        <f t="shared" si="433"/>
        <v>33510</v>
      </c>
      <c r="ED53" s="129">
        <v>32788.0</v>
      </c>
      <c r="EE53" s="129">
        <v>32548.0</v>
      </c>
      <c r="EF53" s="129">
        <v>37240.0</v>
      </c>
      <c r="EG53" s="129">
        <v>37684.0</v>
      </c>
      <c r="EH53" s="18">
        <f t="shared" ref="EH53:EH54" si="461">EG53</f>
        <v>37684</v>
      </c>
      <c r="EI53" s="134">
        <f>CF!EI161-BS!EI37</f>
        <v>41651</v>
      </c>
      <c r="EJ53" s="128">
        <f>CF!EJ161-BS!EJ37</f>
        <v>40401</v>
      </c>
      <c r="EK53" s="128">
        <f>CF!EK161-BS!EK37</f>
        <v>39801</v>
      </c>
      <c r="EL53" s="128">
        <f>CF!EL161-BS!EL37</f>
        <v>39801</v>
      </c>
      <c r="EM53" s="18">
        <f t="shared" ref="EM53:EM54" si="463">EL53</f>
        <v>39801</v>
      </c>
      <c r="EN53" s="128">
        <f>CF!EN161-BS!EN37</f>
        <v>39801</v>
      </c>
      <c r="EO53" s="128">
        <f>CF!EO161-BS!EO37</f>
        <v>38301</v>
      </c>
      <c r="EP53" s="128">
        <f>CF!EP161-BS!EP37</f>
        <v>36051</v>
      </c>
      <c r="EQ53" s="128">
        <f>CF!EQ161-BS!EQ37</f>
        <v>36051</v>
      </c>
      <c r="ER53" s="18">
        <f t="shared" ref="ER53:ER54" si="465">EQ53</f>
        <v>36051</v>
      </c>
      <c r="ES53" s="128">
        <f>CF!ES161-BS!ES37</f>
        <v>36051</v>
      </c>
      <c r="ET53" s="128">
        <f>CF!ET161-BS!ET37</f>
        <v>35051</v>
      </c>
      <c r="EU53" s="128">
        <f>CF!EU161-BS!EU37</f>
        <v>35051</v>
      </c>
      <c r="EV53" s="128">
        <f>CF!EV161-BS!EV37</f>
        <v>35051</v>
      </c>
      <c r="EW53" s="18">
        <f t="shared" ref="EW53:EW54" si="467">EV53</f>
        <v>35051</v>
      </c>
      <c r="EX53" s="128">
        <f>CF!EX161-BS!EX37</f>
        <v>34051</v>
      </c>
      <c r="EY53" s="128">
        <f>CF!EY161-BS!EY37</f>
        <v>33051</v>
      </c>
      <c r="EZ53" s="128">
        <f>CF!EZ161-BS!EZ37</f>
        <v>31801</v>
      </c>
      <c r="FA53" s="128">
        <f>CF!FA161-BS!FA37</f>
        <v>31801</v>
      </c>
      <c r="FB53" s="18">
        <f t="shared" ref="FB53:FB54" si="469">FA53</f>
        <v>31801</v>
      </c>
      <c r="FC53" s="128">
        <f>CF!FC161-BS!FC37</f>
        <v>31801</v>
      </c>
      <c r="FD53" s="128">
        <f>CF!FD161-BS!FD37</f>
        <v>31801</v>
      </c>
      <c r="FE53" s="128">
        <f>CF!FE161-BS!FE37</f>
        <v>31801</v>
      </c>
      <c r="FF53" s="128">
        <f>CF!FF161-BS!FF37</f>
        <v>31801</v>
      </c>
      <c r="FG53" s="18">
        <f t="shared" ref="FG53:FG54" si="471">FF53</f>
        <v>31801</v>
      </c>
    </row>
    <row r="54" ht="12.75" customHeight="1">
      <c r="A54" s="8"/>
      <c r="B54" s="812" t="s">
        <v>540</v>
      </c>
      <c r="C54" s="813"/>
      <c r="D54" s="813"/>
      <c r="E54" s="813"/>
      <c r="F54" s="813"/>
      <c r="G54" s="813"/>
      <c r="H54" s="813"/>
      <c r="I54" s="813"/>
      <c r="J54" s="813"/>
      <c r="K54" s="813"/>
      <c r="L54" s="813"/>
      <c r="M54" s="813"/>
      <c r="N54" s="166">
        <f t="shared" ref="N54:V54" si="434">+N47+N50+N53+N52</f>
        <v>8644</v>
      </c>
      <c r="O54" s="166">
        <f t="shared" si="434"/>
        <v>6685</v>
      </c>
      <c r="P54" s="166">
        <f t="shared" si="434"/>
        <v>7589</v>
      </c>
      <c r="Q54" s="166">
        <f t="shared" si="434"/>
        <v>8094</v>
      </c>
      <c r="R54" s="166">
        <f t="shared" si="434"/>
        <v>8094</v>
      </c>
      <c r="S54" s="166">
        <f t="shared" si="434"/>
        <v>8367</v>
      </c>
      <c r="T54" s="166">
        <f t="shared" si="434"/>
        <v>7329</v>
      </c>
      <c r="U54" s="166">
        <f t="shared" si="434"/>
        <v>9756</v>
      </c>
      <c r="V54" s="166">
        <f t="shared" si="434"/>
        <v>11314</v>
      </c>
      <c r="W54" s="166">
        <f t="shared" si="414"/>
        <v>11314</v>
      </c>
      <c r="X54" s="166">
        <f t="shared" ref="X54:AA54" si="435">+X47+X50+X53+X52</f>
        <v>11708</v>
      </c>
      <c r="Y54" s="166">
        <f t="shared" si="435"/>
        <v>11900</v>
      </c>
      <c r="Z54" s="166">
        <f t="shared" si="435"/>
        <v>11308</v>
      </c>
      <c r="AA54" s="166">
        <f t="shared" si="435"/>
        <v>10623</v>
      </c>
      <c r="AB54" s="166">
        <f t="shared" si="415"/>
        <v>10623</v>
      </c>
      <c r="AC54" s="166">
        <f t="shared" ref="AC54:AF54" si="436">+AC47+AC50+AC53+AC52</f>
        <v>9331</v>
      </c>
      <c r="AD54" s="166">
        <f t="shared" si="436"/>
        <v>8886</v>
      </c>
      <c r="AE54" s="166">
        <f t="shared" si="436"/>
        <v>8329</v>
      </c>
      <c r="AF54" s="166">
        <f t="shared" si="436"/>
        <v>8565</v>
      </c>
      <c r="AG54" s="166">
        <f t="shared" si="416"/>
        <v>8565</v>
      </c>
      <c r="AH54" s="166">
        <f t="shared" ref="AH54:AK54" si="437">+AH47+AH50+AH53+AH52</f>
        <v>8529</v>
      </c>
      <c r="AI54" s="166">
        <f t="shared" si="437"/>
        <v>7918</v>
      </c>
      <c r="AJ54" s="166">
        <f t="shared" si="437"/>
        <v>8329</v>
      </c>
      <c r="AK54" s="166">
        <f t="shared" si="437"/>
        <v>8756</v>
      </c>
      <c r="AL54" s="166">
        <f t="shared" si="438"/>
        <v>8756</v>
      </c>
      <c r="AM54" s="166">
        <f t="shared" ref="AM54:AP54" si="439">+AM47+AM50+AM53+AM52</f>
        <v>8405</v>
      </c>
      <c r="AN54" s="166">
        <f t="shared" si="439"/>
        <v>8975</v>
      </c>
      <c r="AO54" s="166">
        <f t="shared" si="439"/>
        <v>9642</v>
      </c>
      <c r="AP54" s="166">
        <f t="shared" si="439"/>
        <v>9297</v>
      </c>
      <c r="AQ54" s="166">
        <f t="shared" si="440"/>
        <v>9297</v>
      </c>
      <c r="AR54" s="166">
        <f t="shared" ref="AR54:AU54" si="441">+AR47+AR50+AR53+AR52</f>
        <v>8978</v>
      </c>
      <c r="AS54" s="166">
        <f t="shared" si="441"/>
        <v>10079</v>
      </c>
      <c r="AT54" s="166">
        <f t="shared" si="441"/>
        <v>9605</v>
      </c>
      <c r="AU54" s="166">
        <f t="shared" si="441"/>
        <v>9564</v>
      </c>
      <c r="AV54" s="166">
        <f t="shared" si="442"/>
        <v>9564</v>
      </c>
      <c r="AW54" s="166">
        <f t="shared" ref="AW54:AZ54" si="443">+AW47+AW50+AW53+AW52</f>
        <v>9855</v>
      </c>
      <c r="AX54" s="166">
        <f t="shared" si="443"/>
        <v>8899</v>
      </c>
      <c r="AY54" s="166">
        <f t="shared" si="443"/>
        <v>10684</v>
      </c>
      <c r="AZ54" s="166">
        <f t="shared" si="443"/>
        <v>12132</v>
      </c>
      <c r="BA54" s="166">
        <f t="shared" si="417"/>
        <v>12132</v>
      </c>
      <c r="BB54" s="166">
        <f t="shared" ref="BB54:BE54" si="444">+BB47+BB50+BB53+BB52</f>
        <v>12836</v>
      </c>
      <c r="BC54" s="166">
        <f t="shared" si="444"/>
        <v>11292</v>
      </c>
      <c r="BD54" s="166">
        <f t="shared" si="444"/>
        <v>11838</v>
      </c>
      <c r="BE54" s="166">
        <f t="shared" si="444"/>
        <v>11616</v>
      </c>
      <c r="BF54" s="166">
        <f t="shared" si="418"/>
        <v>11616</v>
      </c>
      <c r="BG54" s="166">
        <f t="shared" ref="BG54:BJ54" si="445">+BG47+BG50+BG53+BG52</f>
        <v>11230</v>
      </c>
      <c r="BH54" s="166">
        <f t="shared" si="445"/>
        <v>10596</v>
      </c>
      <c r="BI54" s="166">
        <f t="shared" si="445"/>
        <v>12137</v>
      </c>
      <c r="BJ54" s="166">
        <f t="shared" si="445"/>
        <v>12889</v>
      </c>
      <c r="BK54" s="166">
        <f t="shared" si="419"/>
        <v>12889</v>
      </c>
      <c r="BL54" s="166">
        <f t="shared" ref="BL54:BO54" si="446">+BL47+BL50+BL53+BL52</f>
        <v>12727</v>
      </c>
      <c r="BM54" s="166">
        <f t="shared" si="446"/>
        <v>12031</v>
      </c>
      <c r="BN54" s="166">
        <f t="shared" si="446"/>
        <v>13808</v>
      </c>
      <c r="BO54" s="166">
        <f t="shared" si="446"/>
        <v>11627</v>
      </c>
      <c r="BP54" s="166">
        <f t="shared" si="420"/>
        <v>11627</v>
      </c>
      <c r="BQ54" s="166">
        <f t="shared" ref="BQ54:BT54" si="447">+BQ47+BQ50+BQ53+BQ52</f>
        <v>9390</v>
      </c>
      <c r="BR54" s="166">
        <f t="shared" si="447"/>
        <v>10014</v>
      </c>
      <c r="BS54" s="166">
        <f t="shared" si="447"/>
        <v>11963</v>
      </c>
      <c r="BT54" s="166">
        <f t="shared" si="447"/>
        <v>11391</v>
      </c>
      <c r="BU54" s="166">
        <f t="shared" si="421"/>
        <v>11391</v>
      </c>
      <c r="BV54" s="166">
        <f t="shared" ref="BV54:BY54" si="448">+BV47+BV50+BV53+BV52</f>
        <v>12873</v>
      </c>
      <c r="BW54" s="166">
        <f t="shared" si="448"/>
        <v>11850</v>
      </c>
      <c r="BX54" s="166">
        <f t="shared" si="448"/>
        <v>12892</v>
      </c>
      <c r="BY54" s="166">
        <f t="shared" si="448"/>
        <v>13756</v>
      </c>
      <c r="BZ54" s="166">
        <f t="shared" si="422"/>
        <v>13756</v>
      </c>
      <c r="CA54" s="166">
        <f t="shared" ref="CA54:CD54" si="449">+CA47+CA50+CA53+CA52</f>
        <v>18203</v>
      </c>
      <c r="CB54" s="166">
        <f t="shared" si="449"/>
        <v>17366</v>
      </c>
      <c r="CC54" s="166">
        <f t="shared" si="449"/>
        <v>24434</v>
      </c>
      <c r="CD54" s="166">
        <f t="shared" si="449"/>
        <v>25208</v>
      </c>
      <c r="CE54" s="166">
        <f t="shared" si="423"/>
        <v>25208</v>
      </c>
      <c r="CF54" s="166">
        <f t="shared" ref="CF54:CI54" si="450">+CF47+CF50+CF53+CF52</f>
        <v>25057</v>
      </c>
      <c r="CG54" s="166">
        <f t="shared" si="450"/>
        <v>23573</v>
      </c>
      <c r="CH54" s="166">
        <f t="shared" si="450"/>
        <v>25172</v>
      </c>
      <c r="CI54" s="166">
        <f t="shared" si="450"/>
        <v>33148</v>
      </c>
      <c r="CJ54" s="166">
        <f t="shared" si="424"/>
        <v>33148</v>
      </c>
      <c r="CK54" s="166">
        <f t="shared" ref="CK54:CN54" si="451">+CK47+CK50+CK53+CK52</f>
        <v>31889</v>
      </c>
      <c r="CL54" s="166">
        <f t="shared" si="451"/>
        <v>31821</v>
      </c>
      <c r="CM54" s="166">
        <f t="shared" si="451"/>
        <v>35099</v>
      </c>
      <c r="CN54" s="166">
        <f t="shared" si="451"/>
        <v>34102</v>
      </c>
      <c r="CO54" s="166">
        <f t="shared" si="425"/>
        <v>34102</v>
      </c>
      <c r="CP54" s="166">
        <f t="shared" ref="CP54:CS54" si="452">+CP47+CP50+CP53+CP52</f>
        <v>33894</v>
      </c>
      <c r="CQ54" s="166">
        <f t="shared" si="452"/>
        <v>32546</v>
      </c>
      <c r="CR54" s="166">
        <f t="shared" si="452"/>
        <v>33628</v>
      </c>
      <c r="CS54" s="166">
        <f t="shared" si="452"/>
        <v>35179</v>
      </c>
      <c r="CT54" s="166">
        <f t="shared" si="426"/>
        <v>35179</v>
      </c>
      <c r="CU54" s="166">
        <f t="shared" ref="CU54:CX54" si="453">+CU47+CU50+CU53+CU52</f>
        <v>33734</v>
      </c>
      <c r="CV54" s="166">
        <f t="shared" si="453"/>
        <v>31892</v>
      </c>
      <c r="CW54" s="166">
        <f t="shared" si="453"/>
        <v>40550</v>
      </c>
      <c r="CX54" s="166">
        <f t="shared" si="453"/>
        <v>41083</v>
      </c>
      <c r="CY54" s="168">
        <f t="shared" si="427"/>
        <v>41083</v>
      </c>
      <c r="CZ54" s="166">
        <f t="shared" ref="CZ54:DC54" si="454">+CZ47+CZ50+CZ53+CZ52</f>
        <v>43399</v>
      </c>
      <c r="DA54" s="166">
        <f t="shared" si="454"/>
        <v>47574</v>
      </c>
      <c r="DB54" s="166">
        <f t="shared" si="454"/>
        <v>48216</v>
      </c>
      <c r="DC54" s="166">
        <f t="shared" si="454"/>
        <v>46219</v>
      </c>
      <c r="DD54" s="168">
        <f t="shared" si="428"/>
        <v>46219</v>
      </c>
      <c r="DE54" s="166">
        <f t="shared" ref="DE54:DH54" si="455">+DE47+DE50+DE53+DE52</f>
        <v>47926</v>
      </c>
      <c r="DF54" s="166">
        <f t="shared" si="455"/>
        <v>52608</v>
      </c>
      <c r="DG54" s="167">
        <f t="shared" si="455"/>
        <v>55282</v>
      </c>
      <c r="DH54" s="166">
        <f t="shared" si="455"/>
        <v>53364</v>
      </c>
      <c r="DI54" s="168">
        <f t="shared" si="429"/>
        <v>53364</v>
      </c>
      <c r="DJ54" s="167">
        <f t="shared" ref="DJ54:DM54" si="456">+DJ47+DJ50+DJ53+DJ52</f>
        <v>58431</v>
      </c>
      <c r="DK54" s="167">
        <f t="shared" si="456"/>
        <v>55925</v>
      </c>
      <c r="DL54" s="167">
        <f t="shared" si="456"/>
        <v>56244</v>
      </c>
      <c r="DM54" s="167">
        <f t="shared" si="456"/>
        <v>53400</v>
      </c>
      <c r="DN54" s="168">
        <f t="shared" si="430"/>
        <v>53400</v>
      </c>
      <c r="DO54" s="167">
        <f t="shared" ref="DO54:DR54" si="457">+DO47+DO50+DO53+DO52</f>
        <v>55797</v>
      </c>
      <c r="DP54" s="167">
        <f t="shared" si="457"/>
        <v>55812</v>
      </c>
      <c r="DQ54" s="167">
        <f t="shared" si="457"/>
        <v>59360</v>
      </c>
      <c r="DR54" s="167">
        <f t="shared" si="457"/>
        <v>58865</v>
      </c>
      <c r="DS54" s="168">
        <f t="shared" si="431"/>
        <v>58865</v>
      </c>
      <c r="DT54" s="167">
        <f t="shared" ref="DT54:DW54" si="458">+DT47+DT50+DT53+DT52</f>
        <v>71356</v>
      </c>
      <c r="DU54" s="167">
        <f t="shared" si="458"/>
        <v>70529</v>
      </c>
      <c r="DV54" s="167">
        <f t="shared" si="458"/>
        <v>70707</v>
      </c>
      <c r="DW54" s="167">
        <f t="shared" si="458"/>
        <v>72053</v>
      </c>
      <c r="DX54" s="168">
        <f t="shared" si="432"/>
        <v>72053</v>
      </c>
      <c r="DY54" s="167">
        <f t="shared" ref="DY54:EB54" si="459">+DY47+DY50+DY53+DY52</f>
        <v>70815</v>
      </c>
      <c r="DZ54" s="167">
        <f t="shared" si="459"/>
        <v>69390</v>
      </c>
      <c r="EA54" s="167">
        <f t="shared" si="459"/>
        <v>77875</v>
      </c>
      <c r="EB54" s="167">
        <f t="shared" si="459"/>
        <v>73015</v>
      </c>
      <c r="EC54" s="168">
        <f t="shared" si="433"/>
        <v>73015</v>
      </c>
      <c r="ED54" s="167">
        <f t="shared" ref="ED54:EG54" si="460">+ED47+ED50+ED53+ED52</f>
        <v>73220</v>
      </c>
      <c r="EE54" s="167">
        <f t="shared" si="460"/>
        <v>69200</v>
      </c>
      <c r="EF54" s="167">
        <f t="shared" si="460"/>
        <v>74956</v>
      </c>
      <c r="EG54" s="167">
        <f t="shared" si="460"/>
        <v>78817</v>
      </c>
      <c r="EH54" s="168">
        <f t="shared" si="461"/>
        <v>78817</v>
      </c>
      <c r="EI54" s="169" t="str">
        <f t="shared" ref="EI54:EL54" si="462">+EI47+EI50+EI53+EI52</f>
        <v>#ERROR!</v>
      </c>
      <c r="EJ54" s="166" t="str">
        <f t="shared" si="462"/>
        <v>#ERROR!</v>
      </c>
      <c r="EK54" s="166" t="str">
        <f t="shared" si="462"/>
        <v>#ERROR!</v>
      </c>
      <c r="EL54" s="166" t="str">
        <f t="shared" si="462"/>
        <v>#ERROR!</v>
      </c>
      <c r="EM54" s="168" t="str">
        <f t="shared" si="463"/>
        <v>#ERROR!</v>
      </c>
      <c r="EN54" s="166" t="str">
        <f t="shared" ref="EN54:EQ54" si="464">+EN47+EN50+EN53+EN52</f>
        <v>#ERROR!</v>
      </c>
      <c r="EO54" s="166" t="str">
        <f t="shared" si="464"/>
        <v>#ERROR!</v>
      </c>
      <c r="EP54" s="166" t="str">
        <f t="shared" si="464"/>
        <v>#ERROR!</v>
      </c>
      <c r="EQ54" s="166" t="str">
        <f t="shared" si="464"/>
        <v>#ERROR!</v>
      </c>
      <c r="ER54" s="168" t="str">
        <f t="shared" si="465"/>
        <v>#ERROR!</v>
      </c>
      <c r="ES54" s="166" t="str">
        <f t="shared" ref="ES54:EV54" si="466">+ES47+ES50+ES53+ES52</f>
        <v>#ERROR!</v>
      </c>
      <c r="ET54" s="166" t="str">
        <f t="shared" si="466"/>
        <v>#ERROR!</v>
      </c>
      <c r="EU54" s="166" t="str">
        <f t="shared" si="466"/>
        <v>#ERROR!</v>
      </c>
      <c r="EV54" s="166" t="str">
        <f t="shared" si="466"/>
        <v>#ERROR!</v>
      </c>
      <c r="EW54" s="168" t="str">
        <f t="shared" si="467"/>
        <v>#ERROR!</v>
      </c>
      <c r="EX54" s="166" t="str">
        <f t="shared" ref="EX54:FA54" si="468">+EX47+EX50+EX53+EX52</f>
        <v>#ERROR!</v>
      </c>
      <c r="EY54" s="166" t="str">
        <f t="shared" si="468"/>
        <v>#ERROR!</v>
      </c>
      <c r="EZ54" s="166" t="str">
        <f t="shared" si="468"/>
        <v>#ERROR!</v>
      </c>
      <c r="FA54" s="166" t="str">
        <f t="shared" si="468"/>
        <v>#ERROR!</v>
      </c>
      <c r="FB54" s="168" t="str">
        <f t="shared" si="469"/>
        <v>#ERROR!</v>
      </c>
      <c r="FC54" s="166" t="str">
        <f t="shared" ref="FC54:FF54" si="470">+FC47+FC50+FC53+FC52</f>
        <v>#ERROR!</v>
      </c>
      <c r="FD54" s="166" t="str">
        <f t="shared" si="470"/>
        <v>#ERROR!</v>
      </c>
      <c r="FE54" s="166" t="str">
        <f t="shared" si="470"/>
        <v>#ERROR!</v>
      </c>
      <c r="FF54" s="166" t="str">
        <f t="shared" si="470"/>
        <v>#ERROR!</v>
      </c>
      <c r="FG54" s="168" t="str">
        <f t="shared" si="471"/>
        <v>#ERROR!</v>
      </c>
    </row>
    <row r="55" ht="12.75" customHeight="1">
      <c r="A55" s="179"/>
      <c r="B55" s="800"/>
      <c r="C55" s="800"/>
      <c r="D55" s="800"/>
      <c r="E55" s="800"/>
      <c r="F55" s="800"/>
      <c r="G55" s="800"/>
      <c r="H55" s="800"/>
      <c r="I55" s="800"/>
      <c r="J55" s="800"/>
      <c r="K55" s="800"/>
      <c r="L55" s="800"/>
      <c r="M55" s="800"/>
      <c r="N55" s="128"/>
      <c r="O55" s="128"/>
      <c r="P55" s="128"/>
      <c r="Q55" s="128"/>
      <c r="R55" s="73"/>
      <c r="S55" s="128"/>
      <c r="T55" s="128"/>
      <c r="U55" s="128"/>
      <c r="V55" s="128"/>
      <c r="W55" s="73"/>
      <c r="X55" s="128"/>
      <c r="Y55" s="128"/>
      <c r="Z55" s="128"/>
      <c r="AA55" s="128"/>
      <c r="AB55" s="73"/>
      <c r="AC55" s="128"/>
      <c r="AD55" s="128"/>
      <c r="AE55" s="128"/>
      <c r="AF55" s="128"/>
      <c r="AG55" s="73"/>
      <c r="AH55" s="128"/>
      <c r="AI55" s="128"/>
      <c r="AJ55" s="128"/>
      <c r="AK55" s="128"/>
      <c r="AL55" s="73"/>
      <c r="AM55" s="128"/>
      <c r="AN55" s="128"/>
      <c r="AO55" s="128"/>
      <c r="AP55" s="128"/>
      <c r="AQ55" s="73"/>
      <c r="AR55" s="128"/>
      <c r="AS55" s="128"/>
      <c r="AT55" s="128"/>
      <c r="AU55" s="128"/>
      <c r="AV55" s="73"/>
      <c r="AW55" s="128"/>
      <c r="AX55" s="128"/>
      <c r="AY55" s="128"/>
      <c r="AZ55" s="128"/>
      <c r="BA55" s="73"/>
      <c r="BB55" s="128"/>
      <c r="BC55" s="128"/>
      <c r="BD55" s="128"/>
      <c r="BE55" s="128"/>
      <c r="BF55" s="73"/>
      <c r="BG55" s="128"/>
      <c r="BH55" s="128"/>
      <c r="BI55" s="128"/>
      <c r="BJ55" s="128"/>
      <c r="BK55" s="73"/>
      <c r="BL55" s="128"/>
      <c r="BM55" s="128"/>
      <c r="BN55" s="128"/>
      <c r="BO55" s="128"/>
      <c r="BP55" s="73"/>
      <c r="BQ55" s="128"/>
      <c r="BR55" s="128"/>
      <c r="BS55" s="128"/>
      <c r="BT55" s="128"/>
      <c r="BU55" s="73"/>
      <c r="BV55" s="128"/>
      <c r="BW55" s="128"/>
      <c r="BX55" s="128"/>
      <c r="BY55" s="128"/>
      <c r="BZ55" s="73"/>
      <c r="CA55" s="128"/>
      <c r="CB55" s="128"/>
      <c r="CC55" s="128"/>
      <c r="CD55" s="128"/>
      <c r="CE55" s="73"/>
      <c r="CF55" s="128"/>
      <c r="CG55" s="128"/>
      <c r="CH55" s="128"/>
      <c r="CI55" s="128"/>
      <c r="CJ55" s="73"/>
      <c r="CK55" s="128"/>
      <c r="CL55" s="128"/>
      <c r="CM55" s="128"/>
      <c r="CN55" s="128"/>
      <c r="CO55" s="73"/>
      <c r="CP55" s="128"/>
      <c r="CQ55" s="128"/>
      <c r="CR55" s="17"/>
      <c r="CS55" s="128"/>
      <c r="CT55" s="73"/>
      <c r="CU55" s="128"/>
      <c r="CV55" s="128"/>
      <c r="CW55" s="128"/>
      <c r="CX55" s="128"/>
      <c r="CY55" s="18"/>
      <c r="CZ55" s="128"/>
      <c r="DA55" s="128"/>
      <c r="DB55" s="128"/>
      <c r="DC55" s="128"/>
      <c r="DD55" s="18"/>
      <c r="DE55" s="128"/>
      <c r="DF55" s="128"/>
      <c r="DG55" s="129"/>
      <c r="DH55" s="128"/>
      <c r="DI55" s="18"/>
      <c r="DJ55" s="129"/>
      <c r="DK55" s="129"/>
      <c r="DL55" s="129"/>
      <c r="DM55" s="129"/>
      <c r="DN55" s="18"/>
      <c r="DO55" s="129"/>
      <c r="DP55" s="129"/>
      <c r="DQ55" s="129"/>
      <c r="DR55" s="129"/>
      <c r="DS55" s="18"/>
      <c r="DT55" s="129"/>
      <c r="DU55" s="129"/>
      <c r="DV55" s="129"/>
      <c r="DW55" s="129"/>
      <c r="DX55" s="18"/>
      <c r="DY55" s="129"/>
      <c r="DZ55" s="129"/>
      <c r="EA55" s="129"/>
      <c r="EB55" s="129"/>
      <c r="EC55" s="18"/>
      <c r="ED55" s="129"/>
      <c r="EE55" s="129"/>
      <c r="EF55" s="129"/>
      <c r="EG55" s="129"/>
      <c r="EH55" s="18"/>
      <c r="EI55" s="134"/>
      <c r="EJ55" s="128"/>
      <c r="EK55" s="128"/>
      <c r="EL55" s="128"/>
      <c r="EM55" s="18"/>
      <c r="EN55" s="128"/>
      <c r="EO55" s="128"/>
      <c r="EP55" s="128"/>
      <c r="EQ55" s="128"/>
      <c r="ER55" s="18"/>
      <c r="ES55" s="128"/>
      <c r="ET55" s="128"/>
      <c r="EU55" s="128"/>
      <c r="EV55" s="128"/>
      <c r="EW55" s="18"/>
      <c r="EX55" s="128"/>
      <c r="EY55" s="128"/>
      <c r="EZ55" s="128"/>
      <c r="FA55" s="128"/>
      <c r="FB55" s="18"/>
      <c r="FC55" s="128"/>
      <c r="FD55" s="128"/>
      <c r="FE55" s="128"/>
      <c r="FF55" s="128"/>
      <c r="FG55" s="18"/>
    </row>
    <row r="56" ht="12.75" customHeight="1" outlineLevel="1">
      <c r="A56" s="179"/>
      <c r="B56" s="800" t="s">
        <v>541</v>
      </c>
      <c r="C56" s="800"/>
      <c r="D56" s="800"/>
      <c r="E56" s="800"/>
      <c r="F56" s="800"/>
      <c r="G56" s="800"/>
      <c r="H56" s="800"/>
      <c r="I56" s="800"/>
      <c r="J56" s="800"/>
      <c r="K56" s="800"/>
      <c r="L56" s="800"/>
      <c r="M56" s="800"/>
      <c r="N56" s="128"/>
      <c r="O56" s="128"/>
      <c r="P56" s="128"/>
      <c r="Q56" s="128"/>
      <c r="R56" s="73"/>
      <c r="S56" s="128"/>
      <c r="T56" s="128"/>
      <c r="U56" s="128"/>
      <c r="V56" s="128"/>
      <c r="W56" s="73">
        <v>0.0</v>
      </c>
      <c r="X56" s="128"/>
      <c r="Y56" s="128"/>
      <c r="Z56" s="128"/>
      <c r="AA56" s="128">
        <v>0.0</v>
      </c>
      <c r="AB56" s="73">
        <f t="shared" ref="AB56:AB60" si="472">AA56</f>
        <v>0</v>
      </c>
      <c r="AC56" s="128">
        <v>0.0</v>
      </c>
      <c r="AD56" s="128">
        <v>0.0</v>
      </c>
      <c r="AE56" s="128">
        <v>0.0</v>
      </c>
      <c r="AF56" s="128">
        <v>0.0</v>
      </c>
      <c r="AG56" s="73">
        <f t="shared" ref="AG56:AG61" si="473">AF56</f>
        <v>0</v>
      </c>
      <c r="AH56" s="128">
        <v>0.0</v>
      </c>
      <c r="AI56" s="128">
        <v>0.0</v>
      </c>
      <c r="AJ56" s="128">
        <v>0.0</v>
      </c>
      <c r="AK56" s="128">
        <v>0.0</v>
      </c>
      <c r="AL56" s="73">
        <f t="shared" ref="AL56:AL61" si="474">AK56</f>
        <v>0</v>
      </c>
      <c r="AM56" s="128">
        <v>0.0</v>
      </c>
      <c r="AN56" s="128">
        <v>0.0</v>
      </c>
      <c r="AO56" s="128">
        <v>0.0</v>
      </c>
      <c r="AP56" s="128">
        <v>0.0</v>
      </c>
      <c r="AQ56" s="73">
        <f t="shared" ref="AQ56:AQ61" si="475">AP56</f>
        <v>0</v>
      </c>
      <c r="AR56" s="128"/>
      <c r="AS56" s="128"/>
      <c r="AT56" s="128"/>
      <c r="AU56" s="128"/>
      <c r="AV56" s="73"/>
      <c r="AW56" s="128"/>
      <c r="AX56" s="128"/>
      <c r="AY56" s="128"/>
      <c r="AZ56" s="128"/>
      <c r="BA56" s="73"/>
      <c r="BB56" s="128"/>
      <c r="BC56" s="128"/>
      <c r="BD56" s="128"/>
      <c r="BE56" s="128"/>
      <c r="BF56" s="73"/>
      <c r="BG56" s="128"/>
      <c r="BH56" s="128"/>
      <c r="BI56" s="128"/>
      <c r="BJ56" s="128"/>
      <c r="BK56" s="73"/>
      <c r="BL56" s="128"/>
      <c r="BM56" s="128"/>
      <c r="BN56" s="128"/>
      <c r="BO56" s="128"/>
      <c r="BP56" s="73"/>
      <c r="BQ56" s="128"/>
      <c r="BR56" s="128"/>
      <c r="BS56" s="128"/>
      <c r="BT56" s="128"/>
      <c r="BU56" s="73"/>
      <c r="BV56" s="128"/>
      <c r="BW56" s="128"/>
      <c r="BX56" s="128"/>
      <c r="BY56" s="128"/>
      <c r="BZ56" s="73"/>
      <c r="CA56" s="128"/>
      <c r="CB56" s="128"/>
      <c r="CC56" s="128"/>
      <c r="CD56" s="128"/>
      <c r="CE56" s="73"/>
      <c r="CF56" s="128"/>
      <c r="CG56" s="128"/>
      <c r="CH56" s="128"/>
      <c r="CI56" s="128"/>
      <c r="CJ56" s="73"/>
      <c r="CK56" s="128"/>
      <c r="CL56" s="128"/>
      <c r="CM56" s="128"/>
      <c r="CN56" s="128"/>
      <c r="CO56" s="73"/>
      <c r="CP56" s="128"/>
      <c r="CQ56" s="128"/>
      <c r="CR56" s="17"/>
      <c r="CS56" s="128"/>
      <c r="CT56" s="73"/>
      <c r="CU56" s="128"/>
      <c r="CV56" s="128"/>
      <c r="CW56" s="128"/>
      <c r="CX56" s="128"/>
      <c r="CY56" s="18"/>
      <c r="CZ56" s="128"/>
      <c r="DA56" s="128"/>
      <c r="DB56" s="128"/>
      <c r="DC56" s="128"/>
      <c r="DD56" s="18"/>
      <c r="DE56" s="128"/>
      <c r="DF56" s="128"/>
      <c r="DG56" s="129"/>
      <c r="DH56" s="128"/>
      <c r="DI56" s="18"/>
      <c r="DJ56" s="129"/>
      <c r="DK56" s="129"/>
      <c r="DL56" s="129"/>
      <c r="DM56" s="129"/>
      <c r="DN56" s="18"/>
      <c r="DO56" s="129"/>
      <c r="DP56" s="129"/>
      <c r="DQ56" s="129"/>
      <c r="DR56" s="129"/>
      <c r="DS56" s="18"/>
      <c r="DT56" s="129"/>
      <c r="DU56" s="129"/>
      <c r="DV56" s="129"/>
      <c r="DW56" s="129"/>
      <c r="DX56" s="18"/>
      <c r="DY56" s="129"/>
      <c r="DZ56" s="129"/>
      <c r="EA56" s="129"/>
      <c r="EB56" s="129"/>
      <c r="EC56" s="18"/>
      <c r="ED56" s="129"/>
      <c r="EE56" s="129"/>
      <c r="EF56" s="129"/>
      <c r="EG56" s="129"/>
      <c r="EH56" s="18"/>
      <c r="EI56" s="134"/>
      <c r="EJ56" s="128"/>
      <c r="EK56" s="128"/>
      <c r="EL56" s="128"/>
      <c r="EM56" s="18"/>
      <c r="EN56" s="128"/>
      <c r="EO56" s="128"/>
      <c r="EP56" s="128"/>
      <c r="EQ56" s="128"/>
      <c r="ER56" s="18"/>
      <c r="ES56" s="128"/>
      <c r="ET56" s="128"/>
      <c r="EU56" s="128"/>
      <c r="EV56" s="128"/>
      <c r="EW56" s="18"/>
      <c r="EX56" s="128"/>
      <c r="EY56" s="128"/>
      <c r="EZ56" s="128"/>
      <c r="FA56" s="128"/>
      <c r="FB56" s="18"/>
      <c r="FC56" s="128"/>
      <c r="FD56" s="128"/>
      <c r="FE56" s="128"/>
      <c r="FF56" s="128"/>
      <c r="FG56" s="18"/>
    </row>
    <row r="57" ht="12.75" customHeight="1" outlineLevel="1">
      <c r="A57" s="179"/>
      <c r="B57" s="800" t="s">
        <v>542</v>
      </c>
      <c r="C57" s="800"/>
      <c r="D57" s="800"/>
      <c r="E57" s="800"/>
      <c r="F57" s="800"/>
      <c r="G57" s="800"/>
      <c r="H57" s="800"/>
      <c r="I57" s="800"/>
      <c r="J57" s="800"/>
      <c r="K57" s="800"/>
      <c r="L57" s="800"/>
      <c r="M57" s="800"/>
      <c r="N57" s="128"/>
      <c r="O57" s="128"/>
      <c r="P57" s="128"/>
      <c r="Q57" s="128"/>
      <c r="R57" s="73"/>
      <c r="S57" s="128"/>
      <c r="T57" s="128"/>
      <c r="U57" s="128"/>
      <c r="V57" s="128"/>
      <c r="W57" s="73">
        <v>7316.0</v>
      </c>
      <c r="X57" s="128"/>
      <c r="Y57" s="128"/>
      <c r="Z57" s="128"/>
      <c r="AA57" s="128">
        <v>8486.0</v>
      </c>
      <c r="AB57" s="73">
        <f t="shared" si="472"/>
        <v>8486</v>
      </c>
      <c r="AC57" s="128">
        <v>8712.0</v>
      </c>
      <c r="AD57" s="128">
        <v>9094.0</v>
      </c>
      <c r="AE57" s="128">
        <v>8965.0</v>
      </c>
      <c r="AF57" s="128">
        <v>8833.0</v>
      </c>
      <c r="AG57" s="73">
        <f t="shared" si="473"/>
        <v>8833</v>
      </c>
      <c r="AH57" s="128">
        <v>8828.0</v>
      </c>
      <c r="AI57" s="128">
        <v>8628.0</v>
      </c>
      <c r="AJ57" s="128">
        <v>8249.0</v>
      </c>
      <c r="AK57" s="128">
        <v>7641.0</v>
      </c>
      <c r="AL57" s="73">
        <f t="shared" si="474"/>
        <v>7641</v>
      </c>
      <c r="AM57" s="128">
        <v>7180.0</v>
      </c>
      <c r="AN57" s="128">
        <v>6733.0</v>
      </c>
      <c r="AO57" s="128">
        <v>7154.0</v>
      </c>
      <c r="AP57" s="128">
        <v>6754.0</v>
      </c>
      <c r="AQ57" s="73">
        <f t="shared" si="475"/>
        <v>6754</v>
      </c>
      <c r="AR57" s="128">
        <v>6726.0</v>
      </c>
      <c r="AS57" s="128">
        <v>6395.0</v>
      </c>
      <c r="AT57" s="128">
        <v>6045.0</v>
      </c>
      <c r="AU57" s="128">
        <v>6143.0</v>
      </c>
      <c r="AV57" s="73">
        <f t="shared" ref="AV57:AV61" si="476">AU57</f>
        <v>6143</v>
      </c>
      <c r="AW57" s="128">
        <v>6220.0</v>
      </c>
      <c r="AX57" s="128">
        <v>6260.0</v>
      </c>
      <c r="AY57" s="128">
        <v>6223.0</v>
      </c>
      <c r="AZ57" s="128">
        <v>6245.0</v>
      </c>
      <c r="BA57" s="73">
        <f t="shared" ref="BA57:BA61" si="477">AZ57</f>
        <v>6245</v>
      </c>
      <c r="BB57" s="128">
        <v>6662.0</v>
      </c>
      <c r="BC57" s="128">
        <v>6986.0</v>
      </c>
      <c r="BD57" s="128">
        <v>7348.0</v>
      </c>
      <c r="BE57" s="128">
        <v>7825.0</v>
      </c>
      <c r="BF57" s="73">
        <f t="shared" ref="BF57:BF61" si="479">BE57</f>
        <v>7825</v>
      </c>
      <c r="BG57" s="128">
        <v>8598.0</v>
      </c>
      <c r="BH57" s="128">
        <v>9597.0</v>
      </c>
      <c r="BI57" s="128">
        <v>10695.0</v>
      </c>
      <c r="BJ57" s="128">
        <v>11653.0</v>
      </c>
      <c r="BK57" s="73">
        <f t="shared" ref="BK57:BK61" si="480">BJ57</f>
        <v>11653</v>
      </c>
      <c r="BL57" s="128">
        <v>12118.0</v>
      </c>
      <c r="BM57" s="128">
        <v>12452.0</v>
      </c>
      <c r="BN57" s="128">
        <v>12744.0</v>
      </c>
      <c r="BO57" s="128">
        <v>12944.0</v>
      </c>
      <c r="BP57" s="73">
        <f t="shared" ref="BP57:BP61" si="481">BO57</f>
        <v>12944</v>
      </c>
      <c r="BQ57" s="128">
        <v>13845.0</v>
      </c>
      <c r="BR57" s="128">
        <v>13995.0</v>
      </c>
      <c r="BS57" s="128">
        <v>14763.0</v>
      </c>
      <c r="BT57" s="128">
        <v>14993.0</v>
      </c>
      <c r="BU57" s="73">
        <f t="shared" ref="BU57:BU61" si="482">BT57</f>
        <v>14993</v>
      </c>
      <c r="BV57" s="128">
        <v>15466.0</v>
      </c>
      <c r="BW57" s="128">
        <v>15741.0</v>
      </c>
      <c r="BX57" s="128">
        <v>16096.0</v>
      </c>
      <c r="BY57" s="128">
        <v>16178.0</v>
      </c>
      <c r="BZ57" s="73">
        <f t="shared" ref="BZ57:BZ61" si="483">BY57</f>
        <v>16178</v>
      </c>
      <c r="CA57" s="128">
        <v>16271.0</v>
      </c>
      <c r="CB57" s="128">
        <v>16245.0</v>
      </c>
      <c r="CC57" s="128">
        <v>16247.0</v>
      </c>
      <c r="CD57" s="128">
        <v>17036.0</v>
      </c>
      <c r="CE57" s="73">
        <f t="shared" ref="CE57:CE61" si="484">CD57</f>
        <v>17036</v>
      </c>
      <c r="CF57" s="128">
        <v>18381.0</v>
      </c>
      <c r="CG57" s="128">
        <v>18883.0</v>
      </c>
      <c r="CH57" s="128">
        <v>19278.0</v>
      </c>
      <c r="CI57" s="128">
        <v>19464.0</v>
      </c>
      <c r="CJ57" s="73">
        <f t="shared" ref="CJ57:CJ61" si="485">CI57</f>
        <v>19464</v>
      </c>
      <c r="CK57" s="128">
        <v>20098.0</v>
      </c>
      <c r="CL57" s="128">
        <v>20678.0</v>
      </c>
      <c r="CM57" s="128">
        <v>21113.0</v>
      </c>
      <c r="CN57" s="128">
        <v>21536.0</v>
      </c>
      <c r="CO57" s="73">
        <f t="shared" ref="CO57:CO61" si="486">CN57</f>
        <v>21536</v>
      </c>
      <c r="CP57" s="128">
        <v>22166.0</v>
      </c>
      <c r="CQ57" s="17">
        <v>22475.0</v>
      </c>
      <c r="CR57" s="17">
        <f>21894+915</f>
        <v>22809</v>
      </c>
      <c r="CS57" s="128">
        <f>21781+912</f>
        <v>22693</v>
      </c>
      <c r="CT57" s="73">
        <f t="shared" ref="CT57:CT61" si="487">CS57</f>
        <v>22693</v>
      </c>
      <c r="CU57" s="128">
        <f>22395+908</f>
        <v>23303</v>
      </c>
      <c r="CV57" s="128">
        <f>22625+905</f>
        <v>23530</v>
      </c>
      <c r="CW57" s="128">
        <f>23001+905</f>
        <v>23906</v>
      </c>
      <c r="CX57" s="128">
        <f>23411+897</f>
        <v>24308</v>
      </c>
      <c r="CY57" s="18">
        <f t="shared" ref="CY57:CY61" si="488">CX57</f>
        <v>24308</v>
      </c>
      <c r="CZ57" s="128">
        <f>24088+894</f>
        <v>24982</v>
      </c>
      <c r="DA57" s="128">
        <f>24317+890</f>
        <v>25207</v>
      </c>
      <c r="DB57" s="128">
        <f>25070+886</f>
        <v>25956</v>
      </c>
      <c r="DC57" s="128">
        <f>25373+882</f>
        <v>26255</v>
      </c>
      <c r="DD57" s="18">
        <f t="shared" ref="DD57:DD61" si="489">DC57</f>
        <v>26255</v>
      </c>
      <c r="DE57" s="128">
        <f>25890+878</f>
        <v>26768</v>
      </c>
      <c r="DF57" s="128">
        <f>25781+874</f>
        <v>26655</v>
      </c>
      <c r="DG57" s="129">
        <f>26547+870</f>
        <v>27417</v>
      </c>
      <c r="DH57" s="128">
        <f>26074+866</f>
        <v>26940</v>
      </c>
      <c r="DI57" s="18">
        <f t="shared" ref="DI57:DI61" si="490">DH57</f>
        <v>26940</v>
      </c>
      <c r="DJ57" s="129">
        <v>26430.0</v>
      </c>
      <c r="DK57" s="129">
        <v>25470.0</v>
      </c>
      <c r="DL57" s="129">
        <f>25492+515</f>
        <v>26007</v>
      </c>
      <c r="DM57" s="129">
        <v>25365.0</v>
      </c>
      <c r="DN57" s="18">
        <f t="shared" ref="DN57:DN61" si="491">DM57</f>
        <v>25365</v>
      </c>
      <c r="DO57" s="129">
        <v>25346.0</v>
      </c>
      <c r="DP57" s="129">
        <v>25140.0</v>
      </c>
      <c r="DQ57" s="129">
        <f>25290+166</f>
        <v>25456</v>
      </c>
      <c r="DR57" s="129">
        <f>25261+155</f>
        <v>25416</v>
      </c>
      <c r="DS57" s="18">
        <f t="shared" ref="DS57:DS61" si="492">DR57</f>
        <v>25416</v>
      </c>
      <c r="DT57" s="129">
        <v>25251.0</v>
      </c>
      <c r="DU57" s="129">
        <v>25516.0</v>
      </c>
      <c r="DV57" s="129">
        <v>23335.0</v>
      </c>
      <c r="DW57" s="129">
        <v>25556.0</v>
      </c>
      <c r="DX57" s="18">
        <f t="shared" ref="DX57:DX61" si="493">DW57</f>
        <v>25556</v>
      </c>
      <c r="DY57" s="129">
        <v>26272.0</v>
      </c>
      <c r="DZ57" s="129">
        <v>26655.0</v>
      </c>
      <c r="EA57" s="129">
        <v>27592.0</v>
      </c>
      <c r="EB57" s="129">
        <v>28006.0</v>
      </c>
      <c r="EC57" s="18">
        <f t="shared" ref="EC57:EC61" si="494">EB57</f>
        <v>28006</v>
      </c>
      <c r="ED57" s="129">
        <v>29244.0</v>
      </c>
      <c r="EE57" s="129">
        <v>29858.0</v>
      </c>
      <c r="EF57" s="129">
        <v>30912.0</v>
      </c>
      <c r="EG57" s="129">
        <v>31580.0</v>
      </c>
      <c r="EH57" s="18">
        <f t="shared" ref="EH57:EH61" si="495">EG57</f>
        <v>31580</v>
      </c>
      <c r="EI57" s="134"/>
      <c r="EJ57" s="128"/>
      <c r="EK57" s="128"/>
      <c r="EL57" s="128"/>
      <c r="EM57" s="18" t="str">
        <f t="shared" ref="EM57:EM61" si="496">EL57</f>
        <v/>
      </c>
      <c r="EN57" s="128"/>
      <c r="EO57" s="128"/>
      <c r="EP57" s="128"/>
      <c r="EQ57" s="128"/>
      <c r="ER57" s="18" t="str">
        <f t="shared" ref="ER57:ER61" si="497">EQ57</f>
        <v/>
      </c>
      <c r="ES57" s="128"/>
      <c r="ET57" s="128"/>
      <c r="EU57" s="128"/>
      <c r="EV57" s="128"/>
      <c r="EW57" s="18" t="str">
        <f t="shared" ref="EW57:EW61" si="498">EV57</f>
        <v/>
      </c>
      <c r="EX57" s="128"/>
      <c r="EY57" s="128"/>
      <c r="EZ57" s="128"/>
      <c r="FA57" s="128"/>
      <c r="FB57" s="18" t="str">
        <f t="shared" ref="FB57:FB61" si="499">FA57</f>
        <v/>
      </c>
      <c r="FC57" s="128"/>
      <c r="FD57" s="128"/>
      <c r="FE57" s="128"/>
      <c r="FF57" s="128"/>
      <c r="FG57" s="18" t="str">
        <f t="shared" ref="FG57:FG61" si="500">FF57</f>
        <v/>
      </c>
    </row>
    <row r="58" ht="12.75" customHeight="1" outlineLevel="1">
      <c r="A58" s="179"/>
      <c r="B58" s="800" t="s">
        <v>543</v>
      </c>
      <c r="C58" s="800"/>
      <c r="D58" s="800"/>
      <c r="E58" s="800"/>
      <c r="F58" s="800"/>
      <c r="G58" s="800"/>
      <c r="H58" s="800"/>
      <c r="I58" s="800"/>
      <c r="J58" s="800"/>
      <c r="K58" s="800"/>
      <c r="L58" s="800"/>
      <c r="M58" s="800"/>
      <c r="N58" s="128"/>
      <c r="O58" s="128"/>
      <c r="P58" s="128"/>
      <c r="Q58" s="128"/>
      <c r="R58" s="73"/>
      <c r="S58" s="128"/>
      <c r="T58" s="128"/>
      <c r="U58" s="128"/>
      <c r="V58" s="128"/>
      <c r="W58" s="73">
        <v>0.0</v>
      </c>
      <c r="X58" s="128"/>
      <c r="Y58" s="128"/>
      <c r="Z58" s="128"/>
      <c r="AA58" s="128">
        <v>-97.0</v>
      </c>
      <c r="AB58" s="73">
        <f t="shared" si="472"/>
        <v>-97</v>
      </c>
      <c r="AC58" s="128">
        <v>-153.0</v>
      </c>
      <c r="AD58" s="128">
        <v>-264.0</v>
      </c>
      <c r="AE58" s="128">
        <v>-207.0</v>
      </c>
      <c r="AF58" s="128">
        <v>-178.0</v>
      </c>
      <c r="AG58" s="73">
        <f t="shared" si="473"/>
        <v>-178</v>
      </c>
      <c r="AH58" s="128">
        <v>-147.0</v>
      </c>
      <c r="AI58" s="128">
        <v>-115.0</v>
      </c>
      <c r="AJ58" s="128">
        <v>-87.0</v>
      </c>
      <c r="AK58" s="128">
        <v>-63.0</v>
      </c>
      <c r="AL58" s="73">
        <f t="shared" si="474"/>
        <v>-63</v>
      </c>
      <c r="AM58" s="128">
        <v>-49.0</v>
      </c>
      <c r="AN58" s="128">
        <v>-37.0</v>
      </c>
      <c r="AO58" s="128">
        <v>-28.0</v>
      </c>
      <c r="AP58" s="128">
        <v>-20.0</v>
      </c>
      <c r="AQ58" s="73">
        <f t="shared" si="475"/>
        <v>-20</v>
      </c>
      <c r="AR58" s="128">
        <v>-13.0</v>
      </c>
      <c r="AS58" s="128">
        <v>-9.0</v>
      </c>
      <c r="AT58" s="128">
        <v>-6.0</v>
      </c>
      <c r="AU58" s="128">
        <v>-4.0</v>
      </c>
      <c r="AV58" s="73">
        <f t="shared" si="476"/>
        <v>-4</v>
      </c>
      <c r="AW58" s="128">
        <v>-1.0</v>
      </c>
      <c r="AX58" s="128">
        <v>-3.0</v>
      </c>
      <c r="AY58" s="128">
        <v>-2.0</v>
      </c>
      <c r="AZ58" s="128">
        <v>0.0</v>
      </c>
      <c r="BA58" s="73">
        <f t="shared" si="477"/>
        <v>0</v>
      </c>
      <c r="BB58" s="128">
        <v>0.0</v>
      </c>
      <c r="BC58" s="128">
        <f t="shared" ref="BC58:BD58" si="478">BB58</f>
        <v>0</v>
      </c>
      <c r="BD58" s="128">
        <f t="shared" si="478"/>
        <v>0</v>
      </c>
      <c r="BE58" s="128">
        <v>0.0</v>
      </c>
      <c r="BF58" s="73">
        <f t="shared" si="479"/>
        <v>0</v>
      </c>
      <c r="BG58" s="128">
        <v>0.0</v>
      </c>
      <c r="BH58" s="128">
        <v>0.0</v>
      </c>
      <c r="BI58" s="128">
        <v>0.0</v>
      </c>
      <c r="BJ58" s="128">
        <v>0.0</v>
      </c>
      <c r="BK58" s="73">
        <f t="shared" si="480"/>
        <v>0</v>
      </c>
      <c r="BL58" s="128">
        <v>0.0</v>
      </c>
      <c r="BM58" s="128">
        <v>0.0</v>
      </c>
      <c r="BN58" s="128">
        <v>0.0</v>
      </c>
      <c r="BO58" s="128">
        <v>0.0</v>
      </c>
      <c r="BP58" s="73">
        <f t="shared" si="481"/>
        <v>0</v>
      </c>
      <c r="BQ58" s="128">
        <v>0.0</v>
      </c>
      <c r="BR58" s="128">
        <v>0.0</v>
      </c>
      <c r="BS58" s="128">
        <v>0.0</v>
      </c>
      <c r="BT58" s="128">
        <v>0.0</v>
      </c>
      <c r="BU58" s="73">
        <f t="shared" si="482"/>
        <v>0</v>
      </c>
      <c r="BV58" s="128">
        <v>0.0</v>
      </c>
      <c r="BW58" s="128">
        <v>0.0</v>
      </c>
      <c r="BX58" s="128">
        <v>0.0</v>
      </c>
      <c r="BY58" s="128">
        <v>0.0</v>
      </c>
      <c r="BZ58" s="73">
        <f t="shared" si="483"/>
        <v>0</v>
      </c>
      <c r="CA58" s="128">
        <v>0.0</v>
      </c>
      <c r="CB58" s="128">
        <v>0.0</v>
      </c>
      <c r="CC58" s="128">
        <v>0.0</v>
      </c>
      <c r="CD58" s="128">
        <v>0.0</v>
      </c>
      <c r="CE58" s="73">
        <f t="shared" si="484"/>
        <v>0</v>
      </c>
      <c r="CF58" s="128">
        <v>0.0</v>
      </c>
      <c r="CG58" s="128">
        <v>0.0</v>
      </c>
      <c r="CH58" s="128">
        <v>0.0</v>
      </c>
      <c r="CI58" s="128">
        <v>0.0</v>
      </c>
      <c r="CJ58" s="73">
        <f t="shared" si="485"/>
        <v>0</v>
      </c>
      <c r="CK58" s="128">
        <v>0.0</v>
      </c>
      <c r="CL58" s="128">
        <v>0.0</v>
      </c>
      <c r="CM58" s="128">
        <v>0.0</v>
      </c>
      <c r="CN58" s="128">
        <v>0.0</v>
      </c>
      <c r="CO58" s="73">
        <f t="shared" si="486"/>
        <v>0</v>
      </c>
      <c r="CP58" s="128">
        <v>0.0</v>
      </c>
      <c r="CQ58" s="128">
        <v>0.0</v>
      </c>
      <c r="CR58" s="17">
        <v>0.0</v>
      </c>
      <c r="CS58" s="128">
        <v>0.0</v>
      </c>
      <c r="CT58" s="73">
        <f t="shared" si="487"/>
        <v>0</v>
      </c>
      <c r="CU58" s="128">
        <v>0.0</v>
      </c>
      <c r="CV58" s="128">
        <v>0.0</v>
      </c>
      <c r="CW58" s="128">
        <v>0.0</v>
      </c>
      <c r="CX58" s="128">
        <v>0.0</v>
      </c>
      <c r="CY58" s="18">
        <f t="shared" si="488"/>
        <v>0</v>
      </c>
      <c r="CZ58" s="17">
        <v>0.0</v>
      </c>
      <c r="DA58" s="17">
        <v>0.0</v>
      </c>
      <c r="DB58" s="17">
        <v>0.0</v>
      </c>
      <c r="DC58" s="128">
        <v>0.0</v>
      </c>
      <c r="DD58" s="18">
        <f t="shared" si="489"/>
        <v>0</v>
      </c>
      <c r="DE58" s="128">
        <v>0.0</v>
      </c>
      <c r="DF58" s="128">
        <v>0.0</v>
      </c>
      <c r="DG58" s="129">
        <v>0.0</v>
      </c>
      <c r="DH58" s="128">
        <v>0.0</v>
      </c>
      <c r="DI58" s="18">
        <f t="shared" si="490"/>
        <v>0</v>
      </c>
      <c r="DJ58" s="129">
        <v>0.0</v>
      </c>
      <c r="DK58" s="129"/>
      <c r="DL58" s="129"/>
      <c r="DM58" s="129"/>
      <c r="DN58" s="18" t="str">
        <f t="shared" si="491"/>
        <v/>
      </c>
      <c r="DO58" s="129"/>
      <c r="DP58" s="129"/>
      <c r="DQ58" s="129"/>
      <c r="DR58" s="129"/>
      <c r="DS58" s="18" t="str">
        <f t="shared" si="492"/>
        <v/>
      </c>
      <c r="DT58" s="129"/>
      <c r="DU58" s="129"/>
      <c r="DV58" s="129"/>
      <c r="DW58" s="129"/>
      <c r="DX58" s="18" t="str">
        <f t="shared" si="493"/>
        <v/>
      </c>
      <c r="DY58" s="129"/>
      <c r="DZ58" s="129"/>
      <c r="EA58" s="129"/>
      <c r="EB58" s="129"/>
      <c r="EC58" s="18" t="str">
        <f t="shared" si="494"/>
        <v/>
      </c>
      <c r="ED58" s="129"/>
      <c r="EE58" s="129"/>
      <c r="EF58" s="129"/>
      <c r="EG58" s="129"/>
      <c r="EH58" s="18" t="str">
        <f t="shared" si="495"/>
        <v/>
      </c>
      <c r="EI58" s="134"/>
      <c r="EJ58" s="128"/>
      <c r="EK58" s="128"/>
      <c r="EL58" s="128"/>
      <c r="EM58" s="18" t="str">
        <f t="shared" si="496"/>
        <v/>
      </c>
      <c r="EN58" s="128"/>
      <c r="EO58" s="128"/>
      <c r="EP58" s="128"/>
      <c r="EQ58" s="128"/>
      <c r="ER58" s="18" t="str">
        <f t="shared" si="497"/>
        <v/>
      </c>
      <c r="ES58" s="128"/>
      <c r="ET58" s="128"/>
      <c r="EU58" s="128"/>
      <c r="EV58" s="128"/>
      <c r="EW58" s="18" t="str">
        <f t="shared" si="498"/>
        <v/>
      </c>
      <c r="EX58" s="128"/>
      <c r="EY58" s="128"/>
      <c r="EZ58" s="128"/>
      <c r="FA58" s="128"/>
      <c r="FB58" s="18" t="str">
        <f t="shared" si="499"/>
        <v/>
      </c>
      <c r="FC58" s="128"/>
      <c r="FD58" s="128"/>
      <c r="FE58" s="128"/>
      <c r="FF58" s="128"/>
      <c r="FG58" s="18" t="str">
        <f t="shared" si="500"/>
        <v/>
      </c>
    </row>
    <row r="59" ht="12.75" customHeight="1" outlineLevel="1">
      <c r="A59" s="179"/>
      <c r="B59" s="800" t="s">
        <v>544</v>
      </c>
      <c r="C59" s="800"/>
      <c r="D59" s="800"/>
      <c r="E59" s="800"/>
      <c r="F59" s="800"/>
      <c r="G59" s="800"/>
      <c r="H59" s="800"/>
      <c r="I59" s="800"/>
      <c r="J59" s="800"/>
      <c r="K59" s="800"/>
      <c r="L59" s="800"/>
      <c r="M59" s="800"/>
      <c r="N59" s="128"/>
      <c r="O59" s="128"/>
      <c r="P59" s="128"/>
      <c r="Q59" s="128"/>
      <c r="R59" s="73"/>
      <c r="S59" s="128"/>
      <c r="T59" s="128"/>
      <c r="U59" s="128"/>
      <c r="V59" s="128"/>
      <c r="W59" s="73">
        <v>3791.0</v>
      </c>
      <c r="X59" s="128"/>
      <c r="Y59" s="128"/>
      <c r="Z59" s="128"/>
      <c r="AA59" s="128">
        <v>195.0</v>
      </c>
      <c r="AB59" s="73">
        <f t="shared" si="472"/>
        <v>195</v>
      </c>
      <c r="AC59" s="128">
        <v>38.0</v>
      </c>
      <c r="AD59" s="128">
        <v>-33.0</v>
      </c>
      <c r="AE59" s="128">
        <v>-67.0</v>
      </c>
      <c r="AF59" s="128">
        <v>25.0</v>
      </c>
      <c r="AG59" s="73">
        <f t="shared" si="473"/>
        <v>25</v>
      </c>
      <c r="AH59" s="128">
        <v>6.0</v>
      </c>
      <c r="AI59" s="128">
        <v>18.0</v>
      </c>
      <c r="AJ59" s="128">
        <v>22.0</v>
      </c>
      <c r="AK59" s="128">
        <v>43.0</v>
      </c>
      <c r="AL59" s="73">
        <f t="shared" si="474"/>
        <v>43</v>
      </c>
      <c r="AM59" s="128">
        <v>43.0</v>
      </c>
      <c r="AN59" s="128">
        <v>65.0</v>
      </c>
      <c r="AO59" s="128">
        <v>111.0</v>
      </c>
      <c r="AP59" s="128">
        <v>96.0</v>
      </c>
      <c r="AQ59" s="73">
        <f t="shared" si="475"/>
        <v>96</v>
      </c>
      <c r="AR59" s="128">
        <v>157.0</v>
      </c>
      <c r="AS59" s="128">
        <v>130.0</v>
      </c>
      <c r="AT59" s="128">
        <v>59.0</v>
      </c>
      <c r="AU59" s="128">
        <v>152.0</v>
      </c>
      <c r="AV59" s="73">
        <f t="shared" si="476"/>
        <v>152</v>
      </c>
      <c r="AW59" s="128">
        <v>81.0</v>
      </c>
      <c r="AX59" s="128">
        <v>56.0</v>
      </c>
      <c r="AY59" s="128">
        <v>146.0</v>
      </c>
      <c r="AZ59" s="128">
        <v>127.0</v>
      </c>
      <c r="BA59" s="73">
        <f t="shared" si="477"/>
        <v>127</v>
      </c>
      <c r="BB59" s="128">
        <v>165.0</v>
      </c>
      <c r="BC59" s="128">
        <v>191.0</v>
      </c>
      <c r="BD59" s="128">
        <v>168.0</v>
      </c>
      <c r="BE59" s="128">
        <v>-57.0</v>
      </c>
      <c r="BF59" s="73">
        <f t="shared" si="479"/>
        <v>-57</v>
      </c>
      <c r="BG59" s="128">
        <v>-92.0</v>
      </c>
      <c r="BH59" s="128">
        <v>-96.0</v>
      </c>
      <c r="BI59" s="128">
        <v>232.0</v>
      </c>
      <c r="BJ59" s="128">
        <v>261.0</v>
      </c>
      <c r="BK59" s="73">
        <f t="shared" si="480"/>
        <v>261</v>
      </c>
      <c r="BL59" s="128">
        <v>72.0</v>
      </c>
      <c r="BM59" s="128">
        <v>129.0</v>
      </c>
      <c r="BN59" s="128">
        <v>-136.0</v>
      </c>
      <c r="BO59" s="128">
        <v>-393.0</v>
      </c>
      <c r="BP59" s="73">
        <f t="shared" si="481"/>
        <v>-393</v>
      </c>
      <c r="BQ59" s="128">
        <v>-390.0</v>
      </c>
      <c r="BR59" s="128">
        <v>-153.0</v>
      </c>
      <c r="BS59" s="128">
        <v>233.0</v>
      </c>
      <c r="BT59" s="128">
        <v>393.0</v>
      </c>
      <c r="BU59" s="73">
        <f t="shared" si="482"/>
        <v>393</v>
      </c>
      <c r="BV59" s="128">
        <v>414.0</v>
      </c>
      <c r="BW59" s="128">
        <v>231.0</v>
      </c>
      <c r="BX59" s="128">
        <v>531.0</v>
      </c>
      <c r="BY59" s="128">
        <v>333.0</v>
      </c>
      <c r="BZ59" s="73">
        <f t="shared" si="483"/>
        <v>333</v>
      </c>
      <c r="CA59" s="128">
        <v>481.0</v>
      </c>
      <c r="CB59" s="128">
        <v>466.0</v>
      </c>
      <c r="CC59" s="128">
        <v>-32.0</v>
      </c>
      <c r="CD59" s="128">
        <v>-781.0</v>
      </c>
      <c r="CE59" s="73">
        <f t="shared" si="484"/>
        <v>-781</v>
      </c>
      <c r="CF59" s="128">
        <v>-604.0</v>
      </c>
      <c r="CG59" s="128">
        <v>-857.0</v>
      </c>
      <c r="CH59" s="128">
        <v>-501.0</v>
      </c>
      <c r="CI59" s="128">
        <v>-399.0</v>
      </c>
      <c r="CJ59" s="73">
        <f t="shared" si="485"/>
        <v>-399</v>
      </c>
      <c r="CK59" s="128">
        <v>-410.0</v>
      </c>
      <c r="CL59" s="128">
        <v>145.0</v>
      </c>
      <c r="CM59" s="128">
        <v>1048.0</v>
      </c>
      <c r="CN59" s="128">
        <v>1243.0</v>
      </c>
      <c r="CO59" s="73">
        <f t="shared" si="486"/>
        <v>1243</v>
      </c>
      <c r="CP59" s="128">
        <v>1156.0</v>
      </c>
      <c r="CQ59" s="17">
        <v>1120.0</v>
      </c>
      <c r="CR59" s="17">
        <v>946.0</v>
      </c>
      <c r="CS59" s="128">
        <v>666.0</v>
      </c>
      <c r="CT59" s="73">
        <f t="shared" si="487"/>
        <v>666</v>
      </c>
      <c r="CU59" s="128">
        <v>68.0</v>
      </c>
      <c r="CV59" s="128">
        <v>645.0</v>
      </c>
      <c r="CW59" s="128">
        <v>-335.0</v>
      </c>
      <c r="CX59" s="128">
        <v>60.0</v>
      </c>
      <c r="CY59" s="18">
        <f t="shared" si="488"/>
        <v>60</v>
      </c>
      <c r="CZ59" s="128">
        <v>560.0</v>
      </c>
      <c r="DA59" s="128">
        <v>-80.0</v>
      </c>
      <c r="DB59" s="128">
        <v>400.0</v>
      </c>
      <c r="DC59" s="128">
        <v>106.0</v>
      </c>
      <c r="DD59" s="18">
        <f t="shared" si="489"/>
        <v>106</v>
      </c>
      <c r="DE59" s="128">
        <v>863.0</v>
      </c>
      <c r="DF59" s="128">
        <v>1174.0</v>
      </c>
      <c r="DG59" s="129">
        <v>1610.0</v>
      </c>
      <c r="DH59" s="128">
        <v>862.0</v>
      </c>
      <c r="DI59" s="18">
        <f t="shared" si="490"/>
        <v>862</v>
      </c>
      <c r="DJ59" s="129">
        <v>-683.0</v>
      </c>
      <c r="DK59" s="129">
        <v>-1089.0</v>
      </c>
      <c r="DL59" s="129">
        <v>-1103.0</v>
      </c>
      <c r="DM59" s="129">
        <v>-974.0</v>
      </c>
      <c r="DN59" s="18">
        <f t="shared" si="491"/>
        <v>-974</v>
      </c>
      <c r="DO59" s="129">
        <v>-813.0</v>
      </c>
      <c r="DP59" s="129">
        <v>-622.0</v>
      </c>
      <c r="DQ59" s="129">
        <v>-722.0</v>
      </c>
      <c r="DR59" s="129">
        <v>-1280.0</v>
      </c>
      <c r="DS59" s="18">
        <f t="shared" si="492"/>
        <v>-1280</v>
      </c>
      <c r="DT59" s="129">
        <v>-1541.0</v>
      </c>
      <c r="DU59" s="129">
        <v>-1152.0</v>
      </c>
      <c r="DV59" s="129">
        <v>-940.0</v>
      </c>
      <c r="DW59" s="129">
        <v>-751.0</v>
      </c>
      <c r="DX59" s="18">
        <f t="shared" si="493"/>
        <v>-751</v>
      </c>
      <c r="DY59" s="129">
        <v>-1103.0</v>
      </c>
      <c r="DZ59" s="129">
        <v>-1095.0</v>
      </c>
      <c r="EA59" s="129">
        <v>-1147.0</v>
      </c>
      <c r="EB59" s="129">
        <v>-880.0</v>
      </c>
      <c r="EC59" s="18">
        <f t="shared" si="494"/>
        <v>-880</v>
      </c>
      <c r="ED59" s="129">
        <v>-1002.0</v>
      </c>
      <c r="EE59" s="129">
        <v>-1625.0</v>
      </c>
      <c r="EF59" s="129">
        <v>-2051.0</v>
      </c>
      <c r="EG59" s="129">
        <v>-562.0</v>
      </c>
      <c r="EH59" s="18">
        <f t="shared" si="495"/>
        <v>-562</v>
      </c>
      <c r="EI59" s="134"/>
      <c r="EJ59" s="128"/>
      <c r="EK59" s="128"/>
      <c r="EL59" s="128"/>
      <c r="EM59" s="18" t="str">
        <f t="shared" si="496"/>
        <v/>
      </c>
      <c r="EN59" s="128"/>
      <c r="EO59" s="128"/>
      <c r="EP59" s="128"/>
      <c r="EQ59" s="128"/>
      <c r="ER59" s="18" t="str">
        <f t="shared" si="497"/>
        <v/>
      </c>
      <c r="ES59" s="128"/>
      <c r="ET59" s="128"/>
      <c r="EU59" s="128"/>
      <c r="EV59" s="128"/>
      <c r="EW59" s="18" t="str">
        <f t="shared" si="498"/>
        <v/>
      </c>
      <c r="EX59" s="128"/>
      <c r="EY59" s="128"/>
      <c r="EZ59" s="128"/>
      <c r="FA59" s="128"/>
      <c r="FB59" s="18" t="str">
        <f t="shared" si="499"/>
        <v/>
      </c>
      <c r="FC59" s="128"/>
      <c r="FD59" s="128"/>
      <c r="FE59" s="128"/>
      <c r="FF59" s="128"/>
      <c r="FG59" s="18" t="str">
        <f t="shared" si="500"/>
        <v/>
      </c>
    </row>
    <row r="60" ht="12.75" customHeight="1" outlineLevel="1">
      <c r="A60" s="179"/>
      <c r="B60" s="800" t="s">
        <v>545</v>
      </c>
      <c r="C60" s="800"/>
      <c r="D60" s="800"/>
      <c r="E60" s="800"/>
      <c r="F60" s="800"/>
      <c r="G60" s="800"/>
      <c r="H60" s="800"/>
      <c r="I60" s="800"/>
      <c r="J60" s="800"/>
      <c r="K60" s="800"/>
      <c r="L60" s="800"/>
      <c r="M60" s="800"/>
      <c r="N60" s="128"/>
      <c r="O60" s="128"/>
      <c r="P60" s="128"/>
      <c r="Q60" s="128"/>
      <c r="R60" s="73"/>
      <c r="S60" s="128"/>
      <c r="T60" s="128"/>
      <c r="U60" s="128"/>
      <c r="V60" s="128"/>
      <c r="W60" s="73">
        <v>21428.0</v>
      </c>
      <c r="X60" s="128"/>
      <c r="Y60" s="128"/>
      <c r="Z60" s="128"/>
      <c r="AA60" s="128">
        <v>28738.0</v>
      </c>
      <c r="AB60" s="73">
        <f t="shared" si="472"/>
        <v>28738</v>
      </c>
      <c r="AC60" s="128">
        <v>28321.0</v>
      </c>
      <c r="AD60" s="128">
        <v>27941.0</v>
      </c>
      <c r="AE60" s="128">
        <v>27211.0</v>
      </c>
      <c r="AF60" s="128">
        <v>27150.0</v>
      </c>
      <c r="AG60" s="73">
        <f t="shared" si="473"/>
        <v>27150</v>
      </c>
      <c r="AH60" s="128">
        <v>27173.0</v>
      </c>
      <c r="AI60" s="128">
        <v>27049.0</v>
      </c>
      <c r="AJ60" s="128">
        <v>27123.0</v>
      </c>
      <c r="AK60" s="128">
        <v>27847.0</v>
      </c>
      <c r="AL60" s="73">
        <f t="shared" si="474"/>
        <v>27847</v>
      </c>
      <c r="AM60" s="128">
        <v>28227.0</v>
      </c>
      <c r="AN60" s="128">
        <v>28729.0</v>
      </c>
      <c r="AO60" s="128">
        <v>30124.0</v>
      </c>
      <c r="AP60" s="128">
        <v>31016.0</v>
      </c>
      <c r="AQ60" s="73">
        <f t="shared" si="475"/>
        <v>31016</v>
      </c>
      <c r="AR60" s="128">
        <v>31240.0</v>
      </c>
      <c r="AS60" s="128">
        <v>32077.0</v>
      </c>
      <c r="AT60" s="128">
        <v>32097.0</v>
      </c>
      <c r="AU60" s="128">
        <v>32288.0</v>
      </c>
      <c r="AV60" s="73">
        <f t="shared" si="476"/>
        <v>32288</v>
      </c>
      <c r="AW60" s="128">
        <v>31411.0</v>
      </c>
      <c r="AX60" s="128">
        <v>31301.0</v>
      </c>
      <c r="AY60" s="128">
        <v>30309.0</v>
      </c>
      <c r="AZ60" s="128">
        <v>29810.0</v>
      </c>
      <c r="BA60" s="73">
        <f t="shared" si="477"/>
        <v>29810</v>
      </c>
      <c r="BB60" s="128">
        <v>27531.0</v>
      </c>
      <c r="BC60" s="128">
        <v>27619.0</v>
      </c>
      <c r="BD60" s="128">
        <v>27501.0</v>
      </c>
      <c r="BE60" s="128">
        <v>28984.0</v>
      </c>
      <c r="BF60" s="73">
        <f t="shared" si="479"/>
        <v>28984</v>
      </c>
      <c r="BG60" s="128">
        <v>29020.0</v>
      </c>
      <c r="BH60" s="128">
        <v>30197.0</v>
      </c>
      <c r="BI60" s="128">
        <v>29975.0</v>
      </c>
      <c r="BJ60" s="128">
        <v>30848.0</v>
      </c>
      <c r="BK60" s="73">
        <f t="shared" si="480"/>
        <v>30848</v>
      </c>
      <c r="BL60" s="128">
        <v>28470.0</v>
      </c>
      <c r="BM60" s="128">
        <v>27780.0</v>
      </c>
      <c r="BN60" s="128">
        <v>26303.0</v>
      </c>
      <c r="BO60" s="128">
        <v>26537.0</v>
      </c>
      <c r="BP60" s="73">
        <f t="shared" si="481"/>
        <v>26537</v>
      </c>
      <c r="BQ60" s="128">
        <v>25609.0</v>
      </c>
      <c r="BR60" s="128">
        <v>25205.0</v>
      </c>
      <c r="BS60" s="128">
        <v>24037.0</v>
      </c>
      <c r="BT60" s="128">
        <v>26318.0</v>
      </c>
      <c r="BU60" s="73">
        <f t="shared" si="482"/>
        <v>26318</v>
      </c>
      <c r="BV60" s="128">
        <v>27020.0</v>
      </c>
      <c r="BW60" s="128">
        <v>29869.0</v>
      </c>
      <c r="BX60" s="128">
        <v>31069.0</v>
      </c>
      <c r="BY60" s="128">
        <v>32919.0</v>
      </c>
      <c r="BZ60" s="73">
        <f t="shared" si="483"/>
        <v>32919</v>
      </c>
      <c r="CA60" s="128">
        <v>30597.0</v>
      </c>
      <c r="CB60" s="128">
        <v>32012.0</v>
      </c>
      <c r="CC60" s="128">
        <v>29902.0</v>
      </c>
      <c r="CD60" s="128">
        <v>29656.0</v>
      </c>
      <c r="CE60" s="73">
        <f t="shared" si="484"/>
        <v>29656</v>
      </c>
      <c r="CF60" s="128">
        <v>28983.0</v>
      </c>
      <c r="CG60" s="128">
        <v>30753.0</v>
      </c>
      <c r="CH60" s="128">
        <v>30492.0</v>
      </c>
      <c r="CI60" s="128">
        <v>32138.0</v>
      </c>
      <c r="CJ60" s="73">
        <f t="shared" si="485"/>
        <v>32138</v>
      </c>
      <c r="CK60" s="128">
        <v>31506.0</v>
      </c>
      <c r="CL60" s="128">
        <v>33017.0</v>
      </c>
      <c r="CM60" s="128">
        <v>33291.0</v>
      </c>
      <c r="CN60" s="128">
        <v>35477.0</v>
      </c>
      <c r="CO60" s="73">
        <f t="shared" si="486"/>
        <v>35477</v>
      </c>
      <c r="CP60" s="128">
        <v>34716.0</v>
      </c>
      <c r="CQ60" s="17">
        <v>35652.0</v>
      </c>
      <c r="CR60" s="17">
        <v>33233.0</v>
      </c>
      <c r="CS60" s="128">
        <v>33418.0</v>
      </c>
      <c r="CT60" s="73">
        <f t="shared" si="487"/>
        <v>33418</v>
      </c>
      <c r="CU60" s="128">
        <v>32461.0</v>
      </c>
      <c r="CV60" s="128">
        <v>34425.0</v>
      </c>
      <c r="CW60" s="128">
        <v>34431.0</v>
      </c>
      <c r="CX60" s="128">
        <v>37614.0</v>
      </c>
      <c r="CY60" s="18">
        <f t="shared" si="488"/>
        <v>37614</v>
      </c>
      <c r="CZ60" s="128">
        <v>36526.0</v>
      </c>
      <c r="DA60" s="128">
        <v>37130.0</v>
      </c>
      <c r="DB60" s="128">
        <v>37645.0</v>
      </c>
      <c r="DC60" s="128">
        <v>40747.0</v>
      </c>
      <c r="DD60" s="18">
        <f t="shared" si="489"/>
        <v>40747</v>
      </c>
      <c r="DE60" s="128">
        <v>40091.0</v>
      </c>
      <c r="DF60" s="128">
        <v>41670.0</v>
      </c>
      <c r="DG60" s="129">
        <v>42779.0</v>
      </c>
      <c r="DH60" s="128">
        <v>42083.0</v>
      </c>
      <c r="DI60" s="18">
        <f t="shared" si="490"/>
        <v>42083</v>
      </c>
      <c r="DJ60" s="129">
        <v>44418.0</v>
      </c>
      <c r="DK60" s="129">
        <v>45666.0</v>
      </c>
      <c r="DL60" s="129">
        <v>47094.0</v>
      </c>
      <c r="DM60" s="129">
        <v>50172.0</v>
      </c>
      <c r="DN60" s="18">
        <f t="shared" si="491"/>
        <v>50172</v>
      </c>
      <c r="DO60" s="129">
        <v>49128.0</v>
      </c>
      <c r="DP60" s="129">
        <v>50429.0</v>
      </c>
      <c r="DQ60" s="129">
        <v>49674.0</v>
      </c>
      <c r="DR60" s="129">
        <v>53523.0</v>
      </c>
      <c r="DS60" s="18">
        <f t="shared" si="492"/>
        <v>53523</v>
      </c>
      <c r="DT60" s="129">
        <v>52644.0</v>
      </c>
      <c r="DU60" s="129">
        <v>57646.0</v>
      </c>
      <c r="DV60" s="129">
        <v>52159.0</v>
      </c>
      <c r="DW60" s="129">
        <v>56233.0</v>
      </c>
      <c r="DX60" s="18">
        <f t="shared" si="493"/>
        <v>56233</v>
      </c>
      <c r="DY60" s="129">
        <v>54638.0</v>
      </c>
      <c r="DZ60" s="129">
        <v>59647.0</v>
      </c>
      <c r="EA60" s="129">
        <v>63642.0</v>
      </c>
      <c r="EB60" s="129">
        <v>68265.0</v>
      </c>
      <c r="EC60" s="18">
        <f t="shared" si="494"/>
        <v>68265</v>
      </c>
      <c r="ED60" s="129">
        <v>74894.0</v>
      </c>
      <c r="EE60" s="129">
        <v>72985.0</v>
      </c>
      <c r="EF60" s="129">
        <v>71024.0</v>
      </c>
      <c r="EG60" s="129">
        <v>70405.0</v>
      </c>
      <c r="EH60" s="18">
        <f t="shared" si="495"/>
        <v>70405</v>
      </c>
      <c r="EI60" s="134"/>
      <c r="EJ60" s="128"/>
      <c r="EK60" s="128"/>
      <c r="EL60" s="128"/>
      <c r="EM60" s="18" t="str">
        <f t="shared" si="496"/>
        <v/>
      </c>
      <c r="EN60" s="128"/>
      <c r="EO60" s="128"/>
      <c r="EP60" s="128"/>
      <c r="EQ60" s="128"/>
      <c r="ER60" s="18" t="str">
        <f t="shared" si="497"/>
        <v/>
      </c>
      <c r="ES60" s="128"/>
      <c r="ET60" s="128"/>
      <c r="EU60" s="128"/>
      <c r="EV60" s="128"/>
      <c r="EW60" s="18" t="str">
        <f t="shared" si="498"/>
        <v/>
      </c>
      <c r="EX60" s="128"/>
      <c r="EY60" s="128"/>
      <c r="EZ60" s="128"/>
      <c r="FA60" s="128"/>
      <c r="FB60" s="18" t="str">
        <f t="shared" si="499"/>
        <v/>
      </c>
      <c r="FC60" s="128"/>
      <c r="FD60" s="128"/>
      <c r="FE60" s="128"/>
      <c r="FF60" s="128"/>
      <c r="FG60" s="18" t="str">
        <f t="shared" si="500"/>
        <v/>
      </c>
    </row>
    <row r="61" ht="12.75" customHeight="1">
      <c r="A61" s="179"/>
      <c r="B61" s="180" t="s">
        <v>546</v>
      </c>
      <c r="C61" s="180"/>
      <c r="D61" s="180"/>
      <c r="E61" s="180"/>
      <c r="F61" s="180"/>
      <c r="G61" s="180"/>
      <c r="H61" s="180"/>
      <c r="I61" s="180"/>
      <c r="J61" s="180"/>
      <c r="K61" s="180"/>
      <c r="L61" s="180"/>
      <c r="M61" s="180"/>
      <c r="N61" s="128">
        <v>21585.0</v>
      </c>
      <c r="O61" s="128">
        <v>21733.0</v>
      </c>
      <c r="P61" s="128">
        <v>21799.0</v>
      </c>
      <c r="Q61" s="128">
        <v>23377.0</v>
      </c>
      <c r="R61" s="73">
        <v>23377.0</v>
      </c>
      <c r="S61" s="128">
        <v>24726.0</v>
      </c>
      <c r="T61" s="128">
        <v>25472.0</v>
      </c>
      <c r="U61" s="128">
        <v>29182.0</v>
      </c>
      <c r="V61" s="128">
        <v>32535.0</v>
      </c>
      <c r="W61" s="73">
        <f>SUM(W56:W60)</f>
        <v>32535</v>
      </c>
      <c r="X61" s="128">
        <v>36103.0</v>
      </c>
      <c r="Y61" s="128">
        <v>36620.0</v>
      </c>
      <c r="Z61" s="128">
        <v>37705.0</v>
      </c>
      <c r="AA61" s="128">
        <f t="shared" ref="AA61:AF61" si="501">SUM(AA56:AA60)</f>
        <v>37322</v>
      </c>
      <c r="AB61" s="73">
        <f t="shared" si="501"/>
        <v>37322</v>
      </c>
      <c r="AC61" s="128">
        <f t="shared" si="501"/>
        <v>36918</v>
      </c>
      <c r="AD61" s="128">
        <f t="shared" si="501"/>
        <v>36738</v>
      </c>
      <c r="AE61" s="128">
        <f t="shared" si="501"/>
        <v>35902</v>
      </c>
      <c r="AF61" s="128">
        <f t="shared" si="501"/>
        <v>35830</v>
      </c>
      <c r="AG61" s="73">
        <f t="shared" si="473"/>
        <v>35830</v>
      </c>
      <c r="AH61" s="128">
        <f t="shared" ref="AH61:AK61" si="502">SUM(AH56:AH60)</f>
        <v>35860</v>
      </c>
      <c r="AI61" s="128">
        <f t="shared" si="502"/>
        <v>35580</v>
      </c>
      <c r="AJ61" s="128">
        <f t="shared" si="502"/>
        <v>35307</v>
      </c>
      <c r="AK61" s="128">
        <f t="shared" si="502"/>
        <v>35468</v>
      </c>
      <c r="AL61" s="73">
        <f t="shared" si="474"/>
        <v>35468</v>
      </c>
      <c r="AM61" s="128">
        <f t="shared" ref="AM61:AP61" si="503">SUM(AM56:AM60)</f>
        <v>35401</v>
      </c>
      <c r="AN61" s="128">
        <f t="shared" si="503"/>
        <v>35490</v>
      </c>
      <c r="AO61" s="128">
        <f t="shared" si="503"/>
        <v>37361</v>
      </c>
      <c r="AP61" s="128">
        <f t="shared" si="503"/>
        <v>37846</v>
      </c>
      <c r="AQ61" s="73">
        <f t="shared" si="475"/>
        <v>37846</v>
      </c>
      <c r="AR61" s="128">
        <f t="shared" ref="AR61:AU61" si="504">SUM(AR56:AR60)</f>
        <v>38110</v>
      </c>
      <c r="AS61" s="128">
        <f t="shared" si="504"/>
        <v>38593</v>
      </c>
      <c r="AT61" s="128">
        <f t="shared" si="504"/>
        <v>38195</v>
      </c>
      <c r="AU61" s="128">
        <f t="shared" si="504"/>
        <v>38579</v>
      </c>
      <c r="AV61" s="73">
        <f t="shared" si="476"/>
        <v>38579</v>
      </c>
      <c r="AW61" s="128">
        <f t="shared" ref="AW61:AZ61" si="505">SUM(AW56:AW60)</f>
        <v>37711</v>
      </c>
      <c r="AX61" s="128">
        <f t="shared" si="505"/>
        <v>37614</v>
      </c>
      <c r="AY61" s="128">
        <f t="shared" si="505"/>
        <v>36676</v>
      </c>
      <c r="AZ61" s="128">
        <f t="shared" si="505"/>
        <v>36182</v>
      </c>
      <c r="BA61" s="73">
        <f t="shared" si="477"/>
        <v>36182</v>
      </c>
      <c r="BB61" s="128">
        <f t="shared" ref="BB61:BE61" si="506">SUM(BB56:BB60)</f>
        <v>34358</v>
      </c>
      <c r="BC61" s="128">
        <f t="shared" si="506"/>
        <v>34796</v>
      </c>
      <c r="BD61" s="128">
        <f t="shared" si="506"/>
        <v>35017</v>
      </c>
      <c r="BE61" s="128">
        <f t="shared" si="506"/>
        <v>36752</v>
      </c>
      <c r="BF61" s="73">
        <f t="shared" si="479"/>
        <v>36752</v>
      </c>
      <c r="BG61" s="128">
        <f t="shared" ref="BG61:BJ61" si="507">SUM(BG56:BG60)</f>
        <v>37526</v>
      </c>
      <c r="BH61" s="128">
        <f t="shared" si="507"/>
        <v>39698</v>
      </c>
      <c r="BI61" s="128">
        <f t="shared" si="507"/>
        <v>40902</v>
      </c>
      <c r="BJ61" s="128">
        <f t="shared" si="507"/>
        <v>42762</v>
      </c>
      <c r="BK61" s="73">
        <f t="shared" si="480"/>
        <v>42762</v>
      </c>
      <c r="BL61" s="128">
        <f t="shared" ref="BL61:BO61" si="508">SUM(BL56:BL60)</f>
        <v>40660</v>
      </c>
      <c r="BM61" s="128">
        <f t="shared" si="508"/>
        <v>40361</v>
      </c>
      <c r="BN61" s="128">
        <f t="shared" si="508"/>
        <v>38911</v>
      </c>
      <c r="BO61" s="128">
        <f t="shared" si="508"/>
        <v>39088</v>
      </c>
      <c r="BP61" s="73">
        <f t="shared" si="481"/>
        <v>39088</v>
      </c>
      <c r="BQ61" s="128">
        <f t="shared" ref="BQ61:BT61" si="509">SUM(BQ56:BQ60)</f>
        <v>39064</v>
      </c>
      <c r="BR61" s="128">
        <f t="shared" si="509"/>
        <v>39047</v>
      </c>
      <c r="BS61" s="128">
        <f t="shared" si="509"/>
        <v>39033</v>
      </c>
      <c r="BT61" s="128">
        <f t="shared" si="509"/>
        <v>41704</v>
      </c>
      <c r="BU61" s="73">
        <f t="shared" si="482"/>
        <v>41704</v>
      </c>
      <c r="BV61" s="128">
        <f t="shared" ref="BV61:BY61" si="510">SUM(BV56:BV60)</f>
        <v>42900</v>
      </c>
      <c r="BW61" s="128">
        <f t="shared" si="510"/>
        <v>45841</v>
      </c>
      <c r="BX61" s="128">
        <f t="shared" si="510"/>
        <v>47696</v>
      </c>
      <c r="BY61" s="128">
        <f t="shared" si="510"/>
        <v>49430</v>
      </c>
      <c r="BZ61" s="73">
        <f t="shared" si="483"/>
        <v>49430</v>
      </c>
      <c r="CA61" s="128">
        <f t="shared" ref="CA61:CD61" si="511">SUM(CA56:CA60)</f>
        <v>47349</v>
      </c>
      <c r="CB61" s="128">
        <f t="shared" si="511"/>
        <v>48723</v>
      </c>
      <c r="CC61" s="128">
        <f t="shared" si="511"/>
        <v>46117</v>
      </c>
      <c r="CD61" s="128">
        <f t="shared" si="511"/>
        <v>45911</v>
      </c>
      <c r="CE61" s="73">
        <f t="shared" si="484"/>
        <v>45911</v>
      </c>
      <c r="CF61" s="128">
        <f t="shared" ref="CF61:CI61" si="512">SUM(CF56:CF60)</f>
        <v>46760</v>
      </c>
      <c r="CG61" s="128">
        <f t="shared" si="512"/>
        <v>48779</v>
      </c>
      <c r="CH61" s="128">
        <f t="shared" si="512"/>
        <v>49269</v>
      </c>
      <c r="CI61" s="128">
        <f t="shared" si="512"/>
        <v>51203</v>
      </c>
      <c r="CJ61" s="73">
        <f t="shared" si="485"/>
        <v>51203</v>
      </c>
      <c r="CK61" s="128">
        <f t="shared" ref="CK61:CN61" si="513">SUM(CK56:CK60)</f>
        <v>51194</v>
      </c>
      <c r="CL61" s="128">
        <f t="shared" si="513"/>
        <v>53840</v>
      </c>
      <c r="CM61" s="128">
        <f t="shared" si="513"/>
        <v>55452</v>
      </c>
      <c r="CN61" s="128">
        <f t="shared" si="513"/>
        <v>58256</v>
      </c>
      <c r="CO61" s="73">
        <f t="shared" si="486"/>
        <v>58256</v>
      </c>
      <c r="CP61" s="128">
        <f t="shared" ref="CP61:CS61" si="514">SUM(CP56:CP60)</f>
        <v>58038</v>
      </c>
      <c r="CQ61" s="128">
        <f t="shared" si="514"/>
        <v>59247</v>
      </c>
      <c r="CR61" s="17">
        <f t="shared" si="514"/>
        <v>56988</v>
      </c>
      <c r="CS61" s="17">
        <f t="shared" si="514"/>
        <v>56777</v>
      </c>
      <c r="CT61" s="73">
        <f t="shared" si="487"/>
        <v>56777</v>
      </c>
      <c r="CU61" s="17">
        <f t="shared" ref="CU61:CX61" si="515">SUM(CU56:CU60)</f>
        <v>55832</v>
      </c>
      <c r="CV61" s="17">
        <f t="shared" si="515"/>
        <v>58600</v>
      </c>
      <c r="CW61" s="17">
        <f t="shared" si="515"/>
        <v>58002</v>
      </c>
      <c r="CX61" s="17">
        <f t="shared" si="515"/>
        <v>61982</v>
      </c>
      <c r="CY61" s="18">
        <f t="shared" si="488"/>
        <v>61982</v>
      </c>
      <c r="CZ61" s="17">
        <f t="shared" ref="CZ61:DC61" si="516">SUM(CZ56:CZ60)</f>
        <v>62068</v>
      </c>
      <c r="DA61" s="17">
        <f t="shared" si="516"/>
        <v>62257</v>
      </c>
      <c r="DB61" s="17">
        <f t="shared" si="516"/>
        <v>64001</v>
      </c>
      <c r="DC61" s="17">
        <f t="shared" si="516"/>
        <v>67108</v>
      </c>
      <c r="DD61" s="18">
        <f t="shared" si="489"/>
        <v>67108</v>
      </c>
      <c r="DE61" s="17">
        <f t="shared" ref="DE61:DH61" si="517">SUM(DE56:DE60)</f>
        <v>67722</v>
      </c>
      <c r="DF61" s="17">
        <f t="shared" si="517"/>
        <v>69499</v>
      </c>
      <c r="DG61" s="129">
        <f t="shared" si="517"/>
        <v>71806</v>
      </c>
      <c r="DH61" s="17">
        <f t="shared" si="517"/>
        <v>69885</v>
      </c>
      <c r="DI61" s="18">
        <f t="shared" si="490"/>
        <v>69885</v>
      </c>
      <c r="DJ61" s="17">
        <f t="shared" ref="DJ61:DM61" si="518">SUM(DJ56:DJ60)</f>
        <v>70165</v>
      </c>
      <c r="DK61" s="17">
        <f t="shared" si="518"/>
        <v>70047</v>
      </c>
      <c r="DL61" s="17">
        <f t="shared" si="518"/>
        <v>71998</v>
      </c>
      <c r="DM61" s="17">
        <f t="shared" si="518"/>
        <v>74563</v>
      </c>
      <c r="DN61" s="18">
        <f t="shared" si="491"/>
        <v>74563</v>
      </c>
      <c r="DO61" s="17">
        <f t="shared" ref="DO61:DR61" si="519">SUM(DO56:DO60)</f>
        <v>73661</v>
      </c>
      <c r="DP61" s="17">
        <f t="shared" si="519"/>
        <v>74947</v>
      </c>
      <c r="DQ61" s="19">
        <f t="shared" si="519"/>
        <v>74408</v>
      </c>
      <c r="DR61" s="19">
        <f t="shared" si="519"/>
        <v>77659</v>
      </c>
      <c r="DS61" s="18">
        <f t="shared" si="492"/>
        <v>77659</v>
      </c>
      <c r="DT61" s="19">
        <f t="shared" ref="DT61:DW61" si="520">SUM(DT56:DT60)</f>
        <v>76354</v>
      </c>
      <c r="DU61" s="19">
        <f t="shared" si="520"/>
        <v>82010</v>
      </c>
      <c r="DV61" s="19">
        <f t="shared" si="520"/>
        <v>74554</v>
      </c>
      <c r="DW61" s="19">
        <f t="shared" si="520"/>
        <v>81038</v>
      </c>
      <c r="DX61" s="18">
        <f t="shared" si="493"/>
        <v>81038</v>
      </c>
      <c r="DY61" s="19">
        <f t="shared" ref="DY61:EB61" si="521">SUM(DY56:DY60)</f>
        <v>79807</v>
      </c>
      <c r="DZ61" s="19">
        <f t="shared" si="521"/>
        <v>85207</v>
      </c>
      <c r="EA61" s="19">
        <f t="shared" si="521"/>
        <v>90087</v>
      </c>
      <c r="EB61" s="19">
        <f t="shared" si="521"/>
        <v>95391</v>
      </c>
      <c r="EC61" s="18">
        <f t="shared" si="494"/>
        <v>95391</v>
      </c>
      <c r="ED61" s="19">
        <f t="shared" ref="ED61:EE61" si="522">SUM(ED56:ED60)</f>
        <v>103136</v>
      </c>
      <c r="EE61" s="19">
        <f t="shared" si="522"/>
        <v>101218</v>
      </c>
      <c r="EF61" s="19">
        <v>99885.0</v>
      </c>
      <c r="EG61" s="19">
        <f>101423</f>
        <v>101423</v>
      </c>
      <c r="EH61" s="18">
        <f t="shared" si="495"/>
        <v>101423</v>
      </c>
      <c r="EI61" s="134" t="str">
        <f>EH61+IS!EI51+CF!EI13+CF!EI15+CF!EI41+CF!EI44+CF!EI45+CF!EI46</f>
        <v>#ERROR!</v>
      </c>
      <c r="EJ61" s="128" t="str">
        <f>EI61+IS!EJ51+CF!EJ13+CF!EJ15+CF!EJ41+CF!EJ44+CF!EJ45+CF!EJ46</f>
        <v>#ERROR!</v>
      </c>
      <c r="EK61" s="128" t="str">
        <f>EJ61+IS!EK51+CF!EK13+CF!EK15+CF!EK41+CF!EK44+CF!EK45+CF!EK46</f>
        <v>#ERROR!</v>
      </c>
      <c r="EL61" s="128" t="str">
        <f>EK61+IS!EL51+CF!EL13+CF!EL15+CF!EL41+CF!EL44+CF!EL45+CF!EL46</f>
        <v>#ERROR!</v>
      </c>
      <c r="EM61" s="18" t="str">
        <f t="shared" si="496"/>
        <v>#ERROR!</v>
      </c>
      <c r="EN61" s="128" t="str">
        <f>EM61+IS!EN51+CF!EN13+CF!EN15+CF!EN41+CF!EN44+CF!EN45+CF!EN46</f>
        <v>#ERROR!</v>
      </c>
      <c r="EO61" s="128" t="str">
        <f>EN61+IS!EO51+CF!EO13+CF!EO15+CF!EO41+CF!EO44+CF!EO45+CF!EO46</f>
        <v>#ERROR!</v>
      </c>
      <c r="EP61" s="128" t="str">
        <f>EO61+IS!EP51+CF!EP13+CF!EP15+CF!EP41+CF!EP44+CF!EP45+CF!EP46</f>
        <v>#ERROR!</v>
      </c>
      <c r="EQ61" s="128" t="str">
        <f>EP61+IS!EQ51+CF!EQ13+CF!EQ15+CF!EQ41+CF!EQ44+CF!EQ45+CF!EQ46</f>
        <v>#ERROR!</v>
      </c>
      <c r="ER61" s="18" t="str">
        <f t="shared" si="497"/>
        <v>#ERROR!</v>
      </c>
      <c r="ES61" s="128" t="str">
        <f>ER61+IS!ES51+CF!ES13+CF!ES15+CF!ES41+CF!ES44+CF!ES45+CF!ES46</f>
        <v>#ERROR!</v>
      </c>
      <c r="ET61" s="128" t="str">
        <f>ES61+IS!ET51+CF!ET13+CF!ET15+CF!ET41+CF!ET44+CF!ET45+CF!ET46</f>
        <v>#ERROR!</v>
      </c>
      <c r="EU61" s="128" t="str">
        <f>ET61+IS!EU51+CF!EU13+CF!EU15+CF!EU41+CF!EU44+CF!EU45+CF!EU46</f>
        <v>#ERROR!</v>
      </c>
      <c r="EV61" s="128" t="str">
        <f>EU61+IS!EV51+CF!EV13+CF!EV15+CF!EV41+CF!EV44+CF!EV45+CF!EV46</f>
        <v>#ERROR!</v>
      </c>
      <c r="EW61" s="18" t="str">
        <f t="shared" si="498"/>
        <v>#ERROR!</v>
      </c>
      <c r="EX61" s="128" t="str">
        <f>EW61+IS!EX51+CF!EX13+CF!EX15+CF!EX41+CF!EX44+CF!EX45+CF!EX46</f>
        <v>#ERROR!</v>
      </c>
      <c r="EY61" s="128" t="str">
        <f>EX61+IS!EY51+CF!EY13+CF!EY15+CF!EY41+CF!EY44+CF!EY45+CF!EY46</f>
        <v>#ERROR!</v>
      </c>
      <c r="EZ61" s="128" t="str">
        <f>EY61+IS!EZ51+CF!EZ13+CF!EZ15+CF!EZ41+CF!EZ44+CF!EZ45+CF!EZ46</f>
        <v>#ERROR!</v>
      </c>
      <c r="FA61" s="128" t="str">
        <f>EZ61+IS!FA51+CF!FA13+CF!FA15+CF!FA41+CF!FA44+CF!FA45+CF!FA46</f>
        <v>#ERROR!</v>
      </c>
      <c r="FB61" s="18" t="str">
        <f t="shared" si="499"/>
        <v>#ERROR!</v>
      </c>
      <c r="FC61" s="128" t="str">
        <f>FB61+IS!FC51+CF!FC13+CF!FC15+CF!FC41+CF!FC44+CF!FC45+CF!FC46</f>
        <v>#ERROR!</v>
      </c>
      <c r="FD61" s="128" t="str">
        <f>FC61+IS!FD51+CF!FD13+CF!FD15+CF!FD41+CF!FD44+CF!FD45+CF!FD46</f>
        <v>#ERROR!</v>
      </c>
      <c r="FE61" s="128" t="str">
        <f>FD61+IS!FE51+CF!FE13+CF!FE15+CF!FE41+CF!FE44+CF!FE45+CF!FE46</f>
        <v>#ERROR!</v>
      </c>
      <c r="FF61" s="128" t="str">
        <f>FE61+IS!FF51+CF!FF13+CF!FF15+CF!FF41+CF!FF44+CF!FF45+CF!FF46</f>
        <v>#ERROR!</v>
      </c>
      <c r="FG61" s="18" t="str">
        <f t="shared" si="500"/>
        <v>#ERROR!</v>
      </c>
    </row>
    <row r="62" ht="12.75" customHeight="1">
      <c r="A62" s="179"/>
      <c r="B62" s="180"/>
      <c r="C62" s="180"/>
      <c r="D62" s="180"/>
      <c r="E62" s="180"/>
      <c r="F62" s="180"/>
      <c r="G62" s="180"/>
      <c r="H62" s="180"/>
      <c r="I62" s="180"/>
      <c r="J62" s="180"/>
      <c r="K62" s="180"/>
      <c r="L62" s="180"/>
      <c r="M62" s="180"/>
      <c r="N62" s="128"/>
      <c r="O62" s="128"/>
      <c r="P62" s="128"/>
      <c r="Q62" s="128"/>
      <c r="R62" s="73"/>
      <c r="S62" s="128"/>
      <c r="T62" s="128"/>
      <c r="U62" s="128"/>
      <c r="V62" s="128"/>
      <c r="W62" s="73"/>
      <c r="X62" s="128"/>
      <c r="Y62" s="128"/>
      <c r="Z62" s="128"/>
      <c r="AA62" s="128"/>
      <c r="AB62" s="73"/>
      <c r="AC62" s="128"/>
      <c r="AD62" s="128"/>
      <c r="AE62" s="128"/>
      <c r="AF62" s="128"/>
      <c r="AG62" s="73"/>
      <c r="AH62" s="128"/>
      <c r="AI62" s="128"/>
      <c r="AJ62" s="128"/>
      <c r="AK62" s="128"/>
      <c r="AL62" s="73"/>
      <c r="AM62" s="128"/>
      <c r="AN62" s="128"/>
      <c r="AO62" s="128"/>
      <c r="AP62" s="128"/>
      <c r="AQ62" s="73"/>
      <c r="AR62" s="128"/>
      <c r="AS62" s="128"/>
      <c r="AT62" s="128"/>
      <c r="AU62" s="128"/>
      <c r="AV62" s="73"/>
      <c r="AW62" s="128"/>
      <c r="AX62" s="128"/>
      <c r="AY62" s="128"/>
      <c r="AZ62" s="128"/>
      <c r="BA62" s="73"/>
      <c r="BB62" s="128"/>
      <c r="BC62" s="128"/>
      <c r="BD62" s="128"/>
      <c r="BE62" s="128"/>
      <c r="BF62" s="73"/>
      <c r="BG62" s="128"/>
      <c r="BH62" s="128"/>
      <c r="BI62" s="128"/>
      <c r="BJ62" s="128"/>
      <c r="BK62" s="73"/>
      <c r="BL62" s="128"/>
      <c r="BM62" s="128"/>
      <c r="BN62" s="128"/>
      <c r="BO62" s="128"/>
      <c r="BP62" s="73"/>
      <c r="BQ62" s="128"/>
      <c r="BR62" s="128"/>
      <c r="BS62" s="128"/>
      <c r="BT62" s="128"/>
      <c r="BU62" s="73"/>
      <c r="BV62" s="128"/>
      <c r="BW62" s="128"/>
      <c r="BX62" s="128"/>
      <c r="BY62" s="128"/>
      <c r="BZ62" s="73"/>
      <c r="CA62" s="128"/>
      <c r="CB62" s="128"/>
      <c r="CC62" s="128"/>
      <c r="CD62" s="128"/>
      <c r="CE62" s="73"/>
      <c r="CF62" s="128"/>
      <c r="CG62" s="128"/>
      <c r="CH62" s="128"/>
      <c r="CI62" s="128"/>
      <c r="CJ62" s="73"/>
      <c r="CK62" s="128"/>
      <c r="CL62" s="128"/>
      <c r="CM62" s="128"/>
      <c r="CN62" s="128"/>
      <c r="CO62" s="73"/>
      <c r="CP62" s="128"/>
      <c r="CQ62" s="128"/>
      <c r="CR62" s="17"/>
      <c r="CS62" s="17"/>
      <c r="CT62" s="73"/>
      <c r="CU62" s="17"/>
      <c r="CV62" s="17"/>
      <c r="CW62" s="17"/>
      <c r="CX62" s="17"/>
      <c r="CY62" s="18"/>
      <c r="CZ62" s="17"/>
      <c r="DA62" s="17"/>
      <c r="DB62" s="17"/>
      <c r="DC62" s="17"/>
      <c r="DD62" s="18"/>
      <c r="DE62" s="17"/>
      <c r="DF62" s="17"/>
      <c r="DG62" s="129"/>
      <c r="DH62" s="17"/>
      <c r="DI62" s="18"/>
      <c r="DJ62" s="17"/>
      <c r="DK62" s="17"/>
      <c r="DL62" s="17"/>
      <c r="DM62" s="17"/>
      <c r="DN62" s="18"/>
      <c r="DO62" s="17"/>
      <c r="DP62" s="17"/>
      <c r="DQ62" s="19"/>
      <c r="DR62" s="19"/>
      <c r="DS62" s="18"/>
      <c r="DT62" s="19"/>
      <c r="DU62" s="19"/>
      <c r="DV62" s="19"/>
      <c r="DW62" s="19"/>
      <c r="DX62" s="18"/>
      <c r="DY62" s="19"/>
      <c r="DZ62" s="19"/>
      <c r="EA62" s="19"/>
      <c r="EB62" s="19"/>
      <c r="EC62" s="18"/>
      <c r="ED62" s="19"/>
      <c r="EE62" s="19"/>
      <c r="EF62" s="19"/>
      <c r="EG62" s="19"/>
      <c r="EH62" s="18"/>
      <c r="EI62" s="134"/>
      <c r="EJ62" s="128"/>
      <c r="EK62" s="128"/>
      <c r="EL62" s="128"/>
      <c r="EM62" s="18"/>
      <c r="EN62" s="128"/>
      <c r="EO62" s="128"/>
      <c r="EP62" s="128"/>
      <c r="EQ62" s="128"/>
      <c r="ER62" s="18"/>
      <c r="ES62" s="128"/>
      <c r="ET62" s="128"/>
      <c r="EU62" s="128"/>
      <c r="EV62" s="128"/>
      <c r="EW62" s="18"/>
      <c r="EX62" s="128"/>
      <c r="EY62" s="128"/>
      <c r="EZ62" s="128"/>
      <c r="FA62" s="128"/>
      <c r="FB62" s="18"/>
      <c r="FC62" s="128"/>
      <c r="FD62" s="128"/>
      <c r="FE62" s="128"/>
      <c r="FF62" s="128"/>
      <c r="FG62" s="18"/>
    </row>
    <row r="63" ht="12.75" customHeight="1" outlineLevel="1">
      <c r="A63" s="179"/>
      <c r="B63" s="180" t="s">
        <v>547</v>
      </c>
      <c r="C63" s="180"/>
      <c r="D63" s="180"/>
      <c r="E63" s="180"/>
      <c r="F63" s="180"/>
      <c r="G63" s="180"/>
      <c r="H63" s="180"/>
      <c r="I63" s="180"/>
      <c r="J63" s="180"/>
      <c r="K63" s="180"/>
      <c r="L63" s="180"/>
      <c r="M63" s="180"/>
      <c r="N63" s="128"/>
      <c r="O63" s="128"/>
      <c r="P63" s="128"/>
      <c r="Q63" s="128"/>
      <c r="R63" s="73"/>
      <c r="S63" s="128"/>
      <c r="T63" s="128"/>
      <c r="U63" s="128"/>
      <c r="V63" s="128"/>
      <c r="W63" s="73"/>
      <c r="X63" s="128"/>
      <c r="Y63" s="128"/>
      <c r="Z63" s="128"/>
      <c r="AA63" s="128"/>
      <c r="AB63" s="73"/>
      <c r="AC63" s="128"/>
      <c r="AD63" s="128"/>
      <c r="AE63" s="128"/>
      <c r="AF63" s="128"/>
      <c r="AG63" s="73"/>
      <c r="AH63" s="128"/>
      <c r="AI63" s="128"/>
      <c r="AJ63" s="128"/>
      <c r="AK63" s="128"/>
      <c r="AL63" s="73"/>
      <c r="AM63" s="128"/>
      <c r="AN63" s="128"/>
      <c r="AO63" s="128"/>
      <c r="AP63" s="128"/>
      <c r="AQ63" s="73"/>
      <c r="AR63" s="128"/>
      <c r="AS63" s="128"/>
      <c r="AT63" s="128"/>
      <c r="AU63" s="128"/>
      <c r="AV63" s="73"/>
      <c r="AW63" s="128"/>
      <c r="AX63" s="128"/>
      <c r="AY63" s="128"/>
      <c r="AZ63" s="128"/>
      <c r="BA63" s="73"/>
      <c r="BB63" s="128"/>
      <c r="BC63" s="128"/>
      <c r="BD63" s="128"/>
      <c r="BE63" s="128"/>
      <c r="BF63" s="73"/>
      <c r="BG63" s="128"/>
      <c r="BH63" s="128"/>
      <c r="BI63" s="128"/>
      <c r="BJ63" s="128"/>
      <c r="BK63" s="73"/>
      <c r="BL63" s="128"/>
      <c r="BM63" s="128"/>
      <c r="BN63" s="128"/>
      <c r="BO63" s="128"/>
      <c r="BP63" s="73"/>
      <c r="BQ63" s="128"/>
      <c r="BR63" s="128"/>
      <c r="BS63" s="128"/>
      <c r="BT63" s="128"/>
      <c r="BU63" s="73"/>
      <c r="BV63" s="128"/>
      <c r="BW63" s="128"/>
      <c r="BX63" s="128"/>
      <c r="BY63" s="128"/>
      <c r="BZ63" s="73"/>
      <c r="CA63" s="128"/>
      <c r="CB63" s="128"/>
      <c r="CC63" s="128"/>
      <c r="CD63" s="128"/>
      <c r="CE63" s="73"/>
      <c r="CF63" s="128"/>
      <c r="CG63" s="128"/>
      <c r="CH63" s="128"/>
      <c r="CI63" s="128"/>
      <c r="CJ63" s="73"/>
      <c r="CK63" s="128"/>
      <c r="CL63" s="128"/>
      <c r="CM63" s="128"/>
      <c r="CN63" s="128"/>
      <c r="CO63" s="73"/>
      <c r="CP63" s="128"/>
      <c r="CQ63" s="128"/>
      <c r="CR63" s="17"/>
      <c r="CS63" s="17"/>
      <c r="CT63" s="73"/>
      <c r="CU63" s="17"/>
      <c r="CV63" s="17"/>
      <c r="CW63" s="17"/>
      <c r="CX63" s="17"/>
      <c r="CY63" s="18"/>
      <c r="CZ63" s="17"/>
      <c r="DA63" s="17"/>
      <c r="DB63" s="17"/>
      <c r="DC63" s="17"/>
      <c r="DD63" s="18"/>
      <c r="DE63" s="17"/>
      <c r="DF63" s="17"/>
      <c r="DG63" s="129"/>
      <c r="DH63" s="17"/>
      <c r="DI63" s="18"/>
      <c r="DJ63" s="17"/>
      <c r="DK63" s="17"/>
      <c r="DL63" s="17"/>
      <c r="DM63" s="17"/>
      <c r="DN63" s="18"/>
      <c r="DO63" s="17"/>
      <c r="DP63" s="17"/>
      <c r="DQ63" s="19"/>
      <c r="DR63" s="19"/>
      <c r="DS63" s="18"/>
      <c r="DT63" s="19"/>
      <c r="DU63" s="19"/>
      <c r="DV63" s="19"/>
      <c r="DW63" s="19"/>
      <c r="DX63" s="18"/>
      <c r="DY63" s="19"/>
      <c r="DZ63" s="19"/>
      <c r="EA63" s="19"/>
      <c r="EB63" s="19"/>
      <c r="EC63" s="18"/>
      <c r="ED63" s="19"/>
      <c r="EE63" s="19"/>
      <c r="EF63" s="19"/>
      <c r="EG63" s="19">
        <v>1863.0</v>
      </c>
      <c r="EH63" s="18">
        <f t="shared" ref="EH63:EM63" si="523">EG63</f>
        <v>1863</v>
      </c>
      <c r="EI63" s="134">
        <f t="shared" si="523"/>
        <v>1863</v>
      </c>
      <c r="EJ63" s="128">
        <f t="shared" si="523"/>
        <v>1863</v>
      </c>
      <c r="EK63" s="128">
        <f t="shared" si="523"/>
        <v>1863</v>
      </c>
      <c r="EL63" s="128">
        <f t="shared" si="523"/>
        <v>1863</v>
      </c>
      <c r="EM63" s="18">
        <f t="shared" si="523"/>
        <v>1863</v>
      </c>
      <c r="EN63" s="128">
        <f>EL63</f>
        <v>1863</v>
      </c>
      <c r="EO63" s="128">
        <f t="shared" ref="EO63:ER63" si="524">EN63</f>
        <v>1863</v>
      </c>
      <c r="EP63" s="128">
        <f t="shared" si="524"/>
        <v>1863</v>
      </c>
      <c r="EQ63" s="128">
        <f t="shared" si="524"/>
        <v>1863</v>
      </c>
      <c r="ER63" s="18">
        <f t="shared" si="524"/>
        <v>1863</v>
      </c>
      <c r="ES63" s="128">
        <f>EQ63</f>
        <v>1863</v>
      </c>
      <c r="ET63" s="128">
        <f t="shared" ref="ET63:EW63" si="525">ES63</f>
        <v>1863</v>
      </c>
      <c r="EU63" s="128">
        <f t="shared" si="525"/>
        <v>1863</v>
      </c>
      <c r="EV63" s="128">
        <f t="shared" si="525"/>
        <v>1863</v>
      </c>
      <c r="EW63" s="18">
        <f t="shared" si="525"/>
        <v>1863</v>
      </c>
      <c r="EX63" s="128">
        <f>EV63</f>
        <v>1863</v>
      </c>
      <c r="EY63" s="128">
        <f t="shared" ref="EY63:FB63" si="526">EX63</f>
        <v>1863</v>
      </c>
      <c r="EZ63" s="128">
        <f t="shared" si="526"/>
        <v>1863</v>
      </c>
      <c r="FA63" s="128">
        <f t="shared" si="526"/>
        <v>1863</v>
      </c>
      <c r="FB63" s="18">
        <f t="shared" si="526"/>
        <v>1863</v>
      </c>
      <c r="FC63" s="128">
        <f>FA63</f>
        <v>1863</v>
      </c>
      <c r="FD63" s="128">
        <f t="shared" ref="FD63:FG63" si="527">FC63</f>
        <v>1863</v>
      </c>
      <c r="FE63" s="128">
        <f t="shared" si="527"/>
        <v>1863</v>
      </c>
      <c r="FF63" s="128">
        <f t="shared" si="527"/>
        <v>1863</v>
      </c>
      <c r="FG63" s="18">
        <f t="shared" si="527"/>
        <v>1863</v>
      </c>
    </row>
    <row r="64" ht="12.75" customHeight="1">
      <c r="A64" s="179"/>
      <c r="B64" s="180"/>
      <c r="C64" s="180"/>
      <c r="D64" s="180"/>
      <c r="E64" s="180"/>
      <c r="F64" s="180"/>
      <c r="G64" s="180"/>
      <c r="H64" s="180"/>
      <c r="I64" s="180"/>
      <c r="J64" s="180"/>
      <c r="K64" s="180"/>
      <c r="L64" s="180"/>
      <c r="M64" s="180"/>
      <c r="N64" s="128"/>
      <c r="O64" s="128"/>
      <c r="P64" s="128"/>
      <c r="Q64" s="128"/>
      <c r="R64" s="73"/>
      <c r="S64" s="128"/>
      <c r="T64" s="128"/>
      <c r="U64" s="128"/>
      <c r="V64" s="128"/>
      <c r="W64" s="73"/>
      <c r="X64" s="128"/>
      <c r="Y64" s="128"/>
      <c r="Z64" s="128"/>
      <c r="AA64" s="128"/>
      <c r="AB64" s="73"/>
      <c r="AC64" s="128"/>
      <c r="AD64" s="128"/>
      <c r="AE64" s="128"/>
      <c r="AF64" s="128"/>
      <c r="AG64" s="73"/>
      <c r="AH64" s="128"/>
      <c r="AI64" s="128"/>
      <c r="AJ64" s="128"/>
      <c r="AK64" s="128"/>
      <c r="AL64" s="73"/>
      <c r="AM64" s="128"/>
      <c r="AN64" s="128"/>
      <c r="AO64" s="128"/>
      <c r="AP64" s="128"/>
      <c r="AQ64" s="73"/>
      <c r="AR64" s="128"/>
      <c r="AS64" s="128"/>
      <c r="AT64" s="128"/>
      <c r="AU64" s="128"/>
      <c r="AV64" s="73"/>
      <c r="AW64" s="128"/>
      <c r="AX64" s="128"/>
      <c r="AY64" s="128"/>
      <c r="AZ64" s="128"/>
      <c r="BA64" s="73"/>
      <c r="BB64" s="128"/>
      <c r="BC64" s="128"/>
      <c r="BD64" s="128"/>
      <c r="BE64" s="128"/>
      <c r="BF64" s="73"/>
      <c r="BG64" s="128"/>
      <c r="BH64" s="128"/>
      <c r="BI64" s="128"/>
      <c r="BJ64" s="128"/>
      <c r="BK64" s="73"/>
      <c r="BL64" s="128"/>
      <c r="BM64" s="128"/>
      <c r="BN64" s="128"/>
      <c r="BO64" s="128"/>
      <c r="BP64" s="73"/>
      <c r="BQ64" s="128"/>
      <c r="BR64" s="128"/>
      <c r="BS64" s="128"/>
      <c r="BT64" s="128"/>
      <c r="BU64" s="73"/>
      <c r="BV64" s="128"/>
      <c r="BW64" s="128"/>
      <c r="BX64" s="128"/>
      <c r="BY64" s="128"/>
      <c r="BZ64" s="73"/>
      <c r="CA64" s="128"/>
      <c r="CB64" s="128"/>
      <c r="CC64" s="128"/>
      <c r="CD64" s="128"/>
      <c r="CE64" s="73"/>
      <c r="CF64" s="128"/>
      <c r="CG64" s="128"/>
      <c r="CH64" s="128"/>
      <c r="CI64" s="128"/>
      <c r="CJ64" s="73"/>
      <c r="CK64" s="128"/>
      <c r="CL64" s="128"/>
      <c r="CM64" s="128"/>
      <c r="CN64" s="128"/>
      <c r="CO64" s="73"/>
      <c r="CP64" s="128"/>
      <c r="CQ64" s="128"/>
      <c r="CR64" s="128"/>
      <c r="CS64" s="128"/>
      <c r="CT64" s="73"/>
      <c r="CU64" s="128"/>
      <c r="CV64" s="128"/>
      <c r="CW64" s="128"/>
      <c r="CX64" s="128"/>
      <c r="CY64" s="18"/>
      <c r="CZ64" s="128"/>
      <c r="DA64" s="128"/>
      <c r="DB64" s="128"/>
      <c r="DC64" s="128"/>
      <c r="DD64" s="18"/>
      <c r="DE64" s="128"/>
      <c r="DF64" s="128"/>
      <c r="DG64" s="129"/>
      <c r="DH64" s="128"/>
      <c r="DI64" s="18"/>
      <c r="DJ64" s="129"/>
      <c r="DK64" s="129"/>
      <c r="DL64" s="129"/>
      <c r="DM64" s="129"/>
      <c r="DN64" s="18"/>
      <c r="DO64" s="129"/>
      <c r="DP64" s="129"/>
      <c r="DQ64" s="129"/>
      <c r="DR64" s="129"/>
      <c r="DS64" s="18"/>
      <c r="DT64" s="129"/>
      <c r="DU64" s="129"/>
      <c r="DV64" s="129"/>
      <c r="DW64" s="129"/>
      <c r="DX64" s="18"/>
      <c r="DY64" s="129"/>
      <c r="DZ64" s="129"/>
      <c r="EA64" s="129"/>
      <c r="EB64" s="129"/>
      <c r="EC64" s="18"/>
      <c r="ED64" s="129"/>
      <c r="EE64" s="129"/>
      <c r="EF64" s="129"/>
      <c r="EG64" s="129"/>
      <c r="EH64" s="18"/>
      <c r="EI64" s="134"/>
      <c r="EJ64" s="128"/>
      <c r="EK64" s="128"/>
      <c r="EL64" s="128"/>
      <c r="EM64" s="18"/>
      <c r="EN64" s="128"/>
      <c r="EO64" s="128"/>
      <c r="EP64" s="128"/>
      <c r="EQ64" s="128"/>
      <c r="ER64" s="18"/>
      <c r="ES64" s="128"/>
      <c r="ET64" s="128"/>
      <c r="EU64" s="128"/>
      <c r="EV64" s="128"/>
      <c r="EW64" s="18"/>
      <c r="EX64" s="128"/>
      <c r="EY64" s="128"/>
      <c r="EZ64" s="128"/>
      <c r="FA64" s="128"/>
      <c r="FB64" s="18"/>
      <c r="FC64" s="128"/>
      <c r="FD64" s="128"/>
      <c r="FE64" s="128"/>
      <c r="FF64" s="128"/>
      <c r="FG64" s="18"/>
    </row>
    <row r="65" ht="12.75" customHeight="1">
      <c r="A65" s="8"/>
      <c r="B65" s="812" t="s">
        <v>548</v>
      </c>
      <c r="C65" s="813"/>
      <c r="D65" s="813"/>
      <c r="E65" s="813"/>
      <c r="F65" s="813"/>
      <c r="G65" s="813"/>
      <c r="H65" s="813"/>
      <c r="I65" s="813"/>
      <c r="J65" s="813"/>
      <c r="K65" s="813"/>
      <c r="L65" s="813"/>
      <c r="M65" s="813"/>
      <c r="N65" s="166">
        <f t="shared" ref="N65:V65" si="528">+N61+N54</f>
        <v>30229</v>
      </c>
      <c r="O65" s="166">
        <f t="shared" si="528"/>
        <v>28418</v>
      </c>
      <c r="P65" s="166">
        <f t="shared" si="528"/>
        <v>29388</v>
      </c>
      <c r="Q65" s="166">
        <f t="shared" si="528"/>
        <v>31471</v>
      </c>
      <c r="R65" s="166">
        <f t="shared" si="528"/>
        <v>31471</v>
      </c>
      <c r="S65" s="166">
        <f t="shared" si="528"/>
        <v>33093</v>
      </c>
      <c r="T65" s="166">
        <f t="shared" si="528"/>
        <v>32801</v>
      </c>
      <c r="U65" s="166">
        <f t="shared" si="528"/>
        <v>38938</v>
      </c>
      <c r="V65" s="166">
        <f t="shared" si="528"/>
        <v>43849</v>
      </c>
      <c r="W65" s="166">
        <f t="shared" ref="W65:W66" si="537">+V65</f>
        <v>43849</v>
      </c>
      <c r="X65" s="166">
        <f t="shared" ref="X65:AA65" si="529">+X61+X54</f>
        <v>47811</v>
      </c>
      <c r="Y65" s="166">
        <f t="shared" si="529"/>
        <v>48520</v>
      </c>
      <c r="Z65" s="166">
        <f t="shared" si="529"/>
        <v>49013</v>
      </c>
      <c r="AA65" s="166">
        <f t="shared" si="529"/>
        <v>47945</v>
      </c>
      <c r="AB65" s="166">
        <f t="shared" ref="AB65:AB66" si="539">+AA65</f>
        <v>47945</v>
      </c>
      <c r="AC65" s="166">
        <f t="shared" ref="AC65:AF65" si="530">+AC61+AC54</f>
        <v>46249</v>
      </c>
      <c r="AD65" s="166">
        <f t="shared" si="530"/>
        <v>45624</v>
      </c>
      <c r="AE65" s="166">
        <f t="shared" si="530"/>
        <v>44231</v>
      </c>
      <c r="AF65" s="166">
        <f t="shared" si="530"/>
        <v>44395</v>
      </c>
      <c r="AG65" s="166">
        <f>AG54+AG61</f>
        <v>44395</v>
      </c>
      <c r="AH65" s="166">
        <f>+AH61+AH54</f>
        <v>44389</v>
      </c>
      <c r="AI65" s="166">
        <f t="shared" ref="AI65:BT65" si="531">AI54+AI61</f>
        <v>43498</v>
      </c>
      <c r="AJ65" s="166">
        <f t="shared" si="531"/>
        <v>43636</v>
      </c>
      <c r="AK65" s="166">
        <f t="shared" si="531"/>
        <v>44224</v>
      </c>
      <c r="AL65" s="166">
        <f t="shared" si="531"/>
        <v>44224</v>
      </c>
      <c r="AM65" s="166">
        <f t="shared" si="531"/>
        <v>43806</v>
      </c>
      <c r="AN65" s="166">
        <f t="shared" si="531"/>
        <v>44465</v>
      </c>
      <c r="AO65" s="166">
        <f t="shared" si="531"/>
        <v>47003</v>
      </c>
      <c r="AP65" s="166">
        <f t="shared" si="531"/>
        <v>47143</v>
      </c>
      <c r="AQ65" s="166">
        <f t="shared" si="531"/>
        <v>47143</v>
      </c>
      <c r="AR65" s="166">
        <f t="shared" si="531"/>
        <v>47088</v>
      </c>
      <c r="AS65" s="166">
        <f t="shared" si="531"/>
        <v>48672</v>
      </c>
      <c r="AT65" s="166">
        <f t="shared" si="531"/>
        <v>47800</v>
      </c>
      <c r="AU65" s="166">
        <f t="shared" si="531"/>
        <v>48143</v>
      </c>
      <c r="AV65" s="166">
        <f t="shared" si="531"/>
        <v>48143</v>
      </c>
      <c r="AW65" s="166">
        <f t="shared" si="531"/>
        <v>47566</v>
      </c>
      <c r="AX65" s="166">
        <f t="shared" si="531"/>
        <v>46513</v>
      </c>
      <c r="AY65" s="166">
        <f t="shared" si="531"/>
        <v>47360</v>
      </c>
      <c r="AZ65" s="166">
        <f t="shared" si="531"/>
        <v>48314</v>
      </c>
      <c r="BA65" s="166">
        <f t="shared" si="531"/>
        <v>48314</v>
      </c>
      <c r="BB65" s="166">
        <f t="shared" si="531"/>
        <v>47194</v>
      </c>
      <c r="BC65" s="166">
        <f t="shared" si="531"/>
        <v>46088</v>
      </c>
      <c r="BD65" s="166">
        <f t="shared" si="531"/>
        <v>46855</v>
      </c>
      <c r="BE65" s="166">
        <f t="shared" si="531"/>
        <v>48368</v>
      </c>
      <c r="BF65" s="166">
        <f t="shared" si="531"/>
        <v>48368</v>
      </c>
      <c r="BG65" s="166">
        <f t="shared" si="531"/>
        <v>48756</v>
      </c>
      <c r="BH65" s="166">
        <f t="shared" si="531"/>
        <v>50294</v>
      </c>
      <c r="BI65" s="166">
        <f t="shared" si="531"/>
        <v>53039</v>
      </c>
      <c r="BJ65" s="166">
        <f t="shared" si="531"/>
        <v>55651</v>
      </c>
      <c r="BK65" s="166">
        <f t="shared" si="531"/>
        <v>55651</v>
      </c>
      <c r="BL65" s="166">
        <f t="shared" si="531"/>
        <v>53387</v>
      </c>
      <c r="BM65" s="166">
        <f t="shared" si="531"/>
        <v>52392</v>
      </c>
      <c r="BN65" s="166">
        <f t="shared" si="531"/>
        <v>52719</v>
      </c>
      <c r="BO65" s="166">
        <f t="shared" si="531"/>
        <v>50715</v>
      </c>
      <c r="BP65" s="166">
        <f t="shared" si="531"/>
        <v>50715</v>
      </c>
      <c r="BQ65" s="166">
        <f t="shared" si="531"/>
        <v>48454</v>
      </c>
      <c r="BR65" s="166">
        <f t="shared" si="531"/>
        <v>49061</v>
      </c>
      <c r="BS65" s="166">
        <f t="shared" si="531"/>
        <v>50996</v>
      </c>
      <c r="BT65" s="166">
        <f t="shared" si="531"/>
        <v>53095</v>
      </c>
      <c r="BU65" s="166">
        <f>BT65</f>
        <v>53095</v>
      </c>
      <c r="BV65" s="166">
        <f t="shared" ref="BV65:BY65" si="532">BV54+BV61</f>
        <v>55773</v>
      </c>
      <c r="BW65" s="166">
        <f t="shared" si="532"/>
        <v>57691</v>
      </c>
      <c r="BX65" s="166">
        <f t="shared" si="532"/>
        <v>60588</v>
      </c>
      <c r="BY65" s="166">
        <f t="shared" si="532"/>
        <v>63186</v>
      </c>
      <c r="BZ65" s="166">
        <f>BY65</f>
        <v>63186</v>
      </c>
      <c r="CA65" s="166">
        <f t="shared" ref="CA65:CD65" si="533">CA54+CA61</f>
        <v>65552</v>
      </c>
      <c r="CB65" s="166">
        <f t="shared" si="533"/>
        <v>66089</v>
      </c>
      <c r="CC65" s="166">
        <f t="shared" si="533"/>
        <v>70551</v>
      </c>
      <c r="CD65" s="166">
        <f t="shared" si="533"/>
        <v>71119</v>
      </c>
      <c r="CE65" s="166">
        <f>CD65</f>
        <v>71119</v>
      </c>
      <c r="CF65" s="166">
        <f t="shared" ref="CF65:CI65" si="534">CF54+CF61</f>
        <v>71817</v>
      </c>
      <c r="CG65" s="166">
        <f t="shared" si="534"/>
        <v>72352</v>
      </c>
      <c r="CH65" s="166">
        <f t="shared" si="534"/>
        <v>74441</v>
      </c>
      <c r="CI65" s="166">
        <f t="shared" si="534"/>
        <v>84351</v>
      </c>
      <c r="CJ65" s="166">
        <f>CI65</f>
        <v>84351</v>
      </c>
      <c r="CK65" s="166">
        <f t="shared" ref="CK65:FG65" si="535">CK54+CK61</f>
        <v>83083</v>
      </c>
      <c r="CL65" s="166">
        <f t="shared" si="535"/>
        <v>85661</v>
      </c>
      <c r="CM65" s="166">
        <f t="shared" si="535"/>
        <v>90551</v>
      </c>
      <c r="CN65" s="166">
        <f t="shared" si="535"/>
        <v>92358</v>
      </c>
      <c r="CO65" s="166">
        <f t="shared" si="535"/>
        <v>92358</v>
      </c>
      <c r="CP65" s="166">
        <f t="shared" si="535"/>
        <v>91932</v>
      </c>
      <c r="CQ65" s="166">
        <f t="shared" si="535"/>
        <v>91793</v>
      </c>
      <c r="CR65" s="166">
        <f t="shared" si="535"/>
        <v>90616</v>
      </c>
      <c r="CS65" s="166">
        <f t="shared" si="535"/>
        <v>91956</v>
      </c>
      <c r="CT65" s="814">
        <f t="shared" si="535"/>
        <v>91956</v>
      </c>
      <c r="CU65" s="166">
        <f t="shared" si="535"/>
        <v>89566</v>
      </c>
      <c r="CV65" s="166">
        <f t="shared" si="535"/>
        <v>90492</v>
      </c>
      <c r="CW65" s="166">
        <f t="shared" si="535"/>
        <v>98552</v>
      </c>
      <c r="CX65" s="166">
        <f t="shared" si="535"/>
        <v>103065</v>
      </c>
      <c r="CY65" s="168">
        <f t="shared" si="535"/>
        <v>103065</v>
      </c>
      <c r="CZ65" s="166">
        <f t="shared" si="535"/>
        <v>105467</v>
      </c>
      <c r="DA65" s="166">
        <f t="shared" si="535"/>
        <v>109831</v>
      </c>
      <c r="DB65" s="166">
        <f t="shared" si="535"/>
        <v>112217</v>
      </c>
      <c r="DC65" s="166">
        <f t="shared" si="535"/>
        <v>113327</v>
      </c>
      <c r="DD65" s="168">
        <f t="shared" si="535"/>
        <v>113327</v>
      </c>
      <c r="DE65" s="166">
        <f t="shared" si="535"/>
        <v>115648</v>
      </c>
      <c r="DF65" s="166">
        <f t="shared" si="535"/>
        <v>122107</v>
      </c>
      <c r="DG65" s="167">
        <f t="shared" si="535"/>
        <v>127088</v>
      </c>
      <c r="DH65" s="166">
        <f t="shared" si="535"/>
        <v>123249</v>
      </c>
      <c r="DI65" s="168">
        <f t="shared" si="535"/>
        <v>123249</v>
      </c>
      <c r="DJ65" s="167">
        <f t="shared" si="535"/>
        <v>128596</v>
      </c>
      <c r="DK65" s="167">
        <f t="shared" si="535"/>
        <v>125972</v>
      </c>
      <c r="DL65" s="167">
        <f t="shared" si="535"/>
        <v>128242</v>
      </c>
      <c r="DM65" s="167">
        <f t="shared" si="535"/>
        <v>127963</v>
      </c>
      <c r="DN65" s="168">
        <f t="shared" si="535"/>
        <v>127963</v>
      </c>
      <c r="DO65" s="167">
        <f t="shared" si="535"/>
        <v>129458</v>
      </c>
      <c r="DP65" s="167">
        <f t="shared" si="535"/>
        <v>130759</v>
      </c>
      <c r="DQ65" s="167">
        <f t="shared" si="535"/>
        <v>133768</v>
      </c>
      <c r="DR65" s="167">
        <f t="shared" si="535"/>
        <v>136524</v>
      </c>
      <c r="DS65" s="168">
        <f t="shared" si="535"/>
        <v>136524</v>
      </c>
      <c r="DT65" s="167">
        <f t="shared" si="535"/>
        <v>147710</v>
      </c>
      <c r="DU65" s="167">
        <f t="shared" si="535"/>
        <v>152539</v>
      </c>
      <c r="DV65" s="167">
        <f t="shared" si="535"/>
        <v>145261</v>
      </c>
      <c r="DW65" s="167">
        <f t="shared" si="535"/>
        <v>153091</v>
      </c>
      <c r="DX65" s="168">
        <f t="shared" si="535"/>
        <v>153091</v>
      </c>
      <c r="DY65" s="167">
        <f t="shared" si="535"/>
        <v>150622</v>
      </c>
      <c r="DZ65" s="167">
        <f t="shared" si="535"/>
        <v>154597</v>
      </c>
      <c r="EA65" s="167">
        <f t="shared" si="535"/>
        <v>167962</v>
      </c>
      <c r="EB65" s="167">
        <f t="shared" si="535"/>
        <v>168406</v>
      </c>
      <c r="EC65" s="168">
        <f t="shared" si="535"/>
        <v>168406</v>
      </c>
      <c r="ED65" s="167">
        <f t="shared" si="535"/>
        <v>176356</v>
      </c>
      <c r="EE65" s="167">
        <f t="shared" si="535"/>
        <v>170418</v>
      </c>
      <c r="EF65" s="167">
        <f t="shared" si="535"/>
        <v>174841</v>
      </c>
      <c r="EG65" s="167">
        <f t="shared" si="535"/>
        <v>180240</v>
      </c>
      <c r="EH65" s="168">
        <f t="shared" si="535"/>
        <v>180240</v>
      </c>
      <c r="EI65" s="169" t="str">
        <f t="shared" si="535"/>
        <v>#ERROR!</v>
      </c>
      <c r="EJ65" s="166" t="str">
        <f t="shared" si="535"/>
        <v>#ERROR!</v>
      </c>
      <c r="EK65" s="166" t="str">
        <f t="shared" si="535"/>
        <v>#ERROR!</v>
      </c>
      <c r="EL65" s="166" t="str">
        <f t="shared" si="535"/>
        <v>#ERROR!</v>
      </c>
      <c r="EM65" s="168" t="str">
        <f t="shared" si="535"/>
        <v>#ERROR!</v>
      </c>
      <c r="EN65" s="166" t="str">
        <f t="shared" si="535"/>
        <v>#ERROR!</v>
      </c>
      <c r="EO65" s="166" t="str">
        <f t="shared" si="535"/>
        <v>#ERROR!</v>
      </c>
      <c r="EP65" s="166" t="str">
        <f t="shared" si="535"/>
        <v>#ERROR!</v>
      </c>
      <c r="EQ65" s="166" t="str">
        <f t="shared" si="535"/>
        <v>#ERROR!</v>
      </c>
      <c r="ER65" s="168" t="str">
        <f t="shared" si="535"/>
        <v>#ERROR!</v>
      </c>
      <c r="ES65" s="166" t="str">
        <f t="shared" si="535"/>
        <v>#ERROR!</v>
      </c>
      <c r="ET65" s="166" t="str">
        <f t="shared" si="535"/>
        <v>#ERROR!</v>
      </c>
      <c r="EU65" s="166" t="str">
        <f t="shared" si="535"/>
        <v>#ERROR!</v>
      </c>
      <c r="EV65" s="166" t="str">
        <f t="shared" si="535"/>
        <v>#ERROR!</v>
      </c>
      <c r="EW65" s="168" t="str">
        <f t="shared" si="535"/>
        <v>#ERROR!</v>
      </c>
      <c r="EX65" s="166" t="str">
        <f t="shared" si="535"/>
        <v>#ERROR!</v>
      </c>
      <c r="EY65" s="166" t="str">
        <f t="shared" si="535"/>
        <v>#ERROR!</v>
      </c>
      <c r="EZ65" s="166" t="str">
        <f t="shared" si="535"/>
        <v>#ERROR!</v>
      </c>
      <c r="FA65" s="166" t="str">
        <f t="shared" si="535"/>
        <v>#ERROR!</v>
      </c>
      <c r="FB65" s="168" t="str">
        <f t="shared" si="535"/>
        <v>#ERROR!</v>
      </c>
      <c r="FC65" s="166" t="str">
        <f t="shared" si="535"/>
        <v>#ERROR!</v>
      </c>
      <c r="FD65" s="166" t="str">
        <f t="shared" si="535"/>
        <v>#ERROR!</v>
      </c>
      <c r="FE65" s="166" t="str">
        <f t="shared" si="535"/>
        <v>#ERROR!</v>
      </c>
      <c r="FF65" s="166" t="str">
        <f t="shared" si="535"/>
        <v>#ERROR!</v>
      </c>
      <c r="FG65" s="168" t="str">
        <f t="shared" si="535"/>
        <v>#ERROR!</v>
      </c>
    </row>
    <row r="66" ht="12.75" customHeight="1">
      <c r="A66" s="816"/>
      <c r="B66" s="817" t="s">
        <v>549</v>
      </c>
      <c r="C66" s="817"/>
      <c r="D66" s="817"/>
      <c r="E66" s="817"/>
      <c r="F66" s="817"/>
      <c r="G66" s="817"/>
      <c r="H66" s="817"/>
      <c r="I66" s="817"/>
      <c r="J66" s="817"/>
      <c r="K66" s="817"/>
      <c r="L66" s="817"/>
      <c r="M66" s="817"/>
      <c r="N66" s="817"/>
      <c r="O66" s="817"/>
      <c r="P66" s="817"/>
      <c r="Q66" s="817"/>
      <c r="R66" s="818">
        <f t="shared" ref="R66:V66" si="536">+R65-R34</f>
        <v>0</v>
      </c>
      <c r="S66" s="817">
        <f t="shared" si="536"/>
        <v>0</v>
      </c>
      <c r="T66" s="817">
        <f t="shared" si="536"/>
        <v>0</v>
      </c>
      <c r="U66" s="817">
        <f t="shared" si="536"/>
        <v>0</v>
      </c>
      <c r="V66" s="817">
        <f t="shared" si="536"/>
        <v>0</v>
      </c>
      <c r="W66" s="818">
        <f t="shared" si="537"/>
        <v>0</v>
      </c>
      <c r="X66" s="817">
        <f t="shared" ref="X66:AA66" si="538">+X65-X34</f>
        <v>0</v>
      </c>
      <c r="Y66" s="817">
        <f t="shared" si="538"/>
        <v>0</v>
      </c>
      <c r="Z66" s="817">
        <f t="shared" si="538"/>
        <v>0</v>
      </c>
      <c r="AA66" s="817">
        <f t="shared" si="538"/>
        <v>0</v>
      </c>
      <c r="AB66" s="818">
        <f t="shared" si="539"/>
        <v>0</v>
      </c>
      <c r="AC66" s="817">
        <f t="shared" ref="AC66:AK66" si="540">+AC65-AC34</f>
        <v>0</v>
      </c>
      <c r="AD66" s="817">
        <f t="shared" si="540"/>
        <v>0</v>
      </c>
      <c r="AE66" s="817">
        <f t="shared" si="540"/>
        <v>0</v>
      </c>
      <c r="AF66" s="817">
        <f t="shared" si="540"/>
        <v>0</v>
      </c>
      <c r="AG66" s="818">
        <f t="shared" si="540"/>
        <v>0</v>
      </c>
      <c r="AH66" s="817">
        <f t="shared" si="540"/>
        <v>0</v>
      </c>
      <c r="AI66" s="817">
        <f t="shared" si="540"/>
        <v>0</v>
      </c>
      <c r="AJ66" s="817">
        <f t="shared" si="540"/>
        <v>0</v>
      </c>
      <c r="AK66" s="817">
        <f t="shared" si="540"/>
        <v>0</v>
      </c>
      <c r="AL66" s="818">
        <f>+AK66</f>
        <v>0</v>
      </c>
      <c r="AM66" s="817">
        <f t="shared" ref="AM66:AP66" si="541">+AM65-AM34</f>
        <v>0</v>
      </c>
      <c r="AN66" s="817">
        <f t="shared" si="541"/>
        <v>0</v>
      </c>
      <c r="AO66" s="817">
        <f t="shared" si="541"/>
        <v>0</v>
      </c>
      <c r="AP66" s="817">
        <f t="shared" si="541"/>
        <v>0</v>
      </c>
      <c r="AQ66" s="818">
        <f>+AP66</f>
        <v>0</v>
      </c>
      <c r="AR66" s="817">
        <f t="shared" ref="AR66:AU66" si="542">+AR65-AR34</f>
        <v>0</v>
      </c>
      <c r="AS66" s="817">
        <f t="shared" si="542"/>
        <v>0</v>
      </c>
      <c r="AT66" s="817">
        <f t="shared" si="542"/>
        <v>0</v>
      </c>
      <c r="AU66" s="817">
        <f t="shared" si="542"/>
        <v>0</v>
      </c>
      <c r="AV66" s="818">
        <f>+AU66</f>
        <v>0</v>
      </c>
      <c r="AW66" s="817">
        <f t="shared" ref="AW66:AZ66" si="543">+AW65-AW34</f>
        <v>0</v>
      </c>
      <c r="AX66" s="817">
        <f t="shared" si="543"/>
        <v>0</v>
      </c>
      <c r="AY66" s="817">
        <f t="shared" si="543"/>
        <v>0</v>
      </c>
      <c r="AZ66" s="817">
        <f t="shared" si="543"/>
        <v>0</v>
      </c>
      <c r="BA66" s="818">
        <f>+AZ66</f>
        <v>0</v>
      </c>
      <c r="BB66" s="817">
        <f t="shared" ref="BB66:BE66" si="544">+BB65-BB34</f>
        <v>0</v>
      </c>
      <c r="BC66" s="817">
        <f t="shared" si="544"/>
        <v>0</v>
      </c>
      <c r="BD66" s="817">
        <f t="shared" si="544"/>
        <v>0</v>
      </c>
      <c r="BE66" s="817">
        <f t="shared" si="544"/>
        <v>0</v>
      </c>
      <c r="BF66" s="818">
        <f>+BE66</f>
        <v>0</v>
      </c>
      <c r="BG66" s="817">
        <f t="shared" ref="BG66:BJ66" si="545">+BG65-BG34</f>
        <v>0</v>
      </c>
      <c r="BH66" s="817">
        <f t="shared" si="545"/>
        <v>0</v>
      </c>
      <c r="BI66" s="817">
        <f t="shared" si="545"/>
        <v>0</v>
      </c>
      <c r="BJ66" s="817">
        <f t="shared" si="545"/>
        <v>0</v>
      </c>
      <c r="BK66" s="818">
        <f>+BJ66</f>
        <v>0</v>
      </c>
      <c r="BL66" s="817">
        <f t="shared" ref="BL66:BO66" si="546">+BL65-BL34</f>
        <v>0</v>
      </c>
      <c r="BM66" s="817">
        <f t="shared" si="546"/>
        <v>0</v>
      </c>
      <c r="BN66" s="817">
        <f t="shared" si="546"/>
        <v>0</v>
      </c>
      <c r="BO66" s="817">
        <f t="shared" si="546"/>
        <v>0</v>
      </c>
      <c r="BP66" s="818">
        <f>+BO66</f>
        <v>0</v>
      </c>
      <c r="BQ66" s="817">
        <f t="shared" ref="BQ66:BT66" si="547">+BQ65-BQ34</f>
        <v>0</v>
      </c>
      <c r="BR66" s="817">
        <f t="shared" si="547"/>
        <v>0</v>
      </c>
      <c r="BS66" s="817">
        <f t="shared" si="547"/>
        <v>0</v>
      </c>
      <c r="BT66" s="817">
        <f t="shared" si="547"/>
        <v>0</v>
      </c>
      <c r="BU66" s="818">
        <f>+BT66</f>
        <v>0</v>
      </c>
      <c r="BV66" s="817">
        <f t="shared" ref="BV66:BY66" si="548">+BV65-BV34</f>
        <v>0</v>
      </c>
      <c r="BW66" s="817">
        <f t="shared" si="548"/>
        <v>0</v>
      </c>
      <c r="BX66" s="817">
        <f t="shared" si="548"/>
        <v>0</v>
      </c>
      <c r="BY66" s="817">
        <f t="shared" si="548"/>
        <v>0</v>
      </c>
      <c r="BZ66" s="819">
        <f>+BY66</f>
        <v>0</v>
      </c>
      <c r="CA66" s="820">
        <f t="shared" ref="CA66:CD66" si="549">+CA65-CA34</f>
        <v>0</v>
      </c>
      <c r="CB66" s="820">
        <f t="shared" si="549"/>
        <v>0</v>
      </c>
      <c r="CC66" s="820">
        <f t="shared" si="549"/>
        <v>0</v>
      </c>
      <c r="CD66" s="820">
        <f t="shared" si="549"/>
        <v>0</v>
      </c>
      <c r="CE66" s="819">
        <f>+CD66</f>
        <v>0</v>
      </c>
      <c r="CF66" s="820">
        <f t="shared" ref="CF66:CI66" si="550">+CF65-CF34</f>
        <v>0</v>
      </c>
      <c r="CG66" s="820">
        <f t="shared" si="550"/>
        <v>0</v>
      </c>
      <c r="CH66" s="820">
        <f t="shared" si="550"/>
        <v>0</v>
      </c>
      <c r="CI66" s="820">
        <f t="shared" si="550"/>
        <v>0</v>
      </c>
      <c r="CJ66" s="819">
        <f>+CI66</f>
        <v>0</v>
      </c>
      <c r="CK66" s="820">
        <f t="shared" ref="CK66:CN66" si="551">+CK65-CK34</f>
        <v>0</v>
      </c>
      <c r="CL66" s="820">
        <f t="shared" si="551"/>
        <v>0</v>
      </c>
      <c r="CM66" s="820">
        <f t="shared" si="551"/>
        <v>0</v>
      </c>
      <c r="CN66" s="820">
        <f t="shared" si="551"/>
        <v>0</v>
      </c>
      <c r="CO66" s="819">
        <f>+CN66</f>
        <v>0</v>
      </c>
      <c r="CP66" s="820">
        <f t="shared" ref="CP66:CS66" si="552">+CP65-CP34</f>
        <v>0</v>
      </c>
      <c r="CQ66" s="820">
        <f t="shared" si="552"/>
        <v>0</v>
      </c>
      <c r="CR66" s="820">
        <f t="shared" si="552"/>
        <v>0</v>
      </c>
      <c r="CS66" s="820">
        <f t="shared" si="552"/>
        <v>0</v>
      </c>
      <c r="CT66" s="819">
        <f>+CS66</f>
        <v>0</v>
      </c>
      <c r="CU66" s="820">
        <f t="shared" ref="CU66:CX66" si="553">+CU65-CU34</f>
        <v>0</v>
      </c>
      <c r="CV66" s="820">
        <f t="shared" si="553"/>
        <v>0</v>
      </c>
      <c r="CW66" s="820">
        <f t="shared" si="553"/>
        <v>0</v>
      </c>
      <c r="CX66" s="820">
        <f t="shared" si="553"/>
        <v>0</v>
      </c>
      <c r="CY66" s="819">
        <f>+CX66</f>
        <v>0</v>
      </c>
      <c r="CZ66" s="820">
        <f t="shared" ref="CZ66:DC66" si="554">+CZ65-CZ34</f>
        <v>0</v>
      </c>
      <c r="DA66" s="820">
        <f t="shared" si="554"/>
        <v>0</v>
      </c>
      <c r="DB66" s="820">
        <f t="shared" si="554"/>
        <v>0</v>
      </c>
      <c r="DC66" s="820">
        <f t="shared" si="554"/>
        <v>0</v>
      </c>
      <c r="DD66" s="819">
        <f>+DC66</f>
        <v>0</v>
      </c>
      <c r="DE66" s="820">
        <f t="shared" ref="DE66:DH66" si="555">+DE65-DE34</f>
        <v>0</v>
      </c>
      <c r="DF66" s="820">
        <f t="shared" si="555"/>
        <v>0</v>
      </c>
      <c r="DG66" s="820">
        <f t="shared" si="555"/>
        <v>0</v>
      </c>
      <c r="DH66" s="820">
        <f t="shared" si="555"/>
        <v>0</v>
      </c>
      <c r="DI66" s="819">
        <f>+DH66</f>
        <v>0</v>
      </c>
      <c r="DJ66" s="820">
        <f t="shared" ref="DJ66:DM66" si="556">+DJ65-DJ34</f>
        <v>0</v>
      </c>
      <c r="DK66" s="820">
        <f t="shared" si="556"/>
        <v>0</v>
      </c>
      <c r="DL66" s="820">
        <f t="shared" si="556"/>
        <v>0</v>
      </c>
      <c r="DM66" s="820">
        <f t="shared" si="556"/>
        <v>0</v>
      </c>
      <c r="DN66" s="819">
        <f>+DM66</f>
        <v>0</v>
      </c>
      <c r="DO66" s="820">
        <f t="shared" ref="DO66:DR66" si="557">+DO65-DO34</f>
        <v>0</v>
      </c>
      <c r="DP66" s="820">
        <f t="shared" si="557"/>
        <v>0</v>
      </c>
      <c r="DQ66" s="820">
        <f t="shared" si="557"/>
        <v>0</v>
      </c>
      <c r="DR66" s="820">
        <f t="shared" si="557"/>
        <v>0</v>
      </c>
      <c r="DS66" s="819">
        <f>+DR66</f>
        <v>0</v>
      </c>
      <c r="DT66" s="820">
        <f t="shared" ref="DT66:DW66" si="558">+DT65-DT34</f>
        <v>0</v>
      </c>
      <c r="DU66" s="820">
        <f t="shared" si="558"/>
        <v>0</v>
      </c>
      <c r="DV66" s="820">
        <f t="shared" si="558"/>
        <v>0</v>
      </c>
      <c r="DW66" s="820">
        <f t="shared" si="558"/>
        <v>0</v>
      </c>
      <c r="DX66" s="819">
        <f>+DW66</f>
        <v>0</v>
      </c>
      <c r="DY66" s="820">
        <f t="shared" ref="DY66:EB66" si="559">+DY65-DY34</f>
        <v>0</v>
      </c>
      <c r="DZ66" s="820">
        <f t="shared" si="559"/>
        <v>0</v>
      </c>
      <c r="EA66" s="820">
        <f t="shared" si="559"/>
        <v>0</v>
      </c>
      <c r="EB66" s="820">
        <f t="shared" si="559"/>
        <v>0</v>
      </c>
      <c r="EC66" s="819">
        <f>+EB66</f>
        <v>0</v>
      </c>
      <c r="ED66" s="820">
        <f t="shared" ref="ED66:EF66" si="560">+ED65-ED34</f>
        <v>0</v>
      </c>
      <c r="EE66" s="820">
        <f t="shared" si="560"/>
        <v>0</v>
      </c>
      <c r="EF66" s="820">
        <f t="shared" si="560"/>
        <v>0</v>
      </c>
      <c r="EG66" s="820">
        <f t="shared" ref="EG66:FG66" si="561">IF(ROUND(EG65-EG34+EG63,0)=0,0)</f>
        <v>0</v>
      </c>
      <c r="EH66" s="819">
        <f t="shared" si="561"/>
        <v>0</v>
      </c>
      <c r="EI66" s="821" t="str">
        <f t="shared" si="561"/>
        <v>#ERROR!</v>
      </c>
      <c r="EJ66" s="822" t="str">
        <f t="shared" si="561"/>
        <v>#ERROR!</v>
      </c>
      <c r="EK66" s="822" t="str">
        <f t="shared" si="561"/>
        <v>#ERROR!</v>
      </c>
      <c r="EL66" s="822" t="str">
        <f t="shared" si="561"/>
        <v>#ERROR!</v>
      </c>
      <c r="EM66" s="823" t="str">
        <f t="shared" si="561"/>
        <v>#ERROR!</v>
      </c>
      <c r="EN66" s="822" t="str">
        <f t="shared" si="561"/>
        <v>#ERROR!</v>
      </c>
      <c r="EO66" s="822" t="str">
        <f t="shared" si="561"/>
        <v>#ERROR!</v>
      </c>
      <c r="EP66" s="822" t="str">
        <f t="shared" si="561"/>
        <v>#ERROR!</v>
      </c>
      <c r="EQ66" s="822" t="str">
        <f t="shared" si="561"/>
        <v>#ERROR!</v>
      </c>
      <c r="ER66" s="823" t="str">
        <f t="shared" si="561"/>
        <v>#ERROR!</v>
      </c>
      <c r="ES66" s="822" t="str">
        <f t="shared" si="561"/>
        <v>#ERROR!</v>
      </c>
      <c r="ET66" s="822" t="str">
        <f t="shared" si="561"/>
        <v>#ERROR!</v>
      </c>
      <c r="EU66" s="822" t="str">
        <f t="shared" si="561"/>
        <v>#ERROR!</v>
      </c>
      <c r="EV66" s="822" t="str">
        <f t="shared" si="561"/>
        <v>#ERROR!</v>
      </c>
      <c r="EW66" s="823" t="str">
        <f t="shared" si="561"/>
        <v>#ERROR!</v>
      </c>
      <c r="EX66" s="822" t="str">
        <f t="shared" si="561"/>
        <v>#ERROR!</v>
      </c>
      <c r="EY66" s="822" t="str">
        <f t="shared" si="561"/>
        <v>#ERROR!</v>
      </c>
      <c r="EZ66" s="822" t="str">
        <f t="shared" si="561"/>
        <v>#ERROR!</v>
      </c>
      <c r="FA66" s="822" t="str">
        <f t="shared" si="561"/>
        <v>#ERROR!</v>
      </c>
      <c r="FB66" s="823" t="str">
        <f t="shared" si="561"/>
        <v>#ERROR!</v>
      </c>
      <c r="FC66" s="822" t="str">
        <f t="shared" si="561"/>
        <v>#ERROR!</v>
      </c>
      <c r="FD66" s="822" t="str">
        <f t="shared" si="561"/>
        <v>#ERROR!</v>
      </c>
      <c r="FE66" s="822" t="str">
        <f t="shared" si="561"/>
        <v>#ERROR!</v>
      </c>
      <c r="FF66" s="822" t="str">
        <f t="shared" si="561"/>
        <v>#ERROR!</v>
      </c>
      <c r="FG66" s="823" t="str">
        <f t="shared" si="561"/>
        <v>#ERROR!</v>
      </c>
    </row>
    <row r="67" ht="12.75" customHeight="1">
      <c r="A67" s="179"/>
      <c r="B67" s="179"/>
      <c r="C67" s="179"/>
      <c r="D67" s="179"/>
      <c r="E67" s="179"/>
      <c r="F67" s="179"/>
      <c r="G67" s="179"/>
      <c r="H67" s="179"/>
      <c r="I67" s="179"/>
      <c r="J67" s="179"/>
      <c r="K67" s="179"/>
      <c r="L67" s="179"/>
      <c r="M67" s="179"/>
      <c r="N67" s="179"/>
      <c r="O67" s="179"/>
      <c r="P67" s="179"/>
      <c r="Q67" s="179"/>
      <c r="R67" s="8"/>
      <c r="S67" s="179"/>
      <c r="T67" s="179"/>
      <c r="U67" s="179"/>
      <c r="V67" s="179"/>
      <c r="W67" s="8"/>
      <c r="X67" s="179"/>
      <c r="Y67" s="179"/>
      <c r="Z67" s="179"/>
      <c r="AA67" s="128"/>
      <c r="AB67" s="73"/>
      <c r="AC67" s="128"/>
      <c r="AD67" s="128"/>
      <c r="AE67" s="128"/>
      <c r="AF67" s="128"/>
      <c r="AG67" s="73"/>
      <c r="AH67" s="128"/>
      <c r="AI67" s="128"/>
      <c r="AJ67" s="128"/>
      <c r="AK67" s="128"/>
      <c r="AL67" s="73"/>
      <c r="AM67" s="128"/>
      <c r="AN67" s="128"/>
      <c r="AO67" s="128"/>
      <c r="AP67" s="128"/>
      <c r="AQ67" s="73"/>
      <c r="AR67" s="128"/>
      <c r="AS67" s="128"/>
      <c r="AT67" s="128"/>
      <c r="AU67" s="128"/>
      <c r="AV67" s="73"/>
      <c r="AW67" s="128"/>
      <c r="AX67" s="128"/>
      <c r="AY67" s="128"/>
      <c r="AZ67" s="128"/>
      <c r="BA67" s="73"/>
      <c r="BB67" s="128"/>
      <c r="BC67" s="128"/>
      <c r="BD67" s="128"/>
      <c r="BE67" s="128"/>
      <c r="BF67" s="73"/>
      <c r="BG67" s="128"/>
      <c r="BH67" s="128"/>
      <c r="BI67" s="128"/>
      <c r="BJ67" s="128"/>
      <c r="BK67" s="73"/>
      <c r="BL67" s="128"/>
      <c r="BM67" s="128"/>
      <c r="BN67" s="128"/>
      <c r="BO67" s="128"/>
      <c r="BP67" s="73"/>
      <c r="BQ67" s="128"/>
      <c r="BR67" s="128"/>
      <c r="BS67" s="128"/>
      <c r="BT67" s="128"/>
      <c r="BU67" s="73"/>
      <c r="BV67" s="128"/>
      <c r="BW67" s="128"/>
      <c r="BX67" s="128"/>
      <c r="BY67" s="128"/>
      <c r="BZ67" s="73"/>
      <c r="CA67" s="128"/>
      <c r="CB67" s="128"/>
      <c r="CC67" s="128"/>
      <c r="CD67" s="128"/>
      <c r="CE67" s="73"/>
      <c r="CF67" s="128"/>
      <c r="CG67" s="128"/>
      <c r="CH67" s="128"/>
      <c r="CI67" s="128"/>
      <c r="CJ67" s="73"/>
      <c r="CK67" s="128"/>
      <c r="CL67" s="128"/>
      <c r="CM67" s="128"/>
      <c r="CN67" s="128"/>
      <c r="CO67" s="73"/>
      <c r="CP67" s="128"/>
      <c r="CQ67" s="128"/>
      <c r="CR67" s="128"/>
      <c r="CS67" s="128"/>
      <c r="CT67" s="73"/>
      <c r="CU67" s="128"/>
      <c r="CV67" s="128"/>
      <c r="CW67" s="128"/>
      <c r="CX67" s="128"/>
      <c r="CY67" s="18"/>
      <c r="CZ67" s="128"/>
      <c r="DA67" s="128"/>
      <c r="DB67" s="128"/>
      <c r="DC67" s="128"/>
      <c r="DD67" s="18"/>
      <c r="DE67" s="128"/>
      <c r="DF67" s="128"/>
      <c r="DG67" s="129"/>
      <c r="DH67" s="128"/>
      <c r="DI67" s="18"/>
      <c r="DJ67" s="129"/>
      <c r="DK67" s="129"/>
      <c r="DL67" s="129"/>
      <c r="DM67" s="129"/>
      <c r="DN67" s="18"/>
      <c r="DO67" s="129"/>
      <c r="DP67" s="129"/>
      <c r="DQ67" s="129"/>
      <c r="DR67" s="129"/>
      <c r="DS67" s="18"/>
      <c r="DT67" s="129"/>
      <c r="DU67" s="129"/>
      <c r="DV67" s="129"/>
      <c r="DW67" s="129"/>
      <c r="DX67" s="18"/>
      <c r="DY67" s="129"/>
      <c r="DZ67" s="129"/>
      <c r="EA67" s="129"/>
      <c r="EB67" s="129"/>
      <c r="EC67" s="18"/>
      <c r="ED67" s="129"/>
      <c r="EE67" s="129"/>
      <c r="EF67" s="129"/>
      <c r="EG67" s="129"/>
      <c r="EH67" s="18"/>
      <c r="EI67" s="134"/>
      <c r="EJ67" s="128"/>
      <c r="EK67" s="128"/>
      <c r="EL67" s="128"/>
      <c r="EM67" s="18"/>
      <c r="EN67" s="128"/>
      <c r="EO67" s="128"/>
      <c r="EP67" s="128"/>
      <c r="EQ67" s="128"/>
      <c r="ER67" s="18"/>
      <c r="ES67" s="128"/>
      <c r="ET67" s="128"/>
      <c r="EU67" s="128"/>
      <c r="EV67" s="128"/>
      <c r="EW67" s="18"/>
      <c r="EX67" s="128"/>
      <c r="EY67" s="128"/>
      <c r="EZ67" s="128"/>
      <c r="FA67" s="128"/>
      <c r="FB67" s="18"/>
      <c r="FC67" s="128"/>
      <c r="FD67" s="128"/>
      <c r="FE67" s="128"/>
      <c r="FF67" s="128"/>
      <c r="FG67" s="18"/>
    </row>
    <row r="68" ht="12.75" customHeight="1">
      <c r="A68" s="179"/>
      <c r="B68" s="726" t="s">
        <v>550</v>
      </c>
      <c r="C68" s="179"/>
      <c r="D68" s="179"/>
      <c r="E68" s="179"/>
      <c r="F68" s="179"/>
      <c r="G68" s="179"/>
      <c r="H68" s="179"/>
      <c r="I68" s="179"/>
      <c r="J68" s="179"/>
      <c r="K68" s="179"/>
      <c r="L68" s="179"/>
      <c r="M68" s="179"/>
      <c r="N68" s="270"/>
      <c r="O68" s="270"/>
      <c r="P68" s="270"/>
      <c r="Q68" s="270"/>
      <c r="R68" s="726"/>
      <c r="S68" s="270"/>
      <c r="T68" s="270"/>
      <c r="U68" s="270"/>
      <c r="V68" s="270"/>
      <c r="W68" s="726"/>
      <c r="X68" s="270"/>
      <c r="Y68" s="270"/>
      <c r="Z68" s="270"/>
      <c r="AA68" s="270"/>
      <c r="AB68" s="726"/>
      <c r="AC68" s="270"/>
      <c r="AD68" s="270"/>
      <c r="AE68" s="270"/>
      <c r="AF68" s="270"/>
      <c r="AG68" s="726"/>
      <c r="AH68" s="270"/>
      <c r="AI68" s="270"/>
      <c r="AJ68" s="270"/>
      <c r="AK68" s="270"/>
      <c r="AL68" s="726"/>
      <c r="AM68" s="270"/>
      <c r="AN68" s="270"/>
      <c r="AO68" s="270"/>
      <c r="AP68" s="270"/>
      <c r="AQ68" s="726"/>
      <c r="AR68" s="270"/>
      <c r="AS68" s="270"/>
      <c r="AT68" s="270"/>
      <c r="AU68" s="270"/>
      <c r="AV68" s="726"/>
      <c r="AW68" s="270"/>
      <c r="AX68" s="270"/>
      <c r="AY68" s="270"/>
      <c r="AZ68" s="270"/>
      <c r="BA68" s="726"/>
      <c r="BB68" s="270"/>
      <c r="BC68" s="270"/>
      <c r="BD68" s="270"/>
      <c r="BE68" s="270"/>
      <c r="BF68" s="726"/>
      <c r="BG68" s="270"/>
      <c r="BH68" s="270"/>
      <c r="BI68" s="270"/>
      <c r="BJ68" s="270"/>
      <c r="BK68" s="726"/>
      <c r="BL68" s="270"/>
      <c r="BM68" s="270"/>
      <c r="BN68" s="270"/>
      <c r="BO68" s="270"/>
      <c r="BP68" s="726"/>
      <c r="BQ68" s="270"/>
      <c r="BR68" s="270"/>
      <c r="BS68" s="270"/>
      <c r="BT68" s="270"/>
      <c r="BU68" s="726"/>
      <c r="BV68" s="270"/>
      <c r="BW68" s="270"/>
      <c r="BX68" s="270"/>
      <c r="BY68" s="270"/>
      <c r="BZ68" s="726"/>
      <c r="CA68" s="270"/>
      <c r="CB68" s="270"/>
      <c r="CC68" s="270"/>
      <c r="CD68" s="270"/>
      <c r="CE68" s="726"/>
      <c r="CF68" s="270"/>
      <c r="CG68" s="270"/>
      <c r="CH68" s="270"/>
      <c r="CI68" s="270"/>
      <c r="CJ68" s="726"/>
      <c r="CK68" s="270"/>
      <c r="CL68" s="270"/>
      <c r="CM68" s="270"/>
      <c r="CN68" s="270"/>
      <c r="CO68" s="726"/>
      <c r="CP68" s="270"/>
      <c r="CQ68" s="270"/>
      <c r="CR68" s="270"/>
      <c r="CS68" s="270"/>
      <c r="CT68" s="726"/>
      <c r="CU68" s="270"/>
      <c r="CV68" s="270"/>
      <c r="CW68" s="270"/>
      <c r="CX68" s="270"/>
      <c r="CY68" s="303"/>
      <c r="CZ68" s="270"/>
      <c r="DA68" s="270"/>
      <c r="DB68" s="270"/>
      <c r="DC68" s="270"/>
      <c r="DD68" s="303"/>
      <c r="DE68" s="270"/>
      <c r="DF68" s="270"/>
      <c r="DG68" s="302"/>
      <c r="DH68" s="270"/>
      <c r="DI68" s="303"/>
      <c r="DJ68" s="302"/>
      <c r="DK68" s="302"/>
      <c r="DL68" s="302"/>
      <c r="DM68" s="302"/>
      <c r="DN68" s="303"/>
      <c r="DO68" s="302"/>
      <c r="DP68" s="302"/>
      <c r="DQ68" s="302"/>
      <c r="DR68" s="302"/>
      <c r="DS68" s="303"/>
      <c r="DT68" s="302"/>
      <c r="DU68" s="302"/>
      <c r="DV68" s="302"/>
      <c r="DW68" s="302"/>
      <c r="DX68" s="303"/>
      <c r="DY68" s="302"/>
      <c r="DZ68" s="302"/>
      <c r="EA68" s="302"/>
      <c r="EB68" s="302"/>
      <c r="EC68" s="303"/>
      <c r="ED68" s="302"/>
      <c r="EE68" s="302"/>
      <c r="EF68" s="302"/>
      <c r="EG68" s="302"/>
      <c r="EH68" s="303"/>
      <c r="EI68" s="308"/>
      <c r="EJ68" s="270"/>
      <c r="EK68" s="270"/>
      <c r="EL68" s="270"/>
      <c r="EM68" s="303"/>
      <c r="EN68" s="270"/>
      <c r="EO68" s="270"/>
      <c r="EP68" s="270"/>
      <c r="EQ68" s="270"/>
      <c r="ER68" s="303"/>
      <c r="ES68" s="270"/>
      <c r="ET68" s="270"/>
      <c r="EU68" s="270"/>
      <c r="EV68" s="270"/>
      <c r="EW68" s="303"/>
      <c r="EX68" s="270"/>
      <c r="EY68" s="270"/>
      <c r="EZ68" s="270"/>
      <c r="FA68" s="270"/>
      <c r="FB68" s="303"/>
      <c r="FC68" s="270"/>
      <c r="FD68" s="270"/>
      <c r="FE68" s="270"/>
      <c r="FF68" s="270"/>
      <c r="FG68" s="303"/>
    </row>
    <row r="69" ht="12.75" customHeight="1">
      <c r="A69" s="179"/>
      <c r="B69" s="180" t="s">
        <v>551</v>
      </c>
      <c r="C69" s="179"/>
      <c r="D69" s="179"/>
      <c r="E69" s="179"/>
      <c r="F69" s="179"/>
      <c r="G69" s="179"/>
      <c r="H69" s="179"/>
      <c r="I69" s="179"/>
      <c r="J69" s="179"/>
      <c r="K69" s="179"/>
      <c r="L69" s="179"/>
      <c r="M69" s="179"/>
      <c r="N69" s="824">
        <f>IF(ISNUMBER(Dates),90,360)*AR/Sales</f>
        <v>46.37227129</v>
      </c>
      <c r="O69" s="824">
        <f>IF(ISNUMBER(Dates),90,360)*AR/Sales</f>
        <v>47.46752151</v>
      </c>
      <c r="P69" s="824">
        <f>IF(ISNUMBER(Dates),90,360)*AR/Sales</f>
        <v>48.61684742</v>
      </c>
      <c r="Q69" s="824">
        <f>IF(ISNUMBER(Dates),90,360)*AR/Sales</f>
        <v>41.69030733</v>
      </c>
      <c r="R69" s="825">
        <f>IF(ISNUMBER(Dates),90,360)*AR/Sales</f>
        <v>48.32794123</v>
      </c>
      <c r="S69" s="824">
        <f>IF(ISNUMBER(Dates),90,360)*AR/Sales</f>
        <v>42.05406166</v>
      </c>
      <c r="T69" s="824">
        <f>IF(ISNUMBER(Dates),90,360)*AR/Sales</f>
        <v>43.55914616</v>
      </c>
      <c r="U69" s="824">
        <f>IF(ISNUMBER(Dates),90,360)*AR/Sales</f>
        <v>42.9121179</v>
      </c>
      <c r="V69" s="824">
        <f>IF(ISNUMBER(Dates),90,360)*AR/Sales</f>
        <v>40.55041403</v>
      </c>
      <c r="W69" s="825">
        <f>IF(ISNUMBER(Dates),90,360)*AR/Sales</f>
        <v>45.32308006</v>
      </c>
      <c r="X69" s="824">
        <f>IF(ISNUMBER(Dates),90,360)*AR/Sales</f>
        <v>41.41373702</v>
      </c>
      <c r="Y69" s="824">
        <f>IF(ISNUMBER(Dates),90,360)*AR/Sales</f>
        <v>46.98433735</v>
      </c>
      <c r="Z69" s="824">
        <f>IF(ISNUMBER(Dates),90,360)*AR/Sales</f>
        <v>47.14923835</v>
      </c>
      <c r="AA69" s="824">
        <f>IF(ISNUMBER(Dates),90,360)*AR/Sales</f>
        <v>42.7039761</v>
      </c>
      <c r="AB69" s="825">
        <f>IF(ISNUMBER(Dates),90,360)*AR/Sales</f>
        <v>44.07400818</v>
      </c>
      <c r="AC69" s="824">
        <f>IF(ISNUMBER(Dates),90,360)*AR/Sales</f>
        <v>46.26029654</v>
      </c>
      <c r="AD69" s="824">
        <f>IF(ISNUMBER(Dates),90,360)*AR/Sales</f>
        <v>41.26302494</v>
      </c>
      <c r="AE69" s="824">
        <f>IF(ISNUMBER(Dates),90,360)*AR/Sales</f>
        <v>41.84415584</v>
      </c>
      <c r="AF69" s="824">
        <f>IF(ISNUMBER(Dates),90,360)*AR/Sales</f>
        <v>33.60017185</v>
      </c>
      <c r="AG69" s="825">
        <f>IF(ISNUMBER(Dates),90,360)*AR/Sales</f>
        <v>35.36380421</v>
      </c>
      <c r="AH69" s="824">
        <f>IF(ISNUMBER(Dates),90,360)*AR/Sales</f>
        <v>38.26426781</v>
      </c>
      <c r="AI69" s="824">
        <f>IF(ISNUMBER(Dates),90,360)*AR/Sales</f>
        <v>41.40370312</v>
      </c>
      <c r="AJ69" s="824">
        <f>IF(ISNUMBER(Dates),90,360)*AR/Sales</f>
        <v>42.74446494</v>
      </c>
      <c r="AK69" s="824">
        <f>IF(ISNUMBER(Dates),90,360)*AR/Sales</f>
        <v>32.3547486</v>
      </c>
      <c r="AL69" s="825">
        <f>IF(ISNUMBER(Dates),90,360)*AR/Sales</f>
        <v>34.62262741</v>
      </c>
      <c r="AM69" s="824">
        <f>IF(ISNUMBER(Dates),90,360)*AR/Sales</f>
        <v>39.51414605</v>
      </c>
      <c r="AN69" s="824">
        <f>IF(ISNUMBER(Dates),90,360)*AR/Sales</f>
        <v>37.63204225</v>
      </c>
      <c r="AO69" s="824">
        <f>IF(ISNUMBER(Dates),90,360)*AR/Sales</f>
        <v>37.80160858</v>
      </c>
      <c r="AP69" s="824">
        <f>IF(ISNUMBER(Dates),90,360)*AR/Sales</f>
        <v>30.47706212</v>
      </c>
      <c r="AQ69" s="825">
        <f>IF(ISNUMBER(Dates),90,360)*AR/Sales</f>
        <v>35.35383697</v>
      </c>
      <c r="AR69" s="824">
        <f>IF(ISNUMBER(Dates),90,360)*AR/Sales</f>
        <v>37.53058954</v>
      </c>
      <c r="AS69" s="824">
        <f>IF(ISNUMBER(Dates),90,360)*AR/Sales</f>
        <v>35.59075662</v>
      </c>
      <c r="AT69" s="824">
        <f>IF(ISNUMBER(Dates),90,360)*AR/Sales</f>
        <v>34.69956322</v>
      </c>
      <c r="AU69" s="824">
        <f>IF(ISNUMBER(Dates),90,360)*AR/Sales</f>
        <v>28.12148364</v>
      </c>
      <c r="AV69" s="825">
        <f>IF(ISNUMBER(Dates),90,360)*AR/Sales</f>
        <v>31.56011576</v>
      </c>
      <c r="AW69" s="824">
        <f>IF(ISNUMBER(Dates),90,360)*AR/Sales</f>
        <v>30.7759169</v>
      </c>
      <c r="AX69" s="824">
        <f>IF(ISNUMBER(Dates),90,360)*AR/Sales</f>
        <v>33.61715957</v>
      </c>
      <c r="AY69" s="824">
        <f>IF(ISNUMBER(Dates),90,360)*AR/Sales</f>
        <v>33.86746988</v>
      </c>
      <c r="AZ69" s="824">
        <f>IF(ISNUMBER(Dates),90,360)*AR/Sales</f>
        <v>34.53190864</v>
      </c>
      <c r="BA69" s="825">
        <f>IF(ISNUMBER(Dates),90,360)*AR/Sales</f>
        <v>36.29114511</v>
      </c>
      <c r="BB69" s="824">
        <f>IF(ISNUMBER(Dates),90,360)*AR/Sales</f>
        <v>39.38255034</v>
      </c>
      <c r="BC69" s="824">
        <f>IF(ISNUMBER(Dates),90,360)*AR/Sales</f>
        <v>35.71232364</v>
      </c>
      <c r="BD69" s="824">
        <f>IF(ISNUMBER(Dates),90,360)*AR/Sales</f>
        <v>34.58290422</v>
      </c>
      <c r="BE69" s="824">
        <f>IF(ISNUMBER(Dates),90,360)*AR/Sales</f>
        <v>25.15060862</v>
      </c>
      <c r="BF69" s="825">
        <f>IF(ISNUMBER(Dates),90,360)*AR/Sales</f>
        <v>27.56316771</v>
      </c>
      <c r="BG69" s="824">
        <f>IF(ISNUMBER(Dates),90,360)*AR/Sales</f>
        <v>28.26479892</v>
      </c>
      <c r="BH69" s="824">
        <f>IF(ISNUMBER(Dates),90,360)*AR/Sales</f>
        <v>26.24308756</v>
      </c>
      <c r="BI69" s="824">
        <f>IF(ISNUMBER(Dates),90,360)*AR/Sales</f>
        <v>26.16154609</v>
      </c>
      <c r="BJ69" s="824">
        <f>IF(ISNUMBER(Dates),90,360)*AR/Sales</f>
        <v>21.64301718</v>
      </c>
      <c r="BK69" s="825">
        <f>IF(ISNUMBER(Dates),90,360)*AR/Sales</f>
        <v>24.19157928</v>
      </c>
      <c r="BL69" s="824">
        <f>IF(ISNUMBER(Dates),90,360)*AR/Sales</f>
        <v>25.35407836</v>
      </c>
      <c r="BM69" s="824">
        <f>IF(ISNUMBER(Dates),90,360)*AR/Sales</f>
        <v>22.79936642</v>
      </c>
      <c r="BN69" s="824">
        <f>IF(ISNUMBER(Dates),90,360)*AR/Sales</f>
        <v>24.10981697</v>
      </c>
      <c r="BO69" s="824">
        <f>IF(ISNUMBER(Dates),90,360)*AR/Sales</f>
        <v>18.73085339</v>
      </c>
      <c r="BP69" s="825">
        <f>IF(ISNUMBER(Dates),90,360)*AR/Sales</f>
        <v>16.39759485</v>
      </c>
      <c r="BQ69" s="824">
        <f>IF(ISNUMBER(Dates),90,360)*AR/Sales</f>
        <v>26.27571728</v>
      </c>
      <c r="BR69" s="824">
        <f>IF(ISNUMBER(Dates),90,360)*AR/Sales</f>
        <v>21.73728814</v>
      </c>
      <c r="BS69" s="824">
        <f>IF(ISNUMBER(Dates),90,360)*AR/Sales</f>
        <v>19.41101289</v>
      </c>
      <c r="BT69" s="824">
        <f>IF(ISNUMBER(Dates),90,360)*AR/Sales</f>
        <v>19.35566279</v>
      </c>
      <c r="BU69" s="825">
        <f>IF(ISNUMBER(Dates),90,360)*AR/Sales</f>
        <v>23.29490136</v>
      </c>
      <c r="BV69" s="824">
        <f>IF(ISNUMBER(Dates),90,360)*AR/Sales</f>
        <v>19.15525779</v>
      </c>
      <c r="BW69" s="824">
        <f>IF(ISNUMBER(Dates),90,360)*AR/Sales</f>
        <v>20.31583837</v>
      </c>
      <c r="BX69" s="824">
        <f>IF(ISNUMBER(Dates),90,360)*AR/Sales</f>
        <v>23.59845073</v>
      </c>
      <c r="BY69" s="824">
        <f>IF(ISNUMBER(Dates),90,360)*AR/Sales</f>
        <v>22.52160251</v>
      </c>
      <c r="BZ69" s="825">
        <f>IF(ISNUMBER(Dates),90,360)*AR/Sales</f>
        <v>23.65999587</v>
      </c>
      <c r="CA69" s="824">
        <f>IF(ISNUMBER(Dates),90,360)*AR/Sales</f>
        <v>24.81357515</v>
      </c>
      <c r="CB69" s="824">
        <f>IF(ISNUMBER(Dates),90,360)*AR/Sales</f>
        <v>23.19751381</v>
      </c>
      <c r="CC69" s="824">
        <f>IF(ISNUMBER(Dates),90,360)*AR/Sales</f>
        <v>24.16145577</v>
      </c>
      <c r="CD69" s="824">
        <f>IF(ISNUMBER(Dates),90,360)*AR/Sales</f>
        <v>23.65521711</v>
      </c>
      <c r="CE69" s="825">
        <f>IF(ISNUMBER(Dates),90,360)*AR/Sales</f>
        <v>24.33378396</v>
      </c>
      <c r="CF69" s="824">
        <f>IF(ISNUMBER(Dates),90,360)*AR/Sales</f>
        <v>28.15202232</v>
      </c>
      <c r="CG69" s="824">
        <f>IF(ISNUMBER(Dates),90,360)*AR/Sales</f>
        <v>23.62491667</v>
      </c>
      <c r="CH69" s="824">
        <f>IF(ISNUMBER(Dates),90,360)*AR/Sales</f>
        <v>26.33722226</v>
      </c>
      <c r="CI69" s="824">
        <f>IF(ISNUMBER(Dates),90,360)*AR/Sales</f>
        <v>25.59694294</v>
      </c>
      <c r="CJ69" s="825">
        <f>IF(ISNUMBER(Dates),90,360)*AR/Sales</f>
        <v>25.86903133</v>
      </c>
      <c r="CK69" s="824">
        <f>IF(ISNUMBER(Dates),90,360)*AR/Sales</f>
        <v>25.2972973</v>
      </c>
      <c r="CL69" s="824">
        <f>IF(ISNUMBER(Dates),90,360)*AR/Sales</f>
        <v>24.40558895</v>
      </c>
      <c r="CM69" s="824">
        <f>IF(ISNUMBER(Dates),90,360)*AR/Sales</f>
        <v>24.82459393</v>
      </c>
      <c r="CN69" s="824">
        <f>IF(ISNUMBER(Dates),90,360)*AR/Sales</f>
        <v>23.30345526</v>
      </c>
      <c r="CO69" s="825">
        <f>IF(ISNUMBER(Dates),90,360)*AR/Sales</f>
        <v>24.4653563</v>
      </c>
      <c r="CP69" s="824">
        <f>IF(ISNUMBER(Dates),90,360)*AR/Sales</f>
        <v>24.71403949</v>
      </c>
      <c r="CQ69" s="824">
        <f>IF(ISNUMBER(Dates),90,360)*AR/Sales</f>
        <v>22.70334755</v>
      </c>
      <c r="CR69" s="824">
        <f>IF(ISNUMBER(Dates),90,360)*AR/Sales</f>
        <v>22.55256287</v>
      </c>
      <c r="CS69" s="824">
        <f>IF(ISNUMBER(Dates),90,360)*AR/Sales</f>
        <v>27.06541675</v>
      </c>
      <c r="CT69" s="825">
        <f>IF(ISNUMBER(Dates),90,360)*AR/Sales</f>
        <v>28.52550564</v>
      </c>
      <c r="CU69" s="824">
        <f>IF(ISNUMBER(Dates),90,360)*AR/Sales</f>
        <v>22.8573664</v>
      </c>
      <c r="CV69" s="824">
        <f>IF(ISNUMBER(Dates),90,360)*AR/Sales</f>
        <v>26.3281546</v>
      </c>
      <c r="CW69" s="824">
        <f>IF(ISNUMBER(Dates),90,360)*AR/Sales</f>
        <v>25.51607328</v>
      </c>
      <c r="CX69" s="824">
        <f>IF(ISNUMBER(Dates),90,360)*AR/Sales</f>
        <v>28.88762237</v>
      </c>
      <c r="CY69" s="826">
        <f>IF(ISNUMBER(Dates),90,360)*AR/Sales</f>
        <v>31.13214705</v>
      </c>
      <c r="CZ69" s="824">
        <f>IF(ISNUMBER(Dates),90,360)*AR/Sales</f>
        <v>27.49365988</v>
      </c>
      <c r="DA69" s="824">
        <f>IF(ISNUMBER(Dates),90,360)*AR/Sales</f>
        <v>29.43471514</v>
      </c>
      <c r="DB69" s="824">
        <f>IF(ISNUMBER(Dates),90,360)*AR/Sales</f>
        <v>28.2469261</v>
      </c>
      <c r="DC69" s="824">
        <f>IF(ISNUMBER(Dates),90,360)*AR/Sales</f>
        <v>25.77867351</v>
      </c>
      <c r="DD69" s="826">
        <f>IF(ISNUMBER(Dates),90,360)*AR/Sales</f>
        <v>28.38314898</v>
      </c>
      <c r="DE69" s="824">
        <f>IF(ISNUMBER(Dates),90,360)*AR/Sales</f>
        <v>29.93309002</v>
      </c>
      <c r="DF69" s="824">
        <f>IF(ISNUMBER(Dates),90,360)*AR/Sales</f>
        <v>32.90184922</v>
      </c>
      <c r="DG69" s="824">
        <f>IF(ISNUMBER(Dates),90,360)*AR/Sales</f>
        <v>33.18224039</v>
      </c>
      <c r="DH69" s="824">
        <f>IF(ISNUMBER(Dates),90,360)*AR/Sales</f>
        <v>29.59186067</v>
      </c>
      <c r="DI69" s="826">
        <f>IF(ISNUMBER(Dates),90,360)*AR/Sales</f>
        <v>32.16201144</v>
      </c>
      <c r="DJ69" s="824">
        <f>IF(ISNUMBER(Dates),90,360)*AR/Sales</f>
        <v>27.33163202</v>
      </c>
      <c r="DK69" s="824">
        <f>IF(ISNUMBER(Dates),90,360)*AR/Sales</f>
        <v>24.59851433</v>
      </c>
      <c r="DL69" s="824">
        <f>IF(ISNUMBER(Dates),90,360)*AR/Sales</f>
        <v>25.62907687</v>
      </c>
      <c r="DM69" s="824">
        <f>IF(ISNUMBER(Dates),90,360)*AR/Sales</f>
        <v>32.42643512</v>
      </c>
      <c r="DN69" s="826">
        <f>IF(ISNUMBER(Dates),90,360)*AR/Sales</f>
        <v>34.15650407</v>
      </c>
      <c r="DO69" s="824">
        <f>IF(ISNUMBER(Dates),90,360)*AR/Sales</f>
        <v>38.98449661</v>
      </c>
      <c r="DP69" s="824">
        <f>IF(ISNUMBER(Dates),90,360)*AR/Sales</f>
        <v>33.98788246</v>
      </c>
      <c r="DQ69" s="827">
        <f>IF(ISNUMBER(Dates),90,360)*AR/Sales</f>
        <v>32.26680563</v>
      </c>
      <c r="DR69" s="827">
        <f>IF(ISNUMBER(Dates),90,360)*AR/Sales</f>
        <v>34.10906032</v>
      </c>
      <c r="DS69" s="826">
        <f>IF(ISNUMBER(Dates),90,360)*AR/Sales</f>
        <v>38.31362468</v>
      </c>
      <c r="DT69" s="827">
        <f>IF(ISNUMBER(Dates),90,360)*AR/Sales</f>
        <v>38.3775469</v>
      </c>
      <c r="DU69" s="827">
        <f>IF(ISNUMBER(Dates),90,360)*AR/Sales</f>
        <v>33.94616788</v>
      </c>
      <c r="DV69" s="827">
        <f>IF(ISNUMBER(Dates),90,360)*AR/Sales</f>
        <v>35.05154639</v>
      </c>
      <c r="DW69" s="827">
        <f>IF(ISNUMBER(Dates),90,360)*AR/Sales</f>
        <v>30.55260787</v>
      </c>
      <c r="DX69" s="826">
        <f>IF(ISNUMBER(Dates),90,360)*AR/Sales</f>
        <v>31.35500276</v>
      </c>
      <c r="DY69" s="827">
        <f>IF(ISNUMBER(Dates),90,360)*AR/Sales</f>
        <v>34.94129053</v>
      </c>
      <c r="DZ69" s="827">
        <f>IF(ISNUMBER(Dates),90,360)*AR/Sales</f>
        <v>36.22727027</v>
      </c>
      <c r="EA69" s="827">
        <f>IF(ISNUMBER(Dates),90,360)*AR/Sales</f>
        <v>41.79797645</v>
      </c>
      <c r="EB69" s="827">
        <f>IF(ISNUMBER(Dates),90,360)*AR/Sales</f>
        <v>43.57618267</v>
      </c>
      <c r="EC69" s="826">
        <f>IF(ISNUMBER(Dates),90,360)*AR/Sales</f>
        <v>45.56492411</v>
      </c>
      <c r="ED69" s="827">
        <f>IF(ISNUMBER(Dates),90,360)*AR/Sales</f>
        <v>34.68969651</v>
      </c>
      <c r="EE69" s="827">
        <f>IF(ISNUMBER(Dates),90,360)*AR/Sales</f>
        <v>35.61582142</v>
      </c>
      <c r="EF69" s="827">
        <f>IF(ISNUMBER(Dates),90,360)*AR/Sales</f>
        <v>43.82644413</v>
      </c>
      <c r="EG69" s="827">
        <f>IF(ISNUMBER(Dates),90,360)*AR/Sales</f>
        <v>26.48981627</v>
      </c>
      <c r="EH69" s="826">
        <f>IF(ISNUMBER(Dates),90,360)*AR/Sales</f>
        <v>23.59691693</v>
      </c>
      <c r="EI69" s="828">
        <v>30.0</v>
      </c>
      <c r="EJ69" s="829">
        <f t="shared" ref="EJ69:EL69" si="562">EI69</f>
        <v>30</v>
      </c>
      <c r="EK69" s="829">
        <f t="shared" si="562"/>
        <v>30</v>
      </c>
      <c r="EL69" s="829">
        <f t="shared" si="562"/>
        <v>30</v>
      </c>
      <c r="EM69" s="826" t="str">
        <f>IF(ISNUMBER(Dates),90,360)*AR/Sales</f>
        <v>#ERROR!</v>
      </c>
      <c r="EN69" s="829">
        <v>35.0</v>
      </c>
      <c r="EO69" s="829">
        <f t="shared" ref="EO69:EQ69" si="563">EN69</f>
        <v>35</v>
      </c>
      <c r="EP69" s="829">
        <f t="shared" si="563"/>
        <v>35</v>
      </c>
      <c r="EQ69" s="829">
        <f t="shared" si="563"/>
        <v>35</v>
      </c>
      <c r="ER69" s="826" t="str">
        <f>IF(ISNUMBER(Dates),90,360)*AR/Sales</f>
        <v>#ERROR!</v>
      </c>
      <c r="ES69" s="829">
        <v>33.0</v>
      </c>
      <c r="ET69" s="829">
        <v>33.0</v>
      </c>
      <c r="EU69" s="829">
        <v>33.0</v>
      </c>
      <c r="EV69" s="829">
        <v>33.0</v>
      </c>
      <c r="EW69" s="826" t="str">
        <f>IF(ISNUMBER(Dates),90,360)*AR/Sales</f>
        <v>#ERROR!</v>
      </c>
      <c r="EX69" s="829">
        <v>31.0</v>
      </c>
      <c r="EY69" s="829">
        <v>31.0</v>
      </c>
      <c r="EZ69" s="829">
        <v>31.0</v>
      </c>
      <c r="FA69" s="829">
        <v>31.0</v>
      </c>
      <c r="FB69" s="826" t="str">
        <f>IF(ISNUMBER(Dates),90,360)*AR/Sales</f>
        <v>#ERROR!</v>
      </c>
      <c r="FC69" s="829">
        <v>31.0</v>
      </c>
      <c r="FD69" s="829">
        <v>31.0</v>
      </c>
      <c r="FE69" s="829">
        <v>31.0</v>
      </c>
      <c r="FF69" s="829">
        <v>31.0</v>
      </c>
      <c r="FG69" s="826" t="str">
        <f>IF(ISNUMBER(Dates),90,360)*AR/Sales</f>
        <v>#ERROR!</v>
      </c>
    </row>
    <row r="70" ht="12.75" customHeight="1">
      <c r="A70" s="179"/>
      <c r="B70" s="180" t="s">
        <v>552</v>
      </c>
      <c r="C70" s="179"/>
      <c r="D70" s="179"/>
      <c r="E70" s="179"/>
      <c r="F70" s="179"/>
      <c r="G70" s="179"/>
      <c r="H70" s="179"/>
      <c r="I70" s="179"/>
      <c r="J70" s="179"/>
      <c r="K70" s="179"/>
      <c r="L70" s="179"/>
      <c r="M70" s="179"/>
      <c r="N70" s="824">
        <f>IF(ISNUMBER(Dates),4,1)*COGS/inventories</f>
        <v>6.038440417</v>
      </c>
      <c r="O70" s="824">
        <f>IF(ISNUMBER(Dates),4,1)*COGS/inventories</f>
        <v>7.109806224</v>
      </c>
      <c r="P70" s="824">
        <f>IF(ISNUMBER(Dates),4,1)*COGS/inventories</f>
        <v>8.050697085</v>
      </c>
      <c r="Q70" s="824">
        <f>IF(ISNUMBER(Dates),4,1)*COGS/inventories</f>
        <v>7.92920354</v>
      </c>
      <c r="R70" s="825">
        <f>IF(ISNUMBER(Dates),4,1)*COGS/inventories</f>
        <v>7.640960809</v>
      </c>
      <c r="S70" s="824">
        <f>IF(ISNUMBER(Dates),4,1)*COGS/inventories</f>
        <v>6.777517564</v>
      </c>
      <c r="T70" s="824">
        <f>IF(ISNUMBER(Dates),4,1)*COGS/inventories</f>
        <v>6.21667612</v>
      </c>
      <c r="U70" s="824">
        <f>IF(ISNUMBER(Dates),4,1)*COGS/inventories</f>
        <v>7.44403444</v>
      </c>
      <c r="V70" s="824">
        <f>IF(ISNUMBER(Dates),4,1)*COGS/inventories</f>
        <v>8.595399188</v>
      </c>
      <c r="W70" s="825">
        <f>IF(ISNUMBER(Dates),4,1)*COGS/inventories</f>
        <v>8.00811908</v>
      </c>
      <c r="X70" s="824">
        <f>IF(ISNUMBER(Dates),4,1)*COGS/inventories</f>
        <v>7.77878985</v>
      </c>
      <c r="Y70" s="824">
        <f>IF(ISNUMBER(Dates),4,1)*COGS/inventories</f>
        <v>8.1717486</v>
      </c>
      <c r="Z70" s="824">
        <f>IF(ISNUMBER(Dates),4,1)*COGS/inventories</f>
        <v>6.504132231</v>
      </c>
      <c r="AA70" s="824">
        <f>IF(ISNUMBER(Dates),4,1)*COGS/inventories</f>
        <v>5.765283356</v>
      </c>
      <c r="AB70" s="825">
        <f>IF(ISNUMBER(Dates),4,1)*COGS/inventories</f>
        <v>5.644801428</v>
      </c>
      <c r="AC70" s="824">
        <f>IF(ISNUMBER(Dates),4,1)*COGS/inventories</f>
        <v>4.864253394</v>
      </c>
      <c r="AD70" s="824">
        <f>IF(ISNUMBER(Dates),4,1)*COGS/inventories</f>
        <v>4.680820948</v>
      </c>
      <c r="AE70" s="824">
        <f>IF(ISNUMBER(Dates),4,1)*COGS/inventories</f>
        <v>6.045087197</v>
      </c>
      <c r="AF70" s="824">
        <f>IF(ISNUMBER(Dates),4,1)*COGS/inventories</f>
        <v>6.039946738</v>
      </c>
      <c r="AG70" s="825">
        <f>IF(ISNUMBER(Dates),4,1)*COGS/inventories</f>
        <v>5.986240568</v>
      </c>
      <c r="AH70" s="824">
        <f>IF(ISNUMBER(Dates),4,1)*COGS/inventories</f>
        <v>5.324193548</v>
      </c>
      <c r="AI70" s="824">
        <f>IF(ISNUMBER(Dates),4,1)*COGS/inventories</f>
        <v>5.349301397</v>
      </c>
      <c r="AJ70" s="824">
        <f>IF(ISNUMBER(Dates),4,1)*COGS/inventories</f>
        <v>5.370415155</v>
      </c>
      <c r="AK70" s="824">
        <f>IF(ISNUMBER(Dates),4,1)*COGS/inventories</f>
        <v>6.087873462</v>
      </c>
      <c r="AL70" s="825">
        <f>IF(ISNUMBER(Dates),4,1)*COGS/inventories</f>
        <v>5.907732865</v>
      </c>
      <c r="AM70" s="824">
        <f>IF(ISNUMBER(Dates),4,1)*COGS/inventories</f>
        <v>5.987060998</v>
      </c>
      <c r="AN70" s="824">
        <f>IF(ISNUMBER(Dates),4,1)*COGS/inventories</f>
        <v>6.223048327</v>
      </c>
      <c r="AO70" s="824">
        <f>IF(ISNUMBER(Dates),4,1)*COGS/inventories</f>
        <v>5.887640449</v>
      </c>
      <c r="AP70" s="824">
        <f>IF(ISNUMBER(Dates),4,1)*COGS/inventories</f>
        <v>5.057562525</v>
      </c>
      <c r="AQ70" s="825">
        <f>IF(ISNUMBER(Dates),4,1)*COGS/inventories</f>
        <v>5.179436284</v>
      </c>
      <c r="AR70" s="824">
        <f>IF(ISNUMBER(Dates),4,1)*COGS/inventories</f>
        <v>4.608011445</v>
      </c>
      <c r="AS70" s="824">
        <f>IF(ISNUMBER(Dates),4,1)*COGS/inventories</f>
        <v>4.057089668</v>
      </c>
      <c r="AT70" s="824">
        <f>IF(ISNUMBER(Dates),4,1)*COGS/inventories</f>
        <v>4.719496855</v>
      </c>
      <c r="AU70" s="824">
        <f>IF(ISNUMBER(Dates),4,1)*COGS/inventories</f>
        <v>6.441816101</v>
      </c>
      <c r="AV70" s="825">
        <f>IF(ISNUMBER(Dates),4,1)*COGS/inventories</f>
        <v>5.518122854</v>
      </c>
      <c r="AW70" s="824">
        <f>IF(ISNUMBER(Dates),4,1)*COGS/inventories</f>
        <v>5.464387464</v>
      </c>
      <c r="AX70" s="824">
        <f>IF(ISNUMBER(Dates),4,1)*COGS/inventories</f>
        <v>5.882438846</v>
      </c>
      <c r="AY70" s="824">
        <f>IF(ISNUMBER(Dates),4,1)*COGS/inventories</f>
        <v>5.501953819</v>
      </c>
      <c r="AZ70" s="824">
        <f>IF(ISNUMBER(Dates),4,1)*COGS/inventories</f>
        <v>4.991682662</v>
      </c>
      <c r="BA70" s="825">
        <f>IF(ISNUMBER(Dates),4,1)*COGS/inventories</f>
        <v>5.002239283</v>
      </c>
      <c r="BB70" s="824">
        <f>IF(ISNUMBER(Dates),4,1)*COGS/inventories</f>
        <v>4.482197925</v>
      </c>
      <c r="BC70" s="824">
        <f>IF(ISNUMBER(Dates),4,1)*COGS/inventories</f>
        <v>3.543859649</v>
      </c>
      <c r="BD70" s="824">
        <f>IF(ISNUMBER(Dates),4,1)*COGS/inventories</f>
        <v>3.971409426</v>
      </c>
      <c r="BE70" s="824">
        <f>IF(ISNUMBER(Dates),4,1)*COGS/inventories</f>
        <v>4.528511822</v>
      </c>
      <c r="BF70" s="825">
        <f>IF(ISNUMBER(Dates),4,1)*COGS/inventories</f>
        <v>3.978674084</v>
      </c>
      <c r="BG70" s="824">
        <f>IF(ISNUMBER(Dates),4,1)*COGS/inventories</f>
        <v>4.049473202</v>
      </c>
      <c r="BH70" s="824">
        <f>IF(ISNUMBER(Dates),4,1)*COGS/inventories</f>
        <v>4.463290526</v>
      </c>
      <c r="BI70" s="824">
        <f>IF(ISNUMBER(Dates),4,1)*COGS/inventories</f>
        <v>5.433578293</v>
      </c>
      <c r="BJ70" s="824">
        <f>IF(ISNUMBER(Dates),4,1)*COGS/inventories</f>
        <v>5.32462908</v>
      </c>
      <c r="BK70" s="825">
        <f>IF(ISNUMBER(Dates),4,1)*COGS/inventories</f>
        <v>5.435311573</v>
      </c>
      <c r="BL70" s="824">
        <f>IF(ISNUMBER(Dates),4,1)*COGS/inventories</f>
        <v>5.459657702</v>
      </c>
      <c r="BM70" s="824">
        <f>IF(ISNUMBER(Dates),4,1)*COGS/inventories</f>
        <v>5.171209801</v>
      </c>
      <c r="BN70" s="824">
        <f>IF(ISNUMBER(Dates),4,1)*COGS/inventories</f>
        <v>4.94173043</v>
      </c>
      <c r="BO70" s="824">
        <f>IF(ISNUMBER(Dates),4,1)*COGS/inventories</f>
        <v>4.120726496</v>
      </c>
      <c r="BP70" s="825">
        <f>IF(ISNUMBER(Dates),4,1)*COGS/inventories</f>
        <v>4.471688034</v>
      </c>
      <c r="BQ70" s="824">
        <f>IF(ISNUMBER(Dates),4,1)*COGS/inventories</f>
        <v>5.132348112</v>
      </c>
      <c r="BR70" s="824">
        <f>IF(ISNUMBER(Dates),4,1)*COGS/inventories</f>
        <v>5.625668449</v>
      </c>
      <c r="BS70" s="824">
        <f>IF(ISNUMBER(Dates),4,1)*COGS/inventories</f>
        <v>6.401606426</v>
      </c>
      <c r="BT70" s="824">
        <f>IF(ISNUMBER(Dates),4,1)*COGS/inventories</f>
        <v>5.082112436</v>
      </c>
      <c r="BU70" s="825">
        <f>IF(ISNUMBER(Dates),4,1)*COGS/inventories</f>
        <v>5.303577513</v>
      </c>
      <c r="BV70" s="824">
        <f>IF(ISNUMBER(Dates),4,1)*COGS/inventories</f>
        <v>5.050234427</v>
      </c>
      <c r="BW70" s="824">
        <f>IF(ISNUMBER(Dates),4,1)*COGS/inventories</f>
        <v>4.22122571</v>
      </c>
      <c r="BX70" s="824">
        <f>IF(ISNUMBER(Dates),4,1)*COGS/inventories</f>
        <v>4.41834648</v>
      </c>
      <c r="BY70" s="824">
        <f>IF(ISNUMBER(Dates),4,1)*COGS/inventories</f>
        <v>4.313015704</v>
      </c>
      <c r="BZ70" s="825">
        <f>IF(ISNUMBER(Dates),4,1)*COGS/inventories</f>
        <v>4.027681661</v>
      </c>
      <c r="CA70" s="824">
        <f>IF(ISNUMBER(Dates),4,1)*COGS/inventories</f>
        <v>4.842156624</v>
      </c>
      <c r="CB70" s="824">
        <f>IF(ISNUMBER(Dates),4,1)*COGS/inventories</f>
        <v>5.091811414</v>
      </c>
      <c r="CC70" s="824">
        <f>IF(ISNUMBER(Dates),4,1)*COGS/inventories</f>
        <v>5.269007325</v>
      </c>
      <c r="CD70" s="824">
        <f>IF(ISNUMBER(Dates),4,1)*COGS/inventories</f>
        <v>4.819335938</v>
      </c>
      <c r="CE70" s="825">
        <f>IF(ISNUMBER(Dates),4,1)*COGS/inventories</f>
        <v>4.941894531</v>
      </c>
      <c r="CF70" s="824">
        <f>IF(ISNUMBER(Dates),4,1)*COGS/inventories</f>
        <v>4.135442192</v>
      </c>
      <c r="CG70" s="824">
        <f>IF(ISNUMBER(Dates),4,1)*COGS/inventories</f>
        <v>4.035073409</v>
      </c>
      <c r="CH70" s="824">
        <f>IF(ISNUMBER(Dates),4,1)*COGS/inventories</f>
        <v>3.716488062</v>
      </c>
      <c r="CI70" s="824">
        <f>IF(ISNUMBER(Dates),4,1)*COGS/inventories</f>
        <v>4.782425011</v>
      </c>
      <c r="CJ70" s="825">
        <f>IF(ISNUMBER(Dates),4,1)*COGS/inventories</f>
        <v>4.264892269</v>
      </c>
      <c r="CK70" s="824">
        <f>IF(ISNUMBER(Dates),4,1)*COGS/inventories</f>
        <v>5.061037173</v>
      </c>
      <c r="CL70" s="824">
        <f>IF(ISNUMBER(Dates),4,1)*COGS/inventories</f>
        <v>4.703654778</v>
      </c>
      <c r="CM70" s="824">
        <f>IF(ISNUMBER(Dates),4,1)*COGS/inventories</f>
        <v>4.472975954</v>
      </c>
      <c r="CN70" s="824">
        <f>IF(ISNUMBER(Dates),4,1)*COGS/inventories</f>
        <v>5.046021093</v>
      </c>
      <c r="CO70" s="825">
        <f>IF(ISNUMBER(Dates),4,1)*COGS/inventories</f>
        <v>5.078379674</v>
      </c>
      <c r="CP70" s="824">
        <f>IF(ISNUMBER(Dates),4,1)*COGS/inventories</f>
        <v>5.461599787</v>
      </c>
      <c r="CQ70" s="824">
        <f>IF(ISNUMBER(Dates),4,1)*COGS/inventories</f>
        <v>4.985036774</v>
      </c>
      <c r="CR70" s="824">
        <f>IF(ISNUMBER(Dates),4,1)*COGS/inventories</f>
        <v>4.953584447</v>
      </c>
      <c r="CS70" s="824">
        <f>IF(ISNUMBER(Dates),4,1)*COGS/inventories</f>
        <v>4.774163351</v>
      </c>
      <c r="CT70" s="825">
        <f>IF(ISNUMBER(Dates),4,1)*COGS/inventories</f>
        <v>4.738591154</v>
      </c>
      <c r="CU70" s="824">
        <f>IF(ISNUMBER(Dates),4,1)*COGS/inventories</f>
        <v>4.573110005</v>
      </c>
      <c r="CV70" s="824">
        <f>IF(ISNUMBER(Dates),4,1)*COGS/inventories</f>
        <v>4.107098381</v>
      </c>
      <c r="CW70" s="824">
        <f>IF(ISNUMBER(Dates),4,1)*COGS/inventories</f>
        <v>4.313393756</v>
      </c>
      <c r="CX70" s="824">
        <f>IF(ISNUMBER(Dates),4,1)*COGS/inventories</f>
        <v>4.121540546</v>
      </c>
      <c r="CY70" s="826">
        <f>IF(ISNUMBER(Dates),4,1)*COGS/inventories</f>
        <v>4.001548287</v>
      </c>
      <c r="CZ70" s="824">
        <f>IF(ISNUMBER(Dates),4,1)*COGS/inventories</f>
        <v>3.875499913</v>
      </c>
      <c r="DA70" s="824">
        <f>IF(ISNUMBER(Dates),4,1)*COGS/inventories</f>
        <v>3.834482759</v>
      </c>
      <c r="DB70" s="824">
        <f>IF(ISNUMBER(Dates),4,1)*COGS/inventories</f>
        <v>4.00830019</v>
      </c>
      <c r="DC70" s="824">
        <f>IF(ISNUMBER(Dates),4,1)*COGS/inventories</f>
        <v>4.515757248</v>
      </c>
      <c r="DD70" s="826">
        <f>IF(ISNUMBER(Dates),4,1)*COGS/inventories</f>
        <v>4.177201513</v>
      </c>
      <c r="DE70" s="824">
        <f>IF(ISNUMBER(Dates),4,1)*COGS/inventories</f>
        <v>3.895190484</v>
      </c>
      <c r="DF70" s="824">
        <f>IF(ISNUMBER(Dates),4,1)*COGS/inventories</f>
        <v>3.583175206</v>
      </c>
      <c r="DG70" s="824">
        <f>IF(ISNUMBER(Dates),4,1)*COGS/inventories</f>
        <v>3.516813393</v>
      </c>
      <c r="DH70" s="824">
        <f>IF(ISNUMBER(Dates),4,1)*COGS/inventories</f>
        <v>3.600744666</v>
      </c>
      <c r="DI70" s="826">
        <f>IF(ISNUMBER(Dates),4,1)*COGS/inventories</f>
        <v>3.392811113</v>
      </c>
      <c r="DJ70" s="824">
        <f>IF(ISNUMBER(Dates),4,1)*COGS/inventories</f>
        <v>3.546039743</v>
      </c>
      <c r="DK70" s="824">
        <f>IF(ISNUMBER(Dates),4,1)*COGS/inventories</f>
        <v>3.56372549</v>
      </c>
      <c r="DL70" s="824">
        <f>IF(ISNUMBER(Dates),4,1)*COGS/inventories</f>
        <v>3.676800432</v>
      </c>
      <c r="DM70" s="824">
        <f>IF(ISNUMBER(Dates),4,1)*COGS/inventories</f>
        <v>4.09761478</v>
      </c>
      <c r="DN70" s="826">
        <f>IF(ISNUMBER(Dates),4,1)*COGS/inventories</f>
        <v>3.737901558</v>
      </c>
      <c r="DO70" s="824">
        <f>IF(ISNUMBER(Dates),4,1)*COGS/inventories</f>
        <v>3.591500322</v>
      </c>
      <c r="DP70" s="824">
        <f>IF(ISNUMBER(Dates),4,1)*COGS/inventories</f>
        <v>3.048298068</v>
      </c>
      <c r="DQ70" s="827">
        <f>IF(ISNUMBER(Dates),4,1)*COGS/inventories</f>
        <v>3.655938875</v>
      </c>
      <c r="DR70" s="827">
        <f>IF(ISNUMBER(Dates),4,1)*COGS/inventories</f>
        <v>3.811070448</v>
      </c>
      <c r="DS70" s="826">
        <f>IF(ISNUMBER(Dates),4,1)*COGS/inventories</f>
        <v>3.410910339</v>
      </c>
      <c r="DT70" s="827">
        <f>IF(ISNUMBER(Dates),4,1)*COGS/inventories</f>
        <v>3.379623621</v>
      </c>
      <c r="DU70" s="827">
        <f>IF(ISNUMBER(Dates),4,1)*COGS/inventories</f>
        <v>4.112387111</v>
      </c>
      <c r="DV70" s="827">
        <f>IF(ISNUMBER(Dates),4,1)*COGS/inventories</f>
        <v>3.706243934</v>
      </c>
      <c r="DW70" s="827">
        <f>IF(ISNUMBER(Dates),4,1)*COGS/inventories</f>
        <v>4.096356948</v>
      </c>
      <c r="DX70" s="826">
        <f>IF(ISNUMBER(Dates),4,1)*COGS/inventories</f>
        <v>4.064910407</v>
      </c>
      <c r="DY70" s="827">
        <f>IF(ISNUMBER(Dates),4,1)*COGS/inventories</f>
        <v>4.156474608</v>
      </c>
      <c r="DZ70" s="827">
        <f>IF(ISNUMBER(Dates),4,1)*COGS/inventories</f>
        <v>3.822161733</v>
      </c>
      <c r="EA70" s="827">
        <f>IF(ISNUMBER(Dates),4,1)*COGS/inventories</f>
        <v>3.448050623</v>
      </c>
      <c r="EB70" s="827">
        <f>IF(ISNUMBER(Dates),4,1)*COGS/inventories</f>
        <v>3.533407572</v>
      </c>
      <c r="EC70" s="826">
        <f>IF(ISNUMBER(Dates),4,1)*COGS/inventories</f>
        <v>3.267353378</v>
      </c>
      <c r="ED70" s="827">
        <f>IF(ISNUMBER(Dates),4,1)*COGS/inventories</f>
        <v>3.052869711</v>
      </c>
      <c r="EE70" s="827">
        <f>IF(ISNUMBER(Dates),4,1)*COGS/inventories</f>
        <v>3.198291441</v>
      </c>
      <c r="EF70" s="827">
        <f>IF(ISNUMBER(Dates),4,1)*COGS/inventories</f>
        <v>2.74429117</v>
      </c>
      <c r="EG70" s="827">
        <f>IF(ISNUMBER(Dates),4,1)*COGS/inventories</f>
        <v>2.583787054</v>
      </c>
      <c r="EH70" s="826">
        <f>IF(ISNUMBER(Dates),4,1)*COGS/inventories</f>
        <v>2.736539625</v>
      </c>
      <c r="EI70" s="828">
        <v>2.9</v>
      </c>
      <c r="EJ70" s="829">
        <v>2.9</v>
      </c>
      <c r="EK70" s="829">
        <v>3.0</v>
      </c>
      <c r="EL70" s="829">
        <v>3.2</v>
      </c>
      <c r="EM70" s="826" t="str">
        <f>IF(ISNUMBER(Dates),4,1)*COGS/inventories</f>
        <v>#ERROR!</v>
      </c>
      <c r="EN70" s="829">
        <v>3.3</v>
      </c>
      <c r="EO70" s="829">
        <v>3.3</v>
      </c>
      <c r="EP70" s="829">
        <v>3.3</v>
      </c>
      <c r="EQ70" s="829">
        <v>3.3</v>
      </c>
      <c r="ER70" s="826" t="str">
        <f>IF(ISNUMBER(Dates),4,1)*COGS/inventories</f>
        <v>#ERROR!</v>
      </c>
      <c r="ES70" s="829">
        <v>3.5</v>
      </c>
      <c r="ET70" s="829">
        <v>3.5</v>
      </c>
      <c r="EU70" s="829">
        <v>3.7</v>
      </c>
      <c r="EV70" s="829">
        <v>3.7</v>
      </c>
      <c r="EW70" s="826" t="str">
        <f>IF(ISNUMBER(Dates),4,1)*COGS/inventories</f>
        <v>#ERROR!</v>
      </c>
      <c r="EX70" s="829">
        <v>3.8</v>
      </c>
      <c r="EY70" s="829">
        <v>3.8</v>
      </c>
      <c r="EZ70" s="829">
        <v>4.0</v>
      </c>
      <c r="FA70" s="829">
        <v>4.0</v>
      </c>
      <c r="FB70" s="826" t="str">
        <f>IF(ISNUMBER(Dates),4,1)*COGS/inventories</f>
        <v>#ERROR!</v>
      </c>
      <c r="FC70" s="829">
        <v>3.8</v>
      </c>
      <c r="FD70" s="829">
        <v>3.8</v>
      </c>
      <c r="FE70" s="829">
        <v>4.0</v>
      </c>
      <c r="FF70" s="829">
        <v>4.0</v>
      </c>
      <c r="FG70" s="826" t="str">
        <f>IF(ISNUMBER(Dates),4,1)*COGS/inventories</f>
        <v>#ERROR!</v>
      </c>
    </row>
    <row r="71" ht="12.75" customHeight="1">
      <c r="A71" s="179"/>
      <c r="B71" s="180" t="s">
        <v>553</v>
      </c>
      <c r="C71" s="179"/>
      <c r="D71" s="179"/>
      <c r="E71" s="179"/>
      <c r="F71" s="179"/>
      <c r="G71" s="179"/>
      <c r="H71" s="179"/>
      <c r="I71" s="179"/>
      <c r="J71" s="179"/>
      <c r="K71" s="179"/>
      <c r="L71" s="179"/>
      <c r="M71" s="179"/>
      <c r="N71" s="824">
        <f>360/invTurns</f>
        <v>59.61804292</v>
      </c>
      <c r="O71" s="824">
        <f>360/invTurns</f>
        <v>50.63429138</v>
      </c>
      <c r="P71" s="824">
        <f>360/invTurns</f>
        <v>44.71662469</v>
      </c>
      <c r="Q71" s="824">
        <f>360/invTurns</f>
        <v>45.40178571</v>
      </c>
      <c r="R71" s="825">
        <f>360/invTurns</f>
        <v>47.11449371</v>
      </c>
      <c r="S71" s="824">
        <f>360/invTurns</f>
        <v>53.11679337</v>
      </c>
      <c r="T71" s="824">
        <f>360/invTurns</f>
        <v>57.90875912</v>
      </c>
      <c r="U71" s="824">
        <f>360/invTurns</f>
        <v>48.36087244</v>
      </c>
      <c r="V71" s="824">
        <f>360/invTurns</f>
        <v>41.88287154</v>
      </c>
      <c r="W71" s="825">
        <f>360/invTurns</f>
        <v>44.95437648</v>
      </c>
      <c r="X71" s="824">
        <f>360/invTurns</f>
        <v>46.2796922</v>
      </c>
      <c r="Y71" s="824">
        <f>360/invTurns</f>
        <v>44.0542187</v>
      </c>
      <c r="Z71" s="824">
        <f>360/invTurns</f>
        <v>55.34942821</v>
      </c>
      <c r="AA71" s="824">
        <f>360/invTurns</f>
        <v>62.44272446</v>
      </c>
      <c r="AB71" s="825">
        <f>360/invTurns</f>
        <v>63.77549407</v>
      </c>
      <c r="AC71" s="824">
        <f>360/invTurns</f>
        <v>74.00930233</v>
      </c>
      <c r="AD71" s="824">
        <f>360/invTurns</f>
        <v>76.90958573</v>
      </c>
      <c r="AE71" s="824">
        <f>360/invTurns</f>
        <v>59.55249085</v>
      </c>
      <c r="AF71" s="824">
        <f>360/invTurns</f>
        <v>59.6031746</v>
      </c>
      <c r="AG71" s="825">
        <f>360/invTurns</f>
        <v>60.13791058</v>
      </c>
      <c r="AH71" s="824">
        <f>360/invTurns</f>
        <v>67.61587398</v>
      </c>
      <c r="AI71" s="824">
        <f>360/invTurns</f>
        <v>67.29850746</v>
      </c>
      <c r="AJ71" s="824">
        <f>360/invTurns</f>
        <v>67.03392375</v>
      </c>
      <c r="AK71" s="824">
        <f>360/invTurns</f>
        <v>59.13394919</v>
      </c>
      <c r="AL71" s="825">
        <f>360/invTurns</f>
        <v>60.93708166</v>
      </c>
      <c r="AM71" s="824">
        <f>360/invTurns</f>
        <v>60.12966965</v>
      </c>
      <c r="AN71" s="824">
        <f>360/invTurns</f>
        <v>57.84946237</v>
      </c>
      <c r="AO71" s="824">
        <f>360/invTurns</f>
        <v>61.14503817</v>
      </c>
      <c r="AP71" s="824">
        <f>360/invTurns</f>
        <v>71.18053375</v>
      </c>
      <c r="AQ71" s="825">
        <f>360/invTurns</f>
        <v>69.50563348</v>
      </c>
      <c r="AR71" s="824">
        <f>360/invTurns</f>
        <v>78.12480596</v>
      </c>
      <c r="AS71" s="824">
        <f>360/invTurns</f>
        <v>88.73355766</v>
      </c>
      <c r="AT71" s="824">
        <f>360/invTurns</f>
        <v>76.2793177</v>
      </c>
      <c r="AU71" s="824">
        <f>360/invTurns</f>
        <v>55.88486141</v>
      </c>
      <c r="AV71" s="825">
        <f>360/invTurns</f>
        <v>65.23957685</v>
      </c>
      <c r="AW71" s="824">
        <f>360/invTurns</f>
        <v>65.88112617</v>
      </c>
      <c r="AX71" s="824">
        <f>360/invTurns</f>
        <v>61.19910626</v>
      </c>
      <c r="AY71" s="824">
        <f>360/invTurns</f>
        <v>65.43130165</v>
      </c>
      <c r="AZ71" s="824">
        <f>360/invTurns</f>
        <v>72.11996924</v>
      </c>
      <c r="BA71" s="825">
        <f>360/invTurns</f>
        <v>71.96776875</v>
      </c>
      <c r="BB71" s="824">
        <f>360/invTurns</f>
        <v>80.3177383</v>
      </c>
      <c r="BC71" s="824">
        <f>360/invTurns</f>
        <v>101.5841584</v>
      </c>
      <c r="BD71" s="824">
        <f>360/invTurns</f>
        <v>90.64791901</v>
      </c>
      <c r="BE71" s="824">
        <f>360/invTurns</f>
        <v>79.4963145</v>
      </c>
      <c r="BF71" s="825">
        <f>360/invTurns</f>
        <v>90.48240503</v>
      </c>
      <c r="BG71" s="824">
        <f>360/invTurns</f>
        <v>88.90045249</v>
      </c>
      <c r="BH71" s="824">
        <f>360/invTurns</f>
        <v>80.65798046</v>
      </c>
      <c r="BI71" s="824">
        <f>360/invTurns</f>
        <v>66.25468165</v>
      </c>
      <c r="BJ71" s="824">
        <f>360/invTurns</f>
        <v>67.61034329</v>
      </c>
      <c r="BK71" s="825">
        <f>360/invTurns</f>
        <v>66.23355353</v>
      </c>
      <c r="BL71" s="824">
        <f>360/invTurns</f>
        <v>65.93819973</v>
      </c>
      <c r="BM71" s="824">
        <f>360/invTurns</f>
        <v>69.61620469</v>
      </c>
      <c r="BN71" s="824">
        <f>360/invTurns</f>
        <v>72.8489757</v>
      </c>
      <c r="BO71" s="824">
        <f>360/invTurns</f>
        <v>87.36323568</v>
      </c>
      <c r="BP71" s="825">
        <f>360/invTurns</f>
        <v>80.50651057</v>
      </c>
      <c r="BQ71" s="824">
        <f>360/invTurns</f>
        <v>70.14333248</v>
      </c>
      <c r="BR71" s="824">
        <f>360/invTurns</f>
        <v>63.99239544</v>
      </c>
      <c r="BS71" s="824">
        <f>360/invTurns</f>
        <v>56.23588457</v>
      </c>
      <c r="BT71" s="824">
        <f>360/invTurns</f>
        <v>70.83668544</v>
      </c>
      <c r="BU71" s="825">
        <f>360/invTurns</f>
        <v>67.87871001</v>
      </c>
      <c r="BV71" s="824">
        <f>360/invTurns</f>
        <v>71.28381963</v>
      </c>
      <c r="BW71" s="824">
        <f>360/invTurns</f>
        <v>85.28328612</v>
      </c>
      <c r="BX71" s="824">
        <f>360/invTurns</f>
        <v>81.47844486</v>
      </c>
      <c r="BY71" s="824">
        <f>360/invTurns</f>
        <v>83.46827944</v>
      </c>
      <c r="BZ71" s="825">
        <f>360/invTurns</f>
        <v>89.3814433</v>
      </c>
      <c r="CA71" s="824">
        <f>360/invTurns</f>
        <v>74.34703748</v>
      </c>
      <c r="CB71" s="824">
        <f>360/invTurns</f>
        <v>70.70175439</v>
      </c>
      <c r="CC71" s="824">
        <f>360/invTurns</f>
        <v>68.3240652</v>
      </c>
      <c r="CD71" s="824">
        <f>360/invTurns</f>
        <v>74.69908815</v>
      </c>
      <c r="CE71" s="825">
        <f>360/invTurns</f>
        <v>72.84655666</v>
      </c>
      <c r="CF71" s="824">
        <f>360/invTurns</f>
        <v>87.05235941</v>
      </c>
      <c r="CG71" s="824">
        <f>360/invTurns</f>
        <v>89.2177077</v>
      </c>
      <c r="CH71" s="824">
        <f>360/invTurns</f>
        <v>96.86564144</v>
      </c>
      <c r="CI71" s="824">
        <f>360/invTurns</f>
        <v>75.27561837</v>
      </c>
      <c r="CJ71" s="825">
        <f>360/invTurns</f>
        <v>84.41010401</v>
      </c>
      <c r="CK71" s="824">
        <f>360/invTurns</f>
        <v>71.13166485</v>
      </c>
      <c r="CL71" s="824">
        <f>360/invTurns</f>
        <v>76.53622917</v>
      </c>
      <c r="CM71" s="824">
        <f>360/invTurns</f>
        <v>80.48333005</v>
      </c>
      <c r="CN71" s="824">
        <f>360/invTurns</f>
        <v>71.3433403</v>
      </c>
      <c r="CO71" s="825">
        <f>360/invTurns</f>
        <v>70.88875254</v>
      </c>
      <c r="CP71" s="824">
        <f>360/invTurns</f>
        <v>65.91475282</v>
      </c>
      <c r="CQ71" s="824">
        <f>360/invTurns</f>
        <v>72.21611722</v>
      </c>
      <c r="CR71" s="824">
        <f>360/invTurns</f>
        <v>72.67464678</v>
      </c>
      <c r="CS71" s="824">
        <f>360/invTurns</f>
        <v>75.40588235</v>
      </c>
      <c r="CT71" s="825">
        <f>360/invTurns</f>
        <v>75.97194785</v>
      </c>
      <c r="CU71" s="824">
        <f>360/invTurns</f>
        <v>78.72104534</v>
      </c>
      <c r="CV71" s="824">
        <f>360/invTurns</f>
        <v>87.6531231</v>
      </c>
      <c r="CW71" s="824">
        <f>360/invTurns</f>
        <v>83.46096377</v>
      </c>
      <c r="CX71" s="824">
        <f>360/invTurns</f>
        <v>87.34598047</v>
      </c>
      <c r="CY71" s="826">
        <f>360/invTurns</f>
        <v>89.96517702</v>
      </c>
      <c r="CZ71" s="824">
        <f>360/invTurns</f>
        <v>92.89124192</v>
      </c>
      <c r="DA71" s="824">
        <f>360/invTurns</f>
        <v>93.88489209</v>
      </c>
      <c r="DB71" s="824">
        <f>360/invTurns</f>
        <v>89.81363244</v>
      </c>
      <c r="DC71" s="824">
        <f>360/invTurns</f>
        <v>79.72084862</v>
      </c>
      <c r="DD71" s="826">
        <f>360/invTurns</f>
        <v>86.18210036</v>
      </c>
      <c r="DE71" s="824">
        <f>360/invTurns</f>
        <v>92.42166755</v>
      </c>
      <c r="DF71" s="824">
        <f>360/invTurns</f>
        <v>100.4695499</v>
      </c>
      <c r="DG71" s="827">
        <f>360/invTurns</f>
        <v>102.3653972</v>
      </c>
      <c r="DH71" s="824">
        <f>360/invTurns</f>
        <v>99.97931912</v>
      </c>
      <c r="DI71" s="826">
        <f>360/invTurns</f>
        <v>106.1067027</v>
      </c>
      <c r="DJ71" s="827">
        <f>360/invTurns</f>
        <v>101.5217048</v>
      </c>
      <c r="DK71" s="824">
        <f>360/invTurns</f>
        <v>101.0178817</v>
      </c>
      <c r="DL71" s="824">
        <f>360/invTurns</f>
        <v>97.91121564</v>
      </c>
      <c r="DM71" s="827">
        <f>360/invTurns</f>
        <v>87.85598923</v>
      </c>
      <c r="DN71" s="826">
        <f>360/invTurns</f>
        <v>96.31072258</v>
      </c>
      <c r="DO71" s="827">
        <f>360/invTurns</f>
        <v>100.2366609</v>
      </c>
      <c r="DP71" s="827">
        <f>360/invTurns</f>
        <v>118.0986872</v>
      </c>
      <c r="DQ71" s="827">
        <f>360/invTurns</f>
        <v>98.46991767</v>
      </c>
      <c r="DR71" s="827">
        <f>360/invTurns</f>
        <v>94.46164926</v>
      </c>
      <c r="DS71" s="826">
        <f>360/invTurns</f>
        <v>105.5436714</v>
      </c>
      <c r="DT71" s="827">
        <f>360/invTurns</f>
        <v>106.5207373</v>
      </c>
      <c r="DU71" s="827">
        <f>360/invTurns</f>
        <v>87.54039692</v>
      </c>
      <c r="DV71" s="827">
        <f>360/invTurns</f>
        <v>97.13337989</v>
      </c>
      <c r="DW71" s="827">
        <f>360/invTurns</f>
        <v>87.8829664</v>
      </c>
      <c r="DX71" s="826">
        <f>360/invTurns</f>
        <v>88.56283754</v>
      </c>
      <c r="DY71" s="827">
        <f>360/invTurns</f>
        <v>86.61186076</v>
      </c>
      <c r="DZ71" s="827">
        <f>360/invTurns</f>
        <v>94.18753709</v>
      </c>
      <c r="EA71" s="827">
        <f>360/invTurns</f>
        <v>104.4068198</v>
      </c>
      <c r="EB71" s="827">
        <f>360/invTurns</f>
        <v>101.8846517</v>
      </c>
      <c r="EC71" s="826">
        <f>360/invTurns</f>
        <v>110.1809197</v>
      </c>
      <c r="ED71" s="827">
        <f>360/invTurns</f>
        <v>117.9218355</v>
      </c>
      <c r="EE71" s="827">
        <f>360/invTurns</f>
        <v>112.5600986</v>
      </c>
      <c r="EF71" s="827">
        <f>360/invTurns</f>
        <v>131.1814154</v>
      </c>
      <c r="EG71" s="827">
        <f>360/invTurns</f>
        <v>139.3303676</v>
      </c>
      <c r="EH71" s="826">
        <f>360/invTurns</f>
        <v>131.553001</v>
      </c>
      <c r="EI71" s="830">
        <f>360/invTurns</f>
        <v>124.137931</v>
      </c>
      <c r="EJ71" s="824">
        <f>360/invTurns</f>
        <v>124.137931</v>
      </c>
      <c r="EK71" s="824">
        <f>360/invTurns</f>
        <v>120</v>
      </c>
      <c r="EL71" s="824">
        <f>360/invTurns</f>
        <v>112.5</v>
      </c>
      <c r="EM71" s="826" t="str">
        <f>360/invTurns</f>
        <v>#ERROR!</v>
      </c>
      <c r="EN71" s="824">
        <f>360/invTurns</f>
        <v>109.0909091</v>
      </c>
      <c r="EO71" s="824">
        <f>360/invTurns</f>
        <v>109.0909091</v>
      </c>
      <c r="EP71" s="824">
        <f>360/invTurns</f>
        <v>109.0909091</v>
      </c>
      <c r="EQ71" s="824">
        <f>360/invTurns</f>
        <v>109.0909091</v>
      </c>
      <c r="ER71" s="826" t="str">
        <f>360/invTurns</f>
        <v>#ERROR!</v>
      </c>
      <c r="ES71" s="824">
        <f>360/invTurns</f>
        <v>102.8571429</v>
      </c>
      <c r="ET71" s="824">
        <f>360/invTurns</f>
        <v>102.8571429</v>
      </c>
      <c r="EU71" s="824">
        <f>360/invTurns</f>
        <v>97.2972973</v>
      </c>
      <c r="EV71" s="824">
        <f>360/invTurns</f>
        <v>97.2972973</v>
      </c>
      <c r="EW71" s="826" t="str">
        <f>360/invTurns</f>
        <v>#ERROR!</v>
      </c>
      <c r="EX71" s="824">
        <f>360/invTurns</f>
        <v>94.73684211</v>
      </c>
      <c r="EY71" s="824">
        <f>360/invTurns</f>
        <v>94.73684211</v>
      </c>
      <c r="EZ71" s="824">
        <f>360/invTurns</f>
        <v>90</v>
      </c>
      <c r="FA71" s="824">
        <f>360/invTurns</f>
        <v>90</v>
      </c>
      <c r="FB71" s="826" t="str">
        <f>360/invTurns</f>
        <v>#ERROR!</v>
      </c>
      <c r="FC71" s="824">
        <f>360/invTurns</f>
        <v>94.73684211</v>
      </c>
      <c r="FD71" s="824">
        <f>360/invTurns</f>
        <v>94.73684211</v>
      </c>
      <c r="FE71" s="824">
        <f>360/invTurns</f>
        <v>90</v>
      </c>
      <c r="FF71" s="824">
        <f>360/invTurns</f>
        <v>90</v>
      </c>
      <c r="FG71" s="826" t="str">
        <f>360/invTurns</f>
        <v>#ERROR!</v>
      </c>
    </row>
    <row r="72" ht="12.75" customHeight="1">
      <c r="A72" s="179"/>
      <c r="B72" s="180" t="s">
        <v>554</v>
      </c>
      <c r="C72" s="179"/>
      <c r="D72" s="179"/>
      <c r="E72" s="179"/>
      <c r="F72" s="179"/>
      <c r="G72" s="179"/>
      <c r="H72" s="179"/>
      <c r="I72" s="179"/>
      <c r="J72" s="179"/>
      <c r="K72" s="179"/>
      <c r="L72" s="179"/>
      <c r="M72" s="179"/>
      <c r="N72" s="824">
        <f>IF(ISNUMBER(Dates),90,360)*AP/COGS</f>
        <v>43.34667152</v>
      </c>
      <c r="O72" s="824">
        <f>IF(ISNUMBER(Dates),90,360)*AP/COGS</f>
        <v>32.46778989</v>
      </c>
      <c r="P72" s="824">
        <f>IF(ISNUMBER(Dates),90,360)*AP/COGS</f>
        <v>34.14672544</v>
      </c>
      <c r="Q72" s="824">
        <f>IF(ISNUMBER(Dates),90,360)*AP/COGS</f>
        <v>35.70153061</v>
      </c>
      <c r="R72" s="825">
        <f>IF(ISNUMBER(Dates),90,360)*AP/COGS</f>
        <v>37.04831238</v>
      </c>
      <c r="S72" s="824">
        <f>IF(ISNUMBER(Dates),90,360)*AP/COGS</f>
        <v>45.06219765</v>
      </c>
      <c r="T72" s="824">
        <f>IF(ISNUMBER(Dates),90,360)*AP/COGS</f>
        <v>44.47445255</v>
      </c>
      <c r="U72" s="824">
        <f>IF(ISNUMBER(Dates),90,360)*AP/COGS</f>
        <v>46.5763384</v>
      </c>
      <c r="V72" s="824">
        <f>IF(ISNUMBER(Dates),90,360)*AP/COGS</f>
        <v>38.82241814</v>
      </c>
      <c r="W72" s="825">
        <f>IF(ISNUMBER(Dates),90,360)*AP/COGS</f>
        <v>41.66948293</v>
      </c>
      <c r="X72" s="824">
        <f>IF(ISNUMBER(Dates),90,360)*AP/COGS</f>
        <v>52.99431248</v>
      </c>
      <c r="Y72" s="824">
        <f>IF(ISNUMBER(Dates),90,360)*AP/COGS</f>
        <v>53.95065489</v>
      </c>
      <c r="Z72" s="824">
        <f>IF(ISNUMBER(Dates),90,360)*AP/COGS</f>
        <v>67.47141042</v>
      </c>
      <c r="AA72" s="824">
        <f>IF(ISNUMBER(Dates),90,360)*AP/COGS</f>
        <v>66.51083591</v>
      </c>
      <c r="AB72" s="825">
        <f>IF(ISNUMBER(Dates),90,360)*AP/COGS</f>
        <v>67.93043478</v>
      </c>
      <c r="AC72" s="824">
        <f>IF(ISNUMBER(Dates),90,360)*AP/COGS</f>
        <v>66.11162791</v>
      </c>
      <c r="AD72" s="824">
        <f>IF(ISNUMBER(Dates),90,360)*AP/COGS</f>
        <v>55.24644693</v>
      </c>
      <c r="AE72" s="824">
        <f>IF(ISNUMBER(Dates),90,360)*AP/COGS</f>
        <v>45.39262595</v>
      </c>
      <c r="AF72" s="824">
        <f>IF(ISNUMBER(Dates),90,360)*AP/COGS</f>
        <v>46.7989418</v>
      </c>
      <c r="AG72" s="825">
        <f>IF(ISNUMBER(Dates),90,360)*AP/COGS</f>
        <v>47.21880329</v>
      </c>
      <c r="AH72" s="824">
        <f>IF(ISNUMBER(Dates),90,360)*AP/COGS</f>
        <v>52.48409573</v>
      </c>
      <c r="AI72" s="824">
        <f>IF(ISNUMBER(Dates),90,360)*AP/COGS</f>
        <v>44.54328358</v>
      </c>
      <c r="AJ72" s="824">
        <f>IF(ISNUMBER(Dates),90,360)*AP/COGS</f>
        <v>43.79765836</v>
      </c>
      <c r="AK72" s="824">
        <f>IF(ISNUMBER(Dates),90,360)*AP/COGS</f>
        <v>40.08949192</v>
      </c>
      <c r="AL72" s="825">
        <f>IF(ISNUMBER(Dates),90,360)*AP/COGS</f>
        <v>41.31191432</v>
      </c>
      <c r="AM72" s="824">
        <f>IF(ISNUMBER(Dates),90,360)*AP/COGS</f>
        <v>45.31954307</v>
      </c>
      <c r="AN72" s="824">
        <f>IF(ISNUMBER(Dates),90,360)*AP/COGS</f>
        <v>43.09139785</v>
      </c>
      <c r="AO72" s="824">
        <f>IF(ISNUMBER(Dates),90,360)*AP/COGS</f>
        <v>45.53587786</v>
      </c>
      <c r="AP72" s="824">
        <f>IF(ISNUMBER(Dates),90,360)*AP/COGS</f>
        <v>46.90737834</v>
      </c>
      <c r="AQ72" s="825">
        <f>IF(ISNUMBER(Dates),90,360)*AP/COGS</f>
        <v>45.80363302</v>
      </c>
      <c r="AR72" s="824">
        <f>IF(ISNUMBER(Dates),90,360)*AP/COGS</f>
        <v>45.18162061</v>
      </c>
      <c r="AS72" s="824">
        <f>IF(ISNUMBER(Dates),90,360)*AP/COGS</f>
        <v>52.30957479</v>
      </c>
      <c r="AT72" s="824">
        <f>IF(ISNUMBER(Dates),90,360)*AP/COGS</f>
        <v>45.45575693</v>
      </c>
      <c r="AU72" s="824">
        <f>IF(ISNUMBER(Dates),90,360)*AP/COGS</f>
        <v>41.42857143</v>
      </c>
      <c r="AV72" s="825">
        <f>IF(ISNUMBER(Dates),90,360)*AP/COGS</f>
        <v>48.36341008</v>
      </c>
      <c r="AW72" s="824">
        <f>IF(ISNUMBER(Dates),90,360)*AP/COGS</f>
        <v>48.82429614</v>
      </c>
      <c r="AX72" s="824">
        <f>IF(ISNUMBER(Dates),90,360)*AP/COGS</f>
        <v>44.53078451</v>
      </c>
      <c r="AY72" s="824">
        <f>IF(ISNUMBER(Dates),90,360)*AP/COGS</f>
        <v>48.27737603</v>
      </c>
      <c r="AZ72" s="824">
        <f>IF(ISNUMBER(Dates),90,360)*AP/COGS</f>
        <v>51.88669572</v>
      </c>
      <c r="BA72" s="825">
        <f>IF(ISNUMBER(Dates),90,360)*AP/COGS</f>
        <v>51.77719511</v>
      </c>
      <c r="BB72" s="824">
        <f>IF(ISNUMBER(Dates),90,360)*AP/COGS</f>
        <v>54.28821616</v>
      </c>
      <c r="BC72" s="824">
        <f>IF(ISNUMBER(Dates),90,360)*AP/COGS</f>
        <v>58.10838979</v>
      </c>
      <c r="BD72" s="824">
        <f>IF(ISNUMBER(Dates),90,360)*AP/COGS</f>
        <v>48.61417323</v>
      </c>
      <c r="BE72" s="824">
        <f>IF(ISNUMBER(Dates),90,360)*AP/COGS</f>
        <v>41.57248157</v>
      </c>
      <c r="BF72" s="825">
        <f>IF(ISNUMBER(Dates),90,360)*AP/COGS</f>
        <v>47.31764158</v>
      </c>
      <c r="BG72" s="824">
        <f>IF(ISNUMBER(Dates),90,360)*AP/COGS</f>
        <v>46.28280543</v>
      </c>
      <c r="BH72" s="824">
        <f>IF(ISNUMBER(Dates),90,360)*AP/COGS</f>
        <v>42.58631922</v>
      </c>
      <c r="BI72" s="824">
        <f>IF(ISNUMBER(Dates),90,360)*AP/COGS</f>
        <v>43.78277154</v>
      </c>
      <c r="BJ72" s="824">
        <f>IF(ISNUMBER(Dates),90,360)*AP/COGS</f>
        <v>47.36736514</v>
      </c>
      <c r="BK72" s="825">
        <f>IF(ISNUMBER(Dates),90,360)*AP/COGS</f>
        <v>46.40279522</v>
      </c>
      <c r="BL72" s="824">
        <f>IF(ISNUMBER(Dates),90,360)*AP/COGS</f>
        <v>47.11598746</v>
      </c>
      <c r="BM72" s="824">
        <f>IF(ISNUMBER(Dates),90,360)*AP/COGS</f>
        <v>50.7249467</v>
      </c>
      <c r="BN72" s="824">
        <f>IF(ISNUMBER(Dates),90,360)*AP/COGS</f>
        <v>53.74702239</v>
      </c>
      <c r="BO72" s="824">
        <f>IF(ISNUMBER(Dates),90,360)*AP/COGS</f>
        <v>55.76873218</v>
      </c>
      <c r="BP72" s="825">
        <f>IF(ISNUMBER(Dates),90,360)*AP/COGS</f>
        <v>51.39170947</v>
      </c>
      <c r="BQ72" s="824">
        <f>IF(ISNUMBER(Dates),90,360)*AP/COGS</f>
        <v>38.4463783</v>
      </c>
      <c r="BR72" s="824">
        <f>IF(ISNUMBER(Dates),90,360)*AP/COGS</f>
        <v>39.37642586</v>
      </c>
      <c r="BS72" s="824">
        <f>IF(ISNUMBER(Dates),90,360)*AP/COGS</f>
        <v>43.06900878</v>
      </c>
      <c r="BT72" s="824">
        <f>IF(ISNUMBER(Dates),90,360)*AP/COGS</f>
        <v>45.4465004</v>
      </c>
      <c r="BU72" s="825">
        <f>IF(ISNUMBER(Dates),90,360)*AP/COGS</f>
        <v>43.54876012</v>
      </c>
      <c r="BV72" s="824">
        <f>IF(ISNUMBER(Dates),90,360)*AP/COGS</f>
        <v>45.64456233</v>
      </c>
      <c r="BW72" s="824">
        <f>IF(ISNUMBER(Dates),90,360)*AP/COGS</f>
        <v>54.20396601</v>
      </c>
      <c r="BX72" s="824">
        <f>IF(ISNUMBER(Dates),90,360)*AP/COGS</f>
        <v>45.29754033</v>
      </c>
      <c r="BY72" s="824">
        <f>IF(ISNUMBER(Dates),90,360)*AP/COGS</f>
        <v>50.87632683</v>
      </c>
      <c r="BZ72" s="825">
        <f>IF(ISNUMBER(Dates),90,360)*AP/COGS</f>
        <v>54.48057098</v>
      </c>
      <c r="CA72" s="824">
        <f>IF(ISNUMBER(Dates),90,360)*AP/COGS</f>
        <v>50.00604595</v>
      </c>
      <c r="CB72" s="824">
        <f>IF(ISNUMBER(Dates),90,360)*AP/COGS</f>
        <v>48.10526316</v>
      </c>
      <c r="CC72" s="824">
        <f>IF(ISNUMBER(Dates),90,360)*AP/COGS</f>
        <v>51.75647172</v>
      </c>
      <c r="CD72" s="824">
        <f>IF(ISNUMBER(Dates),90,360)*AP/COGS</f>
        <v>53.90881459</v>
      </c>
      <c r="CE72" s="825">
        <f>IF(ISNUMBER(Dates),90,360)*AP/COGS</f>
        <v>52.57188025</v>
      </c>
      <c r="CF72" s="824">
        <f>IF(ISNUMBER(Dates),90,360)*AP/COGS</f>
        <v>58.04137039</v>
      </c>
      <c r="CG72" s="824">
        <f>IF(ISNUMBER(Dates),90,360)*AP/COGS</f>
        <v>59.47240752</v>
      </c>
      <c r="CH72" s="824">
        <f>IF(ISNUMBER(Dates),90,360)*AP/COGS</f>
        <v>58.05746661</v>
      </c>
      <c r="CI72" s="824">
        <f>IF(ISNUMBER(Dates),90,360)*AP/COGS</f>
        <v>48.06890459</v>
      </c>
      <c r="CJ72" s="825">
        <f>IF(ISNUMBER(Dates),90,360)*AP/COGS</f>
        <v>53.90193165</v>
      </c>
      <c r="CK72" s="824">
        <f>IF(ISNUMBER(Dates),90,360)*AP/COGS</f>
        <v>43.31882481</v>
      </c>
      <c r="CL72" s="824">
        <f>IF(ISNUMBER(Dates),90,360)*AP/COGS</f>
        <v>48.26062535</v>
      </c>
      <c r="CM72" s="824">
        <f>IF(ISNUMBER(Dates),90,360)*AP/COGS</f>
        <v>53.19392385</v>
      </c>
      <c r="CN72" s="824">
        <f>IF(ISNUMBER(Dates),90,360)*AP/COGS</f>
        <v>50.77142314</v>
      </c>
      <c r="CO72" s="825">
        <f>IF(ISNUMBER(Dates),90,360)*AP/COGS</f>
        <v>50.44791618</v>
      </c>
      <c r="CP72" s="824">
        <f>IF(ISNUMBER(Dates),90,360)*AP/COGS</f>
        <v>52.72479564</v>
      </c>
      <c r="CQ72" s="824">
        <f>IF(ISNUMBER(Dates),90,360)*AP/COGS</f>
        <v>54.21245421</v>
      </c>
      <c r="CR72" s="824">
        <f>IF(ISNUMBER(Dates),90,360)*AP/COGS</f>
        <v>45.86538462</v>
      </c>
      <c r="CS72" s="824">
        <f>IF(ISNUMBER(Dates),90,360)*AP/COGS</f>
        <v>48.49411765</v>
      </c>
      <c r="CT72" s="825">
        <f>IF(ISNUMBER(Dates),90,360)*AP/COGS</f>
        <v>48.85815883</v>
      </c>
      <c r="CU72" s="824">
        <v>52.0</v>
      </c>
      <c r="CV72" s="824">
        <f>IF(ISNUMBER(Dates),90,360)*AP/COGS</f>
        <v>42.91691935</v>
      </c>
      <c r="CW72" s="824">
        <f>IF(ISNUMBER(Dates),90,360)*AP/COGS</f>
        <v>41.16735151</v>
      </c>
      <c r="CX72" s="824">
        <f>IF(ISNUMBER(Dates),90,360)*AP/COGS</f>
        <v>34.87415477</v>
      </c>
      <c r="CY72" s="826">
        <f>IF(ISNUMBER(Dates),90,360)*AP/COGS</f>
        <v>35.91990714</v>
      </c>
      <c r="CZ72" s="824">
        <f>IF(ISNUMBER(Dates),90,360)*AP/COGS</f>
        <v>51.08937545</v>
      </c>
      <c r="DA72" s="824">
        <f>IF(ISNUMBER(Dates),90,360)*AP/COGS</f>
        <v>55.35971223</v>
      </c>
      <c r="DB72" s="824">
        <f>IF(ISNUMBER(Dates),90,360)*AP/COGS</f>
        <v>49.40293356</v>
      </c>
      <c r="DC72" s="824">
        <f>IF(ISNUMBER(Dates),90,360)*AP/COGS</f>
        <v>35.53198277</v>
      </c>
      <c r="DD72" s="826">
        <f>IF(ISNUMBER(Dates),90,360)*AP/COGS</f>
        <v>38.41179514</v>
      </c>
      <c r="DE72" s="824">
        <f>IF(ISNUMBER(Dates),90,360)*AP/COGS</f>
        <v>51.31704727</v>
      </c>
      <c r="DF72" s="824">
        <f>IF(ISNUMBER(Dates),90,360)*AP/COGS</f>
        <v>58.32127096</v>
      </c>
      <c r="DG72" s="824">
        <f>IF(ISNUMBER(Dates),90,360)*AP/COGS</f>
        <v>52.50492449</v>
      </c>
      <c r="DH72" s="824">
        <f>IF(ISNUMBER(Dates),90,360)*AP/COGS</f>
        <v>41.92173083</v>
      </c>
      <c r="DI72" s="826">
        <f>IF(ISNUMBER(Dates),90,360)*AP/COGS</f>
        <v>44.49096742</v>
      </c>
      <c r="DJ72" s="824">
        <f>IF(ISNUMBER(Dates),90,360)*AP/COGS</f>
        <v>62.72296764</v>
      </c>
      <c r="DK72" s="824">
        <f>IF(ISNUMBER(Dates),90,360)*AP/COGS</f>
        <v>56.98762036</v>
      </c>
      <c r="DL72" s="824">
        <f>IF(ISNUMBER(Dates),90,360)*AP/COGS</f>
        <v>47.53344113</v>
      </c>
      <c r="DM72" s="824">
        <f>IF(ISNUMBER(Dates),90,360)*AP/COGS</f>
        <v>46.32032301</v>
      </c>
      <c r="DN72" s="826">
        <f>IF(ISNUMBER(Dates),90,360)*AP/COGS</f>
        <v>50.77791302</v>
      </c>
      <c r="DO72" s="824">
        <f>IF(ISNUMBER(Dates),90,360)*AP/COGS</f>
        <v>52.39672978</v>
      </c>
      <c r="DP72" s="824">
        <f>IF(ISNUMBER(Dates),90,360)*AP/COGS</f>
        <v>63.58533273</v>
      </c>
      <c r="DQ72" s="827">
        <f>IF(ISNUMBER(Dates),90,360)*AP/COGS</f>
        <v>54.82077264</v>
      </c>
      <c r="DR72" s="827">
        <f>IF(ISNUMBER(Dates),90,360)*AP/COGS</f>
        <v>44.59488657</v>
      </c>
      <c r="DS72" s="826">
        <f>IF(ISNUMBER(Dates),90,360)*AP/COGS</f>
        <v>49.82665549</v>
      </c>
      <c r="DT72" s="827">
        <f>IF(ISNUMBER(Dates),90,360)*AP/COGS</f>
        <v>53.43317972</v>
      </c>
      <c r="DU72" s="827">
        <f>IF(ISNUMBER(Dates),90,360)*AP/COGS</f>
        <v>49.24086325</v>
      </c>
      <c r="DV72" s="827">
        <f>IF(ISNUMBER(Dates),90,360)*AP/COGS</f>
        <v>54.03980447</v>
      </c>
      <c r="DW72" s="827">
        <f>IF(ISNUMBER(Dates),90,360)*AP/COGS</f>
        <v>58.202781</v>
      </c>
      <c r="DX72" s="826">
        <f>IF(ISNUMBER(Dates),90,360)*AP/COGS</f>
        <v>58.65304335</v>
      </c>
      <c r="DY72" s="827">
        <f>IF(ISNUMBER(Dates),90,360)*AP/COGS</f>
        <v>55.45526704</v>
      </c>
      <c r="DZ72" s="827">
        <f>IF(ISNUMBER(Dates),90,360)*AP/COGS</f>
        <v>63.20830861</v>
      </c>
      <c r="EA72" s="827">
        <f>IF(ISNUMBER(Dates),90,360)*AP/COGS</f>
        <v>72.3750888</v>
      </c>
      <c r="EB72" s="827">
        <f>IF(ISNUMBER(Dates),90,360)*AP/COGS</f>
        <v>54.33658998</v>
      </c>
      <c r="EC72" s="826">
        <f>IF(ISNUMBER(Dates),90,360)*AP/COGS</f>
        <v>58.76111222</v>
      </c>
      <c r="ED72" s="827">
        <f>IF(ISNUMBER(Dates),90,360)*AP/COGS</f>
        <v>71.2372379</v>
      </c>
      <c r="EE72" s="827">
        <f>IF(ISNUMBER(Dates),90,360)*AP/COGS</f>
        <v>73.45900966</v>
      </c>
      <c r="EF72" s="827">
        <f>IF(ISNUMBER(Dates),90,360)*AP/COGS</f>
        <v>72.92627513</v>
      </c>
      <c r="EG72" s="827">
        <f>IF(ISNUMBER(Dates),90,360)*AP/COGS</f>
        <v>101.0945914</v>
      </c>
      <c r="EH72" s="826">
        <f>IF(ISNUMBER(Dates),90,360)*AP/COGS</f>
        <v>95.45153089</v>
      </c>
      <c r="EI72" s="828">
        <v>80.0</v>
      </c>
      <c r="EJ72" s="829">
        <v>80.0</v>
      </c>
      <c r="EK72" s="829">
        <v>80.0</v>
      </c>
      <c r="EL72" s="829">
        <v>80.0</v>
      </c>
      <c r="EM72" s="826" t="str">
        <f>IF(ISNUMBER(Dates),90,360)*AP/COGS</f>
        <v>#ERROR!</v>
      </c>
      <c r="EN72" s="829">
        <v>70.0</v>
      </c>
      <c r="EO72" s="829">
        <f t="shared" ref="EO72:EQ72" si="564">EN72</f>
        <v>70</v>
      </c>
      <c r="EP72" s="829">
        <f t="shared" si="564"/>
        <v>70</v>
      </c>
      <c r="EQ72" s="829">
        <f t="shared" si="564"/>
        <v>70</v>
      </c>
      <c r="ER72" s="826" t="str">
        <f>IF(ISNUMBER(Dates),90,360)*AP/COGS</f>
        <v>#ERROR!</v>
      </c>
      <c r="ES72" s="829">
        <f>EQ72</f>
        <v>70</v>
      </c>
      <c r="ET72" s="829">
        <f t="shared" ref="ET72:EV72" si="565">ES72</f>
        <v>70</v>
      </c>
      <c r="EU72" s="829">
        <f t="shared" si="565"/>
        <v>70</v>
      </c>
      <c r="EV72" s="829">
        <f t="shared" si="565"/>
        <v>70</v>
      </c>
      <c r="EW72" s="826" t="str">
        <f>IF(ISNUMBER(Dates),90,360)*AP/COGS</f>
        <v>#ERROR!</v>
      </c>
      <c r="EX72" s="829">
        <f>EV72</f>
        <v>70</v>
      </c>
      <c r="EY72" s="829">
        <f t="shared" ref="EY72:FA72" si="566">EX72</f>
        <v>70</v>
      </c>
      <c r="EZ72" s="829">
        <f t="shared" si="566"/>
        <v>70</v>
      </c>
      <c r="FA72" s="829">
        <f t="shared" si="566"/>
        <v>70</v>
      </c>
      <c r="FB72" s="826" t="str">
        <f>IF(ISNUMBER(Dates),90,360)*AP/COGS</f>
        <v>#ERROR!</v>
      </c>
      <c r="FC72" s="829">
        <f>FA72</f>
        <v>70</v>
      </c>
      <c r="FD72" s="829">
        <f t="shared" ref="FD72:FF72" si="567">FC72</f>
        <v>70</v>
      </c>
      <c r="FE72" s="829">
        <f t="shared" si="567"/>
        <v>70</v>
      </c>
      <c r="FF72" s="829">
        <f t="shared" si="567"/>
        <v>70</v>
      </c>
      <c r="FG72" s="826" t="str">
        <f>IF(ISNUMBER(Dates),90,360)*AP/COGS</f>
        <v>#ERROR!</v>
      </c>
    </row>
    <row r="73" ht="12.75" customHeight="1">
      <c r="A73" s="179"/>
      <c r="B73" s="180" t="s">
        <v>555</v>
      </c>
      <c r="C73" s="179"/>
      <c r="D73" s="179"/>
      <c r="E73" s="179"/>
      <c r="F73" s="179"/>
      <c r="G73" s="179"/>
      <c r="H73" s="179"/>
      <c r="I73" s="179"/>
      <c r="J73" s="179"/>
      <c r="K73" s="179"/>
      <c r="L73" s="179"/>
      <c r="M73" s="179"/>
      <c r="N73" s="824">
        <f t="shared" ref="N73:FG73" si="568">+N69+N71-N72</f>
        <v>62.6436427</v>
      </c>
      <c r="O73" s="824">
        <f t="shared" si="568"/>
        <v>65.634023</v>
      </c>
      <c r="P73" s="824">
        <f t="shared" si="568"/>
        <v>59.18674667</v>
      </c>
      <c r="Q73" s="824">
        <f t="shared" si="568"/>
        <v>51.39056243</v>
      </c>
      <c r="R73" s="825">
        <f t="shared" si="568"/>
        <v>58.39412257</v>
      </c>
      <c r="S73" s="824">
        <f t="shared" si="568"/>
        <v>50.10865738</v>
      </c>
      <c r="T73" s="824">
        <f t="shared" si="568"/>
        <v>56.99345273</v>
      </c>
      <c r="U73" s="824">
        <f t="shared" si="568"/>
        <v>44.69665194</v>
      </c>
      <c r="V73" s="824">
        <f t="shared" si="568"/>
        <v>43.61086743</v>
      </c>
      <c r="W73" s="825">
        <f t="shared" si="568"/>
        <v>48.60797361</v>
      </c>
      <c r="X73" s="824">
        <f t="shared" si="568"/>
        <v>34.69911675</v>
      </c>
      <c r="Y73" s="824">
        <f t="shared" si="568"/>
        <v>37.08790116</v>
      </c>
      <c r="Z73" s="824">
        <f t="shared" si="568"/>
        <v>35.02725614</v>
      </c>
      <c r="AA73" s="824">
        <f t="shared" si="568"/>
        <v>38.63586464</v>
      </c>
      <c r="AB73" s="825">
        <f t="shared" si="568"/>
        <v>39.91906747</v>
      </c>
      <c r="AC73" s="824">
        <f t="shared" si="568"/>
        <v>54.15797096</v>
      </c>
      <c r="AD73" s="824">
        <f t="shared" si="568"/>
        <v>62.92616374</v>
      </c>
      <c r="AE73" s="824">
        <f t="shared" si="568"/>
        <v>56.00402075</v>
      </c>
      <c r="AF73" s="824">
        <f t="shared" si="568"/>
        <v>46.40440465</v>
      </c>
      <c r="AG73" s="825">
        <f t="shared" si="568"/>
        <v>48.2829115</v>
      </c>
      <c r="AH73" s="824">
        <f t="shared" si="568"/>
        <v>53.39604606</v>
      </c>
      <c r="AI73" s="824">
        <f t="shared" si="568"/>
        <v>64.158927</v>
      </c>
      <c r="AJ73" s="824">
        <f t="shared" si="568"/>
        <v>65.98073033</v>
      </c>
      <c r="AK73" s="824">
        <f t="shared" si="568"/>
        <v>51.39920588</v>
      </c>
      <c r="AL73" s="825">
        <f t="shared" si="568"/>
        <v>54.24779475</v>
      </c>
      <c r="AM73" s="824">
        <f t="shared" si="568"/>
        <v>54.32427263</v>
      </c>
      <c r="AN73" s="824">
        <f t="shared" si="568"/>
        <v>52.39010677</v>
      </c>
      <c r="AO73" s="824">
        <f t="shared" si="568"/>
        <v>53.41076888</v>
      </c>
      <c r="AP73" s="824">
        <f t="shared" si="568"/>
        <v>54.75021754</v>
      </c>
      <c r="AQ73" s="825">
        <f t="shared" si="568"/>
        <v>59.05583743</v>
      </c>
      <c r="AR73" s="824">
        <f t="shared" si="568"/>
        <v>70.47377489</v>
      </c>
      <c r="AS73" s="824">
        <f t="shared" si="568"/>
        <v>72.01473949</v>
      </c>
      <c r="AT73" s="824">
        <f t="shared" si="568"/>
        <v>65.52312398</v>
      </c>
      <c r="AU73" s="824">
        <f t="shared" si="568"/>
        <v>42.57777362</v>
      </c>
      <c r="AV73" s="825">
        <f t="shared" si="568"/>
        <v>48.43628253</v>
      </c>
      <c r="AW73" s="824">
        <f t="shared" si="568"/>
        <v>47.83274693</v>
      </c>
      <c r="AX73" s="824">
        <f t="shared" si="568"/>
        <v>50.28548132</v>
      </c>
      <c r="AY73" s="824">
        <f t="shared" si="568"/>
        <v>51.0213955</v>
      </c>
      <c r="AZ73" s="824">
        <f t="shared" si="568"/>
        <v>54.76518216</v>
      </c>
      <c r="BA73" s="825">
        <f t="shared" si="568"/>
        <v>56.48171875</v>
      </c>
      <c r="BB73" s="824">
        <f t="shared" si="568"/>
        <v>65.41207248</v>
      </c>
      <c r="BC73" s="824">
        <f t="shared" si="568"/>
        <v>79.18809227</v>
      </c>
      <c r="BD73" s="824">
        <f t="shared" si="568"/>
        <v>76.61665</v>
      </c>
      <c r="BE73" s="824">
        <f t="shared" si="568"/>
        <v>63.07444155</v>
      </c>
      <c r="BF73" s="825">
        <f t="shared" si="568"/>
        <v>70.72793117</v>
      </c>
      <c r="BG73" s="824">
        <f t="shared" si="568"/>
        <v>70.88244597</v>
      </c>
      <c r="BH73" s="824">
        <f t="shared" si="568"/>
        <v>64.3147488</v>
      </c>
      <c r="BI73" s="824">
        <f t="shared" si="568"/>
        <v>48.6334562</v>
      </c>
      <c r="BJ73" s="824">
        <f t="shared" si="568"/>
        <v>41.88599533</v>
      </c>
      <c r="BK73" s="825">
        <f t="shared" si="568"/>
        <v>44.02233759</v>
      </c>
      <c r="BL73" s="824">
        <f t="shared" si="568"/>
        <v>44.17629063</v>
      </c>
      <c r="BM73" s="824">
        <f t="shared" si="568"/>
        <v>41.69062442</v>
      </c>
      <c r="BN73" s="824">
        <f t="shared" si="568"/>
        <v>43.21177028</v>
      </c>
      <c r="BO73" s="824">
        <f t="shared" si="568"/>
        <v>50.32535689</v>
      </c>
      <c r="BP73" s="825">
        <f t="shared" si="568"/>
        <v>45.51239595</v>
      </c>
      <c r="BQ73" s="824">
        <f t="shared" si="568"/>
        <v>57.97267147</v>
      </c>
      <c r="BR73" s="824">
        <f t="shared" si="568"/>
        <v>46.35325772</v>
      </c>
      <c r="BS73" s="824">
        <f t="shared" si="568"/>
        <v>32.57788867</v>
      </c>
      <c r="BT73" s="824">
        <f t="shared" si="568"/>
        <v>44.74584782</v>
      </c>
      <c r="BU73" s="825">
        <f t="shared" si="568"/>
        <v>47.62485125</v>
      </c>
      <c r="BV73" s="824">
        <f t="shared" si="568"/>
        <v>44.79451509</v>
      </c>
      <c r="BW73" s="824">
        <f t="shared" si="568"/>
        <v>51.39515848</v>
      </c>
      <c r="BX73" s="824">
        <f t="shared" si="568"/>
        <v>59.77935525</v>
      </c>
      <c r="BY73" s="824">
        <f t="shared" si="568"/>
        <v>55.11355512</v>
      </c>
      <c r="BZ73" s="825">
        <f t="shared" si="568"/>
        <v>58.5608682</v>
      </c>
      <c r="CA73" s="824">
        <f t="shared" si="568"/>
        <v>49.15456669</v>
      </c>
      <c r="CB73" s="824">
        <f t="shared" si="568"/>
        <v>45.79400504</v>
      </c>
      <c r="CC73" s="824">
        <f t="shared" si="568"/>
        <v>40.72904925</v>
      </c>
      <c r="CD73" s="824">
        <f t="shared" si="568"/>
        <v>44.44549067</v>
      </c>
      <c r="CE73" s="825">
        <f t="shared" si="568"/>
        <v>44.60846037</v>
      </c>
      <c r="CF73" s="824">
        <f t="shared" si="568"/>
        <v>57.16301133</v>
      </c>
      <c r="CG73" s="824">
        <f t="shared" si="568"/>
        <v>53.37021685</v>
      </c>
      <c r="CH73" s="824">
        <f t="shared" si="568"/>
        <v>65.14539709</v>
      </c>
      <c r="CI73" s="824">
        <f t="shared" si="568"/>
        <v>52.80365672</v>
      </c>
      <c r="CJ73" s="825">
        <f t="shared" si="568"/>
        <v>56.37720369</v>
      </c>
      <c r="CK73" s="824">
        <f t="shared" si="568"/>
        <v>53.11013734</v>
      </c>
      <c r="CL73" s="824">
        <f t="shared" si="568"/>
        <v>52.68119277</v>
      </c>
      <c r="CM73" s="824">
        <f t="shared" si="568"/>
        <v>52.11400013</v>
      </c>
      <c r="CN73" s="824">
        <f t="shared" si="568"/>
        <v>43.87537241</v>
      </c>
      <c r="CO73" s="825">
        <f t="shared" si="568"/>
        <v>44.90619266</v>
      </c>
      <c r="CP73" s="824">
        <f t="shared" si="568"/>
        <v>37.90399667</v>
      </c>
      <c r="CQ73" s="824">
        <f t="shared" si="568"/>
        <v>40.70701056</v>
      </c>
      <c r="CR73" s="824">
        <f t="shared" si="568"/>
        <v>49.36182504</v>
      </c>
      <c r="CS73" s="824">
        <f t="shared" si="568"/>
        <v>53.97718146</v>
      </c>
      <c r="CT73" s="825">
        <f t="shared" si="568"/>
        <v>55.63929465</v>
      </c>
      <c r="CU73" s="824">
        <f t="shared" si="568"/>
        <v>49.57841174</v>
      </c>
      <c r="CV73" s="824">
        <f t="shared" si="568"/>
        <v>71.06435836</v>
      </c>
      <c r="CW73" s="824">
        <f t="shared" si="568"/>
        <v>67.80968553</v>
      </c>
      <c r="CX73" s="824">
        <f t="shared" si="568"/>
        <v>81.35944806</v>
      </c>
      <c r="CY73" s="826">
        <f t="shared" si="568"/>
        <v>85.17741693</v>
      </c>
      <c r="CZ73" s="824">
        <f t="shared" si="568"/>
        <v>69.29552635</v>
      </c>
      <c r="DA73" s="824">
        <f t="shared" si="568"/>
        <v>67.959895</v>
      </c>
      <c r="DB73" s="824">
        <f t="shared" si="568"/>
        <v>68.65762498</v>
      </c>
      <c r="DC73" s="824">
        <f t="shared" si="568"/>
        <v>69.96753935</v>
      </c>
      <c r="DD73" s="826">
        <f t="shared" si="568"/>
        <v>76.1534542</v>
      </c>
      <c r="DE73" s="824">
        <f t="shared" si="568"/>
        <v>71.03771031</v>
      </c>
      <c r="DF73" s="824">
        <f t="shared" si="568"/>
        <v>75.05012812</v>
      </c>
      <c r="DG73" s="827">
        <f t="shared" si="568"/>
        <v>83.04271314</v>
      </c>
      <c r="DH73" s="824">
        <f t="shared" si="568"/>
        <v>87.64944896</v>
      </c>
      <c r="DI73" s="826">
        <f t="shared" si="568"/>
        <v>93.77774671</v>
      </c>
      <c r="DJ73" s="827">
        <f t="shared" si="568"/>
        <v>66.13036919</v>
      </c>
      <c r="DK73" s="824">
        <f t="shared" si="568"/>
        <v>68.62877567</v>
      </c>
      <c r="DL73" s="824">
        <f t="shared" si="568"/>
        <v>76.00685138</v>
      </c>
      <c r="DM73" s="827">
        <f t="shared" si="568"/>
        <v>73.96210134</v>
      </c>
      <c r="DN73" s="826">
        <f t="shared" si="568"/>
        <v>79.68931363</v>
      </c>
      <c r="DO73" s="827">
        <f t="shared" si="568"/>
        <v>86.82442776</v>
      </c>
      <c r="DP73" s="827">
        <f t="shared" si="568"/>
        <v>88.50123692</v>
      </c>
      <c r="DQ73" s="827">
        <f t="shared" si="568"/>
        <v>75.91595066</v>
      </c>
      <c r="DR73" s="827">
        <f t="shared" si="568"/>
        <v>83.97582301</v>
      </c>
      <c r="DS73" s="826">
        <f t="shared" si="568"/>
        <v>94.0306406</v>
      </c>
      <c r="DT73" s="827">
        <f t="shared" si="568"/>
        <v>91.46510451</v>
      </c>
      <c r="DU73" s="827">
        <f t="shared" si="568"/>
        <v>72.24570156</v>
      </c>
      <c r="DV73" s="827">
        <f t="shared" si="568"/>
        <v>78.14512181</v>
      </c>
      <c r="DW73" s="827">
        <f t="shared" si="568"/>
        <v>60.23279327</v>
      </c>
      <c r="DX73" s="826">
        <f t="shared" si="568"/>
        <v>61.26479695</v>
      </c>
      <c r="DY73" s="827">
        <f t="shared" si="568"/>
        <v>66.09788425</v>
      </c>
      <c r="DZ73" s="827">
        <f t="shared" si="568"/>
        <v>67.20649876</v>
      </c>
      <c r="EA73" s="827">
        <f t="shared" si="568"/>
        <v>73.82970744</v>
      </c>
      <c r="EB73" s="827">
        <f t="shared" si="568"/>
        <v>91.12424445</v>
      </c>
      <c r="EC73" s="826">
        <f t="shared" si="568"/>
        <v>96.98473155</v>
      </c>
      <c r="ED73" s="827">
        <f t="shared" si="568"/>
        <v>81.37429416</v>
      </c>
      <c r="EE73" s="827">
        <f t="shared" si="568"/>
        <v>74.71691039</v>
      </c>
      <c r="EF73" s="827">
        <f t="shared" si="568"/>
        <v>102.0815844</v>
      </c>
      <c r="EG73" s="827">
        <f t="shared" si="568"/>
        <v>64.72559243</v>
      </c>
      <c r="EH73" s="826">
        <f t="shared" si="568"/>
        <v>59.69838703</v>
      </c>
      <c r="EI73" s="830">
        <f t="shared" si="568"/>
        <v>74.13793103</v>
      </c>
      <c r="EJ73" s="824">
        <f t="shared" si="568"/>
        <v>74.13793103</v>
      </c>
      <c r="EK73" s="824">
        <f t="shared" si="568"/>
        <v>70</v>
      </c>
      <c r="EL73" s="824">
        <f t="shared" si="568"/>
        <v>62.5</v>
      </c>
      <c r="EM73" s="826" t="str">
        <f t="shared" si="568"/>
        <v>#ERROR!</v>
      </c>
      <c r="EN73" s="824">
        <f t="shared" si="568"/>
        <v>74.09090909</v>
      </c>
      <c r="EO73" s="824">
        <f t="shared" si="568"/>
        <v>74.09090909</v>
      </c>
      <c r="EP73" s="824">
        <f t="shared" si="568"/>
        <v>74.09090909</v>
      </c>
      <c r="EQ73" s="824">
        <f t="shared" si="568"/>
        <v>74.09090909</v>
      </c>
      <c r="ER73" s="826" t="str">
        <f t="shared" si="568"/>
        <v>#ERROR!</v>
      </c>
      <c r="ES73" s="824">
        <f t="shared" si="568"/>
        <v>65.85714286</v>
      </c>
      <c r="ET73" s="824">
        <f t="shared" si="568"/>
        <v>65.85714286</v>
      </c>
      <c r="EU73" s="824">
        <f t="shared" si="568"/>
        <v>60.2972973</v>
      </c>
      <c r="EV73" s="824">
        <f t="shared" si="568"/>
        <v>60.2972973</v>
      </c>
      <c r="EW73" s="826" t="str">
        <f t="shared" si="568"/>
        <v>#ERROR!</v>
      </c>
      <c r="EX73" s="824">
        <f t="shared" si="568"/>
        <v>55.73684211</v>
      </c>
      <c r="EY73" s="824">
        <f t="shared" si="568"/>
        <v>55.73684211</v>
      </c>
      <c r="EZ73" s="824">
        <f t="shared" si="568"/>
        <v>51</v>
      </c>
      <c r="FA73" s="824">
        <f t="shared" si="568"/>
        <v>51</v>
      </c>
      <c r="FB73" s="826" t="str">
        <f t="shared" si="568"/>
        <v>#ERROR!</v>
      </c>
      <c r="FC73" s="824">
        <f t="shared" si="568"/>
        <v>55.73684211</v>
      </c>
      <c r="FD73" s="824">
        <f t="shared" si="568"/>
        <v>55.73684211</v>
      </c>
      <c r="FE73" s="824">
        <f t="shared" si="568"/>
        <v>51</v>
      </c>
      <c r="FF73" s="824">
        <f t="shared" si="568"/>
        <v>51</v>
      </c>
      <c r="FG73" s="826" t="str">
        <f t="shared" si="568"/>
        <v>#ERROR!</v>
      </c>
    </row>
    <row r="74" ht="12.75" hidden="1" customHeight="1" outlineLevel="1">
      <c r="A74" s="4"/>
      <c r="B74" s="180" t="s">
        <v>556</v>
      </c>
      <c r="C74" s="179"/>
      <c r="D74" s="179"/>
      <c r="E74" s="179"/>
      <c r="F74" s="179"/>
      <c r="G74" s="179"/>
      <c r="H74" s="179"/>
      <c r="I74" s="179"/>
      <c r="J74" s="179"/>
      <c r="K74" s="179"/>
      <c r="L74" s="179"/>
      <c r="M74" s="179"/>
      <c r="N74" s="128"/>
      <c r="O74" s="128"/>
      <c r="P74" s="128"/>
      <c r="Q74" s="128"/>
      <c r="R74" s="825"/>
      <c r="S74" s="824"/>
      <c r="T74" s="824"/>
      <c r="U74" s="824"/>
      <c r="V74" s="824"/>
      <c r="W74" s="825"/>
      <c r="X74" s="824"/>
      <c r="Y74" s="824"/>
      <c r="Z74" s="824"/>
      <c r="AA74" s="824"/>
      <c r="AB74" s="825"/>
      <c r="AC74" s="824"/>
      <c r="AD74" s="824"/>
      <c r="AE74" s="824"/>
      <c r="AF74" s="824">
        <v>83.4</v>
      </c>
      <c r="AG74" s="831"/>
      <c r="AH74" s="832"/>
      <c r="AI74" s="832"/>
      <c r="AJ74" s="832">
        <v>81.7</v>
      </c>
      <c r="AK74" s="832">
        <v>78.7</v>
      </c>
      <c r="AL74" s="831"/>
      <c r="AM74" s="824"/>
      <c r="AN74" s="824">
        <v>78.7</v>
      </c>
      <c r="AO74" s="824">
        <v>79.1</v>
      </c>
      <c r="AP74" s="824">
        <v>79.7</v>
      </c>
      <c r="AQ74" s="825"/>
      <c r="AR74" s="824">
        <v>80.5</v>
      </c>
      <c r="AS74" s="824">
        <v>81.7</v>
      </c>
      <c r="AT74" s="824">
        <v>84.2</v>
      </c>
      <c r="AU74" s="824">
        <v>85.0</v>
      </c>
      <c r="AV74" s="825">
        <f>AU74</f>
        <v>85</v>
      </c>
      <c r="AW74" s="824"/>
      <c r="AX74" s="824"/>
      <c r="AY74" s="824"/>
      <c r="AZ74" s="824"/>
      <c r="BA74" s="825"/>
      <c r="BB74" s="824"/>
      <c r="BC74" s="824"/>
      <c r="BD74" s="824"/>
      <c r="BE74" s="824"/>
      <c r="BF74" s="825"/>
      <c r="BG74" s="824"/>
      <c r="BH74" s="824"/>
      <c r="BI74" s="824"/>
      <c r="BJ74" s="824"/>
      <c r="BK74" s="825"/>
      <c r="BL74" s="824"/>
      <c r="BM74" s="824"/>
      <c r="BN74" s="824"/>
      <c r="BO74" s="824"/>
      <c r="BP74" s="825"/>
      <c r="BQ74" s="824"/>
      <c r="BR74" s="824"/>
      <c r="BS74" s="824"/>
      <c r="BT74" s="824"/>
      <c r="BU74" s="825"/>
      <c r="BV74" s="824"/>
      <c r="BW74" s="824"/>
      <c r="BX74" s="824"/>
      <c r="BY74" s="824"/>
      <c r="BZ74" s="825"/>
      <c r="CA74" s="824"/>
      <c r="CB74" s="824"/>
      <c r="CC74" s="824"/>
      <c r="CD74" s="824"/>
      <c r="CE74" s="825"/>
      <c r="CF74" s="824"/>
      <c r="CG74" s="824"/>
      <c r="CH74" s="824"/>
      <c r="CI74" s="824"/>
      <c r="CJ74" s="825"/>
      <c r="CK74" s="824"/>
      <c r="CL74" s="824"/>
      <c r="CM74" s="824"/>
      <c r="CN74" s="824">
        <v>107.6</v>
      </c>
      <c r="CO74" s="825">
        <f>CN74</f>
        <v>107.6</v>
      </c>
      <c r="CP74" s="824"/>
      <c r="CQ74" s="824">
        <v>105.0</v>
      </c>
      <c r="CR74" s="824">
        <v>105.6</v>
      </c>
      <c r="CS74" s="824">
        <v>106.7</v>
      </c>
      <c r="CT74" s="825">
        <f>CS74</f>
        <v>106.7</v>
      </c>
      <c r="CU74" s="824">
        <v>106.4</v>
      </c>
      <c r="CV74" s="824">
        <v>105.0</v>
      </c>
      <c r="CW74" s="824">
        <v>106.5</v>
      </c>
      <c r="CX74" s="824">
        <v>107.3</v>
      </c>
      <c r="CY74" s="826">
        <f>CX74</f>
        <v>107.3</v>
      </c>
      <c r="CZ74" s="824">
        <v>106.0</v>
      </c>
      <c r="DA74" s="824">
        <v>106.5</v>
      </c>
      <c r="DB74" s="824">
        <v>105.6</v>
      </c>
      <c r="DC74" s="824">
        <v>106.0</v>
      </c>
      <c r="DD74" s="826">
        <f>DC74</f>
        <v>106</v>
      </c>
      <c r="DE74" s="824">
        <v>106.9</v>
      </c>
      <c r="DF74" s="824">
        <v>100.6</v>
      </c>
      <c r="DG74" s="827">
        <f t="shared" ref="DG74:DI74" si="569">DF74</f>
        <v>100.6</v>
      </c>
      <c r="DH74" s="824">
        <f t="shared" si="569"/>
        <v>100.6</v>
      </c>
      <c r="DI74" s="826">
        <f t="shared" si="569"/>
        <v>100.6</v>
      </c>
      <c r="DJ74" s="827"/>
      <c r="DK74" s="827"/>
      <c r="DL74" s="827"/>
      <c r="DM74" s="827"/>
      <c r="DN74" s="826"/>
      <c r="DO74" s="827"/>
      <c r="DP74" s="827"/>
      <c r="DQ74" s="827"/>
      <c r="DR74" s="827"/>
      <c r="DS74" s="826"/>
      <c r="DT74" s="827"/>
      <c r="DU74" s="827"/>
      <c r="DV74" s="827"/>
      <c r="DW74" s="827"/>
      <c r="DX74" s="826"/>
      <c r="DY74" s="827"/>
      <c r="DZ74" s="827"/>
      <c r="EA74" s="827"/>
      <c r="EB74" s="827"/>
      <c r="EC74" s="826"/>
      <c r="ED74" s="827"/>
      <c r="EE74" s="827"/>
      <c r="EF74" s="827"/>
      <c r="EG74" s="827"/>
      <c r="EH74" s="826"/>
      <c r="EI74" s="830"/>
      <c r="EJ74" s="824"/>
      <c r="EK74" s="824"/>
      <c r="EL74" s="824"/>
      <c r="EM74" s="826"/>
      <c r="EN74" s="824"/>
      <c r="EO74" s="824"/>
      <c r="EP74" s="824"/>
      <c r="EQ74" s="824"/>
      <c r="ER74" s="826"/>
      <c r="ES74" s="824"/>
      <c r="ET74" s="824"/>
      <c r="EU74" s="824"/>
      <c r="EV74" s="824"/>
      <c r="EW74" s="826"/>
      <c r="EX74" s="824"/>
      <c r="EY74" s="824"/>
      <c r="EZ74" s="824"/>
      <c r="FA74" s="824"/>
      <c r="FB74" s="826"/>
      <c r="FC74" s="824"/>
      <c r="FD74" s="824"/>
      <c r="FE74" s="824"/>
      <c r="FF74" s="824"/>
      <c r="FG74" s="826"/>
    </row>
    <row r="75" ht="12.75" customHeight="1" collapsed="1">
      <c r="A75" s="4"/>
      <c r="B75" s="179"/>
      <c r="C75" s="179"/>
      <c r="D75" s="179"/>
      <c r="E75" s="179"/>
      <c r="F75" s="179"/>
      <c r="G75" s="179"/>
      <c r="H75" s="179"/>
      <c r="I75" s="179"/>
      <c r="J75" s="179"/>
      <c r="K75" s="179"/>
      <c r="L75" s="179"/>
      <c r="M75" s="179"/>
      <c r="N75" s="179"/>
      <c r="O75" s="179"/>
      <c r="P75" s="179"/>
      <c r="Q75" s="4"/>
      <c r="R75" s="45"/>
      <c r="S75" s="4"/>
      <c r="T75" s="4"/>
      <c r="U75" s="4"/>
      <c r="V75" s="4"/>
      <c r="W75" s="45"/>
      <c r="X75" s="4"/>
      <c r="Y75" s="4"/>
      <c r="Z75" s="4"/>
      <c r="AA75" s="4"/>
      <c r="AB75" s="45"/>
      <c r="AC75" s="179"/>
      <c r="AD75" s="179"/>
      <c r="AE75" s="179"/>
      <c r="AF75" s="179"/>
      <c r="AG75" s="45"/>
      <c r="AH75" s="4"/>
      <c r="AI75" s="4"/>
      <c r="AJ75" s="4"/>
      <c r="AK75" s="4"/>
      <c r="AL75" s="45"/>
      <c r="AM75" s="179"/>
      <c r="AN75" s="179"/>
      <c r="AO75" s="179"/>
      <c r="AP75" s="179"/>
      <c r="AQ75" s="8"/>
      <c r="AR75" s="179"/>
      <c r="AS75" s="179"/>
      <c r="AT75" s="179"/>
      <c r="AU75" s="179"/>
      <c r="AV75" s="8"/>
      <c r="AW75" s="179"/>
      <c r="AX75" s="179"/>
      <c r="AY75" s="179"/>
      <c r="AZ75" s="179"/>
      <c r="BA75" s="8"/>
      <c r="BB75" s="179"/>
      <c r="BC75" s="179"/>
      <c r="BD75" s="179"/>
      <c r="BE75" s="179"/>
      <c r="BF75" s="8"/>
      <c r="BG75" s="179"/>
      <c r="BH75" s="179"/>
      <c r="BI75" s="179"/>
      <c r="BJ75" s="179"/>
      <c r="BK75" s="8"/>
      <c r="BL75" s="179"/>
      <c r="BM75" s="179"/>
      <c r="BN75" s="179"/>
      <c r="BO75" s="179"/>
      <c r="BP75" s="8"/>
      <c r="BQ75" s="179"/>
      <c r="BR75" s="179"/>
      <c r="BS75" s="179"/>
      <c r="BT75" s="179"/>
      <c r="BU75" s="8"/>
      <c r="BV75" s="179"/>
      <c r="BW75" s="179"/>
      <c r="BX75" s="179"/>
      <c r="BY75" s="179"/>
      <c r="BZ75" s="8"/>
      <c r="CA75" s="179"/>
      <c r="CB75" s="179"/>
      <c r="CC75" s="179"/>
      <c r="CD75" s="179"/>
      <c r="CE75" s="8"/>
      <c r="CF75" s="179"/>
      <c r="CG75" s="179"/>
      <c r="CH75" s="179"/>
      <c r="CI75" s="179"/>
      <c r="CJ75" s="8"/>
      <c r="CK75" s="179"/>
      <c r="CL75" s="179"/>
      <c r="CM75" s="179"/>
      <c r="CN75" s="179"/>
      <c r="CO75" s="8"/>
      <c r="CP75" s="179"/>
      <c r="CQ75" s="179"/>
      <c r="CR75" s="179"/>
      <c r="CS75" s="179"/>
      <c r="CT75" s="8"/>
      <c r="CU75" s="179"/>
      <c r="CV75" s="179"/>
      <c r="CW75" s="179"/>
      <c r="CX75" s="179"/>
      <c r="CY75" s="10"/>
      <c r="CZ75" s="179"/>
      <c r="DA75" s="179"/>
      <c r="DB75" s="179"/>
      <c r="DC75" s="179"/>
      <c r="DD75" s="10"/>
      <c r="DE75" s="179"/>
      <c r="DF75" s="179"/>
      <c r="DG75" s="774"/>
      <c r="DH75" s="179"/>
      <c r="DI75" s="10"/>
      <c r="DJ75" s="774"/>
      <c r="DK75" s="774"/>
      <c r="DL75" s="774"/>
      <c r="DM75" s="774"/>
      <c r="DN75" s="10"/>
      <c r="DO75" s="774"/>
      <c r="DP75" s="774"/>
      <c r="DQ75" s="774"/>
      <c r="DR75" s="774"/>
      <c r="DS75" s="10"/>
      <c r="DT75" s="774"/>
      <c r="DU75" s="774"/>
      <c r="DV75" s="774"/>
      <c r="DW75" s="774"/>
      <c r="DX75" s="10"/>
      <c r="DY75" s="774"/>
      <c r="DZ75" s="774"/>
      <c r="EA75" s="774"/>
      <c r="EB75" s="774"/>
      <c r="EC75" s="10"/>
      <c r="ED75" s="774"/>
      <c r="EE75" s="774"/>
      <c r="EF75" s="774"/>
      <c r="EG75" s="774"/>
      <c r="EH75" s="10"/>
      <c r="EI75" s="775"/>
      <c r="EJ75" s="179"/>
      <c r="EK75" s="179"/>
      <c r="EL75" s="179"/>
      <c r="EM75" s="10"/>
      <c r="EN75" s="179"/>
      <c r="EO75" s="179"/>
      <c r="EP75" s="179"/>
      <c r="EQ75" s="179"/>
      <c r="ER75" s="10"/>
      <c r="ES75" s="179"/>
      <c r="ET75" s="179"/>
      <c r="EU75" s="179"/>
      <c r="EV75" s="179"/>
      <c r="EW75" s="10"/>
      <c r="EX75" s="179"/>
      <c r="EY75" s="179"/>
      <c r="EZ75" s="179"/>
      <c r="FA75" s="179"/>
      <c r="FB75" s="10"/>
      <c r="FC75" s="179"/>
      <c r="FD75" s="179"/>
      <c r="FE75" s="179"/>
      <c r="FF75" s="179"/>
      <c r="FG75" s="10"/>
    </row>
    <row r="76" ht="12.75" customHeight="1">
      <c r="A76" s="4"/>
      <c r="B76" s="726" t="s">
        <v>557</v>
      </c>
      <c r="C76" s="4"/>
      <c r="D76" s="4"/>
      <c r="E76" s="4"/>
      <c r="F76" s="4"/>
      <c r="G76" s="4"/>
      <c r="H76" s="4"/>
      <c r="I76" s="4"/>
      <c r="J76" s="4"/>
      <c r="K76" s="4"/>
      <c r="L76" s="4"/>
      <c r="M76" s="4"/>
      <c r="N76" s="90"/>
      <c r="O76" s="90"/>
      <c r="P76" s="90"/>
      <c r="Q76" s="90"/>
      <c r="R76" s="299"/>
      <c r="S76" s="90"/>
      <c r="T76" s="90"/>
      <c r="U76" s="90"/>
      <c r="V76" s="90"/>
      <c r="W76" s="299"/>
      <c r="X76" s="90"/>
      <c r="Y76" s="90"/>
      <c r="Z76" s="90"/>
      <c r="AA76" s="90"/>
      <c r="AB76" s="299"/>
      <c r="AC76" s="270"/>
      <c r="AD76" s="270"/>
      <c r="AE76" s="833"/>
      <c r="AF76" s="270"/>
      <c r="AG76" s="299"/>
      <c r="AH76" s="90"/>
      <c r="AI76" s="90"/>
      <c r="AJ76" s="90"/>
      <c r="AK76" s="90"/>
      <c r="AL76" s="299"/>
      <c r="AM76" s="270"/>
      <c r="AN76" s="270"/>
      <c r="AO76" s="270"/>
      <c r="AP76" s="270"/>
      <c r="AQ76" s="726"/>
      <c r="AR76" s="270"/>
      <c r="AS76" s="270"/>
      <c r="AT76" s="270"/>
      <c r="AU76" s="270"/>
      <c r="AV76" s="726"/>
      <c r="AW76" s="270"/>
      <c r="AX76" s="270"/>
      <c r="AY76" s="270"/>
      <c r="AZ76" s="270"/>
      <c r="BA76" s="726"/>
      <c r="BB76" s="270"/>
      <c r="BC76" s="270"/>
      <c r="BD76" s="270"/>
      <c r="BE76" s="270"/>
      <c r="BF76" s="726"/>
      <c r="BG76" s="270"/>
      <c r="BH76" s="270"/>
      <c r="BI76" s="270"/>
      <c r="BJ76" s="270"/>
      <c r="BK76" s="726"/>
      <c r="BL76" s="270"/>
      <c r="BM76" s="270"/>
      <c r="BN76" s="270"/>
      <c r="BO76" s="270"/>
      <c r="BP76" s="726"/>
      <c r="BQ76" s="270"/>
      <c r="BR76" s="270"/>
      <c r="BS76" s="270"/>
      <c r="BT76" s="270"/>
      <c r="BU76" s="726"/>
      <c r="BV76" s="270"/>
      <c r="BW76" s="270"/>
      <c r="BX76" s="270"/>
      <c r="BY76" s="270"/>
      <c r="BZ76" s="726"/>
      <c r="CA76" s="270"/>
      <c r="CB76" s="270"/>
      <c r="CC76" s="270"/>
      <c r="CD76" s="270"/>
      <c r="CE76" s="726"/>
      <c r="CF76" s="270"/>
      <c r="CG76" s="270"/>
      <c r="CH76" s="270"/>
      <c r="CI76" s="270"/>
      <c r="CJ76" s="726"/>
      <c r="CK76" s="270"/>
      <c r="CL76" s="270"/>
      <c r="CM76" s="270"/>
      <c r="CN76" s="270"/>
      <c r="CO76" s="726"/>
      <c r="CP76" s="270"/>
      <c r="CQ76" s="270"/>
      <c r="CR76" s="270"/>
      <c r="CS76" s="270"/>
      <c r="CT76" s="726"/>
      <c r="CU76" s="270"/>
      <c r="CV76" s="270"/>
      <c r="CW76" s="270"/>
      <c r="CX76" s="270"/>
      <c r="CY76" s="303"/>
      <c r="CZ76" s="270"/>
      <c r="DA76" s="270"/>
      <c r="DB76" s="270"/>
      <c r="DC76" s="270"/>
      <c r="DD76" s="303"/>
      <c r="DE76" s="270"/>
      <c r="DF76" s="270"/>
      <c r="DG76" s="302"/>
      <c r="DH76" s="270"/>
      <c r="DI76" s="303"/>
      <c r="DJ76" s="302"/>
      <c r="DK76" s="302"/>
      <c r="DL76" s="302"/>
      <c r="DM76" s="302"/>
      <c r="DN76" s="303"/>
      <c r="DO76" s="302"/>
      <c r="DP76" s="302"/>
      <c r="DQ76" s="302"/>
      <c r="DR76" s="302"/>
      <c r="DS76" s="303"/>
      <c r="DT76" s="302"/>
      <c r="DU76" s="302"/>
      <c r="DV76" s="302"/>
      <c r="DW76" s="302"/>
      <c r="DX76" s="303"/>
      <c r="DY76" s="302"/>
      <c r="DZ76" s="302"/>
      <c r="EA76" s="302"/>
      <c r="EB76" s="302"/>
      <c r="EC76" s="303"/>
      <c r="ED76" s="302"/>
      <c r="EE76" s="302"/>
      <c r="EF76" s="302"/>
      <c r="EG76" s="302"/>
      <c r="EH76" s="303"/>
      <c r="EI76" s="308"/>
      <c r="EJ76" s="270"/>
      <c r="EK76" s="270"/>
      <c r="EL76" s="270"/>
      <c r="EM76" s="303"/>
      <c r="EN76" s="270"/>
      <c r="EO76" s="270"/>
      <c r="EP76" s="270"/>
      <c r="EQ76" s="270"/>
      <c r="ER76" s="303"/>
      <c r="ES76" s="270"/>
      <c r="ET76" s="270"/>
      <c r="EU76" s="270"/>
      <c r="EV76" s="270"/>
      <c r="EW76" s="303"/>
      <c r="EX76" s="270"/>
      <c r="EY76" s="270"/>
      <c r="EZ76" s="270"/>
      <c r="FA76" s="270"/>
      <c r="FB76" s="303"/>
      <c r="FC76" s="270"/>
      <c r="FD76" s="270"/>
      <c r="FE76" s="270"/>
      <c r="FF76" s="270"/>
      <c r="FG76" s="303"/>
    </row>
    <row r="77" ht="12.75" customHeight="1">
      <c r="A77" s="4"/>
      <c r="B77" s="180" t="s">
        <v>558</v>
      </c>
      <c r="C77" s="179"/>
      <c r="D77" s="179"/>
      <c r="E77" s="179"/>
      <c r="F77" s="179"/>
      <c r="G77" s="179"/>
      <c r="H77" s="179"/>
      <c r="I77" s="179"/>
      <c r="J77" s="179"/>
      <c r="K77" s="179"/>
      <c r="L77" s="179"/>
      <c r="M77" s="179"/>
      <c r="N77" s="4">
        <f>(cashNInvestments-STDebt-LTDebt)/totalAssets</f>
        <v>0.3150286149</v>
      </c>
      <c r="O77" s="4">
        <f>(cashNInvestments-STDebt-LTDebt)/totalAssets</f>
        <v>0.2355901189</v>
      </c>
      <c r="P77" s="4">
        <f>(cashNInvestments-STDebt-LTDebt)/totalAssets</f>
        <v>0.2601061658</v>
      </c>
      <c r="Q77" s="4">
        <f>(cashNInvestments-STDebt-LTDebt)/totalAssets</f>
        <v>0.2049188141</v>
      </c>
      <c r="R77" s="45">
        <f>(cashNInvestments-STDebt-LTDebt)/totalAssets</f>
        <v>0.2049188141</v>
      </c>
      <c r="S77" s="4">
        <f>(cashNInvestments-STDebt-LTDebt)/totalAssets</f>
        <v>0.282627746</v>
      </c>
      <c r="T77" s="4">
        <f>(cashNInvestments-STDebt-LTDebt)/totalAssets</f>
        <v>0.2881009725</v>
      </c>
      <c r="U77" s="4">
        <f>(cashNInvestments-STDebt-LTDebt)/totalAssets</f>
        <v>0.2695567312</v>
      </c>
      <c r="V77" s="4">
        <f>(cashNInvestments-STDebt-LTDebt)/totalAssets</f>
        <v>0.2329585623</v>
      </c>
      <c r="W77" s="45">
        <f>(cashNInvestments-STDebt-LTDebt)/totalAssets</f>
        <v>0.2329585623</v>
      </c>
      <c r="X77" s="4">
        <f>(cashNInvestments-STDebt-LTDebt)/totalAssets</f>
        <v>0.1990755266</v>
      </c>
      <c r="Y77" s="4">
        <f>(cashNInvestments-STDebt-LTDebt)/totalAssets</f>
        <v>0.2463932399</v>
      </c>
      <c r="Z77" s="4">
        <f>(cashNInvestments-STDebt-LTDebt)/totalAssets</f>
        <v>0.2582580132</v>
      </c>
      <c r="AA77" s="4">
        <f>(cashNInvestments-STDebt-LTDebt)/totalAssets</f>
        <v>0.2583793931</v>
      </c>
      <c r="AB77" s="45">
        <f>(cashNInvestments-STDebt-LTDebt)/totalAssets</f>
        <v>0.2583793931</v>
      </c>
      <c r="AC77" s="4">
        <f>(cashNInvestments-STDebt-LTDebt)/totalAssets</f>
        <v>0.191896041</v>
      </c>
      <c r="AD77" s="4">
        <f>(cashNInvestments-STDebt-LTDebt)/totalAssets</f>
        <v>0.1753682272</v>
      </c>
      <c r="AE77" s="4">
        <f>(cashNInvestments-STDebt-LTDebt)/totalAssets</f>
        <v>0.1782460265</v>
      </c>
      <c r="AF77" s="4">
        <f>(cashNInvestments-STDebt-LTDebt)/totalAssets</f>
        <v>0.1997296993</v>
      </c>
      <c r="AG77" s="45">
        <f>(cashNInvestments-STDebt-LTDebt)/totalAssets</f>
        <v>0.1997296993</v>
      </c>
      <c r="AH77" s="4">
        <f>(cashNInvestments-STDebt-LTDebt)/totalAssets</f>
        <v>0.1793011782</v>
      </c>
      <c r="AI77" s="4">
        <f>(cashNInvestments-STDebt-LTDebt)/totalAssets</f>
        <v>0.1722607936</v>
      </c>
      <c r="AJ77" s="4">
        <f>(cashNInvestments-STDebt-LTDebt)/totalAssets</f>
        <v>0.1901640847</v>
      </c>
      <c r="AK77" s="4">
        <f>(cashNInvestments-STDebt-LTDebt)/totalAssets</f>
        <v>0.2130291245</v>
      </c>
      <c r="AL77" s="45">
        <f>(cashNInvestments-STDebt-LTDebt)/totalAssets</f>
        <v>0.2130291245</v>
      </c>
      <c r="AM77" s="4">
        <f>(cashNInvestments-STDebt-LTDebt)/totalAssets</f>
        <v>0.2120485778</v>
      </c>
      <c r="AN77" s="4">
        <f>(cashNInvestments-STDebt-LTDebt)/totalAssets</f>
        <v>0.2227144945</v>
      </c>
      <c r="AO77" s="4">
        <f>(cashNInvestments-STDebt-LTDebt)/totalAssets</f>
        <v>0.2511329064</v>
      </c>
      <c r="AP77" s="4">
        <f>(cashNInvestments-STDebt-LTDebt)/totalAssets</f>
        <v>0.2625840528</v>
      </c>
      <c r="AQ77" s="45">
        <f>(cashNInvestments-STDebt-LTDebt)/totalAssets</f>
        <v>0.2625840528</v>
      </c>
      <c r="AR77" s="4">
        <f>(cashNInvestments-STDebt-LTDebt)/totalAssets</f>
        <v>0.2532067618</v>
      </c>
      <c r="AS77" s="4">
        <f>(cashNInvestments-STDebt-LTDebt)/totalAssets</f>
        <v>0.2701758711</v>
      </c>
      <c r="AT77" s="4">
        <f>(cashNInvestments-STDebt-LTDebt)/totalAssets</f>
        <v>0.2625941423</v>
      </c>
      <c r="AU77" s="4">
        <f>(cashNInvestments-STDebt-LTDebt)/totalAssets</f>
        <v>0.2732899902</v>
      </c>
      <c r="AV77" s="45">
        <f>(cashNInvestments-STDebt-LTDebt)/totalAssets</f>
        <v>0.2732899902</v>
      </c>
      <c r="AW77" s="4">
        <f>(cashNInvestments-STDebt-LTDebt)/totalAssets</f>
        <v>0.2730311567</v>
      </c>
      <c r="AX77" s="4">
        <f>(cashNInvestments-STDebt-LTDebt)/totalAssets</f>
        <v>0.2548104831</v>
      </c>
      <c r="AY77" s="4">
        <f>(cashNInvestments-STDebt-LTDebt)/totalAssets</f>
        <v>0.2379011824</v>
      </c>
      <c r="AZ77" s="4">
        <f>(cashNInvestments-STDebt-LTDebt)/totalAssets</f>
        <v>0.184108126</v>
      </c>
      <c r="BA77" s="45">
        <f>(cashNInvestments-STDebt-LTDebt)/totalAssets</f>
        <v>0.184108126</v>
      </c>
      <c r="BB77" s="4">
        <f>(cashNInvestments-STDebt-LTDebt)/totalAssets</f>
        <v>0.1184472602</v>
      </c>
      <c r="BC77" s="4">
        <f>(cashNInvestments-STDebt-LTDebt)/totalAssets</f>
        <v>0.08852629752</v>
      </c>
      <c r="BD77" s="4">
        <f>(cashNInvestments-STDebt-LTDebt)/totalAssets</f>
        <v>0.1038736528</v>
      </c>
      <c r="BE77" s="4">
        <f>(cashNInvestments-STDebt-LTDebt)/totalAssets</f>
        <v>0.1414158121</v>
      </c>
      <c r="BF77" s="45">
        <f>(cashNInvestments-STDebt-LTDebt)/totalAssets</f>
        <v>0.1414158121</v>
      </c>
      <c r="BG77" s="4">
        <f>(cashNInvestments-STDebt-LTDebt)/totalAssets</f>
        <v>0.1169497088</v>
      </c>
      <c r="BH77" s="4">
        <f>(cashNInvestments-STDebt-LTDebt)/totalAssets</f>
        <v>0.1363383306</v>
      </c>
      <c r="BI77" s="4">
        <f>(cashNInvestments-STDebt-LTDebt)/totalAssets</f>
        <v>0.1660287713</v>
      </c>
      <c r="BJ77" s="4">
        <f>(cashNInvestments-STDebt-LTDebt)/totalAssets</f>
        <v>0.1918204525</v>
      </c>
      <c r="BK77" s="45">
        <f>(cashNInvestments-STDebt-LTDebt)/totalAssets</f>
        <v>0.1918204525</v>
      </c>
      <c r="BL77" s="4">
        <f>(cashNInvestments-STDebt-LTDebt)/totalAssets</f>
        <v>0.162904827</v>
      </c>
      <c r="BM77" s="4">
        <f>(cashNInvestments-STDebt-LTDebt)/totalAssets</f>
        <v>0.1207054512</v>
      </c>
      <c r="BN77" s="4">
        <f>(cashNInvestments-STDebt-LTDebt)/totalAssets</f>
        <v>0.112502134</v>
      </c>
      <c r="BO77" s="4">
        <f>(cashNInvestments-STDebt-LTDebt)/totalAssets</f>
        <v>0.1319727891</v>
      </c>
      <c r="BP77" s="45">
        <f>(cashNInvestments-STDebt-LTDebt)/totalAssets</f>
        <v>0.1319727891</v>
      </c>
      <c r="BQ77" s="4">
        <f>(cashNInvestments-STDebt-LTDebt)/totalAssets</f>
        <v>0.1360259215</v>
      </c>
      <c r="BR77" s="4">
        <f>(cashNInvestments-STDebt-LTDebt)/totalAssets</f>
        <v>0.1588226901</v>
      </c>
      <c r="BS77" s="4">
        <f>(cashNInvestments-STDebt-LTDebt)/totalAssets</f>
        <v>0.1379519962</v>
      </c>
      <c r="BT77" s="4">
        <f>(cashNInvestments-STDebt-LTDebt)/totalAssets</f>
        <v>0.1327996987</v>
      </c>
      <c r="BU77" s="45">
        <f>(cashNInvestments-STDebt-LTDebt)/totalAssets</f>
        <v>0.1327996987</v>
      </c>
      <c r="BV77" s="4">
        <f>(cashNInvestments-STDebt-LTDebt)/totalAssets</f>
        <v>0.1529951769</v>
      </c>
      <c r="BW77" s="4">
        <f>(cashNInvestments-STDebt-LTDebt)/totalAssets</f>
        <v>0.1725745784</v>
      </c>
      <c r="BX77" s="4">
        <f>(cashNInvestments-STDebt-LTDebt)/totalAssets</f>
        <v>0.2088697432</v>
      </c>
      <c r="BY77" s="4">
        <f>(cashNInvestments-STDebt-LTDebt)/totalAssets</f>
        <v>0.2322824676</v>
      </c>
      <c r="BZ77" s="45">
        <f>(cashNInvestments-STDebt-LTDebt)/totalAssets</f>
        <v>0.2322824676</v>
      </c>
      <c r="CA77" s="4">
        <f>(cashNInvestments-STDebt-LTDebt)/totalAssets</f>
        <v>0.08523004638</v>
      </c>
      <c r="CB77" s="4">
        <f>(cashNInvestments-STDebt-LTDebt)/totalAssets</f>
        <v>0.08443159981</v>
      </c>
      <c r="CC77" s="4">
        <f>(cashNInvestments-STDebt-LTDebt)/totalAssets</f>
        <v>0.05373417811</v>
      </c>
      <c r="CD77" s="4">
        <f>(cashNInvestments-STDebt-LTDebt)/totalAssets</f>
        <v>0.04098764043</v>
      </c>
      <c r="CE77" s="45">
        <f>(cashNInvestments-STDebt-LTDebt)/totalAssets</f>
        <v>0.04098764043</v>
      </c>
      <c r="CF77" s="4">
        <f>(cashNInvestments-STDebt-LTDebt)/totalAssets</f>
        <v>0.02772324102</v>
      </c>
      <c r="CG77" s="4">
        <f>(cashNInvestments-STDebt-LTDebt)/totalAssets</f>
        <v>0.02790524104</v>
      </c>
      <c r="CH77" s="4">
        <f>(cashNInvestments-STDebt-LTDebt)/totalAssets</f>
        <v>-0.01548877635</v>
      </c>
      <c r="CI77" s="4">
        <f>(cashNInvestments-STDebt-LTDebt)/totalAssets</f>
        <v>-0.01151142251</v>
      </c>
      <c r="CJ77" s="45">
        <f>(cashNInvestments-STDebt-LTDebt)/totalAssets</f>
        <v>-0.01151142251</v>
      </c>
      <c r="CK77" s="4">
        <f>(cashNInvestments-STDebt-LTDebt)/totalAssets</f>
        <v>-0.03863606273</v>
      </c>
      <c r="CL77" s="4">
        <f>(cashNInvestments-STDebt-LTDebt)/totalAssets</f>
        <v>-0.03993649385</v>
      </c>
      <c r="CM77" s="4">
        <f>(cashNInvestments-STDebt-LTDebt)/totalAssets</f>
        <v>-0.02356682974</v>
      </c>
      <c r="CN77" s="4">
        <f>(cashNInvestments-STDebt-LTDebt)/totalAssets</f>
        <v>-0.01948937829</v>
      </c>
      <c r="CO77" s="45">
        <f>(cashNInvestments-STDebt-LTDebt)/totalAssets</f>
        <v>-0.01948937829</v>
      </c>
      <c r="CP77" s="4">
        <f>(cashNInvestments-STDebt-LTDebt)/totalAssets</f>
        <v>-0.03477570378</v>
      </c>
      <c r="CQ77" s="4">
        <f>(cashNInvestments-STDebt-LTDebt)/totalAssets</f>
        <v>-0.06159511074</v>
      </c>
      <c r="CR77" s="4">
        <f>(cashNInvestments-STDebt-LTDebt)/totalAssets</f>
        <v>-0.0736404167</v>
      </c>
      <c r="CS77" s="4">
        <f>(cashNInvestments-STDebt-LTDebt)/totalAssets</f>
        <v>-0.0948279612</v>
      </c>
      <c r="CT77" s="45">
        <f>(cashNInvestments-STDebt-LTDebt)/totalAssets</f>
        <v>-0.0948279612</v>
      </c>
      <c r="CU77" s="4">
        <f>(cashNInvestments-STDebt-LTDebt)/totalAssets</f>
        <v>-0.07955027577</v>
      </c>
      <c r="CV77" s="4">
        <f>(cashNInvestments-STDebt-LTDebt)/totalAssets</f>
        <v>-0.06822702559</v>
      </c>
      <c r="CW77" s="4">
        <f>(cashNInvestments-STDebt-LTDebt)/totalAssets</f>
        <v>-0.07106908028</v>
      </c>
      <c r="CX77" s="4">
        <f>(cashNInvestments-STDebt-LTDebt)/totalAssets</f>
        <v>-0.04540823752</v>
      </c>
      <c r="CY77" s="350">
        <f>(cashNInvestments-STDebt-LTDebt)/totalAssets</f>
        <v>-0.04540823752</v>
      </c>
      <c r="CZ77" s="4">
        <f>(cashNInvestments-STDebt-LTDebt)/totalAssets</f>
        <v>-0.1837636417</v>
      </c>
      <c r="DA77" s="4">
        <f>(cashNInvestments-STDebt-LTDebt)/totalAssets</f>
        <v>-0.1859857417</v>
      </c>
      <c r="DB77" s="4">
        <f>(cashNInvestments-STDebt-LTDebt)/totalAssets</f>
        <v>-0.1746081253</v>
      </c>
      <c r="DC77" s="4">
        <f>(cashNInvestments-STDebt-LTDebt)/totalAssets</f>
        <v>-0.1455787235</v>
      </c>
      <c r="DD77" s="350">
        <f>(cashNInvestments-STDebt-LTDebt)/totalAssets</f>
        <v>-0.1455787235</v>
      </c>
      <c r="DE77" s="4">
        <f>(cashNInvestments-STDebt-LTDebt)/totalAssets</f>
        <v>-0.1535608052</v>
      </c>
      <c r="DF77" s="4">
        <f>(cashNInvestments-STDebt-LTDebt)/totalAssets</f>
        <v>-0.140368693</v>
      </c>
      <c r="DG77" s="16">
        <f>(cashNInvestments-STDebt-LTDebt)/totalAssets</f>
        <v>-0.1661761929</v>
      </c>
      <c r="DH77" s="4">
        <f>(cashNInvestments-STDebt-LTDebt)/totalAssets</f>
        <v>-0.1749791073</v>
      </c>
      <c r="DI77" s="350">
        <f>(cashNInvestments-STDebt-LTDebt)/totalAssets</f>
        <v>-0.1749791073</v>
      </c>
      <c r="DJ77" s="16">
        <f>(cashNInvestments-STDebt-LTDebt)/totalAssets</f>
        <v>-0.1791502068</v>
      </c>
      <c r="DK77" s="16">
        <f>(cashNInvestments-STDebt-LTDebt)/totalAssets</f>
        <v>-0.2116025784</v>
      </c>
      <c r="DL77" s="16">
        <f>(cashNInvestments-STDebt-LTDebt)/totalAssets</f>
        <v>-0.1701938522</v>
      </c>
      <c r="DM77" s="16">
        <f>(cashNInvestments-STDebt-LTDebt)/totalAssets</f>
        <v>-0.160608926</v>
      </c>
      <c r="DN77" s="350">
        <f>(cashNInvestments-STDebt-LTDebt)/totalAssets</f>
        <v>-0.160608926</v>
      </c>
      <c r="DO77" s="16">
        <f>(cashNInvestments-STDebt-LTDebt)/totalAssets</f>
        <v>-0.1748443511</v>
      </c>
      <c r="DP77" s="16">
        <f>(cashNInvestments-STDebt-LTDebt)/totalAssets</f>
        <v>-0.1799799631</v>
      </c>
      <c r="DQ77" s="16">
        <f>(cashNInvestments-STDebt-LTDebt)/totalAssets</f>
        <v>-0.1728589797</v>
      </c>
      <c r="DR77" s="16">
        <f>(cashNInvestments-STDebt-LTDebt)/totalAssets</f>
        <v>-0.1737789693</v>
      </c>
      <c r="DS77" s="350">
        <f>(cashNInvestments-STDebt-LTDebt)/totalAssets</f>
        <v>-0.1737789693</v>
      </c>
      <c r="DT77" s="16">
        <f>(cashNInvestments-STDebt-LTDebt)/totalAssets</f>
        <v>-0.1844357186</v>
      </c>
      <c r="DU77" s="16">
        <f>(cashNInvestments-STDebt-LTDebt)/totalAssets</f>
        <v>-0.1627124866</v>
      </c>
      <c r="DV77" s="16">
        <f>(cashNInvestments-STDebt-LTDebt)/totalAssets</f>
        <v>-0.2080393223</v>
      </c>
      <c r="DW77" s="16">
        <f>(cashNInvestments-STDebt-LTDebt)/totalAssets</f>
        <v>-0.1844915769</v>
      </c>
      <c r="DX77" s="350">
        <f>(cashNInvestments-STDebt-LTDebt)/totalAssets</f>
        <v>-0.1844915769</v>
      </c>
      <c r="DY77" s="16">
        <f>(cashNInvestments-STDebt-LTDebt)/totalAssets</f>
        <v>-0.1877215812</v>
      </c>
      <c r="DZ77" s="16">
        <f>(cashNInvestments-STDebt-LTDebt)/totalAssets</f>
        <v>-0.1788456438</v>
      </c>
      <c r="EA77" s="16">
        <f>(cashNInvestments-STDebt-LTDebt)/totalAssets</f>
        <v>-0.1692644765</v>
      </c>
      <c r="EB77" s="16">
        <f>(cashNInvestments-STDebt-LTDebt)/totalAssets</f>
        <v>-0.1850943553</v>
      </c>
      <c r="EC77" s="350">
        <f>(cashNInvestments-STDebt-LTDebt)/totalAssets</f>
        <v>-0.1850943553</v>
      </c>
      <c r="ED77" s="16">
        <f>(cashNInvestments-STDebt-LTDebt)/totalAssets</f>
        <v>0.00821633514</v>
      </c>
      <c r="EE77" s="16">
        <f>(cashNInvestments-STDebt-LTDebt)/totalAssets</f>
        <v>-0.04920841695</v>
      </c>
      <c r="EF77" s="16">
        <f>(cashNInvestments-STDebt-LTDebt)/totalAssets</f>
        <v>-0.09702529727</v>
      </c>
      <c r="EG77" s="16">
        <f>(cashNInvestments-STDebt-LTDebt)/totalAssets</f>
        <v>-0.07530353701</v>
      </c>
      <c r="EH77" s="350">
        <f>(cashNInvestments-STDebt-LTDebt)/totalAssets</f>
        <v>-0.07530353701</v>
      </c>
      <c r="EI77" s="214" t="str">
        <f>(cashNInvestments-STDebt-LTDebt)/totalAssets</f>
        <v>#ERROR!</v>
      </c>
      <c r="EJ77" s="4" t="str">
        <f>(cashNInvestments-STDebt-LTDebt)/totalAssets</f>
        <v>#ERROR!</v>
      </c>
      <c r="EK77" s="4" t="str">
        <f>(cashNInvestments-STDebt-LTDebt)/totalAssets</f>
        <v>#ERROR!</v>
      </c>
      <c r="EL77" s="4" t="str">
        <f>(cashNInvestments-STDebt-LTDebt)/totalAssets</f>
        <v>#ERROR!</v>
      </c>
      <c r="EM77" s="350" t="str">
        <f>(cashNInvestments-STDebt-LTDebt)/totalAssets</f>
        <v>#ERROR!</v>
      </c>
      <c r="EN77" s="4" t="str">
        <f>(cashNInvestments-STDebt-LTDebt)/totalAssets</f>
        <v>#ERROR!</v>
      </c>
      <c r="EO77" s="4" t="str">
        <f>(cashNInvestments-STDebt-LTDebt)/totalAssets</f>
        <v>#ERROR!</v>
      </c>
      <c r="EP77" s="4" t="str">
        <f>(cashNInvestments-STDebt-LTDebt)/totalAssets</f>
        <v>#ERROR!</v>
      </c>
      <c r="EQ77" s="4" t="str">
        <f>(cashNInvestments-STDebt-LTDebt)/totalAssets</f>
        <v>#ERROR!</v>
      </c>
      <c r="ER77" s="350" t="str">
        <f>(cashNInvestments-STDebt-LTDebt)/totalAssets</f>
        <v>#ERROR!</v>
      </c>
      <c r="ES77" s="4" t="str">
        <f>(cashNInvestments-STDebt-LTDebt)/totalAssets</f>
        <v>#ERROR!</v>
      </c>
      <c r="ET77" s="4" t="str">
        <f>(cashNInvestments-STDebt-LTDebt)/totalAssets</f>
        <v>#ERROR!</v>
      </c>
      <c r="EU77" s="4" t="str">
        <f>(cashNInvestments-STDebt-LTDebt)/totalAssets</f>
        <v>#ERROR!</v>
      </c>
      <c r="EV77" s="4" t="str">
        <f>(cashNInvestments-STDebt-LTDebt)/totalAssets</f>
        <v>#ERROR!</v>
      </c>
      <c r="EW77" s="350" t="str">
        <f>(cashNInvestments-STDebt-LTDebt)/totalAssets</f>
        <v>#ERROR!</v>
      </c>
      <c r="EX77" s="4" t="str">
        <f>(cashNInvestments-STDebt-LTDebt)/totalAssets</f>
        <v>#ERROR!</v>
      </c>
      <c r="EY77" s="4" t="str">
        <f>(cashNInvestments-STDebt-LTDebt)/totalAssets</f>
        <v>#ERROR!</v>
      </c>
      <c r="EZ77" s="4" t="str">
        <f>(cashNInvestments-STDebt-LTDebt)/totalAssets</f>
        <v>#ERROR!</v>
      </c>
      <c r="FA77" s="4" t="str">
        <f>(cashNInvestments-STDebt-LTDebt)/totalAssets</f>
        <v>#ERROR!</v>
      </c>
      <c r="FB77" s="350" t="str">
        <f>(cashNInvestments-STDebt-LTDebt)/totalAssets</f>
        <v>#ERROR!</v>
      </c>
      <c r="FC77" s="4" t="str">
        <f>(cashNInvestments-STDebt-LTDebt)/totalAssets</f>
        <v>#ERROR!</v>
      </c>
      <c r="FD77" s="4" t="str">
        <f>(cashNInvestments-STDebt-LTDebt)/totalAssets</f>
        <v>#ERROR!</v>
      </c>
      <c r="FE77" s="4" t="str">
        <f>(cashNInvestments-STDebt-LTDebt)/totalAssets</f>
        <v>#ERROR!</v>
      </c>
      <c r="FF77" s="4" t="str">
        <f>(cashNInvestments-STDebt-LTDebt)/totalAssets</f>
        <v>#ERROR!</v>
      </c>
      <c r="FG77" s="350" t="str">
        <f>(cashNInvestments-STDebt-LTDebt)/totalAssets</f>
        <v>#ERROR!</v>
      </c>
    </row>
    <row r="78" ht="12.75" customHeight="1">
      <c r="A78" s="4"/>
      <c r="B78" s="180" t="s">
        <v>559</v>
      </c>
      <c r="C78" s="128"/>
      <c r="D78" s="128"/>
      <c r="E78" s="128"/>
      <c r="F78" s="128"/>
      <c r="G78" s="128"/>
      <c r="H78" s="128"/>
      <c r="I78" s="128"/>
      <c r="J78" s="128"/>
      <c r="K78" s="128"/>
      <c r="L78" s="128"/>
      <c r="M78" s="128"/>
      <c r="N78" s="128">
        <f>currentAssets-currentLiabilities</f>
        <v>10418</v>
      </c>
      <c r="O78" s="128">
        <f>currentAssets-currentLiabilities</f>
        <v>9114</v>
      </c>
      <c r="P78" s="128">
        <f>currentAssets-currentLiabilities</f>
        <v>9457</v>
      </c>
      <c r="Q78" s="128">
        <f>currentAssets-currentLiabilities</f>
        <v>7671</v>
      </c>
      <c r="R78" s="112">
        <f>currentAssets-currentLiabilities</f>
        <v>7671</v>
      </c>
      <c r="S78" s="128">
        <f>currentAssets-currentLiabilities</f>
        <v>10233</v>
      </c>
      <c r="T78" s="128">
        <f>currentAssets-currentLiabilities</f>
        <v>11356</v>
      </c>
      <c r="U78" s="128">
        <f>currentAssets-currentLiabilities</f>
        <v>11527</v>
      </c>
      <c r="V78" s="128">
        <f>currentAssets-currentLiabilities</f>
        <v>10720</v>
      </c>
      <c r="W78" s="112">
        <f>currentAssets-currentLiabilities</f>
        <v>10720</v>
      </c>
      <c r="X78" s="128">
        <f>currentAssets-currentLiabilities</f>
        <v>10318</v>
      </c>
      <c r="Y78" s="128">
        <f>currentAssets-currentLiabilities</f>
        <v>12214</v>
      </c>
      <c r="Z78" s="128">
        <f>currentAssets-currentLiabilities</f>
        <v>12985</v>
      </c>
      <c r="AA78" s="128">
        <f>currentAssets-currentLiabilities</f>
        <v>12500</v>
      </c>
      <c r="AB78" s="112">
        <f>currentAssets-currentLiabilities</f>
        <v>12500</v>
      </c>
      <c r="AC78" s="128">
        <f>currentAssets-currentLiabilities</f>
        <v>11352</v>
      </c>
      <c r="AD78" s="128">
        <f>currentAssets-currentLiabilities</f>
        <v>10492</v>
      </c>
      <c r="AE78" s="128">
        <f>currentAssets-currentLiabilities</f>
        <v>10674</v>
      </c>
      <c r="AF78" s="128">
        <f>currentAssets-currentLiabilities</f>
        <v>11063</v>
      </c>
      <c r="AG78" s="112">
        <f>currentAssets-currentLiabilities</f>
        <v>11063</v>
      </c>
      <c r="AH78" s="17">
        <f>currentAssets-currentLiabilities</f>
        <v>10884</v>
      </c>
      <c r="AI78" s="17">
        <f>currentAssets-currentLiabilities</f>
        <v>11453</v>
      </c>
      <c r="AJ78" s="17">
        <f>currentAssets-currentLiabilities</f>
        <v>11764</v>
      </c>
      <c r="AK78" s="17">
        <f>currentAssets-currentLiabilities</f>
        <v>12330</v>
      </c>
      <c r="AL78" s="112">
        <f>currentAssets-currentLiabilities</f>
        <v>12330</v>
      </c>
      <c r="AM78" s="128">
        <f>currentAssets-currentLiabilities</f>
        <v>12797</v>
      </c>
      <c r="AN78" s="128">
        <f>currentAssets-currentLiabilities</f>
        <v>13403</v>
      </c>
      <c r="AO78" s="128">
        <f>currentAssets-currentLiabilities</f>
        <v>15069</v>
      </c>
      <c r="AP78" s="128">
        <f>currentAssets-currentLiabilities</f>
        <v>16003</v>
      </c>
      <c r="AQ78" s="112">
        <f>currentAssets-currentLiabilities</f>
        <v>16003</v>
      </c>
      <c r="AR78" s="128">
        <f>currentAssets-currentLiabilities</f>
        <v>16675</v>
      </c>
      <c r="AS78" s="128">
        <f>currentAssets-currentLiabilities</f>
        <v>17220</v>
      </c>
      <c r="AT78" s="128">
        <f>currentAssets-currentLiabilities</f>
        <v>16180</v>
      </c>
      <c r="AU78" s="128">
        <f>currentAssets-currentLiabilities</f>
        <v>16052</v>
      </c>
      <c r="AV78" s="112">
        <f>currentAssets-currentLiabilities</f>
        <v>16052</v>
      </c>
      <c r="AW78" s="128">
        <f>currentAssets-currentLiabilities</f>
        <v>14905</v>
      </c>
      <c r="AX78" s="128">
        <f>currentAssets-currentLiabilities</f>
        <v>14410</v>
      </c>
      <c r="AY78" s="128">
        <f>currentAssets-currentLiabilities</f>
        <v>12225</v>
      </c>
      <c r="AZ78" s="128">
        <f>currentAssets-currentLiabilities</f>
        <v>11960</v>
      </c>
      <c r="BA78" s="112">
        <f>currentAssets-currentLiabilities</f>
        <v>11960</v>
      </c>
      <c r="BB78" s="128">
        <f>currentAssets-currentLiabilities</f>
        <v>8184</v>
      </c>
      <c r="BC78" s="128">
        <f>currentAssets-currentLiabilities</f>
        <v>8333</v>
      </c>
      <c r="BD78" s="128">
        <f>currentAssets-currentLiabilities</f>
        <v>8547</v>
      </c>
      <c r="BE78" s="128">
        <f>currentAssets-currentLiabilities</f>
        <v>9766</v>
      </c>
      <c r="BF78" s="112">
        <f>currentAssets-currentLiabilities</f>
        <v>9766</v>
      </c>
      <c r="BG78" s="128">
        <f>currentAssets-currentLiabilities</f>
        <v>11068</v>
      </c>
      <c r="BH78" s="128">
        <f>currentAssets-currentLiabilities</f>
        <v>13184</v>
      </c>
      <c r="BI78" s="128">
        <f>currentAssets-currentLiabilities</f>
        <v>13663</v>
      </c>
      <c r="BJ78" s="128">
        <f>currentAssets-currentLiabilities</f>
        <v>15314</v>
      </c>
      <c r="BK78" s="112">
        <f>currentAssets-currentLiabilities</f>
        <v>15314</v>
      </c>
      <c r="BL78" s="128">
        <f>currentAssets-currentLiabilities</f>
        <v>13396</v>
      </c>
      <c r="BM78" s="128">
        <f>currentAssets-currentLiabilities</f>
        <v>11746</v>
      </c>
      <c r="BN78" s="128">
        <f>currentAssets-currentLiabilities</f>
        <v>11355</v>
      </c>
      <c r="BO78" s="128">
        <f>currentAssets-currentLiabilities</f>
        <v>12053</v>
      </c>
      <c r="BP78" s="112">
        <f>currentAssets-currentLiabilities</f>
        <v>12053</v>
      </c>
      <c r="BQ78" s="128">
        <f>currentAssets-currentLiabilities</f>
        <v>11801</v>
      </c>
      <c r="BR78" s="128">
        <f>currentAssets-currentLiabilities</f>
        <v>11388</v>
      </c>
      <c r="BS78" s="128">
        <f>currentAssets-currentLiabilities</f>
        <v>11498</v>
      </c>
      <c r="BT78" s="128">
        <f>currentAssets-currentLiabilities</f>
        <v>13566</v>
      </c>
      <c r="BU78" s="112">
        <f>currentAssets-currentLiabilities</f>
        <v>13566</v>
      </c>
      <c r="BV78" s="128">
        <f>currentAssets-currentLiabilities</f>
        <v>14812</v>
      </c>
      <c r="BW78" s="128">
        <f>currentAssets-currentLiabilities</f>
        <v>18527</v>
      </c>
      <c r="BX78" s="128">
        <f>currentAssets-currentLiabilities</f>
        <v>20662</v>
      </c>
      <c r="BY78" s="128">
        <f>currentAssets-currentLiabilities</f>
        <v>22284</v>
      </c>
      <c r="BZ78" s="112">
        <f>currentAssets-currentLiabilities</f>
        <v>22284</v>
      </c>
      <c r="CA78" s="128">
        <f>currentAssets-currentLiabilities</f>
        <v>11230</v>
      </c>
      <c r="CB78" s="128">
        <f>currentAssets-currentLiabilities</f>
        <v>12748</v>
      </c>
      <c r="CC78" s="128">
        <f>currentAssets-currentLiabilities</f>
        <v>14789</v>
      </c>
      <c r="CD78" s="128">
        <f>currentAssets-currentLiabilities</f>
        <v>13844</v>
      </c>
      <c r="CE78" s="112">
        <f>currentAssets-currentLiabilities</f>
        <v>13844</v>
      </c>
      <c r="CF78" s="128">
        <f>currentAssets-currentLiabilities</f>
        <v>13480</v>
      </c>
      <c r="CG78" s="128">
        <f>currentAssets-currentLiabilities</f>
        <v>15247</v>
      </c>
      <c r="CH78" s="128">
        <f>currentAssets-currentLiabilities</f>
        <v>11061</v>
      </c>
      <c r="CI78" s="128">
        <f>currentAssets-currentLiabilities</f>
        <v>18460</v>
      </c>
      <c r="CJ78" s="112">
        <f>currentAssets-currentLiabilities</f>
        <v>18460</v>
      </c>
      <c r="CK78" s="128">
        <f>currentAssets-currentLiabilities</f>
        <v>16879</v>
      </c>
      <c r="CL78" s="128">
        <f>currentAssets-currentLiabilities</f>
        <v>17659</v>
      </c>
      <c r="CM78" s="128">
        <f>currentAssets-currentLiabilities</f>
        <v>17475</v>
      </c>
      <c r="CN78" s="128">
        <f>currentAssets-currentLiabilities</f>
        <v>18516</v>
      </c>
      <c r="CO78" s="112">
        <f>currentAssets-currentLiabilities</f>
        <v>18516</v>
      </c>
      <c r="CP78" s="128">
        <f>currentAssets-currentLiabilities</f>
        <v>17002</v>
      </c>
      <c r="CQ78" s="128">
        <f>currentAssets-currentLiabilities</f>
        <v>16755</v>
      </c>
      <c r="CR78" s="128">
        <f>currentAssets-currentLiabilities</f>
        <v>12605</v>
      </c>
      <c r="CS78" s="128">
        <f>currentAssets-currentLiabilities</f>
        <v>11711</v>
      </c>
      <c r="CT78" s="112">
        <f>currentAssets-currentLiabilities</f>
        <v>11711</v>
      </c>
      <c r="CU78" s="128">
        <f>currentAssets-currentLiabilities</f>
        <v>11431</v>
      </c>
      <c r="CV78" s="128">
        <f>currentAssets-currentLiabilities</f>
        <v>13181</v>
      </c>
      <c r="CW78" s="128">
        <f>currentAssets-currentLiabilities</f>
        <v>21125</v>
      </c>
      <c r="CX78" s="128">
        <f>currentAssets-currentLiabilities</f>
        <v>24689</v>
      </c>
      <c r="CY78" s="80">
        <f>currentAssets-currentLiabilities</f>
        <v>24689</v>
      </c>
      <c r="CZ78" s="128">
        <f>currentAssets-currentLiabilities</f>
        <v>9871</v>
      </c>
      <c r="DA78" s="128">
        <f>currentAssets-currentLiabilities</f>
        <v>12477</v>
      </c>
      <c r="DB78" s="128">
        <f>currentAssets-currentLiabilities</f>
        <v>16123</v>
      </c>
      <c r="DC78" s="128">
        <f>currentAssets-currentLiabilities</f>
        <v>15206</v>
      </c>
      <c r="DD78" s="80">
        <f>currentAssets-currentLiabilities</f>
        <v>15206</v>
      </c>
      <c r="DE78" s="128">
        <f>currentAssets-currentLiabilities</f>
        <v>14753</v>
      </c>
      <c r="DF78" s="128">
        <f>currentAssets-currentLiabilities</f>
        <v>21835</v>
      </c>
      <c r="DG78" s="129">
        <f>currentAssets-currentLiabilities</f>
        <v>12465</v>
      </c>
      <c r="DH78" s="128">
        <f>currentAssets-currentLiabilities</f>
        <v>12079</v>
      </c>
      <c r="DI78" s="80">
        <f>currentAssets-currentLiabilities</f>
        <v>12079</v>
      </c>
      <c r="DJ78" s="129">
        <f>currentAssets-currentLiabilities</f>
        <v>11669</v>
      </c>
      <c r="DK78" s="129">
        <f>currentAssets-currentLiabilities</f>
        <v>10032</v>
      </c>
      <c r="DL78" s="129">
        <f>currentAssets-currentLiabilities</f>
        <v>10016</v>
      </c>
      <c r="DM78" s="129">
        <f>currentAssets-currentLiabilities</f>
        <v>12161</v>
      </c>
      <c r="DN78" s="80">
        <f>currentAssets-currentLiabilities</f>
        <v>12161</v>
      </c>
      <c r="DO78" s="129">
        <f>currentAssets-currentLiabilities</f>
        <v>10149</v>
      </c>
      <c r="DP78" s="129">
        <f>currentAssets-currentLiabilities</f>
        <v>9534</v>
      </c>
      <c r="DQ78" s="129">
        <f>currentAssets-currentLiabilities</f>
        <v>4893</v>
      </c>
      <c r="DR78" s="129">
        <f>currentAssets-currentLiabilities</f>
        <v>8929</v>
      </c>
      <c r="DS78" s="80">
        <f>currentAssets-currentLiabilities</f>
        <v>8929</v>
      </c>
      <c r="DT78" s="129">
        <f>currentAssets-currentLiabilities</f>
        <v>17606</v>
      </c>
      <c r="DU78" s="129">
        <f>currentAssets-currentLiabilities</f>
        <v>21909</v>
      </c>
      <c r="DV78" s="129">
        <f>currentAssets-currentLiabilities</f>
        <v>14673</v>
      </c>
      <c r="DW78" s="129">
        <f>currentAssets-currentLiabilities</f>
        <v>22495</v>
      </c>
      <c r="DX78" s="80">
        <f>currentAssets-currentLiabilities</f>
        <v>22495</v>
      </c>
      <c r="DY78" s="129">
        <f>currentAssets-currentLiabilities</f>
        <v>21622</v>
      </c>
      <c r="DZ78" s="129">
        <f>currentAssets-currentLiabilities</f>
        <v>24536</v>
      </c>
      <c r="EA78" s="129">
        <f>currentAssets-currentLiabilities</f>
        <v>31732</v>
      </c>
      <c r="EB78" s="129">
        <f>currentAssets-currentLiabilities</f>
        <v>30256</v>
      </c>
      <c r="EC78" s="80">
        <f>currentAssets-currentLiabilities</f>
        <v>30256</v>
      </c>
      <c r="ED78" s="129">
        <f>currentAssets-currentLiabilities</f>
        <v>33246</v>
      </c>
      <c r="EE78" s="129">
        <f>currentAssets-currentLiabilities</f>
        <v>23370</v>
      </c>
      <c r="EF78" s="129">
        <f>currentAssets-currentLiabilities</f>
        <v>21450</v>
      </c>
      <c r="EG78" s="129">
        <f>currentAssets-currentLiabilities</f>
        <v>18252</v>
      </c>
      <c r="EH78" s="80">
        <f>currentAssets-currentLiabilities</f>
        <v>18252</v>
      </c>
      <c r="EI78" s="134" t="str">
        <f>currentAssets-currentLiabilities</f>
        <v>#ERROR!</v>
      </c>
      <c r="EJ78" s="128" t="str">
        <f>currentAssets-currentLiabilities</f>
        <v>#ERROR!</v>
      </c>
      <c r="EK78" s="128" t="str">
        <f>currentAssets-currentLiabilities</f>
        <v>#ERROR!</v>
      </c>
      <c r="EL78" s="128" t="str">
        <f>currentAssets-currentLiabilities</f>
        <v>#ERROR!</v>
      </c>
      <c r="EM78" s="80" t="str">
        <f>currentAssets-currentLiabilities</f>
        <v>#ERROR!</v>
      </c>
      <c r="EN78" s="128" t="str">
        <f>currentAssets-currentLiabilities</f>
        <v>#ERROR!</v>
      </c>
      <c r="EO78" s="128" t="str">
        <f>currentAssets-currentLiabilities</f>
        <v>#ERROR!</v>
      </c>
      <c r="EP78" s="128" t="str">
        <f>currentAssets-currentLiabilities</f>
        <v>#ERROR!</v>
      </c>
      <c r="EQ78" s="128" t="str">
        <f>currentAssets-currentLiabilities</f>
        <v>#ERROR!</v>
      </c>
      <c r="ER78" s="80" t="str">
        <f>currentAssets-currentLiabilities</f>
        <v>#ERROR!</v>
      </c>
      <c r="ES78" s="128" t="str">
        <f>currentAssets-currentLiabilities</f>
        <v>#ERROR!</v>
      </c>
      <c r="ET78" s="128" t="str">
        <f>currentAssets-currentLiabilities</f>
        <v>#ERROR!</v>
      </c>
      <c r="EU78" s="128" t="str">
        <f>currentAssets-currentLiabilities</f>
        <v>#ERROR!</v>
      </c>
      <c r="EV78" s="128" t="str">
        <f>currentAssets-currentLiabilities</f>
        <v>#ERROR!</v>
      </c>
      <c r="EW78" s="80" t="str">
        <f>currentAssets-currentLiabilities</f>
        <v>#ERROR!</v>
      </c>
      <c r="EX78" s="128" t="str">
        <f>currentAssets-currentLiabilities</f>
        <v>#ERROR!</v>
      </c>
      <c r="EY78" s="128" t="str">
        <f>currentAssets-currentLiabilities</f>
        <v>#ERROR!</v>
      </c>
      <c r="EZ78" s="128" t="str">
        <f>currentAssets-currentLiabilities</f>
        <v>#ERROR!</v>
      </c>
      <c r="FA78" s="128" t="str">
        <f>currentAssets-currentLiabilities</f>
        <v>#ERROR!</v>
      </c>
      <c r="FB78" s="80" t="str">
        <f>currentAssets-currentLiabilities</f>
        <v>#ERROR!</v>
      </c>
      <c r="FC78" s="128" t="str">
        <f>currentAssets-currentLiabilities</f>
        <v>#ERROR!</v>
      </c>
      <c r="FD78" s="128" t="str">
        <f>currentAssets-currentLiabilities</f>
        <v>#ERROR!</v>
      </c>
      <c r="FE78" s="128" t="str">
        <f>currentAssets-currentLiabilities</f>
        <v>#ERROR!</v>
      </c>
      <c r="FF78" s="128" t="str">
        <f>currentAssets-currentLiabilities</f>
        <v>#ERROR!</v>
      </c>
      <c r="FG78" s="80" t="str">
        <f>currentAssets-currentLiabilities</f>
        <v>#ERROR!</v>
      </c>
    </row>
    <row r="79" ht="12.75" customHeight="1">
      <c r="A79" s="4"/>
      <c r="B79" s="180" t="s">
        <v>560</v>
      </c>
      <c r="C79" s="128"/>
      <c r="D79" s="128"/>
      <c r="E79" s="128"/>
      <c r="F79" s="128"/>
      <c r="G79" s="128"/>
      <c r="H79" s="128"/>
      <c r="I79" s="128"/>
      <c r="J79" s="128"/>
      <c r="K79" s="128"/>
      <c r="L79" s="128"/>
      <c r="M79" s="128"/>
      <c r="N79" s="128">
        <f>N78-cashNInvestments-TradingAssets+STDebt</f>
        <v>174</v>
      </c>
      <c r="O79" s="128">
        <f>O78-cashNInvestments-TradingAssets+STDebt</f>
        <v>1658</v>
      </c>
      <c r="P79" s="128">
        <f>P78-cashNInvestments-TradingAssets+STDebt</f>
        <v>962</v>
      </c>
      <c r="Q79" s="128">
        <f>Q78-cashNInvestments-TradingAssets+STDebt</f>
        <v>204</v>
      </c>
      <c r="R79" s="112">
        <f>R78-cashNInvestments-TradingAssets+STDebt</f>
        <v>204</v>
      </c>
      <c r="S79" s="128">
        <f>S78-cashNInvestments-TradingAssets+STDebt</f>
        <v>-174</v>
      </c>
      <c r="T79" s="128">
        <f>T78-cashNInvestments-TradingAssets+STDebt</f>
        <v>882</v>
      </c>
      <c r="U79" s="128">
        <f>U78-cashNInvestments-TradingAssets+STDebt</f>
        <v>-200</v>
      </c>
      <c r="V79" s="128">
        <f>V78-cashNInvestments-TradingAssets+STDebt</f>
        <v>-838</v>
      </c>
      <c r="W79" s="112">
        <f>W78-cashNInvestments-TradingAssets+STDebt</f>
        <v>-838</v>
      </c>
      <c r="X79" s="128">
        <f>X78-cashNInvestments-TradingAssets+STDebt</f>
        <v>-525</v>
      </c>
      <c r="Y79" s="128">
        <f>Y78-cashNInvestments-TradingAssets+STDebt</f>
        <v>-1045</v>
      </c>
      <c r="Z79" s="128">
        <f>Z78-cashNInvestments-TradingAssets+STDebt</f>
        <v>-686</v>
      </c>
      <c r="AA79" s="128">
        <f>AA78-cashNInvestments-TradingAssets+STDebt</f>
        <v>-945</v>
      </c>
      <c r="AB79" s="112">
        <f>AB78-cashNInvestments-TradingAssets+STDebt</f>
        <v>-945</v>
      </c>
      <c r="AC79" s="128">
        <f>AC78-cashNInvestments-TradingAssets+STDebt</f>
        <v>228</v>
      </c>
      <c r="AD79" s="128">
        <f>AD78-cashNInvestments-TradingAssets+STDebt</f>
        <v>338</v>
      </c>
      <c r="AE79" s="128">
        <f>AE78-cashNInvestments-TradingAssets+STDebt</f>
        <v>759</v>
      </c>
      <c r="AF79" s="128">
        <f>AF78-cashNInvestments-TradingAssets+STDebt</f>
        <v>-78</v>
      </c>
      <c r="AG79" s="112">
        <f>AG78-cashNInvestments-TradingAssets+STDebt</f>
        <v>-78</v>
      </c>
      <c r="AH79" s="17">
        <f>AH78-cashNInvestments-TradingAssets+STDebt</f>
        <v>448</v>
      </c>
      <c r="AI79" s="17">
        <f>AI78-cashNInvestments-TradingAssets+STDebt</f>
        <v>1229</v>
      </c>
      <c r="AJ79" s="17">
        <f>AJ78-cashNInvestments-TradingAssets+STDebt</f>
        <v>839</v>
      </c>
      <c r="AK79" s="17">
        <f>AK78-cashNInvestments-TradingAssets+STDebt</f>
        <v>179</v>
      </c>
      <c r="AL79" s="112">
        <f>AL78-cashNInvestments-TradingAssets+STDebt</f>
        <v>179</v>
      </c>
      <c r="AM79" s="128">
        <f>AM78-cashNInvestments-TradingAssets+STDebt</f>
        <v>755</v>
      </c>
      <c r="AN79" s="128">
        <f>AN78-cashNInvestments-TradingAssets+STDebt</f>
        <v>152</v>
      </c>
      <c r="AO79" s="128">
        <f>AO78-cashNInvestments-TradingAssets+STDebt</f>
        <v>-19</v>
      </c>
      <c r="AP79" s="128">
        <f>AP78-cashNInvestments-TradingAssets+STDebt</f>
        <v>63</v>
      </c>
      <c r="AQ79" s="112">
        <f>AQ78-cashNInvestments-TradingAssets+STDebt</f>
        <v>63</v>
      </c>
      <c r="AR79" s="128">
        <f>AR78-cashNInvestments-TradingAssets+STDebt</f>
        <v>1253</v>
      </c>
      <c r="AS79" s="128">
        <f>AS78-cashNInvestments-TradingAssets+STDebt</f>
        <v>464</v>
      </c>
      <c r="AT79" s="128">
        <f>AT78-cashNInvestments-TradingAssets+STDebt</f>
        <v>236</v>
      </c>
      <c r="AU79" s="128">
        <f>AU78-cashNInvestments-TradingAssets+STDebt</f>
        <v>-919</v>
      </c>
      <c r="AV79" s="112">
        <f>AV78-cashNInvestments-TradingAssets+STDebt</f>
        <v>-919</v>
      </c>
      <c r="AW79" s="128">
        <f>AW78-cashNInvestments-TradingAssets+STDebt</f>
        <v>-989</v>
      </c>
      <c r="AX79" s="128">
        <f>AX78-cashNInvestments-TradingAssets+STDebt</f>
        <v>-96</v>
      </c>
      <c r="AY79" s="128">
        <f>AY78-cashNInvestments-TradingAssets+STDebt</f>
        <v>-1456</v>
      </c>
      <c r="AZ79" s="128">
        <f>AZ78-cashNInvestments-TradingAssets+STDebt</f>
        <v>-499</v>
      </c>
      <c r="BA79" s="112">
        <f>BA78-cashNInvestments-TradingAssets+STDebt</f>
        <v>-499</v>
      </c>
      <c r="BB79" s="128">
        <f>BB78-cashNInvestments-TradingAssets+STDebt</f>
        <v>-711</v>
      </c>
      <c r="BC79" s="128">
        <f>BC78-cashNInvestments-TradingAssets+STDebt</f>
        <v>977</v>
      </c>
      <c r="BD79" s="128">
        <f>BD78-cashNInvestments-TradingAssets+STDebt</f>
        <v>524</v>
      </c>
      <c r="BE79" s="128">
        <f>BE78-cashNInvestments-TradingAssets+STDebt</f>
        <v>-56</v>
      </c>
      <c r="BF79" s="112">
        <f>BF78-cashNInvestments-TradingAssets+STDebt</f>
        <v>-56</v>
      </c>
      <c r="BG79" s="128">
        <f>BG78-cashNInvestments-TradingAssets+STDebt</f>
        <v>2183</v>
      </c>
      <c r="BH79" s="128">
        <f>BH78-cashNInvestments-TradingAssets+STDebt</f>
        <v>2744</v>
      </c>
      <c r="BI79" s="128">
        <f>BI78-cashNInvestments-TradingAssets+STDebt</f>
        <v>779</v>
      </c>
      <c r="BJ79" s="128">
        <f>BJ78-cashNInvestments-TradingAssets+STDebt</f>
        <v>93</v>
      </c>
      <c r="BK79" s="112">
        <f>BK78-cashNInvestments-TradingAssets+STDebt</f>
        <v>93</v>
      </c>
      <c r="BL79" s="128">
        <f>BL78-cashNInvestments-TradingAssets+STDebt</f>
        <v>-107</v>
      </c>
      <c r="BM79" s="128">
        <f>BM78-cashNInvestments-TradingAssets+STDebt</f>
        <v>-40</v>
      </c>
      <c r="BN79" s="128">
        <f>BN78-cashNInvestments-TradingAssets+STDebt</f>
        <v>-382</v>
      </c>
      <c r="BO79" s="128">
        <f>BO78-cashNInvestments-TradingAssets+STDebt</f>
        <v>312</v>
      </c>
      <c r="BP79" s="112">
        <f>BP78-cashNInvestments-TradingAssets+STDebt</f>
        <v>312</v>
      </c>
      <c r="BQ79" s="128">
        <f>BQ78-cashNInvestments-TradingAssets+STDebt</f>
        <v>1233</v>
      </c>
      <c r="BR79" s="128">
        <f>BR78-cashNInvestments-TradingAssets+STDebt</f>
        <v>-212</v>
      </c>
      <c r="BS79" s="128">
        <f>BS78-cashNInvestments-TradingAssets+STDebt</f>
        <v>-1409</v>
      </c>
      <c r="BT79" s="128">
        <f>BT78-cashNInvestments-TradingAssets+STDebt</f>
        <v>-182</v>
      </c>
      <c r="BU79" s="112">
        <f>BU78-cashNInvestments-TradingAssets+STDebt</f>
        <v>-182</v>
      </c>
      <c r="BV79" s="128">
        <f>BV78-cashNInvestments-TradingAssets+STDebt</f>
        <v>-1200</v>
      </c>
      <c r="BW79" s="128">
        <f>BW78-cashNInvestments-TradingAssets+STDebt</f>
        <v>439</v>
      </c>
      <c r="BX79" s="128">
        <f>BX78-cashNInvestments-TradingAssets+STDebt</f>
        <v>171</v>
      </c>
      <c r="BY79" s="128">
        <f>BY78-cashNInvestments-TradingAssets+STDebt</f>
        <v>437</v>
      </c>
      <c r="BZ79" s="112">
        <f>BZ78-cashNInvestments-TradingAssets+STDebt</f>
        <v>437</v>
      </c>
      <c r="CA79" s="128">
        <f>CA78-cashNInvestments-TradingAssets+STDebt</f>
        <v>-694</v>
      </c>
      <c r="CB79" s="128">
        <f>CB78-cashNInvestments-TradingAssets+STDebt</f>
        <v>1272</v>
      </c>
      <c r="CC79" s="128">
        <f>CC78-cashNInvestments-TradingAssets+STDebt</f>
        <v>-343</v>
      </c>
      <c r="CD79" s="128">
        <f>CD78-cashNInvestments-TradingAssets+STDebt</f>
        <v>-746</v>
      </c>
      <c r="CE79" s="112">
        <f>CE78-cashNInvestments-TradingAssets+STDebt</f>
        <v>-746</v>
      </c>
      <c r="CF79" s="128">
        <f>CF78-cashNInvestments-TradingAssets+STDebt</f>
        <v>89</v>
      </c>
      <c r="CG79" s="128">
        <f>CG78-cashNInvestments-TradingAssets+STDebt</f>
        <v>1691</v>
      </c>
      <c r="CH79" s="128">
        <f>CH78-cashNInvestments-TradingAssets+STDebt</f>
        <v>652</v>
      </c>
      <c r="CI79" s="128">
        <f>CI78-cashNInvestments-TradingAssets+STDebt</f>
        <v>610</v>
      </c>
      <c r="CJ79" s="112">
        <f>CJ78-cashNInvestments-TradingAssets+STDebt</f>
        <v>610</v>
      </c>
      <c r="CK79" s="128">
        <f>CK78-cashNInvestments-TradingAssets+STDebt</f>
        <v>-106</v>
      </c>
      <c r="CL79" s="128">
        <f>CL78-cashNInvestments-TradingAssets+STDebt</f>
        <v>572</v>
      </c>
      <c r="CM79" s="128">
        <f>CM78-cashNInvestments-TradingAssets+STDebt</f>
        <v>-1321</v>
      </c>
      <c r="CN79" s="128">
        <f>CN78-cashNInvestments-TradingAssets+STDebt</f>
        <v>-1290</v>
      </c>
      <c r="CO79" s="112">
        <f>CO78-cashNInvestments-TradingAssets+STDebt</f>
        <v>-1290</v>
      </c>
      <c r="CP79" s="128">
        <f>CP78-cashNInvestments-TradingAssets+STDebt</f>
        <v>-2008</v>
      </c>
      <c r="CQ79" s="128">
        <f>CQ78-cashNInvestments-TradingAssets+STDebt</f>
        <v>-542</v>
      </c>
      <c r="CR79" s="128">
        <f>CR78-cashNInvestments-TradingAssets+STDebt</f>
        <v>-1825</v>
      </c>
      <c r="CS79" s="128">
        <f>CS78-cashNInvestments-TradingAssets+STDebt</f>
        <v>-739</v>
      </c>
      <c r="CT79" s="112">
        <f>CT78-cashNInvestments-TradingAssets+STDebt</f>
        <v>-739</v>
      </c>
      <c r="CU79" s="128">
        <f>CU78-cashNInvestments-TradingAssets+STDebt</f>
        <v>-1566</v>
      </c>
      <c r="CV79" s="128">
        <f>CV78-cashNInvestments-TradingAssets+STDebt</f>
        <v>429</v>
      </c>
      <c r="CW79" s="128">
        <f>CW78-cashNInvestments-TradingAssets+STDebt</f>
        <v>1411</v>
      </c>
      <c r="CX79" s="128">
        <f>CX78-cashNInvestments-TradingAssets+STDebt</f>
        <v>2010</v>
      </c>
      <c r="CY79" s="80">
        <f>CY78-cashNInvestments-TradingAssets+STDebt</f>
        <v>2010</v>
      </c>
      <c r="CZ79" s="128">
        <f>CZ78-cashNInvestments-TradingAssets+STDebt</f>
        <v>-1626</v>
      </c>
      <c r="DA79" s="128">
        <f>DA78-cashNInvestments-TradingAssets+STDebt</f>
        <v>-652</v>
      </c>
      <c r="DB79" s="128">
        <f>DB78-cashNInvestments-TradingAssets+STDebt</f>
        <v>1927</v>
      </c>
      <c r="DC79" s="128">
        <f>DC78-cashNInvestments-TradingAssets+STDebt</f>
        <v>2741</v>
      </c>
      <c r="DD79" s="80">
        <f>DD78-cashNInvestments-TradingAssets+STDebt</f>
        <v>2741</v>
      </c>
      <c r="DE79" s="128">
        <f>DE78-cashNInvestments-TradingAssets+STDebt</f>
        <v>2531</v>
      </c>
      <c r="DF79" s="128">
        <f>DF78-cashNInvestments-TradingAssets+STDebt</f>
        <v>36</v>
      </c>
      <c r="DG79" s="129">
        <f>DG78-cashNInvestments-TradingAssets+STDebt</f>
        <v>-897</v>
      </c>
      <c r="DH79" s="128">
        <f>DH78-cashNInvestments-TradingAssets+STDebt</f>
        <v>-147</v>
      </c>
      <c r="DI79" s="80">
        <f>DI78-cashNInvestments-TradingAssets+STDebt</f>
        <v>-147</v>
      </c>
      <c r="DJ79" s="129">
        <f>DJ78-cashNInvestments-TradingAssets+STDebt</f>
        <v>-686</v>
      </c>
      <c r="DK79" s="129">
        <f>DK78-cashNInvestments-TradingAssets+STDebt</f>
        <v>1317</v>
      </c>
      <c r="DL79" s="129">
        <f>DL78-cashNInvestments-TradingAssets+STDebt</f>
        <v>-119</v>
      </c>
      <c r="DM79" s="129">
        <f>DM78-cashNInvestments-TradingAssets+STDebt</f>
        <v>1772</v>
      </c>
      <c r="DN79" s="80">
        <f>DN78-cashNInvestments-TradingAssets+STDebt</f>
        <v>1772</v>
      </c>
      <c r="DO79" s="129">
        <f>DO78-cashNInvestments-TradingAssets+STDebt</f>
        <v>866</v>
      </c>
      <c r="DP79" s="129">
        <f>DP78-cashNInvestments-TradingAssets+STDebt</f>
        <v>1316</v>
      </c>
      <c r="DQ79" s="129">
        <f>DQ78-cashNInvestments-TradingAssets+STDebt</f>
        <v>-1932</v>
      </c>
      <c r="DR79" s="129">
        <f>DR78-cashNInvestments-TradingAssets+STDebt</f>
        <v>-501</v>
      </c>
      <c r="DS79" s="80">
        <f>DS78-cashNInvestments-TradingAssets+STDebt</f>
        <v>-501</v>
      </c>
      <c r="DT79" s="129">
        <f>DT78-cashNInvestments-TradingAssets+STDebt</f>
        <v>267</v>
      </c>
      <c r="DU79" s="129">
        <f>DU78-cashNInvestments-TradingAssets+STDebt</f>
        <v>-1652</v>
      </c>
      <c r="DV79" s="129">
        <f>DV78-cashNInvestments-TradingAssets+STDebt</f>
        <v>-3076</v>
      </c>
      <c r="DW79" s="129">
        <f>DW78-cashNInvestments-TradingAssets+STDebt</f>
        <v>1104</v>
      </c>
      <c r="DX79" s="80">
        <f>DX78-cashNInvestments-TradingAssets+STDebt</f>
        <v>1104</v>
      </c>
      <c r="DY79" s="129">
        <f>DY78-cashNInvestments-TradingAssets+STDebt</f>
        <v>1872</v>
      </c>
      <c r="DZ79" s="129">
        <f>DZ78-cashNInvestments-TradingAssets+STDebt</f>
        <v>3374</v>
      </c>
      <c r="EA79" s="129">
        <f>EA78-cashNInvestments-TradingAssets+STDebt</f>
        <v>1791</v>
      </c>
      <c r="EB79" s="129">
        <f>EB78-cashNInvestments-TradingAssets+STDebt</f>
        <v>6434</v>
      </c>
      <c r="EC79" s="80">
        <f>EC78-cashNInvestments-TradingAssets+STDebt</f>
        <v>6434</v>
      </c>
      <c r="ED79" s="129">
        <f>ED78-cashNInvestments-TradingAssets+STDebt</f>
        <v>-991</v>
      </c>
      <c r="EE79" s="129">
        <f>EE78-cashNInvestments-TradingAssets+STDebt</f>
        <v>-792</v>
      </c>
      <c r="EF79" s="129">
        <f>EF78-cashNInvestments-TradingAssets+STDebt</f>
        <v>1174</v>
      </c>
      <c r="EG79" s="129">
        <f>EG78-cashNInvestments-TradingAssets+STDebt</f>
        <v>-5719</v>
      </c>
      <c r="EH79" s="80">
        <f>EH78-cashNInvestments-TradingAssets+STDebt</f>
        <v>-5719</v>
      </c>
      <c r="EI79" s="134" t="str">
        <f>EI78-cashNInvestments-TradingAssets+STDebt</f>
        <v>#ERROR!</v>
      </c>
      <c r="EJ79" s="128" t="str">
        <f>EJ78-cashNInvestments-TradingAssets+STDebt</f>
        <v>#ERROR!</v>
      </c>
      <c r="EK79" s="128" t="str">
        <f>EK78-cashNInvestments-TradingAssets+STDebt</f>
        <v>#ERROR!</v>
      </c>
      <c r="EL79" s="128" t="str">
        <f>EL78-cashNInvestments-TradingAssets+STDebt</f>
        <v>#ERROR!</v>
      </c>
      <c r="EM79" s="80" t="str">
        <f>EM78-cashNInvestments-TradingAssets+STDebt</f>
        <v>#ERROR!</v>
      </c>
      <c r="EN79" s="128" t="str">
        <f>EN78-cashNInvestments-TradingAssets+STDebt</f>
        <v>#ERROR!</v>
      </c>
      <c r="EO79" s="128" t="str">
        <f>EO78-cashNInvestments-TradingAssets+STDebt</f>
        <v>#ERROR!</v>
      </c>
      <c r="EP79" s="128" t="str">
        <f>EP78-cashNInvestments-TradingAssets+STDebt</f>
        <v>#ERROR!</v>
      </c>
      <c r="EQ79" s="128" t="str">
        <f>EQ78-cashNInvestments-TradingAssets+STDebt</f>
        <v>#ERROR!</v>
      </c>
      <c r="ER79" s="80" t="str">
        <f>ER78-cashNInvestments-TradingAssets+STDebt</f>
        <v>#ERROR!</v>
      </c>
      <c r="ES79" s="128" t="str">
        <f>ES78-cashNInvestments-TradingAssets+STDebt</f>
        <v>#ERROR!</v>
      </c>
      <c r="ET79" s="128" t="str">
        <f>ET78-cashNInvestments-TradingAssets+STDebt</f>
        <v>#ERROR!</v>
      </c>
      <c r="EU79" s="128" t="str">
        <f>EU78-cashNInvestments-TradingAssets+STDebt</f>
        <v>#ERROR!</v>
      </c>
      <c r="EV79" s="128" t="str">
        <f>EV78-cashNInvestments-TradingAssets+STDebt</f>
        <v>#ERROR!</v>
      </c>
      <c r="EW79" s="80" t="str">
        <f>EW78-cashNInvestments-TradingAssets+STDebt</f>
        <v>#ERROR!</v>
      </c>
      <c r="EX79" s="128" t="str">
        <f>EX78-cashNInvestments-TradingAssets+STDebt</f>
        <v>#ERROR!</v>
      </c>
      <c r="EY79" s="128" t="str">
        <f>EY78-cashNInvestments-TradingAssets+STDebt</f>
        <v>#ERROR!</v>
      </c>
      <c r="EZ79" s="128" t="str">
        <f>EZ78-cashNInvestments-TradingAssets+STDebt</f>
        <v>#ERROR!</v>
      </c>
      <c r="FA79" s="128" t="str">
        <f>FA78-cashNInvestments-TradingAssets+STDebt</f>
        <v>#ERROR!</v>
      </c>
      <c r="FB79" s="80" t="str">
        <f>FB78-cashNInvestments-TradingAssets+STDebt</f>
        <v>#ERROR!</v>
      </c>
      <c r="FC79" s="128" t="str">
        <f>FC78-cashNInvestments-TradingAssets+STDebt</f>
        <v>#ERROR!</v>
      </c>
      <c r="FD79" s="128" t="str">
        <f>FD78-cashNInvestments-TradingAssets+STDebt</f>
        <v>#ERROR!</v>
      </c>
      <c r="FE79" s="128" t="str">
        <f>FE78-cashNInvestments-TradingAssets+STDebt</f>
        <v>#ERROR!</v>
      </c>
      <c r="FF79" s="128" t="str">
        <f>FF78-cashNInvestments-TradingAssets+STDebt</f>
        <v>#ERROR!</v>
      </c>
      <c r="FG79" s="80" t="str">
        <f>FG78-cashNInvestments-TradingAssets+STDebt</f>
        <v>#ERROR!</v>
      </c>
    </row>
    <row r="80" ht="12.75" customHeight="1">
      <c r="A80" s="4"/>
      <c r="B80" s="180" t="s">
        <v>561</v>
      </c>
      <c r="C80" s="128"/>
      <c r="D80" s="128"/>
      <c r="E80" s="128"/>
      <c r="F80" s="128"/>
      <c r="G80" s="128"/>
      <c r="H80" s="128"/>
      <c r="I80" s="128"/>
      <c r="J80" s="128"/>
      <c r="K80" s="128"/>
      <c r="L80" s="128"/>
      <c r="M80" s="128"/>
      <c r="N80" s="128"/>
      <c r="O80" s="128">
        <f t="shared" ref="O80:Q80" si="570">O79-N79</f>
        <v>1484</v>
      </c>
      <c r="P80" s="128">
        <f t="shared" si="570"/>
        <v>-696</v>
      </c>
      <c r="Q80" s="128">
        <f t="shared" si="570"/>
        <v>-758</v>
      </c>
      <c r="R80" s="112"/>
      <c r="S80" s="128">
        <f>S79-Q79</f>
        <v>-378</v>
      </c>
      <c r="T80" s="128">
        <f t="shared" ref="T80:V80" si="571">T79-S79</f>
        <v>1056</v>
      </c>
      <c r="U80" s="128">
        <f t="shared" si="571"/>
        <v>-1082</v>
      </c>
      <c r="V80" s="128">
        <f t="shared" si="571"/>
        <v>-638</v>
      </c>
      <c r="W80" s="112">
        <f>+W79-R79</f>
        <v>-1042</v>
      </c>
      <c r="X80" s="128">
        <f>X79-V79</f>
        <v>313</v>
      </c>
      <c r="Y80" s="128">
        <f t="shared" ref="Y80:AA80" si="572">Y79-X79</f>
        <v>-520</v>
      </c>
      <c r="Z80" s="128">
        <f t="shared" si="572"/>
        <v>359</v>
      </c>
      <c r="AA80" s="128">
        <f t="shared" si="572"/>
        <v>-259</v>
      </c>
      <c r="AB80" s="112">
        <f>+AB79-W79</f>
        <v>-107</v>
      </c>
      <c r="AC80" s="128">
        <f>AC79-AA79</f>
        <v>1173</v>
      </c>
      <c r="AD80" s="128">
        <f t="shared" ref="AD80:AF80" si="573">AD79-AC79</f>
        <v>110</v>
      </c>
      <c r="AE80" s="128">
        <f t="shared" si="573"/>
        <v>421</v>
      </c>
      <c r="AF80" s="128">
        <f t="shared" si="573"/>
        <v>-837</v>
      </c>
      <c r="AG80" s="112">
        <f>+AG79-AB79</f>
        <v>867</v>
      </c>
      <c r="AH80" s="17">
        <f>AH79-AF79</f>
        <v>526</v>
      </c>
      <c r="AI80" s="17">
        <f t="shared" ref="AI80:AK80" si="574">AI79-AH79</f>
        <v>781</v>
      </c>
      <c r="AJ80" s="17">
        <f t="shared" si="574"/>
        <v>-390</v>
      </c>
      <c r="AK80" s="17">
        <f t="shared" si="574"/>
        <v>-660</v>
      </c>
      <c r="AL80" s="112">
        <f>+AL79-AG79</f>
        <v>257</v>
      </c>
      <c r="AM80" s="128">
        <f>AM79-AK79</f>
        <v>576</v>
      </c>
      <c r="AN80" s="128">
        <f t="shared" ref="AN80:AP80" si="575">AN79-AM79</f>
        <v>-603</v>
      </c>
      <c r="AO80" s="128">
        <f t="shared" si="575"/>
        <v>-171</v>
      </c>
      <c r="AP80" s="128">
        <f t="shared" si="575"/>
        <v>82</v>
      </c>
      <c r="AQ80" s="112">
        <f>+AQ79-AL79</f>
        <v>-116</v>
      </c>
      <c r="AR80" s="128">
        <f>AR79-AP79</f>
        <v>1190</v>
      </c>
      <c r="AS80" s="128">
        <f t="shared" ref="AS80:AU80" si="576">AS79-AR79</f>
        <v>-789</v>
      </c>
      <c r="AT80" s="128">
        <f t="shared" si="576"/>
        <v>-228</v>
      </c>
      <c r="AU80" s="128">
        <f t="shared" si="576"/>
        <v>-1155</v>
      </c>
      <c r="AV80" s="112">
        <f>+AV79-AQ79</f>
        <v>-982</v>
      </c>
      <c r="AW80" s="128">
        <f>AW79-AU79</f>
        <v>-70</v>
      </c>
      <c r="AX80" s="128">
        <f t="shared" ref="AX80:AZ80" si="577">AX79-AW79</f>
        <v>893</v>
      </c>
      <c r="AY80" s="128">
        <f t="shared" si="577"/>
        <v>-1360</v>
      </c>
      <c r="AZ80" s="128">
        <f t="shared" si="577"/>
        <v>957</v>
      </c>
      <c r="BA80" s="112">
        <f>+BA79-AV79</f>
        <v>420</v>
      </c>
      <c r="BB80" s="128">
        <f>BB79-AZ79</f>
        <v>-212</v>
      </c>
      <c r="BC80" s="128">
        <f t="shared" ref="BC80:BE80" si="578">BC79-BB79</f>
        <v>1688</v>
      </c>
      <c r="BD80" s="128">
        <f t="shared" si="578"/>
        <v>-453</v>
      </c>
      <c r="BE80" s="128">
        <f t="shared" si="578"/>
        <v>-580</v>
      </c>
      <c r="BF80" s="112">
        <f>+BF79-BA79</f>
        <v>443</v>
      </c>
      <c r="BG80" s="128">
        <f>BG79-BE79</f>
        <v>2239</v>
      </c>
      <c r="BH80" s="128">
        <f t="shared" ref="BH80:BJ80" si="579">BH79-BG79</f>
        <v>561</v>
      </c>
      <c r="BI80" s="128">
        <f t="shared" si="579"/>
        <v>-1965</v>
      </c>
      <c r="BJ80" s="128">
        <f t="shared" si="579"/>
        <v>-686</v>
      </c>
      <c r="BK80" s="112">
        <f>+BK79-BF79</f>
        <v>149</v>
      </c>
      <c r="BL80" s="128">
        <f>BL79-BJ79</f>
        <v>-200</v>
      </c>
      <c r="BM80" s="128">
        <f t="shared" ref="BM80:BO80" si="580">BM79-BL79</f>
        <v>67</v>
      </c>
      <c r="BN80" s="128">
        <f t="shared" si="580"/>
        <v>-342</v>
      </c>
      <c r="BO80" s="128">
        <f t="shared" si="580"/>
        <v>694</v>
      </c>
      <c r="BP80" s="112">
        <f>+BP79-BK79</f>
        <v>219</v>
      </c>
      <c r="BQ80" s="128">
        <f>BQ79-BO79</f>
        <v>921</v>
      </c>
      <c r="BR80" s="128">
        <f t="shared" ref="BR80:BT80" si="581">BR79-BQ79</f>
        <v>-1445</v>
      </c>
      <c r="BS80" s="128">
        <f t="shared" si="581"/>
        <v>-1197</v>
      </c>
      <c r="BT80" s="128">
        <f t="shared" si="581"/>
        <v>1227</v>
      </c>
      <c r="BU80" s="112">
        <f>+BU79-BP79</f>
        <v>-494</v>
      </c>
      <c r="BV80" s="128">
        <f>BV79-BT79</f>
        <v>-1018</v>
      </c>
      <c r="BW80" s="128">
        <f t="shared" ref="BW80:BY80" si="582">BW79-BV79</f>
        <v>1639</v>
      </c>
      <c r="BX80" s="128">
        <f t="shared" si="582"/>
        <v>-268</v>
      </c>
      <c r="BY80" s="128">
        <f t="shared" si="582"/>
        <v>266</v>
      </c>
      <c r="BZ80" s="112">
        <f>+BZ79-BU79</f>
        <v>619</v>
      </c>
      <c r="CA80" s="128">
        <f>CA79-BY79</f>
        <v>-1131</v>
      </c>
      <c r="CB80" s="128">
        <f t="shared" ref="CB80:CD80" si="583">CB79-CA79</f>
        <v>1966</v>
      </c>
      <c r="CC80" s="128">
        <f t="shared" si="583"/>
        <v>-1615</v>
      </c>
      <c r="CD80" s="128">
        <f t="shared" si="583"/>
        <v>-403</v>
      </c>
      <c r="CE80" s="112">
        <f>+CE79-BZ79</f>
        <v>-1183</v>
      </c>
      <c r="CF80" s="128">
        <f>CF79-CD79</f>
        <v>835</v>
      </c>
      <c r="CG80" s="128">
        <f t="shared" ref="CG80:CI80" si="584">CG79-CF79</f>
        <v>1602</v>
      </c>
      <c r="CH80" s="128">
        <f t="shared" si="584"/>
        <v>-1039</v>
      </c>
      <c r="CI80" s="128">
        <f t="shared" si="584"/>
        <v>-42</v>
      </c>
      <c r="CJ80" s="112">
        <f>+CJ79-CE79</f>
        <v>1356</v>
      </c>
      <c r="CK80" s="128">
        <f>CK79-CI79</f>
        <v>-716</v>
      </c>
      <c r="CL80" s="128">
        <f t="shared" ref="CL80:CN80" si="585">CL79-CK79</f>
        <v>678</v>
      </c>
      <c r="CM80" s="128">
        <f t="shared" si="585"/>
        <v>-1893</v>
      </c>
      <c r="CN80" s="128">
        <f t="shared" si="585"/>
        <v>31</v>
      </c>
      <c r="CO80" s="112">
        <f>+CO79-CJ79</f>
        <v>-1900</v>
      </c>
      <c r="CP80" s="128">
        <f>CP79-CN79</f>
        <v>-718</v>
      </c>
      <c r="CQ80" s="128">
        <f t="shared" ref="CQ80:CS80" si="586">CQ79-CP79</f>
        <v>1466</v>
      </c>
      <c r="CR80" s="128">
        <f t="shared" si="586"/>
        <v>-1283</v>
      </c>
      <c r="CS80" s="128">
        <f t="shared" si="586"/>
        <v>1086</v>
      </c>
      <c r="CT80" s="112">
        <f>+CT79-CO79</f>
        <v>551</v>
      </c>
      <c r="CU80" s="128">
        <f>CU79-CS79</f>
        <v>-827</v>
      </c>
      <c r="CV80" s="128">
        <f t="shared" ref="CV80:CX80" si="587">CV79-CU79</f>
        <v>1995</v>
      </c>
      <c r="CW80" s="128">
        <f t="shared" si="587"/>
        <v>982</v>
      </c>
      <c r="CX80" s="128">
        <f t="shared" si="587"/>
        <v>599</v>
      </c>
      <c r="CY80" s="80">
        <f>+CY79-CT79</f>
        <v>2749</v>
      </c>
      <c r="CZ80" s="128">
        <f>CZ79-CX79</f>
        <v>-3636</v>
      </c>
      <c r="DA80" s="128">
        <f t="shared" ref="DA80:DC80" si="588">DA79-CZ79</f>
        <v>974</v>
      </c>
      <c r="DB80" s="128">
        <f t="shared" si="588"/>
        <v>2579</v>
      </c>
      <c r="DC80" s="128">
        <f t="shared" si="588"/>
        <v>814</v>
      </c>
      <c r="DD80" s="80">
        <f>+DD79-CY79</f>
        <v>731</v>
      </c>
      <c r="DE80" s="128">
        <f>DE79-DC79</f>
        <v>-210</v>
      </c>
      <c r="DF80" s="128">
        <f t="shared" ref="DF80:DH80" si="589">DF79-DE79</f>
        <v>-2495</v>
      </c>
      <c r="DG80" s="129">
        <f t="shared" si="589"/>
        <v>-933</v>
      </c>
      <c r="DH80" s="128">
        <f t="shared" si="589"/>
        <v>750</v>
      </c>
      <c r="DI80" s="80">
        <f>+DI79-DD79</f>
        <v>-2888</v>
      </c>
      <c r="DJ80" s="129">
        <f>DJ79-DH79</f>
        <v>-539</v>
      </c>
      <c r="DK80" s="129">
        <f t="shared" ref="DK80:DM80" si="590">DK79-DJ79</f>
        <v>2003</v>
      </c>
      <c r="DL80" s="129">
        <f t="shared" si="590"/>
        <v>-1436</v>
      </c>
      <c r="DM80" s="129">
        <f t="shared" si="590"/>
        <v>1891</v>
      </c>
      <c r="DN80" s="80">
        <f>+DN79-DI79</f>
        <v>1919</v>
      </c>
      <c r="DO80" s="129">
        <f>DO79-DM79</f>
        <v>-906</v>
      </c>
      <c r="DP80" s="129">
        <f t="shared" ref="DP80:DR80" si="591">DP79-DO79</f>
        <v>450</v>
      </c>
      <c r="DQ80" s="129">
        <f t="shared" si="591"/>
        <v>-3248</v>
      </c>
      <c r="DR80" s="129">
        <f t="shared" si="591"/>
        <v>1431</v>
      </c>
      <c r="DS80" s="80">
        <f>+DS79-DN79</f>
        <v>-2273</v>
      </c>
      <c r="DT80" s="129">
        <f>DT79-DR79</f>
        <v>768</v>
      </c>
      <c r="DU80" s="129">
        <f t="shared" ref="DU80:DW80" si="592">DU79-DT79</f>
        <v>-1919</v>
      </c>
      <c r="DV80" s="129">
        <f t="shared" si="592"/>
        <v>-1424</v>
      </c>
      <c r="DW80" s="129">
        <f t="shared" si="592"/>
        <v>4180</v>
      </c>
      <c r="DX80" s="80">
        <f>+DX79-DS79</f>
        <v>1605</v>
      </c>
      <c r="DY80" s="129">
        <f>DY79-DW79</f>
        <v>768</v>
      </c>
      <c r="DZ80" s="129">
        <f t="shared" ref="DZ80:EB80" si="593">DZ79-DY79</f>
        <v>1502</v>
      </c>
      <c r="EA80" s="129">
        <f t="shared" si="593"/>
        <v>-1583</v>
      </c>
      <c r="EB80" s="129">
        <f t="shared" si="593"/>
        <v>4643</v>
      </c>
      <c r="EC80" s="80">
        <f>+EC79-DX79</f>
        <v>5330</v>
      </c>
      <c r="ED80" s="129">
        <f>ED79-EB79</f>
        <v>-7425</v>
      </c>
      <c r="EE80" s="129">
        <f t="shared" ref="EE80:EG80" si="594">EE79-ED79</f>
        <v>199</v>
      </c>
      <c r="EF80" s="129">
        <f t="shared" si="594"/>
        <v>1966</v>
      </c>
      <c r="EG80" s="129">
        <f t="shared" si="594"/>
        <v>-6893</v>
      </c>
      <c r="EH80" s="80">
        <f>+EH79-EC79</f>
        <v>-12153</v>
      </c>
      <c r="EI80" s="134" t="str">
        <f>EI79-EG79</f>
        <v>#ERROR!</v>
      </c>
      <c r="EJ80" s="128" t="str">
        <f t="shared" ref="EJ80:EL80" si="595">EJ79-EI79</f>
        <v>#ERROR!</v>
      </c>
      <c r="EK80" s="128" t="str">
        <f t="shared" si="595"/>
        <v>#ERROR!</v>
      </c>
      <c r="EL80" s="128" t="str">
        <f t="shared" si="595"/>
        <v>#ERROR!</v>
      </c>
      <c r="EM80" s="80" t="str">
        <f>+EM79-EH79</f>
        <v>#ERROR!</v>
      </c>
      <c r="EN80" s="128" t="str">
        <f>EN79-EL79</f>
        <v>#ERROR!</v>
      </c>
      <c r="EO80" s="128" t="str">
        <f t="shared" ref="EO80:EQ80" si="596">EO79-EN79</f>
        <v>#ERROR!</v>
      </c>
      <c r="EP80" s="128" t="str">
        <f t="shared" si="596"/>
        <v>#ERROR!</v>
      </c>
      <c r="EQ80" s="128" t="str">
        <f t="shared" si="596"/>
        <v>#ERROR!</v>
      </c>
      <c r="ER80" s="80" t="str">
        <f>+ER79-EM79</f>
        <v>#ERROR!</v>
      </c>
      <c r="ES80" s="128" t="str">
        <f>ES79-EQ79</f>
        <v>#ERROR!</v>
      </c>
      <c r="ET80" s="128" t="str">
        <f t="shared" ref="ET80:EV80" si="597">ET79-ES79</f>
        <v>#ERROR!</v>
      </c>
      <c r="EU80" s="128" t="str">
        <f t="shared" si="597"/>
        <v>#ERROR!</v>
      </c>
      <c r="EV80" s="128" t="str">
        <f t="shared" si="597"/>
        <v>#ERROR!</v>
      </c>
      <c r="EW80" s="80" t="str">
        <f>+EW79-ER79</f>
        <v>#ERROR!</v>
      </c>
      <c r="EX80" s="128" t="str">
        <f>EX79-EV79</f>
        <v>#ERROR!</v>
      </c>
      <c r="EY80" s="128" t="str">
        <f t="shared" ref="EY80:FA80" si="598">EY79-EX79</f>
        <v>#ERROR!</v>
      </c>
      <c r="EZ80" s="128" t="str">
        <f t="shared" si="598"/>
        <v>#ERROR!</v>
      </c>
      <c r="FA80" s="128" t="str">
        <f t="shared" si="598"/>
        <v>#ERROR!</v>
      </c>
      <c r="FB80" s="80" t="str">
        <f>+FB79-EW79</f>
        <v>#ERROR!</v>
      </c>
      <c r="FC80" s="128" t="str">
        <f>FC79-FA79</f>
        <v>#ERROR!</v>
      </c>
      <c r="FD80" s="128" t="str">
        <f t="shared" ref="FD80:FF80" si="599">FD79-FC79</f>
        <v>#ERROR!</v>
      </c>
      <c r="FE80" s="128" t="str">
        <f t="shared" si="599"/>
        <v>#ERROR!</v>
      </c>
      <c r="FF80" s="128" t="str">
        <f t="shared" si="599"/>
        <v>#ERROR!</v>
      </c>
      <c r="FG80" s="80" t="str">
        <f>+FG79-FB79</f>
        <v>#ERROR!</v>
      </c>
    </row>
    <row r="81" ht="12.75" customHeight="1">
      <c r="A81" s="4"/>
      <c r="B81" s="179"/>
      <c r="C81" s="179"/>
      <c r="D81" s="179"/>
      <c r="E81" s="179"/>
      <c r="F81" s="179"/>
      <c r="G81" s="179"/>
      <c r="H81" s="179"/>
      <c r="I81" s="179"/>
      <c r="J81" s="179"/>
      <c r="K81" s="179"/>
      <c r="L81" s="179"/>
      <c r="M81" s="179"/>
      <c r="N81" s="179"/>
      <c r="O81" s="179"/>
      <c r="P81" s="179"/>
      <c r="Q81" s="4"/>
      <c r="R81" s="45"/>
      <c r="S81" s="4"/>
      <c r="T81" s="4"/>
      <c r="U81" s="4"/>
      <c r="V81" s="4"/>
      <c r="W81" s="45"/>
      <c r="X81" s="4"/>
      <c r="Y81" s="4"/>
      <c r="Z81" s="4"/>
      <c r="AA81" s="4"/>
      <c r="AB81" s="45"/>
      <c r="AC81" s="179"/>
      <c r="AD81" s="179"/>
      <c r="AE81" s="179"/>
      <c r="AF81" s="179"/>
      <c r="AG81" s="45"/>
      <c r="AH81" s="4"/>
      <c r="AI81" s="4"/>
      <c r="AJ81" s="4"/>
      <c r="AK81" s="4"/>
      <c r="AL81" s="45"/>
      <c r="AM81" s="179"/>
      <c r="AN81" s="179"/>
      <c r="AO81" s="179"/>
      <c r="AP81" s="179"/>
      <c r="AQ81" s="8"/>
      <c r="AR81" s="179"/>
      <c r="AS81" s="179"/>
      <c r="AT81" s="179"/>
      <c r="AU81" s="179"/>
      <c r="AV81" s="8"/>
      <c r="AW81" s="179"/>
      <c r="AX81" s="179"/>
      <c r="AY81" s="179"/>
      <c r="AZ81" s="179"/>
      <c r="BA81" s="8"/>
      <c r="BB81" s="179"/>
      <c r="BC81" s="179"/>
      <c r="BD81" s="179"/>
      <c r="BE81" s="179"/>
      <c r="BF81" s="8"/>
      <c r="BG81" s="179"/>
      <c r="BH81" s="179"/>
      <c r="BI81" s="179"/>
      <c r="BJ81" s="179"/>
      <c r="BK81" s="8"/>
      <c r="BL81" s="179"/>
      <c r="BM81" s="179"/>
      <c r="BN81" s="179"/>
      <c r="BO81" s="179"/>
      <c r="BP81" s="8"/>
      <c r="BQ81" s="179"/>
      <c r="BR81" s="179"/>
      <c r="BS81" s="179"/>
      <c r="BT81" s="179"/>
      <c r="BU81" s="8"/>
      <c r="BV81" s="179"/>
      <c r="BW81" s="179"/>
      <c r="BX81" s="179"/>
      <c r="BY81" s="179"/>
      <c r="BZ81" s="8"/>
      <c r="CA81" s="179"/>
      <c r="CB81" s="179"/>
      <c r="CC81" s="179"/>
      <c r="CD81" s="179"/>
      <c r="CE81" s="8"/>
      <c r="CF81" s="179"/>
      <c r="CG81" s="179"/>
      <c r="CH81" s="179"/>
      <c r="CI81" s="179"/>
      <c r="CJ81" s="8"/>
      <c r="CK81" s="179"/>
      <c r="CL81" s="179"/>
      <c r="CM81" s="179"/>
      <c r="CN81" s="179"/>
      <c r="CO81" s="8"/>
      <c r="CP81" s="179"/>
      <c r="CQ81" s="179"/>
      <c r="CR81" s="179"/>
      <c r="CS81" s="179"/>
      <c r="CT81" s="8"/>
      <c r="CU81" s="179"/>
      <c r="CV81" s="179"/>
      <c r="CW81" s="179"/>
      <c r="CX81" s="179"/>
      <c r="CY81" s="10"/>
      <c r="CZ81" s="179"/>
      <c r="DA81" s="179"/>
      <c r="DB81" s="179"/>
      <c r="DC81" s="179"/>
      <c r="DD81" s="10"/>
      <c r="DE81" s="179"/>
      <c r="DF81" s="179"/>
      <c r="DG81" s="774"/>
      <c r="DH81" s="179"/>
      <c r="DI81" s="10"/>
      <c r="DJ81" s="774"/>
      <c r="DK81" s="774"/>
      <c r="DL81" s="774"/>
      <c r="DM81" s="774"/>
      <c r="DN81" s="10"/>
      <c r="DO81" s="774"/>
      <c r="DP81" s="774"/>
      <c r="DQ81" s="774"/>
      <c r="DR81" s="774"/>
      <c r="DS81" s="10"/>
      <c r="DT81" s="774"/>
      <c r="DU81" s="774"/>
      <c r="DV81" s="774"/>
      <c r="DW81" s="774"/>
      <c r="DX81" s="10"/>
      <c r="DY81" s="774"/>
      <c r="DZ81" s="774"/>
      <c r="EA81" s="774"/>
      <c r="EB81" s="774"/>
      <c r="EC81" s="10"/>
      <c r="ED81" s="774"/>
      <c r="EE81" s="774"/>
      <c r="EF81" s="774"/>
      <c r="EG81" s="774"/>
      <c r="EH81" s="10"/>
      <c r="EI81" s="775"/>
      <c r="EJ81" s="179"/>
      <c r="EK81" s="179"/>
      <c r="EL81" s="179"/>
      <c r="EM81" s="10"/>
      <c r="EN81" s="179"/>
      <c r="EO81" s="179"/>
      <c r="EP81" s="179"/>
      <c r="EQ81" s="179"/>
      <c r="ER81" s="10"/>
      <c r="ES81" s="179"/>
      <c r="ET81" s="179"/>
      <c r="EU81" s="179"/>
      <c r="EV81" s="179"/>
      <c r="EW81" s="10"/>
      <c r="EX81" s="179"/>
      <c r="EY81" s="179"/>
      <c r="EZ81" s="179"/>
      <c r="FA81" s="179"/>
      <c r="FB81" s="10"/>
      <c r="FC81" s="179"/>
      <c r="FD81" s="179"/>
      <c r="FE81" s="179"/>
      <c r="FF81" s="179"/>
      <c r="FG81" s="10"/>
    </row>
    <row r="82" ht="12.75" customHeight="1">
      <c r="A82" s="4"/>
      <c r="B82" s="299" t="s">
        <v>562</v>
      </c>
      <c r="C82" s="4"/>
      <c r="D82" s="4"/>
      <c r="E82" s="4"/>
      <c r="F82" s="4"/>
      <c r="G82" s="4"/>
      <c r="H82" s="4"/>
      <c r="I82" s="4"/>
      <c r="J82" s="4"/>
      <c r="K82" s="4"/>
      <c r="L82" s="4"/>
      <c r="M82" s="4"/>
      <c r="N82" s="90"/>
      <c r="O82" s="90"/>
      <c r="P82" s="90"/>
      <c r="Q82" s="90"/>
      <c r="R82" s="299"/>
      <c r="S82" s="90"/>
      <c r="T82" s="90"/>
      <c r="U82" s="90"/>
      <c r="V82" s="90"/>
      <c r="W82" s="299"/>
      <c r="X82" s="90"/>
      <c r="Y82" s="90"/>
      <c r="Z82" s="90"/>
      <c r="AA82" s="90"/>
      <c r="AB82" s="299"/>
      <c r="AC82" s="270"/>
      <c r="AD82" s="270"/>
      <c r="AE82" s="270"/>
      <c r="AF82" s="270"/>
      <c r="AG82" s="299"/>
      <c r="AH82" s="90"/>
      <c r="AI82" s="90"/>
      <c r="AJ82" s="90"/>
      <c r="AK82" s="90"/>
      <c r="AL82" s="299"/>
      <c r="AM82" s="270"/>
      <c r="AN82" s="270"/>
      <c r="AO82" s="270"/>
      <c r="AP82" s="270"/>
      <c r="AQ82" s="726"/>
      <c r="AR82" s="270"/>
      <c r="AS82" s="270"/>
      <c r="AT82" s="270"/>
      <c r="AU82" s="270"/>
      <c r="AV82" s="726"/>
      <c r="AW82" s="270"/>
      <c r="AX82" s="270"/>
      <c r="AY82" s="270"/>
      <c r="AZ82" s="270"/>
      <c r="BA82" s="726"/>
      <c r="BB82" s="270"/>
      <c r="BC82" s="270"/>
      <c r="BD82" s="270"/>
      <c r="BE82" s="270"/>
      <c r="BF82" s="726"/>
      <c r="BG82" s="270"/>
      <c r="BH82" s="270"/>
      <c r="BI82" s="270"/>
      <c r="BJ82" s="270"/>
      <c r="BK82" s="726"/>
      <c r="BL82" s="270"/>
      <c r="BM82" s="270"/>
      <c r="BN82" s="270"/>
      <c r="BO82" s="270"/>
      <c r="BP82" s="726"/>
      <c r="BQ82" s="270"/>
      <c r="BR82" s="270"/>
      <c r="BS82" s="270"/>
      <c r="BT82" s="270"/>
      <c r="BU82" s="726"/>
      <c r="BV82" s="270"/>
      <c r="BW82" s="270"/>
      <c r="BX82" s="270"/>
      <c r="BY82" s="270"/>
      <c r="BZ82" s="726"/>
      <c r="CA82" s="270"/>
      <c r="CB82" s="270"/>
      <c r="CC82" s="270"/>
      <c r="CD82" s="270"/>
      <c r="CE82" s="726"/>
      <c r="CF82" s="270"/>
      <c r="CG82" s="270"/>
      <c r="CH82" s="270"/>
      <c r="CI82" s="270"/>
      <c r="CJ82" s="726"/>
      <c r="CK82" s="270"/>
      <c r="CL82" s="270"/>
      <c r="CM82" s="270"/>
      <c r="CN82" s="270"/>
      <c r="CO82" s="726"/>
      <c r="CP82" s="270"/>
      <c r="CQ82" s="270"/>
      <c r="CR82" s="270"/>
      <c r="CS82" s="270"/>
      <c r="CT82" s="726"/>
      <c r="CU82" s="270"/>
      <c r="CV82" s="270"/>
      <c r="CW82" s="270"/>
      <c r="CX82" s="270"/>
      <c r="CY82" s="303"/>
      <c r="CZ82" s="270"/>
      <c r="DA82" s="270"/>
      <c r="DB82" s="270"/>
      <c r="DC82" s="270"/>
      <c r="DD82" s="303"/>
      <c r="DE82" s="270"/>
      <c r="DF82" s="270"/>
      <c r="DG82" s="302"/>
      <c r="DH82" s="270"/>
      <c r="DI82" s="303"/>
      <c r="DJ82" s="302"/>
      <c r="DK82" s="302"/>
      <c r="DL82" s="302"/>
      <c r="DM82" s="302"/>
      <c r="DN82" s="303"/>
      <c r="DO82" s="302"/>
      <c r="DP82" s="302"/>
      <c r="DQ82" s="302"/>
      <c r="DR82" s="302"/>
      <c r="DS82" s="303"/>
      <c r="DT82" s="302"/>
      <c r="DU82" s="302"/>
      <c r="DV82" s="302"/>
      <c r="DW82" s="302"/>
      <c r="DX82" s="303"/>
      <c r="DY82" s="302"/>
      <c r="DZ82" s="302"/>
      <c r="EA82" s="302"/>
      <c r="EB82" s="302"/>
      <c r="EC82" s="303"/>
      <c r="ED82" s="302"/>
      <c r="EE82" s="302"/>
      <c r="EF82" s="302"/>
      <c r="EG82" s="302"/>
      <c r="EH82" s="303"/>
      <c r="EI82" s="308"/>
      <c r="EJ82" s="270"/>
      <c r="EK82" s="270"/>
      <c r="EL82" s="270"/>
      <c r="EM82" s="303"/>
      <c r="EN82" s="270"/>
      <c r="EO82" s="270"/>
      <c r="EP82" s="270"/>
      <c r="EQ82" s="270"/>
      <c r="ER82" s="303"/>
      <c r="ES82" s="270"/>
      <c r="ET82" s="270"/>
      <c r="EU82" s="270"/>
      <c r="EV82" s="270"/>
      <c r="EW82" s="303"/>
      <c r="EX82" s="270"/>
      <c r="EY82" s="270"/>
      <c r="EZ82" s="270"/>
      <c r="FA82" s="270"/>
      <c r="FB82" s="303"/>
      <c r="FC82" s="270"/>
      <c r="FD82" s="270"/>
      <c r="FE82" s="270"/>
      <c r="FF82" s="270"/>
      <c r="FG82" s="303"/>
    </row>
    <row r="83" ht="12.75" customHeight="1">
      <c r="A83" s="4"/>
      <c r="B83" s="4" t="s">
        <v>563</v>
      </c>
      <c r="C83" s="4"/>
      <c r="D83" s="4"/>
      <c r="E83" s="4"/>
      <c r="F83" s="4"/>
      <c r="G83" s="4"/>
      <c r="H83" s="4"/>
      <c r="I83" s="4"/>
      <c r="J83" s="4"/>
      <c r="K83" s="4"/>
      <c r="L83" s="4"/>
      <c r="M83" s="4"/>
      <c r="N83" s="660">
        <f>proFormaNetInc/Equity*IF(ISNUMBER(Dates), 4, 1)</f>
        <v>0.2664813528</v>
      </c>
      <c r="O83" s="660">
        <f>proFormaNetInc/Equity*IF(ISNUMBER(Dates), 4, 1)</f>
        <v>0.2157088299</v>
      </c>
      <c r="P83" s="660">
        <f>proFormaNetInc/Equity*IF(ISNUMBER(Dates), 4, 1)</f>
        <v>0.2890040828</v>
      </c>
      <c r="Q83" s="660">
        <f>proFormaNetInc/Equity*IF(ISNUMBER(Dates), 4, 1)</f>
        <v>0.3600119776</v>
      </c>
      <c r="R83" s="309">
        <f>proFormaNetInc/Equity*IF(ISNUMBER(Dates), 4, 1)</f>
        <v>0.2690251102</v>
      </c>
      <c r="S83" s="660">
        <f>proFormaNetInc/Equity*IF(ISNUMBER(Dates), 4, 1)</f>
        <v>0.3262962064</v>
      </c>
      <c r="T83" s="660">
        <f>proFormaNetInc/Equity*IF(ISNUMBER(Dates), 4, 1)</f>
        <v>0.2795226131</v>
      </c>
      <c r="U83" s="660">
        <f>proFormaNetInc/Equity*IF(ISNUMBER(Dates), 4, 1)</f>
        <v>0.2609827976</v>
      </c>
      <c r="V83" s="660">
        <f>proFormaNetInc/Equity*IF(ISNUMBER(Dates), 4, 1)</f>
        <v>0.2960504073</v>
      </c>
      <c r="W83" s="309">
        <f>proFormaNetInc/Equity*IF(ISNUMBER(Dates), 4, 1)</f>
        <v>0.2492392808</v>
      </c>
      <c r="X83" s="660">
        <f>proFormaNetInc/Equity*IF(ISNUMBER(Dates), 4, 1)</f>
        <v>0.3365925269</v>
      </c>
      <c r="Y83" s="660">
        <f>proFormaNetInc/Equity*IF(ISNUMBER(Dates), 4, 1)</f>
        <v>0.3842708902</v>
      </c>
      <c r="Z83" s="660">
        <f>proFormaNetInc/Equity*IF(ISNUMBER(Dates), 4, 1)</f>
        <v>0.3075454184</v>
      </c>
      <c r="AA83" s="660">
        <f>proFormaNetInc/Equity*IF(ISNUMBER(Dates), 4, 1)</f>
        <v>0.2861582981</v>
      </c>
      <c r="AB83" s="309">
        <f>proFormaNetInc/Equity*IF(ISNUMBER(Dates), 4, 1)</f>
        <v>0.3248754086</v>
      </c>
      <c r="AC83" s="660">
        <f>proFormaNetInc/Equity*IF(ISNUMBER(Dates), 4, 1)</f>
        <v>0.1190747061</v>
      </c>
      <c r="AD83" s="660">
        <f>proFormaNetInc/Equity*IF(ISNUMBER(Dates), 4, 1)</f>
        <v>0.09298274266</v>
      </c>
      <c r="AE83" s="660">
        <f>proFormaNetInc/Equity*IF(ISNUMBER(Dates), 4, 1)</f>
        <v>0.07297643585</v>
      </c>
      <c r="AF83" s="660">
        <f>proFormaNetInc/Equity*IF(ISNUMBER(Dates), 4, 1)</f>
        <v>0.1114150154</v>
      </c>
      <c r="AG83" s="410">
        <f>proFormaNetInc/Equity*IF(ISNUMBER(Dates), 4, 1)</f>
        <v>0.1006419202</v>
      </c>
      <c r="AH83" s="15">
        <f>proFormaNetInc/Equity*IF(ISNUMBER(Dates), 4, 1)</f>
        <v>0.1139988846</v>
      </c>
      <c r="AI83" s="15">
        <f>proFormaNetInc/Equity*IF(ISNUMBER(Dates), 4, 1)</f>
        <v>0.06970207982</v>
      </c>
      <c r="AJ83" s="15">
        <f>proFormaNetInc/Equity*IF(ISNUMBER(Dates), 4, 1)</f>
        <v>0.08700824199</v>
      </c>
      <c r="AK83" s="15">
        <f>proFormaNetInc/Equity*IF(ISNUMBER(Dates), 4, 1)</f>
        <v>0.1188677117</v>
      </c>
      <c r="AL83" s="410">
        <f>proFormaNetInc/Equity*IF(ISNUMBER(Dates), 4, 1)</f>
        <v>0.0976655013</v>
      </c>
      <c r="AM83" s="660">
        <f>proFormaNetInc/Equity*IF(ISNUMBER(Dates), 4, 1)</f>
        <v>0.10338691</v>
      </c>
      <c r="AN83" s="660">
        <f>proFormaNetInc/Equity*IF(ISNUMBER(Dates), 4, 1)</f>
        <v>0.1009861933</v>
      </c>
      <c r="AO83" s="660">
        <f>proFormaNetInc/Equity*IF(ISNUMBER(Dates), 4, 1)</f>
        <v>0.1774042451</v>
      </c>
      <c r="AP83" s="660">
        <f>proFormaNetInc/Equity*IF(ISNUMBER(Dates), 4, 1)</f>
        <v>0.2293505258</v>
      </c>
      <c r="AQ83" s="309">
        <f>proFormaNetInc/Equity*IF(ISNUMBER(Dates), 4, 1)</f>
        <v>0.1489721503</v>
      </c>
      <c r="AR83" s="660">
        <f>proFormaNetInc/Equity*IF(ISNUMBER(Dates), 4, 1)</f>
        <v>0.1815796379</v>
      </c>
      <c r="AS83" s="660">
        <f>proFormaNetInc/Equity*IF(ISNUMBER(Dates), 4, 1)</f>
        <v>0.1821055632</v>
      </c>
      <c r="AT83" s="660">
        <f>proFormaNetInc/Equity*IF(ISNUMBER(Dates), 4, 1)</f>
        <v>0.1996072784</v>
      </c>
      <c r="AU83" s="660">
        <f>proFormaNetInc/Equity*IF(ISNUMBER(Dates), 4, 1)</f>
        <v>0.2201197543</v>
      </c>
      <c r="AV83" s="309">
        <f>proFormaNetInc/Equity*IF(ISNUMBER(Dates), 4, 1)</f>
        <v>0.1948210166</v>
      </c>
      <c r="AW83" s="660">
        <f>proFormaNetInc/Equity*IF(ISNUMBER(Dates), 4, 1)</f>
        <v>0.2310201268</v>
      </c>
      <c r="AX83" s="660">
        <f>proFormaNetInc/Equity*IF(ISNUMBER(Dates), 4, 1)</f>
        <v>0.2167278141</v>
      </c>
      <c r="AY83" s="660">
        <f>proFormaNetInc/Equity*IF(ISNUMBER(Dates), 4, 1)</f>
        <v>0.2553207547</v>
      </c>
      <c r="AZ83" s="660">
        <f>proFormaNetInc/Equity*IF(ISNUMBER(Dates), 4, 1)</f>
        <v>0.2711845669</v>
      </c>
      <c r="BA83" s="309">
        <f>proFormaNetInc/Equity*IF(ISNUMBER(Dates), 4, 1)</f>
        <v>0.2490198441</v>
      </c>
      <c r="BB83" s="660">
        <f>proFormaNetInc/Equity*IF(ISNUMBER(Dates), 4, 1)</f>
        <v>0.1579835846</v>
      </c>
      <c r="BC83" s="660">
        <f>proFormaNetInc/Equity*IF(ISNUMBER(Dates), 4, 1)</f>
        <v>0.1017358317</v>
      </c>
      <c r="BD83" s="660">
        <f>proFormaNetInc/Equity*IF(ISNUMBER(Dates), 4, 1)</f>
        <v>0.1486135306</v>
      </c>
      <c r="BE83" s="660">
        <f>proFormaNetInc/Equity*IF(ISNUMBER(Dates), 4, 1)</f>
        <v>0.163365259</v>
      </c>
      <c r="BF83" s="309">
        <f>proFormaNetInc/Equity*IF(ISNUMBER(Dates), 4, 1)</f>
        <v>0.1372442316</v>
      </c>
      <c r="BG83" s="660">
        <f>proFormaNetInc/Equity*IF(ISNUMBER(Dates), 4, 1)</f>
        <v>0.1396365187</v>
      </c>
      <c r="BH83" s="660">
        <f>proFormaNetInc/Equity*IF(ISNUMBER(Dates), 4, 1)</f>
        <v>0.1105345357</v>
      </c>
      <c r="BI83" s="660">
        <f>proFormaNetInc/Equity*IF(ISNUMBER(Dates), 4, 1)</f>
        <v>0.1831750037</v>
      </c>
      <c r="BJ83" s="660">
        <f>proFormaNetInc/Equity*IF(ISNUMBER(Dates), 4, 1)</f>
        <v>0.2124315981</v>
      </c>
      <c r="BK83" s="309">
        <f>proFormaNetInc/Equity*IF(ISNUMBER(Dates), 4, 1)</f>
        <v>0.1531980731</v>
      </c>
      <c r="BL83" s="660">
        <f>proFormaNetInc/Equity*IF(ISNUMBER(Dates), 4, 1)</f>
        <v>0.141957698</v>
      </c>
      <c r="BM83" s="660">
        <f>proFormaNetInc/Equity*IF(ISNUMBER(Dates), 4, 1)</f>
        <v>0.1586680211</v>
      </c>
      <c r="BN83" s="660">
        <f>proFormaNetInc/Equity*IF(ISNUMBER(Dates), 4, 1)</f>
        <v>0.2070365706</v>
      </c>
      <c r="BO83" s="660">
        <f>proFormaNetInc/Equity*IF(ISNUMBER(Dates), 4, 1)</f>
        <v>0.09509588621</v>
      </c>
      <c r="BP83" s="309">
        <f>proFormaNetInc/Equity*IF(ISNUMBER(Dates), 4, 1)</f>
        <v>0.153174299</v>
      </c>
      <c r="BQ83" s="660">
        <f>proFormaNetInc/Equity*IF(ISNUMBER(Dates), 4, 1)</f>
        <v>0.06440712677</v>
      </c>
      <c r="BR83" s="660">
        <f>proFormaNetInc/Equity*IF(ISNUMBER(Dates), 4, 1)</f>
        <v>0.1074602402</v>
      </c>
      <c r="BS83" s="660">
        <f>proFormaNetInc/Equity*IF(ISNUMBER(Dates), 4, 1)</f>
        <v>0.1901980376</v>
      </c>
      <c r="BT83" s="660">
        <f>proFormaNetInc/Equity*IF(ISNUMBER(Dates), 4, 1)</f>
        <v>0.2967581047</v>
      </c>
      <c r="BU83" s="309">
        <f>proFormaNetInc/Equity*IF(ISNUMBER(Dates), 4, 1)</f>
        <v>0.158929695</v>
      </c>
      <c r="BV83" s="660">
        <f>proFormaNetInc/Equity*IF(ISNUMBER(Dates), 4, 1)</f>
        <v>0.2276923077</v>
      </c>
      <c r="BW83" s="660">
        <f>proFormaNetInc/Equity*IF(ISNUMBER(Dates), 4, 1)</f>
        <v>0.2519142253</v>
      </c>
      <c r="BX83" s="660">
        <f>proFormaNetInc/Equity*IF(ISNUMBER(Dates), 4, 1)</f>
        <v>0.2478195236</v>
      </c>
      <c r="BY83" s="660">
        <f>proFormaNetInc/Equity*IF(ISNUMBER(Dates), 4, 1)</f>
        <v>0.2573336031</v>
      </c>
      <c r="BZ83" s="309">
        <f>proFormaNetInc/Equity*IF(ISNUMBER(Dates), 4, 1)</f>
        <v>0.2319239328</v>
      </c>
      <c r="CA83" s="660">
        <f>proFormaNetInc/Equity*IF(ISNUMBER(Dates), 4, 1)</f>
        <v>0.2669538955</v>
      </c>
      <c r="CB83" s="660">
        <f>proFormaNetInc/Equity*IF(ISNUMBER(Dates), 4, 1)</f>
        <v>0.2425138025</v>
      </c>
      <c r="CC83" s="660">
        <f>proFormaNetInc/Equity*IF(ISNUMBER(Dates), 4, 1)</f>
        <v>0.3008001388</v>
      </c>
      <c r="CD83" s="660">
        <f>proFormaNetInc/Equity*IF(ISNUMBER(Dates), 4, 1)</f>
        <v>0.2927403019</v>
      </c>
      <c r="CE83" s="309">
        <f>proFormaNetInc/Equity*IF(ISNUMBER(Dates), 4, 1)</f>
        <v>0.2818932282</v>
      </c>
      <c r="CF83" s="660">
        <f>proFormaNetInc/Equity*IF(ISNUMBER(Dates), 4, 1)</f>
        <v>0.2342172797</v>
      </c>
      <c r="CG83" s="660">
        <f>proFormaNetInc/Equity*IF(ISNUMBER(Dates), 4, 1)</f>
        <v>0.2318210705</v>
      </c>
      <c r="CH83" s="660">
        <f>proFormaNetInc/Equity*IF(ISNUMBER(Dates), 4, 1)</f>
        <v>0.2412876251</v>
      </c>
      <c r="CI83" s="660">
        <f>proFormaNetInc/Equity*IF(ISNUMBER(Dates), 4, 1)</f>
        <v>0.1928012031</v>
      </c>
      <c r="CJ83" s="309">
        <f>proFormaNetInc/Equity*IF(ISNUMBER(Dates), 4, 1)</f>
        <v>0.2149288128</v>
      </c>
      <c r="CK83" s="660">
        <f>proFormaNetInc/Equity*IF(ISNUMBER(Dates), 4, 1)</f>
        <v>0.1597843497</v>
      </c>
      <c r="CL83" s="660">
        <f>proFormaNetInc/Equity*IF(ISNUMBER(Dates), 4, 1)</f>
        <v>0.1485884101</v>
      </c>
      <c r="CM83" s="660">
        <f>proFormaNetInc/Equity*IF(ISNUMBER(Dates), 4, 1)</f>
        <v>0.212796653</v>
      </c>
      <c r="CN83" s="660">
        <f>proFormaNetInc/Equity*IF(ISNUMBER(Dates), 4, 1)</f>
        <v>0.1802389453</v>
      </c>
      <c r="CO83" s="309">
        <f>proFormaNetInc/Equity*IF(ISNUMBER(Dates), 4, 1)</f>
        <v>0.1651332052</v>
      </c>
      <c r="CP83" s="660">
        <f>proFormaNetInc/Equity*IF(ISNUMBER(Dates), 4, 1)</f>
        <v>0.134601468</v>
      </c>
      <c r="CQ83" s="660">
        <f>proFormaNetInc/Equity*IF(ISNUMBER(Dates), 4, 1)</f>
        <v>0.1887690516</v>
      </c>
      <c r="CR83" s="660">
        <f>proFormaNetInc/Equity*IF(ISNUMBER(Dates), 4, 1)</f>
        <v>0.2328209448</v>
      </c>
      <c r="CS83" s="660">
        <f>proFormaNetInc/Equity*IF(ISNUMBER(Dates), 4, 1)</f>
        <v>0.2579213414</v>
      </c>
      <c r="CT83" s="309">
        <f>proFormaNetInc/Equity*IF(ISNUMBER(Dates), 4, 1)</f>
        <v>0.2089578527</v>
      </c>
      <c r="CU83" s="660">
        <f>proFormaNetInc/Equity*IF(ISNUMBER(Dates), 4, 1)</f>
        <v>0.1427138559</v>
      </c>
      <c r="CV83" s="660">
        <f>proFormaNetInc/Equity*IF(ISNUMBER(Dates), 4, 1)</f>
        <v>0.1847098976</v>
      </c>
      <c r="CW83" s="660">
        <f>proFormaNetInc/Equity*IF(ISNUMBER(Dates), 4, 1)</f>
        <v>0.2144063998</v>
      </c>
      <c r="CX83" s="660">
        <f>proFormaNetInc/Equity*IF(ISNUMBER(Dates), 4, 1)</f>
        <v>0.2331644671</v>
      </c>
      <c r="CY83" s="37">
        <f>proFormaNetInc/Equity*IF(ISNUMBER(Dates), 4, 1)</f>
        <v>0.1859410797</v>
      </c>
      <c r="CZ83" s="660">
        <f>proFormaNetInc/Equity*IF(ISNUMBER(Dates), 4, 1)</f>
        <v>0.1318553844</v>
      </c>
      <c r="DA83" s="660">
        <f>proFormaNetInc/Equity*IF(ISNUMBER(Dates), 4, 1)</f>
        <v>0.0854522383</v>
      </c>
      <c r="DB83" s="660">
        <f>proFormaNetInc/Equity*IF(ISNUMBER(Dates), 4, 1)</f>
        <v>0.2111217012</v>
      </c>
      <c r="DC83" s="660">
        <f>proFormaNetInc/Equity*IF(ISNUMBER(Dates), 4, 1)</f>
        <v>0.2123144782</v>
      </c>
      <c r="DD83" s="37">
        <f>proFormaNetInc/Equity*IF(ISNUMBER(Dates), 4, 1)</f>
        <v>0.153722358</v>
      </c>
      <c r="DE83" s="660">
        <f>proFormaNetInc/Equity*IF(ISNUMBER(Dates), 4, 1)</f>
        <v>0.1750686631</v>
      </c>
      <c r="DF83" s="660">
        <f>proFormaNetInc/Equity*IF(ISNUMBER(Dates), 4, 1)</f>
        <v>0.1616138362</v>
      </c>
      <c r="DG83" s="83">
        <f>proFormaNetInc/Equity*IF(ISNUMBER(Dates), 4, 1)</f>
        <v>0.2515667214</v>
      </c>
      <c r="DH83" s="660">
        <f>proFormaNetInc/Equity*IF(ISNUMBER(Dates), 4, 1)</f>
        <v>-0.03932174286</v>
      </c>
      <c r="DI83" s="37">
        <f>proFormaNetInc/Equity*IF(ISNUMBER(Dates), 4, 1)</f>
        <v>0.1373828432</v>
      </c>
      <c r="DJ83" s="83">
        <f>proFormaNetInc/Equity*IF(ISNUMBER(Dates), 4, 1)</f>
        <v>0.25391577</v>
      </c>
      <c r="DK83" s="83">
        <f>proFormaNetInc/Equity*IF(ISNUMBER(Dates), 4, 1)</f>
        <v>0.2858652048</v>
      </c>
      <c r="DL83" s="83">
        <f>proFormaNetInc/Equity*IF(ISNUMBER(Dates), 4, 1)</f>
        <v>0.3554543182</v>
      </c>
      <c r="DM83" s="83">
        <f>proFormaNetInc/Equity*IF(ISNUMBER(Dates), 4, 1)</f>
        <v>0.2786905033</v>
      </c>
      <c r="DN83" s="37">
        <f>proFormaNetInc/Equity*IF(ISNUMBER(Dates), 4, 1)</f>
        <v>0.2823518367</v>
      </c>
      <c r="DO83" s="83">
        <f>proFormaNetInc/Equity*IF(ISNUMBER(Dates), 4, 1)</f>
        <v>0.2157994054</v>
      </c>
      <c r="DP83" s="83">
        <f>proFormaNetInc/Equity*IF(ISNUMBER(Dates), 4, 1)</f>
        <v>0.2230376132</v>
      </c>
      <c r="DQ83" s="83">
        <f>proFormaNetInc/Equity*IF(ISNUMBER(Dates), 4, 1)</f>
        <v>0.3220083862</v>
      </c>
      <c r="DR83" s="83">
        <f>proFormaNetInc/Equity*IF(ISNUMBER(Dates), 4, 1)</f>
        <v>0.3556574254</v>
      </c>
      <c r="DS83" s="37">
        <f>proFormaNetInc/Equity*IF(ISNUMBER(Dates), 4, 1)</f>
        <v>0.271031046</v>
      </c>
      <c r="DT83" s="83">
        <f>proFormaNetInc/Equity*IF(ISNUMBER(Dates), 4, 1)</f>
        <v>0.2965659952</v>
      </c>
      <c r="DU83" s="83">
        <f>proFormaNetInc/Equity*IF(ISNUMBER(Dates), 4, 1)</f>
        <v>0.2489940251</v>
      </c>
      <c r="DV83" s="83">
        <f>proFormaNetInc/Equity*IF(ISNUMBER(Dates), 4, 1)</f>
        <v>0.2294176033</v>
      </c>
      <c r="DW83" s="83">
        <f>proFormaNetInc/Equity*IF(ISNUMBER(Dates), 4, 1)</f>
        <v>0.2890989412</v>
      </c>
      <c r="DX83" s="37">
        <f>proFormaNetInc/Equity*IF(ISNUMBER(Dates), 4, 1)</f>
        <v>0.2578913596</v>
      </c>
      <c r="DY83" s="83">
        <f>proFormaNetInc/Equity*IF(ISNUMBER(Dates), 4, 1)</f>
        <v>0.1684564011</v>
      </c>
      <c r="DZ83" s="83">
        <f>proFormaNetInc/Equity*IF(ISNUMBER(Dates), 4, 1)</f>
        <v>0.2375861138</v>
      </c>
      <c r="EA83" s="83">
        <f>proFormaNetInc/Equity*IF(ISNUMBER(Dates), 4, 1)</f>
        <v>0.3029515912</v>
      </c>
      <c r="EB83" s="83">
        <f>proFormaNetInc/Equity*IF(ISNUMBER(Dates), 4, 1)</f>
        <v>0.1938547662</v>
      </c>
      <c r="EC83" s="37">
        <f>proFormaNetInc/Equity*IF(ISNUMBER(Dates), 4, 1)</f>
        <v>0.2082796071</v>
      </c>
      <c r="ED83" s="83">
        <f>proFormaNetInc/Equity*IF(ISNUMBER(Dates), 4, 1)</f>
        <v>0.3146524977</v>
      </c>
      <c r="EE83" s="83">
        <f>proFormaNetInc/Equity*IF(ISNUMBER(Dates), 4, 1)</f>
        <v>-0.01794147286</v>
      </c>
      <c r="EF83" s="83">
        <f>proFormaNetInc/Equity*IF(ISNUMBER(Dates), 4, 1)</f>
        <v>0.04080692797</v>
      </c>
      <c r="EG83" s="83">
        <f>proFormaNetInc/Equity*IF(ISNUMBER(Dates), 4, 1)</f>
        <v>-0.0260690376</v>
      </c>
      <c r="EH83" s="37">
        <f>proFormaNetInc/Equity*IF(ISNUMBER(Dates), 4, 1)</f>
        <v>0.07904518699</v>
      </c>
      <c r="EI83" s="661" t="str">
        <f>proFormaNetInc/Equity*IF(ISNUMBER(Dates), 4, 1)</f>
        <v>#ERROR!</v>
      </c>
      <c r="EJ83" s="660" t="str">
        <f>proFormaNetInc/Equity*IF(ISNUMBER(Dates), 4, 1)</f>
        <v>#ERROR!</v>
      </c>
      <c r="EK83" s="660" t="str">
        <f>proFormaNetInc/Equity*IF(ISNUMBER(Dates), 4, 1)</f>
        <v>#ERROR!</v>
      </c>
      <c r="EL83" s="660" t="str">
        <f>proFormaNetInc/Equity*IF(ISNUMBER(Dates), 4, 1)</f>
        <v>#ERROR!</v>
      </c>
      <c r="EM83" s="37" t="str">
        <f>proFormaNetInc/Equity*IF(ISNUMBER(Dates), 4, 1)</f>
        <v>#ERROR!</v>
      </c>
      <c r="EN83" s="660" t="str">
        <f>proFormaNetInc/Equity*IF(ISNUMBER(Dates), 4, 1)</f>
        <v>#ERROR!</v>
      </c>
      <c r="EO83" s="660" t="str">
        <f>proFormaNetInc/Equity*IF(ISNUMBER(Dates), 4, 1)</f>
        <v>#ERROR!</v>
      </c>
      <c r="EP83" s="660" t="str">
        <f>proFormaNetInc/Equity*IF(ISNUMBER(Dates), 4, 1)</f>
        <v>#ERROR!</v>
      </c>
      <c r="EQ83" s="660" t="str">
        <f>proFormaNetInc/Equity*IF(ISNUMBER(Dates), 4, 1)</f>
        <v>#ERROR!</v>
      </c>
      <c r="ER83" s="37" t="str">
        <f>proFormaNetInc/Equity*IF(ISNUMBER(Dates), 4, 1)</f>
        <v>#ERROR!</v>
      </c>
      <c r="ES83" s="660" t="str">
        <f>proFormaNetInc/Equity*IF(ISNUMBER(Dates), 4, 1)</f>
        <v>#ERROR!</v>
      </c>
      <c r="ET83" s="660" t="str">
        <f>proFormaNetInc/Equity*IF(ISNUMBER(Dates), 4, 1)</f>
        <v>#ERROR!</v>
      </c>
      <c r="EU83" s="660" t="str">
        <f>proFormaNetInc/Equity*IF(ISNUMBER(Dates), 4, 1)</f>
        <v>#ERROR!</v>
      </c>
      <c r="EV83" s="660" t="str">
        <f>proFormaNetInc/Equity*IF(ISNUMBER(Dates), 4, 1)</f>
        <v>#ERROR!</v>
      </c>
      <c r="EW83" s="37" t="str">
        <f>proFormaNetInc/Equity*IF(ISNUMBER(Dates), 4, 1)</f>
        <v>#ERROR!</v>
      </c>
      <c r="EX83" s="660" t="str">
        <f>proFormaNetInc/Equity*IF(ISNUMBER(Dates), 4, 1)</f>
        <v>#ERROR!</v>
      </c>
      <c r="EY83" s="660" t="str">
        <f>proFormaNetInc/Equity*IF(ISNUMBER(Dates), 4, 1)</f>
        <v>#ERROR!</v>
      </c>
      <c r="EZ83" s="660" t="str">
        <f>proFormaNetInc/Equity*IF(ISNUMBER(Dates), 4, 1)</f>
        <v>#ERROR!</v>
      </c>
      <c r="FA83" s="660" t="str">
        <f>proFormaNetInc/Equity*IF(ISNUMBER(Dates), 4, 1)</f>
        <v>#ERROR!</v>
      </c>
      <c r="FB83" s="37" t="str">
        <f>proFormaNetInc/Equity*IF(ISNUMBER(Dates), 4, 1)</f>
        <v>#ERROR!</v>
      </c>
      <c r="FC83" s="660" t="str">
        <f>proFormaNetInc/Equity*IF(ISNUMBER(Dates), 4, 1)</f>
        <v>#ERROR!</v>
      </c>
      <c r="FD83" s="660" t="str">
        <f>proFormaNetInc/Equity*IF(ISNUMBER(Dates), 4, 1)</f>
        <v>#ERROR!</v>
      </c>
      <c r="FE83" s="660" t="str">
        <f>proFormaNetInc/Equity*IF(ISNUMBER(Dates), 4, 1)</f>
        <v>#ERROR!</v>
      </c>
      <c r="FF83" s="660" t="str">
        <f>proFormaNetInc/Equity*IF(ISNUMBER(Dates), 4, 1)</f>
        <v>#ERROR!</v>
      </c>
      <c r="FG83" s="37" t="str">
        <f>proFormaNetInc/Equity*IF(ISNUMBER(Dates), 4, 1)</f>
        <v>#ERROR!</v>
      </c>
    </row>
    <row r="84" ht="12.75" customHeight="1">
      <c r="A84" s="4"/>
      <c r="B84" s="180" t="s">
        <v>564</v>
      </c>
      <c r="C84" s="179"/>
      <c r="D84" s="179"/>
      <c r="E84" s="179"/>
      <c r="F84" s="179"/>
      <c r="G84" s="179"/>
      <c r="H84" s="179"/>
      <c r="I84" s="179"/>
      <c r="J84" s="179"/>
      <c r="K84" s="179"/>
      <c r="L84" s="179"/>
      <c r="M84" s="179"/>
      <c r="N84" s="660">
        <f>GAAPNetInc/Equity</f>
        <v>0.05897614084</v>
      </c>
      <c r="O84" s="660">
        <f>GAAPNetInc/Equity</f>
        <v>0.05392720747</v>
      </c>
      <c r="P84" s="660">
        <f>GAAPNetInc/Equity</f>
        <v>0.07151704207</v>
      </c>
      <c r="Q84" s="660">
        <f>GAAPNetInc/Equity</f>
        <v>0.08829191085</v>
      </c>
      <c r="R84" s="309">
        <f>GAAPNetInc/Equity*IF(ISNUMBER(Dates), 4, 1)</f>
        <v>0.2595713736</v>
      </c>
      <c r="S84" s="660">
        <f>GAAPNetInc/Equity*IF(ISNUMBER(Dates), 4, 1)</f>
        <v>0.3233842918</v>
      </c>
      <c r="T84" s="660">
        <f>GAAPNetInc/Equity*IF(ISNUMBER(Dates), 4, 1)</f>
        <v>0.2746545226</v>
      </c>
      <c r="U84" s="660">
        <f>GAAPNetInc/Equity*IF(ISNUMBER(Dates), 4, 1)</f>
        <v>0.1998492221</v>
      </c>
      <c r="V84" s="660">
        <f>GAAPNetInc/Equity*IF(ISNUMBER(Dates), 4, 1)</f>
        <v>0.2591670509</v>
      </c>
      <c r="W84" s="309">
        <f>GAAPNetInc/Equity*IF(ISNUMBER(Dates), 4, 1)</f>
        <v>0.2248040572</v>
      </c>
      <c r="X84" s="660">
        <f>GAAPNetInc/Equity*IF(ISNUMBER(Dates), 4, 1)</f>
        <v>0.298700939</v>
      </c>
      <c r="Y84" s="660">
        <f>GAAPNetInc/Equity*IF(ISNUMBER(Dates), 4, 1)</f>
        <v>0.3426542873</v>
      </c>
      <c r="Z84" s="660">
        <f>GAAPNetInc/Equity*IF(ISNUMBER(Dates), 4, 1)</f>
        <v>0.2661715953</v>
      </c>
      <c r="AA84" s="660">
        <f>GAAPNetInc/Equity*IF(ISNUMBER(Dates), 4, 1)</f>
        <v>0.2350356358</v>
      </c>
      <c r="AB84" s="309">
        <f>GAAPNetInc/Equity*IF(ISNUMBER(Dates), 4, 1)</f>
        <v>0.2822731901</v>
      </c>
      <c r="AC84" s="660">
        <f>GAAPNetInc/Equity*IF(ISNUMBER(Dates), 4, 1)</f>
        <v>0.05254889214</v>
      </c>
      <c r="AD84" s="660">
        <f>GAAPNetInc/Equity*IF(ISNUMBER(Dates), 4, 1)</f>
        <v>0.0213403016</v>
      </c>
      <c r="AE84" s="660">
        <f>GAAPNetInc/Equity*IF(ISNUMBER(Dates), 4, 1)</f>
        <v>0.01180992702</v>
      </c>
      <c r="AF84" s="660">
        <f>GAAPNetInc/Equity*IF(ISNUMBER(Dates), 4, 1)</f>
        <v>0.05626569913</v>
      </c>
      <c r="AG84" s="410">
        <f>GAAPNetInc/Equity*IF(ISNUMBER(Dates), 4, 1)</f>
        <v>0.03603125872</v>
      </c>
      <c r="AH84" s="15">
        <f>GAAPNetInc/Equity*IF(ISNUMBER(Dates), 4, 1)</f>
        <v>0.1044060234</v>
      </c>
      <c r="AI84" s="15">
        <f>GAAPNetInc/Equity*IF(ISNUMBER(Dates), 4, 1)</f>
        <v>0.05014052839</v>
      </c>
      <c r="AJ84" s="15">
        <f>GAAPNetInc/Equity*IF(ISNUMBER(Dates), 4, 1)</f>
        <v>0.07771829949</v>
      </c>
      <c r="AK84" s="15">
        <f>GAAPNetInc/Equity*IF(ISNUMBER(Dates), 4, 1)</f>
        <v>0.1183038232</v>
      </c>
      <c r="AL84" s="410">
        <f>GAAPNetInc/Equity*IF(ISNUMBER(Dates), 4, 1)</f>
        <v>0.08788203451</v>
      </c>
      <c r="AM84" s="660">
        <f>GAAPNetInc/Equity*IF(ISNUMBER(Dates), 4, 1)</f>
        <v>0.10338691</v>
      </c>
      <c r="AN84" s="660">
        <f>GAAPNetInc/Equity*IF(ISNUMBER(Dates), 4, 1)</f>
        <v>0.1009861933</v>
      </c>
      <c r="AO84" s="660">
        <f>GAAPNetInc/Equity*IF(ISNUMBER(Dates), 4, 1)</f>
        <v>0.1774042451</v>
      </c>
      <c r="AP84" s="660">
        <f>GAAPNetInc/Equity*IF(ISNUMBER(Dates), 4, 1)</f>
        <v>0.2296676003</v>
      </c>
      <c r="AQ84" s="309">
        <f>GAAPNetInc/Equity*IF(ISNUMBER(Dates), 4, 1)</f>
        <v>0.1490514189</v>
      </c>
      <c r="AR84" s="660">
        <f>GAAPNetInc/Equity*IF(ISNUMBER(Dates), 4, 1)</f>
        <v>0.1815796379</v>
      </c>
      <c r="AS84" s="660">
        <f>GAAPNetInc/Equity*IF(ISNUMBER(Dates), 4, 1)</f>
        <v>0.1821055632</v>
      </c>
      <c r="AT84" s="660">
        <f>GAAPNetInc/Equity*IF(ISNUMBER(Dates), 4, 1)</f>
        <v>0.1996072784</v>
      </c>
      <c r="AU84" s="660">
        <f>GAAPNetInc/Equity*IF(ISNUMBER(Dates), 4, 1)</f>
        <v>0.2201197543</v>
      </c>
      <c r="AV84" s="309">
        <f>GAAPNetInc/Equity*IF(ISNUMBER(Dates), 4, 1)</f>
        <v>0.1948210166</v>
      </c>
      <c r="AW84" s="660">
        <f>GAAPNetInc/Equity*IF(ISNUMBER(Dates), 4, 1)</f>
        <v>0.2310201268</v>
      </c>
      <c r="AX84" s="660">
        <f>GAAPNetInc/Equity*IF(ISNUMBER(Dates), 4, 1)</f>
        <v>0.2167278141</v>
      </c>
      <c r="AY84" s="660">
        <f>GAAPNetInc/Equity*IF(ISNUMBER(Dates), 4, 1)</f>
        <v>0.2175809794</v>
      </c>
      <c r="AZ84" s="660">
        <f>GAAPNetInc/Equity*IF(ISNUMBER(Dates), 4, 1)</f>
        <v>0.2711845669</v>
      </c>
      <c r="BA84" s="309">
        <f>GAAPNetInc/Equity*IF(ISNUMBER(Dates), 4, 1)</f>
        <v>0.2394560831</v>
      </c>
      <c r="BB84" s="660">
        <f>GAAPNetInc/Equity*IF(ISNUMBER(Dates), 4, 1)</f>
        <v>0.1579835846</v>
      </c>
      <c r="BC84" s="660">
        <f>GAAPNetInc/Equity*IF(ISNUMBER(Dates), 4, 1)</f>
        <v>0.1017358317</v>
      </c>
      <c r="BD84" s="660">
        <f>GAAPNetInc/Equity*IF(ISNUMBER(Dates), 4, 1)</f>
        <v>0.1486135306</v>
      </c>
      <c r="BE84" s="660">
        <f>GAAPNetInc/Equity*IF(ISNUMBER(Dates), 4, 1)</f>
        <v>0.163365259</v>
      </c>
      <c r="BF84" s="309">
        <f>GAAPNetInc/Equity*IF(ISNUMBER(Dates), 4, 1)</f>
        <v>0.1372442316</v>
      </c>
      <c r="BG84" s="660">
        <f>GAAPNetInc/Equity*IF(ISNUMBER(Dates), 4, 1)</f>
        <v>0.1743857592</v>
      </c>
      <c r="BH84" s="660">
        <f>GAAPNetInc/Equity*IF(ISNUMBER(Dates), 4, 1)</f>
        <v>0.1287722303</v>
      </c>
      <c r="BI84" s="660">
        <f>GAAPNetInc/Equity*IF(ISNUMBER(Dates), 4, 1)</f>
        <v>0.1751503594</v>
      </c>
      <c r="BJ84" s="660">
        <f>GAAPNetInc/Equity*IF(ISNUMBER(Dates), 4, 1)</f>
        <v>0.2124315981</v>
      </c>
      <c r="BK84" s="309">
        <f>GAAPNetInc/Equity*IF(ISNUMBER(Dates), 4, 1)</f>
        <v>0.1631354941</v>
      </c>
      <c r="BL84" s="660">
        <f>GAAPNetInc/Equity*IF(ISNUMBER(Dates), 4, 1)</f>
        <v>0.141957698</v>
      </c>
      <c r="BM84" s="660">
        <f>GAAPNetInc/Equity*IF(ISNUMBER(Dates), 4, 1)</f>
        <v>0.1586680211</v>
      </c>
      <c r="BN84" s="660">
        <f>GAAPNetInc/Equity*IF(ISNUMBER(Dates), 4, 1)</f>
        <v>0.2070365706</v>
      </c>
      <c r="BO84" s="660">
        <f>GAAPNetInc/Equity*IF(ISNUMBER(Dates), 4, 1)</f>
        <v>0.02394596807</v>
      </c>
      <c r="BP84" s="309">
        <f>GAAPNetInc/Equity*IF(ISNUMBER(Dates), 4, 1)</f>
        <v>0.1353868195</v>
      </c>
      <c r="BQ84" s="660">
        <f>GAAPNetInc/Equity*IF(ISNUMBER(Dates), 4, 1)</f>
        <v>0.06440712677</v>
      </c>
      <c r="BR84" s="660">
        <f>GAAPNetInc/Equity*IF(ISNUMBER(Dates), 4, 1)</f>
        <v>-0.04077137808</v>
      </c>
      <c r="BS84" s="660">
        <f>GAAPNetInc/Equity*IF(ISNUMBER(Dates), 4, 1)</f>
        <v>0.1901980376</v>
      </c>
      <c r="BT84" s="660">
        <f>GAAPNetInc/Equity*IF(ISNUMBER(Dates), 4, 1)</f>
        <v>0.2188758872</v>
      </c>
      <c r="BU84" s="309">
        <f>GAAPNetInc/Equity*IF(ISNUMBER(Dates), 4, 1)</f>
        <v>0.1047621331</v>
      </c>
      <c r="BV84" s="660">
        <f>GAAPNetInc/Equity*IF(ISNUMBER(Dates), 4, 1)</f>
        <v>0.2276923077</v>
      </c>
      <c r="BW84" s="660">
        <f>GAAPNetInc/Equity*IF(ISNUMBER(Dates), 4, 1)</f>
        <v>0.2519142253</v>
      </c>
      <c r="BX84" s="660">
        <f>GAAPNetInc/Equity*IF(ISNUMBER(Dates), 4, 1)</f>
        <v>0.2478195236</v>
      </c>
      <c r="BY84" s="660">
        <f>GAAPNetInc/Equity*IF(ISNUMBER(Dates), 4, 1)</f>
        <v>0.2573336031</v>
      </c>
      <c r="BZ84" s="309">
        <f>GAAPNetInc/Equity*IF(ISNUMBER(Dates), 4, 1)</f>
        <v>0.2319239328</v>
      </c>
      <c r="CA84" s="660">
        <f>GAAPNetInc/Equity*IF(ISNUMBER(Dates), 4, 1)</f>
        <v>0.2669538955</v>
      </c>
      <c r="CB84" s="660">
        <f>GAAPNetInc/Equity*IF(ISNUMBER(Dates), 4, 1)</f>
        <v>0.2425138025</v>
      </c>
      <c r="CC84" s="660">
        <f>GAAPNetInc/Equity*IF(ISNUMBER(Dates), 4, 1)</f>
        <v>0.3008001388</v>
      </c>
      <c r="CD84" s="660">
        <f>GAAPNetInc/Equity*IF(ISNUMBER(Dates), 4, 1)</f>
        <v>0.2927403019</v>
      </c>
      <c r="CE84" s="309">
        <f>GAAPNetInc/Equity*IF(ISNUMBER(Dates), 4, 1)</f>
        <v>0.2818932282</v>
      </c>
      <c r="CF84" s="660">
        <f>GAAPNetInc/Equity*IF(ISNUMBER(Dates), 4, 1)</f>
        <v>0.2342172797</v>
      </c>
      <c r="CG84" s="660">
        <f>GAAPNetInc/Equity*IF(ISNUMBER(Dates), 4, 1)</f>
        <v>0.2318210705</v>
      </c>
      <c r="CH84" s="660">
        <f>GAAPNetInc/Equity*IF(ISNUMBER(Dates), 4, 1)</f>
        <v>0.2412876251</v>
      </c>
      <c r="CI84" s="660">
        <f>GAAPNetInc/Equity*IF(ISNUMBER(Dates), 4, 1)</f>
        <v>0.1928012031</v>
      </c>
      <c r="CJ84" s="309">
        <f>GAAPNetInc/Equity*IF(ISNUMBER(Dates), 4, 1)</f>
        <v>0.2149288128</v>
      </c>
      <c r="CK84" s="660">
        <f>GAAPNetInc/Equity*IF(ISNUMBER(Dates), 4, 1)</f>
        <v>0.1597843497</v>
      </c>
      <c r="CL84" s="660">
        <f>GAAPNetInc/Equity*IF(ISNUMBER(Dates), 4, 1)</f>
        <v>0.1485884101</v>
      </c>
      <c r="CM84" s="660">
        <f>GAAPNetInc/Equity*IF(ISNUMBER(Dates), 4, 1)</f>
        <v>0.212796653</v>
      </c>
      <c r="CN84" s="660">
        <f>GAAPNetInc/Equity*IF(ISNUMBER(Dates), 4, 1)</f>
        <v>0.1802389453</v>
      </c>
      <c r="CO84" s="309">
        <f>GAAPNetInc/Equity*IF(ISNUMBER(Dates), 4, 1)</f>
        <v>0.1651332052</v>
      </c>
      <c r="CP84" s="660">
        <f>GAAPNetInc/Equity*IF(ISNUMBER(Dates), 4, 1)</f>
        <v>0.134601468</v>
      </c>
      <c r="CQ84" s="660">
        <f>GAAPNetInc/Equity*IF(ISNUMBER(Dates), 4, 1)</f>
        <v>0.1887690516</v>
      </c>
      <c r="CR84" s="660">
        <f>GAAPNetInc/Equity*IF(ISNUMBER(Dates), 4, 1)</f>
        <v>0.2328209448</v>
      </c>
      <c r="CS84" s="660">
        <f>GAAPNetInc/Equity*IF(ISNUMBER(Dates), 4, 1)</f>
        <v>0.2579213414</v>
      </c>
      <c r="CT84" s="309">
        <f>GAAPNetInc/Equity*IF(ISNUMBER(Dates), 4, 1)</f>
        <v>0.2065449037</v>
      </c>
      <c r="CU84" s="660">
        <f>GAAPNetInc/Equity*IF(ISNUMBER(Dates), 4, 1)</f>
        <v>0.1427138559</v>
      </c>
      <c r="CV84" s="660">
        <f>GAAPNetInc/Equity*IF(ISNUMBER(Dates), 4, 1)</f>
        <v>0.1847098976</v>
      </c>
      <c r="CW84" s="660">
        <f>GAAPNetInc/Equity*IF(ISNUMBER(Dates), 4, 1)</f>
        <v>0.2144063998</v>
      </c>
      <c r="CX84" s="660">
        <f>GAAPNetInc/Equity*IF(ISNUMBER(Dates), 4, 1)</f>
        <v>0.2331644671</v>
      </c>
      <c r="CY84" s="37">
        <f>GAAPNetInc/Equity*IF(ISNUMBER(Dates), 4, 1)</f>
        <v>0.1842470395</v>
      </c>
      <c r="CZ84" s="660">
        <f>GAAPNetInc/Equity*IF(ISNUMBER(Dates), 4, 1)</f>
        <v>0.1318553844</v>
      </c>
      <c r="DA84" s="660">
        <f>GAAPNetInc/Equity*IF(ISNUMBER(Dates), 4, 1)</f>
        <v>0.0854522383</v>
      </c>
      <c r="DB84" s="660">
        <f>GAAPNetInc/Equity*IF(ISNUMBER(Dates), 4, 1)</f>
        <v>0.2111217012</v>
      </c>
      <c r="DC84" s="660">
        <f>GAAPNetInc/Equity*IF(ISNUMBER(Dates), 4, 1)</f>
        <v>0.2123144782</v>
      </c>
      <c r="DD84" s="37">
        <f>GAAPNetInc/Equity*IF(ISNUMBER(Dates), 4, 1)</f>
        <v>0.153722358</v>
      </c>
      <c r="DE84" s="660">
        <f>GAAPNetInc/Equity*IF(ISNUMBER(Dates), 4, 1)</f>
        <v>0.1750686631</v>
      </c>
      <c r="DF84" s="660">
        <f>GAAPNetInc/Equity*IF(ISNUMBER(Dates), 4, 1)</f>
        <v>0.1616138362</v>
      </c>
      <c r="DG84" s="83">
        <f>GAAPNetInc/Equity*IF(ISNUMBER(Dates), 4, 1)</f>
        <v>0.2515667214</v>
      </c>
      <c r="DH84" s="660">
        <f>GAAPNetInc/Equity*IF(ISNUMBER(Dates), 4, 1)</f>
        <v>-0.03932174286</v>
      </c>
      <c r="DI84" s="37">
        <f>GAAPNetInc/Equity*IF(ISNUMBER(Dates), 4, 1)</f>
        <v>0.1373828432</v>
      </c>
      <c r="DJ84" s="83">
        <f>GAAPNetInc/Equity*IF(ISNUMBER(Dates), 4, 1)</f>
        <v>0.25391577</v>
      </c>
      <c r="DK84" s="83">
        <f>GAAPNetInc/Equity*IF(ISNUMBER(Dates), 4, 1)</f>
        <v>0.2858652048</v>
      </c>
      <c r="DL84" s="83">
        <f>GAAPNetInc/Equity*IF(ISNUMBER(Dates), 4, 1)</f>
        <v>0.3554543182</v>
      </c>
      <c r="DM84" s="83">
        <f>GAAPNetInc/Equity*IF(ISNUMBER(Dates), 4, 1)</f>
        <v>0.2786905033</v>
      </c>
      <c r="DN84" s="37">
        <f>GAAPNetInc/Equity*IF(ISNUMBER(Dates), 4, 1)</f>
        <v>0.2823518367</v>
      </c>
      <c r="DO84" s="83">
        <f>GAAPNetInc/Equity*IF(ISNUMBER(Dates), 4, 1)</f>
        <v>0.2157994054</v>
      </c>
      <c r="DP84" s="83">
        <f>GAAPNetInc/Equity*IF(ISNUMBER(Dates), 4, 1)</f>
        <v>0.2230376132</v>
      </c>
      <c r="DQ84" s="83">
        <f>GAAPNetInc/Equity*IF(ISNUMBER(Dates), 4, 1)</f>
        <v>0.3220083862</v>
      </c>
      <c r="DR84" s="83">
        <f>GAAPNetInc/Equity*IF(ISNUMBER(Dates), 4, 1)</f>
        <v>0.3556574254</v>
      </c>
      <c r="DS84" s="37">
        <f>GAAPNetInc/Equity*IF(ISNUMBER(Dates), 4, 1)</f>
        <v>0.271031046</v>
      </c>
      <c r="DT84" s="83">
        <f>GAAPNetInc/Equity*IF(ISNUMBER(Dates), 4, 1)</f>
        <v>0.2965659952</v>
      </c>
      <c r="DU84" s="83">
        <f>GAAPNetInc/Equity*IF(ISNUMBER(Dates), 4, 1)</f>
        <v>0.2489940251</v>
      </c>
      <c r="DV84" s="83">
        <f>GAAPNetInc/Equity*IF(ISNUMBER(Dates), 4, 1)</f>
        <v>0.2294176033</v>
      </c>
      <c r="DW84" s="83">
        <f>GAAPNetInc/Equity*IF(ISNUMBER(Dates), 4, 1)</f>
        <v>0.2890989412</v>
      </c>
      <c r="DX84" s="37">
        <f>GAAPNetInc/Equity*IF(ISNUMBER(Dates), 4, 1)</f>
        <v>0.2578913596</v>
      </c>
      <c r="DY84" s="83">
        <f>GAAPNetInc/Equity*IF(ISNUMBER(Dates), 4, 1)</f>
        <v>0.1684564011</v>
      </c>
      <c r="DZ84" s="83">
        <f>GAAPNetInc/Equity*IF(ISNUMBER(Dates), 4, 1)</f>
        <v>0.2375861138</v>
      </c>
      <c r="EA84" s="83">
        <f>GAAPNetInc/Equity*IF(ISNUMBER(Dates), 4, 1)</f>
        <v>0.3029515912</v>
      </c>
      <c r="EB84" s="83">
        <f>GAAPNetInc/Equity*IF(ISNUMBER(Dates), 4, 1)</f>
        <v>0.1938547662</v>
      </c>
      <c r="EC84" s="37">
        <f>GAAPNetInc/Equity*IF(ISNUMBER(Dates), 4, 1)</f>
        <v>0.2082796071</v>
      </c>
      <c r="ED84" s="83">
        <f>GAAPNetInc/Equity*IF(ISNUMBER(Dates), 4, 1)</f>
        <v>0.3146524977</v>
      </c>
      <c r="EE84" s="83">
        <f>GAAPNetInc/Equity*IF(ISNUMBER(Dates), 4, 1)</f>
        <v>-0.01794147286</v>
      </c>
      <c r="EF84" s="83">
        <f>GAAPNetInc/Equity*IF(ISNUMBER(Dates), 4, 1)</f>
        <v>0.04080692797</v>
      </c>
      <c r="EG84" s="83">
        <f>GAAPNetInc/Equity*IF(ISNUMBER(Dates), 4, 1)</f>
        <v>-0.0260690376</v>
      </c>
      <c r="EH84" s="37">
        <f>GAAPNetInc/Equity*IF(ISNUMBER(Dates), 4, 1)</f>
        <v>0.07904518699</v>
      </c>
      <c r="EI84" s="661" t="str">
        <f>GAAPNetInc/Equity*IF(ISNUMBER(Dates), 4, 1)</f>
        <v>#ERROR!</v>
      </c>
      <c r="EJ84" s="660" t="str">
        <f>GAAPNetInc/Equity*IF(ISNUMBER(Dates), 4, 1)</f>
        <v>#ERROR!</v>
      </c>
      <c r="EK84" s="660" t="str">
        <f>GAAPNetInc/Equity*IF(ISNUMBER(Dates), 4, 1)</f>
        <v>#ERROR!</v>
      </c>
      <c r="EL84" s="660" t="str">
        <f>GAAPNetInc/Equity*IF(ISNUMBER(Dates), 4, 1)</f>
        <v>#ERROR!</v>
      </c>
      <c r="EM84" s="37" t="str">
        <f>GAAPNetInc/Equity*IF(ISNUMBER(Dates), 4, 1)</f>
        <v>#ERROR!</v>
      </c>
      <c r="EN84" s="660" t="str">
        <f>GAAPNetInc/Equity*IF(ISNUMBER(Dates), 4, 1)</f>
        <v>#ERROR!</v>
      </c>
      <c r="EO84" s="660" t="str">
        <f>GAAPNetInc/Equity*IF(ISNUMBER(Dates), 4, 1)</f>
        <v>#ERROR!</v>
      </c>
      <c r="EP84" s="660" t="str">
        <f>GAAPNetInc/Equity*IF(ISNUMBER(Dates), 4, 1)</f>
        <v>#ERROR!</v>
      </c>
      <c r="EQ84" s="660" t="str">
        <f>GAAPNetInc/Equity*IF(ISNUMBER(Dates), 4, 1)</f>
        <v>#ERROR!</v>
      </c>
      <c r="ER84" s="37" t="str">
        <f>GAAPNetInc/Equity*IF(ISNUMBER(Dates), 4, 1)</f>
        <v>#ERROR!</v>
      </c>
      <c r="ES84" s="660" t="str">
        <f>GAAPNetInc/Equity*IF(ISNUMBER(Dates), 4, 1)</f>
        <v>#ERROR!</v>
      </c>
      <c r="ET84" s="660" t="str">
        <f>GAAPNetInc/Equity*IF(ISNUMBER(Dates), 4, 1)</f>
        <v>#ERROR!</v>
      </c>
      <c r="EU84" s="660" t="str">
        <f>GAAPNetInc/Equity*IF(ISNUMBER(Dates), 4, 1)</f>
        <v>#ERROR!</v>
      </c>
      <c r="EV84" s="660" t="str">
        <f>GAAPNetInc/Equity*IF(ISNUMBER(Dates), 4, 1)</f>
        <v>#ERROR!</v>
      </c>
      <c r="EW84" s="37" t="str">
        <f>GAAPNetInc/Equity*IF(ISNUMBER(Dates), 4, 1)</f>
        <v>#ERROR!</v>
      </c>
      <c r="EX84" s="660" t="str">
        <f>GAAPNetInc/Equity*IF(ISNUMBER(Dates), 4, 1)</f>
        <v>#ERROR!</v>
      </c>
      <c r="EY84" s="660" t="str">
        <f>GAAPNetInc/Equity*IF(ISNUMBER(Dates), 4, 1)</f>
        <v>#ERROR!</v>
      </c>
      <c r="EZ84" s="660" t="str">
        <f>GAAPNetInc/Equity*IF(ISNUMBER(Dates), 4, 1)</f>
        <v>#ERROR!</v>
      </c>
      <c r="FA84" s="660" t="str">
        <f>GAAPNetInc/Equity*IF(ISNUMBER(Dates), 4, 1)</f>
        <v>#ERROR!</v>
      </c>
      <c r="FB84" s="37" t="str">
        <f>GAAPNetInc/Equity*IF(ISNUMBER(Dates), 4, 1)</f>
        <v>#ERROR!</v>
      </c>
      <c r="FC84" s="660" t="str">
        <f>GAAPNetInc/Equity*IF(ISNUMBER(Dates), 4, 1)</f>
        <v>#ERROR!</v>
      </c>
      <c r="FD84" s="660" t="str">
        <f>GAAPNetInc/Equity*IF(ISNUMBER(Dates), 4, 1)</f>
        <v>#ERROR!</v>
      </c>
      <c r="FE84" s="660" t="str">
        <f>GAAPNetInc/Equity*IF(ISNUMBER(Dates), 4, 1)</f>
        <v>#ERROR!</v>
      </c>
      <c r="FF84" s="660" t="str">
        <f>GAAPNetInc/Equity*IF(ISNUMBER(Dates), 4, 1)</f>
        <v>#ERROR!</v>
      </c>
      <c r="FG84" s="37" t="str">
        <f>GAAPNetInc/Equity*IF(ISNUMBER(Dates), 4, 1)</f>
        <v>#ERROR!</v>
      </c>
    </row>
    <row r="85" ht="12.75" customHeight="1">
      <c r="A85" s="4"/>
      <c r="B85" s="180" t="s">
        <v>565</v>
      </c>
      <c r="C85" s="179"/>
      <c r="D85" s="179"/>
      <c r="E85" s="179"/>
      <c r="F85" s="179"/>
      <c r="G85" s="179"/>
      <c r="H85" s="179"/>
      <c r="I85" s="179"/>
      <c r="J85" s="179"/>
      <c r="K85" s="179"/>
      <c r="L85" s="179"/>
      <c r="M85" s="179"/>
      <c r="N85" s="660">
        <f>GAAPNetInc/totalAssets</f>
        <v>0.04211187932</v>
      </c>
      <c r="O85" s="660">
        <f>GAAPNetInc/totalAssets</f>
        <v>0.04124146668</v>
      </c>
      <c r="P85" s="660">
        <f>GAAPNetInc/totalAssets</f>
        <v>0.05304886348</v>
      </c>
      <c r="Q85" s="660">
        <f>GAAPNetInc/totalAssets</f>
        <v>0.06558418862</v>
      </c>
      <c r="R85" s="309">
        <f>GAAPNetInc/totalAssets*IF(ISNUMBER(Dates), 4, 1)</f>
        <v>0.1928124305</v>
      </c>
      <c r="S85" s="660">
        <f>GAAPNetInc/totalAssets*IF(ISNUMBER(Dates), 4, 1)</f>
        <v>0.2416220953</v>
      </c>
      <c r="T85" s="660">
        <f>GAAPNetInc/totalAssets*IF(ISNUMBER(Dates), 4, 1)</f>
        <v>0.2132861803</v>
      </c>
      <c r="U85" s="660">
        <f>GAAPNetInc/totalAssets*IF(ISNUMBER(Dates), 4, 1)</f>
        <v>0.1497765679</v>
      </c>
      <c r="V85" s="660">
        <f>GAAPNetInc/totalAssets*IF(ISNUMBER(Dates), 4, 1)</f>
        <v>0.1922962895</v>
      </c>
      <c r="W85" s="309">
        <f>GAAPNetInc/totalAssets*IF(ISNUMBER(Dates), 4, 1)</f>
        <v>0.166799699</v>
      </c>
      <c r="X85" s="660">
        <f>GAAPNetInc/totalAssets*IF(ISNUMBER(Dates), 4, 1)</f>
        <v>0.2255547886</v>
      </c>
      <c r="Y85" s="660">
        <f>GAAPNetInc/totalAssets*IF(ISNUMBER(Dates), 4, 1)</f>
        <v>0.2586150041</v>
      </c>
      <c r="Z85" s="660">
        <f>GAAPNetInc/totalAssets*IF(ISNUMBER(Dates), 4, 1)</f>
        <v>0.2047620019</v>
      </c>
      <c r="AA85" s="660">
        <f>GAAPNetInc/totalAssets*IF(ISNUMBER(Dates), 4, 1)</f>
        <v>0.1829596413</v>
      </c>
      <c r="AB85" s="309">
        <f>GAAPNetInc/totalAssets*IF(ISNUMBER(Dates), 4, 1)</f>
        <v>0.2197309417</v>
      </c>
      <c r="AC85" s="660">
        <f>GAAPNetInc/totalAssets*IF(ISNUMBER(Dates), 4, 1)</f>
        <v>0.0419468529</v>
      </c>
      <c r="AD85" s="660">
        <f>GAAPNetInc/totalAssets*IF(ISNUMBER(Dates), 4, 1)</f>
        <v>0.01718393828</v>
      </c>
      <c r="AE85" s="660">
        <f>GAAPNetInc/totalAssets*IF(ISNUMBER(Dates), 4, 1)</f>
        <v>0.009586036942</v>
      </c>
      <c r="AF85" s="660">
        <f>GAAPNetInc/totalAssets*IF(ISNUMBER(Dates), 4, 1)</f>
        <v>0.0454105192</v>
      </c>
      <c r="AG85" s="410">
        <f>GAAPNetInc/totalAssets*IF(ISNUMBER(Dates), 4, 1)</f>
        <v>0.02907985133</v>
      </c>
      <c r="AH85" s="15">
        <f>GAAPNetInc/totalAssets*IF(ISNUMBER(Dates), 4, 1)</f>
        <v>0.08434522066</v>
      </c>
      <c r="AI85" s="15">
        <f>GAAPNetInc/totalAssets*IF(ISNUMBER(Dates), 4, 1)</f>
        <v>0.04101337993</v>
      </c>
      <c r="AJ85" s="15">
        <f>GAAPNetInc/totalAssets*IF(ISNUMBER(Dates), 4, 1)</f>
        <v>0.06288385737</v>
      </c>
      <c r="AK85" s="15">
        <f>GAAPNetInc/totalAssets*IF(ISNUMBER(Dates), 4, 1)</f>
        <v>0.09488060781</v>
      </c>
      <c r="AL85" s="410">
        <f>GAAPNetInc/totalAssets*IF(ISNUMBER(Dates), 4, 1)</f>
        <v>0.07048209117</v>
      </c>
      <c r="AM85" s="660">
        <f>GAAPNetInc/totalAssets*IF(ISNUMBER(Dates), 4, 1)</f>
        <v>0.0835501986</v>
      </c>
      <c r="AN85" s="660">
        <f>GAAPNetInc/totalAssets*IF(ISNUMBER(Dates), 4, 1)</f>
        <v>0.08060272124</v>
      </c>
      <c r="AO85" s="660">
        <f>GAAPNetInc/totalAssets*IF(ISNUMBER(Dates), 4, 1)</f>
        <v>0.1410122758</v>
      </c>
      <c r="AP85" s="660">
        <f>GAAPNetInc/totalAssets*IF(ISNUMBER(Dates), 4, 1)</f>
        <v>0.1843751989</v>
      </c>
      <c r="AQ85" s="309">
        <f>GAAPNetInc/totalAssets*IF(ISNUMBER(Dates), 4, 1)</f>
        <v>0.1196572132</v>
      </c>
      <c r="AR85" s="660">
        <f>GAAPNetInc/totalAssets*IF(ISNUMBER(Dates), 4, 1)</f>
        <v>0.1469588855</v>
      </c>
      <c r="AS85" s="660">
        <f>GAAPNetInc/totalAssets*IF(ISNUMBER(Dates), 4, 1)</f>
        <v>0.1443951348</v>
      </c>
      <c r="AT85" s="660">
        <f>GAAPNetInc/totalAssets*IF(ISNUMBER(Dates), 4, 1)</f>
        <v>0.1594979079</v>
      </c>
      <c r="AU85" s="660">
        <f>GAAPNetInc/totalAssets*IF(ISNUMBER(Dates), 4, 1)</f>
        <v>0.176391168</v>
      </c>
      <c r="AV85" s="309">
        <f>GAAPNetInc/totalAssets*IF(ISNUMBER(Dates), 4, 1)</f>
        <v>0.1561182311</v>
      </c>
      <c r="AW85" s="660">
        <f>GAAPNetInc/totalAssets*IF(ISNUMBER(Dates), 4, 1)</f>
        <v>0.1831560358</v>
      </c>
      <c r="AX85" s="660">
        <f>GAAPNetInc/totalAssets*IF(ISNUMBER(Dates), 4, 1)</f>
        <v>0.1752628297</v>
      </c>
      <c r="AY85" s="660">
        <f>GAAPNetInc/totalAssets*IF(ISNUMBER(Dates), 4, 1)</f>
        <v>0.1684966216</v>
      </c>
      <c r="AZ85" s="660">
        <f>GAAPNetInc/totalAssets*IF(ISNUMBER(Dates), 4, 1)</f>
        <v>0.2030881318</v>
      </c>
      <c r="BA85" s="309">
        <f>GAAPNetInc/totalAssets*IF(ISNUMBER(Dates), 4, 1)</f>
        <v>0.1793269032</v>
      </c>
      <c r="BB85" s="660">
        <f>GAAPNetInc/totalAssets*IF(ISNUMBER(Dates), 4, 1)</f>
        <v>0.1150146205</v>
      </c>
      <c r="BC85" s="660">
        <f>GAAPNetInc/totalAssets*IF(ISNUMBER(Dates), 4, 1)</f>
        <v>0.07680958167</v>
      </c>
      <c r="BD85" s="660">
        <f>GAAPNetInc/totalAssets*IF(ISNUMBER(Dates), 4, 1)</f>
        <v>0.1110660549</v>
      </c>
      <c r="BE85" s="660">
        <f>GAAPNetInc/totalAssets*IF(ISNUMBER(Dates), 4, 1)</f>
        <v>0.1241316573</v>
      </c>
      <c r="BF85" s="309">
        <f>GAAPNetInc/totalAssets*IF(ISNUMBER(Dates), 4, 1)</f>
        <v>0.104283824</v>
      </c>
      <c r="BG85" s="660">
        <f>GAAPNetInc/totalAssets*IF(ISNUMBER(Dates), 4, 1)</f>
        <v>0.1342193781</v>
      </c>
      <c r="BH85" s="660">
        <f>GAAPNetInc/totalAssets*IF(ISNUMBER(Dates), 4, 1)</f>
        <v>0.101642343</v>
      </c>
      <c r="BI85" s="660">
        <f>GAAPNetInc/totalAssets*IF(ISNUMBER(Dates), 4, 1)</f>
        <v>0.1350704199</v>
      </c>
      <c r="BJ85" s="660">
        <f>GAAPNetInc/totalAssets*IF(ISNUMBER(Dates), 4, 1)</f>
        <v>0.1632315682</v>
      </c>
      <c r="BK85" s="309">
        <f>GAAPNetInc/totalAssets*IF(ISNUMBER(Dates), 4, 1)</f>
        <v>0.1253526442</v>
      </c>
      <c r="BL85" s="660">
        <f>GAAPNetInc/totalAssets*IF(ISNUMBER(Dates), 4, 1)</f>
        <v>0.1081162081</v>
      </c>
      <c r="BM85" s="660">
        <f>GAAPNetInc/totalAssets*IF(ISNUMBER(Dates), 4, 1)</f>
        <v>0.1222324019</v>
      </c>
      <c r="BN85" s="660">
        <f>GAAPNetInc/totalAssets*IF(ISNUMBER(Dates), 4, 1)</f>
        <v>0.1528101823</v>
      </c>
      <c r="BO85" s="660">
        <f>GAAPNetInc/totalAssets*IF(ISNUMBER(Dates), 4, 1)</f>
        <v>0.01845607808</v>
      </c>
      <c r="BP85" s="309">
        <f>GAAPNetInc/totalAssets*IF(ISNUMBER(Dates), 4, 1)</f>
        <v>0.1043478261</v>
      </c>
      <c r="BQ85" s="660">
        <f>GAAPNetInc/totalAssets*IF(ISNUMBER(Dates), 4, 1)</f>
        <v>0.05192553762</v>
      </c>
      <c r="BR85" s="660">
        <f>GAAPNetInc/totalAssets*IF(ISNUMBER(Dates), 4, 1)</f>
        <v>-0.03244939973</v>
      </c>
      <c r="BS85" s="660">
        <f>GAAPNetInc/totalAssets*IF(ISNUMBER(Dates), 4, 1)</f>
        <v>0.1455800455</v>
      </c>
      <c r="BT85" s="660">
        <f>GAAPNetInc/totalAssets*IF(ISNUMBER(Dates), 4, 1)</f>
        <v>0.1719182597</v>
      </c>
      <c r="BU85" s="309">
        <f>GAAPNetInc/totalAssets*IF(ISNUMBER(Dates), 4, 1)</f>
        <v>0.08228646765</v>
      </c>
      <c r="BV85" s="660">
        <f>GAAPNetInc/totalAssets*IF(ISNUMBER(Dates), 4, 1)</f>
        <v>0.1751385079</v>
      </c>
      <c r="BW85" s="660">
        <f>GAAPNetInc/totalAssets*IF(ISNUMBER(Dates), 4, 1)</f>
        <v>0.2001698705</v>
      </c>
      <c r="BX85" s="660">
        <f>GAAPNetInc/totalAssets*IF(ISNUMBER(Dates), 4, 1)</f>
        <v>0.1950881363</v>
      </c>
      <c r="BY85" s="660">
        <f>GAAPNetInc/totalAssets*IF(ISNUMBER(Dates), 4, 1)</f>
        <v>0.2013104169</v>
      </c>
      <c r="BZ85" s="309">
        <f>GAAPNetInc/totalAssets*IF(ISNUMBER(Dates), 4, 1)</f>
        <v>0.1814325958</v>
      </c>
      <c r="CA85" s="660">
        <f>GAAPNetInc/totalAssets*IF(ISNUMBER(Dates), 4, 1)</f>
        <v>0.1928240176</v>
      </c>
      <c r="CB85" s="660">
        <f>GAAPNetInc/totalAssets*IF(ISNUMBER(Dates), 4, 1)</f>
        <v>0.1787892085</v>
      </c>
      <c r="CC85" s="660">
        <f>GAAPNetInc/totalAssets*IF(ISNUMBER(Dates), 4, 1)</f>
        <v>0.196623719</v>
      </c>
      <c r="CD85" s="660">
        <f>GAAPNetInc/totalAssets*IF(ISNUMBER(Dates), 4, 1)</f>
        <v>0.1889790351</v>
      </c>
      <c r="CE85" s="309">
        <f>GAAPNetInc/totalAssets*IF(ISNUMBER(Dates), 4, 1)</f>
        <v>0.181976687</v>
      </c>
      <c r="CF85" s="660">
        <f>GAAPNetInc/totalAssets*IF(ISNUMBER(Dates), 4, 1)</f>
        <v>0.152498712</v>
      </c>
      <c r="CG85" s="660">
        <f>GAAPNetInc/totalAssets*IF(ISNUMBER(Dates), 4, 1)</f>
        <v>0.156291464</v>
      </c>
      <c r="CH85" s="660">
        <f>GAAPNetInc/totalAssets*IF(ISNUMBER(Dates), 4, 1)</f>
        <v>0.1596969412</v>
      </c>
      <c r="CI85" s="660">
        <f>GAAPNetInc/totalAssets*IF(ISNUMBER(Dates), 4, 1)</f>
        <v>0.1170347714</v>
      </c>
      <c r="CJ85" s="309">
        <f>GAAPNetInc/totalAssets*IF(ISNUMBER(Dates), 4, 1)</f>
        <v>0.1304667402</v>
      </c>
      <c r="CK85" s="660">
        <f>GAAPNetInc/totalAssets*IF(ISNUMBER(Dates), 4, 1)</f>
        <v>0.09845576111</v>
      </c>
      <c r="CL85" s="660">
        <f>GAAPNetInc/totalAssets*IF(ISNUMBER(Dates), 4, 1)</f>
        <v>0.09339139165</v>
      </c>
      <c r="CM85" s="660">
        <f>GAAPNetInc/totalAssets*IF(ISNUMBER(Dates), 4, 1)</f>
        <v>0.1303133041</v>
      </c>
      <c r="CN85" s="660">
        <f>GAAPNetInc/totalAssets*IF(ISNUMBER(Dates), 4, 1)</f>
        <v>0.11368804</v>
      </c>
      <c r="CO85" s="309">
        <f>GAAPNetInc/totalAssets*IF(ISNUMBER(Dates), 4, 1)</f>
        <v>0.1041598995</v>
      </c>
      <c r="CP85" s="660">
        <f>GAAPNetInc/totalAssets*IF(ISNUMBER(Dates), 4, 1)</f>
        <v>0.08497585172</v>
      </c>
      <c r="CQ85" s="660">
        <f>GAAPNetInc/totalAssets*IF(ISNUMBER(Dates), 4, 1)</f>
        <v>0.1218393559</v>
      </c>
      <c r="CR85" s="660">
        <f>GAAPNetInc/totalAssets*IF(ISNUMBER(Dates), 4, 1)</f>
        <v>0.1464200583</v>
      </c>
      <c r="CS85" s="660">
        <f>GAAPNetInc/totalAssets*IF(ISNUMBER(Dates), 4, 1)</f>
        <v>0.1592500761</v>
      </c>
      <c r="CT85" s="309">
        <f>GAAPNetInc/totalAssets*IF(ISNUMBER(Dates), 4, 1)</f>
        <v>0.1275283831</v>
      </c>
      <c r="CU85" s="660">
        <f>GAAPNetInc/totalAssets*IF(ISNUMBER(Dates), 4, 1)</f>
        <v>0.08896232946</v>
      </c>
      <c r="CV85" s="660">
        <f>GAAPNetInc/totalAssets*IF(ISNUMBER(Dates), 4, 1)</f>
        <v>0.1196127835</v>
      </c>
      <c r="CW85" s="660">
        <f>GAAPNetInc/totalAssets*IF(ISNUMBER(Dates), 4, 1)</f>
        <v>0.1261871905</v>
      </c>
      <c r="CX85" s="660">
        <f>GAAPNetInc/totalAssets*IF(ISNUMBER(Dates), 4, 1)</f>
        <v>0.1402221899</v>
      </c>
      <c r="CY85" s="37">
        <f>GAAPNetInc/totalAssets*IF(ISNUMBER(Dates), 4, 1)</f>
        <v>0.1108038616</v>
      </c>
      <c r="CZ85" s="660">
        <f>GAAPNetInc/totalAssets*IF(ISNUMBER(Dates), 4, 1)</f>
        <v>0.07759773199</v>
      </c>
      <c r="DA85" s="660">
        <f>GAAPNetInc/totalAssets*IF(ISNUMBER(Dates), 4, 1)</f>
        <v>0.04843805483</v>
      </c>
      <c r="DB85" s="660">
        <f>GAAPNetInc/totalAssets*IF(ISNUMBER(Dates), 4, 1)</f>
        <v>0.1204095636</v>
      </c>
      <c r="DC85" s="660">
        <f>GAAPNetInc/totalAssets*IF(ISNUMBER(Dates), 4, 1)</f>
        <v>0.1257246728</v>
      </c>
      <c r="DD85" s="37">
        <f>GAAPNetInc/totalAssets*IF(ISNUMBER(Dates), 4, 1)</f>
        <v>0.09102861631</v>
      </c>
      <c r="DE85" s="660">
        <f>GAAPNetInc/totalAssets*IF(ISNUMBER(Dates), 4, 1)</f>
        <v>0.1025179856</v>
      </c>
      <c r="DF85" s="660">
        <f>GAAPNetInc/totalAssets*IF(ISNUMBER(Dates), 4, 1)</f>
        <v>0.09198489849</v>
      </c>
      <c r="DG85" s="83">
        <f>GAAPNetInc/totalAssets*IF(ISNUMBER(Dates), 4, 1)</f>
        <v>0.1421377313</v>
      </c>
      <c r="DH85" s="660">
        <f>GAAPNetInc/totalAssets*IF(ISNUMBER(Dates), 4, 1)</f>
        <v>-0.02229632695</v>
      </c>
      <c r="DI85" s="37">
        <f>GAAPNetInc/totalAssets*IF(ISNUMBER(Dates), 4, 1)</f>
        <v>0.07789921216</v>
      </c>
      <c r="DJ85" s="83">
        <f>GAAPNetInc/totalAssets*IF(ISNUMBER(Dates), 4, 1)</f>
        <v>0.1385424119</v>
      </c>
      <c r="DK85" s="83">
        <f>GAAPNetInc/totalAssets*IF(ISNUMBER(Dates), 4, 1)</f>
        <v>0.1589559585</v>
      </c>
      <c r="DL85" s="83">
        <f>GAAPNetInc/totalAssets*IF(ISNUMBER(Dates), 4, 1)</f>
        <v>0.1995602065</v>
      </c>
      <c r="DM85" s="83">
        <f>GAAPNetInc/totalAssets*IF(ISNUMBER(Dates), 4, 1)</f>
        <v>0.1623906911</v>
      </c>
      <c r="DN85" s="37">
        <f>GAAPNetInc/totalAssets*IF(ISNUMBER(Dates), 4, 1)</f>
        <v>0.1645241203</v>
      </c>
      <c r="DO85" s="83">
        <f>GAAPNetInc/totalAssets*IF(ISNUMBER(Dates), 4, 1)</f>
        <v>0.1227888582</v>
      </c>
      <c r="DP85" s="83">
        <f>GAAPNetInc/totalAssets*IF(ISNUMBER(Dates), 4, 1)</f>
        <v>0.1278382368</v>
      </c>
      <c r="DQ85" s="83">
        <f>GAAPNetInc/totalAssets*IF(ISNUMBER(Dates), 4, 1)</f>
        <v>0.1791160816</v>
      </c>
      <c r="DR85" s="83">
        <f>GAAPNetInc/totalAssets*IF(ISNUMBER(Dates), 4, 1)</f>
        <v>0.2023087516</v>
      </c>
      <c r="DS85" s="37">
        <f>GAAPNetInc/totalAssets*IF(ISNUMBER(Dates), 4, 1)</f>
        <v>0.1541706953</v>
      </c>
      <c r="DT85" s="83">
        <f>GAAPNetInc/totalAssets*IF(ISNUMBER(Dates), 4, 1)</f>
        <v>0.1533003859</v>
      </c>
      <c r="DU85" s="83">
        <f>GAAPNetInc/totalAssets*IF(ISNUMBER(Dates), 4, 1)</f>
        <v>0.1338674044</v>
      </c>
      <c r="DV85" s="83">
        <f>GAAPNetInc/totalAssets*IF(ISNUMBER(Dates), 4, 1)</f>
        <v>0.1177466767</v>
      </c>
      <c r="DW85" s="83">
        <f>GAAPNetInc/totalAssets*IF(ISNUMBER(Dates), 4, 1)</f>
        <v>0.1530331633</v>
      </c>
      <c r="DX85" s="37">
        <f>GAAPNetInc/totalAssets*IF(ISNUMBER(Dates), 4, 1)</f>
        <v>0.1365135769</v>
      </c>
      <c r="DY85" s="83">
        <f>GAAPNetInc/totalAssets*IF(ISNUMBER(Dates), 4, 1)</f>
        <v>0.08925654951</v>
      </c>
      <c r="DZ85" s="83">
        <f>GAAPNetInc/totalAssets*IF(ISNUMBER(Dates), 4, 1)</f>
        <v>0.1309469136</v>
      </c>
      <c r="EA85" s="83">
        <f>GAAPNetInc/totalAssets*IF(ISNUMBER(Dates), 4, 1)</f>
        <v>0.1624891344</v>
      </c>
      <c r="EB85" s="83">
        <f>GAAPNetInc/totalAssets*IF(ISNUMBER(Dates), 4, 1)</f>
        <v>0.1098060639</v>
      </c>
      <c r="EC85" s="37">
        <f>GAAPNetInc/totalAssets*IF(ISNUMBER(Dates), 4, 1)</f>
        <v>0.1179767942</v>
      </c>
      <c r="ED85" s="83">
        <f>GAAPNetInc/totalAssets*IF(ISNUMBER(Dates), 4, 1)</f>
        <v>0.1840141532</v>
      </c>
      <c r="EE85" s="83">
        <f>GAAPNetInc/totalAssets*IF(ISNUMBER(Dates), 4, 1)</f>
        <v>-0.01065615135</v>
      </c>
      <c r="EF85" s="83">
        <f>GAAPNetInc/totalAssets*IF(ISNUMBER(Dates), 4, 1)</f>
        <v>0.02331260974</v>
      </c>
      <c r="EG85" s="83">
        <f>GAAPNetInc/totalAssets*IF(ISNUMBER(Dates), 4, 1)</f>
        <v>-0.01451925559</v>
      </c>
      <c r="EH85" s="37">
        <f>GAAPNetInc/totalAssets*IF(ISNUMBER(Dates), 4, 1)</f>
        <v>0.04402453557</v>
      </c>
      <c r="EI85" s="661" t="str">
        <f>GAAPNetInc/totalAssets*IF(ISNUMBER(Dates), 4, 1)</f>
        <v>#ERROR!</v>
      </c>
      <c r="EJ85" s="660" t="str">
        <f>GAAPNetInc/totalAssets*IF(ISNUMBER(Dates), 4, 1)</f>
        <v>#ERROR!</v>
      </c>
      <c r="EK85" s="660" t="str">
        <f>GAAPNetInc/totalAssets*IF(ISNUMBER(Dates), 4, 1)</f>
        <v>#ERROR!</v>
      </c>
      <c r="EL85" s="660" t="str">
        <f>GAAPNetInc/totalAssets*IF(ISNUMBER(Dates), 4, 1)</f>
        <v>#ERROR!</v>
      </c>
      <c r="EM85" s="37" t="str">
        <f>GAAPNetInc/totalAssets*IF(ISNUMBER(Dates), 4, 1)</f>
        <v>#ERROR!</v>
      </c>
      <c r="EN85" s="660" t="str">
        <f>GAAPNetInc/totalAssets*IF(ISNUMBER(Dates), 4, 1)</f>
        <v>#ERROR!</v>
      </c>
      <c r="EO85" s="660" t="str">
        <f>GAAPNetInc/totalAssets*IF(ISNUMBER(Dates), 4, 1)</f>
        <v>#ERROR!</v>
      </c>
      <c r="EP85" s="660" t="str">
        <f>GAAPNetInc/totalAssets*IF(ISNUMBER(Dates), 4, 1)</f>
        <v>#ERROR!</v>
      </c>
      <c r="EQ85" s="660" t="str">
        <f>GAAPNetInc/totalAssets*IF(ISNUMBER(Dates), 4, 1)</f>
        <v>#ERROR!</v>
      </c>
      <c r="ER85" s="37" t="str">
        <f>GAAPNetInc/totalAssets*IF(ISNUMBER(Dates), 4, 1)</f>
        <v>#ERROR!</v>
      </c>
      <c r="ES85" s="660" t="str">
        <f>GAAPNetInc/totalAssets*IF(ISNUMBER(Dates), 4, 1)</f>
        <v>#ERROR!</v>
      </c>
      <c r="ET85" s="660" t="str">
        <f>GAAPNetInc/totalAssets*IF(ISNUMBER(Dates), 4, 1)</f>
        <v>#ERROR!</v>
      </c>
      <c r="EU85" s="660" t="str">
        <f>GAAPNetInc/totalAssets*IF(ISNUMBER(Dates), 4, 1)</f>
        <v>#ERROR!</v>
      </c>
      <c r="EV85" s="660" t="str">
        <f>GAAPNetInc/totalAssets*IF(ISNUMBER(Dates), 4, 1)</f>
        <v>#ERROR!</v>
      </c>
      <c r="EW85" s="37" t="str">
        <f>GAAPNetInc/totalAssets*IF(ISNUMBER(Dates), 4, 1)</f>
        <v>#ERROR!</v>
      </c>
      <c r="EX85" s="660" t="str">
        <f>GAAPNetInc/totalAssets*IF(ISNUMBER(Dates), 4, 1)</f>
        <v>#ERROR!</v>
      </c>
      <c r="EY85" s="660" t="str">
        <f>GAAPNetInc/totalAssets*IF(ISNUMBER(Dates), 4, 1)</f>
        <v>#ERROR!</v>
      </c>
      <c r="EZ85" s="660" t="str">
        <f>GAAPNetInc/totalAssets*IF(ISNUMBER(Dates), 4, 1)</f>
        <v>#ERROR!</v>
      </c>
      <c r="FA85" s="660" t="str">
        <f>GAAPNetInc/totalAssets*IF(ISNUMBER(Dates), 4, 1)</f>
        <v>#ERROR!</v>
      </c>
      <c r="FB85" s="37" t="str">
        <f>GAAPNetInc/totalAssets*IF(ISNUMBER(Dates), 4, 1)</f>
        <v>#ERROR!</v>
      </c>
      <c r="FC85" s="660" t="str">
        <f>GAAPNetInc/totalAssets*IF(ISNUMBER(Dates), 4, 1)</f>
        <v>#ERROR!</v>
      </c>
      <c r="FD85" s="660" t="str">
        <f>GAAPNetInc/totalAssets*IF(ISNUMBER(Dates), 4, 1)</f>
        <v>#ERROR!</v>
      </c>
      <c r="FE85" s="660" t="str">
        <f>GAAPNetInc/totalAssets*IF(ISNUMBER(Dates), 4, 1)</f>
        <v>#ERROR!</v>
      </c>
      <c r="FF85" s="660" t="str">
        <f>GAAPNetInc/totalAssets*IF(ISNUMBER(Dates), 4, 1)</f>
        <v>#ERROR!</v>
      </c>
      <c r="FG85" s="37" t="str">
        <f>GAAPNetInc/totalAssets*IF(ISNUMBER(Dates), 4, 1)</f>
        <v>#ERROR!</v>
      </c>
    </row>
    <row r="86" ht="12.75" customHeight="1">
      <c r="A86" s="4"/>
      <c r="B86" s="180" t="s">
        <v>566</v>
      </c>
      <c r="C86" s="179"/>
      <c r="D86" s="179"/>
      <c r="E86" s="179"/>
      <c r="F86" s="179"/>
      <c r="G86" s="179"/>
      <c r="H86" s="179"/>
      <c r="I86" s="179"/>
      <c r="J86" s="179"/>
      <c r="K86" s="179"/>
      <c r="L86" s="179"/>
      <c r="M86" s="179"/>
      <c r="N86" s="660">
        <f>-GAAPNetInc/capex</f>
        <v>1.127546501</v>
      </c>
      <c r="O86" s="660">
        <f>-GAAPNetInc/capex</f>
        <v>1.088207985</v>
      </c>
      <c r="P86" s="660">
        <f>-GAAPNetInc/capex</f>
        <v>2.159279778</v>
      </c>
      <c r="Q86" s="660">
        <f>-GAAPNetInc/capex</f>
        <v>3.281399046</v>
      </c>
      <c r="R86" s="309">
        <f>-GAAPNetInc/capex</f>
        <v>1.705931965</v>
      </c>
      <c r="S86" s="660">
        <f>-GAAPNetInc/capex</f>
        <v>2.961481481</v>
      </c>
      <c r="T86" s="660">
        <f>-GAAPNetInc/capex</f>
        <v>2.283289817</v>
      </c>
      <c r="U86" s="660">
        <f>-GAAPNetInc/capex</f>
        <v>1.484725051</v>
      </c>
      <c r="V86" s="660">
        <f>-GAAPNetInc/capex</f>
        <v>2.151020408</v>
      </c>
      <c r="W86" s="309">
        <f>-GAAPNetInc/capex</f>
        <v>2.149280047</v>
      </c>
      <c r="X86" s="660">
        <f>-GAAPNetInc/capex</f>
        <v>2.510242086</v>
      </c>
      <c r="Y86" s="660">
        <f>-GAAPNetInc/capex</f>
        <v>2.505591054</v>
      </c>
      <c r="Z86" s="660">
        <f>-GAAPNetInc/capex</f>
        <v>1.303376623</v>
      </c>
      <c r="AA86" s="660">
        <f>-GAAPNetInc/capex</f>
        <v>0.9050763516</v>
      </c>
      <c r="AB86" s="309">
        <f>-GAAPNetInc/capex</f>
        <v>1.578513635</v>
      </c>
      <c r="AC86" s="660">
        <f>-GAAPNetInc/capex</f>
        <v>0.1820570571</v>
      </c>
      <c r="AD86" s="660">
        <f>-GAAPNetInc/capex</f>
        <v>0.09141791045</v>
      </c>
      <c r="AE86" s="660">
        <f>-GAAPNetInc/capex</f>
        <v>0.07765567766</v>
      </c>
      <c r="AF86" s="660">
        <f>-GAAPNetInc/capex</f>
        <v>0.4436619718</v>
      </c>
      <c r="AG86" s="410">
        <f>-GAAPNetInc/capex</f>
        <v>0.1766315501</v>
      </c>
      <c r="AH86" s="15">
        <f>-GAAPNetInc/capex</f>
        <v>0.6545454545</v>
      </c>
      <c r="AI86" s="15">
        <f>-GAAPNetInc/capex</f>
        <v>0.4</v>
      </c>
      <c r="AJ86" s="15">
        <f>-GAAPNetInc/capex</f>
        <v>0.7183246073</v>
      </c>
      <c r="AK86" s="15">
        <f>-GAAPNetInc/capex</f>
        <v>0.8719866999</v>
      </c>
      <c r="AL86" s="410">
        <f>-GAAPNetInc/capex</f>
        <v>0.6627684457</v>
      </c>
      <c r="AM86" s="660">
        <f>-GAAPNetInc/capex</f>
        <v>0.9591194969</v>
      </c>
      <c r="AN86" s="660">
        <f>-GAAPNetInc/capex</f>
        <v>0.9707475623</v>
      </c>
      <c r="AO86" s="660">
        <f>-GAAPNetInc/capex</f>
        <v>1.545708955</v>
      </c>
      <c r="AP86" s="660">
        <f>-GAAPNetInc/capex</f>
        <v>3.073550212</v>
      </c>
      <c r="AQ86" s="309">
        <f>-GAAPNetInc/capex</f>
        <v>1.542943107</v>
      </c>
      <c r="AR86" s="660">
        <f>-GAAPNetInc/capex</f>
        <v>2.544117647</v>
      </c>
      <c r="AS86" s="660">
        <f>-GAAPNetInc/capex</f>
        <v>1.712475634</v>
      </c>
      <c r="AT86" s="660">
        <f>-GAAPNetInc/capex</f>
        <v>1.723327306</v>
      </c>
      <c r="AU86" s="660">
        <f>-GAAPNetInc/capex</f>
        <v>2.059165858</v>
      </c>
      <c r="AV86" s="309">
        <f>-GAAPNetInc/capex</f>
        <v>1.955763726</v>
      </c>
      <c r="AW86" s="660">
        <f>-GAAPNetInc/capex</f>
        <v>1.218120805</v>
      </c>
      <c r="AX86" s="660">
        <f>-GAAPNetInc/capex</f>
        <v>1.467242621</v>
      </c>
      <c r="AY86" s="660">
        <f>-GAAPNetInc/capex</f>
        <v>1.556162246</v>
      </c>
      <c r="AZ86" s="660">
        <f>-GAAPNetInc/capex</f>
        <v>1.805003679</v>
      </c>
      <c r="BA86" s="309">
        <f>-GAAPNetInc/capex</f>
        <v>1.489171537</v>
      </c>
      <c r="BB86" s="660">
        <f>-GAAPNetInc/capex</f>
        <v>0.7718998862</v>
      </c>
      <c r="BC86" s="660">
        <f>-GAAPNetInc/capex</f>
        <v>0.5092059839</v>
      </c>
      <c r="BD86" s="660">
        <f>-GAAPNetInc/capex</f>
        <v>1.114824336</v>
      </c>
      <c r="BE86" s="660">
        <f>-GAAPNetInc/capex</f>
        <v>1.344982079</v>
      </c>
      <c r="BF86" s="309">
        <f>-GAAPNetInc/capex</f>
        <v>0.872815366</v>
      </c>
      <c r="BG86" s="660">
        <f>-GAAPNetInc/capex</f>
        <v>1.202057311</v>
      </c>
      <c r="BH86" s="660">
        <f>-GAAPNetInc/capex</f>
        <v>1</v>
      </c>
      <c r="BI86" s="660">
        <f>-GAAPNetInc/capex</f>
        <v>1.646139706</v>
      </c>
      <c r="BJ86" s="660">
        <f>-GAAPNetInc/capex</f>
        <v>1.783974863</v>
      </c>
      <c r="BK86" s="309">
        <f>-GAAPNetInc/capex</f>
        <v>1.3952</v>
      </c>
      <c r="BL86" s="660">
        <f>-GAAPNetInc/capex</f>
        <v>1.590959206</v>
      </c>
      <c r="BM86" s="660">
        <f>-GAAPNetInc/capex</f>
        <v>1.390964379</v>
      </c>
      <c r="BN86" s="660">
        <f>-GAAPNetInc/capex</f>
        <v>1.465793304</v>
      </c>
      <c r="BO86" s="660">
        <f>-GAAPNetInc/capex</f>
        <v>0.1325779037</v>
      </c>
      <c r="BP86" s="309">
        <f>-GAAPNetInc/capex</f>
        <v>1.018279777</v>
      </c>
      <c r="BQ86" s="660">
        <f>-GAAPNetInc/capex</f>
        <v>0.4168323393</v>
      </c>
      <c r="BR86" s="660">
        <f>-GAAPNetInc/capex</f>
        <v>-0.4057084608</v>
      </c>
      <c r="BS86" s="660">
        <f>-GAAPNetInc/capex</f>
        <v>1.966101695</v>
      </c>
      <c r="BT86" s="660">
        <f>-GAAPNetInc/capex</f>
        <v>2.111008326</v>
      </c>
      <c r="BU86" s="309">
        <f>-GAAPNetInc/capex</f>
        <v>0.9676633444</v>
      </c>
      <c r="BV86" s="660">
        <f>-GAAPNetInc/capex</f>
        <v>2.631465517</v>
      </c>
      <c r="BW86" s="660">
        <f>-GAAPNetInc/capex</f>
        <v>2.754770992</v>
      </c>
      <c r="BX86" s="660">
        <f>-GAAPNetInc/capex</f>
        <v>2.169603524</v>
      </c>
      <c r="BY86" s="660">
        <f>-GAAPNetInc/capex</f>
        <v>1.701444623</v>
      </c>
      <c r="BZ86" s="309">
        <f>-GAAPNetInc/capex</f>
        <v>2.201651623</v>
      </c>
      <c r="CA86" s="660">
        <f>-GAAPNetInc/capex</f>
        <v>1.160484759</v>
      </c>
      <c r="CB86" s="660">
        <f>-GAAPNetInc/capex</f>
        <v>1.18921095</v>
      </c>
      <c r="CC86" s="660">
        <f>-GAAPNetInc/capex</f>
        <v>1.278289716</v>
      </c>
      <c r="CD86" s="660">
        <f>-GAAPNetInc/capex</f>
        <v>1.181434599</v>
      </c>
      <c r="CE86" s="309">
        <f>-GAAPNetInc/capex</f>
        <v>1.202341137</v>
      </c>
      <c r="CF86" s="660">
        <f>-GAAPNetInc/capex</f>
        <v>0.9206455952</v>
      </c>
      <c r="CG86" s="660">
        <f>-GAAPNetInc/capex</f>
        <v>1.061983471</v>
      </c>
      <c r="CH86" s="660">
        <f>-GAAPNetInc/capex</f>
        <v>1.029442328</v>
      </c>
      <c r="CI86" s="660">
        <f>-GAAPNetInc/capex</f>
        <v>0.9856230032</v>
      </c>
      <c r="CJ86" s="309">
        <f>-GAAPNetInc/capex</f>
        <v>0.9980048971</v>
      </c>
      <c r="CK86" s="660">
        <f>-GAAPNetInc/capex</f>
        <v>0.9406623735</v>
      </c>
      <c r="CL86" s="660">
        <f>-GAAPNetInc/capex</f>
        <v>0.734484025</v>
      </c>
      <c r="CM86" s="660">
        <f>-GAAPNetInc/capex</f>
        <v>1.029309142</v>
      </c>
      <c r="CN86" s="660">
        <f>-GAAPNetInc/capex</f>
        <v>0.8904341927</v>
      </c>
      <c r="CO86" s="309">
        <f>-GAAPNetInc/capex</f>
        <v>0.8981420969</v>
      </c>
      <c r="CP86" s="660">
        <f>-GAAPNetInc/capex</f>
        <v>0.726292302</v>
      </c>
      <c r="CQ86" s="660">
        <f>-GAAPNetInc/capex</f>
        <v>0.9886845827</v>
      </c>
      <c r="CR86" s="660">
        <f>-GAAPNetInc/capex</f>
        <v>1.356646217</v>
      </c>
      <c r="CS86" s="660">
        <f>-GAAPNetInc/capex</f>
        <v>1.708352776</v>
      </c>
      <c r="CT86" s="309">
        <f>-GAAPNetInc/capex</f>
        <v>1.160514597</v>
      </c>
      <c r="CU86" s="660">
        <f>-GAAPNetInc/capex</f>
        <v>0.9837037037</v>
      </c>
      <c r="CV86" s="660">
        <f>-GAAPNetInc/capex</f>
        <v>1.531409168</v>
      </c>
      <c r="CW86" s="660">
        <f>-GAAPNetInc/capex</f>
        <v>2.577943615</v>
      </c>
      <c r="CX86" s="660">
        <f>-GAAPNetInc/capex</f>
        <v>1.551975945</v>
      </c>
      <c r="CY86" s="37">
        <f>-GAAPNetInc/capex</f>
        <v>1.558831559</v>
      </c>
      <c r="CZ86" s="660">
        <f>-GAAPNetInc/capex</f>
        <v>1.520059435</v>
      </c>
      <c r="DA86" s="660">
        <f>-GAAPNetInc/capex</f>
        <v>0.5818022747</v>
      </c>
      <c r="DB86" s="660">
        <f>-GAAPNetInc/capex</f>
        <v>1.371498173</v>
      </c>
      <c r="DC86" s="660">
        <f>-GAAPNetInc/capex</f>
        <v>1.009065156</v>
      </c>
      <c r="DD86" s="37">
        <f>-GAAPNetInc/capex</f>
        <v>1.071792208</v>
      </c>
      <c r="DE86" s="660">
        <f>-GAAPNetInc/capex</f>
        <v>1.518442623</v>
      </c>
      <c r="DF86" s="660">
        <f>-GAAPNetInc/capex</f>
        <v>1.010799136</v>
      </c>
      <c r="DG86" s="83">
        <f>-GAAPNetInc/capex</f>
        <v>1.515944948</v>
      </c>
      <c r="DH86" s="660">
        <f>-GAAPNetInc/capex</f>
        <v>-0.1688375522</v>
      </c>
      <c r="DI86" s="37">
        <f>-GAAPNetInc/capex</f>
        <v>0.8151638648</v>
      </c>
      <c r="DJ86" s="83">
        <f>-GAAPNetInc/capex</f>
        <v>1.530584192</v>
      </c>
      <c r="DK86" s="83">
        <f>-GAAPNetInc/capex</f>
        <v>1.105077263</v>
      </c>
      <c r="DL86" s="83">
        <f>-GAAPNetInc/capex</f>
        <v>1.661386653</v>
      </c>
      <c r="DM86" s="83">
        <f>-GAAPNetInc/capex</f>
        <v>1.335475578</v>
      </c>
      <c r="DN86" s="37">
        <f>-GAAPNetInc/capex</f>
        <v>1.386799289</v>
      </c>
      <c r="DO86" s="83">
        <f>-GAAPNetInc/capex</f>
        <v>1.196627522</v>
      </c>
      <c r="DP86" s="83">
        <f>-GAAPNetInc/capex</f>
        <v>1.175858188</v>
      </c>
      <c r="DQ86" s="83">
        <f>-GAAPNetInc/capex</f>
        <v>1.282106164</v>
      </c>
      <c r="DR86" s="83">
        <f>-GAAPNetInc/capex</f>
        <v>1.479854265</v>
      </c>
      <c r="DS86" s="37">
        <f>-GAAPNetInc/capex</f>
        <v>1.29821748</v>
      </c>
      <c r="DT86" s="83">
        <f>-GAAPNetInc/capex</f>
        <v>1.732252142</v>
      </c>
      <c r="DU86" s="83">
        <f>-GAAPNetInc/capex</f>
        <v>1.497946009</v>
      </c>
      <c r="DV86" s="83">
        <f>-GAAPNetInc/capex</f>
        <v>1.150699677</v>
      </c>
      <c r="DW86" s="83">
        <f>-GAAPNetInc/capex</f>
        <v>1.514610809</v>
      </c>
      <c r="DX86" s="37">
        <f>-GAAPNetInc/capex</f>
        <v>1.465670804</v>
      </c>
      <c r="DY86" s="83">
        <f>-GAAPNetInc/capex</f>
        <v>0.8461732125</v>
      </c>
      <c r="DZ86" s="83">
        <f>-GAAPNetInc/capex</f>
        <v>1.405052748</v>
      </c>
      <c r="EA86" s="83">
        <f>-GAAPNetInc/capex</f>
        <v>1.703620474</v>
      </c>
      <c r="EB86" s="83">
        <f>-GAAPNetInc/capex</f>
        <v>0.6462119094</v>
      </c>
      <c r="EC86" s="37">
        <f>-GAAPNetInc/capex</f>
        <v>1.060588267</v>
      </c>
      <c r="ED86" s="83">
        <f>-GAAPNetInc/capex</f>
        <v>1.691265374</v>
      </c>
      <c r="EE86" s="83">
        <f>-GAAPNetInc/capex</f>
        <v>-0.06257753274</v>
      </c>
      <c r="EF86" s="83">
        <f>-GAAPNetInc/capex</f>
        <v>0.1436627661</v>
      </c>
      <c r="EG86" s="83">
        <f>-GAAPNetInc/capex</f>
        <v>-0.1159852606</v>
      </c>
      <c r="EH86" s="37">
        <f>-GAAPNetInc/capex</f>
        <v>0.3226936081</v>
      </c>
      <c r="EI86" s="661" t="str">
        <f>-GAAPNetInc/capex</f>
        <v>#ERROR!</v>
      </c>
      <c r="EJ86" s="660" t="str">
        <f>-GAAPNetInc/capex</f>
        <v>#ERROR!</v>
      </c>
      <c r="EK86" s="660" t="str">
        <f>-GAAPNetInc/capex</f>
        <v>#ERROR!</v>
      </c>
      <c r="EL86" s="660" t="str">
        <f>-GAAPNetInc/capex</f>
        <v>#ERROR!</v>
      </c>
      <c r="EM86" s="37" t="str">
        <f>-GAAPNetInc/capex</f>
        <v>#ERROR!</v>
      </c>
      <c r="EN86" s="660" t="str">
        <f>-GAAPNetInc/capex</f>
        <v>#ERROR!</v>
      </c>
      <c r="EO86" s="660" t="str">
        <f>-GAAPNetInc/capex</f>
        <v>#ERROR!</v>
      </c>
      <c r="EP86" s="660" t="str">
        <f>-GAAPNetInc/capex</f>
        <v>#ERROR!</v>
      </c>
      <c r="EQ86" s="660" t="str">
        <f>-GAAPNetInc/capex</f>
        <v>#ERROR!</v>
      </c>
      <c r="ER86" s="37" t="str">
        <f>-GAAPNetInc/capex</f>
        <v>#ERROR!</v>
      </c>
      <c r="ES86" s="660" t="str">
        <f>-GAAPNetInc/capex</f>
        <v>#ERROR!</v>
      </c>
      <c r="ET86" s="660" t="str">
        <f>-GAAPNetInc/capex</f>
        <v>#ERROR!</v>
      </c>
      <c r="EU86" s="660" t="str">
        <f>-GAAPNetInc/capex</f>
        <v>#ERROR!</v>
      </c>
      <c r="EV86" s="660" t="str">
        <f>-GAAPNetInc/capex</f>
        <v>#ERROR!</v>
      </c>
      <c r="EW86" s="37" t="str">
        <f>-GAAPNetInc/capex</f>
        <v>#ERROR!</v>
      </c>
      <c r="EX86" s="660" t="str">
        <f>-GAAPNetInc/capex</f>
        <v>#ERROR!</v>
      </c>
      <c r="EY86" s="660" t="str">
        <f>-GAAPNetInc/capex</f>
        <v>#ERROR!</v>
      </c>
      <c r="EZ86" s="660" t="str">
        <f>-GAAPNetInc/capex</f>
        <v>#ERROR!</v>
      </c>
      <c r="FA86" s="660" t="str">
        <f>-GAAPNetInc/capex</f>
        <v>#ERROR!</v>
      </c>
      <c r="FB86" s="37" t="str">
        <f>-GAAPNetInc/capex</f>
        <v>#ERROR!</v>
      </c>
      <c r="FC86" s="660" t="str">
        <f>-GAAPNetInc/capex</f>
        <v>#ERROR!</v>
      </c>
      <c r="FD86" s="660" t="str">
        <f>-GAAPNetInc/capex</f>
        <v>#ERROR!</v>
      </c>
      <c r="FE86" s="660" t="str">
        <f>-GAAPNetInc/capex</f>
        <v>#ERROR!</v>
      </c>
      <c r="FF86" s="660" t="str">
        <f>-GAAPNetInc/capex</f>
        <v>#ERROR!</v>
      </c>
      <c r="FG86" s="37" t="str">
        <f>-GAAPNetInc/capex</f>
        <v>#ERROR!</v>
      </c>
    </row>
    <row r="87" ht="12.75" customHeight="1">
      <c r="A87" s="4"/>
      <c r="B87" s="180" t="s">
        <v>567</v>
      </c>
      <c r="C87" s="179"/>
      <c r="D87" s="179"/>
      <c r="E87" s="179"/>
      <c r="F87" s="179"/>
      <c r="G87" s="179"/>
      <c r="H87" s="179"/>
      <c r="I87" s="179"/>
      <c r="J87" s="179"/>
      <c r="K87" s="179"/>
      <c r="L87" s="179"/>
      <c r="M87" s="179"/>
      <c r="N87" s="660"/>
      <c r="O87" s="660"/>
      <c r="P87" s="660"/>
      <c r="Q87" s="660"/>
      <c r="R87" s="309"/>
      <c r="S87" s="660"/>
      <c r="T87" s="660"/>
      <c r="U87" s="660"/>
      <c r="V87" s="660"/>
      <c r="W87" s="309"/>
      <c r="X87" s="660"/>
      <c r="Y87" s="660"/>
      <c r="Z87" s="660"/>
      <c r="AA87" s="660"/>
      <c r="AB87" s="309"/>
      <c r="AC87" s="15">
        <f>EBIT*4*(1-taxRate)/(AC26+AC22-AC10-AC47+AC37)</f>
        <v>0.1970621598</v>
      </c>
      <c r="AD87" s="15">
        <f>EBIT*4*(1-taxRate)/(AD26+AD22-AD10-AD47+AD37)</f>
        <v>0.1547858539</v>
      </c>
      <c r="AE87" s="15">
        <f>EBIT*4*(1-taxRate)/(AE26+AE22-AE10-AE47+AE37)</f>
        <v>0.1756384152</v>
      </c>
      <c r="AF87" s="15">
        <f>EBIT*4*(1-taxRate)/(AF26+AF22-AF10-AF47+AF37)</f>
        <v>0.2401843023</v>
      </c>
      <c r="AG87" s="410">
        <f>EBIT*(1-taxRate)/(AG26+AG22-AG10-AG47+AG37)</f>
        <v>0.1900546313</v>
      </c>
      <c r="AH87" s="15">
        <f>EBIT*4*(1-taxRate)/(AH26+AH22-AH10-AH47+AH37)</f>
        <v>0.200317705</v>
      </c>
      <c r="AI87" s="15">
        <f>EBIT*4*(1-taxRate)/(AI26+AI22-AI10-AI47+AI37)</f>
        <v>0.1199629476</v>
      </c>
      <c r="AJ87" s="15">
        <f>EBIT*4*(1-taxRate)/(AJ26+AJ22-AJ10-AJ47+AJ37)</f>
        <v>0.1572158171</v>
      </c>
      <c r="AK87" s="15">
        <f>EBIT*4*(1-taxRate)/(AK26+AK22-AK10-AK47+AK37)</f>
        <v>0.2297616988</v>
      </c>
      <c r="AL87" s="410">
        <f>EBIT*(1-taxRate)/(AL26+AL22-AL10-AL47+AL37)</f>
        <v>0.1812281431</v>
      </c>
      <c r="AM87" s="15">
        <f>EBIT*4*(1-taxRate)/(AM26+AM22-AM10-AM47+AM37)</f>
        <v>0.1908716512</v>
      </c>
      <c r="AN87" s="15">
        <f>EBIT*4*(1-taxRate)/(AN26+AN22-AN10-AN47+AN37)</f>
        <v>0.1810091123</v>
      </c>
      <c r="AO87" s="15">
        <f>EBIT*4*(1-taxRate)/(AO26+AO22-AO10-AO47+AO37)</f>
        <v>0.3424215065</v>
      </c>
      <c r="AP87" s="15">
        <f>EBIT*4*(1-taxRate)/(AP26+AP22-AP10-AP47+AP37)</f>
        <v>0.4460762408</v>
      </c>
      <c r="AQ87" s="410">
        <f>EBIT*(1-taxRate)/(AQ26+AQ22-AQ10-AQ47+AQ37)</f>
        <v>0.2946748017</v>
      </c>
      <c r="AR87" s="15">
        <f>EBIT*4*(1-taxRate)/(AR26+AR22-AR10-AR47+AR37)</f>
        <v>0.3364655766</v>
      </c>
      <c r="AS87" s="15">
        <f>EBIT*4*(1-taxRate)/(AS26+AS22-AS10-AS47+AS37)</f>
        <v>0.3605369854</v>
      </c>
      <c r="AT87" s="15">
        <f>EBIT*4*(1-taxRate)/(AT26+AT22-AT10-AT47+AT37)</f>
        <v>0.3994344432</v>
      </c>
      <c r="AU87" s="15">
        <f>EBIT*4*(1-taxRate)/(AU26+AU22-AU10-AU47+AU37)</f>
        <v>0.4529906418</v>
      </c>
      <c r="AV87" s="410">
        <f>EBIT*(1-taxRate)/(AV26+AV22-AV10-AV47+AV37)</f>
        <v>0.4069557792</v>
      </c>
      <c r="AW87" s="15">
        <f>EBIT*4*(1-taxRate)/(AW26+AW22-AW10-AW47+AW37)</f>
        <v>0.4716165654</v>
      </c>
      <c r="AX87" s="15">
        <f>EBIT*4*(1-taxRate)/(AX26+AX22-AX10-AX47+AX37)</f>
        <v>0.4181524051</v>
      </c>
      <c r="AY87" s="15">
        <f>EBIT*4*(1-taxRate)/(AY26+AY22-AY10-AY47+AY37)</f>
        <v>0.5168762607</v>
      </c>
      <c r="AZ87" s="15">
        <f>EBIT*4*(1-taxRate)/(AZ26+AZ22-AZ10-AZ47+AZ37)</f>
        <v>0.5190020707</v>
      </c>
      <c r="BA87" s="410">
        <f>EBIT*(1-taxRate)/(BA26+BA22-BA10-BA47+BA37)</f>
        <v>0.478282671</v>
      </c>
      <c r="BB87" s="15">
        <f>EBIT*4*(1-taxRate)/(BB26+BB22-BB10-BB47+BB37)</f>
        <v>0.2738360892</v>
      </c>
      <c r="BC87" s="15">
        <f>EBIT*4*(1-taxRate)/(BC26+BC22-BC10-BC47+BC37)</f>
        <v>0.1492159075</v>
      </c>
      <c r="BD87" s="15">
        <f>EBIT*4*(1-taxRate)/(BD26+BD22-BD10-BD47+BD37)</f>
        <v>0.2005152496</v>
      </c>
      <c r="BE87" s="15">
        <f>EBIT*4*(1-taxRate)/(BE26+BE22-BE10-BE47+BE37)</f>
        <v>0.2248532934</v>
      </c>
      <c r="BF87" s="410">
        <f>EBIT*(1-taxRate)/(BF26+BF22-BF10-BF47+BF37)</f>
        <v>0.2159254425</v>
      </c>
      <c r="BG87" s="15">
        <f>EBIT*4*(1-taxRate)/(BG26+BG22-BG10-BG47+BG37)</f>
        <v>0.2217206121</v>
      </c>
      <c r="BH87" s="15">
        <f>EBIT*4*(1-taxRate)/(BH26+BH22-BH10-BH47+BH37)</f>
        <v>0.1791830971</v>
      </c>
      <c r="BI87" s="15">
        <f>EBIT*4*(1-taxRate)/(BI26+BI22-BI10-BI47+BI37)</f>
        <v>0.3233802591</v>
      </c>
      <c r="BJ87" s="15">
        <f>EBIT*4*(1-taxRate)/(BJ26+BJ22-BJ10-BJ47+BJ37)</f>
        <v>0.4335634267</v>
      </c>
      <c r="BK87" s="410">
        <f>EBIT*(1-taxRate)/(BK26+BK22-BK10-BK47+BK37)</f>
        <v>0.3003702102</v>
      </c>
      <c r="BL87" s="15">
        <f>EBIT*4*(1-taxRate)/(BL26+BL22-BL10-BL47+BL37)</f>
        <v>0.2829378403</v>
      </c>
      <c r="BM87" s="15">
        <f>EBIT*4*(1-taxRate)/(BM26+BM22-BM10-BM47+BM37)</f>
        <v>0.3082711439</v>
      </c>
      <c r="BN87" s="15">
        <f>EBIT*4*(1-taxRate)/(BN26+BN22-BN10-BN47+BN37)</f>
        <v>0.4284597829</v>
      </c>
      <c r="BO87" s="15">
        <f>EBIT*4*(1-taxRate)/(BO26+BO22-BO10-BO47+BO37)</f>
        <v>0.2082460748</v>
      </c>
      <c r="BP87" s="410">
        <f>EBIT*(1-taxRate)/(BP26+BP22-BP10-BP47+BP37)</f>
        <v>0.2957646773</v>
      </c>
      <c r="BQ87" s="15">
        <f>EBIT*4*(1-taxRate)/(BQ26+BQ22-BQ10-BQ47+BQ37)</f>
        <v>0.1184168383</v>
      </c>
      <c r="BR87" s="15">
        <f>EBIT*4*(1-taxRate)/(BR26+BR22-BR10-BR47+BR37)</f>
        <v>0.2165244653</v>
      </c>
      <c r="BS87" s="15">
        <f>EBIT*4*(1-taxRate)/(BS26+BS22-BS10-BS47+BS37)</f>
        <v>0.385491806</v>
      </c>
      <c r="BT87" s="15">
        <f>EBIT*4*(1-taxRate)/(BT26+BT22-BT10-BT47+BT37)</f>
        <v>0.5563063727</v>
      </c>
      <c r="BU87" s="410">
        <f>EBIT*(1-taxRate)/(BU26+BU22-BU10-BU47+BU37)</f>
        <v>0.3058193111</v>
      </c>
      <c r="BV87" s="15">
        <f>EBIT*4*(1-taxRate)/(BV26+BV22-BV10-BV47+BV37)</f>
        <v>0.4598291782</v>
      </c>
      <c r="BW87" s="15">
        <f>EBIT*4*(1-taxRate)/(BW26+BW22-BW10-BW47+BW37)</f>
        <v>0.4682674768</v>
      </c>
      <c r="BX87" s="15">
        <f>EBIT*4*(1-taxRate)/(BX26+BX22-BX10-BX47+BX37)</f>
        <v>0.4973506873</v>
      </c>
      <c r="BY87" s="15">
        <f>EBIT*4*(1-taxRate)/(BY26+BY22-BY10-BY47+BY37)</f>
        <v>0.524658823</v>
      </c>
      <c r="BZ87" s="410">
        <f>EBIT*(1-taxRate)/(BZ26+BZ22-BZ10-BZ47+BZ37)</f>
        <v>0.475371456</v>
      </c>
      <c r="CA87" s="15">
        <f>EBIT*4*(1-taxRate)/(CA26+CA22-CA10-CA47+CA37)</f>
        <v>0.520093837</v>
      </c>
      <c r="CB87" s="15">
        <f>EBIT*4*(1-taxRate)/(CB26+CB22-CB10-CB47+CB37)</f>
        <v>0.4574575883</v>
      </c>
      <c r="CC87" s="15">
        <f>EBIT*4*(1-taxRate)/(CC26+CC22-CC10-CC47+CC37)</f>
        <v>0.5202877965</v>
      </c>
      <c r="CD87" s="15">
        <f>EBIT*4*(1-taxRate)/(CD26+CD22-CD10-CD47+CD37)</f>
        <v>0.4905052503</v>
      </c>
      <c r="CE87" s="410">
        <f>EBIT*(1-taxRate)/(CE26+CE22-CE10-CE47+CE37)</f>
        <v>0.4630435318</v>
      </c>
      <c r="CF87" s="15">
        <f>EBIT*4*(1-taxRate)/(CF26+CF22-CF10-CF47+CF37)</f>
        <v>0.3717722542</v>
      </c>
      <c r="CG87" s="15">
        <f>EBIT*4*(1-taxRate)/(CG26+CG22-CG10-CG47+CG37)</f>
        <v>0.3430228999</v>
      </c>
      <c r="CH87" s="15">
        <f>EBIT*4*(1-taxRate)/(CH26+CH22-CH10-CH47+CH37)</f>
        <v>0.360864232</v>
      </c>
      <c r="CI87" s="15">
        <f>EBIT*4*(1-taxRate)/(CI26+CI22-CI10-CI47+CI37)</f>
        <v>0.2835936671</v>
      </c>
      <c r="CJ87" s="410">
        <f>EBIT*(1-taxRate)/(CJ26+CJ22-CJ10-CJ47+CJ37)</f>
        <v>0.3159786486</v>
      </c>
      <c r="CK87" s="15">
        <f>EBIT*4*(1-taxRate)/(CK26+CK22-CK10-CK47+CK37)</f>
        <v>0.2385045246</v>
      </c>
      <c r="CL87" s="15">
        <f>EBIT*4*(1-taxRate)/(CL26+CL22-CL10-CL47+CL37)</f>
        <v>0.2166931531</v>
      </c>
      <c r="CM87" s="15">
        <f>EBIT*4*(1-taxRate)/(CM26+CM22-CM10-CM47+CM37)</f>
        <v>0.2863471672</v>
      </c>
      <c r="CN87" s="15">
        <f>EBIT*4*(1-taxRate)/(CN26+CN22-CN10-CN47+CN37)</f>
        <v>0.2720155051</v>
      </c>
      <c r="CO87" s="410">
        <f>EBIT*(1-taxRate)/(CO26+CO22-CO10-CO47+CO37)</f>
        <v>0.2430310699</v>
      </c>
      <c r="CP87" s="15">
        <f>EBIT*4*(1-taxRate)/(CP26+CP22-CP10-CP47+CP37)</f>
        <v>0.1858853841</v>
      </c>
      <c r="CQ87" s="15">
        <f>EBIT*4*(1-taxRate)/(CQ26+CQ22-CQ10-CQ47+CQ37)</f>
        <v>0.2588696086</v>
      </c>
      <c r="CR87" s="15">
        <f>EBIT*4*(1-taxRate)/(CR26+CR22-CR10-CR47+CR37)</f>
        <v>0.3284256899</v>
      </c>
      <c r="CS87" s="15">
        <f>EBIT*4*(1-taxRate)/(CS26+CS22-CS10-CS47+CS37)</f>
        <v>0.3367621448</v>
      </c>
      <c r="CT87" s="410">
        <f>EBIT*(1-taxRate)/(CT26+CT22-CT10-CT47+CT37)</f>
        <v>0.2773335362</v>
      </c>
      <c r="CU87" s="15">
        <f>EBIT*4*(1-taxRate)/(CU26+CU22-CU10-CU47+CU37)</f>
        <v>0.1961526578</v>
      </c>
      <c r="CV87" s="15">
        <f>EBIT*4*(1-taxRate)/(CV26+CV22-CV10-CV47+CV37)</f>
        <v>0.2632211592</v>
      </c>
      <c r="CW87" s="15">
        <f>EBIT*4*(1-taxRate)/(CW26+CW22-CW10-CW47+CW37)</f>
        <v>0.3090133544</v>
      </c>
      <c r="CX87" s="15">
        <f>EBIT*4*(1-taxRate)/(CX26+CX22-CX10-CX47+CX37)</f>
        <v>0.3505271941</v>
      </c>
      <c r="CY87" s="24">
        <f>EBIT*(1-taxRate)/(CY26+CY22-CY10-CY47+CY37)</f>
        <v>0.2756901438</v>
      </c>
      <c r="CZ87" s="15">
        <f>EBIT*4*(1-taxRate)/(CZ26+CZ22-CZ10-CZ47+CZ37)</f>
        <v>0.2088629265</v>
      </c>
      <c r="DA87" s="15">
        <f>EBIT*4*(1-taxRate)/(DA26+DA22-DA10-DA47+DA37)</f>
        <v>0.09843297814</v>
      </c>
      <c r="DB87" s="15">
        <f>EBIT*4*(1-taxRate)/(DB26+DB22-DB10-DB47+DB37)</f>
        <v>0.3010415604</v>
      </c>
      <c r="DC87" s="15">
        <f>EBIT*4*(1-taxRate)/(DC26+DC22-DC10-DC47+DC37)</f>
        <v>0.3075419213</v>
      </c>
      <c r="DD87" s="24">
        <f>EBIT*(1-taxRate)/(DD26+DD22-DD10-DD47+DD37)</f>
        <v>0.2173920553</v>
      </c>
      <c r="DE87" s="15">
        <f>EBIT*4*(1-taxRate)/(DE26+DE22-DE10-DE47+DE37)</f>
        <v>0.2294538876</v>
      </c>
      <c r="DF87" s="15">
        <f>EBIT*4*(1-taxRate)/(DF26+DF22-DF10-DF47+DF37)</f>
        <v>0.1908987569</v>
      </c>
      <c r="DG87" s="40">
        <f>EBIT*4*(1-taxRate)/(DG26+DG22-DG10-DG47+DG37)</f>
        <v>0.3420111139</v>
      </c>
      <c r="DH87" s="15">
        <f>EBIT*4*(1-taxRate)/(DH26+DH22-DH10-DH47+DH37)</f>
        <v>-0.04941126678</v>
      </c>
      <c r="DI87" s="24">
        <f>EBIT*(1-taxRate)/(DI26+DI22-DI10-DI47+DI37)</f>
        <v>0.1701884395</v>
      </c>
      <c r="DJ87" s="40">
        <f>SUM(IS!DF63:DH63,IS!DJ63)/(BS!DJ61+BS!DJ53+BS!DJ37)</f>
        <v>0.1122832238</v>
      </c>
      <c r="DK87" s="40">
        <f>SUM(IS!DG63:DH63,IS!DJ63:IS!DK63)/(BS!DK61+BS!DK53+BS!DK37)</f>
        <v>0.1308229967</v>
      </c>
      <c r="DL87" s="40">
        <f>SUM(IS!DH63,IS!DJ63:IS!DL63)/(BS!DL61+BS!DL53+BS!DL37)</f>
        <v>0.1519044377</v>
      </c>
      <c r="DM87" s="660">
        <f>SUM(IS!DJ63:DM63)/(BS!DM61+BS!DM53+BS!DM37)</f>
        <v>0.2086066467</v>
      </c>
      <c r="DN87" s="24">
        <f>IS!DN63/(BS!DN61+BS!DN53+BS!DN37)</f>
        <v>0.2086066467</v>
      </c>
      <c r="DO87" s="40">
        <f>SUM(IS!DK63:DM63,IS!DO63)/(BS!DO61+BS!DO53+BS!DO37)</f>
        <v>0.2014038454</v>
      </c>
      <c r="DP87" s="40">
        <f>SUM(IS!DL63:DM63,IS!DO63:IS!DP63)/(BS!DP61+BS!DP53+BS!DP37)</f>
        <v>0.1903008809</v>
      </c>
      <c r="DQ87" s="40">
        <f>SUM(IS!DM63,IS!DO63:IS!DQ63)/(BS!DQ61+BS!DQ53+BS!DQ37)</f>
        <v>0.187175144</v>
      </c>
      <c r="DR87" s="40">
        <f>SUM(IS!DO63:DR63)/(BS!DR61+BS!DR53+BS!DR37)</f>
        <v>0.1973373336</v>
      </c>
      <c r="DS87" s="24">
        <f>IS!DS63/(BS!DS61+BS!DS53+BS!DS37)</f>
        <v>0.1973373336</v>
      </c>
      <c r="DT87" s="40">
        <f>SUM(IS!DP63:DR63,IS!DT63)/(BS!DT61+BS!DT53+BS!DT37)</f>
        <v>0.1955312067</v>
      </c>
      <c r="DU87" s="40">
        <f>SUM(IS!DQ63:DR63,IS!DT63:IS!DU63)/(BS!DU61+BS!DU53+BS!DU37)</f>
        <v>0.1965901443</v>
      </c>
      <c r="DV87" s="40">
        <f>SUM(IS!DR63,IS!DT63:IS!DV63)/(BS!DV61+BS!DV53+BS!DV37)</f>
        <v>0.1975125318</v>
      </c>
      <c r="DW87" s="40">
        <f>SUM(IS!DT63:DW63)/(BS!DW61+BS!DW53+BS!DW37)</f>
        <v>0.1779562156</v>
      </c>
      <c r="DX87" s="24">
        <f>IS!DX63/(BS!DX61+BS!DX53+BS!DX37)</f>
        <v>0.1779562156</v>
      </c>
      <c r="DY87" s="40">
        <f>SUM(IS!DU63:DW63,IS!DY63)/(BS!DY61+BS!DY53+BS!DY37)</f>
        <v>0.1607644501</v>
      </c>
      <c r="DZ87" s="40">
        <f>SUM(IS!DV63:DW63,IS!DY63:IS!DZ63)/(BS!DZ61+BS!DZ53+BS!DZ37)</f>
        <v>0.1538353121</v>
      </c>
      <c r="EA87" s="40">
        <f>SUM(IS!DW63,IS!DY63:IS!EA63)/(BS!EA61+BS!EA53+BS!EA37)</f>
        <v>0.1618363231</v>
      </c>
      <c r="EB87" s="40">
        <f>SUM(IS!DY63:EB63)/(BS!EB61+BS!EB53+BS!EB37)</f>
        <v>0.1488328889</v>
      </c>
      <c r="EC87" s="24">
        <f>IS!EC63/(BS!EC61+BS!EC53+BS!EC37)</f>
        <v>0.1488328889</v>
      </c>
      <c r="ED87" s="40">
        <f>SUM(IS!DZ63:EB63,IS!ED63)/(BS!ED61+BS!ED53+BS!ED37)</f>
        <v>0.1753773605</v>
      </c>
      <c r="EE87" s="40">
        <f>SUM(IS!EA63:EB63,IS!ED63:IS!EE63)/(BS!EE61+BS!EE53+BS!EE37)</f>
        <v>0.1398117792</v>
      </c>
      <c r="EF87" s="40">
        <f>SUM(IS!EB63,IS!ED63:IS!EF63)/(BS!EF61+BS!EF53+BS!EF37)</f>
        <v>0.09541059337</v>
      </c>
      <c r="EG87" s="40">
        <f>SUM(IS!ED63:EG63)/(BS!EG61+BS!EG53+BS!EG37)</f>
        <v>0.05587772001</v>
      </c>
      <c r="EH87" s="24">
        <f>IS!EH63/(BS!EH61+BS!EH53+BS!EH37)</f>
        <v>0.05587772001</v>
      </c>
      <c r="EI87" s="82" t="str">
        <f>SUM(IS!EE63:EG63,IS!EI63)/(BS!EI61+BS!EI53+BS!EI37)</f>
        <v>#ERROR!</v>
      </c>
      <c r="EJ87" s="40" t="str">
        <f>SUM(IS!EF63:EG63,IS!EI63:IS!EJ63)/(BS!EJ61+BS!EJ53+BS!EJ37)</f>
        <v>#ERROR!</v>
      </c>
      <c r="EK87" s="40" t="str">
        <f>SUM(IS!EG63,IS!EI63:IS!EK63)/(BS!EK61+BS!EK53+BS!EK37)</f>
        <v>#ERROR!</v>
      </c>
      <c r="EL87" s="660" t="str">
        <f>SUM(IS!EI63:EL63)/(BS!EL61+BS!EL53+BS!EL37)</f>
        <v>#ERROR!</v>
      </c>
      <c r="EM87" s="24" t="str">
        <f>IS!EM63/(BS!EM61+BS!EM53+BS!EM37)</f>
        <v>#ERROR!</v>
      </c>
      <c r="EN87" s="40" t="str">
        <f>SUM(IS!EJ63:EL63,IS!EN63)/(BS!EN61+BS!EN53+BS!EN37)</f>
        <v>#ERROR!</v>
      </c>
      <c r="EO87" s="40" t="str">
        <f>SUM(IS!EK63:EL63,IS!EN63:IS!EO63)/(BS!EO61+BS!EO53+BS!EO37)</f>
        <v>#ERROR!</v>
      </c>
      <c r="EP87" s="40" t="str">
        <f>SUM(IS!EL63,IS!EN63:IS!EP63)/(BS!EP61+BS!EP53+BS!EP37)</f>
        <v>#ERROR!</v>
      </c>
      <c r="EQ87" s="660" t="str">
        <f>SUM(IS!EN63:EQ63)/(BS!EQ61+BS!EQ53+BS!EQ37)</f>
        <v>#ERROR!</v>
      </c>
      <c r="ER87" s="24" t="str">
        <f>IS!ER63/(BS!ER61+BS!ER53+BS!ER37)</f>
        <v>#ERROR!</v>
      </c>
      <c r="ES87" s="40" t="str">
        <f>SUM(IS!EO63:EQ63,IS!ES63)/(BS!ES61+BS!ES53+BS!ES37)</f>
        <v>#ERROR!</v>
      </c>
      <c r="ET87" s="40" t="str">
        <f>SUM(IS!EP63:EQ63,IS!ES63:IS!ET63)/(BS!ET61+BS!ET53+BS!ET37)</f>
        <v>#ERROR!</v>
      </c>
      <c r="EU87" s="40" t="str">
        <f>SUM(IS!EQ63,IS!ES63:IS!EU63)/(BS!EU61+BS!EU53+BS!EU37)</f>
        <v>#ERROR!</v>
      </c>
      <c r="EV87" s="660" t="str">
        <f>SUM(IS!ES63:EV63)/(BS!EV61+BS!EV53+BS!EV37)</f>
        <v>#ERROR!</v>
      </c>
      <c r="EW87" s="24" t="str">
        <f>IS!EW63/(BS!EW61+BS!EW53+BS!EW37)</f>
        <v>#ERROR!</v>
      </c>
      <c r="EX87" s="40" t="str">
        <f>SUM(IS!ET63:EV63,IS!EX63)/(BS!EX61+BS!EX53+BS!EX37)</f>
        <v>#ERROR!</v>
      </c>
      <c r="EY87" s="40" t="str">
        <f>SUM(IS!EU63:EV63,IS!EX63:IS!EY63)/(BS!EY61+BS!EY53+BS!EY37)</f>
        <v>#ERROR!</v>
      </c>
      <c r="EZ87" s="40" t="str">
        <f>SUM(IS!EV63,IS!EX63:IS!EZ63)/(BS!EZ61+BS!EZ53+BS!EZ37)</f>
        <v>#ERROR!</v>
      </c>
      <c r="FA87" s="660" t="str">
        <f>SUM(IS!EX63:FA63)/(BS!FA61+BS!FA53+BS!FA37)</f>
        <v>#ERROR!</v>
      </c>
      <c r="FB87" s="24" t="str">
        <f>IS!FB63/(BS!FB61+BS!FB53+BS!FB37)</f>
        <v>#ERROR!</v>
      </c>
      <c r="FC87" s="40" t="str">
        <f>SUM(IS!EY63:FA63,IS!FC63)/(BS!FC61+BS!FC53+BS!FC37)</f>
        <v>#ERROR!</v>
      </c>
      <c r="FD87" s="40" t="str">
        <f>SUM(IS!EZ63:FA63,IS!FC63:IS!FD63)/(BS!FD61+BS!FD53+BS!FD37)</f>
        <v>#ERROR!</v>
      </c>
      <c r="FE87" s="40" t="str">
        <f>SUM(IS!FA63,IS!FC63:IS!FE63)/(BS!FE61+BS!FE53+BS!FE37)</f>
        <v>#ERROR!</v>
      </c>
      <c r="FF87" s="660" t="str">
        <f>SUM(IS!FC63:FF63)/(BS!FF61+BS!FF53+BS!FF37)</f>
        <v>#ERROR!</v>
      </c>
      <c r="FG87" s="24" t="str">
        <f>IS!FG63/(BS!FG61+BS!FG53+BS!FG37)</f>
        <v>#ERROR!</v>
      </c>
    </row>
    <row r="88" ht="12.75" customHeight="1">
      <c r="A88" s="4"/>
      <c r="B88" s="4"/>
      <c r="C88" s="4"/>
      <c r="D88" s="4"/>
      <c r="E88" s="4"/>
      <c r="F88" s="4"/>
      <c r="G88" s="4"/>
      <c r="H88" s="4"/>
      <c r="I88" s="4"/>
      <c r="J88" s="4"/>
      <c r="K88" s="4"/>
      <c r="L88" s="4"/>
      <c r="M88" s="4"/>
      <c r="N88" s="4"/>
      <c r="O88" s="4"/>
      <c r="P88" s="4"/>
      <c r="Q88" s="4"/>
      <c r="R88" s="45"/>
      <c r="S88" s="4"/>
      <c r="T88" s="4"/>
      <c r="U88" s="4"/>
      <c r="V88" s="4"/>
      <c r="W88" s="45"/>
      <c r="X88" s="4"/>
      <c r="Y88" s="4"/>
      <c r="Z88" s="4"/>
      <c r="AA88" s="4"/>
      <c r="AB88" s="45"/>
      <c r="AC88" s="179"/>
      <c r="AD88" s="179"/>
      <c r="AE88" s="179"/>
      <c r="AF88" s="179"/>
      <c r="AG88" s="45"/>
      <c r="AH88" s="4"/>
      <c r="AI88" s="4"/>
      <c r="AJ88" s="4"/>
      <c r="AK88" s="4"/>
      <c r="AL88" s="45"/>
      <c r="AM88" s="179"/>
      <c r="AN88" s="179"/>
      <c r="AO88" s="179"/>
      <c r="AP88" s="179"/>
      <c r="AQ88" s="8"/>
      <c r="AR88" s="179"/>
      <c r="AS88" s="179"/>
      <c r="AT88" s="179"/>
      <c r="AU88" s="179"/>
      <c r="AV88" s="8"/>
      <c r="AW88" s="179"/>
      <c r="AX88" s="179"/>
      <c r="AY88" s="179"/>
      <c r="AZ88" s="179"/>
      <c r="BA88" s="8"/>
      <c r="BB88" s="179"/>
      <c r="BC88" s="179"/>
      <c r="BD88" s="179"/>
      <c r="BE88" s="179"/>
      <c r="BF88" s="8"/>
      <c r="BG88" s="179"/>
      <c r="BH88" s="179"/>
      <c r="BI88" s="179"/>
      <c r="BJ88" s="179"/>
      <c r="BK88" s="8"/>
      <c r="BL88" s="179"/>
      <c r="BM88" s="179"/>
      <c r="BN88" s="179"/>
      <c r="BO88" s="179"/>
      <c r="BP88" s="8"/>
      <c r="BQ88" s="179"/>
      <c r="BR88" s="179"/>
      <c r="BS88" s="179"/>
      <c r="BT88" s="179"/>
      <c r="BU88" s="8"/>
      <c r="BV88" s="179"/>
      <c r="BW88" s="179"/>
      <c r="BX88" s="179"/>
      <c r="BY88" s="179"/>
      <c r="BZ88" s="8"/>
      <c r="CA88" s="179"/>
      <c r="CB88" s="179"/>
      <c r="CC88" s="179"/>
      <c r="CD88" s="179"/>
      <c r="CE88" s="8"/>
      <c r="CF88" s="179"/>
      <c r="CG88" s="179"/>
      <c r="CH88" s="179"/>
      <c r="CI88" s="179"/>
      <c r="CJ88" s="8"/>
      <c r="CK88" s="179"/>
      <c r="CL88" s="179"/>
      <c r="CM88" s="179"/>
      <c r="CN88" s="179"/>
      <c r="CO88" s="8"/>
      <c r="CP88" s="179"/>
      <c r="CQ88" s="179"/>
      <c r="CR88" s="179"/>
      <c r="CS88" s="179"/>
      <c r="CT88" s="8"/>
      <c r="CU88" s="179"/>
      <c r="CV88" s="179"/>
      <c r="CW88" s="179"/>
      <c r="CX88" s="179"/>
      <c r="CY88" s="10"/>
      <c r="CZ88" s="179"/>
      <c r="DA88" s="179"/>
      <c r="DB88" s="179"/>
      <c r="DC88" s="179"/>
      <c r="DD88" s="10"/>
      <c r="DE88" s="179"/>
      <c r="DF88" s="179"/>
      <c r="DG88" s="774"/>
      <c r="DH88" s="179"/>
      <c r="DI88" s="10"/>
      <c r="DJ88" s="774"/>
      <c r="DK88" s="774"/>
      <c r="DL88" s="774"/>
      <c r="DM88" s="774"/>
      <c r="DN88" s="10"/>
      <c r="DO88" s="774"/>
      <c r="DP88" s="774"/>
      <c r="DQ88" s="774"/>
      <c r="DR88" s="774"/>
      <c r="DS88" s="10"/>
      <c r="DT88" s="774"/>
      <c r="DU88" s="774"/>
      <c r="DV88" s="774"/>
      <c r="DW88" s="774"/>
      <c r="DX88" s="10"/>
      <c r="DY88" s="774"/>
      <c r="DZ88" s="774"/>
      <c r="EA88" s="774"/>
      <c r="EB88" s="774"/>
      <c r="EC88" s="10"/>
      <c r="ED88" s="774"/>
      <c r="EE88" s="774"/>
      <c r="EF88" s="774"/>
      <c r="EG88" s="774"/>
      <c r="EH88" s="10"/>
      <c r="EI88" s="775"/>
      <c r="EJ88" s="179"/>
      <c r="EK88" s="179"/>
      <c r="EL88" s="179"/>
      <c r="EM88" s="10"/>
      <c r="EN88" s="179"/>
      <c r="EO88" s="179"/>
      <c r="EP88" s="179"/>
      <c r="EQ88" s="179"/>
      <c r="ER88" s="10"/>
      <c r="ES88" s="179"/>
      <c r="ET88" s="179"/>
      <c r="EU88" s="179"/>
      <c r="EV88" s="179"/>
      <c r="EW88" s="10"/>
      <c r="EX88" s="179"/>
      <c r="EY88" s="179"/>
      <c r="EZ88" s="179"/>
      <c r="FA88" s="179"/>
      <c r="FB88" s="10"/>
      <c r="FC88" s="179"/>
      <c r="FD88" s="179"/>
      <c r="FE88" s="179"/>
      <c r="FF88" s="179"/>
      <c r="FG88" s="10"/>
    </row>
    <row r="89" ht="12.75" customHeight="1">
      <c r="A89" s="4"/>
      <c r="B89" s="726" t="s">
        <v>568</v>
      </c>
      <c r="C89" s="4"/>
      <c r="D89" s="4"/>
      <c r="E89" s="4"/>
      <c r="F89" s="4"/>
      <c r="G89" s="4"/>
      <c r="H89" s="4"/>
      <c r="I89" s="4"/>
      <c r="J89" s="4"/>
      <c r="K89" s="4"/>
      <c r="L89" s="4"/>
      <c r="M89" s="4"/>
      <c r="N89" s="90"/>
      <c r="O89" s="90"/>
      <c r="P89" s="90"/>
      <c r="Q89" s="90"/>
      <c r="R89" s="299"/>
      <c r="S89" s="90"/>
      <c r="T89" s="90"/>
      <c r="U89" s="90"/>
      <c r="V89" s="90"/>
      <c r="W89" s="299"/>
      <c r="X89" s="90"/>
      <c r="Y89" s="90"/>
      <c r="Z89" s="90"/>
      <c r="AA89" s="90"/>
      <c r="AB89" s="299"/>
      <c r="AC89" s="270"/>
      <c r="AD89" s="270"/>
      <c r="AE89" s="270"/>
      <c r="AF89" s="270"/>
      <c r="AG89" s="299"/>
      <c r="AH89" s="90"/>
      <c r="AI89" s="90"/>
      <c r="AJ89" s="90"/>
      <c r="AK89" s="90"/>
      <c r="AL89" s="299"/>
      <c r="AM89" s="270"/>
      <c r="AN89" s="270"/>
      <c r="AO89" s="270"/>
      <c r="AP89" s="270"/>
      <c r="AQ89" s="726"/>
      <c r="AR89" s="270"/>
      <c r="AS89" s="270"/>
      <c r="AT89" s="270"/>
      <c r="AU89" s="270"/>
      <c r="AV89" s="726"/>
      <c r="AW89" s="270"/>
      <c r="AX89" s="270"/>
      <c r="AY89" s="270"/>
      <c r="AZ89" s="270"/>
      <c r="BA89" s="726"/>
      <c r="BB89" s="270"/>
      <c r="BC89" s="270"/>
      <c r="BD89" s="270"/>
      <c r="BE89" s="270"/>
      <c r="BF89" s="726"/>
      <c r="BG89" s="270"/>
      <c r="BH89" s="270"/>
      <c r="BI89" s="270"/>
      <c r="BJ89" s="270"/>
      <c r="BK89" s="726"/>
      <c r="BL89" s="270"/>
      <c r="BM89" s="270"/>
      <c r="BN89" s="270"/>
      <c r="BO89" s="270"/>
      <c r="BP89" s="726"/>
      <c r="BQ89" s="270"/>
      <c r="BR89" s="270"/>
      <c r="BS89" s="270"/>
      <c r="BT89" s="270"/>
      <c r="BU89" s="726"/>
      <c r="BV89" s="270"/>
      <c r="BW89" s="270"/>
      <c r="BX89" s="270"/>
      <c r="BY89" s="270"/>
      <c r="BZ89" s="726"/>
      <c r="CA89" s="270"/>
      <c r="CB89" s="270"/>
      <c r="CC89" s="270"/>
      <c r="CD89" s="270"/>
      <c r="CE89" s="726"/>
      <c r="CF89" s="270"/>
      <c r="CG89" s="270"/>
      <c r="CH89" s="270"/>
      <c r="CI89" s="270"/>
      <c r="CJ89" s="726"/>
      <c r="CK89" s="270"/>
      <c r="CL89" s="270"/>
      <c r="CM89" s="270"/>
      <c r="CN89" s="270"/>
      <c r="CO89" s="726"/>
      <c r="CP89" s="270"/>
      <c r="CQ89" s="270"/>
      <c r="CR89" s="270"/>
      <c r="CS89" s="270"/>
      <c r="CT89" s="726"/>
      <c r="CU89" s="270"/>
      <c r="CV89" s="270"/>
      <c r="CW89" s="270"/>
      <c r="CX89" s="270"/>
      <c r="CY89" s="303"/>
      <c r="CZ89" s="270"/>
      <c r="DA89" s="270"/>
      <c r="DB89" s="270"/>
      <c r="DC89" s="270"/>
      <c r="DD89" s="303"/>
      <c r="DE89" s="270"/>
      <c r="DF89" s="270"/>
      <c r="DG89" s="302"/>
      <c r="DH89" s="270"/>
      <c r="DI89" s="303"/>
      <c r="DJ89" s="302"/>
      <c r="DK89" s="302"/>
      <c r="DL89" s="302"/>
      <c r="DM89" s="302"/>
      <c r="DN89" s="303"/>
      <c r="DO89" s="302"/>
      <c r="DP89" s="302"/>
      <c r="DQ89" s="302"/>
      <c r="DR89" s="302"/>
      <c r="DS89" s="303"/>
      <c r="DT89" s="302"/>
      <c r="DU89" s="302"/>
      <c r="DV89" s="302"/>
      <c r="DW89" s="302"/>
      <c r="DX89" s="303"/>
      <c r="DY89" s="302"/>
      <c r="DZ89" s="302"/>
      <c r="EA89" s="302"/>
      <c r="EB89" s="302"/>
      <c r="EC89" s="303"/>
      <c r="ED89" s="302"/>
      <c r="EE89" s="302"/>
      <c r="EF89" s="302"/>
      <c r="EG89" s="302"/>
      <c r="EH89" s="303"/>
      <c r="EI89" s="308"/>
      <c r="EJ89" s="270"/>
      <c r="EK89" s="270"/>
      <c r="EL89" s="270"/>
      <c r="EM89" s="303"/>
      <c r="EN89" s="270"/>
      <c r="EO89" s="270"/>
      <c r="EP89" s="270"/>
      <c r="EQ89" s="270"/>
      <c r="ER89" s="303"/>
      <c r="ES89" s="270"/>
      <c r="ET89" s="270"/>
      <c r="EU89" s="270"/>
      <c r="EV89" s="270"/>
      <c r="EW89" s="303"/>
      <c r="EX89" s="270"/>
      <c r="EY89" s="270"/>
      <c r="EZ89" s="270"/>
      <c r="FA89" s="270"/>
      <c r="FB89" s="303"/>
      <c r="FC89" s="270"/>
      <c r="FD89" s="270"/>
      <c r="FE89" s="270"/>
      <c r="FF89" s="270"/>
      <c r="FG89" s="303"/>
    </row>
    <row r="90" ht="12.75" customHeight="1">
      <c r="A90" s="4"/>
      <c r="B90" s="179" t="s">
        <v>569</v>
      </c>
      <c r="C90" s="179"/>
      <c r="D90" s="179"/>
      <c r="E90" s="179"/>
      <c r="F90" s="179"/>
      <c r="G90" s="179"/>
      <c r="H90" s="179"/>
      <c r="I90" s="179"/>
      <c r="J90" s="179"/>
      <c r="K90" s="179"/>
      <c r="L90" s="179"/>
      <c r="M90" s="179"/>
      <c r="N90" s="15">
        <f>(STDebt+LTDebt)/(STDebt+LTDebt+Equity)</f>
        <v>0.03599660578</v>
      </c>
      <c r="O90" s="15">
        <f>(STDebt+LTDebt)/(STDebt+LTDebt+Equity)</f>
        <v>0.03180825946</v>
      </c>
      <c r="P90" s="15">
        <f>(STDebt+LTDebt)/(STDebt+LTDebt+Equity)</f>
        <v>0.03433153185</v>
      </c>
      <c r="Q90" s="15">
        <f>(STDebt+LTDebt)/(STDebt+LTDebt+Equity)</f>
        <v>0.0355227329</v>
      </c>
      <c r="R90" s="410">
        <f>(STDebt+LTDebt)/(STDebt+LTDebt+Equity)</f>
        <v>0.0355227329</v>
      </c>
      <c r="S90" s="15">
        <f>(STDebt+LTDebt)/(STDebt+LTDebt+Equity)</f>
        <v>0.03440465498</v>
      </c>
      <c r="T90" s="15">
        <f>(STDebt+LTDebt)/(STDebt+LTDebt+Equity)</f>
        <v>0.03048757279</v>
      </c>
      <c r="U90" s="15">
        <f>(STDebt+LTDebt)/(STDebt+LTDebt+Equity)</f>
        <v>0.03466754879</v>
      </c>
      <c r="V90" s="15">
        <f>(STDebt+LTDebt)/(STDebt+LTDebt+Equity)</f>
        <v>0.03514234875</v>
      </c>
      <c r="W90" s="410">
        <f>(STDebt+LTDebt)/(STDebt+LTDebt+Equity)</f>
        <v>0.03514234875</v>
      </c>
      <c r="X90" s="15">
        <f>(STDebt+LTDebt)/(STDebt+LTDebt+Equity)</f>
        <v>0.03323157669</v>
      </c>
      <c r="Y90" s="15">
        <f>(STDebt+LTDebt)/(STDebt+LTDebt+Equity)</f>
        <v>0.03313531353</v>
      </c>
      <c r="Z90" s="15">
        <f>(STDebt+LTDebt)/(STDebt+LTDebt+Equity)</f>
        <v>0.02447543401</v>
      </c>
      <c r="AA90" s="15">
        <f>(STDebt+LTDebt)/(STDebt+LTDebt+Equity)</f>
        <v>0.02825005858</v>
      </c>
      <c r="AB90" s="410">
        <f>(STDebt+LTDebt)/(STDebt+LTDebt+Equity)</f>
        <v>0.02825005858</v>
      </c>
      <c r="AC90" s="15">
        <f>(STDebt+LTDebt)/(STDebt+LTDebt+Equity)</f>
        <v>0.03104905383</v>
      </c>
      <c r="AD90" s="15">
        <f>(STDebt+LTDebt)/(STDebt+LTDebt+Equity)</f>
        <v>0.03516558552</v>
      </c>
      <c r="AE90" s="15">
        <f>(STDebt+LTDebt)/(STDebt+LTDebt+Equity)</f>
        <v>0.03426942113</v>
      </c>
      <c r="AF90" s="15">
        <f>(STDebt+LTDebt)/(STDebt+LTDebt+Equity)</f>
        <v>0.03912682024</v>
      </c>
      <c r="AG90" s="410">
        <f>(STDebt+LTDebt)/(STDebt+LTDebt+Equity)</f>
        <v>0.03912682024</v>
      </c>
      <c r="AH90" s="15">
        <f>(STDebt+LTDebt)/(STDebt+LTDebt+Equity)</f>
        <v>0.03425616719</v>
      </c>
      <c r="AI90" s="15">
        <f>(STDebt+LTDebt)/(STDebt+LTDebt+Equity)</f>
        <v>0.03952057013</v>
      </c>
      <c r="AJ90" s="15">
        <f>(STDebt+LTDebt)/(STDebt+LTDebt+Equity)</f>
        <v>0.03596002621</v>
      </c>
      <c r="AK90" s="15">
        <f>(STDebt+LTDebt)/(STDebt+LTDebt+Equity)</f>
        <v>0.03705915891</v>
      </c>
      <c r="AL90" s="410">
        <f>(STDebt+LTDebt)/(STDebt+LTDebt+Equity)</f>
        <v>0.03705915891</v>
      </c>
      <c r="AM90" s="15">
        <f>(STDebt+LTDebt)/(STDebt+LTDebt+Equity)</f>
        <v>0.0333670098</v>
      </c>
      <c r="AN90" s="15">
        <f>(STDebt+LTDebt)/(STDebt+LTDebt+Equity)</f>
        <v>0.0353094675</v>
      </c>
      <c r="AO90" s="15">
        <f>(STDebt+LTDebt)/(STDebt+LTDebt+Equity)</f>
        <v>0.0319730535</v>
      </c>
      <c r="AP90" s="15">
        <f>(STDebt+LTDebt)/(STDebt+LTDebt+Equity)</f>
        <v>0.02973901451</v>
      </c>
      <c r="AQ90" s="410">
        <f>(STDebt+LTDebt)/(STDebt+LTDebt+Equity)</f>
        <v>0.02973901451</v>
      </c>
      <c r="AR90" s="15">
        <f>(STDebt+LTDebt)/(STDebt+LTDebt+Equity)</f>
        <v>0.03109348384</v>
      </c>
      <c r="AS90" s="15">
        <f>(STDebt+LTDebt)/(STDebt+LTDebt+Equity)</f>
        <v>0.02805550659</v>
      </c>
      <c r="AT90" s="15">
        <f>(STDebt+LTDebt)/(STDebt+LTDebt+Equity)</f>
        <v>0.02786968694</v>
      </c>
      <c r="AU90" s="15">
        <f>(STDebt+LTDebt)/(STDebt+LTDebt+Equity)</f>
        <v>0.02289592989</v>
      </c>
      <c r="AV90" s="410">
        <f>(STDebt+LTDebt)/(STDebt+LTDebt+Equity)</f>
        <v>0.02289592989</v>
      </c>
      <c r="AW90" s="15">
        <f>(STDebt+LTDebt)/(STDebt+LTDebt+Equity)</f>
        <v>0.01786597911</v>
      </c>
      <c r="AX90" s="15">
        <f>(STDebt+LTDebt)/(STDebt+LTDebt+Equity)</f>
        <v>0.01949846202</v>
      </c>
      <c r="AY90" s="15">
        <f>(STDebt+LTDebt)/(STDebt+LTDebt+Equity)</f>
        <v>0.01830835118</v>
      </c>
      <c r="AZ90" s="15">
        <f>(STDebt+LTDebt)/(STDebt+LTDebt+Equity)</f>
        <v>0.06266677029</v>
      </c>
      <c r="BA90" s="410">
        <f>(STDebt+LTDebt)/(STDebt+LTDebt+Equity)</f>
        <v>0.06266677029</v>
      </c>
      <c r="BB90" s="15">
        <f>(STDebt+LTDebt)/(STDebt+LTDebt+Equity)</f>
        <v>0.06182076348</v>
      </c>
      <c r="BC90" s="15">
        <f>(STDebt+LTDebt)/(STDebt+LTDebt+Equity)</f>
        <v>0.06303686351</v>
      </c>
      <c r="BD90" s="15">
        <f>(STDebt+LTDebt)/(STDebt+LTDebt+Equity)</f>
        <v>0.06052638639</v>
      </c>
      <c r="BE90" s="15">
        <f>(STDebt+LTDebt)/(STDebt+LTDebt+Equity)</f>
        <v>0.05229499742</v>
      </c>
      <c r="BF90" s="410">
        <f>(STDebt+LTDebt)/(STDebt+LTDebt+Equity)</f>
        <v>0.05229499742</v>
      </c>
      <c r="BG90" s="15">
        <f>(STDebt+LTDebt)/(STDebt+LTDebt+Equity)</f>
        <v>0.05028724724</v>
      </c>
      <c r="BH90" s="15">
        <f>(STDebt+LTDebt)/(STDebt+LTDebt+Equity)</f>
        <v>0.04953671559</v>
      </c>
      <c r="BI90" s="15">
        <f>(STDebt+LTDebt)/(STDebt+LTDebt+Equity)</f>
        <v>0.04639559825</v>
      </c>
      <c r="BJ90" s="15">
        <f>(STDebt+LTDebt)/(STDebt+LTDebt+Equity)</f>
        <v>0.04727742625</v>
      </c>
      <c r="BK90" s="410">
        <f>(STDebt+LTDebt)/(STDebt+LTDebt+Equity)</f>
        <v>0.04727742625</v>
      </c>
      <c r="BL90" s="15">
        <f>(STDebt+LTDebt)/(STDebt+LTDebt+Equity)</f>
        <v>0.05086486613</v>
      </c>
      <c r="BM90" s="15">
        <f>(STDebt+LTDebt)/(STDebt+LTDebt+Equity)</f>
        <v>0.04871782785</v>
      </c>
      <c r="BN90" s="15">
        <f>(STDebt+LTDebt)/(STDebt+LTDebt+Equity)</f>
        <v>0.05709162285</v>
      </c>
      <c r="BO90" s="15">
        <f>(STDebt+LTDebt)/(STDebt+LTDebt+Equity)</f>
        <v>0.04839809134</v>
      </c>
      <c r="BP90" s="410">
        <f>(STDebt+LTDebt)/(STDebt+LTDebt+Equity)</f>
        <v>0.04839809134</v>
      </c>
      <c r="BQ90" s="15">
        <f>(STDebt+LTDebt)/(STDebt+LTDebt+Equity)</f>
        <v>0.02982739352</v>
      </c>
      <c r="BR90" s="15">
        <f>(STDebt+LTDebt)/(STDebt+LTDebt+Equity)</f>
        <v>0.03051445029</v>
      </c>
      <c r="BS90" s="15">
        <f>(STDebt+LTDebt)/(STDebt+LTDebt+Equity)</f>
        <v>0.05390600383</v>
      </c>
      <c r="BT90" s="15">
        <f>(STDebt+LTDebt)/(STDebt+LTDebt+Equity)</f>
        <v>0.05056346044</v>
      </c>
      <c r="BU90" s="410">
        <f>(STDebt+LTDebt)/(STDebt+LTDebt+Equity)</f>
        <v>0.05056346044</v>
      </c>
      <c r="BV90" s="15">
        <f>(STDebt+LTDebt)/(STDebt+LTDebt+Equity)</f>
        <v>0.05260368358</v>
      </c>
      <c r="BW90" s="15">
        <f>(STDebt+LTDebt)/(STDebt+LTDebt+Equity)</f>
        <v>0.047241967</v>
      </c>
      <c r="BX90" s="15">
        <f>(STDebt+LTDebt)/(STDebt+LTDebt+Equity)</f>
        <v>0.04661389622</v>
      </c>
      <c r="BY90" s="15">
        <f>(STDebt+LTDebt)/(STDebt+LTDebt+Equity)</f>
        <v>0.04103210787</v>
      </c>
      <c r="BZ90" s="410">
        <f>(STDebt+LTDebt)/(STDebt+LTDebt+Equity)</f>
        <v>0.04103210787</v>
      </c>
      <c r="CA90" s="15">
        <f>(STDebt+LTDebt)/(STDebt+LTDebt+Equity)</f>
        <v>0.04318393081</v>
      </c>
      <c r="CB90" s="15">
        <f>(STDebt+LTDebt)/(STDebt+LTDebt+Equity)</f>
        <v>0.04246914551</v>
      </c>
      <c r="CC90" s="15">
        <f>(STDebt+LTDebt)/(STDebt+LTDebt+Equity)</f>
        <v>0.134099401</v>
      </c>
      <c r="CD90" s="15">
        <f>(STDebt+LTDebt)/(STDebt+LTDebt+Equity)</f>
        <v>0.1376920476</v>
      </c>
      <c r="CE90" s="410">
        <f>(STDebt+LTDebt)/(STDebt+LTDebt+Equity)</f>
        <v>0.1376920476</v>
      </c>
      <c r="CF90" s="15">
        <f>(STDebt+LTDebt)/(STDebt+LTDebt+Equity)</f>
        <v>0.1374285187</v>
      </c>
      <c r="CG90" s="15">
        <f>(STDebt+LTDebt)/(STDebt+LTDebt+Equity)</f>
        <v>0.1283861054</v>
      </c>
      <c r="CH90" s="15">
        <f>(STDebt+LTDebt)/(STDebt+LTDebt+Equity)</f>
        <v>0.1268232167</v>
      </c>
      <c r="CI90" s="15">
        <f>(STDebt+LTDebt)/(STDebt+LTDebt+Equity)</f>
        <v>0.2080091569</v>
      </c>
      <c r="CJ90" s="410">
        <f>(STDebt+LTDebt)/(STDebt+LTDebt+Equity)</f>
        <v>0.2080091569</v>
      </c>
      <c r="CK90" s="15">
        <f>(STDebt+LTDebt)/(STDebt+LTDebt+Equity)</f>
        <v>0.205370586</v>
      </c>
      <c r="CL90" s="15">
        <f>(STDebt+LTDebt)/(STDebt+LTDebt+Equity)</f>
        <v>0.1994409171</v>
      </c>
      <c r="CM90" s="15">
        <f>(STDebt+LTDebt)/(STDebt+LTDebt+Equity)</f>
        <v>0.1958700097</v>
      </c>
      <c r="CN90" s="15">
        <f>(STDebt+LTDebt)/(STDebt+LTDebt+Equity)</f>
        <v>0.1875261499</v>
      </c>
      <c r="CO90" s="410">
        <f>(STDebt+LTDebt)/(STDebt+LTDebt+Equity)</f>
        <v>0.1875261499</v>
      </c>
      <c r="CP90" s="15">
        <f>(STDebt+LTDebt)/(STDebt+LTDebt+Equity)</f>
        <v>0.1853858462</v>
      </c>
      <c r="CQ90" s="15">
        <f>(STDebt+LTDebt)/(STDebt+LTDebt+Equity)</f>
        <v>0.1821344266</v>
      </c>
      <c r="CR90" s="15">
        <f>(STDebt+LTDebt)/(STDebt+LTDebt+Equity)</f>
        <v>0.1888406519</v>
      </c>
      <c r="CS90" s="15">
        <f>(STDebt+LTDebt)/(STDebt+LTDebt+Equity)</f>
        <v>0.1945153785</v>
      </c>
      <c r="CT90" s="410">
        <f>(STDebt+LTDebt)/(STDebt+LTDebt+Equity)</f>
        <v>0.1945153785</v>
      </c>
      <c r="CU90" s="15">
        <f>(STDebt+LTDebt)/(STDebt+LTDebt+Equity)</f>
        <v>0.191602114</v>
      </c>
      <c r="CV90" s="15">
        <f>(STDebt+LTDebt)/(STDebt+LTDebt+Equity)</f>
        <v>0.1842303088</v>
      </c>
      <c r="CW90" s="15">
        <f>(STDebt+LTDebt)/(STDebt+LTDebt+Equity)</f>
        <v>0.2675590352</v>
      </c>
      <c r="CX90" s="15">
        <f>(STDebt+LTDebt)/(STDebt+LTDebt+Equity)</f>
        <v>0.2678022965</v>
      </c>
      <c r="CY90" s="24">
        <f>(STDebt+LTDebt)/(STDebt+LTDebt+Equity)</f>
        <v>0.2678022965</v>
      </c>
      <c r="CZ90" s="15">
        <f>(STDebt+LTDebt)/(STDebt+LTDebt+Equity)</f>
        <v>0.2901403296</v>
      </c>
      <c r="DA90" s="15">
        <f>(STDebt+LTDebt)/(STDebt+LTDebt+Equity)</f>
        <v>0.3148783977</v>
      </c>
      <c r="DB90" s="15">
        <f>(STDebt+LTDebt)/(STDebt+LTDebt+Equity)</f>
        <v>0.3014287741</v>
      </c>
      <c r="DC90" s="15">
        <f>(STDebt+LTDebt)/(STDebt+LTDebt+Equity)</f>
        <v>0.2736521956</v>
      </c>
      <c r="DD90" s="24">
        <f>(STDebt+LTDebt)/(STDebt+LTDebt+Equity)</f>
        <v>0.2736521956</v>
      </c>
      <c r="DE90" s="15">
        <f>(STDebt+LTDebt)/(STDebt+LTDebt+Equity)</f>
        <v>0.2754913183</v>
      </c>
      <c r="DF90" s="15">
        <f>(STDebt+LTDebt)/(STDebt+LTDebt+Equity)</f>
        <v>0.3151728351</v>
      </c>
      <c r="DG90" s="40">
        <f>(STDebt+LTDebt)/(STDebt+LTDebt+Equity)</f>
        <v>0.3058600623</v>
      </c>
      <c r="DH90" s="15">
        <f>(STDebt+LTDebt)/(STDebt+LTDebt+Equity)</f>
        <v>0.2772859832</v>
      </c>
      <c r="DI90" s="24">
        <f>(STDebt+LTDebt)/(STDebt+LTDebt+Equity)</f>
        <v>0.2772859832</v>
      </c>
      <c r="DJ90" s="40">
        <f>(STDebt+LTDebt)/(STDebt+LTDebt+Equity)</f>
        <v>0.2896625733</v>
      </c>
      <c r="DK90" s="40">
        <f>(STDebt+LTDebt)/(STDebt+LTDebt+Equity)</f>
        <v>0.3104252806</v>
      </c>
      <c r="DL90" s="40">
        <f>(STDebt+LTDebt)/(STDebt+LTDebt+Equity)</f>
        <v>0.2790972445</v>
      </c>
      <c r="DM90" s="40">
        <f>(STDebt+LTDebt)/(STDebt+LTDebt+Equity)</f>
        <v>0.2611819029</v>
      </c>
      <c r="DN90" s="24">
        <f>(STDebt+LTDebt)/(STDebt+LTDebt+Equity)</f>
        <v>0.2611819029</v>
      </c>
      <c r="DO90" s="40">
        <f>(STDebt+LTDebt)/(STDebt+LTDebt+Equity)</f>
        <v>0.2788796648</v>
      </c>
      <c r="DP90" s="40">
        <f>(STDebt+LTDebt)/(STDebt+LTDebt+Equity)</f>
        <v>0.2777028199</v>
      </c>
      <c r="DQ90" s="40">
        <f>(STDebt+LTDebt)/(STDebt+LTDebt+Equity)</f>
        <v>0.2797948023</v>
      </c>
      <c r="DR90" s="40">
        <f>(STDebt+LTDebt)/(STDebt+LTDebt+Equity)</f>
        <v>0.2719013688</v>
      </c>
      <c r="DS90" s="24">
        <f>(STDebt+LTDebt)/(STDebt+LTDebt+Equity)</f>
        <v>0.2719013688</v>
      </c>
      <c r="DT90" s="40">
        <f>(STDebt+LTDebt)/(STDebt+LTDebt+Equity)</f>
        <v>0.3433213214</v>
      </c>
      <c r="DU90" s="40">
        <f>(STDebt+LTDebt)/(STDebt+LTDebt+Equity)</f>
        <v>0.3186104672</v>
      </c>
      <c r="DV90" s="40">
        <f>(STDebt+LTDebt)/(STDebt+LTDebt+Equity)</f>
        <v>0.3290495604</v>
      </c>
      <c r="DW90" s="40">
        <f>(STDebt+LTDebt)/(STDebt+LTDebt+Equity)</f>
        <v>0.3099566584</v>
      </c>
      <c r="DX90" s="24">
        <f>(STDebt+LTDebt)/(STDebt+LTDebt+Equity)</f>
        <v>0.3099566584</v>
      </c>
      <c r="DY90" s="40">
        <f>(STDebt+LTDebt)/(STDebt+LTDebt+Equity)</f>
        <v>0.3101710591</v>
      </c>
      <c r="DZ90" s="40">
        <f>(STDebt+LTDebt)/(STDebt+LTDebt+Equity)</f>
        <v>0.2935680175</v>
      </c>
      <c r="EA90" s="40">
        <f>(STDebt+LTDebt)/(STDebt+LTDebt+Equity)</f>
        <v>0.3091010883</v>
      </c>
      <c r="EB90" s="40">
        <f>(STDebt+LTDebt)/(STDebt+LTDebt+Equity)</f>
        <v>0.2854178528</v>
      </c>
      <c r="EC90" s="24">
        <f>(STDebt+LTDebt)/(STDebt+LTDebt+Equity)</f>
        <v>0.2854178528</v>
      </c>
      <c r="ED90" s="40">
        <f>(STDebt+LTDebt)/(STDebt+LTDebt+Equity)</f>
        <v>0.2653241489</v>
      </c>
      <c r="EE90" s="40">
        <f>(STDebt+LTDebt)/(STDebt+LTDebt+Equity)</f>
        <v>0.2592793162</v>
      </c>
      <c r="EF90" s="40">
        <f>(STDebt+LTDebt)/(STDebt+LTDebt+Equity)</f>
        <v>0.2835059681</v>
      </c>
      <c r="EG90" s="40">
        <f>(STDebt+LTDebt)/(STDebt+LTDebt+Equity)</f>
        <v>0.2930914312</v>
      </c>
      <c r="EH90" s="24">
        <f>(STDebt+LTDebt)/(STDebt+LTDebt+Equity)</f>
        <v>0.2930914312</v>
      </c>
      <c r="EI90" s="82" t="str">
        <f>(STDebt+LTDebt)/(STDebt+LTDebt+Equity)</f>
        <v>#ERROR!</v>
      </c>
      <c r="EJ90" s="15" t="str">
        <f>(STDebt+LTDebt)/(STDebt+LTDebt+Equity)</f>
        <v>#ERROR!</v>
      </c>
      <c r="EK90" s="15" t="str">
        <f>(STDebt+LTDebt)/(STDebt+LTDebt+Equity)</f>
        <v>#ERROR!</v>
      </c>
      <c r="EL90" s="15" t="str">
        <f>(STDebt+LTDebt)/(STDebt+LTDebt+Equity)</f>
        <v>#ERROR!</v>
      </c>
      <c r="EM90" s="24" t="str">
        <f>(STDebt+LTDebt)/(STDebt+LTDebt+Equity)</f>
        <v>#ERROR!</v>
      </c>
      <c r="EN90" s="15" t="str">
        <f>(STDebt+LTDebt)/(STDebt+LTDebt+Equity)</f>
        <v>#ERROR!</v>
      </c>
      <c r="EO90" s="15" t="str">
        <f>(STDebt+LTDebt)/(STDebt+LTDebt+Equity)</f>
        <v>#ERROR!</v>
      </c>
      <c r="EP90" s="15" t="str">
        <f>(STDebt+LTDebt)/(STDebt+LTDebt+Equity)</f>
        <v>#ERROR!</v>
      </c>
      <c r="EQ90" s="15" t="str">
        <f>(STDebt+LTDebt)/(STDebt+LTDebt+Equity)</f>
        <v>#ERROR!</v>
      </c>
      <c r="ER90" s="24" t="str">
        <f>(STDebt+LTDebt)/(STDebt+LTDebt+Equity)</f>
        <v>#ERROR!</v>
      </c>
      <c r="ES90" s="15" t="str">
        <f>(STDebt+LTDebt)/(STDebt+LTDebt+Equity)</f>
        <v>#ERROR!</v>
      </c>
      <c r="ET90" s="15" t="str">
        <f>(STDebt+LTDebt)/(STDebt+LTDebt+Equity)</f>
        <v>#ERROR!</v>
      </c>
      <c r="EU90" s="15" t="str">
        <f>(STDebt+LTDebt)/(STDebt+LTDebt+Equity)</f>
        <v>#ERROR!</v>
      </c>
      <c r="EV90" s="15" t="str">
        <f>(STDebt+LTDebt)/(STDebt+LTDebt+Equity)</f>
        <v>#ERROR!</v>
      </c>
      <c r="EW90" s="24" t="str">
        <f>(STDebt+LTDebt)/(STDebt+LTDebt+Equity)</f>
        <v>#ERROR!</v>
      </c>
      <c r="EX90" s="15" t="str">
        <f>(STDebt+LTDebt)/(STDebt+LTDebt+Equity)</f>
        <v>#ERROR!</v>
      </c>
      <c r="EY90" s="15" t="str">
        <f>(STDebt+LTDebt)/(STDebt+LTDebt+Equity)</f>
        <v>#ERROR!</v>
      </c>
      <c r="EZ90" s="15" t="str">
        <f>(STDebt+LTDebt)/(STDebt+LTDebt+Equity)</f>
        <v>#ERROR!</v>
      </c>
      <c r="FA90" s="15" t="str">
        <f>(STDebt+LTDebt)/(STDebt+LTDebt+Equity)</f>
        <v>#ERROR!</v>
      </c>
      <c r="FB90" s="24" t="str">
        <f>(STDebt+LTDebt)/(STDebt+LTDebt+Equity)</f>
        <v>#ERROR!</v>
      </c>
      <c r="FC90" s="15" t="str">
        <f>(STDebt+LTDebt)/(STDebt+LTDebt+Equity)</f>
        <v>#ERROR!</v>
      </c>
      <c r="FD90" s="15" t="str">
        <f>(STDebt+LTDebt)/(STDebt+LTDebt+Equity)</f>
        <v>#ERROR!</v>
      </c>
      <c r="FE90" s="15" t="str">
        <f>(STDebt+LTDebt)/(STDebt+LTDebt+Equity)</f>
        <v>#ERROR!</v>
      </c>
      <c r="FF90" s="15" t="str">
        <f>(STDebt+LTDebt)/(STDebt+LTDebt+Equity)</f>
        <v>#ERROR!</v>
      </c>
      <c r="FG90" s="24" t="str">
        <f>(STDebt+LTDebt)/(STDebt+LTDebt+Equity)</f>
        <v>#ERROR!</v>
      </c>
    </row>
    <row r="91" ht="12.75" customHeight="1">
      <c r="A91" s="4"/>
      <c r="B91" s="179" t="s">
        <v>570</v>
      </c>
      <c r="C91" s="179"/>
      <c r="D91" s="179"/>
      <c r="E91" s="179"/>
      <c r="F91" s="179"/>
      <c r="G91" s="179"/>
      <c r="H91" s="179"/>
      <c r="I91" s="179"/>
      <c r="J91" s="179"/>
      <c r="K91" s="179"/>
      <c r="L91" s="179"/>
      <c r="M91" s="179"/>
      <c r="N91" s="15">
        <f>(STDebt+LTDebt)/(Equity)</f>
        <v>0.03734074589</v>
      </c>
      <c r="O91" s="15">
        <f>(STDebt+LTDebt)/(Equity)</f>
        <v>0.03285326462</v>
      </c>
      <c r="P91" s="15">
        <f>(STDebt+LTDebt)/(Equity)</f>
        <v>0.03555208955</v>
      </c>
      <c r="Q91" s="15">
        <f>(STDebt+LTDebt)/(Equity)</f>
        <v>0.03683107328</v>
      </c>
      <c r="R91" s="410">
        <f>(STDebt+LTDebt)/(Equity)</f>
        <v>0.03683107328</v>
      </c>
      <c r="S91" s="15">
        <f>(STDebt+LTDebt)/(Equity)</f>
        <v>0.03563051039</v>
      </c>
      <c r="T91" s="15">
        <f>(STDebt+LTDebt)/(Equity)</f>
        <v>0.03144629397</v>
      </c>
      <c r="U91" s="15">
        <f>(STDebt+LTDebt)/(Equity)</f>
        <v>0.03591254883</v>
      </c>
      <c r="V91" s="15">
        <f>(STDebt+LTDebt)/(Equity)</f>
        <v>0.03642231443</v>
      </c>
      <c r="W91" s="410">
        <f>(STDebt+LTDebt)/(Equity)</f>
        <v>0.03642231443</v>
      </c>
      <c r="X91" s="15">
        <f>(STDebt+LTDebt)/(Equity)</f>
        <v>0.03437387475</v>
      </c>
      <c r="Y91" s="15">
        <f>(STDebt+LTDebt)/(Equity)</f>
        <v>0.03427089022</v>
      </c>
      <c r="Z91" s="15">
        <f>(STDebt+LTDebt)/(Equity)</f>
        <v>0.02508951067</v>
      </c>
      <c r="AA91" s="15">
        <f>(STDebt+LTDebt)/(Equity)</f>
        <v>0.02907132522</v>
      </c>
      <c r="AB91" s="410">
        <f>(STDebt+LTDebt)/(Equity)</f>
        <v>0.02907132522</v>
      </c>
      <c r="AC91" s="15">
        <f>(STDebt+LTDebt)/(Equity)</f>
        <v>0.03204398938</v>
      </c>
      <c r="AD91" s="15">
        <f>(STDebt+LTDebt)/(Equity)</f>
        <v>0.0364472753</v>
      </c>
      <c r="AE91" s="15">
        <f>(STDebt+LTDebt)/(Equity)</f>
        <v>0.03548548827</v>
      </c>
      <c r="AF91" s="15">
        <f>(STDebt+LTDebt)/(Equity)</f>
        <v>0.04072006698</v>
      </c>
      <c r="AG91" s="410">
        <f>(STDebt+LTDebt)/(Equity)</f>
        <v>0.04072006698</v>
      </c>
      <c r="AH91" s="15">
        <f>(STDebt+LTDebt)/(Equity)</f>
        <v>0.03547127719</v>
      </c>
      <c r="AI91" s="15">
        <f>(STDebt+LTDebt)/(Equity)</f>
        <v>0.04114671164</v>
      </c>
      <c r="AJ91" s="15">
        <f>(STDebt+LTDebt)/(Equity)</f>
        <v>0.03730138499</v>
      </c>
      <c r="AK91" s="15">
        <f>(STDebt+LTDebt)/(Equity)</f>
        <v>0.03848539529</v>
      </c>
      <c r="AL91" s="410">
        <f>(STDebt+LTDebt)/(Equity)</f>
        <v>0.03848539529</v>
      </c>
      <c r="AM91" s="15">
        <f>(STDebt+LTDebt)/(Equity)</f>
        <v>0.0345187989</v>
      </c>
      <c r="AN91" s="15">
        <f>(STDebt+LTDebt)/(Equity)</f>
        <v>0.03660185968</v>
      </c>
      <c r="AO91" s="15">
        <f>(STDebt+LTDebt)/(Equity)</f>
        <v>0.03302909451</v>
      </c>
      <c r="AP91" s="15">
        <f>(STDebt+LTDebt)/(Equity)</f>
        <v>0.0306505311</v>
      </c>
      <c r="AQ91" s="410">
        <f>(STDebt+LTDebt)/(Equity)</f>
        <v>0.0306505311</v>
      </c>
      <c r="AR91" s="15">
        <f>(STDebt+LTDebt)/(Equity)</f>
        <v>0.03209131462</v>
      </c>
      <c r="AS91" s="15">
        <f>(STDebt+LTDebt)/(Equity)</f>
        <v>0.02886533827</v>
      </c>
      <c r="AT91" s="15">
        <f>(STDebt+LTDebt)/(Equity)</f>
        <v>0.02866867391</v>
      </c>
      <c r="AU91" s="15">
        <f>(STDebt+LTDebt)/(Equity)</f>
        <v>0.02343243734</v>
      </c>
      <c r="AV91" s="410">
        <f>(STDebt+LTDebt)/(Equity)</f>
        <v>0.02343243734</v>
      </c>
      <c r="AW91" s="15">
        <f>(STDebt+LTDebt)/(Equity)</f>
        <v>0.01819097876</v>
      </c>
      <c r="AX91" s="15">
        <f>(STDebt+LTDebt)/(Equity)</f>
        <v>0.01988621258</v>
      </c>
      <c r="AY91" s="15">
        <f>(STDebt+LTDebt)/(Equity)</f>
        <v>0.01864979823</v>
      </c>
      <c r="AZ91" s="15">
        <f>(STDebt+LTDebt)/(Equity)</f>
        <v>0.06685644796</v>
      </c>
      <c r="BA91" s="410">
        <f>(STDebt+LTDebt)/(Equity)</f>
        <v>0.06685644796</v>
      </c>
      <c r="BB91" s="15">
        <f>(STDebt+LTDebt)/(Equity)</f>
        <v>0.06589440596</v>
      </c>
      <c r="BC91" s="15">
        <f>(STDebt+LTDebt)/(Equity)</f>
        <v>0.06727784803</v>
      </c>
      <c r="BD91" s="15">
        <f>(STDebt+LTDebt)/(Equity)</f>
        <v>0.0644258503</v>
      </c>
      <c r="BE91" s="15">
        <f>(STDebt+LTDebt)/(Equity)</f>
        <v>0.05518067044</v>
      </c>
      <c r="BF91" s="410">
        <f>(STDebt+LTDebt)/(Equity)</f>
        <v>0.05518067044</v>
      </c>
      <c r="BG91" s="15">
        <f>(STDebt+LTDebt)/(Equity)</f>
        <v>0.0529499547</v>
      </c>
      <c r="BH91" s="15">
        <f>(STDebt+LTDebt)/(Equity)</f>
        <v>0.05211849463</v>
      </c>
      <c r="BI91" s="15">
        <f>(STDebt+LTDebt)/(Equity)</f>
        <v>0.04865287761</v>
      </c>
      <c r="BJ91" s="15">
        <f>(STDebt+LTDebt)/(Equity)</f>
        <v>0.0496234975</v>
      </c>
      <c r="BK91" s="410">
        <f>(STDebt+LTDebt)/(Equity)</f>
        <v>0.0496234975</v>
      </c>
      <c r="BL91" s="15">
        <f>(STDebt+LTDebt)/(Equity)</f>
        <v>0.05359075258</v>
      </c>
      <c r="BM91" s="15">
        <f>(STDebt+LTDebt)/(Equity)</f>
        <v>0.05121280444</v>
      </c>
      <c r="BN91" s="15">
        <f>(STDebt+LTDebt)/(Equity)</f>
        <v>0.06054843103</v>
      </c>
      <c r="BO91" s="15">
        <f>(STDebt+LTDebt)/(Equity)</f>
        <v>0.05085959885</v>
      </c>
      <c r="BP91" s="410">
        <f>(STDebt+LTDebt)/(Equity)</f>
        <v>0.05085959885</v>
      </c>
      <c r="BQ91" s="15">
        <f>(STDebt+LTDebt)/(Equity)</f>
        <v>0.03074441941</v>
      </c>
      <c r="BR91" s="15">
        <f>(STDebt+LTDebt)/(Equity)</f>
        <v>0.03147488924</v>
      </c>
      <c r="BS91" s="15">
        <f>(STDebt+LTDebt)/(Equity)</f>
        <v>0.05697742935</v>
      </c>
      <c r="BT91" s="15">
        <f>(STDebt+LTDebt)/(Equity)</f>
        <v>0.05325628237</v>
      </c>
      <c r="BU91" s="410">
        <f>(STDebt+LTDebt)/(Equity)</f>
        <v>0.05325628237</v>
      </c>
      <c r="BV91" s="15">
        <f>(STDebt+LTDebt)/(Equity)</f>
        <v>0.05552447552</v>
      </c>
      <c r="BW91" s="15">
        <f>(STDebt+LTDebt)/(Equity)</f>
        <v>0.04958443315</v>
      </c>
      <c r="BX91" s="15">
        <f>(STDebt+LTDebt)/(Equity)</f>
        <v>0.04889298893</v>
      </c>
      <c r="BY91" s="15">
        <f>(STDebt+LTDebt)/(Equity)</f>
        <v>0.0427877807</v>
      </c>
      <c r="BZ91" s="410">
        <f>(STDebt+LTDebt)/(Equity)</f>
        <v>0.0427877807</v>
      </c>
      <c r="CA91" s="15">
        <f>(STDebt+LTDebt)/(Equity)</f>
        <v>0.04513294895</v>
      </c>
      <c r="CB91" s="15">
        <f>(STDebt+LTDebt)/(Equity)</f>
        <v>0.04435276974</v>
      </c>
      <c r="CC91" s="15">
        <f>(STDebt+LTDebt)/(Equity)</f>
        <v>0.1548669688</v>
      </c>
      <c r="CD91" s="15">
        <f>(STDebt+LTDebt)/(Equity)</f>
        <v>0.1596785084</v>
      </c>
      <c r="CE91" s="410">
        <f>(STDebt+LTDebt)/(Equity)</f>
        <v>0.1596785084</v>
      </c>
      <c r="CF91" s="15">
        <f>(STDebt+LTDebt)/(Equity)</f>
        <v>0.1593242087</v>
      </c>
      <c r="CG91" s="15">
        <f>(STDebt+LTDebt)/(Equity)</f>
        <v>0.1472969926</v>
      </c>
      <c r="CH91" s="15">
        <f>(STDebt+LTDebt)/(Equity)</f>
        <v>0.1452434594</v>
      </c>
      <c r="CI91" s="15">
        <f>(STDebt+LTDebt)/(Equity)</f>
        <v>0.2626408609</v>
      </c>
      <c r="CJ91" s="410">
        <f>(STDebt+LTDebt)/(Equity)</f>
        <v>0.2626408609</v>
      </c>
      <c r="CK91" s="15">
        <f>(STDebt+LTDebt)/(Equity)</f>
        <v>0.2584482557</v>
      </c>
      <c r="CL91" s="15">
        <f>(STDebt+LTDebt)/(Equity)</f>
        <v>0.2491270431</v>
      </c>
      <c r="CM91" s="15">
        <f>(STDebt+LTDebt)/(Equity)</f>
        <v>0.2435800332</v>
      </c>
      <c r="CN91" s="15">
        <f>(STDebt+LTDebt)/(Equity)</f>
        <v>0.2308088437</v>
      </c>
      <c r="CO91" s="410">
        <f>(STDebt+LTDebt)/(Equity)</f>
        <v>0.2308088437</v>
      </c>
      <c r="CP91" s="15">
        <f>(STDebt+LTDebt)/(Equity)</f>
        <v>0.227575037</v>
      </c>
      <c r="CQ91" s="15">
        <f>(STDebt+LTDebt)/(Equity)</f>
        <v>0.22269482</v>
      </c>
      <c r="CR91" s="15">
        <f>(STDebt+LTDebt)/(Equity)</f>
        <v>0.2328033972</v>
      </c>
      <c r="CS91" s="15">
        <f>(STDebt+LTDebt)/(Equity)</f>
        <v>0.241488631</v>
      </c>
      <c r="CT91" s="410">
        <f>(STDebt+LTDebt)/(Equity)</f>
        <v>0.241488631</v>
      </c>
      <c r="CU91" s="15">
        <f>(STDebt+LTDebt)/(Equity)</f>
        <v>0.2370146153</v>
      </c>
      <c r="CV91" s="15">
        <f>(STDebt+LTDebt)/(Equity)</f>
        <v>0.2258361775</v>
      </c>
      <c r="CW91" s="15">
        <f>(STDebt+LTDebt)/(Equity)</f>
        <v>0.3652977484</v>
      </c>
      <c r="CX91" s="15">
        <f>(STDebt+LTDebt)/(Equity)</f>
        <v>0.3657513472</v>
      </c>
      <c r="CY91" s="24">
        <f>(STDebt+LTDebt)/(Equity)</f>
        <v>0.3657513472</v>
      </c>
      <c r="CZ91" s="15">
        <f>(STDebt+LTDebt)/(Equity)</f>
        <v>0.4087291358</v>
      </c>
      <c r="DA91" s="15">
        <f>(STDebt+LTDebt)/(Equity)</f>
        <v>0.459594905</v>
      </c>
      <c r="DB91" s="15">
        <f>(STDebt+LTDebt)/(Equity)</f>
        <v>0.4314932579</v>
      </c>
      <c r="DC91" s="15">
        <f>(STDebt+LTDebt)/(Equity)</f>
        <v>0.376750909</v>
      </c>
      <c r="DD91" s="24">
        <f>(STDebt+LTDebt)/(Equity)</f>
        <v>0.376750909</v>
      </c>
      <c r="DE91" s="15">
        <f>(STDebt+LTDebt)/(Equity)</f>
        <v>0.3802457104</v>
      </c>
      <c r="DF91" s="15">
        <f>(STDebt+LTDebt)/(Equity)</f>
        <v>0.4602224492</v>
      </c>
      <c r="DG91" s="40">
        <f>(STDebt+LTDebt)/(Equity)</f>
        <v>0.4406317021</v>
      </c>
      <c r="DH91" s="15">
        <f>(STDebt+LTDebt)/(Equity)</f>
        <v>0.3836731774</v>
      </c>
      <c r="DI91" s="24">
        <f>(STDebt+LTDebt)/(Equity)</f>
        <v>0.3836731774</v>
      </c>
      <c r="DJ91" s="40">
        <f>(STDebt+LTDebt)/(Equity)</f>
        <v>0.4077816575</v>
      </c>
      <c r="DK91" s="40">
        <f>(STDebt+LTDebt)/(Equity)</f>
        <v>0.4501691721</v>
      </c>
      <c r="DL91" s="40">
        <f>(STDebt+LTDebt)/(Equity)</f>
        <v>0.387149643</v>
      </c>
      <c r="DM91" s="40">
        <f>(STDebt+LTDebt)/(Equity)</f>
        <v>0.3535131365</v>
      </c>
      <c r="DN91" s="24">
        <f>(STDebt+LTDebt)/(Equity)</f>
        <v>0.3535131365</v>
      </c>
      <c r="DO91" s="40">
        <f>(STDebt+LTDebt)/(Equity)</f>
        <v>0.386731106</v>
      </c>
      <c r="DP91" s="40">
        <f>(STDebt+LTDebt)/(Equity)</f>
        <v>0.3844716933</v>
      </c>
      <c r="DQ91" s="40">
        <f>(STDebt+LTDebt)/(Equity)</f>
        <v>0.3884931728</v>
      </c>
      <c r="DR91" s="40">
        <f>(STDebt+LTDebt)/(Equity)</f>
        <v>0.3734402967</v>
      </c>
      <c r="DS91" s="24">
        <f>(STDebt+LTDebt)/(Equity)</f>
        <v>0.3734402967</v>
      </c>
      <c r="DT91" s="40">
        <f>(STDebt+LTDebt)/(Equity)</f>
        <v>0.5228147838</v>
      </c>
      <c r="DU91" s="40">
        <f>(STDebt+LTDebt)/(Equity)</f>
        <v>0.4675893184</v>
      </c>
      <c r="DV91" s="40">
        <f>(STDebt+LTDebt)/(Equity)</f>
        <v>0.4904230491</v>
      </c>
      <c r="DW91" s="40">
        <f>(STDebt+LTDebt)/(Equity)</f>
        <v>0.4491843333</v>
      </c>
      <c r="DX91" s="24">
        <f>(STDebt+LTDebt)/(Equity)</f>
        <v>0.4491843333</v>
      </c>
      <c r="DY91" s="40">
        <f>(STDebt+LTDebt)/(Equity)</f>
        <v>0.4496347438</v>
      </c>
      <c r="DZ91" s="40">
        <f>(STDebt+LTDebt)/(Equity)</f>
        <v>0.4155644489</v>
      </c>
      <c r="EA91" s="40">
        <f>(STDebt+LTDebt)/(Equity)</f>
        <v>0.4473897455</v>
      </c>
      <c r="EB91" s="40">
        <f>(STDebt+LTDebt)/(Equity)</f>
        <v>0.3994192324</v>
      </c>
      <c r="EC91" s="24">
        <f>(STDebt+LTDebt)/(Equity)</f>
        <v>0.3994192324</v>
      </c>
      <c r="ED91" s="40">
        <f>(STDebt+LTDebt)/(Equity)</f>
        <v>0.3611445082</v>
      </c>
      <c r="EE91" s="40">
        <f>(STDebt+LTDebt)/(Equity)</f>
        <v>0.3500365548</v>
      </c>
      <c r="EF91" s="40">
        <f>(STDebt+LTDebt)/(Equity)</f>
        <v>0.3956850378</v>
      </c>
      <c r="EG91" s="40">
        <f>(STDebt+LTDebt)/(Equity)</f>
        <v>0.4146100983</v>
      </c>
      <c r="EH91" s="24">
        <f>(STDebt+LTDebt)/(Equity)</f>
        <v>0.4146100983</v>
      </c>
      <c r="EI91" s="82" t="str">
        <f>(STDebt+LTDebt)/(Equity)</f>
        <v>#ERROR!</v>
      </c>
      <c r="EJ91" s="15" t="str">
        <f>(STDebt+LTDebt)/(Equity)</f>
        <v>#ERROR!</v>
      </c>
      <c r="EK91" s="15" t="str">
        <f>(STDebt+LTDebt)/(Equity)</f>
        <v>#ERROR!</v>
      </c>
      <c r="EL91" s="15" t="str">
        <f>(STDebt+LTDebt)/(Equity)</f>
        <v>#ERROR!</v>
      </c>
      <c r="EM91" s="24" t="str">
        <f>(STDebt+LTDebt)/(Equity)</f>
        <v>#ERROR!</v>
      </c>
      <c r="EN91" s="15" t="str">
        <f>(STDebt+LTDebt)/(Equity)</f>
        <v>#ERROR!</v>
      </c>
      <c r="EO91" s="15" t="str">
        <f>(STDebt+LTDebt)/(Equity)</f>
        <v>#ERROR!</v>
      </c>
      <c r="EP91" s="15" t="str">
        <f>(STDebt+LTDebt)/(Equity)</f>
        <v>#ERROR!</v>
      </c>
      <c r="EQ91" s="15" t="str">
        <f>(STDebt+LTDebt)/(Equity)</f>
        <v>#ERROR!</v>
      </c>
      <c r="ER91" s="24" t="str">
        <f>(STDebt+LTDebt)/(Equity)</f>
        <v>#ERROR!</v>
      </c>
      <c r="ES91" s="15" t="str">
        <f>(STDebt+LTDebt)/(Equity)</f>
        <v>#ERROR!</v>
      </c>
      <c r="ET91" s="15" t="str">
        <f>(STDebt+LTDebt)/(Equity)</f>
        <v>#ERROR!</v>
      </c>
      <c r="EU91" s="15" t="str">
        <f>(STDebt+LTDebt)/(Equity)</f>
        <v>#ERROR!</v>
      </c>
      <c r="EV91" s="15" t="str">
        <f>(STDebt+LTDebt)/(Equity)</f>
        <v>#ERROR!</v>
      </c>
      <c r="EW91" s="24" t="str">
        <f>(STDebt+LTDebt)/(Equity)</f>
        <v>#ERROR!</v>
      </c>
      <c r="EX91" s="15" t="str">
        <f>(STDebt+LTDebt)/(Equity)</f>
        <v>#ERROR!</v>
      </c>
      <c r="EY91" s="15" t="str">
        <f>(STDebt+LTDebt)/(Equity)</f>
        <v>#ERROR!</v>
      </c>
      <c r="EZ91" s="15" t="str">
        <f>(STDebt+LTDebt)/(Equity)</f>
        <v>#ERROR!</v>
      </c>
      <c r="FA91" s="15" t="str">
        <f>(STDebt+LTDebt)/(Equity)</f>
        <v>#ERROR!</v>
      </c>
      <c r="FB91" s="24" t="str">
        <f>(STDebt+LTDebt)/(Equity)</f>
        <v>#ERROR!</v>
      </c>
      <c r="FC91" s="15" t="str">
        <f>(STDebt+LTDebt)/(Equity)</f>
        <v>#ERROR!</v>
      </c>
      <c r="FD91" s="15" t="str">
        <f>(STDebt+LTDebt)/(Equity)</f>
        <v>#ERROR!</v>
      </c>
      <c r="FE91" s="15" t="str">
        <f>(STDebt+LTDebt)/(Equity)</f>
        <v>#ERROR!</v>
      </c>
      <c r="FF91" s="15" t="str">
        <f>(STDebt+LTDebt)/(Equity)</f>
        <v>#ERROR!</v>
      </c>
      <c r="FG91" s="24" t="str">
        <f>(STDebt+LTDebt)/(Equity)</f>
        <v>#ERROR!</v>
      </c>
    </row>
    <row r="92" ht="12.75" customHeight="1">
      <c r="A92" s="4"/>
      <c r="B92" s="4" t="s">
        <v>571</v>
      </c>
      <c r="C92" s="4"/>
      <c r="D92" s="4"/>
      <c r="E92" s="4"/>
      <c r="F92" s="4"/>
      <c r="G92" s="4"/>
      <c r="H92" s="4"/>
      <c r="I92" s="4"/>
      <c r="J92" s="4"/>
      <c r="K92" s="4"/>
      <c r="L92" s="4"/>
      <c r="M92" s="4"/>
      <c r="N92" s="219">
        <f>Equity/shOutDiluted</f>
        <v>3.040997464</v>
      </c>
      <c r="O92" s="219">
        <f>Equity/shOutDiluted</f>
        <v>3.072236358</v>
      </c>
      <c r="P92" s="219">
        <f>Equity/shOutDiluted</f>
        <v>3.109700428</v>
      </c>
      <c r="Q92" s="219">
        <f>Equity/shOutDiluted</f>
        <v>3.368443804</v>
      </c>
      <c r="R92" s="217">
        <f>Equity/shOutDiluted</f>
        <v>3.323429059</v>
      </c>
      <c r="S92" s="219">
        <f>Equity/shOutDiluted</f>
        <v>3.554629097</v>
      </c>
      <c r="T92" s="219">
        <f>Equity/shOutDiluted</f>
        <v>3.69587928</v>
      </c>
      <c r="U92" s="219">
        <f>Equity/shOutDiluted</f>
        <v>4.203082241</v>
      </c>
      <c r="V92" s="219">
        <f>Equity/shOutDiluted</f>
        <v>4.668532071</v>
      </c>
      <c r="W92" s="217">
        <f>Equity/shOutDiluted</f>
        <v>4.688040346</v>
      </c>
      <c r="X92" s="219">
        <f>Equity/shOutDiluted</f>
        <v>5.161258041</v>
      </c>
      <c r="Y92" s="219">
        <f>Equity/shOutDiluted</f>
        <v>5.227694504</v>
      </c>
      <c r="Z92" s="219">
        <f>Equity/shOutDiluted</f>
        <v>5.381047524</v>
      </c>
      <c r="AA92" s="219">
        <f>Equity/shOutDiluted</f>
        <v>5.379360046</v>
      </c>
      <c r="AB92" s="217">
        <f>Equity/shOutDiluted</f>
        <v>5.342399084</v>
      </c>
      <c r="AC92" s="219">
        <f>Equity/shOutDiluted</f>
        <v>5.35121032</v>
      </c>
      <c r="AD92" s="219">
        <f>Equity/shOutDiluted</f>
        <v>5.33284947</v>
      </c>
      <c r="AE92" s="219">
        <f>Equity/shOutDiluted</f>
        <v>5.221349622</v>
      </c>
      <c r="AF92" s="219">
        <f>Equity/shOutDiluted</f>
        <v>5.229893446</v>
      </c>
      <c r="AG92" s="224">
        <f>Equity/shOutDiluted</f>
        <v>5.208605902</v>
      </c>
      <c r="AH92" s="834">
        <f>Equity/shOutDiluted</f>
        <v>5.226643346</v>
      </c>
      <c r="AI92" s="834">
        <f>Equity/shOutDiluted</f>
        <v>5.230045568</v>
      </c>
      <c r="AJ92" s="834">
        <f>Equity/shOutDiluted</f>
        <v>5.260280095</v>
      </c>
      <c r="AK92" s="834">
        <f>Equity/shOutDiluted</f>
        <v>5.325525526</v>
      </c>
      <c r="AL92" s="224">
        <f>Equity/shOutDiluted</f>
        <v>5.247521823</v>
      </c>
      <c r="AM92" s="219">
        <f>Equity/shOutDiluted</f>
        <v>5.355673222</v>
      </c>
      <c r="AN92" s="219">
        <f>Equity/shOutDiluted</f>
        <v>5.393617021</v>
      </c>
      <c r="AO92" s="219">
        <f>Equity/shOutDiluted</f>
        <v>5.639396226</v>
      </c>
      <c r="AP92" s="219">
        <f>Equity/shOutDiluted</f>
        <v>5.673212412</v>
      </c>
      <c r="AQ92" s="217">
        <f>Equity/shOutDiluted</f>
        <v>5.716054977</v>
      </c>
      <c r="AR92" s="219">
        <f>Equity/shOutDiluted</f>
        <v>5.753321256</v>
      </c>
      <c r="AS92" s="219">
        <f>Equity/shOutDiluted</f>
        <v>5.884873437</v>
      </c>
      <c r="AT92" s="219">
        <f>Equity/shOutDiluted</f>
        <v>5.929059298</v>
      </c>
      <c r="AU92" s="219">
        <f>Equity/shOutDiluted</f>
        <v>6.073520151</v>
      </c>
      <c r="AV92" s="217">
        <f>Equity/shOutDiluted</f>
        <v>5.940714506</v>
      </c>
      <c r="AW92" s="219">
        <f>Equity/shOutDiluted</f>
        <v>6.011637175</v>
      </c>
      <c r="AX92" s="219">
        <f>Equity/shOutDiluted</f>
        <v>6.052131939</v>
      </c>
      <c r="AY92" s="219">
        <f>Equity/shOutDiluted</f>
        <v>5.969401042</v>
      </c>
      <c r="AZ92" s="219">
        <f>Equity/shOutDiluted</f>
        <v>5.950008222</v>
      </c>
      <c r="BA92" s="217">
        <f>Equity/shOutDiluted</f>
        <v>5.856587893</v>
      </c>
      <c r="BB92" s="219">
        <f>Equity/shOutDiluted</f>
        <v>5.770574404</v>
      </c>
      <c r="BC92" s="219">
        <f>Equity/shOutDiluted</f>
        <v>5.929788684</v>
      </c>
      <c r="BD92" s="219">
        <f>Equity/shOutDiluted</f>
        <v>6.004286694</v>
      </c>
      <c r="BE92" s="219">
        <f>Equity/shOutDiluted</f>
        <v>6.264189535</v>
      </c>
      <c r="BF92" s="217">
        <f>Equity/shOutDiluted</f>
        <v>6.250340136</v>
      </c>
      <c r="BG92" s="219">
        <f>Equity/shOutDiluted</f>
        <v>6.388491658</v>
      </c>
      <c r="BH92" s="219">
        <f>Equity/shOutDiluted</f>
        <v>6.709143147</v>
      </c>
      <c r="BI92" s="219">
        <f>Equity/shOutDiluted</f>
        <v>6.854700855</v>
      </c>
      <c r="BJ92" s="219">
        <f>Equity/shOutDiluted</f>
        <v>7.141282565</v>
      </c>
      <c r="BK92" s="217">
        <f>Equity/shOutDiluted</f>
        <v>7.20384097</v>
      </c>
      <c r="BL92" s="219">
        <f>Equity/shOutDiluted</f>
        <v>6.916142201</v>
      </c>
      <c r="BM92" s="219">
        <f>Equity/shOutDiluted</f>
        <v>6.958793103</v>
      </c>
      <c r="BN92" s="219">
        <f>Equity/shOutDiluted</f>
        <v>6.836085734</v>
      </c>
      <c r="BO92" s="219">
        <f>Equity/shOutDiluted</f>
        <v>6.951449404</v>
      </c>
      <c r="BP92" s="217">
        <f>Equity/shOutDiluted</f>
        <v>6.800278358</v>
      </c>
      <c r="BQ92" s="219">
        <f>Equity/shOutDiluted</f>
        <v>6.933617323</v>
      </c>
      <c r="BR92" s="219">
        <f>Equity/shOutDiluted</f>
        <v>6.876893272</v>
      </c>
      <c r="BS92" s="219">
        <f>Equity/shOutDiluted</f>
        <v>6.950320513</v>
      </c>
      <c r="BT92" s="219">
        <f>Equity/shOutDiluted</f>
        <v>7.381238938</v>
      </c>
      <c r="BU92" s="217">
        <f>Equity/shOutDiluted</f>
        <v>7.387776794</v>
      </c>
      <c r="BV92" s="219">
        <f>Equity/shOutDiluted</f>
        <v>7.551487414</v>
      </c>
      <c r="BW92" s="219">
        <f>Equity/shOutDiluted</f>
        <v>8.026790404</v>
      </c>
      <c r="BX92" s="219">
        <f>Equity/shOutDiluted</f>
        <v>8.376536705</v>
      </c>
      <c r="BY92" s="219">
        <f>Equity/shOutDiluted</f>
        <v>8.674973675</v>
      </c>
      <c r="BZ92" s="217">
        <f>Equity/shOutDiluted</f>
        <v>8.678019663</v>
      </c>
      <c r="CA92" s="219">
        <f>Equity/shOutDiluted</f>
        <v>8.446129147</v>
      </c>
      <c r="CB92" s="219">
        <f>Equity/shOutDiluted</f>
        <v>8.954787723</v>
      </c>
      <c r="CC92" s="219">
        <f>Equity/shOutDiluted</f>
        <v>8.636142322</v>
      </c>
      <c r="CD92" s="219">
        <f>Equity/shOutDiluted</f>
        <v>8.758298359</v>
      </c>
      <c r="CE92" s="217">
        <f>Equity/shOutDiluted</f>
        <v>8.48475328</v>
      </c>
      <c r="CF92" s="219">
        <f>Equity/shOutDiluted</f>
        <v>9.006163328</v>
      </c>
      <c r="CG92" s="219">
        <f>Equity/shOutDiluted</f>
        <v>9.382381227</v>
      </c>
      <c r="CH92" s="219">
        <f>Equity/shOutDiluted</f>
        <v>9.56122647</v>
      </c>
      <c r="CI92" s="219">
        <f>Equity/shOutDiluted</f>
        <v>10.04965653</v>
      </c>
      <c r="CJ92" s="217">
        <f>Equity/shOutDiluted</f>
        <v>9.923062016</v>
      </c>
      <c r="CK92" s="219">
        <f>Equity/shOutDiluted</f>
        <v>10.07755906</v>
      </c>
      <c r="CL92" s="219">
        <f>Equity/shOutDiluted</f>
        <v>10.5444575</v>
      </c>
      <c r="CM92" s="219">
        <f>Equity/shOutDiluted</f>
        <v>10.87294118</v>
      </c>
      <c r="CN92" s="219">
        <f>Equity/shOutDiluted</f>
        <v>11.41602979</v>
      </c>
      <c r="CO92" s="217">
        <f>Equity/shOutDiluted</f>
        <v>11.42890774</v>
      </c>
      <c r="CP92" s="219">
        <f>Equity/shOutDiluted</f>
        <v>11.34219269</v>
      </c>
      <c r="CQ92" s="219">
        <f>Equity/shOutDiluted</f>
        <v>11.56490338</v>
      </c>
      <c r="CR92" s="219">
        <f>Equity/shOutDiluted</f>
        <v>11.29593657</v>
      </c>
      <c r="CS92" s="219">
        <f>Equity/shOutDiluted</f>
        <v>11.49331984</v>
      </c>
      <c r="CT92" s="217">
        <f>Equity/shOutDiluted</f>
        <v>11.22962816</v>
      </c>
      <c r="CU92" s="219">
        <f>Equity/shOutDiluted</f>
        <v>11.36182336</v>
      </c>
      <c r="CV92" s="219">
        <f>Equity/shOutDiluted</f>
        <v>11.9372581</v>
      </c>
      <c r="CW92" s="219">
        <f>Equity/shOutDiluted</f>
        <v>11.89540607</v>
      </c>
      <c r="CX92" s="219">
        <f>Equity/shOutDiluted</f>
        <v>12.71164889</v>
      </c>
      <c r="CY92" s="218">
        <f>Equity/shOutDiluted</f>
        <v>12.66554278</v>
      </c>
      <c r="CZ92" s="219">
        <f>Equity/shOutDiluted</f>
        <v>12.73189744</v>
      </c>
      <c r="DA92" s="219">
        <f>Equity/shOutDiluted</f>
        <v>12.79428689</v>
      </c>
      <c r="DB92" s="219">
        <f>Equity/shOutDiluted</f>
        <v>13.12302645</v>
      </c>
      <c r="DC92" s="219">
        <f>Equity/shOutDiluted</f>
        <v>13.74882196</v>
      </c>
      <c r="DD92" s="218">
        <f>Equity/shOutDiluted</f>
        <v>13.76644956</v>
      </c>
      <c r="DE92" s="219">
        <f>Equity/shOutDiluted</f>
        <v>13.87461586</v>
      </c>
      <c r="DF92" s="219">
        <f>Equity/shOutDiluted</f>
        <v>14.34447884</v>
      </c>
      <c r="DG92" s="220">
        <f>Equity/shOutDiluted</f>
        <v>14.89442024</v>
      </c>
      <c r="DH92" s="219">
        <f>Equity/shOutDiluted</f>
        <v>14.58977035</v>
      </c>
      <c r="DI92" s="218">
        <f>Equity/shOutDiluted</f>
        <v>14.45622382</v>
      </c>
      <c r="DJ92" s="220">
        <f>Equity/shOutDiluted</f>
        <v>14.64822547</v>
      </c>
      <c r="DK92" s="220">
        <f>Equity/shOutDiluted</f>
        <v>14.75605646</v>
      </c>
      <c r="DL92" s="220">
        <f>Equity/shOutDiluted</f>
        <v>15.49010327</v>
      </c>
      <c r="DM92" s="220">
        <f>Equity/shOutDiluted</f>
        <v>16.14267157</v>
      </c>
      <c r="DN92" s="218">
        <f>Equity/shOutDiluted</f>
        <v>15.86109338</v>
      </c>
      <c r="DO92" s="220">
        <f>Equity/shOutDiluted</f>
        <v>16.13957055</v>
      </c>
      <c r="DP92" s="220">
        <f>Equity/shOutDiluted</f>
        <v>16.57019677</v>
      </c>
      <c r="DQ92" s="220">
        <f>Equity/shOutDiluted</f>
        <v>16.78502143</v>
      </c>
      <c r="DR92" s="220">
        <f>Equity/shOutDiluted</f>
        <v>17.75874686</v>
      </c>
      <c r="DS92" s="218">
        <f>Equity/shOutDiluted</f>
        <v>17.3607556</v>
      </c>
      <c r="DT92" s="220">
        <f>Equity/shOutDiluted</f>
        <v>17.70732839</v>
      </c>
      <c r="DU92" s="220">
        <f>Equity/shOutDiluted</f>
        <v>19.143324</v>
      </c>
      <c r="DV92" s="220">
        <f>Equity/shOutDiluted</f>
        <v>17.70458323</v>
      </c>
      <c r="DW92" s="220">
        <f>Equity/shOutDiluted</f>
        <v>19.67419277</v>
      </c>
      <c r="DX92" s="218">
        <f>Equity/shOutDiluted</f>
        <v>19.15112844</v>
      </c>
      <c r="DY92" s="220">
        <f>Equity/shOutDiluted</f>
        <v>19.48413086</v>
      </c>
      <c r="DZ92" s="220">
        <f>Equity/shOutDiluted</f>
        <v>20.8636141</v>
      </c>
      <c r="EA92" s="220">
        <f>Equity/shOutDiluted</f>
        <v>22.04772394</v>
      </c>
      <c r="EB92" s="220">
        <f>Equity/shOutDiluted</f>
        <v>23.29450549</v>
      </c>
      <c r="EC92" s="218">
        <f>Equity/shOutDiluted</f>
        <v>23.32155736</v>
      </c>
      <c r="ED92" s="220">
        <f>Equity/shOutDiluted</f>
        <v>25.11224738</v>
      </c>
      <c r="EE92" s="220">
        <f>Equity/shOutDiluted</f>
        <v>24.68731707</v>
      </c>
      <c r="EF92" s="220">
        <f>Equity/shOutDiluted</f>
        <v>24.21454545</v>
      </c>
      <c r="EG92" s="220">
        <f>Equity/shOutDiluted</f>
        <v>24.5398016</v>
      </c>
      <c r="EH92" s="218">
        <f>Equity/shOutDiluted</f>
        <v>24.63965988</v>
      </c>
      <c r="EI92" s="221" t="str">
        <f>Equity/shOutDiluted</f>
        <v>#ERROR!</v>
      </c>
      <c r="EJ92" s="219" t="str">
        <f>Equity/shOutDiluted</f>
        <v>#ERROR!</v>
      </c>
      <c r="EK92" s="219" t="str">
        <f>Equity/shOutDiluted</f>
        <v>#ERROR!</v>
      </c>
      <c r="EL92" s="219" t="str">
        <f>Equity/shOutDiluted</f>
        <v>#ERROR!</v>
      </c>
      <c r="EM92" s="218" t="str">
        <f>Equity/shOutDiluted</f>
        <v>#ERROR!</v>
      </c>
      <c r="EN92" s="219" t="str">
        <f>Equity/shOutDiluted</f>
        <v>#ERROR!</v>
      </c>
      <c r="EO92" s="219" t="str">
        <f>Equity/shOutDiluted</f>
        <v>#ERROR!</v>
      </c>
      <c r="EP92" s="219" t="str">
        <f>Equity/shOutDiluted</f>
        <v>#ERROR!</v>
      </c>
      <c r="EQ92" s="219" t="str">
        <f>Equity/shOutDiluted</f>
        <v>#ERROR!</v>
      </c>
      <c r="ER92" s="218" t="str">
        <f>Equity/shOutDiluted</f>
        <v>#ERROR!</v>
      </c>
      <c r="ES92" s="219" t="str">
        <f>Equity/shOutDiluted</f>
        <v>#ERROR!</v>
      </c>
      <c r="ET92" s="219" t="str">
        <f>Equity/shOutDiluted</f>
        <v>#ERROR!</v>
      </c>
      <c r="EU92" s="219" t="str">
        <f>Equity/shOutDiluted</f>
        <v>#ERROR!</v>
      </c>
      <c r="EV92" s="219" t="str">
        <f>Equity/shOutDiluted</f>
        <v>#ERROR!</v>
      </c>
      <c r="EW92" s="218" t="str">
        <f>Equity/shOutDiluted</f>
        <v>#ERROR!</v>
      </c>
      <c r="EX92" s="219" t="str">
        <f>Equity/shOutDiluted</f>
        <v>#ERROR!</v>
      </c>
      <c r="EY92" s="219" t="str">
        <f>Equity/shOutDiluted</f>
        <v>#ERROR!</v>
      </c>
      <c r="EZ92" s="219" t="str">
        <f>Equity/shOutDiluted</f>
        <v>#ERROR!</v>
      </c>
      <c r="FA92" s="219" t="str">
        <f>Equity/shOutDiluted</f>
        <v>#ERROR!</v>
      </c>
      <c r="FB92" s="218" t="str">
        <f>Equity/shOutDiluted</f>
        <v>#ERROR!</v>
      </c>
      <c r="FC92" s="219" t="str">
        <f>Equity/shOutDiluted</f>
        <v>#ERROR!</v>
      </c>
      <c r="FD92" s="219" t="str">
        <f>Equity/shOutDiluted</f>
        <v>#ERROR!</v>
      </c>
      <c r="FE92" s="219" t="str">
        <f>Equity/shOutDiluted</f>
        <v>#ERROR!</v>
      </c>
      <c r="FF92" s="219" t="str">
        <f>Equity/shOutDiluted</f>
        <v>#ERROR!</v>
      </c>
      <c r="FG92" s="218" t="str">
        <f>Equity/shOutDiluted</f>
        <v>#ERROR!</v>
      </c>
    </row>
    <row r="93" ht="12.75" customHeight="1">
      <c r="A93" s="4"/>
      <c r="B93" s="4" t="s">
        <v>572</v>
      </c>
      <c r="C93" s="4" t="str">
        <f>(cashNInvestments+TradingAssets)/shOutDiluted</f>
        <v>#DIV/0!</v>
      </c>
      <c r="D93" s="4" t="str">
        <f>(cashNInvestments+TradingAssets)/shOutDiluted</f>
        <v>#DIV/0!</v>
      </c>
      <c r="E93" s="4" t="str">
        <f>(cashNInvestments+TradingAssets)/shOutDiluted</f>
        <v>#DIV/0!</v>
      </c>
      <c r="F93" s="4" t="str">
        <f>(cashNInvestments+TradingAssets)/shOutDiluted</f>
        <v>#DIV/0!</v>
      </c>
      <c r="G93" s="4" t="str">
        <f>(cashNInvestments+TradingAssets)/shOutDiluted</f>
        <v>#DIV/0!</v>
      </c>
      <c r="H93" s="4" t="str">
        <f>(cashNInvestments+TradingAssets)/shOutDiluted</f>
        <v>#DIV/0!</v>
      </c>
      <c r="I93" s="4">
        <f>(cashNInvestments+TradingAssets)/shOutDiluted</f>
        <v>0</v>
      </c>
      <c r="J93" s="4">
        <f>(cashNInvestments+TradingAssets)/shOutDiluted</f>
        <v>0</v>
      </c>
      <c r="K93" s="4">
        <f>(cashNInvestments+TradingAssets)/shOutDiluted</f>
        <v>0</v>
      </c>
      <c r="L93" s="4">
        <f>(cashNInvestments+TradingAssets)/shOutDiluted</f>
        <v>0</v>
      </c>
      <c r="M93" s="4">
        <f>(cashNInvestments+TradingAssets)/shOutDiluted</f>
        <v>0</v>
      </c>
      <c r="N93" s="219">
        <f>(cashNInvestments+TradingAssets)/shOutDiluted</f>
        <v>1.494646379</v>
      </c>
      <c r="O93" s="219">
        <f>(cashNInvestments+TradingAssets)/shOutDiluted</f>
        <v>1.088210348</v>
      </c>
      <c r="P93" s="219">
        <f>(cashNInvestments+TradingAssets)/shOutDiluted</f>
        <v>1.239229672</v>
      </c>
      <c r="Q93" s="219">
        <f>(cashNInvestments+TradingAssets)/shOutDiluted</f>
        <v>1.098847262</v>
      </c>
      <c r="R93" s="217">
        <f>(cashNInvestments+TradingAssets)/shOutDiluted</f>
        <v>1.084162639</v>
      </c>
      <c r="S93" s="219">
        <f>(cashNInvestments+TradingAssets)/shOutDiluted</f>
        <v>1.522282921</v>
      </c>
      <c r="T93" s="219">
        <f>(cashNInvestments+TradingAssets)/shOutDiluted</f>
        <v>1.539320952</v>
      </c>
      <c r="U93" s="219">
        <f>(cashNInvestments+TradingAssets)/shOutDiluted</f>
        <v>1.712660233</v>
      </c>
      <c r="V93" s="219">
        <f>(cashNInvestments+TradingAssets)/shOutDiluted</f>
        <v>1.691490888</v>
      </c>
      <c r="W93" s="217">
        <f>(cashNInvestments+TradingAssets)/shOutDiluted</f>
        <v>1.698559078</v>
      </c>
      <c r="X93" s="219">
        <f>(cashNInvestments+TradingAssets)/shOutDiluted</f>
        <v>1.603431022</v>
      </c>
      <c r="Y93" s="219">
        <f>(cashNInvestments+TradingAssets)/shOutDiluted</f>
        <v>1.947751606</v>
      </c>
      <c r="Z93" s="219">
        <f>(cashNInvestments+TradingAssets)/shOutDiluted</f>
        <v>1.999000999</v>
      </c>
      <c r="AA93" s="219">
        <f>(cashNInvestments+TradingAssets)/shOutDiluted</f>
        <v>1.992360911</v>
      </c>
      <c r="AB93" s="217">
        <f>(cashNInvestments+TradingAssets)/shOutDiluted</f>
        <v>1.978671629</v>
      </c>
      <c r="AC93" s="219">
        <f>(cashNInvestments+TradingAssets)/shOutDiluted</f>
        <v>1.681837948</v>
      </c>
      <c r="AD93" s="219">
        <f>(cashNInvestments+TradingAssets)/shOutDiluted</f>
        <v>1.533604297</v>
      </c>
      <c r="AE93" s="219">
        <f>(cashNInvestments+TradingAssets)/shOutDiluted</f>
        <v>1.485892961</v>
      </c>
      <c r="AF93" s="219">
        <f>(cashNInvestments+TradingAssets)/shOutDiluted</f>
        <v>1.685885272</v>
      </c>
      <c r="AG93" s="224">
        <f>(cashNInvestments+TradingAssets)/shOutDiluted</f>
        <v>1.679023114</v>
      </c>
      <c r="AH93" s="834">
        <f>(cashNInvestments+TradingAssets)/shOutDiluted</f>
        <v>1.581110625</v>
      </c>
      <c r="AI93" s="834">
        <f>(cashNInvestments+TradingAssets)/shOutDiluted</f>
        <v>1.559165074</v>
      </c>
      <c r="AJ93" s="834">
        <f>(cashNInvestments+TradingAssets)/shOutDiluted</f>
        <v>1.674910608</v>
      </c>
      <c r="AK93" s="834">
        <f>(cashNInvestments+TradingAssets)/shOutDiluted</f>
        <v>1.88993994</v>
      </c>
      <c r="AL93" s="224">
        <f>(cashNInvestments+TradingAssets)/shOutDiluted</f>
        <v>1.86225773</v>
      </c>
      <c r="AM93" s="219">
        <f>(cashNInvestments+TradingAssets)/shOutDiluted</f>
        <v>1.881240545</v>
      </c>
      <c r="AN93" s="219">
        <f>(cashNInvestments+TradingAssets)/shOutDiluted</f>
        <v>2.072340426</v>
      </c>
      <c r="AO93" s="219">
        <f>(cashNInvestments+TradingAssets)/shOutDiluted</f>
        <v>2.330566038</v>
      </c>
      <c r="AP93" s="219">
        <f>(cashNInvestments+TradingAssets)/shOutDiluted</f>
        <v>2.423025034</v>
      </c>
      <c r="AQ93" s="217">
        <f>(cashNInvestments+TradingAssets)/shOutDiluted</f>
        <v>2.441323063</v>
      </c>
      <c r="AR93" s="219">
        <f>(cashNInvestments+TradingAssets)/shOutDiluted</f>
        <v>2.372886473</v>
      </c>
      <c r="AS93" s="219">
        <f>(cashNInvestments+TradingAssets)/shOutDiluted</f>
        <v>2.587984142</v>
      </c>
      <c r="AT93" s="219">
        <f>(cashNInvestments+TradingAssets)/shOutDiluted</f>
        <v>2.508072027</v>
      </c>
      <c r="AU93" s="219">
        <f>(cashNInvestments+TradingAssets)/shOutDiluted</f>
        <v>2.703400504</v>
      </c>
      <c r="AV93" s="217">
        <f>(cashNInvestments+TradingAssets)/shOutDiluted</f>
        <v>2.644287034</v>
      </c>
      <c r="AW93" s="219">
        <f>(cashNInvestments+TradingAssets)/shOutDiluted</f>
        <v>2.569105691</v>
      </c>
      <c r="AX93" s="219">
        <f>(cashNInvestments+TradingAssets)/shOutDiluted</f>
        <v>2.385197104</v>
      </c>
      <c r="AY93" s="219">
        <f>(cashNInvestments+TradingAssets)/shOutDiluted</f>
        <v>2.267740885</v>
      </c>
      <c r="AZ93" s="219">
        <f>(cashNInvestments+TradingAssets)/shOutDiluted</f>
        <v>2.100312449</v>
      </c>
      <c r="BA93" s="217">
        <f>(cashNInvestments+TradingAssets)/shOutDiluted</f>
        <v>2.067335707</v>
      </c>
      <c r="BB93" s="219">
        <f>(cashNInvestments+TradingAssets)/shOutDiluted</f>
        <v>1.531575411</v>
      </c>
      <c r="BC93" s="219">
        <f>(cashNInvestments+TradingAssets)/shOutDiluted</f>
        <v>1.302488071</v>
      </c>
      <c r="BD93" s="219">
        <f>(cashNInvestments+TradingAssets)/shOutDiluted</f>
        <v>1.409293553</v>
      </c>
      <c r="BE93" s="219">
        <f>(cashNInvestments+TradingAssets)/shOutDiluted</f>
        <v>1.704789501</v>
      </c>
      <c r="BF93" s="217">
        <f>(cashNInvestments+TradingAssets)/shOutDiluted</f>
        <v>1.701020408</v>
      </c>
      <c r="BG93" s="219">
        <f>(cashNInvestments+TradingAssets)/shOutDiluted</f>
        <v>1.536261491</v>
      </c>
      <c r="BH93" s="219">
        <f>(cashNInvestments+TradingAssets)/shOutDiluted</f>
        <v>1.801757647</v>
      </c>
      <c r="BI93" s="219">
        <f>(cashNInvestments+TradingAssets)/shOutDiluted</f>
        <v>2.182168594</v>
      </c>
      <c r="BJ93" s="219">
        <f>(cashNInvestments+TradingAssets)/shOutDiluted</f>
        <v>2.565631263</v>
      </c>
      <c r="BK93" s="217">
        <f>(cashNInvestments+TradingAssets)/shOutDiluted</f>
        <v>2.588106469</v>
      </c>
      <c r="BL93" s="219">
        <f>(cashNInvestments+TradingAssets)/shOutDiluted</f>
        <v>2.328967511</v>
      </c>
      <c r="BM93" s="219">
        <f>(cashNInvestments+TradingAssets)/shOutDiluted</f>
        <v>2.062241379</v>
      </c>
      <c r="BN93" s="219">
        <f>(cashNInvestments+TradingAssets)/shOutDiluted</f>
        <v>2.144061841</v>
      </c>
      <c r="BO93" s="219">
        <f>(cashNInvestments+TradingAssets)/shOutDiluted</f>
        <v>2.106171083</v>
      </c>
      <c r="BP93" s="217">
        <f>(cashNInvestments+TradingAssets)/shOutDiluted</f>
        <v>2.060368824</v>
      </c>
      <c r="BQ93" s="219">
        <f>(cashNInvestments+TradingAssets)/shOutDiluted</f>
        <v>1.881256656</v>
      </c>
      <c r="BR93" s="219">
        <f>(cashNInvestments+TradingAssets)/shOutDiluted</f>
        <v>2.047199718</v>
      </c>
      <c r="BS93" s="219">
        <f>(cashNInvestments+TradingAssets)/shOutDiluted</f>
        <v>2.302350427</v>
      </c>
      <c r="BT93" s="219">
        <f>(cashNInvestments+TradingAssets)/shOutDiluted</f>
        <v>2.463716814</v>
      </c>
      <c r="BU93" s="217">
        <f>(cashNInvestments+TradingAssets)/shOutDiluted</f>
        <v>2.465899026</v>
      </c>
      <c r="BV93" s="219">
        <f>(cashNInvestments+TradingAssets)/shOutDiluted</f>
        <v>2.876606231</v>
      </c>
      <c r="BW93" s="219">
        <f>(cashNInvestments+TradingAssets)/shOutDiluted</f>
        <v>3.204867799</v>
      </c>
      <c r="BX93" s="219">
        <f>(cashNInvestments+TradingAssets)/shOutDiluted</f>
        <v>3.644186863</v>
      </c>
      <c r="BY93" s="219">
        <f>(cashNInvestments+TradingAssets)/shOutDiluted</f>
        <v>3.840821341</v>
      </c>
      <c r="BZ93" s="217">
        <f>(cashNInvestments+TradingAssets)/shOutDiluted</f>
        <v>3.842169944</v>
      </c>
      <c r="CA93" s="219">
        <f>(cashNInvestments+TradingAssets)/shOutDiluted</f>
        <v>2.136639315</v>
      </c>
      <c r="CB93" s="219">
        <f>(cashNInvestments+TradingAssets)/shOutDiluted</f>
        <v>2.12222018</v>
      </c>
      <c r="CC93" s="219">
        <f>(cashNInvestments+TradingAssets)/shOutDiluted</f>
        <v>2.846067416</v>
      </c>
      <c r="CD93" s="219">
        <f>(cashNInvestments+TradingAssets)/shOutDiluted</f>
        <v>2.830408241</v>
      </c>
      <c r="CE93" s="217">
        <f>(cashNInvestments+TradingAssets)/shOutDiluted</f>
        <v>2.742007023</v>
      </c>
      <c r="CF93" s="219">
        <f>(cashNInvestments+TradingAssets)/shOutDiluted</f>
        <v>2.648882897</v>
      </c>
      <c r="CG93" s="219">
        <f>(cashNInvestments+TradingAssets)/shOutDiluted</f>
        <v>2.625120215</v>
      </c>
      <c r="CH93" s="219">
        <f>(cashNInvestments+TradingAssets)/shOutDiluted</f>
        <v>2.030855812</v>
      </c>
      <c r="CI93" s="219">
        <f>(cashNInvestments+TradingAssets)/shOutDiluted</f>
        <v>3.564671246</v>
      </c>
      <c r="CJ93" s="217">
        <f>(cashNInvestments+TradingAssets)/shOutDiluted</f>
        <v>3.519767442</v>
      </c>
      <c r="CK93" s="219">
        <f>(cashNInvestments+TradingAssets)/shOutDiluted</f>
        <v>3.360826772</v>
      </c>
      <c r="CL93" s="219">
        <f>(cashNInvestments+TradingAssets)/shOutDiluted</f>
        <v>3.397963181</v>
      </c>
      <c r="CM93" s="219">
        <f>(cashNInvestments+TradingAssets)/shOutDiluted</f>
        <v>3.754117647</v>
      </c>
      <c r="CN93" s="219">
        <f>(cashNInvestments+TradingAssets)/shOutDiluted</f>
        <v>3.936311973</v>
      </c>
      <c r="CO93" s="217">
        <f>(cashNInvestments+TradingAssets)/shOutDiluted</f>
        <v>3.940752366</v>
      </c>
      <c r="CP93" s="219">
        <f>(cashNInvestments+TradingAssets)/shOutDiluted</f>
        <v>3.722102795</v>
      </c>
      <c r="CQ93" s="219">
        <f>(cashNInvestments+TradingAssets)/shOutDiluted</f>
        <v>3.379074761</v>
      </c>
      <c r="CR93" s="219">
        <f>(cashNInvestments+TradingAssets)/shOutDiluted</f>
        <v>3.090981169</v>
      </c>
      <c r="CS93" s="219">
        <f>(cashNInvestments+TradingAssets)/shOutDiluted</f>
        <v>2.844939271</v>
      </c>
      <c r="CT93" s="217">
        <f>(cashNInvestments+TradingAssets)/shOutDiluted</f>
        <v>2.779667722</v>
      </c>
      <c r="CU93" s="219">
        <f>(cashNInvestments+TradingAssets)/shOutDiluted</f>
        <v>2.873015873</v>
      </c>
      <c r="CV93" s="219">
        <f>(cashNInvestments+TradingAssets)/shOutDiluted</f>
        <v>2.825422693</v>
      </c>
      <c r="CW93" s="219">
        <f>(cashNInvestments+TradingAssets)/shOutDiluted</f>
        <v>4.274610336</v>
      </c>
      <c r="CX93" s="219">
        <f>(cashNInvestments+TradingAssets)/shOutDiluted</f>
        <v>5.191345365</v>
      </c>
      <c r="CY93" s="218">
        <f>(cashNInvestments+TradingAssets)/shOutDiluted</f>
        <v>5.172515964</v>
      </c>
      <c r="CZ93" s="219">
        <f>(cashNInvestments+TradingAssets)/shOutDiluted</f>
        <v>3.095589744</v>
      </c>
      <c r="DA93" s="219">
        <f>(cashNInvestments+TradingAssets)/shOutDiluted</f>
        <v>3.635224003</v>
      </c>
      <c r="DB93" s="219">
        <f>(cashNInvestments+TradingAssets)/shOutDiluted</f>
        <v>3.643428337</v>
      </c>
      <c r="DC93" s="219">
        <f>(cashNInvestments+TradingAssets)/shOutDiluted</f>
        <v>3.503175579</v>
      </c>
      <c r="DD93" s="218">
        <f>(cashNInvestments+TradingAssets)/shOutDiluted</f>
        <v>3.50766706</v>
      </c>
      <c r="DE93" s="219">
        <f>(cashNInvestments+TradingAssets)/shOutDiluted</f>
        <v>3.543331285</v>
      </c>
      <c r="DF93" s="219">
        <f>(cashNInvestments+TradingAssets)/shOutDiluted</f>
        <v>5.351702786</v>
      </c>
      <c r="DG93" s="220">
        <f>(cashNInvestments+TradingAssets)/shOutDiluted</f>
        <v>3.630781995</v>
      </c>
      <c r="DH93" s="219">
        <f>(cashNInvestments+TradingAssets)/shOutDiluted</f>
        <v>2.923173278</v>
      </c>
      <c r="DI93" s="218">
        <f>(cashNInvestments+TradingAssets)/shOutDiluted</f>
        <v>2.896416197</v>
      </c>
      <c r="DJ93" s="220">
        <f>(cashNInvestments+TradingAssets)/shOutDiluted</f>
        <v>3.381419624</v>
      </c>
      <c r="DK93" s="220">
        <f>(cashNInvestments+TradingAssets)/shOutDiluted</f>
        <v>2.575310723</v>
      </c>
      <c r="DL93" s="220">
        <f>(cashNInvestments+TradingAssets)/shOutDiluted</f>
        <v>2.836919105</v>
      </c>
      <c r="DM93" s="220">
        <f>(cashNInvestments+TradingAssets)/shOutDiluted</f>
        <v>2.52219095</v>
      </c>
      <c r="DN93" s="218">
        <f>(cashNInvestments+TradingAssets)/shOutDiluted</f>
        <v>2.478196128</v>
      </c>
      <c r="DO93" s="220">
        <f>(cashNInvestments+TradingAssets)/shOutDiluted</f>
        <v>2.636503067</v>
      </c>
      <c r="DP93" s="220">
        <f>(cashNInvestments+TradingAssets)/shOutDiluted</f>
        <v>2.640725182</v>
      </c>
      <c r="DQ93" s="220">
        <f>(cashNInvestments+TradingAssets)/shOutDiluted</f>
        <v>2.712609971</v>
      </c>
      <c r="DR93" s="220">
        <f>(cashNInvestments+TradingAssets)/shOutDiluted</f>
        <v>3.000914704</v>
      </c>
      <c r="DS93" s="218">
        <f>(cashNInvestments+TradingAssets)/shOutDiluted</f>
        <v>2.933661208</v>
      </c>
      <c r="DT93" s="220">
        <f>(cashNInvestments+TradingAssets)/shOutDiluted</f>
        <v>4.824443414</v>
      </c>
      <c r="DU93" s="220">
        <f>(cashNInvestments+TradingAssets)/shOutDiluted</f>
        <v>6.025910364</v>
      </c>
      <c r="DV93" s="220">
        <f>(cashNInvestments+TradingAssets)/shOutDiluted</f>
        <v>4.334599858</v>
      </c>
      <c r="DW93" s="220">
        <f>(cashNInvestments+TradingAssets)/shOutDiluted</f>
        <v>5.801165331</v>
      </c>
      <c r="DX93" s="218">
        <f>(cashNInvestments+TradingAssets)/shOutDiluted</f>
        <v>5.646933711</v>
      </c>
      <c r="DY93" s="220">
        <f>(cashNInvestments+TradingAssets)/shOutDiluted</f>
        <v>5.468017578</v>
      </c>
      <c r="DZ93" s="220">
        <f>(cashNInvestments+TradingAssets)/shOutDiluted</f>
        <v>6.086434868</v>
      </c>
      <c r="EA93" s="220">
        <f>(cashNInvestments+TradingAssets)/shOutDiluted</f>
        <v>8.47650514</v>
      </c>
      <c r="EB93" s="220">
        <f>(cashNInvestments+TradingAssets)/shOutDiluted</f>
        <v>6.938461538</v>
      </c>
      <c r="EC93" s="218">
        <f>(cashNInvestments+TradingAssets)/shOutDiluted</f>
        <v>6.946519161</v>
      </c>
      <c r="ED93" s="220">
        <f>(cashNInvestments+TradingAssets)/shOutDiluted</f>
        <v>9.421962503</v>
      </c>
      <c r="EE93" s="220">
        <f>(cashNInvestments+TradingAssets)/shOutDiluted</f>
        <v>6.596097561</v>
      </c>
      <c r="EF93" s="220">
        <f>(cashNInvestments+TradingAssets)/shOutDiluted</f>
        <v>5.468848485</v>
      </c>
      <c r="EG93" s="220">
        <f>(cashNInvestments+TradingAssets)/shOutDiluted</f>
        <v>6.856520687</v>
      </c>
      <c r="EH93" s="218">
        <f>(cashNInvestments+TradingAssets)/shOutDiluted</f>
        <v>6.8844215</v>
      </c>
      <c r="EI93" s="221" t="str">
        <f>(cashNInvestments+TradingAssets)/shOutDiluted</f>
        <v>#ERROR!</v>
      </c>
      <c r="EJ93" s="219" t="str">
        <f>(cashNInvestments+TradingAssets)/shOutDiluted</f>
        <v>#ERROR!</v>
      </c>
      <c r="EK93" s="219" t="str">
        <f>(cashNInvestments+TradingAssets)/shOutDiluted</f>
        <v>#ERROR!</v>
      </c>
      <c r="EL93" s="219" t="str">
        <f>(cashNInvestments+TradingAssets)/shOutDiluted</f>
        <v>#ERROR!</v>
      </c>
      <c r="EM93" s="218" t="str">
        <f>(cashNInvestments+TradingAssets)/shOutDiluted</f>
        <v>#ERROR!</v>
      </c>
      <c r="EN93" s="219" t="str">
        <f>(cashNInvestments+TradingAssets)/shOutDiluted</f>
        <v>#ERROR!</v>
      </c>
      <c r="EO93" s="219" t="str">
        <f>(cashNInvestments+TradingAssets)/shOutDiluted</f>
        <v>#ERROR!</v>
      </c>
      <c r="EP93" s="219" t="str">
        <f>(cashNInvestments+TradingAssets)/shOutDiluted</f>
        <v>#ERROR!</v>
      </c>
      <c r="EQ93" s="219" t="str">
        <f>(cashNInvestments+TradingAssets)/shOutDiluted</f>
        <v>#ERROR!</v>
      </c>
      <c r="ER93" s="218" t="str">
        <f>(cashNInvestments+TradingAssets)/shOutDiluted</f>
        <v>#ERROR!</v>
      </c>
      <c r="ES93" s="219" t="str">
        <f>(cashNInvestments+TradingAssets)/shOutDiluted</f>
        <v>#ERROR!</v>
      </c>
      <c r="ET93" s="219" t="str">
        <f>(cashNInvestments+TradingAssets)/shOutDiluted</f>
        <v>#ERROR!</v>
      </c>
      <c r="EU93" s="219" t="str">
        <f>(cashNInvestments+TradingAssets)/shOutDiluted</f>
        <v>#ERROR!</v>
      </c>
      <c r="EV93" s="219" t="str">
        <f>(cashNInvestments+TradingAssets)/shOutDiluted</f>
        <v>#ERROR!</v>
      </c>
      <c r="EW93" s="218" t="str">
        <f>(cashNInvestments+TradingAssets)/shOutDiluted</f>
        <v>#ERROR!</v>
      </c>
      <c r="EX93" s="219" t="str">
        <f>(cashNInvestments+TradingAssets)/shOutDiluted</f>
        <v>#ERROR!</v>
      </c>
      <c r="EY93" s="219" t="str">
        <f>(cashNInvestments+TradingAssets)/shOutDiluted</f>
        <v>#ERROR!</v>
      </c>
      <c r="EZ93" s="219" t="str">
        <f>(cashNInvestments+TradingAssets)/shOutDiluted</f>
        <v>#ERROR!</v>
      </c>
      <c r="FA93" s="219" t="str">
        <f>(cashNInvestments+TradingAssets)/shOutDiluted</f>
        <v>#ERROR!</v>
      </c>
      <c r="FB93" s="218" t="str">
        <f>(cashNInvestments+TradingAssets)/shOutDiluted</f>
        <v>#ERROR!</v>
      </c>
      <c r="FC93" s="219" t="str">
        <f>(cashNInvestments+TradingAssets)/shOutDiluted</f>
        <v>#ERROR!</v>
      </c>
      <c r="FD93" s="219" t="str">
        <f>(cashNInvestments+TradingAssets)/shOutDiluted</f>
        <v>#ERROR!</v>
      </c>
      <c r="FE93" s="219" t="str">
        <f>(cashNInvestments+TradingAssets)/shOutDiluted</f>
        <v>#ERROR!</v>
      </c>
      <c r="FF93" s="219" t="str">
        <f>(cashNInvestments+TradingAssets)/shOutDiluted</f>
        <v>#ERROR!</v>
      </c>
      <c r="FG93" s="218" t="str">
        <f>(cashNInvestments+TradingAssets)/shOutDiluted</f>
        <v>#ERROR!</v>
      </c>
    </row>
    <row r="94" ht="12.75" customHeight="1">
      <c r="A94" s="4"/>
      <c r="B94" s="4" t="s">
        <v>573</v>
      </c>
      <c r="C94" s="4"/>
      <c r="D94" s="4"/>
      <c r="E94" s="4"/>
      <c r="F94" s="4"/>
      <c r="G94" s="4"/>
      <c r="H94" s="4"/>
      <c r="I94" s="4"/>
      <c r="J94" s="4"/>
      <c r="K94" s="4"/>
      <c r="L94" s="4"/>
      <c r="M94" s="4"/>
      <c r="N94" s="4"/>
      <c r="O94" s="4"/>
      <c r="P94" s="4"/>
      <c r="Q94" s="4"/>
      <c r="R94" s="45"/>
      <c r="S94" s="4"/>
      <c r="T94" s="4"/>
      <c r="U94" s="4"/>
      <c r="V94" s="4"/>
      <c r="W94" s="45"/>
      <c r="X94" s="4"/>
      <c r="Y94" s="4"/>
      <c r="Z94" s="4"/>
      <c r="AA94" s="4"/>
      <c r="AB94" s="45"/>
      <c r="AC94" s="179"/>
      <c r="AD94" s="179"/>
      <c r="AE94" s="179"/>
      <c r="AF94" s="179"/>
      <c r="AG94" s="45"/>
      <c r="AH94" s="4"/>
      <c r="AI94" s="4"/>
      <c r="AJ94" s="4"/>
      <c r="AK94" s="4"/>
      <c r="AL94" s="45"/>
      <c r="AM94" s="179"/>
      <c r="AN94" s="179"/>
      <c r="AO94" s="179"/>
      <c r="AP94" s="179"/>
      <c r="AQ94" s="8"/>
      <c r="AR94" s="179"/>
      <c r="AS94" s="179"/>
      <c r="AT94" s="179"/>
      <c r="AU94" s="179"/>
      <c r="AV94" s="8"/>
      <c r="AW94" s="179"/>
      <c r="AX94" s="179"/>
      <c r="AY94" s="179"/>
      <c r="AZ94" s="179"/>
      <c r="BA94" s="8"/>
      <c r="BB94" s="179"/>
      <c r="BC94" s="179"/>
      <c r="BD94" s="179"/>
      <c r="BE94" s="179"/>
      <c r="BF94" s="8"/>
      <c r="BG94" s="179"/>
      <c r="BH94" s="179"/>
      <c r="BI94" s="179"/>
      <c r="BJ94" s="179"/>
      <c r="BK94" s="8"/>
      <c r="BL94" s="179"/>
      <c r="BM94" s="179"/>
      <c r="BN94" s="179"/>
      <c r="BO94" s="179"/>
      <c r="BP94" s="8"/>
      <c r="BQ94" s="179"/>
      <c r="BR94" s="179"/>
      <c r="BS94" s="179"/>
      <c r="BT94" s="179"/>
      <c r="BU94" s="8"/>
      <c r="BV94" s="179"/>
      <c r="BW94" s="179"/>
      <c r="BX94" s="179"/>
      <c r="BY94" s="179"/>
      <c r="BZ94" s="8"/>
      <c r="CA94" s="179"/>
      <c r="CB94" s="179"/>
      <c r="CC94" s="179"/>
      <c r="CD94" s="179"/>
      <c r="CE94" s="8"/>
      <c r="CF94" s="179"/>
      <c r="CG94" s="179"/>
      <c r="CH94" s="179"/>
      <c r="CI94" s="179"/>
      <c r="CJ94" s="8"/>
      <c r="CK94" s="179"/>
      <c r="CL94" s="179"/>
      <c r="CM94" s="179"/>
      <c r="CN94" s="179"/>
      <c r="CO94" s="8"/>
      <c r="CP94" s="220">
        <f>(CP$10+CP$12-CP$37-CP$53)/IS!CP$78</f>
        <v>1.140902873</v>
      </c>
      <c r="CQ94" s="220">
        <f>(CQ$10+CQ$12-CQ$37-CQ$53)/IS!CQ$78</f>
        <v>0.8036306851</v>
      </c>
      <c r="CR94" s="220">
        <f>(CR$10+CR$12-CR$37-CR$53)/IS!CR$78</f>
        <v>0.4612487611</v>
      </c>
      <c r="CS94" s="220">
        <f>(CS$10+CS$12-CS$37-CS$53)/IS!CS$78</f>
        <v>0.06943319838</v>
      </c>
      <c r="CT94" s="8"/>
      <c r="CU94" s="179"/>
      <c r="CV94" s="179"/>
      <c r="CW94" s="179"/>
      <c r="CX94" s="179"/>
      <c r="CY94" s="10"/>
      <c r="CZ94" s="220">
        <f>(CZ$10+CZ$12-CZ$37-CZ$53)/IS!CZ$78</f>
        <v>-2.108307692</v>
      </c>
      <c r="DA94" s="220">
        <f>(DA$10+DA$12-DA$37-DA$53)/IS!DA$78</f>
        <v>-2.244965064</v>
      </c>
      <c r="DB94" s="220">
        <f>(DB$10+DB$12-DB$37-DB$53)/IS!DB$78</f>
        <v>-2.0190691</v>
      </c>
      <c r="DC94" s="220">
        <f>(DC$10+DC$12-DC$37-DC$53)/IS!DC$78</f>
        <v>-1.676705593</v>
      </c>
      <c r="DD94" s="218">
        <f t="shared" ref="DD94:DD95" si="600">DC94</f>
        <v>-1.676705593</v>
      </c>
      <c r="DE94" s="220">
        <f>(DE$10+DE$12-DE$37-DE$53)/IS!DE$78</f>
        <v>-1.732431879</v>
      </c>
      <c r="DF94" s="220">
        <f>(DF$10+DF$12-DF$37-DF$53)/IS!DF$78</f>
        <v>-1.2499484</v>
      </c>
      <c r="DG94" s="220">
        <f>(DG$10+DG$12-DG$37-DG$53)/IS!DG$78</f>
        <v>-2.932171749</v>
      </c>
      <c r="DH94" s="220">
        <f>(DH$10+DH$12-DH$37-DH$53)/IS!DH$78</f>
        <v>-2.674530271</v>
      </c>
      <c r="DI94" s="218">
        <f t="shared" ref="DI94:DI95" si="601">DH94</f>
        <v>-2.674530271</v>
      </c>
      <c r="DJ94" s="220">
        <f>(DJ$10+DJ$12-DJ$37-DJ$53)/IS!DJ$78</f>
        <v>-2.591858038</v>
      </c>
      <c r="DK94" s="220">
        <f>(DK$10+DK$12-DK$37-DK$53)/IS!DK$78</f>
        <v>-4.067410996</v>
      </c>
      <c r="DL94" s="220">
        <f>(DL$10+DL$12-DL$37-DL$53)/IS!DL$78</f>
        <v>-3.160068847</v>
      </c>
      <c r="DM94" s="220">
        <f>(DM$10+DM$12-DM$37-DM$53)/IS!DM$78</f>
        <v>-3.18445551</v>
      </c>
      <c r="DN94" s="218">
        <f t="shared" ref="DN94:DN95" si="602">DM94</f>
        <v>-3.18445551</v>
      </c>
      <c r="DO94" s="220">
        <f>(DO$10+DO$12-DO$37-DO$53)/IS!DO$78</f>
        <v>-3.605170903</v>
      </c>
      <c r="DP94" s="220">
        <f>(DP$10+DP$12-DP$37-DP$53)/IS!DP$78</f>
        <v>-3.730046429</v>
      </c>
      <c r="DQ94" s="220">
        <f>(DQ$10+DQ$12-DQ$37-DQ$53)/IS!DQ$78</f>
        <v>-3.80825626</v>
      </c>
      <c r="DR94" s="220">
        <f>(DR$10+DR$12-DR$37-DR$53)/IS!DR$78</f>
        <v>-3.630916991</v>
      </c>
      <c r="DS94" s="218">
        <f t="shared" ref="DS94:DS95" si="603">DR94</f>
        <v>-3.630916991</v>
      </c>
      <c r="DT94" s="220">
        <f>(DT$10+DT$12-DT$37-DT$53)/IS!DT$78</f>
        <v>-4.433209647</v>
      </c>
      <c r="DU94" s="220">
        <f>(DU$10+DU$12-DU$37-DU$53)/IS!DU$78</f>
        <v>-2.925303455</v>
      </c>
      <c r="DV94" s="220">
        <f>(DV$10+DV$12-DV$37-DV$53)/IS!DV$78</f>
        <v>-4.348135835</v>
      </c>
      <c r="DW94" s="220">
        <f>(DW$10+DW$12-DW$37-DW$53)/IS!DW$78</f>
        <v>-3.036173829</v>
      </c>
      <c r="DX94" s="218">
        <f t="shared" ref="DX94:DX95" si="604">DW94</f>
        <v>-3.036173829</v>
      </c>
      <c r="DY94" s="220">
        <f>(DY$10+DY$12-DY$37-DY$53)/IS!DY$78</f>
        <v>-3.292724609</v>
      </c>
      <c r="DZ94" s="220">
        <f>(DZ$10+DZ$12-DZ$37-DZ$53)/IS!DZ$78</f>
        <v>-2.58374143</v>
      </c>
      <c r="EA94" s="220">
        <f>(EA$10+EA$12-EA$37-EA$53)/IS!EA$78</f>
        <v>-1.38742046</v>
      </c>
      <c r="EB94" s="220">
        <f>(EB$10+EB$12-EB$37-EB$53)/IS!EB$78</f>
        <v>-2.365811966</v>
      </c>
      <c r="EC94" s="218">
        <f t="shared" ref="EC94:EC95" si="605">EB94</f>
        <v>-2.365811966</v>
      </c>
      <c r="ED94" s="220">
        <f>(ED$10+ED$12-ED$37-ED$53)/IS!ED$78</f>
        <v>0.3528122717</v>
      </c>
      <c r="EE94" s="220">
        <f>(EE$10+EE$12-EE$37-EE$53)/IS!EE$78</f>
        <v>-2.045365854</v>
      </c>
      <c r="EF94" s="220">
        <f>(EF$10+EF$12-EF$37-EF$53)/IS!EF$78</f>
        <v>-4.112484848</v>
      </c>
      <c r="EG94" s="220">
        <f>(EG$10+EG$12-EG$37-EG$53)/IS!EG$78</f>
        <v>-3.317928865</v>
      </c>
      <c r="EH94" s="218">
        <f t="shared" ref="EH94:EH95" si="606">EG94</f>
        <v>-3.317928865</v>
      </c>
      <c r="EI94" s="221" t="str">
        <f>(EI$10+EI$12-EI$37-EI$53)/IS!EI$78</f>
        <v>#ERROR!</v>
      </c>
      <c r="EJ94" s="219" t="str">
        <f>(EJ$10+EJ$12-EJ$37-EJ$53)/IS!EJ$78</f>
        <v>#ERROR!</v>
      </c>
      <c r="EK94" s="219" t="str">
        <f>(EK$10+EK$12-EK$37-EK$53)/IS!EK$78</f>
        <v>#ERROR!</v>
      </c>
      <c r="EL94" s="219" t="str">
        <f>(EL$10+EL$12-EL$37-EL$53)/IS!EL$78</f>
        <v>#ERROR!</v>
      </c>
      <c r="EM94" s="218" t="str">
        <f t="shared" ref="EM94:EM95" si="607">EL94</f>
        <v>#ERROR!</v>
      </c>
      <c r="EN94" s="219" t="str">
        <f>(EN$10+EN$12-EN$37-EN$53)/IS!EN$78</f>
        <v>#ERROR!</v>
      </c>
      <c r="EO94" s="219" t="str">
        <f>(EO$10+EO$12-EO$37-EO$53)/IS!EO$78</f>
        <v>#ERROR!</v>
      </c>
      <c r="EP94" s="219" t="str">
        <f>(EP$10+EP$12-EP$37-EP$53)/IS!EP$78</f>
        <v>#ERROR!</v>
      </c>
      <c r="EQ94" s="219" t="str">
        <f>(EQ$10+EQ$12-EQ$37-EQ$53)/IS!EQ$78</f>
        <v>#ERROR!</v>
      </c>
      <c r="ER94" s="218" t="str">
        <f t="shared" ref="ER94:ER95" si="608">EQ94</f>
        <v>#ERROR!</v>
      </c>
      <c r="ES94" s="219" t="str">
        <f>(ES$10+ES$12-ES$37-ES$53)/IS!ES$78</f>
        <v>#ERROR!</v>
      </c>
      <c r="ET94" s="219" t="str">
        <f>(ET$10+ET$12-ET$37-ET$53)/IS!ET$78</f>
        <v>#ERROR!</v>
      </c>
      <c r="EU94" s="219" t="str">
        <f>(EU$10+EU$12-EU$37-EU$53)/IS!EU$78</f>
        <v>#ERROR!</v>
      </c>
      <c r="EV94" s="219" t="str">
        <f>(EV$10+EV$12-EV$37-EV$53)/IS!EV$78</f>
        <v>#ERROR!</v>
      </c>
      <c r="EW94" s="218" t="str">
        <f t="shared" ref="EW94:EW95" si="609">EV94</f>
        <v>#ERROR!</v>
      </c>
      <c r="EX94" s="219" t="str">
        <f>(EX$10+EX$12-EX$37-EX$53)/IS!EX$78</f>
        <v>#ERROR!</v>
      </c>
      <c r="EY94" s="219" t="str">
        <f>(EY$10+EY$12-EY$37-EY$53)/IS!EY$78</f>
        <v>#ERROR!</v>
      </c>
      <c r="EZ94" s="219" t="str">
        <f>(EZ$10+EZ$12-EZ$37-EZ$53)/IS!EZ$78</f>
        <v>#ERROR!</v>
      </c>
      <c r="FA94" s="219" t="str">
        <f>(FA$10+FA$12-FA$37-FA$53)/IS!FA$78</f>
        <v>#ERROR!</v>
      </c>
      <c r="FB94" s="218" t="str">
        <f t="shared" ref="FB94:FB95" si="610">FA94</f>
        <v>#ERROR!</v>
      </c>
      <c r="FC94" s="219" t="str">
        <f>(FC$10+FC$12-FC$37-FC$53)/IS!FC$78</f>
        <v>#ERROR!</v>
      </c>
      <c r="FD94" s="219" t="str">
        <f>(FD$10+FD$12-FD$37-FD$53)/IS!FD$78</f>
        <v>#ERROR!</v>
      </c>
      <c r="FE94" s="219" t="str">
        <f>(FE$10+FE$12-FE$37-FE$53)/IS!FE$78</f>
        <v>#ERROR!</v>
      </c>
      <c r="FF94" s="219" t="str">
        <f>(FF$10+FF$12-FF$37-FF$53)/IS!FF$78</f>
        <v>#ERROR!</v>
      </c>
      <c r="FG94" s="218" t="str">
        <f t="shared" ref="FG94:FG95" si="611">FF94</f>
        <v>#ERROR!</v>
      </c>
    </row>
    <row r="95" ht="12.75" customHeight="1">
      <c r="A95" s="4"/>
      <c r="B95" s="4" t="s">
        <v>574</v>
      </c>
      <c r="C95" s="4"/>
      <c r="D95" s="4"/>
      <c r="E95" s="4"/>
      <c r="F95" s="4"/>
      <c r="G95" s="4"/>
      <c r="H95" s="4"/>
      <c r="I95" s="4"/>
      <c r="J95" s="4"/>
      <c r="K95" s="4"/>
      <c r="L95" s="4"/>
      <c r="M95" s="4"/>
      <c r="N95" s="4"/>
      <c r="O95" s="4"/>
      <c r="P95" s="4"/>
      <c r="Q95" s="4"/>
      <c r="R95" s="45"/>
      <c r="S95" s="4"/>
      <c r="T95" s="4"/>
      <c r="U95" s="4"/>
      <c r="V95" s="4"/>
      <c r="W95" s="45"/>
      <c r="X95" s="4"/>
      <c r="Y95" s="4"/>
      <c r="Z95" s="4"/>
      <c r="AA95" s="4"/>
      <c r="AB95" s="45"/>
      <c r="AC95" s="179"/>
      <c r="AD95" s="179"/>
      <c r="AE95" s="179"/>
      <c r="AF95" s="179"/>
      <c r="AG95" s="45"/>
      <c r="AH95" s="4"/>
      <c r="AI95" s="4"/>
      <c r="AJ95" s="4"/>
      <c r="AK95" s="4"/>
      <c r="AL95" s="45"/>
      <c r="AM95" s="179"/>
      <c r="AN95" s="179"/>
      <c r="AO95" s="179"/>
      <c r="AP95" s="179"/>
      <c r="AQ95" s="8"/>
      <c r="AR95" s="179"/>
      <c r="AS95" s="179"/>
      <c r="AT95" s="179"/>
      <c r="AU95" s="179"/>
      <c r="AV95" s="8"/>
      <c r="AW95" s="179"/>
      <c r="AX95" s="179"/>
      <c r="AY95" s="179"/>
      <c r="AZ95" s="179"/>
      <c r="BA95" s="8"/>
      <c r="BB95" s="179"/>
      <c r="BC95" s="179"/>
      <c r="BD95" s="179"/>
      <c r="BE95" s="179"/>
      <c r="BF95" s="8"/>
      <c r="BG95" s="179"/>
      <c r="BH95" s="179"/>
      <c r="BI95" s="179"/>
      <c r="BJ95" s="179"/>
      <c r="BK95" s="8"/>
      <c r="BL95" s="179"/>
      <c r="BM95" s="179"/>
      <c r="BN95" s="179"/>
      <c r="BO95" s="179"/>
      <c r="BP95" s="8"/>
      <c r="BQ95" s="179"/>
      <c r="BR95" s="179"/>
      <c r="BS95" s="179"/>
      <c r="BT95" s="179"/>
      <c r="BU95" s="8"/>
      <c r="BV95" s="179"/>
      <c r="BW95" s="179"/>
      <c r="BX95" s="179"/>
      <c r="BY95" s="179"/>
      <c r="BZ95" s="8"/>
      <c r="CA95" s="179"/>
      <c r="CB95" s="179"/>
      <c r="CC95" s="179"/>
      <c r="CD95" s="179"/>
      <c r="CE95" s="8"/>
      <c r="CF95" s="179"/>
      <c r="CG95" s="179"/>
      <c r="CH95" s="179"/>
      <c r="CI95" s="179"/>
      <c r="CJ95" s="8"/>
      <c r="CK95" s="179"/>
      <c r="CL95" s="179"/>
      <c r="CM95" s="179"/>
      <c r="CN95" s="179"/>
      <c r="CO95" s="8"/>
      <c r="CP95" s="220">
        <f>(CP$10+CP$12-CP$37-CP$53)/IS!CP$78</f>
        <v>1.140902873</v>
      </c>
      <c r="CQ95" s="220">
        <f>(CQ$10+CQ$12-CQ$37-CQ$53)/IS!CQ$78</f>
        <v>0.8036306851</v>
      </c>
      <c r="CR95" s="220">
        <f>(CR$10+CR$12-CR$37-CR$53)/IS!CR$78</f>
        <v>0.4612487611</v>
      </c>
      <c r="CS95" s="220">
        <f>(CS$10+CS$12-CS$37-CS$53)/IS!CS$78</f>
        <v>0.06943319838</v>
      </c>
      <c r="CT95" s="8"/>
      <c r="CU95" s="179"/>
      <c r="CV95" s="179"/>
      <c r="CW95" s="179"/>
      <c r="CX95" s="179"/>
      <c r="CY95" s="10"/>
      <c r="CZ95" s="220">
        <f>(CZ$10+CZ$12-CZ$37-CZ$53)/IS!CZ$78</f>
        <v>-2.108307692</v>
      </c>
      <c r="DA95" s="220">
        <f>(DA$10+DA$12-DA$37-DA$53)/IS!DA$78</f>
        <v>-2.244965064</v>
      </c>
      <c r="DB95" s="220">
        <f>(DB$10+DB$12-DB$37-DB$53)/IS!DB$78</f>
        <v>-2.0190691</v>
      </c>
      <c r="DC95" s="220">
        <f>(DC$10+DC$12-DC$37-DC$53)/IS!DC$78</f>
        <v>-1.676705593</v>
      </c>
      <c r="DD95" s="218">
        <f t="shared" si="600"/>
        <v>-1.676705593</v>
      </c>
      <c r="DE95" s="220">
        <f>(DE$10+DE$12+DE28+DE30-DE$37-DE$53)/IS!DE$78</f>
        <v>0.7219832002</v>
      </c>
      <c r="DF95" s="220">
        <f>(DF$10+DF$12+DF28+DF30-DF$37-DF$53)/IS!DF$78</f>
        <v>0.893498452</v>
      </c>
      <c r="DG95" s="220">
        <f>(DG$10+DG$12+DG28+DG30-DG$37-DG$53)/IS!DG$78</f>
        <v>-0.878033603</v>
      </c>
      <c r="DH95" s="220">
        <f>(DH$10+DH$12+DH28+DH30-DH$37-DH$53)/IS!DH$78</f>
        <v>-1.024425887</v>
      </c>
      <c r="DI95" s="218">
        <f t="shared" si="601"/>
        <v>-1.024425887</v>
      </c>
      <c r="DJ95" s="220">
        <f>(DJ$10+DJ$12+DJ28+DJ30-DJ$37-DJ$53)/IS!DJ$78</f>
        <v>0.1045929019</v>
      </c>
      <c r="DK95" s="220">
        <f>(DK$10+DK$12+DK28+DK30-DK$37-DK$53)/IS!DK$78</f>
        <v>-1.472930272</v>
      </c>
      <c r="DL95" s="220">
        <f>(DL$10+DL$12+DL28+DL30-DL$37-DL$53)/IS!DL$78</f>
        <v>-0.7691480207</v>
      </c>
      <c r="DM95" s="220">
        <f>(DM$10+DM$12+DM28+DM30-DM$37-DM$53)/IS!DM$78</f>
        <v>-1.142888071</v>
      </c>
      <c r="DN95" s="218">
        <f t="shared" si="602"/>
        <v>-1.142888071</v>
      </c>
      <c r="DO95" s="220">
        <f>(DO$10+DO$12+DO28+DO30-DO$37-DO$53)/IS!DO$78</f>
        <v>-1.694785276</v>
      </c>
      <c r="DP95" s="220">
        <f>(DP$10+DP$12+DP28+DP30-DP$37-DP$53)/IS!DP$78</f>
        <v>-1.915763874</v>
      </c>
      <c r="DQ95" s="220">
        <f>(DQ$10+DQ$12+DQ28+DQ30-DQ$37-DQ$53)/IS!DQ$78</f>
        <v>-1.947890819</v>
      </c>
      <c r="DR95" s="220">
        <f>(DR$10+DR$12+DR28+DR30-DR$37-DR$53)/IS!DR$78</f>
        <v>-1.974616968</v>
      </c>
      <c r="DS95" s="218">
        <f t="shared" si="603"/>
        <v>-1.974616968</v>
      </c>
      <c r="DT95" s="220">
        <f>(DT$10+DT$12+DT28+DT30-DT$37-DT$53)/IS!DT$78</f>
        <v>-2.850881262</v>
      </c>
      <c r="DU95" s="220">
        <f>(DU$10+DU$12+DU28+DU30-DU$37-DU$53)/IS!DU$78</f>
        <v>-1.341503268</v>
      </c>
      <c r="DV95" s="220">
        <f>(DV$10+DV$12+DV28+DV30-DV$37-DV$53)/IS!DV$78</f>
        <v>-2.828544289</v>
      </c>
      <c r="DW95" s="220">
        <f>(DW$10+DW$12+DW28+DW30-DW$37-DW$53)/IS!DW$78</f>
        <v>-1.2532168</v>
      </c>
      <c r="DX95" s="218">
        <f t="shared" si="604"/>
        <v>-1.2532168</v>
      </c>
      <c r="DY95" s="220">
        <f>(DY$10+DY$12+DY28+DY30-DY$37-DY$53)/IS!DY$78</f>
        <v>-1.629394531</v>
      </c>
      <c r="DZ95" s="220">
        <f>(DZ$10+DZ$12+DZ28+DZ30-DZ$37-DZ$53)/IS!DZ$78</f>
        <v>-0.8900587659</v>
      </c>
      <c r="EA95" s="220">
        <f>(EA$10+EA$12+EA28+EA30-EA$37-EA$53)/IS!EA$78</f>
        <v>0.3264806657</v>
      </c>
      <c r="EB95" s="220">
        <f>(EB$10+EB$12+EB28+EB30-EB$37-EB$53)/IS!EB$78</f>
        <v>-0.6227106227</v>
      </c>
      <c r="EC95" s="218">
        <f t="shared" si="605"/>
        <v>-0.6227106227</v>
      </c>
      <c r="ED95" s="220">
        <f>(ED$10+ED$12+ED28+ED30-ED$37-ED$53)/IS!ED$78</f>
        <v>1.822498174</v>
      </c>
      <c r="EE95" s="220">
        <f>(EE$10+EE$12+EE28+EE30-EE$37-EE$53)/IS!EE$78</f>
        <v>-0.5992682927</v>
      </c>
      <c r="EF95" s="220">
        <f>(EF$10+EF$12+EF28+EF30-EF$37-EF$53)/IS!EF$78</f>
        <v>-2.701090909</v>
      </c>
      <c r="EG95" s="220">
        <f>(EG$10+EG$12+EG28+EG30-EG$37-EG$53)/IS!EG$78</f>
        <v>-1.887490927</v>
      </c>
      <c r="EH95" s="218">
        <f t="shared" si="606"/>
        <v>-1.887490927</v>
      </c>
      <c r="EI95" s="221" t="str">
        <f>(EI$10+EI$12+EI28+EI30-EI$37-EI$53)/IS!EI$78</f>
        <v>#ERROR!</v>
      </c>
      <c r="EJ95" s="221" t="str">
        <f>(EJ$10+EJ$12+EJ28+EJ30-EJ$37-EJ$53)/IS!EJ$78</f>
        <v>#ERROR!</v>
      </c>
      <c r="EK95" s="221" t="str">
        <f>(EK$10+EK$12+EK28+EK30-EK$37-EK$53)/IS!EK$78</f>
        <v>#ERROR!</v>
      </c>
      <c r="EL95" s="221" t="str">
        <f>(EL$10+EL$12+EL28+EL30-EL$37-EL$53)/IS!EL$78</f>
        <v>#ERROR!</v>
      </c>
      <c r="EM95" s="218" t="str">
        <f t="shared" si="607"/>
        <v>#ERROR!</v>
      </c>
      <c r="EN95" s="221" t="str">
        <f>(EN$10+EN$12+EN28+EN30-EN$37-EN$53)/IS!EN$78</f>
        <v>#ERROR!</v>
      </c>
      <c r="EO95" s="221" t="str">
        <f>(EO$10+EO$12+EO28+EO30-EO$37-EO$53)/IS!EO$78</f>
        <v>#ERROR!</v>
      </c>
      <c r="EP95" s="221" t="str">
        <f>(EP$10+EP$12+EP28+EP30-EP$37-EP$53)/IS!EP$78</f>
        <v>#ERROR!</v>
      </c>
      <c r="EQ95" s="221" t="str">
        <f>(EQ$10+EQ$12+EQ28+EQ30-EQ$37-EQ$53)/IS!EQ$78</f>
        <v>#ERROR!</v>
      </c>
      <c r="ER95" s="218" t="str">
        <f t="shared" si="608"/>
        <v>#ERROR!</v>
      </c>
      <c r="ES95" s="221" t="str">
        <f>(ES$10+ES$12+ES28+ES30-ES$37-ES$53)/IS!ES$78</f>
        <v>#ERROR!</v>
      </c>
      <c r="ET95" s="221" t="str">
        <f>(ET$10+ET$12+ET28+ET30-ET$37-ET$53)/IS!ET$78</f>
        <v>#ERROR!</v>
      </c>
      <c r="EU95" s="221" t="str">
        <f>(EU$10+EU$12+EU28+EU30-EU$37-EU$53)/IS!EU$78</f>
        <v>#ERROR!</v>
      </c>
      <c r="EV95" s="221" t="str">
        <f>(EV$10+EV$12+EV28+EV30-EV$37-EV$53)/IS!EV$78</f>
        <v>#ERROR!</v>
      </c>
      <c r="EW95" s="218" t="str">
        <f t="shared" si="609"/>
        <v>#ERROR!</v>
      </c>
      <c r="EX95" s="221" t="str">
        <f>(EX$10+EX$12+EX28+EX30-EX$37-EX$53)/IS!EX$78</f>
        <v>#ERROR!</v>
      </c>
      <c r="EY95" s="221" t="str">
        <f>(EY$10+EY$12+EY28+EY30-EY$37-EY$53)/IS!EY$78</f>
        <v>#ERROR!</v>
      </c>
      <c r="EZ95" s="221" t="str">
        <f>(EZ$10+EZ$12+EZ28+EZ30-EZ$37-EZ$53)/IS!EZ$78</f>
        <v>#ERROR!</v>
      </c>
      <c r="FA95" s="221" t="str">
        <f>(FA$10+FA$12+FA28+FA30-FA$37-FA$53)/IS!FA$78</f>
        <v>#ERROR!</v>
      </c>
      <c r="FB95" s="218" t="str">
        <f t="shared" si="610"/>
        <v>#ERROR!</v>
      </c>
      <c r="FC95" s="221" t="str">
        <f>(FC$10+FC$12+FC28+FC30-FC$37-FC$53)/IS!FC$78</f>
        <v>#ERROR!</v>
      </c>
      <c r="FD95" s="221" t="str">
        <f>(FD$10+FD$12+FD28+FD30-FD$37-FD$53)/IS!FD$78</f>
        <v>#ERROR!</v>
      </c>
      <c r="FE95" s="221" t="str">
        <f>(FE$10+FE$12+FE28+FE30-FE$37-FE$53)/IS!FE$78</f>
        <v>#ERROR!</v>
      </c>
      <c r="FF95" s="221" t="str">
        <f>(FF$10+FF$12+FF28+FF30-FF$37-FF$53)/IS!FF$78</f>
        <v>#ERROR!</v>
      </c>
      <c r="FG95" s="218" t="str">
        <f t="shared" si="611"/>
        <v>#ERROR!</v>
      </c>
    </row>
    <row r="96" ht="12.75" customHeight="1">
      <c r="A96" s="4"/>
      <c r="B96" s="4"/>
      <c r="C96" s="17"/>
      <c r="D96" s="17"/>
      <c r="E96" s="17"/>
      <c r="F96" s="17"/>
      <c r="G96" s="17"/>
      <c r="H96" s="17"/>
      <c r="I96" s="17"/>
      <c r="J96" s="17"/>
      <c r="K96" s="17"/>
      <c r="L96" s="17"/>
      <c r="M96" s="17"/>
      <c r="N96" s="17"/>
      <c r="O96" s="17"/>
      <c r="P96" s="17"/>
      <c r="Q96" s="17"/>
      <c r="R96" s="112"/>
      <c r="S96" s="17"/>
      <c r="T96" s="17"/>
      <c r="U96" s="17"/>
      <c r="V96" s="17"/>
      <c r="W96" s="112"/>
      <c r="X96" s="17"/>
      <c r="Y96" s="17"/>
      <c r="Z96" s="17"/>
      <c r="AA96" s="17"/>
      <c r="AB96" s="112"/>
      <c r="AC96" s="128"/>
      <c r="AD96" s="128"/>
      <c r="AE96" s="128"/>
      <c r="AF96" s="128"/>
      <c r="AG96" s="112"/>
      <c r="AH96" s="17"/>
      <c r="AI96" s="17"/>
      <c r="AJ96" s="17"/>
      <c r="AK96" s="17"/>
      <c r="AL96" s="112"/>
      <c r="AM96" s="128"/>
      <c r="AN96" s="128"/>
      <c r="AO96" s="128"/>
      <c r="AP96" s="128"/>
      <c r="AQ96" s="73"/>
      <c r="AR96" s="128"/>
      <c r="AS96" s="128"/>
      <c r="AT96" s="128"/>
      <c r="AU96" s="128"/>
      <c r="AV96" s="73"/>
      <c r="AW96" s="128"/>
      <c r="AX96" s="128"/>
      <c r="AY96" s="128"/>
      <c r="AZ96" s="128"/>
      <c r="BA96" s="73"/>
      <c r="BB96" s="128"/>
      <c r="BC96" s="128"/>
      <c r="BD96" s="128"/>
      <c r="BE96" s="128"/>
      <c r="BF96" s="73"/>
      <c r="BG96" s="128"/>
      <c r="BH96" s="128"/>
      <c r="BI96" s="128"/>
      <c r="BJ96" s="128"/>
      <c r="BK96" s="73"/>
      <c r="BL96" s="128"/>
      <c r="BM96" s="128"/>
      <c r="BN96" s="128"/>
      <c r="BO96" s="128"/>
      <c r="BP96" s="73"/>
      <c r="BQ96" s="128"/>
      <c r="BR96" s="128"/>
      <c r="BS96" s="128"/>
      <c r="BT96" s="128"/>
      <c r="BU96" s="73"/>
      <c r="BV96" s="128"/>
      <c r="BW96" s="128"/>
      <c r="BX96" s="128"/>
      <c r="BY96" s="128"/>
      <c r="BZ96" s="73"/>
      <c r="CA96" s="128"/>
      <c r="CB96" s="128"/>
      <c r="CC96" s="128"/>
      <c r="CD96" s="128"/>
      <c r="CE96" s="73"/>
      <c r="CF96" s="128"/>
      <c r="CG96" s="128"/>
      <c r="CH96" s="128"/>
      <c r="CI96" s="128"/>
      <c r="CJ96" s="73"/>
      <c r="CK96" s="128"/>
      <c r="CL96" s="128"/>
      <c r="CM96" s="128"/>
      <c r="CN96" s="128"/>
      <c r="CO96" s="73"/>
      <c r="CP96" s="128"/>
      <c r="CQ96" s="128"/>
      <c r="CR96" s="128"/>
      <c r="CS96" s="128"/>
      <c r="CT96" s="73"/>
      <c r="CU96" s="128"/>
      <c r="CV96" s="128"/>
      <c r="CW96" s="128"/>
      <c r="CX96" s="128"/>
      <c r="CY96" s="18"/>
      <c r="CZ96" s="128"/>
      <c r="DA96" s="128"/>
      <c r="DB96" s="128"/>
      <c r="DC96" s="128"/>
      <c r="DD96" s="18"/>
      <c r="DE96" s="128"/>
      <c r="DF96" s="128"/>
      <c r="DG96" s="129"/>
      <c r="DH96" s="128"/>
      <c r="DI96" s="18"/>
      <c r="DJ96" s="129"/>
      <c r="DK96" s="129"/>
      <c r="DL96" s="129"/>
      <c r="DM96" s="128"/>
      <c r="DN96" s="18"/>
      <c r="DO96" s="128"/>
      <c r="DP96" s="128"/>
      <c r="DQ96" s="129"/>
      <c r="DR96" s="129"/>
      <c r="DS96" s="18"/>
      <c r="DT96" s="129"/>
      <c r="DU96" s="129"/>
      <c r="DV96" s="129"/>
      <c r="DW96" s="129"/>
      <c r="DX96" s="18"/>
      <c r="DY96" s="129"/>
      <c r="DZ96" s="129"/>
      <c r="EA96" s="129"/>
      <c r="EB96" s="129"/>
      <c r="EC96" s="18"/>
      <c r="ED96" s="129"/>
      <c r="EE96" s="129"/>
      <c r="EF96" s="129"/>
      <c r="EG96" s="129"/>
      <c r="EH96" s="18"/>
      <c r="EI96" s="134"/>
      <c r="EJ96" s="128"/>
      <c r="EK96" s="128"/>
      <c r="EL96" s="128"/>
      <c r="EM96" s="18"/>
      <c r="EN96" s="128"/>
      <c r="EO96" s="128"/>
      <c r="EP96" s="128"/>
      <c r="EQ96" s="128"/>
      <c r="ER96" s="18"/>
      <c r="ES96" s="128"/>
      <c r="ET96" s="128"/>
      <c r="EU96" s="128"/>
      <c r="EV96" s="128"/>
      <c r="EW96" s="18"/>
      <c r="EX96" s="128"/>
      <c r="EY96" s="128"/>
      <c r="EZ96" s="128"/>
      <c r="FA96" s="128"/>
      <c r="FB96" s="18"/>
      <c r="FC96" s="128"/>
      <c r="FD96" s="128"/>
      <c r="FE96" s="128"/>
      <c r="FF96" s="128"/>
      <c r="FG96" s="18"/>
    </row>
    <row r="97" ht="12.75" customHeight="1">
      <c r="A97" s="4"/>
      <c r="B97" s="4"/>
      <c r="C97" s="4"/>
      <c r="D97" s="4"/>
      <c r="E97" s="4"/>
      <c r="F97" s="4"/>
      <c r="G97" s="4"/>
      <c r="H97" s="4"/>
      <c r="I97" s="4"/>
      <c r="J97" s="4"/>
      <c r="K97" s="4"/>
      <c r="L97" s="4"/>
      <c r="M97" s="4"/>
      <c r="N97" s="4"/>
      <c r="O97" s="4"/>
      <c r="P97" s="4"/>
      <c r="Q97" s="4"/>
      <c r="R97" s="45"/>
      <c r="S97" s="4"/>
      <c r="T97" s="4"/>
      <c r="U97" s="4"/>
      <c r="V97" s="4"/>
      <c r="W97" s="45"/>
      <c r="X97" s="4"/>
      <c r="Y97" s="4"/>
      <c r="Z97" s="4"/>
      <c r="AA97" s="4"/>
      <c r="AB97" s="45"/>
      <c r="AC97" s="179"/>
      <c r="AD97" s="179"/>
      <c r="AE97" s="179"/>
      <c r="AF97" s="179"/>
      <c r="AG97" s="45"/>
      <c r="AH97" s="4"/>
      <c r="AI97" s="4"/>
      <c r="AJ97" s="4"/>
      <c r="AK97" s="4"/>
      <c r="AL97" s="45"/>
      <c r="AM97" s="179"/>
      <c r="AN97" s="179"/>
      <c r="AO97" s="179"/>
      <c r="AP97" s="179"/>
      <c r="AQ97" s="8"/>
      <c r="AR97" s="179"/>
      <c r="AS97" s="179"/>
      <c r="AT97" s="179"/>
      <c r="AU97" s="179"/>
      <c r="AV97" s="8"/>
      <c r="AW97" s="179"/>
      <c r="AX97" s="179"/>
      <c r="AY97" s="179"/>
      <c r="AZ97" s="179"/>
      <c r="BA97" s="8"/>
      <c r="BB97" s="179"/>
      <c r="BC97" s="179"/>
      <c r="BD97" s="179"/>
      <c r="BE97" s="179"/>
      <c r="BF97" s="8"/>
      <c r="BG97" s="179"/>
      <c r="BH97" s="179"/>
      <c r="BI97" s="179"/>
      <c r="BJ97" s="179"/>
      <c r="BK97" s="8"/>
      <c r="BL97" s="179"/>
      <c r="BM97" s="179"/>
      <c r="BN97" s="179"/>
      <c r="BO97" s="179"/>
      <c r="BP97" s="8"/>
      <c r="BQ97" s="179"/>
      <c r="BR97" s="179"/>
      <c r="BS97" s="179"/>
      <c r="BT97" s="179"/>
      <c r="BU97" s="8"/>
      <c r="BV97" s="179"/>
      <c r="BW97" s="179"/>
      <c r="BX97" s="179"/>
      <c r="BY97" s="179"/>
      <c r="BZ97" s="8"/>
      <c r="CA97" s="179"/>
      <c r="CB97" s="179"/>
      <c r="CC97" s="179"/>
      <c r="CD97" s="179"/>
      <c r="CE97" s="8"/>
      <c r="CF97" s="179"/>
      <c r="CG97" s="179"/>
      <c r="CH97" s="179"/>
      <c r="CI97" s="179"/>
      <c r="CJ97" s="8"/>
      <c r="CK97" s="179"/>
      <c r="CL97" s="179"/>
      <c r="CM97" s="179"/>
      <c r="CN97" s="179"/>
      <c r="CO97" s="8"/>
      <c r="CP97" s="179"/>
      <c r="CQ97" s="179"/>
      <c r="CR97" s="179"/>
      <c r="CS97" s="179"/>
      <c r="CT97" s="8"/>
      <c r="CU97" s="179"/>
      <c r="CV97" s="179"/>
      <c r="CW97" s="179"/>
      <c r="CX97" s="179"/>
      <c r="CY97" s="10"/>
      <c r="CZ97" s="179"/>
      <c r="DA97" s="179"/>
      <c r="DB97" s="179"/>
      <c r="DC97" s="179"/>
      <c r="DD97" s="10"/>
      <c r="DE97" s="179"/>
      <c r="DF97" s="179"/>
      <c r="DG97" s="774"/>
      <c r="DH97" s="179"/>
      <c r="DI97" s="10"/>
      <c r="DJ97" s="774"/>
      <c r="DK97" s="774"/>
      <c r="DL97" s="774"/>
      <c r="DM97" s="179"/>
      <c r="DN97" s="10"/>
      <c r="DO97" s="179"/>
      <c r="DP97" s="179"/>
      <c r="DQ97" s="774"/>
      <c r="DR97" s="774"/>
      <c r="DS97" s="10"/>
      <c r="DT97" s="774"/>
      <c r="DU97" s="774"/>
      <c r="DV97" s="774"/>
      <c r="DW97" s="774"/>
      <c r="DX97" s="10"/>
      <c r="DY97" s="774"/>
      <c r="DZ97" s="774"/>
      <c r="EA97" s="774"/>
      <c r="EB97" s="774"/>
      <c r="EC97" s="10"/>
      <c r="ED97" s="774"/>
      <c r="EE97" s="774"/>
      <c r="EF97" s="774"/>
      <c r="EG97" s="774"/>
      <c r="EH97" s="10"/>
      <c r="EI97" s="775"/>
      <c r="EJ97" s="179"/>
      <c r="EK97" s="179"/>
      <c r="EL97" s="179"/>
      <c r="EM97" s="10"/>
      <c r="EN97" s="179"/>
      <c r="EO97" s="179"/>
      <c r="EP97" s="179"/>
      <c r="EQ97" s="179"/>
      <c r="ER97" s="10"/>
      <c r="ES97" s="179"/>
      <c r="ET97" s="179"/>
      <c r="EU97" s="179"/>
      <c r="EV97" s="179"/>
      <c r="EW97" s="10"/>
      <c r="EX97" s="179"/>
      <c r="EY97" s="179"/>
      <c r="EZ97" s="179"/>
      <c r="FA97" s="179"/>
      <c r="FB97" s="10"/>
      <c r="FC97" s="179"/>
      <c r="FD97" s="179"/>
      <c r="FE97" s="179"/>
      <c r="FF97" s="179"/>
      <c r="FG97" s="10"/>
    </row>
    <row r="98" ht="12.75" customHeight="1">
      <c r="A98" s="4"/>
      <c r="B98" s="4"/>
      <c r="C98" s="4"/>
      <c r="D98" s="4"/>
      <c r="E98" s="4"/>
      <c r="F98" s="4"/>
      <c r="G98" s="4"/>
      <c r="H98" s="4"/>
      <c r="I98" s="4"/>
      <c r="J98" s="4"/>
      <c r="K98" s="4"/>
      <c r="L98" s="4"/>
      <c r="M98" s="4"/>
      <c r="N98" s="4"/>
      <c r="O98" s="4"/>
      <c r="P98" s="4"/>
      <c r="Q98" s="4"/>
      <c r="R98" s="45"/>
      <c r="S98" s="4"/>
      <c r="T98" s="4"/>
      <c r="U98" s="4"/>
      <c r="V98" s="4"/>
      <c r="W98" s="45"/>
      <c r="X98" s="4"/>
      <c r="Y98" s="4"/>
      <c r="Z98" s="4"/>
      <c r="AA98" s="4"/>
      <c r="AB98" s="45"/>
      <c r="AC98" s="179"/>
      <c r="AD98" s="179"/>
      <c r="AE98" s="179"/>
      <c r="AF98" s="179"/>
      <c r="AG98" s="45"/>
      <c r="AH98" s="4"/>
      <c r="AI98" s="4"/>
      <c r="AJ98" s="4"/>
      <c r="AK98" s="4"/>
      <c r="AL98" s="45"/>
      <c r="AM98" s="179"/>
      <c r="AN98" s="179"/>
      <c r="AO98" s="179"/>
      <c r="AP98" s="179"/>
      <c r="AQ98" s="8"/>
      <c r="AR98" s="179"/>
      <c r="AS98" s="179"/>
      <c r="AT98" s="179"/>
      <c r="AU98" s="179"/>
      <c r="AV98" s="8"/>
      <c r="AW98" s="179"/>
      <c r="AX98" s="179"/>
      <c r="AY98" s="179"/>
      <c r="AZ98" s="179"/>
      <c r="BA98" s="8"/>
      <c r="BB98" s="179"/>
      <c r="BC98" s="179"/>
      <c r="BD98" s="179"/>
      <c r="BE98" s="179"/>
      <c r="BF98" s="8"/>
      <c r="BG98" s="179"/>
      <c r="BH98" s="179"/>
      <c r="BI98" s="179"/>
      <c r="BJ98" s="179"/>
      <c r="BK98" s="8"/>
      <c r="BL98" s="179"/>
      <c r="BM98" s="179"/>
      <c r="BN98" s="179"/>
      <c r="BO98" s="179"/>
      <c r="BP98" s="8"/>
      <c r="BQ98" s="179"/>
      <c r="BR98" s="179"/>
      <c r="BS98" s="179"/>
      <c r="BT98" s="179"/>
      <c r="BU98" s="8"/>
      <c r="BV98" s="179"/>
      <c r="BW98" s="179"/>
      <c r="BX98" s="179"/>
      <c r="BY98" s="179"/>
      <c r="BZ98" s="8"/>
      <c r="CA98" s="179"/>
      <c r="CB98" s="179"/>
      <c r="CC98" s="179"/>
      <c r="CD98" s="179"/>
      <c r="CE98" s="8"/>
      <c r="CF98" s="179"/>
      <c r="CG98" s="179"/>
      <c r="CH98" s="179"/>
      <c r="CI98" s="179"/>
      <c r="CJ98" s="8"/>
      <c r="CK98" s="179"/>
      <c r="CL98" s="179"/>
      <c r="CM98" s="179"/>
      <c r="CN98" s="179"/>
      <c r="CO98" s="8"/>
      <c r="CP98" s="179"/>
      <c r="CQ98" s="179"/>
      <c r="CR98" s="179"/>
      <c r="CS98" s="179"/>
      <c r="CT98" s="8"/>
      <c r="CU98" s="179"/>
      <c r="CV98" s="179"/>
      <c r="CW98" s="179"/>
      <c r="CX98" s="179"/>
      <c r="CY98" s="10"/>
      <c r="CZ98" s="179"/>
      <c r="DA98" s="179"/>
      <c r="DB98" s="179"/>
      <c r="DC98" s="179"/>
      <c r="DD98" s="10"/>
      <c r="DE98" s="179"/>
      <c r="DF98" s="179"/>
      <c r="DG98" s="774"/>
      <c r="DH98" s="179"/>
      <c r="DI98" s="10"/>
      <c r="DJ98" s="774"/>
      <c r="DK98" s="774"/>
      <c r="DL98" s="774"/>
      <c r="DM98" s="179"/>
      <c r="DN98" s="10"/>
      <c r="DO98" s="179"/>
      <c r="DP98" s="179"/>
      <c r="DQ98" s="774"/>
      <c r="DR98" s="774"/>
      <c r="DS98" s="10"/>
      <c r="DT98" s="774"/>
      <c r="DU98" s="774"/>
      <c r="DV98" s="774"/>
      <c r="DW98" s="774"/>
      <c r="DX98" s="10"/>
      <c r="DY98" s="774"/>
      <c r="DZ98" s="774"/>
      <c r="EA98" s="774"/>
      <c r="EB98" s="774"/>
      <c r="EC98" s="10"/>
      <c r="ED98" s="774"/>
      <c r="EE98" s="774"/>
      <c r="EF98" s="774"/>
      <c r="EG98" s="774"/>
      <c r="EH98" s="10"/>
      <c r="EI98" s="775"/>
      <c r="EJ98" s="179"/>
      <c r="EK98" s="179"/>
      <c r="EL98" s="179"/>
      <c r="EM98" s="10"/>
      <c r="EN98" s="179"/>
      <c r="EO98" s="179"/>
      <c r="EP98" s="179"/>
      <c r="EQ98" s="179"/>
      <c r="ER98" s="10"/>
      <c r="ES98" s="179"/>
      <c r="ET98" s="179"/>
      <c r="EU98" s="179"/>
      <c r="EV98" s="179"/>
      <c r="EW98" s="10"/>
      <c r="EX98" s="179"/>
      <c r="EY98" s="179"/>
      <c r="EZ98" s="179"/>
      <c r="FA98" s="179"/>
      <c r="FB98" s="10"/>
      <c r="FC98" s="179"/>
      <c r="FD98" s="179"/>
      <c r="FE98" s="179"/>
      <c r="FF98" s="179"/>
      <c r="FG98" s="10"/>
    </row>
    <row r="99" ht="12.75" customHeight="1">
      <c r="A99" s="4"/>
      <c r="B99" s="4"/>
      <c r="C99" s="4"/>
      <c r="D99" s="4"/>
      <c r="E99" s="4"/>
      <c r="F99" s="4"/>
      <c r="G99" s="4"/>
      <c r="H99" s="4"/>
      <c r="I99" s="4"/>
      <c r="J99" s="4"/>
      <c r="K99" s="4"/>
      <c r="L99" s="4"/>
      <c r="M99" s="4"/>
      <c r="N99" s="4"/>
      <c r="O99" s="4"/>
      <c r="P99" s="4"/>
      <c r="Q99" s="4"/>
      <c r="R99" s="45"/>
      <c r="S99" s="4"/>
      <c r="T99" s="4"/>
      <c r="U99" s="4"/>
      <c r="V99" s="4"/>
      <c r="W99" s="45"/>
      <c r="X99" s="4"/>
      <c r="Y99" s="4"/>
      <c r="Z99" s="4"/>
      <c r="AA99" s="4"/>
      <c r="AB99" s="45"/>
      <c r="AC99" s="179"/>
      <c r="AD99" s="179"/>
      <c r="AE99" s="179"/>
      <c r="AF99" s="179"/>
      <c r="AG99" s="45"/>
      <c r="AH99" s="4"/>
      <c r="AI99" s="4"/>
      <c r="AJ99" s="4"/>
      <c r="AK99" s="4"/>
      <c r="AL99" s="112"/>
      <c r="AM99" s="179"/>
      <c r="AN99" s="179"/>
      <c r="AO99" s="179"/>
      <c r="AP99" s="179"/>
      <c r="AQ99" s="73"/>
      <c r="AR99" s="179"/>
      <c r="AS99" s="179"/>
      <c r="AT99" s="179"/>
      <c r="AU99" s="179"/>
      <c r="AV99" s="73"/>
      <c r="AW99" s="179"/>
      <c r="AX99" s="179"/>
      <c r="AY99" s="179"/>
      <c r="AZ99" s="179"/>
      <c r="BA99" s="73"/>
      <c r="BB99" s="179"/>
      <c r="BC99" s="179"/>
      <c r="BD99" s="179"/>
      <c r="BE99" s="179"/>
      <c r="BF99" s="73"/>
      <c r="BG99" s="179"/>
      <c r="BH99" s="179"/>
      <c r="BI99" s="179"/>
      <c r="BJ99" s="179"/>
      <c r="BK99" s="73"/>
      <c r="BL99" s="179"/>
      <c r="BM99" s="179"/>
      <c r="BN99" s="179"/>
      <c r="BO99" s="179"/>
      <c r="BP99" s="73"/>
      <c r="BQ99" s="179"/>
      <c r="BR99" s="179"/>
      <c r="BS99" s="179"/>
      <c r="BT99" s="179"/>
      <c r="BU99" s="73"/>
      <c r="BV99" s="179"/>
      <c r="BW99" s="179"/>
      <c r="BX99" s="179"/>
      <c r="BY99" s="179"/>
      <c r="BZ99" s="73"/>
      <c r="CA99" s="179"/>
      <c r="CB99" s="179"/>
      <c r="CC99" s="179"/>
      <c r="CD99" s="179"/>
      <c r="CE99" s="73"/>
      <c r="CF99" s="179"/>
      <c r="CG99" s="179"/>
      <c r="CH99" s="179"/>
      <c r="CI99" s="179"/>
      <c r="CJ99" s="73"/>
      <c r="CK99" s="179"/>
      <c r="CL99" s="179"/>
      <c r="CM99" s="179"/>
      <c r="CN99" s="179"/>
      <c r="CO99" s="73"/>
      <c r="CP99" s="179"/>
      <c r="CQ99" s="179"/>
      <c r="CR99" s="179"/>
      <c r="CS99" s="179"/>
      <c r="CT99" s="73"/>
      <c r="CU99" s="179"/>
      <c r="CV99" s="179"/>
      <c r="CW99" s="179"/>
      <c r="CX99" s="179"/>
      <c r="CY99" s="18"/>
      <c r="CZ99" s="179"/>
      <c r="DA99" s="179"/>
      <c r="DB99" s="179"/>
      <c r="DC99" s="179"/>
      <c r="DD99" s="18"/>
      <c r="DE99" s="179"/>
      <c r="DF99" s="179"/>
      <c r="DG99" s="774"/>
      <c r="DH99" s="179"/>
      <c r="DI99" s="18"/>
      <c r="DJ99" s="774"/>
      <c r="DK99" s="774"/>
      <c r="DL99" s="774"/>
      <c r="DM99" s="179"/>
      <c r="DN99" s="18"/>
      <c r="DO99" s="179"/>
      <c r="DP99" s="179"/>
      <c r="DQ99" s="774"/>
      <c r="DR99" s="774"/>
      <c r="DS99" s="18"/>
      <c r="DT99" s="774"/>
      <c r="DU99" s="774"/>
      <c r="DV99" s="774"/>
      <c r="DW99" s="774"/>
      <c r="DX99" s="18"/>
      <c r="DY99" s="774"/>
      <c r="DZ99" s="774"/>
      <c r="EA99" s="774"/>
      <c r="EB99" s="774"/>
      <c r="EC99" s="18"/>
      <c r="ED99" s="774"/>
      <c r="EE99" s="774"/>
      <c r="EF99" s="774"/>
      <c r="EG99" s="774"/>
      <c r="EH99" s="18"/>
      <c r="EI99" s="775"/>
      <c r="EJ99" s="179"/>
      <c r="EK99" s="179"/>
      <c r="EL99" s="179"/>
      <c r="EM99" s="18"/>
      <c r="EN99" s="179"/>
      <c r="EO99" s="179"/>
      <c r="EP99" s="179"/>
      <c r="EQ99" s="179"/>
      <c r="ER99" s="18"/>
      <c r="ES99" s="179"/>
      <c r="ET99" s="179"/>
      <c r="EU99" s="179"/>
      <c r="EV99" s="179"/>
      <c r="EW99" s="18"/>
      <c r="EX99" s="179"/>
      <c r="EY99" s="179"/>
      <c r="EZ99" s="179"/>
      <c r="FA99" s="179"/>
      <c r="FB99" s="18"/>
      <c r="FC99" s="179"/>
      <c r="FD99" s="179"/>
      <c r="FE99" s="179"/>
      <c r="FF99" s="179"/>
      <c r="FG99" s="18"/>
    </row>
    <row r="100" ht="12.75" customHeight="1">
      <c r="A100" s="4"/>
      <c r="B100" s="4"/>
      <c r="C100" s="4"/>
      <c r="D100" s="4"/>
      <c r="E100" s="4"/>
      <c r="F100" s="4"/>
      <c r="G100" s="4"/>
      <c r="H100" s="4"/>
      <c r="I100" s="4"/>
      <c r="J100" s="4"/>
      <c r="K100" s="4"/>
      <c r="L100" s="4"/>
      <c r="M100" s="4"/>
      <c r="N100" s="4"/>
      <c r="O100" s="4"/>
      <c r="P100" s="4"/>
      <c r="Q100" s="4"/>
      <c r="R100" s="45"/>
      <c r="S100" s="4"/>
      <c r="T100" s="4"/>
      <c r="U100" s="4"/>
      <c r="V100" s="4"/>
      <c r="W100" s="45"/>
      <c r="X100" s="4"/>
      <c r="Y100" s="4"/>
      <c r="Z100" s="4"/>
      <c r="AA100" s="4"/>
      <c r="AB100" s="45"/>
      <c r="AC100" s="179"/>
      <c r="AD100" s="179"/>
      <c r="AE100" s="179"/>
      <c r="AF100" s="179"/>
      <c r="AG100" s="45"/>
      <c r="AH100" s="4"/>
      <c r="AI100" s="4"/>
      <c r="AJ100" s="4"/>
      <c r="AK100" s="4"/>
      <c r="AL100" s="45"/>
      <c r="AM100" s="179"/>
      <c r="AN100" s="179"/>
      <c r="AO100" s="179"/>
      <c r="AP100" s="179"/>
      <c r="AQ100" s="8"/>
      <c r="AR100" s="179"/>
      <c r="AS100" s="179"/>
      <c r="AT100" s="179"/>
      <c r="AU100" s="179"/>
      <c r="AV100" s="8"/>
      <c r="AW100" s="179"/>
      <c r="AX100" s="179"/>
      <c r="AY100" s="179"/>
      <c r="AZ100" s="179"/>
      <c r="BA100" s="8"/>
      <c r="BB100" s="179"/>
      <c r="BC100" s="179"/>
      <c r="BD100" s="179"/>
      <c r="BE100" s="179"/>
      <c r="BF100" s="8"/>
      <c r="BG100" s="179"/>
      <c r="BH100" s="179"/>
      <c r="BI100" s="179"/>
      <c r="BJ100" s="179"/>
      <c r="BK100" s="8"/>
      <c r="BL100" s="179"/>
      <c r="BM100" s="179"/>
      <c r="BN100" s="179"/>
      <c r="BO100" s="179"/>
      <c r="BP100" s="8"/>
      <c r="BQ100" s="179"/>
      <c r="BR100" s="179"/>
      <c r="BS100" s="179"/>
      <c r="BT100" s="179"/>
      <c r="BU100" s="8"/>
      <c r="BV100" s="179"/>
      <c r="BW100" s="179"/>
      <c r="BX100" s="179"/>
      <c r="BY100" s="179"/>
      <c r="BZ100" s="8"/>
      <c r="CA100" s="179"/>
      <c r="CB100" s="179"/>
      <c r="CC100" s="179"/>
      <c r="CD100" s="179"/>
      <c r="CE100" s="8"/>
      <c r="CF100" s="179"/>
      <c r="CG100" s="179"/>
      <c r="CH100" s="179"/>
      <c r="CI100" s="179"/>
      <c r="CJ100" s="8"/>
      <c r="CK100" s="179"/>
      <c r="CL100" s="179"/>
      <c r="CM100" s="179"/>
      <c r="CN100" s="179"/>
      <c r="CO100" s="8"/>
      <c r="CP100" s="179"/>
      <c r="CQ100" s="179"/>
      <c r="CR100" s="179"/>
      <c r="CS100" s="179"/>
      <c r="CT100" s="8"/>
      <c r="CU100" s="179"/>
      <c r="CV100" s="179"/>
      <c r="CW100" s="179"/>
      <c r="CX100" s="179"/>
      <c r="CY100" s="10"/>
      <c r="CZ100" s="179"/>
      <c r="DA100" s="179"/>
      <c r="DB100" s="179"/>
      <c r="DC100" s="179"/>
      <c r="DD100" s="10"/>
      <c r="DE100" s="179"/>
      <c r="DF100" s="179"/>
      <c r="DG100" s="774"/>
      <c r="DH100" s="179"/>
      <c r="DI100" s="10"/>
      <c r="DJ100" s="774"/>
      <c r="DK100" s="774"/>
      <c r="DL100" s="774"/>
      <c r="DM100" s="179"/>
      <c r="DN100" s="10"/>
      <c r="DO100" s="179"/>
      <c r="DP100" s="179"/>
      <c r="DQ100" s="774"/>
      <c r="DR100" s="774"/>
      <c r="DS100" s="10"/>
      <c r="DT100" s="774"/>
      <c r="DU100" s="774"/>
      <c r="DV100" s="774"/>
      <c r="DW100" s="774"/>
      <c r="DX100" s="10"/>
      <c r="DY100" s="774"/>
      <c r="DZ100" s="774"/>
      <c r="EA100" s="774"/>
      <c r="EB100" s="774"/>
      <c r="EC100" s="10"/>
      <c r="ED100" s="774"/>
      <c r="EE100" s="774"/>
      <c r="EF100" s="774"/>
      <c r="EG100" s="774"/>
      <c r="EH100" s="10"/>
      <c r="EI100" s="775"/>
      <c r="EJ100" s="179"/>
      <c r="EK100" s="179"/>
      <c r="EL100" s="179"/>
      <c r="EM100" s="10"/>
      <c r="EN100" s="179"/>
      <c r="EO100" s="179"/>
      <c r="EP100" s="179"/>
      <c r="EQ100" s="179"/>
      <c r="ER100" s="10"/>
      <c r="ES100" s="179"/>
      <c r="ET100" s="179"/>
      <c r="EU100" s="179"/>
      <c r="EV100" s="179"/>
      <c r="EW100" s="10"/>
      <c r="EX100" s="179"/>
      <c r="EY100" s="179"/>
      <c r="EZ100" s="179"/>
      <c r="FA100" s="179"/>
      <c r="FB100" s="10"/>
      <c r="FC100" s="179"/>
      <c r="FD100" s="179"/>
      <c r="FE100" s="179"/>
      <c r="FF100" s="179"/>
      <c r="FG100" s="10"/>
    </row>
    <row r="101" ht="12.75" customHeight="1">
      <c r="A101" s="4"/>
      <c r="B101" s="4"/>
      <c r="C101" s="4"/>
      <c r="D101" s="4"/>
      <c r="E101" s="4"/>
      <c r="F101" s="4"/>
      <c r="G101" s="4"/>
      <c r="H101" s="4"/>
      <c r="I101" s="4"/>
      <c r="J101" s="4"/>
      <c r="K101" s="4"/>
      <c r="L101" s="4"/>
      <c r="M101" s="4"/>
      <c r="N101" s="4"/>
      <c r="O101" s="4"/>
      <c r="P101" s="4"/>
      <c r="Q101" s="4"/>
      <c r="R101" s="45"/>
      <c r="S101" s="4"/>
      <c r="T101" s="4"/>
      <c r="U101" s="4"/>
      <c r="V101" s="4"/>
      <c r="W101" s="45"/>
      <c r="X101" s="4"/>
      <c r="Y101" s="4"/>
      <c r="Z101" s="4"/>
      <c r="AA101" s="4"/>
      <c r="AB101" s="45"/>
      <c r="AC101" s="179"/>
      <c r="AD101" s="179"/>
      <c r="AE101" s="179"/>
      <c r="AF101" s="179"/>
      <c r="AG101" s="45"/>
      <c r="AH101" s="4"/>
      <c r="AI101" s="4"/>
      <c r="AJ101" s="4"/>
      <c r="AK101" s="4"/>
      <c r="AL101" s="45"/>
      <c r="AM101" s="179"/>
      <c r="AN101" s="179"/>
      <c r="AO101" s="179"/>
      <c r="AP101" s="179"/>
      <c r="AQ101" s="8"/>
      <c r="AR101" s="179"/>
      <c r="AS101" s="179"/>
      <c r="AT101" s="179"/>
      <c r="AU101" s="179"/>
      <c r="AV101" s="8"/>
      <c r="AW101" s="179"/>
      <c r="AX101" s="179"/>
      <c r="AY101" s="179"/>
      <c r="AZ101" s="179"/>
      <c r="BA101" s="8"/>
      <c r="BB101" s="179"/>
      <c r="BC101" s="179"/>
      <c r="BD101" s="179"/>
      <c r="BE101" s="179"/>
      <c r="BF101" s="8"/>
      <c r="BG101" s="179"/>
      <c r="BH101" s="179"/>
      <c r="BI101" s="179"/>
      <c r="BJ101" s="179"/>
      <c r="BK101" s="8"/>
      <c r="BL101" s="179"/>
      <c r="BM101" s="179"/>
      <c r="BN101" s="179"/>
      <c r="BO101" s="179"/>
      <c r="BP101" s="8"/>
      <c r="BQ101" s="179"/>
      <c r="BR101" s="179"/>
      <c r="BS101" s="179"/>
      <c r="BT101" s="179"/>
      <c r="BU101" s="8"/>
      <c r="BV101" s="179"/>
      <c r="BW101" s="179"/>
      <c r="BX101" s="179"/>
      <c r="BY101" s="179"/>
      <c r="BZ101" s="8"/>
      <c r="CA101" s="179"/>
      <c r="CB101" s="179"/>
      <c r="CC101" s="179"/>
      <c r="CD101" s="179"/>
      <c r="CE101" s="8"/>
      <c r="CF101" s="179"/>
      <c r="CG101" s="179"/>
      <c r="CH101" s="179"/>
      <c r="CI101" s="179"/>
      <c r="CJ101" s="8"/>
      <c r="CK101" s="179"/>
      <c r="CL101" s="179"/>
      <c r="CM101" s="179"/>
      <c r="CN101" s="179"/>
      <c r="CO101" s="8"/>
      <c r="CP101" s="179"/>
      <c r="CQ101" s="179"/>
      <c r="CR101" s="179"/>
      <c r="CS101" s="179"/>
      <c r="CT101" s="8"/>
      <c r="CU101" s="179"/>
      <c r="CV101" s="179"/>
      <c r="CW101" s="179"/>
      <c r="CX101" s="179"/>
      <c r="CY101" s="10"/>
      <c r="CZ101" s="179"/>
      <c r="DA101" s="179"/>
      <c r="DB101" s="179"/>
      <c r="DC101" s="179"/>
      <c r="DD101" s="10"/>
      <c r="DE101" s="179"/>
      <c r="DF101" s="179"/>
      <c r="DG101" s="774"/>
      <c r="DH101" s="179"/>
      <c r="DI101" s="10"/>
      <c r="DJ101" s="774"/>
      <c r="DK101" s="774"/>
      <c r="DL101" s="774"/>
      <c r="DM101" s="179"/>
      <c r="DN101" s="10"/>
      <c r="DO101" s="179"/>
      <c r="DP101" s="179"/>
      <c r="DQ101" s="774"/>
      <c r="DR101" s="774"/>
      <c r="DS101" s="10"/>
      <c r="DT101" s="774"/>
      <c r="DU101" s="774"/>
      <c r="DV101" s="774"/>
      <c r="DW101" s="774"/>
      <c r="DX101" s="10"/>
      <c r="DY101" s="774"/>
      <c r="DZ101" s="774"/>
      <c r="EA101" s="774"/>
      <c r="EB101" s="774"/>
      <c r="EC101" s="10"/>
      <c r="ED101" s="774"/>
      <c r="EE101" s="774"/>
      <c r="EF101" s="774"/>
      <c r="EG101" s="774"/>
      <c r="EH101" s="10"/>
      <c r="EI101" s="775"/>
      <c r="EJ101" s="179"/>
      <c r="EK101" s="179"/>
      <c r="EL101" s="179"/>
      <c r="EM101" s="10"/>
      <c r="EN101" s="179"/>
      <c r="EO101" s="179"/>
      <c r="EP101" s="179"/>
      <c r="EQ101" s="179"/>
      <c r="ER101" s="10"/>
      <c r="ES101" s="179"/>
      <c r="ET101" s="179"/>
      <c r="EU101" s="179"/>
      <c r="EV101" s="179"/>
      <c r="EW101" s="10"/>
      <c r="EX101" s="179"/>
      <c r="EY101" s="179"/>
      <c r="EZ101" s="179"/>
      <c r="FA101" s="179"/>
      <c r="FB101" s="10"/>
      <c r="FC101" s="179"/>
      <c r="FD101" s="179"/>
      <c r="FE101" s="179"/>
      <c r="FF101" s="179"/>
      <c r="FG101" s="10"/>
    </row>
    <row r="102" ht="12.75" customHeight="1">
      <c r="A102" s="4"/>
      <c r="B102" s="4"/>
      <c r="C102" s="4"/>
      <c r="D102" s="4"/>
      <c r="E102" s="4"/>
      <c r="F102" s="4"/>
      <c r="G102" s="4"/>
      <c r="H102" s="4"/>
      <c r="I102" s="4"/>
      <c r="J102" s="4"/>
      <c r="K102" s="4"/>
      <c r="L102" s="4"/>
      <c r="M102" s="4"/>
      <c r="N102" s="4"/>
      <c r="O102" s="4"/>
      <c r="P102" s="4"/>
      <c r="Q102" s="4"/>
      <c r="R102" s="45"/>
      <c r="S102" s="4"/>
      <c r="T102" s="4"/>
      <c r="U102" s="4"/>
      <c r="V102" s="4"/>
      <c r="W102" s="45"/>
      <c r="X102" s="4"/>
      <c r="Y102" s="4"/>
      <c r="Z102" s="4"/>
      <c r="AA102" s="4"/>
      <c r="AB102" s="45"/>
      <c r="AC102" s="179"/>
      <c r="AD102" s="179"/>
      <c r="AE102" s="179"/>
      <c r="AF102" s="179"/>
      <c r="AG102" s="45"/>
      <c r="AH102" s="4"/>
      <c r="AI102" s="4"/>
      <c r="AJ102" s="4"/>
      <c r="AK102" s="4"/>
      <c r="AL102" s="45"/>
      <c r="AM102" s="179"/>
      <c r="AN102" s="179"/>
      <c r="AO102" s="179"/>
      <c r="AP102" s="179"/>
      <c r="AQ102" s="8"/>
      <c r="AR102" s="179"/>
      <c r="AS102" s="179"/>
      <c r="AT102" s="179"/>
      <c r="AU102" s="179"/>
      <c r="AV102" s="8"/>
      <c r="AW102" s="179"/>
      <c r="AX102" s="179"/>
      <c r="AY102" s="179"/>
      <c r="AZ102" s="179"/>
      <c r="BA102" s="8"/>
      <c r="BB102" s="179"/>
      <c r="BC102" s="179"/>
      <c r="BD102" s="179"/>
      <c r="BE102" s="179"/>
      <c r="BF102" s="8"/>
      <c r="BG102" s="179"/>
      <c r="BH102" s="179"/>
      <c r="BI102" s="179"/>
      <c r="BJ102" s="179"/>
      <c r="BK102" s="8"/>
      <c r="BL102" s="179"/>
      <c r="BM102" s="179"/>
      <c r="BN102" s="179"/>
      <c r="BO102" s="179"/>
      <c r="BP102" s="8"/>
      <c r="BQ102" s="179"/>
      <c r="BR102" s="179"/>
      <c r="BS102" s="179"/>
      <c r="BT102" s="179"/>
      <c r="BU102" s="8"/>
      <c r="BV102" s="179"/>
      <c r="BW102" s="179"/>
      <c r="BX102" s="179"/>
      <c r="BY102" s="179"/>
      <c r="BZ102" s="8"/>
      <c r="CA102" s="179"/>
      <c r="CB102" s="179"/>
      <c r="CC102" s="179"/>
      <c r="CD102" s="179"/>
      <c r="CE102" s="8"/>
      <c r="CF102" s="179"/>
      <c r="CG102" s="179"/>
      <c r="CH102" s="179"/>
      <c r="CI102" s="179"/>
      <c r="CJ102" s="8"/>
      <c r="CK102" s="179"/>
      <c r="CL102" s="179"/>
      <c r="CM102" s="179"/>
      <c r="CN102" s="179"/>
      <c r="CO102" s="8"/>
      <c r="CP102" s="179"/>
      <c r="CQ102" s="179"/>
      <c r="CR102" s="179"/>
      <c r="CS102" s="179"/>
      <c r="CT102" s="8"/>
      <c r="CU102" s="179"/>
      <c r="CV102" s="179"/>
      <c r="CW102" s="179"/>
      <c r="CX102" s="179"/>
      <c r="CY102" s="10"/>
      <c r="CZ102" s="179"/>
      <c r="DA102" s="179"/>
      <c r="DB102" s="179"/>
      <c r="DC102" s="179"/>
      <c r="DD102" s="10"/>
      <c r="DE102" s="179"/>
      <c r="DF102" s="179"/>
      <c r="DG102" s="774"/>
      <c r="DH102" s="179"/>
      <c r="DI102" s="10"/>
      <c r="DJ102" s="774"/>
      <c r="DK102" s="774"/>
      <c r="DL102" s="774"/>
      <c r="DM102" s="179"/>
      <c r="DN102" s="10"/>
      <c r="DO102" s="179"/>
      <c r="DP102" s="179"/>
      <c r="DQ102" s="774"/>
      <c r="DR102" s="774"/>
      <c r="DS102" s="10"/>
      <c r="DT102" s="774"/>
      <c r="DU102" s="774"/>
      <c r="DV102" s="774"/>
      <c r="DW102" s="774"/>
      <c r="DX102" s="10"/>
      <c r="DY102" s="774"/>
      <c r="DZ102" s="774"/>
      <c r="EA102" s="774"/>
      <c r="EB102" s="774"/>
      <c r="EC102" s="10"/>
      <c r="ED102" s="774"/>
      <c r="EE102" s="774"/>
      <c r="EF102" s="774"/>
      <c r="EG102" s="774"/>
      <c r="EH102" s="10"/>
      <c r="EI102" s="775"/>
      <c r="EJ102" s="179"/>
      <c r="EK102" s="179"/>
      <c r="EL102" s="179"/>
      <c r="EM102" s="10"/>
      <c r="EN102" s="179"/>
      <c r="EO102" s="179"/>
      <c r="EP102" s="179"/>
      <c r="EQ102" s="179"/>
      <c r="ER102" s="10"/>
      <c r="ES102" s="179"/>
      <c r="ET102" s="179"/>
      <c r="EU102" s="179"/>
      <c r="EV102" s="179"/>
      <c r="EW102" s="10"/>
      <c r="EX102" s="179"/>
      <c r="EY102" s="179"/>
      <c r="EZ102" s="179"/>
      <c r="FA102" s="179"/>
      <c r="FB102" s="10"/>
      <c r="FC102" s="179"/>
      <c r="FD102" s="179"/>
      <c r="FE102" s="179"/>
      <c r="FF102" s="179"/>
      <c r="FG102" s="10"/>
    </row>
    <row r="103" ht="12.75" customHeight="1">
      <c r="A103" s="4"/>
      <c r="B103" s="4"/>
      <c r="C103" s="4"/>
      <c r="D103" s="4"/>
      <c r="E103" s="4"/>
      <c r="F103" s="4"/>
      <c r="G103" s="4"/>
      <c r="H103" s="4"/>
      <c r="I103" s="4"/>
      <c r="J103" s="4"/>
      <c r="K103" s="4"/>
      <c r="L103" s="4"/>
      <c r="M103" s="4"/>
      <c r="N103" s="4"/>
      <c r="O103" s="4"/>
      <c r="P103" s="4"/>
      <c r="Q103" s="4"/>
      <c r="R103" s="45"/>
      <c r="S103" s="4"/>
      <c r="T103" s="4"/>
      <c r="U103" s="4"/>
      <c r="V103" s="4"/>
      <c r="W103" s="45"/>
      <c r="X103" s="4"/>
      <c r="Y103" s="4"/>
      <c r="Z103" s="4"/>
      <c r="AA103" s="4"/>
      <c r="AB103" s="45"/>
      <c r="AC103" s="179"/>
      <c r="AD103" s="179"/>
      <c r="AE103" s="179"/>
      <c r="AF103" s="179"/>
      <c r="AG103" s="45"/>
      <c r="AH103" s="4"/>
      <c r="AI103" s="4"/>
      <c r="AJ103" s="4"/>
      <c r="AK103" s="4"/>
      <c r="AL103" s="45"/>
      <c r="AM103" s="179"/>
      <c r="AN103" s="179"/>
      <c r="AO103" s="179"/>
      <c r="AP103" s="179"/>
      <c r="AQ103" s="8"/>
      <c r="AR103" s="179"/>
      <c r="AS103" s="179"/>
      <c r="AT103" s="179"/>
      <c r="AU103" s="179"/>
      <c r="AV103" s="8"/>
      <c r="AW103" s="179"/>
      <c r="AX103" s="179"/>
      <c r="AY103" s="179"/>
      <c r="AZ103" s="179"/>
      <c r="BA103" s="8"/>
      <c r="BB103" s="179"/>
      <c r="BC103" s="179"/>
      <c r="BD103" s="179"/>
      <c r="BE103" s="179"/>
      <c r="BF103" s="8"/>
      <c r="BG103" s="179"/>
      <c r="BH103" s="179"/>
      <c r="BI103" s="179"/>
      <c r="BJ103" s="179"/>
      <c r="BK103" s="8"/>
      <c r="BL103" s="179"/>
      <c r="BM103" s="179"/>
      <c r="BN103" s="179"/>
      <c r="BO103" s="179"/>
      <c r="BP103" s="8"/>
      <c r="BQ103" s="179"/>
      <c r="BR103" s="179"/>
      <c r="BS103" s="179"/>
      <c r="BT103" s="179"/>
      <c r="BU103" s="8"/>
      <c r="BV103" s="179"/>
      <c r="BW103" s="179"/>
      <c r="BX103" s="179"/>
      <c r="BY103" s="179"/>
      <c r="BZ103" s="8"/>
      <c r="CA103" s="179"/>
      <c r="CB103" s="179"/>
      <c r="CC103" s="179"/>
      <c r="CD103" s="179"/>
      <c r="CE103" s="8"/>
      <c r="CF103" s="179"/>
      <c r="CG103" s="179"/>
      <c r="CH103" s="179"/>
      <c r="CI103" s="179"/>
      <c r="CJ103" s="8"/>
      <c r="CK103" s="179"/>
      <c r="CL103" s="179"/>
      <c r="CM103" s="179"/>
      <c r="CN103" s="179"/>
      <c r="CO103" s="8"/>
      <c r="CP103" s="179"/>
      <c r="CQ103" s="179"/>
      <c r="CR103" s="179"/>
      <c r="CS103" s="179"/>
      <c r="CT103" s="8"/>
      <c r="CU103" s="179"/>
      <c r="CV103" s="179"/>
      <c r="CW103" s="179"/>
      <c r="CX103" s="179"/>
      <c r="CY103" s="10"/>
      <c r="CZ103" s="179"/>
      <c r="DA103" s="179"/>
      <c r="DB103" s="179"/>
      <c r="DC103" s="179"/>
      <c r="DD103" s="10"/>
      <c r="DE103" s="179"/>
      <c r="DF103" s="179"/>
      <c r="DG103" s="774"/>
      <c r="DH103" s="179"/>
      <c r="DI103" s="10"/>
      <c r="DJ103" s="774"/>
      <c r="DK103" s="774"/>
      <c r="DL103" s="774"/>
      <c r="DM103" s="179"/>
      <c r="DN103" s="10"/>
      <c r="DO103" s="179"/>
      <c r="DP103" s="179"/>
      <c r="DQ103" s="774"/>
      <c r="DR103" s="774"/>
      <c r="DS103" s="10"/>
      <c r="DT103" s="774"/>
      <c r="DU103" s="774"/>
      <c r="DV103" s="774"/>
      <c r="DW103" s="774"/>
      <c r="DX103" s="10"/>
      <c r="DY103" s="774"/>
      <c r="DZ103" s="774"/>
      <c r="EA103" s="774"/>
      <c r="EB103" s="774"/>
      <c r="EC103" s="10"/>
      <c r="ED103" s="774"/>
      <c r="EE103" s="774"/>
      <c r="EF103" s="774"/>
      <c r="EG103" s="774"/>
      <c r="EH103" s="10"/>
      <c r="EI103" s="775"/>
      <c r="EJ103" s="179"/>
      <c r="EK103" s="179"/>
      <c r="EL103" s="179"/>
      <c r="EM103" s="10"/>
      <c r="EN103" s="179"/>
      <c r="EO103" s="179"/>
      <c r="EP103" s="179"/>
      <c r="EQ103" s="179"/>
      <c r="ER103" s="10"/>
      <c r="ES103" s="179"/>
      <c r="ET103" s="179"/>
      <c r="EU103" s="179"/>
      <c r="EV103" s="179"/>
      <c r="EW103" s="10"/>
      <c r="EX103" s="179"/>
      <c r="EY103" s="179"/>
      <c r="EZ103" s="179"/>
      <c r="FA103" s="179"/>
      <c r="FB103" s="10"/>
      <c r="FC103" s="179"/>
      <c r="FD103" s="179"/>
      <c r="FE103" s="179"/>
      <c r="FF103" s="179"/>
      <c r="FG103" s="10"/>
    </row>
    <row r="104" ht="12.75" customHeight="1">
      <c r="A104" s="4"/>
      <c r="B104" s="4"/>
      <c r="C104" s="4"/>
      <c r="D104" s="4"/>
      <c r="E104" s="4"/>
      <c r="F104" s="4"/>
      <c r="G104" s="4"/>
      <c r="H104" s="4"/>
      <c r="I104" s="4"/>
      <c r="J104" s="4"/>
      <c r="K104" s="4"/>
      <c r="L104" s="4"/>
      <c r="M104" s="4"/>
      <c r="N104" s="4"/>
      <c r="O104" s="4"/>
      <c r="P104" s="4"/>
      <c r="Q104" s="4"/>
      <c r="R104" s="45"/>
      <c r="S104" s="4"/>
      <c r="T104" s="4"/>
      <c r="U104" s="4"/>
      <c r="V104" s="4"/>
      <c r="W104" s="45"/>
      <c r="X104" s="4"/>
      <c r="Y104" s="4"/>
      <c r="Z104" s="4"/>
      <c r="AA104" s="4"/>
      <c r="AB104" s="45"/>
      <c r="AC104" s="179"/>
      <c r="AD104" s="179"/>
      <c r="AE104" s="179"/>
      <c r="AF104" s="179"/>
      <c r="AG104" s="45"/>
      <c r="AH104" s="4"/>
      <c r="AI104" s="4"/>
      <c r="AJ104" s="4"/>
      <c r="AK104" s="4"/>
      <c r="AL104" s="45"/>
      <c r="AM104" s="179"/>
      <c r="AN104" s="179"/>
      <c r="AO104" s="179"/>
      <c r="AP104" s="179"/>
      <c r="AQ104" s="8"/>
      <c r="AR104" s="179"/>
      <c r="AS104" s="179"/>
      <c r="AT104" s="179"/>
      <c r="AU104" s="179"/>
      <c r="AV104" s="8"/>
      <c r="AW104" s="179"/>
      <c r="AX104" s="179"/>
      <c r="AY104" s="179"/>
      <c r="AZ104" s="179"/>
      <c r="BA104" s="8"/>
      <c r="BB104" s="179"/>
      <c r="BC104" s="179"/>
      <c r="BD104" s="179"/>
      <c r="BE104" s="179"/>
      <c r="BF104" s="8"/>
      <c r="BG104" s="179"/>
      <c r="BH104" s="179"/>
      <c r="BI104" s="179"/>
      <c r="BJ104" s="179"/>
      <c r="BK104" s="8"/>
      <c r="BL104" s="179"/>
      <c r="BM104" s="179"/>
      <c r="BN104" s="179"/>
      <c r="BO104" s="179"/>
      <c r="BP104" s="8"/>
      <c r="BQ104" s="179"/>
      <c r="BR104" s="179"/>
      <c r="BS104" s="179"/>
      <c r="BT104" s="179"/>
      <c r="BU104" s="8"/>
      <c r="BV104" s="179"/>
      <c r="BW104" s="179"/>
      <c r="BX104" s="179"/>
      <c r="BY104" s="179"/>
      <c r="BZ104" s="8"/>
      <c r="CA104" s="179"/>
      <c r="CB104" s="179"/>
      <c r="CC104" s="179"/>
      <c r="CD104" s="179"/>
      <c r="CE104" s="8"/>
      <c r="CF104" s="179"/>
      <c r="CG104" s="179"/>
      <c r="CH104" s="179"/>
      <c r="CI104" s="179"/>
      <c r="CJ104" s="8"/>
      <c r="CK104" s="179"/>
      <c r="CL104" s="179"/>
      <c r="CM104" s="179"/>
      <c r="CN104" s="179"/>
      <c r="CO104" s="8"/>
      <c r="CP104" s="179"/>
      <c r="CQ104" s="179"/>
      <c r="CR104" s="179"/>
      <c r="CS104" s="179"/>
      <c r="CT104" s="8"/>
      <c r="CU104" s="179"/>
      <c r="CV104" s="179"/>
      <c r="CW104" s="179"/>
      <c r="CX104" s="179"/>
      <c r="CY104" s="10"/>
      <c r="CZ104" s="179"/>
      <c r="DA104" s="179"/>
      <c r="DB104" s="179"/>
      <c r="DC104" s="179"/>
      <c r="DD104" s="10"/>
      <c r="DE104" s="179"/>
      <c r="DF104" s="179"/>
      <c r="DG104" s="774"/>
      <c r="DH104" s="179"/>
      <c r="DI104" s="10"/>
      <c r="DJ104" s="774"/>
      <c r="DK104" s="774"/>
      <c r="DL104" s="774"/>
      <c r="DM104" s="179"/>
      <c r="DN104" s="10"/>
      <c r="DO104" s="179"/>
      <c r="DP104" s="179"/>
      <c r="DQ104" s="774"/>
      <c r="DR104" s="774"/>
      <c r="DS104" s="10"/>
      <c r="DT104" s="774"/>
      <c r="DU104" s="774"/>
      <c r="DV104" s="774"/>
      <c r="DW104" s="774"/>
      <c r="DX104" s="10"/>
      <c r="DY104" s="774"/>
      <c r="DZ104" s="774"/>
      <c r="EA104" s="774"/>
      <c r="EB104" s="774"/>
      <c r="EC104" s="10"/>
      <c r="ED104" s="774"/>
      <c r="EE104" s="774"/>
      <c r="EF104" s="774"/>
      <c r="EG104" s="774"/>
      <c r="EH104" s="10"/>
      <c r="EI104" s="775"/>
      <c r="EJ104" s="179"/>
      <c r="EK104" s="179"/>
      <c r="EL104" s="179"/>
      <c r="EM104" s="10"/>
      <c r="EN104" s="179"/>
      <c r="EO104" s="179"/>
      <c r="EP104" s="179"/>
      <c r="EQ104" s="179"/>
      <c r="ER104" s="10"/>
      <c r="ES104" s="179"/>
      <c r="ET104" s="179"/>
      <c r="EU104" s="179"/>
      <c r="EV104" s="179"/>
      <c r="EW104" s="10"/>
      <c r="EX104" s="179"/>
      <c r="EY104" s="179"/>
      <c r="EZ104" s="179"/>
      <c r="FA104" s="179"/>
      <c r="FB104" s="10"/>
      <c r="FC104" s="179"/>
      <c r="FD104" s="179"/>
      <c r="FE104" s="179"/>
      <c r="FF104" s="179"/>
      <c r="FG104" s="10"/>
    </row>
    <row r="105" ht="12.75" customHeight="1">
      <c r="A105" s="4"/>
      <c r="B105" s="4"/>
      <c r="C105" s="4"/>
      <c r="D105" s="4"/>
      <c r="E105" s="4"/>
      <c r="F105" s="4"/>
      <c r="G105" s="4"/>
      <c r="H105" s="4"/>
      <c r="I105" s="4"/>
      <c r="J105" s="4"/>
      <c r="K105" s="4"/>
      <c r="L105" s="4"/>
      <c r="M105" s="4"/>
      <c r="N105" s="4"/>
      <c r="O105" s="4"/>
      <c r="P105" s="4"/>
      <c r="Q105" s="4"/>
      <c r="R105" s="45"/>
      <c r="S105" s="4"/>
      <c r="T105" s="4"/>
      <c r="U105" s="4"/>
      <c r="V105" s="4"/>
      <c r="W105" s="45"/>
      <c r="X105" s="4"/>
      <c r="Y105" s="4"/>
      <c r="Z105" s="4"/>
      <c r="AA105" s="4"/>
      <c r="AB105" s="45"/>
      <c r="AC105" s="179"/>
      <c r="AD105" s="179"/>
      <c r="AE105" s="179"/>
      <c r="AF105" s="179"/>
      <c r="AG105" s="45"/>
      <c r="AH105" s="4"/>
      <c r="AI105" s="4"/>
      <c r="AJ105" s="4"/>
      <c r="AK105" s="4"/>
      <c r="AL105" s="45"/>
      <c r="AM105" s="179"/>
      <c r="AN105" s="179"/>
      <c r="AO105" s="179"/>
      <c r="AP105" s="179"/>
      <c r="AQ105" s="8"/>
      <c r="AR105" s="179"/>
      <c r="AS105" s="179"/>
      <c r="AT105" s="179"/>
      <c r="AU105" s="179"/>
      <c r="AV105" s="8"/>
      <c r="AW105" s="179"/>
      <c r="AX105" s="179"/>
      <c r="AY105" s="179"/>
      <c r="AZ105" s="179"/>
      <c r="BA105" s="8"/>
      <c r="BB105" s="179"/>
      <c r="BC105" s="179"/>
      <c r="BD105" s="179"/>
      <c r="BE105" s="179"/>
      <c r="BF105" s="8"/>
      <c r="BG105" s="179"/>
      <c r="BH105" s="179"/>
      <c r="BI105" s="179"/>
      <c r="BJ105" s="179"/>
      <c r="BK105" s="8"/>
      <c r="BL105" s="179"/>
      <c r="BM105" s="179"/>
      <c r="BN105" s="179"/>
      <c r="BO105" s="179"/>
      <c r="BP105" s="8"/>
      <c r="BQ105" s="179"/>
      <c r="BR105" s="179"/>
      <c r="BS105" s="179"/>
      <c r="BT105" s="179"/>
      <c r="BU105" s="8"/>
      <c r="BV105" s="179"/>
      <c r="BW105" s="179"/>
      <c r="BX105" s="179"/>
      <c r="BY105" s="179"/>
      <c r="BZ105" s="8"/>
      <c r="CA105" s="179"/>
      <c r="CB105" s="179"/>
      <c r="CC105" s="179"/>
      <c r="CD105" s="179"/>
      <c r="CE105" s="8"/>
      <c r="CF105" s="179"/>
      <c r="CG105" s="179"/>
      <c r="CH105" s="179"/>
      <c r="CI105" s="179"/>
      <c r="CJ105" s="8"/>
      <c r="CK105" s="179"/>
      <c r="CL105" s="179"/>
      <c r="CM105" s="179"/>
      <c r="CN105" s="179"/>
      <c r="CO105" s="8"/>
      <c r="CP105" s="179"/>
      <c r="CQ105" s="179"/>
      <c r="CR105" s="179"/>
      <c r="CS105" s="179"/>
      <c r="CT105" s="8"/>
      <c r="CU105" s="179"/>
      <c r="CV105" s="179"/>
      <c r="CW105" s="179"/>
      <c r="CX105" s="179"/>
      <c r="CY105" s="10"/>
      <c r="CZ105" s="179"/>
      <c r="DA105" s="179"/>
      <c r="DB105" s="179"/>
      <c r="DC105" s="179"/>
      <c r="DD105" s="10"/>
      <c r="DE105" s="179"/>
      <c r="DF105" s="179"/>
      <c r="DG105" s="774"/>
      <c r="DH105" s="179"/>
      <c r="DI105" s="10"/>
      <c r="DJ105" s="774"/>
      <c r="DK105" s="774"/>
      <c r="DL105" s="774"/>
      <c r="DM105" s="179"/>
      <c r="DN105" s="10"/>
      <c r="DO105" s="179"/>
      <c r="DP105" s="179"/>
      <c r="DQ105" s="774"/>
      <c r="DR105" s="774"/>
      <c r="DS105" s="10"/>
      <c r="DT105" s="774"/>
      <c r="DU105" s="774"/>
      <c r="DV105" s="774"/>
      <c r="DW105" s="774"/>
      <c r="DX105" s="10"/>
      <c r="DY105" s="774"/>
      <c r="DZ105" s="774"/>
      <c r="EA105" s="774"/>
      <c r="EB105" s="774"/>
      <c r="EC105" s="10"/>
      <c r="ED105" s="774"/>
      <c r="EE105" s="774"/>
      <c r="EF105" s="774"/>
      <c r="EG105" s="774"/>
      <c r="EH105" s="10"/>
      <c r="EI105" s="775"/>
      <c r="EJ105" s="179"/>
      <c r="EK105" s="179"/>
      <c r="EL105" s="179"/>
      <c r="EM105" s="10"/>
      <c r="EN105" s="179"/>
      <c r="EO105" s="179"/>
      <c r="EP105" s="179"/>
      <c r="EQ105" s="179"/>
      <c r="ER105" s="10"/>
      <c r="ES105" s="179"/>
      <c r="ET105" s="179"/>
      <c r="EU105" s="179"/>
      <c r="EV105" s="179"/>
      <c r="EW105" s="10"/>
      <c r="EX105" s="179"/>
      <c r="EY105" s="179"/>
      <c r="EZ105" s="179"/>
      <c r="FA105" s="179"/>
      <c r="FB105" s="10"/>
      <c r="FC105" s="179"/>
      <c r="FD105" s="179"/>
      <c r="FE105" s="179"/>
      <c r="FF105" s="179"/>
      <c r="FG105" s="10"/>
    </row>
    <row r="106" ht="12.75" customHeight="1">
      <c r="A106" s="4"/>
      <c r="B106" s="4"/>
      <c r="C106" s="4"/>
      <c r="D106" s="4"/>
      <c r="E106" s="4"/>
      <c r="F106" s="4"/>
      <c r="G106" s="4"/>
      <c r="H106" s="4"/>
      <c r="I106" s="4"/>
      <c r="J106" s="4"/>
      <c r="K106" s="4"/>
      <c r="L106" s="4"/>
      <c r="M106" s="4"/>
      <c r="N106" s="4"/>
      <c r="O106" s="4"/>
      <c r="P106" s="4"/>
      <c r="Q106" s="4"/>
      <c r="R106" s="45"/>
      <c r="S106" s="4"/>
      <c r="T106" s="4"/>
      <c r="U106" s="4"/>
      <c r="V106" s="4"/>
      <c r="W106" s="45"/>
      <c r="X106" s="4"/>
      <c r="Y106" s="4"/>
      <c r="Z106" s="4"/>
      <c r="AA106" s="4"/>
      <c r="AB106" s="45"/>
      <c r="AC106" s="179"/>
      <c r="AD106" s="179"/>
      <c r="AE106" s="179"/>
      <c r="AF106" s="179"/>
      <c r="AG106" s="45"/>
      <c r="AH106" s="4"/>
      <c r="AI106" s="4"/>
      <c r="AJ106" s="4"/>
      <c r="AK106" s="4"/>
      <c r="AL106" s="45"/>
      <c r="AM106" s="179"/>
      <c r="AN106" s="179"/>
      <c r="AO106" s="179"/>
      <c r="AP106" s="179"/>
      <c r="AQ106" s="8"/>
      <c r="AR106" s="179"/>
      <c r="AS106" s="179"/>
      <c r="AT106" s="179"/>
      <c r="AU106" s="179"/>
      <c r="AV106" s="8"/>
      <c r="AW106" s="179"/>
      <c r="AX106" s="179"/>
      <c r="AY106" s="179"/>
      <c r="AZ106" s="179"/>
      <c r="BA106" s="8"/>
      <c r="BB106" s="179"/>
      <c r="BC106" s="179"/>
      <c r="BD106" s="179"/>
      <c r="BE106" s="179"/>
      <c r="BF106" s="8"/>
      <c r="BG106" s="179"/>
      <c r="BH106" s="179"/>
      <c r="BI106" s="179"/>
      <c r="BJ106" s="179"/>
      <c r="BK106" s="8"/>
      <c r="BL106" s="179"/>
      <c r="BM106" s="179"/>
      <c r="BN106" s="179"/>
      <c r="BO106" s="179"/>
      <c r="BP106" s="8"/>
      <c r="BQ106" s="179"/>
      <c r="BR106" s="179"/>
      <c r="BS106" s="179"/>
      <c r="BT106" s="179"/>
      <c r="BU106" s="8"/>
      <c r="BV106" s="179"/>
      <c r="BW106" s="179"/>
      <c r="BX106" s="179"/>
      <c r="BY106" s="179"/>
      <c r="BZ106" s="8"/>
      <c r="CA106" s="179"/>
      <c r="CB106" s="179"/>
      <c r="CC106" s="179"/>
      <c r="CD106" s="179"/>
      <c r="CE106" s="8"/>
      <c r="CF106" s="179"/>
      <c r="CG106" s="179"/>
      <c r="CH106" s="179"/>
      <c r="CI106" s="179"/>
      <c r="CJ106" s="8"/>
      <c r="CK106" s="179"/>
      <c r="CL106" s="179"/>
      <c r="CM106" s="179"/>
      <c r="CN106" s="179"/>
      <c r="CO106" s="8"/>
      <c r="CP106" s="179"/>
      <c r="CQ106" s="179"/>
      <c r="CR106" s="179"/>
      <c r="CS106" s="179"/>
      <c r="CT106" s="8"/>
      <c r="CU106" s="179"/>
      <c r="CV106" s="179"/>
      <c r="CW106" s="179"/>
      <c r="CX106" s="179"/>
      <c r="CY106" s="10"/>
      <c r="CZ106" s="179"/>
      <c r="DA106" s="179"/>
      <c r="DB106" s="179"/>
      <c r="DC106" s="179"/>
      <c r="DD106" s="10"/>
      <c r="DE106" s="179"/>
      <c r="DF106" s="179"/>
      <c r="DG106" s="774"/>
      <c r="DH106" s="179"/>
      <c r="DI106" s="10"/>
      <c r="DJ106" s="774"/>
      <c r="DK106" s="774"/>
      <c r="DL106" s="774"/>
      <c r="DM106" s="179"/>
      <c r="DN106" s="10"/>
      <c r="DO106" s="179"/>
      <c r="DP106" s="179"/>
      <c r="DQ106" s="774"/>
      <c r="DR106" s="774"/>
      <c r="DS106" s="10"/>
      <c r="DT106" s="774"/>
      <c r="DU106" s="774"/>
      <c r="DV106" s="774"/>
      <c r="DW106" s="774"/>
      <c r="DX106" s="10"/>
      <c r="DY106" s="774"/>
      <c r="DZ106" s="774"/>
      <c r="EA106" s="774"/>
      <c r="EB106" s="774"/>
      <c r="EC106" s="10"/>
      <c r="ED106" s="774"/>
      <c r="EE106" s="774"/>
      <c r="EF106" s="774"/>
      <c r="EG106" s="774"/>
      <c r="EH106" s="10"/>
      <c r="EI106" s="775"/>
      <c r="EJ106" s="179"/>
      <c r="EK106" s="179"/>
      <c r="EL106" s="179"/>
      <c r="EM106" s="10"/>
      <c r="EN106" s="179"/>
      <c r="EO106" s="179"/>
      <c r="EP106" s="179"/>
      <c r="EQ106" s="179"/>
      <c r="ER106" s="10"/>
      <c r="ES106" s="179"/>
      <c r="ET106" s="179"/>
      <c r="EU106" s="179"/>
      <c r="EV106" s="179"/>
      <c r="EW106" s="10"/>
      <c r="EX106" s="179"/>
      <c r="EY106" s="179"/>
      <c r="EZ106" s="179"/>
      <c r="FA106" s="179"/>
      <c r="FB106" s="10"/>
      <c r="FC106" s="179"/>
      <c r="FD106" s="179"/>
      <c r="FE106" s="179"/>
      <c r="FF106" s="179"/>
      <c r="FG106" s="10"/>
    </row>
    <row r="107" ht="12.75" customHeight="1">
      <c r="A107" s="4"/>
      <c r="B107" s="4"/>
      <c r="C107" s="4"/>
      <c r="D107" s="4"/>
      <c r="E107" s="4"/>
      <c r="F107" s="4"/>
      <c r="G107" s="4"/>
      <c r="H107" s="4"/>
      <c r="I107" s="4"/>
      <c r="J107" s="4"/>
      <c r="K107" s="4"/>
      <c r="L107" s="4"/>
      <c r="M107" s="4"/>
      <c r="N107" s="4"/>
      <c r="O107" s="4"/>
      <c r="P107" s="4"/>
      <c r="Q107" s="4"/>
      <c r="R107" s="45"/>
      <c r="S107" s="4"/>
      <c r="T107" s="4"/>
      <c r="U107" s="4"/>
      <c r="V107" s="4"/>
      <c r="W107" s="45"/>
      <c r="X107" s="4"/>
      <c r="Y107" s="4"/>
      <c r="Z107" s="4"/>
      <c r="AA107" s="4"/>
      <c r="AB107" s="45"/>
      <c r="AC107" s="179"/>
      <c r="AD107" s="179"/>
      <c r="AE107" s="179"/>
      <c r="AF107" s="179"/>
      <c r="AG107" s="45"/>
      <c r="AH107" s="4"/>
      <c r="AI107" s="4"/>
      <c r="AJ107" s="4"/>
      <c r="AK107" s="4"/>
      <c r="AL107" s="45"/>
      <c r="AM107" s="179"/>
      <c r="AN107" s="179"/>
      <c r="AO107" s="179"/>
      <c r="AP107" s="179"/>
      <c r="AQ107" s="8"/>
      <c r="AR107" s="179"/>
      <c r="AS107" s="179"/>
      <c r="AT107" s="179"/>
      <c r="AU107" s="179"/>
      <c r="AV107" s="8"/>
      <c r="AW107" s="179"/>
      <c r="AX107" s="179"/>
      <c r="AY107" s="179"/>
      <c r="AZ107" s="179"/>
      <c r="BA107" s="8"/>
      <c r="BB107" s="179"/>
      <c r="BC107" s="179"/>
      <c r="BD107" s="179"/>
      <c r="BE107" s="179"/>
      <c r="BF107" s="8"/>
      <c r="BG107" s="179"/>
      <c r="BH107" s="179"/>
      <c r="BI107" s="179"/>
      <c r="BJ107" s="179"/>
      <c r="BK107" s="8"/>
      <c r="BL107" s="179"/>
      <c r="BM107" s="179"/>
      <c r="BN107" s="179"/>
      <c r="BO107" s="179"/>
      <c r="BP107" s="8"/>
      <c r="BQ107" s="179"/>
      <c r="BR107" s="179"/>
      <c r="BS107" s="179"/>
      <c r="BT107" s="179"/>
      <c r="BU107" s="8"/>
      <c r="BV107" s="179"/>
      <c r="BW107" s="179"/>
      <c r="BX107" s="179"/>
      <c r="BY107" s="179"/>
      <c r="BZ107" s="8"/>
      <c r="CA107" s="179"/>
      <c r="CB107" s="179"/>
      <c r="CC107" s="179"/>
      <c r="CD107" s="179"/>
      <c r="CE107" s="8"/>
      <c r="CF107" s="179"/>
      <c r="CG107" s="179"/>
      <c r="CH107" s="179"/>
      <c r="CI107" s="179"/>
      <c r="CJ107" s="8"/>
      <c r="CK107" s="179"/>
      <c r="CL107" s="179"/>
      <c r="CM107" s="179"/>
      <c r="CN107" s="179"/>
      <c r="CO107" s="8"/>
      <c r="CP107" s="179"/>
      <c r="CQ107" s="179"/>
      <c r="CR107" s="179"/>
      <c r="CS107" s="179"/>
      <c r="CT107" s="8"/>
      <c r="CU107" s="179"/>
      <c r="CV107" s="179"/>
      <c r="CW107" s="179"/>
      <c r="CX107" s="179"/>
      <c r="CY107" s="10"/>
      <c r="CZ107" s="179"/>
      <c r="DA107" s="179"/>
      <c r="DB107" s="179"/>
      <c r="DC107" s="179"/>
      <c r="DD107" s="10"/>
      <c r="DE107" s="179"/>
      <c r="DF107" s="179"/>
      <c r="DG107" s="774"/>
      <c r="DH107" s="179"/>
      <c r="DI107" s="10"/>
      <c r="DJ107" s="774"/>
      <c r="DK107" s="774"/>
      <c r="DL107" s="774"/>
      <c r="DM107" s="179"/>
      <c r="DN107" s="10"/>
      <c r="DO107" s="179"/>
      <c r="DP107" s="179"/>
      <c r="DQ107" s="774"/>
      <c r="DR107" s="774"/>
      <c r="DS107" s="10"/>
      <c r="DT107" s="774"/>
      <c r="DU107" s="774"/>
      <c r="DV107" s="774"/>
      <c r="DW107" s="774"/>
      <c r="DX107" s="10"/>
      <c r="DY107" s="774"/>
      <c r="DZ107" s="774"/>
      <c r="EA107" s="774"/>
      <c r="EB107" s="774"/>
      <c r="EC107" s="10"/>
      <c r="ED107" s="774"/>
      <c r="EE107" s="774"/>
      <c r="EF107" s="774"/>
      <c r="EG107" s="774"/>
      <c r="EH107" s="10"/>
      <c r="EI107" s="775"/>
      <c r="EJ107" s="179"/>
      <c r="EK107" s="179"/>
      <c r="EL107" s="179"/>
      <c r="EM107" s="10"/>
      <c r="EN107" s="179"/>
      <c r="EO107" s="179"/>
      <c r="EP107" s="179"/>
      <c r="EQ107" s="179"/>
      <c r="ER107" s="10"/>
      <c r="ES107" s="179"/>
      <c r="ET107" s="179"/>
      <c r="EU107" s="179"/>
      <c r="EV107" s="179"/>
      <c r="EW107" s="10"/>
      <c r="EX107" s="179"/>
      <c r="EY107" s="179"/>
      <c r="EZ107" s="179"/>
      <c r="FA107" s="179"/>
      <c r="FB107" s="10"/>
      <c r="FC107" s="179"/>
      <c r="FD107" s="179"/>
      <c r="FE107" s="179"/>
      <c r="FF107" s="179"/>
      <c r="FG107" s="10"/>
    </row>
    <row r="108" ht="12.75" customHeight="1">
      <c r="A108" s="4"/>
      <c r="B108" s="4"/>
      <c r="C108" s="4"/>
      <c r="D108" s="4"/>
      <c r="E108" s="4"/>
      <c r="F108" s="4"/>
      <c r="G108" s="4"/>
      <c r="H108" s="4"/>
      <c r="I108" s="4"/>
      <c r="J108" s="4"/>
      <c r="K108" s="4"/>
      <c r="L108" s="4"/>
      <c r="M108" s="4"/>
      <c r="N108" s="4"/>
      <c r="O108" s="4"/>
      <c r="P108" s="4"/>
      <c r="Q108" s="4"/>
      <c r="R108" s="45"/>
      <c r="S108" s="4"/>
      <c r="T108" s="4"/>
      <c r="U108" s="4"/>
      <c r="V108" s="4"/>
      <c r="W108" s="45"/>
      <c r="X108" s="4"/>
      <c r="Y108" s="4"/>
      <c r="Z108" s="4"/>
      <c r="AA108" s="4"/>
      <c r="AB108" s="45"/>
      <c r="AC108" s="179"/>
      <c r="AD108" s="179"/>
      <c r="AE108" s="179"/>
      <c r="AF108" s="179"/>
      <c r="AG108" s="45"/>
      <c r="AH108" s="4"/>
      <c r="AI108" s="4"/>
      <c r="AJ108" s="4"/>
      <c r="AK108" s="4"/>
      <c r="AL108" s="45"/>
      <c r="AM108" s="179"/>
      <c r="AN108" s="179"/>
      <c r="AO108" s="179"/>
      <c r="AP108" s="179"/>
      <c r="AQ108" s="8"/>
      <c r="AR108" s="179"/>
      <c r="AS108" s="179"/>
      <c r="AT108" s="179"/>
      <c r="AU108" s="179"/>
      <c r="AV108" s="8"/>
      <c r="AW108" s="179"/>
      <c r="AX108" s="179"/>
      <c r="AY108" s="179"/>
      <c r="AZ108" s="179"/>
      <c r="BA108" s="8"/>
      <c r="BB108" s="179"/>
      <c r="BC108" s="179"/>
      <c r="BD108" s="179"/>
      <c r="BE108" s="179"/>
      <c r="BF108" s="8"/>
      <c r="BG108" s="179"/>
      <c r="BH108" s="179"/>
      <c r="BI108" s="179"/>
      <c r="BJ108" s="179"/>
      <c r="BK108" s="8"/>
      <c r="BL108" s="179"/>
      <c r="BM108" s="179"/>
      <c r="BN108" s="179"/>
      <c r="BO108" s="179"/>
      <c r="BP108" s="8"/>
      <c r="BQ108" s="179"/>
      <c r="BR108" s="179"/>
      <c r="BS108" s="179"/>
      <c r="BT108" s="179"/>
      <c r="BU108" s="8"/>
      <c r="BV108" s="179"/>
      <c r="BW108" s="179"/>
      <c r="BX108" s="179"/>
      <c r="BY108" s="179"/>
      <c r="BZ108" s="8"/>
      <c r="CA108" s="179"/>
      <c r="CB108" s="179"/>
      <c r="CC108" s="179"/>
      <c r="CD108" s="179"/>
      <c r="CE108" s="8"/>
      <c r="CF108" s="179"/>
      <c r="CG108" s="179"/>
      <c r="CH108" s="179"/>
      <c r="CI108" s="179"/>
      <c r="CJ108" s="8"/>
      <c r="CK108" s="179"/>
      <c r="CL108" s="179"/>
      <c r="CM108" s="179"/>
      <c r="CN108" s="179"/>
      <c r="CO108" s="8"/>
      <c r="CP108" s="179"/>
      <c r="CQ108" s="179"/>
      <c r="CR108" s="179"/>
      <c r="CS108" s="179"/>
      <c r="CT108" s="8"/>
      <c r="CU108" s="179"/>
      <c r="CV108" s="179"/>
      <c r="CW108" s="179"/>
      <c r="CX108" s="179"/>
      <c r="CY108" s="10"/>
      <c r="CZ108" s="179"/>
      <c r="DA108" s="179"/>
      <c r="DB108" s="179"/>
      <c r="DC108" s="179"/>
      <c r="DD108" s="10"/>
      <c r="DE108" s="179"/>
      <c r="DF108" s="179"/>
      <c r="DG108" s="774"/>
      <c r="DH108" s="179"/>
      <c r="DI108" s="10"/>
      <c r="DJ108" s="774"/>
      <c r="DK108" s="774"/>
      <c r="DL108" s="774"/>
      <c r="DM108" s="179"/>
      <c r="DN108" s="10"/>
      <c r="DO108" s="179"/>
      <c r="DP108" s="179"/>
      <c r="DQ108" s="774"/>
      <c r="DR108" s="774"/>
      <c r="DS108" s="10"/>
      <c r="DT108" s="774"/>
      <c r="DU108" s="774"/>
      <c r="DV108" s="774"/>
      <c r="DW108" s="774"/>
      <c r="DX108" s="10"/>
      <c r="DY108" s="774"/>
      <c r="DZ108" s="774"/>
      <c r="EA108" s="774"/>
      <c r="EB108" s="774"/>
      <c r="EC108" s="10"/>
      <c r="ED108" s="774"/>
      <c r="EE108" s="774"/>
      <c r="EF108" s="774"/>
      <c r="EG108" s="774"/>
      <c r="EH108" s="10"/>
      <c r="EI108" s="775"/>
      <c r="EJ108" s="179"/>
      <c r="EK108" s="179"/>
      <c r="EL108" s="179"/>
      <c r="EM108" s="10"/>
      <c r="EN108" s="179"/>
      <c r="EO108" s="179"/>
      <c r="EP108" s="179"/>
      <c r="EQ108" s="179"/>
      <c r="ER108" s="10"/>
      <c r="ES108" s="179"/>
      <c r="ET108" s="179"/>
      <c r="EU108" s="179"/>
      <c r="EV108" s="179"/>
      <c r="EW108" s="10"/>
      <c r="EX108" s="179"/>
      <c r="EY108" s="179"/>
      <c r="EZ108" s="179"/>
      <c r="FA108" s="179"/>
      <c r="FB108" s="10"/>
      <c r="FC108" s="179"/>
      <c r="FD108" s="179"/>
      <c r="FE108" s="179"/>
      <c r="FF108" s="179"/>
      <c r="FG108" s="10"/>
    </row>
    <row r="109" ht="12.75" customHeight="1">
      <c r="A109" s="4"/>
      <c r="B109" s="4"/>
      <c r="C109" s="4"/>
      <c r="D109" s="4"/>
      <c r="E109" s="4"/>
      <c r="F109" s="4"/>
      <c r="G109" s="4"/>
      <c r="H109" s="4"/>
      <c r="I109" s="4"/>
      <c r="J109" s="4"/>
      <c r="K109" s="4"/>
      <c r="L109" s="4"/>
      <c r="M109" s="4"/>
      <c r="N109" s="4"/>
      <c r="O109" s="4"/>
      <c r="P109" s="4"/>
      <c r="Q109" s="4"/>
      <c r="R109" s="45"/>
      <c r="S109" s="4"/>
      <c r="T109" s="4"/>
      <c r="U109" s="4"/>
      <c r="V109" s="4"/>
      <c r="W109" s="45"/>
      <c r="X109" s="4"/>
      <c r="Y109" s="4"/>
      <c r="Z109" s="4"/>
      <c r="AA109" s="4"/>
      <c r="AB109" s="45"/>
      <c r="AC109" s="179"/>
      <c r="AD109" s="179"/>
      <c r="AE109" s="179"/>
      <c r="AF109" s="179"/>
      <c r="AG109" s="45"/>
      <c r="AH109" s="4"/>
      <c r="AI109" s="4"/>
      <c r="AJ109" s="4"/>
      <c r="AK109" s="4"/>
      <c r="AL109" s="45"/>
      <c r="AM109" s="179"/>
      <c r="AN109" s="179"/>
      <c r="AO109" s="179"/>
      <c r="AP109" s="179"/>
      <c r="AQ109" s="8"/>
      <c r="AR109" s="179"/>
      <c r="AS109" s="179"/>
      <c r="AT109" s="179"/>
      <c r="AU109" s="179"/>
      <c r="AV109" s="8"/>
      <c r="AW109" s="179"/>
      <c r="AX109" s="179"/>
      <c r="AY109" s="179"/>
      <c r="AZ109" s="179"/>
      <c r="BA109" s="8"/>
      <c r="BB109" s="179"/>
      <c r="BC109" s="179"/>
      <c r="BD109" s="179"/>
      <c r="BE109" s="179"/>
      <c r="BF109" s="8"/>
      <c r="BG109" s="179"/>
      <c r="BH109" s="179"/>
      <c r="BI109" s="179"/>
      <c r="BJ109" s="179"/>
      <c r="BK109" s="8"/>
      <c r="BL109" s="179"/>
      <c r="BM109" s="179"/>
      <c r="BN109" s="179"/>
      <c r="BO109" s="179"/>
      <c r="BP109" s="8"/>
      <c r="BQ109" s="179"/>
      <c r="BR109" s="179"/>
      <c r="BS109" s="179"/>
      <c r="BT109" s="179"/>
      <c r="BU109" s="8"/>
      <c r="BV109" s="179"/>
      <c r="BW109" s="179"/>
      <c r="BX109" s="179"/>
      <c r="BY109" s="179"/>
      <c r="BZ109" s="8"/>
      <c r="CA109" s="179"/>
      <c r="CB109" s="179"/>
      <c r="CC109" s="179"/>
      <c r="CD109" s="179"/>
      <c r="CE109" s="8"/>
      <c r="CF109" s="179"/>
      <c r="CG109" s="179"/>
      <c r="CH109" s="179"/>
      <c r="CI109" s="179"/>
      <c r="CJ109" s="8"/>
      <c r="CK109" s="179"/>
      <c r="CL109" s="179"/>
      <c r="CM109" s="179"/>
      <c r="CN109" s="179"/>
      <c r="CO109" s="8"/>
      <c r="CP109" s="179"/>
      <c r="CQ109" s="179"/>
      <c r="CR109" s="179"/>
      <c r="CS109" s="179"/>
      <c r="CT109" s="8"/>
      <c r="CU109" s="179"/>
      <c r="CV109" s="179"/>
      <c r="CW109" s="179"/>
      <c r="CX109" s="179"/>
      <c r="CY109" s="10"/>
      <c r="CZ109" s="179"/>
      <c r="DA109" s="179"/>
      <c r="DB109" s="179"/>
      <c r="DC109" s="179"/>
      <c r="DD109" s="10"/>
      <c r="DE109" s="179"/>
      <c r="DF109" s="179"/>
      <c r="DG109" s="774"/>
      <c r="DH109" s="179"/>
      <c r="DI109" s="10"/>
      <c r="DJ109" s="774"/>
      <c r="DK109" s="774"/>
      <c r="DL109" s="774"/>
      <c r="DM109" s="179"/>
      <c r="DN109" s="10"/>
      <c r="DO109" s="179"/>
      <c r="DP109" s="179"/>
      <c r="DQ109" s="774"/>
      <c r="DR109" s="774"/>
      <c r="DS109" s="10"/>
      <c r="DT109" s="774"/>
      <c r="DU109" s="774"/>
      <c r="DV109" s="774"/>
      <c r="DW109" s="774"/>
      <c r="DX109" s="10"/>
      <c r="DY109" s="774"/>
      <c r="DZ109" s="774"/>
      <c r="EA109" s="774"/>
      <c r="EB109" s="774"/>
      <c r="EC109" s="10"/>
      <c r="ED109" s="774"/>
      <c r="EE109" s="774"/>
      <c r="EF109" s="774"/>
      <c r="EG109" s="774"/>
      <c r="EH109" s="10"/>
      <c r="EI109" s="775"/>
      <c r="EJ109" s="179"/>
      <c r="EK109" s="179"/>
      <c r="EL109" s="179"/>
      <c r="EM109" s="10"/>
      <c r="EN109" s="179"/>
      <c r="EO109" s="179"/>
      <c r="EP109" s="179"/>
      <c r="EQ109" s="179"/>
      <c r="ER109" s="10"/>
      <c r="ES109" s="179"/>
      <c r="ET109" s="179"/>
      <c r="EU109" s="179"/>
      <c r="EV109" s="179"/>
      <c r="EW109" s="10"/>
      <c r="EX109" s="179"/>
      <c r="EY109" s="179"/>
      <c r="EZ109" s="179"/>
      <c r="FA109" s="179"/>
      <c r="FB109" s="10"/>
      <c r="FC109" s="179"/>
      <c r="FD109" s="179"/>
      <c r="FE109" s="179"/>
      <c r="FF109" s="179"/>
      <c r="FG109" s="10"/>
    </row>
    <row r="110" ht="12.75" customHeight="1">
      <c r="A110" s="4"/>
      <c r="B110" s="4"/>
      <c r="C110" s="4"/>
      <c r="D110" s="4"/>
      <c r="E110" s="4"/>
      <c r="F110" s="4"/>
      <c r="G110" s="4"/>
      <c r="H110" s="4"/>
      <c r="I110" s="4"/>
      <c r="J110" s="4"/>
      <c r="K110" s="4"/>
      <c r="L110" s="4"/>
      <c r="M110" s="4"/>
      <c r="N110" s="4"/>
      <c r="O110" s="4"/>
      <c r="P110" s="4"/>
      <c r="Q110" s="4"/>
      <c r="R110" s="45"/>
      <c r="S110" s="4"/>
      <c r="T110" s="4"/>
      <c r="U110" s="4"/>
      <c r="V110" s="4"/>
      <c r="W110" s="45"/>
      <c r="X110" s="4"/>
      <c r="Y110" s="4"/>
      <c r="Z110" s="4"/>
      <c r="AA110" s="4"/>
      <c r="AB110" s="45"/>
      <c r="AC110" s="179"/>
      <c r="AD110" s="179"/>
      <c r="AE110" s="179"/>
      <c r="AF110" s="179"/>
      <c r="AG110" s="45"/>
      <c r="AH110" s="4"/>
      <c r="AI110" s="4"/>
      <c r="AJ110" s="4"/>
      <c r="AK110" s="4"/>
      <c r="AL110" s="45"/>
      <c r="AM110" s="179"/>
      <c r="AN110" s="179"/>
      <c r="AO110" s="179"/>
      <c r="AP110" s="179"/>
      <c r="AQ110" s="8"/>
      <c r="AR110" s="179"/>
      <c r="AS110" s="179"/>
      <c r="AT110" s="179"/>
      <c r="AU110" s="179"/>
      <c r="AV110" s="8"/>
      <c r="AW110" s="179"/>
      <c r="AX110" s="179"/>
      <c r="AY110" s="179"/>
      <c r="AZ110" s="179"/>
      <c r="BA110" s="8"/>
      <c r="BB110" s="179"/>
      <c r="BC110" s="179"/>
      <c r="BD110" s="179"/>
      <c r="BE110" s="179"/>
      <c r="BF110" s="8"/>
      <c r="BG110" s="179"/>
      <c r="BH110" s="179"/>
      <c r="BI110" s="179"/>
      <c r="BJ110" s="179"/>
      <c r="BK110" s="8"/>
      <c r="BL110" s="179"/>
      <c r="BM110" s="179"/>
      <c r="BN110" s="179"/>
      <c r="BO110" s="179"/>
      <c r="BP110" s="8"/>
      <c r="BQ110" s="179"/>
      <c r="BR110" s="179"/>
      <c r="BS110" s="179"/>
      <c r="BT110" s="179"/>
      <c r="BU110" s="8"/>
      <c r="BV110" s="179"/>
      <c r="BW110" s="179"/>
      <c r="BX110" s="179"/>
      <c r="BY110" s="179"/>
      <c r="BZ110" s="8"/>
      <c r="CA110" s="179"/>
      <c r="CB110" s="179"/>
      <c r="CC110" s="179"/>
      <c r="CD110" s="179"/>
      <c r="CE110" s="8"/>
      <c r="CF110" s="179"/>
      <c r="CG110" s="179"/>
      <c r="CH110" s="179"/>
      <c r="CI110" s="179"/>
      <c r="CJ110" s="8"/>
      <c r="CK110" s="179"/>
      <c r="CL110" s="179"/>
      <c r="CM110" s="179"/>
      <c r="CN110" s="179"/>
      <c r="CO110" s="8"/>
      <c r="CP110" s="179"/>
      <c r="CQ110" s="179"/>
      <c r="CR110" s="179"/>
      <c r="CS110" s="179"/>
      <c r="CT110" s="8"/>
      <c r="CU110" s="179"/>
      <c r="CV110" s="179"/>
      <c r="CW110" s="179"/>
      <c r="CX110" s="179"/>
      <c r="CY110" s="10"/>
      <c r="CZ110" s="179"/>
      <c r="DA110" s="179"/>
      <c r="DB110" s="179"/>
      <c r="DC110" s="179"/>
      <c r="DD110" s="10"/>
      <c r="DE110" s="179"/>
      <c r="DF110" s="179"/>
      <c r="DG110" s="774"/>
      <c r="DH110" s="179"/>
      <c r="DI110" s="10"/>
      <c r="DJ110" s="774"/>
      <c r="DK110" s="774"/>
      <c r="DL110" s="774"/>
      <c r="DM110" s="179"/>
      <c r="DN110" s="10"/>
      <c r="DO110" s="179"/>
      <c r="DP110" s="179"/>
      <c r="DQ110" s="774"/>
      <c r="DR110" s="774"/>
      <c r="DS110" s="10"/>
      <c r="DT110" s="774"/>
      <c r="DU110" s="774"/>
      <c r="DV110" s="774"/>
      <c r="DW110" s="774"/>
      <c r="DX110" s="10"/>
      <c r="DY110" s="774"/>
      <c r="DZ110" s="774"/>
      <c r="EA110" s="774"/>
      <c r="EB110" s="774"/>
      <c r="EC110" s="10"/>
      <c r="ED110" s="774"/>
      <c r="EE110" s="774"/>
      <c r="EF110" s="774"/>
      <c r="EG110" s="774"/>
      <c r="EH110" s="10"/>
      <c r="EI110" s="775"/>
      <c r="EJ110" s="179"/>
      <c r="EK110" s="179"/>
      <c r="EL110" s="179"/>
      <c r="EM110" s="10"/>
      <c r="EN110" s="179"/>
      <c r="EO110" s="179"/>
      <c r="EP110" s="179"/>
      <c r="EQ110" s="179"/>
      <c r="ER110" s="10"/>
      <c r="ES110" s="179"/>
      <c r="ET110" s="179"/>
      <c r="EU110" s="179"/>
      <c r="EV110" s="179"/>
      <c r="EW110" s="10"/>
      <c r="EX110" s="179"/>
      <c r="EY110" s="179"/>
      <c r="EZ110" s="179"/>
      <c r="FA110" s="179"/>
      <c r="FB110" s="10"/>
      <c r="FC110" s="179"/>
      <c r="FD110" s="179"/>
      <c r="FE110" s="179"/>
      <c r="FF110" s="179"/>
      <c r="FG110" s="10"/>
    </row>
    <row r="111" ht="12.75" customHeight="1">
      <c r="A111" s="4"/>
      <c r="B111" s="4"/>
      <c r="C111" s="4"/>
      <c r="D111" s="4"/>
      <c r="E111" s="4"/>
      <c r="F111" s="4"/>
      <c r="G111" s="4"/>
      <c r="H111" s="4"/>
      <c r="I111" s="4"/>
      <c r="J111" s="4"/>
      <c r="K111" s="4"/>
      <c r="L111" s="4"/>
      <c r="M111" s="4"/>
      <c r="N111" s="4"/>
      <c r="O111" s="4"/>
      <c r="P111" s="4"/>
      <c r="Q111" s="4"/>
      <c r="R111" s="45"/>
      <c r="S111" s="4"/>
      <c r="T111" s="4"/>
      <c r="U111" s="4"/>
      <c r="V111" s="4"/>
      <c r="W111" s="45"/>
      <c r="X111" s="4"/>
      <c r="Y111" s="4"/>
      <c r="Z111" s="4"/>
      <c r="AA111" s="4"/>
      <c r="AB111" s="45"/>
      <c r="AC111" s="179"/>
      <c r="AD111" s="179"/>
      <c r="AE111" s="179"/>
      <c r="AF111" s="179"/>
      <c r="AG111" s="45"/>
      <c r="AH111" s="4"/>
      <c r="AI111" s="4"/>
      <c r="AJ111" s="4"/>
      <c r="AK111" s="4"/>
      <c r="AL111" s="45"/>
      <c r="AM111" s="179"/>
      <c r="AN111" s="179"/>
      <c r="AO111" s="179"/>
      <c r="AP111" s="179"/>
      <c r="AQ111" s="8"/>
      <c r="AR111" s="179"/>
      <c r="AS111" s="179"/>
      <c r="AT111" s="179"/>
      <c r="AU111" s="179"/>
      <c r="AV111" s="8"/>
      <c r="AW111" s="179"/>
      <c r="AX111" s="179"/>
      <c r="AY111" s="179"/>
      <c r="AZ111" s="179"/>
      <c r="BA111" s="8"/>
      <c r="BB111" s="179"/>
      <c r="BC111" s="179"/>
      <c r="BD111" s="179"/>
      <c r="BE111" s="179"/>
      <c r="BF111" s="8"/>
      <c r="BG111" s="179"/>
      <c r="BH111" s="179"/>
      <c r="BI111" s="179"/>
      <c r="BJ111" s="179"/>
      <c r="BK111" s="8"/>
      <c r="BL111" s="179"/>
      <c r="BM111" s="179"/>
      <c r="BN111" s="179"/>
      <c r="BO111" s="179"/>
      <c r="BP111" s="8"/>
      <c r="BQ111" s="179"/>
      <c r="BR111" s="179"/>
      <c r="BS111" s="179"/>
      <c r="BT111" s="179"/>
      <c r="BU111" s="8"/>
      <c r="BV111" s="179"/>
      <c r="BW111" s="179"/>
      <c r="BX111" s="179"/>
      <c r="BY111" s="179"/>
      <c r="BZ111" s="8"/>
      <c r="CA111" s="179"/>
      <c r="CB111" s="179"/>
      <c r="CC111" s="179"/>
      <c r="CD111" s="179"/>
      <c r="CE111" s="8"/>
      <c r="CF111" s="179"/>
      <c r="CG111" s="179"/>
      <c r="CH111" s="179"/>
      <c r="CI111" s="179"/>
      <c r="CJ111" s="8"/>
      <c r="CK111" s="179"/>
      <c r="CL111" s="179"/>
      <c r="CM111" s="179"/>
      <c r="CN111" s="179"/>
      <c r="CO111" s="8"/>
      <c r="CP111" s="179"/>
      <c r="CQ111" s="179"/>
      <c r="CR111" s="179"/>
      <c r="CS111" s="179"/>
      <c r="CT111" s="8"/>
      <c r="CU111" s="179"/>
      <c r="CV111" s="179"/>
      <c r="CW111" s="179"/>
      <c r="CX111" s="179"/>
      <c r="CY111" s="10"/>
      <c r="CZ111" s="179"/>
      <c r="DA111" s="179"/>
      <c r="DB111" s="179"/>
      <c r="DC111" s="179"/>
      <c r="DD111" s="10"/>
      <c r="DE111" s="179"/>
      <c r="DF111" s="179"/>
      <c r="DG111" s="774"/>
      <c r="DH111" s="179"/>
      <c r="DI111" s="10"/>
      <c r="DJ111" s="774"/>
      <c r="DK111" s="774"/>
      <c r="DL111" s="774"/>
      <c r="DM111" s="179"/>
      <c r="DN111" s="10"/>
      <c r="DO111" s="179"/>
      <c r="DP111" s="179"/>
      <c r="DQ111" s="774"/>
      <c r="DR111" s="774"/>
      <c r="DS111" s="10"/>
      <c r="DT111" s="774"/>
      <c r="DU111" s="774"/>
      <c r="DV111" s="774"/>
      <c r="DW111" s="774" t="str">
        <f>DV111</f>
        <v/>
      </c>
      <c r="DX111" s="10"/>
      <c r="DY111" s="774" t="str">
        <f>DW111</f>
        <v/>
      </c>
      <c r="DZ111" s="774" t="str">
        <f t="shared" ref="DZ111:EB111" si="612">DY111</f>
        <v/>
      </c>
      <c r="EA111" s="774" t="str">
        <f t="shared" si="612"/>
        <v/>
      </c>
      <c r="EB111" s="774" t="str">
        <f t="shared" si="612"/>
        <v/>
      </c>
      <c r="EC111" s="10"/>
      <c r="ED111" s="774" t="str">
        <f>EB111</f>
        <v/>
      </c>
      <c r="EE111" s="774" t="str">
        <f t="shared" ref="EE111:EG111" si="613">ED111</f>
        <v/>
      </c>
      <c r="EF111" s="774" t="str">
        <f t="shared" si="613"/>
        <v/>
      </c>
      <c r="EG111" s="774" t="str">
        <f t="shared" si="613"/>
        <v/>
      </c>
      <c r="EH111" s="10"/>
      <c r="EI111" s="775"/>
      <c r="EJ111" s="179"/>
      <c r="EK111" s="179"/>
      <c r="EL111" s="179"/>
      <c r="EM111" s="10"/>
      <c r="EN111" s="179"/>
      <c r="EO111" s="179"/>
      <c r="EP111" s="179"/>
      <c r="EQ111" s="179"/>
      <c r="ER111" s="10"/>
      <c r="ES111" s="179"/>
      <c r="ET111" s="179"/>
      <c r="EU111" s="179"/>
      <c r="EV111" s="179"/>
      <c r="EW111" s="10"/>
      <c r="EX111" s="179"/>
      <c r="EY111" s="179"/>
      <c r="EZ111" s="179"/>
      <c r="FA111" s="179"/>
      <c r="FB111" s="10"/>
      <c r="FC111" s="179"/>
      <c r="FD111" s="179"/>
      <c r="FE111" s="179"/>
      <c r="FF111" s="179"/>
      <c r="FG111" s="10"/>
    </row>
    <row r="112" ht="12.75" customHeight="1">
      <c r="A112" s="4"/>
      <c r="B112" s="4"/>
      <c r="C112" s="4"/>
      <c r="D112" s="4"/>
      <c r="E112" s="4"/>
      <c r="F112" s="4"/>
      <c r="G112" s="4"/>
      <c r="H112" s="4"/>
      <c r="I112" s="4"/>
      <c r="J112" s="4"/>
      <c r="K112" s="4"/>
      <c r="L112" s="4"/>
      <c r="M112" s="4"/>
      <c r="N112" s="4"/>
      <c r="O112" s="4"/>
      <c r="P112" s="4"/>
      <c r="Q112" s="4"/>
      <c r="R112" s="45"/>
      <c r="S112" s="4"/>
      <c r="T112" s="4"/>
      <c r="U112" s="4"/>
      <c r="V112" s="4"/>
      <c r="W112" s="45"/>
      <c r="X112" s="4"/>
      <c r="Y112" s="4"/>
      <c r="Z112" s="4"/>
      <c r="AA112" s="4"/>
      <c r="AB112" s="45"/>
      <c r="AC112" s="179"/>
      <c r="AD112" s="179"/>
      <c r="AE112" s="179"/>
      <c r="AF112" s="179"/>
      <c r="AG112" s="45"/>
      <c r="AH112" s="4"/>
      <c r="AI112" s="4"/>
      <c r="AJ112" s="4"/>
      <c r="AK112" s="4"/>
      <c r="AL112" s="45"/>
      <c r="AM112" s="179"/>
      <c r="AN112" s="179"/>
      <c r="AO112" s="179"/>
      <c r="AP112" s="179"/>
      <c r="AQ112" s="8"/>
      <c r="AR112" s="179"/>
      <c r="AS112" s="179"/>
      <c r="AT112" s="179"/>
      <c r="AU112" s="179"/>
      <c r="AV112" s="8"/>
      <c r="AW112" s="179"/>
      <c r="AX112" s="179"/>
      <c r="AY112" s="179"/>
      <c r="AZ112" s="179"/>
      <c r="BA112" s="8"/>
      <c r="BB112" s="179"/>
      <c r="BC112" s="179"/>
      <c r="BD112" s="179"/>
      <c r="BE112" s="179"/>
      <c r="BF112" s="8"/>
      <c r="BG112" s="179"/>
      <c r="BH112" s="179"/>
      <c r="BI112" s="179"/>
      <c r="BJ112" s="179"/>
      <c r="BK112" s="8"/>
      <c r="BL112" s="179"/>
      <c r="BM112" s="179"/>
      <c r="BN112" s="179"/>
      <c r="BO112" s="179"/>
      <c r="BP112" s="8"/>
      <c r="BQ112" s="179"/>
      <c r="BR112" s="179"/>
      <c r="BS112" s="179"/>
      <c r="BT112" s="179"/>
      <c r="BU112" s="8"/>
      <c r="BV112" s="179"/>
      <c r="BW112" s="179"/>
      <c r="BX112" s="179"/>
      <c r="BY112" s="179"/>
      <c r="BZ112" s="8"/>
      <c r="CA112" s="179"/>
      <c r="CB112" s="179"/>
      <c r="CC112" s="179"/>
      <c r="CD112" s="179"/>
      <c r="CE112" s="8"/>
      <c r="CF112" s="179"/>
      <c r="CG112" s="179"/>
      <c r="CH112" s="179"/>
      <c r="CI112" s="179"/>
      <c r="CJ112" s="8"/>
      <c r="CK112" s="179"/>
      <c r="CL112" s="179"/>
      <c r="CM112" s="179"/>
      <c r="CN112" s="179"/>
      <c r="CO112" s="8"/>
      <c r="CP112" s="179"/>
      <c r="CQ112" s="179"/>
      <c r="CR112" s="179"/>
      <c r="CS112" s="179"/>
      <c r="CT112" s="8"/>
      <c r="CU112" s="179"/>
      <c r="CV112" s="179"/>
      <c r="CW112" s="179"/>
      <c r="CX112" s="179"/>
      <c r="CY112" s="10"/>
      <c r="CZ112" s="179"/>
      <c r="DA112" s="179"/>
      <c r="DB112" s="179"/>
      <c r="DC112" s="179"/>
      <c r="DD112" s="10"/>
      <c r="DE112" s="179"/>
      <c r="DF112" s="179"/>
      <c r="DG112" s="774"/>
      <c r="DH112" s="179"/>
      <c r="DI112" s="10"/>
      <c r="DJ112" s="774"/>
      <c r="DK112" s="774"/>
      <c r="DL112" s="774"/>
      <c r="DM112" s="179"/>
      <c r="DN112" s="10"/>
      <c r="DO112" s="179"/>
      <c r="DP112" s="179"/>
      <c r="DQ112" s="774"/>
      <c r="DR112" s="774"/>
      <c r="DS112" s="10"/>
      <c r="DT112" s="774"/>
      <c r="DU112" s="774"/>
      <c r="DV112" s="774"/>
      <c r="DW112" s="774"/>
      <c r="DX112" s="10"/>
      <c r="DY112" s="774"/>
      <c r="DZ112" s="774"/>
      <c r="EA112" s="774"/>
      <c r="EB112" s="774"/>
      <c r="EC112" s="10"/>
      <c r="ED112" s="774"/>
      <c r="EE112" s="774"/>
      <c r="EF112" s="774"/>
      <c r="EG112" s="774"/>
      <c r="EH112" s="10"/>
      <c r="EI112" s="775"/>
      <c r="EJ112" s="179"/>
      <c r="EK112" s="179"/>
      <c r="EL112" s="179"/>
      <c r="EM112" s="10"/>
      <c r="EN112" s="179"/>
      <c r="EO112" s="179"/>
      <c r="EP112" s="179"/>
      <c r="EQ112" s="179"/>
      <c r="ER112" s="10"/>
      <c r="ES112" s="179"/>
      <c r="ET112" s="179"/>
      <c r="EU112" s="179"/>
      <c r="EV112" s="179"/>
      <c r="EW112" s="10"/>
      <c r="EX112" s="179"/>
      <c r="EY112" s="179"/>
      <c r="EZ112" s="179"/>
      <c r="FA112" s="179"/>
      <c r="FB112" s="10"/>
      <c r="FC112" s="179"/>
      <c r="FD112" s="179"/>
      <c r="FE112" s="179"/>
      <c r="FF112" s="179"/>
      <c r="FG112" s="10"/>
    </row>
    <row r="113" ht="12.75" customHeight="1">
      <c r="A113" s="4"/>
      <c r="B113" s="4"/>
      <c r="C113" s="4"/>
      <c r="D113" s="4"/>
      <c r="E113" s="4"/>
      <c r="F113" s="4"/>
      <c r="G113" s="4"/>
      <c r="H113" s="4"/>
      <c r="I113" s="4"/>
      <c r="J113" s="4"/>
      <c r="K113" s="4"/>
      <c r="L113" s="4"/>
      <c r="M113" s="4"/>
      <c r="N113" s="4"/>
      <c r="O113" s="4"/>
      <c r="P113" s="4"/>
      <c r="Q113" s="4"/>
      <c r="R113" s="45"/>
      <c r="S113" s="4"/>
      <c r="T113" s="4"/>
      <c r="U113" s="4"/>
      <c r="V113" s="4"/>
      <c r="W113" s="45"/>
      <c r="X113" s="4"/>
      <c r="Y113" s="4"/>
      <c r="Z113" s="4"/>
      <c r="AA113" s="4"/>
      <c r="AB113" s="45"/>
      <c r="AC113" s="179"/>
      <c r="AD113" s="179"/>
      <c r="AE113" s="179"/>
      <c r="AF113" s="179"/>
      <c r="AG113" s="45"/>
      <c r="AH113" s="4"/>
      <c r="AI113" s="4"/>
      <c r="AJ113" s="4"/>
      <c r="AK113" s="4"/>
      <c r="AL113" s="45"/>
      <c r="AM113" s="179"/>
      <c r="AN113" s="179"/>
      <c r="AO113" s="179"/>
      <c r="AP113" s="179"/>
      <c r="AQ113" s="8"/>
      <c r="AR113" s="179"/>
      <c r="AS113" s="179"/>
      <c r="AT113" s="179"/>
      <c r="AU113" s="179"/>
      <c r="AV113" s="8"/>
      <c r="AW113" s="179"/>
      <c r="AX113" s="179"/>
      <c r="AY113" s="179"/>
      <c r="AZ113" s="179"/>
      <c r="BA113" s="8"/>
      <c r="BB113" s="179"/>
      <c r="BC113" s="179"/>
      <c r="BD113" s="179"/>
      <c r="BE113" s="179"/>
      <c r="BF113" s="8"/>
      <c r="BG113" s="179"/>
      <c r="BH113" s="179"/>
      <c r="BI113" s="179"/>
      <c r="BJ113" s="179"/>
      <c r="BK113" s="8"/>
      <c r="BL113" s="179"/>
      <c r="BM113" s="179"/>
      <c r="BN113" s="179"/>
      <c r="BO113" s="179"/>
      <c r="BP113" s="8"/>
      <c r="BQ113" s="179"/>
      <c r="BR113" s="179"/>
      <c r="BS113" s="179"/>
      <c r="BT113" s="179"/>
      <c r="BU113" s="8"/>
      <c r="BV113" s="179"/>
      <c r="BW113" s="179"/>
      <c r="BX113" s="179"/>
      <c r="BY113" s="179"/>
      <c r="BZ113" s="8"/>
      <c r="CA113" s="179"/>
      <c r="CB113" s="179"/>
      <c r="CC113" s="179"/>
      <c r="CD113" s="179"/>
      <c r="CE113" s="8"/>
      <c r="CF113" s="179"/>
      <c r="CG113" s="179"/>
      <c r="CH113" s="179"/>
      <c r="CI113" s="179"/>
      <c r="CJ113" s="8"/>
      <c r="CK113" s="179"/>
      <c r="CL113" s="179"/>
      <c r="CM113" s="179"/>
      <c r="CN113" s="179"/>
      <c r="CO113" s="8"/>
      <c r="CP113" s="179"/>
      <c r="CQ113" s="179"/>
      <c r="CR113" s="179"/>
      <c r="CS113" s="179"/>
      <c r="CT113" s="8"/>
      <c r="CU113" s="179"/>
      <c r="CV113" s="179"/>
      <c r="CW113" s="179"/>
      <c r="CX113" s="179"/>
      <c r="CY113" s="10"/>
      <c r="CZ113" s="179"/>
      <c r="DA113" s="179"/>
      <c r="DB113" s="179"/>
      <c r="DC113" s="179"/>
      <c r="DD113" s="10"/>
      <c r="DE113" s="179"/>
      <c r="DF113" s="179"/>
      <c r="DG113" s="774"/>
      <c r="DH113" s="179"/>
      <c r="DI113" s="10"/>
      <c r="DJ113" s="774"/>
      <c r="DK113" s="774"/>
      <c r="DL113" s="774"/>
      <c r="DM113" s="179"/>
      <c r="DN113" s="10"/>
      <c r="DO113" s="179"/>
      <c r="DP113" s="179"/>
      <c r="DQ113" s="774"/>
      <c r="DR113" s="774"/>
      <c r="DS113" s="10"/>
      <c r="DT113" s="774"/>
      <c r="DU113" s="774"/>
      <c r="DV113" s="774"/>
      <c r="DW113" s="774"/>
      <c r="DX113" s="10"/>
      <c r="DY113" s="774"/>
      <c r="DZ113" s="774"/>
      <c r="EA113" s="774"/>
      <c r="EB113" s="774"/>
      <c r="EC113" s="10"/>
      <c r="ED113" s="774"/>
      <c r="EE113" s="774"/>
      <c r="EF113" s="774"/>
      <c r="EG113" s="774"/>
      <c r="EH113" s="10"/>
      <c r="EI113" s="775"/>
      <c r="EJ113" s="179"/>
      <c r="EK113" s="179"/>
      <c r="EL113" s="179"/>
      <c r="EM113" s="10"/>
      <c r="EN113" s="179"/>
      <c r="EO113" s="179"/>
      <c r="EP113" s="179"/>
      <c r="EQ113" s="179"/>
      <c r="ER113" s="10"/>
      <c r="ES113" s="179"/>
      <c r="ET113" s="179"/>
      <c r="EU113" s="179"/>
      <c r="EV113" s="179"/>
      <c r="EW113" s="10"/>
      <c r="EX113" s="179"/>
      <c r="EY113" s="179"/>
      <c r="EZ113" s="179"/>
      <c r="FA113" s="179"/>
      <c r="FB113" s="10"/>
      <c r="FC113" s="179"/>
      <c r="FD113" s="179"/>
      <c r="FE113" s="179"/>
      <c r="FF113" s="179"/>
      <c r="FG113" s="10"/>
    </row>
    <row r="114" ht="12.75" customHeight="1">
      <c r="A114" s="4"/>
      <c r="B114" s="4"/>
      <c r="C114" s="4"/>
      <c r="D114" s="4"/>
      <c r="E114" s="4"/>
      <c r="F114" s="4"/>
      <c r="G114" s="4"/>
      <c r="H114" s="4"/>
      <c r="I114" s="4"/>
      <c r="J114" s="4"/>
      <c r="K114" s="4"/>
      <c r="L114" s="4"/>
      <c r="M114" s="4"/>
      <c r="N114" s="4"/>
      <c r="O114" s="4"/>
      <c r="P114" s="4"/>
      <c r="Q114" s="4"/>
      <c r="R114" s="45"/>
      <c r="S114" s="4"/>
      <c r="T114" s="4"/>
      <c r="U114" s="4"/>
      <c r="V114" s="4"/>
      <c r="W114" s="45"/>
      <c r="X114" s="4"/>
      <c r="Y114" s="4"/>
      <c r="Z114" s="4"/>
      <c r="AA114" s="4"/>
      <c r="AB114" s="45"/>
      <c r="AC114" s="179"/>
      <c r="AD114" s="179"/>
      <c r="AE114" s="179"/>
      <c r="AF114" s="179"/>
      <c r="AG114" s="45"/>
      <c r="AH114" s="4"/>
      <c r="AI114" s="4"/>
      <c r="AJ114" s="4"/>
      <c r="AK114" s="4"/>
      <c r="AL114" s="45"/>
      <c r="AM114" s="179"/>
      <c r="AN114" s="179"/>
      <c r="AO114" s="179"/>
      <c r="AP114" s="179"/>
      <c r="AQ114" s="8"/>
      <c r="AR114" s="179"/>
      <c r="AS114" s="179"/>
      <c r="AT114" s="179"/>
      <c r="AU114" s="179"/>
      <c r="AV114" s="8"/>
      <c r="AW114" s="179"/>
      <c r="AX114" s="179"/>
      <c r="AY114" s="179"/>
      <c r="AZ114" s="179"/>
      <c r="BA114" s="8"/>
      <c r="BB114" s="179"/>
      <c r="BC114" s="179"/>
      <c r="BD114" s="179"/>
      <c r="BE114" s="179"/>
      <c r="BF114" s="8"/>
      <c r="BG114" s="179"/>
      <c r="BH114" s="179"/>
      <c r="BI114" s="179"/>
      <c r="BJ114" s="179"/>
      <c r="BK114" s="8"/>
      <c r="BL114" s="179"/>
      <c r="BM114" s="179"/>
      <c r="BN114" s="179"/>
      <c r="BO114" s="179"/>
      <c r="BP114" s="8"/>
      <c r="BQ114" s="179"/>
      <c r="BR114" s="179"/>
      <c r="BS114" s="179"/>
      <c r="BT114" s="179"/>
      <c r="BU114" s="8"/>
      <c r="BV114" s="179"/>
      <c r="BW114" s="179"/>
      <c r="BX114" s="179"/>
      <c r="BY114" s="179"/>
      <c r="BZ114" s="8"/>
      <c r="CA114" s="179"/>
      <c r="CB114" s="179"/>
      <c r="CC114" s="179"/>
      <c r="CD114" s="179"/>
      <c r="CE114" s="8"/>
      <c r="CF114" s="179"/>
      <c r="CG114" s="179"/>
      <c r="CH114" s="179"/>
      <c r="CI114" s="179"/>
      <c r="CJ114" s="8"/>
      <c r="CK114" s="179"/>
      <c r="CL114" s="179"/>
      <c r="CM114" s="179"/>
      <c r="CN114" s="179"/>
      <c r="CO114" s="8"/>
      <c r="CP114" s="179"/>
      <c r="CQ114" s="179"/>
      <c r="CR114" s="179"/>
      <c r="CS114" s="179"/>
      <c r="CT114" s="8"/>
      <c r="CU114" s="179"/>
      <c r="CV114" s="179"/>
      <c r="CW114" s="179"/>
      <c r="CX114" s="179"/>
      <c r="CY114" s="10"/>
      <c r="CZ114" s="179"/>
      <c r="DA114" s="179"/>
      <c r="DB114" s="179"/>
      <c r="DC114" s="179"/>
      <c r="DD114" s="10"/>
      <c r="DE114" s="179"/>
      <c r="DF114" s="179"/>
      <c r="DG114" s="774"/>
      <c r="DH114" s="179"/>
      <c r="DI114" s="10"/>
      <c r="DJ114" s="774"/>
      <c r="DK114" s="774"/>
      <c r="DL114" s="774"/>
      <c r="DM114" s="179"/>
      <c r="DN114" s="10"/>
      <c r="DO114" s="179"/>
      <c r="DP114" s="179"/>
      <c r="DQ114" s="774"/>
      <c r="DR114" s="774"/>
      <c r="DS114" s="10"/>
      <c r="DT114" s="774"/>
      <c r="DU114" s="774"/>
      <c r="DV114" s="774"/>
      <c r="DW114" s="774"/>
      <c r="DX114" s="10"/>
      <c r="DY114" s="774"/>
      <c r="DZ114" s="774"/>
      <c r="EA114" s="774"/>
      <c r="EB114" s="774"/>
      <c r="EC114" s="10"/>
      <c r="ED114" s="774"/>
      <c r="EE114" s="774"/>
      <c r="EF114" s="774"/>
      <c r="EG114" s="774"/>
      <c r="EH114" s="10"/>
      <c r="EI114" s="775"/>
      <c r="EJ114" s="179"/>
      <c r="EK114" s="179"/>
      <c r="EL114" s="179"/>
      <c r="EM114" s="10"/>
      <c r="EN114" s="179"/>
      <c r="EO114" s="179"/>
      <c r="EP114" s="179"/>
      <c r="EQ114" s="179"/>
      <c r="ER114" s="10"/>
      <c r="ES114" s="179"/>
      <c r="ET114" s="179"/>
      <c r="EU114" s="179"/>
      <c r="EV114" s="179"/>
      <c r="EW114" s="10"/>
      <c r="EX114" s="179"/>
      <c r="EY114" s="179"/>
      <c r="EZ114" s="179"/>
      <c r="FA114" s="179"/>
      <c r="FB114" s="10"/>
      <c r="FC114" s="179"/>
      <c r="FD114" s="179"/>
      <c r="FE114" s="179"/>
      <c r="FF114" s="179"/>
      <c r="FG114" s="10"/>
    </row>
    <row r="115" ht="12.75" customHeight="1">
      <c r="A115" s="4"/>
      <c r="B115" s="4"/>
      <c r="C115" s="4"/>
      <c r="D115" s="4"/>
      <c r="E115" s="4"/>
      <c r="F115" s="4"/>
      <c r="G115" s="4"/>
      <c r="H115" s="4"/>
      <c r="I115" s="4"/>
      <c r="J115" s="4"/>
      <c r="K115" s="4"/>
      <c r="L115" s="4"/>
      <c r="M115" s="4"/>
      <c r="N115" s="4"/>
      <c r="O115" s="4"/>
      <c r="P115" s="4"/>
      <c r="Q115" s="4"/>
      <c r="R115" s="45"/>
      <c r="S115" s="4"/>
      <c r="T115" s="4"/>
      <c r="U115" s="4"/>
      <c r="V115" s="4"/>
      <c r="W115" s="45"/>
      <c r="X115" s="4"/>
      <c r="Y115" s="4"/>
      <c r="Z115" s="4"/>
      <c r="AA115" s="4"/>
      <c r="AB115" s="45"/>
      <c r="AC115" s="179"/>
      <c r="AD115" s="179"/>
      <c r="AE115" s="179"/>
      <c r="AF115" s="179"/>
      <c r="AG115" s="45"/>
      <c r="AH115" s="4"/>
      <c r="AI115" s="4"/>
      <c r="AJ115" s="4"/>
      <c r="AK115" s="4"/>
      <c r="AL115" s="45"/>
      <c r="AM115" s="179"/>
      <c r="AN115" s="179"/>
      <c r="AO115" s="179"/>
      <c r="AP115" s="179"/>
      <c r="AQ115" s="8"/>
      <c r="AR115" s="179"/>
      <c r="AS115" s="179"/>
      <c r="AT115" s="179"/>
      <c r="AU115" s="179"/>
      <c r="AV115" s="8"/>
      <c r="AW115" s="179"/>
      <c r="AX115" s="179"/>
      <c r="AY115" s="179"/>
      <c r="AZ115" s="179"/>
      <c r="BA115" s="8"/>
      <c r="BB115" s="179"/>
      <c r="BC115" s="179"/>
      <c r="BD115" s="179"/>
      <c r="BE115" s="179"/>
      <c r="BF115" s="8"/>
      <c r="BG115" s="179"/>
      <c r="BH115" s="179"/>
      <c r="BI115" s="179"/>
      <c r="BJ115" s="179"/>
      <c r="BK115" s="8"/>
      <c r="BL115" s="179"/>
      <c r="BM115" s="179"/>
      <c r="BN115" s="179"/>
      <c r="BO115" s="179"/>
      <c r="BP115" s="8"/>
      <c r="BQ115" s="179"/>
      <c r="BR115" s="179"/>
      <c r="BS115" s="179"/>
      <c r="BT115" s="179"/>
      <c r="BU115" s="8"/>
      <c r="BV115" s="179"/>
      <c r="BW115" s="179"/>
      <c r="BX115" s="179"/>
      <c r="BY115" s="179"/>
      <c r="BZ115" s="8"/>
      <c r="CA115" s="179"/>
      <c r="CB115" s="179"/>
      <c r="CC115" s="179"/>
      <c r="CD115" s="179"/>
      <c r="CE115" s="8"/>
      <c r="CF115" s="179"/>
      <c r="CG115" s="179"/>
      <c r="CH115" s="179"/>
      <c r="CI115" s="179"/>
      <c r="CJ115" s="8"/>
      <c r="CK115" s="179"/>
      <c r="CL115" s="179"/>
      <c r="CM115" s="179"/>
      <c r="CN115" s="179"/>
      <c r="CO115" s="8"/>
      <c r="CP115" s="179"/>
      <c r="CQ115" s="179"/>
      <c r="CR115" s="179"/>
      <c r="CS115" s="179"/>
      <c r="CT115" s="8"/>
      <c r="CU115" s="179"/>
      <c r="CV115" s="179"/>
      <c r="CW115" s="179"/>
      <c r="CX115" s="179"/>
      <c r="CY115" s="10"/>
      <c r="CZ115" s="179"/>
      <c r="DA115" s="179"/>
      <c r="DB115" s="179"/>
      <c r="DC115" s="179"/>
      <c r="DD115" s="10"/>
      <c r="DE115" s="179"/>
      <c r="DF115" s="179"/>
      <c r="DG115" s="774"/>
      <c r="DH115" s="179"/>
      <c r="DI115" s="10"/>
      <c r="DJ115" s="774"/>
      <c r="DK115" s="774"/>
      <c r="DL115" s="774"/>
      <c r="DM115" s="179"/>
      <c r="DN115" s="10"/>
      <c r="DO115" s="179"/>
      <c r="DP115" s="179"/>
      <c r="DQ115" s="774"/>
      <c r="DR115" s="774"/>
      <c r="DS115" s="10"/>
      <c r="DT115" s="774"/>
      <c r="DU115" s="774"/>
      <c r="DV115" s="774"/>
      <c r="DW115" s="774"/>
      <c r="DX115" s="10"/>
      <c r="DY115" s="774"/>
      <c r="DZ115" s="774"/>
      <c r="EA115" s="774"/>
      <c r="EB115" s="774"/>
      <c r="EC115" s="10"/>
      <c r="ED115" s="774"/>
      <c r="EE115" s="774"/>
      <c r="EF115" s="774"/>
      <c r="EG115" s="774"/>
      <c r="EH115" s="10"/>
      <c r="EI115" s="775"/>
      <c r="EJ115" s="179"/>
      <c r="EK115" s="179"/>
      <c r="EL115" s="179"/>
      <c r="EM115" s="10"/>
      <c r="EN115" s="179"/>
      <c r="EO115" s="179"/>
      <c r="EP115" s="179"/>
      <c r="EQ115" s="179"/>
      <c r="ER115" s="10"/>
      <c r="ES115" s="179"/>
      <c r="ET115" s="179"/>
      <c r="EU115" s="179"/>
      <c r="EV115" s="179"/>
      <c r="EW115" s="10"/>
      <c r="EX115" s="179"/>
      <c r="EY115" s="179"/>
      <c r="EZ115" s="179"/>
      <c r="FA115" s="179"/>
      <c r="FB115" s="10"/>
      <c r="FC115" s="179"/>
      <c r="FD115" s="179"/>
      <c r="FE115" s="179"/>
      <c r="FF115" s="179"/>
      <c r="FG115" s="10"/>
    </row>
    <row r="116" ht="12.75" customHeight="1">
      <c r="A116" s="4"/>
      <c r="B116" s="4"/>
      <c r="C116" s="4"/>
      <c r="D116" s="4"/>
      <c r="E116" s="4"/>
      <c r="F116" s="4"/>
      <c r="G116" s="4"/>
      <c r="H116" s="4"/>
      <c r="I116" s="4"/>
      <c r="J116" s="4"/>
      <c r="K116" s="4"/>
      <c r="L116" s="4"/>
      <c r="M116" s="4"/>
      <c r="N116" s="4"/>
      <c r="O116" s="4"/>
      <c r="P116" s="4"/>
      <c r="Q116" s="4"/>
      <c r="R116" s="45"/>
      <c r="S116" s="4"/>
      <c r="T116" s="4"/>
      <c r="U116" s="4"/>
      <c r="V116" s="4"/>
      <c r="W116" s="45"/>
      <c r="X116" s="4"/>
      <c r="Y116" s="4"/>
      <c r="Z116" s="4"/>
      <c r="AA116" s="4"/>
      <c r="AB116" s="45"/>
      <c r="AC116" s="179"/>
      <c r="AD116" s="179"/>
      <c r="AE116" s="179"/>
      <c r="AF116" s="179"/>
      <c r="AG116" s="45"/>
      <c r="AH116" s="4"/>
      <c r="AI116" s="4"/>
      <c r="AJ116" s="4"/>
      <c r="AK116" s="4"/>
      <c r="AL116" s="45"/>
      <c r="AM116" s="179"/>
      <c r="AN116" s="179"/>
      <c r="AO116" s="179"/>
      <c r="AP116" s="179"/>
      <c r="AQ116" s="8"/>
      <c r="AR116" s="179"/>
      <c r="AS116" s="179"/>
      <c r="AT116" s="179"/>
      <c r="AU116" s="179"/>
      <c r="AV116" s="8"/>
      <c r="AW116" s="179"/>
      <c r="AX116" s="179"/>
      <c r="AY116" s="179"/>
      <c r="AZ116" s="179"/>
      <c r="BA116" s="8"/>
      <c r="BB116" s="179"/>
      <c r="BC116" s="179"/>
      <c r="BD116" s="179"/>
      <c r="BE116" s="179"/>
      <c r="BF116" s="8"/>
      <c r="BG116" s="179"/>
      <c r="BH116" s="179"/>
      <c r="BI116" s="179"/>
      <c r="BJ116" s="179"/>
      <c r="BK116" s="8"/>
      <c r="BL116" s="179"/>
      <c r="BM116" s="179"/>
      <c r="BN116" s="179"/>
      <c r="BO116" s="179"/>
      <c r="BP116" s="8"/>
      <c r="BQ116" s="179"/>
      <c r="BR116" s="179"/>
      <c r="BS116" s="179"/>
      <c r="BT116" s="179"/>
      <c r="BU116" s="8"/>
      <c r="BV116" s="179"/>
      <c r="BW116" s="179"/>
      <c r="BX116" s="179"/>
      <c r="BY116" s="179"/>
      <c r="BZ116" s="8"/>
      <c r="CA116" s="179"/>
      <c r="CB116" s="179"/>
      <c r="CC116" s="179"/>
      <c r="CD116" s="179"/>
      <c r="CE116" s="8"/>
      <c r="CF116" s="179"/>
      <c r="CG116" s="179"/>
      <c r="CH116" s="179"/>
      <c r="CI116" s="179"/>
      <c r="CJ116" s="8"/>
      <c r="CK116" s="179"/>
      <c r="CL116" s="179"/>
      <c r="CM116" s="179"/>
      <c r="CN116" s="179"/>
      <c r="CO116" s="8"/>
      <c r="CP116" s="179"/>
      <c r="CQ116" s="179"/>
      <c r="CR116" s="179"/>
      <c r="CS116" s="179"/>
      <c r="CT116" s="8"/>
      <c r="CU116" s="179"/>
      <c r="CV116" s="179"/>
      <c r="CW116" s="179"/>
      <c r="CX116" s="179"/>
      <c r="CY116" s="10"/>
      <c r="CZ116" s="179"/>
      <c r="DA116" s="179"/>
      <c r="DB116" s="179"/>
      <c r="DC116" s="179"/>
      <c r="DD116" s="10"/>
      <c r="DE116" s="179"/>
      <c r="DF116" s="179"/>
      <c r="DG116" s="774"/>
      <c r="DH116" s="179"/>
      <c r="DI116" s="10"/>
      <c r="DJ116" s="774"/>
      <c r="DK116" s="774"/>
      <c r="DL116" s="774"/>
      <c r="DM116" s="179"/>
      <c r="DN116" s="10"/>
      <c r="DO116" s="179"/>
      <c r="DP116" s="179"/>
      <c r="DQ116" s="774"/>
      <c r="DR116" s="774"/>
      <c r="DS116" s="10"/>
      <c r="DT116" s="774"/>
      <c r="DU116" s="774"/>
      <c r="DV116" s="774"/>
      <c r="DW116" s="774"/>
      <c r="DX116" s="10"/>
      <c r="DY116" s="774"/>
      <c r="DZ116" s="774"/>
      <c r="EA116" s="774"/>
      <c r="EB116" s="774"/>
      <c r="EC116" s="10"/>
      <c r="ED116" s="774"/>
      <c r="EE116" s="774"/>
      <c r="EF116" s="774"/>
      <c r="EG116" s="774"/>
      <c r="EH116" s="10"/>
      <c r="EI116" s="775"/>
      <c r="EJ116" s="179"/>
      <c r="EK116" s="179"/>
      <c r="EL116" s="179"/>
      <c r="EM116" s="10"/>
      <c r="EN116" s="179"/>
      <c r="EO116" s="179"/>
      <c r="EP116" s="179"/>
      <c r="EQ116" s="179"/>
      <c r="ER116" s="10"/>
      <c r="ES116" s="179"/>
      <c r="ET116" s="179"/>
      <c r="EU116" s="179"/>
      <c r="EV116" s="179"/>
      <c r="EW116" s="10"/>
      <c r="EX116" s="179"/>
      <c r="EY116" s="179"/>
      <c r="EZ116" s="179"/>
      <c r="FA116" s="179"/>
      <c r="FB116" s="10"/>
      <c r="FC116" s="179"/>
      <c r="FD116" s="179"/>
      <c r="FE116" s="179"/>
      <c r="FF116" s="179"/>
      <c r="FG116" s="10"/>
    </row>
    <row r="117" ht="12.75" customHeight="1">
      <c r="A117" s="4"/>
      <c r="B117" s="4"/>
      <c r="C117" s="4"/>
      <c r="D117" s="4"/>
      <c r="E117" s="4"/>
      <c r="F117" s="4"/>
      <c r="G117" s="4"/>
      <c r="H117" s="4"/>
      <c r="I117" s="4"/>
      <c r="J117" s="4"/>
      <c r="K117" s="4"/>
      <c r="L117" s="4"/>
      <c r="M117" s="4"/>
      <c r="N117" s="4"/>
      <c r="O117" s="4"/>
      <c r="P117" s="4"/>
      <c r="Q117" s="4"/>
      <c r="R117" s="45"/>
      <c r="S117" s="4"/>
      <c r="T117" s="4"/>
      <c r="U117" s="4"/>
      <c r="V117" s="4"/>
      <c r="W117" s="45"/>
      <c r="X117" s="4"/>
      <c r="Y117" s="4"/>
      <c r="Z117" s="4"/>
      <c r="AA117" s="4"/>
      <c r="AB117" s="45"/>
      <c r="AC117" s="179"/>
      <c r="AD117" s="179"/>
      <c r="AE117" s="179"/>
      <c r="AF117" s="179"/>
      <c r="AG117" s="45"/>
      <c r="AH117" s="4"/>
      <c r="AI117" s="4"/>
      <c r="AJ117" s="4"/>
      <c r="AK117" s="4"/>
      <c r="AL117" s="45"/>
      <c r="AM117" s="179"/>
      <c r="AN117" s="179"/>
      <c r="AO117" s="179"/>
      <c r="AP117" s="179"/>
      <c r="AQ117" s="8"/>
      <c r="AR117" s="179"/>
      <c r="AS117" s="179"/>
      <c r="AT117" s="179"/>
      <c r="AU117" s="179"/>
      <c r="AV117" s="8"/>
      <c r="AW117" s="179"/>
      <c r="AX117" s="179"/>
      <c r="AY117" s="179"/>
      <c r="AZ117" s="179"/>
      <c r="BA117" s="8"/>
      <c r="BB117" s="179"/>
      <c r="BC117" s="179"/>
      <c r="BD117" s="179"/>
      <c r="BE117" s="179"/>
      <c r="BF117" s="8"/>
      <c r="BG117" s="179"/>
      <c r="BH117" s="179"/>
      <c r="BI117" s="179"/>
      <c r="BJ117" s="179"/>
      <c r="BK117" s="8"/>
      <c r="BL117" s="179"/>
      <c r="BM117" s="179"/>
      <c r="BN117" s="179"/>
      <c r="BO117" s="179"/>
      <c r="BP117" s="8"/>
      <c r="BQ117" s="179"/>
      <c r="BR117" s="179"/>
      <c r="BS117" s="179"/>
      <c r="BT117" s="179"/>
      <c r="BU117" s="8"/>
      <c r="BV117" s="179"/>
      <c r="BW117" s="179"/>
      <c r="BX117" s="179"/>
      <c r="BY117" s="179"/>
      <c r="BZ117" s="8"/>
      <c r="CA117" s="179"/>
      <c r="CB117" s="179"/>
      <c r="CC117" s="179"/>
      <c r="CD117" s="179"/>
      <c r="CE117" s="8"/>
      <c r="CF117" s="179"/>
      <c r="CG117" s="179"/>
      <c r="CH117" s="179"/>
      <c r="CI117" s="179"/>
      <c r="CJ117" s="8"/>
      <c r="CK117" s="179"/>
      <c r="CL117" s="179"/>
      <c r="CM117" s="179"/>
      <c r="CN117" s="179"/>
      <c r="CO117" s="8"/>
      <c r="CP117" s="179"/>
      <c r="CQ117" s="179"/>
      <c r="CR117" s="179"/>
      <c r="CS117" s="179"/>
      <c r="CT117" s="8"/>
      <c r="CU117" s="179"/>
      <c r="CV117" s="179"/>
      <c r="CW117" s="179"/>
      <c r="CX117" s="179"/>
      <c r="CY117" s="10"/>
      <c r="CZ117" s="179"/>
      <c r="DA117" s="179"/>
      <c r="DB117" s="179"/>
      <c r="DC117" s="179"/>
      <c r="DD117" s="10"/>
      <c r="DE117" s="179"/>
      <c r="DF117" s="179"/>
      <c r="DG117" s="774"/>
      <c r="DH117" s="179"/>
      <c r="DI117" s="10"/>
      <c r="DJ117" s="774"/>
      <c r="DK117" s="774"/>
      <c r="DL117" s="774"/>
      <c r="DM117" s="179"/>
      <c r="DN117" s="10"/>
      <c r="DO117" s="179"/>
      <c r="DP117" s="179"/>
      <c r="DQ117" s="774"/>
      <c r="DR117" s="774"/>
      <c r="DS117" s="10"/>
      <c r="DT117" s="774"/>
      <c r="DU117" s="774"/>
      <c r="DV117" s="774"/>
      <c r="DW117" s="774"/>
      <c r="DX117" s="10"/>
      <c r="DY117" s="774"/>
      <c r="DZ117" s="774"/>
      <c r="EA117" s="774"/>
      <c r="EB117" s="774"/>
      <c r="EC117" s="10"/>
      <c r="ED117" s="774"/>
      <c r="EE117" s="774"/>
      <c r="EF117" s="774"/>
      <c r="EG117" s="774"/>
      <c r="EH117" s="10"/>
      <c r="EI117" s="775"/>
      <c r="EJ117" s="179"/>
      <c r="EK117" s="179"/>
      <c r="EL117" s="179"/>
      <c r="EM117" s="10"/>
      <c r="EN117" s="179"/>
      <c r="EO117" s="179"/>
      <c r="EP117" s="179"/>
      <c r="EQ117" s="179"/>
      <c r="ER117" s="10"/>
      <c r="ES117" s="179"/>
      <c r="ET117" s="179"/>
      <c r="EU117" s="179"/>
      <c r="EV117" s="179"/>
      <c r="EW117" s="10"/>
      <c r="EX117" s="179"/>
      <c r="EY117" s="179"/>
      <c r="EZ117" s="179"/>
      <c r="FA117" s="179"/>
      <c r="FB117" s="10"/>
      <c r="FC117" s="179"/>
      <c r="FD117" s="179"/>
      <c r="FE117" s="179"/>
      <c r="FF117" s="179"/>
      <c r="FG117" s="10"/>
    </row>
    <row r="118" ht="12.75" customHeight="1">
      <c r="A118" s="4"/>
      <c r="B118" s="4"/>
      <c r="C118" s="4"/>
      <c r="D118" s="4"/>
      <c r="E118" s="4"/>
      <c r="F118" s="4"/>
      <c r="G118" s="4"/>
      <c r="H118" s="4"/>
      <c r="I118" s="4"/>
      <c r="J118" s="4"/>
      <c r="K118" s="4"/>
      <c r="L118" s="4"/>
      <c r="M118" s="4"/>
      <c r="N118" s="4"/>
      <c r="O118" s="4"/>
      <c r="P118" s="4"/>
      <c r="Q118" s="4"/>
      <c r="R118" s="45"/>
      <c r="S118" s="4"/>
      <c r="T118" s="4"/>
      <c r="U118" s="4"/>
      <c r="V118" s="4"/>
      <c r="W118" s="45"/>
      <c r="X118" s="4"/>
      <c r="Y118" s="4"/>
      <c r="Z118" s="4"/>
      <c r="AA118" s="4"/>
      <c r="AB118" s="45"/>
      <c r="AC118" s="179"/>
      <c r="AD118" s="179"/>
      <c r="AE118" s="179"/>
      <c r="AF118" s="179"/>
      <c r="AG118" s="45"/>
      <c r="AH118" s="4"/>
      <c r="AI118" s="4"/>
      <c r="AJ118" s="4"/>
      <c r="AK118" s="4"/>
      <c r="AL118" s="45"/>
      <c r="AM118" s="179"/>
      <c r="AN118" s="179"/>
      <c r="AO118" s="179"/>
      <c r="AP118" s="179"/>
      <c r="AQ118" s="8"/>
      <c r="AR118" s="179"/>
      <c r="AS118" s="179"/>
      <c r="AT118" s="179"/>
      <c r="AU118" s="179"/>
      <c r="AV118" s="8"/>
      <c r="AW118" s="179"/>
      <c r="AX118" s="179"/>
      <c r="AY118" s="179"/>
      <c r="AZ118" s="179"/>
      <c r="BA118" s="8"/>
      <c r="BB118" s="179"/>
      <c r="BC118" s="179"/>
      <c r="BD118" s="179"/>
      <c r="BE118" s="179"/>
      <c r="BF118" s="8"/>
      <c r="BG118" s="179"/>
      <c r="BH118" s="179"/>
      <c r="BI118" s="179"/>
      <c r="BJ118" s="179"/>
      <c r="BK118" s="8"/>
      <c r="BL118" s="179"/>
      <c r="BM118" s="179"/>
      <c r="BN118" s="179"/>
      <c r="BO118" s="179"/>
      <c r="BP118" s="8"/>
      <c r="BQ118" s="179"/>
      <c r="BR118" s="179"/>
      <c r="BS118" s="179"/>
      <c r="BT118" s="179"/>
      <c r="BU118" s="8"/>
      <c r="BV118" s="179"/>
      <c r="BW118" s="179"/>
      <c r="BX118" s="179"/>
      <c r="BY118" s="179"/>
      <c r="BZ118" s="8"/>
      <c r="CA118" s="179"/>
      <c r="CB118" s="179"/>
      <c r="CC118" s="179"/>
      <c r="CD118" s="179"/>
      <c r="CE118" s="8"/>
      <c r="CF118" s="179"/>
      <c r="CG118" s="179"/>
      <c r="CH118" s="179"/>
      <c r="CI118" s="179"/>
      <c r="CJ118" s="8"/>
      <c r="CK118" s="179"/>
      <c r="CL118" s="179"/>
      <c r="CM118" s="179"/>
      <c r="CN118" s="179"/>
      <c r="CO118" s="8"/>
      <c r="CP118" s="179"/>
      <c r="CQ118" s="179"/>
      <c r="CR118" s="179"/>
      <c r="CS118" s="179"/>
      <c r="CT118" s="8"/>
      <c r="CU118" s="179"/>
      <c r="CV118" s="179"/>
      <c r="CW118" s="179"/>
      <c r="CX118" s="179"/>
      <c r="CY118" s="10"/>
      <c r="CZ118" s="179"/>
      <c r="DA118" s="179"/>
      <c r="DB118" s="179"/>
      <c r="DC118" s="179"/>
      <c r="DD118" s="10"/>
      <c r="DE118" s="179"/>
      <c r="DF118" s="179"/>
      <c r="DG118" s="774"/>
      <c r="DH118" s="179"/>
      <c r="DI118" s="10"/>
      <c r="DJ118" s="774"/>
      <c r="DK118" s="774"/>
      <c r="DL118" s="774"/>
      <c r="DM118" s="179"/>
      <c r="DN118" s="10"/>
      <c r="DO118" s="179"/>
      <c r="DP118" s="179"/>
      <c r="DQ118" s="774"/>
      <c r="DR118" s="774"/>
      <c r="DS118" s="10"/>
      <c r="DT118" s="774"/>
      <c r="DU118" s="774"/>
      <c r="DV118" s="774"/>
      <c r="DW118" s="774"/>
      <c r="DX118" s="10"/>
      <c r="DY118" s="774"/>
      <c r="DZ118" s="774"/>
      <c r="EA118" s="774"/>
      <c r="EB118" s="774"/>
      <c r="EC118" s="10"/>
      <c r="ED118" s="774"/>
      <c r="EE118" s="774"/>
      <c r="EF118" s="774"/>
      <c r="EG118" s="774"/>
      <c r="EH118" s="10"/>
      <c r="EI118" s="775"/>
      <c r="EJ118" s="179"/>
      <c r="EK118" s="179"/>
      <c r="EL118" s="179"/>
      <c r="EM118" s="10"/>
      <c r="EN118" s="179"/>
      <c r="EO118" s="179"/>
      <c r="EP118" s="179"/>
      <c r="EQ118" s="179"/>
      <c r="ER118" s="10"/>
      <c r="ES118" s="179"/>
      <c r="ET118" s="179"/>
      <c r="EU118" s="179"/>
      <c r="EV118" s="179"/>
      <c r="EW118" s="10"/>
      <c r="EX118" s="179"/>
      <c r="EY118" s="179"/>
      <c r="EZ118" s="179"/>
      <c r="FA118" s="179"/>
      <c r="FB118" s="10"/>
      <c r="FC118" s="179"/>
      <c r="FD118" s="179"/>
      <c r="FE118" s="179"/>
      <c r="FF118" s="179"/>
      <c r="FG118" s="10"/>
    </row>
    <row r="119" ht="12.75" customHeight="1">
      <c r="A119" s="4"/>
      <c r="B119" s="4"/>
      <c r="C119" s="4"/>
      <c r="D119" s="4"/>
      <c r="E119" s="4"/>
      <c r="F119" s="4"/>
      <c r="G119" s="4"/>
      <c r="H119" s="4"/>
      <c r="I119" s="4"/>
      <c r="J119" s="4"/>
      <c r="K119" s="4"/>
      <c r="L119" s="4"/>
      <c r="M119" s="4"/>
      <c r="N119" s="4"/>
      <c r="O119" s="4"/>
      <c r="P119" s="4"/>
      <c r="Q119" s="4"/>
      <c r="R119" s="45"/>
      <c r="S119" s="4"/>
      <c r="T119" s="4"/>
      <c r="U119" s="4"/>
      <c r="V119" s="4"/>
      <c r="W119" s="45"/>
      <c r="X119" s="4"/>
      <c r="Y119" s="4"/>
      <c r="Z119" s="4"/>
      <c r="AA119" s="4"/>
      <c r="AB119" s="45"/>
      <c r="AC119" s="179"/>
      <c r="AD119" s="179"/>
      <c r="AE119" s="179"/>
      <c r="AF119" s="179"/>
      <c r="AG119" s="45"/>
      <c r="AH119" s="4"/>
      <c r="AI119" s="4"/>
      <c r="AJ119" s="4"/>
      <c r="AK119" s="4"/>
      <c r="AL119" s="45"/>
      <c r="AM119" s="179"/>
      <c r="AN119" s="179"/>
      <c r="AO119" s="179"/>
      <c r="AP119" s="179"/>
      <c r="AQ119" s="8"/>
      <c r="AR119" s="179"/>
      <c r="AS119" s="179"/>
      <c r="AT119" s="179"/>
      <c r="AU119" s="179"/>
      <c r="AV119" s="8"/>
      <c r="AW119" s="179"/>
      <c r="AX119" s="179"/>
      <c r="AY119" s="179"/>
      <c r="AZ119" s="179"/>
      <c r="BA119" s="8"/>
      <c r="BB119" s="179"/>
      <c r="BC119" s="179"/>
      <c r="BD119" s="179"/>
      <c r="BE119" s="179"/>
      <c r="BF119" s="8"/>
      <c r="BG119" s="179"/>
      <c r="BH119" s="179"/>
      <c r="BI119" s="179"/>
      <c r="BJ119" s="179"/>
      <c r="BK119" s="8"/>
      <c r="BL119" s="179"/>
      <c r="BM119" s="179"/>
      <c r="BN119" s="179"/>
      <c r="BO119" s="179"/>
      <c r="BP119" s="8"/>
      <c r="BQ119" s="179"/>
      <c r="BR119" s="179"/>
      <c r="BS119" s="179"/>
      <c r="BT119" s="179"/>
      <c r="BU119" s="8"/>
      <c r="BV119" s="179"/>
      <c r="BW119" s="179"/>
      <c r="BX119" s="179"/>
      <c r="BY119" s="179"/>
      <c r="BZ119" s="8"/>
      <c r="CA119" s="179"/>
      <c r="CB119" s="179"/>
      <c r="CC119" s="179"/>
      <c r="CD119" s="179"/>
      <c r="CE119" s="8"/>
      <c r="CF119" s="179"/>
      <c r="CG119" s="179"/>
      <c r="CH119" s="179"/>
      <c r="CI119" s="179"/>
      <c r="CJ119" s="8"/>
      <c r="CK119" s="179"/>
      <c r="CL119" s="179"/>
      <c r="CM119" s="179"/>
      <c r="CN119" s="179"/>
      <c r="CO119" s="8"/>
      <c r="CP119" s="179"/>
      <c r="CQ119" s="179"/>
      <c r="CR119" s="179"/>
      <c r="CS119" s="179"/>
      <c r="CT119" s="8"/>
      <c r="CU119" s="179"/>
      <c r="CV119" s="179"/>
      <c r="CW119" s="179"/>
      <c r="CX119" s="179"/>
      <c r="CY119" s="10"/>
      <c r="CZ119" s="179"/>
      <c r="DA119" s="179"/>
      <c r="DB119" s="179"/>
      <c r="DC119" s="179"/>
      <c r="DD119" s="10"/>
      <c r="DE119" s="179"/>
      <c r="DF119" s="179"/>
      <c r="DG119" s="774"/>
      <c r="DH119" s="179"/>
      <c r="DI119" s="10"/>
      <c r="DJ119" s="774"/>
      <c r="DK119" s="774"/>
      <c r="DL119" s="774"/>
      <c r="DM119" s="179"/>
      <c r="DN119" s="10"/>
      <c r="DO119" s="179"/>
      <c r="DP119" s="179"/>
      <c r="DQ119" s="774"/>
      <c r="DR119" s="774"/>
      <c r="DS119" s="10"/>
      <c r="DT119" s="774"/>
      <c r="DU119" s="774"/>
      <c r="DV119" s="774"/>
      <c r="DW119" s="774"/>
      <c r="DX119" s="10"/>
      <c r="DY119" s="774"/>
      <c r="DZ119" s="774"/>
      <c r="EA119" s="774"/>
      <c r="EB119" s="774"/>
      <c r="EC119" s="10"/>
      <c r="ED119" s="774"/>
      <c r="EE119" s="774"/>
      <c r="EF119" s="774"/>
      <c r="EG119" s="774"/>
      <c r="EH119" s="10"/>
      <c r="EI119" s="775"/>
      <c r="EJ119" s="179"/>
      <c r="EK119" s="179"/>
      <c r="EL119" s="179"/>
      <c r="EM119" s="10"/>
      <c r="EN119" s="179"/>
      <c r="EO119" s="179"/>
      <c r="EP119" s="179"/>
      <c r="EQ119" s="179"/>
      <c r="ER119" s="10"/>
      <c r="ES119" s="179"/>
      <c r="ET119" s="179"/>
      <c r="EU119" s="179"/>
      <c r="EV119" s="179"/>
      <c r="EW119" s="10"/>
      <c r="EX119" s="179"/>
      <c r="EY119" s="179"/>
      <c r="EZ119" s="179"/>
      <c r="FA119" s="179"/>
      <c r="FB119" s="10"/>
      <c r="FC119" s="179"/>
      <c r="FD119" s="179"/>
      <c r="FE119" s="179"/>
      <c r="FF119" s="179"/>
      <c r="FG119" s="10"/>
    </row>
    <row r="120" ht="12.75" customHeight="1">
      <c r="A120" s="4"/>
      <c r="B120" s="4"/>
      <c r="C120" s="4"/>
      <c r="D120" s="4"/>
      <c r="E120" s="4"/>
      <c r="F120" s="4"/>
      <c r="G120" s="4"/>
      <c r="H120" s="4"/>
      <c r="I120" s="4"/>
      <c r="J120" s="4"/>
      <c r="K120" s="4"/>
      <c r="L120" s="4"/>
      <c r="M120" s="4"/>
      <c r="N120" s="4"/>
      <c r="O120" s="4"/>
      <c r="P120" s="4"/>
      <c r="Q120" s="4"/>
      <c r="R120" s="45"/>
      <c r="S120" s="4"/>
      <c r="T120" s="4"/>
      <c r="U120" s="4"/>
      <c r="V120" s="4"/>
      <c r="W120" s="45"/>
      <c r="X120" s="4"/>
      <c r="Y120" s="4"/>
      <c r="Z120" s="4"/>
      <c r="AA120" s="4"/>
      <c r="AB120" s="45"/>
      <c r="AC120" s="179"/>
      <c r="AD120" s="179"/>
      <c r="AE120" s="179"/>
      <c r="AF120" s="179"/>
      <c r="AG120" s="45"/>
      <c r="AH120" s="4"/>
      <c r="AI120" s="4"/>
      <c r="AJ120" s="4"/>
      <c r="AK120" s="4"/>
      <c r="AL120" s="45"/>
      <c r="AM120" s="179"/>
      <c r="AN120" s="179"/>
      <c r="AO120" s="179"/>
      <c r="AP120" s="179"/>
      <c r="AQ120" s="8"/>
      <c r="AR120" s="179"/>
      <c r="AS120" s="179"/>
      <c r="AT120" s="179"/>
      <c r="AU120" s="179"/>
      <c r="AV120" s="8"/>
      <c r="AW120" s="179"/>
      <c r="AX120" s="179"/>
      <c r="AY120" s="179"/>
      <c r="AZ120" s="179"/>
      <c r="BA120" s="8"/>
      <c r="BB120" s="179"/>
      <c r="BC120" s="179"/>
      <c r="BD120" s="179"/>
      <c r="BE120" s="179"/>
      <c r="BF120" s="8"/>
      <c r="BG120" s="179"/>
      <c r="BH120" s="179"/>
      <c r="BI120" s="179"/>
      <c r="BJ120" s="179"/>
      <c r="BK120" s="8"/>
      <c r="BL120" s="179"/>
      <c r="BM120" s="179"/>
      <c r="BN120" s="179"/>
      <c r="BO120" s="179"/>
      <c r="BP120" s="8"/>
      <c r="BQ120" s="179"/>
      <c r="BR120" s="179"/>
      <c r="BS120" s="179"/>
      <c r="BT120" s="179"/>
      <c r="BU120" s="8"/>
      <c r="BV120" s="179"/>
      <c r="BW120" s="179"/>
      <c r="BX120" s="179"/>
      <c r="BY120" s="179"/>
      <c r="BZ120" s="8"/>
      <c r="CA120" s="179"/>
      <c r="CB120" s="179"/>
      <c r="CC120" s="179"/>
      <c r="CD120" s="179"/>
      <c r="CE120" s="8"/>
      <c r="CF120" s="179"/>
      <c r="CG120" s="179"/>
      <c r="CH120" s="179"/>
      <c r="CI120" s="179"/>
      <c r="CJ120" s="8"/>
      <c r="CK120" s="179"/>
      <c r="CL120" s="179"/>
      <c r="CM120" s="179"/>
      <c r="CN120" s="179"/>
      <c r="CO120" s="8"/>
      <c r="CP120" s="179"/>
      <c r="CQ120" s="179"/>
      <c r="CR120" s="179"/>
      <c r="CS120" s="179"/>
      <c r="CT120" s="8"/>
      <c r="CU120" s="179"/>
      <c r="CV120" s="179"/>
      <c r="CW120" s="179"/>
      <c r="CX120" s="179"/>
      <c r="CY120" s="10"/>
      <c r="CZ120" s="179"/>
      <c r="DA120" s="179"/>
      <c r="DB120" s="179"/>
      <c r="DC120" s="179"/>
      <c r="DD120" s="10"/>
      <c r="DE120" s="179"/>
      <c r="DF120" s="179"/>
      <c r="DG120" s="774"/>
      <c r="DH120" s="179"/>
      <c r="DI120" s="10"/>
      <c r="DJ120" s="774"/>
      <c r="DK120" s="774"/>
      <c r="DL120" s="774"/>
      <c r="DM120" s="179"/>
      <c r="DN120" s="10"/>
      <c r="DO120" s="179"/>
      <c r="DP120" s="179"/>
      <c r="DQ120" s="774"/>
      <c r="DR120" s="774"/>
      <c r="DS120" s="10"/>
      <c r="DT120" s="774"/>
      <c r="DU120" s="774"/>
      <c r="DV120" s="774"/>
      <c r="DW120" s="774"/>
      <c r="DX120" s="10"/>
      <c r="DY120" s="774"/>
      <c r="DZ120" s="774"/>
      <c r="EA120" s="774"/>
      <c r="EB120" s="774"/>
      <c r="EC120" s="10"/>
      <c r="ED120" s="774"/>
      <c r="EE120" s="774"/>
      <c r="EF120" s="774"/>
      <c r="EG120" s="774"/>
      <c r="EH120" s="10"/>
      <c r="EI120" s="775"/>
      <c r="EJ120" s="179"/>
      <c r="EK120" s="179"/>
      <c r="EL120" s="179"/>
      <c r="EM120" s="10"/>
      <c r="EN120" s="179"/>
      <c r="EO120" s="179"/>
      <c r="EP120" s="179"/>
      <c r="EQ120" s="179"/>
      <c r="ER120" s="10"/>
      <c r="ES120" s="179"/>
      <c r="ET120" s="179"/>
      <c r="EU120" s="179"/>
      <c r="EV120" s="179"/>
      <c r="EW120" s="10"/>
      <c r="EX120" s="179"/>
      <c r="EY120" s="179"/>
      <c r="EZ120" s="179"/>
      <c r="FA120" s="179"/>
      <c r="FB120" s="10"/>
      <c r="FC120" s="179"/>
      <c r="FD120" s="179"/>
      <c r="FE120" s="179"/>
      <c r="FF120" s="179"/>
      <c r="FG120" s="10"/>
    </row>
    <row r="121" ht="12.75" customHeight="1">
      <c r="A121" s="4"/>
      <c r="B121" s="4"/>
      <c r="C121" s="4"/>
      <c r="D121" s="4"/>
      <c r="E121" s="4"/>
      <c r="F121" s="4"/>
      <c r="G121" s="4"/>
      <c r="H121" s="4"/>
      <c r="I121" s="4"/>
      <c r="J121" s="4"/>
      <c r="K121" s="4"/>
      <c r="L121" s="4"/>
      <c r="M121" s="4"/>
      <c r="N121" s="4"/>
      <c r="O121" s="4"/>
      <c r="P121" s="4"/>
      <c r="Q121" s="4"/>
      <c r="R121" s="45"/>
      <c r="S121" s="4"/>
      <c r="T121" s="4"/>
      <c r="U121" s="4"/>
      <c r="V121" s="4"/>
      <c r="W121" s="45"/>
      <c r="X121" s="4"/>
      <c r="Y121" s="4"/>
      <c r="Z121" s="4"/>
      <c r="AA121" s="4"/>
      <c r="AB121" s="45"/>
      <c r="AC121" s="179"/>
      <c r="AD121" s="179"/>
      <c r="AE121" s="179"/>
      <c r="AF121" s="179"/>
      <c r="AG121" s="45"/>
      <c r="AH121" s="4"/>
      <c r="AI121" s="4"/>
      <c r="AJ121" s="4"/>
      <c r="AK121" s="4"/>
      <c r="AL121" s="45"/>
      <c r="AM121" s="179"/>
      <c r="AN121" s="179"/>
      <c r="AO121" s="179"/>
      <c r="AP121" s="179"/>
      <c r="AQ121" s="8"/>
      <c r="AR121" s="179"/>
      <c r="AS121" s="179"/>
      <c r="AT121" s="179"/>
      <c r="AU121" s="179"/>
      <c r="AV121" s="8"/>
      <c r="AW121" s="179"/>
      <c r="AX121" s="179"/>
      <c r="AY121" s="179"/>
      <c r="AZ121" s="179"/>
      <c r="BA121" s="8"/>
      <c r="BB121" s="179"/>
      <c r="BC121" s="179"/>
      <c r="BD121" s="179"/>
      <c r="BE121" s="179"/>
      <c r="BF121" s="8"/>
      <c r="BG121" s="179"/>
      <c r="BH121" s="179"/>
      <c r="BI121" s="179"/>
      <c r="BJ121" s="179"/>
      <c r="BK121" s="8"/>
      <c r="BL121" s="179"/>
      <c r="BM121" s="179"/>
      <c r="BN121" s="179"/>
      <c r="BO121" s="179"/>
      <c r="BP121" s="8"/>
      <c r="BQ121" s="179"/>
      <c r="BR121" s="179"/>
      <c r="BS121" s="179"/>
      <c r="BT121" s="179"/>
      <c r="BU121" s="8"/>
      <c r="BV121" s="179"/>
      <c r="BW121" s="179"/>
      <c r="BX121" s="179"/>
      <c r="BY121" s="179"/>
      <c r="BZ121" s="8"/>
      <c r="CA121" s="179"/>
      <c r="CB121" s="179"/>
      <c r="CC121" s="179"/>
      <c r="CD121" s="179"/>
      <c r="CE121" s="8"/>
      <c r="CF121" s="179"/>
      <c r="CG121" s="179"/>
      <c r="CH121" s="179"/>
      <c r="CI121" s="179"/>
      <c r="CJ121" s="8"/>
      <c r="CK121" s="179"/>
      <c r="CL121" s="179"/>
      <c r="CM121" s="179"/>
      <c r="CN121" s="179"/>
      <c r="CO121" s="8"/>
      <c r="CP121" s="179"/>
      <c r="CQ121" s="179"/>
      <c r="CR121" s="179"/>
      <c r="CS121" s="179"/>
      <c r="CT121" s="8"/>
      <c r="CU121" s="179"/>
      <c r="CV121" s="179"/>
      <c r="CW121" s="179"/>
      <c r="CX121" s="179"/>
      <c r="CY121" s="10"/>
      <c r="CZ121" s="179"/>
      <c r="DA121" s="179"/>
      <c r="DB121" s="179"/>
      <c r="DC121" s="179"/>
      <c r="DD121" s="10"/>
      <c r="DE121" s="179"/>
      <c r="DF121" s="179"/>
      <c r="DG121" s="774"/>
      <c r="DH121" s="179"/>
      <c r="DI121" s="10"/>
      <c r="DJ121" s="774"/>
      <c r="DK121" s="774"/>
      <c r="DL121" s="774"/>
      <c r="DM121" s="179"/>
      <c r="DN121" s="10"/>
      <c r="DO121" s="179"/>
      <c r="DP121" s="179"/>
      <c r="DQ121" s="774"/>
      <c r="DR121" s="774"/>
      <c r="DS121" s="10"/>
      <c r="DT121" s="774"/>
      <c r="DU121" s="774"/>
      <c r="DV121" s="774"/>
      <c r="DW121" s="774"/>
      <c r="DX121" s="10"/>
      <c r="DY121" s="774"/>
      <c r="DZ121" s="774"/>
      <c r="EA121" s="774"/>
      <c r="EB121" s="774"/>
      <c r="EC121" s="10"/>
      <c r="ED121" s="774"/>
      <c r="EE121" s="774"/>
      <c r="EF121" s="774"/>
      <c r="EG121" s="774"/>
      <c r="EH121" s="10"/>
      <c r="EI121" s="775"/>
      <c r="EJ121" s="179"/>
      <c r="EK121" s="179"/>
      <c r="EL121" s="179"/>
      <c r="EM121" s="10"/>
      <c r="EN121" s="179"/>
      <c r="EO121" s="179"/>
      <c r="EP121" s="179"/>
      <c r="EQ121" s="179"/>
      <c r="ER121" s="10"/>
      <c r="ES121" s="179"/>
      <c r="ET121" s="179"/>
      <c r="EU121" s="179"/>
      <c r="EV121" s="179"/>
      <c r="EW121" s="10"/>
      <c r="EX121" s="179"/>
      <c r="EY121" s="179"/>
      <c r="EZ121" s="179"/>
      <c r="FA121" s="179"/>
      <c r="FB121" s="10"/>
      <c r="FC121" s="179"/>
      <c r="FD121" s="179"/>
      <c r="FE121" s="179"/>
      <c r="FF121" s="179"/>
      <c r="FG121" s="10"/>
    </row>
    <row r="122" ht="12.75" customHeight="1">
      <c r="A122" s="4"/>
      <c r="B122" s="4"/>
      <c r="C122" s="4"/>
      <c r="D122" s="4"/>
      <c r="E122" s="4"/>
      <c r="F122" s="4"/>
      <c r="G122" s="4"/>
      <c r="H122" s="4"/>
      <c r="I122" s="4"/>
      <c r="J122" s="4"/>
      <c r="K122" s="4"/>
      <c r="L122" s="4"/>
      <c r="M122" s="4"/>
      <c r="N122" s="4"/>
      <c r="O122" s="4"/>
      <c r="P122" s="4"/>
      <c r="Q122" s="4"/>
      <c r="R122" s="45"/>
      <c r="S122" s="4"/>
      <c r="T122" s="4"/>
      <c r="U122" s="4"/>
      <c r="V122" s="4"/>
      <c r="W122" s="45"/>
      <c r="X122" s="4"/>
      <c r="Y122" s="4"/>
      <c r="Z122" s="4"/>
      <c r="AA122" s="4"/>
      <c r="AB122" s="45"/>
      <c r="AC122" s="179"/>
      <c r="AD122" s="179"/>
      <c r="AE122" s="179"/>
      <c r="AF122" s="179"/>
      <c r="AG122" s="45"/>
      <c r="AH122" s="4"/>
      <c r="AI122" s="4"/>
      <c r="AJ122" s="4"/>
      <c r="AK122" s="4"/>
      <c r="AL122" s="45"/>
      <c r="AM122" s="179"/>
      <c r="AN122" s="179"/>
      <c r="AO122" s="179"/>
      <c r="AP122" s="179"/>
      <c r="AQ122" s="8"/>
      <c r="AR122" s="179"/>
      <c r="AS122" s="179"/>
      <c r="AT122" s="179"/>
      <c r="AU122" s="179"/>
      <c r="AV122" s="8"/>
      <c r="AW122" s="179"/>
      <c r="AX122" s="179"/>
      <c r="AY122" s="179"/>
      <c r="AZ122" s="179"/>
      <c r="BA122" s="8"/>
      <c r="BB122" s="179"/>
      <c r="BC122" s="179"/>
      <c r="BD122" s="179"/>
      <c r="BE122" s="179"/>
      <c r="BF122" s="8"/>
      <c r="BG122" s="179"/>
      <c r="BH122" s="179"/>
      <c r="BI122" s="179"/>
      <c r="BJ122" s="179"/>
      <c r="BK122" s="8"/>
      <c r="BL122" s="179"/>
      <c r="BM122" s="179"/>
      <c r="BN122" s="179"/>
      <c r="BO122" s="179"/>
      <c r="BP122" s="8"/>
      <c r="BQ122" s="179"/>
      <c r="BR122" s="179"/>
      <c r="BS122" s="179"/>
      <c r="BT122" s="179"/>
      <c r="BU122" s="8"/>
      <c r="BV122" s="179"/>
      <c r="BW122" s="179"/>
      <c r="BX122" s="179"/>
      <c r="BY122" s="179"/>
      <c r="BZ122" s="8"/>
      <c r="CA122" s="179"/>
      <c r="CB122" s="179"/>
      <c r="CC122" s="179"/>
      <c r="CD122" s="179"/>
      <c r="CE122" s="8"/>
      <c r="CF122" s="179"/>
      <c r="CG122" s="179"/>
      <c r="CH122" s="179"/>
      <c r="CI122" s="179"/>
      <c r="CJ122" s="8"/>
      <c r="CK122" s="179"/>
      <c r="CL122" s="179"/>
      <c r="CM122" s="179"/>
      <c r="CN122" s="179"/>
      <c r="CO122" s="8"/>
      <c r="CP122" s="179"/>
      <c r="CQ122" s="179"/>
      <c r="CR122" s="179"/>
      <c r="CS122" s="179"/>
      <c r="CT122" s="8"/>
      <c r="CU122" s="179"/>
      <c r="CV122" s="179"/>
      <c r="CW122" s="179"/>
      <c r="CX122" s="179"/>
      <c r="CY122" s="10"/>
      <c r="CZ122" s="179"/>
      <c r="DA122" s="179"/>
      <c r="DB122" s="179"/>
      <c r="DC122" s="179"/>
      <c r="DD122" s="10"/>
      <c r="DE122" s="179"/>
      <c r="DF122" s="179"/>
      <c r="DG122" s="774"/>
      <c r="DH122" s="179"/>
      <c r="DI122" s="10"/>
      <c r="DJ122" s="774"/>
      <c r="DK122" s="774"/>
      <c r="DL122" s="774"/>
      <c r="DM122" s="179"/>
      <c r="DN122" s="10"/>
      <c r="DO122" s="179"/>
      <c r="DP122" s="179"/>
      <c r="DQ122" s="774"/>
      <c r="DR122" s="774"/>
      <c r="DS122" s="10"/>
      <c r="DT122" s="774"/>
      <c r="DU122" s="774"/>
      <c r="DV122" s="774"/>
      <c r="DW122" s="774"/>
      <c r="DX122" s="10"/>
      <c r="DY122" s="774"/>
      <c r="DZ122" s="774"/>
      <c r="EA122" s="774"/>
      <c r="EB122" s="774"/>
      <c r="EC122" s="10"/>
      <c r="ED122" s="774"/>
      <c r="EE122" s="774"/>
      <c r="EF122" s="774"/>
      <c r="EG122" s="774"/>
      <c r="EH122" s="10"/>
      <c r="EI122" s="775"/>
      <c r="EJ122" s="179"/>
      <c r="EK122" s="179"/>
      <c r="EL122" s="179"/>
      <c r="EM122" s="10"/>
      <c r="EN122" s="179"/>
      <c r="EO122" s="179"/>
      <c r="EP122" s="179"/>
      <c r="EQ122" s="179"/>
      <c r="ER122" s="10"/>
      <c r="ES122" s="179"/>
      <c r="ET122" s="179"/>
      <c r="EU122" s="179"/>
      <c r="EV122" s="179"/>
      <c r="EW122" s="10"/>
      <c r="EX122" s="179"/>
      <c r="EY122" s="179"/>
      <c r="EZ122" s="179"/>
      <c r="FA122" s="179"/>
      <c r="FB122" s="10"/>
      <c r="FC122" s="179"/>
      <c r="FD122" s="179"/>
      <c r="FE122" s="179"/>
      <c r="FF122" s="179"/>
      <c r="FG122" s="10"/>
    </row>
    <row r="123" ht="12.75" customHeight="1">
      <c r="A123" s="4"/>
      <c r="B123" s="4"/>
      <c r="C123" s="4"/>
      <c r="D123" s="4"/>
      <c r="E123" s="4"/>
      <c r="F123" s="4"/>
      <c r="G123" s="4"/>
      <c r="H123" s="4"/>
      <c r="I123" s="4"/>
      <c r="J123" s="4"/>
      <c r="K123" s="4"/>
      <c r="L123" s="4"/>
      <c r="M123" s="4"/>
      <c r="N123" s="4"/>
      <c r="O123" s="4"/>
      <c r="P123" s="4"/>
      <c r="Q123" s="4"/>
      <c r="R123" s="45"/>
      <c r="S123" s="4"/>
      <c r="T123" s="4"/>
      <c r="U123" s="4"/>
      <c r="V123" s="4"/>
      <c r="W123" s="45"/>
      <c r="X123" s="4"/>
      <c r="Y123" s="4"/>
      <c r="Z123" s="4"/>
      <c r="AA123" s="4"/>
      <c r="AB123" s="45"/>
      <c r="AC123" s="179"/>
      <c r="AD123" s="179"/>
      <c r="AE123" s="179"/>
      <c r="AF123" s="179"/>
      <c r="AG123" s="45"/>
      <c r="AH123" s="4"/>
      <c r="AI123" s="4"/>
      <c r="AJ123" s="4"/>
      <c r="AK123" s="4"/>
      <c r="AL123" s="45"/>
      <c r="AM123" s="179"/>
      <c r="AN123" s="179"/>
      <c r="AO123" s="179"/>
      <c r="AP123" s="179"/>
      <c r="AQ123" s="8"/>
      <c r="AR123" s="179"/>
      <c r="AS123" s="179"/>
      <c r="AT123" s="179"/>
      <c r="AU123" s="179"/>
      <c r="AV123" s="8"/>
      <c r="AW123" s="179"/>
      <c r="AX123" s="179"/>
      <c r="AY123" s="179"/>
      <c r="AZ123" s="179"/>
      <c r="BA123" s="8"/>
      <c r="BB123" s="179"/>
      <c r="BC123" s="179"/>
      <c r="BD123" s="179"/>
      <c r="BE123" s="179"/>
      <c r="BF123" s="8"/>
      <c r="BG123" s="179"/>
      <c r="BH123" s="179"/>
      <c r="BI123" s="179"/>
      <c r="BJ123" s="179"/>
      <c r="BK123" s="8"/>
      <c r="BL123" s="179"/>
      <c r="BM123" s="179"/>
      <c r="BN123" s="179"/>
      <c r="BO123" s="179"/>
      <c r="BP123" s="8"/>
      <c r="BQ123" s="179"/>
      <c r="BR123" s="179"/>
      <c r="BS123" s="179"/>
      <c r="BT123" s="179"/>
      <c r="BU123" s="8"/>
      <c r="BV123" s="179"/>
      <c r="BW123" s="179"/>
      <c r="BX123" s="179"/>
      <c r="BY123" s="179"/>
      <c r="BZ123" s="8"/>
      <c r="CA123" s="179"/>
      <c r="CB123" s="179"/>
      <c r="CC123" s="179"/>
      <c r="CD123" s="179"/>
      <c r="CE123" s="8"/>
      <c r="CF123" s="179"/>
      <c r="CG123" s="179"/>
      <c r="CH123" s="179"/>
      <c r="CI123" s="179"/>
      <c r="CJ123" s="8"/>
      <c r="CK123" s="179"/>
      <c r="CL123" s="179"/>
      <c r="CM123" s="179"/>
      <c r="CN123" s="179"/>
      <c r="CO123" s="8"/>
      <c r="CP123" s="179"/>
      <c r="CQ123" s="179"/>
      <c r="CR123" s="179"/>
      <c r="CS123" s="179"/>
      <c r="CT123" s="8"/>
      <c r="CU123" s="179"/>
      <c r="CV123" s="179"/>
      <c r="CW123" s="179"/>
      <c r="CX123" s="179"/>
      <c r="CY123" s="10"/>
      <c r="CZ123" s="179"/>
      <c r="DA123" s="179"/>
      <c r="DB123" s="179"/>
      <c r="DC123" s="179"/>
      <c r="DD123" s="10"/>
      <c r="DE123" s="179"/>
      <c r="DF123" s="179"/>
      <c r="DG123" s="774"/>
      <c r="DH123" s="179"/>
      <c r="DI123" s="10"/>
      <c r="DJ123" s="774"/>
      <c r="DK123" s="774"/>
      <c r="DL123" s="774"/>
      <c r="DM123" s="179"/>
      <c r="DN123" s="10"/>
      <c r="DO123" s="179"/>
      <c r="DP123" s="179"/>
      <c r="DQ123" s="774"/>
      <c r="DR123" s="774"/>
      <c r="DS123" s="10"/>
      <c r="DT123" s="774"/>
      <c r="DU123" s="774"/>
      <c r="DV123" s="774"/>
      <c r="DW123" s="774"/>
      <c r="DX123" s="10"/>
      <c r="DY123" s="774"/>
      <c r="DZ123" s="774"/>
      <c r="EA123" s="774"/>
      <c r="EB123" s="774"/>
      <c r="EC123" s="10"/>
      <c r="ED123" s="774"/>
      <c r="EE123" s="774"/>
      <c r="EF123" s="774"/>
      <c r="EG123" s="774"/>
      <c r="EH123" s="10"/>
      <c r="EI123" s="775"/>
      <c r="EJ123" s="179"/>
      <c r="EK123" s="179"/>
      <c r="EL123" s="179"/>
      <c r="EM123" s="10"/>
      <c r="EN123" s="179"/>
      <c r="EO123" s="179"/>
      <c r="EP123" s="179"/>
      <c r="EQ123" s="179"/>
      <c r="ER123" s="10"/>
      <c r="ES123" s="179"/>
      <c r="ET123" s="179"/>
      <c r="EU123" s="179"/>
      <c r="EV123" s="179"/>
      <c r="EW123" s="10"/>
      <c r="EX123" s="179"/>
      <c r="EY123" s="179"/>
      <c r="EZ123" s="179"/>
      <c r="FA123" s="179"/>
      <c r="FB123" s="10"/>
      <c r="FC123" s="179"/>
      <c r="FD123" s="179"/>
      <c r="FE123" s="179"/>
      <c r="FF123" s="179"/>
      <c r="FG123" s="10"/>
    </row>
    <row r="124" ht="12.75" customHeight="1">
      <c r="A124" s="4"/>
      <c r="B124" s="4"/>
      <c r="C124" s="4"/>
      <c r="D124" s="4"/>
      <c r="E124" s="4"/>
      <c r="F124" s="4"/>
      <c r="G124" s="4"/>
      <c r="H124" s="4"/>
      <c r="I124" s="4"/>
      <c r="J124" s="4"/>
      <c r="K124" s="4"/>
      <c r="L124" s="4"/>
      <c r="M124" s="4"/>
      <c r="N124" s="4"/>
      <c r="O124" s="4"/>
      <c r="P124" s="4"/>
      <c r="Q124" s="4"/>
      <c r="R124" s="45"/>
      <c r="S124" s="4"/>
      <c r="T124" s="4"/>
      <c r="U124" s="4"/>
      <c r="V124" s="4"/>
      <c r="W124" s="45"/>
      <c r="X124" s="4"/>
      <c r="Y124" s="4"/>
      <c r="Z124" s="4"/>
      <c r="AA124" s="4"/>
      <c r="AB124" s="45"/>
      <c r="AC124" s="179"/>
      <c r="AD124" s="179"/>
      <c r="AE124" s="179"/>
      <c r="AF124" s="179"/>
      <c r="AG124" s="45"/>
      <c r="AH124" s="4"/>
      <c r="AI124" s="4"/>
      <c r="AJ124" s="4"/>
      <c r="AK124" s="4"/>
      <c r="AL124" s="45"/>
      <c r="AM124" s="179"/>
      <c r="AN124" s="179"/>
      <c r="AO124" s="179"/>
      <c r="AP124" s="179"/>
      <c r="AQ124" s="8"/>
      <c r="AR124" s="179"/>
      <c r="AS124" s="179"/>
      <c r="AT124" s="179"/>
      <c r="AU124" s="179"/>
      <c r="AV124" s="8"/>
      <c r="AW124" s="179"/>
      <c r="AX124" s="179"/>
      <c r="AY124" s="179"/>
      <c r="AZ124" s="179"/>
      <c r="BA124" s="8"/>
      <c r="BB124" s="179"/>
      <c r="BC124" s="179"/>
      <c r="BD124" s="179"/>
      <c r="BE124" s="179"/>
      <c r="BF124" s="8"/>
      <c r="BG124" s="179"/>
      <c r="BH124" s="179"/>
      <c r="BI124" s="179"/>
      <c r="BJ124" s="179"/>
      <c r="BK124" s="8"/>
      <c r="BL124" s="179"/>
      <c r="BM124" s="179"/>
      <c r="BN124" s="179"/>
      <c r="BO124" s="179"/>
      <c r="BP124" s="8"/>
      <c r="BQ124" s="179"/>
      <c r="BR124" s="179"/>
      <c r="BS124" s="179"/>
      <c r="BT124" s="179"/>
      <c r="BU124" s="8"/>
      <c r="BV124" s="179"/>
      <c r="BW124" s="179"/>
      <c r="BX124" s="179"/>
      <c r="BY124" s="179"/>
      <c r="BZ124" s="8"/>
      <c r="CA124" s="179"/>
      <c r="CB124" s="179"/>
      <c r="CC124" s="179"/>
      <c r="CD124" s="179"/>
      <c r="CE124" s="8"/>
      <c r="CF124" s="179"/>
      <c r="CG124" s="179"/>
      <c r="CH124" s="179"/>
      <c r="CI124" s="179"/>
      <c r="CJ124" s="8"/>
      <c r="CK124" s="179"/>
      <c r="CL124" s="179"/>
      <c r="CM124" s="179"/>
      <c r="CN124" s="179"/>
      <c r="CO124" s="8"/>
      <c r="CP124" s="179"/>
      <c r="CQ124" s="179"/>
      <c r="CR124" s="179"/>
      <c r="CS124" s="179"/>
      <c r="CT124" s="8"/>
      <c r="CU124" s="179"/>
      <c r="CV124" s="179"/>
      <c r="CW124" s="179"/>
      <c r="CX124" s="179"/>
      <c r="CY124" s="10"/>
      <c r="CZ124" s="179"/>
      <c r="DA124" s="179"/>
      <c r="DB124" s="179"/>
      <c r="DC124" s="179"/>
      <c r="DD124" s="10"/>
      <c r="DE124" s="179"/>
      <c r="DF124" s="179"/>
      <c r="DG124" s="774"/>
      <c r="DH124" s="179"/>
      <c r="DI124" s="10"/>
      <c r="DJ124" s="774"/>
      <c r="DK124" s="774"/>
      <c r="DL124" s="774"/>
      <c r="DM124" s="179"/>
      <c r="DN124" s="10"/>
      <c r="DO124" s="179"/>
      <c r="DP124" s="179"/>
      <c r="DQ124" s="774"/>
      <c r="DR124" s="774"/>
      <c r="DS124" s="10"/>
      <c r="DT124" s="774"/>
      <c r="DU124" s="774"/>
      <c r="DV124" s="774"/>
      <c r="DW124" s="774"/>
      <c r="DX124" s="10"/>
      <c r="DY124" s="774"/>
      <c r="DZ124" s="774"/>
      <c r="EA124" s="774"/>
      <c r="EB124" s="774"/>
      <c r="EC124" s="10"/>
      <c r="ED124" s="774"/>
      <c r="EE124" s="774"/>
      <c r="EF124" s="774"/>
      <c r="EG124" s="774"/>
      <c r="EH124" s="10"/>
      <c r="EI124" s="775"/>
      <c r="EJ124" s="179"/>
      <c r="EK124" s="179"/>
      <c r="EL124" s="179"/>
      <c r="EM124" s="10"/>
      <c r="EN124" s="179"/>
      <c r="EO124" s="179"/>
      <c r="EP124" s="179"/>
      <c r="EQ124" s="179"/>
      <c r="ER124" s="10"/>
      <c r="ES124" s="179"/>
      <c r="ET124" s="179"/>
      <c r="EU124" s="179"/>
      <c r="EV124" s="179"/>
      <c r="EW124" s="10"/>
      <c r="EX124" s="179"/>
      <c r="EY124" s="179"/>
      <c r="EZ124" s="179"/>
      <c r="FA124" s="179"/>
      <c r="FB124" s="10"/>
      <c r="FC124" s="179"/>
      <c r="FD124" s="179"/>
      <c r="FE124" s="179"/>
      <c r="FF124" s="179"/>
      <c r="FG124" s="10"/>
    </row>
    <row r="125" ht="12.75" customHeight="1">
      <c r="A125" s="4"/>
      <c r="B125" s="4"/>
      <c r="C125" s="4"/>
      <c r="D125" s="4"/>
      <c r="E125" s="4"/>
      <c r="F125" s="4"/>
      <c r="G125" s="4"/>
      <c r="H125" s="4"/>
      <c r="I125" s="4"/>
      <c r="J125" s="4"/>
      <c r="K125" s="4"/>
      <c r="L125" s="4"/>
      <c r="M125" s="4"/>
      <c r="N125" s="4"/>
      <c r="O125" s="4"/>
      <c r="P125" s="4"/>
      <c r="Q125" s="4"/>
      <c r="R125" s="45"/>
      <c r="S125" s="4"/>
      <c r="T125" s="4"/>
      <c r="U125" s="4"/>
      <c r="V125" s="4"/>
      <c r="W125" s="45"/>
      <c r="X125" s="4"/>
      <c r="Y125" s="4"/>
      <c r="Z125" s="4"/>
      <c r="AA125" s="4"/>
      <c r="AB125" s="45"/>
      <c r="AC125" s="179"/>
      <c r="AD125" s="179"/>
      <c r="AE125" s="179"/>
      <c r="AF125" s="179"/>
      <c r="AG125" s="45"/>
      <c r="AH125" s="4"/>
      <c r="AI125" s="4"/>
      <c r="AJ125" s="4"/>
      <c r="AK125" s="4"/>
      <c r="AL125" s="45"/>
      <c r="AM125" s="179"/>
      <c r="AN125" s="179"/>
      <c r="AO125" s="179"/>
      <c r="AP125" s="179"/>
      <c r="AQ125" s="8"/>
      <c r="AR125" s="179"/>
      <c r="AS125" s="179"/>
      <c r="AT125" s="179"/>
      <c r="AU125" s="179"/>
      <c r="AV125" s="8"/>
      <c r="AW125" s="179"/>
      <c r="AX125" s="179"/>
      <c r="AY125" s="179"/>
      <c r="AZ125" s="179"/>
      <c r="BA125" s="8"/>
      <c r="BB125" s="179"/>
      <c r="BC125" s="179"/>
      <c r="BD125" s="179"/>
      <c r="BE125" s="179"/>
      <c r="BF125" s="8"/>
      <c r="BG125" s="179"/>
      <c r="BH125" s="179"/>
      <c r="BI125" s="179"/>
      <c r="BJ125" s="179"/>
      <c r="BK125" s="8"/>
      <c r="BL125" s="179"/>
      <c r="BM125" s="179"/>
      <c r="BN125" s="179"/>
      <c r="BO125" s="179"/>
      <c r="BP125" s="8"/>
      <c r="BQ125" s="179"/>
      <c r="BR125" s="179"/>
      <c r="BS125" s="179"/>
      <c r="BT125" s="179"/>
      <c r="BU125" s="8"/>
      <c r="BV125" s="179"/>
      <c r="BW125" s="179"/>
      <c r="BX125" s="179"/>
      <c r="BY125" s="179"/>
      <c r="BZ125" s="8"/>
      <c r="CA125" s="179"/>
      <c r="CB125" s="179"/>
      <c r="CC125" s="179"/>
      <c r="CD125" s="179"/>
      <c r="CE125" s="8"/>
      <c r="CF125" s="179"/>
      <c r="CG125" s="179"/>
      <c r="CH125" s="179"/>
      <c r="CI125" s="179"/>
      <c r="CJ125" s="8"/>
      <c r="CK125" s="179"/>
      <c r="CL125" s="179"/>
      <c r="CM125" s="179"/>
      <c r="CN125" s="179"/>
      <c r="CO125" s="8"/>
      <c r="CP125" s="179"/>
      <c r="CQ125" s="179"/>
      <c r="CR125" s="179"/>
      <c r="CS125" s="179"/>
      <c r="CT125" s="8"/>
      <c r="CU125" s="179"/>
      <c r="CV125" s="179"/>
      <c r="CW125" s="179"/>
      <c r="CX125" s="179"/>
      <c r="CY125" s="10"/>
      <c r="CZ125" s="179"/>
      <c r="DA125" s="179"/>
      <c r="DB125" s="179"/>
      <c r="DC125" s="179"/>
      <c r="DD125" s="10"/>
      <c r="DE125" s="179"/>
      <c r="DF125" s="179"/>
      <c r="DG125" s="774"/>
      <c r="DH125" s="179"/>
      <c r="DI125" s="10"/>
      <c r="DJ125" s="774"/>
      <c r="DK125" s="774"/>
      <c r="DL125" s="774"/>
      <c r="DM125" s="179"/>
      <c r="DN125" s="10"/>
      <c r="DO125" s="179"/>
      <c r="DP125" s="179"/>
      <c r="DQ125" s="774"/>
      <c r="DR125" s="774"/>
      <c r="DS125" s="10"/>
      <c r="DT125" s="774"/>
      <c r="DU125" s="774"/>
      <c r="DV125" s="774"/>
      <c r="DW125" s="774"/>
      <c r="DX125" s="10"/>
      <c r="DY125" s="774"/>
      <c r="DZ125" s="774"/>
      <c r="EA125" s="774"/>
      <c r="EB125" s="774"/>
      <c r="EC125" s="10"/>
      <c r="ED125" s="774"/>
      <c r="EE125" s="774"/>
      <c r="EF125" s="774"/>
      <c r="EG125" s="774"/>
      <c r="EH125" s="10"/>
      <c r="EI125" s="775"/>
      <c r="EJ125" s="179"/>
      <c r="EK125" s="179"/>
      <c r="EL125" s="179"/>
      <c r="EM125" s="10"/>
      <c r="EN125" s="179"/>
      <c r="EO125" s="179"/>
      <c r="EP125" s="179"/>
      <c r="EQ125" s="179"/>
      <c r="ER125" s="10"/>
      <c r="ES125" s="179"/>
      <c r="ET125" s="179"/>
      <c r="EU125" s="179"/>
      <c r="EV125" s="179"/>
      <c r="EW125" s="10"/>
      <c r="EX125" s="179"/>
      <c r="EY125" s="179"/>
      <c r="EZ125" s="179"/>
      <c r="FA125" s="179"/>
      <c r="FB125" s="10"/>
      <c r="FC125" s="179"/>
      <c r="FD125" s="179"/>
      <c r="FE125" s="179"/>
      <c r="FF125" s="179"/>
      <c r="FG125" s="10"/>
    </row>
    <row r="126" ht="12.75" customHeight="1">
      <c r="A126" s="4"/>
      <c r="B126" s="4"/>
      <c r="C126" s="4"/>
      <c r="D126" s="4"/>
      <c r="E126" s="4"/>
      <c r="F126" s="4"/>
      <c r="G126" s="4"/>
      <c r="H126" s="4"/>
      <c r="I126" s="4"/>
      <c r="J126" s="4"/>
      <c r="K126" s="4"/>
      <c r="L126" s="4"/>
      <c r="M126" s="4"/>
      <c r="N126" s="4"/>
      <c r="O126" s="4"/>
      <c r="P126" s="4"/>
      <c r="Q126" s="4"/>
      <c r="R126" s="45"/>
      <c r="S126" s="4"/>
      <c r="T126" s="4"/>
      <c r="U126" s="4"/>
      <c r="V126" s="4"/>
      <c r="W126" s="45"/>
      <c r="X126" s="4"/>
      <c r="Y126" s="4"/>
      <c r="Z126" s="4"/>
      <c r="AA126" s="4"/>
      <c r="AB126" s="45"/>
      <c r="AC126" s="179"/>
      <c r="AD126" s="179"/>
      <c r="AE126" s="179"/>
      <c r="AF126" s="179"/>
      <c r="AG126" s="45"/>
      <c r="AH126" s="4"/>
      <c r="AI126" s="4"/>
      <c r="AJ126" s="4"/>
      <c r="AK126" s="4"/>
      <c r="AL126" s="45"/>
      <c r="AM126" s="179"/>
      <c r="AN126" s="179"/>
      <c r="AO126" s="179"/>
      <c r="AP126" s="179"/>
      <c r="AQ126" s="8"/>
      <c r="AR126" s="179"/>
      <c r="AS126" s="179"/>
      <c r="AT126" s="179"/>
      <c r="AU126" s="179"/>
      <c r="AV126" s="8"/>
      <c r="AW126" s="179"/>
      <c r="AX126" s="179"/>
      <c r="AY126" s="179"/>
      <c r="AZ126" s="179"/>
      <c r="BA126" s="8"/>
      <c r="BB126" s="179"/>
      <c r="BC126" s="179"/>
      <c r="BD126" s="179"/>
      <c r="BE126" s="179"/>
      <c r="BF126" s="8"/>
      <c r="BG126" s="179"/>
      <c r="BH126" s="179"/>
      <c r="BI126" s="179"/>
      <c r="BJ126" s="179"/>
      <c r="BK126" s="8"/>
      <c r="BL126" s="179"/>
      <c r="BM126" s="179"/>
      <c r="BN126" s="179"/>
      <c r="BO126" s="179"/>
      <c r="BP126" s="8"/>
      <c r="BQ126" s="179"/>
      <c r="BR126" s="179"/>
      <c r="BS126" s="179"/>
      <c r="BT126" s="179"/>
      <c r="BU126" s="8"/>
      <c r="BV126" s="179"/>
      <c r="BW126" s="179"/>
      <c r="BX126" s="179"/>
      <c r="BY126" s="179"/>
      <c r="BZ126" s="8"/>
      <c r="CA126" s="179"/>
      <c r="CB126" s="179"/>
      <c r="CC126" s="179"/>
      <c r="CD126" s="179"/>
      <c r="CE126" s="8"/>
      <c r="CF126" s="179"/>
      <c r="CG126" s="179"/>
      <c r="CH126" s="179"/>
      <c r="CI126" s="179"/>
      <c r="CJ126" s="8"/>
      <c r="CK126" s="179"/>
      <c r="CL126" s="179"/>
      <c r="CM126" s="179"/>
      <c r="CN126" s="179"/>
      <c r="CO126" s="8"/>
      <c r="CP126" s="179"/>
      <c r="CQ126" s="179"/>
      <c r="CR126" s="179"/>
      <c r="CS126" s="179"/>
      <c r="CT126" s="8"/>
      <c r="CU126" s="179"/>
      <c r="CV126" s="179"/>
      <c r="CW126" s="179"/>
      <c r="CX126" s="179"/>
      <c r="CY126" s="10"/>
      <c r="CZ126" s="179"/>
      <c r="DA126" s="179"/>
      <c r="DB126" s="179"/>
      <c r="DC126" s="179"/>
      <c r="DD126" s="10"/>
      <c r="DE126" s="179"/>
      <c r="DF126" s="179"/>
      <c r="DG126" s="774"/>
      <c r="DH126" s="179"/>
      <c r="DI126" s="10"/>
      <c r="DJ126" s="774"/>
      <c r="DK126" s="774"/>
      <c r="DL126" s="774"/>
      <c r="DM126" s="179"/>
      <c r="DN126" s="10"/>
      <c r="DO126" s="179"/>
      <c r="DP126" s="179"/>
      <c r="DQ126" s="774"/>
      <c r="DR126" s="774"/>
      <c r="DS126" s="10"/>
      <c r="DT126" s="774"/>
      <c r="DU126" s="774"/>
      <c r="DV126" s="774"/>
      <c r="DW126" s="774"/>
      <c r="DX126" s="10"/>
      <c r="DY126" s="774"/>
      <c r="DZ126" s="774"/>
      <c r="EA126" s="774"/>
      <c r="EB126" s="774"/>
      <c r="EC126" s="10"/>
      <c r="ED126" s="774"/>
      <c r="EE126" s="774"/>
      <c r="EF126" s="774"/>
      <c r="EG126" s="774"/>
      <c r="EH126" s="10"/>
      <c r="EI126" s="775"/>
      <c r="EJ126" s="179"/>
      <c r="EK126" s="179"/>
      <c r="EL126" s="179"/>
      <c r="EM126" s="10"/>
      <c r="EN126" s="179"/>
      <c r="EO126" s="179"/>
      <c r="EP126" s="179"/>
      <c r="EQ126" s="179"/>
      <c r="ER126" s="10"/>
      <c r="ES126" s="179"/>
      <c r="ET126" s="179"/>
      <c r="EU126" s="179"/>
      <c r="EV126" s="179"/>
      <c r="EW126" s="10"/>
      <c r="EX126" s="179"/>
      <c r="EY126" s="179"/>
      <c r="EZ126" s="179"/>
      <c r="FA126" s="179"/>
      <c r="FB126" s="10"/>
      <c r="FC126" s="179"/>
      <c r="FD126" s="179"/>
      <c r="FE126" s="179"/>
      <c r="FF126" s="179"/>
      <c r="FG126" s="10"/>
    </row>
    <row r="127" ht="12.75" customHeight="1">
      <c r="A127" s="4"/>
      <c r="B127" s="4"/>
      <c r="C127" s="4"/>
      <c r="D127" s="4"/>
      <c r="E127" s="4"/>
      <c r="F127" s="4"/>
      <c r="G127" s="4"/>
      <c r="H127" s="4"/>
      <c r="I127" s="4"/>
      <c r="J127" s="4"/>
      <c r="K127" s="4"/>
      <c r="L127" s="4"/>
      <c r="M127" s="4"/>
      <c r="N127" s="4"/>
      <c r="O127" s="4"/>
      <c r="P127" s="4"/>
      <c r="Q127" s="4"/>
      <c r="R127" s="45"/>
      <c r="S127" s="4"/>
      <c r="T127" s="4"/>
      <c r="U127" s="4"/>
      <c r="V127" s="4"/>
      <c r="W127" s="45"/>
      <c r="X127" s="4"/>
      <c r="Y127" s="4"/>
      <c r="Z127" s="4"/>
      <c r="AA127" s="4"/>
      <c r="AB127" s="45"/>
      <c r="AC127" s="179"/>
      <c r="AD127" s="179"/>
      <c r="AE127" s="179"/>
      <c r="AF127" s="179"/>
      <c r="AG127" s="45"/>
      <c r="AH127" s="4"/>
      <c r="AI127" s="4"/>
      <c r="AJ127" s="4"/>
      <c r="AK127" s="4"/>
      <c r="AL127" s="45"/>
      <c r="AM127" s="179"/>
      <c r="AN127" s="179"/>
      <c r="AO127" s="179"/>
      <c r="AP127" s="179"/>
      <c r="AQ127" s="8"/>
      <c r="AR127" s="179"/>
      <c r="AS127" s="179"/>
      <c r="AT127" s="179"/>
      <c r="AU127" s="179"/>
      <c r="AV127" s="8"/>
      <c r="AW127" s="179"/>
      <c r="AX127" s="179"/>
      <c r="AY127" s="179"/>
      <c r="AZ127" s="179"/>
      <c r="BA127" s="8"/>
      <c r="BB127" s="179"/>
      <c r="BC127" s="179"/>
      <c r="BD127" s="179"/>
      <c r="BE127" s="179"/>
      <c r="BF127" s="8"/>
      <c r="BG127" s="179"/>
      <c r="BH127" s="179"/>
      <c r="BI127" s="179"/>
      <c r="BJ127" s="179"/>
      <c r="BK127" s="8"/>
      <c r="BL127" s="179"/>
      <c r="BM127" s="179"/>
      <c r="BN127" s="179"/>
      <c r="BO127" s="179"/>
      <c r="BP127" s="8"/>
      <c r="BQ127" s="179"/>
      <c r="BR127" s="179"/>
      <c r="BS127" s="179"/>
      <c r="BT127" s="179"/>
      <c r="BU127" s="8"/>
      <c r="BV127" s="179"/>
      <c r="BW127" s="179"/>
      <c r="BX127" s="179"/>
      <c r="BY127" s="179"/>
      <c r="BZ127" s="8"/>
      <c r="CA127" s="179"/>
      <c r="CB127" s="179"/>
      <c r="CC127" s="179"/>
      <c r="CD127" s="179"/>
      <c r="CE127" s="8"/>
      <c r="CF127" s="179"/>
      <c r="CG127" s="179"/>
      <c r="CH127" s="179"/>
      <c r="CI127" s="179"/>
      <c r="CJ127" s="8"/>
      <c r="CK127" s="179"/>
      <c r="CL127" s="179"/>
      <c r="CM127" s="179"/>
      <c r="CN127" s="179"/>
      <c r="CO127" s="8"/>
      <c r="CP127" s="179"/>
      <c r="CQ127" s="179"/>
      <c r="CR127" s="179"/>
      <c r="CS127" s="179"/>
      <c r="CT127" s="8"/>
      <c r="CU127" s="179"/>
      <c r="CV127" s="179"/>
      <c r="CW127" s="179"/>
      <c r="CX127" s="179"/>
      <c r="CY127" s="10"/>
      <c r="CZ127" s="179"/>
      <c r="DA127" s="179"/>
      <c r="DB127" s="179"/>
      <c r="DC127" s="179"/>
      <c r="DD127" s="10"/>
      <c r="DE127" s="179"/>
      <c r="DF127" s="179"/>
      <c r="DG127" s="774"/>
      <c r="DH127" s="179"/>
      <c r="DI127" s="10"/>
      <c r="DJ127" s="774"/>
      <c r="DK127" s="774"/>
      <c r="DL127" s="774"/>
      <c r="DM127" s="179"/>
      <c r="DN127" s="10"/>
      <c r="DO127" s="179"/>
      <c r="DP127" s="179"/>
      <c r="DQ127" s="774"/>
      <c r="DR127" s="774"/>
      <c r="DS127" s="10"/>
      <c r="DT127" s="774"/>
      <c r="DU127" s="774"/>
      <c r="DV127" s="774"/>
      <c r="DW127" s="774"/>
      <c r="DX127" s="10"/>
      <c r="DY127" s="774"/>
      <c r="DZ127" s="774"/>
      <c r="EA127" s="774"/>
      <c r="EB127" s="774"/>
      <c r="EC127" s="10"/>
      <c r="ED127" s="774"/>
      <c r="EE127" s="774"/>
      <c r="EF127" s="774"/>
      <c r="EG127" s="774"/>
      <c r="EH127" s="10"/>
      <c r="EI127" s="775"/>
      <c r="EJ127" s="179"/>
      <c r="EK127" s="179"/>
      <c r="EL127" s="179"/>
      <c r="EM127" s="10"/>
      <c r="EN127" s="179"/>
      <c r="EO127" s="179"/>
      <c r="EP127" s="179"/>
      <c r="EQ127" s="179"/>
      <c r="ER127" s="10"/>
      <c r="ES127" s="179"/>
      <c r="ET127" s="179"/>
      <c r="EU127" s="179"/>
      <c r="EV127" s="179"/>
      <c r="EW127" s="10"/>
      <c r="EX127" s="179"/>
      <c r="EY127" s="179"/>
      <c r="EZ127" s="179"/>
      <c r="FA127" s="179"/>
      <c r="FB127" s="10"/>
      <c r="FC127" s="179"/>
      <c r="FD127" s="179"/>
      <c r="FE127" s="179"/>
      <c r="FF127" s="179"/>
      <c r="FG127" s="10"/>
    </row>
    <row r="128" ht="12.75" customHeight="1">
      <c r="A128" s="4"/>
      <c r="B128" s="4"/>
      <c r="C128" s="4"/>
      <c r="D128" s="4"/>
      <c r="E128" s="4"/>
      <c r="F128" s="4"/>
      <c r="G128" s="4"/>
      <c r="H128" s="4"/>
      <c r="I128" s="4"/>
      <c r="J128" s="4"/>
      <c r="K128" s="4"/>
      <c r="L128" s="4"/>
      <c r="M128" s="4"/>
      <c r="N128" s="4"/>
      <c r="O128" s="4"/>
      <c r="P128" s="4"/>
      <c r="Q128" s="4"/>
      <c r="R128" s="45"/>
      <c r="S128" s="4"/>
      <c r="T128" s="4"/>
      <c r="U128" s="4"/>
      <c r="V128" s="4"/>
      <c r="W128" s="45"/>
      <c r="X128" s="4"/>
      <c r="Y128" s="4"/>
      <c r="Z128" s="4"/>
      <c r="AA128" s="4"/>
      <c r="AB128" s="45"/>
      <c r="AC128" s="179"/>
      <c r="AD128" s="179"/>
      <c r="AE128" s="179"/>
      <c r="AF128" s="179"/>
      <c r="AG128" s="45"/>
      <c r="AH128" s="4"/>
      <c r="AI128" s="4"/>
      <c r="AJ128" s="4"/>
      <c r="AK128" s="4"/>
      <c r="AL128" s="45"/>
      <c r="AM128" s="179"/>
      <c r="AN128" s="179"/>
      <c r="AO128" s="179"/>
      <c r="AP128" s="179"/>
      <c r="AQ128" s="8"/>
      <c r="AR128" s="179"/>
      <c r="AS128" s="179"/>
      <c r="AT128" s="179"/>
      <c r="AU128" s="179"/>
      <c r="AV128" s="8"/>
      <c r="AW128" s="179"/>
      <c r="AX128" s="179"/>
      <c r="AY128" s="179"/>
      <c r="AZ128" s="179"/>
      <c r="BA128" s="8"/>
      <c r="BB128" s="179"/>
      <c r="BC128" s="179"/>
      <c r="BD128" s="179"/>
      <c r="BE128" s="179"/>
      <c r="BF128" s="8"/>
      <c r="BG128" s="179"/>
      <c r="BH128" s="179"/>
      <c r="BI128" s="179"/>
      <c r="BJ128" s="179"/>
      <c r="BK128" s="8"/>
      <c r="BL128" s="179"/>
      <c r="BM128" s="179"/>
      <c r="BN128" s="179"/>
      <c r="BO128" s="179"/>
      <c r="BP128" s="8"/>
      <c r="BQ128" s="179"/>
      <c r="BR128" s="179"/>
      <c r="BS128" s="179"/>
      <c r="BT128" s="179"/>
      <c r="BU128" s="8"/>
      <c r="BV128" s="179"/>
      <c r="BW128" s="179"/>
      <c r="BX128" s="179"/>
      <c r="BY128" s="179"/>
      <c r="BZ128" s="8"/>
      <c r="CA128" s="179"/>
      <c r="CB128" s="179"/>
      <c r="CC128" s="179"/>
      <c r="CD128" s="179"/>
      <c r="CE128" s="8"/>
      <c r="CF128" s="179"/>
      <c r="CG128" s="179"/>
      <c r="CH128" s="179"/>
      <c r="CI128" s="179"/>
      <c r="CJ128" s="8"/>
      <c r="CK128" s="179"/>
      <c r="CL128" s="179"/>
      <c r="CM128" s="179"/>
      <c r="CN128" s="179"/>
      <c r="CO128" s="8"/>
      <c r="CP128" s="179"/>
      <c r="CQ128" s="179"/>
      <c r="CR128" s="179"/>
      <c r="CS128" s="179"/>
      <c r="CT128" s="8"/>
      <c r="CU128" s="179"/>
      <c r="CV128" s="179"/>
      <c r="CW128" s="179"/>
      <c r="CX128" s="179"/>
      <c r="CY128" s="10"/>
      <c r="CZ128" s="179"/>
      <c r="DA128" s="179"/>
      <c r="DB128" s="179"/>
      <c r="DC128" s="179"/>
      <c r="DD128" s="10"/>
      <c r="DE128" s="179"/>
      <c r="DF128" s="179"/>
      <c r="DG128" s="774"/>
      <c r="DH128" s="179"/>
      <c r="DI128" s="10"/>
      <c r="DJ128" s="774"/>
      <c r="DK128" s="774"/>
      <c r="DL128" s="774"/>
      <c r="DM128" s="179"/>
      <c r="DN128" s="10"/>
      <c r="DO128" s="179"/>
      <c r="DP128" s="179"/>
      <c r="DQ128" s="774"/>
      <c r="DR128" s="774"/>
      <c r="DS128" s="10"/>
      <c r="DT128" s="774"/>
      <c r="DU128" s="774"/>
      <c r="DV128" s="774"/>
      <c r="DW128" s="774"/>
      <c r="DX128" s="10"/>
      <c r="DY128" s="774"/>
      <c r="DZ128" s="774"/>
      <c r="EA128" s="774"/>
      <c r="EB128" s="774"/>
      <c r="EC128" s="10"/>
      <c r="ED128" s="774"/>
      <c r="EE128" s="774"/>
      <c r="EF128" s="774"/>
      <c r="EG128" s="774"/>
      <c r="EH128" s="10"/>
      <c r="EI128" s="775"/>
      <c r="EJ128" s="179"/>
      <c r="EK128" s="179"/>
      <c r="EL128" s="179"/>
      <c r="EM128" s="10"/>
      <c r="EN128" s="179"/>
      <c r="EO128" s="179"/>
      <c r="EP128" s="179"/>
      <c r="EQ128" s="179"/>
      <c r="ER128" s="10"/>
      <c r="ES128" s="179"/>
      <c r="ET128" s="179"/>
      <c r="EU128" s="179"/>
      <c r="EV128" s="179"/>
      <c r="EW128" s="10"/>
      <c r="EX128" s="179"/>
      <c r="EY128" s="179"/>
      <c r="EZ128" s="179"/>
      <c r="FA128" s="179"/>
      <c r="FB128" s="10"/>
      <c r="FC128" s="179"/>
      <c r="FD128" s="179"/>
      <c r="FE128" s="179"/>
      <c r="FF128" s="179"/>
      <c r="FG128" s="10"/>
    </row>
    <row r="129" ht="12.75" customHeight="1">
      <c r="A129" s="4"/>
      <c r="B129" s="4"/>
      <c r="C129" s="4"/>
      <c r="D129" s="4"/>
      <c r="E129" s="4"/>
      <c r="F129" s="4"/>
      <c r="G129" s="4"/>
      <c r="H129" s="4"/>
      <c r="I129" s="4"/>
      <c r="J129" s="4"/>
      <c r="K129" s="4"/>
      <c r="L129" s="4"/>
      <c r="M129" s="4"/>
      <c r="N129" s="4"/>
      <c r="O129" s="4"/>
      <c r="P129" s="4"/>
      <c r="Q129" s="4"/>
      <c r="R129" s="45"/>
      <c r="S129" s="4"/>
      <c r="T129" s="4"/>
      <c r="U129" s="4"/>
      <c r="V129" s="4"/>
      <c r="W129" s="45"/>
      <c r="X129" s="4"/>
      <c r="Y129" s="4"/>
      <c r="Z129" s="4"/>
      <c r="AA129" s="4"/>
      <c r="AB129" s="45"/>
      <c r="AC129" s="179"/>
      <c r="AD129" s="179"/>
      <c r="AE129" s="179"/>
      <c r="AF129" s="179"/>
      <c r="AG129" s="45"/>
      <c r="AH129" s="4"/>
      <c r="AI129" s="4"/>
      <c r="AJ129" s="4"/>
      <c r="AK129" s="4"/>
      <c r="AL129" s="45"/>
      <c r="AM129" s="179"/>
      <c r="AN129" s="179"/>
      <c r="AO129" s="179"/>
      <c r="AP129" s="179"/>
      <c r="AQ129" s="8"/>
      <c r="AR129" s="179"/>
      <c r="AS129" s="179"/>
      <c r="AT129" s="179"/>
      <c r="AU129" s="179"/>
      <c r="AV129" s="8"/>
      <c r="AW129" s="179"/>
      <c r="AX129" s="179"/>
      <c r="AY129" s="179"/>
      <c r="AZ129" s="179"/>
      <c r="BA129" s="8"/>
      <c r="BB129" s="179"/>
      <c r="BC129" s="179"/>
      <c r="BD129" s="179"/>
      <c r="BE129" s="179"/>
      <c r="BF129" s="8"/>
      <c r="BG129" s="179"/>
      <c r="BH129" s="179"/>
      <c r="BI129" s="179"/>
      <c r="BJ129" s="179"/>
      <c r="BK129" s="8"/>
      <c r="BL129" s="179"/>
      <c r="BM129" s="179"/>
      <c r="BN129" s="179"/>
      <c r="BO129" s="179"/>
      <c r="BP129" s="8"/>
      <c r="BQ129" s="179"/>
      <c r="BR129" s="179"/>
      <c r="BS129" s="179"/>
      <c r="BT129" s="179"/>
      <c r="BU129" s="8"/>
      <c r="BV129" s="179"/>
      <c r="BW129" s="179"/>
      <c r="BX129" s="179"/>
      <c r="BY129" s="179"/>
      <c r="BZ129" s="8"/>
      <c r="CA129" s="179"/>
      <c r="CB129" s="179"/>
      <c r="CC129" s="179"/>
      <c r="CD129" s="179"/>
      <c r="CE129" s="8"/>
      <c r="CF129" s="179"/>
      <c r="CG129" s="179"/>
      <c r="CH129" s="179"/>
      <c r="CI129" s="179"/>
      <c r="CJ129" s="8"/>
      <c r="CK129" s="179"/>
      <c r="CL129" s="179"/>
      <c r="CM129" s="179"/>
      <c r="CN129" s="179"/>
      <c r="CO129" s="8"/>
      <c r="CP129" s="179"/>
      <c r="CQ129" s="179"/>
      <c r="CR129" s="179"/>
      <c r="CS129" s="179"/>
      <c r="CT129" s="8"/>
      <c r="CU129" s="179"/>
      <c r="CV129" s="179"/>
      <c r="CW129" s="179"/>
      <c r="CX129" s="179"/>
      <c r="CY129" s="10"/>
      <c r="CZ129" s="179"/>
      <c r="DA129" s="179"/>
      <c r="DB129" s="179"/>
      <c r="DC129" s="179"/>
      <c r="DD129" s="10"/>
      <c r="DE129" s="179"/>
      <c r="DF129" s="179"/>
      <c r="DG129" s="774"/>
      <c r="DH129" s="179"/>
      <c r="DI129" s="10"/>
      <c r="DJ129" s="774"/>
      <c r="DK129" s="774"/>
      <c r="DL129" s="774"/>
      <c r="DM129" s="179"/>
      <c r="DN129" s="10"/>
      <c r="DO129" s="179"/>
      <c r="DP129" s="179"/>
      <c r="DQ129" s="774"/>
      <c r="DR129" s="774"/>
      <c r="DS129" s="10"/>
      <c r="DT129" s="774"/>
      <c r="DU129" s="774"/>
      <c r="DV129" s="774"/>
      <c r="DW129" s="774"/>
      <c r="DX129" s="10"/>
      <c r="DY129" s="774"/>
      <c r="DZ129" s="774"/>
      <c r="EA129" s="774"/>
      <c r="EB129" s="774"/>
      <c r="EC129" s="10"/>
      <c r="ED129" s="774"/>
      <c r="EE129" s="774"/>
      <c r="EF129" s="774"/>
      <c r="EG129" s="774"/>
      <c r="EH129" s="10"/>
      <c r="EI129" s="775"/>
      <c r="EJ129" s="179"/>
      <c r="EK129" s="179"/>
      <c r="EL129" s="179"/>
      <c r="EM129" s="10"/>
      <c r="EN129" s="179"/>
      <c r="EO129" s="179"/>
      <c r="EP129" s="179"/>
      <c r="EQ129" s="179"/>
      <c r="ER129" s="10"/>
      <c r="ES129" s="179"/>
      <c r="ET129" s="179"/>
      <c r="EU129" s="179"/>
      <c r="EV129" s="179"/>
      <c r="EW129" s="10"/>
      <c r="EX129" s="179"/>
      <c r="EY129" s="179"/>
      <c r="EZ129" s="179"/>
      <c r="FA129" s="179"/>
      <c r="FB129" s="10"/>
      <c r="FC129" s="179"/>
      <c r="FD129" s="179"/>
      <c r="FE129" s="179"/>
      <c r="FF129" s="179"/>
      <c r="FG129" s="10"/>
    </row>
    <row r="130" ht="12.75" customHeight="1">
      <c r="A130" s="4"/>
      <c r="B130" s="4"/>
      <c r="C130" s="4"/>
      <c r="D130" s="4"/>
      <c r="E130" s="4"/>
      <c r="F130" s="4"/>
      <c r="G130" s="4"/>
      <c r="H130" s="4"/>
      <c r="I130" s="4"/>
      <c r="J130" s="4"/>
      <c r="K130" s="4"/>
      <c r="L130" s="4"/>
      <c r="M130" s="4"/>
      <c r="N130" s="4"/>
      <c r="O130" s="4"/>
      <c r="P130" s="4"/>
      <c r="Q130" s="4"/>
      <c r="R130" s="45"/>
      <c r="S130" s="4"/>
      <c r="T130" s="4"/>
      <c r="U130" s="4"/>
      <c r="V130" s="4"/>
      <c r="W130" s="45"/>
      <c r="X130" s="4"/>
      <c r="Y130" s="4"/>
      <c r="Z130" s="4"/>
      <c r="AA130" s="4"/>
      <c r="AB130" s="45"/>
      <c r="AC130" s="179"/>
      <c r="AD130" s="179"/>
      <c r="AE130" s="179"/>
      <c r="AF130" s="179"/>
      <c r="AG130" s="45"/>
      <c r="AH130" s="4"/>
      <c r="AI130" s="4"/>
      <c r="AJ130" s="4"/>
      <c r="AK130" s="4"/>
      <c r="AL130" s="45"/>
      <c r="AM130" s="179"/>
      <c r="AN130" s="179"/>
      <c r="AO130" s="179"/>
      <c r="AP130" s="179"/>
      <c r="AQ130" s="8"/>
      <c r="AR130" s="179"/>
      <c r="AS130" s="179"/>
      <c r="AT130" s="179"/>
      <c r="AU130" s="179"/>
      <c r="AV130" s="8"/>
      <c r="AW130" s="179"/>
      <c r="AX130" s="179"/>
      <c r="AY130" s="179"/>
      <c r="AZ130" s="179"/>
      <c r="BA130" s="8"/>
      <c r="BB130" s="179"/>
      <c r="BC130" s="179"/>
      <c r="BD130" s="179"/>
      <c r="BE130" s="179"/>
      <c r="BF130" s="8"/>
      <c r="BG130" s="179"/>
      <c r="BH130" s="179"/>
      <c r="BI130" s="179"/>
      <c r="BJ130" s="179"/>
      <c r="BK130" s="8"/>
      <c r="BL130" s="179"/>
      <c r="BM130" s="179"/>
      <c r="BN130" s="179"/>
      <c r="BO130" s="179"/>
      <c r="BP130" s="8"/>
      <c r="BQ130" s="179"/>
      <c r="BR130" s="179"/>
      <c r="BS130" s="179"/>
      <c r="BT130" s="179"/>
      <c r="BU130" s="8"/>
      <c r="BV130" s="179"/>
      <c r="BW130" s="179"/>
      <c r="BX130" s="179"/>
      <c r="BY130" s="179"/>
      <c r="BZ130" s="8"/>
      <c r="CA130" s="179"/>
      <c r="CB130" s="179"/>
      <c r="CC130" s="179"/>
      <c r="CD130" s="179"/>
      <c r="CE130" s="8"/>
      <c r="CF130" s="179"/>
      <c r="CG130" s="179"/>
      <c r="CH130" s="179"/>
      <c r="CI130" s="179"/>
      <c r="CJ130" s="8"/>
      <c r="CK130" s="179"/>
      <c r="CL130" s="179"/>
      <c r="CM130" s="179"/>
      <c r="CN130" s="179"/>
      <c r="CO130" s="8"/>
      <c r="CP130" s="179"/>
      <c r="CQ130" s="179"/>
      <c r="CR130" s="179"/>
      <c r="CS130" s="179"/>
      <c r="CT130" s="8"/>
      <c r="CU130" s="179"/>
      <c r="CV130" s="179"/>
      <c r="CW130" s="179"/>
      <c r="CX130" s="179"/>
      <c r="CY130" s="10"/>
      <c r="CZ130" s="179"/>
      <c r="DA130" s="179"/>
      <c r="DB130" s="179"/>
      <c r="DC130" s="179"/>
      <c r="DD130" s="10"/>
      <c r="DE130" s="179"/>
      <c r="DF130" s="179"/>
      <c r="DG130" s="774"/>
      <c r="DH130" s="179"/>
      <c r="DI130" s="10"/>
      <c r="DJ130" s="774"/>
      <c r="DK130" s="774"/>
      <c r="DL130" s="774"/>
      <c r="DM130" s="179"/>
      <c r="DN130" s="10"/>
      <c r="DO130" s="179"/>
      <c r="DP130" s="179"/>
      <c r="DQ130" s="774"/>
      <c r="DR130" s="774"/>
      <c r="DS130" s="10"/>
      <c r="DT130" s="774"/>
      <c r="DU130" s="774"/>
      <c r="DV130" s="774"/>
      <c r="DW130" s="774"/>
      <c r="DX130" s="10"/>
      <c r="DY130" s="774"/>
      <c r="DZ130" s="774"/>
      <c r="EA130" s="774"/>
      <c r="EB130" s="774"/>
      <c r="EC130" s="10"/>
      <c r="ED130" s="774"/>
      <c r="EE130" s="774"/>
      <c r="EF130" s="774"/>
      <c r="EG130" s="774"/>
      <c r="EH130" s="10"/>
      <c r="EI130" s="775"/>
      <c r="EJ130" s="179"/>
      <c r="EK130" s="179"/>
      <c r="EL130" s="179"/>
      <c r="EM130" s="10"/>
      <c r="EN130" s="179"/>
      <c r="EO130" s="179"/>
      <c r="EP130" s="179"/>
      <c r="EQ130" s="179"/>
      <c r="ER130" s="10"/>
      <c r="ES130" s="179"/>
      <c r="ET130" s="179"/>
      <c r="EU130" s="179"/>
      <c r="EV130" s="179"/>
      <c r="EW130" s="10"/>
      <c r="EX130" s="179"/>
      <c r="EY130" s="179"/>
      <c r="EZ130" s="179"/>
      <c r="FA130" s="179"/>
      <c r="FB130" s="10"/>
      <c r="FC130" s="179"/>
      <c r="FD130" s="179"/>
      <c r="FE130" s="179"/>
      <c r="FF130" s="179"/>
      <c r="FG130" s="10"/>
    </row>
    <row r="131" ht="12.75" customHeight="1">
      <c r="A131" s="4"/>
      <c r="B131" s="4"/>
      <c r="C131" s="4"/>
      <c r="D131" s="4"/>
      <c r="E131" s="4"/>
      <c r="F131" s="4"/>
      <c r="G131" s="4"/>
      <c r="H131" s="4"/>
      <c r="I131" s="4"/>
      <c r="J131" s="4"/>
      <c r="K131" s="4"/>
      <c r="L131" s="4"/>
      <c r="M131" s="4"/>
      <c r="N131" s="4"/>
      <c r="O131" s="4"/>
      <c r="P131" s="4"/>
      <c r="Q131" s="4"/>
      <c r="R131" s="45"/>
      <c r="S131" s="4"/>
      <c r="T131" s="4"/>
      <c r="U131" s="4"/>
      <c r="V131" s="4"/>
      <c r="W131" s="45"/>
      <c r="X131" s="4"/>
      <c r="Y131" s="4"/>
      <c r="Z131" s="4"/>
      <c r="AA131" s="4"/>
      <c r="AB131" s="45"/>
      <c r="AC131" s="179"/>
      <c r="AD131" s="179"/>
      <c r="AE131" s="179"/>
      <c r="AF131" s="179"/>
      <c r="AG131" s="45"/>
      <c r="AH131" s="4"/>
      <c r="AI131" s="4"/>
      <c r="AJ131" s="4"/>
      <c r="AK131" s="4"/>
      <c r="AL131" s="45"/>
      <c r="AM131" s="179"/>
      <c r="AN131" s="179"/>
      <c r="AO131" s="179"/>
      <c r="AP131" s="179"/>
      <c r="AQ131" s="8"/>
      <c r="AR131" s="179"/>
      <c r="AS131" s="179"/>
      <c r="AT131" s="179"/>
      <c r="AU131" s="179"/>
      <c r="AV131" s="8"/>
      <c r="AW131" s="179"/>
      <c r="AX131" s="179"/>
      <c r="AY131" s="179"/>
      <c r="AZ131" s="179"/>
      <c r="BA131" s="8"/>
      <c r="BB131" s="179"/>
      <c r="BC131" s="179"/>
      <c r="BD131" s="179"/>
      <c r="BE131" s="179"/>
      <c r="BF131" s="8"/>
      <c r="BG131" s="179"/>
      <c r="BH131" s="179"/>
      <c r="BI131" s="179"/>
      <c r="BJ131" s="179"/>
      <c r="BK131" s="8"/>
      <c r="BL131" s="179"/>
      <c r="BM131" s="179"/>
      <c r="BN131" s="179"/>
      <c r="BO131" s="179"/>
      <c r="BP131" s="8"/>
      <c r="BQ131" s="179"/>
      <c r="BR131" s="179"/>
      <c r="BS131" s="179"/>
      <c r="BT131" s="179"/>
      <c r="BU131" s="8"/>
      <c r="BV131" s="179"/>
      <c r="BW131" s="179"/>
      <c r="BX131" s="179"/>
      <c r="BY131" s="179"/>
      <c r="BZ131" s="8"/>
      <c r="CA131" s="179"/>
      <c r="CB131" s="179"/>
      <c r="CC131" s="179"/>
      <c r="CD131" s="179"/>
      <c r="CE131" s="8"/>
      <c r="CF131" s="179"/>
      <c r="CG131" s="179"/>
      <c r="CH131" s="179"/>
      <c r="CI131" s="179"/>
      <c r="CJ131" s="8"/>
      <c r="CK131" s="179"/>
      <c r="CL131" s="179"/>
      <c r="CM131" s="179"/>
      <c r="CN131" s="179"/>
      <c r="CO131" s="8"/>
      <c r="CP131" s="179"/>
      <c r="CQ131" s="179"/>
      <c r="CR131" s="179"/>
      <c r="CS131" s="179"/>
      <c r="CT131" s="8"/>
      <c r="CU131" s="179"/>
      <c r="CV131" s="179"/>
      <c r="CW131" s="179"/>
      <c r="CX131" s="179"/>
      <c r="CY131" s="10"/>
      <c r="CZ131" s="179"/>
      <c r="DA131" s="179"/>
      <c r="DB131" s="179"/>
      <c r="DC131" s="179"/>
      <c r="DD131" s="10"/>
      <c r="DE131" s="179"/>
      <c r="DF131" s="179"/>
      <c r="DG131" s="774"/>
      <c r="DH131" s="179"/>
      <c r="DI131" s="10"/>
      <c r="DJ131" s="774"/>
      <c r="DK131" s="774"/>
      <c r="DL131" s="774"/>
      <c r="DM131" s="179"/>
      <c r="DN131" s="10"/>
      <c r="DO131" s="179"/>
      <c r="DP131" s="179"/>
      <c r="DQ131" s="774"/>
      <c r="DR131" s="774"/>
      <c r="DS131" s="10"/>
      <c r="DT131" s="774"/>
      <c r="DU131" s="774"/>
      <c r="DV131" s="774"/>
      <c r="DW131" s="774"/>
      <c r="DX131" s="10"/>
      <c r="DY131" s="774"/>
      <c r="DZ131" s="774"/>
      <c r="EA131" s="774"/>
      <c r="EB131" s="774"/>
      <c r="EC131" s="10"/>
      <c r="ED131" s="774"/>
      <c r="EE131" s="774"/>
      <c r="EF131" s="774"/>
      <c r="EG131" s="774"/>
      <c r="EH131" s="10"/>
      <c r="EI131" s="775"/>
      <c r="EJ131" s="179"/>
      <c r="EK131" s="179"/>
      <c r="EL131" s="179"/>
      <c r="EM131" s="10"/>
      <c r="EN131" s="179"/>
      <c r="EO131" s="179"/>
      <c r="EP131" s="179"/>
      <c r="EQ131" s="179"/>
      <c r="ER131" s="10"/>
      <c r="ES131" s="179"/>
      <c r="ET131" s="179"/>
      <c r="EU131" s="179"/>
      <c r="EV131" s="179"/>
      <c r="EW131" s="10"/>
      <c r="EX131" s="179"/>
      <c r="EY131" s="179"/>
      <c r="EZ131" s="179"/>
      <c r="FA131" s="179"/>
      <c r="FB131" s="10"/>
      <c r="FC131" s="179"/>
      <c r="FD131" s="179"/>
      <c r="FE131" s="179"/>
      <c r="FF131" s="179"/>
      <c r="FG131" s="10"/>
    </row>
    <row r="132" ht="12.75" customHeight="1">
      <c r="A132" s="4"/>
      <c r="B132" s="4"/>
      <c r="C132" s="4"/>
      <c r="D132" s="4"/>
      <c r="E132" s="4"/>
      <c r="F132" s="4"/>
      <c r="G132" s="4"/>
      <c r="H132" s="4"/>
      <c r="I132" s="4"/>
      <c r="J132" s="4"/>
      <c r="K132" s="4"/>
      <c r="L132" s="4"/>
      <c r="M132" s="4"/>
      <c r="N132" s="4"/>
      <c r="O132" s="4"/>
      <c r="P132" s="4"/>
      <c r="Q132" s="4"/>
      <c r="R132" s="45"/>
      <c r="S132" s="4"/>
      <c r="T132" s="4"/>
      <c r="U132" s="4"/>
      <c r="V132" s="4"/>
      <c r="W132" s="45"/>
      <c r="X132" s="4"/>
      <c r="Y132" s="4"/>
      <c r="Z132" s="4"/>
      <c r="AA132" s="4"/>
      <c r="AB132" s="45"/>
      <c r="AC132" s="179"/>
      <c r="AD132" s="179"/>
      <c r="AE132" s="179"/>
      <c r="AF132" s="179"/>
      <c r="AG132" s="45"/>
      <c r="AH132" s="4"/>
      <c r="AI132" s="4"/>
      <c r="AJ132" s="4"/>
      <c r="AK132" s="4"/>
      <c r="AL132" s="45"/>
      <c r="AM132" s="179"/>
      <c r="AN132" s="179"/>
      <c r="AO132" s="179"/>
      <c r="AP132" s="179"/>
      <c r="AQ132" s="8"/>
      <c r="AR132" s="179"/>
      <c r="AS132" s="179"/>
      <c r="AT132" s="179"/>
      <c r="AU132" s="179"/>
      <c r="AV132" s="8"/>
      <c r="AW132" s="179"/>
      <c r="AX132" s="179"/>
      <c r="AY132" s="179"/>
      <c r="AZ132" s="179"/>
      <c r="BA132" s="8"/>
      <c r="BB132" s="179"/>
      <c r="BC132" s="179"/>
      <c r="BD132" s="179"/>
      <c r="BE132" s="179"/>
      <c r="BF132" s="8"/>
      <c r="BG132" s="179"/>
      <c r="BH132" s="179"/>
      <c r="BI132" s="179"/>
      <c r="BJ132" s="179"/>
      <c r="BK132" s="8"/>
      <c r="BL132" s="179"/>
      <c r="BM132" s="179"/>
      <c r="BN132" s="179"/>
      <c r="BO132" s="179"/>
      <c r="BP132" s="8"/>
      <c r="BQ132" s="179"/>
      <c r="BR132" s="179"/>
      <c r="BS132" s="179"/>
      <c r="BT132" s="179"/>
      <c r="BU132" s="8"/>
      <c r="BV132" s="179"/>
      <c r="BW132" s="179"/>
      <c r="BX132" s="179"/>
      <c r="BY132" s="179"/>
      <c r="BZ132" s="8"/>
      <c r="CA132" s="179"/>
      <c r="CB132" s="179"/>
      <c r="CC132" s="179"/>
      <c r="CD132" s="179"/>
      <c r="CE132" s="8"/>
      <c r="CF132" s="179"/>
      <c r="CG132" s="179"/>
      <c r="CH132" s="179"/>
      <c r="CI132" s="179"/>
      <c r="CJ132" s="8"/>
      <c r="CK132" s="179"/>
      <c r="CL132" s="179"/>
      <c r="CM132" s="179"/>
      <c r="CN132" s="179"/>
      <c r="CO132" s="8"/>
      <c r="CP132" s="179"/>
      <c r="CQ132" s="179"/>
      <c r="CR132" s="179"/>
      <c r="CS132" s="179"/>
      <c r="CT132" s="8"/>
      <c r="CU132" s="179"/>
      <c r="CV132" s="179"/>
      <c r="CW132" s="179"/>
      <c r="CX132" s="179"/>
      <c r="CY132" s="10"/>
      <c r="CZ132" s="179"/>
      <c r="DA132" s="179"/>
      <c r="DB132" s="179"/>
      <c r="DC132" s="179"/>
      <c r="DD132" s="10"/>
      <c r="DE132" s="179"/>
      <c r="DF132" s="179"/>
      <c r="DG132" s="774"/>
      <c r="DH132" s="179"/>
      <c r="DI132" s="10"/>
      <c r="DJ132" s="774"/>
      <c r="DK132" s="774"/>
      <c r="DL132" s="774"/>
      <c r="DM132" s="179"/>
      <c r="DN132" s="10"/>
      <c r="DO132" s="179"/>
      <c r="DP132" s="179"/>
      <c r="DQ132" s="774"/>
      <c r="DR132" s="774"/>
      <c r="DS132" s="10"/>
      <c r="DT132" s="774"/>
      <c r="DU132" s="774"/>
      <c r="DV132" s="774"/>
      <c r="DW132" s="774"/>
      <c r="DX132" s="10"/>
      <c r="DY132" s="774"/>
      <c r="DZ132" s="774"/>
      <c r="EA132" s="774"/>
      <c r="EB132" s="774"/>
      <c r="EC132" s="10"/>
      <c r="ED132" s="774"/>
      <c r="EE132" s="774"/>
      <c r="EF132" s="774"/>
      <c r="EG132" s="774"/>
      <c r="EH132" s="10"/>
      <c r="EI132" s="775"/>
      <c r="EJ132" s="179"/>
      <c r="EK132" s="179"/>
      <c r="EL132" s="179"/>
      <c r="EM132" s="10"/>
      <c r="EN132" s="179"/>
      <c r="EO132" s="179"/>
      <c r="EP132" s="179"/>
      <c r="EQ132" s="179"/>
      <c r="ER132" s="10"/>
      <c r="ES132" s="179"/>
      <c r="ET132" s="179"/>
      <c r="EU132" s="179"/>
      <c r="EV132" s="179"/>
      <c r="EW132" s="10"/>
      <c r="EX132" s="179"/>
      <c r="EY132" s="179"/>
      <c r="EZ132" s="179"/>
      <c r="FA132" s="179"/>
      <c r="FB132" s="10"/>
      <c r="FC132" s="179"/>
      <c r="FD132" s="179"/>
      <c r="FE132" s="179"/>
      <c r="FF132" s="179"/>
      <c r="FG132" s="10"/>
    </row>
    <row r="133" ht="12.75" customHeight="1">
      <c r="A133" s="4"/>
      <c r="B133" s="4"/>
      <c r="C133" s="4"/>
      <c r="D133" s="4"/>
      <c r="E133" s="4"/>
      <c r="F133" s="4"/>
      <c r="G133" s="4"/>
      <c r="H133" s="4"/>
      <c r="I133" s="4"/>
      <c r="J133" s="4"/>
      <c r="K133" s="4"/>
      <c r="L133" s="4"/>
      <c r="M133" s="4"/>
      <c r="N133" s="4"/>
      <c r="O133" s="4"/>
      <c r="P133" s="4"/>
      <c r="Q133" s="4"/>
      <c r="R133" s="45"/>
      <c r="S133" s="4"/>
      <c r="T133" s="4"/>
      <c r="U133" s="4"/>
      <c r="V133" s="4"/>
      <c r="W133" s="45"/>
      <c r="X133" s="4"/>
      <c r="Y133" s="4"/>
      <c r="Z133" s="4"/>
      <c r="AA133" s="4"/>
      <c r="AB133" s="45"/>
      <c r="AC133" s="179"/>
      <c r="AD133" s="179"/>
      <c r="AE133" s="179"/>
      <c r="AF133" s="179"/>
      <c r="AG133" s="45"/>
      <c r="AH133" s="4"/>
      <c r="AI133" s="4"/>
      <c r="AJ133" s="4"/>
      <c r="AK133" s="4"/>
      <c r="AL133" s="45"/>
      <c r="AM133" s="179"/>
      <c r="AN133" s="179"/>
      <c r="AO133" s="179"/>
      <c r="AP133" s="179"/>
      <c r="AQ133" s="8"/>
      <c r="AR133" s="179"/>
      <c r="AS133" s="179"/>
      <c r="AT133" s="179"/>
      <c r="AU133" s="179"/>
      <c r="AV133" s="8"/>
      <c r="AW133" s="179"/>
      <c r="AX133" s="179"/>
      <c r="AY133" s="179"/>
      <c r="AZ133" s="179"/>
      <c r="BA133" s="8"/>
      <c r="BB133" s="179"/>
      <c r="BC133" s="179"/>
      <c r="BD133" s="179"/>
      <c r="BE133" s="179"/>
      <c r="BF133" s="8"/>
      <c r="BG133" s="179"/>
      <c r="BH133" s="179"/>
      <c r="BI133" s="179"/>
      <c r="BJ133" s="179"/>
      <c r="BK133" s="8"/>
      <c r="BL133" s="179"/>
      <c r="BM133" s="179"/>
      <c r="BN133" s="179"/>
      <c r="BO133" s="179"/>
      <c r="BP133" s="8"/>
      <c r="BQ133" s="179"/>
      <c r="BR133" s="179"/>
      <c r="BS133" s="179"/>
      <c r="BT133" s="179"/>
      <c r="BU133" s="8"/>
      <c r="BV133" s="179"/>
      <c r="BW133" s="179"/>
      <c r="BX133" s="179"/>
      <c r="BY133" s="179"/>
      <c r="BZ133" s="8"/>
      <c r="CA133" s="179"/>
      <c r="CB133" s="179"/>
      <c r="CC133" s="179"/>
      <c r="CD133" s="179"/>
      <c r="CE133" s="8"/>
      <c r="CF133" s="179"/>
      <c r="CG133" s="179"/>
      <c r="CH133" s="179"/>
      <c r="CI133" s="179"/>
      <c r="CJ133" s="8"/>
      <c r="CK133" s="179"/>
      <c r="CL133" s="179"/>
      <c r="CM133" s="179"/>
      <c r="CN133" s="179"/>
      <c r="CO133" s="8"/>
      <c r="CP133" s="179"/>
      <c r="CQ133" s="179"/>
      <c r="CR133" s="179"/>
      <c r="CS133" s="179"/>
      <c r="CT133" s="8"/>
      <c r="CU133" s="179"/>
      <c r="CV133" s="179"/>
      <c r="CW133" s="179"/>
      <c r="CX133" s="179"/>
      <c r="CY133" s="10"/>
      <c r="CZ133" s="179"/>
      <c r="DA133" s="179"/>
      <c r="DB133" s="179"/>
      <c r="DC133" s="179"/>
      <c r="DD133" s="10"/>
      <c r="DE133" s="179"/>
      <c r="DF133" s="179"/>
      <c r="DG133" s="774"/>
      <c r="DH133" s="179"/>
      <c r="DI133" s="10"/>
      <c r="DJ133" s="774"/>
      <c r="DK133" s="774"/>
      <c r="DL133" s="774"/>
      <c r="DM133" s="179"/>
      <c r="DN133" s="10"/>
      <c r="DO133" s="179"/>
      <c r="DP133" s="179"/>
      <c r="DQ133" s="774"/>
      <c r="DR133" s="774"/>
      <c r="DS133" s="10"/>
      <c r="DT133" s="774"/>
      <c r="DU133" s="774"/>
      <c r="DV133" s="774"/>
      <c r="DW133" s="774"/>
      <c r="DX133" s="10"/>
      <c r="DY133" s="774"/>
      <c r="DZ133" s="774"/>
      <c r="EA133" s="774"/>
      <c r="EB133" s="774"/>
      <c r="EC133" s="10"/>
      <c r="ED133" s="774"/>
      <c r="EE133" s="774"/>
      <c r="EF133" s="774"/>
      <c r="EG133" s="774"/>
      <c r="EH133" s="10"/>
      <c r="EI133" s="775"/>
      <c r="EJ133" s="179"/>
      <c r="EK133" s="179"/>
      <c r="EL133" s="179"/>
      <c r="EM133" s="10"/>
      <c r="EN133" s="179"/>
      <c r="EO133" s="179"/>
      <c r="EP133" s="179"/>
      <c r="EQ133" s="179"/>
      <c r="ER133" s="10"/>
      <c r="ES133" s="179"/>
      <c r="ET133" s="179"/>
      <c r="EU133" s="179"/>
      <c r="EV133" s="179"/>
      <c r="EW133" s="10"/>
      <c r="EX133" s="179"/>
      <c r="EY133" s="179"/>
      <c r="EZ133" s="179"/>
      <c r="FA133" s="179"/>
      <c r="FB133" s="10"/>
      <c r="FC133" s="179"/>
      <c r="FD133" s="179"/>
      <c r="FE133" s="179"/>
      <c r="FF133" s="179"/>
      <c r="FG133" s="10"/>
    </row>
    <row r="134" ht="12.75" customHeight="1">
      <c r="A134" s="4"/>
      <c r="B134" s="4"/>
      <c r="C134" s="4"/>
      <c r="D134" s="4"/>
      <c r="E134" s="4"/>
      <c r="F134" s="4"/>
      <c r="G134" s="4"/>
      <c r="H134" s="4"/>
      <c r="I134" s="4"/>
      <c r="J134" s="4"/>
      <c r="K134" s="4"/>
      <c r="L134" s="4"/>
      <c r="M134" s="4"/>
      <c r="N134" s="4"/>
      <c r="O134" s="4"/>
      <c r="P134" s="4"/>
      <c r="Q134" s="4"/>
      <c r="R134" s="45"/>
      <c r="S134" s="4"/>
      <c r="T134" s="4"/>
      <c r="U134" s="4"/>
      <c r="V134" s="4"/>
      <c r="W134" s="45"/>
      <c r="X134" s="4"/>
      <c r="Y134" s="4"/>
      <c r="Z134" s="4"/>
      <c r="AA134" s="4"/>
      <c r="AB134" s="45"/>
      <c r="AC134" s="179"/>
      <c r="AD134" s="179"/>
      <c r="AE134" s="179"/>
      <c r="AF134" s="179"/>
      <c r="AG134" s="45"/>
      <c r="AH134" s="4"/>
      <c r="AI134" s="4"/>
      <c r="AJ134" s="4"/>
      <c r="AK134" s="4"/>
      <c r="AL134" s="45"/>
      <c r="AM134" s="179"/>
      <c r="AN134" s="179"/>
      <c r="AO134" s="179"/>
      <c r="AP134" s="179"/>
      <c r="AQ134" s="8"/>
      <c r="AR134" s="179"/>
      <c r="AS134" s="179"/>
      <c r="AT134" s="179"/>
      <c r="AU134" s="179"/>
      <c r="AV134" s="8"/>
      <c r="AW134" s="179"/>
      <c r="AX134" s="179"/>
      <c r="AY134" s="179"/>
      <c r="AZ134" s="179"/>
      <c r="BA134" s="8"/>
      <c r="BB134" s="179"/>
      <c r="BC134" s="179"/>
      <c r="BD134" s="179"/>
      <c r="BE134" s="179"/>
      <c r="BF134" s="8"/>
      <c r="BG134" s="179"/>
      <c r="BH134" s="179"/>
      <c r="BI134" s="179"/>
      <c r="BJ134" s="179"/>
      <c r="BK134" s="8"/>
      <c r="BL134" s="179"/>
      <c r="BM134" s="179"/>
      <c r="BN134" s="179"/>
      <c r="BO134" s="179"/>
      <c r="BP134" s="8"/>
      <c r="BQ134" s="179"/>
      <c r="BR134" s="179"/>
      <c r="BS134" s="179"/>
      <c r="BT134" s="179"/>
      <c r="BU134" s="8"/>
      <c r="BV134" s="179"/>
      <c r="BW134" s="179"/>
      <c r="BX134" s="179"/>
      <c r="BY134" s="179"/>
      <c r="BZ134" s="8"/>
      <c r="CA134" s="179"/>
      <c r="CB134" s="179"/>
      <c r="CC134" s="179"/>
      <c r="CD134" s="179"/>
      <c r="CE134" s="8"/>
      <c r="CF134" s="179"/>
      <c r="CG134" s="179"/>
      <c r="CH134" s="179"/>
      <c r="CI134" s="179"/>
      <c r="CJ134" s="8"/>
      <c r="CK134" s="179"/>
      <c r="CL134" s="179"/>
      <c r="CM134" s="179"/>
      <c r="CN134" s="179"/>
      <c r="CO134" s="8"/>
      <c r="CP134" s="179"/>
      <c r="CQ134" s="179"/>
      <c r="CR134" s="179"/>
      <c r="CS134" s="179"/>
      <c r="CT134" s="8"/>
      <c r="CU134" s="179"/>
      <c r="CV134" s="179"/>
      <c r="CW134" s="179"/>
      <c r="CX134" s="179"/>
      <c r="CY134" s="10"/>
      <c r="CZ134" s="179"/>
      <c r="DA134" s="179"/>
      <c r="DB134" s="179"/>
      <c r="DC134" s="179"/>
      <c r="DD134" s="10"/>
      <c r="DE134" s="179"/>
      <c r="DF134" s="179"/>
      <c r="DG134" s="774"/>
      <c r="DH134" s="179"/>
      <c r="DI134" s="10"/>
      <c r="DJ134" s="774"/>
      <c r="DK134" s="774"/>
      <c r="DL134" s="774"/>
      <c r="DM134" s="179"/>
      <c r="DN134" s="10"/>
      <c r="DO134" s="179"/>
      <c r="DP134" s="179"/>
      <c r="DQ134" s="774"/>
      <c r="DR134" s="774"/>
      <c r="DS134" s="10"/>
      <c r="DT134" s="774"/>
      <c r="DU134" s="774"/>
      <c r="DV134" s="774"/>
      <c r="DW134" s="774"/>
      <c r="DX134" s="10"/>
      <c r="DY134" s="774"/>
      <c r="DZ134" s="774"/>
      <c r="EA134" s="774"/>
      <c r="EB134" s="774"/>
      <c r="EC134" s="10"/>
      <c r="ED134" s="774"/>
      <c r="EE134" s="774"/>
      <c r="EF134" s="774"/>
      <c r="EG134" s="774"/>
      <c r="EH134" s="10"/>
      <c r="EI134" s="775"/>
      <c r="EJ134" s="179"/>
      <c r="EK134" s="179"/>
      <c r="EL134" s="179"/>
      <c r="EM134" s="10"/>
      <c r="EN134" s="179"/>
      <c r="EO134" s="179"/>
      <c r="EP134" s="179"/>
      <c r="EQ134" s="179"/>
      <c r="ER134" s="10"/>
      <c r="ES134" s="179"/>
      <c r="ET134" s="179"/>
      <c r="EU134" s="179"/>
      <c r="EV134" s="179"/>
      <c r="EW134" s="10"/>
      <c r="EX134" s="179"/>
      <c r="EY134" s="179"/>
      <c r="EZ134" s="179"/>
      <c r="FA134" s="179"/>
      <c r="FB134" s="10"/>
      <c r="FC134" s="179"/>
      <c r="FD134" s="179"/>
      <c r="FE134" s="179"/>
      <c r="FF134" s="179"/>
      <c r="FG134" s="10"/>
    </row>
    <row r="135" ht="12.75" customHeight="1">
      <c r="A135" s="4"/>
      <c r="B135" s="4"/>
      <c r="C135" s="4"/>
      <c r="D135" s="4"/>
      <c r="E135" s="4"/>
      <c r="F135" s="4"/>
      <c r="G135" s="4"/>
      <c r="H135" s="4"/>
      <c r="I135" s="4"/>
      <c r="J135" s="4"/>
      <c r="K135" s="4"/>
      <c r="L135" s="4"/>
      <c r="M135" s="4"/>
      <c r="N135" s="4"/>
      <c r="O135" s="4"/>
      <c r="P135" s="4"/>
      <c r="Q135" s="4"/>
      <c r="R135" s="45"/>
      <c r="S135" s="4"/>
      <c r="T135" s="4"/>
      <c r="U135" s="4"/>
      <c r="V135" s="4"/>
      <c r="W135" s="45"/>
      <c r="X135" s="4"/>
      <c r="Y135" s="4"/>
      <c r="Z135" s="4"/>
      <c r="AA135" s="4"/>
      <c r="AB135" s="45"/>
      <c r="AC135" s="179"/>
      <c r="AD135" s="179"/>
      <c r="AE135" s="179"/>
      <c r="AF135" s="179"/>
      <c r="AG135" s="45"/>
      <c r="AH135" s="4"/>
      <c r="AI135" s="4"/>
      <c r="AJ135" s="4"/>
      <c r="AK135" s="4"/>
      <c r="AL135" s="45"/>
      <c r="AM135" s="179"/>
      <c r="AN135" s="179"/>
      <c r="AO135" s="179"/>
      <c r="AP135" s="179"/>
      <c r="AQ135" s="8"/>
      <c r="AR135" s="179"/>
      <c r="AS135" s="179"/>
      <c r="AT135" s="179"/>
      <c r="AU135" s="179"/>
      <c r="AV135" s="8"/>
      <c r="AW135" s="179"/>
      <c r="AX135" s="179"/>
      <c r="AY135" s="179"/>
      <c r="AZ135" s="179"/>
      <c r="BA135" s="8"/>
      <c r="BB135" s="179"/>
      <c r="BC135" s="179"/>
      <c r="BD135" s="179"/>
      <c r="BE135" s="179"/>
      <c r="BF135" s="8"/>
      <c r="BG135" s="179"/>
      <c r="BH135" s="179"/>
      <c r="BI135" s="179"/>
      <c r="BJ135" s="179"/>
      <c r="BK135" s="8"/>
      <c r="BL135" s="179"/>
      <c r="BM135" s="179"/>
      <c r="BN135" s="179"/>
      <c r="BO135" s="179"/>
      <c r="BP135" s="8"/>
      <c r="BQ135" s="179"/>
      <c r="BR135" s="179"/>
      <c r="BS135" s="179"/>
      <c r="BT135" s="179"/>
      <c r="BU135" s="8"/>
      <c r="BV135" s="179"/>
      <c r="BW135" s="179"/>
      <c r="BX135" s="179"/>
      <c r="BY135" s="179"/>
      <c r="BZ135" s="8"/>
      <c r="CA135" s="179"/>
      <c r="CB135" s="179"/>
      <c r="CC135" s="179"/>
      <c r="CD135" s="179"/>
      <c r="CE135" s="8"/>
      <c r="CF135" s="179"/>
      <c r="CG135" s="179"/>
      <c r="CH135" s="179"/>
      <c r="CI135" s="179"/>
      <c r="CJ135" s="8"/>
      <c r="CK135" s="179"/>
      <c r="CL135" s="179"/>
      <c r="CM135" s="179"/>
      <c r="CN135" s="179"/>
      <c r="CO135" s="8"/>
      <c r="CP135" s="179"/>
      <c r="CQ135" s="179"/>
      <c r="CR135" s="179"/>
      <c r="CS135" s="179"/>
      <c r="CT135" s="8"/>
      <c r="CU135" s="179"/>
      <c r="CV135" s="179"/>
      <c r="CW135" s="179"/>
      <c r="CX135" s="179"/>
      <c r="CY135" s="10"/>
      <c r="CZ135" s="179"/>
      <c r="DA135" s="179"/>
      <c r="DB135" s="179"/>
      <c r="DC135" s="179"/>
      <c r="DD135" s="10"/>
      <c r="DE135" s="179"/>
      <c r="DF135" s="179"/>
      <c r="DG135" s="774"/>
      <c r="DH135" s="179"/>
      <c r="DI135" s="10"/>
      <c r="DJ135" s="774"/>
      <c r="DK135" s="774"/>
      <c r="DL135" s="774"/>
      <c r="DM135" s="179"/>
      <c r="DN135" s="10"/>
      <c r="DO135" s="179"/>
      <c r="DP135" s="179"/>
      <c r="DQ135" s="774"/>
      <c r="DR135" s="774"/>
      <c r="DS135" s="10"/>
      <c r="DT135" s="774"/>
      <c r="DU135" s="774"/>
      <c r="DV135" s="774"/>
      <c r="DW135" s="774"/>
      <c r="DX135" s="10"/>
      <c r="DY135" s="774"/>
      <c r="DZ135" s="774"/>
      <c r="EA135" s="774"/>
      <c r="EB135" s="774"/>
      <c r="EC135" s="10"/>
      <c r="ED135" s="774"/>
      <c r="EE135" s="774"/>
      <c r="EF135" s="774"/>
      <c r="EG135" s="774"/>
      <c r="EH135" s="10"/>
      <c r="EI135" s="775"/>
      <c r="EJ135" s="179"/>
      <c r="EK135" s="179"/>
      <c r="EL135" s="179"/>
      <c r="EM135" s="10"/>
      <c r="EN135" s="179"/>
      <c r="EO135" s="179"/>
      <c r="EP135" s="179"/>
      <c r="EQ135" s="179"/>
      <c r="ER135" s="10"/>
      <c r="ES135" s="179"/>
      <c r="ET135" s="179"/>
      <c r="EU135" s="179"/>
      <c r="EV135" s="179"/>
      <c r="EW135" s="10"/>
      <c r="EX135" s="179"/>
      <c r="EY135" s="179"/>
      <c r="EZ135" s="179"/>
      <c r="FA135" s="179"/>
      <c r="FB135" s="10"/>
      <c r="FC135" s="179"/>
      <c r="FD135" s="179"/>
      <c r="FE135" s="179"/>
      <c r="FF135" s="179"/>
      <c r="FG135" s="10"/>
    </row>
    <row r="136" ht="12.75" customHeight="1">
      <c r="A136" s="4"/>
      <c r="B136" s="4"/>
      <c r="C136" s="4"/>
      <c r="D136" s="4"/>
      <c r="E136" s="4"/>
      <c r="F136" s="4"/>
      <c r="G136" s="4"/>
      <c r="H136" s="4"/>
      <c r="I136" s="4"/>
      <c r="J136" s="4"/>
      <c r="K136" s="4"/>
      <c r="L136" s="4"/>
      <c r="M136" s="4"/>
      <c r="N136" s="4"/>
      <c r="O136" s="4"/>
      <c r="P136" s="4"/>
      <c r="Q136" s="4"/>
      <c r="R136" s="45"/>
      <c r="S136" s="4"/>
      <c r="T136" s="4"/>
      <c r="U136" s="4"/>
      <c r="V136" s="4"/>
      <c r="W136" s="45"/>
      <c r="X136" s="4"/>
      <c r="Y136" s="4"/>
      <c r="Z136" s="4"/>
      <c r="AA136" s="4"/>
      <c r="AB136" s="45"/>
      <c r="AC136" s="179"/>
      <c r="AD136" s="179"/>
      <c r="AE136" s="179"/>
      <c r="AF136" s="179"/>
      <c r="AG136" s="45"/>
      <c r="AH136" s="4"/>
      <c r="AI136" s="4"/>
      <c r="AJ136" s="4"/>
      <c r="AK136" s="4"/>
      <c r="AL136" s="45"/>
      <c r="AM136" s="179"/>
      <c r="AN136" s="179"/>
      <c r="AO136" s="179"/>
      <c r="AP136" s="179"/>
      <c r="AQ136" s="8"/>
      <c r="AR136" s="179"/>
      <c r="AS136" s="179"/>
      <c r="AT136" s="179"/>
      <c r="AU136" s="179"/>
      <c r="AV136" s="8"/>
      <c r="AW136" s="179"/>
      <c r="AX136" s="179"/>
      <c r="AY136" s="179"/>
      <c r="AZ136" s="179"/>
      <c r="BA136" s="8"/>
      <c r="BB136" s="179"/>
      <c r="BC136" s="179"/>
      <c r="BD136" s="179"/>
      <c r="BE136" s="179"/>
      <c r="BF136" s="8"/>
      <c r="BG136" s="179"/>
      <c r="BH136" s="179"/>
      <c r="BI136" s="179"/>
      <c r="BJ136" s="179"/>
      <c r="BK136" s="8"/>
      <c r="BL136" s="179"/>
      <c r="BM136" s="179"/>
      <c r="BN136" s="179"/>
      <c r="BO136" s="179"/>
      <c r="BP136" s="8"/>
      <c r="BQ136" s="179"/>
      <c r="BR136" s="179"/>
      <c r="BS136" s="179"/>
      <c r="BT136" s="179"/>
      <c r="BU136" s="8"/>
      <c r="BV136" s="179"/>
      <c r="BW136" s="179"/>
      <c r="BX136" s="179"/>
      <c r="BY136" s="179"/>
      <c r="BZ136" s="8"/>
      <c r="CA136" s="179"/>
      <c r="CB136" s="179"/>
      <c r="CC136" s="179"/>
      <c r="CD136" s="179"/>
      <c r="CE136" s="8"/>
      <c r="CF136" s="179"/>
      <c r="CG136" s="179"/>
      <c r="CH136" s="179"/>
      <c r="CI136" s="179"/>
      <c r="CJ136" s="8"/>
      <c r="CK136" s="179"/>
      <c r="CL136" s="179"/>
      <c r="CM136" s="179"/>
      <c r="CN136" s="179"/>
      <c r="CO136" s="8"/>
      <c r="CP136" s="179"/>
      <c r="CQ136" s="179"/>
      <c r="CR136" s="179"/>
      <c r="CS136" s="179"/>
      <c r="CT136" s="8"/>
      <c r="CU136" s="179"/>
      <c r="CV136" s="179"/>
      <c r="CW136" s="179"/>
      <c r="CX136" s="179"/>
      <c r="CY136" s="10"/>
      <c r="CZ136" s="179"/>
      <c r="DA136" s="179"/>
      <c r="DB136" s="179"/>
      <c r="DC136" s="179"/>
      <c r="DD136" s="10"/>
      <c r="DE136" s="179"/>
      <c r="DF136" s="179"/>
      <c r="DG136" s="774"/>
      <c r="DH136" s="179"/>
      <c r="DI136" s="10"/>
      <c r="DJ136" s="774"/>
      <c r="DK136" s="774"/>
      <c r="DL136" s="774"/>
      <c r="DM136" s="179"/>
      <c r="DN136" s="10"/>
      <c r="DO136" s="179"/>
      <c r="DP136" s="179"/>
      <c r="DQ136" s="774"/>
      <c r="DR136" s="774"/>
      <c r="DS136" s="10"/>
      <c r="DT136" s="774"/>
      <c r="DU136" s="774"/>
      <c r="DV136" s="774"/>
      <c r="DW136" s="774"/>
      <c r="DX136" s="10"/>
      <c r="DY136" s="774"/>
      <c r="DZ136" s="774"/>
      <c r="EA136" s="774"/>
      <c r="EB136" s="774"/>
      <c r="EC136" s="10"/>
      <c r="ED136" s="774"/>
      <c r="EE136" s="774"/>
      <c r="EF136" s="774"/>
      <c r="EG136" s="774"/>
      <c r="EH136" s="10"/>
      <c r="EI136" s="775"/>
      <c r="EJ136" s="179"/>
      <c r="EK136" s="179"/>
      <c r="EL136" s="179"/>
      <c r="EM136" s="10"/>
      <c r="EN136" s="179"/>
      <c r="EO136" s="179"/>
      <c r="EP136" s="179"/>
      <c r="EQ136" s="179"/>
      <c r="ER136" s="10"/>
      <c r="ES136" s="179"/>
      <c r="ET136" s="179"/>
      <c r="EU136" s="179"/>
      <c r="EV136" s="179"/>
      <c r="EW136" s="10"/>
      <c r="EX136" s="179"/>
      <c r="EY136" s="179"/>
      <c r="EZ136" s="179"/>
      <c r="FA136" s="179"/>
      <c r="FB136" s="10"/>
      <c r="FC136" s="179"/>
      <c r="FD136" s="179"/>
      <c r="FE136" s="179"/>
      <c r="FF136" s="179"/>
      <c r="FG136" s="10"/>
    </row>
    <row r="137" ht="12.75" customHeight="1">
      <c r="A137" s="4"/>
      <c r="B137" s="4"/>
      <c r="C137" s="4"/>
      <c r="D137" s="4"/>
      <c r="E137" s="4"/>
      <c r="F137" s="4"/>
      <c r="G137" s="4"/>
      <c r="H137" s="4"/>
      <c r="I137" s="4"/>
      <c r="J137" s="4"/>
      <c r="K137" s="4"/>
      <c r="L137" s="4"/>
      <c r="M137" s="4"/>
      <c r="N137" s="4"/>
      <c r="O137" s="4"/>
      <c r="P137" s="4"/>
      <c r="Q137" s="4"/>
      <c r="R137" s="45"/>
      <c r="S137" s="4"/>
      <c r="T137" s="4"/>
      <c r="U137" s="4"/>
      <c r="V137" s="4"/>
      <c r="W137" s="45"/>
      <c r="X137" s="4"/>
      <c r="Y137" s="4"/>
      <c r="Z137" s="4"/>
      <c r="AA137" s="4"/>
      <c r="AB137" s="45"/>
      <c r="AC137" s="179"/>
      <c r="AD137" s="179"/>
      <c r="AE137" s="179"/>
      <c r="AF137" s="179"/>
      <c r="AG137" s="45"/>
      <c r="AH137" s="4"/>
      <c r="AI137" s="4"/>
      <c r="AJ137" s="4"/>
      <c r="AK137" s="4"/>
      <c r="AL137" s="45"/>
      <c r="AM137" s="179"/>
      <c r="AN137" s="179"/>
      <c r="AO137" s="179"/>
      <c r="AP137" s="179"/>
      <c r="AQ137" s="8"/>
      <c r="AR137" s="179"/>
      <c r="AS137" s="179"/>
      <c r="AT137" s="179"/>
      <c r="AU137" s="179"/>
      <c r="AV137" s="8"/>
      <c r="AW137" s="179"/>
      <c r="AX137" s="179"/>
      <c r="AY137" s="179"/>
      <c r="AZ137" s="179"/>
      <c r="BA137" s="8"/>
      <c r="BB137" s="179"/>
      <c r="BC137" s="179"/>
      <c r="BD137" s="179"/>
      <c r="BE137" s="179"/>
      <c r="BF137" s="8"/>
      <c r="BG137" s="179"/>
      <c r="BH137" s="179"/>
      <c r="BI137" s="179"/>
      <c r="BJ137" s="179"/>
      <c r="BK137" s="8"/>
      <c r="BL137" s="179"/>
      <c r="BM137" s="179"/>
      <c r="BN137" s="179"/>
      <c r="BO137" s="179"/>
      <c r="BP137" s="8"/>
      <c r="BQ137" s="179"/>
      <c r="BR137" s="179"/>
      <c r="BS137" s="179"/>
      <c r="BT137" s="179"/>
      <c r="BU137" s="8"/>
      <c r="BV137" s="179"/>
      <c r="BW137" s="179"/>
      <c r="BX137" s="179"/>
      <c r="BY137" s="179"/>
      <c r="BZ137" s="8"/>
      <c r="CA137" s="179"/>
      <c r="CB137" s="179"/>
      <c r="CC137" s="179"/>
      <c r="CD137" s="179"/>
      <c r="CE137" s="8"/>
      <c r="CF137" s="179"/>
      <c r="CG137" s="179"/>
      <c r="CH137" s="179"/>
      <c r="CI137" s="179"/>
      <c r="CJ137" s="8"/>
      <c r="CK137" s="179"/>
      <c r="CL137" s="179"/>
      <c r="CM137" s="179"/>
      <c r="CN137" s="179"/>
      <c r="CO137" s="8"/>
      <c r="CP137" s="179"/>
      <c r="CQ137" s="179"/>
      <c r="CR137" s="179"/>
      <c r="CS137" s="179"/>
      <c r="CT137" s="8"/>
      <c r="CU137" s="179"/>
      <c r="CV137" s="179"/>
      <c r="CW137" s="179"/>
      <c r="CX137" s="179"/>
      <c r="CY137" s="10"/>
      <c r="CZ137" s="179"/>
      <c r="DA137" s="179"/>
      <c r="DB137" s="179"/>
      <c r="DC137" s="179"/>
      <c r="DD137" s="10"/>
      <c r="DE137" s="179"/>
      <c r="DF137" s="179"/>
      <c r="DG137" s="774"/>
      <c r="DH137" s="179"/>
      <c r="DI137" s="10"/>
      <c r="DJ137" s="774"/>
      <c r="DK137" s="774"/>
      <c r="DL137" s="774"/>
      <c r="DM137" s="179"/>
      <c r="DN137" s="10"/>
      <c r="DO137" s="179"/>
      <c r="DP137" s="179"/>
      <c r="DQ137" s="774"/>
      <c r="DR137" s="774"/>
      <c r="DS137" s="10"/>
      <c r="DT137" s="774"/>
      <c r="DU137" s="774"/>
      <c r="DV137" s="774"/>
      <c r="DW137" s="774"/>
      <c r="DX137" s="10"/>
      <c r="DY137" s="774"/>
      <c r="DZ137" s="774"/>
      <c r="EA137" s="774"/>
      <c r="EB137" s="774"/>
      <c r="EC137" s="10"/>
      <c r="ED137" s="774"/>
      <c r="EE137" s="774"/>
      <c r="EF137" s="774"/>
      <c r="EG137" s="774"/>
      <c r="EH137" s="10"/>
      <c r="EI137" s="775"/>
      <c r="EJ137" s="179"/>
      <c r="EK137" s="179"/>
      <c r="EL137" s="179"/>
      <c r="EM137" s="10"/>
      <c r="EN137" s="179"/>
      <c r="EO137" s="179"/>
      <c r="EP137" s="179"/>
      <c r="EQ137" s="179"/>
      <c r="ER137" s="10"/>
      <c r="ES137" s="179"/>
      <c r="ET137" s="179"/>
      <c r="EU137" s="179"/>
      <c r="EV137" s="179"/>
      <c r="EW137" s="10"/>
      <c r="EX137" s="179"/>
      <c r="EY137" s="179"/>
      <c r="EZ137" s="179"/>
      <c r="FA137" s="179"/>
      <c r="FB137" s="10"/>
      <c r="FC137" s="179"/>
      <c r="FD137" s="179"/>
      <c r="FE137" s="179"/>
      <c r="FF137" s="179"/>
      <c r="FG137" s="10"/>
    </row>
    <row r="138" ht="12.75" customHeight="1">
      <c r="A138" s="4"/>
      <c r="B138" s="4"/>
      <c r="C138" s="4"/>
      <c r="D138" s="4"/>
      <c r="E138" s="4"/>
      <c r="F138" s="4"/>
      <c r="G138" s="4"/>
      <c r="H138" s="4"/>
      <c r="I138" s="4"/>
      <c r="J138" s="4"/>
      <c r="K138" s="4"/>
      <c r="L138" s="4"/>
      <c r="M138" s="4"/>
      <c r="N138" s="4"/>
      <c r="O138" s="4"/>
      <c r="P138" s="4"/>
      <c r="Q138" s="4"/>
      <c r="R138" s="45"/>
      <c r="S138" s="4"/>
      <c r="T138" s="4"/>
      <c r="U138" s="4"/>
      <c r="V138" s="4"/>
      <c r="W138" s="45"/>
      <c r="X138" s="4"/>
      <c r="Y138" s="4"/>
      <c r="Z138" s="4"/>
      <c r="AA138" s="4"/>
      <c r="AB138" s="45"/>
      <c r="AC138" s="179"/>
      <c r="AD138" s="179"/>
      <c r="AE138" s="179"/>
      <c r="AF138" s="179"/>
      <c r="AG138" s="45"/>
      <c r="AH138" s="4"/>
      <c r="AI138" s="4"/>
      <c r="AJ138" s="4"/>
      <c r="AK138" s="4"/>
      <c r="AL138" s="45"/>
      <c r="AM138" s="179"/>
      <c r="AN138" s="179"/>
      <c r="AO138" s="179"/>
      <c r="AP138" s="179"/>
      <c r="AQ138" s="8"/>
      <c r="AR138" s="179"/>
      <c r="AS138" s="179"/>
      <c r="AT138" s="179"/>
      <c r="AU138" s="179"/>
      <c r="AV138" s="8"/>
      <c r="AW138" s="179"/>
      <c r="AX138" s="179"/>
      <c r="AY138" s="179"/>
      <c r="AZ138" s="179"/>
      <c r="BA138" s="8"/>
      <c r="BB138" s="179"/>
      <c r="BC138" s="179"/>
      <c r="BD138" s="179"/>
      <c r="BE138" s="179"/>
      <c r="BF138" s="8"/>
      <c r="BG138" s="179"/>
      <c r="BH138" s="179"/>
      <c r="BI138" s="179"/>
      <c r="BJ138" s="179"/>
      <c r="BK138" s="8"/>
      <c r="BL138" s="179"/>
      <c r="BM138" s="179"/>
      <c r="BN138" s="179"/>
      <c r="BO138" s="179"/>
      <c r="BP138" s="8"/>
      <c r="BQ138" s="179"/>
      <c r="BR138" s="179"/>
      <c r="BS138" s="179"/>
      <c r="BT138" s="179"/>
      <c r="BU138" s="8"/>
      <c r="BV138" s="179"/>
      <c r="BW138" s="179"/>
      <c r="BX138" s="179"/>
      <c r="BY138" s="179"/>
      <c r="BZ138" s="8"/>
      <c r="CA138" s="179"/>
      <c r="CB138" s="179"/>
      <c r="CC138" s="179"/>
      <c r="CD138" s="179"/>
      <c r="CE138" s="8"/>
      <c r="CF138" s="179"/>
      <c r="CG138" s="179"/>
      <c r="CH138" s="179"/>
      <c r="CI138" s="179"/>
      <c r="CJ138" s="8"/>
      <c r="CK138" s="179"/>
      <c r="CL138" s="179"/>
      <c r="CM138" s="179"/>
      <c r="CN138" s="179"/>
      <c r="CO138" s="8"/>
      <c r="CP138" s="179"/>
      <c r="CQ138" s="179"/>
      <c r="CR138" s="179"/>
      <c r="CS138" s="179"/>
      <c r="CT138" s="8"/>
      <c r="CU138" s="179"/>
      <c r="CV138" s="179"/>
      <c r="CW138" s="179"/>
      <c r="CX138" s="179"/>
      <c r="CY138" s="10"/>
      <c r="CZ138" s="179"/>
      <c r="DA138" s="179"/>
      <c r="DB138" s="179"/>
      <c r="DC138" s="179"/>
      <c r="DD138" s="10"/>
      <c r="DE138" s="179"/>
      <c r="DF138" s="179"/>
      <c r="DG138" s="774"/>
      <c r="DH138" s="179"/>
      <c r="DI138" s="10"/>
      <c r="DJ138" s="774"/>
      <c r="DK138" s="774"/>
      <c r="DL138" s="774"/>
      <c r="DM138" s="179"/>
      <c r="DN138" s="10"/>
      <c r="DO138" s="179"/>
      <c r="DP138" s="179"/>
      <c r="DQ138" s="774"/>
      <c r="DR138" s="774"/>
      <c r="DS138" s="10"/>
      <c r="DT138" s="774"/>
      <c r="DU138" s="774"/>
      <c r="DV138" s="774"/>
      <c r="DW138" s="774"/>
      <c r="DX138" s="10"/>
      <c r="DY138" s="774"/>
      <c r="DZ138" s="774"/>
      <c r="EA138" s="774"/>
      <c r="EB138" s="774"/>
      <c r="EC138" s="10"/>
      <c r="ED138" s="774"/>
      <c r="EE138" s="774"/>
      <c r="EF138" s="774"/>
      <c r="EG138" s="774"/>
      <c r="EH138" s="10"/>
      <c r="EI138" s="775"/>
      <c r="EJ138" s="179"/>
      <c r="EK138" s="179"/>
      <c r="EL138" s="179"/>
      <c r="EM138" s="10"/>
      <c r="EN138" s="179"/>
      <c r="EO138" s="179"/>
      <c r="EP138" s="179"/>
      <c r="EQ138" s="179"/>
      <c r="ER138" s="10"/>
      <c r="ES138" s="179"/>
      <c r="ET138" s="179"/>
      <c r="EU138" s="179"/>
      <c r="EV138" s="179"/>
      <c r="EW138" s="10"/>
      <c r="EX138" s="179"/>
      <c r="EY138" s="179"/>
      <c r="EZ138" s="179"/>
      <c r="FA138" s="179"/>
      <c r="FB138" s="10"/>
      <c r="FC138" s="179"/>
      <c r="FD138" s="179"/>
      <c r="FE138" s="179"/>
      <c r="FF138" s="179"/>
      <c r="FG138" s="10"/>
    </row>
    <row r="139" ht="12.75" customHeight="1">
      <c r="A139" s="4"/>
      <c r="B139" s="4"/>
      <c r="C139" s="4"/>
      <c r="D139" s="4"/>
      <c r="E139" s="4"/>
      <c r="F139" s="4"/>
      <c r="G139" s="4"/>
      <c r="H139" s="4"/>
      <c r="I139" s="4"/>
      <c r="J139" s="4"/>
      <c r="K139" s="4"/>
      <c r="L139" s="4"/>
      <c r="M139" s="4"/>
      <c r="N139" s="4"/>
      <c r="O139" s="4"/>
      <c r="P139" s="4"/>
      <c r="Q139" s="4"/>
      <c r="R139" s="45"/>
      <c r="S139" s="4"/>
      <c r="T139" s="4"/>
      <c r="U139" s="4"/>
      <c r="V139" s="4"/>
      <c r="W139" s="45"/>
      <c r="X139" s="4"/>
      <c r="Y139" s="4"/>
      <c r="Z139" s="4"/>
      <c r="AA139" s="4"/>
      <c r="AB139" s="45"/>
      <c r="AC139" s="179"/>
      <c r="AD139" s="179"/>
      <c r="AE139" s="179"/>
      <c r="AF139" s="179"/>
      <c r="AG139" s="45"/>
      <c r="AH139" s="4"/>
      <c r="AI139" s="4"/>
      <c r="AJ139" s="4"/>
      <c r="AK139" s="4"/>
      <c r="AL139" s="45"/>
      <c r="AM139" s="179"/>
      <c r="AN139" s="179"/>
      <c r="AO139" s="179"/>
      <c r="AP139" s="179"/>
      <c r="AQ139" s="8"/>
      <c r="AR139" s="179"/>
      <c r="AS139" s="179"/>
      <c r="AT139" s="179"/>
      <c r="AU139" s="179"/>
      <c r="AV139" s="8"/>
      <c r="AW139" s="179"/>
      <c r="AX139" s="179"/>
      <c r="AY139" s="179"/>
      <c r="AZ139" s="179"/>
      <c r="BA139" s="8"/>
      <c r="BB139" s="179"/>
      <c r="BC139" s="179"/>
      <c r="BD139" s="179"/>
      <c r="BE139" s="179"/>
      <c r="BF139" s="8"/>
      <c r="BG139" s="179"/>
      <c r="BH139" s="179"/>
      <c r="BI139" s="179"/>
      <c r="BJ139" s="179"/>
      <c r="BK139" s="8"/>
      <c r="BL139" s="179"/>
      <c r="BM139" s="179"/>
      <c r="BN139" s="179"/>
      <c r="BO139" s="179"/>
      <c r="BP139" s="8"/>
      <c r="BQ139" s="179"/>
      <c r="BR139" s="179"/>
      <c r="BS139" s="179"/>
      <c r="BT139" s="179"/>
      <c r="BU139" s="8"/>
      <c r="BV139" s="179"/>
      <c r="BW139" s="179"/>
      <c r="BX139" s="179"/>
      <c r="BY139" s="179"/>
      <c r="BZ139" s="8"/>
      <c r="CA139" s="179"/>
      <c r="CB139" s="179"/>
      <c r="CC139" s="179"/>
      <c r="CD139" s="179"/>
      <c r="CE139" s="8"/>
      <c r="CF139" s="179"/>
      <c r="CG139" s="179"/>
      <c r="CH139" s="179"/>
      <c r="CI139" s="179"/>
      <c r="CJ139" s="8"/>
      <c r="CK139" s="179"/>
      <c r="CL139" s="179"/>
      <c r="CM139" s="179"/>
      <c r="CN139" s="179"/>
      <c r="CO139" s="8"/>
      <c r="CP139" s="179"/>
      <c r="CQ139" s="179"/>
      <c r="CR139" s="179"/>
      <c r="CS139" s="179"/>
      <c r="CT139" s="8"/>
      <c r="CU139" s="179"/>
      <c r="CV139" s="179"/>
      <c r="CW139" s="179"/>
      <c r="CX139" s="179"/>
      <c r="CY139" s="10"/>
      <c r="CZ139" s="179"/>
      <c r="DA139" s="179"/>
      <c r="DB139" s="179"/>
      <c r="DC139" s="179"/>
      <c r="DD139" s="10"/>
      <c r="DE139" s="179"/>
      <c r="DF139" s="179"/>
      <c r="DG139" s="774"/>
      <c r="DH139" s="179"/>
      <c r="DI139" s="10"/>
      <c r="DJ139" s="774"/>
      <c r="DK139" s="774"/>
      <c r="DL139" s="774"/>
      <c r="DM139" s="179"/>
      <c r="DN139" s="10"/>
      <c r="DO139" s="179"/>
      <c r="DP139" s="179"/>
      <c r="DQ139" s="774"/>
      <c r="DR139" s="774"/>
      <c r="DS139" s="10"/>
      <c r="DT139" s="774"/>
      <c r="DU139" s="774"/>
      <c r="DV139" s="774"/>
      <c r="DW139" s="774"/>
      <c r="DX139" s="10"/>
      <c r="DY139" s="774"/>
      <c r="DZ139" s="774"/>
      <c r="EA139" s="774"/>
      <c r="EB139" s="774"/>
      <c r="EC139" s="10"/>
      <c r="ED139" s="774"/>
      <c r="EE139" s="774"/>
      <c r="EF139" s="774"/>
      <c r="EG139" s="774"/>
      <c r="EH139" s="10"/>
      <c r="EI139" s="775"/>
      <c r="EJ139" s="179"/>
      <c r="EK139" s="179"/>
      <c r="EL139" s="179"/>
      <c r="EM139" s="10"/>
      <c r="EN139" s="179"/>
      <c r="EO139" s="179"/>
      <c r="EP139" s="179"/>
      <c r="EQ139" s="179"/>
      <c r="ER139" s="10"/>
      <c r="ES139" s="179"/>
      <c r="ET139" s="179"/>
      <c r="EU139" s="179"/>
      <c r="EV139" s="179"/>
      <c r="EW139" s="10"/>
      <c r="EX139" s="179"/>
      <c r="EY139" s="179"/>
      <c r="EZ139" s="179"/>
      <c r="FA139" s="179"/>
      <c r="FB139" s="10"/>
      <c r="FC139" s="179"/>
      <c r="FD139" s="179"/>
      <c r="FE139" s="179"/>
      <c r="FF139" s="179"/>
      <c r="FG139" s="10"/>
    </row>
    <row r="140" ht="12.75" customHeight="1">
      <c r="A140" s="4"/>
      <c r="B140" s="4"/>
      <c r="C140" s="4"/>
      <c r="D140" s="4"/>
      <c r="E140" s="4"/>
      <c r="F140" s="4"/>
      <c r="G140" s="4"/>
      <c r="H140" s="4"/>
      <c r="I140" s="4"/>
      <c r="J140" s="4"/>
      <c r="K140" s="4"/>
      <c r="L140" s="4"/>
      <c r="M140" s="4"/>
      <c r="N140" s="4"/>
      <c r="O140" s="4"/>
      <c r="P140" s="4"/>
      <c r="Q140" s="4"/>
      <c r="R140" s="45"/>
      <c r="S140" s="4"/>
      <c r="T140" s="4"/>
      <c r="U140" s="4"/>
      <c r="V140" s="4"/>
      <c r="W140" s="45"/>
      <c r="X140" s="4"/>
      <c r="Y140" s="4"/>
      <c r="Z140" s="4"/>
      <c r="AA140" s="4"/>
      <c r="AB140" s="45"/>
      <c r="AC140" s="179"/>
      <c r="AD140" s="179"/>
      <c r="AE140" s="179"/>
      <c r="AF140" s="179"/>
      <c r="AG140" s="45"/>
      <c r="AH140" s="4"/>
      <c r="AI140" s="4"/>
      <c r="AJ140" s="4"/>
      <c r="AK140" s="4"/>
      <c r="AL140" s="45"/>
      <c r="AM140" s="179"/>
      <c r="AN140" s="179"/>
      <c r="AO140" s="179"/>
      <c r="AP140" s="179"/>
      <c r="AQ140" s="8"/>
      <c r="AR140" s="179"/>
      <c r="AS140" s="179"/>
      <c r="AT140" s="179"/>
      <c r="AU140" s="179"/>
      <c r="AV140" s="8"/>
      <c r="AW140" s="179"/>
      <c r="AX140" s="179"/>
      <c r="AY140" s="179"/>
      <c r="AZ140" s="179"/>
      <c r="BA140" s="8"/>
      <c r="BB140" s="179"/>
      <c r="BC140" s="179"/>
      <c r="BD140" s="179"/>
      <c r="BE140" s="179"/>
      <c r="BF140" s="8"/>
      <c r="BG140" s="179"/>
      <c r="BH140" s="179"/>
      <c r="BI140" s="179"/>
      <c r="BJ140" s="179"/>
      <c r="BK140" s="8"/>
      <c r="BL140" s="179"/>
      <c r="BM140" s="179"/>
      <c r="BN140" s="179"/>
      <c r="BO140" s="179"/>
      <c r="BP140" s="8"/>
      <c r="BQ140" s="179"/>
      <c r="BR140" s="179"/>
      <c r="BS140" s="179"/>
      <c r="BT140" s="179"/>
      <c r="BU140" s="8"/>
      <c r="BV140" s="179"/>
      <c r="BW140" s="179"/>
      <c r="BX140" s="179"/>
      <c r="BY140" s="179"/>
      <c r="BZ140" s="8"/>
      <c r="CA140" s="179"/>
      <c r="CB140" s="179"/>
      <c r="CC140" s="179"/>
      <c r="CD140" s="179"/>
      <c r="CE140" s="8"/>
      <c r="CF140" s="179"/>
      <c r="CG140" s="179"/>
      <c r="CH140" s="179"/>
      <c r="CI140" s="179"/>
      <c r="CJ140" s="8"/>
      <c r="CK140" s="179"/>
      <c r="CL140" s="179"/>
      <c r="CM140" s="179"/>
      <c r="CN140" s="179"/>
      <c r="CO140" s="8"/>
      <c r="CP140" s="179"/>
      <c r="CQ140" s="179"/>
      <c r="CR140" s="179"/>
      <c r="CS140" s="179"/>
      <c r="CT140" s="8"/>
      <c r="CU140" s="179"/>
      <c r="CV140" s="179"/>
      <c r="CW140" s="179"/>
      <c r="CX140" s="179"/>
      <c r="CY140" s="10"/>
      <c r="CZ140" s="179"/>
      <c r="DA140" s="179"/>
      <c r="DB140" s="179"/>
      <c r="DC140" s="179"/>
      <c r="DD140" s="10"/>
      <c r="DE140" s="179"/>
      <c r="DF140" s="179"/>
      <c r="DG140" s="774"/>
      <c r="DH140" s="179"/>
      <c r="DI140" s="10"/>
      <c r="DJ140" s="774"/>
      <c r="DK140" s="774"/>
      <c r="DL140" s="774"/>
      <c r="DM140" s="179"/>
      <c r="DN140" s="10"/>
      <c r="DO140" s="179"/>
      <c r="DP140" s="179"/>
      <c r="DQ140" s="774"/>
      <c r="DR140" s="774"/>
      <c r="DS140" s="10"/>
      <c r="DT140" s="774"/>
      <c r="DU140" s="774"/>
      <c r="DV140" s="774"/>
      <c r="DW140" s="774"/>
      <c r="DX140" s="10"/>
      <c r="DY140" s="774"/>
      <c r="DZ140" s="774"/>
      <c r="EA140" s="774"/>
      <c r="EB140" s="774"/>
      <c r="EC140" s="10"/>
      <c r="ED140" s="774"/>
      <c r="EE140" s="774"/>
      <c r="EF140" s="774"/>
      <c r="EG140" s="774"/>
      <c r="EH140" s="10"/>
      <c r="EI140" s="775"/>
      <c r="EJ140" s="179"/>
      <c r="EK140" s="179"/>
      <c r="EL140" s="179"/>
      <c r="EM140" s="10"/>
      <c r="EN140" s="179"/>
      <c r="EO140" s="179"/>
      <c r="EP140" s="179"/>
      <c r="EQ140" s="179"/>
      <c r="ER140" s="10"/>
      <c r="ES140" s="179"/>
      <c r="ET140" s="179"/>
      <c r="EU140" s="179"/>
      <c r="EV140" s="179"/>
      <c r="EW140" s="10"/>
      <c r="EX140" s="179"/>
      <c r="EY140" s="179"/>
      <c r="EZ140" s="179"/>
      <c r="FA140" s="179"/>
      <c r="FB140" s="10"/>
      <c r="FC140" s="179"/>
      <c r="FD140" s="179"/>
      <c r="FE140" s="179"/>
      <c r="FF140" s="179"/>
      <c r="FG140" s="10"/>
    </row>
    <row r="141" ht="12.75" customHeight="1">
      <c r="A141" s="4"/>
      <c r="B141" s="4"/>
      <c r="C141" s="4"/>
      <c r="D141" s="4"/>
      <c r="E141" s="4"/>
      <c r="F141" s="4"/>
      <c r="G141" s="4"/>
      <c r="H141" s="4"/>
      <c r="I141" s="4"/>
      <c r="J141" s="4"/>
      <c r="K141" s="4"/>
      <c r="L141" s="4"/>
      <c r="M141" s="4"/>
      <c r="N141" s="4"/>
      <c r="O141" s="4"/>
      <c r="P141" s="4"/>
      <c r="Q141" s="4"/>
      <c r="R141" s="45"/>
      <c r="S141" s="4"/>
      <c r="T141" s="4"/>
      <c r="U141" s="4"/>
      <c r="V141" s="4"/>
      <c r="W141" s="45"/>
      <c r="X141" s="4"/>
      <c r="Y141" s="4"/>
      <c r="Z141" s="4"/>
      <c r="AA141" s="4"/>
      <c r="AB141" s="45"/>
      <c r="AC141" s="179"/>
      <c r="AD141" s="179"/>
      <c r="AE141" s="179"/>
      <c r="AF141" s="179"/>
      <c r="AG141" s="45"/>
      <c r="AH141" s="4"/>
      <c r="AI141" s="4"/>
      <c r="AJ141" s="4"/>
      <c r="AK141" s="4"/>
      <c r="AL141" s="45"/>
      <c r="AM141" s="179"/>
      <c r="AN141" s="179"/>
      <c r="AO141" s="179"/>
      <c r="AP141" s="179"/>
      <c r="AQ141" s="8"/>
      <c r="AR141" s="179"/>
      <c r="AS141" s="179"/>
      <c r="AT141" s="179"/>
      <c r="AU141" s="179"/>
      <c r="AV141" s="8"/>
      <c r="AW141" s="179"/>
      <c r="AX141" s="179"/>
      <c r="AY141" s="179"/>
      <c r="AZ141" s="179"/>
      <c r="BA141" s="8"/>
      <c r="BB141" s="179"/>
      <c r="BC141" s="179"/>
      <c r="BD141" s="179"/>
      <c r="BE141" s="179"/>
      <c r="BF141" s="8"/>
      <c r="BG141" s="179"/>
      <c r="BH141" s="179"/>
      <c r="BI141" s="179"/>
      <c r="BJ141" s="179"/>
      <c r="BK141" s="8"/>
      <c r="BL141" s="179"/>
      <c r="BM141" s="179"/>
      <c r="BN141" s="179"/>
      <c r="BO141" s="179"/>
      <c r="BP141" s="8"/>
      <c r="BQ141" s="179"/>
      <c r="BR141" s="179"/>
      <c r="BS141" s="179"/>
      <c r="BT141" s="179"/>
      <c r="BU141" s="8"/>
      <c r="BV141" s="179"/>
      <c r="BW141" s="179"/>
      <c r="BX141" s="179"/>
      <c r="BY141" s="179"/>
      <c r="BZ141" s="8"/>
      <c r="CA141" s="179"/>
      <c r="CB141" s="179"/>
      <c r="CC141" s="179"/>
      <c r="CD141" s="179"/>
      <c r="CE141" s="8"/>
      <c r="CF141" s="179"/>
      <c r="CG141" s="179"/>
      <c r="CH141" s="179"/>
      <c r="CI141" s="179"/>
      <c r="CJ141" s="8"/>
      <c r="CK141" s="179"/>
      <c r="CL141" s="179"/>
      <c r="CM141" s="179"/>
      <c r="CN141" s="179"/>
      <c r="CO141" s="8"/>
      <c r="CP141" s="179"/>
      <c r="CQ141" s="179"/>
      <c r="CR141" s="179"/>
      <c r="CS141" s="179"/>
      <c r="CT141" s="8"/>
      <c r="CU141" s="179"/>
      <c r="CV141" s="179"/>
      <c r="CW141" s="179"/>
      <c r="CX141" s="179"/>
      <c r="CY141" s="10"/>
      <c r="CZ141" s="179"/>
      <c r="DA141" s="179"/>
      <c r="DB141" s="179"/>
      <c r="DC141" s="179"/>
      <c r="DD141" s="10"/>
      <c r="DE141" s="179"/>
      <c r="DF141" s="179"/>
      <c r="DG141" s="774"/>
      <c r="DH141" s="179"/>
      <c r="DI141" s="10"/>
      <c r="DJ141" s="774"/>
      <c r="DK141" s="774"/>
      <c r="DL141" s="774"/>
      <c r="DM141" s="179"/>
      <c r="DN141" s="10"/>
      <c r="DO141" s="179"/>
      <c r="DP141" s="179"/>
      <c r="DQ141" s="774"/>
      <c r="DR141" s="774"/>
      <c r="DS141" s="10"/>
      <c r="DT141" s="774"/>
      <c r="DU141" s="774"/>
      <c r="DV141" s="774"/>
      <c r="DW141" s="774"/>
      <c r="DX141" s="10"/>
      <c r="DY141" s="774"/>
      <c r="DZ141" s="774"/>
      <c r="EA141" s="774"/>
      <c r="EB141" s="774"/>
      <c r="EC141" s="10"/>
      <c r="ED141" s="774"/>
      <c r="EE141" s="774"/>
      <c r="EF141" s="774"/>
      <c r="EG141" s="774"/>
      <c r="EH141" s="10"/>
      <c r="EI141" s="775"/>
      <c r="EJ141" s="179"/>
      <c r="EK141" s="179"/>
      <c r="EL141" s="179"/>
      <c r="EM141" s="10"/>
      <c r="EN141" s="179"/>
      <c r="EO141" s="179"/>
      <c r="EP141" s="179"/>
      <c r="EQ141" s="179"/>
      <c r="ER141" s="10"/>
      <c r="ES141" s="179"/>
      <c r="ET141" s="179"/>
      <c r="EU141" s="179"/>
      <c r="EV141" s="179"/>
      <c r="EW141" s="10"/>
      <c r="EX141" s="179"/>
      <c r="EY141" s="179"/>
      <c r="EZ141" s="179"/>
      <c r="FA141" s="179"/>
      <c r="FB141" s="10"/>
      <c r="FC141" s="179"/>
      <c r="FD141" s="179"/>
      <c r="FE141" s="179"/>
      <c r="FF141" s="179"/>
      <c r="FG141" s="10"/>
    </row>
    <row r="142" ht="12.75" customHeight="1">
      <c r="A142" s="4"/>
      <c r="B142" s="4"/>
      <c r="C142" s="4"/>
      <c r="D142" s="4"/>
      <c r="E142" s="4"/>
      <c r="F142" s="4"/>
      <c r="G142" s="4"/>
      <c r="H142" s="4"/>
      <c r="I142" s="4"/>
      <c r="J142" s="4"/>
      <c r="K142" s="4"/>
      <c r="L142" s="4"/>
      <c r="M142" s="4"/>
      <c r="N142" s="4"/>
      <c r="O142" s="4"/>
      <c r="P142" s="4"/>
      <c r="Q142" s="4"/>
      <c r="R142" s="45"/>
      <c r="S142" s="4"/>
      <c r="T142" s="4"/>
      <c r="U142" s="4"/>
      <c r="V142" s="4"/>
      <c r="W142" s="45"/>
      <c r="X142" s="4"/>
      <c r="Y142" s="4"/>
      <c r="Z142" s="4"/>
      <c r="AA142" s="4"/>
      <c r="AB142" s="45"/>
      <c r="AC142" s="179"/>
      <c r="AD142" s="179"/>
      <c r="AE142" s="179"/>
      <c r="AF142" s="179"/>
      <c r="AG142" s="45"/>
      <c r="AH142" s="4"/>
      <c r="AI142" s="4"/>
      <c r="AJ142" s="4"/>
      <c r="AK142" s="4"/>
      <c r="AL142" s="45"/>
      <c r="AM142" s="179"/>
      <c r="AN142" s="179"/>
      <c r="AO142" s="179"/>
      <c r="AP142" s="179"/>
      <c r="AQ142" s="8"/>
      <c r="AR142" s="179"/>
      <c r="AS142" s="179"/>
      <c r="AT142" s="179"/>
      <c r="AU142" s="179"/>
      <c r="AV142" s="8"/>
      <c r="AW142" s="179"/>
      <c r="AX142" s="179"/>
      <c r="AY142" s="179"/>
      <c r="AZ142" s="179"/>
      <c r="BA142" s="8"/>
      <c r="BB142" s="179"/>
      <c r="BC142" s="179"/>
      <c r="BD142" s="179"/>
      <c r="BE142" s="179"/>
      <c r="BF142" s="8"/>
      <c r="BG142" s="179"/>
      <c r="BH142" s="179"/>
      <c r="BI142" s="179"/>
      <c r="BJ142" s="179"/>
      <c r="BK142" s="8"/>
      <c r="BL142" s="179"/>
      <c r="BM142" s="179"/>
      <c r="BN142" s="179"/>
      <c r="BO142" s="179"/>
      <c r="BP142" s="8"/>
      <c r="BQ142" s="179"/>
      <c r="BR142" s="179"/>
      <c r="BS142" s="179"/>
      <c r="BT142" s="179"/>
      <c r="BU142" s="8"/>
      <c r="BV142" s="179"/>
      <c r="BW142" s="179"/>
      <c r="BX142" s="179"/>
      <c r="BY142" s="179"/>
      <c r="BZ142" s="8"/>
      <c r="CA142" s="179"/>
      <c r="CB142" s="179"/>
      <c r="CC142" s="179"/>
      <c r="CD142" s="179"/>
      <c r="CE142" s="8"/>
      <c r="CF142" s="179"/>
      <c r="CG142" s="179"/>
      <c r="CH142" s="179"/>
      <c r="CI142" s="179"/>
      <c r="CJ142" s="8"/>
      <c r="CK142" s="179"/>
      <c r="CL142" s="179"/>
      <c r="CM142" s="179"/>
      <c r="CN142" s="179"/>
      <c r="CO142" s="8"/>
      <c r="CP142" s="179"/>
      <c r="CQ142" s="179"/>
      <c r="CR142" s="179"/>
      <c r="CS142" s="179"/>
      <c r="CT142" s="8"/>
      <c r="CU142" s="179"/>
      <c r="CV142" s="179"/>
      <c r="CW142" s="179"/>
      <c r="CX142" s="179"/>
      <c r="CY142" s="10"/>
      <c r="CZ142" s="179"/>
      <c r="DA142" s="179"/>
      <c r="DB142" s="179"/>
      <c r="DC142" s="179"/>
      <c r="DD142" s="10"/>
      <c r="DE142" s="179"/>
      <c r="DF142" s="179"/>
      <c r="DG142" s="774"/>
      <c r="DH142" s="179"/>
      <c r="DI142" s="10"/>
      <c r="DJ142" s="774"/>
      <c r="DK142" s="774"/>
      <c r="DL142" s="774"/>
      <c r="DM142" s="179"/>
      <c r="DN142" s="10"/>
      <c r="DO142" s="179"/>
      <c r="DP142" s="179"/>
      <c r="DQ142" s="774"/>
      <c r="DR142" s="774"/>
      <c r="DS142" s="10"/>
      <c r="DT142" s="774"/>
      <c r="DU142" s="774"/>
      <c r="DV142" s="774"/>
      <c r="DW142" s="774"/>
      <c r="DX142" s="10"/>
      <c r="DY142" s="774"/>
      <c r="DZ142" s="774"/>
      <c r="EA142" s="774"/>
      <c r="EB142" s="774"/>
      <c r="EC142" s="10"/>
      <c r="ED142" s="774"/>
      <c r="EE142" s="774"/>
      <c r="EF142" s="774"/>
      <c r="EG142" s="774"/>
      <c r="EH142" s="10"/>
      <c r="EI142" s="775"/>
      <c r="EJ142" s="179"/>
      <c r="EK142" s="179"/>
      <c r="EL142" s="179"/>
      <c r="EM142" s="10"/>
      <c r="EN142" s="179"/>
      <c r="EO142" s="179"/>
      <c r="EP142" s="179"/>
      <c r="EQ142" s="179"/>
      <c r="ER142" s="10"/>
      <c r="ES142" s="179"/>
      <c r="ET142" s="179"/>
      <c r="EU142" s="179"/>
      <c r="EV142" s="179"/>
      <c r="EW142" s="10"/>
      <c r="EX142" s="179"/>
      <c r="EY142" s="179"/>
      <c r="EZ142" s="179"/>
      <c r="FA142" s="179"/>
      <c r="FB142" s="10"/>
      <c r="FC142" s="179"/>
      <c r="FD142" s="179"/>
      <c r="FE142" s="179"/>
      <c r="FF142" s="179"/>
      <c r="FG142" s="10"/>
    </row>
    <row r="143" ht="12.75" customHeight="1">
      <c r="A143" s="4"/>
      <c r="B143" s="4"/>
      <c r="C143" s="4"/>
      <c r="D143" s="4"/>
      <c r="E143" s="4"/>
      <c r="F143" s="4"/>
      <c r="G143" s="4"/>
      <c r="H143" s="4"/>
      <c r="I143" s="4"/>
      <c r="J143" s="4"/>
      <c r="K143" s="4"/>
      <c r="L143" s="4"/>
      <c r="M143" s="4"/>
      <c r="N143" s="4"/>
      <c r="O143" s="4"/>
      <c r="P143" s="4"/>
      <c r="Q143" s="4"/>
      <c r="R143" s="45"/>
      <c r="S143" s="4"/>
      <c r="T143" s="4"/>
      <c r="U143" s="4"/>
      <c r="V143" s="4"/>
      <c r="W143" s="45"/>
      <c r="X143" s="4"/>
      <c r="Y143" s="4"/>
      <c r="Z143" s="4"/>
      <c r="AA143" s="4"/>
      <c r="AB143" s="45"/>
      <c r="AC143" s="179"/>
      <c r="AD143" s="179"/>
      <c r="AE143" s="179"/>
      <c r="AF143" s="179"/>
      <c r="AG143" s="45"/>
      <c r="AH143" s="4"/>
      <c r="AI143" s="4"/>
      <c r="AJ143" s="4"/>
      <c r="AK143" s="4"/>
      <c r="AL143" s="45"/>
      <c r="AM143" s="179"/>
      <c r="AN143" s="179"/>
      <c r="AO143" s="179"/>
      <c r="AP143" s="179"/>
      <c r="AQ143" s="8"/>
      <c r="AR143" s="179"/>
      <c r="AS143" s="179"/>
      <c r="AT143" s="179"/>
      <c r="AU143" s="179"/>
      <c r="AV143" s="8"/>
      <c r="AW143" s="179"/>
      <c r="AX143" s="179"/>
      <c r="AY143" s="179"/>
      <c r="AZ143" s="179"/>
      <c r="BA143" s="8"/>
      <c r="BB143" s="179"/>
      <c r="BC143" s="179"/>
      <c r="BD143" s="179"/>
      <c r="BE143" s="179"/>
      <c r="BF143" s="8"/>
      <c r="BG143" s="179"/>
      <c r="BH143" s="179"/>
      <c r="BI143" s="179"/>
      <c r="BJ143" s="179"/>
      <c r="BK143" s="8"/>
      <c r="BL143" s="179"/>
      <c r="BM143" s="179"/>
      <c r="BN143" s="179"/>
      <c r="BO143" s="179"/>
      <c r="BP143" s="8"/>
      <c r="BQ143" s="179"/>
      <c r="BR143" s="179"/>
      <c r="BS143" s="179"/>
      <c r="BT143" s="179"/>
      <c r="BU143" s="8"/>
      <c r="BV143" s="179"/>
      <c r="BW143" s="179"/>
      <c r="BX143" s="179"/>
      <c r="BY143" s="179"/>
      <c r="BZ143" s="8"/>
      <c r="CA143" s="179"/>
      <c r="CB143" s="179"/>
      <c r="CC143" s="179"/>
      <c r="CD143" s="179"/>
      <c r="CE143" s="8"/>
      <c r="CF143" s="179"/>
      <c r="CG143" s="179"/>
      <c r="CH143" s="179"/>
      <c r="CI143" s="179"/>
      <c r="CJ143" s="8"/>
      <c r="CK143" s="179"/>
      <c r="CL143" s="179"/>
      <c r="CM143" s="179"/>
      <c r="CN143" s="179"/>
      <c r="CO143" s="8"/>
      <c r="CP143" s="179"/>
      <c r="CQ143" s="179"/>
      <c r="CR143" s="179"/>
      <c r="CS143" s="179"/>
      <c r="CT143" s="8"/>
      <c r="CU143" s="179"/>
      <c r="CV143" s="179"/>
      <c r="CW143" s="179"/>
      <c r="CX143" s="179"/>
      <c r="CY143" s="10"/>
      <c r="CZ143" s="179"/>
      <c r="DA143" s="179"/>
      <c r="DB143" s="179"/>
      <c r="DC143" s="179"/>
      <c r="DD143" s="10"/>
      <c r="DE143" s="179"/>
      <c r="DF143" s="179"/>
      <c r="DG143" s="774"/>
      <c r="DH143" s="179"/>
      <c r="DI143" s="10"/>
      <c r="DJ143" s="774"/>
      <c r="DK143" s="774"/>
      <c r="DL143" s="774"/>
      <c r="DM143" s="179"/>
      <c r="DN143" s="10"/>
      <c r="DO143" s="179"/>
      <c r="DP143" s="179"/>
      <c r="DQ143" s="774"/>
      <c r="DR143" s="774"/>
      <c r="DS143" s="10"/>
      <c r="DT143" s="774"/>
      <c r="DU143" s="774"/>
      <c r="DV143" s="774"/>
      <c r="DW143" s="774"/>
      <c r="DX143" s="10"/>
      <c r="DY143" s="774"/>
      <c r="DZ143" s="774"/>
      <c r="EA143" s="774"/>
      <c r="EB143" s="774"/>
      <c r="EC143" s="10"/>
      <c r="ED143" s="774"/>
      <c r="EE143" s="774"/>
      <c r="EF143" s="774"/>
      <c r="EG143" s="774"/>
      <c r="EH143" s="10"/>
      <c r="EI143" s="775"/>
      <c r="EJ143" s="179"/>
      <c r="EK143" s="179"/>
      <c r="EL143" s="179"/>
      <c r="EM143" s="10"/>
      <c r="EN143" s="179"/>
      <c r="EO143" s="179"/>
      <c r="EP143" s="179"/>
      <c r="EQ143" s="179"/>
      <c r="ER143" s="10"/>
      <c r="ES143" s="179"/>
      <c r="ET143" s="179"/>
      <c r="EU143" s="179"/>
      <c r="EV143" s="179"/>
      <c r="EW143" s="10"/>
      <c r="EX143" s="179"/>
      <c r="EY143" s="179"/>
      <c r="EZ143" s="179"/>
      <c r="FA143" s="179"/>
      <c r="FB143" s="10"/>
      <c r="FC143" s="179"/>
      <c r="FD143" s="179"/>
      <c r="FE143" s="179"/>
      <c r="FF143" s="179"/>
      <c r="FG143" s="10"/>
    </row>
    <row r="144" ht="12.75" customHeight="1">
      <c r="A144" s="4"/>
      <c r="B144" s="4"/>
      <c r="C144" s="4"/>
      <c r="D144" s="4"/>
      <c r="E144" s="4"/>
      <c r="F144" s="4"/>
      <c r="G144" s="4"/>
      <c r="H144" s="4"/>
      <c r="I144" s="4"/>
      <c r="J144" s="4"/>
      <c r="K144" s="4"/>
      <c r="L144" s="4"/>
      <c r="M144" s="4"/>
      <c r="N144" s="4"/>
      <c r="O144" s="4"/>
      <c r="P144" s="4"/>
      <c r="Q144" s="4"/>
      <c r="R144" s="45"/>
      <c r="S144" s="4"/>
      <c r="T144" s="4"/>
      <c r="U144" s="4"/>
      <c r="V144" s="4"/>
      <c r="W144" s="45"/>
      <c r="X144" s="4"/>
      <c r="Y144" s="4"/>
      <c r="Z144" s="4"/>
      <c r="AA144" s="4"/>
      <c r="AB144" s="45"/>
      <c r="AC144" s="179"/>
      <c r="AD144" s="179"/>
      <c r="AE144" s="179"/>
      <c r="AF144" s="179"/>
      <c r="AG144" s="45"/>
      <c r="AH144" s="4"/>
      <c r="AI144" s="4"/>
      <c r="AJ144" s="4"/>
      <c r="AK144" s="4"/>
      <c r="AL144" s="45"/>
      <c r="AM144" s="179"/>
      <c r="AN144" s="179"/>
      <c r="AO144" s="179"/>
      <c r="AP144" s="179"/>
      <c r="AQ144" s="8"/>
      <c r="AR144" s="179"/>
      <c r="AS144" s="179"/>
      <c r="AT144" s="179"/>
      <c r="AU144" s="179"/>
      <c r="AV144" s="8"/>
      <c r="AW144" s="179"/>
      <c r="AX144" s="179"/>
      <c r="AY144" s="179"/>
      <c r="AZ144" s="179"/>
      <c r="BA144" s="8"/>
      <c r="BB144" s="179"/>
      <c r="BC144" s="179"/>
      <c r="BD144" s="179"/>
      <c r="BE144" s="179"/>
      <c r="BF144" s="8"/>
      <c r="BG144" s="179"/>
      <c r="BH144" s="179"/>
      <c r="BI144" s="179"/>
      <c r="BJ144" s="179"/>
      <c r="BK144" s="8"/>
      <c r="BL144" s="179"/>
      <c r="BM144" s="179"/>
      <c r="BN144" s="179"/>
      <c r="BO144" s="179"/>
      <c r="BP144" s="8"/>
      <c r="BQ144" s="179"/>
      <c r="BR144" s="179"/>
      <c r="BS144" s="179"/>
      <c r="BT144" s="179"/>
      <c r="BU144" s="8"/>
      <c r="BV144" s="179"/>
      <c r="BW144" s="179"/>
      <c r="BX144" s="179"/>
      <c r="BY144" s="179"/>
      <c r="BZ144" s="8"/>
      <c r="CA144" s="179"/>
      <c r="CB144" s="179"/>
      <c r="CC144" s="179"/>
      <c r="CD144" s="179"/>
      <c r="CE144" s="8"/>
      <c r="CF144" s="179"/>
      <c r="CG144" s="179"/>
      <c r="CH144" s="179"/>
      <c r="CI144" s="179"/>
      <c r="CJ144" s="8"/>
      <c r="CK144" s="179"/>
      <c r="CL144" s="179"/>
      <c r="CM144" s="179"/>
      <c r="CN144" s="179"/>
      <c r="CO144" s="8"/>
      <c r="CP144" s="179"/>
      <c r="CQ144" s="179"/>
      <c r="CR144" s="179"/>
      <c r="CS144" s="179"/>
      <c r="CT144" s="8"/>
      <c r="CU144" s="179"/>
      <c r="CV144" s="179"/>
      <c r="CW144" s="179"/>
      <c r="CX144" s="179"/>
      <c r="CY144" s="10"/>
      <c r="CZ144" s="179"/>
      <c r="DA144" s="179"/>
      <c r="DB144" s="179"/>
      <c r="DC144" s="179"/>
      <c r="DD144" s="10"/>
      <c r="DE144" s="179"/>
      <c r="DF144" s="179"/>
      <c r="DG144" s="774"/>
      <c r="DH144" s="179"/>
      <c r="DI144" s="10"/>
      <c r="DJ144" s="774"/>
      <c r="DK144" s="774"/>
      <c r="DL144" s="774"/>
      <c r="DM144" s="179"/>
      <c r="DN144" s="10"/>
      <c r="DO144" s="179"/>
      <c r="DP144" s="179"/>
      <c r="DQ144" s="774"/>
      <c r="DR144" s="774"/>
      <c r="DS144" s="10"/>
      <c r="DT144" s="774"/>
      <c r="DU144" s="774"/>
      <c r="DV144" s="774"/>
      <c r="DW144" s="774"/>
      <c r="DX144" s="10"/>
      <c r="DY144" s="774"/>
      <c r="DZ144" s="774"/>
      <c r="EA144" s="774"/>
      <c r="EB144" s="774"/>
      <c r="EC144" s="10"/>
      <c r="ED144" s="774"/>
      <c r="EE144" s="774"/>
      <c r="EF144" s="774"/>
      <c r="EG144" s="774"/>
      <c r="EH144" s="10"/>
      <c r="EI144" s="775"/>
      <c r="EJ144" s="179"/>
      <c r="EK144" s="179"/>
      <c r="EL144" s="179"/>
      <c r="EM144" s="10"/>
      <c r="EN144" s="179"/>
      <c r="EO144" s="179"/>
      <c r="EP144" s="179"/>
      <c r="EQ144" s="179"/>
      <c r="ER144" s="10"/>
      <c r="ES144" s="179"/>
      <c r="ET144" s="179"/>
      <c r="EU144" s="179"/>
      <c r="EV144" s="179"/>
      <c r="EW144" s="10"/>
      <c r="EX144" s="179"/>
      <c r="EY144" s="179"/>
      <c r="EZ144" s="179"/>
      <c r="FA144" s="179"/>
      <c r="FB144" s="10"/>
      <c r="FC144" s="179"/>
      <c r="FD144" s="179"/>
      <c r="FE144" s="179"/>
      <c r="FF144" s="179"/>
      <c r="FG144" s="10"/>
    </row>
    <row r="145" ht="12.75" customHeight="1">
      <c r="A145" s="4"/>
      <c r="B145" s="4"/>
      <c r="C145" s="4"/>
      <c r="D145" s="4"/>
      <c r="E145" s="4"/>
      <c r="F145" s="4"/>
      <c r="G145" s="4"/>
      <c r="H145" s="4"/>
      <c r="I145" s="4"/>
      <c r="J145" s="4"/>
      <c r="K145" s="4"/>
      <c r="L145" s="4"/>
      <c r="M145" s="4"/>
      <c r="N145" s="4"/>
      <c r="O145" s="4"/>
      <c r="P145" s="4"/>
      <c r="Q145" s="4"/>
      <c r="R145" s="45"/>
      <c r="S145" s="4"/>
      <c r="T145" s="4"/>
      <c r="U145" s="4"/>
      <c r="V145" s="4"/>
      <c r="W145" s="45"/>
      <c r="X145" s="4"/>
      <c r="Y145" s="4"/>
      <c r="Z145" s="4"/>
      <c r="AA145" s="4"/>
      <c r="AB145" s="45"/>
      <c r="AC145" s="179"/>
      <c r="AD145" s="179"/>
      <c r="AE145" s="179"/>
      <c r="AF145" s="179"/>
      <c r="AG145" s="45"/>
      <c r="AH145" s="4"/>
      <c r="AI145" s="4"/>
      <c r="AJ145" s="4"/>
      <c r="AK145" s="4"/>
      <c r="AL145" s="45"/>
      <c r="AM145" s="179"/>
      <c r="AN145" s="179"/>
      <c r="AO145" s="179"/>
      <c r="AP145" s="179"/>
      <c r="AQ145" s="8"/>
      <c r="AR145" s="179"/>
      <c r="AS145" s="179"/>
      <c r="AT145" s="179"/>
      <c r="AU145" s="179"/>
      <c r="AV145" s="8"/>
      <c r="AW145" s="179"/>
      <c r="AX145" s="179"/>
      <c r="AY145" s="179"/>
      <c r="AZ145" s="179"/>
      <c r="BA145" s="8"/>
      <c r="BB145" s="179"/>
      <c r="BC145" s="179"/>
      <c r="BD145" s="179"/>
      <c r="BE145" s="179"/>
      <c r="BF145" s="8"/>
      <c r="BG145" s="179"/>
      <c r="BH145" s="179"/>
      <c r="BI145" s="179"/>
      <c r="BJ145" s="179"/>
      <c r="BK145" s="8"/>
      <c r="BL145" s="179"/>
      <c r="BM145" s="179"/>
      <c r="BN145" s="179"/>
      <c r="BO145" s="179"/>
      <c r="BP145" s="8"/>
      <c r="BQ145" s="179"/>
      <c r="BR145" s="179"/>
      <c r="BS145" s="179"/>
      <c r="BT145" s="179"/>
      <c r="BU145" s="8"/>
      <c r="BV145" s="179"/>
      <c r="BW145" s="179"/>
      <c r="BX145" s="179"/>
      <c r="BY145" s="179"/>
      <c r="BZ145" s="8"/>
      <c r="CA145" s="179"/>
      <c r="CB145" s="179"/>
      <c r="CC145" s="179"/>
      <c r="CD145" s="179"/>
      <c r="CE145" s="8"/>
      <c r="CF145" s="179"/>
      <c r="CG145" s="179"/>
      <c r="CH145" s="179"/>
      <c r="CI145" s="179"/>
      <c r="CJ145" s="8"/>
      <c r="CK145" s="179"/>
      <c r="CL145" s="179"/>
      <c r="CM145" s="179"/>
      <c r="CN145" s="179"/>
      <c r="CO145" s="8"/>
      <c r="CP145" s="179"/>
      <c r="CQ145" s="179"/>
      <c r="CR145" s="179"/>
      <c r="CS145" s="179"/>
      <c r="CT145" s="8"/>
      <c r="CU145" s="179"/>
      <c r="CV145" s="179"/>
      <c r="CW145" s="179"/>
      <c r="CX145" s="179"/>
      <c r="CY145" s="10"/>
      <c r="CZ145" s="179"/>
      <c r="DA145" s="179"/>
      <c r="DB145" s="179"/>
      <c r="DC145" s="179"/>
      <c r="DD145" s="10"/>
      <c r="DE145" s="179"/>
      <c r="DF145" s="179"/>
      <c r="DG145" s="774"/>
      <c r="DH145" s="179"/>
      <c r="DI145" s="10"/>
      <c r="DJ145" s="774"/>
      <c r="DK145" s="774"/>
      <c r="DL145" s="774"/>
      <c r="DM145" s="179"/>
      <c r="DN145" s="10"/>
      <c r="DO145" s="179"/>
      <c r="DP145" s="179"/>
      <c r="DQ145" s="774"/>
      <c r="DR145" s="774"/>
      <c r="DS145" s="10"/>
      <c r="DT145" s="774"/>
      <c r="DU145" s="774"/>
      <c r="DV145" s="774"/>
      <c r="DW145" s="774"/>
      <c r="DX145" s="10"/>
      <c r="DY145" s="774"/>
      <c r="DZ145" s="774"/>
      <c r="EA145" s="774"/>
      <c r="EB145" s="774"/>
      <c r="EC145" s="10"/>
      <c r="ED145" s="774"/>
      <c r="EE145" s="774"/>
      <c r="EF145" s="774"/>
      <c r="EG145" s="774"/>
      <c r="EH145" s="10"/>
      <c r="EI145" s="775"/>
      <c r="EJ145" s="179"/>
      <c r="EK145" s="179"/>
      <c r="EL145" s="179"/>
      <c r="EM145" s="10"/>
      <c r="EN145" s="179"/>
      <c r="EO145" s="179"/>
      <c r="EP145" s="179"/>
      <c r="EQ145" s="179"/>
      <c r="ER145" s="10"/>
      <c r="ES145" s="179"/>
      <c r="ET145" s="179"/>
      <c r="EU145" s="179"/>
      <c r="EV145" s="179"/>
      <c r="EW145" s="10"/>
      <c r="EX145" s="179"/>
      <c r="EY145" s="179"/>
      <c r="EZ145" s="179"/>
      <c r="FA145" s="179"/>
      <c r="FB145" s="10"/>
      <c r="FC145" s="179"/>
      <c r="FD145" s="179"/>
      <c r="FE145" s="179"/>
      <c r="FF145" s="179"/>
      <c r="FG145" s="10"/>
    </row>
    <row r="146" ht="12.75" customHeight="1">
      <c r="A146" s="4"/>
      <c r="B146" s="4"/>
      <c r="C146" s="4"/>
      <c r="D146" s="4"/>
      <c r="E146" s="4"/>
      <c r="F146" s="4"/>
      <c r="G146" s="4"/>
      <c r="H146" s="4"/>
      <c r="I146" s="4"/>
      <c r="J146" s="4"/>
      <c r="K146" s="4"/>
      <c r="L146" s="4"/>
      <c r="M146" s="4"/>
      <c r="N146" s="4"/>
      <c r="O146" s="4"/>
      <c r="P146" s="4"/>
      <c r="Q146" s="4"/>
      <c r="R146" s="45"/>
      <c r="S146" s="4"/>
      <c r="T146" s="4"/>
      <c r="U146" s="4"/>
      <c r="V146" s="4"/>
      <c r="W146" s="45"/>
      <c r="X146" s="4"/>
      <c r="Y146" s="4"/>
      <c r="Z146" s="4"/>
      <c r="AA146" s="4"/>
      <c r="AB146" s="45"/>
      <c r="AC146" s="179"/>
      <c r="AD146" s="179"/>
      <c r="AE146" s="179"/>
      <c r="AF146" s="179"/>
      <c r="AG146" s="45"/>
      <c r="AH146" s="4"/>
      <c r="AI146" s="4"/>
      <c r="AJ146" s="4"/>
      <c r="AK146" s="4"/>
      <c r="AL146" s="45"/>
      <c r="AM146" s="179"/>
      <c r="AN146" s="179"/>
      <c r="AO146" s="179"/>
      <c r="AP146" s="179"/>
      <c r="AQ146" s="8"/>
      <c r="AR146" s="179"/>
      <c r="AS146" s="179"/>
      <c r="AT146" s="179"/>
      <c r="AU146" s="179"/>
      <c r="AV146" s="8"/>
      <c r="AW146" s="179"/>
      <c r="AX146" s="179"/>
      <c r="AY146" s="179"/>
      <c r="AZ146" s="179"/>
      <c r="BA146" s="8"/>
      <c r="BB146" s="179"/>
      <c r="BC146" s="179"/>
      <c r="BD146" s="179"/>
      <c r="BE146" s="179"/>
      <c r="BF146" s="8"/>
      <c r="BG146" s="179"/>
      <c r="BH146" s="179"/>
      <c r="BI146" s="179"/>
      <c r="BJ146" s="179"/>
      <c r="BK146" s="8"/>
      <c r="BL146" s="179"/>
      <c r="BM146" s="179"/>
      <c r="BN146" s="179"/>
      <c r="BO146" s="179"/>
      <c r="BP146" s="8"/>
      <c r="BQ146" s="179"/>
      <c r="BR146" s="179"/>
      <c r="BS146" s="179"/>
      <c r="BT146" s="179"/>
      <c r="BU146" s="8"/>
      <c r="BV146" s="179"/>
      <c r="BW146" s="179"/>
      <c r="BX146" s="179"/>
      <c r="BY146" s="179"/>
      <c r="BZ146" s="8"/>
      <c r="CA146" s="179"/>
      <c r="CB146" s="179"/>
      <c r="CC146" s="179"/>
      <c r="CD146" s="179"/>
      <c r="CE146" s="8"/>
      <c r="CF146" s="179"/>
      <c r="CG146" s="179"/>
      <c r="CH146" s="179"/>
      <c r="CI146" s="179"/>
      <c r="CJ146" s="8"/>
      <c r="CK146" s="179"/>
      <c r="CL146" s="179"/>
      <c r="CM146" s="179"/>
      <c r="CN146" s="179"/>
      <c r="CO146" s="8"/>
      <c r="CP146" s="179"/>
      <c r="CQ146" s="179"/>
      <c r="CR146" s="179"/>
      <c r="CS146" s="179"/>
      <c r="CT146" s="8"/>
      <c r="CU146" s="179"/>
      <c r="CV146" s="179"/>
      <c r="CW146" s="179"/>
      <c r="CX146" s="179"/>
      <c r="CY146" s="10"/>
      <c r="CZ146" s="179"/>
      <c r="DA146" s="179"/>
      <c r="DB146" s="179"/>
      <c r="DC146" s="179"/>
      <c r="DD146" s="10"/>
      <c r="DE146" s="179"/>
      <c r="DF146" s="179"/>
      <c r="DG146" s="774"/>
      <c r="DH146" s="179"/>
      <c r="DI146" s="10"/>
      <c r="DJ146" s="774"/>
      <c r="DK146" s="774"/>
      <c r="DL146" s="774"/>
      <c r="DM146" s="179"/>
      <c r="DN146" s="10"/>
      <c r="DO146" s="179"/>
      <c r="DP146" s="179"/>
      <c r="DQ146" s="774"/>
      <c r="DR146" s="774"/>
      <c r="DS146" s="10"/>
      <c r="DT146" s="774"/>
      <c r="DU146" s="774"/>
      <c r="DV146" s="774"/>
      <c r="DW146" s="774"/>
      <c r="DX146" s="10"/>
      <c r="DY146" s="774"/>
      <c r="DZ146" s="774"/>
      <c r="EA146" s="774"/>
      <c r="EB146" s="774"/>
      <c r="EC146" s="10"/>
      <c r="ED146" s="774"/>
      <c r="EE146" s="774"/>
      <c r="EF146" s="774"/>
      <c r="EG146" s="774"/>
      <c r="EH146" s="10"/>
      <c r="EI146" s="775"/>
      <c r="EJ146" s="179"/>
      <c r="EK146" s="179"/>
      <c r="EL146" s="179"/>
      <c r="EM146" s="10"/>
      <c r="EN146" s="179"/>
      <c r="EO146" s="179"/>
      <c r="EP146" s="179"/>
      <c r="EQ146" s="179"/>
      <c r="ER146" s="10"/>
      <c r="ES146" s="179"/>
      <c r="ET146" s="179"/>
      <c r="EU146" s="179"/>
      <c r="EV146" s="179"/>
      <c r="EW146" s="10"/>
      <c r="EX146" s="179"/>
      <c r="EY146" s="179"/>
      <c r="EZ146" s="179"/>
      <c r="FA146" s="179"/>
      <c r="FB146" s="10"/>
      <c r="FC146" s="179"/>
      <c r="FD146" s="179"/>
      <c r="FE146" s="179"/>
      <c r="FF146" s="179"/>
      <c r="FG146" s="10"/>
    </row>
    <row r="147" ht="12.75" customHeight="1">
      <c r="A147" s="4"/>
      <c r="B147" s="4"/>
      <c r="C147" s="4"/>
      <c r="D147" s="4"/>
      <c r="E147" s="4"/>
      <c r="F147" s="4"/>
      <c r="G147" s="4"/>
      <c r="H147" s="4"/>
      <c r="I147" s="4"/>
      <c r="J147" s="4"/>
      <c r="K147" s="4"/>
      <c r="L147" s="4"/>
      <c r="M147" s="4"/>
      <c r="N147" s="4"/>
      <c r="O147" s="4"/>
      <c r="P147" s="4"/>
      <c r="Q147" s="4"/>
      <c r="R147" s="45"/>
      <c r="S147" s="4"/>
      <c r="T147" s="4"/>
      <c r="U147" s="4"/>
      <c r="V147" s="4"/>
      <c r="W147" s="45"/>
      <c r="X147" s="4"/>
      <c r="Y147" s="4"/>
      <c r="Z147" s="4"/>
      <c r="AA147" s="4"/>
      <c r="AB147" s="45"/>
      <c r="AC147" s="179"/>
      <c r="AD147" s="179"/>
      <c r="AE147" s="179"/>
      <c r="AF147" s="179"/>
      <c r="AG147" s="45"/>
      <c r="AH147" s="4"/>
      <c r="AI147" s="4"/>
      <c r="AJ147" s="4"/>
      <c r="AK147" s="4"/>
      <c r="AL147" s="45"/>
      <c r="AM147" s="179"/>
      <c r="AN147" s="179"/>
      <c r="AO147" s="179"/>
      <c r="AP147" s="179"/>
      <c r="AQ147" s="8"/>
      <c r="AR147" s="179"/>
      <c r="AS147" s="179"/>
      <c r="AT147" s="179"/>
      <c r="AU147" s="179"/>
      <c r="AV147" s="8"/>
      <c r="AW147" s="179"/>
      <c r="AX147" s="179"/>
      <c r="AY147" s="179"/>
      <c r="AZ147" s="179"/>
      <c r="BA147" s="8"/>
      <c r="BB147" s="179"/>
      <c r="BC147" s="179"/>
      <c r="BD147" s="179"/>
      <c r="BE147" s="179"/>
      <c r="BF147" s="8"/>
      <c r="BG147" s="179"/>
      <c r="BH147" s="179"/>
      <c r="BI147" s="179"/>
      <c r="BJ147" s="179"/>
      <c r="BK147" s="8"/>
      <c r="BL147" s="179"/>
      <c r="BM147" s="179"/>
      <c r="BN147" s="179"/>
      <c r="BO147" s="179"/>
      <c r="BP147" s="8"/>
      <c r="BQ147" s="179"/>
      <c r="BR147" s="179"/>
      <c r="BS147" s="179"/>
      <c r="BT147" s="179"/>
      <c r="BU147" s="8"/>
      <c r="BV147" s="179"/>
      <c r="BW147" s="179"/>
      <c r="BX147" s="179"/>
      <c r="BY147" s="179"/>
      <c r="BZ147" s="8"/>
      <c r="CA147" s="179"/>
      <c r="CB147" s="179"/>
      <c r="CC147" s="179"/>
      <c r="CD147" s="179"/>
      <c r="CE147" s="8"/>
      <c r="CF147" s="179"/>
      <c r="CG147" s="179"/>
      <c r="CH147" s="179"/>
      <c r="CI147" s="179"/>
      <c r="CJ147" s="8"/>
      <c r="CK147" s="179"/>
      <c r="CL147" s="179"/>
      <c r="CM147" s="179"/>
      <c r="CN147" s="179"/>
      <c r="CO147" s="8"/>
      <c r="CP147" s="179"/>
      <c r="CQ147" s="179"/>
      <c r="CR147" s="179"/>
      <c r="CS147" s="179"/>
      <c r="CT147" s="8"/>
      <c r="CU147" s="179"/>
      <c r="CV147" s="179"/>
      <c r="CW147" s="179"/>
      <c r="CX147" s="179"/>
      <c r="CY147" s="10"/>
      <c r="CZ147" s="179"/>
      <c r="DA147" s="179"/>
      <c r="DB147" s="179"/>
      <c r="DC147" s="179"/>
      <c r="DD147" s="10"/>
      <c r="DE147" s="179"/>
      <c r="DF147" s="179"/>
      <c r="DG147" s="774"/>
      <c r="DH147" s="179"/>
      <c r="DI147" s="10"/>
      <c r="DJ147" s="774"/>
      <c r="DK147" s="774"/>
      <c r="DL147" s="774"/>
      <c r="DM147" s="179"/>
      <c r="DN147" s="10"/>
      <c r="DO147" s="179"/>
      <c r="DP147" s="179"/>
      <c r="DQ147" s="774"/>
      <c r="DR147" s="774"/>
      <c r="DS147" s="10"/>
      <c r="DT147" s="774"/>
      <c r="DU147" s="774"/>
      <c r="DV147" s="774"/>
      <c r="DW147" s="774"/>
      <c r="DX147" s="10"/>
      <c r="DY147" s="774"/>
      <c r="DZ147" s="774"/>
      <c r="EA147" s="774"/>
      <c r="EB147" s="774"/>
      <c r="EC147" s="10"/>
      <c r="ED147" s="774"/>
      <c r="EE147" s="774"/>
      <c r="EF147" s="774"/>
      <c r="EG147" s="774"/>
      <c r="EH147" s="10"/>
      <c r="EI147" s="775"/>
      <c r="EJ147" s="179"/>
      <c r="EK147" s="179"/>
      <c r="EL147" s="179"/>
      <c r="EM147" s="10"/>
      <c r="EN147" s="179"/>
      <c r="EO147" s="179"/>
      <c r="EP147" s="179"/>
      <c r="EQ147" s="179"/>
      <c r="ER147" s="10"/>
      <c r="ES147" s="179"/>
      <c r="ET147" s="179"/>
      <c r="EU147" s="179"/>
      <c r="EV147" s="179"/>
      <c r="EW147" s="10"/>
      <c r="EX147" s="179"/>
      <c r="EY147" s="179"/>
      <c r="EZ147" s="179"/>
      <c r="FA147" s="179"/>
      <c r="FB147" s="10"/>
      <c r="FC147" s="179"/>
      <c r="FD147" s="179"/>
      <c r="FE147" s="179"/>
      <c r="FF147" s="179"/>
      <c r="FG147" s="10"/>
    </row>
    <row r="148" ht="12.75" customHeight="1">
      <c r="A148" s="4"/>
      <c r="B148" s="4"/>
      <c r="C148" s="4"/>
      <c r="D148" s="4"/>
      <c r="E148" s="4"/>
      <c r="F148" s="4"/>
      <c r="G148" s="4"/>
      <c r="H148" s="4"/>
      <c r="I148" s="4"/>
      <c r="J148" s="4"/>
      <c r="K148" s="4"/>
      <c r="L148" s="4"/>
      <c r="M148" s="4"/>
      <c r="N148" s="4"/>
      <c r="O148" s="4"/>
      <c r="P148" s="4"/>
      <c r="Q148" s="4"/>
      <c r="R148" s="45"/>
      <c r="S148" s="4"/>
      <c r="T148" s="4"/>
      <c r="U148" s="4"/>
      <c r="V148" s="4"/>
      <c r="W148" s="45"/>
      <c r="X148" s="4"/>
      <c r="Y148" s="4"/>
      <c r="Z148" s="4"/>
      <c r="AA148" s="4"/>
      <c r="AB148" s="45"/>
      <c r="AC148" s="179"/>
      <c r="AD148" s="179"/>
      <c r="AE148" s="179"/>
      <c r="AF148" s="179"/>
      <c r="AG148" s="45"/>
      <c r="AH148" s="4"/>
      <c r="AI148" s="4"/>
      <c r="AJ148" s="4"/>
      <c r="AK148" s="4"/>
      <c r="AL148" s="45"/>
      <c r="AM148" s="179"/>
      <c r="AN148" s="179"/>
      <c r="AO148" s="179"/>
      <c r="AP148" s="179"/>
      <c r="AQ148" s="8"/>
      <c r="AR148" s="179"/>
      <c r="AS148" s="179"/>
      <c r="AT148" s="179"/>
      <c r="AU148" s="179"/>
      <c r="AV148" s="8"/>
      <c r="AW148" s="179"/>
      <c r="AX148" s="179"/>
      <c r="AY148" s="179"/>
      <c r="AZ148" s="179"/>
      <c r="BA148" s="8"/>
      <c r="BB148" s="179"/>
      <c r="BC148" s="179"/>
      <c r="BD148" s="179"/>
      <c r="BE148" s="179"/>
      <c r="BF148" s="8"/>
      <c r="BG148" s="179"/>
      <c r="BH148" s="179"/>
      <c r="BI148" s="179"/>
      <c r="BJ148" s="179"/>
      <c r="BK148" s="8"/>
      <c r="BL148" s="179"/>
      <c r="BM148" s="179"/>
      <c r="BN148" s="179"/>
      <c r="BO148" s="179"/>
      <c r="BP148" s="8"/>
      <c r="BQ148" s="179"/>
      <c r="BR148" s="179"/>
      <c r="BS148" s="179"/>
      <c r="BT148" s="179"/>
      <c r="BU148" s="8"/>
      <c r="BV148" s="179"/>
      <c r="BW148" s="179"/>
      <c r="BX148" s="179"/>
      <c r="BY148" s="179"/>
      <c r="BZ148" s="8"/>
      <c r="CA148" s="179"/>
      <c r="CB148" s="179"/>
      <c r="CC148" s="179"/>
      <c r="CD148" s="179"/>
      <c r="CE148" s="8"/>
      <c r="CF148" s="179"/>
      <c r="CG148" s="179"/>
      <c r="CH148" s="179"/>
      <c r="CI148" s="179"/>
      <c r="CJ148" s="8"/>
      <c r="CK148" s="179"/>
      <c r="CL148" s="179"/>
      <c r="CM148" s="179"/>
      <c r="CN148" s="179"/>
      <c r="CO148" s="8"/>
      <c r="CP148" s="179"/>
      <c r="CQ148" s="179"/>
      <c r="CR148" s="179"/>
      <c r="CS148" s="179"/>
      <c r="CT148" s="8"/>
      <c r="CU148" s="179"/>
      <c r="CV148" s="179"/>
      <c r="CW148" s="179"/>
      <c r="CX148" s="179"/>
      <c r="CY148" s="10"/>
      <c r="CZ148" s="179"/>
      <c r="DA148" s="179"/>
      <c r="DB148" s="179"/>
      <c r="DC148" s="179"/>
      <c r="DD148" s="10"/>
      <c r="DE148" s="179"/>
      <c r="DF148" s="179"/>
      <c r="DG148" s="774"/>
      <c r="DH148" s="179"/>
      <c r="DI148" s="10"/>
      <c r="DJ148" s="774"/>
      <c r="DK148" s="774"/>
      <c r="DL148" s="774"/>
      <c r="DM148" s="179"/>
      <c r="DN148" s="10"/>
      <c r="DO148" s="179"/>
      <c r="DP148" s="179"/>
      <c r="DQ148" s="774"/>
      <c r="DR148" s="774"/>
      <c r="DS148" s="10"/>
      <c r="DT148" s="774"/>
      <c r="DU148" s="774"/>
      <c r="DV148" s="774"/>
      <c r="DW148" s="774"/>
      <c r="DX148" s="10"/>
      <c r="DY148" s="774"/>
      <c r="DZ148" s="774"/>
      <c r="EA148" s="774"/>
      <c r="EB148" s="774"/>
      <c r="EC148" s="10"/>
      <c r="ED148" s="774"/>
      <c r="EE148" s="774"/>
      <c r="EF148" s="774"/>
      <c r="EG148" s="774"/>
      <c r="EH148" s="10"/>
      <c r="EI148" s="775"/>
      <c r="EJ148" s="179"/>
      <c r="EK148" s="179"/>
      <c r="EL148" s="179"/>
      <c r="EM148" s="10"/>
      <c r="EN148" s="179"/>
      <c r="EO148" s="179"/>
      <c r="EP148" s="179"/>
      <c r="EQ148" s="179"/>
      <c r="ER148" s="10"/>
      <c r="ES148" s="179"/>
      <c r="ET148" s="179"/>
      <c r="EU148" s="179"/>
      <c r="EV148" s="179"/>
      <c r="EW148" s="10"/>
      <c r="EX148" s="179"/>
      <c r="EY148" s="179"/>
      <c r="EZ148" s="179"/>
      <c r="FA148" s="179"/>
      <c r="FB148" s="10"/>
      <c r="FC148" s="179"/>
      <c r="FD148" s="179"/>
      <c r="FE148" s="179"/>
      <c r="FF148" s="179"/>
      <c r="FG148" s="10"/>
    </row>
    <row r="149" ht="12.75" customHeight="1">
      <c r="A149" s="4"/>
      <c r="B149" s="4"/>
      <c r="C149" s="4"/>
      <c r="D149" s="4"/>
      <c r="E149" s="4"/>
      <c r="F149" s="4"/>
      <c r="G149" s="4"/>
      <c r="H149" s="4"/>
      <c r="I149" s="4"/>
      <c r="J149" s="4"/>
      <c r="K149" s="4"/>
      <c r="L149" s="4"/>
      <c r="M149" s="4"/>
      <c r="N149" s="4"/>
      <c r="O149" s="4"/>
      <c r="P149" s="4"/>
      <c r="Q149" s="4"/>
      <c r="R149" s="45"/>
      <c r="S149" s="4"/>
      <c r="T149" s="4"/>
      <c r="U149" s="4"/>
      <c r="V149" s="4"/>
      <c r="W149" s="45"/>
      <c r="X149" s="4"/>
      <c r="Y149" s="4"/>
      <c r="Z149" s="4"/>
      <c r="AA149" s="4"/>
      <c r="AB149" s="45"/>
      <c r="AC149" s="179"/>
      <c r="AD149" s="179"/>
      <c r="AE149" s="179"/>
      <c r="AF149" s="179"/>
      <c r="AG149" s="45"/>
      <c r="AH149" s="4"/>
      <c r="AI149" s="4"/>
      <c r="AJ149" s="4"/>
      <c r="AK149" s="4"/>
      <c r="AL149" s="45"/>
      <c r="AM149" s="179"/>
      <c r="AN149" s="179"/>
      <c r="AO149" s="179"/>
      <c r="AP149" s="179"/>
      <c r="AQ149" s="8"/>
      <c r="AR149" s="179"/>
      <c r="AS149" s="179"/>
      <c r="AT149" s="179"/>
      <c r="AU149" s="179"/>
      <c r="AV149" s="8"/>
      <c r="AW149" s="179"/>
      <c r="AX149" s="179"/>
      <c r="AY149" s="179"/>
      <c r="AZ149" s="179"/>
      <c r="BA149" s="8"/>
      <c r="BB149" s="179"/>
      <c r="BC149" s="179"/>
      <c r="BD149" s="179"/>
      <c r="BE149" s="179"/>
      <c r="BF149" s="8"/>
      <c r="BG149" s="179"/>
      <c r="BH149" s="179"/>
      <c r="BI149" s="179"/>
      <c r="BJ149" s="179"/>
      <c r="BK149" s="8"/>
      <c r="BL149" s="179"/>
      <c r="BM149" s="179"/>
      <c r="BN149" s="179"/>
      <c r="BO149" s="179"/>
      <c r="BP149" s="8"/>
      <c r="BQ149" s="179"/>
      <c r="BR149" s="179"/>
      <c r="BS149" s="179"/>
      <c r="BT149" s="179"/>
      <c r="BU149" s="8"/>
      <c r="BV149" s="179"/>
      <c r="BW149" s="179"/>
      <c r="BX149" s="179"/>
      <c r="BY149" s="179"/>
      <c r="BZ149" s="8"/>
      <c r="CA149" s="179"/>
      <c r="CB149" s="179"/>
      <c r="CC149" s="179"/>
      <c r="CD149" s="179"/>
      <c r="CE149" s="8"/>
      <c r="CF149" s="179"/>
      <c r="CG149" s="179"/>
      <c r="CH149" s="179"/>
      <c r="CI149" s="179"/>
      <c r="CJ149" s="8"/>
      <c r="CK149" s="179"/>
      <c r="CL149" s="179"/>
      <c r="CM149" s="179"/>
      <c r="CN149" s="179"/>
      <c r="CO149" s="8"/>
      <c r="CP149" s="179"/>
      <c r="CQ149" s="179"/>
      <c r="CR149" s="179"/>
      <c r="CS149" s="179"/>
      <c r="CT149" s="8"/>
      <c r="CU149" s="179"/>
      <c r="CV149" s="179"/>
      <c r="CW149" s="179"/>
      <c r="CX149" s="179"/>
      <c r="CY149" s="10"/>
      <c r="CZ149" s="179"/>
      <c r="DA149" s="179"/>
      <c r="DB149" s="179"/>
      <c r="DC149" s="179"/>
      <c r="DD149" s="10"/>
      <c r="DE149" s="179"/>
      <c r="DF149" s="179"/>
      <c r="DG149" s="774"/>
      <c r="DH149" s="179"/>
      <c r="DI149" s="10"/>
      <c r="DJ149" s="774"/>
      <c r="DK149" s="774"/>
      <c r="DL149" s="774"/>
      <c r="DM149" s="179"/>
      <c r="DN149" s="10"/>
      <c r="DO149" s="179"/>
      <c r="DP149" s="179"/>
      <c r="DQ149" s="774"/>
      <c r="DR149" s="774"/>
      <c r="DS149" s="10"/>
      <c r="DT149" s="774"/>
      <c r="DU149" s="774"/>
      <c r="DV149" s="774"/>
      <c r="DW149" s="774"/>
      <c r="DX149" s="10"/>
      <c r="DY149" s="774"/>
      <c r="DZ149" s="774"/>
      <c r="EA149" s="774"/>
      <c r="EB149" s="774"/>
      <c r="EC149" s="10"/>
      <c r="ED149" s="774"/>
      <c r="EE149" s="774"/>
      <c r="EF149" s="774"/>
      <c r="EG149" s="774"/>
      <c r="EH149" s="10"/>
      <c r="EI149" s="775"/>
      <c r="EJ149" s="179"/>
      <c r="EK149" s="179"/>
      <c r="EL149" s="179"/>
      <c r="EM149" s="10"/>
      <c r="EN149" s="179"/>
      <c r="EO149" s="179"/>
      <c r="EP149" s="179"/>
      <c r="EQ149" s="179"/>
      <c r="ER149" s="10"/>
      <c r="ES149" s="179"/>
      <c r="ET149" s="179"/>
      <c r="EU149" s="179"/>
      <c r="EV149" s="179"/>
      <c r="EW149" s="10"/>
      <c r="EX149" s="179"/>
      <c r="EY149" s="179"/>
      <c r="EZ149" s="179"/>
      <c r="FA149" s="179"/>
      <c r="FB149" s="10"/>
      <c r="FC149" s="179"/>
      <c r="FD149" s="179"/>
      <c r="FE149" s="179"/>
      <c r="FF149" s="179"/>
      <c r="FG149" s="10"/>
    </row>
    <row r="150" ht="12.75" customHeight="1">
      <c r="A150" s="4"/>
      <c r="B150" s="4"/>
      <c r="C150" s="4"/>
      <c r="D150" s="4"/>
      <c r="E150" s="4"/>
      <c r="F150" s="4"/>
      <c r="G150" s="4"/>
      <c r="H150" s="4"/>
      <c r="I150" s="4"/>
      <c r="J150" s="4"/>
      <c r="K150" s="4"/>
      <c r="L150" s="4"/>
      <c r="M150" s="4"/>
      <c r="N150" s="4"/>
      <c r="O150" s="4"/>
      <c r="P150" s="4"/>
      <c r="Q150" s="4"/>
      <c r="R150" s="45"/>
      <c r="S150" s="4"/>
      <c r="T150" s="4"/>
      <c r="U150" s="4"/>
      <c r="V150" s="4"/>
      <c r="W150" s="45"/>
      <c r="X150" s="4"/>
      <c r="Y150" s="4"/>
      <c r="Z150" s="4"/>
      <c r="AA150" s="4"/>
      <c r="AB150" s="45"/>
      <c r="AC150" s="179"/>
      <c r="AD150" s="179"/>
      <c r="AE150" s="179"/>
      <c r="AF150" s="179"/>
      <c r="AG150" s="45"/>
      <c r="AH150" s="4"/>
      <c r="AI150" s="4"/>
      <c r="AJ150" s="4"/>
      <c r="AK150" s="4"/>
      <c r="AL150" s="45"/>
      <c r="AM150" s="179"/>
      <c r="AN150" s="179"/>
      <c r="AO150" s="179"/>
      <c r="AP150" s="179"/>
      <c r="AQ150" s="8"/>
      <c r="AR150" s="179"/>
      <c r="AS150" s="179"/>
      <c r="AT150" s="179"/>
      <c r="AU150" s="179"/>
      <c r="AV150" s="8"/>
      <c r="AW150" s="179"/>
      <c r="AX150" s="179"/>
      <c r="AY150" s="179"/>
      <c r="AZ150" s="179"/>
      <c r="BA150" s="8"/>
      <c r="BB150" s="179"/>
      <c r="BC150" s="179"/>
      <c r="BD150" s="179"/>
      <c r="BE150" s="179"/>
      <c r="BF150" s="8"/>
      <c r="BG150" s="179"/>
      <c r="BH150" s="179"/>
      <c r="BI150" s="179"/>
      <c r="BJ150" s="179"/>
      <c r="BK150" s="8"/>
      <c r="BL150" s="179"/>
      <c r="BM150" s="179"/>
      <c r="BN150" s="179"/>
      <c r="BO150" s="179"/>
      <c r="BP150" s="8"/>
      <c r="BQ150" s="179"/>
      <c r="BR150" s="179"/>
      <c r="BS150" s="179"/>
      <c r="BT150" s="179"/>
      <c r="BU150" s="8"/>
      <c r="BV150" s="179"/>
      <c r="BW150" s="179"/>
      <c r="BX150" s="179"/>
      <c r="BY150" s="179"/>
      <c r="BZ150" s="8"/>
      <c r="CA150" s="179"/>
      <c r="CB150" s="179"/>
      <c r="CC150" s="179"/>
      <c r="CD150" s="179"/>
      <c r="CE150" s="8"/>
      <c r="CF150" s="179"/>
      <c r="CG150" s="179"/>
      <c r="CH150" s="179"/>
      <c r="CI150" s="179"/>
      <c r="CJ150" s="8"/>
      <c r="CK150" s="179"/>
      <c r="CL150" s="179"/>
      <c r="CM150" s="179"/>
      <c r="CN150" s="179"/>
      <c r="CO150" s="8"/>
      <c r="CP150" s="179"/>
      <c r="CQ150" s="179"/>
      <c r="CR150" s="179"/>
      <c r="CS150" s="179"/>
      <c r="CT150" s="8"/>
      <c r="CU150" s="179"/>
      <c r="CV150" s="179"/>
      <c r="CW150" s="179"/>
      <c r="CX150" s="179"/>
      <c r="CY150" s="10"/>
      <c r="CZ150" s="179"/>
      <c r="DA150" s="179"/>
      <c r="DB150" s="179"/>
      <c r="DC150" s="179"/>
      <c r="DD150" s="10"/>
      <c r="DE150" s="179"/>
      <c r="DF150" s="179"/>
      <c r="DG150" s="774"/>
      <c r="DH150" s="179"/>
      <c r="DI150" s="10"/>
      <c r="DJ150" s="774"/>
      <c r="DK150" s="774"/>
      <c r="DL150" s="774"/>
      <c r="DM150" s="179"/>
      <c r="DN150" s="10"/>
      <c r="DO150" s="179"/>
      <c r="DP150" s="179"/>
      <c r="DQ150" s="774"/>
      <c r="DR150" s="774"/>
      <c r="DS150" s="10"/>
      <c r="DT150" s="774"/>
      <c r="DU150" s="774"/>
      <c r="DV150" s="774"/>
      <c r="DW150" s="774"/>
      <c r="DX150" s="10"/>
      <c r="DY150" s="774"/>
      <c r="DZ150" s="774"/>
      <c r="EA150" s="774"/>
      <c r="EB150" s="774"/>
      <c r="EC150" s="10"/>
      <c r="ED150" s="774"/>
      <c r="EE150" s="774"/>
      <c r="EF150" s="774"/>
      <c r="EG150" s="774"/>
      <c r="EH150" s="10"/>
      <c r="EI150" s="775"/>
      <c r="EJ150" s="179"/>
      <c r="EK150" s="179"/>
      <c r="EL150" s="179"/>
      <c r="EM150" s="10"/>
      <c r="EN150" s="179"/>
      <c r="EO150" s="179"/>
      <c r="EP150" s="179"/>
      <c r="EQ150" s="179"/>
      <c r="ER150" s="10"/>
      <c r="ES150" s="179"/>
      <c r="ET150" s="179"/>
      <c r="EU150" s="179"/>
      <c r="EV150" s="179"/>
      <c r="EW150" s="10"/>
      <c r="EX150" s="179"/>
      <c r="EY150" s="179"/>
      <c r="EZ150" s="179"/>
      <c r="FA150" s="179"/>
      <c r="FB150" s="10"/>
      <c r="FC150" s="179"/>
      <c r="FD150" s="179"/>
      <c r="FE150" s="179"/>
      <c r="FF150" s="179"/>
      <c r="FG150" s="10"/>
    </row>
    <row r="151" ht="12.75" customHeight="1">
      <c r="A151" s="4"/>
      <c r="B151" s="4"/>
      <c r="C151" s="4"/>
      <c r="D151" s="4"/>
      <c r="E151" s="4"/>
      <c r="F151" s="4"/>
      <c r="G151" s="4"/>
      <c r="H151" s="4"/>
      <c r="I151" s="4"/>
      <c r="J151" s="4"/>
      <c r="K151" s="4"/>
      <c r="L151" s="4"/>
      <c r="M151" s="4"/>
      <c r="N151" s="4"/>
      <c r="O151" s="4"/>
      <c r="P151" s="4"/>
      <c r="Q151" s="4"/>
      <c r="R151" s="45"/>
      <c r="S151" s="4"/>
      <c r="T151" s="4"/>
      <c r="U151" s="4"/>
      <c r="V151" s="4"/>
      <c r="W151" s="45"/>
      <c r="X151" s="4"/>
      <c r="Y151" s="4"/>
      <c r="Z151" s="4"/>
      <c r="AA151" s="4"/>
      <c r="AB151" s="45"/>
      <c r="AC151" s="179"/>
      <c r="AD151" s="179"/>
      <c r="AE151" s="179"/>
      <c r="AF151" s="179"/>
      <c r="AG151" s="45"/>
      <c r="AH151" s="4"/>
      <c r="AI151" s="4"/>
      <c r="AJ151" s="4"/>
      <c r="AK151" s="4"/>
      <c r="AL151" s="45"/>
      <c r="AM151" s="179"/>
      <c r="AN151" s="179"/>
      <c r="AO151" s="179"/>
      <c r="AP151" s="179"/>
      <c r="AQ151" s="8"/>
      <c r="AR151" s="179"/>
      <c r="AS151" s="179"/>
      <c r="AT151" s="179"/>
      <c r="AU151" s="179"/>
      <c r="AV151" s="8"/>
      <c r="AW151" s="179"/>
      <c r="AX151" s="179"/>
      <c r="AY151" s="179"/>
      <c r="AZ151" s="179"/>
      <c r="BA151" s="8"/>
      <c r="BB151" s="179"/>
      <c r="BC151" s="179"/>
      <c r="BD151" s="179"/>
      <c r="BE151" s="179"/>
      <c r="BF151" s="8"/>
      <c r="BG151" s="179"/>
      <c r="BH151" s="179"/>
      <c r="BI151" s="179"/>
      <c r="BJ151" s="179"/>
      <c r="BK151" s="8"/>
      <c r="BL151" s="179"/>
      <c r="BM151" s="179"/>
      <c r="BN151" s="179"/>
      <c r="BO151" s="179"/>
      <c r="BP151" s="8"/>
      <c r="BQ151" s="179"/>
      <c r="BR151" s="179"/>
      <c r="BS151" s="179"/>
      <c r="BT151" s="179"/>
      <c r="BU151" s="8"/>
      <c r="BV151" s="179"/>
      <c r="BW151" s="179"/>
      <c r="BX151" s="179"/>
      <c r="BY151" s="179"/>
      <c r="BZ151" s="8"/>
      <c r="CA151" s="179"/>
      <c r="CB151" s="179"/>
      <c r="CC151" s="179"/>
      <c r="CD151" s="179"/>
      <c r="CE151" s="8"/>
      <c r="CF151" s="179"/>
      <c r="CG151" s="179"/>
      <c r="CH151" s="179"/>
      <c r="CI151" s="179"/>
      <c r="CJ151" s="8"/>
      <c r="CK151" s="179"/>
      <c r="CL151" s="179"/>
      <c r="CM151" s="179"/>
      <c r="CN151" s="179"/>
      <c r="CO151" s="8"/>
      <c r="CP151" s="179"/>
      <c r="CQ151" s="179"/>
      <c r="CR151" s="179"/>
      <c r="CS151" s="179"/>
      <c r="CT151" s="8"/>
      <c r="CU151" s="179"/>
      <c r="CV151" s="179"/>
      <c r="CW151" s="179"/>
      <c r="CX151" s="179"/>
      <c r="CY151" s="10"/>
      <c r="CZ151" s="179"/>
      <c r="DA151" s="179"/>
      <c r="DB151" s="179"/>
      <c r="DC151" s="179"/>
      <c r="DD151" s="10"/>
      <c r="DE151" s="179"/>
      <c r="DF151" s="179"/>
      <c r="DG151" s="774"/>
      <c r="DH151" s="179"/>
      <c r="DI151" s="10"/>
      <c r="DJ151" s="774"/>
      <c r="DK151" s="774"/>
      <c r="DL151" s="774"/>
      <c r="DM151" s="179"/>
      <c r="DN151" s="10"/>
      <c r="DO151" s="179"/>
      <c r="DP151" s="179"/>
      <c r="DQ151" s="774"/>
      <c r="DR151" s="774"/>
      <c r="DS151" s="10"/>
      <c r="DT151" s="774"/>
      <c r="DU151" s="774"/>
      <c r="DV151" s="774"/>
      <c r="DW151" s="774"/>
      <c r="DX151" s="10"/>
      <c r="DY151" s="774"/>
      <c r="DZ151" s="774"/>
      <c r="EA151" s="774"/>
      <c r="EB151" s="774"/>
      <c r="EC151" s="10"/>
      <c r="ED151" s="774"/>
      <c r="EE151" s="774"/>
      <c r="EF151" s="774"/>
      <c r="EG151" s="774"/>
      <c r="EH151" s="10"/>
      <c r="EI151" s="775"/>
      <c r="EJ151" s="179"/>
      <c r="EK151" s="179"/>
      <c r="EL151" s="179"/>
      <c r="EM151" s="10"/>
      <c r="EN151" s="179"/>
      <c r="EO151" s="179"/>
      <c r="EP151" s="179"/>
      <c r="EQ151" s="179"/>
      <c r="ER151" s="10"/>
      <c r="ES151" s="179"/>
      <c r="ET151" s="179"/>
      <c r="EU151" s="179"/>
      <c r="EV151" s="179"/>
      <c r="EW151" s="10"/>
      <c r="EX151" s="179"/>
      <c r="EY151" s="179"/>
      <c r="EZ151" s="179"/>
      <c r="FA151" s="179"/>
      <c r="FB151" s="10"/>
      <c r="FC151" s="179"/>
      <c r="FD151" s="179"/>
      <c r="FE151" s="179"/>
      <c r="FF151" s="179"/>
      <c r="FG151" s="10"/>
    </row>
    <row r="152" ht="12.75" customHeight="1">
      <c r="A152" s="4"/>
      <c r="B152" s="4"/>
      <c r="C152" s="4"/>
      <c r="D152" s="4"/>
      <c r="E152" s="4"/>
      <c r="F152" s="4"/>
      <c r="G152" s="4"/>
      <c r="H152" s="4"/>
      <c r="I152" s="4"/>
      <c r="J152" s="4"/>
      <c r="K152" s="4"/>
      <c r="L152" s="4"/>
      <c r="M152" s="4"/>
      <c r="N152" s="4"/>
      <c r="O152" s="4"/>
      <c r="P152" s="4"/>
      <c r="Q152" s="4"/>
      <c r="R152" s="45"/>
      <c r="S152" s="4"/>
      <c r="T152" s="4"/>
      <c r="U152" s="4"/>
      <c r="V152" s="4"/>
      <c r="W152" s="45"/>
      <c r="X152" s="4"/>
      <c r="Y152" s="4"/>
      <c r="Z152" s="4"/>
      <c r="AA152" s="4"/>
      <c r="AB152" s="45"/>
      <c r="AC152" s="179"/>
      <c r="AD152" s="179"/>
      <c r="AE152" s="179"/>
      <c r="AF152" s="179"/>
      <c r="AG152" s="45"/>
      <c r="AH152" s="4"/>
      <c r="AI152" s="4"/>
      <c r="AJ152" s="4"/>
      <c r="AK152" s="4"/>
      <c r="AL152" s="45"/>
      <c r="AM152" s="179"/>
      <c r="AN152" s="179"/>
      <c r="AO152" s="179"/>
      <c r="AP152" s="179"/>
      <c r="AQ152" s="8"/>
      <c r="AR152" s="179"/>
      <c r="AS152" s="179"/>
      <c r="AT152" s="179"/>
      <c r="AU152" s="179"/>
      <c r="AV152" s="8"/>
      <c r="AW152" s="179"/>
      <c r="AX152" s="179"/>
      <c r="AY152" s="179"/>
      <c r="AZ152" s="179"/>
      <c r="BA152" s="8"/>
      <c r="BB152" s="179"/>
      <c r="BC152" s="179"/>
      <c r="BD152" s="179"/>
      <c r="BE152" s="179"/>
      <c r="BF152" s="8"/>
      <c r="BG152" s="179"/>
      <c r="BH152" s="179"/>
      <c r="BI152" s="179"/>
      <c r="BJ152" s="179"/>
      <c r="BK152" s="8"/>
      <c r="BL152" s="179"/>
      <c r="BM152" s="179"/>
      <c r="BN152" s="179"/>
      <c r="BO152" s="179"/>
      <c r="BP152" s="8"/>
      <c r="BQ152" s="179"/>
      <c r="BR152" s="179"/>
      <c r="BS152" s="179"/>
      <c r="BT152" s="179"/>
      <c r="BU152" s="8"/>
      <c r="BV152" s="179"/>
      <c r="BW152" s="179"/>
      <c r="BX152" s="179"/>
      <c r="BY152" s="179"/>
      <c r="BZ152" s="8"/>
      <c r="CA152" s="179"/>
      <c r="CB152" s="179"/>
      <c r="CC152" s="179"/>
      <c r="CD152" s="179"/>
      <c r="CE152" s="8"/>
      <c r="CF152" s="179"/>
      <c r="CG152" s="179"/>
      <c r="CH152" s="179"/>
      <c r="CI152" s="179"/>
      <c r="CJ152" s="8"/>
      <c r="CK152" s="179"/>
      <c r="CL152" s="179"/>
      <c r="CM152" s="179"/>
      <c r="CN152" s="179"/>
      <c r="CO152" s="8"/>
      <c r="CP152" s="179"/>
      <c r="CQ152" s="179"/>
      <c r="CR152" s="179"/>
      <c r="CS152" s="179"/>
      <c r="CT152" s="8"/>
      <c r="CU152" s="179"/>
      <c r="CV152" s="179"/>
      <c r="CW152" s="179"/>
      <c r="CX152" s="179"/>
      <c r="CY152" s="10"/>
      <c r="CZ152" s="179"/>
      <c r="DA152" s="179"/>
      <c r="DB152" s="179"/>
      <c r="DC152" s="179"/>
      <c r="DD152" s="10"/>
      <c r="DE152" s="179"/>
      <c r="DF152" s="179"/>
      <c r="DG152" s="774"/>
      <c r="DH152" s="179"/>
      <c r="DI152" s="10"/>
      <c r="DJ152" s="774"/>
      <c r="DK152" s="774"/>
      <c r="DL152" s="774"/>
      <c r="DM152" s="179"/>
      <c r="DN152" s="10"/>
      <c r="DO152" s="179"/>
      <c r="DP152" s="179"/>
      <c r="DQ152" s="774"/>
      <c r="DR152" s="774"/>
      <c r="DS152" s="10"/>
      <c r="DT152" s="774"/>
      <c r="DU152" s="774"/>
      <c r="DV152" s="774"/>
      <c r="DW152" s="774"/>
      <c r="DX152" s="10"/>
      <c r="DY152" s="774"/>
      <c r="DZ152" s="774"/>
      <c r="EA152" s="774"/>
      <c r="EB152" s="774"/>
      <c r="EC152" s="10"/>
      <c r="ED152" s="774"/>
      <c r="EE152" s="774"/>
      <c r="EF152" s="774"/>
      <c r="EG152" s="774"/>
      <c r="EH152" s="10"/>
      <c r="EI152" s="775"/>
      <c r="EJ152" s="179"/>
      <c r="EK152" s="179"/>
      <c r="EL152" s="179"/>
      <c r="EM152" s="10"/>
      <c r="EN152" s="179"/>
      <c r="EO152" s="179"/>
      <c r="EP152" s="179"/>
      <c r="EQ152" s="179"/>
      <c r="ER152" s="10"/>
      <c r="ES152" s="179"/>
      <c r="ET152" s="179"/>
      <c r="EU152" s="179"/>
      <c r="EV152" s="179"/>
      <c r="EW152" s="10"/>
      <c r="EX152" s="179"/>
      <c r="EY152" s="179"/>
      <c r="EZ152" s="179"/>
      <c r="FA152" s="179"/>
      <c r="FB152" s="10"/>
      <c r="FC152" s="179"/>
      <c r="FD152" s="179"/>
      <c r="FE152" s="179"/>
      <c r="FF152" s="179"/>
      <c r="FG152" s="10"/>
    </row>
    <row r="153" ht="12.75" customHeight="1">
      <c r="A153" s="4"/>
      <c r="B153" s="4"/>
      <c r="C153" s="4"/>
      <c r="D153" s="4"/>
      <c r="E153" s="4"/>
      <c r="F153" s="4"/>
      <c r="G153" s="4"/>
      <c r="H153" s="4"/>
      <c r="I153" s="4"/>
      <c r="J153" s="4"/>
      <c r="K153" s="4"/>
      <c r="L153" s="4"/>
      <c r="M153" s="4"/>
      <c r="N153" s="4"/>
      <c r="O153" s="4"/>
      <c r="P153" s="4"/>
      <c r="Q153" s="4"/>
      <c r="R153" s="45"/>
      <c r="S153" s="4"/>
      <c r="T153" s="4"/>
      <c r="U153" s="4"/>
      <c r="V153" s="4"/>
      <c r="W153" s="45"/>
      <c r="X153" s="4"/>
      <c r="Y153" s="4"/>
      <c r="Z153" s="4"/>
      <c r="AA153" s="4"/>
      <c r="AB153" s="45"/>
      <c r="AC153" s="179"/>
      <c r="AD153" s="179"/>
      <c r="AE153" s="179"/>
      <c r="AF153" s="179"/>
      <c r="AG153" s="45"/>
      <c r="AH153" s="4"/>
      <c r="AI153" s="4"/>
      <c r="AJ153" s="4"/>
      <c r="AK153" s="4"/>
      <c r="AL153" s="45"/>
      <c r="AM153" s="179"/>
      <c r="AN153" s="179"/>
      <c r="AO153" s="179"/>
      <c r="AP153" s="179"/>
      <c r="AQ153" s="8"/>
      <c r="AR153" s="179"/>
      <c r="AS153" s="179"/>
      <c r="AT153" s="179"/>
      <c r="AU153" s="179"/>
      <c r="AV153" s="8"/>
      <c r="AW153" s="179"/>
      <c r="AX153" s="179"/>
      <c r="AY153" s="179"/>
      <c r="AZ153" s="179"/>
      <c r="BA153" s="8"/>
      <c r="BB153" s="179"/>
      <c r="BC153" s="179"/>
      <c r="BD153" s="179"/>
      <c r="BE153" s="179"/>
      <c r="BF153" s="8"/>
      <c r="BG153" s="179"/>
      <c r="BH153" s="179"/>
      <c r="BI153" s="179"/>
      <c r="BJ153" s="179"/>
      <c r="BK153" s="8"/>
      <c r="BL153" s="179"/>
      <c r="BM153" s="179"/>
      <c r="BN153" s="179"/>
      <c r="BO153" s="179"/>
      <c r="BP153" s="8"/>
      <c r="BQ153" s="179"/>
      <c r="BR153" s="179"/>
      <c r="BS153" s="179"/>
      <c r="BT153" s="179"/>
      <c r="BU153" s="8"/>
      <c r="BV153" s="179"/>
      <c r="BW153" s="179"/>
      <c r="BX153" s="179"/>
      <c r="BY153" s="179"/>
      <c r="BZ153" s="8"/>
      <c r="CA153" s="179"/>
      <c r="CB153" s="179"/>
      <c r="CC153" s="179"/>
      <c r="CD153" s="179"/>
      <c r="CE153" s="8"/>
      <c r="CF153" s="179"/>
      <c r="CG153" s="179"/>
      <c r="CH153" s="179"/>
      <c r="CI153" s="179"/>
      <c r="CJ153" s="8"/>
      <c r="CK153" s="179"/>
      <c r="CL153" s="179"/>
      <c r="CM153" s="179"/>
      <c r="CN153" s="179"/>
      <c r="CO153" s="8"/>
      <c r="CP153" s="179"/>
      <c r="CQ153" s="179"/>
      <c r="CR153" s="179"/>
      <c r="CS153" s="179"/>
      <c r="CT153" s="8"/>
      <c r="CU153" s="179"/>
      <c r="CV153" s="179"/>
      <c r="CW153" s="179"/>
      <c r="CX153" s="179"/>
      <c r="CY153" s="10"/>
      <c r="CZ153" s="179"/>
      <c r="DA153" s="179"/>
      <c r="DB153" s="179"/>
      <c r="DC153" s="179"/>
      <c r="DD153" s="10"/>
      <c r="DE153" s="179"/>
      <c r="DF153" s="179"/>
      <c r="DG153" s="774"/>
      <c r="DH153" s="179"/>
      <c r="DI153" s="10"/>
      <c r="DJ153" s="774"/>
      <c r="DK153" s="774"/>
      <c r="DL153" s="774"/>
      <c r="DM153" s="179"/>
      <c r="DN153" s="10"/>
      <c r="DO153" s="179"/>
      <c r="DP153" s="179"/>
      <c r="DQ153" s="774"/>
      <c r="DR153" s="774"/>
      <c r="DS153" s="10"/>
      <c r="DT153" s="774"/>
      <c r="DU153" s="774"/>
      <c r="DV153" s="774"/>
      <c r="DW153" s="774"/>
      <c r="DX153" s="10"/>
      <c r="DY153" s="774"/>
      <c r="DZ153" s="774"/>
      <c r="EA153" s="774"/>
      <c r="EB153" s="774"/>
      <c r="EC153" s="10"/>
      <c r="ED153" s="774"/>
      <c r="EE153" s="774"/>
      <c r="EF153" s="774"/>
      <c r="EG153" s="774"/>
      <c r="EH153" s="10"/>
      <c r="EI153" s="775"/>
      <c r="EJ153" s="179"/>
      <c r="EK153" s="179"/>
      <c r="EL153" s="179"/>
      <c r="EM153" s="10"/>
      <c r="EN153" s="179"/>
      <c r="EO153" s="179"/>
      <c r="EP153" s="179"/>
      <c r="EQ153" s="179"/>
      <c r="ER153" s="10"/>
      <c r="ES153" s="179"/>
      <c r="ET153" s="179"/>
      <c r="EU153" s="179"/>
      <c r="EV153" s="179"/>
      <c r="EW153" s="10"/>
      <c r="EX153" s="179"/>
      <c r="EY153" s="179"/>
      <c r="EZ153" s="179"/>
      <c r="FA153" s="179"/>
      <c r="FB153" s="10"/>
      <c r="FC153" s="179"/>
      <c r="FD153" s="179"/>
      <c r="FE153" s="179"/>
      <c r="FF153" s="179"/>
      <c r="FG153" s="10"/>
    </row>
    <row r="154" ht="12.75" customHeight="1">
      <c r="A154" s="4"/>
      <c r="B154" s="4"/>
      <c r="C154" s="4"/>
      <c r="D154" s="4"/>
      <c r="E154" s="4"/>
      <c r="F154" s="4"/>
      <c r="G154" s="4"/>
      <c r="H154" s="4"/>
      <c r="I154" s="4"/>
      <c r="J154" s="4"/>
      <c r="K154" s="4"/>
      <c r="L154" s="4"/>
      <c r="M154" s="4"/>
      <c r="N154" s="4"/>
      <c r="O154" s="4"/>
      <c r="P154" s="4"/>
      <c r="Q154" s="4"/>
      <c r="R154" s="45"/>
      <c r="S154" s="4"/>
      <c r="T154" s="4"/>
      <c r="U154" s="4"/>
      <c r="V154" s="4"/>
      <c r="W154" s="45"/>
      <c r="X154" s="4"/>
      <c r="Y154" s="4"/>
      <c r="Z154" s="4"/>
      <c r="AA154" s="4"/>
      <c r="AB154" s="45"/>
      <c r="AC154" s="179"/>
      <c r="AD154" s="179"/>
      <c r="AE154" s="179"/>
      <c r="AF154" s="179"/>
      <c r="AG154" s="45"/>
      <c r="AH154" s="4"/>
      <c r="AI154" s="4"/>
      <c r="AJ154" s="4"/>
      <c r="AK154" s="4"/>
      <c r="AL154" s="45"/>
      <c r="AM154" s="179"/>
      <c r="AN154" s="179"/>
      <c r="AO154" s="179"/>
      <c r="AP154" s="179"/>
      <c r="AQ154" s="8"/>
      <c r="AR154" s="179"/>
      <c r="AS154" s="179"/>
      <c r="AT154" s="179"/>
      <c r="AU154" s="179"/>
      <c r="AV154" s="8"/>
      <c r="AW154" s="179"/>
      <c r="AX154" s="179"/>
      <c r="AY154" s="179"/>
      <c r="AZ154" s="179"/>
      <c r="BA154" s="8"/>
      <c r="BB154" s="179"/>
      <c r="BC154" s="179"/>
      <c r="BD154" s="179"/>
      <c r="BE154" s="179"/>
      <c r="BF154" s="8"/>
      <c r="BG154" s="179"/>
      <c r="BH154" s="179"/>
      <c r="BI154" s="179"/>
      <c r="BJ154" s="179"/>
      <c r="BK154" s="8"/>
      <c r="BL154" s="179"/>
      <c r="BM154" s="179"/>
      <c r="BN154" s="179"/>
      <c r="BO154" s="179"/>
      <c r="BP154" s="8"/>
      <c r="BQ154" s="179"/>
      <c r="BR154" s="179"/>
      <c r="BS154" s="179"/>
      <c r="BT154" s="179"/>
      <c r="BU154" s="8"/>
      <c r="BV154" s="179"/>
      <c r="BW154" s="179"/>
      <c r="BX154" s="179"/>
      <c r="BY154" s="179"/>
      <c r="BZ154" s="8"/>
      <c r="CA154" s="179"/>
      <c r="CB154" s="179"/>
      <c r="CC154" s="179"/>
      <c r="CD154" s="179"/>
      <c r="CE154" s="8"/>
      <c r="CF154" s="179"/>
      <c r="CG154" s="179"/>
      <c r="CH154" s="179"/>
      <c r="CI154" s="179"/>
      <c r="CJ154" s="8"/>
      <c r="CK154" s="179"/>
      <c r="CL154" s="179"/>
      <c r="CM154" s="179"/>
      <c r="CN154" s="179"/>
      <c r="CO154" s="8"/>
      <c r="CP154" s="179"/>
      <c r="CQ154" s="179"/>
      <c r="CR154" s="179"/>
      <c r="CS154" s="179"/>
      <c r="CT154" s="8"/>
      <c r="CU154" s="179"/>
      <c r="CV154" s="179"/>
      <c r="CW154" s="179"/>
      <c r="CX154" s="179"/>
      <c r="CY154" s="10"/>
      <c r="CZ154" s="179"/>
      <c r="DA154" s="179"/>
      <c r="DB154" s="179"/>
      <c r="DC154" s="179"/>
      <c r="DD154" s="10"/>
      <c r="DE154" s="179"/>
      <c r="DF154" s="179"/>
      <c r="DG154" s="774"/>
      <c r="DH154" s="179"/>
      <c r="DI154" s="10"/>
      <c r="DJ154" s="774"/>
      <c r="DK154" s="774"/>
      <c r="DL154" s="774"/>
      <c r="DM154" s="179"/>
      <c r="DN154" s="10"/>
      <c r="DO154" s="179"/>
      <c r="DP154" s="179"/>
      <c r="DQ154" s="774"/>
      <c r="DR154" s="774"/>
      <c r="DS154" s="10"/>
      <c r="DT154" s="774"/>
      <c r="DU154" s="774"/>
      <c r="DV154" s="774"/>
      <c r="DW154" s="774"/>
      <c r="DX154" s="10"/>
      <c r="DY154" s="774"/>
      <c r="DZ154" s="774"/>
      <c r="EA154" s="774"/>
      <c r="EB154" s="774"/>
      <c r="EC154" s="10"/>
      <c r="ED154" s="774"/>
      <c r="EE154" s="774"/>
      <c r="EF154" s="774"/>
      <c r="EG154" s="774"/>
      <c r="EH154" s="10"/>
      <c r="EI154" s="775"/>
      <c r="EJ154" s="179"/>
      <c r="EK154" s="179"/>
      <c r="EL154" s="179"/>
      <c r="EM154" s="10"/>
      <c r="EN154" s="179"/>
      <c r="EO154" s="179"/>
      <c r="EP154" s="179"/>
      <c r="EQ154" s="179"/>
      <c r="ER154" s="10"/>
      <c r="ES154" s="179"/>
      <c r="ET154" s="179"/>
      <c r="EU154" s="179"/>
      <c r="EV154" s="179"/>
      <c r="EW154" s="10"/>
      <c r="EX154" s="179"/>
      <c r="EY154" s="179"/>
      <c r="EZ154" s="179"/>
      <c r="FA154" s="179"/>
      <c r="FB154" s="10"/>
      <c r="FC154" s="179"/>
      <c r="FD154" s="179"/>
      <c r="FE154" s="179"/>
      <c r="FF154" s="179"/>
      <c r="FG154" s="10"/>
    </row>
    <row r="155" ht="12.75" customHeight="1">
      <c r="A155" s="4"/>
      <c r="B155" s="4"/>
      <c r="C155" s="4"/>
      <c r="D155" s="4"/>
      <c r="E155" s="4"/>
      <c r="F155" s="4"/>
      <c r="G155" s="4"/>
      <c r="H155" s="4"/>
      <c r="I155" s="4"/>
      <c r="J155" s="4"/>
      <c r="K155" s="4"/>
      <c r="L155" s="4"/>
      <c r="M155" s="4"/>
      <c r="N155" s="4"/>
      <c r="O155" s="4"/>
      <c r="P155" s="4"/>
      <c r="Q155" s="4"/>
      <c r="R155" s="45"/>
      <c r="S155" s="4"/>
      <c r="T155" s="4"/>
      <c r="U155" s="4"/>
      <c r="V155" s="4"/>
      <c r="W155" s="45"/>
      <c r="X155" s="4"/>
      <c r="Y155" s="4"/>
      <c r="Z155" s="4"/>
      <c r="AA155" s="4"/>
      <c r="AB155" s="45"/>
      <c r="AC155" s="179"/>
      <c r="AD155" s="179"/>
      <c r="AE155" s="179"/>
      <c r="AF155" s="179"/>
      <c r="AG155" s="45"/>
      <c r="AH155" s="4"/>
      <c r="AI155" s="4"/>
      <c r="AJ155" s="4"/>
      <c r="AK155" s="4"/>
      <c r="AL155" s="45"/>
      <c r="AM155" s="179"/>
      <c r="AN155" s="179"/>
      <c r="AO155" s="179"/>
      <c r="AP155" s="179"/>
      <c r="AQ155" s="8"/>
      <c r="AR155" s="179"/>
      <c r="AS155" s="179"/>
      <c r="AT155" s="179"/>
      <c r="AU155" s="179"/>
      <c r="AV155" s="8"/>
      <c r="AW155" s="179"/>
      <c r="AX155" s="179"/>
      <c r="AY155" s="179"/>
      <c r="AZ155" s="179"/>
      <c r="BA155" s="8"/>
      <c r="BB155" s="179"/>
      <c r="BC155" s="179"/>
      <c r="BD155" s="179"/>
      <c r="BE155" s="179"/>
      <c r="BF155" s="8"/>
      <c r="BG155" s="179"/>
      <c r="BH155" s="179"/>
      <c r="BI155" s="179"/>
      <c r="BJ155" s="179"/>
      <c r="BK155" s="8"/>
      <c r="BL155" s="179"/>
      <c r="BM155" s="179"/>
      <c r="BN155" s="179"/>
      <c r="BO155" s="179"/>
      <c r="BP155" s="8"/>
      <c r="BQ155" s="179"/>
      <c r="BR155" s="179"/>
      <c r="BS155" s="179"/>
      <c r="BT155" s="179"/>
      <c r="BU155" s="8"/>
      <c r="BV155" s="179"/>
      <c r="BW155" s="179"/>
      <c r="BX155" s="179"/>
      <c r="BY155" s="179"/>
      <c r="BZ155" s="8"/>
      <c r="CA155" s="179"/>
      <c r="CB155" s="179"/>
      <c r="CC155" s="179"/>
      <c r="CD155" s="179"/>
      <c r="CE155" s="8"/>
      <c r="CF155" s="179"/>
      <c r="CG155" s="179"/>
      <c r="CH155" s="179"/>
      <c r="CI155" s="179"/>
      <c r="CJ155" s="8"/>
      <c r="CK155" s="179"/>
      <c r="CL155" s="179"/>
      <c r="CM155" s="179"/>
      <c r="CN155" s="179"/>
      <c r="CO155" s="8"/>
      <c r="CP155" s="179"/>
      <c r="CQ155" s="179"/>
      <c r="CR155" s="179"/>
      <c r="CS155" s="179"/>
      <c r="CT155" s="8"/>
      <c r="CU155" s="179"/>
      <c r="CV155" s="179"/>
      <c r="CW155" s="179"/>
      <c r="CX155" s="179"/>
      <c r="CY155" s="10"/>
      <c r="CZ155" s="179"/>
      <c r="DA155" s="179"/>
      <c r="DB155" s="179"/>
      <c r="DC155" s="179"/>
      <c r="DD155" s="10"/>
      <c r="DE155" s="179"/>
      <c r="DF155" s="179"/>
      <c r="DG155" s="774"/>
      <c r="DH155" s="179"/>
      <c r="DI155" s="10"/>
      <c r="DJ155" s="774"/>
      <c r="DK155" s="774"/>
      <c r="DL155" s="774"/>
      <c r="DM155" s="179"/>
      <c r="DN155" s="10"/>
      <c r="DO155" s="179"/>
      <c r="DP155" s="179"/>
      <c r="DQ155" s="774"/>
      <c r="DR155" s="774"/>
      <c r="DS155" s="10"/>
      <c r="DT155" s="774"/>
      <c r="DU155" s="774"/>
      <c r="DV155" s="774"/>
      <c r="DW155" s="774"/>
      <c r="DX155" s="10"/>
      <c r="DY155" s="774"/>
      <c r="DZ155" s="774"/>
      <c r="EA155" s="774"/>
      <c r="EB155" s="774"/>
      <c r="EC155" s="10"/>
      <c r="ED155" s="774"/>
      <c r="EE155" s="774"/>
      <c r="EF155" s="774"/>
      <c r="EG155" s="774"/>
      <c r="EH155" s="10"/>
      <c r="EI155" s="775"/>
      <c r="EJ155" s="179"/>
      <c r="EK155" s="179"/>
      <c r="EL155" s="179"/>
      <c r="EM155" s="10"/>
      <c r="EN155" s="179"/>
      <c r="EO155" s="179"/>
      <c r="EP155" s="179"/>
      <c r="EQ155" s="179"/>
      <c r="ER155" s="10"/>
      <c r="ES155" s="179"/>
      <c r="ET155" s="179"/>
      <c r="EU155" s="179"/>
      <c r="EV155" s="179"/>
      <c r="EW155" s="10"/>
      <c r="EX155" s="179"/>
      <c r="EY155" s="179"/>
      <c r="EZ155" s="179"/>
      <c r="FA155" s="179"/>
      <c r="FB155" s="10"/>
      <c r="FC155" s="179"/>
      <c r="FD155" s="179"/>
      <c r="FE155" s="179"/>
      <c r="FF155" s="179"/>
      <c r="FG155" s="10"/>
    </row>
    <row r="156" ht="12.75" customHeight="1">
      <c r="A156" s="4"/>
      <c r="B156" s="4"/>
      <c r="C156" s="4"/>
      <c r="D156" s="4"/>
      <c r="E156" s="4"/>
      <c r="F156" s="4"/>
      <c r="G156" s="4"/>
      <c r="H156" s="4"/>
      <c r="I156" s="4"/>
      <c r="J156" s="4"/>
      <c r="K156" s="4"/>
      <c r="L156" s="4"/>
      <c r="M156" s="4"/>
      <c r="N156" s="4"/>
      <c r="O156" s="4"/>
      <c r="P156" s="4"/>
      <c r="Q156" s="4"/>
      <c r="R156" s="45"/>
      <c r="S156" s="4"/>
      <c r="T156" s="4"/>
      <c r="U156" s="4"/>
      <c r="V156" s="4"/>
      <c r="W156" s="45"/>
      <c r="X156" s="4"/>
      <c r="Y156" s="4"/>
      <c r="Z156" s="4"/>
      <c r="AA156" s="4"/>
      <c r="AB156" s="45"/>
      <c r="AC156" s="179"/>
      <c r="AD156" s="179"/>
      <c r="AE156" s="179"/>
      <c r="AF156" s="179"/>
      <c r="AG156" s="45"/>
      <c r="AH156" s="4"/>
      <c r="AI156" s="4"/>
      <c r="AJ156" s="4"/>
      <c r="AK156" s="4"/>
      <c r="AL156" s="45"/>
      <c r="AM156" s="179"/>
      <c r="AN156" s="179"/>
      <c r="AO156" s="179"/>
      <c r="AP156" s="179"/>
      <c r="AQ156" s="8"/>
      <c r="AR156" s="179"/>
      <c r="AS156" s="179"/>
      <c r="AT156" s="179"/>
      <c r="AU156" s="179"/>
      <c r="AV156" s="8"/>
      <c r="AW156" s="179"/>
      <c r="AX156" s="179"/>
      <c r="AY156" s="179"/>
      <c r="AZ156" s="179"/>
      <c r="BA156" s="8"/>
      <c r="BB156" s="179"/>
      <c r="BC156" s="179"/>
      <c r="BD156" s="179"/>
      <c r="BE156" s="179"/>
      <c r="BF156" s="8"/>
      <c r="BG156" s="179"/>
      <c r="BH156" s="179"/>
      <c r="BI156" s="179"/>
      <c r="BJ156" s="179"/>
      <c r="BK156" s="8"/>
      <c r="BL156" s="179"/>
      <c r="BM156" s="179"/>
      <c r="BN156" s="179"/>
      <c r="BO156" s="179"/>
      <c r="BP156" s="8"/>
      <c r="BQ156" s="179"/>
      <c r="BR156" s="179"/>
      <c r="BS156" s="179"/>
      <c r="BT156" s="179"/>
      <c r="BU156" s="8"/>
      <c r="BV156" s="179"/>
      <c r="BW156" s="179"/>
      <c r="BX156" s="179"/>
      <c r="BY156" s="179"/>
      <c r="BZ156" s="8"/>
      <c r="CA156" s="179"/>
      <c r="CB156" s="179"/>
      <c r="CC156" s="179"/>
      <c r="CD156" s="179"/>
      <c r="CE156" s="8"/>
      <c r="CF156" s="179"/>
      <c r="CG156" s="179"/>
      <c r="CH156" s="179"/>
      <c r="CI156" s="179"/>
      <c r="CJ156" s="8"/>
      <c r="CK156" s="179"/>
      <c r="CL156" s="179"/>
      <c r="CM156" s="179"/>
      <c r="CN156" s="179"/>
      <c r="CO156" s="8"/>
      <c r="CP156" s="179"/>
      <c r="CQ156" s="179"/>
      <c r="CR156" s="179"/>
      <c r="CS156" s="179"/>
      <c r="CT156" s="8"/>
      <c r="CU156" s="179"/>
      <c r="CV156" s="179"/>
      <c r="CW156" s="179"/>
      <c r="CX156" s="179"/>
      <c r="CY156" s="10"/>
      <c r="CZ156" s="179"/>
      <c r="DA156" s="179"/>
      <c r="DB156" s="179"/>
      <c r="DC156" s="179"/>
      <c r="DD156" s="10"/>
      <c r="DE156" s="179"/>
      <c r="DF156" s="179"/>
      <c r="DG156" s="774"/>
      <c r="DH156" s="179"/>
      <c r="DI156" s="10"/>
      <c r="DJ156" s="774"/>
      <c r="DK156" s="774"/>
      <c r="DL156" s="774"/>
      <c r="DM156" s="179"/>
      <c r="DN156" s="10"/>
      <c r="DO156" s="179"/>
      <c r="DP156" s="179"/>
      <c r="DQ156" s="774"/>
      <c r="DR156" s="774"/>
      <c r="DS156" s="10"/>
      <c r="DT156" s="774"/>
      <c r="DU156" s="774"/>
      <c r="DV156" s="774"/>
      <c r="DW156" s="774"/>
      <c r="DX156" s="10"/>
      <c r="DY156" s="774"/>
      <c r="DZ156" s="774"/>
      <c r="EA156" s="774"/>
      <c r="EB156" s="774"/>
      <c r="EC156" s="10"/>
      <c r="ED156" s="774"/>
      <c r="EE156" s="774"/>
      <c r="EF156" s="774"/>
      <c r="EG156" s="774"/>
      <c r="EH156" s="10"/>
      <c r="EI156" s="775"/>
      <c r="EJ156" s="179"/>
      <c r="EK156" s="179"/>
      <c r="EL156" s="179"/>
      <c r="EM156" s="10"/>
      <c r="EN156" s="179"/>
      <c r="EO156" s="179"/>
      <c r="EP156" s="179"/>
      <c r="EQ156" s="179"/>
      <c r="ER156" s="10"/>
      <c r="ES156" s="179"/>
      <c r="ET156" s="179"/>
      <c r="EU156" s="179"/>
      <c r="EV156" s="179"/>
      <c r="EW156" s="10"/>
      <c r="EX156" s="179"/>
      <c r="EY156" s="179"/>
      <c r="EZ156" s="179"/>
      <c r="FA156" s="179"/>
      <c r="FB156" s="10"/>
      <c r="FC156" s="179"/>
      <c r="FD156" s="179"/>
      <c r="FE156" s="179"/>
      <c r="FF156" s="179"/>
      <c r="FG156" s="10"/>
    </row>
    <row r="157" ht="12.75" customHeight="1">
      <c r="A157" s="4"/>
      <c r="B157" s="4"/>
      <c r="C157" s="4"/>
      <c r="D157" s="4"/>
      <c r="E157" s="4"/>
      <c r="F157" s="4"/>
      <c r="G157" s="4"/>
      <c r="H157" s="4"/>
      <c r="I157" s="4"/>
      <c r="J157" s="4"/>
      <c r="K157" s="4"/>
      <c r="L157" s="4"/>
      <c r="M157" s="4"/>
      <c r="N157" s="4"/>
      <c r="O157" s="4"/>
      <c r="P157" s="4"/>
      <c r="Q157" s="4"/>
      <c r="R157" s="45"/>
      <c r="S157" s="4"/>
      <c r="T157" s="4"/>
      <c r="U157" s="4"/>
      <c r="V157" s="4"/>
      <c r="W157" s="45"/>
      <c r="X157" s="4"/>
      <c r="Y157" s="4"/>
      <c r="Z157" s="4"/>
      <c r="AA157" s="4"/>
      <c r="AB157" s="45"/>
      <c r="AC157" s="179"/>
      <c r="AD157" s="179"/>
      <c r="AE157" s="179"/>
      <c r="AF157" s="179"/>
      <c r="AG157" s="45"/>
      <c r="AH157" s="4"/>
      <c r="AI157" s="4"/>
      <c r="AJ157" s="4"/>
      <c r="AK157" s="4"/>
      <c r="AL157" s="45"/>
      <c r="AM157" s="179"/>
      <c r="AN157" s="179"/>
      <c r="AO157" s="179"/>
      <c r="AP157" s="179"/>
      <c r="AQ157" s="8"/>
      <c r="AR157" s="179"/>
      <c r="AS157" s="179"/>
      <c r="AT157" s="179"/>
      <c r="AU157" s="179"/>
      <c r="AV157" s="8"/>
      <c r="AW157" s="179"/>
      <c r="AX157" s="179"/>
      <c r="AY157" s="179"/>
      <c r="AZ157" s="179"/>
      <c r="BA157" s="8"/>
      <c r="BB157" s="179"/>
      <c r="BC157" s="179"/>
      <c r="BD157" s="179"/>
      <c r="BE157" s="179"/>
      <c r="BF157" s="8"/>
      <c r="BG157" s="179"/>
      <c r="BH157" s="179"/>
      <c r="BI157" s="179"/>
      <c r="BJ157" s="179"/>
      <c r="BK157" s="8"/>
      <c r="BL157" s="179"/>
      <c r="BM157" s="179"/>
      <c r="BN157" s="179"/>
      <c r="BO157" s="179"/>
      <c r="BP157" s="8"/>
      <c r="BQ157" s="179"/>
      <c r="BR157" s="179"/>
      <c r="BS157" s="179"/>
      <c r="BT157" s="179"/>
      <c r="BU157" s="8"/>
      <c r="BV157" s="179"/>
      <c r="BW157" s="179"/>
      <c r="BX157" s="179"/>
      <c r="BY157" s="179"/>
      <c r="BZ157" s="8"/>
      <c r="CA157" s="179"/>
      <c r="CB157" s="179"/>
      <c r="CC157" s="179"/>
      <c r="CD157" s="179"/>
      <c r="CE157" s="8"/>
      <c r="CF157" s="179"/>
      <c r="CG157" s="179"/>
      <c r="CH157" s="179"/>
      <c r="CI157" s="179"/>
      <c r="CJ157" s="8"/>
      <c r="CK157" s="179"/>
      <c r="CL157" s="179"/>
      <c r="CM157" s="179"/>
      <c r="CN157" s="179"/>
      <c r="CO157" s="8"/>
      <c r="CP157" s="179"/>
      <c r="CQ157" s="179"/>
      <c r="CR157" s="179"/>
      <c r="CS157" s="179"/>
      <c r="CT157" s="8"/>
      <c r="CU157" s="179"/>
      <c r="CV157" s="179"/>
      <c r="CW157" s="179"/>
      <c r="CX157" s="179"/>
      <c r="CY157" s="10"/>
      <c r="CZ157" s="179"/>
      <c r="DA157" s="179"/>
      <c r="DB157" s="179"/>
      <c r="DC157" s="179"/>
      <c r="DD157" s="10"/>
      <c r="DE157" s="179"/>
      <c r="DF157" s="179"/>
      <c r="DG157" s="774"/>
      <c r="DH157" s="179"/>
      <c r="DI157" s="10"/>
      <c r="DJ157" s="774"/>
      <c r="DK157" s="774"/>
      <c r="DL157" s="774"/>
      <c r="DM157" s="179"/>
      <c r="DN157" s="10"/>
      <c r="DO157" s="179"/>
      <c r="DP157" s="179"/>
      <c r="DQ157" s="774"/>
      <c r="DR157" s="774"/>
      <c r="DS157" s="10"/>
      <c r="DT157" s="774"/>
      <c r="DU157" s="774"/>
      <c r="DV157" s="774"/>
      <c r="DW157" s="774"/>
      <c r="DX157" s="10"/>
      <c r="DY157" s="774"/>
      <c r="DZ157" s="774"/>
      <c r="EA157" s="774"/>
      <c r="EB157" s="774"/>
      <c r="EC157" s="10"/>
      <c r="ED157" s="774"/>
      <c r="EE157" s="774"/>
      <c r="EF157" s="774"/>
      <c r="EG157" s="774"/>
      <c r="EH157" s="10"/>
      <c r="EI157" s="775"/>
      <c r="EJ157" s="179"/>
      <c r="EK157" s="179"/>
      <c r="EL157" s="179"/>
      <c r="EM157" s="10"/>
      <c r="EN157" s="179"/>
      <c r="EO157" s="179"/>
      <c r="EP157" s="179"/>
      <c r="EQ157" s="179"/>
      <c r="ER157" s="10"/>
      <c r="ES157" s="179"/>
      <c r="ET157" s="179"/>
      <c r="EU157" s="179"/>
      <c r="EV157" s="179"/>
      <c r="EW157" s="10"/>
      <c r="EX157" s="179"/>
      <c r="EY157" s="179"/>
      <c r="EZ157" s="179"/>
      <c r="FA157" s="179"/>
      <c r="FB157" s="10"/>
      <c r="FC157" s="179"/>
      <c r="FD157" s="179"/>
      <c r="FE157" s="179"/>
      <c r="FF157" s="179"/>
      <c r="FG157" s="10"/>
    </row>
    <row r="158" ht="12.75" customHeight="1">
      <c r="A158" s="4"/>
      <c r="B158" s="4"/>
      <c r="C158" s="4"/>
      <c r="D158" s="4"/>
      <c r="E158" s="4"/>
      <c r="F158" s="4"/>
      <c r="G158" s="4"/>
      <c r="H158" s="4"/>
      <c r="I158" s="4"/>
      <c r="J158" s="4"/>
      <c r="K158" s="4"/>
      <c r="L158" s="4"/>
      <c r="M158" s="4"/>
      <c r="N158" s="4"/>
      <c r="O158" s="4"/>
      <c r="P158" s="4"/>
      <c r="Q158" s="4"/>
      <c r="R158" s="45"/>
      <c r="S158" s="4"/>
      <c r="T158" s="4"/>
      <c r="U158" s="4"/>
      <c r="V158" s="4"/>
      <c r="W158" s="45"/>
      <c r="X158" s="4"/>
      <c r="Y158" s="4"/>
      <c r="Z158" s="4"/>
      <c r="AA158" s="4"/>
      <c r="AB158" s="45"/>
      <c r="AC158" s="179"/>
      <c r="AD158" s="179"/>
      <c r="AE158" s="179"/>
      <c r="AF158" s="179"/>
      <c r="AG158" s="45"/>
      <c r="AH158" s="4"/>
      <c r="AI158" s="4"/>
      <c r="AJ158" s="4"/>
      <c r="AK158" s="4"/>
      <c r="AL158" s="45"/>
      <c r="AM158" s="179"/>
      <c r="AN158" s="179"/>
      <c r="AO158" s="179"/>
      <c r="AP158" s="179"/>
      <c r="AQ158" s="8"/>
      <c r="AR158" s="179"/>
      <c r="AS158" s="179"/>
      <c r="AT158" s="179"/>
      <c r="AU158" s="179"/>
      <c r="AV158" s="8"/>
      <c r="AW158" s="179"/>
      <c r="AX158" s="179"/>
      <c r="AY158" s="179"/>
      <c r="AZ158" s="179"/>
      <c r="BA158" s="8"/>
      <c r="BB158" s="179"/>
      <c r="BC158" s="179"/>
      <c r="BD158" s="179"/>
      <c r="BE158" s="179"/>
      <c r="BF158" s="8"/>
      <c r="BG158" s="179"/>
      <c r="BH158" s="179"/>
      <c r="BI158" s="179"/>
      <c r="BJ158" s="179"/>
      <c r="BK158" s="8"/>
      <c r="BL158" s="179"/>
      <c r="BM158" s="179"/>
      <c r="BN158" s="179"/>
      <c r="BO158" s="179"/>
      <c r="BP158" s="8"/>
      <c r="BQ158" s="179"/>
      <c r="BR158" s="179"/>
      <c r="BS158" s="179"/>
      <c r="BT158" s="179"/>
      <c r="BU158" s="8"/>
      <c r="BV158" s="179"/>
      <c r="BW158" s="179"/>
      <c r="BX158" s="179"/>
      <c r="BY158" s="179"/>
      <c r="BZ158" s="8"/>
      <c r="CA158" s="179"/>
      <c r="CB158" s="179"/>
      <c r="CC158" s="179"/>
      <c r="CD158" s="179"/>
      <c r="CE158" s="8"/>
      <c r="CF158" s="179"/>
      <c r="CG158" s="179"/>
      <c r="CH158" s="179"/>
      <c r="CI158" s="179"/>
      <c r="CJ158" s="8"/>
      <c r="CK158" s="179"/>
      <c r="CL158" s="179"/>
      <c r="CM158" s="179"/>
      <c r="CN158" s="179"/>
      <c r="CO158" s="8"/>
      <c r="CP158" s="179"/>
      <c r="CQ158" s="179"/>
      <c r="CR158" s="179"/>
      <c r="CS158" s="179"/>
      <c r="CT158" s="8"/>
      <c r="CU158" s="179"/>
      <c r="CV158" s="179"/>
      <c r="CW158" s="179"/>
      <c r="CX158" s="179"/>
      <c r="CY158" s="10"/>
      <c r="CZ158" s="179"/>
      <c r="DA158" s="179"/>
      <c r="DB158" s="179"/>
      <c r="DC158" s="179"/>
      <c r="DD158" s="10"/>
      <c r="DE158" s="179"/>
      <c r="DF158" s="179"/>
      <c r="DG158" s="774"/>
      <c r="DH158" s="179"/>
      <c r="DI158" s="10"/>
      <c r="DJ158" s="774"/>
      <c r="DK158" s="774"/>
      <c r="DL158" s="774"/>
      <c r="DM158" s="179"/>
      <c r="DN158" s="10"/>
      <c r="DO158" s="179"/>
      <c r="DP158" s="179"/>
      <c r="DQ158" s="774"/>
      <c r="DR158" s="774"/>
      <c r="DS158" s="10"/>
      <c r="DT158" s="774"/>
      <c r="DU158" s="774"/>
      <c r="DV158" s="774"/>
      <c r="DW158" s="774"/>
      <c r="DX158" s="10"/>
      <c r="DY158" s="774"/>
      <c r="DZ158" s="774"/>
      <c r="EA158" s="774"/>
      <c r="EB158" s="774"/>
      <c r="EC158" s="10"/>
      <c r="ED158" s="774"/>
      <c r="EE158" s="774"/>
      <c r="EF158" s="774"/>
      <c r="EG158" s="774"/>
      <c r="EH158" s="10"/>
      <c r="EI158" s="775"/>
      <c r="EJ158" s="179"/>
      <c r="EK158" s="179"/>
      <c r="EL158" s="179"/>
      <c r="EM158" s="10"/>
      <c r="EN158" s="179"/>
      <c r="EO158" s="179"/>
      <c r="EP158" s="179"/>
      <c r="EQ158" s="179"/>
      <c r="ER158" s="10"/>
      <c r="ES158" s="179"/>
      <c r="ET158" s="179"/>
      <c r="EU158" s="179"/>
      <c r="EV158" s="179"/>
      <c r="EW158" s="10"/>
      <c r="EX158" s="179"/>
      <c r="EY158" s="179"/>
      <c r="EZ158" s="179"/>
      <c r="FA158" s="179"/>
      <c r="FB158" s="10"/>
      <c r="FC158" s="179"/>
      <c r="FD158" s="179"/>
      <c r="FE158" s="179"/>
      <c r="FF158" s="179"/>
      <c r="FG158" s="10"/>
    </row>
    <row r="159" ht="12.75" customHeight="1">
      <c r="A159" s="4"/>
      <c r="B159" s="4"/>
      <c r="C159" s="4"/>
      <c r="D159" s="4"/>
      <c r="E159" s="4"/>
      <c r="F159" s="4"/>
      <c r="G159" s="4"/>
      <c r="H159" s="4"/>
      <c r="I159" s="4"/>
      <c r="J159" s="4"/>
      <c r="K159" s="4"/>
      <c r="L159" s="4"/>
      <c r="M159" s="4"/>
      <c r="N159" s="4"/>
      <c r="O159" s="4"/>
      <c r="P159" s="4"/>
      <c r="Q159" s="4"/>
      <c r="R159" s="45"/>
      <c r="S159" s="4"/>
      <c r="T159" s="4"/>
      <c r="U159" s="4"/>
      <c r="V159" s="4"/>
      <c r="W159" s="45"/>
      <c r="X159" s="4"/>
      <c r="Y159" s="4"/>
      <c r="Z159" s="4"/>
      <c r="AA159" s="4"/>
      <c r="AB159" s="45"/>
      <c r="AC159" s="179"/>
      <c r="AD159" s="179"/>
      <c r="AE159" s="179"/>
      <c r="AF159" s="179"/>
      <c r="AG159" s="45"/>
      <c r="AH159" s="4"/>
      <c r="AI159" s="4"/>
      <c r="AJ159" s="4"/>
      <c r="AK159" s="4"/>
      <c r="AL159" s="45"/>
      <c r="AM159" s="179"/>
      <c r="AN159" s="179"/>
      <c r="AO159" s="179"/>
      <c r="AP159" s="179"/>
      <c r="AQ159" s="8"/>
      <c r="AR159" s="179"/>
      <c r="AS159" s="179"/>
      <c r="AT159" s="179"/>
      <c r="AU159" s="179"/>
      <c r="AV159" s="8"/>
      <c r="AW159" s="179"/>
      <c r="AX159" s="179"/>
      <c r="AY159" s="179"/>
      <c r="AZ159" s="179"/>
      <c r="BA159" s="8"/>
      <c r="BB159" s="179"/>
      <c r="BC159" s="179"/>
      <c r="BD159" s="179"/>
      <c r="BE159" s="179"/>
      <c r="BF159" s="8"/>
      <c r="BG159" s="179"/>
      <c r="BH159" s="179"/>
      <c r="BI159" s="179"/>
      <c r="BJ159" s="179"/>
      <c r="BK159" s="8"/>
      <c r="BL159" s="179"/>
      <c r="BM159" s="179"/>
      <c r="BN159" s="179"/>
      <c r="BO159" s="179"/>
      <c r="BP159" s="8"/>
      <c r="BQ159" s="179"/>
      <c r="BR159" s="179"/>
      <c r="BS159" s="179"/>
      <c r="BT159" s="179"/>
      <c r="BU159" s="8"/>
      <c r="BV159" s="179"/>
      <c r="BW159" s="179"/>
      <c r="BX159" s="179"/>
      <c r="BY159" s="179"/>
      <c r="BZ159" s="8"/>
      <c r="CA159" s="179"/>
      <c r="CB159" s="179"/>
      <c r="CC159" s="179"/>
      <c r="CD159" s="179"/>
      <c r="CE159" s="8"/>
      <c r="CF159" s="179"/>
      <c r="CG159" s="179"/>
      <c r="CH159" s="179"/>
      <c r="CI159" s="179"/>
      <c r="CJ159" s="8"/>
      <c r="CK159" s="179"/>
      <c r="CL159" s="179"/>
      <c r="CM159" s="179"/>
      <c r="CN159" s="179"/>
      <c r="CO159" s="8"/>
      <c r="CP159" s="179"/>
      <c r="CQ159" s="179"/>
      <c r="CR159" s="179"/>
      <c r="CS159" s="179"/>
      <c r="CT159" s="8"/>
      <c r="CU159" s="179"/>
      <c r="CV159" s="179"/>
      <c r="CW159" s="179"/>
      <c r="CX159" s="179"/>
      <c r="CY159" s="10"/>
      <c r="CZ159" s="179"/>
      <c r="DA159" s="179"/>
      <c r="DB159" s="179"/>
      <c r="DC159" s="179"/>
      <c r="DD159" s="10"/>
      <c r="DE159" s="179"/>
      <c r="DF159" s="179"/>
      <c r="DG159" s="774"/>
      <c r="DH159" s="179"/>
      <c r="DI159" s="10"/>
      <c r="DJ159" s="774"/>
      <c r="DK159" s="774"/>
      <c r="DL159" s="774"/>
      <c r="DM159" s="179"/>
      <c r="DN159" s="10"/>
      <c r="DO159" s="179"/>
      <c r="DP159" s="179"/>
      <c r="DQ159" s="774"/>
      <c r="DR159" s="774"/>
      <c r="DS159" s="10"/>
      <c r="DT159" s="774"/>
      <c r="DU159" s="774"/>
      <c r="DV159" s="774"/>
      <c r="DW159" s="774"/>
      <c r="DX159" s="10"/>
      <c r="DY159" s="774"/>
      <c r="DZ159" s="774"/>
      <c r="EA159" s="774"/>
      <c r="EB159" s="774"/>
      <c r="EC159" s="10"/>
      <c r="ED159" s="774"/>
      <c r="EE159" s="774"/>
      <c r="EF159" s="774"/>
      <c r="EG159" s="774"/>
      <c r="EH159" s="10"/>
      <c r="EI159" s="775"/>
      <c r="EJ159" s="179"/>
      <c r="EK159" s="179"/>
      <c r="EL159" s="179"/>
      <c r="EM159" s="10"/>
      <c r="EN159" s="179"/>
      <c r="EO159" s="179"/>
      <c r="EP159" s="179"/>
      <c r="EQ159" s="179"/>
      <c r="ER159" s="10"/>
      <c r="ES159" s="179"/>
      <c r="ET159" s="179"/>
      <c r="EU159" s="179"/>
      <c r="EV159" s="179"/>
      <c r="EW159" s="10"/>
      <c r="EX159" s="179"/>
      <c r="EY159" s="179"/>
      <c r="EZ159" s="179"/>
      <c r="FA159" s="179"/>
      <c r="FB159" s="10"/>
      <c r="FC159" s="179"/>
      <c r="FD159" s="179"/>
      <c r="FE159" s="179"/>
      <c r="FF159" s="179"/>
      <c r="FG159" s="10"/>
    </row>
    <row r="160" ht="12.75" customHeight="1">
      <c r="A160" s="4"/>
      <c r="B160" s="4"/>
      <c r="C160" s="4"/>
      <c r="D160" s="4"/>
      <c r="E160" s="4"/>
      <c r="F160" s="4"/>
      <c r="G160" s="4"/>
      <c r="H160" s="4"/>
      <c r="I160" s="4"/>
      <c r="J160" s="4"/>
      <c r="K160" s="4"/>
      <c r="L160" s="4"/>
      <c r="M160" s="4"/>
      <c r="N160" s="4"/>
      <c r="O160" s="4"/>
      <c r="P160" s="4"/>
      <c r="Q160" s="4"/>
      <c r="R160" s="45"/>
      <c r="S160" s="4"/>
      <c r="T160" s="4"/>
      <c r="U160" s="4"/>
      <c r="V160" s="4"/>
      <c r="W160" s="45"/>
      <c r="X160" s="4"/>
      <c r="Y160" s="4"/>
      <c r="Z160" s="4"/>
      <c r="AA160" s="4"/>
      <c r="AB160" s="45"/>
      <c r="AC160" s="179"/>
      <c r="AD160" s="179"/>
      <c r="AE160" s="179"/>
      <c r="AF160" s="179"/>
      <c r="AG160" s="45"/>
      <c r="AH160" s="4"/>
      <c r="AI160" s="4"/>
      <c r="AJ160" s="4"/>
      <c r="AK160" s="4"/>
      <c r="AL160" s="45"/>
      <c r="AM160" s="179"/>
      <c r="AN160" s="179"/>
      <c r="AO160" s="179"/>
      <c r="AP160" s="179"/>
      <c r="AQ160" s="8"/>
      <c r="AR160" s="179"/>
      <c r="AS160" s="179"/>
      <c r="AT160" s="179"/>
      <c r="AU160" s="179"/>
      <c r="AV160" s="8"/>
      <c r="AW160" s="179"/>
      <c r="AX160" s="179"/>
      <c r="AY160" s="179"/>
      <c r="AZ160" s="179"/>
      <c r="BA160" s="8"/>
      <c r="BB160" s="179"/>
      <c r="BC160" s="179"/>
      <c r="BD160" s="179"/>
      <c r="BE160" s="179"/>
      <c r="BF160" s="8"/>
      <c r="BG160" s="179"/>
      <c r="BH160" s="179"/>
      <c r="BI160" s="179"/>
      <c r="BJ160" s="179"/>
      <c r="BK160" s="8"/>
      <c r="BL160" s="179"/>
      <c r="BM160" s="179"/>
      <c r="BN160" s="179"/>
      <c r="BO160" s="179"/>
      <c r="BP160" s="8"/>
      <c r="BQ160" s="179"/>
      <c r="BR160" s="179"/>
      <c r="BS160" s="179"/>
      <c r="BT160" s="179"/>
      <c r="BU160" s="8"/>
      <c r="BV160" s="179"/>
      <c r="BW160" s="179"/>
      <c r="BX160" s="179"/>
      <c r="BY160" s="179"/>
      <c r="BZ160" s="8"/>
      <c r="CA160" s="179"/>
      <c r="CB160" s="179"/>
      <c r="CC160" s="179"/>
      <c r="CD160" s="179"/>
      <c r="CE160" s="8"/>
      <c r="CF160" s="179"/>
      <c r="CG160" s="179"/>
      <c r="CH160" s="179"/>
      <c r="CI160" s="179"/>
      <c r="CJ160" s="8"/>
      <c r="CK160" s="179"/>
      <c r="CL160" s="179"/>
      <c r="CM160" s="179"/>
      <c r="CN160" s="179"/>
      <c r="CO160" s="8"/>
      <c r="CP160" s="179"/>
      <c r="CQ160" s="179"/>
      <c r="CR160" s="179"/>
      <c r="CS160" s="179"/>
      <c r="CT160" s="8"/>
      <c r="CU160" s="179"/>
      <c r="CV160" s="179"/>
      <c r="CW160" s="179"/>
      <c r="CX160" s="179"/>
      <c r="CY160" s="10"/>
      <c r="CZ160" s="179"/>
      <c r="DA160" s="179"/>
      <c r="DB160" s="179"/>
      <c r="DC160" s="179"/>
      <c r="DD160" s="10"/>
      <c r="DE160" s="179"/>
      <c r="DF160" s="179"/>
      <c r="DG160" s="774"/>
      <c r="DH160" s="179"/>
      <c r="DI160" s="10"/>
      <c r="DJ160" s="774"/>
      <c r="DK160" s="774"/>
      <c r="DL160" s="774"/>
      <c r="DM160" s="179"/>
      <c r="DN160" s="10"/>
      <c r="DO160" s="179"/>
      <c r="DP160" s="179"/>
      <c r="DQ160" s="774"/>
      <c r="DR160" s="774"/>
      <c r="DS160" s="10"/>
      <c r="DT160" s="774"/>
      <c r="DU160" s="774"/>
      <c r="DV160" s="774"/>
      <c r="DW160" s="774"/>
      <c r="DX160" s="10"/>
      <c r="DY160" s="774"/>
      <c r="DZ160" s="774"/>
      <c r="EA160" s="774"/>
      <c r="EB160" s="774"/>
      <c r="EC160" s="10"/>
      <c r="ED160" s="774"/>
      <c r="EE160" s="774"/>
      <c r="EF160" s="774"/>
      <c r="EG160" s="774"/>
      <c r="EH160" s="10"/>
      <c r="EI160" s="775"/>
      <c r="EJ160" s="179"/>
      <c r="EK160" s="179"/>
      <c r="EL160" s="179"/>
      <c r="EM160" s="10"/>
      <c r="EN160" s="179"/>
      <c r="EO160" s="179"/>
      <c r="EP160" s="179"/>
      <c r="EQ160" s="179"/>
      <c r="ER160" s="10"/>
      <c r="ES160" s="179"/>
      <c r="ET160" s="179"/>
      <c r="EU160" s="179"/>
      <c r="EV160" s="179"/>
      <c r="EW160" s="10"/>
      <c r="EX160" s="179"/>
      <c r="EY160" s="179"/>
      <c r="EZ160" s="179"/>
      <c r="FA160" s="179"/>
      <c r="FB160" s="10"/>
      <c r="FC160" s="179"/>
      <c r="FD160" s="179"/>
      <c r="FE160" s="179"/>
      <c r="FF160" s="179"/>
      <c r="FG160" s="10"/>
    </row>
    <row r="161" ht="12.75" customHeight="1">
      <c r="A161" s="4"/>
      <c r="B161" s="4"/>
      <c r="C161" s="4"/>
      <c r="D161" s="4"/>
      <c r="E161" s="4"/>
      <c r="F161" s="4"/>
      <c r="G161" s="4"/>
      <c r="H161" s="4"/>
      <c r="I161" s="4"/>
      <c r="J161" s="4"/>
      <c r="K161" s="4"/>
      <c r="L161" s="4"/>
      <c r="M161" s="4"/>
      <c r="N161" s="4"/>
      <c r="O161" s="4"/>
      <c r="P161" s="4"/>
      <c r="Q161" s="4"/>
      <c r="R161" s="45"/>
      <c r="S161" s="4"/>
      <c r="T161" s="4"/>
      <c r="U161" s="4"/>
      <c r="V161" s="4"/>
      <c r="W161" s="45"/>
      <c r="X161" s="4"/>
      <c r="Y161" s="4"/>
      <c r="Z161" s="4"/>
      <c r="AA161" s="4"/>
      <c r="AB161" s="45"/>
      <c r="AC161" s="179"/>
      <c r="AD161" s="179"/>
      <c r="AE161" s="179"/>
      <c r="AF161" s="179"/>
      <c r="AG161" s="45"/>
      <c r="AH161" s="4"/>
      <c r="AI161" s="4"/>
      <c r="AJ161" s="4"/>
      <c r="AK161" s="4"/>
      <c r="AL161" s="45"/>
      <c r="AM161" s="179"/>
      <c r="AN161" s="179"/>
      <c r="AO161" s="179"/>
      <c r="AP161" s="179"/>
      <c r="AQ161" s="8"/>
      <c r="AR161" s="179"/>
      <c r="AS161" s="179"/>
      <c r="AT161" s="179"/>
      <c r="AU161" s="179"/>
      <c r="AV161" s="8"/>
      <c r="AW161" s="179"/>
      <c r="AX161" s="179"/>
      <c r="AY161" s="179"/>
      <c r="AZ161" s="179"/>
      <c r="BA161" s="8"/>
      <c r="BB161" s="179"/>
      <c r="BC161" s="179"/>
      <c r="BD161" s="179"/>
      <c r="BE161" s="179"/>
      <c r="BF161" s="8"/>
      <c r="BG161" s="179"/>
      <c r="BH161" s="179"/>
      <c r="BI161" s="179"/>
      <c r="BJ161" s="179"/>
      <c r="BK161" s="8"/>
      <c r="BL161" s="179"/>
      <c r="BM161" s="179"/>
      <c r="BN161" s="179"/>
      <c r="BO161" s="179"/>
      <c r="BP161" s="8"/>
      <c r="BQ161" s="179"/>
      <c r="BR161" s="179"/>
      <c r="BS161" s="179"/>
      <c r="BT161" s="179"/>
      <c r="BU161" s="8"/>
      <c r="BV161" s="179"/>
      <c r="BW161" s="179"/>
      <c r="BX161" s="179"/>
      <c r="BY161" s="179"/>
      <c r="BZ161" s="8"/>
      <c r="CA161" s="179"/>
      <c r="CB161" s="179"/>
      <c r="CC161" s="179"/>
      <c r="CD161" s="179"/>
      <c r="CE161" s="8"/>
      <c r="CF161" s="179"/>
      <c r="CG161" s="179"/>
      <c r="CH161" s="179"/>
      <c r="CI161" s="179"/>
      <c r="CJ161" s="8"/>
      <c r="CK161" s="179"/>
      <c r="CL161" s="179"/>
      <c r="CM161" s="179"/>
      <c r="CN161" s="179"/>
      <c r="CO161" s="8"/>
      <c r="CP161" s="179"/>
      <c r="CQ161" s="179"/>
      <c r="CR161" s="179"/>
      <c r="CS161" s="179"/>
      <c r="CT161" s="8"/>
      <c r="CU161" s="179"/>
      <c r="CV161" s="179"/>
      <c r="CW161" s="179"/>
      <c r="CX161" s="179"/>
      <c r="CY161" s="10"/>
      <c r="CZ161" s="179"/>
      <c r="DA161" s="179"/>
      <c r="DB161" s="179"/>
      <c r="DC161" s="179"/>
      <c r="DD161" s="10"/>
      <c r="DE161" s="179"/>
      <c r="DF161" s="179"/>
      <c r="DG161" s="774"/>
      <c r="DH161" s="179"/>
      <c r="DI161" s="10"/>
      <c r="DJ161" s="774"/>
      <c r="DK161" s="774"/>
      <c r="DL161" s="774"/>
      <c r="DM161" s="179"/>
      <c r="DN161" s="10"/>
      <c r="DO161" s="179"/>
      <c r="DP161" s="179"/>
      <c r="DQ161" s="774"/>
      <c r="DR161" s="774"/>
      <c r="DS161" s="10"/>
      <c r="DT161" s="774"/>
      <c r="DU161" s="774"/>
      <c r="DV161" s="774"/>
      <c r="DW161" s="774"/>
      <c r="DX161" s="10"/>
      <c r="DY161" s="774"/>
      <c r="DZ161" s="774"/>
      <c r="EA161" s="774"/>
      <c r="EB161" s="774"/>
      <c r="EC161" s="10"/>
      <c r="ED161" s="774"/>
      <c r="EE161" s="774"/>
      <c r="EF161" s="774"/>
      <c r="EG161" s="774"/>
      <c r="EH161" s="10"/>
      <c r="EI161" s="775"/>
      <c r="EJ161" s="179"/>
      <c r="EK161" s="179"/>
      <c r="EL161" s="179"/>
      <c r="EM161" s="10"/>
      <c r="EN161" s="179"/>
      <c r="EO161" s="179"/>
      <c r="EP161" s="179"/>
      <c r="EQ161" s="179"/>
      <c r="ER161" s="10"/>
      <c r="ES161" s="179"/>
      <c r="ET161" s="179"/>
      <c r="EU161" s="179"/>
      <c r="EV161" s="179"/>
      <c r="EW161" s="10"/>
      <c r="EX161" s="179"/>
      <c r="EY161" s="179"/>
      <c r="EZ161" s="179"/>
      <c r="FA161" s="179"/>
      <c r="FB161" s="10"/>
      <c r="FC161" s="179"/>
      <c r="FD161" s="179"/>
      <c r="FE161" s="179"/>
      <c r="FF161" s="179"/>
      <c r="FG161" s="10"/>
    </row>
    <row r="162" ht="12.75" customHeight="1">
      <c r="A162" s="4"/>
      <c r="B162" s="4"/>
      <c r="C162" s="4"/>
      <c r="D162" s="4"/>
      <c r="E162" s="4"/>
      <c r="F162" s="4"/>
      <c r="G162" s="4"/>
      <c r="H162" s="4"/>
      <c r="I162" s="4"/>
      <c r="J162" s="4"/>
      <c r="K162" s="4"/>
      <c r="L162" s="4"/>
      <c r="M162" s="4"/>
      <c r="N162" s="4"/>
      <c r="O162" s="4"/>
      <c r="P162" s="4"/>
      <c r="Q162" s="4"/>
      <c r="R162" s="45"/>
      <c r="S162" s="4"/>
      <c r="T162" s="4"/>
      <c r="U162" s="4"/>
      <c r="V162" s="4"/>
      <c r="W162" s="45"/>
      <c r="X162" s="4"/>
      <c r="Y162" s="4"/>
      <c r="Z162" s="4"/>
      <c r="AA162" s="4"/>
      <c r="AB162" s="45"/>
      <c r="AC162" s="179"/>
      <c r="AD162" s="179"/>
      <c r="AE162" s="179"/>
      <c r="AF162" s="179"/>
      <c r="AG162" s="45"/>
      <c r="AH162" s="4"/>
      <c r="AI162" s="4"/>
      <c r="AJ162" s="4"/>
      <c r="AK162" s="4"/>
      <c r="AL162" s="45"/>
      <c r="AM162" s="179"/>
      <c r="AN162" s="179"/>
      <c r="AO162" s="179"/>
      <c r="AP162" s="179"/>
      <c r="AQ162" s="8"/>
      <c r="AR162" s="179"/>
      <c r="AS162" s="179"/>
      <c r="AT162" s="179"/>
      <c r="AU162" s="179"/>
      <c r="AV162" s="8"/>
      <c r="AW162" s="179"/>
      <c r="AX162" s="179"/>
      <c r="AY162" s="179"/>
      <c r="AZ162" s="179"/>
      <c r="BA162" s="8"/>
      <c r="BB162" s="179"/>
      <c r="BC162" s="179"/>
      <c r="BD162" s="179"/>
      <c r="BE162" s="179"/>
      <c r="BF162" s="8"/>
      <c r="BG162" s="179"/>
      <c r="BH162" s="179"/>
      <c r="BI162" s="179"/>
      <c r="BJ162" s="179"/>
      <c r="BK162" s="8"/>
      <c r="BL162" s="179"/>
      <c r="BM162" s="179"/>
      <c r="BN162" s="179"/>
      <c r="BO162" s="179"/>
      <c r="BP162" s="8"/>
      <c r="BQ162" s="179"/>
      <c r="BR162" s="179"/>
      <c r="BS162" s="179"/>
      <c r="BT162" s="179"/>
      <c r="BU162" s="8"/>
      <c r="BV162" s="179"/>
      <c r="BW162" s="179"/>
      <c r="BX162" s="179"/>
      <c r="BY162" s="179"/>
      <c r="BZ162" s="8"/>
      <c r="CA162" s="179"/>
      <c r="CB162" s="179"/>
      <c r="CC162" s="179"/>
      <c r="CD162" s="179"/>
      <c r="CE162" s="8"/>
      <c r="CF162" s="179"/>
      <c r="CG162" s="179"/>
      <c r="CH162" s="179"/>
      <c r="CI162" s="179"/>
      <c r="CJ162" s="8"/>
      <c r="CK162" s="179"/>
      <c r="CL162" s="179"/>
      <c r="CM162" s="179"/>
      <c r="CN162" s="179"/>
      <c r="CO162" s="8"/>
      <c r="CP162" s="179"/>
      <c r="CQ162" s="179"/>
      <c r="CR162" s="179"/>
      <c r="CS162" s="179"/>
      <c r="CT162" s="8"/>
      <c r="CU162" s="179"/>
      <c r="CV162" s="179"/>
      <c r="CW162" s="179"/>
      <c r="CX162" s="179"/>
      <c r="CY162" s="10"/>
      <c r="CZ162" s="179"/>
      <c r="DA162" s="179"/>
      <c r="DB162" s="179"/>
      <c r="DC162" s="179"/>
      <c r="DD162" s="10"/>
      <c r="DE162" s="179"/>
      <c r="DF162" s="179"/>
      <c r="DG162" s="774"/>
      <c r="DH162" s="179"/>
      <c r="DI162" s="10"/>
      <c r="DJ162" s="774"/>
      <c r="DK162" s="774"/>
      <c r="DL162" s="774"/>
      <c r="DM162" s="179"/>
      <c r="DN162" s="10"/>
      <c r="DO162" s="179"/>
      <c r="DP162" s="179"/>
      <c r="DQ162" s="774"/>
      <c r="DR162" s="774"/>
      <c r="DS162" s="10"/>
      <c r="DT162" s="774"/>
      <c r="DU162" s="774"/>
      <c r="DV162" s="774"/>
      <c r="DW162" s="774"/>
      <c r="DX162" s="10"/>
      <c r="DY162" s="774"/>
      <c r="DZ162" s="774"/>
      <c r="EA162" s="774"/>
      <c r="EB162" s="774"/>
      <c r="EC162" s="10"/>
      <c r="ED162" s="774"/>
      <c r="EE162" s="774"/>
      <c r="EF162" s="774"/>
      <c r="EG162" s="774"/>
      <c r="EH162" s="10"/>
      <c r="EI162" s="775"/>
      <c r="EJ162" s="179"/>
      <c r="EK162" s="179"/>
      <c r="EL162" s="179"/>
      <c r="EM162" s="10"/>
      <c r="EN162" s="179"/>
      <c r="EO162" s="179"/>
      <c r="EP162" s="179"/>
      <c r="EQ162" s="179"/>
      <c r="ER162" s="10"/>
      <c r="ES162" s="179"/>
      <c r="ET162" s="179"/>
      <c r="EU162" s="179"/>
      <c r="EV162" s="179"/>
      <c r="EW162" s="10"/>
      <c r="EX162" s="179"/>
      <c r="EY162" s="179"/>
      <c r="EZ162" s="179"/>
      <c r="FA162" s="179"/>
      <c r="FB162" s="10"/>
      <c r="FC162" s="179"/>
      <c r="FD162" s="179"/>
      <c r="FE162" s="179"/>
      <c r="FF162" s="179"/>
      <c r="FG162" s="10"/>
    </row>
    <row r="163" ht="12.75" customHeight="1">
      <c r="A163" s="4"/>
      <c r="B163" s="4"/>
      <c r="C163" s="4"/>
      <c r="D163" s="4"/>
      <c r="E163" s="4"/>
      <c r="F163" s="4"/>
      <c r="G163" s="4"/>
      <c r="H163" s="4"/>
      <c r="I163" s="4"/>
      <c r="J163" s="4"/>
      <c r="K163" s="4"/>
      <c r="L163" s="4"/>
      <c r="M163" s="4"/>
      <c r="N163" s="4"/>
      <c r="O163" s="4"/>
      <c r="P163" s="4"/>
      <c r="Q163" s="4"/>
      <c r="R163" s="45"/>
      <c r="S163" s="4"/>
      <c r="T163" s="4"/>
      <c r="U163" s="4"/>
      <c r="V163" s="4"/>
      <c r="W163" s="45"/>
      <c r="X163" s="4"/>
      <c r="Y163" s="4"/>
      <c r="Z163" s="4"/>
      <c r="AA163" s="4"/>
      <c r="AB163" s="45"/>
      <c r="AC163" s="179"/>
      <c r="AD163" s="179"/>
      <c r="AE163" s="179"/>
      <c r="AF163" s="179"/>
      <c r="AG163" s="45"/>
      <c r="AH163" s="4"/>
      <c r="AI163" s="4"/>
      <c r="AJ163" s="4"/>
      <c r="AK163" s="4"/>
      <c r="AL163" s="45"/>
      <c r="AM163" s="179"/>
      <c r="AN163" s="179"/>
      <c r="AO163" s="179"/>
      <c r="AP163" s="179"/>
      <c r="AQ163" s="8"/>
      <c r="AR163" s="179"/>
      <c r="AS163" s="179"/>
      <c r="AT163" s="179"/>
      <c r="AU163" s="179"/>
      <c r="AV163" s="8"/>
      <c r="AW163" s="179"/>
      <c r="AX163" s="179"/>
      <c r="AY163" s="179"/>
      <c r="AZ163" s="179"/>
      <c r="BA163" s="8"/>
      <c r="BB163" s="179"/>
      <c r="BC163" s="179"/>
      <c r="BD163" s="179"/>
      <c r="BE163" s="179"/>
      <c r="BF163" s="8"/>
      <c r="BG163" s="179"/>
      <c r="BH163" s="179"/>
      <c r="BI163" s="179"/>
      <c r="BJ163" s="179"/>
      <c r="BK163" s="8"/>
      <c r="BL163" s="179"/>
      <c r="BM163" s="179"/>
      <c r="BN163" s="179"/>
      <c r="BO163" s="179"/>
      <c r="BP163" s="8"/>
      <c r="BQ163" s="179"/>
      <c r="BR163" s="179"/>
      <c r="BS163" s="179"/>
      <c r="BT163" s="179"/>
      <c r="BU163" s="8"/>
      <c r="BV163" s="179"/>
      <c r="BW163" s="179"/>
      <c r="BX163" s="179"/>
      <c r="BY163" s="179"/>
      <c r="BZ163" s="8"/>
      <c r="CA163" s="179"/>
      <c r="CB163" s="179"/>
      <c r="CC163" s="179"/>
      <c r="CD163" s="179"/>
      <c r="CE163" s="8"/>
      <c r="CF163" s="179"/>
      <c r="CG163" s="179"/>
      <c r="CH163" s="179"/>
      <c r="CI163" s="179"/>
      <c r="CJ163" s="8"/>
      <c r="CK163" s="179"/>
      <c r="CL163" s="179"/>
      <c r="CM163" s="179"/>
      <c r="CN163" s="179"/>
      <c r="CO163" s="8"/>
      <c r="CP163" s="179"/>
      <c r="CQ163" s="179"/>
      <c r="CR163" s="179"/>
      <c r="CS163" s="179"/>
      <c r="CT163" s="8"/>
      <c r="CU163" s="179"/>
      <c r="CV163" s="179"/>
      <c r="CW163" s="179"/>
      <c r="CX163" s="179"/>
      <c r="CY163" s="10"/>
      <c r="CZ163" s="179"/>
      <c r="DA163" s="179"/>
      <c r="DB163" s="179"/>
      <c r="DC163" s="179"/>
      <c r="DD163" s="10"/>
      <c r="DE163" s="179"/>
      <c r="DF163" s="179"/>
      <c r="DG163" s="774"/>
      <c r="DH163" s="179"/>
      <c r="DI163" s="10"/>
      <c r="DJ163" s="774"/>
      <c r="DK163" s="774"/>
      <c r="DL163" s="774"/>
      <c r="DM163" s="179"/>
      <c r="DN163" s="10"/>
      <c r="DO163" s="179"/>
      <c r="DP163" s="179"/>
      <c r="DQ163" s="774"/>
      <c r="DR163" s="774"/>
      <c r="DS163" s="10"/>
      <c r="DT163" s="774"/>
      <c r="DU163" s="774"/>
      <c r="DV163" s="774"/>
      <c r="DW163" s="774"/>
      <c r="DX163" s="10"/>
      <c r="DY163" s="774"/>
      <c r="DZ163" s="774"/>
      <c r="EA163" s="774"/>
      <c r="EB163" s="774"/>
      <c r="EC163" s="10"/>
      <c r="ED163" s="774"/>
      <c r="EE163" s="774"/>
      <c r="EF163" s="774"/>
      <c r="EG163" s="774"/>
      <c r="EH163" s="10"/>
      <c r="EI163" s="775"/>
      <c r="EJ163" s="179"/>
      <c r="EK163" s="179"/>
      <c r="EL163" s="179"/>
      <c r="EM163" s="10"/>
      <c r="EN163" s="179"/>
      <c r="EO163" s="179"/>
      <c r="EP163" s="179"/>
      <c r="EQ163" s="179"/>
      <c r="ER163" s="10"/>
      <c r="ES163" s="179"/>
      <c r="ET163" s="179"/>
      <c r="EU163" s="179"/>
      <c r="EV163" s="179"/>
      <c r="EW163" s="10"/>
      <c r="EX163" s="179"/>
      <c r="EY163" s="179"/>
      <c r="EZ163" s="179"/>
      <c r="FA163" s="179"/>
      <c r="FB163" s="10"/>
      <c r="FC163" s="179"/>
      <c r="FD163" s="179"/>
      <c r="FE163" s="179"/>
      <c r="FF163" s="179"/>
      <c r="FG163" s="10"/>
    </row>
    <row r="164" ht="12.75" customHeight="1">
      <c r="A164" s="4"/>
      <c r="B164" s="4"/>
      <c r="C164" s="4"/>
      <c r="D164" s="4"/>
      <c r="E164" s="4"/>
      <c r="F164" s="4"/>
      <c r="G164" s="4"/>
      <c r="H164" s="4"/>
      <c r="I164" s="4"/>
      <c r="J164" s="4"/>
      <c r="K164" s="4"/>
      <c r="L164" s="4"/>
      <c r="M164" s="4"/>
      <c r="N164" s="4"/>
      <c r="O164" s="4"/>
      <c r="P164" s="4"/>
      <c r="Q164" s="4"/>
      <c r="R164" s="45"/>
      <c r="S164" s="4"/>
      <c r="T164" s="4"/>
      <c r="U164" s="4"/>
      <c r="V164" s="4"/>
      <c r="W164" s="45"/>
      <c r="X164" s="4"/>
      <c r="Y164" s="4"/>
      <c r="Z164" s="4"/>
      <c r="AA164" s="4"/>
      <c r="AB164" s="45"/>
      <c r="AC164" s="179"/>
      <c r="AD164" s="179"/>
      <c r="AE164" s="179"/>
      <c r="AF164" s="179"/>
      <c r="AG164" s="45"/>
      <c r="AH164" s="4"/>
      <c r="AI164" s="4"/>
      <c r="AJ164" s="4"/>
      <c r="AK164" s="4"/>
      <c r="AL164" s="45"/>
      <c r="AM164" s="179"/>
      <c r="AN164" s="179"/>
      <c r="AO164" s="179"/>
      <c r="AP164" s="179"/>
      <c r="AQ164" s="8"/>
      <c r="AR164" s="179"/>
      <c r="AS164" s="179"/>
      <c r="AT164" s="179"/>
      <c r="AU164" s="179"/>
      <c r="AV164" s="8"/>
      <c r="AW164" s="179"/>
      <c r="AX164" s="179"/>
      <c r="AY164" s="179"/>
      <c r="AZ164" s="179"/>
      <c r="BA164" s="8"/>
      <c r="BB164" s="179"/>
      <c r="BC164" s="179"/>
      <c r="BD164" s="179"/>
      <c r="BE164" s="179"/>
      <c r="BF164" s="8"/>
      <c r="BG164" s="179"/>
      <c r="BH164" s="179"/>
      <c r="BI164" s="179"/>
      <c r="BJ164" s="179"/>
      <c r="BK164" s="8"/>
      <c r="BL164" s="179"/>
      <c r="BM164" s="179"/>
      <c r="BN164" s="179"/>
      <c r="BO164" s="179"/>
      <c r="BP164" s="8"/>
      <c r="BQ164" s="179"/>
      <c r="BR164" s="179"/>
      <c r="BS164" s="179"/>
      <c r="BT164" s="179"/>
      <c r="BU164" s="8"/>
      <c r="BV164" s="179"/>
      <c r="BW164" s="179"/>
      <c r="BX164" s="179"/>
      <c r="BY164" s="179"/>
      <c r="BZ164" s="8"/>
      <c r="CA164" s="179"/>
      <c r="CB164" s="179"/>
      <c r="CC164" s="179"/>
      <c r="CD164" s="179"/>
      <c r="CE164" s="8"/>
      <c r="CF164" s="179"/>
      <c r="CG164" s="179"/>
      <c r="CH164" s="179"/>
      <c r="CI164" s="179"/>
      <c r="CJ164" s="8"/>
      <c r="CK164" s="179"/>
      <c r="CL164" s="179"/>
      <c r="CM164" s="179"/>
      <c r="CN164" s="179"/>
      <c r="CO164" s="8"/>
      <c r="CP164" s="179"/>
      <c r="CQ164" s="179"/>
      <c r="CR164" s="179"/>
      <c r="CS164" s="179"/>
      <c r="CT164" s="8"/>
      <c r="CU164" s="179"/>
      <c r="CV164" s="179"/>
      <c r="CW164" s="179"/>
      <c r="CX164" s="179"/>
      <c r="CY164" s="10"/>
      <c r="CZ164" s="179"/>
      <c r="DA164" s="179"/>
      <c r="DB164" s="179"/>
      <c r="DC164" s="179"/>
      <c r="DD164" s="10"/>
      <c r="DE164" s="179"/>
      <c r="DF164" s="179"/>
      <c r="DG164" s="774"/>
      <c r="DH164" s="179"/>
      <c r="DI164" s="10"/>
      <c r="DJ164" s="774"/>
      <c r="DK164" s="774"/>
      <c r="DL164" s="774"/>
      <c r="DM164" s="179"/>
      <c r="DN164" s="10"/>
      <c r="DO164" s="179"/>
      <c r="DP164" s="179"/>
      <c r="DQ164" s="774"/>
      <c r="DR164" s="774"/>
      <c r="DS164" s="10"/>
      <c r="DT164" s="774"/>
      <c r="DU164" s="774"/>
      <c r="DV164" s="774"/>
      <c r="DW164" s="774"/>
      <c r="DX164" s="10"/>
      <c r="DY164" s="774"/>
      <c r="DZ164" s="774"/>
      <c r="EA164" s="774"/>
      <c r="EB164" s="774"/>
      <c r="EC164" s="10"/>
      <c r="ED164" s="774"/>
      <c r="EE164" s="774"/>
      <c r="EF164" s="774"/>
      <c r="EG164" s="774"/>
      <c r="EH164" s="10"/>
      <c r="EI164" s="775"/>
      <c r="EJ164" s="179"/>
      <c r="EK164" s="179"/>
      <c r="EL164" s="179"/>
      <c r="EM164" s="10"/>
      <c r="EN164" s="179"/>
      <c r="EO164" s="179"/>
      <c r="EP164" s="179"/>
      <c r="EQ164" s="179"/>
      <c r="ER164" s="10"/>
      <c r="ES164" s="179"/>
      <c r="ET164" s="179"/>
      <c r="EU164" s="179"/>
      <c r="EV164" s="179"/>
      <c r="EW164" s="10"/>
      <c r="EX164" s="179"/>
      <c r="EY164" s="179"/>
      <c r="EZ164" s="179"/>
      <c r="FA164" s="179"/>
      <c r="FB164" s="10"/>
      <c r="FC164" s="179"/>
      <c r="FD164" s="179"/>
      <c r="FE164" s="179"/>
      <c r="FF164" s="179"/>
      <c r="FG164" s="10"/>
    </row>
    <row r="165" ht="12.75" customHeight="1">
      <c r="A165" s="4"/>
      <c r="B165" s="4"/>
      <c r="C165" s="4"/>
      <c r="D165" s="4"/>
      <c r="E165" s="4"/>
      <c r="F165" s="4"/>
      <c r="G165" s="4"/>
      <c r="H165" s="4"/>
      <c r="I165" s="4"/>
      <c r="J165" s="4"/>
      <c r="K165" s="4"/>
      <c r="L165" s="4"/>
      <c r="M165" s="4"/>
      <c r="N165" s="4"/>
      <c r="O165" s="4"/>
      <c r="P165" s="4"/>
      <c r="Q165" s="4"/>
      <c r="R165" s="45"/>
      <c r="S165" s="4"/>
      <c r="T165" s="4"/>
      <c r="U165" s="4"/>
      <c r="V165" s="4"/>
      <c r="W165" s="45"/>
      <c r="X165" s="4"/>
      <c r="Y165" s="4"/>
      <c r="Z165" s="4"/>
      <c r="AA165" s="4"/>
      <c r="AB165" s="45"/>
      <c r="AC165" s="179"/>
      <c r="AD165" s="179"/>
      <c r="AE165" s="179"/>
      <c r="AF165" s="179"/>
      <c r="AG165" s="45"/>
      <c r="AH165" s="4"/>
      <c r="AI165" s="4"/>
      <c r="AJ165" s="4"/>
      <c r="AK165" s="4"/>
      <c r="AL165" s="45"/>
      <c r="AM165" s="179"/>
      <c r="AN165" s="179"/>
      <c r="AO165" s="179"/>
      <c r="AP165" s="179"/>
      <c r="AQ165" s="8"/>
      <c r="AR165" s="179"/>
      <c r="AS165" s="179"/>
      <c r="AT165" s="179"/>
      <c r="AU165" s="179"/>
      <c r="AV165" s="8"/>
      <c r="AW165" s="179"/>
      <c r="AX165" s="179"/>
      <c r="AY165" s="179"/>
      <c r="AZ165" s="179"/>
      <c r="BA165" s="8"/>
      <c r="BB165" s="179"/>
      <c r="BC165" s="179"/>
      <c r="BD165" s="179"/>
      <c r="BE165" s="179"/>
      <c r="BF165" s="8"/>
      <c r="BG165" s="179"/>
      <c r="BH165" s="179"/>
      <c r="BI165" s="179"/>
      <c r="BJ165" s="179"/>
      <c r="BK165" s="8"/>
      <c r="BL165" s="179"/>
      <c r="BM165" s="179"/>
      <c r="BN165" s="179"/>
      <c r="BO165" s="179"/>
      <c r="BP165" s="8"/>
      <c r="BQ165" s="179"/>
      <c r="BR165" s="179"/>
      <c r="BS165" s="179"/>
      <c r="BT165" s="179"/>
      <c r="BU165" s="8"/>
      <c r="BV165" s="179"/>
      <c r="BW165" s="179"/>
      <c r="BX165" s="179"/>
      <c r="BY165" s="179"/>
      <c r="BZ165" s="8"/>
      <c r="CA165" s="179"/>
      <c r="CB165" s="179"/>
      <c r="CC165" s="179"/>
      <c r="CD165" s="179"/>
      <c r="CE165" s="8"/>
      <c r="CF165" s="179"/>
      <c r="CG165" s="179"/>
      <c r="CH165" s="179"/>
      <c r="CI165" s="179"/>
      <c r="CJ165" s="8"/>
      <c r="CK165" s="179"/>
      <c r="CL165" s="179"/>
      <c r="CM165" s="179"/>
      <c r="CN165" s="179"/>
      <c r="CO165" s="8"/>
      <c r="CP165" s="179"/>
      <c r="CQ165" s="179"/>
      <c r="CR165" s="179"/>
      <c r="CS165" s="179"/>
      <c r="CT165" s="8"/>
      <c r="CU165" s="179"/>
      <c r="CV165" s="179"/>
      <c r="CW165" s="179"/>
      <c r="CX165" s="179"/>
      <c r="CY165" s="10"/>
      <c r="CZ165" s="179"/>
      <c r="DA165" s="179"/>
      <c r="DB165" s="179"/>
      <c r="DC165" s="179"/>
      <c r="DD165" s="10"/>
      <c r="DE165" s="179"/>
      <c r="DF165" s="179"/>
      <c r="DG165" s="774"/>
      <c r="DH165" s="179"/>
      <c r="DI165" s="10"/>
      <c r="DJ165" s="774"/>
      <c r="DK165" s="774"/>
      <c r="DL165" s="774"/>
      <c r="DM165" s="179"/>
      <c r="DN165" s="10"/>
      <c r="DO165" s="179"/>
      <c r="DP165" s="179"/>
      <c r="DQ165" s="774"/>
      <c r="DR165" s="774"/>
      <c r="DS165" s="10"/>
      <c r="DT165" s="774"/>
      <c r="DU165" s="774"/>
      <c r="DV165" s="774"/>
      <c r="DW165" s="774"/>
      <c r="DX165" s="10"/>
      <c r="DY165" s="774"/>
      <c r="DZ165" s="774"/>
      <c r="EA165" s="774"/>
      <c r="EB165" s="774"/>
      <c r="EC165" s="10"/>
      <c r="ED165" s="774"/>
      <c r="EE165" s="774"/>
      <c r="EF165" s="774"/>
      <c r="EG165" s="774"/>
      <c r="EH165" s="10"/>
      <c r="EI165" s="775"/>
      <c r="EJ165" s="179"/>
      <c r="EK165" s="179"/>
      <c r="EL165" s="179"/>
      <c r="EM165" s="10"/>
      <c r="EN165" s="179"/>
      <c r="EO165" s="179"/>
      <c r="EP165" s="179"/>
      <c r="EQ165" s="179"/>
      <c r="ER165" s="10"/>
      <c r="ES165" s="179"/>
      <c r="ET165" s="179"/>
      <c r="EU165" s="179"/>
      <c r="EV165" s="179"/>
      <c r="EW165" s="10"/>
      <c r="EX165" s="179"/>
      <c r="EY165" s="179"/>
      <c r="EZ165" s="179"/>
      <c r="FA165" s="179"/>
      <c r="FB165" s="10"/>
      <c r="FC165" s="179"/>
      <c r="FD165" s="179"/>
      <c r="FE165" s="179"/>
      <c r="FF165" s="179"/>
      <c r="FG165" s="10"/>
    </row>
    <row r="166" ht="12.75" customHeight="1">
      <c r="A166" s="4"/>
      <c r="B166" s="4"/>
      <c r="C166" s="4"/>
      <c r="D166" s="4"/>
      <c r="E166" s="4"/>
      <c r="F166" s="4"/>
      <c r="G166" s="4"/>
      <c r="H166" s="4"/>
      <c r="I166" s="4"/>
      <c r="J166" s="4"/>
      <c r="K166" s="4"/>
      <c r="L166" s="4"/>
      <c r="M166" s="4"/>
      <c r="N166" s="4"/>
      <c r="O166" s="4"/>
      <c r="P166" s="4"/>
      <c r="Q166" s="4"/>
      <c r="R166" s="45"/>
      <c r="S166" s="4"/>
      <c r="T166" s="4"/>
      <c r="U166" s="4"/>
      <c r="V166" s="4"/>
      <c r="W166" s="45"/>
      <c r="X166" s="4"/>
      <c r="Y166" s="4"/>
      <c r="Z166" s="4"/>
      <c r="AA166" s="4"/>
      <c r="AB166" s="45"/>
      <c r="AC166" s="179"/>
      <c r="AD166" s="179"/>
      <c r="AE166" s="179"/>
      <c r="AF166" s="179"/>
      <c r="AG166" s="45"/>
      <c r="AH166" s="4"/>
      <c r="AI166" s="4"/>
      <c r="AJ166" s="4"/>
      <c r="AK166" s="4"/>
      <c r="AL166" s="45"/>
      <c r="AM166" s="179"/>
      <c r="AN166" s="179"/>
      <c r="AO166" s="179"/>
      <c r="AP166" s="179"/>
      <c r="AQ166" s="8"/>
      <c r="AR166" s="179"/>
      <c r="AS166" s="179"/>
      <c r="AT166" s="179"/>
      <c r="AU166" s="179"/>
      <c r="AV166" s="8"/>
      <c r="AW166" s="179"/>
      <c r="AX166" s="179"/>
      <c r="AY166" s="179"/>
      <c r="AZ166" s="179"/>
      <c r="BA166" s="8"/>
      <c r="BB166" s="179"/>
      <c r="BC166" s="179"/>
      <c r="BD166" s="179"/>
      <c r="BE166" s="179"/>
      <c r="BF166" s="8"/>
      <c r="BG166" s="179"/>
      <c r="BH166" s="179"/>
      <c r="BI166" s="179"/>
      <c r="BJ166" s="179"/>
      <c r="BK166" s="8"/>
      <c r="BL166" s="179"/>
      <c r="BM166" s="179"/>
      <c r="BN166" s="179"/>
      <c r="BO166" s="179"/>
      <c r="BP166" s="8"/>
      <c r="BQ166" s="179"/>
      <c r="BR166" s="179"/>
      <c r="BS166" s="179"/>
      <c r="BT166" s="179"/>
      <c r="BU166" s="8"/>
      <c r="BV166" s="179"/>
      <c r="BW166" s="179"/>
      <c r="BX166" s="179"/>
      <c r="BY166" s="179"/>
      <c r="BZ166" s="8"/>
      <c r="CA166" s="179"/>
      <c r="CB166" s="179"/>
      <c r="CC166" s="179"/>
      <c r="CD166" s="179"/>
      <c r="CE166" s="8"/>
      <c r="CF166" s="179"/>
      <c r="CG166" s="179"/>
      <c r="CH166" s="179"/>
      <c r="CI166" s="179"/>
      <c r="CJ166" s="8"/>
      <c r="CK166" s="179"/>
      <c r="CL166" s="179"/>
      <c r="CM166" s="179"/>
      <c r="CN166" s="179"/>
      <c r="CO166" s="8"/>
      <c r="CP166" s="179"/>
      <c r="CQ166" s="179"/>
      <c r="CR166" s="179"/>
      <c r="CS166" s="179"/>
      <c r="CT166" s="8"/>
      <c r="CU166" s="179"/>
      <c r="CV166" s="179"/>
      <c r="CW166" s="179"/>
      <c r="CX166" s="179"/>
      <c r="CY166" s="10"/>
      <c r="CZ166" s="179"/>
      <c r="DA166" s="179"/>
      <c r="DB166" s="179"/>
      <c r="DC166" s="179"/>
      <c r="DD166" s="10"/>
      <c r="DE166" s="179"/>
      <c r="DF166" s="179"/>
      <c r="DG166" s="774"/>
      <c r="DH166" s="179"/>
      <c r="DI166" s="10"/>
      <c r="DJ166" s="774"/>
      <c r="DK166" s="774"/>
      <c r="DL166" s="774"/>
      <c r="DM166" s="179"/>
      <c r="DN166" s="10"/>
      <c r="DO166" s="179"/>
      <c r="DP166" s="179"/>
      <c r="DQ166" s="774"/>
      <c r="DR166" s="774"/>
      <c r="DS166" s="10"/>
      <c r="DT166" s="774"/>
      <c r="DU166" s="774"/>
      <c r="DV166" s="774"/>
      <c r="DW166" s="774"/>
      <c r="DX166" s="10"/>
      <c r="DY166" s="774"/>
      <c r="DZ166" s="774"/>
      <c r="EA166" s="774"/>
      <c r="EB166" s="774"/>
      <c r="EC166" s="10"/>
      <c r="ED166" s="774"/>
      <c r="EE166" s="774"/>
      <c r="EF166" s="774"/>
      <c r="EG166" s="774"/>
      <c r="EH166" s="10"/>
      <c r="EI166" s="775"/>
      <c r="EJ166" s="179"/>
      <c r="EK166" s="179"/>
      <c r="EL166" s="179"/>
      <c r="EM166" s="10"/>
      <c r="EN166" s="179"/>
      <c r="EO166" s="179"/>
      <c r="EP166" s="179"/>
      <c r="EQ166" s="179"/>
      <c r="ER166" s="10"/>
      <c r="ES166" s="179"/>
      <c r="ET166" s="179"/>
      <c r="EU166" s="179"/>
      <c r="EV166" s="179"/>
      <c r="EW166" s="10"/>
      <c r="EX166" s="179"/>
      <c r="EY166" s="179"/>
      <c r="EZ166" s="179"/>
      <c r="FA166" s="179"/>
      <c r="FB166" s="10"/>
      <c r="FC166" s="179"/>
      <c r="FD166" s="179"/>
      <c r="FE166" s="179"/>
      <c r="FF166" s="179"/>
      <c r="FG166" s="10"/>
    </row>
    <row r="167" ht="12.75" customHeight="1">
      <c r="A167" s="4"/>
      <c r="B167" s="4"/>
      <c r="C167" s="4"/>
      <c r="D167" s="4"/>
      <c r="E167" s="4"/>
      <c r="F167" s="4"/>
      <c r="G167" s="4"/>
      <c r="H167" s="4"/>
      <c r="I167" s="4"/>
      <c r="J167" s="4"/>
      <c r="K167" s="4"/>
      <c r="L167" s="4"/>
      <c r="M167" s="4"/>
      <c r="N167" s="4"/>
      <c r="O167" s="4"/>
      <c r="P167" s="4"/>
      <c r="Q167" s="4"/>
      <c r="R167" s="45"/>
      <c r="S167" s="4"/>
      <c r="T167" s="4"/>
      <c r="U167" s="4"/>
      <c r="V167" s="4"/>
      <c r="W167" s="45"/>
      <c r="X167" s="4"/>
      <c r="Y167" s="4"/>
      <c r="Z167" s="4"/>
      <c r="AA167" s="4"/>
      <c r="AB167" s="45"/>
      <c r="AC167" s="179"/>
      <c r="AD167" s="179"/>
      <c r="AE167" s="179"/>
      <c r="AF167" s="179"/>
      <c r="AG167" s="45"/>
      <c r="AH167" s="4"/>
      <c r="AI167" s="4"/>
      <c r="AJ167" s="4"/>
      <c r="AK167" s="4"/>
      <c r="AL167" s="45"/>
      <c r="AM167" s="179"/>
      <c r="AN167" s="179"/>
      <c r="AO167" s="179"/>
      <c r="AP167" s="179"/>
      <c r="AQ167" s="8"/>
      <c r="AR167" s="179"/>
      <c r="AS167" s="179"/>
      <c r="AT167" s="179"/>
      <c r="AU167" s="179"/>
      <c r="AV167" s="8"/>
      <c r="AW167" s="179"/>
      <c r="AX167" s="179"/>
      <c r="AY167" s="179"/>
      <c r="AZ167" s="179"/>
      <c r="BA167" s="8"/>
      <c r="BB167" s="179"/>
      <c r="BC167" s="179"/>
      <c r="BD167" s="179"/>
      <c r="BE167" s="179"/>
      <c r="BF167" s="8"/>
      <c r="BG167" s="179"/>
      <c r="BH167" s="179"/>
      <c r="BI167" s="179"/>
      <c r="BJ167" s="179"/>
      <c r="BK167" s="8"/>
      <c r="BL167" s="179"/>
      <c r="BM167" s="179"/>
      <c r="BN167" s="179"/>
      <c r="BO167" s="179"/>
      <c r="BP167" s="8"/>
      <c r="BQ167" s="179"/>
      <c r="BR167" s="179"/>
      <c r="BS167" s="179"/>
      <c r="BT167" s="179"/>
      <c r="BU167" s="8"/>
      <c r="BV167" s="179"/>
      <c r="BW167" s="179"/>
      <c r="BX167" s="179"/>
      <c r="BY167" s="179"/>
      <c r="BZ167" s="8"/>
      <c r="CA167" s="179"/>
      <c r="CB167" s="179"/>
      <c r="CC167" s="179"/>
      <c r="CD167" s="179"/>
      <c r="CE167" s="8"/>
      <c r="CF167" s="179"/>
      <c r="CG167" s="179"/>
      <c r="CH167" s="179"/>
      <c r="CI167" s="179"/>
      <c r="CJ167" s="8"/>
      <c r="CK167" s="179"/>
      <c r="CL167" s="179"/>
      <c r="CM167" s="179"/>
      <c r="CN167" s="179"/>
      <c r="CO167" s="8"/>
      <c r="CP167" s="179"/>
      <c r="CQ167" s="179"/>
      <c r="CR167" s="179"/>
      <c r="CS167" s="179"/>
      <c r="CT167" s="8"/>
      <c r="CU167" s="179"/>
      <c r="CV167" s="179"/>
      <c r="CW167" s="179"/>
      <c r="CX167" s="179"/>
      <c r="CY167" s="10"/>
      <c r="CZ167" s="179"/>
      <c r="DA167" s="179"/>
      <c r="DB167" s="179"/>
      <c r="DC167" s="179"/>
      <c r="DD167" s="10"/>
      <c r="DE167" s="179"/>
      <c r="DF167" s="179"/>
      <c r="DG167" s="774"/>
      <c r="DH167" s="179"/>
      <c r="DI167" s="10"/>
      <c r="DJ167" s="774"/>
      <c r="DK167" s="774"/>
      <c r="DL167" s="774"/>
      <c r="DM167" s="179"/>
      <c r="DN167" s="10"/>
      <c r="DO167" s="179"/>
      <c r="DP167" s="179"/>
      <c r="DQ167" s="774"/>
      <c r="DR167" s="774"/>
      <c r="DS167" s="10"/>
      <c r="DT167" s="774"/>
      <c r="DU167" s="774"/>
      <c r="DV167" s="774"/>
      <c r="DW167" s="774"/>
      <c r="DX167" s="10"/>
      <c r="DY167" s="774"/>
      <c r="DZ167" s="774"/>
      <c r="EA167" s="774"/>
      <c r="EB167" s="774"/>
      <c r="EC167" s="10"/>
      <c r="ED167" s="774"/>
      <c r="EE167" s="774"/>
      <c r="EF167" s="774"/>
      <c r="EG167" s="774"/>
      <c r="EH167" s="10"/>
      <c r="EI167" s="775"/>
      <c r="EJ167" s="179"/>
      <c r="EK167" s="179"/>
      <c r="EL167" s="179"/>
      <c r="EM167" s="10"/>
      <c r="EN167" s="179"/>
      <c r="EO167" s="179"/>
      <c r="EP167" s="179"/>
      <c r="EQ167" s="179"/>
      <c r="ER167" s="10"/>
      <c r="ES167" s="179"/>
      <c r="ET167" s="179"/>
      <c r="EU167" s="179"/>
      <c r="EV167" s="179"/>
      <c r="EW167" s="10"/>
      <c r="EX167" s="179"/>
      <c r="EY167" s="179"/>
      <c r="EZ167" s="179"/>
      <c r="FA167" s="179"/>
      <c r="FB167" s="10"/>
      <c r="FC167" s="179"/>
      <c r="FD167" s="179"/>
      <c r="FE167" s="179"/>
      <c r="FF167" s="179"/>
      <c r="FG167" s="10"/>
    </row>
    <row r="168" ht="12.75" customHeight="1">
      <c r="A168" s="4"/>
      <c r="B168" s="4"/>
      <c r="C168" s="4"/>
      <c r="D168" s="4"/>
      <c r="E168" s="4"/>
      <c r="F168" s="4"/>
      <c r="G168" s="4"/>
      <c r="H168" s="4"/>
      <c r="I168" s="4"/>
      <c r="J168" s="4"/>
      <c r="K168" s="4"/>
      <c r="L168" s="4"/>
      <c r="M168" s="4"/>
      <c r="N168" s="4"/>
      <c r="O168" s="4"/>
      <c r="P168" s="4"/>
      <c r="Q168" s="4"/>
      <c r="R168" s="45"/>
      <c r="S168" s="4"/>
      <c r="T168" s="4"/>
      <c r="U168" s="4"/>
      <c r="V168" s="4"/>
      <c r="W168" s="45"/>
      <c r="X168" s="4"/>
      <c r="Y168" s="4"/>
      <c r="Z168" s="4"/>
      <c r="AA168" s="4"/>
      <c r="AB168" s="45"/>
      <c r="AC168" s="179"/>
      <c r="AD168" s="179"/>
      <c r="AE168" s="179"/>
      <c r="AF168" s="179"/>
      <c r="AG168" s="45"/>
      <c r="AH168" s="4"/>
      <c r="AI168" s="4"/>
      <c r="AJ168" s="4"/>
      <c r="AK168" s="4"/>
      <c r="AL168" s="45"/>
      <c r="AM168" s="179"/>
      <c r="AN168" s="179"/>
      <c r="AO168" s="179"/>
      <c r="AP168" s="179"/>
      <c r="AQ168" s="8"/>
      <c r="AR168" s="179"/>
      <c r="AS168" s="179"/>
      <c r="AT168" s="179"/>
      <c r="AU168" s="179"/>
      <c r="AV168" s="8"/>
      <c r="AW168" s="179"/>
      <c r="AX168" s="179"/>
      <c r="AY168" s="179"/>
      <c r="AZ168" s="179"/>
      <c r="BA168" s="8"/>
      <c r="BB168" s="179"/>
      <c r="BC168" s="179"/>
      <c r="BD168" s="179"/>
      <c r="BE168" s="179"/>
      <c r="BF168" s="8"/>
      <c r="BG168" s="179"/>
      <c r="BH168" s="179"/>
      <c r="BI168" s="179"/>
      <c r="BJ168" s="179"/>
      <c r="BK168" s="8"/>
      <c r="BL168" s="179"/>
      <c r="BM168" s="179"/>
      <c r="BN168" s="179"/>
      <c r="BO168" s="179"/>
      <c r="BP168" s="8"/>
      <c r="BQ168" s="179"/>
      <c r="BR168" s="179"/>
      <c r="BS168" s="179"/>
      <c r="BT168" s="179"/>
      <c r="BU168" s="8"/>
      <c r="BV168" s="179"/>
      <c r="BW168" s="179"/>
      <c r="BX168" s="179"/>
      <c r="BY168" s="179"/>
      <c r="BZ168" s="8"/>
      <c r="CA168" s="179"/>
      <c r="CB168" s="179"/>
      <c r="CC168" s="179"/>
      <c r="CD168" s="179"/>
      <c r="CE168" s="8"/>
      <c r="CF168" s="179"/>
      <c r="CG168" s="179"/>
      <c r="CH168" s="179"/>
      <c r="CI168" s="179"/>
      <c r="CJ168" s="8"/>
      <c r="CK168" s="179"/>
      <c r="CL168" s="179"/>
      <c r="CM168" s="179"/>
      <c r="CN168" s="179"/>
      <c r="CO168" s="8"/>
      <c r="CP168" s="179"/>
      <c r="CQ168" s="179"/>
      <c r="CR168" s="179"/>
      <c r="CS168" s="179"/>
      <c r="CT168" s="8"/>
      <c r="CU168" s="179"/>
      <c r="CV168" s="179"/>
      <c r="CW168" s="179"/>
      <c r="CX168" s="179"/>
      <c r="CY168" s="10"/>
      <c r="CZ168" s="179"/>
      <c r="DA168" s="179"/>
      <c r="DB168" s="179"/>
      <c r="DC168" s="179"/>
      <c r="DD168" s="10"/>
      <c r="DE168" s="179"/>
      <c r="DF168" s="179"/>
      <c r="DG168" s="774"/>
      <c r="DH168" s="179"/>
      <c r="DI168" s="10"/>
      <c r="DJ168" s="774"/>
      <c r="DK168" s="774"/>
      <c r="DL168" s="774"/>
      <c r="DM168" s="179"/>
      <c r="DN168" s="10"/>
      <c r="DO168" s="179"/>
      <c r="DP168" s="179"/>
      <c r="DQ168" s="774"/>
      <c r="DR168" s="774"/>
      <c r="DS168" s="10"/>
      <c r="DT168" s="774"/>
      <c r="DU168" s="774"/>
      <c r="DV168" s="774"/>
      <c r="DW168" s="774"/>
      <c r="DX168" s="10"/>
      <c r="DY168" s="774"/>
      <c r="DZ168" s="774"/>
      <c r="EA168" s="774"/>
      <c r="EB168" s="774"/>
      <c r="EC168" s="10"/>
      <c r="ED168" s="774"/>
      <c r="EE168" s="774"/>
      <c r="EF168" s="774"/>
      <c r="EG168" s="774"/>
      <c r="EH168" s="10"/>
      <c r="EI168" s="775"/>
      <c r="EJ168" s="179"/>
      <c r="EK168" s="179"/>
      <c r="EL168" s="179"/>
      <c r="EM168" s="10"/>
      <c r="EN168" s="179"/>
      <c r="EO168" s="179"/>
      <c r="EP168" s="179"/>
      <c r="EQ168" s="179"/>
      <c r="ER168" s="10"/>
      <c r="ES168" s="179"/>
      <c r="ET168" s="179"/>
      <c r="EU168" s="179"/>
      <c r="EV168" s="179"/>
      <c r="EW168" s="10"/>
      <c r="EX168" s="179"/>
      <c r="EY168" s="179"/>
      <c r="EZ168" s="179"/>
      <c r="FA168" s="179"/>
      <c r="FB168" s="10"/>
      <c r="FC168" s="179"/>
      <c r="FD168" s="179"/>
      <c r="FE168" s="179"/>
      <c r="FF168" s="179"/>
      <c r="FG168" s="10"/>
    </row>
    <row r="169" ht="12.75" customHeight="1">
      <c r="A169" s="4"/>
      <c r="B169" s="4"/>
      <c r="C169" s="4"/>
      <c r="D169" s="4"/>
      <c r="E169" s="4"/>
      <c r="F169" s="4"/>
      <c r="G169" s="4"/>
      <c r="H169" s="4"/>
      <c r="I169" s="4"/>
      <c r="J169" s="4"/>
      <c r="K169" s="4"/>
      <c r="L169" s="4"/>
      <c r="M169" s="4"/>
      <c r="N169" s="4"/>
      <c r="O169" s="4"/>
      <c r="P169" s="4"/>
      <c r="Q169" s="4"/>
      <c r="R169" s="45"/>
      <c r="S169" s="4"/>
      <c r="T169" s="4"/>
      <c r="U169" s="4"/>
      <c r="V169" s="4"/>
      <c r="W169" s="45"/>
      <c r="X169" s="4"/>
      <c r="Y169" s="4"/>
      <c r="Z169" s="4"/>
      <c r="AA169" s="4"/>
      <c r="AB169" s="45"/>
      <c r="AC169" s="179"/>
      <c r="AD169" s="179"/>
      <c r="AE169" s="179"/>
      <c r="AF169" s="179"/>
      <c r="AG169" s="45"/>
      <c r="AH169" s="4"/>
      <c r="AI169" s="4"/>
      <c r="AJ169" s="4"/>
      <c r="AK169" s="4"/>
      <c r="AL169" s="45"/>
      <c r="AM169" s="179"/>
      <c r="AN169" s="179"/>
      <c r="AO169" s="179"/>
      <c r="AP169" s="179"/>
      <c r="AQ169" s="8"/>
      <c r="AR169" s="179"/>
      <c r="AS169" s="179"/>
      <c r="AT169" s="179"/>
      <c r="AU169" s="179"/>
      <c r="AV169" s="8"/>
      <c r="AW169" s="179"/>
      <c r="AX169" s="179"/>
      <c r="AY169" s="179"/>
      <c r="AZ169" s="179"/>
      <c r="BA169" s="8"/>
      <c r="BB169" s="179"/>
      <c r="BC169" s="179"/>
      <c r="BD169" s="179"/>
      <c r="BE169" s="179"/>
      <c r="BF169" s="8"/>
      <c r="BG169" s="179"/>
      <c r="BH169" s="179"/>
      <c r="BI169" s="179"/>
      <c r="BJ169" s="179"/>
      <c r="BK169" s="8"/>
      <c r="BL169" s="179"/>
      <c r="BM169" s="179"/>
      <c r="BN169" s="179"/>
      <c r="BO169" s="179"/>
      <c r="BP169" s="8"/>
      <c r="BQ169" s="179"/>
      <c r="BR169" s="179"/>
      <c r="BS169" s="179"/>
      <c r="BT169" s="179"/>
      <c r="BU169" s="8"/>
      <c r="BV169" s="179"/>
      <c r="BW169" s="179"/>
      <c r="BX169" s="179"/>
      <c r="BY169" s="179"/>
      <c r="BZ169" s="8"/>
      <c r="CA169" s="179"/>
      <c r="CB169" s="179"/>
      <c r="CC169" s="179"/>
      <c r="CD169" s="179"/>
      <c r="CE169" s="8"/>
      <c r="CF169" s="179"/>
      <c r="CG169" s="179"/>
      <c r="CH169" s="179"/>
      <c r="CI169" s="179"/>
      <c r="CJ169" s="8"/>
      <c r="CK169" s="179"/>
      <c r="CL169" s="179"/>
      <c r="CM169" s="179"/>
      <c r="CN169" s="179"/>
      <c r="CO169" s="8"/>
      <c r="CP169" s="179"/>
      <c r="CQ169" s="179"/>
      <c r="CR169" s="179"/>
      <c r="CS169" s="179"/>
      <c r="CT169" s="8"/>
      <c r="CU169" s="179"/>
      <c r="CV169" s="179"/>
      <c r="CW169" s="179"/>
      <c r="CX169" s="179"/>
      <c r="CY169" s="10"/>
      <c r="CZ169" s="179"/>
      <c r="DA169" s="179"/>
      <c r="DB169" s="179"/>
      <c r="DC169" s="179"/>
      <c r="DD169" s="10"/>
      <c r="DE169" s="179"/>
      <c r="DF169" s="179"/>
      <c r="DG169" s="774"/>
      <c r="DH169" s="179"/>
      <c r="DI169" s="10"/>
      <c r="DJ169" s="774"/>
      <c r="DK169" s="774"/>
      <c r="DL169" s="774"/>
      <c r="DM169" s="179"/>
      <c r="DN169" s="10"/>
      <c r="DO169" s="179"/>
      <c r="DP169" s="179"/>
      <c r="DQ169" s="774"/>
      <c r="DR169" s="774"/>
      <c r="DS169" s="10"/>
      <c r="DT169" s="774"/>
      <c r="DU169" s="774"/>
      <c r="DV169" s="774"/>
      <c r="DW169" s="774"/>
      <c r="DX169" s="10"/>
      <c r="DY169" s="774"/>
      <c r="DZ169" s="774"/>
      <c r="EA169" s="774"/>
      <c r="EB169" s="774"/>
      <c r="EC169" s="10"/>
      <c r="ED169" s="774"/>
      <c r="EE169" s="774"/>
      <c r="EF169" s="774"/>
      <c r="EG169" s="774"/>
      <c r="EH169" s="10"/>
      <c r="EI169" s="775"/>
      <c r="EJ169" s="179"/>
      <c r="EK169" s="179"/>
      <c r="EL169" s="179"/>
      <c r="EM169" s="10"/>
      <c r="EN169" s="179"/>
      <c r="EO169" s="179"/>
      <c r="EP169" s="179"/>
      <c r="EQ169" s="179"/>
      <c r="ER169" s="10"/>
      <c r="ES169" s="179"/>
      <c r="ET169" s="179"/>
      <c r="EU169" s="179"/>
      <c r="EV169" s="179"/>
      <c r="EW169" s="10"/>
      <c r="EX169" s="179"/>
      <c r="EY169" s="179"/>
      <c r="EZ169" s="179"/>
      <c r="FA169" s="179"/>
      <c r="FB169" s="10"/>
      <c r="FC169" s="179"/>
      <c r="FD169" s="179"/>
      <c r="FE169" s="179"/>
      <c r="FF169" s="179"/>
      <c r="FG169" s="10"/>
    </row>
    <row r="170" ht="12.75" customHeight="1">
      <c r="A170" s="4"/>
      <c r="B170" s="4"/>
      <c r="C170" s="4"/>
      <c r="D170" s="4"/>
      <c r="E170" s="4"/>
      <c r="F170" s="4"/>
      <c r="G170" s="4"/>
      <c r="H170" s="4"/>
      <c r="I170" s="4"/>
      <c r="J170" s="4"/>
      <c r="K170" s="4"/>
      <c r="L170" s="4"/>
      <c r="M170" s="4"/>
      <c r="N170" s="4"/>
      <c r="O170" s="4"/>
      <c r="P170" s="4"/>
      <c r="Q170" s="4"/>
      <c r="R170" s="45"/>
      <c r="S170" s="4"/>
      <c r="T170" s="4"/>
      <c r="U170" s="4"/>
      <c r="V170" s="4"/>
      <c r="W170" s="45"/>
      <c r="X170" s="4"/>
      <c r="Y170" s="4"/>
      <c r="Z170" s="4"/>
      <c r="AA170" s="4"/>
      <c r="AB170" s="45"/>
      <c r="AC170" s="179"/>
      <c r="AD170" s="179"/>
      <c r="AE170" s="179"/>
      <c r="AF170" s="179"/>
      <c r="AG170" s="45"/>
      <c r="AH170" s="4"/>
      <c r="AI170" s="4"/>
      <c r="AJ170" s="4"/>
      <c r="AK170" s="4"/>
      <c r="AL170" s="45"/>
      <c r="AM170" s="179"/>
      <c r="AN170" s="179"/>
      <c r="AO170" s="179"/>
      <c r="AP170" s="179"/>
      <c r="AQ170" s="8"/>
      <c r="AR170" s="179"/>
      <c r="AS170" s="179"/>
      <c r="AT170" s="179"/>
      <c r="AU170" s="179"/>
      <c r="AV170" s="8"/>
      <c r="AW170" s="179"/>
      <c r="AX170" s="179"/>
      <c r="AY170" s="179"/>
      <c r="AZ170" s="179"/>
      <c r="BA170" s="8"/>
      <c r="BB170" s="179"/>
      <c r="BC170" s="179"/>
      <c r="BD170" s="179"/>
      <c r="BE170" s="179"/>
      <c r="BF170" s="8"/>
      <c r="BG170" s="179"/>
      <c r="BH170" s="179"/>
      <c r="BI170" s="179"/>
      <c r="BJ170" s="179"/>
      <c r="BK170" s="8"/>
      <c r="BL170" s="179"/>
      <c r="BM170" s="179"/>
      <c r="BN170" s="179"/>
      <c r="BO170" s="179"/>
      <c r="BP170" s="8"/>
      <c r="BQ170" s="179"/>
      <c r="BR170" s="179"/>
      <c r="BS170" s="179"/>
      <c r="BT170" s="179"/>
      <c r="BU170" s="8"/>
      <c r="BV170" s="179"/>
      <c r="BW170" s="179"/>
      <c r="BX170" s="179"/>
      <c r="BY170" s="179"/>
      <c r="BZ170" s="8"/>
      <c r="CA170" s="179"/>
      <c r="CB170" s="179"/>
      <c r="CC170" s="179"/>
      <c r="CD170" s="179"/>
      <c r="CE170" s="8"/>
      <c r="CF170" s="179"/>
      <c r="CG170" s="179"/>
      <c r="CH170" s="179"/>
      <c r="CI170" s="179"/>
      <c r="CJ170" s="8"/>
      <c r="CK170" s="179"/>
      <c r="CL170" s="179"/>
      <c r="CM170" s="179"/>
      <c r="CN170" s="179"/>
      <c r="CO170" s="8"/>
      <c r="CP170" s="179"/>
      <c r="CQ170" s="179"/>
      <c r="CR170" s="179"/>
      <c r="CS170" s="179"/>
      <c r="CT170" s="8"/>
      <c r="CU170" s="179"/>
      <c r="CV170" s="179"/>
      <c r="CW170" s="179"/>
      <c r="CX170" s="179"/>
      <c r="CY170" s="10"/>
      <c r="CZ170" s="179"/>
      <c r="DA170" s="179"/>
      <c r="DB170" s="179"/>
      <c r="DC170" s="179"/>
      <c r="DD170" s="10"/>
      <c r="DE170" s="179"/>
      <c r="DF170" s="179"/>
      <c r="DG170" s="774"/>
      <c r="DH170" s="179"/>
      <c r="DI170" s="10"/>
      <c r="DJ170" s="774"/>
      <c r="DK170" s="774"/>
      <c r="DL170" s="774"/>
      <c r="DM170" s="179"/>
      <c r="DN170" s="10"/>
      <c r="DO170" s="179"/>
      <c r="DP170" s="179"/>
      <c r="DQ170" s="774"/>
      <c r="DR170" s="774"/>
      <c r="DS170" s="10"/>
      <c r="DT170" s="774"/>
      <c r="DU170" s="774"/>
      <c r="DV170" s="774"/>
      <c r="DW170" s="774"/>
      <c r="DX170" s="10"/>
      <c r="DY170" s="774"/>
      <c r="DZ170" s="774"/>
      <c r="EA170" s="774"/>
      <c r="EB170" s="774"/>
      <c r="EC170" s="10"/>
      <c r="ED170" s="774"/>
      <c r="EE170" s="774"/>
      <c r="EF170" s="774"/>
      <c r="EG170" s="774"/>
      <c r="EH170" s="10"/>
      <c r="EI170" s="775"/>
      <c r="EJ170" s="179"/>
      <c r="EK170" s="179"/>
      <c r="EL170" s="179"/>
      <c r="EM170" s="10"/>
      <c r="EN170" s="179"/>
      <c r="EO170" s="179"/>
      <c r="EP170" s="179"/>
      <c r="EQ170" s="179"/>
      <c r="ER170" s="10"/>
      <c r="ES170" s="179"/>
      <c r="ET170" s="179"/>
      <c r="EU170" s="179"/>
      <c r="EV170" s="179"/>
      <c r="EW170" s="10"/>
      <c r="EX170" s="179"/>
      <c r="EY170" s="179"/>
      <c r="EZ170" s="179"/>
      <c r="FA170" s="179"/>
      <c r="FB170" s="10"/>
      <c r="FC170" s="179"/>
      <c r="FD170" s="179"/>
      <c r="FE170" s="179"/>
      <c r="FF170" s="179"/>
      <c r="FG170" s="10"/>
    </row>
    <row r="171" ht="12.75" customHeight="1">
      <c r="A171" s="4"/>
      <c r="B171" s="4"/>
      <c r="C171" s="4"/>
      <c r="D171" s="4"/>
      <c r="E171" s="4"/>
      <c r="F171" s="4"/>
      <c r="G171" s="4"/>
      <c r="H171" s="4"/>
      <c r="I171" s="4"/>
      <c r="J171" s="4"/>
      <c r="K171" s="4"/>
      <c r="L171" s="4"/>
      <c r="M171" s="4"/>
      <c r="N171" s="4"/>
      <c r="O171" s="4"/>
      <c r="P171" s="4"/>
      <c r="Q171" s="4"/>
      <c r="R171" s="45"/>
      <c r="S171" s="4"/>
      <c r="T171" s="4"/>
      <c r="U171" s="4"/>
      <c r="V171" s="4"/>
      <c r="W171" s="45"/>
      <c r="X171" s="4"/>
      <c r="Y171" s="4"/>
      <c r="Z171" s="4"/>
      <c r="AA171" s="4"/>
      <c r="AB171" s="45"/>
      <c r="AC171" s="179"/>
      <c r="AD171" s="179"/>
      <c r="AE171" s="179"/>
      <c r="AF171" s="179"/>
      <c r="AG171" s="45"/>
      <c r="AH171" s="4"/>
      <c r="AI171" s="4"/>
      <c r="AJ171" s="4"/>
      <c r="AK171" s="4"/>
      <c r="AL171" s="45"/>
      <c r="AM171" s="179"/>
      <c r="AN171" s="179"/>
      <c r="AO171" s="179"/>
      <c r="AP171" s="179"/>
      <c r="AQ171" s="8"/>
      <c r="AR171" s="179"/>
      <c r="AS171" s="179"/>
      <c r="AT171" s="179"/>
      <c r="AU171" s="179"/>
      <c r="AV171" s="8"/>
      <c r="AW171" s="179"/>
      <c r="AX171" s="179"/>
      <c r="AY171" s="179"/>
      <c r="AZ171" s="179"/>
      <c r="BA171" s="8"/>
      <c r="BB171" s="179"/>
      <c r="BC171" s="179"/>
      <c r="BD171" s="179"/>
      <c r="BE171" s="179"/>
      <c r="BF171" s="8"/>
      <c r="BG171" s="179"/>
      <c r="BH171" s="179"/>
      <c r="BI171" s="179"/>
      <c r="BJ171" s="179"/>
      <c r="BK171" s="8"/>
      <c r="BL171" s="179"/>
      <c r="BM171" s="179"/>
      <c r="BN171" s="179"/>
      <c r="BO171" s="179"/>
      <c r="BP171" s="8"/>
      <c r="BQ171" s="179"/>
      <c r="BR171" s="179"/>
      <c r="BS171" s="179"/>
      <c r="BT171" s="179"/>
      <c r="BU171" s="8"/>
      <c r="BV171" s="179"/>
      <c r="BW171" s="179"/>
      <c r="BX171" s="179"/>
      <c r="BY171" s="179"/>
      <c r="BZ171" s="8"/>
      <c r="CA171" s="179"/>
      <c r="CB171" s="179"/>
      <c r="CC171" s="179"/>
      <c r="CD171" s="179"/>
      <c r="CE171" s="8"/>
      <c r="CF171" s="179"/>
      <c r="CG171" s="179"/>
      <c r="CH171" s="179"/>
      <c r="CI171" s="179"/>
      <c r="CJ171" s="8"/>
      <c r="CK171" s="179"/>
      <c r="CL171" s="179"/>
      <c r="CM171" s="179"/>
      <c r="CN171" s="179"/>
      <c r="CO171" s="8"/>
      <c r="CP171" s="179"/>
      <c r="CQ171" s="179"/>
      <c r="CR171" s="179"/>
      <c r="CS171" s="179"/>
      <c r="CT171" s="8"/>
      <c r="CU171" s="179"/>
      <c r="CV171" s="179"/>
      <c r="CW171" s="179"/>
      <c r="CX171" s="179"/>
      <c r="CY171" s="10"/>
      <c r="CZ171" s="179"/>
      <c r="DA171" s="179"/>
      <c r="DB171" s="179"/>
      <c r="DC171" s="179"/>
      <c r="DD171" s="10"/>
      <c r="DE171" s="179"/>
      <c r="DF171" s="179"/>
      <c r="DG171" s="774"/>
      <c r="DH171" s="179"/>
      <c r="DI171" s="10"/>
      <c r="DJ171" s="774"/>
      <c r="DK171" s="774"/>
      <c r="DL171" s="774"/>
      <c r="DM171" s="179"/>
      <c r="DN171" s="10"/>
      <c r="DO171" s="179"/>
      <c r="DP171" s="179"/>
      <c r="DQ171" s="774"/>
      <c r="DR171" s="774"/>
      <c r="DS171" s="10"/>
      <c r="DT171" s="774"/>
      <c r="DU171" s="774"/>
      <c r="DV171" s="774"/>
      <c r="DW171" s="774"/>
      <c r="DX171" s="10"/>
      <c r="DY171" s="774"/>
      <c r="DZ171" s="774"/>
      <c r="EA171" s="774"/>
      <c r="EB171" s="774"/>
      <c r="EC171" s="10"/>
      <c r="ED171" s="774"/>
      <c r="EE171" s="774"/>
      <c r="EF171" s="774"/>
      <c r="EG171" s="774"/>
      <c r="EH171" s="10"/>
      <c r="EI171" s="775"/>
      <c r="EJ171" s="179"/>
      <c r="EK171" s="179"/>
      <c r="EL171" s="179"/>
      <c r="EM171" s="10"/>
      <c r="EN171" s="179"/>
      <c r="EO171" s="179"/>
      <c r="EP171" s="179"/>
      <c r="EQ171" s="179"/>
      <c r="ER171" s="10"/>
      <c r="ES171" s="179"/>
      <c r="ET171" s="179"/>
      <c r="EU171" s="179"/>
      <c r="EV171" s="179"/>
      <c r="EW171" s="10"/>
      <c r="EX171" s="179"/>
      <c r="EY171" s="179"/>
      <c r="EZ171" s="179"/>
      <c r="FA171" s="179"/>
      <c r="FB171" s="10"/>
      <c r="FC171" s="179"/>
      <c r="FD171" s="179"/>
      <c r="FE171" s="179"/>
      <c r="FF171" s="179"/>
      <c r="FG171" s="10"/>
    </row>
    <row r="172" ht="12.75" customHeight="1">
      <c r="A172" s="4"/>
      <c r="B172" s="4"/>
      <c r="C172" s="4"/>
      <c r="D172" s="4"/>
      <c r="E172" s="4"/>
      <c r="F172" s="4"/>
      <c r="G172" s="4"/>
      <c r="H172" s="4"/>
      <c r="I172" s="4"/>
      <c r="J172" s="4"/>
      <c r="K172" s="4"/>
      <c r="L172" s="4"/>
      <c r="M172" s="4"/>
      <c r="N172" s="4"/>
      <c r="O172" s="4"/>
      <c r="P172" s="4"/>
      <c r="Q172" s="4"/>
      <c r="R172" s="45"/>
      <c r="S172" s="4"/>
      <c r="T172" s="4"/>
      <c r="U172" s="4"/>
      <c r="V172" s="4"/>
      <c r="W172" s="45"/>
      <c r="X172" s="4"/>
      <c r="Y172" s="4"/>
      <c r="Z172" s="4"/>
      <c r="AA172" s="4"/>
      <c r="AB172" s="45"/>
      <c r="AC172" s="179"/>
      <c r="AD172" s="179"/>
      <c r="AE172" s="179"/>
      <c r="AF172" s="179"/>
      <c r="AG172" s="45"/>
      <c r="AH172" s="4"/>
      <c r="AI172" s="4"/>
      <c r="AJ172" s="4"/>
      <c r="AK172" s="4"/>
      <c r="AL172" s="45"/>
      <c r="AM172" s="179"/>
      <c r="AN172" s="179"/>
      <c r="AO172" s="179"/>
      <c r="AP172" s="179"/>
      <c r="AQ172" s="8"/>
      <c r="AR172" s="179"/>
      <c r="AS172" s="179"/>
      <c r="AT172" s="179"/>
      <c r="AU172" s="179"/>
      <c r="AV172" s="8"/>
      <c r="AW172" s="179"/>
      <c r="AX172" s="179"/>
      <c r="AY172" s="179"/>
      <c r="AZ172" s="179"/>
      <c r="BA172" s="8"/>
      <c r="BB172" s="179"/>
      <c r="BC172" s="179"/>
      <c r="BD172" s="179"/>
      <c r="BE172" s="179"/>
      <c r="BF172" s="8"/>
      <c r="BG172" s="179"/>
      <c r="BH172" s="179"/>
      <c r="BI172" s="179"/>
      <c r="BJ172" s="179"/>
      <c r="BK172" s="8"/>
      <c r="BL172" s="179"/>
      <c r="BM172" s="179"/>
      <c r="BN172" s="179"/>
      <c r="BO172" s="179"/>
      <c r="BP172" s="8"/>
      <c r="BQ172" s="179"/>
      <c r="BR172" s="179"/>
      <c r="BS172" s="179"/>
      <c r="BT172" s="179"/>
      <c r="BU172" s="8"/>
      <c r="BV172" s="179"/>
      <c r="BW172" s="179"/>
      <c r="BX172" s="179"/>
      <c r="BY172" s="179"/>
      <c r="BZ172" s="8"/>
      <c r="CA172" s="179"/>
      <c r="CB172" s="179"/>
      <c r="CC172" s="179"/>
      <c r="CD172" s="179"/>
      <c r="CE172" s="8"/>
      <c r="CF172" s="179"/>
      <c r="CG172" s="179"/>
      <c r="CH172" s="179"/>
      <c r="CI172" s="179"/>
      <c r="CJ172" s="8"/>
      <c r="CK172" s="179"/>
      <c r="CL172" s="179"/>
      <c r="CM172" s="179"/>
      <c r="CN172" s="179"/>
      <c r="CO172" s="8"/>
      <c r="CP172" s="179"/>
      <c r="CQ172" s="179"/>
      <c r="CR172" s="179"/>
      <c r="CS172" s="179"/>
      <c r="CT172" s="8"/>
      <c r="CU172" s="179"/>
      <c r="CV172" s="179"/>
      <c r="CW172" s="179"/>
      <c r="CX172" s="179"/>
      <c r="CY172" s="10"/>
      <c r="CZ172" s="179"/>
      <c r="DA172" s="179"/>
      <c r="DB172" s="179"/>
      <c r="DC172" s="179"/>
      <c r="DD172" s="10"/>
      <c r="DE172" s="179"/>
      <c r="DF172" s="179"/>
      <c r="DG172" s="774"/>
      <c r="DH172" s="179"/>
      <c r="DI172" s="10"/>
      <c r="DJ172" s="774"/>
      <c r="DK172" s="774"/>
      <c r="DL172" s="774"/>
      <c r="DM172" s="179"/>
      <c r="DN172" s="10"/>
      <c r="DO172" s="179"/>
      <c r="DP172" s="179"/>
      <c r="DQ172" s="774"/>
      <c r="DR172" s="774"/>
      <c r="DS172" s="10"/>
      <c r="DT172" s="774"/>
      <c r="DU172" s="774"/>
      <c r="DV172" s="774"/>
      <c r="DW172" s="774"/>
      <c r="DX172" s="10"/>
      <c r="DY172" s="774"/>
      <c r="DZ172" s="774"/>
      <c r="EA172" s="774"/>
      <c r="EB172" s="774"/>
      <c r="EC172" s="10"/>
      <c r="ED172" s="774"/>
      <c r="EE172" s="774"/>
      <c r="EF172" s="774"/>
      <c r="EG172" s="774"/>
      <c r="EH172" s="10"/>
      <c r="EI172" s="775"/>
      <c r="EJ172" s="179"/>
      <c r="EK172" s="179"/>
      <c r="EL172" s="179"/>
      <c r="EM172" s="10"/>
      <c r="EN172" s="179"/>
      <c r="EO172" s="179"/>
      <c r="EP172" s="179"/>
      <c r="EQ172" s="179"/>
      <c r="ER172" s="10"/>
      <c r="ES172" s="179"/>
      <c r="ET172" s="179"/>
      <c r="EU172" s="179"/>
      <c r="EV172" s="179"/>
      <c r="EW172" s="10"/>
      <c r="EX172" s="179"/>
      <c r="EY172" s="179"/>
      <c r="EZ172" s="179"/>
      <c r="FA172" s="179"/>
      <c r="FB172" s="10"/>
      <c r="FC172" s="179"/>
      <c r="FD172" s="179"/>
      <c r="FE172" s="179"/>
      <c r="FF172" s="179"/>
      <c r="FG172" s="10"/>
    </row>
    <row r="173" ht="12.75" customHeight="1">
      <c r="A173" s="4"/>
      <c r="B173" s="4"/>
      <c r="C173" s="4"/>
      <c r="D173" s="4"/>
      <c r="E173" s="4"/>
      <c r="F173" s="4"/>
      <c r="G173" s="4"/>
      <c r="H173" s="4"/>
      <c r="I173" s="4"/>
      <c r="J173" s="4"/>
      <c r="K173" s="4"/>
      <c r="L173" s="4"/>
      <c r="M173" s="4"/>
      <c r="N173" s="4"/>
      <c r="O173" s="4"/>
      <c r="P173" s="4"/>
      <c r="Q173" s="4"/>
      <c r="R173" s="45"/>
      <c r="S173" s="4"/>
      <c r="T173" s="4"/>
      <c r="U173" s="4"/>
      <c r="V173" s="4"/>
      <c r="W173" s="45"/>
      <c r="X173" s="4"/>
      <c r="Y173" s="4"/>
      <c r="Z173" s="4"/>
      <c r="AA173" s="4"/>
      <c r="AB173" s="45"/>
      <c r="AC173" s="179"/>
      <c r="AD173" s="179"/>
      <c r="AE173" s="179"/>
      <c r="AF173" s="179"/>
      <c r="AG173" s="45"/>
      <c r="AH173" s="4"/>
      <c r="AI173" s="4"/>
      <c r="AJ173" s="4"/>
      <c r="AK173" s="4"/>
      <c r="AL173" s="45"/>
      <c r="AM173" s="179"/>
      <c r="AN173" s="179"/>
      <c r="AO173" s="179"/>
      <c r="AP173" s="179"/>
      <c r="AQ173" s="8"/>
      <c r="AR173" s="179"/>
      <c r="AS173" s="179"/>
      <c r="AT173" s="179"/>
      <c r="AU173" s="179"/>
      <c r="AV173" s="8"/>
      <c r="AW173" s="179"/>
      <c r="AX173" s="179"/>
      <c r="AY173" s="179"/>
      <c r="AZ173" s="179"/>
      <c r="BA173" s="8"/>
      <c r="BB173" s="179"/>
      <c r="BC173" s="179"/>
      <c r="BD173" s="179"/>
      <c r="BE173" s="179"/>
      <c r="BF173" s="8"/>
      <c r="BG173" s="179"/>
      <c r="BH173" s="179"/>
      <c r="BI173" s="179"/>
      <c r="BJ173" s="179"/>
      <c r="BK173" s="8"/>
      <c r="BL173" s="179"/>
      <c r="BM173" s="179"/>
      <c r="BN173" s="179"/>
      <c r="BO173" s="179"/>
      <c r="BP173" s="8"/>
      <c r="BQ173" s="179"/>
      <c r="BR173" s="179"/>
      <c r="BS173" s="179"/>
      <c r="BT173" s="179"/>
      <c r="BU173" s="8"/>
      <c r="BV173" s="179"/>
      <c r="BW173" s="179"/>
      <c r="BX173" s="179"/>
      <c r="BY173" s="179"/>
      <c r="BZ173" s="8"/>
      <c r="CA173" s="179"/>
      <c r="CB173" s="179"/>
      <c r="CC173" s="179"/>
      <c r="CD173" s="179"/>
      <c r="CE173" s="8"/>
      <c r="CF173" s="179"/>
      <c r="CG173" s="179"/>
      <c r="CH173" s="179"/>
      <c r="CI173" s="179"/>
      <c r="CJ173" s="8"/>
      <c r="CK173" s="179"/>
      <c r="CL173" s="179"/>
      <c r="CM173" s="179"/>
      <c r="CN173" s="179"/>
      <c r="CO173" s="8"/>
      <c r="CP173" s="179"/>
      <c r="CQ173" s="179"/>
      <c r="CR173" s="179"/>
      <c r="CS173" s="179"/>
      <c r="CT173" s="8"/>
      <c r="CU173" s="179"/>
      <c r="CV173" s="179"/>
      <c r="CW173" s="179"/>
      <c r="CX173" s="179"/>
      <c r="CY173" s="10"/>
      <c r="CZ173" s="179"/>
      <c r="DA173" s="179"/>
      <c r="DB173" s="179"/>
      <c r="DC173" s="179"/>
      <c r="DD173" s="10"/>
      <c r="DE173" s="179"/>
      <c r="DF173" s="179"/>
      <c r="DG173" s="774"/>
      <c r="DH173" s="179"/>
      <c r="DI173" s="10"/>
      <c r="DJ173" s="774"/>
      <c r="DK173" s="774"/>
      <c r="DL173" s="774"/>
      <c r="DM173" s="179"/>
      <c r="DN173" s="10"/>
      <c r="DO173" s="179"/>
      <c r="DP173" s="179"/>
      <c r="DQ173" s="774"/>
      <c r="DR173" s="774"/>
      <c r="DS173" s="10"/>
      <c r="DT173" s="774"/>
      <c r="DU173" s="774"/>
      <c r="DV173" s="774"/>
      <c r="DW173" s="774"/>
      <c r="DX173" s="10"/>
      <c r="DY173" s="774"/>
      <c r="DZ173" s="774"/>
      <c r="EA173" s="774"/>
      <c r="EB173" s="774"/>
      <c r="EC173" s="10"/>
      <c r="ED173" s="774"/>
      <c r="EE173" s="774"/>
      <c r="EF173" s="774"/>
      <c r="EG173" s="774"/>
      <c r="EH173" s="10"/>
      <c r="EI173" s="775"/>
      <c r="EJ173" s="179"/>
      <c r="EK173" s="179"/>
      <c r="EL173" s="179"/>
      <c r="EM173" s="10"/>
      <c r="EN173" s="179"/>
      <c r="EO173" s="179"/>
      <c r="EP173" s="179"/>
      <c r="EQ173" s="179"/>
      <c r="ER173" s="10"/>
      <c r="ES173" s="179"/>
      <c r="ET173" s="179"/>
      <c r="EU173" s="179"/>
      <c r="EV173" s="179"/>
      <c r="EW173" s="10"/>
      <c r="EX173" s="179"/>
      <c r="EY173" s="179"/>
      <c r="EZ173" s="179"/>
      <c r="FA173" s="179"/>
      <c r="FB173" s="10"/>
      <c r="FC173" s="179"/>
      <c r="FD173" s="179"/>
      <c r="FE173" s="179"/>
      <c r="FF173" s="179"/>
      <c r="FG173" s="10"/>
    </row>
    <row r="174" ht="12.75" customHeight="1">
      <c r="A174" s="4"/>
      <c r="B174" s="4"/>
      <c r="C174" s="4"/>
      <c r="D174" s="4"/>
      <c r="E174" s="4"/>
      <c r="F174" s="4"/>
      <c r="G174" s="4"/>
      <c r="H174" s="4"/>
      <c r="I174" s="4"/>
      <c r="J174" s="4"/>
      <c r="K174" s="4"/>
      <c r="L174" s="4"/>
      <c r="M174" s="4"/>
      <c r="N174" s="4"/>
      <c r="O174" s="4"/>
      <c r="P174" s="4"/>
      <c r="Q174" s="4"/>
      <c r="R174" s="45"/>
      <c r="S174" s="4"/>
      <c r="T174" s="4"/>
      <c r="U174" s="4"/>
      <c r="V174" s="4"/>
      <c r="W174" s="45"/>
      <c r="X174" s="4"/>
      <c r="Y174" s="4"/>
      <c r="Z174" s="4"/>
      <c r="AA174" s="4"/>
      <c r="AB174" s="45"/>
      <c r="AC174" s="179"/>
      <c r="AD174" s="179"/>
      <c r="AE174" s="179"/>
      <c r="AF174" s="179"/>
      <c r="AG174" s="45"/>
      <c r="AH174" s="4"/>
      <c r="AI174" s="4"/>
      <c r="AJ174" s="4"/>
      <c r="AK174" s="4"/>
      <c r="AL174" s="45"/>
      <c r="AM174" s="179"/>
      <c r="AN174" s="179"/>
      <c r="AO174" s="179"/>
      <c r="AP174" s="179"/>
      <c r="AQ174" s="8"/>
      <c r="AR174" s="179"/>
      <c r="AS174" s="179"/>
      <c r="AT174" s="179"/>
      <c r="AU174" s="179"/>
      <c r="AV174" s="8"/>
      <c r="AW174" s="179"/>
      <c r="AX174" s="179"/>
      <c r="AY174" s="179"/>
      <c r="AZ174" s="179"/>
      <c r="BA174" s="8"/>
      <c r="BB174" s="179"/>
      <c r="BC174" s="179"/>
      <c r="BD174" s="179"/>
      <c r="BE174" s="179"/>
      <c r="BF174" s="8"/>
      <c r="BG174" s="179"/>
      <c r="BH174" s="179"/>
      <c r="BI174" s="179"/>
      <c r="BJ174" s="179"/>
      <c r="BK174" s="8"/>
      <c r="BL174" s="179"/>
      <c r="BM174" s="179"/>
      <c r="BN174" s="179"/>
      <c r="BO174" s="179"/>
      <c r="BP174" s="8"/>
      <c r="BQ174" s="179"/>
      <c r="BR174" s="179"/>
      <c r="BS174" s="179"/>
      <c r="BT174" s="179"/>
      <c r="BU174" s="8"/>
      <c r="BV174" s="179"/>
      <c r="BW174" s="179"/>
      <c r="BX174" s="179"/>
      <c r="BY174" s="179"/>
      <c r="BZ174" s="8"/>
      <c r="CA174" s="179"/>
      <c r="CB174" s="179"/>
      <c r="CC174" s="179"/>
      <c r="CD174" s="179"/>
      <c r="CE174" s="8"/>
      <c r="CF174" s="179"/>
      <c r="CG174" s="179"/>
      <c r="CH174" s="179"/>
      <c r="CI174" s="179"/>
      <c r="CJ174" s="8"/>
      <c r="CK174" s="179"/>
      <c r="CL174" s="179"/>
      <c r="CM174" s="179"/>
      <c r="CN174" s="179"/>
      <c r="CO174" s="8"/>
      <c r="CP174" s="179"/>
      <c r="CQ174" s="179"/>
      <c r="CR174" s="179"/>
      <c r="CS174" s="179"/>
      <c r="CT174" s="8"/>
      <c r="CU174" s="179"/>
      <c r="CV174" s="179"/>
      <c r="CW174" s="179"/>
      <c r="CX174" s="179"/>
      <c r="CY174" s="10"/>
      <c r="CZ174" s="179"/>
      <c r="DA174" s="179"/>
      <c r="DB174" s="179"/>
      <c r="DC174" s="179"/>
      <c r="DD174" s="10"/>
      <c r="DE174" s="179"/>
      <c r="DF174" s="179"/>
      <c r="DG174" s="774"/>
      <c r="DH174" s="179"/>
      <c r="DI174" s="10"/>
      <c r="DJ174" s="774"/>
      <c r="DK174" s="774"/>
      <c r="DL174" s="774"/>
      <c r="DM174" s="179"/>
      <c r="DN174" s="10"/>
      <c r="DO174" s="179"/>
      <c r="DP174" s="179"/>
      <c r="DQ174" s="774"/>
      <c r="DR174" s="774"/>
      <c r="DS174" s="10"/>
      <c r="DT174" s="774"/>
      <c r="DU174" s="774"/>
      <c r="DV174" s="774"/>
      <c r="DW174" s="774"/>
      <c r="DX174" s="10"/>
      <c r="DY174" s="774"/>
      <c r="DZ174" s="774"/>
      <c r="EA174" s="774"/>
      <c r="EB174" s="774"/>
      <c r="EC174" s="10"/>
      <c r="ED174" s="774"/>
      <c r="EE174" s="774"/>
      <c r="EF174" s="774"/>
      <c r="EG174" s="774"/>
      <c r="EH174" s="10"/>
      <c r="EI174" s="775"/>
      <c r="EJ174" s="179"/>
      <c r="EK174" s="179"/>
      <c r="EL174" s="179"/>
      <c r="EM174" s="10"/>
      <c r="EN174" s="179"/>
      <c r="EO174" s="179"/>
      <c r="EP174" s="179"/>
      <c r="EQ174" s="179"/>
      <c r="ER174" s="10"/>
      <c r="ES174" s="179"/>
      <c r="ET174" s="179"/>
      <c r="EU174" s="179"/>
      <c r="EV174" s="179"/>
      <c r="EW174" s="10"/>
      <c r="EX174" s="179"/>
      <c r="EY174" s="179"/>
      <c r="EZ174" s="179"/>
      <c r="FA174" s="179"/>
      <c r="FB174" s="10"/>
      <c r="FC174" s="179"/>
      <c r="FD174" s="179"/>
      <c r="FE174" s="179"/>
      <c r="FF174" s="179"/>
      <c r="FG174" s="10"/>
    </row>
    <row r="175" ht="12.75" customHeight="1">
      <c r="A175" s="4"/>
      <c r="B175" s="4"/>
      <c r="C175" s="4"/>
      <c r="D175" s="4"/>
      <c r="E175" s="4"/>
      <c r="F175" s="4"/>
      <c r="G175" s="4"/>
      <c r="H175" s="4"/>
      <c r="I175" s="4"/>
      <c r="J175" s="4"/>
      <c r="K175" s="4"/>
      <c r="L175" s="4"/>
      <c r="M175" s="4"/>
      <c r="N175" s="4"/>
      <c r="O175" s="4"/>
      <c r="P175" s="4"/>
      <c r="Q175" s="4"/>
      <c r="R175" s="45"/>
      <c r="S175" s="4"/>
      <c r="T175" s="4"/>
      <c r="U175" s="4"/>
      <c r="V175" s="4"/>
      <c r="W175" s="45"/>
      <c r="X175" s="4"/>
      <c r="Y175" s="4"/>
      <c r="Z175" s="4"/>
      <c r="AA175" s="4"/>
      <c r="AB175" s="45"/>
      <c r="AC175" s="179"/>
      <c r="AD175" s="179"/>
      <c r="AE175" s="179"/>
      <c r="AF175" s="179"/>
      <c r="AG175" s="45"/>
      <c r="AH175" s="4"/>
      <c r="AI175" s="4"/>
      <c r="AJ175" s="4"/>
      <c r="AK175" s="4"/>
      <c r="AL175" s="45"/>
      <c r="AM175" s="179"/>
      <c r="AN175" s="179"/>
      <c r="AO175" s="179"/>
      <c r="AP175" s="179"/>
      <c r="AQ175" s="8"/>
      <c r="AR175" s="179"/>
      <c r="AS175" s="179"/>
      <c r="AT175" s="179"/>
      <c r="AU175" s="179"/>
      <c r="AV175" s="8"/>
      <c r="AW175" s="179"/>
      <c r="AX175" s="179"/>
      <c r="AY175" s="179"/>
      <c r="AZ175" s="179"/>
      <c r="BA175" s="8"/>
      <c r="BB175" s="179"/>
      <c r="BC175" s="179"/>
      <c r="BD175" s="179"/>
      <c r="BE175" s="179"/>
      <c r="BF175" s="8"/>
      <c r="BG175" s="179"/>
      <c r="BH175" s="179"/>
      <c r="BI175" s="179"/>
      <c r="BJ175" s="179"/>
      <c r="BK175" s="8"/>
      <c r="BL175" s="179"/>
      <c r="BM175" s="179"/>
      <c r="BN175" s="179"/>
      <c r="BO175" s="179"/>
      <c r="BP175" s="8"/>
      <c r="BQ175" s="179"/>
      <c r="BR175" s="179"/>
      <c r="BS175" s="179"/>
      <c r="BT175" s="179"/>
      <c r="BU175" s="8"/>
      <c r="BV175" s="179"/>
      <c r="BW175" s="179"/>
      <c r="BX175" s="179"/>
      <c r="BY175" s="179"/>
      <c r="BZ175" s="8"/>
      <c r="CA175" s="179"/>
      <c r="CB175" s="179"/>
      <c r="CC175" s="179"/>
      <c r="CD175" s="179"/>
      <c r="CE175" s="8"/>
      <c r="CF175" s="179"/>
      <c r="CG175" s="179"/>
      <c r="CH175" s="179"/>
      <c r="CI175" s="179"/>
      <c r="CJ175" s="8"/>
      <c r="CK175" s="179"/>
      <c r="CL175" s="179"/>
      <c r="CM175" s="179"/>
      <c r="CN175" s="179"/>
      <c r="CO175" s="8"/>
      <c r="CP175" s="179"/>
      <c r="CQ175" s="179"/>
      <c r="CR175" s="179"/>
      <c r="CS175" s="179"/>
      <c r="CT175" s="8"/>
      <c r="CU175" s="179"/>
      <c r="CV175" s="179"/>
      <c r="CW175" s="179"/>
      <c r="CX175" s="179"/>
      <c r="CY175" s="10"/>
      <c r="CZ175" s="179"/>
      <c r="DA175" s="179"/>
      <c r="DB175" s="179"/>
      <c r="DC175" s="179"/>
      <c r="DD175" s="10"/>
      <c r="DE175" s="179"/>
      <c r="DF175" s="179"/>
      <c r="DG175" s="774"/>
      <c r="DH175" s="179"/>
      <c r="DI175" s="10"/>
      <c r="DJ175" s="774"/>
      <c r="DK175" s="774"/>
      <c r="DL175" s="774"/>
      <c r="DM175" s="179"/>
      <c r="DN175" s="10"/>
      <c r="DO175" s="179"/>
      <c r="DP175" s="179"/>
      <c r="DQ175" s="774"/>
      <c r="DR175" s="774"/>
      <c r="DS175" s="10"/>
      <c r="DT175" s="774"/>
      <c r="DU175" s="774"/>
      <c r="DV175" s="774"/>
      <c r="DW175" s="774"/>
      <c r="DX175" s="10"/>
      <c r="DY175" s="774"/>
      <c r="DZ175" s="774"/>
      <c r="EA175" s="774"/>
      <c r="EB175" s="774"/>
      <c r="EC175" s="10"/>
      <c r="ED175" s="774"/>
      <c r="EE175" s="774"/>
      <c r="EF175" s="774"/>
      <c r="EG175" s="774"/>
      <c r="EH175" s="10"/>
      <c r="EI175" s="775"/>
      <c r="EJ175" s="179"/>
      <c r="EK175" s="179"/>
      <c r="EL175" s="179"/>
      <c r="EM175" s="10"/>
      <c r="EN175" s="179"/>
      <c r="EO175" s="179"/>
      <c r="EP175" s="179"/>
      <c r="EQ175" s="179"/>
      <c r="ER175" s="10"/>
      <c r="ES175" s="179"/>
      <c r="ET175" s="179"/>
      <c r="EU175" s="179"/>
      <c r="EV175" s="179"/>
      <c r="EW175" s="10"/>
      <c r="EX175" s="179"/>
      <c r="EY175" s="179"/>
      <c r="EZ175" s="179"/>
      <c r="FA175" s="179"/>
      <c r="FB175" s="10"/>
      <c r="FC175" s="179"/>
      <c r="FD175" s="179"/>
      <c r="FE175" s="179"/>
      <c r="FF175" s="179"/>
      <c r="FG175" s="10"/>
    </row>
    <row r="176" ht="12.75" customHeight="1">
      <c r="A176" s="4"/>
      <c r="B176" s="4"/>
      <c r="C176" s="4"/>
      <c r="D176" s="4"/>
      <c r="E176" s="4"/>
      <c r="F176" s="4"/>
      <c r="G176" s="4"/>
      <c r="H176" s="4"/>
      <c r="I176" s="4"/>
      <c r="J176" s="4"/>
      <c r="K176" s="4"/>
      <c r="L176" s="4"/>
      <c r="M176" s="4"/>
      <c r="N176" s="4"/>
      <c r="O176" s="4"/>
      <c r="P176" s="4"/>
      <c r="Q176" s="4"/>
      <c r="R176" s="45"/>
      <c r="S176" s="4"/>
      <c r="T176" s="4"/>
      <c r="U176" s="4"/>
      <c r="V176" s="4"/>
      <c r="W176" s="45"/>
      <c r="X176" s="4"/>
      <c r="Y176" s="4"/>
      <c r="Z176" s="4"/>
      <c r="AA176" s="4"/>
      <c r="AB176" s="45"/>
      <c r="AC176" s="179"/>
      <c r="AD176" s="179"/>
      <c r="AE176" s="179"/>
      <c r="AF176" s="179"/>
      <c r="AG176" s="45"/>
      <c r="AH176" s="4"/>
      <c r="AI176" s="4"/>
      <c r="AJ176" s="4"/>
      <c r="AK176" s="4"/>
      <c r="AL176" s="45"/>
      <c r="AM176" s="179"/>
      <c r="AN176" s="179"/>
      <c r="AO176" s="179"/>
      <c r="AP176" s="179"/>
      <c r="AQ176" s="8"/>
      <c r="AR176" s="179"/>
      <c r="AS176" s="179"/>
      <c r="AT176" s="179"/>
      <c r="AU176" s="179"/>
      <c r="AV176" s="8"/>
      <c r="AW176" s="179"/>
      <c r="AX176" s="179"/>
      <c r="AY176" s="179"/>
      <c r="AZ176" s="179"/>
      <c r="BA176" s="8"/>
      <c r="BB176" s="179"/>
      <c r="BC176" s="179"/>
      <c r="BD176" s="179"/>
      <c r="BE176" s="179"/>
      <c r="BF176" s="8"/>
      <c r="BG176" s="179"/>
      <c r="BH176" s="179"/>
      <c r="BI176" s="179"/>
      <c r="BJ176" s="179"/>
      <c r="BK176" s="8"/>
      <c r="BL176" s="179"/>
      <c r="BM176" s="179"/>
      <c r="BN176" s="179"/>
      <c r="BO176" s="179"/>
      <c r="BP176" s="8"/>
      <c r="BQ176" s="179"/>
      <c r="BR176" s="179"/>
      <c r="BS176" s="179"/>
      <c r="BT176" s="179"/>
      <c r="BU176" s="8"/>
      <c r="BV176" s="179"/>
      <c r="BW176" s="179"/>
      <c r="BX176" s="179"/>
      <c r="BY176" s="179"/>
      <c r="BZ176" s="8"/>
      <c r="CA176" s="179"/>
      <c r="CB176" s="179"/>
      <c r="CC176" s="179"/>
      <c r="CD176" s="179"/>
      <c r="CE176" s="8"/>
      <c r="CF176" s="179"/>
      <c r="CG176" s="179"/>
      <c r="CH176" s="179"/>
      <c r="CI176" s="179"/>
      <c r="CJ176" s="8"/>
      <c r="CK176" s="179"/>
      <c r="CL176" s="179"/>
      <c r="CM176" s="179"/>
      <c r="CN176" s="179"/>
      <c r="CO176" s="8"/>
      <c r="CP176" s="179"/>
      <c r="CQ176" s="179"/>
      <c r="CR176" s="179"/>
      <c r="CS176" s="179"/>
      <c r="CT176" s="8"/>
      <c r="CU176" s="179"/>
      <c r="CV176" s="179"/>
      <c r="CW176" s="179"/>
      <c r="CX176" s="179"/>
      <c r="CY176" s="10"/>
      <c r="CZ176" s="179"/>
      <c r="DA176" s="179"/>
      <c r="DB176" s="179"/>
      <c r="DC176" s="179"/>
      <c r="DD176" s="10"/>
      <c r="DE176" s="179"/>
      <c r="DF176" s="179"/>
      <c r="DG176" s="774"/>
      <c r="DH176" s="179"/>
      <c r="DI176" s="10"/>
      <c r="DJ176" s="774"/>
      <c r="DK176" s="774"/>
      <c r="DL176" s="774"/>
      <c r="DM176" s="179"/>
      <c r="DN176" s="10"/>
      <c r="DO176" s="179"/>
      <c r="DP176" s="179"/>
      <c r="DQ176" s="774"/>
      <c r="DR176" s="774"/>
      <c r="DS176" s="10"/>
      <c r="DT176" s="774"/>
      <c r="DU176" s="774"/>
      <c r="DV176" s="774"/>
      <c r="DW176" s="774"/>
      <c r="DX176" s="10"/>
      <c r="DY176" s="774"/>
      <c r="DZ176" s="774"/>
      <c r="EA176" s="774"/>
      <c r="EB176" s="774"/>
      <c r="EC176" s="10"/>
      <c r="ED176" s="774"/>
      <c r="EE176" s="774"/>
      <c r="EF176" s="774"/>
      <c r="EG176" s="774"/>
      <c r="EH176" s="10"/>
      <c r="EI176" s="775"/>
      <c r="EJ176" s="179"/>
      <c r="EK176" s="179"/>
      <c r="EL176" s="179"/>
      <c r="EM176" s="10"/>
      <c r="EN176" s="179"/>
      <c r="EO176" s="179"/>
      <c r="EP176" s="179"/>
      <c r="EQ176" s="179"/>
      <c r="ER176" s="10"/>
      <c r="ES176" s="179"/>
      <c r="ET176" s="179"/>
      <c r="EU176" s="179"/>
      <c r="EV176" s="179"/>
      <c r="EW176" s="10"/>
      <c r="EX176" s="179"/>
      <c r="EY176" s="179"/>
      <c r="EZ176" s="179"/>
      <c r="FA176" s="179"/>
      <c r="FB176" s="10"/>
      <c r="FC176" s="179"/>
      <c r="FD176" s="179"/>
      <c r="FE176" s="179"/>
      <c r="FF176" s="179"/>
      <c r="FG176" s="10"/>
    </row>
    <row r="177" ht="12.75" customHeight="1">
      <c r="A177" s="4"/>
      <c r="B177" s="4"/>
      <c r="C177" s="4"/>
      <c r="D177" s="4"/>
      <c r="E177" s="4"/>
      <c r="F177" s="4"/>
      <c r="G177" s="4"/>
      <c r="H177" s="4"/>
      <c r="I177" s="4"/>
      <c r="J177" s="4"/>
      <c r="K177" s="4"/>
      <c r="L177" s="4"/>
      <c r="M177" s="4"/>
      <c r="N177" s="4"/>
      <c r="O177" s="4"/>
      <c r="P177" s="4"/>
      <c r="Q177" s="4"/>
      <c r="R177" s="45"/>
      <c r="S177" s="4"/>
      <c r="T177" s="4"/>
      <c r="U177" s="4"/>
      <c r="V177" s="4"/>
      <c r="W177" s="45"/>
      <c r="X177" s="4"/>
      <c r="Y177" s="4"/>
      <c r="Z177" s="4"/>
      <c r="AA177" s="4"/>
      <c r="AB177" s="45"/>
      <c r="AC177" s="179"/>
      <c r="AD177" s="179"/>
      <c r="AE177" s="179"/>
      <c r="AF177" s="179"/>
      <c r="AG177" s="45"/>
      <c r="AH177" s="4"/>
      <c r="AI177" s="4"/>
      <c r="AJ177" s="4"/>
      <c r="AK177" s="4"/>
      <c r="AL177" s="45"/>
      <c r="AM177" s="179"/>
      <c r="AN177" s="179"/>
      <c r="AO177" s="179"/>
      <c r="AP177" s="179"/>
      <c r="AQ177" s="8"/>
      <c r="AR177" s="179"/>
      <c r="AS177" s="179"/>
      <c r="AT177" s="179"/>
      <c r="AU177" s="179"/>
      <c r="AV177" s="8"/>
      <c r="AW177" s="179"/>
      <c r="AX177" s="179"/>
      <c r="AY177" s="179"/>
      <c r="AZ177" s="179"/>
      <c r="BA177" s="8"/>
      <c r="BB177" s="179"/>
      <c r="BC177" s="179"/>
      <c r="BD177" s="179"/>
      <c r="BE177" s="179"/>
      <c r="BF177" s="8"/>
      <c r="BG177" s="179"/>
      <c r="BH177" s="179"/>
      <c r="BI177" s="179"/>
      <c r="BJ177" s="179"/>
      <c r="BK177" s="8"/>
      <c r="BL177" s="179"/>
      <c r="BM177" s="179"/>
      <c r="BN177" s="179"/>
      <c r="BO177" s="179"/>
      <c r="BP177" s="8"/>
      <c r="BQ177" s="179"/>
      <c r="BR177" s="179"/>
      <c r="BS177" s="179"/>
      <c r="BT177" s="179"/>
      <c r="BU177" s="8"/>
      <c r="BV177" s="179"/>
      <c r="BW177" s="179"/>
      <c r="BX177" s="179"/>
      <c r="BY177" s="179"/>
      <c r="BZ177" s="8"/>
      <c r="CA177" s="179"/>
      <c r="CB177" s="179"/>
      <c r="CC177" s="179"/>
      <c r="CD177" s="179"/>
      <c r="CE177" s="8"/>
      <c r="CF177" s="179"/>
      <c r="CG177" s="179"/>
      <c r="CH177" s="179"/>
      <c r="CI177" s="179"/>
      <c r="CJ177" s="8"/>
      <c r="CK177" s="179"/>
      <c r="CL177" s="179"/>
      <c r="CM177" s="179"/>
      <c r="CN177" s="179"/>
      <c r="CO177" s="8"/>
      <c r="CP177" s="179"/>
      <c r="CQ177" s="179"/>
      <c r="CR177" s="179"/>
      <c r="CS177" s="179"/>
      <c r="CT177" s="8"/>
      <c r="CU177" s="179"/>
      <c r="CV177" s="179"/>
      <c r="CW177" s="179"/>
      <c r="CX177" s="179"/>
      <c r="CY177" s="10"/>
      <c r="CZ177" s="179"/>
      <c r="DA177" s="179"/>
      <c r="DB177" s="179"/>
      <c r="DC177" s="179"/>
      <c r="DD177" s="10"/>
      <c r="DE177" s="179"/>
      <c r="DF177" s="179"/>
      <c r="DG177" s="774"/>
      <c r="DH177" s="179"/>
      <c r="DI177" s="10"/>
      <c r="DJ177" s="774"/>
      <c r="DK177" s="774"/>
      <c r="DL177" s="774"/>
      <c r="DM177" s="179"/>
      <c r="DN177" s="10"/>
      <c r="DO177" s="179"/>
      <c r="DP177" s="179"/>
      <c r="DQ177" s="774"/>
      <c r="DR177" s="774"/>
      <c r="DS177" s="10"/>
      <c r="DT177" s="774"/>
      <c r="DU177" s="774"/>
      <c r="DV177" s="774"/>
      <c r="DW177" s="774"/>
      <c r="DX177" s="10"/>
      <c r="DY177" s="774"/>
      <c r="DZ177" s="774"/>
      <c r="EA177" s="774"/>
      <c r="EB177" s="774"/>
      <c r="EC177" s="10"/>
      <c r="ED177" s="774"/>
      <c r="EE177" s="774"/>
      <c r="EF177" s="774"/>
      <c r="EG177" s="774"/>
      <c r="EH177" s="10"/>
      <c r="EI177" s="775"/>
      <c r="EJ177" s="179"/>
      <c r="EK177" s="179"/>
      <c r="EL177" s="179"/>
      <c r="EM177" s="10"/>
      <c r="EN177" s="179"/>
      <c r="EO177" s="179"/>
      <c r="EP177" s="179"/>
      <c r="EQ177" s="179"/>
      <c r="ER177" s="10"/>
      <c r="ES177" s="179"/>
      <c r="ET177" s="179"/>
      <c r="EU177" s="179"/>
      <c r="EV177" s="179"/>
      <c r="EW177" s="10"/>
      <c r="EX177" s="179"/>
      <c r="EY177" s="179"/>
      <c r="EZ177" s="179"/>
      <c r="FA177" s="179"/>
      <c r="FB177" s="10"/>
      <c r="FC177" s="179"/>
      <c r="FD177" s="179"/>
      <c r="FE177" s="179"/>
      <c r="FF177" s="179"/>
      <c r="FG177" s="10"/>
    </row>
    <row r="178" ht="12.75" customHeight="1">
      <c r="A178" s="4"/>
      <c r="B178" s="4"/>
      <c r="C178" s="4"/>
      <c r="D178" s="4"/>
      <c r="E178" s="4"/>
      <c r="F178" s="4"/>
      <c r="G178" s="4"/>
      <c r="H178" s="4"/>
      <c r="I178" s="4"/>
      <c r="J178" s="4"/>
      <c r="K178" s="4"/>
      <c r="L178" s="4"/>
      <c r="M178" s="4"/>
      <c r="N178" s="4"/>
      <c r="O178" s="4"/>
      <c r="P178" s="4"/>
      <c r="Q178" s="4"/>
      <c r="R178" s="45"/>
      <c r="S178" s="4"/>
      <c r="T178" s="4"/>
      <c r="U178" s="4"/>
      <c r="V178" s="4"/>
      <c r="W178" s="45"/>
      <c r="X178" s="4"/>
      <c r="Y178" s="4"/>
      <c r="Z178" s="4"/>
      <c r="AA178" s="4"/>
      <c r="AB178" s="45"/>
      <c r="AC178" s="179"/>
      <c r="AD178" s="179"/>
      <c r="AE178" s="179"/>
      <c r="AF178" s="179"/>
      <c r="AG178" s="45"/>
      <c r="AH178" s="4"/>
      <c r="AI178" s="4"/>
      <c r="AJ178" s="4"/>
      <c r="AK178" s="4"/>
      <c r="AL178" s="45"/>
      <c r="AM178" s="179"/>
      <c r="AN178" s="179"/>
      <c r="AO178" s="179"/>
      <c r="AP178" s="179"/>
      <c r="AQ178" s="8"/>
      <c r="AR178" s="179"/>
      <c r="AS178" s="179"/>
      <c r="AT178" s="179"/>
      <c r="AU178" s="179"/>
      <c r="AV178" s="8"/>
      <c r="AW178" s="179"/>
      <c r="AX178" s="179"/>
      <c r="AY178" s="179"/>
      <c r="AZ178" s="179"/>
      <c r="BA178" s="8"/>
      <c r="BB178" s="179"/>
      <c r="BC178" s="179"/>
      <c r="BD178" s="179"/>
      <c r="BE178" s="179"/>
      <c r="BF178" s="8"/>
      <c r="BG178" s="179"/>
      <c r="BH178" s="179"/>
      <c r="BI178" s="179"/>
      <c r="BJ178" s="179"/>
      <c r="BK178" s="8"/>
      <c r="BL178" s="179"/>
      <c r="BM178" s="179"/>
      <c r="BN178" s="179"/>
      <c r="BO178" s="179"/>
      <c r="BP178" s="8"/>
      <c r="BQ178" s="179"/>
      <c r="BR178" s="179"/>
      <c r="BS178" s="179"/>
      <c r="BT178" s="179"/>
      <c r="BU178" s="8"/>
      <c r="BV178" s="179"/>
      <c r="BW178" s="179"/>
      <c r="BX178" s="179"/>
      <c r="BY178" s="179"/>
      <c r="BZ178" s="8"/>
      <c r="CA178" s="179"/>
      <c r="CB178" s="179"/>
      <c r="CC178" s="179"/>
      <c r="CD178" s="179"/>
      <c r="CE178" s="8"/>
      <c r="CF178" s="179"/>
      <c r="CG178" s="179"/>
      <c r="CH178" s="179"/>
      <c r="CI178" s="179"/>
      <c r="CJ178" s="8"/>
      <c r="CK178" s="179"/>
      <c r="CL178" s="179"/>
      <c r="CM178" s="179"/>
      <c r="CN178" s="179"/>
      <c r="CO178" s="8"/>
      <c r="CP178" s="179"/>
      <c r="CQ178" s="179"/>
      <c r="CR178" s="179"/>
      <c r="CS178" s="179"/>
      <c r="CT178" s="8"/>
      <c r="CU178" s="179"/>
      <c r="CV178" s="179"/>
      <c r="CW178" s="179"/>
      <c r="CX178" s="179"/>
      <c r="CY178" s="10"/>
      <c r="CZ178" s="179"/>
      <c r="DA178" s="179"/>
      <c r="DB178" s="179"/>
      <c r="DC178" s="179"/>
      <c r="DD178" s="10"/>
      <c r="DE178" s="179"/>
      <c r="DF178" s="179"/>
      <c r="DG178" s="774"/>
      <c r="DH178" s="179"/>
      <c r="DI178" s="10"/>
      <c r="DJ178" s="774"/>
      <c r="DK178" s="774"/>
      <c r="DL178" s="774"/>
      <c r="DM178" s="179"/>
      <c r="DN178" s="10"/>
      <c r="DO178" s="179"/>
      <c r="DP178" s="179"/>
      <c r="DQ178" s="774"/>
      <c r="DR178" s="774"/>
      <c r="DS178" s="10"/>
      <c r="DT178" s="774"/>
      <c r="DU178" s="774"/>
      <c r="DV178" s="774"/>
      <c r="DW178" s="774"/>
      <c r="DX178" s="10"/>
      <c r="DY178" s="774"/>
      <c r="DZ178" s="774"/>
      <c r="EA178" s="774"/>
      <c r="EB178" s="774"/>
      <c r="EC178" s="10"/>
      <c r="ED178" s="774"/>
      <c r="EE178" s="774"/>
      <c r="EF178" s="774"/>
      <c r="EG178" s="774"/>
      <c r="EH178" s="10"/>
      <c r="EI178" s="775"/>
      <c r="EJ178" s="179"/>
      <c r="EK178" s="179"/>
      <c r="EL178" s="179"/>
      <c r="EM178" s="10"/>
      <c r="EN178" s="179"/>
      <c r="EO178" s="179"/>
      <c r="EP178" s="179"/>
      <c r="EQ178" s="179"/>
      <c r="ER178" s="10"/>
      <c r="ES178" s="179"/>
      <c r="ET178" s="179"/>
      <c r="EU178" s="179"/>
      <c r="EV178" s="179"/>
      <c r="EW178" s="10"/>
      <c r="EX178" s="179"/>
      <c r="EY178" s="179"/>
      <c r="EZ178" s="179"/>
      <c r="FA178" s="179"/>
      <c r="FB178" s="10"/>
      <c r="FC178" s="179"/>
      <c r="FD178" s="179"/>
      <c r="FE178" s="179"/>
      <c r="FF178" s="179"/>
      <c r="FG178" s="10"/>
    </row>
    <row r="179" ht="12.75" customHeight="1">
      <c r="A179" s="4"/>
      <c r="B179" s="4"/>
      <c r="C179" s="4"/>
      <c r="D179" s="4"/>
      <c r="E179" s="4"/>
      <c r="F179" s="4"/>
      <c r="G179" s="4"/>
      <c r="H179" s="4"/>
      <c r="I179" s="4"/>
      <c r="J179" s="4"/>
      <c r="K179" s="4"/>
      <c r="L179" s="4"/>
      <c r="M179" s="4"/>
      <c r="N179" s="4"/>
      <c r="O179" s="4"/>
      <c r="P179" s="4"/>
      <c r="Q179" s="4"/>
      <c r="R179" s="45"/>
      <c r="S179" s="4"/>
      <c r="T179" s="4"/>
      <c r="U179" s="4"/>
      <c r="V179" s="4"/>
      <c r="W179" s="45"/>
      <c r="X179" s="4"/>
      <c r="Y179" s="4"/>
      <c r="Z179" s="4"/>
      <c r="AA179" s="4"/>
      <c r="AB179" s="45"/>
      <c r="AC179" s="179"/>
      <c r="AD179" s="179"/>
      <c r="AE179" s="179"/>
      <c r="AF179" s="179"/>
      <c r="AG179" s="45"/>
      <c r="AH179" s="4"/>
      <c r="AI179" s="4"/>
      <c r="AJ179" s="4"/>
      <c r="AK179" s="4"/>
      <c r="AL179" s="45"/>
      <c r="AM179" s="179"/>
      <c r="AN179" s="179"/>
      <c r="AO179" s="179"/>
      <c r="AP179" s="179"/>
      <c r="AQ179" s="8"/>
      <c r="AR179" s="179"/>
      <c r="AS179" s="179"/>
      <c r="AT179" s="179"/>
      <c r="AU179" s="179"/>
      <c r="AV179" s="8"/>
      <c r="AW179" s="179"/>
      <c r="AX179" s="179"/>
      <c r="AY179" s="179"/>
      <c r="AZ179" s="179"/>
      <c r="BA179" s="8"/>
      <c r="BB179" s="179"/>
      <c r="BC179" s="179"/>
      <c r="BD179" s="179"/>
      <c r="BE179" s="179"/>
      <c r="BF179" s="8"/>
      <c r="BG179" s="179"/>
      <c r="BH179" s="179"/>
      <c r="BI179" s="179"/>
      <c r="BJ179" s="179"/>
      <c r="BK179" s="8"/>
      <c r="BL179" s="179"/>
      <c r="BM179" s="179"/>
      <c r="BN179" s="179"/>
      <c r="BO179" s="179"/>
      <c r="BP179" s="8"/>
      <c r="BQ179" s="179"/>
      <c r="BR179" s="179"/>
      <c r="BS179" s="179"/>
      <c r="BT179" s="179"/>
      <c r="BU179" s="8"/>
      <c r="BV179" s="179"/>
      <c r="BW179" s="179"/>
      <c r="BX179" s="179"/>
      <c r="BY179" s="179"/>
      <c r="BZ179" s="8"/>
      <c r="CA179" s="179"/>
      <c r="CB179" s="179"/>
      <c r="CC179" s="179"/>
      <c r="CD179" s="179"/>
      <c r="CE179" s="8"/>
      <c r="CF179" s="179"/>
      <c r="CG179" s="179"/>
      <c r="CH179" s="179"/>
      <c r="CI179" s="179"/>
      <c r="CJ179" s="8"/>
      <c r="CK179" s="179"/>
      <c r="CL179" s="179"/>
      <c r="CM179" s="179"/>
      <c r="CN179" s="179"/>
      <c r="CO179" s="8"/>
      <c r="CP179" s="179"/>
      <c r="CQ179" s="179"/>
      <c r="CR179" s="179"/>
      <c r="CS179" s="179"/>
      <c r="CT179" s="8"/>
      <c r="CU179" s="179"/>
      <c r="CV179" s="179"/>
      <c r="CW179" s="179"/>
      <c r="CX179" s="179"/>
      <c r="CY179" s="10"/>
      <c r="CZ179" s="179"/>
      <c r="DA179" s="179"/>
      <c r="DB179" s="179"/>
      <c r="DC179" s="179"/>
      <c r="DD179" s="10"/>
      <c r="DE179" s="179"/>
      <c r="DF179" s="179"/>
      <c r="DG179" s="774"/>
      <c r="DH179" s="179"/>
      <c r="DI179" s="10"/>
      <c r="DJ179" s="774"/>
      <c r="DK179" s="774"/>
      <c r="DL179" s="774"/>
      <c r="DM179" s="179"/>
      <c r="DN179" s="10"/>
      <c r="DO179" s="179"/>
      <c r="DP179" s="179"/>
      <c r="DQ179" s="774"/>
      <c r="DR179" s="774"/>
      <c r="DS179" s="10"/>
      <c r="DT179" s="774"/>
      <c r="DU179" s="774"/>
      <c r="DV179" s="774"/>
      <c r="DW179" s="774"/>
      <c r="DX179" s="10"/>
      <c r="DY179" s="774"/>
      <c r="DZ179" s="774"/>
      <c r="EA179" s="774"/>
      <c r="EB179" s="774"/>
      <c r="EC179" s="10"/>
      <c r="ED179" s="774"/>
      <c r="EE179" s="774"/>
      <c r="EF179" s="774"/>
      <c r="EG179" s="774"/>
      <c r="EH179" s="10"/>
      <c r="EI179" s="775"/>
      <c r="EJ179" s="179"/>
      <c r="EK179" s="179"/>
      <c r="EL179" s="179"/>
      <c r="EM179" s="10"/>
      <c r="EN179" s="179"/>
      <c r="EO179" s="179"/>
      <c r="EP179" s="179"/>
      <c r="EQ179" s="179"/>
      <c r="ER179" s="10"/>
      <c r="ES179" s="179"/>
      <c r="ET179" s="179"/>
      <c r="EU179" s="179"/>
      <c r="EV179" s="179"/>
      <c r="EW179" s="10"/>
      <c r="EX179" s="179"/>
      <c r="EY179" s="179"/>
      <c r="EZ179" s="179"/>
      <c r="FA179" s="179"/>
      <c r="FB179" s="10"/>
      <c r="FC179" s="179"/>
      <c r="FD179" s="179"/>
      <c r="FE179" s="179"/>
      <c r="FF179" s="179"/>
      <c r="FG179" s="10"/>
    </row>
    <row r="180" ht="12.75" customHeight="1">
      <c r="A180" s="4"/>
      <c r="B180" s="4"/>
      <c r="C180" s="4"/>
      <c r="D180" s="4"/>
      <c r="E180" s="4"/>
      <c r="F180" s="4"/>
      <c r="G180" s="4"/>
      <c r="H180" s="4"/>
      <c r="I180" s="4"/>
      <c r="J180" s="4"/>
      <c r="K180" s="4"/>
      <c r="L180" s="4"/>
      <c r="M180" s="4"/>
      <c r="N180" s="4"/>
      <c r="O180" s="4"/>
      <c r="P180" s="4"/>
      <c r="Q180" s="4"/>
      <c r="R180" s="45"/>
      <c r="S180" s="4"/>
      <c r="T180" s="4"/>
      <c r="U180" s="4"/>
      <c r="V180" s="4"/>
      <c r="W180" s="45"/>
      <c r="X180" s="4"/>
      <c r="Y180" s="4"/>
      <c r="Z180" s="4"/>
      <c r="AA180" s="4"/>
      <c r="AB180" s="45"/>
      <c r="AC180" s="179"/>
      <c r="AD180" s="179"/>
      <c r="AE180" s="179"/>
      <c r="AF180" s="179"/>
      <c r="AG180" s="45"/>
      <c r="AH180" s="4"/>
      <c r="AI180" s="4"/>
      <c r="AJ180" s="4"/>
      <c r="AK180" s="4"/>
      <c r="AL180" s="45"/>
      <c r="AM180" s="179"/>
      <c r="AN180" s="179"/>
      <c r="AO180" s="179"/>
      <c r="AP180" s="179"/>
      <c r="AQ180" s="8"/>
      <c r="AR180" s="179"/>
      <c r="AS180" s="179"/>
      <c r="AT180" s="179"/>
      <c r="AU180" s="179"/>
      <c r="AV180" s="8"/>
      <c r="AW180" s="179"/>
      <c r="AX180" s="179"/>
      <c r="AY180" s="179"/>
      <c r="AZ180" s="179"/>
      <c r="BA180" s="8"/>
      <c r="BB180" s="179"/>
      <c r="BC180" s="179"/>
      <c r="BD180" s="179"/>
      <c r="BE180" s="179"/>
      <c r="BF180" s="8"/>
      <c r="BG180" s="179"/>
      <c r="BH180" s="179"/>
      <c r="BI180" s="179"/>
      <c r="BJ180" s="179"/>
      <c r="BK180" s="8"/>
      <c r="BL180" s="179"/>
      <c r="BM180" s="179"/>
      <c r="BN180" s="179"/>
      <c r="BO180" s="179"/>
      <c r="BP180" s="8"/>
      <c r="BQ180" s="179"/>
      <c r="BR180" s="179"/>
      <c r="BS180" s="179"/>
      <c r="BT180" s="179"/>
      <c r="BU180" s="8"/>
      <c r="BV180" s="179"/>
      <c r="BW180" s="179"/>
      <c r="BX180" s="179"/>
      <c r="BY180" s="179"/>
      <c r="BZ180" s="8"/>
      <c r="CA180" s="179"/>
      <c r="CB180" s="179"/>
      <c r="CC180" s="179"/>
      <c r="CD180" s="179"/>
      <c r="CE180" s="8"/>
      <c r="CF180" s="179"/>
      <c r="CG180" s="179"/>
      <c r="CH180" s="179"/>
      <c r="CI180" s="179"/>
      <c r="CJ180" s="8"/>
      <c r="CK180" s="179"/>
      <c r="CL180" s="179"/>
      <c r="CM180" s="179"/>
      <c r="CN180" s="179"/>
      <c r="CO180" s="8"/>
      <c r="CP180" s="179"/>
      <c r="CQ180" s="179"/>
      <c r="CR180" s="179"/>
      <c r="CS180" s="179"/>
      <c r="CT180" s="8"/>
      <c r="CU180" s="179"/>
      <c r="CV180" s="179"/>
      <c r="CW180" s="179"/>
      <c r="CX180" s="179"/>
      <c r="CY180" s="10"/>
      <c r="CZ180" s="179"/>
      <c r="DA180" s="179"/>
      <c r="DB180" s="179"/>
      <c r="DC180" s="179"/>
      <c r="DD180" s="10"/>
      <c r="DE180" s="179"/>
      <c r="DF180" s="179"/>
      <c r="DG180" s="774"/>
      <c r="DH180" s="179"/>
      <c r="DI180" s="10"/>
      <c r="DJ180" s="774"/>
      <c r="DK180" s="774"/>
      <c r="DL180" s="774"/>
      <c r="DM180" s="179"/>
      <c r="DN180" s="10"/>
      <c r="DO180" s="179"/>
      <c r="DP180" s="179"/>
      <c r="DQ180" s="774"/>
      <c r="DR180" s="774"/>
      <c r="DS180" s="10"/>
      <c r="DT180" s="774"/>
      <c r="DU180" s="774"/>
      <c r="DV180" s="774"/>
      <c r="DW180" s="774"/>
      <c r="DX180" s="10"/>
      <c r="DY180" s="774"/>
      <c r="DZ180" s="774"/>
      <c r="EA180" s="774"/>
      <c r="EB180" s="774"/>
      <c r="EC180" s="10"/>
      <c r="ED180" s="774"/>
      <c r="EE180" s="774"/>
      <c r="EF180" s="774"/>
      <c r="EG180" s="774"/>
      <c r="EH180" s="10"/>
      <c r="EI180" s="775"/>
      <c r="EJ180" s="179"/>
      <c r="EK180" s="179"/>
      <c r="EL180" s="179"/>
      <c r="EM180" s="10"/>
      <c r="EN180" s="179"/>
      <c r="EO180" s="179"/>
      <c r="EP180" s="179"/>
      <c r="EQ180" s="179"/>
      <c r="ER180" s="10"/>
      <c r="ES180" s="179"/>
      <c r="ET180" s="179"/>
      <c r="EU180" s="179"/>
      <c r="EV180" s="179"/>
      <c r="EW180" s="10"/>
      <c r="EX180" s="179"/>
      <c r="EY180" s="179"/>
      <c r="EZ180" s="179"/>
      <c r="FA180" s="179"/>
      <c r="FB180" s="10"/>
      <c r="FC180" s="179"/>
      <c r="FD180" s="179"/>
      <c r="FE180" s="179"/>
      <c r="FF180" s="179"/>
      <c r="FG180" s="10"/>
    </row>
    <row r="181" ht="12.75" customHeight="1">
      <c r="A181" s="4"/>
      <c r="B181" s="4"/>
      <c r="C181" s="4"/>
      <c r="D181" s="4"/>
      <c r="E181" s="4"/>
      <c r="F181" s="4"/>
      <c r="G181" s="4"/>
      <c r="H181" s="4"/>
      <c r="I181" s="4"/>
      <c r="J181" s="4"/>
      <c r="K181" s="4"/>
      <c r="L181" s="4"/>
      <c r="M181" s="4"/>
      <c r="N181" s="4"/>
      <c r="O181" s="4"/>
      <c r="P181" s="4"/>
      <c r="Q181" s="4"/>
      <c r="R181" s="45"/>
      <c r="S181" s="4"/>
      <c r="T181" s="4"/>
      <c r="U181" s="4"/>
      <c r="V181" s="4"/>
      <c r="W181" s="45"/>
      <c r="X181" s="4"/>
      <c r="Y181" s="4"/>
      <c r="Z181" s="4"/>
      <c r="AA181" s="4"/>
      <c r="AB181" s="45"/>
      <c r="AC181" s="179"/>
      <c r="AD181" s="179"/>
      <c r="AE181" s="179"/>
      <c r="AF181" s="179"/>
      <c r="AG181" s="45"/>
      <c r="AH181" s="4"/>
      <c r="AI181" s="4"/>
      <c r="AJ181" s="4"/>
      <c r="AK181" s="4"/>
      <c r="AL181" s="45"/>
      <c r="AM181" s="179"/>
      <c r="AN181" s="179"/>
      <c r="AO181" s="179"/>
      <c r="AP181" s="179"/>
      <c r="AQ181" s="8"/>
      <c r="AR181" s="179"/>
      <c r="AS181" s="179"/>
      <c r="AT181" s="179"/>
      <c r="AU181" s="179"/>
      <c r="AV181" s="8"/>
      <c r="AW181" s="179"/>
      <c r="AX181" s="179"/>
      <c r="AY181" s="179"/>
      <c r="AZ181" s="179"/>
      <c r="BA181" s="8"/>
      <c r="BB181" s="179"/>
      <c r="BC181" s="179"/>
      <c r="BD181" s="179"/>
      <c r="BE181" s="179"/>
      <c r="BF181" s="8"/>
      <c r="BG181" s="179"/>
      <c r="BH181" s="179"/>
      <c r="BI181" s="179"/>
      <c r="BJ181" s="179"/>
      <c r="BK181" s="8"/>
      <c r="BL181" s="179"/>
      <c r="BM181" s="179"/>
      <c r="BN181" s="179"/>
      <c r="BO181" s="179"/>
      <c r="BP181" s="8"/>
      <c r="BQ181" s="179"/>
      <c r="BR181" s="179"/>
      <c r="BS181" s="179"/>
      <c r="BT181" s="179"/>
      <c r="BU181" s="8"/>
      <c r="BV181" s="179"/>
      <c r="BW181" s="179"/>
      <c r="BX181" s="179"/>
      <c r="BY181" s="179"/>
      <c r="BZ181" s="8"/>
      <c r="CA181" s="179"/>
      <c r="CB181" s="179"/>
      <c r="CC181" s="179"/>
      <c r="CD181" s="179"/>
      <c r="CE181" s="8"/>
      <c r="CF181" s="179"/>
      <c r="CG181" s="179"/>
      <c r="CH181" s="179"/>
      <c r="CI181" s="179"/>
      <c r="CJ181" s="8"/>
      <c r="CK181" s="179"/>
      <c r="CL181" s="179"/>
      <c r="CM181" s="179"/>
      <c r="CN181" s="179"/>
      <c r="CO181" s="8"/>
      <c r="CP181" s="179"/>
      <c r="CQ181" s="179"/>
      <c r="CR181" s="179"/>
      <c r="CS181" s="179"/>
      <c r="CT181" s="8"/>
      <c r="CU181" s="179"/>
      <c r="CV181" s="179"/>
      <c r="CW181" s="179"/>
      <c r="CX181" s="179"/>
      <c r="CY181" s="10"/>
      <c r="CZ181" s="179"/>
      <c r="DA181" s="179"/>
      <c r="DB181" s="179"/>
      <c r="DC181" s="179"/>
      <c r="DD181" s="10"/>
      <c r="DE181" s="179"/>
      <c r="DF181" s="179"/>
      <c r="DG181" s="774"/>
      <c r="DH181" s="179"/>
      <c r="DI181" s="10"/>
      <c r="DJ181" s="774"/>
      <c r="DK181" s="774"/>
      <c r="DL181" s="774"/>
      <c r="DM181" s="179"/>
      <c r="DN181" s="10"/>
      <c r="DO181" s="179"/>
      <c r="DP181" s="179"/>
      <c r="DQ181" s="774"/>
      <c r="DR181" s="774"/>
      <c r="DS181" s="10"/>
      <c r="DT181" s="774"/>
      <c r="DU181" s="774"/>
      <c r="DV181" s="774"/>
      <c r="DW181" s="774"/>
      <c r="DX181" s="10"/>
      <c r="DY181" s="774"/>
      <c r="DZ181" s="774"/>
      <c r="EA181" s="774"/>
      <c r="EB181" s="774"/>
      <c r="EC181" s="10"/>
      <c r="ED181" s="774"/>
      <c r="EE181" s="774"/>
      <c r="EF181" s="774"/>
      <c r="EG181" s="774"/>
      <c r="EH181" s="10"/>
      <c r="EI181" s="775"/>
      <c r="EJ181" s="179"/>
      <c r="EK181" s="179"/>
      <c r="EL181" s="179"/>
      <c r="EM181" s="10"/>
      <c r="EN181" s="179"/>
      <c r="EO181" s="179"/>
      <c r="EP181" s="179"/>
      <c r="EQ181" s="179"/>
      <c r="ER181" s="10"/>
      <c r="ES181" s="179"/>
      <c r="ET181" s="179"/>
      <c r="EU181" s="179"/>
      <c r="EV181" s="179"/>
      <c r="EW181" s="10"/>
      <c r="EX181" s="179"/>
      <c r="EY181" s="179"/>
      <c r="EZ181" s="179"/>
      <c r="FA181" s="179"/>
      <c r="FB181" s="10"/>
      <c r="FC181" s="179"/>
      <c r="FD181" s="179"/>
      <c r="FE181" s="179"/>
      <c r="FF181" s="179"/>
      <c r="FG181" s="10"/>
    </row>
    <row r="182" ht="12.75" customHeight="1">
      <c r="A182" s="4"/>
      <c r="B182" s="4"/>
      <c r="C182" s="4"/>
      <c r="D182" s="4"/>
      <c r="E182" s="4"/>
      <c r="F182" s="4"/>
      <c r="G182" s="4"/>
      <c r="H182" s="4"/>
      <c r="I182" s="4"/>
      <c r="J182" s="4"/>
      <c r="K182" s="4"/>
      <c r="L182" s="4"/>
      <c r="M182" s="4"/>
      <c r="N182" s="4"/>
      <c r="O182" s="4"/>
      <c r="P182" s="4"/>
      <c r="Q182" s="4"/>
      <c r="R182" s="45"/>
      <c r="S182" s="4"/>
      <c r="T182" s="4"/>
      <c r="U182" s="4"/>
      <c r="V182" s="4"/>
      <c r="W182" s="45"/>
      <c r="X182" s="4"/>
      <c r="Y182" s="4"/>
      <c r="Z182" s="4"/>
      <c r="AA182" s="4"/>
      <c r="AB182" s="45"/>
      <c r="AC182" s="179"/>
      <c r="AD182" s="179"/>
      <c r="AE182" s="179"/>
      <c r="AF182" s="179"/>
      <c r="AG182" s="45"/>
      <c r="AH182" s="4"/>
      <c r="AI182" s="4"/>
      <c r="AJ182" s="4"/>
      <c r="AK182" s="4"/>
      <c r="AL182" s="45"/>
      <c r="AM182" s="179"/>
      <c r="AN182" s="179"/>
      <c r="AO182" s="179"/>
      <c r="AP182" s="179"/>
      <c r="AQ182" s="8"/>
      <c r="AR182" s="179"/>
      <c r="AS182" s="179"/>
      <c r="AT182" s="179"/>
      <c r="AU182" s="179"/>
      <c r="AV182" s="8"/>
      <c r="AW182" s="179"/>
      <c r="AX182" s="179"/>
      <c r="AY182" s="179"/>
      <c r="AZ182" s="179"/>
      <c r="BA182" s="8"/>
      <c r="BB182" s="179"/>
      <c r="BC182" s="179"/>
      <c r="BD182" s="179"/>
      <c r="BE182" s="179"/>
      <c r="BF182" s="8"/>
      <c r="BG182" s="179"/>
      <c r="BH182" s="179"/>
      <c r="BI182" s="179"/>
      <c r="BJ182" s="179"/>
      <c r="BK182" s="8"/>
      <c r="BL182" s="179"/>
      <c r="BM182" s="179"/>
      <c r="BN182" s="179"/>
      <c r="BO182" s="179"/>
      <c r="BP182" s="8"/>
      <c r="BQ182" s="179"/>
      <c r="BR182" s="179"/>
      <c r="BS182" s="179"/>
      <c r="BT182" s="179"/>
      <c r="BU182" s="8"/>
      <c r="BV182" s="179"/>
      <c r="BW182" s="179"/>
      <c r="BX182" s="179"/>
      <c r="BY182" s="179"/>
      <c r="BZ182" s="8"/>
      <c r="CA182" s="179"/>
      <c r="CB182" s="179"/>
      <c r="CC182" s="179"/>
      <c r="CD182" s="179"/>
      <c r="CE182" s="8"/>
      <c r="CF182" s="179"/>
      <c r="CG182" s="179"/>
      <c r="CH182" s="179"/>
      <c r="CI182" s="179"/>
      <c r="CJ182" s="8"/>
      <c r="CK182" s="179"/>
      <c r="CL182" s="179"/>
      <c r="CM182" s="179"/>
      <c r="CN182" s="179"/>
      <c r="CO182" s="8"/>
      <c r="CP182" s="179"/>
      <c r="CQ182" s="179"/>
      <c r="CR182" s="179"/>
      <c r="CS182" s="179"/>
      <c r="CT182" s="8"/>
      <c r="CU182" s="179"/>
      <c r="CV182" s="179"/>
      <c r="CW182" s="179"/>
      <c r="CX182" s="179"/>
      <c r="CY182" s="10"/>
      <c r="CZ182" s="179"/>
      <c r="DA182" s="179"/>
      <c r="DB182" s="179"/>
      <c r="DC182" s="179"/>
      <c r="DD182" s="10"/>
      <c r="DE182" s="179"/>
      <c r="DF182" s="179"/>
      <c r="DG182" s="774"/>
      <c r="DH182" s="179"/>
      <c r="DI182" s="10"/>
      <c r="DJ182" s="774"/>
      <c r="DK182" s="774"/>
      <c r="DL182" s="774"/>
      <c r="DM182" s="179"/>
      <c r="DN182" s="10"/>
      <c r="DO182" s="179"/>
      <c r="DP182" s="179"/>
      <c r="DQ182" s="774"/>
      <c r="DR182" s="774"/>
      <c r="DS182" s="10"/>
      <c r="DT182" s="774"/>
      <c r="DU182" s="774"/>
      <c r="DV182" s="774"/>
      <c r="DW182" s="774"/>
      <c r="DX182" s="10"/>
      <c r="DY182" s="774"/>
      <c r="DZ182" s="774"/>
      <c r="EA182" s="774"/>
      <c r="EB182" s="774"/>
      <c r="EC182" s="10"/>
      <c r="ED182" s="774"/>
      <c r="EE182" s="774"/>
      <c r="EF182" s="774"/>
      <c r="EG182" s="774"/>
      <c r="EH182" s="10"/>
      <c r="EI182" s="775"/>
      <c r="EJ182" s="179"/>
      <c r="EK182" s="179"/>
      <c r="EL182" s="179"/>
      <c r="EM182" s="10"/>
      <c r="EN182" s="179"/>
      <c r="EO182" s="179"/>
      <c r="EP182" s="179"/>
      <c r="EQ182" s="179"/>
      <c r="ER182" s="10"/>
      <c r="ES182" s="179"/>
      <c r="ET182" s="179"/>
      <c r="EU182" s="179"/>
      <c r="EV182" s="179"/>
      <c r="EW182" s="10"/>
      <c r="EX182" s="179"/>
      <c r="EY182" s="179"/>
      <c r="EZ182" s="179"/>
      <c r="FA182" s="179"/>
      <c r="FB182" s="10"/>
      <c r="FC182" s="179"/>
      <c r="FD182" s="179"/>
      <c r="FE182" s="179"/>
      <c r="FF182" s="179"/>
      <c r="FG182" s="10"/>
    </row>
    <row r="183" ht="12.75" customHeight="1">
      <c r="A183" s="4"/>
      <c r="B183" s="4"/>
      <c r="C183" s="4"/>
      <c r="D183" s="4"/>
      <c r="E183" s="4"/>
      <c r="F183" s="4"/>
      <c r="G183" s="4"/>
      <c r="H183" s="4"/>
      <c r="I183" s="4"/>
      <c r="J183" s="4"/>
      <c r="K183" s="4"/>
      <c r="L183" s="4"/>
      <c r="M183" s="4"/>
      <c r="N183" s="4"/>
      <c r="O183" s="4"/>
      <c r="P183" s="4"/>
      <c r="Q183" s="4"/>
      <c r="R183" s="45"/>
      <c r="S183" s="4"/>
      <c r="T183" s="4"/>
      <c r="U183" s="4"/>
      <c r="V183" s="4"/>
      <c r="W183" s="45"/>
      <c r="X183" s="4"/>
      <c r="Y183" s="4"/>
      <c r="Z183" s="4"/>
      <c r="AA183" s="4"/>
      <c r="AB183" s="45"/>
      <c r="AC183" s="179"/>
      <c r="AD183" s="179"/>
      <c r="AE183" s="179"/>
      <c r="AF183" s="179"/>
      <c r="AG183" s="45"/>
      <c r="AH183" s="4"/>
      <c r="AI183" s="4"/>
      <c r="AJ183" s="4"/>
      <c r="AK183" s="4"/>
      <c r="AL183" s="45"/>
      <c r="AM183" s="179"/>
      <c r="AN183" s="179"/>
      <c r="AO183" s="179"/>
      <c r="AP183" s="179"/>
      <c r="AQ183" s="8"/>
      <c r="AR183" s="179"/>
      <c r="AS183" s="179"/>
      <c r="AT183" s="179"/>
      <c r="AU183" s="179"/>
      <c r="AV183" s="8"/>
      <c r="AW183" s="179"/>
      <c r="AX183" s="179"/>
      <c r="AY183" s="179"/>
      <c r="AZ183" s="179"/>
      <c r="BA183" s="8"/>
      <c r="BB183" s="179"/>
      <c r="BC183" s="179"/>
      <c r="BD183" s="179"/>
      <c r="BE183" s="179"/>
      <c r="BF183" s="8"/>
      <c r="BG183" s="179"/>
      <c r="BH183" s="179"/>
      <c r="BI183" s="179"/>
      <c r="BJ183" s="179"/>
      <c r="BK183" s="8"/>
      <c r="BL183" s="179"/>
      <c r="BM183" s="179"/>
      <c r="BN183" s="179"/>
      <c r="BO183" s="179"/>
      <c r="BP183" s="8"/>
      <c r="BQ183" s="179"/>
      <c r="BR183" s="179"/>
      <c r="BS183" s="179"/>
      <c r="BT183" s="179"/>
      <c r="BU183" s="8"/>
      <c r="BV183" s="179"/>
      <c r="BW183" s="179"/>
      <c r="BX183" s="179"/>
      <c r="BY183" s="179"/>
      <c r="BZ183" s="8"/>
      <c r="CA183" s="179"/>
      <c r="CB183" s="179"/>
      <c r="CC183" s="179"/>
      <c r="CD183" s="179"/>
      <c r="CE183" s="8"/>
      <c r="CF183" s="179"/>
      <c r="CG183" s="179"/>
      <c r="CH183" s="179"/>
      <c r="CI183" s="179"/>
      <c r="CJ183" s="8"/>
      <c r="CK183" s="179"/>
      <c r="CL183" s="179"/>
      <c r="CM183" s="179"/>
      <c r="CN183" s="179"/>
      <c r="CO183" s="8"/>
      <c r="CP183" s="179"/>
      <c r="CQ183" s="179"/>
      <c r="CR183" s="179"/>
      <c r="CS183" s="179"/>
      <c r="CT183" s="8"/>
      <c r="CU183" s="179"/>
      <c r="CV183" s="179"/>
      <c r="CW183" s="179"/>
      <c r="CX183" s="179"/>
      <c r="CY183" s="10"/>
      <c r="CZ183" s="179"/>
      <c r="DA183" s="179"/>
      <c r="DB183" s="179"/>
      <c r="DC183" s="179"/>
      <c r="DD183" s="10"/>
      <c r="DE183" s="179"/>
      <c r="DF183" s="179"/>
      <c r="DG183" s="774"/>
      <c r="DH183" s="179"/>
      <c r="DI183" s="10"/>
      <c r="DJ183" s="774"/>
      <c r="DK183" s="774"/>
      <c r="DL183" s="774"/>
      <c r="DM183" s="179"/>
      <c r="DN183" s="10"/>
      <c r="DO183" s="179"/>
      <c r="DP183" s="179"/>
      <c r="DQ183" s="774"/>
      <c r="DR183" s="774"/>
      <c r="DS183" s="10"/>
      <c r="DT183" s="774"/>
      <c r="DU183" s="774"/>
      <c r="DV183" s="774"/>
      <c r="DW183" s="774"/>
      <c r="DX183" s="10"/>
      <c r="DY183" s="774"/>
      <c r="DZ183" s="774"/>
      <c r="EA183" s="774"/>
      <c r="EB183" s="774"/>
      <c r="EC183" s="10"/>
      <c r="ED183" s="774"/>
      <c r="EE183" s="774"/>
      <c r="EF183" s="774"/>
      <c r="EG183" s="774"/>
      <c r="EH183" s="10"/>
      <c r="EI183" s="775"/>
      <c r="EJ183" s="179"/>
      <c r="EK183" s="179"/>
      <c r="EL183" s="179"/>
      <c r="EM183" s="10"/>
      <c r="EN183" s="179"/>
      <c r="EO183" s="179"/>
      <c r="EP183" s="179"/>
      <c r="EQ183" s="179"/>
      <c r="ER183" s="10"/>
      <c r="ES183" s="179"/>
      <c r="ET183" s="179"/>
      <c r="EU183" s="179"/>
      <c r="EV183" s="179"/>
      <c r="EW183" s="10"/>
      <c r="EX183" s="179"/>
      <c r="EY183" s="179"/>
      <c r="EZ183" s="179"/>
      <c r="FA183" s="179"/>
      <c r="FB183" s="10"/>
      <c r="FC183" s="179"/>
      <c r="FD183" s="179"/>
      <c r="FE183" s="179"/>
      <c r="FF183" s="179"/>
      <c r="FG183" s="10"/>
    </row>
    <row r="184" ht="12.75" customHeight="1">
      <c r="A184" s="4"/>
      <c r="B184" s="4"/>
      <c r="C184" s="4"/>
      <c r="D184" s="4"/>
      <c r="E184" s="4"/>
      <c r="F184" s="4"/>
      <c r="G184" s="4"/>
      <c r="H184" s="4"/>
      <c r="I184" s="4"/>
      <c r="J184" s="4"/>
      <c r="K184" s="4"/>
      <c r="L184" s="4"/>
      <c r="M184" s="4"/>
      <c r="N184" s="4"/>
      <c r="O184" s="4"/>
      <c r="P184" s="4"/>
      <c r="Q184" s="4"/>
      <c r="R184" s="45"/>
      <c r="S184" s="4"/>
      <c r="T184" s="4"/>
      <c r="U184" s="4"/>
      <c r="V184" s="4"/>
      <c r="W184" s="45"/>
      <c r="X184" s="4"/>
      <c r="Y184" s="4"/>
      <c r="Z184" s="4"/>
      <c r="AA184" s="4"/>
      <c r="AB184" s="45"/>
      <c r="AC184" s="179"/>
      <c r="AD184" s="179"/>
      <c r="AE184" s="179"/>
      <c r="AF184" s="179"/>
      <c r="AG184" s="45"/>
      <c r="AH184" s="4"/>
      <c r="AI184" s="4"/>
      <c r="AJ184" s="4"/>
      <c r="AK184" s="4"/>
      <c r="AL184" s="45"/>
      <c r="AM184" s="179"/>
      <c r="AN184" s="179"/>
      <c r="AO184" s="179"/>
      <c r="AP184" s="179"/>
      <c r="AQ184" s="8"/>
      <c r="AR184" s="179"/>
      <c r="AS184" s="179"/>
      <c r="AT184" s="179"/>
      <c r="AU184" s="179"/>
      <c r="AV184" s="8"/>
      <c r="AW184" s="179"/>
      <c r="AX184" s="179"/>
      <c r="AY184" s="179"/>
      <c r="AZ184" s="179"/>
      <c r="BA184" s="8"/>
      <c r="BB184" s="179"/>
      <c r="BC184" s="179"/>
      <c r="BD184" s="179"/>
      <c r="BE184" s="179"/>
      <c r="BF184" s="8"/>
      <c r="BG184" s="179"/>
      <c r="BH184" s="179"/>
      <c r="BI184" s="179"/>
      <c r="BJ184" s="179"/>
      <c r="BK184" s="8"/>
      <c r="BL184" s="179"/>
      <c r="BM184" s="179"/>
      <c r="BN184" s="179"/>
      <c r="BO184" s="179"/>
      <c r="BP184" s="8"/>
      <c r="BQ184" s="179"/>
      <c r="BR184" s="179"/>
      <c r="BS184" s="179"/>
      <c r="BT184" s="179"/>
      <c r="BU184" s="8"/>
      <c r="BV184" s="179"/>
      <c r="BW184" s="179"/>
      <c r="BX184" s="179"/>
      <c r="BY184" s="179"/>
      <c r="BZ184" s="8"/>
      <c r="CA184" s="179"/>
      <c r="CB184" s="179"/>
      <c r="CC184" s="179"/>
      <c r="CD184" s="179"/>
      <c r="CE184" s="8"/>
      <c r="CF184" s="179"/>
      <c r="CG184" s="179"/>
      <c r="CH184" s="179"/>
      <c r="CI184" s="179"/>
      <c r="CJ184" s="8"/>
      <c r="CK184" s="179"/>
      <c r="CL184" s="179"/>
      <c r="CM184" s="179"/>
      <c r="CN184" s="179"/>
      <c r="CO184" s="8"/>
      <c r="CP184" s="179"/>
      <c r="CQ184" s="179"/>
      <c r="CR184" s="179"/>
      <c r="CS184" s="179"/>
      <c r="CT184" s="8"/>
      <c r="CU184" s="179"/>
      <c r="CV184" s="179"/>
      <c r="CW184" s="179"/>
      <c r="CX184" s="179"/>
      <c r="CY184" s="10"/>
      <c r="CZ184" s="179"/>
      <c r="DA184" s="179"/>
      <c r="DB184" s="179"/>
      <c r="DC184" s="179"/>
      <c r="DD184" s="10"/>
      <c r="DE184" s="179"/>
      <c r="DF184" s="179"/>
      <c r="DG184" s="774"/>
      <c r="DH184" s="179"/>
      <c r="DI184" s="10"/>
      <c r="DJ184" s="774"/>
      <c r="DK184" s="774"/>
      <c r="DL184" s="774"/>
      <c r="DM184" s="179"/>
      <c r="DN184" s="10"/>
      <c r="DO184" s="179"/>
      <c r="DP184" s="179"/>
      <c r="DQ184" s="774"/>
      <c r="DR184" s="774"/>
      <c r="DS184" s="10"/>
      <c r="DT184" s="774"/>
      <c r="DU184" s="774"/>
      <c r="DV184" s="774"/>
      <c r="DW184" s="774"/>
      <c r="DX184" s="10"/>
      <c r="DY184" s="774"/>
      <c r="DZ184" s="774"/>
      <c r="EA184" s="774"/>
      <c r="EB184" s="774"/>
      <c r="EC184" s="10"/>
      <c r="ED184" s="774"/>
      <c r="EE184" s="774"/>
      <c r="EF184" s="774"/>
      <c r="EG184" s="774"/>
      <c r="EH184" s="10"/>
      <c r="EI184" s="775"/>
      <c r="EJ184" s="179"/>
      <c r="EK184" s="179"/>
      <c r="EL184" s="179"/>
      <c r="EM184" s="10"/>
      <c r="EN184" s="179"/>
      <c r="EO184" s="179"/>
      <c r="EP184" s="179"/>
      <c r="EQ184" s="179"/>
      <c r="ER184" s="10"/>
      <c r="ES184" s="179"/>
      <c r="ET184" s="179"/>
      <c r="EU184" s="179"/>
      <c r="EV184" s="179"/>
      <c r="EW184" s="10"/>
      <c r="EX184" s="179"/>
      <c r="EY184" s="179"/>
      <c r="EZ184" s="179"/>
      <c r="FA184" s="179"/>
      <c r="FB184" s="10"/>
      <c r="FC184" s="179"/>
      <c r="FD184" s="179"/>
      <c r="FE184" s="179"/>
      <c r="FF184" s="179"/>
      <c r="FG184" s="10"/>
    </row>
    <row r="185" ht="12.75" customHeight="1">
      <c r="A185" s="4"/>
      <c r="B185" s="4"/>
      <c r="C185" s="4"/>
      <c r="D185" s="4"/>
      <c r="E185" s="4"/>
      <c r="F185" s="4"/>
      <c r="G185" s="4"/>
      <c r="H185" s="4"/>
      <c r="I185" s="4"/>
      <c r="J185" s="4"/>
      <c r="K185" s="4"/>
      <c r="L185" s="4"/>
      <c r="M185" s="4"/>
      <c r="N185" s="4"/>
      <c r="O185" s="4"/>
      <c r="P185" s="4"/>
      <c r="Q185" s="4"/>
      <c r="R185" s="45"/>
      <c r="S185" s="4"/>
      <c r="T185" s="4"/>
      <c r="U185" s="4"/>
      <c r="V185" s="4"/>
      <c r="W185" s="45"/>
      <c r="X185" s="4"/>
      <c r="Y185" s="4"/>
      <c r="Z185" s="4"/>
      <c r="AA185" s="4"/>
      <c r="AB185" s="45"/>
      <c r="AC185" s="179"/>
      <c r="AD185" s="179"/>
      <c r="AE185" s="179"/>
      <c r="AF185" s="179"/>
      <c r="AG185" s="45"/>
      <c r="AH185" s="4"/>
      <c r="AI185" s="4"/>
      <c r="AJ185" s="4"/>
      <c r="AK185" s="4"/>
      <c r="AL185" s="45"/>
      <c r="AM185" s="179"/>
      <c r="AN185" s="179"/>
      <c r="AO185" s="179"/>
      <c r="AP185" s="179"/>
      <c r="AQ185" s="8"/>
      <c r="AR185" s="179"/>
      <c r="AS185" s="179"/>
      <c r="AT185" s="179"/>
      <c r="AU185" s="179"/>
      <c r="AV185" s="8"/>
      <c r="AW185" s="179"/>
      <c r="AX185" s="179"/>
      <c r="AY185" s="179"/>
      <c r="AZ185" s="179"/>
      <c r="BA185" s="8"/>
      <c r="BB185" s="179"/>
      <c r="BC185" s="179"/>
      <c r="BD185" s="179"/>
      <c r="BE185" s="179"/>
      <c r="BF185" s="8"/>
      <c r="BG185" s="179"/>
      <c r="BH185" s="179"/>
      <c r="BI185" s="179"/>
      <c r="BJ185" s="179"/>
      <c r="BK185" s="8"/>
      <c r="BL185" s="179"/>
      <c r="BM185" s="179"/>
      <c r="BN185" s="179"/>
      <c r="BO185" s="179"/>
      <c r="BP185" s="8"/>
      <c r="BQ185" s="179"/>
      <c r="BR185" s="179"/>
      <c r="BS185" s="179"/>
      <c r="BT185" s="179"/>
      <c r="BU185" s="8"/>
      <c r="BV185" s="179"/>
      <c r="BW185" s="179"/>
      <c r="BX185" s="179"/>
      <c r="BY185" s="179"/>
      <c r="BZ185" s="8"/>
      <c r="CA185" s="179"/>
      <c r="CB185" s="179"/>
      <c r="CC185" s="179"/>
      <c r="CD185" s="179"/>
      <c r="CE185" s="8"/>
      <c r="CF185" s="179"/>
      <c r="CG185" s="179"/>
      <c r="CH185" s="179"/>
      <c r="CI185" s="179"/>
      <c r="CJ185" s="8"/>
      <c r="CK185" s="179"/>
      <c r="CL185" s="179"/>
      <c r="CM185" s="179"/>
      <c r="CN185" s="179"/>
      <c r="CO185" s="8"/>
      <c r="CP185" s="179"/>
      <c r="CQ185" s="179"/>
      <c r="CR185" s="179"/>
      <c r="CS185" s="179"/>
      <c r="CT185" s="8"/>
      <c r="CU185" s="179"/>
      <c r="CV185" s="179"/>
      <c r="CW185" s="179"/>
      <c r="CX185" s="179"/>
      <c r="CY185" s="10"/>
      <c r="CZ185" s="179"/>
      <c r="DA185" s="179"/>
      <c r="DB185" s="179"/>
      <c r="DC185" s="179"/>
      <c r="DD185" s="10"/>
      <c r="DE185" s="179"/>
      <c r="DF185" s="179"/>
      <c r="DG185" s="774"/>
      <c r="DH185" s="179"/>
      <c r="DI185" s="10"/>
      <c r="DJ185" s="774"/>
      <c r="DK185" s="774"/>
      <c r="DL185" s="774"/>
      <c r="DM185" s="179"/>
      <c r="DN185" s="10"/>
      <c r="DO185" s="179"/>
      <c r="DP185" s="179"/>
      <c r="DQ185" s="774"/>
      <c r="DR185" s="774"/>
      <c r="DS185" s="10"/>
      <c r="DT185" s="774"/>
      <c r="DU185" s="774"/>
      <c r="DV185" s="774"/>
      <c r="DW185" s="774"/>
      <c r="DX185" s="10"/>
      <c r="DY185" s="774"/>
      <c r="DZ185" s="774"/>
      <c r="EA185" s="774"/>
      <c r="EB185" s="774"/>
      <c r="EC185" s="10"/>
      <c r="ED185" s="774"/>
      <c r="EE185" s="774"/>
      <c r="EF185" s="774"/>
      <c r="EG185" s="774"/>
      <c r="EH185" s="10"/>
      <c r="EI185" s="775"/>
      <c r="EJ185" s="179"/>
      <c r="EK185" s="179"/>
      <c r="EL185" s="179"/>
      <c r="EM185" s="10"/>
      <c r="EN185" s="179"/>
      <c r="EO185" s="179"/>
      <c r="EP185" s="179"/>
      <c r="EQ185" s="179"/>
      <c r="ER185" s="10"/>
      <c r="ES185" s="179"/>
      <c r="ET185" s="179"/>
      <c r="EU185" s="179"/>
      <c r="EV185" s="179"/>
      <c r="EW185" s="10"/>
      <c r="EX185" s="179"/>
      <c r="EY185" s="179"/>
      <c r="EZ185" s="179"/>
      <c r="FA185" s="179"/>
      <c r="FB185" s="10"/>
      <c r="FC185" s="179"/>
      <c r="FD185" s="179"/>
      <c r="FE185" s="179"/>
      <c r="FF185" s="179"/>
      <c r="FG185" s="10"/>
    </row>
    <row r="186" ht="12.75" customHeight="1">
      <c r="A186" s="4"/>
      <c r="B186" s="4"/>
      <c r="C186" s="4"/>
      <c r="D186" s="4"/>
      <c r="E186" s="4"/>
      <c r="F186" s="4"/>
      <c r="G186" s="4"/>
      <c r="H186" s="4"/>
      <c r="I186" s="4"/>
      <c r="J186" s="4"/>
      <c r="K186" s="4"/>
      <c r="L186" s="4"/>
      <c r="M186" s="4"/>
      <c r="N186" s="4"/>
      <c r="O186" s="4"/>
      <c r="P186" s="4"/>
      <c r="Q186" s="4"/>
      <c r="R186" s="45"/>
      <c r="S186" s="4"/>
      <c r="T186" s="4"/>
      <c r="U186" s="4"/>
      <c r="V186" s="4"/>
      <c r="W186" s="45"/>
      <c r="X186" s="4"/>
      <c r="Y186" s="4"/>
      <c r="Z186" s="4"/>
      <c r="AA186" s="4"/>
      <c r="AB186" s="45"/>
      <c r="AC186" s="179"/>
      <c r="AD186" s="179"/>
      <c r="AE186" s="179"/>
      <c r="AF186" s="179"/>
      <c r="AG186" s="45"/>
      <c r="AH186" s="4"/>
      <c r="AI186" s="4"/>
      <c r="AJ186" s="4"/>
      <c r="AK186" s="4"/>
      <c r="AL186" s="45"/>
      <c r="AM186" s="179"/>
      <c r="AN186" s="179"/>
      <c r="AO186" s="179"/>
      <c r="AP186" s="179"/>
      <c r="AQ186" s="8"/>
      <c r="AR186" s="179"/>
      <c r="AS186" s="179"/>
      <c r="AT186" s="179"/>
      <c r="AU186" s="179"/>
      <c r="AV186" s="8"/>
      <c r="AW186" s="179"/>
      <c r="AX186" s="179"/>
      <c r="AY186" s="179"/>
      <c r="AZ186" s="179"/>
      <c r="BA186" s="8"/>
      <c r="BB186" s="179"/>
      <c r="BC186" s="179"/>
      <c r="BD186" s="179"/>
      <c r="BE186" s="179"/>
      <c r="BF186" s="8"/>
      <c r="BG186" s="179"/>
      <c r="BH186" s="179"/>
      <c r="BI186" s="179"/>
      <c r="BJ186" s="179"/>
      <c r="BK186" s="8"/>
      <c r="BL186" s="179"/>
      <c r="BM186" s="179"/>
      <c r="BN186" s="179"/>
      <c r="BO186" s="179"/>
      <c r="BP186" s="8"/>
      <c r="BQ186" s="179"/>
      <c r="BR186" s="179"/>
      <c r="BS186" s="179"/>
      <c r="BT186" s="179"/>
      <c r="BU186" s="8"/>
      <c r="BV186" s="179"/>
      <c r="BW186" s="179"/>
      <c r="BX186" s="179"/>
      <c r="BY186" s="179"/>
      <c r="BZ186" s="8"/>
      <c r="CA186" s="179"/>
      <c r="CB186" s="179"/>
      <c r="CC186" s="179"/>
      <c r="CD186" s="179"/>
      <c r="CE186" s="8"/>
      <c r="CF186" s="179"/>
      <c r="CG186" s="179"/>
      <c r="CH186" s="179"/>
      <c r="CI186" s="179"/>
      <c r="CJ186" s="8"/>
      <c r="CK186" s="179"/>
      <c r="CL186" s="179"/>
      <c r="CM186" s="179"/>
      <c r="CN186" s="179"/>
      <c r="CO186" s="8"/>
      <c r="CP186" s="179"/>
      <c r="CQ186" s="179"/>
      <c r="CR186" s="179"/>
      <c r="CS186" s="179"/>
      <c r="CT186" s="8"/>
      <c r="CU186" s="179"/>
      <c r="CV186" s="179"/>
      <c r="CW186" s="179"/>
      <c r="CX186" s="179"/>
      <c r="CY186" s="10"/>
      <c r="CZ186" s="179"/>
      <c r="DA186" s="179"/>
      <c r="DB186" s="179"/>
      <c r="DC186" s="179"/>
      <c r="DD186" s="10"/>
      <c r="DE186" s="179"/>
      <c r="DF186" s="179"/>
      <c r="DG186" s="774"/>
      <c r="DH186" s="179"/>
      <c r="DI186" s="10"/>
      <c r="DJ186" s="774"/>
      <c r="DK186" s="774"/>
      <c r="DL186" s="774"/>
      <c r="DM186" s="179"/>
      <c r="DN186" s="10"/>
      <c r="DO186" s="179"/>
      <c r="DP186" s="179"/>
      <c r="DQ186" s="774"/>
      <c r="DR186" s="774"/>
      <c r="DS186" s="10"/>
      <c r="DT186" s="774"/>
      <c r="DU186" s="774"/>
      <c r="DV186" s="774"/>
      <c r="DW186" s="774"/>
      <c r="DX186" s="10"/>
      <c r="DY186" s="774"/>
      <c r="DZ186" s="774"/>
      <c r="EA186" s="774"/>
      <c r="EB186" s="774"/>
      <c r="EC186" s="10"/>
      <c r="ED186" s="774"/>
      <c r="EE186" s="774"/>
      <c r="EF186" s="774"/>
      <c r="EG186" s="774"/>
      <c r="EH186" s="10"/>
      <c r="EI186" s="775"/>
      <c r="EJ186" s="179"/>
      <c r="EK186" s="179"/>
      <c r="EL186" s="179"/>
      <c r="EM186" s="10"/>
      <c r="EN186" s="179"/>
      <c r="EO186" s="179"/>
      <c r="EP186" s="179"/>
      <c r="EQ186" s="179"/>
      <c r="ER186" s="10"/>
      <c r="ES186" s="179"/>
      <c r="ET186" s="179"/>
      <c r="EU186" s="179"/>
      <c r="EV186" s="179"/>
      <c r="EW186" s="10"/>
      <c r="EX186" s="179"/>
      <c r="EY186" s="179"/>
      <c r="EZ186" s="179"/>
      <c r="FA186" s="179"/>
      <c r="FB186" s="10"/>
      <c r="FC186" s="179"/>
      <c r="FD186" s="179"/>
      <c r="FE186" s="179"/>
      <c r="FF186" s="179"/>
      <c r="FG186" s="10"/>
    </row>
    <row r="187" ht="12.75" customHeight="1">
      <c r="A187" s="4"/>
      <c r="B187" s="4"/>
      <c r="C187" s="4"/>
      <c r="D187" s="4"/>
      <c r="E187" s="4"/>
      <c r="F187" s="4"/>
      <c r="G187" s="4"/>
      <c r="H187" s="4"/>
      <c r="I187" s="4"/>
      <c r="J187" s="4"/>
      <c r="K187" s="4"/>
      <c r="L187" s="4"/>
      <c r="M187" s="4"/>
      <c r="N187" s="4"/>
      <c r="O187" s="4"/>
      <c r="P187" s="4"/>
      <c r="Q187" s="4"/>
      <c r="R187" s="45"/>
      <c r="S187" s="4"/>
      <c r="T187" s="4"/>
      <c r="U187" s="4"/>
      <c r="V187" s="4"/>
      <c r="W187" s="45"/>
      <c r="X187" s="4"/>
      <c r="Y187" s="4"/>
      <c r="Z187" s="4"/>
      <c r="AA187" s="4"/>
      <c r="AB187" s="45"/>
      <c r="AC187" s="179"/>
      <c r="AD187" s="179"/>
      <c r="AE187" s="179"/>
      <c r="AF187" s="179"/>
      <c r="AG187" s="45"/>
      <c r="AH187" s="4"/>
      <c r="AI187" s="4"/>
      <c r="AJ187" s="4"/>
      <c r="AK187" s="4"/>
      <c r="AL187" s="45"/>
      <c r="AM187" s="179"/>
      <c r="AN187" s="179"/>
      <c r="AO187" s="179"/>
      <c r="AP187" s="179"/>
      <c r="AQ187" s="8"/>
      <c r="AR187" s="179"/>
      <c r="AS187" s="179"/>
      <c r="AT187" s="179"/>
      <c r="AU187" s="179"/>
      <c r="AV187" s="8"/>
      <c r="AW187" s="179"/>
      <c r="AX187" s="179"/>
      <c r="AY187" s="179"/>
      <c r="AZ187" s="179"/>
      <c r="BA187" s="8"/>
      <c r="BB187" s="179"/>
      <c r="BC187" s="179"/>
      <c r="BD187" s="179"/>
      <c r="BE187" s="179"/>
      <c r="BF187" s="8"/>
      <c r="BG187" s="179"/>
      <c r="BH187" s="179"/>
      <c r="BI187" s="179"/>
      <c r="BJ187" s="179"/>
      <c r="BK187" s="8"/>
      <c r="BL187" s="179"/>
      <c r="BM187" s="179"/>
      <c r="BN187" s="179"/>
      <c r="BO187" s="179"/>
      <c r="BP187" s="8"/>
      <c r="BQ187" s="179"/>
      <c r="BR187" s="179"/>
      <c r="BS187" s="179"/>
      <c r="BT187" s="179"/>
      <c r="BU187" s="8"/>
      <c r="BV187" s="179"/>
      <c r="BW187" s="179"/>
      <c r="BX187" s="179"/>
      <c r="BY187" s="179"/>
      <c r="BZ187" s="8"/>
      <c r="CA187" s="179"/>
      <c r="CB187" s="179"/>
      <c r="CC187" s="179"/>
      <c r="CD187" s="179"/>
      <c r="CE187" s="8"/>
      <c r="CF187" s="179"/>
      <c r="CG187" s="179"/>
      <c r="CH187" s="179"/>
      <c r="CI187" s="179"/>
      <c r="CJ187" s="8"/>
      <c r="CK187" s="179"/>
      <c r="CL187" s="179"/>
      <c r="CM187" s="179"/>
      <c r="CN187" s="179"/>
      <c r="CO187" s="8"/>
      <c r="CP187" s="179"/>
      <c r="CQ187" s="179"/>
      <c r="CR187" s="179"/>
      <c r="CS187" s="179"/>
      <c r="CT187" s="8"/>
      <c r="CU187" s="179"/>
      <c r="CV187" s="179"/>
      <c r="CW187" s="179"/>
      <c r="CX187" s="179"/>
      <c r="CY187" s="10"/>
      <c r="CZ187" s="179"/>
      <c r="DA187" s="179"/>
      <c r="DB187" s="179"/>
      <c r="DC187" s="179"/>
      <c r="DD187" s="10"/>
      <c r="DE187" s="179"/>
      <c r="DF187" s="179"/>
      <c r="DG187" s="774"/>
      <c r="DH187" s="179"/>
      <c r="DI187" s="10"/>
      <c r="DJ187" s="774"/>
      <c r="DK187" s="774"/>
      <c r="DL187" s="774"/>
      <c r="DM187" s="179"/>
      <c r="DN187" s="10"/>
      <c r="DO187" s="179"/>
      <c r="DP187" s="179"/>
      <c r="DQ187" s="774"/>
      <c r="DR187" s="774"/>
      <c r="DS187" s="10"/>
      <c r="DT187" s="774"/>
      <c r="DU187" s="774"/>
      <c r="DV187" s="774"/>
      <c r="DW187" s="774"/>
      <c r="DX187" s="10"/>
      <c r="DY187" s="774"/>
      <c r="DZ187" s="774"/>
      <c r="EA187" s="774"/>
      <c r="EB187" s="774"/>
      <c r="EC187" s="10"/>
      <c r="ED187" s="774"/>
      <c r="EE187" s="774"/>
      <c r="EF187" s="774"/>
      <c r="EG187" s="774"/>
      <c r="EH187" s="10"/>
      <c r="EI187" s="775"/>
      <c r="EJ187" s="179"/>
      <c r="EK187" s="179"/>
      <c r="EL187" s="179"/>
      <c r="EM187" s="10"/>
      <c r="EN187" s="179"/>
      <c r="EO187" s="179"/>
      <c r="EP187" s="179"/>
      <c r="EQ187" s="179"/>
      <c r="ER187" s="10"/>
      <c r="ES187" s="179"/>
      <c r="ET187" s="179"/>
      <c r="EU187" s="179"/>
      <c r="EV187" s="179"/>
      <c r="EW187" s="10"/>
      <c r="EX187" s="179"/>
      <c r="EY187" s="179"/>
      <c r="EZ187" s="179"/>
      <c r="FA187" s="179"/>
      <c r="FB187" s="10"/>
      <c r="FC187" s="179"/>
      <c r="FD187" s="179"/>
      <c r="FE187" s="179"/>
      <c r="FF187" s="179"/>
      <c r="FG187" s="10"/>
    </row>
    <row r="188" ht="12.75" customHeight="1">
      <c r="A188" s="4"/>
      <c r="B188" s="4"/>
      <c r="C188" s="4"/>
      <c r="D188" s="4"/>
      <c r="E188" s="4"/>
      <c r="F188" s="4"/>
      <c r="G188" s="4"/>
      <c r="H188" s="4"/>
      <c r="I188" s="4"/>
      <c r="J188" s="4"/>
      <c r="K188" s="4"/>
      <c r="L188" s="4"/>
      <c r="M188" s="4"/>
      <c r="N188" s="4"/>
      <c r="O188" s="4"/>
      <c r="P188" s="4"/>
      <c r="Q188" s="4"/>
      <c r="R188" s="45"/>
      <c r="S188" s="4"/>
      <c r="T188" s="4"/>
      <c r="U188" s="4"/>
      <c r="V188" s="4"/>
      <c r="W188" s="45"/>
      <c r="X188" s="4"/>
      <c r="Y188" s="4"/>
      <c r="Z188" s="4"/>
      <c r="AA188" s="4"/>
      <c r="AB188" s="45"/>
      <c r="AC188" s="179"/>
      <c r="AD188" s="179"/>
      <c r="AE188" s="179"/>
      <c r="AF188" s="179"/>
      <c r="AG188" s="45"/>
      <c r="AH188" s="4"/>
      <c r="AI188" s="4"/>
      <c r="AJ188" s="4"/>
      <c r="AK188" s="4"/>
      <c r="AL188" s="45"/>
      <c r="AM188" s="179"/>
      <c r="AN188" s="179"/>
      <c r="AO188" s="179"/>
      <c r="AP188" s="179"/>
      <c r="AQ188" s="8"/>
      <c r="AR188" s="179"/>
      <c r="AS188" s="179"/>
      <c r="AT188" s="179"/>
      <c r="AU188" s="179"/>
      <c r="AV188" s="8"/>
      <c r="AW188" s="179"/>
      <c r="AX188" s="179"/>
      <c r="AY188" s="179"/>
      <c r="AZ188" s="179"/>
      <c r="BA188" s="8"/>
      <c r="BB188" s="179"/>
      <c r="BC188" s="179"/>
      <c r="BD188" s="179"/>
      <c r="BE188" s="179"/>
      <c r="BF188" s="8"/>
      <c r="BG188" s="179"/>
      <c r="BH188" s="179"/>
      <c r="BI188" s="179"/>
      <c r="BJ188" s="179"/>
      <c r="BK188" s="8"/>
      <c r="BL188" s="179"/>
      <c r="BM188" s="179"/>
      <c r="BN188" s="179"/>
      <c r="BO188" s="179"/>
      <c r="BP188" s="8"/>
      <c r="BQ188" s="179"/>
      <c r="BR188" s="179"/>
      <c r="BS188" s="179"/>
      <c r="BT188" s="179"/>
      <c r="BU188" s="8"/>
      <c r="BV188" s="179"/>
      <c r="BW188" s="179"/>
      <c r="BX188" s="179"/>
      <c r="BY188" s="179"/>
      <c r="BZ188" s="8"/>
      <c r="CA188" s="179"/>
      <c r="CB188" s="179"/>
      <c r="CC188" s="179"/>
      <c r="CD188" s="179"/>
      <c r="CE188" s="8"/>
      <c r="CF188" s="179"/>
      <c r="CG188" s="179"/>
      <c r="CH188" s="179"/>
      <c r="CI188" s="179"/>
      <c r="CJ188" s="8"/>
      <c r="CK188" s="179"/>
      <c r="CL188" s="179"/>
      <c r="CM188" s="179"/>
      <c r="CN188" s="179"/>
      <c r="CO188" s="8"/>
      <c r="CP188" s="179"/>
      <c r="CQ188" s="179"/>
      <c r="CR188" s="179"/>
      <c r="CS188" s="179"/>
      <c r="CT188" s="8"/>
      <c r="CU188" s="179"/>
      <c r="CV188" s="179"/>
      <c r="CW188" s="179"/>
      <c r="CX188" s="179"/>
      <c r="CY188" s="10"/>
      <c r="CZ188" s="179"/>
      <c r="DA188" s="179"/>
      <c r="DB188" s="179"/>
      <c r="DC188" s="179"/>
      <c r="DD188" s="10"/>
      <c r="DE188" s="179"/>
      <c r="DF188" s="179"/>
      <c r="DG188" s="774"/>
      <c r="DH188" s="179"/>
      <c r="DI188" s="10"/>
      <c r="DJ188" s="774"/>
      <c r="DK188" s="774"/>
      <c r="DL188" s="774"/>
      <c r="DM188" s="179"/>
      <c r="DN188" s="10"/>
      <c r="DO188" s="179"/>
      <c r="DP188" s="179"/>
      <c r="DQ188" s="774"/>
      <c r="DR188" s="774"/>
      <c r="DS188" s="10"/>
      <c r="DT188" s="774"/>
      <c r="DU188" s="774"/>
      <c r="DV188" s="774"/>
      <c r="DW188" s="774"/>
      <c r="DX188" s="10"/>
      <c r="DY188" s="774"/>
      <c r="DZ188" s="774"/>
      <c r="EA188" s="774"/>
      <c r="EB188" s="774"/>
      <c r="EC188" s="10"/>
      <c r="ED188" s="774"/>
      <c r="EE188" s="774"/>
      <c r="EF188" s="774"/>
      <c r="EG188" s="774"/>
      <c r="EH188" s="10"/>
      <c r="EI188" s="775"/>
      <c r="EJ188" s="179"/>
      <c r="EK188" s="179"/>
      <c r="EL188" s="179"/>
      <c r="EM188" s="10"/>
      <c r="EN188" s="179"/>
      <c r="EO188" s="179"/>
      <c r="EP188" s="179"/>
      <c r="EQ188" s="179"/>
      <c r="ER188" s="10"/>
      <c r="ES188" s="179"/>
      <c r="ET188" s="179"/>
      <c r="EU188" s="179"/>
      <c r="EV188" s="179"/>
      <c r="EW188" s="10"/>
      <c r="EX188" s="179"/>
      <c r="EY188" s="179"/>
      <c r="EZ188" s="179"/>
      <c r="FA188" s="179"/>
      <c r="FB188" s="10"/>
      <c r="FC188" s="179"/>
      <c r="FD188" s="179"/>
      <c r="FE188" s="179"/>
      <c r="FF188" s="179"/>
      <c r="FG188" s="10"/>
    </row>
    <row r="189" ht="12.75" customHeight="1">
      <c r="A189" s="4"/>
      <c r="B189" s="4"/>
      <c r="C189" s="4"/>
      <c r="D189" s="4"/>
      <c r="E189" s="4"/>
      <c r="F189" s="4"/>
      <c r="G189" s="4"/>
      <c r="H189" s="4"/>
      <c r="I189" s="4"/>
      <c r="J189" s="4"/>
      <c r="K189" s="4"/>
      <c r="L189" s="4"/>
      <c r="M189" s="4"/>
      <c r="N189" s="4"/>
      <c r="O189" s="4"/>
      <c r="P189" s="4"/>
      <c r="Q189" s="4"/>
      <c r="R189" s="45"/>
      <c r="S189" s="4"/>
      <c r="T189" s="4"/>
      <c r="U189" s="4"/>
      <c r="V189" s="4"/>
      <c r="W189" s="45"/>
      <c r="X189" s="4"/>
      <c r="Y189" s="4"/>
      <c r="Z189" s="4"/>
      <c r="AA189" s="4"/>
      <c r="AB189" s="45"/>
      <c r="AC189" s="179"/>
      <c r="AD189" s="179"/>
      <c r="AE189" s="179"/>
      <c r="AF189" s="179"/>
      <c r="AG189" s="45"/>
      <c r="AH189" s="4"/>
      <c r="AI189" s="4"/>
      <c r="AJ189" s="4"/>
      <c r="AK189" s="4"/>
      <c r="AL189" s="45"/>
      <c r="AM189" s="179"/>
      <c r="AN189" s="179"/>
      <c r="AO189" s="179"/>
      <c r="AP189" s="179"/>
      <c r="AQ189" s="8"/>
      <c r="AR189" s="179"/>
      <c r="AS189" s="179"/>
      <c r="AT189" s="179"/>
      <c r="AU189" s="179"/>
      <c r="AV189" s="8"/>
      <c r="AW189" s="179">
        <f>AU189*0.93</f>
        <v>0</v>
      </c>
      <c r="AX189" s="179">
        <f>AW189*1.1</f>
        <v>0</v>
      </c>
      <c r="AY189" s="179"/>
      <c r="AZ189" s="179"/>
      <c r="BA189" s="8"/>
      <c r="BB189" s="179">
        <f>AZ189*1.18</f>
        <v>0</v>
      </c>
      <c r="BC189" s="179">
        <f>BB189*1.08</f>
        <v>0</v>
      </c>
      <c r="BD189" s="179"/>
      <c r="BE189" s="179"/>
      <c r="BF189" s="8"/>
      <c r="BG189" s="179"/>
      <c r="BH189" s="179"/>
      <c r="BI189" s="179"/>
      <c r="BJ189" s="179"/>
      <c r="BK189" s="8"/>
      <c r="BL189" s="179"/>
      <c r="BM189" s="179"/>
      <c r="BN189" s="179"/>
      <c r="BO189" s="179"/>
      <c r="BP189" s="8"/>
      <c r="BQ189" s="179"/>
      <c r="BR189" s="179"/>
      <c r="BS189" s="179"/>
      <c r="BT189" s="179"/>
      <c r="BU189" s="8"/>
      <c r="BV189" s="179"/>
      <c r="BW189" s="179"/>
      <c r="BX189" s="179"/>
      <c r="BY189" s="179"/>
      <c r="BZ189" s="8"/>
      <c r="CA189" s="179"/>
      <c r="CB189" s="179"/>
      <c r="CC189" s="179"/>
      <c r="CD189" s="179"/>
      <c r="CE189" s="8"/>
      <c r="CF189" s="179"/>
      <c r="CG189" s="179"/>
      <c r="CH189" s="179"/>
      <c r="CI189" s="179"/>
      <c r="CJ189" s="8"/>
      <c r="CK189" s="179"/>
      <c r="CL189" s="179"/>
      <c r="CM189" s="179"/>
      <c r="CN189" s="179"/>
      <c r="CO189" s="8"/>
      <c r="CP189" s="179"/>
      <c r="CQ189" s="179"/>
      <c r="CR189" s="179"/>
      <c r="CS189" s="179"/>
      <c r="CT189" s="8"/>
      <c r="CU189" s="179"/>
      <c r="CV189" s="179"/>
      <c r="CW189" s="179"/>
      <c r="CX189" s="179"/>
      <c r="CY189" s="10"/>
      <c r="CZ189" s="179"/>
      <c r="DA189" s="179"/>
      <c r="DB189" s="179"/>
      <c r="DC189" s="179"/>
      <c r="DD189" s="10"/>
      <c r="DE189" s="179"/>
      <c r="DF189" s="179"/>
      <c r="DG189" s="774"/>
      <c r="DH189" s="179"/>
      <c r="DI189" s="10"/>
      <c r="DJ189" s="774"/>
      <c r="DK189" s="774"/>
      <c r="DL189" s="774"/>
      <c r="DM189" s="179"/>
      <c r="DN189" s="10"/>
      <c r="DO189" s="179"/>
      <c r="DP189" s="179"/>
      <c r="DQ189" s="774"/>
      <c r="DR189" s="774"/>
      <c r="DS189" s="10"/>
      <c r="DT189" s="774"/>
      <c r="DU189" s="774"/>
      <c r="DV189" s="774"/>
      <c r="DW189" s="774"/>
      <c r="DX189" s="10"/>
      <c r="DY189" s="774"/>
      <c r="DZ189" s="774"/>
      <c r="EA189" s="774"/>
      <c r="EB189" s="774"/>
      <c r="EC189" s="10"/>
      <c r="ED189" s="774"/>
      <c r="EE189" s="774"/>
      <c r="EF189" s="774"/>
      <c r="EG189" s="774"/>
      <c r="EH189" s="10"/>
      <c r="EI189" s="775"/>
      <c r="EJ189" s="179"/>
      <c r="EK189" s="179"/>
      <c r="EL189" s="179"/>
      <c r="EM189" s="10"/>
      <c r="EN189" s="179"/>
      <c r="EO189" s="179"/>
      <c r="EP189" s="179"/>
      <c r="EQ189" s="179"/>
      <c r="ER189" s="10"/>
      <c r="ES189" s="179"/>
      <c r="ET189" s="179"/>
      <c r="EU189" s="179"/>
      <c r="EV189" s="179"/>
      <c r="EW189" s="10"/>
      <c r="EX189" s="179"/>
      <c r="EY189" s="179"/>
      <c r="EZ189" s="179"/>
      <c r="FA189" s="179"/>
      <c r="FB189" s="10"/>
      <c r="FC189" s="179"/>
      <c r="FD189" s="179"/>
      <c r="FE189" s="179"/>
      <c r="FF189" s="179"/>
      <c r="FG189" s="10"/>
    </row>
    <row r="190" ht="12.75" customHeight="1">
      <c r="A190" s="4"/>
      <c r="B190" s="4"/>
      <c r="C190" s="4"/>
      <c r="D190" s="4"/>
      <c r="E190" s="4"/>
      <c r="F190" s="4"/>
      <c r="G190" s="4"/>
      <c r="H190" s="4"/>
      <c r="I190" s="4"/>
      <c r="J190" s="4"/>
      <c r="K190" s="4"/>
      <c r="L190" s="4"/>
      <c r="M190" s="4"/>
      <c r="N190" s="4"/>
      <c r="O190" s="4"/>
      <c r="P190" s="4"/>
      <c r="Q190" s="4"/>
      <c r="R190" s="45"/>
      <c r="S190" s="4"/>
      <c r="T190" s="4"/>
      <c r="U190" s="4"/>
      <c r="V190" s="4"/>
      <c r="W190" s="45"/>
      <c r="X190" s="4"/>
      <c r="Y190" s="4"/>
      <c r="Z190" s="4"/>
      <c r="AA190" s="4"/>
      <c r="AB190" s="45"/>
      <c r="AC190" s="179"/>
      <c r="AD190" s="179"/>
      <c r="AE190" s="179"/>
      <c r="AF190" s="179"/>
      <c r="AG190" s="45"/>
      <c r="AH190" s="4"/>
      <c r="AI190" s="4"/>
      <c r="AJ190" s="4"/>
      <c r="AK190" s="4"/>
      <c r="AL190" s="45"/>
      <c r="AM190" s="179"/>
      <c r="AN190" s="179"/>
      <c r="AO190" s="179"/>
      <c r="AP190" s="179"/>
      <c r="AQ190" s="8"/>
      <c r="AR190" s="179"/>
      <c r="AS190" s="179"/>
      <c r="AT190" s="179"/>
      <c r="AU190" s="179"/>
      <c r="AV190" s="8"/>
      <c r="AW190" s="179"/>
      <c r="AX190" s="179"/>
      <c r="AY190" s="179"/>
      <c r="AZ190" s="179"/>
      <c r="BA190" s="8"/>
      <c r="BB190" s="179"/>
      <c r="BC190" s="179"/>
      <c r="BD190" s="179"/>
      <c r="BE190" s="179"/>
      <c r="BF190" s="8"/>
      <c r="BG190" s="179"/>
      <c r="BH190" s="179"/>
      <c r="BI190" s="179"/>
      <c r="BJ190" s="179"/>
      <c r="BK190" s="8"/>
      <c r="BL190" s="179"/>
      <c r="BM190" s="179"/>
      <c r="BN190" s="179"/>
      <c r="BO190" s="179"/>
      <c r="BP190" s="8"/>
      <c r="BQ190" s="179"/>
      <c r="BR190" s="179"/>
      <c r="BS190" s="179"/>
      <c r="BT190" s="179"/>
      <c r="BU190" s="8"/>
      <c r="BV190" s="179"/>
      <c r="BW190" s="179"/>
      <c r="BX190" s="179"/>
      <c r="BY190" s="179"/>
      <c r="BZ190" s="8"/>
      <c r="CA190" s="179"/>
      <c r="CB190" s="179"/>
      <c r="CC190" s="179"/>
      <c r="CD190" s="179"/>
      <c r="CE190" s="8"/>
      <c r="CF190" s="179"/>
      <c r="CG190" s="179"/>
      <c r="CH190" s="179"/>
      <c r="CI190" s="179"/>
      <c r="CJ190" s="8"/>
      <c r="CK190" s="179"/>
      <c r="CL190" s="179"/>
      <c r="CM190" s="179"/>
      <c r="CN190" s="179"/>
      <c r="CO190" s="8"/>
      <c r="CP190" s="179"/>
      <c r="CQ190" s="179"/>
      <c r="CR190" s="179"/>
      <c r="CS190" s="179"/>
      <c r="CT190" s="8"/>
      <c r="CU190" s="179"/>
      <c r="CV190" s="179"/>
      <c r="CW190" s="179"/>
      <c r="CX190" s="179"/>
      <c r="CY190" s="10"/>
      <c r="CZ190" s="179"/>
      <c r="DA190" s="179"/>
      <c r="DB190" s="179"/>
      <c r="DC190" s="179"/>
      <c r="DD190" s="10"/>
      <c r="DE190" s="179"/>
      <c r="DF190" s="179"/>
      <c r="DG190" s="774"/>
      <c r="DH190" s="179"/>
      <c r="DI190" s="10"/>
      <c r="DJ190" s="774"/>
      <c r="DK190" s="774"/>
      <c r="DL190" s="774"/>
      <c r="DM190" s="179"/>
      <c r="DN190" s="10"/>
      <c r="DO190" s="179"/>
      <c r="DP190" s="179"/>
      <c r="DQ190" s="774"/>
      <c r="DR190" s="774"/>
      <c r="DS190" s="10"/>
      <c r="DT190" s="774"/>
      <c r="DU190" s="774"/>
      <c r="DV190" s="774"/>
      <c r="DW190" s="774"/>
      <c r="DX190" s="10"/>
      <c r="DY190" s="774"/>
      <c r="DZ190" s="774"/>
      <c r="EA190" s="774"/>
      <c r="EB190" s="774"/>
      <c r="EC190" s="10"/>
      <c r="ED190" s="774"/>
      <c r="EE190" s="774"/>
      <c r="EF190" s="774"/>
      <c r="EG190" s="774"/>
      <c r="EH190" s="10"/>
      <c r="EI190" s="775"/>
      <c r="EJ190" s="179"/>
      <c r="EK190" s="179"/>
      <c r="EL190" s="179"/>
      <c r="EM190" s="10"/>
      <c r="EN190" s="179"/>
      <c r="EO190" s="179"/>
      <c r="EP190" s="179"/>
      <c r="EQ190" s="179"/>
      <c r="ER190" s="10"/>
      <c r="ES190" s="179"/>
      <c r="ET190" s="179"/>
      <c r="EU190" s="179"/>
      <c r="EV190" s="179"/>
      <c r="EW190" s="10"/>
      <c r="EX190" s="179"/>
      <c r="EY190" s="179"/>
      <c r="EZ190" s="179"/>
      <c r="FA190" s="179"/>
      <c r="FB190" s="10"/>
      <c r="FC190" s="179"/>
      <c r="FD190" s="179"/>
      <c r="FE190" s="179"/>
      <c r="FF190" s="179"/>
      <c r="FG190" s="10"/>
    </row>
    <row r="191" ht="12.75" customHeight="1">
      <c r="A191" s="4"/>
      <c r="B191" s="4"/>
      <c r="C191" s="4"/>
      <c r="D191" s="4"/>
      <c r="E191" s="4"/>
      <c r="F191" s="4"/>
      <c r="G191" s="4"/>
      <c r="H191" s="4"/>
      <c r="I191" s="4"/>
      <c r="J191" s="4"/>
      <c r="K191" s="4"/>
      <c r="L191" s="4"/>
      <c r="M191" s="4"/>
      <c r="N191" s="4"/>
      <c r="O191" s="4"/>
      <c r="P191" s="4"/>
      <c r="Q191" s="4"/>
      <c r="R191" s="45"/>
      <c r="S191" s="4"/>
      <c r="T191" s="4"/>
      <c r="U191" s="4"/>
      <c r="V191" s="4"/>
      <c r="W191" s="45"/>
      <c r="X191" s="4"/>
      <c r="Y191" s="4"/>
      <c r="Z191" s="4"/>
      <c r="AA191" s="4"/>
      <c r="AB191" s="45"/>
      <c r="AC191" s="179"/>
      <c r="AD191" s="179"/>
      <c r="AE191" s="179"/>
      <c r="AF191" s="179"/>
      <c r="AG191" s="45"/>
      <c r="AH191" s="4"/>
      <c r="AI191" s="4"/>
      <c r="AJ191" s="4"/>
      <c r="AK191" s="4"/>
      <c r="AL191" s="45"/>
      <c r="AM191" s="179"/>
      <c r="AN191" s="179"/>
      <c r="AO191" s="179"/>
      <c r="AP191" s="179"/>
      <c r="AQ191" s="8"/>
      <c r="AR191" s="179"/>
      <c r="AS191" s="179"/>
      <c r="AT191" s="179"/>
      <c r="AU191" s="179"/>
      <c r="AV191" s="8"/>
      <c r="AW191" s="179"/>
      <c r="AX191" s="179"/>
      <c r="AY191" s="179"/>
      <c r="AZ191" s="179"/>
      <c r="BA191" s="8"/>
      <c r="BB191" s="179"/>
      <c r="BC191" s="179"/>
      <c r="BD191" s="179"/>
      <c r="BE191" s="179"/>
      <c r="BF191" s="8"/>
      <c r="BG191" s="179"/>
      <c r="BH191" s="179"/>
      <c r="BI191" s="179"/>
      <c r="BJ191" s="179"/>
      <c r="BK191" s="8"/>
      <c r="BL191" s="179"/>
      <c r="BM191" s="179"/>
      <c r="BN191" s="179"/>
      <c r="BO191" s="179"/>
      <c r="BP191" s="8"/>
      <c r="BQ191" s="179"/>
      <c r="BR191" s="179"/>
      <c r="BS191" s="179"/>
      <c r="BT191" s="179"/>
      <c r="BU191" s="8"/>
      <c r="BV191" s="179"/>
      <c r="BW191" s="179"/>
      <c r="BX191" s="179"/>
      <c r="BY191" s="179"/>
      <c r="BZ191" s="8"/>
      <c r="CA191" s="179"/>
      <c r="CB191" s="179"/>
      <c r="CC191" s="179"/>
      <c r="CD191" s="179"/>
      <c r="CE191" s="8"/>
      <c r="CF191" s="179"/>
      <c r="CG191" s="179"/>
      <c r="CH191" s="179"/>
      <c r="CI191" s="179"/>
      <c r="CJ191" s="8"/>
      <c r="CK191" s="179"/>
      <c r="CL191" s="179"/>
      <c r="CM191" s="179"/>
      <c r="CN191" s="179"/>
      <c r="CO191" s="8"/>
      <c r="CP191" s="179"/>
      <c r="CQ191" s="179"/>
      <c r="CR191" s="179"/>
      <c r="CS191" s="179"/>
      <c r="CT191" s="8"/>
      <c r="CU191" s="179"/>
      <c r="CV191" s="179"/>
      <c r="CW191" s="179"/>
      <c r="CX191" s="179"/>
      <c r="CY191" s="10"/>
      <c r="CZ191" s="179"/>
      <c r="DA191" s="179"/>
      <c r="DB191" s="179"/>
      <c r="DC191" s="179"/>
      <c r="DD191" s="10"/>
      <c r="DE191" s="179"/>
      <c r="DF191" s="179"/>
      <c r="DG191" s="774"/>
      <c r="DH191" s="179"/>
      <c r="DI191" s="10"/>
      <c r="DJ191" s="774"/>
      <c r="DK191" s="774"/>
      <c r="DL191" s="774"/>
      <c r="DM191" s="179"/>
      <c r="DN191" s="10"/>
      <c r="DO191" s="179"/>
      <c r="DP191" s="179"/>
      <c r="DQ191" s="774"/>
      <c r="DR191" s="774"/>
      <c r="DS191" s="10"/>
      <c r="DT191" s="774"/>
      <c r="DU191" s="774"/>
      <c r="DV191" s="774"/>
      <c r="DW191" s="774"/>
      <c r="DX191" s="10"/>
      <c r="DY191" s="774"/>
      <c r="DZ191" s="774"/>
      <c r="EA191" s="774"/>
      <c r="EB191" s="774"/>
      <c r="EC191" s="10"/>
      <c r="ED191" s="774"/>
      <c r="EE191" s="774"/>
      <c r="EF191" s="774"/>
      <c r="EG191" s="774"/>
      <c r="EH191" s="10"/>
      <c r="EI191" s="775"/>
      <c r="EJ191" s="179"/>
      <c r="EK191" s="179"/>
      <c r="EL191" s="179"/>
      <c r="EM191" s="10"/>
      <c r="EN191" s="179"/>
      <c r="EO191" s="179"/>
      <c r="EP191" s="179"/>
      <c r="EQ191" s="179"/>
      <c r="ER191" s="10"/>
      <c r="ES191" s="179"/>
      <c r="ET191" s="179"/>
      <c r="EU191" s="179"/>
      <c r="EV191" s="179"/>
      <c r="EW191" s="10"/>
      <c r="EX191" s="179"/>
      <c r="EY191" s="179"/>
      <c r="EZ191" s="179"/>
      <c r="FA191" s="179"/>
      <c r="FB191" s="10"/>
      <c r="FC191" s="179"/>
      <c r="FD191" s="179"/>
      <c r="FE191" s="179"/>
      <c r="FF191" s="179"/>
      <c r="FG191" s="10"/>
    </row>
    <row r="192" ht="12.75" customHeight="1">
      <c r="A192" s="4"/>
      <c r="B192" s="4"/>
      <c r="C192" s="4"/>
      <c r="D192" s="4"/>
      <c r="E192" s="4"/>
      <c r="F192" s="4"/>
      <c r="G192" s="4"/>
      <c r="H192" s="4"/>
      <c r="I192" s="4"/>
      <c r="J192" s="4"/>
      <c r="K192" s="4"/>
      <c r="L192" s="4"/>
      <c r="M192" s="4"/>
      <c r="N192" s="4"/>
      <c r="O192" s="4"/>
      <c r="P192" s="4"/>
      <c r="Q192" s="4"/>
      <c r="R192" s="45"/>
      <c r="S192" s="4"/>
      <c r="T192" s="4"/>
      <c r="U192" s="4"/>
      <c r="V192" s="4"/>
      <c r="W192" s="45"/>
      <c r="X192" s="4"/>
      <c r="Y192" s="4"/>
      <c r="Z192" s="4"/>
      <c r="AA192" s="4"/>
      <c r="AB192" s="45"/>
      <c r="AC192" s="179"/>
      <c r="AD192" s="179"/>
      <c r="AE192" s="179"/>
      <c r="AF192" s="179"/>
      <c r="AG192" s="45"/>
      <c r="AH192" s="4"/>
      <c r="AI192" s="4"/>
      <c r="AJ192" s="4"/>
      <c r="AK192" s="4"/>
      <c r="AL192" s="45"/>
      <c r="AM192" s="179"/>
      <c r="AN192" s="179"/>
      <c r="AO192" s="179"/>
      <c r="AP192" s="179"/>
      <c r="AQ192" s="8"/>
      <c r="AR192" s="179"/>
      <c r="AS192" s="179"/>
      <c r="AT192" s="179"/>
      <c r="AU192" s="179"/>
      <c r="AV192" s="8"/>
      <c r="AW192" s="179"/>
      <c r="AX192" s="179"/>
      <c r="AY192" s="179"/>
      <c r="AZ192" s="179"/>
      <c r="BA192" s="8"/>
      <c r="BB192" s="179"/>
      <c r="BC192" s="179"/>
      <c r="BD192" s="179"/>
      <c r="BE192" s="179"/>
      <c r="BF192" s="8"/>
      <c r="BG192" s="179"/>
      <c r="BH192" s="179"/>
      <c r="BI192" s="179"/>
      <c r="BJ192" s="179"/>
      <c r="BK192" s="8"/>
      <c r="BL192" s="179"/>
      <c r="BM192" s="179"/>
      <c r="BN192" s="179"/>
      <c r="BO192" s="179"/>
      <c r="BP192" s="8"/>
      <c r="BQ192" s="179"/>
      <c r="BR192" s="179"/>
      <c r="BS192" s="179"/>
      <c r="BT192" s="179"/>
      <c r="BU192" s="8"/>
      <c r="BV192" s="179"/>
      <c r="BW192" s="179"/>
      <c r="BX192" s="179"/>
      <c r="BY192" s="179"/>
      <c r="BZ192" s="8"/>
      <c r="CA192" s="179"/>
      <c r="CB192" s="179"/>
      <c r="CC192" s="179"/>
      <c r="CD192" s="179"/>
      <c r="CE192" s="8"/>
      <c r="CF192" s="179"/>
      <c r="CG192" s="179"/>
      <c r="CH192" s="179"/>
      <c r="CI192" s="179"/>
      <c r="CJ192" s="8"/>
      <c r="CK192" s="179"/>
      <c r="CL192" s="179"/>
      <c r="CM192" s="179"/>
      <c r="CN192" s="179"/>
      <c r="CO192" s="8"/>
      <c r="CP192" s="179"/>
      <c r="CQ192" s="179"/>
      <c r="CR192" s="179"/>
      <c r="CS192" s="179"/>
      <c r="CT192" s="8"/>
      <c r="CU192" s="179"/>
      <c r="CV192" s="179"/>
      <c r="CW192" s="179"/>
      <c r="CX192" s="179"/>
      <c r="CY192" s="10"/>
      <c r="CZ192" s="179"/>
      <c r="DA192" s="179"/>
      <c r="DB192" s="179"/>
      <c r="DC192" s="179"/>
      <c r="DD192" s="10"/>
      <c r="DE192" s="179"/>
      <c r="DF192" s="179"/>
      <c r="DG192" s="774"/>
      <c r="DH192" s="179"/>
      <c r="DI192" s="10"/>
      <c r="DJ192" s="774"/>
      <c r="DK192" s="774"/>
      <c r="DL192" s="774"/>
      <c r="DM192" s="179"/>
      <c r="DN192" s="10"/>
      <c r="DO192" s="179"/>
      <c r="DP192" s="179"/>
      <c r="DQ192" s="774"/>
      <c r="DR192" s="774"/>
      <c r="DS192" s="10"/>
      <c r="DT192" s="774"/>
      <c r="DU192" s="774"/>
      <c r="DV192" s="774"/>
      <c r="DW192" s="774"/>
      <c r="DX192" s="10"/>
      <c r="DY192" s="774"/>
      <c r="DZ192" s="774"/>
      <c r="EA192" s="774"/>
      <c r="EB192" s="774"/>
      <c r="EC192" s="10"/>
      <c r="ED192" s="774"/>
      <c r="EE192" s="774"/>
      <c r="EF192" s="774"/>
      <c r="EG192" s="774"/>
      <c r="EH192" s="10"/>
      <c r="EI192" s="775"/>
      <c r="EJ192" s="179"/>
      <c r="EK192" s="179"/>
      <c r="EL192" s="179"/>
      <c r="EM192" s="10"/>
      <c r="EN192" s="179"/>
      <c r="EO192" s="179"/>
      <c r="EP192" s="179"/>
      <c r="EQ192" s="179"/>
      <c r="ER192" s="10"/>
      <c r="ES192" s="179"/>
      <c r="ET192" s="179"/>
      <c r="EU192" s="179"/>
      <c r="EV192" s="179"/>
      <c r="EW192" s="10"/>
      <c r="EX192" s="179"/>
      <c r="EY192" s="179"/>
      <c r="EZ192" s="179"/>
      <c r="FA192" s="179"/>
      <c r="FB192" s="10"/>
      <c r="FC192" s="179"/>
      <c r="FD192" s="179"/>
      <c r="FE192" s="179"/>
      <c r="FF192" s="179"/>
      <c r="FG192" s="10"/>
    </row>
    <row r="193" ht="12.75" customHeight="1">
      <c r="A193" s="4"/>
      <c r="B193" s="4"/>
      <c r="C193" s="4"/>
      <c r="D193" s="4"/>
      <c r="E193" s="4"/>
      <c r="F193" s="4"/>
      <c r="G193" s="4"/>
      <c r="H193" s="4"/>
      <c r="I193" s="4"/>
      <c r="J193" s="4"/>
      <c r="K193" s="4"/>
      <c r="L193" s="4"/>
      <c r="M193" s="4"/>
      <c r="N193" s="4"/>
      <c r="O193" s="4"/>
      <c r="P193" s="4"/>
      <c r="Q193" s="4"/>
      <c r="R193" s="45"/>
      <c r="S193" s="4"/>
      <c r="T193" s="4"/>
      <c r="U193" s="4"/>
      <c r="V193" s="4"/>
      <c r="W193" s="45"/>
      <c r="X193" s="4"/>
      <c r="Y193" s="4"/>
      <c r="Z193" s="4"/>
      <c r="AA193" s="4"/>
      <c r="AB193" s="45"/>
      <c r="AC193" s="179"/>
      <c r="AD193" s="179"/>
      <c r="AE193" s="179"/>
      <c r="AF193" s="179"/>
      <c r="AG193" s="45"/>
      <c r="AH193" s="4"/>
      <c r="AI193" s="4"/>
      <c r="AJ193" s="4"/>
      <c r="AK193" s="4"/>
      <c r="AL193" s="45"/>
      <c r="AM193" s="179"/>
      <c r="AN193" s="179"/>
      <c r="AO193" s="179"/>
      <c r="AP193" s="179"/>
      <c r="AQ193" s="8"/>
      <c r="AR193" s="179"/>
      <c r="AS193" s="179"/>
      <c r="AT193" s="179"/>
      <c r="AU193" s="179"/>
      <c r="AV193" s="8"/>
      <c r="AW193" s="179"/>
      <c r="AX193" s="179"/>
      <c r="AY193" s="179"/>
      <c r="AZ193" s="179"/>
      <c r="BA193" s="8"/>
      <c r="BB193" s="179"/>
      <c r="BC193" s="179"/>
      <c r="BD193" s="179"/>
      <c r="BE193" s="179"/>
      <c r="BF193" s="8"/>
      <c r="BG193" s="179"/>
      <c r="BH193" s="179"/>
      <c r="BI193" s="179"/>
      <c r="BJ193" s="179"/>
      <c r="BK193" s="8"/>
      <c r="BL193" s="179"/>
      <c r="BM193" s="179"/>
      <c r="BN193" s="179"/>
      <c r="BO193" s="179"/>
      <c r="BP193" s="8"/>
      <c r="BQ193" s="179"/>
      <c r="BR193" s="179"/>
      <c r="BS193" s="179"/>
      <c r="BT193" s="179"/>
      <c r="BU193" s="8"/>
      <c r="BV193" s="179"/>
      <c r="BW193" s="179"/>
      <c r="BX193" s="179"/>
      <c r="BY193" s="179"/>
      <c r="BZ193" s="8"/>
      <c r="CA193" s="179"/>
      <c r="CB193" s="179"/>
      <c r="CC193" s="179"/>
      <c r="CD193" s="179"/>
      <c r="CE193" s="8"/>
      <c r="CF193" s="179"/>
      <c r="CG193" s="179"/>
      <c r="CH193" s="179"/>
      <c r="CI193" s="179"/>
      <c r="CJ193" s="8"/>
      <c r="CK193" s="179"/>
      <c r="CL193" s="179"/>
      <c r="CM193" s="179"/>
      <c r="CN193" s="179"/>
      <c r="CO193" s="8"/>
      <c r="CP193" s="179"/>
      <c r="CQ193" s="179"/>
      <c r="CR193" s="179"/>
      <c r="CS193" s="179"/>
      <c r="CT193" s="8"/>
      <c r="CU193" s="179"/>
      <c r="CV193" s="179"/>
      <c r="CW193" s="179"/>
      <c r="CX193" s="179"/>
      <c r="CY193" s="10"/>
      <c r="CZ193" s="179"/>
      <c r="DA193" s="179"/>
      <c r="DB193" s="179"/>
      <c r="DC193" s="179"/>
      <c r="DD193" s="10"/>
      <c r="DE193" s="179"/>
      <c r="DF193" s="179"/>
      <c r="DG193" s="774"/>
      <c r="DH193" s="179"/>
      <c r="DI193" s="10"/>
      <c r="DJ193" s="774"/>
      <c r="DK193" s="774"/>
      <c r="DL193" s="774"/>
      <c r="DM193" s="179"/>
      <c r="DN193" s="10"/>
      <c r="DO193" s="179"/>
      <c r="DP193" s="179"/>
      <c r="DQ193" s="774"/>
      <c r="DR193" s="774"/>
      <c r="DS193" s="10"/>
      <c r="DT193" s="774"/>
      <c r="DU193" s="774"/>
      <c r="DV193" s="774"/>
      <c r="DW193" s="774"/>
      <c r="DX193" s="10"/>
      <c r="DY193" s="774"/>
      <c r="DZ193" s="774"/>
      <c r="EA193" s="774"/>
      <c r="EB193" s="774"/>
      <c r="EC193" s="10"/>
      <c r="ED193" s="774"/>
      <c r="EE193" s="774"/>
      <c r="EF193" s="774"/>
      <c r="EG193" s="774"/>
      <c r="EH193" s="10"/>
      <c r="EI193" s="775"/>
      <c r="EJ193" s="179"/>
      <c r="EK193" s="179"/>
      <c r="EL193" s="179"/>
      <c r="EM193" s="10"/>
      <c r="EN193" s="179"/>
      <c r="EO193" s="179"/>
      <c r="EP193" s="179"/>
      <c r="EQ193" s="179"/>
      <c r="ER193" s="10"/>
      <c r="ES193" s="179"/>
      <c r="ET193" s="179"/>
      <c r="EU193" s="179"/>
      <c r="EV193" s="179"/>
      <c r="EW193" s="10"/>
      <c r="EX193" s="179"/>
      <c r="EY193" s="179"/>
      <c r="EZ193" s="179"/>
      <c r="FA193" s="179"/>
      <c r="FB193" s="10"/>
      <c r="FC193" s="179"/>
      <c r="FD193" s="179"/>
      <c r="FE193" s="179"/>
      <c r="FF193" s="179"/>
      <c r="FG193" s="10"/>
    </row>
    <row r="194" ht="12.75" customHeight="1">
      <c r="A194" s="4"/>
      <c r="B194" s="4"/>
      <c r="C194" s="4"/>
      <c r="D194" s="4"/>
      <c r="E194" s="4"/>
      <c r="F194" s="4"/>
      <c r="G194" s="4"/>
      <c r="H194" s="4"/>
      <c r="I194" s="4"/>
      <c r="J194" s="4"/>
      <c r="K194" s="4"/>
      <c r="L194" s="4"/>
      <c r="M194" s="4"/>
      <c r="N194" s="4"/>
      <c r="O194" s="4"/>
      <c r="P194" s="4"/>
      <c r="Q194" s="4"/>
      <c r="R194" s="45"/>
      <c r="S194" s="4"/>
      <c r="T194" s="4"/>
      <c r="U194" s="4"/>
      <c r="V194" s="4"/>
      <c r="W194" s="45"/>
      <c r="X194" s="4"/>
      <c r="Y194" s="4"/>
      <c r="Z194" s="4"/>
      <c r="AA194" s="4"/>
      <c r="AB194" s="45"/>
      <c r="AC194" s="179"/>
      <c r="AD194" s="179"/>
      <c r="AE194" s="179"/>
      <c r="AF194" s="179"/>
      <c r="AG194" s="45"/>
      <c r="AH194" s="4"/>
      <c r="AI194" s="4"/>
      <c r="AJ194" s="4"/>
      <c r="AK194" s="4"/>
      <c r="AL194" s="45"/>
      <c r="AM194" s="179"/>
      <c r="AN194" s="179"/>
      <c r="AO194" s="179"/>
      <c r="AP194" s="179"/>
      <c r="AQ194" s="8"/>
      <c r="AR194" s="179"/>
      <c r="AS194" s="179"/>
      <c r="AT194" s="179"/>
      <c r="AU194" s="179"/>
      <c r="AV194" s="8"/>
      <c r="AW194" s="179"/>
      <c r="AX194" s="179"/>
      <c r="AY194" s="179"/>
      <c r="AZ194" s="179"/>
      <c r="BA194" s="8"/>
      <c r="BB194" s="179"/>
      <c r="BC194" s="179"/>
      <c r="BD194" s="179"/>
      <c r="BE194" s="179"/>
      <c r="BF194" s="8"/>
      <c r="BG194" s="179"/>
      <c r="BH194" s="179"/>
      <c r="BI194" s="179"/>
      <c r="BJ194" s="179"/>
      <c r="BK194" s="8"/>
      <c r="BL194" s="179"/>
      <c r="BM194" s="179"/>
      <c r="BN194" s="179"/>
      <c r="BO194" s="179"/>
      <c r="BP194" s="8"/>
      <c r="BQ194" s="179"/>
      <c r="BR194" s="179"/>
      <c r="BS194" s="179"/>
      <c r="BT194" s="179"/>
      <c r="BU194" s="8"/>
      <c r="BV194" s="179"/>
      <c r="BW194" s="179"/>
      <c r="BX194" s="179"/>
      <c r="BY194" s="179"/>
      <c r="BZ194" s="8"/>
      <c r="CA194" s="179"/>
      <c r="CB194" s="179"/>
      <c r="CC194" s="179"/>
      <c r="CD194" s="179"/>
      <c r="CE194" s="8"/>
      <c r="CF194" s="179"/>
      <c r="CG194" s="179"/>
      <c r="CH194" s="179"/>
      <c r="CI194" s="179"/>
      <c r="CJ194" s="8"/>
      <c r="CK194" s="179"/>
      <c r="CL194" s="179"/>
      <c r="CM194" s="179"/>
      <c r="CN194" s="179"/>
      <c r="CO194" s="8"/>
      <c r="CP194" s="179"/>
      <c r="CQ194" s="179"/>
      <c r="CR194" s="179"/>
      <c r="CS194" s="179"/>
      <c r="CT194" s="8"/>
      <c r="CU194" s="179"/>
      <c r="CV194" s="179"/>
      <c r="CW194" s="179"/>
      <c r="CX194" s="179"/>
      <c r="CY194" s="10"/>
      <c r="CZ194" s="179"/>
      <c r="DA194" s="179"/>
      <c r="DB194" s="179"/>
      <c r="DC194" s="179"/>
      <c r="DD194" s="10"/>
      <c r="DE194" s="179"/>
      <c r="DF194" s="179"/>
      <c r="DG194" s="774"/>
      <c r="DH194" s="179"/>
      <c r="DI194" s="10"/>
      <c r="DJ194" s="774"/>
      <c r="DK194" s="774"/>
      <c r="DL194" s="774"/>
      <c r="DM194" s="179"/>
      <c r="DN194" s="10"/>
      <c r="DO194" s="179"/>
      <c r="DP194" s="179"/>
      <c r="DQ194" s="774"/>
      <c r="DR194" s="774"/>
      <c r="DS194" s="10"/>
      <c r="DT194" s="774"/>
      <c r="DU194" s="774"/>
      <c r="DV194" s="774"/>
      <c r="DW194" s="774"/>
      <c r="DX194" s="10"/>
      <c r="DY194" s="774"/>
      <c r="DZ194" s="774"/>
      <c r="EA194" s="774"/>
      <c r="EB194" s="774"/>
      <c r="EC194" s="10"/>
      <c r="ED194" s="774"/>
      <c r="EE194" s="774"/>
      <c r="EF194" s="774"/>
      <c r="EG194" s="774"/>
      <c r="EH194" s="10"/>
      <c r="EI194" s="775"/>
      <c r="EJ194" s="179"/>
      <c r="EK194" s="179"/>
      <c r="EL194" s="179"/>
      <c r="EM194" s="10"/>
      <c r="EN194" s="179"/>
      <c r="EO194" s="179"/>
      <c r="EP194" s="179"/>
      <c r="EQ194" s="179"/>
      <c r="ER194" s="10"/>
      <c r="ES194" s="179"/>
      <c r="ET194" s="179"/>
      <c r="EU194" s="179"/>
      <c r="EV194" s="179"/>
      <c r="EW194" s="10"/>
      <c r="EX194" s="179"/>
      <c r="EY194" s="179"/>
      <c r="EZ194" s="179"/>
      <c r="FA194" s="179"/>
      <c r="FB194" s="10"/>
      <c r="FC194" s="179"/>
      <c r="FD194" s="179"/>
      <c r="FE194" s="179"/>
      <c r="FF194" s="179"/>
      <c r="FG194" s="10"/>
    </row>
    <row r="195" ht="12.75" customHeight="1">
      <c r="A195" s="4"/>
      <c r="B195" s="4"/>
      <c r="C195" s="4"/>
      <c r="D195" s="4"/>
      <c r="E195" s="4"/>
      <c r="F195" s="4"/>
      <c r="G195" s="4"/>
      <c r="H195" s="4"/>
      <c r="I195" s="4"/>
      <c r="J195" s="4"/>
      <c r="K195" s="4"/>
      <c r="L195" s="4"/>
      <c r="M195" s="4"/>
      <c r="N195" s="4"/>
      <c r="O195" s="4"/>
      <c r="P195" s="4"/>
      <c r="Q195" s="4"/>
      <c r="R195" s="45"/>
      <c r="S195" s="4"/>
      <c r="T195" s="4"/>
      <c r="U195" s="4"/>
      <c r="V195" s="4"/>
      <c r="W195" s="45"/>
      <c r="X195" s="4"/>
      <c r="Y195" s="4"/>
      <c r="Z195" s="4"/>
      <c r="AA195" s="4"/>
      <c r="AB195" s="45"/>
      <c r="AC195" s="179"/>
      <c r="AD195" s="179"/>
      <c r="AE195" s="179"/>
      <c r="AF195" s="179"/>
      <c r="AG195" s="45"/>
      <c r="AH195" s="4"/>
      <c r="AI195" s="4"/>
      <c r="AJ195" s="4"/>
      <c r="AK195" s="4"/>
      <c r="AL195" s="45"/>
      <c r="AM195" s="179"/>
      <c r="AN195" s="179"/>
      <c r="AO195" s="179"/>
      <c r="AP195" s="179"/>
      <c r="AQ195" s="8"/>
      <c r="AR195" s="179"/>
      <c r="AS195" s="179"/>
      <c r="AT195" s="179"/>
      <c r="AU195" s="179"/>
      <c r="AV195" s="8"/>
      <c r="AW195" s="179"/>
      <c r="AX195" s="179"/>
      <c r="AY195" s="179"/>
      <c r="AZ195" s="179"/>
      <c r="BA195" s="8"/>
      <c r="BB195" s="179"/>
      <c r="BC195" s="179"/>
      <c r="BD195" s="179"/>
      <c r="BE195" s="179"/>
      <c r="BF195" s="8"/>
      <c r="BG195" s="179"/>
      <c r="BH195" s="179"/>
      <c r="BI195" s="179"/>
      <c r="BJ195" s="179"/>
      <c r="BK195" s="8"/>
      <c r="BL195" s="179"/>
      <c r="BM195" s="179"/>
      <c r="BN195" s="179"/>
      <c r="BO195" s="179"/>
      <c r="BP195" s="8"/>
      <c r="BQ195" s="179"/>
      <c r="BR195" s="179"/>
      <c r="BS195" s="179"/>
      <c r="BT195" s="179"/>
      <c r="BU195" s="8"/>
      <c r="BV195" s="179"/>
      <c r="BW195" s="179"/>
      <c r="BX195" s="179"/>
      <c r="BY195" s="179"/>
      <c r="BZ195" s="8"/>
      <c r="CA195" s="179"/>
      <c r="CB195" s="179"/>
      <c r="CC195" s="179"/>
      <c r="CD195" s="179"/>
      <c r="CE195" s="8"/>
      <c r="CF195" s="179"/>
      <c r="CG195" s="179"/>
      <c r="CH195" s="179"/>
      <c r="CI195" s="179"/>
      <c r="CJ195" s="8"/>
      <c r="CK195" s="179"/>
      <c r="CL195" s="179"/>
      <c r="CM195" s="179"/>
      <c r="CN195" s="179"/>
      <c r="CO195" s="8"/>
      <c r="CP195" s="179"/>
      <c r="CQ195" s="179"/>
      <c r="CR195" s="179"/>
      <c r="CS195" s="179"/>
      <c r="CT195" s="8"/>
      <c r="CU195" s="179"/>
      <c r="CV195" s="179"/>
      <c r="CW195" s="179"/>
      <c r="CX195" s="179"/>
      <c r="CY195" s="10"/>
      <c r="CZ195" s="179"/>
      <c r="DA195" s="179"/>
      <c r="DB195" s="179"/>
      <c r="DC195" s="179"/>
      <c r="DD195" s="10"/>
      <c r="DE195" s="179"/>
      <c r="DF195" s="179"/>
      <c r="DG195" s="774"/>
      <c r="DH195" s="179"/>
      <c r="DI195" s="10"/>
      <c r="DJ195" s="774"/>
      <c r="DK195" s="774"/>
      <c r="DL195" s="774"/>
      <c r="DM195" s="179"/>
      <c r="DN195" s="10"/>
      <c r="DO195" s="179"/>
      <c r="DP195" s="179"/>
      <c r="DQ195" s="774"/>
      <c r="DR195" s="774"/>
      <c r="DS195" s="10"/>
      <c r="DT195" s="774"/>
      <c r="DU195" s="774"/>
      <c r="DV195" s="774"/>
      <c r="DW195" s="774"/>
      <c r="DX195" s="10"/>
      <c r="DY195" s="774"/>
      <c r="DZ195" s="774"/>
      <c r="EA195" s="774"/>
      <c r="EB195" s="774"/>
      <c r="EC195" s="10"/>
      <c r="ED195" s="774"/>
      <c r="EE195" s="774"/>
      <c r="EF195" s="774"/>
      <c r="EG195" s="774"/>
      <c r="EH195" s="10"/>
      <c r="EI195" s="775"/>
      <c r="EJ195" s="179"/>
      <c r="EK195" s="179"/>
      <c r="EL195" s="179"/>
      <c r="EM195" s="10"/>
      <c r="EN195" s="179"/>
      <c r="EO195" s="179"/>
      <c r="EP195" s="179"/>
      <c r="EQ195" s="179"/>
      <c r="ER195" s="10"/>
      <c r="ES195" s="179"/>
      <c r="ET195" s="179"/>
      <c r="EU195" s="179"/>
      <c r="EV195" s="179"/>
      <c r="EW195" s="10"/>
      <c r="EX195" s="179"/>
      <c r="EY195" s="179"/>
      <c r="EZ195" s="179"/>
      <c r="FA195" s="179"/>
      <c r="FB195" s="10"/>
      <c r="FC195" s="179"/>
      <c r="FD195" s="179"/>
      <c r="FE195" s="179"/>
      <c r="FF195" s="179"/>
      <c r="FG195" s="10"/>
    </row>
    <row r="196" ht="12.75" customHeight="1">
      <c r="A196" s="4"/>
      <c r="B196" s="4"/>
      <c r="C196" s="4"/>
      <c r="D196" s="4"/>
      <c r="E196" s="4"/>
      <c r="F196" s="4"/>
      <c r="G196" s="4"/>
      <c r="H196" s="4"/>
      <c r="I196" s="4"/>
      <c r="J196" s="4"/>
      <c r="K196" s="4"/>
      <c r="L196" s="4"/>
      <c r="M196" s="4"/>
      <c r="N196" s="4"/>
      <c r="O196" s="4"/>
      <c r="P196" s="4"/>
      <c r="Q196" s="4"/>
      <c r="R196" s="45"/>
      <c r="S196" s="4"/>
      <c r="T196" s="4"/>
      <c r="U196" s="4"/>
      <c r="V196" s="4"/>
      <c r="W196" s="45"/>
      <c r="X196" s="4"/>
      <c r="Y196" s="4"/>
      <c r="Z196" s="4"/>
      <c r="AA196" s="4"/>
      <c r="AB196" s="45"/>
      <c r="AC196" s="179"/>
      <c r="AD196" s="179"/>
      <c r="AE196" s="179"/>
      <c r="AF196" s="179"/>
      <c r="AG196" s="45"/>
      <c r="AH196" s="4"/>
      <c r="AI196" s="4"/>
      <c r="AJ196" s="4"/>
      <c r="AK196" s="4"/>
      <c r="AL196" s="45"/>
      <c r="AM196" s="179"/>
      <c r="AN196" s="179"/>
      <c r="AO196" s="179"/>
      <c r="AP196" s="179"/>
      <c r="AQ196" s="8"/>
      <c r="AR196" s="179"/>
      <c r="AS196" s="179"/>
      <c r="AT196" s="179"/>
      <c r="AU196" s="179"/>
      <c r="AV196" s="8"/>
      <c r="AW196" s="179"/>
      <c r="AX196" s="179"/>
      <c r="AY196" s="179"/>
      <c r="AZ196" s="179"/>
      <c r="BA196" s="8"/>
      <c r="BB196" s="179"/>
      <c r="BC196" s="179"/>
      <c r="BD196" s="179"/>
      <c r="BE196" s="179"/>
      <c r="BF196" s="8"/>
      <c r="BG196" s="179"/>
      <c r="BH196" s="179"/>
      <c r="BI196" s="179"/>
      <c r="BJ196" s="179"/>
      <c r="BK196" s="8"/>
      <c r="BL196" s="179"/>
      <c r="BM196" s="179"/>
      <c r="BN196" s="179"/>
      <c r="BO196" s="179"/>
      <c r="BP196" s="8"/>
      <c r="BQ196" s="179"/>
      <c r="BR196" s="179"/>
      <c r="BS196" s="179"/>
      <c r="BT196" s="179"/>
      <c r="BU196" s="8"/>
      <c r="BV196" s="179"/>
      <c r="BW196" s="179"/>
      <c r="BX196" s="179"/>
      <c r="BY196" s="179"/>
      <c r="BZ196" s="8"/>
      <c r="CA196" s="179"/>
      <c r="CB196" s="179"/>
      <c r="CC196" s="179"/>
      <c r="CD196" s="179"/>
      <c r="CE196" s="8"/>
      <c r="CF196" s="179"/>
      <c r="CG196" s="179"/>
      <c r="CH196" s="179"/>
      <c r="CI196" s="179"/>
      <c r="CJ196" s="8"/>
      <c r="CK196" s="179"/>
      <c r="CL196" s="179"/>
      <c r="CM196" s="179"/>
      <c r="CN196" s="179"/>
      <c r="CO196" s="8"/>
      <c r="CP196" s="179"/>
      <c r="CQ196" s="179"/>
      <c r="CR196" s="179"/>
      <c r="CS196" s="179"/>
      <c r="CT196" s="8"/>
      <c r="CU196" s="179"/>
      <c r="CV196" s="179"/>
      <c r="CW196" s="179"/>
      <c r="CX196" s="179"/>
      <c r="CY196" s="10"/>
      <c r="CZ196" s="179"/>
      <c r="DA196" s="179"/>
      <c r="DB196" s="179"/>
      <c r="DC196" s="179"/>
      <c r="DD196" s="10"/>
      <c r="DE196" s="179"/>
      <c r="DF196" s="179"/>
      <c r="DG196" s="774"/>
      <c r="DH196" s="179"/>
      <c r="DI196" s="10"/>
      <c r="DJ196" s="774"/>
      <c r="DK196" s="774"/>
      <c r="DL196" s="774"/>
      <c r="DM196" s="179"/>
      <c r="DN196" s="10"/>
      <c r="DO196" s="179"/>
      <c r="DP196" s="179"/>
      <c r="DQ196" s="774"/>
      <c r="DR196" s="774"/>
      <c r="DS196" s="10"/>
      <c r="DT196" s="774"/>
      <c r="DU196" s="774"/>
      <c r="DV196" s="774"/>
      <c r="DW196" s="774"/>
      <c r="DX196" s="10"/>
      <c r="DY196" s="774"/>
      <c r="DZ196" s="774"/>
      <c r="EA196" s="774"/>
      <c r="EB196" s="774"/>
      <c r="EC196" s="10"/>
      <c r="ED196" s="774"/>
      <c r="EE196" s="774"/>
      <c r="EF196" s="774"/>
      <c r="EG196" s="774"/>
      <c r="EH196" s="10"/>
      <c r="EI196" s="775"/>
      <c r="EJ196" s="179"/>
      <c r="EK196" s="179"/>
      <c r="EL196" s="179"/>
      <c r="EM196" s="10"/>
      <c r="EN196" s="179"/>
      <c r="EO196" s="179"/>
      <c r="EP196" s="179"/>
      <c r="EQ196" s="179"/>
      <c r="ER196" s="10"/>
      <c r="ES196" s="179"/>
      <c r="ET196" s="179"/>
      <c r="EU196" s="179"/>
      <c r="EV196" s="179"/>
      <c r="EW196" s="10"/>
      <c r="EX196" s="179"/>
      <c r="EY196" s="179"/>
      <c r="EZ196" s="179"/>
      <c r="FA196" s="179"/>
      <c r="FB196" s="10"/>
      <c r="FC196" s="179"/>
      <c r="FD196" s="179"/>
      <c r="FE196" s="179"/>
      <c r="FF196" s="179"/>
      <c r="FG196" s="10"/>
    </row>
    <row r="197" ht="12.75" customHeight="1">
      <c r="A197" s="4"/>
      <c r="B197" s="4"/>
      <c r="C197" s="4"/>
      <c r="D197" s="4"/>
      <c r="E197" s="4"/>
      <c r="F197" s="4"/>
      <c r="G197" s="4"/>
      <c r="H197" s="4"/>
      <c r="I197" s="4"/>
      <c r="J197" s="4"/>
      <c r="K197" s="4"/>
      <c r="L197" s="4"/>
      <c r="M197" s="4"/>
      <c r="N197" s="4"/>
      <c r="O197" s="4"/>
      <c r="P197" s="4"/>
      <c r="Q197" s="4"/>
      <c r="R197" s="45"/>
      <c r="S197" s="4"/>
      <c r="T197" s="4"/>
      <c r="U197" s="4"/>
      <c r="V197" s="4"/>
      <c r="W197" s="45"/>
      <c r="X197" s="4"/>
      <c r="Y197" s="4"/>
      <c r="Z197" s="4"/>
      <c r="AA197" s="4"/>
      <c r="AB197" s="45"/>
      <c r="AC197" s="179"/>
      <c r="AD197" s="179"/>
      <c r="AE197" s="179"/>
      <c r="AF197" s="179"/>
      <c r="AG197" s="45"/>
      <c r="AH197" s="4"/>
      <c r="AI197" s="4"/>
      <c r="AJ197" s="4"/>
      <c r="AK197" s="4"/>
      <c r="AL197" s="45"/>
      <c r="AM197" s="179"/>
      <c r="AN197" s="179"/>
      <c r="AO197" s="179"/>
      <c r="AP197" s="179"/>
      <c r="AQ197" s="8"/>
      <c r="AR197" s="179"/>
      <c r="AS197" s="179"/>
      <c r="AT197" s="179"/>
      <c r="AU197" s="179"/>
      <c r="AV197" s="8"/>
      <c r="AW197" s="179"/>
      <c r="AX197" s="179"/>
      <c r="AY197" s="179"/>
      <c r="AZ197" s="179"/>
      <c r="BA197" s="8"/>
      <c r="BB197" s="179"/>
      <c r="BC197" s="179"/>
      <c r="BD197" s="179"/>
      <c r="BE197" s="179"/>
      <c r="BF197" s="8"/>
      <c r="BG197" s="179"/>
      <c r="BH197" s="179"/>
      <c r="BI197" s="179"/>
      <c r="BJ197" s="179"/>
      <c r="BK197" s="8"/>
      <c r="BL197" s="179"/>
      <c r="BM197" s="179"/>
      <c r="BN197" s="179"/>
      <c r="BO197" s="179"/>
      <c r="BP197" s="8"/>
      <c r="BQ197" s="179"/>
      <c r="BR197" s="179"/>
      <c r="BS197" s="179"/>
      <c r="BT197" s="179"/>
      <c r="BU197" s="8"/>
      <c r="BV197" s="179"/>
      <c r="BW197" s="179"/>
      <c r="BX197" s="179"/>
      <c r="BY197" s="179"/>
      <c r="BZ197" s="8"/>
      <c r="CA197" s="179"/>
      <c r="CB197" s="179"/>
      <c r="CC197" s="179"/>
      <c r="CD197" s="179"/>
      <c r="CE197" s="8"/>
      <c r="CF197" s="179"/>
      <c r="CG197" s="179"/>
      <c r="CH197" s="179"/>
      <c r="CI197" s="179"/>
      <c r="CJ197" s="8"/>
      <c r="CK197" s="179"/>
      <c r="CL197" s="179"/>
      <c r="CM197" s="179"/>
      <c r="CN197" s="179"/>
      <c r="CO197" s="8"/>
      <c r="CP197" s="179"/>
      <c r="CQ197" s="179"/>
      <c r="CR197" s="179"/>
      <c r="CS197" s="179"/>
      <c r="CT197" s="8"/>
      <c r="CU197" s="179"/>
      <c r="CV197" s="179"/>
      <c r="CW197" s="179"/>
      <c r="CX197" s="179"/>
      <c r="CY197" s="10"/>
      <c r="CZ197" s="179"/>
      <c r="DA197" s="179"/>
      <c r="DB197" s="179"/>
      <c r="DC197" s="179"/>
      <c r="DD197" s="10"/>
      <c r="DE197" s="179"/>
      <c r="DF197" s="179"/>
      <c r="DG197" s="774"/>
      <c r="DH197" s="179"/>
      <c r="DI197" s="10"/>
      <c r="DJ197" s="774"/>
      <c r="DK197" s="774"/>
      <c r="DL197" s="774"/>
      <c r="DM197" s="179"/>
      <c r="DN197" s="10"/>
      <c r="DO197" s="179"/>
      <c r="DP197" s="179"/>
      <c r="DQ197" s="774"/>
      <c r="DR197" s="774"/>
      <c r="DS197" s="10"/>
      <c r="DT197" s="774"/>
      <c r="DU197" s="774"/>
      <c r="DV197" s="774"/>
      <c r="DW197" s="774"/>
      <c r="DX197" s="10"/>
      <c r="DY197" s="774"/>
      <c r="DZ197" s="774"/>
      <c r="EA197" s="774"/>
      <c r="EB197" s="774"/>
      <c r="EC197" s="10"/>
      <c r="ED197" s="774"/>
      <c r="EE197" s="774"/>
      <c r="EF197" s="774"/>
      <c r="EG197" s="774"/>
      <c r="EH197" s="10"/>
      <c r="EI197" s="775"/>
      <c r="EJ197" s="179"/>
      <c r="EK197" s="179"/>
      <c r="EL197" s="179"/>
      <c r="EM197" s="10"/>
      <c r="EN197" s="179"/>
      <c r="EO197" s="179"/>
      <c r="EP197" s="179"/>
      <c r="EQ197" s="179"/>
      <c r="ER197" s="10"/>
      <c r="ES197" s="179"/>
      <c r="ET197" s="179"/>
      <c r="EU197" s="179"/>
      <c r="EV197" s="179"/>
      <c r="EW197" s="10"/>
      <c r="EX197" s="179"/>
      <c r="EY197" s="179"/>
      <c r="EZ197" s="179"/>
      <c r="FA197" s="179"/>
      <c r="FB197" s="10"/>
      <c r="FC197" s="179"/>
      <c r="FD197" s="179"/>
      <c r="FE197" s="179"/>
      <c r="FF197" s="179"/>
      <c r="FG197" s="10"/>
    </row>
    <row r="198" ht="12.75" customHeight="1">
      <c r="A198" s="4"/>
      <c r="B198" s="4"/>
      <c r="C198" s="4"/>
      <c r="D198" s="4"/>
      <c r="E198" s="4"/>
      <c r="F198" s="4"/>
      <c r="G198" s="4"/>
      <c r="H198" s="4"/>
      <c r="I198" s="4"/>
      <c r="J198" s="4"/>
      <c r="K198" s="4"/>
      <c r="L198" s="4"/>
      <c r="M198" s="4"/>
      <c r="N198" s="4"/>
      <c r="O198" s="4"/>
      <c r="P198" s="4"/>
      <c r="Q198" s="4"/>
      <c r="R198" s="45"/>
      <c r="S198" s="4"/>
      <c r="T198" s="4"/>
      <c r="U198" s="4"/>
      <c r="V198" s="4"/>
      <c r="W198" s="45"/>
      <c r="X198" s="4"/>
      <c r="Y198" s="4"/>
      <c r="Z198" s="4"/>
      <c r="AA198" s="4"/>
      <c r="AB198" s="45"/>
      <c r="AC198" s="179"/>
      <c r="AD198" s="179"/>
      <c r="AE198" s="179"/>
      <c r="AF198" s="179"/>
      <c r="AG198" s="45"/>
      <c r="AH198" s="4"/>
      <c r="AI198" s="4"/>
      <c r="AJ198" s="4"/>
      <c r="AK198" s="4"/>
      <c r="AL198" s="45"/>
      <c r="AM198" s="179"/>
      <c r="AN198" s="179"/>
      <c r="AO198" s="179"/>
      <c r="AP198" s="179"/>
      <c r="AQ198" s="8"/>
      <c r="AR198" s="179"/>
      <c r="AS198" s="179"/>
      <c r="AT198" s="179"/>
      <c r="AU198" s="179"/>
      <c r="AV198" s="8"/>
      <c r="AW198" s="179"/>
      <c r="AX198" s="179"/>
      <c r="AY198" s="179"/>
      <c r="AZ198" s="179"/>
      <c r="BA198" s="8"/>
      <c r="BB198" s="179"/>
      <c r="BC198" s="179"/>
      <c r="BD198" s="179"/>
      <c r="BE198" s="179"/>
      <c r="BF198" s="8"/>
      <c r="BG198" s="179"/>
      <c r="BH198" s="179"/>
      <c r="BI198" s="179"/>
      <c r="BJ198" s="179"/>
      <c r="BK198" s="8"/>
      <c r="BL198" s="179"/>
      <c r="BM198" s="179"/>
      <c r="BN198" s="179"/>
      <c r="BO198" s="179"/>
      <c r="BP198" s="8"/>
      <c r="BQ198" s="179"/>
      <c r="BR198" s="179"/>
      <c r="BS198" s="179"/>
      <c r="BT198" s="179"/>
      <c r="BU198" s="8"/>
      <c r="BV198" s="179"/>
      <c r="BW198" s="179"/>
      <c r="BX198" s="179"/>
      <c r="BY198" s="179"/>
      <c r="BZ198" s="8"/>
      <c r="CA198" s="179"/>
      <c r="CB198" s="179"/>
      <c r="CC198" s="179"/>
      <c r="CD198" s="179"/>
      <c r="CE198" s="8"/>
      <c r="CF198" s="179"/>
      <c r="CG198" s="179"/>
      <c r="CH198" s="179"/>
      <c r="CI198" s="179"/>
      <c r="CJ198" s="8"/>
      <c r="CK198" s="179"/>
      <c r="CL198" s="179"/>
      <c r="CM198" s="179"/>
      <c r="CN198" s="179"/>
      <c r="CO198" s="8"/>
      <c r="CP198" s="179"/>
      <c r="CQ198" s="179"/>
      <c r="CR198" s="179"/>
      <c r="CS198" s="179"/>
      <c r="CT198" s="8"/>
      <c r="CU198" s="179"/>
      <c r="CV198" s="179"/>
      <c r="CW198" s="179"/>
      <c r="CX198" s="179"/>
      <c r="CY198" s="10"/>
      <c r="CZ198" s="179"/>
      <c r="DA198" s="179"/>
      <c r="DB198" s="179"/>
      <c r="DC198" s="179"/>
      <c r="DD198" s="10"/>
      <c r="DE198" s="179"/>
      <c r="DF198" s="179"/>
      <c r="DG198" s="774"/>
      <c r="DH198" s="179"/>
      <c r="DI198" s="10"/>
      <c r="DJ198" s="774"/>
      <c r="DK198" s="774"/>
      <c r="DL198" s="774"/>
      <c r="DM198" s="179"/>
      <c r="DN198" s="10"/>
      <c r="DO198" s="179"/>
      <c r="DP198" s="179"/>
      <c r="DQ198" s="774"/>
      <c r="DR198" s="774"/>
      <c r="DS198" s="10"/>
      <c r="DT198" s="774"/>
      <c r="DU198" s="774"/>
      <c r="DV198" s="774"/>
      <c r="DW198" s="774"/>
      <c r="DX198" s="10"/>
      <c r="DY198" s="774"/>
      <c r="DZ198" s="774"/>
      <c r="EA198" s="774"/>
      <c r="EB198" s="774"/>
      <c r="EC198" s="10"/>
      <c r="ED198" s="774"/>
      <c r="EE198" s="774"/>
      <c r="EF198" s="774"/>
      <c r="EG198" s="774"/>
      <c r="EH198" s="10"/>
      <c r="EI198" s="775"/>
      <c r="EJ198" s="179"/>
      <c r="EK198" s="179"/>
      <c r="EL198" s="179"/>
      <c r="EM198" s="10"/>
      <c r="EN198" s="179"/>
      <c r="EO198" s="179"/>
      <c r="EP198" s="179"/>
      <c r="EQ198" s="179"/>
      <c r="ER198" s="10"/>
      <c r="ES198" s="179"/>
      <c r="ET198" s="179"/>
      <c r="EU198" s="179"/>
      <c r="EV198" s="179"/>
      <c r="EW198" s="10"/>
      <c r="EX198" s="179"/>
      <c r="EY198" s="179"/>
      <c r="EZ198" s="179"/>
      <c r="FA198" s="179"/>
      <c r="FB198" s="10"/>
      <c r="FC198" s="179"/>
      <c r="FD198" s="179"/>
      <c r="FE198" s="179"/>
      <c r="FF198" s="179"/>
      <c r="FG198" s="10"/>
    </row>
    <row r="199" ht="12.75" customHeight="1">
      <c r="A199" s="4"/>
      <c r="B199" s="4"/>
      <c r="C199" s="4"/>
      <c r="D199" s="4"/>
      <c r="E199" s="4"/>
      <c r="F199" s="4"/>
      <c r="G199" s="4"/>
      <c r="H199" s="4"/>
      <c r="I199" s="4"/>
      <c r="J199" s="4"/>
      <c r="K199" s="4"/>
      <c r="L199" s="4"/>
      <c r="M199" s="4"/>
      <c r="N199" s="4"/>
      <c r="O199" s="4"/>
      <c r="P199" s="4"/>
      <c r="Q199" s="4"/>
      <c r="R199" s="45"/>
      <c r="S199" s="4"/>
      <c r="T199" s="4"/>
      <c r="U199" s="4"/>
      <c r="V199" s="4"/>
      <c r="W199" s="45"/>
      <c r="X199" s="4"/>
      <c r="Y199" s="4"/>
      <c r="Z199" s="4"/>
      <c r="AA199" s="4"/>
      <c r="AB199" s="45"/>
      <c r="AC199" s="179"/>
      <c r="AD199" s="179"/>
      <c r="AE199" s="179"/>
      <c r="AF199" s="179"/>
      <c r="AG199" s="45"/>
      <c r="AH199" s="4"/>
      <c r="AI199" s="4"/>
      <c r="AJ199" s="4"/>
      <c r="AK199" s="4"/>
      <c r="AL199" s="45"/>
      <c r="AM199" s="179"/>
      <c r="AN199" s="179"/>
      <c r="AO199" s="179"/>
      <c r="AP199" s="179"/>
      <c r="AQ199" s="8"/>
      <c r="AR199" s="179"/>
      <c r="AS199" s="179"/>
      <c r="AT199" s="179"/>
      <c r="AU199" s="179"/>
      <c r="AV199" s="8"/>
      <c r="AW199" s="179">
        <f>AU199*0.9</f>
        <v>0</v>
      </c>
      <c r="AX199" s="179">
        <f>AW199*1.1</f>
        <v>0</v>
      </c>
      <c r="AY199" s="179"/>
      <c r="AZ199" s="179"/>
      <c r="BA199" s="8"/>
      <c r="BB199" s="179">
        <f>AZ199*1.18</f>
        <v>0</v>
      </c>
      <c r="BC199" s="179">
        <f>BB199*1.08</f>
        <v>0</v>
      </c>
      <c r="BD199" s="179"/>
      <c r="BE199" s="179"/>
      <c r="BF199" s="8"/>
      <c r="BG199" s="179"/>
      <c r="BH199" s="179"/>
      <c r="BI199" s="179"/>
      <c r="BJ199" s="179"/>
      <c r="BK199" s="8"/>
      <c r="BL199" s="179"/>
      <c r="BM199" s="179"/>
      <c r="BN199" s="179"/>
      <c r="BO199" s="179"/>
      <c r="BP199" s="8"/>
      <c r="BQ199" s="179"/>
      <c r="BR199" s="179"/>
      <c r="BS199" s="179"/>
      <c r="BT199" s="179"/>
      <c r="BU199" s="8"/>
      <c r="BV199" s="179"/>
      <c r="BW199" s="179"/>
      <c r="BX199" s="179"/>
      <c r="BY199" s="179"/>
      <c r="BZ199" s="8"/>
      <c r="CA199" s="179"/>
      <c r="CB199" s="179"/>
      <c r="CC199" s="179"/>
      <c r="CD199" s="179"/>
      <c r="CE199" s="8"/>
      <c r="CF199" s="179"/>
      <c r="CG199" s="179"/>
      <c r="CH199" s="179"/>
      <c r="CI199" s="179"/>
      <c r="CJ199" s="8"/>
      <c r="CK199" s="179"/>
      <c r="CL199" s="179"/>
      <c r="CM199" s="179"/>
      <c r="CN199" s="179"/>
      <c r="CO199" s="8"/>
      <c r="CP199" s="179"/>
      <c r="CQ199" s="179"/>
      <c r="CR199" s="179"/>
      <c r="CS199" s="179"/>
      <c r="CT199" s="8"/>
      <c r="CU199" s="179"/>
      <c r="CV199" s="179"/>
      <c r="CW199" s="179"/>
      <c r="CX199" s="179"/>
      <c r="CY199" s="10"/>
      <c r="CZ199" s="179"/>
      <c r="DA199" s="179"/>
      <c r="DB199" s="179"/>
      <c r="DC199" s="179"/>
      <c r="DD199" s="10"/>
      <c r="DE199" s="179"/>
      <c r="DF199" s="179"/>
      <c r="DG199" s="774"/>
      <c r="DH199" s="179"/>
      <c r="DI199" s="10"/>
      <c r="DJ199" s="774"/>
      <c r="DK199" s="774"/>
      <c r="DL199" s="774"/>
      <c r="DM199" s="179"/>
      <c r="DN199" s="10"/>
      <c r="DO199" s="179"/>
      <c r="DP199" s="179"/>
      <c r="DQ199" s="774"/>
      <c r="DR199" s="774"/>
      <c r="DS199" s="10"/>
      <c r="DT199" s="774"/>
      <c r="DU199" s="774"/>
      <c r="DV199" s="774"/>
      <c r="DW199" s="774"/>
      <c r="DX199" s="10"/>
      <c r="DY199" s="774"/>
      <c r="DZ199" s="774"/>
      <c r="EA199" s="774"/>
      <c r="EB199" s="774"/>
      <c r="EC199" s="10"/>
      <c r="ED199" s="774"/>
      <c r="EE199" s="774"/>
      <c r="EF199" s="774"/>
      <c r="EG199" s="774"/>
      <c r="EH199" s="10"/>
      <c r="EI199" s="775"/>
      <c r="EJ199" s="179"/>
      <c r="EK199" s="179"/>
      <c r="EL199" s="179"/>
      <c r="EM199" s="10"/>
      <c r="EN199" s="179"/>
      <c r="EO199" s="179"/>
      <c r="EP199" s="179"/>
      <c r="EQ199" s="179"/>
      <c r="ER199" s="10"/>
      <c r="ES199" s="179"/>
      <c r="ET199" s="179"/>
      <c r="EU199" s="179"/>
      <c r="EV199" s="179"/>
      <c r="EW199" s="10"/>
      <c r="EX199" s="179"/>
      <c r="EY199" s="179"/>
      <c r="EZ199" s="179"/>
      <c r="FA199" s="179"/>
      <c r="FB199" s="10"/>
      <c r="FC199" s="179"/>
      <c r="FD199" s="179"/>
      <c r="FE199" s="179"/>
      <c r="FF199" s="179"/>
      <c r="FG199" s="10"/>
    </row>
    <row r="200" ht="12.75" customHeight="1">
      <c r="A200" s="4"/>
      <c r="B200" s="4"/>
      <c r="C200" s="4"/>
      <c r="D200" s="4"/>
      <c r="E200" s="4"/>
      <c r="F200" s="4"/>
      <c r="G200" s="4"/>
      <c r="H200" s="4"/>
      <c r="I200" s="4"/>
      <c r="J200" s="4"/>
      <c r="K200" s="4"/>
      <c r="L200" s="4"/>
      <c r="M200" s="4"/>
      <c r="N200" s="4"/>
      <c r="O200" s="4"/>
      <c r="P200" s="4"/>
      <c r="Q200" s="4"/>
      <c r="R200" s="45"/>
      <c r="S200" s="4"/>
      <c r="T200" s="4"/>
      <c r="U200" s="4"/>
      <c r="V200" s="4"/>
      <c r="W200" s="45"/>
      <c r="X200" s="4"/>
      <c r="Y200" s="4"/>
      <c r="Z200" s="4"/>
      <c r="AA200" s="4"/>
      <c r="AB200" s="45"/>
      <c r="AC200" s="179"/>
      <c r="AD200" s="179"/>
      <c r="AE200" s="179"/>
      <c r="AF200" s="179"/>
      <c r="AG200" s="45"/>
      <c r="AH200" s="4"/>
      <c r="AI200" s="4"/>
      <c r="AJ200" s="4"/>
      <c r="AK200" s="4"/>
      <c r="AL200" s="45"/>
      <c r="AM200" s="179"/>
      <c r="AN200" s="179"/>
      <c r="AO200" s="179"/>
      <c r="AP200" s="179"/>
      <c r="AQ200" s="8"/>
      <c r="AR200" s="179"/>
      <c r="AS200" s="179"/>
      <c r="AT200" s="179"/>
      <c r="AU200" s="179"/>
      <c r="AV200" s="8"/>
      <c r="AW200" s="179"/>
      <c r="AX200" s="179"/>
      <c r="AY200" s="179"/>
      <c r="AZ200" s="179"/>
      <c r="BA200" s="8"/>
      <c r="BB200" s="179"/>
      <c r="BC200" s="179"/>
      <c r="BD200" s="179"/>
      <c r="BE200" s="179"/>
      <c r="BF200" s="8"/>
      <c r="BG200" s="179"/>
      <c r="BH200" s="179"/>
      <c r="BI200" s="179"/>
      <c r="BJ200" s="179"/>
      <c r="BK200" s="8"/>
      <c r="BL200" s="179"/>
      <c r="BM200" s="179"/>
      <c r="BN200" s="179"/>
      <c r="BO200" s="179"/>
      <c r="BP200" s="8"/>
      <c r="BQ200" s="179"/>
      <c r="BR200" s="179"/>
      <c r="BS200" s="179"/>
      <c r="BT200" s="179"/>
      <c r="BU200" s="8"/>
      <c r="BV200" s="179"/>
      <c r="BW200" s="179"/>
      <c r="BX200" s="179"/>
      <c r="BY200" s="179"/>
      <c r="BZ200" s="8"/>
      <c r="CA200" s="179"/>
      <c r="CB200" s="179"/>
      <c r="CC200" s="179"/>
      <c r="CD200" s="179"/>
      <c r="CE200" s="8"/>
      <c r="CF200" s="179"/>
      <c r="CG200" s="179"/>
      <c r="CH200" s="179"/>
      <c r="CI200" s="179"/>
      <c r="CJ200" s="8"/>
      <c r="CK200" s="179"/>
      <c r="CL200" s="179"/>
      <c r="CM200" s="179"/>
      <c r="CN200" s="179"/>
      <c r="CO200" s="8"/>
      <c r="CP200" s="179"/>
      <c r="CQ200" s="179"/>
      <c r="CR200" s="179"/>
      <c r="CS200" s="179"/>
      <c r="CT200" s="8"/>
      <c r="CU200" s="179"/>
      <c r="CV200" s="179"/>
      <c r="CW200" s="179"/>
      <c r="CX200" s="179"/>
      <c r="CY200" s="10"/>
      <c r="CZ200" s="179"/>
      <c r="DA200" s="179"/>
      <c r="DB200" s="179"/>
      <c r="DC200" s="179"/>
      <c r="DD200" s="10"/>
      <c r="DE200" s="179"/>
      <c r="DF200" s="179"/>
      <c r="DG200" s="774"/>
      <c r="DH200" s="179"/>
      <c r="DI200" s="10"/>
      <c r="DJ200" s="774"/>
      <c r="DK200" s="774"/>
      <c r="DL200" s="774"/>
      <c r="DM200" s="179"/>
      <c r="DN200" s="10"/>
      <c r="DO200" s="179"/>
      <c r="DP200" s="179"/>
      <c r="DQ200" s="774"/>
      <c r="DR200" s="774"/>
      <c r="DS200" s="10"/>
      <c r="DT200" s="774"/>
      <c r="DU200" s="774"/>
      <c r="DV200" s="774"/>
      <c r="DW200" s="774"/>
      <c r="DX200" s="10"/>
      <c r="DY200" s="774"/>
      <c r="DZ200" s="774"/>
      <c r="EA200" s="774"/>
      <c r="EB200" s="774"/>
      <c r="EC200" s="10"/>
      <c r="ED200" s="774"/>
      <c r="EE200" s="774"/>
      <c r="EF200" s="774"/>
      <c r="EG200" s="774"/>
      <c r="EH200" s="10"/>
      <c r="EI200" s="775"/>
      <c r="EJ200" s="179"/>
      <c r="EK200" s="179"/>
      <c r="EL200" s="179"/>
      <c r="EM200" s="10"/>
      <c r="EN200" s="179"/>
      <c r="EO200" s="179"/>
      <c r="EP200" s="179"/>
      <c r="EQ200" s="179"/>
      <c r="ER200" s="10"/>
      <c r="ES200" s="179"/>
      <c r="ET200" s="179"/>
      <c r="EU200" s="179"/>
      <c r="EV200" s="179"/>
      <c r="EW200" s="10"/>
      <c r="EX200" s="179"/>
      <c r="EY200" s="179"/>
      <c r="EZ200" s="179"/>
      <c r="FA200" s="179"/>
      <c r="FB200" s="10"/>
      <c r="FC200" s="179"/>
      <c r="FD200" s="179"/>
      <c r="FE200" s="179"/>
      <c r="FF200" s="179"/>
      <c r="FG200" s="10"/>
    </row>
    <row r="201" ht="12.75" customHeight="1">
      <c r="A201" s="4"/>
      <c r="B201" s="4"/>
      <c r="C201" s="4"/>
      <c r="D201" s="4"/>
      <c r="E201" s="4"/>
      <c r="F201" s="4"/>
      <c r="G201" s="4"/>
      <c r="H201" s="4"/>
      <c r="I201" s="4"/>
      <c r="J201" s="4"/>
      <c r="K201" s="4"/>
      <c r="L201" s="4"/>
      <c r="M201" s="4"/>
      <c r="N201" s="4"/>
      <c r="O201" s="4"/>
      <c r="P201" s="4"/>
      <c r="Q201" s="4"/>
      <c r="R201" s="45"/>
      <c r="S201" s="4"/>
      <c r="T201" s="4"/>
      <c r="U201" s="4"/>
      <c r="V201" s="4"/>
      <c r="W201" s="45"/>
      <c r="X201" s="4"/>
      <c r="Y201" s="4"/>
      <c r="Z201" s="4"/>
      <c r="AA201" s="4"/>
      <c r="AB201" s="45"/>
      <c r="AC201" s="179"/>
      <c r="AD201" s="179"/>
      <c r="AE201" s="179"/>
      <c r="AF201" s="179"/>
      <c r="AG201" s="45"/>
      <c r="AH201" s="4"/>
      <c r="AI201" s="4"/>
      <c r="AJ201" s="4"/>
      <c r="AK201" s="4"/>
      <c r="AL201" s="45"/>
      <c r="AM201" s="179"/>
      <c r="AN201" s="179"/>
      <c r="AO201" s="179"/>
      <c r="AP201" s="179"/>
      <c r="AQ201" s="8"/>
      <c r="AR201" s="179"/>
      <c r="AS201" s="179"/>
      <c r="AT201" s="179"/>
      <c r="AU201" s="179"/>
      <c r="AV201" s="8"/>
      <c r="AW201" s="179"/>
      <c r="AX201" s="179"/>
      <c r="AY201" s="179"/>
      <c r="AZ201" s="179"/>
      <c r="BA201" s="8"/>
      <c r="BB201" s="179"/>
      <c r="BC201" s="179"/>
      <c r="BD201" s="179"/>
      <c r="BE201" s="179"/>
      <c r="BF201" s="8"/>
      <c r="BG201" s="179"/>
      <c r="BH201" s="179"/>
      <c r="BI201" s="179"/>
      <c r="BJ201" s="179"/>
      <c r="BK201" s="8"/>
      <c r="BL201" s="179"/>
      <c r="BM201" s="179"/>
      <c r="BN201" s="179"/>
      <c r="BO201" s="179"/>
      <c r="BP201" s="8"/>
      <c r="BQ201" s="179"/>
      <c r="BR201" s="179"/>
      <c r="BS201" s="179"/>
      <c r="BT201" s="179"/>
      <c r="BU201" s="8"/>
      <c r="BV201" s="179"/>
      <c r="BW201" s="179"/>
      <c r="BX201" s="179"/>
      <c r="BY201" s="179"/>
      <c r="BZ201" s="8"/>
      <c r="CA201" s="179"/>
      <c r="CB201" s="179"/>
      <c r="CC201" s="179"/>
      <c r="CD201" s="179"/>
      <c r="CE201" s="8"/>
      <c r="CF201" s="179"/>
      <c r="CG201" s="179"/>
      <c r="CH201" s="179"/>
      <c r="CI201" s="179"/>
      <c r="CJ201" s="8"/>
      <c r="CK201" s="179"/>
      <c r="CL201" s="179"/>
      <c r="CM201" s="179"/>
      <c r="CN201" s="179"/>
      <c r="CO201" s="8"/>
      <c r="CP201" s="179"/>
      <c r="CQ201" s="179"/>
      <c r="CR201" s="179"/>
      <c r="CS201" s="179"/>
      <c r="CT201" s="8"/>
      <c r="CU201" s="179"/>
      <c r="CV201" s="179"/>
      <c r="CW201" s="179"/>
      <c r="CX201" s="179"/>
      <c r="CY201" s="10"/>
      <c r="CZ201" s="179"/>
      <c r="DA201" s="179"/>
      <c r="DB201" s="179"/>
      <c r="DC201" s="179"/>
      <c r="DD201" s="10"/>
      <c r="DE201" s="179"/>
      <c r="DF201" s="179"/>
      <c r="DG201" s="774"/>
      <c r="DH201" s="179"/>
      <c r="DI201" s="10"/>
      <c r="DJ201" s="774"/>
      <c r="DK201" s="774"/>
      <c r="DL201" s="774"/>
      <c r="DM201" s="179"/>
      <c r="DN201" s="10"/>
      <c r="DO201" s="179"/>
      <c r="DP201" s="179"/>
      <c r="DQ201" s="774"/>
      <c r="DR201" s="774"/>
      <c r="DS201" s="10"/>
      <c r="DT201" s="774"/>
      <c r="DU201" s="774"/>
      <c r="DV201" s="774"/>
      <c r="DW201" s="774"/>
      <c r="DX201" s="10"/>
      <c r="DY201" s="774"/>
      <c r="DZ201" s="774"/>
      <c r="EA201" s="774"/>
      <c r="EB201" s="774"/>
      <c r="EC201" s="10"/>
      <c r="ED201" s="774"/>
      <c r="EE201" s="774"/>
      <c r="EF201" s="774"/>
      <c r="EG201" s="774"/>
      <c r="EH201" s="10"/>
      <c r="EI201" s="775"/>
      <c r="EJ201" s="179"/>
      <c r="EK201" s="179"/>
      <c r="EL201" s="179"/>
      <c r="EM201" s="10"/>
      <c r="EN201" s="179"/>
      <c r="EO201" s="179"/>
      <c r="EP201" s="179"/>
      <c r="EQ201" s="179"/>
      <c r="ER201" s="10"/>
      <c r="ES201" s="179"/>
      <c r="ET201" s="179"/>
      <c r="EU201" s="179"/>
      <c r="EV201" s="179"/>
      <c r="EW201" s="10"/>
      <c r="EX201" s="179"/>
      <c r="EY201" s="179"/>
      <c r="EZ201" s="179"/>
      <c r="FA201" s="179"/>
      <c r="FB201" s="10"/>
      <c r="FC201" s="179"/>
      <c r="FD201" s="179"/>
      <c r="FE201" s="179"/>
      <c r="FF201" s="179"/>
      <c r="FG201" s="10"/>
    </row>
    <row r="202" ht="12.75" customHeight="1">
      <c r="A202" s="4"/>
      <c r="B202" s="4"/>
      <c r="C202" s="4"/>
      <c r="D202" s="4"/>
      <c r="E202" s="4"/>
      <c r="F202" s="4"/>
      <c r="G202" s="4"/>
      <c r="H202" s="4"/>
      <c r="I202" s="4"/>
      <c r="J202" s="4"/>
      <c r="K202" s="4"/>
      <c r="L202" s="4"/>
      <c r="M202" s="4"/>
      <c r="N202" s="4"/>
      <c r="O202" s="4"/>
      <c r="P202" s="4"/>
      <c r="Q202" s="4"/>
      <c r="R202" s="45"/>
      <c r="S202" s="4"/>
      <c r="T202" s="4"/>
      <c r="U202" s="4"/>
      <c r="V202" s="4"/>
      <c r="W202" s="45"/>
      <c r="X202" s="4"/>
      <c r="Y202" s="4"/>
      <c r="Z202" s="4"/>
      <c r="AA202" s="4"/>
      <c r="AB202" s="45"/>
      <c r="AC202" s="179"/>
      <c r="AD202" s="179"/>
      <c r="AE202" s="179"/>
      <c r="AF202" s="179"/>
      <c r="AG202" s="45"/>
      <c r="AH202" s="4"/>
      <c r="AI202" s="4"/>
      <c r="AJ202" s="4"/>
      <c r="AK202" s="4"/>
      <c r="AL202" s="45"/>
      <c r="AM202" s="179"/>
      <c r="AN202" s="179"/>
      <c r="AO202" s="179"/>
      <c r="AP202" s="179"/>
      <c r="AQ202" s="8"/>
      <c r="AR202" s="179"/>
      <c r="AS202" s="179"/>
      <c r="AT202" s="179"/>
      <c r="AU202" s="179"/>
      <c r="AV202" s="8"/>
      <c r="AW202" s="179"/>
      <c r="AX202" s="179"/>
      <c r="AY202" s="179"/>
      <c r="AZ202" s="179"/>
      <c r="BA202" s="8"/>
      <c r="BB202" s="179"/>
      <c r="BC202" s="179"/>
      <c r="BD202" s="179"/>
      <c r="BE202" s="179"/>
      <c r="BF202" s="8"/>
      <c r="BG202" s="179"/>
      <c r="BH202" s="179"/>
      <c r="BI202" s="179"/>
      <c r="BJ202" s="179"/>
      <c r="BK202" s="8"/>
      <c r="BL202" s="179"/>
      <c r="BM202" s="179"/>
      <c r="BN202" s="179"/>
      <c r="BO202" s="179"/>
      <c r="BP202" s="8"/>
      <c r="BQ202" s="179"/>
      <c r="BR202" s="179"/>
      <c r="BS202" s="179"/>
      <c r="BT202" s="179"/>
      <c r="BU202" s="8"/>
      <c r="BV202" s="179"/>
      <c r="BW202" s="179"/>
      <c r="BX202" s="179"/>
      <c r="BY202" s="179"/>
      <c r="BZ202" s="8"/>
      <c r="CA202" s="179"/>
      <c r="CB202" s="179"/>
      <c r="CC202" s="179"/>
      <c r="CD202" s="179"/>
      <c r="CE202" s="8"/>
      <c r="CF202" s="179"/>
      <c r="CG202" s="179"/>
      <c r="CH202" s="179"/>
      <c r="CI202" s="179"/>
      <c r="CJ202" s="8"/>
      <c r="CK202" s="179"/>
      <c r="CL202" s="179"/>
      <c r="CM202" s="179"/>
      <c r="CN202" s="179"/>
      <c r="CO202" s="8"/>
      <c r="CP202" s="179"/>
      <c r="CQ202" s="179"/>
      <c r="CR202" s="179"/>
      <c r="CS202" s="179"/>
      <c r="CT202" s="8"/>
      <c r="CU202" s="179"/>
      <c r="CV202" s="179"/>
      <c r="CW202" s="179"/>
      <c r="CX202" s="179"/>
      <c r="CY202" s="10"/>
      <c r="CZ202" s="179"/>
      <c r="DA202" s="179"/>
      <c r="DB202" s="179"/>
      <c r="DC202" s="179"/>
      <c r="DD202" s="10"/>
      <c r="DE202" s="179"/>
      <c r="DF202" s="179"/>
      <c r="DG202" s="774"/>
      <c r="DH202" s="179"/>
      <c r="DI202" s="10"/>
      <c r="DJ202" s="774"/>
      <c r="DK202" s="774"/>
      <c r="DL202" s="774"/>
      <c r="DM202" s="179"/>
      <c r="DN202" s="10"/>
      <c r="DO202" s="179"/>
      <c r="DP202" s="179"/>
      <c r="DQ202" s="774"/>
      <c r="DR202" s="774"/>
      <c r="DS202" s="10"/>
      <c r="DT202" s="774"/>
      <c r="DU202" s="774"/>
      <c r="DV202" s="774"/>
      <c r="DW202" s="774"/>
      <c r="DX202" s="10"/>
      <c r="DY202" s="774"/>
      <c r="DZ202" s="774"/>
      <c r="EA202" s="774"/>
      <c r="EB202" s="774"/>
      <c r="EC202" s="10"/>
      <c r="ED202" s="774"/>
      <c r="EE202" s="774"/>
      <c r="EF202" s="774"/>
      <c r="EG202" s="774"/>
      <c r="EH202" s="10"/>
      <c r="EI202" s="775"/>
      <c r="EJ202" s="179"/>
      <c r="EK202" s="179"/>
      <c r="EL202" s="179"/>
      <c r="EM202" s="10"/>
      <c r="EN202" s="179"/>
      <c r="EO202" s="179"/>
      <c r="EP202" s="179"/>
      <c r="EQ202" s="179"/>
      <c r="ER202" s="10"/>
      <c r="ES202" s="179"/>
      <c r="ET202" s="179"/>
      <c r="EU202" s="179"/>
      <c r="EV202" s="179"/>
      <c r="EW202" s="10"/>
      <c r="EX202" s="179"/>
      <c r="EY202" s="179"/>
      <c r="EZ202" s="179"/>
      <c r="FA202" s="179"/>
      <c r="FB202" s="10"/>
      <c r="FC202" s="179"/>
      <c r="FD202" s="179"/>
      <c r="FE202" s="179"/>
      <c r="FF202" s="179"/>
      <c r="FG202" s="10"/>
    </row>
    <row r="203" ht="12.75" customHeight="1">
      <c r="A203" s="4"/>
      <c r="B203" s="4"/>
      <c r="C203" s="4"/>
      <c r="D203" s="4"/>
      <c r="E203" s="4"/>
      <c r="F203" s="4"/>
      <c r="G203" s="4"/>
      <c r="H203" s="4"/>
      <c r="I203" s="4"/>
      <c r="J203" s="4"/>
      <c r="K203" s="4"/>
      <c r="L203" s="4"/>
      <c r="M203" s="4"/>
      <c r="N203" s="4"/>
      <c r="O203" s="4"/>
      <c r="P203" s="4"/>
      <c r="Q203" s="4"/>
      <c r="R203" s="45"/>
      <c r="S203" s="4"/>
      <c r="T203" s="4"/>
      <c r="U203" s="4"/>
      <c r="V203" s="4"/>
      <c r="W203" s="45"/>
      <c r="X203" s="4"/>
      <c r="Y203" s="4"/>
      <c r="Z203" s="4"/>
      <c r="AA203" s="4"/>
      <c r="AB203" s="45"/>
      <c r="AC203" s="179"/>
      <c r="AD203" s="179"/>
      <c r="AE203" s="179"/>
      <c r="AF203" s="179"/>
      <c r="AG203" s="45"/>
      <c r="AH203" s="4"/>
      <c r="AI203" s="4"/>
      <c r="AJ203" s="4"/>
      <c r="AK203" s="4"/>
      <c r="AL203" s="45"/>
      <c r="AM203" s="179"/>
      <c r="AN203" s="179"/>
      <c r="AO203" s="179"/>
      <c r="AP203" s="179"/>
      <c r="AQ203" s="8"/>
      <c r="AR203" s="179"/>
      <c r="AS203" s="179"/>
      <c r="AT203" s="179"/>
      <c r="AU203" s="179"/>
      <c r="AV203" s="8"/>
      <c r="AW203" s="179">
        <f>AU203*0.9</f>
        <v>0</v>
      </c>
      <c r="AX203" s="179"/>
      <c r="AY203" s="179"/>
      <c r="AZ203" s="179"/>
      <c r="BA203" s="8"/>
      <c r="BB203" s="179"/>
      <c r="BC203" s="179"/>
      <c r="BD203" s="179"/>
      <c r="BE203" s="179"/>
      <c r="BF203" s="8"/>
      <c r="BG203" s="179"/>
      <c r="BH203" s="179"/>
      <c r="BI203" s="179"/>
      <c r="BJ203" s="179"/>
      <c r="BK203" s="8"/>
      <c r="BL203" s="179"/>
      <c r="BM203" s="179"/>
      <c r="BN203" s="179"/>
      <c r="BO203" s="179"/>
      <c r="BP203" s="8"/>
      <c r="BQ203" s="179"/>
      <c r="BR203" s="179"/>
      <c r="BS203" s="179"/>
      <c r="BT203" s="179"/>
      <c r="BU203" s="8"/>
      <c r="BV203" s="179"/>
      <c r="BW203" s="179"/>
      <c r="BX203" s="179"/>
      <c r="BY203" s="179"/>
      <c r="BZ203" s="8"/>
      <c r="CA203" s="179"/>
      <c r="CB203" s="179"/>
      <c r="CC203" s="179"/>
      <c r="CD203" s="179"/>
      <c r="CE203" s="8"/>
      <c r="CF203" s="179"/>
      <c r="CG203" s="179"/>
      <c r="CH203" s="179"/>
      <c r="CI203" s="179"/>
      <c r="CJ203" s="8"/>
      <c r="CK203" s="179"/>
      <c r="CL203" s="179"/>
      <c r="CM203" s="179"/>
      <c r="CN203" s="179"/>
      <c r="CO203" s="8"/>
      <c r="CP203" s="179"/>
      <c r="CQ203" s="179"/>
      <c r="CR203" s="179"/>
      <c r="CS203" s="179"/>
      <c r="CT203" s="8"/>
      <c r="CU203" s="179"/>
      <c r="CV203" s="179"/>
      <c r="CW203" s="179"/>
      <c r="CX203" s="179"/>
      <c r="CY203" s="10"/>
      <c r="CZ203" s="179"/>
      <c r="DA203" s="179"/>
      <c r="DB203" s="179"/>
      <c r="DC203" s="179"/>
      <c r="DD203" s="10"/>
      <c r="DE203" s="179"/>
      <c r="DF203" s="179"/>
      <c r="DG203" s="774"/>
      <c r="DH203" s="179"/>
      <c r="DI203" s="10"/>
      <c r="DJ203" s="774"/>
      <c r="DK203" s="774"/>
      <c r="DL203" s="774"/>
      <c r="DM203" s="179"/>
      <c r="DN203" s="10"/>
      <c r="DO203" s="179"/>
      <c r="DP203" s="179"/>
      <c r="DQ203" s="774"/>
      <c r="DR203" s="774"/>
      <c r="DS203" s="10"/>
      <c r="DT203" s="774"/>
      <c r="DU203" s="774"/>
      <c r="DV203" s="774"/>
      <c r="DW203" s="774"/>
      <c r="DX203" s="10"/>
      <c r="DY203" s="774"/>
      <c r="DZ203" s="774"/>
      <c r="EA203" s="774"/>
      <c r="EB203" s="774"/>
      <c r="EC203" s="10"/>
      <c r="ED203" s="774"/>
      <c r="EE203" s="774"/>
      <c r="EF203" s="774"/>
      <c r="EG203" s="774"/>
      <c r="EH203" s="10"/>
      <c r="EI203" s="775"/>
      <c r="EJ203" s="179"/>
      <c r="EK203" s="179"/>
      <c r="EL203" s="179"/>
      <c r="EM203" s="10"/>
      <c r="EN203" s="179"/>
      <c r="EO203" s="179"/>
      <c r="EP203" s="179"/>
      <c r="EQ203" s="179"/>
      <c r="ER203" s="10"/>
      <c r="ES203" s="179"/>
      <c r="ET203" s="179"/>
      <c r="EU203" s="179"/>
      <c r="EV203" s="179"/>
      <c r="EW203" s="10"/>
      <c r="EX203" s="179"/>
      <c r="EY203" s="179"/>
      <c r="EZ203" s="179"/>
      <c r="FA203" s="179"/>
      <c r="FB203" s="10"/>
      <c r="FC203" s="179"/>
      <c r="FD203" s="179"/>
      <c r="FE203" s="179"/>
      <c r="FF203" s="179"/>
      <c r="FG203" s="10"/>
    </row>
  </sheetData>
  <mergeCells count="28">
    <mergeCell ref="N4:Q4"/>
    <mergeCell ref="S4:V4"/>
    <mergeCell ref="X4:AA4"/>
    <mergeCell ref="AC4:AF4"/>
    <mergeCell ref="AH4:AK4"/>
    <mergeCell ref="AM4:AP4"/>
    <mergeCell ref="AR4:AU4"/>
    <mergeCell ref="AW4:AZ4"/>
    <mergeCell ref="BB4:BE4"/>
    <mergeCell ref="BG4:BJ4"/>
    <mergeCell ref="BL4:BO4"/>
    <mergeCell ref="BQ4:BT4"/>
    <mergeCell ref="BV4:BY4"/>
    <mergeCell ref="CA4:CD4"/>
    <mergeCell ref="DO4:DR4"/>
    <mergeCell ref="ED4:EG4"/>
    <mergeCell ref="EI4:EL4"/>
    <mergeCell ref="EN4:EQ4"/>
    <mergeCell ref="ES4:EV4"/>
    <mergeCell ref="EX4:FA4"/>
    <mergeCell ref="FC4:FF4"/>
    <mergeCell ref="CF4:CI4"/>
    <mergeCell ref="CK4:CN4"/>
    <mergeCell ref="CP4:CS4"/>
    <mergeCell ref="CU4:CX4"/>
    <mergeCell ref="CZ4:DC4"/>
    <mergeCell ref="DE4:DH4"/>
    <mergeCell ref="DJ4:DM4"/>
  </mergeCells>
  <printOptions gridLines="1" horizontalCentered="1"/>
  <pageMargins bottom="0.5" footer="0.0" header="0.0" left="0.2" right="0.2" top="0.75"/>
  <pageSetup fitToHeight="0" orientation="landscape"/>
  <headerFooter>
    <oddFooter>&amp;LIntel Corporation (INTC)&amp;C&amp;D&amp;RUBS Investment Research, Uche Orji 212-713-4015, uche.orji@ubs.com</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outlineLevelCol="2" outlineLevelRow="1"/>
  <cols>
    <col customWidth="1" min="1" max="1" width="1.63"/>
    <col customWidth="1" min="2" max="2" width="28.38"/>
    <col customWidth="1" hidden="1" min="3" max="3" width="2.38" outlineLevel="2"/>
    <col customWidth="1" hidden="1" min="4" max="12" width="1.25" outlineLevel="2"/>
    <col customWidth="1" hidden="1" min="13" max="13" width="3.13" outlineLevel="2"/>
    <col customWidth="1" hidden="1" min="14" max="15" width="5.38" outlineLevel="2"/>
    <col customWidth="1" hidden="1" min="16" max="16" width="5.5" outlineLevel="2"/>
    <col customWidth="1" hidden="1" min="17" max="17" width="5.38" outlineLevel="2"/>
    <col customWidth="1" hidden="1" min="18" max="18" width="5.63"/>
    <col customWidth="1" hidden="1" min="19" max="19" width="5.25" outlineLevel="2"/>
    <col customWidth="1" hidden="1" min="20" max="20" width="5.38" outlineLevel="2"/>
    <col customWidth="1" hidden="1" min="21" max="21" width="5.5" outlineLevel="2"/>
    <col customWidth="1" hidden="1" min="22" max="22" width="5.38" outlineLevel="2"/>
    <col customWidth="1" hidden="1" min="23" max="23" width="5.63"/>
    <col customWidth="1" hidden="1" min="24" max="25" width="5.38" outlineLevel="2"/>
    <col customWidth="1" hidden="1" min="26" max="26" width="5.5" outlineLevel="2"/>
    <col customWidth="1" hidden="1" min="27" max="27" width="5.38" outlineLevel="2"/>
    <col customWidth="1" hidden="1" min="28" max="28" width="6.13"/>
    <col customWidth="1" hidden="1" min="29" max="29" width="5.5" outlineLevel="2"/>
    <col customWidth="1" hidden="1" min="30" max="30" width="6.38" outlineLevel="2"/>
    <col customWidth="1" hidden="1" min="31" max="31" width="6.0" outlineLevel="2"/>
    <col customWidth="1" hidden="1" min="32" max="32" width="6.13" outlineLevel="2"/>
    <col customWidth="1" hidden="1" min="33" max="33" width="5.63"/>
    <col customWidth="1" hidden="1" min="34" max="37" width="5.63" outlineLevel="2"/>
    <col customWidth="1" hidden="1" min="38" max="38" width="6.13"/>
    <col customWidth="1" hidden="1" min="39" max="40" width="5.38" outlineLevel="2"/>
    <col customWidth="1" hidden="1" min="41" max="41" width="5.5" outlineLevel="2"/>
    <col customWidth="1" hidden="1" min="42" max="42" width="5.38" outlineLevel="2"/>
    <col customWidth="1" hidden="1" min="43" max="43" width="5.38"/>
    <col customWidth="1" hidden="1" min="44" max="44" width="6.5" outlineLevel="2"/>
    <col customWidth="1" hidden="1" min="45" max="45" width="5.38" outlineLevel="2"/>
    <col customWidth="1" hidden="1" min="46" max="46" width="5.5" outlineLevel="2"/>
    <col customWidth="1" hidden="1" min="47" max="47" width="5.38" outlineLevel="2"/>
    <col customWidth="1" hidden="1" min="48" max="48" width="5.38"/>
    <col customWidth="1" hidden="1" min="49" max="49" width="6.75" outlineLevel="2"/>
    <col customWidth="1" hidden="1" min="50" max="50" width="5.38" outlineLevel="2"/>
    <col customWidth="1" hidden="1" min="51" max="51" width="5.5" outlineLevel="2"/>
    <col customWidth="1" hidden="1" min="52" max="52" width="5.38" outlineLevel="2"/>
    <col customWidth="1" hidden="1" min="53" max="53" width="5.63"/>
    <col customWidth="1" hidden="1" min="54" max="54" width="7.13" outlineLevel="2"/>
    <col customWidth="1" hidden="1" min="55" max="55" width="5.38" outlineLevel="2"/>
    <col customWidth="1" hidden="1" min="56" max="56" width="5.5" outlineLevel="2"/>
    <col customWidth="1" hidden="1" min="57" max="57" width="5.38" outlineLevel="2"/>
    <col customWidth="1" hidden="1" min="58" max="58" width="5.63"/>
    <col customWidth="1" hidden="1" min="59" max="59" width="7.13" outlineLevel="2"/>
    <col customWidth="1" hidden="1" min="60" max="60" width="5.38" outlineLevel="2"/>
    <col customWidth="1" hidden="1" min="61" max="61" width="5.5" outlineLevel="2"/>
    <col customWidth="1" hidden="1" min="62" max="62" width="5.38" outlineLevel="2"/>
    <col customWidth="1" hidden="1" min="63" max="63" width="5.38"/>
    <col customWidth="1" hidden="1" min="64" max="65" width="5.38" outlineLevel="2"/>
    <col customWidth="1" hidden="1" min="66" max="66" width="5.5" outlineLevel="2"/>
    <col customWidth="1" hidden="1" min="67" max="67" width="5.38" outlineLevel="2"/>
    <col customWidth="1" hidden="1" min="68" max="68" width="5.25"/>
    <col customWidth="1" hidden="1" min="69" max="70" width="5.38" outlineLevel="2"/>
    <col customWidth="1" hidden="1" min="71" max="71" width="5.5" outlineLevel="2"/>
    <col customWidth="1" hidden="1" min="72" max="72" width="5.38" outlineLevel="2"/>
    <col customWidth="1" hidden="1" min="73" max="73" width="5.25"/>
    <col customWidth="1" hidden="1" min="74" max="75" width="5.38" outlineLevel="2"/>
    <col customWidth="1" hidden="1" min="76" max="76" width="5.5" outlineLevel="2"/>
    <col customWidth="1" hidden="1" min="77" max="77" width="5.38" outlineLevel="2"/>
    <col customWidth="1" hidden="1" min="78" max="78" width="5.25"/>
    <col customWidth="1" hidden="1" min="79" max="79" width="5.5" outlineLevel="1"/>
    <col customWidth="1" hidden="1" min="80" max="80" width="5.25" outlineLevel="1"/>
    <col customWidth="1" hidden="1" min="81" max="81" width="5.5" outlineLevel="1"/>
    <col customWidth="1" hidden="1" min="82" max="82" width="5.38" outlineLevel="1"/>
    <col customWidth="1" hidden="1" min="83" max="83" width="5.63"/>
    <col customWidth="1" hidden="1" min="84" max="85" width="5.38" outlineLevel="1"/>
    <col customWidth="1" hidden="1" min="86" max="86" width="5.5" outlineLevel="1"/>
    <col customWidth="1" hidden="1" min="87" max="87" width="5.38" outlineLevel="1"/>
    <col customWidth="1" hidden="1" min="88" max="88" width="5.63"/>
    <col customWidth="1" hidden="1" min="89" max="90" width="5.38" outlineLevel="1"/>
    <col customWidth="1" hidden="1" min="91" max="92" width="5.5" outlineLevel="1"/>
    <col customWidth="1" hidden="1" min="93" max="93" width="5.63"/>
    <col customWidth="1" min="94" max="94" width="5.5" outlineLevel="1"/>
    <col customWidth="1" min="95" max="95" width="5.38" outlineLevel="1"/>
    <col customWidth="1" min="96" max="96" width="5.5" outlineLevel="1"/>
    <col customWidth="1" min="97" max="97" width="5.38" outlineLevel="1"/>
    <col customWidth="1" min="98" max="98" width="5.63"/>
    <col customWidth="1" min="99" max="100" width="5.38" outlineLevel="2"/>
    <col customWidth="1" min="101" max="101" width="5.5" outlineLevel="2"/>
    <col customWidth="1" min="102" max="102" width="5.38" outlineLevel="2"/>
    <col customWidth="1" min="103" max="103" width="5.63"/>
    <col customWidth="1" min="104" max="105" width="5.38" outlineLevel="2"/>
    <col customWidth="1" min="106" max="106" width="5.5" outlineLevel="2"/>
    <col customWidth="1" min="107" max="107" width="5.88" outlineLevel="2"/>
    <col customWidth="1" min="108" max="108" width="8.13"/>
    <col customWidth="1" min="109" max="110" width="5.38" outlineLevel="2"/>
    <col customWidth="1" min="111" max="111" width="5.5" outlineLevel="2"/>
    <col customWidth="1" min="112" max="112" width="5.38" outlineLevel="2"/>
    <col customWidth="1" min="113" max="113" width="9.25"/>
    <col customWidth="1" min="114" max="114" width="5.38" outlineLevel="2"/>
    <col customWidth="1" min="115" max="115" width="6.38" outlineLevel="2"/>
    <col customWidth="1" min="116" max="116" width="5.5" outlineLevel="2"/>
    <col customWidth="1" min="117" max="117" width="5.38" outlineLevel="2"/>
    <col customWidth="1" min="118" max="118" width="6.5"/>
    <col customWidth="1" min="119" max="120" width="5.38" outlineLevel="2"/>
    <col customWidth="1" min="121" max="122" width="5.5" outlineLevel="2"/>
    <col customWidth="1" min="123" max="123" width="6.13"/>
    <col customWidth="1" min="124" max="127" width="5.5" outlineLevel="2"/>
    <col customWidth="1" min="128" max="128" width="9.25"/>
    <col customWidth="1" min="129" max="132" width="5.5" outlineLevel="2"/>
    <col customWidth="1" min="133" max="133" width="9.25"/>
    <col customWidth="1" min="134" max="137" width="5.5" outlineLevel="2"/>
    <col customWidth="1" min="138" max="138" width="9.25"/>
    <col customWidth="1" min="139" max="140" width="5.38" outlineLevel="2"/>
    <col customWidth="1" min="141" max="141" width="5.5" outlineLevel="2"/>
    <col customWidth="1" min="142" max="142" width="5.38" outlineLevel="2"/>
    <col customWidth="1" min="143" max="143" width="9.25"/>
    <col customWidth="1" min="144" max="145" width="5.38" outlineLevel="2"/>
    <col customWidth="1" min="146" max="146" width="5.5" outlineLevel="2"/>
    <col customWidth="1" min="147" max="147" width="5.38" outlineLevel="2"/>
    <col customWidth="1" min="148" max="148" width="9.25"/>
    <col customWidth="1" min="149" max="150" width="5.38" outlineLevel="2"/>
    <col customWidth="1" min="151" max="151" width="5.5" outlineLevel="2"/>
    <col customWidth="1" min="152" max="152" width="5.38" outlineLevel="2"/>
    <col customWidth="1" min="153" max="153" width="9.25"/>
    <col customWidth="1" min="154" max="155" width="5.38" outlineLevel="2"/>
    <col customWidth="1" min="156" max="156" width="5.5" outlineLevel="2"/>
    <col customWidth="1" min="157" max="157" width="5.38" outlineLevel="2"/>
    <col customWidth="1" min="158" max="158" width="9.25"/>
    <col customWidth="1" min="159" max="160" width="5.38" outlineLevel="2"/>
    <col customWidth="1" min="161" max="161" width="5.5" outlineLevel="2"/>
    <col customWidth="1" min="162" max="162" width="5.38" outlineLevel="2"/>
    <col customWidth="1" min="163" max="163" width="9.25"/>
  </cols>
  <sheetData>
    <row r="1" ht="12.75" customHeight="1">
      <c r="A1" s="179"/>
      <c r="B1" s="179"/>
      <c r="C1" s="8"/>
      <c r="D1" s="8"/>
      <c r="E1" s="8"/>
      <c r="F1" s="8"/>
      <c r="G1" s="8"/>
      <c r="H1" s="8"/>
      <c r="I1" s="8"/>
      <c r="J1" s="8"/>
      <c r="K1" s="8"/>
      <c r="L1" s="8"/>
      <c r="M1" s="8"/>
      <c r="N1" s="8"/>
      <c r="O1" s="8"/>
      <c r="P1" s="8"/>
      <c r="Q1" s="8"/>
      <c r="R1" s="57"/>
      <c r="S1" s="8"/>
      <c r="T1" s="8"/>
      <c r="U1" s="8"/>
      <c r="V1" s="8"/>
      <c r="W1" s="57"/>
      <c r="X1" s="179"/>
      <c r="Y1" s="179"/>
      <c r="Z1" s="179"/>
      <c r="AA1" s="179"/>
      <c r="AB1" s="785"/>
      <c r="AC1" s="179"/>
      <c r="AD1" s="179"/>
      <c r="AE1" s="179"/>
      <c r="AF1" s="179"/>
      <c r="AG1" s="785"/>
      <c r="AH1" s="179"/>
      <c r="AI1" s="179"/>
      <c r="AJ1" s="179"/>
      <c r="AK1" s="179"/>
      <c r="AL1" s="785"/>
      <c r="AM1" s="179"/>
      <c r="AN1" s="179"/>
      <c r="AO1" s="179"/>
      <c r="AP1" s="179"/>
      <c r="AQ1" s="785"/>
      <c r="AR1" s="179"/>
      <c r="AS1" s="179"/>
      <c r="AT1" s="179"/>
      <c r="AU1" s="179"/>
      <c r="AV1" s="785"/>
      <c r="AW1" s="179"/>
      <c r="AX1" s="179"/>
      <c r="AY1" s="179"/>
      <c r="AZ1" s="179"/>
      <c r="BA1" s="785"/>
      <c r="BB1" s="179"/>
      <c r="BC1" s="179"/>
      <c r="BD1" s="179"/>
      <c r="BE1" s="179"/>
      <c r="BF1" s="785"/>
      <c r="BG1" s="179"/>
      <c r="BH1" s="179"/>
      <c r="BI1" s="179"/>
      <c r="BJ1" s="179"/>
      <c r="BK1" s="785"/>
      <c r="BL1" s="179"/>
      <c r="BM1" s="179"/>
      <c r="BN1" s="179"/>
      <c r="BO1" s="179"/>
      <c r="BP1" s="785"/>
      <c r="BQ1" s="179"/>
      <c r="BR1" s="179"/>
      <c r="BS1" s="179"/>
      <c r="BT1" s="179"/>
      <c r="BU1" s="785"/>
      <c r="BV1" s="179"/>
      <c r="BW1" s="179"/>
      <c r="BX1" s="179"/>
      <c r="BY1" s="179"/>
      <c r="BZ1" s="785"/>
      <c r="CA1" s="179"/>
      <c r="CB1" s="179"/>
      <c r="CC1" s="179"/>
      <c r="CD1" s="179"/>
      <c r="CE1" s="785"/>
      <c r="CF1" s="179"/>
      <c r="CG1" s="179"/>
      <c r="CH1" s="179"/>
      <c r="CI1" s="179"/>
      <c r="CJ1" s="785"/>
      <c r="CK1" s="179"/>
      <c r="CL1" s="179"/>
      <c r="CM1" s="179"/>
      <c r="CN1" s="179"/>
      <c r="CO1" s="785"/>
      <c r="CP1" s="179"/>
      <c r="CQ1" s="179"/>
      <c r="CR1" s="179"/>
      <c r="CS1" s="179"/>
      <c r="CT1" s="835"/>
      <c r="CU1" s="179"/>
      <c r="CV1" s="179"/>
      <c r="CW1" s="179"/>
      <c r="CX1" s="179"/>
      <c r="CY1" s="835"/>
      <c r="CZ1" s="774"/>
      <c r="DA1" s="179"/>
      <c r="DB1" s="774"/>
      <c r="DC1" s="179"/>
      <c r="DD1" s="835"/>
      <c r="DE1" s="774"/>
      <c r="DF1" s="179"/>
      <c r="DG1" s="774"/>
      <c r="DH1" s="179"/>
      <c r="DI1" s="835"/>
      <c r="DJ1" s="774"/>
      <c r="DK1" s="774"/>
      <c r="DL1" s="774"/>
      <c r="DM1" s="179"/>
      <c r="DN1" s="835"/>
      <c r="DO1" s="179"/>
      <c r="DP1" s="179"/>
      <c r="DQ1" s="774"/>
      <c r="DR1" s="774"/>
      <c r="DS1" s="835"/>
      <c r="DT1" s="774"/>
      <c r="DU1" s="774"/>
      <c r="DV1" s="774"/>
      <c r="DW1" s="774"/>
      <c r="DX1" s="835"/>
      <c r="DY1" s="774"/>
      <c r="DZ1" s="774"/>
      <c r="EA1" s="774"/>
      <c r="EB1" s="774"/>
      <c r="EC1" s="835"/>
      <c r="ED1" s="774"/>
      <c r="EE1" s="774"/>
      <c r="EF1" s="774"/>
      <c r="EG1" s="774"/>
      <c r="EH1" s="835"/>
      <c r="EI1" s="775"/>
      <c r="EJ1" s="179"/>
      <c r="EK1" s="179"/>
      <c r="EL1" s="179"/>
      <c r="EM1" s="835"/>
      <c r="EN1" s="179"/>
      <c r="EO1" s="179"/>
      <c r="EP1" s="179"/>
      <c r="EQ1" s="179"/>
      <c r="ER1" s="835"/>
      <c r="ES1" s="179"/>
      <c r="ET1" s="179"/>
      <c r="EU1" s="179"/>
      <c r="EV1" s="179"/>
      <c r="EW1" s="835"/>
      <c r="EX1" s="179"/>
      <c r="EY1" s="179"/>
      <c r="EZ1" s="179"/>
      <c r="FA1" s="179"/>
      <c r="FB1" s="835"/>
      <c r="FC1" s="179"/>
      <c r="FD1" s="179"/>
      <c r="FE1" s="179"/>
      <c r="FF1" s="179"/>
      <c r="FG1" s="835"/>
    </row>
    <row r="2" ht="12.75" customHeight="1">
      <c r="A2" s="179"/>
      <c r="B2" s="776" t="s">
        <v>5</v>
      </c>
      <c r="C2" s="8"/>
      <c r="D2" s="8"/>
      <c r="E2" s="8"/>
      <c r="F2" s="8"/>
      <c r="G2" s="8"/>
      <c r="H2" s="8"/>
      <c r="I2" s="8"/>
      <c r="J2" s="8"/>
      <c r="K2" s="8"/>
      <c r="L2" s="8"/>
      <c r="M2" s="8"/>
      <c r="N2" s="8"/>
      <c r="O2" s="8"/>
      <c r="P2" s="8"/>
      <c r="Q2" s="8"/>
      <c r="R2" s="57"/>
      <c r="S2" s="8"/>
      <c r="T2" s="8"/>
      <c r="U2" s="8"/>
      <c r="V2" s="8"/>
      <c r="W2" s="57"/>
      <c r="X2" s="179"/>
      <c r="Y2" s="179"/>
      <c r="Z2" s="179"/>
      <c r="AA2" s="179"/>
      <c r="AB2" s="785"/>
      <c r="AC2" s="179"/>
      <c r="AD2" s="179"/>
      <c r="AE2" s="179"/>
      <c r="AF2" s="179"/>
      <c r="AG2" s="785"/>
      <c r="AH2" s="179"/>
      <c r="AI2" s="179"/>
      <c r="AJ2" s="179"/>
      <c r="AK2" s="179"/>
      <c r="AL2" s="785"/>
      <c r="AM2" s="179"/>
      <c r="AN2" s="179"/>
      <c r="AO2" s="179"/>
      <c r="AP2" s="179"/>
      <c r="AQ2" s="785"/>
      <c r="AR2" s="179"/>
      <c r="AS2" s="179"/>
      <c r="AT2" s="179"/>
      <c r="AU2" s="179"/>
      <c r="AV2" s="785"/>
      <c r="AW2" s="179"/>
      <c r="AX2" s="179"/>
      <c r="AY2" s="179"/>
      <c r="AZ2" s="179"/>
      <c r="BA2" s="785"/>
      <c r="BB2" s="179"/>
      <c r="BC2" s="179"/>
      <c r="BD2" s="179"/>
      <c r="BE2" s="179"/>
      <c r="BF2" s="785"/>
      <c r="BG2" s="179"/>
      <c r="BH2" s="179"/>
      <c r="BI2" s="179"/>
      <c r="BJ2" s="179"/>
      <c r="BK2" s="785"/>
      <c r="BL2" s="179"/>
      <c r="BM2" s="179"/>
      <c r="BN2" s="179"/>
      <c r="BO2" s="179"/>
      <c r="BP2" s="785"/>
      <c r="BQ2" s="179"/>
      <c r="BR2" s="179"/>
      <c r="BS2" s="179"/>
      <c r="BT2" s="179"/>
      <c r="BU2" s="785"/>
      <c r="BV2" s="179"/>
      <c r="BW2" s="179"/>
      <c r="BX2" s="179"/>
      <c r="BY2" s="179"/>
      <c r="BZ2" s="785"/>
      <c r="CA2" s="179"/>
      <c r="CB2" s="179"/>
      <c r="CC2" s="179"/>
      <c r="CD2" s="179"/>
      <c r="CE2" s="785"/>
      <c r="CF2" s="179"/>
      <c r="CG2" s="179"/>
      <c r="CH2" s="179"/>
      <c r="CI2" s="179"/>
      <c r="CJ2" s="785"/>
      <c r="CK2" s="179"/>
      <c r="CL2" s="179"/>
      <c r="CM2" s="179"/>
      <c r="CN2" s="179"/>
      <c r="CO2" s="785"/>
      <c r="CP2" s="179"/>
      <c r="CQ2" s="179"/>
      <c r="CR2" s="179"/>
      <c r="CS2" s="179"/>
      <c r="CT2" s="835"/>
      <c r="CU2" s="179"/>
      <c r="CV2" s="179"/>
      <c r="CW2" s="179"/>
      <c r="CX2" s="179"/>
      <c r="CY2" s="835"/>
      <c r="CZ2" s="774"/>
      <c r="DA2" s="179"/>
      <c r="DB2" s="774"/>
      <c r="DC2" s="179"/>
      <c r="DD2" s="835"/>
      <c r="DE2" s="774"/>
      <c r="DF2" s="179"/>
      <c r="DG2" s="774"/>
      <c r="DH2" s="179"/>
      <c r="DI2" s="835"/>
      <c r="DJ2" s="774"/>
      <c r="DK2" s="774"/>
      <c r="DL2" s="774"/>
      <c r="DM2" s="179"/>
      <c r="DN2" s="835"/>
      <c r="DO2" s="179"/>
      <c r="DP2" s="179"/>
      <c r="DQ2" s="774"/>
      <c r="DR2" s="774"/>
      <c r="DS2" s="835"/>
      <c r="DT2" s="774"/>
      <c r="DU2" s="774"/>
      <c r="DV2" s="774"/>
      <c r="DW2" s="774"/>
      <c r="DX2" s="835"/>
      <c r="DY2" s="774"/>
      <c r="DZ2" s="774"/>
      <c r="EA2" s="774"/>
      <c r="EB2" s="774"/>
      <c r="EC2" s="836">
        <f>-18733-SUM(DY33:EA33)</f>
        <v>-7154</v>
      </c>
      <c r="ED2" s="774"/>
      <c r="EE2" s="774"/>
      <c r="EF2" s="774"/>
      <c r="EG2" s="774"/>
      <c r="EH2" s="835"/>
      <c r="EI2" s="775"/>
      <c r="EJ2" s="179"/>
      <c r="EK2" s="179"/>
      <c r="EL2" s="179"/>
      <c r="EM2" s="835"/>
      <c r="EN2" s="179"/>
      <c r="EO2" s="179"/>
      <c r="EP2" s="179"/>
      <c r="EQ2" s="179"/>
      <c r="ER2" s="835"/>
      <c r="ES2" s="179"/>
      <c r="ET2" s="179"/>
      <c r="EU2" s="179"/>
      <c r="EV2" s="179"/>
      <c r="EW2" s="835"/>
      <c r="EX2" s="179"/>
      <c r="EY2" s="179"/>
      <c r="EZ2" s="179"/>
      <c r="FA2" s="179"/>
      <c r="FB2" s="835"/>
      <c r="FC2" s="179"/>
      <c r="FD2" s="179"/>
      <c r="FE2" s="179"/>
      <c r="FF2" s="179"/>
      <c r="FG2" s="835"/>
    </row>
    <row r="3" ht="12.75" customHeight="1">
      <c r="A3" s="179"/>
      <c r="B3" s="8" t="s">
        <v>575</v>
      </c>
      <c r="C3" s="179"/>
      <c r="D3" s="179"/>
      <c r="E3" s="179"/>
      <c r="F3" s="179"/>
      <c r="G3" s="179"/>
      <c r="H3" s="179"/>
      <c r="I3" s="179"/>
      <c r="J3" s="179"/>
      <c r="K3" s="179"/>
      <c r="L3" s="179"/>
      <c r="M3" s="179"/>
      <c r="N3" s="179"/>
      <c r="O3" s="179"/>
      <c r="P3" s="179"/>
      <c r="Q3" s="179"/>
      <c r="R3" s="785"/>
      <c r="S3" s="179"/>
      <c r="T3" s="179"/>
      <c r="U3" s="179"/>
      <c r="V3" s="179"/>
      <c r="W3" s="785"/>
      <c r="X3" s="781"/>
      <c r="Y3" s="179"/>
      <c r="Z3" s="179"/>
      <c r="AA3" s="179"/>
      <c r="AB3" s="785"/>
      <c r="AC3" s="179"/>
      <c r="AD3" s="179"/>
      <c r="AE3" s="179"/>
      <c r="AF3" s="179"/>
      <c r="AG3" s="785"/>
      <c r="AH3" s="179"/>
      <c r="AI3" s="179"/>
      <c r="AJ3" s="179"/>
      <c r="AK3" s="179"/>
      <c r="AL3" s="785"/>
      <c r="AM3" s="179"/>
      <c r="AN3" s="179"/>
      <c r="AO3" s="179"/>
      <c r="AP3" s="179"/>
      <c r="AQ3" s="785"/>
      <c r="AR3" s="179"/>
      <c r="AS3" s="179"/>
      <c r="AT3" s="179"/>
      <c r="AU3" s="179"/>
      <c r="AV3" s="785"/>
      <c r="AW3" s="179"/>
      <c r="AX3" s="179"/>
      <c r="AY3" s="179"/>
      <c r="AZ3" s="179"/>
      <c r="BA3" s="785"/>
      <c r="BB3" s="179"/>
      <c r="BC3" s="179"/>
      <c r="BD3" s="179"/>
      <c r="BE3" s="179"/>
      <c r="BF3" s="785"/>
      <c r="BG3" s="179"/>
      <c r="BH3" s="179"/>
      <c r="BI3" s="179"/>
      <c r="BJ3" s="179"/>
      <c r="BK3" s="785"/>
      <c r="BL3" s="179"/>
      <c r="BM3" s="179"/>
      <c r="BN3" s="179"/>
      <c r="BO3" s="179"/>
      <c r="BP3" s="785"/>
      <c r="BQ3" s="179"/>
      <c r="BR3" s="179"/>
      <c r="BS3" s="179"/>
      <c r="BT3" s="179"/>
      <c r="BU3" s="785"/>
      <c r="BV3" s="179"/>
      <c r="BW3" s="179"/>
      <c r="BX3" s="179"/>
      <c r="BY3" s="179"/>
      <c r="BZ3" s="785"/>
      <c r="CA3" s="179"/>
      <c r="CB3" s="179"/>
      <c r="CC3" s="179"/>
      <c r="CD3" s="179"/>
      <c r="CE3" s="785"/>
      <c r="CF3" s="179"/>
      <c r="CG3" s="179"/>
      <c r="CH3" s="179"/>
      <c r="CI3" s="179"/>
      <c r="CJ3" s="785"/>
      <c r="CK3" s="179"/>
      <c r="CL3" s="179"/>
      <c r="CM3" s="179"/>
      <c r="CN3" s="179"/>
      <c r="CO3" s="785"/>
      <c r="CP3" s="179"/>
      <c r="CQ3" s="179"/>
      <c r="CR3" s="179"/>
      <c r="CS3" s="179"/>
      <c r="CT3" s="835"/>
      <c r="CU3" s="179"/>
      <c r="CV3" s="179"/>
      <c r="CW3" s="179"/>
      <c r="CX3" s="179"/>
      <c r="CY3" s="835"/>
      <c r="CZ3" s="774"/>
      <c r="DA3" s="179"/>
      <c r="DB3" s="774"/>
      <c r="DC3" s="179"/>
      <c r="DD3" s="835"/>
      <c r="DE3" s="774"/>
      <c r="DF3" s="179"/>
      <c r="DG3" s="774"/>
      <c r="DH3" s="179"/>
      <c r="DI3" s="835"/>
      <c r="DJ3" s="774"/>
      <c r="DK3" s="774"/>
      <c r="DL3" s="774"/>
      <c r="DM3" s="179"/>
      <c r="DN3" s="835"/>
      <c r="DO3" s="179"/>
      <c r="DP3" s="179"/>
      <c r="DQ3" s="774"/>
      <c r="DR3" s="774"/>
      <c r="DS3" s="835"/>
      <c r="DT3" s="774"/>
      <c r="DU3" s="774"/>
      <c r="DV3" s="774"/>
      <c r="DW3" s="774"/>
      <c r="DX3" s="835"/>
      <c r="DY3" s="774"/>
      <c r="DZ3" s="774"/>
      <c r="EA3" s="774"/>
      <c r="EB3" s="774"/>
      <c r="EC3" s="835"/>
      <c r="ED3" s="774"/>
      <c r="EE3" s="774"/>
      <c r="EF3" s="774"/>
      <c r="EG3" s="774"/>
      <c r="EH3" s="835"/>
      <c r="EI3" s="775"/>
      <c r="EJ3" s="179"/>
      <c r="EK3" s="179"/>
      <c r="EL3" s="179"/>
      <c r="EM3" s="835"/>
      <c r="EN3" s="179"/>
      <c r="EO3" s="179"/>
      <c r="EP3" s="179"/>
      <c r="EQ3" s="179"/>
      <c r="ER3" s="835"/>
      <c r="ES3" s="179"/>
      <c r="ET3" s="179"/>
      <c r="EU3" s="179"/>
      <c r="EV3" s="179"/>
      <c r="EW3" s="835"/>
      <c r="EX3" s="179"/>
      <c r="EY3" s="179"/>
      <c r="EZ3" s="179"/>
      <c r="FA3" s="179"/>
      <c r="FB3" s="835"/>
      <c r="FC3" s="179"/>
      <c r="FD3" s="179"/>
      <c r="FE3" s="179"/>
      <c r="FF3" s="179"/>
      <c r="FG3" s="835"/>
    </row>
    <row r="4" ht="12.75" customHeight="1">
      <c r="A4" s="179"/>
      <c r="B4" s="8" t="str">
        <f>IS!B6</f>
        <v>FY ends December 31</v>
      </c>
      <c r="C4" s="179"/>
      <c r="D4" s="179"/>
      <c r="E4" s="179"/>
      <c r="F4" s="179"/>
      <c r="G4" s="179"/>
      <c r="H4" s="179"/>
      <c r="I4" s="179"/>
      <c r="J4" s="179"/>
      <c r="K4" s="179"/>
      <c r="L4" s="179"/>
      <c r="M4" s="179"/>
      <c r="N4" s="52" t="str">
        <f>"FY"&amp;YEAR(Q5)</f>
        <v>FY1998</v>
      </c>
      <c r="O4" s="53"/>
      <c r="P4" s="53"/>
      <c r="Q4" s="54"/>
      <c r="R4" s="57"/>
      <c r="S4" s="52" t="str">
        <f>"FY"&amp;YEAR(V5)</f>
        <v>FY1999</v>
      </c>
      <c r="T4" s="53"/>
      <c r="U4" s="53"/>
      <c r="V4" s="54"/>
      <c r="W4" s="785"/>
      <c r="X4" s="52" t="str">
        <f>"FY"&amp;YEAR(AA5)</f>
        <v>FY2000</v>
      </c>
      <c r="Y4" s="53"/>
      <c r="Z4" s="53"/>
      <c r="AA4" s="54"/>
      <c r="AB4" s="57"/>
      <c r="AC4" s="52" t="str">
        <f>"FY"&amp;YEAR(AF5)</f>
        <v>FY2001</v>
      </c>
      <c r="AD4" s="53"/>
      <c r="AE4" s="53"/>
      <c r="AF4" s="54"/>
      <c r="AG4" s="57"/>
      <c r="AH4" s="52" t="str">
        <f>"FY"&amp;YEAR(AK5)</f>
        <v>FY2002</v>
      </c>
      <c r="AI4" s="53"/>
      <c r="AJ4" s="53"/>
      <c r="AK4" s="54"/>
      <c r="AL4" s="57"/>
      <c r="AM4" s="52" t="str">
        <f>"FY"&amp;YEAR(AP5)</f>
        <v>FY2003</v>
      </c>
      <c r="AN4" s="53"/>
      <c r="AO4" s="53"/>
      <c r="AP4" s="54"/>
      <c r="AQ4" s="57"/>
      <c r="AR4" s="52" t="str">
        <f>IS!6:6</f>
        <v>FY2004</v>
      </c>
      <c r="AS4" s="53"/>
      <c r="AT4" s="53"/>
      <c r="AU4" s="54"/>
      <c r="AV4" s="57"/>
      <c r="AW4" s="52" t="str">
        <f>IS!6:6</f>
        <v>FY2005</v>
      </c>
      <c r="AX4" s="53"/>
      <c r="AY4" s="53"/>
      <c r="AZ4" s="54"/>
      <c r="BA4" s="57"/>
      <c r="BB4" s="52" t="str">
        <f>IS!6:6</f>
        <v>FY2006</v>
      </c>
      <c r="BC4" s="53"/>
      <c r="BD4" s="53"/>
      <c r="BE4" s="54"/>
      <c r="BF4" s="57"/>
      <c r="BG4" s="52" t="str">
        <f>IS!6:6</f>
        <v>FY2007</v>
      </c>
      <c r="BH4" s="53"/>
      <c r="BI4" s="53"/>
      <c r="BJ4" s="54"/>
      <c r="BK4" s="57"/>
      <c r="BL4" s="52" t="str">
        <f>IS!6:6</f>
        <v>FY2008</v>
      </c>
      <c r="BM4" s="53"/>
      <c r="BN4" s="53"/>
      <c r="BO4" s="54"/>
      <c r="BP4" s="57"/>
      <c r="BQ4" s="52" t="str">
        <f>IS!6:6</f>
        <v>FY2009</v>
      </c>
      <c r="BR4" s="53"/>
      <c r="BS4" s="53"/>
      <c r="BT4" s="54"/>
      <c r="BU4" s="57"/>
      <c r="BV4" s="52" t="str">
        <f>IS!6:6</f>
        <v>FY2010</v>
      </c>
      <c r="BW4" s="53"/>
      <c r="BX4" s="53"/>
      <c r="BY4" s="54"/>
      <c r="BZ4" s="57"/>
      <c r="CA4" s="52" t="str">
        <f>IS!6:6</f>
        <v>FY2011</v>
      </c>
      <c r="CB4" s="53"/>
      <c r="CC4" s="53"/>
      <c r="CD4" s="54"/>
      <c r="CE4" s="57"/>
      <c r="CF4" s="52" t="str">
        <f>IS!6:6</f>
        <v>FY2012</v>
      </c>
      <c r="CG4" s="53"/>
      <c r="CH4" s="53"/>
      <c r="CI4" s="54"/>
      <c r="CJ4" s="57"/>
      <c r="CK4" s="52" t="str">
        <f>IS!6:6</f>
        <v>FY2013</v>
      </c>
      <c r="CL4" s="53"/>
      <c r="CM4" s="53"/>
      <c r="CN4" s="54"/>
      <c r="CO4" s="57"/>
      <c r="CP4" s="52" t="str">
        <f>IS!6:6</f>
        <v>FY2014</v>
      </c>
      <c r="CQ4" s="53"/>
      <c r="CR4" s="53"/>
      <c r="CS4" s="54"/>
      <c r="CT4" s="58"/>
      <c r="CU4" s="52" t="str">
        <f>IS!6:6</f>
        <v>FY2015</v>
      </c>
      <c r="CV4" s="53"/>
      <c r="CW4" s="53"/>
      <c r="CX4" s="54"/>
      <c r="CY4" s="58"/>
      <c r="CZ4" s="52" t="str">
        <f>IS!6:6</f>
        <v>FY2016</v>
      </c>
      <c r="DA4" s="53"/>
      <c r="DB4" s="53"/>
      <c r="DC4" s="54"/>
      <c r="DD4" s="58"/>
      <c r="DE4" s="52" t="str">
        <f>IS!6:6</f>
        <v>FY2017</v>
      </c>
      <c r="DF4" s="53"/>
      <c r="DG4" s="53"/>
      <c r="DH4" s="54"/>
      <c r="DI4" s="58"/>
      <c r="DJ4" s="52" t="str">
        <f>IS!6:6</f>
        <v>FY2018</v>
      </c>
      <c r="DK4" s="53"/>
      <c r="DL4" s="53"/>
      <c r="DM4" s="54"/>
      <c r="DN4" s="58"/>
      <c r="DO4" s="52" t="str">
        <f>IS!6:6</f>
        <v>FY2019</v>
      </c>
      <c r="DP4" s="53"/>
      <c r="DQ4" s="53"/>
      <c r="DR4" s="54"/>
      <c r="DS4" s="58"/>
      <c r="DT4" s="784" t="str">
        <f>IS!6:6</f>
        <v>FY2020</v>
      </c>
      <c r="DU4" s="784"/>
      <c r="DV4" s="784"/>
      <c r="DW4" s="784"/>
      <c r="DX4" s="58"/>
      <c r="DY4" s="59" t="str">
        <f>IS!6:6</f>
        <v>FY2021</v>
      </c>
      <c r="DZ4" s="53"/>
      <c r="EA4" s="53"/>
      <c r="EB4" s="54"/>
      <c r="EC4" s="58"/>
      <c r="ED4" s="59" t="str">
        <f>IS!6:6</f>
        <v>FY2022</v>
      </c>
      <c r="EE4" s="53"/>
      <c r="EF4" s="53"/>
      <c r="EG4" s="54"/>
      <c r="EH4" s="58"/>
      <c r="EI4" s="59" t="str">
        <f>IS!6:6</f>
        <v>FY2023</v>
      </c>
      <c r="EJ4" s="53"/>
      <c r="EK4" s="53"/>
      <c r="EL4" s="54"/>
      <c r="EM4" s="58"/>
      <c r="EN4" s="52" t="str">
        <f>IS!6:6</f>
        <v>FY2024</v>
      </c>
      <c r="EO4" s="53"/>
      <c r="EP4" s="53"/>
      <c r="EQ4" s="54"/>
      <c r="ER4" s="58"/>
      <c r="ES4" s="52" t="str">
        <f>IS!6:6</f>
        <v>FY2025</v>
      </c>
      <c r="ET4" s="53"/>
      <c r="EU4" s="53"/>
      <c r="EV4" s="54"/>
      <c r="EW4" s="58"/>
      <c r="EX4" s="52" t="str">
        <f>IS!6:6</f>
        <v>FY2026</v>
      </c>
      <c r="EY4" s="53"/>
      <c r="EZ4" s="53"/>
      <c r="FA4" s="54"/>
      <c r="FB4" s="58"/>
      <c r="FC4" s="52" t="str">
        <f>IS!6:6</f>
        <v>FY2027</v>
      </c>
      <c r="FD4" s="53"/>
      <c r="FE4" s="53"/>
      <c r="FF4" s="54"/>
      <c r="FG4" s="58"/>
    </row>
    <row r="5" ht="12.75" customHeight="1">
      <c r="A5" s="179"/>
      <c r="B5" s="179" t="str">
        <f>+IS!B7</f>
        <v>($ in millions, except EPS)</v>
      </c>
      <c r="C5" s="179"/>
      <c r="D5" s="179"/>
      <c r="E5" s="179"/>
      <c r="F5" s="179"/>
      <c r="G5" s="179"/>
      <c r="H5" s="179"/>
      <c r="I5" s="179"/>
      <c r="J5" s="179"/>
      <c r="K5" s="179"/>
      <c r="L5" s="179"/>
      <c r="M5" s="179"/>
      <c r="N5" s="787">
        <f>+IS!N7</f>
        <v>35884</v>
      </c>
      <c r="O5" s="787">
        <f>+IS!O7</f>
        <v>35976</v>
      </c>
      <c r="P5" s="787">
        <f>+IS!P7</f>
        <v>36068</v>
      </c>
      <c r="Q5" s="787">
        <f>+IS!Q7</f>
        <v>36160</v>
      </c>
      <c r="R5" s="787" t="str">
        <f>+IS!R7</f>
        <v>1998</v>
      </c>
      <c r="S5" s="787">
        <f>+IS!S7</f>
        <v>36249</v>
      </c>
      <c r="T5" s="787">
        <f>+IS!T7</f>
        <v>36341</v>
      </c>
      <c r="U5" s="787">
        <f>+IS!U7</f>
        <v>36433</v>
      </c>
      <c r="V5" s="787">
        <f>+IS!V7</f>
        <v>36525</v>
      </c>
      <c r="W5" s="787" t="str">
        <f>+IS!W7</f>
        <v>1999</v>
      </c>
      <c r="X5" s="787">
        <f>+IS!X7</f>
        <v>36614</v>
      </c>
      <c r="Y5" s="787">
        <f>+IS!Y7</f>
        <v>36706</v>
      </c>
      <c r="Z5" s="787">
        <f>+IS!Z7</f>
        <v>36798</v>
      </c>
      <c r="AA5" s="787">
        <f>+IS!AA7</f>
        <v>36890</v>
      </c>
      <c r="AB5" s="787" t="str">
        <f>+IS!AB7</f>
        <v>2000</v>
      </c>
      <c r="AC5" s="787">
        <f>+IS!AC7</f>
        <v>36979</v>
      </c>
      <c r="AD5" s="787">
        <f>+IS!AD7</f>
        <v>37071</v>
      </c>
      <c r="AE5" s="787">
        <f>+IS!AE7</f>
        <v>37163</v>
      </c>
      <c r="AF5" s="787">
        <f>+IS!AF7</f>
        <v>37255</v>
      </c>
      <c r="AG5" s="787" t="str">
        <f>+IS!AG7</f>
        <v>2001</v>
      </c>
      <c r="AH5" s="787">
        <f>+IS!AH7</f>
        <v>37344</v>
      </c>
      <c r="AI5" s="787">
        <f>+IS!AI7</f>
        <v>37436</v>
      </c>
      <c r="AJ5" s="787">
        <f>+IS!AJ7</f>
        <v>37528</v>
      </c>
      <c r="AK5" s="787">
        <f>+IS!AK7</f>
        <v>37619</v>
      </c>
      <c r="AL5" s="787" t="str">
        <f>+IS!AL7</f>
        <v>2002</v>
      </c>
      <c r="AM5" s="787">
        <f>+IS!AM7</f>
        <v>37709</v>
      </c>
      <c r="AN5" s="787">
        <f>+IS!AN7</f>
        <v>37801</v>
      </c>
      <c r="AO5" s="787">
        <f>+IS!AO7</f>
        <v>37893</v>
      </c>
      <c r="AP5" s="787">
        <f>+IS!AP7</f>
        <v>37984</v>
      </c>
      <c r="AQ5" s="787" t="str">
        <f>+IS!AQ7</f>
        <v>2003</v>
      </c>
      <c r="AR5" s="787">
        <f>+IS!AR7</f>
        <v>38074</v>
      </c>
      <c r="AS5" s="787">
        <f>+IS!AS7</f>
        <v>38166</v>
      </c>
      <c r="AT5" s="787">
        <f>+IS!AT7</f>
        <v>38258</v>
      </c>
      <c r="AU5" s="787">
        <f>+IS!AU7</f>
        <v>38349</v>
      </c>
      <c r="AV5" s="787" t="str">
        <f>+IS!AV7</f>
        <v>2004</v>
      </c>
      <c r="AW5" s="787">
        <f>Dates</f>
        <v>38439</v>
      </c>
      <c r="AX5" s="787">
        <f>Dates</f>
        <v>38531</v>
      </c>
      <c r="AY5" s="787">
        <f>Dates</f>
        <v>38623</v>
      </c>
      <c r="AZ5" s="787">
        <f>Dates</f>
        <v>38714</v>
      </c>
      <c r="BA5" s="787" t="str">
        <f>+IS!BA7</f>
        <v>2005</v>
      </c>
      <c r="BB5" s="787">
        <f>Dates</f>
        <v>38804</v>
      </c>
      <c r="BC5" s="787">
        <f>Dates</f>
        <v>38896</v>
      </c>
      <c r="BD5" s="787">
        <f>Dates</f>
        <v>38988</v>
      </c>
      <c r="BE5" s="787">
        <f>Dates</f>
        <v>39079</v>
      </c>
      <c r="BF5" s="787" t="str">
        <f>+IS!BF7</f>
        <v>2006</v>
      </c>
      <c r="BG5" s="787">
        <f>Dates</f>
        <v>39169</v>
      </c>
      <c r="BH5" s="787">
        <f>Dates</f>
        <v>39261</v>
      </c>
      <c r="BI5" s="787">
        <f>Dates</f>
        <v>39353</v>
      </c>
      <c r="BJ5" s="787">
        <f>Dates</f>
        <v>39444</v>
      </c>
      <c r="BK5" s="787" t="str">
        <f>+IS!BK7</f>
        <v>2007</v>
      </c>
      <c r="BL5" s="787">
        <f>Dates</f>
        <v>39534</v>
      </c>
      <c r="BM5" s="787">
        <f>Dates</f>
        <v>39626</v>
      </c>
      <c r="BN5" s="787">
        <f>Dates</f>
        <v>39718</v>
      </c>
      <c r="BO5" s="787">
        <f>Dates</f>
        <v>39809</v>
      </c>
      <c r="BP5" s="787" t="str">
        <f>+IS!BP7</f>
        <v>2008</v>
      </c>
      <c r="BQ5" s="787">
        <f>Dates</f>
        <v>39899</v>
      </c>
      <c r="BR5" s="787">
        <f>Dates</f>
        <v>39991</v>
      </c>
      <c r="BS5" s="787">
        <f>Dates</f>
        <v>40083</v>
      </c>
      <c r="BT5" s="787">
        <f>Dates</f>
        <v>40174</v>
      </c>
      <c r="BU5" s="787" t="str">
        <f>+IS!BU7</f>
        <v>2009</v>
      </c>
      <c r="BV5" s="787">
        <f>Dates</f>
        <v>40264</v>
      </c>
      <c r="BW5" s="787">
        <f>Dates</f>
        <v>40356</v>
      </c>
      <c r="BX5" s="787">
        <f>Dates</f>
        <v>40448</v>
      </c>
      <c r="BY5" s="787">
        <f>Dates</f>
        <v>40539</v>
      </c>
      <c r="BZ5" s="787" t="str">
        <f>+IS!BZ7</f>
        <v>2010</v>
      </c>
      <c r="CA5" s="787">
        <f>Dates</f>
        <v>40629</v>
      </c>
      <c r="CB5" s="787">
        <f>Dates</f>
        <v>40721</v>
      </c>
      <c r="CC5" s="787">
        <f>Dates</f>
        <v>40813</v>
      </c>
      <c r="CD5" s="787">
        <f>Dates</f>
        <v>40904</v>
      </c>
      <c r="CE5" s="787" t="str">
        <f>+IS!CE7</f>
        <v>2011</v>
      </c>
      <c r="CF5" s="787">
        <f>Dates</f>
        <v>40994</v>
      </c>
      <c r="CG5" s="787">
        <f>Dates</f>
        <v>41086</v>
      </c>
      <c r="CH5" s="787">
        <f>Dates</f>
        <v>41178</v>
      </c>
      <c r="CI5" s="787">
        <f>Dates</f>
        <v>41269</v>
      </c>
      <c r="CJ5" s="787" t="str">
        <f>+IS!CJ7</f>
        <v>2012</v>
      </c>
      <c r="CK5" s="787">
        <f>Dates</f>
        <v>41359</v>
      </c>
      <c r="CL5" s="787">
        <f>Dates</f>
        <v>41451</v>
      </c>
      <c r="CM5" s="787">
        <f>Dates</f>
        <v>41543</v>
      </c>
      <c r="CN5" s="787">
        <f>Dates</f>
        <v>41634</v>
      </c>
      <c r="CO5" s="787" t="str">
        <f>+IS!CO7</f>
        <v>2013</v>
      </c>
      <c r="CP5" s="787">
        <f>Dates</f>
        <v>41724</v>
      </c>
      <c r="CQ5" s="787">
        <f>Dates</f>
        <v>41816</v>
      </c>
      <c r="CR5" s="787">
        <f>Dates</f>
        <v>41908</v>
      </c>
      <c r="CS5" s="787">
        <f>Dates</f>
        <v>41999</v>
      </c>
      <c r="CT5" s="788" t="str">
        <f>+IS!CT7</f>
        <v>2014</v>
      </c>
      <c r="CU5" s="787">
        <f>Dates</f>
        <v>42089</v>
      </c>
      <c r="CV5" s="787">
        <f>Dates</f>
        <v>42181</v>
      </c>
      <c r="CW5" s="787">
        <f>Dates</f>
        <v>42273</v>
      </c>
      <c r="CX5" s="787">
        <f>Dates</f>
        <v>42364</v>
      </c>
      <c r="CY5" s="788" t="str">
        <f>+IS!CY7</f>
        <v>2015</v>
      </c>
      <c r="CZ5" s="789">
        <f>Dates</f>
        <v>42454</v>
      </c>
      <c r="DA5" s="787">
        <f>Dates</f>
        <v>42546</v>
      </c>
      <c r="DB5" s="789">
        <f>Dates</f>
        <v>42638</v>
      </c>
      <c r="DC5" s="787">
        <f>Dates</f>
        <v>42729</v>
      </c>
      <c r="DD5" s="788" t="str">
        <f>+IS!DD7</f>
        <v>2016</v>
      </c>
      <c r="DE5" s="789">
        <f>Dates</f>
        <v>42819</v>
      </c>
      <c r="DF5" s="787">
        <f>Dates</f>
        <v>42911</v>
      </c>
      <c r="DG5" s="789">
        <f>Dates</f>
        <v>43003</v>
      </c>
      <c r="DH5" s="787">
        <f>Dates</f>
        <v>43094</v>
      </c>
      <c r="DI5" s="788" t="str">
        <f>+IS!DI7</f>
        <v>2017</v>
      </c>
      <c r="DJ5" s="789">
        <f>Dates</f>
        <v>43184</v>
      </c>
      <c r="DK5" s="789">
        <f>Dates</f>
        <v>43276</v>
      </c>
      <c r="DL5" s="789">
        <f>Dates</f>
        <v>43368</v>
      </c>
      <c r="DM5" s="789">
        <f>Dates</f>
        <v>43459</v>
      </c>
      <c r="DN5" s="788" t="str">
        <f>+IS!DN7</f>
        <v>2018</v>
      </c>
      <c r="DO5" s="789">
        <f>Dates</f>
        <v>43549</v>
      </c>
      <c r="DP5" s="789">
        <f>Dates</f>
        <v>43641</v>
      </c>
      <c r="DQ5" s="789">
        <f>Dates</f>
        <v>43733</v>
      </c>
      <c r="DR5" s="789">
        <f>Dates</f>
        <v>43824</v>
      </c>
      <c r="DS5" s="788" t="str">
        <f>+IS!DS7</f>
        <v>2019</v>
      </c>
      <c r="DT5" s="789">
        <f>Dates</f>
        <v>43914</v>
      </c>
      <c r="DU5" s="789">
        <f>Dates</f>
        <v>44006</v>
      </c>
      <c r="DV5" s="789">
        <f>Dates</f>
        <v>44098</v>
      </c>
      <c r="DW5" s="789">
        <f>Dates</f>
        <v>44189</v>
      </c>
      <c r="DX5" s="788" t="str">
        <f>+IS!DX7</f>
        <v>2020</v>
      </c>
      <c r="DY5" s="789">
        <f>Dates</f>
        <v>44279</v>
      </c>
      <c r="DZ5" s="789">
        <f>Dates</f>
        <v>44371</v>
      </c>
      <c r="EA5" s="789">
        <f>Dates</f>
        <v>44463</v>
      </c>
      <c r="EB5" s="789">
        <f>Dates</f>
        <v>44554</v>
      </c>
      <c r="EC5" s="788" t="str">
        <f>+IS!EC7</f>
        <v>2021</v>
      </c>
      <c r="ED5" s="789">
        <f>Dates</f>
        <v>44644</v>
      </c>
      <c r="EE5" s="789">
        <f>Dates</f>
        <v>44736</v>
      </c>
      <c r="EF5" s="789">
        <f>Dates</f>
        <v>44828</v>
      </c>
      <c r="EG5" s="789">
        <f>Dates</f>
        <v>44919</v>
      </c>
      <c r="EH5" s="788" t="str">
        <f>+IS!EH7</f>
        <v>2022</v>
      </c>
      <c r="EI5" s="790">
        <f>Dates</f>
        <v>45009</v>
      </c>
      <c r="EJ5" s="787">
        <f>Dates</f>
        <v>45101</v>
      </c>
      <c r="EK5" s="787">
        <f>Dates</f>
        <v>45193</v>
      </c>
      <c r="EL5" s="787">
        <f>Dates</f>
        <v>45284</v>
      </c>
      <c r="EM5" s="788" t="str">
        <f>+IS!EM7</f>
        <v>2023</v>
      </c>
      <c r="EN5" s="787">
        <f>Dates</f>
        <v>45374</v>
      </c>
      <c r="EO5" s="787">
        <f>Dates</f>
        <v>45466</v>
      </c>
      <c r="EP5" s="787">
        <f>Dates</f>
        <v>45558</v>
      </c>
      <c r="EQ5" s="787">
        <f>Dates</f>
        <v>45649</v>
      </c>
      <c r="ER5" s="788" t="str">
        <f>+IS!ER7</f>
        <v>2024</v>
      </c>
      <c r="ES5" s="787">
        <f>Dates</f>
        <v>45739</v>
      </c>
      <c r="ET5" s="787">
        <f>Dates</f>
        <v>45831</v>
      </c>
      <c r="EU5" s="787">
        <f>Dates</f>
        <v>45923</v>
      </c>
      <c r="EV5" s="787">
        <f>Dates</f>
        <v>46014</v>
      </c>
      <c r="EW5" s="788" t="str">
        <f>+IS!EW7</f>
        <v>2025</v>
      </c>
      <c r="EX5" s="787">
        <f>Dates</f>
        <v>46104</v>
      </c>
      <c r="EY5" s="787">
        <f>Dates</f>
        <v>46196</v>
      </c>
      <c r="EZ5" s="787">
        <f>Dates</f>
        <v>46288</v>
      </c>
      <c r="FA5" s="787">
        <f>Dates</f>
        <v>46379</v>
      </c>
      <c r="FB5" s="788" t="str">
        <f>+IS!FB7</f>
        <v>2026E</v>
      </c>
      <c r="FC5" s="787">
        <f>Dates</f>
        <v>46469</v>
      </c>
      <c r="FD5" s="787">
        <f>Dates</f>
        <v>46561</v>
      </c>
      <c r="FE5" s="787">
        <f>Dates</f>
        <v>46653</v>
      </c>
      <c r="FF5" s="787">
        <f>Dates</f>
        <v>46744</v>
      </c>
      <c r="FG5" s="788" t="str">
        <f>+IS!FG7</f>
        <v>2027E</v>
      </c>
    </row>
    <row r="6" ht="12.75" customHeight="1">
      <c r="A6" s="179"/>
      <c r="B6" s="179"/>
      <c r="C6" s="179"/>
      <c r="D6" s="179"/>
      <c r="E6" s="179"/>
      <c r="F6" s="179"/>
      <c r="G6" s="179"/>
      <c r="H6" s="179"/>
      <c r="I6" s="179"/>
      <c r="J6" s="179"/>
      <c r="K6" s="179"/>
      <c r="L6" s="179"/>
      <c r="M6" s="179"/>
      <c r="N6" s="787" t="str">
        <f>+IS!N8</f>
        <v>Q1A</v>
      </c>
      <c r="O6" s="787" t="str">
        <f>+IS!O8</f>
        <v>Q2A</v>
      </c>
      <c r="P6" s="787" t="str">
        <f>+IS!P8</f>
        <v>Q3A</v>
      </c>
      <c r="Q6" s="787" t="str">
        <f>+IS!Q8</f>
        <v>Q4A</v>
      </c>
      <c r="R6" s="57"/>
      <c r="S6" s="787" t="str">
        <f>+IS!S8</f>
        <v>Q1A</v>
      </c>
      <c r="T6" s="787" t="str">
        <f>+IS!T8</f>
        <v>Q2A</v>
      </c>
      <c r="U6" s="787" t="str">
        <f>+IS!U8</f>
        <v>Q3A</v>
      </c>
      <c r="V6" s="787" t="str">
        <f>+IS!V8</f>
        <v>Q4A</v>
      </c>
      <c r="W6" s="785"/>
      <c r="X6" s="787" t="str">
        <f>+IS!X8</f>
        <v>Q1A</v>
      </c>
      <c r="Y6" s="787" t="str">
        <f>+IS!Y8</f>
        <v>Q2A</v>
      </c>
      <c r="Z6" s="787" t="str">
        <f>+IS!Z8</f>
        <v>Q3A</v>
      </c>
      <c r="AA6" s="787" t="str">
        <f>+IS!AA8</f>
        <v>Q4A</v>
      </c>
      <c r="AB6" s="787"/>
      <c r="AC6" s="787" t="str">
        <f>+IS!AC8</f>
        <v>Q1A</v>
      </c>
      <c r="AD6" s="787" t="str">
        <f>+IS!AD8</f>
        <v>Q2A</v>
      </c>
      <c r="AE6" s="787" t="str">
        <f>+IS!AE8</f>
        <v>Q3A</v>
      </c>
      <c r="AF6" s="787" t="str">
        <f>+IS!AF8</f>
        <v>Q4A</v>
      </c>
      <c r="AG6" s="787"/>
      <c r="AH6" s="791" t="s">
        <v>506</v>
      </c>
      <c r="AI6" s="791" t="s">
        <v>507</v>
      </c>
      <c r="AJ6" s="791" t="s">
        <v>508</v>
      </c>
      <c r="AK6" s="791" t="s">
        <v>509</v>
      </c>
      <c r="AL6" s="787"/>
      <c r="AM6" s="787" t="str">
        <f>+IS!AM8</f>
        <v>Q1A</v>
      </c>
      <c r="AN6" s="791" t="s">
        <v>507</v>
      </c>
      <c r="AO6" s="787" t="str">
        <f>+IS!AO8</f>
        <v>Q3A</v>
      </c>
      <c r="AP6" s="787" t="str">
        <f>+IS!AP8</f>
        <v>Q4A</v>
      </c>
      <c r="AQ6" s="787"/>
      <c r="AR6" s="787" t="str">
        <f>+IS!AR8</f>
        <v>Q1A</v>
      </c>
      <c r="AS6" s="787" t="str">
        <f>+IS!AS8</f>
        <v>Q2A</v>
      </c>
      <c r="AT6" s="787" t="str">
        <f>+IS!AT8</f>
        <v>Q3A</v>
      </c>
      <c r="AU6" s="787" t="str">
        <f>+IS!AU8</f>
        <v>Q4A</v>
      </c>
      <c r="AV6" s="787"/>
      <c r="AW6" s="787" t="str">
        <f>IS!8:8</f>
        <v>Q1A</v>
      </c>
      <c r="AX6" s="787" t="str">
        <f>IS!8:8</f>
        <v>Q2A</v>
      </c>
      <c r="AY6" s="787" t="str">
        <f>IS!8:8</f>
        <v>Q3A</v>
      </c>
      <c r="AZ6" s="787" t="str">
        <f>IS!8:8</f>
        <v>Q4A</v>
      </c>
      <c r="BA6" s="787"/>
      <c r="BB6" s="787" t="str">
        <f>IS!8:8</f>
        <v>Q1A</v>
      </c>
      <c r="BC6" s="787" t="str">
        <f>IS!8:8</f>
        <v>Q2A</v>
      </c>
      <c r="BD6" s="787" t="str">
        <f>IS!8:8</f>
        <v>Q3A</v>
      </c>
      <c r="BE6" s="787" t="str">
        <f>IS!8:8</f>
        <v>Q4A</v>
      </c>
      <c r="BF6" s="787"/>
      <c r="BG6" s="787" t="str">
        <f>IS!8:8</f>
        <v>Q1A</v>
      </c>
      <c r="BH6" s="787" t="str">
        <f>IS!8:8</f>
        <v>Q2A</v>
      </c>
      <c r="BI6" s="787" t="str">
        <f>IS!8:8</f>
        <v>Q3A</v>
      </c>
      <c r="BJ6" s="787" t="str">
        <f>IS!8:8</f>
        <v>Q4A</v>
      </c>
      <c r="BK6" s="787"/>
      <c r="BL6" s="787" t="str">
        <f>IS!8:8</f>
        <v>Q1A</v>
      </c>
      <c r="BM6" s="787" t="str">
        <f>IS!8:8</f>
        <v>Q2A</v>
      </c>
      <c r="BN6" s="787" t="str">
        <f>IS!8:8</f>
        <v>Q3A</v>
      </c>
      <c r="BO6" s="787" t="str">
        <f>IS!8:8</f>
        <v>Q4A</v>
      </c>
      <c r="BP6" s="787"/>
      <c r="BQ6" s="787" t="str">
        <f>IS!8:8</f>
        <v>Q1A</v>
      </c>
      <c r="BR6" s="787" t="str">
        <f>IS!8:8</f>
        <v>Q2A</v>
      </c>
      <c r="BS6" s="787" t="str">
        <f>IS!8:8</f>
        <v>Q3A</v>
      </c>
      <c r="BT6" s="787" t="str">
        <f>IS!8:8</f>
        <v>Q4A</v>
      </c>
      <c r="BU6" s="787"/>
      <c r="BV6" s="787" t="str">
        <f>IS!8:8</f>
        <v>Q1A</v>
      </c>
      <c r="BW6" s="787" t="str">
        <f>IS!8:8</f>
        <v>Q2A</v>
      </c>
      <c r="BX6" s="787" t="str">
        <f>IS!8:8</f>
        <v>Q3A</v>
      </c>
      <c r="BY6" s="787" t="str">
        <f>IS!8:8</f>
        <v>Q4A</v>
      </c>
      <c r="BZ6" s="787"/>
      <c r="CA6" s="787" t="str">
        <f>IS!8:8</f>
        <v>Q1A</v>
      </c>
      <c r="CB6" s="787" t="str">
        <f>IS!8:8</f>
        <v>Q2A</v>
      </c>
      <c r="CC6" s="787" t="str">
        <f>IS!8:8</f>
        <v>Q3A</v>
      </c>
      <c r="CD6" s="787" t="str">
        <f>IS!8:8</f>
        <v>Q4A</v>
      </c>
      <c r="CE6" s="787"/>
      <c r="CF6" s="787" t="str">
        <f>IS!8:8</f>
        <v>Q1A</v>
      </c>
      <c r="CG6" s="787" t="str">
        <f>IS!8:8</f>
        <v>Q2A</v>
      </c>
      <c r="CH6" s="787" t="str">
        <f>IS!8:8</f>
        <v>Q3A</v>
      </c>
      <c r="CI6" s="787" t="str">
        <f>IS!8:8</f>
        <v>Q4A</v>
      </c>
      <c r="CJ6" s="787"/>
      <c r="CK6" s="787" t="str">
        <f>IS!8:8</f>
        <v>Q1A</v>
      </c>
      <c r="CL6" s="787" t="str">
        <f>IS!8:8</f>
        <v>Q2A</v>
      </c>
      <c r="CM6" s="787" t="str">
        <f>IS!8:8</f>
        <v>Q3A</v>
      </c>
      <c r="CN6" s="787" t="str">
        <f>IS!8:8</f>
        <v>Q4A</v>
      </c>
      <c r="CO6" s="787"/>
      <c r="CP6" s="787" t="str">
        <f>IS!8:8</f>
        <v>Q1A</v>
      </c>
      <c r="CQ6" s="787" t="str">
        <f>IS!8:8</f>
        <v>Q2A</v>
      </c>
      <c r="CR6" s="787" t="str">
        <f>IS!8:8</f>
        <v>Q3A</v>
      </c>
      <c r="CS6" s="787" t="str">
        <f>IS!8:8</f>
        <v>Q4A</v>
      </c>
      <c r="CT6" s="788"/>
      <c r="CU6" s="787" t="str">
        <f>IS!8:8</f>
        <v>Q1A</v>
      </c>
      <c r="CV6" s="787" t="str">
        <f>IS!8:8</f>
        <v>Q2A</v>
      </c>
      <c r="CW6" s="787" t="str">
        <f>IS!8:8</f>
        <v>Q3A</v>
      </c>
      <c r="CX6" s="787" t="str">
        <f>IS!8:8</f>
        <v>Q4A</v>
      </c>
      <c r="CY6" s="788"/>
      <c r="CZ6" s="789" t="str">
        <f>IS!8:8</f>
        <v>Q1A</v>
      </c>
      <c r="DA6" s="787" t="str">
        <f>IS!8:8</f>
        <v>Q2A</v>
      </c>
      <c r="DB6" s="789" t="str">
        <f>IS!8:8</f>
        <v>Q3A</v>
      </c>
      <c r="DC6" s="787" t="str">
        <f>IS!8:8</f>
        <v>Q4A</v>
      </c>
      <c r="DD6" s="788"/>
      <c r="DE6" s="789" t="str">
        <f>IS!8:8</f>
        <v>Q1A</v>
      </c>
      <c r="DF6" s="787" t="str">
        <f>IS!8:8</f>
        <v>Q2A</v>
      </c>
      <c r="DG6" s="789" t="str">
        <f>IS!8:8</f>
        <v>Q3A</v>
      </c>
      <c r="DH6" s="787" t="str">
        <f>IS!8:8</f>
        <v>Q4A</v>
      </c>
      <c r="DI6" s="788"/>
      <c r="DJ6" s="789" t="str">
        <f>IS!8:8</f>
        <v>Q1A</v>
      </c>
      <c r="DK6" s="789" t="str">
        <f>IS!8:8</f>
        <v>Q2A</v>
      </c>
      <c r="DL6" s="789" t="str">
        <f>IS!8:8</f>
        <v>Q3A</v>
      </c>
      <c r="DM6" s="789" t="str">
        <f>IS!8:8</f>
        <v>Q4A</v>
      </c>
      <c r="DN6" s="788"/>
      <c r="DO6" s="789" t="str">
        <f>IS!8:8</f>
        <v>Q1A</v>
      </c>
      <c r="DP6" s="789" t="str">
        <f>IS!8:8</f>
        <v>Q2A</v>
      </c>
      <c r="DQ6" s="789" t="str">
        <f>IS!8:8</f>
        <v>Q3A</v>
      </c>
      <c r="DR6" s="789" t="str">
        <f>IS!8:8</f>
        <v>Q4A</v>
      </c>
      <c r="DS6" s="788"/>
      <c r="DT6" s="789" t="str">
        <f>IS!8:8</f>
        <v>Q1A</v>
      </c>
      <c r="DU6" s="789" t="str">
        <f>IS!8:8</f>
        <v>Q2A</v>
      </c>
      <c r="DV6" s="789" t="str">
        <f>IS!8:8</f>
        <v>Q3A</v>
      </c>
      <c r="DW6" s="789" t="str">
        <f>IS!8:8</f>
        <v>Q4A</v>
      </c>
      <c r="DX6" s="788"/>
      <c r="DY6" s="789" t="str">
        <f>IS!8:8</f>
        <v>Q1A</v>
      </c>
      <c r="DZ6" s="789" t="str">
        <f>IS!8:8</f>
        <v>Q2A</v>
      </c>
      <c r="EA6" s="789" t="str">
        <f>IS!8:8</f>
        <v>Q3A</v>
      </c>
      <c r="EB6" s="789" t="str">
        <f>IS!8:8</f>
        <v>Q4A</v>
      </c>
      <c r="EC6" s="788"/>
      <c r="ED6" s="789" t="str">
        <f>IS!8:8</f>
        <v>Q1A</v>
      </c>
      <c r="EE6" s="789" t="str">
        <f>IS!8:8</f>
        <v>Q2A</v>
      </c>
      <c r="EF6" s="789" t="str">
        <f>IS!8:8</f>
        <v>Q3A</v>
      </c>
      <c r="EG6" s="789" t="str">
        <f>IS!8:8</f>
        <v>Q4A</v>
      </c>
      <c r="EH6" s="788"/>
      <c r="EI6" s="790" t="str">
        <f>IS!8:8</f>
        <v>Q1A</v>
      </c>
      <c r="EJ6" s="787" t="str">
        <f>IS!8:8</f>
        <v>Q2A</v>
      </c>
      <c r="EK6" s="787" t="str">
        <f>IS!8:8</f>
        <v>Q3A</v>
      </c>
      <c r="EL6" s="787" t="str">
        <f>IS!8:8</f>
        <v>Q4A</v>
      </c>
      <c r="EM6" s="788"/>
      <c r="EN6" s="787" t="str">
        <f>IS!8:8</f>
        <v>Q1A</v>
      </c>
      <c r="EO6" s="787" t="str">
        <f>IS!8:8</f>
        <v>Q2A</v>
      </c>
      <c r="EP6" s="787" t="str">
        <f>IS!8:8</f>
        <v>Q3A</v>
      </c>
      <c r="EQ6" s="787" t="str">
        <f>IS!8:8</f>
        <v>Q4A</v>
      </c>
      <c r="ER6" s="788"/>
      <c r="ES6" s="787" t="str">
        <f>IS!8:8</f>
        <v>Q1A</v>
      </c>
      <c r="ET6" s="787" t="str">
        <f>IS!8:8</f>
        <v>Q2A</v>
      </c>
      <c r="EU6" s="787" t="str">
        <f>IS!8:8</f>
        <v>Q3A</v>
      </c>
      <c r="EV6" s="787" t="str">
        <f>IS!8:8</f>
        <v>Q4A</v>
      </c>
      <c r="EW6" s="788"/>
      <c r="EX6" s="787" t="str">
        <f>IS!8:8</f>
        <v>Q1A</v>
      </c>
      <c r="EY6" s="787" t="str">
        <f>IS!8:8</f>
        <v>Q2E</v>
      </c>
      <c r="EZ6" s="787" t="str">
        <f>IS!8:8</f>
        <v>Q3E</v>
      </c>
      <c r="FA6" s="787" t="str">
        <f>IS!8:8</f>
        <v>Q4E</v>
      </c>
      <c r="FB6" s="788"/>
      <c r="FC6" s="787" t="str">
        <f>IS!8:8</f>
        <v>Q1E</v>
      </c>
      <c r="FD6" s="787" t="str">
        <f>IS!8:8</f>
        <v>Q2E</v>
      </c>
      <c r="FE6" s="787" t="str">
        <f>IS!8:8</f>
        <v>Q3E</v>
      </c>
      <c r="FF6" s="787" t="str">
        <f>IS!8:8</f>
        <v>Q4E</v>
      </c>
      <c r="FG6" s="788"/>
    </row>
    <row r="7" ht="12.75" customHeight="1">
      <c r="A7" s="128"/>
      <c r="B7" s="179" t="s">
        <v>81</v>
      </c>
      <c r="C7" s="179"/>
      <c r="D7" s="179"/>
      <c r="E7" s="179"/>
      <c r="F7" s="179"/>
      <c r="G7" s="179"/>
      <c r="H7" s="179"/>
      <c r="I7" s="179"/>
      <c r="J7" s="179"/>
      <c r="K7" s="179"/>
      <c r="L7" s="179"/>
      <c r="M7" s="179"/>
      <c r="N7" s="837">
        <v>1273.0</v>
      </c>
      <c r="O7" s="837">
        <f>2445-N7</f>
        <v>1172</v>
      </c>
      <c r="P7" s="837">
        <f>4004-O7-N7</f>
        <v>1559</v>
      </c>
      <c r="Q7" s="837">
        <f>6068-P7-O7-N7</f>
        <v>2064</v>
      </c>
      <c r="R7" s="838">
        <f>+SUM(N7:Q7)</f>
        <v>6068</v>
      </c>
      <c r="S7" s="837">
        <f>GAAPNetInc</f>
        <v>1999</v>
      </c>
      <c r="T7" s="837">
        <f>GAAPNetInc</f>
        <v>1749</v>
      </c>
      <c r="U7" s="837">
        <f>GAAPNetInc</f>
        <v>1458</v>
      </c>
      <c r="V7" s="837">
        <f>W7-S7-T7-U7</f>
        <v>2108</v>
      </c>
      <c r="W7" s="838">
        <f>GAAPNetInc</f>
        <v>7314</v>
      </c>
      <c r="X7" s="837">
        <f>GAAPNetInc</f>
        <v>2696</v>
      </c>
      <c r="Y7" s="837">
        <f>GAAPNetInc</f>
        <v>3137</v>
      </c>
      <c r="Z7" s="837">
        <f>GAAPNetInc</f>
        <v>2509</v>
      </c>
      <c r="AA7" s="837">
        <f>AB7-X7-Y7-Z7</f>
        <v>2193</v>
      </c>
      <c r="AB7" s="838">
        <f>GAAPNetInc</f>
        <v>10535</v>
      </c>
      <c r="AC7" s="837">
        <f>GAAPNetInc</f>
        <v>485</v>
      </c>
      <c r="AD7" s="837">
        <f>GAAPNetInc</f>
        <v>196</v>
      </c>
      <c r="AE7" s="837">
        <f>GAAPNetInc</f>
        <v>106</v>
      </c>
      <c r="AF7" s="837">
        <f>GAAPNetInc</f>
        <v>504</v>
      </c>
      <c r="AG7" s="838">
        <f>GAAPNetInc</f>
        <v>1291</v>
      </c>
      <c r="AH7" s="837">
        <f>GAAPNetInc</f>
        <v>936</v>
      </c>
      <c r="AI7" s="837">
        <f>GAAPNetInc</f>
        <v>446</v>
      </c>
      <c r="AJ7" s="837">
        <f>GAAPNetInc</f>
        <v>686</v>
      </c>
      <c r="AK7" s="837">
        <f>GAAPNetInc</f>
        <v>1049</v>
      </c>
      <c r="AL7" s="838">
        <f>GAAPNetInc</f>
        <v>3117</v>
      </c>
      <c r="AM7" s="837">
        <f>GAAPNetInc</f>
        <v>915</v>
      </c>
      <c r="AN7" s="837">
        <f>GAAPNetInc</f>
        <v>896</v>
      </c>
      <c r="AO7" s="837">
        <f>GAAPNetInc</f>
        <v>1657</v>
      </c>
      <c r="AP7" s="837">
        <f>GAAPNetInc</f>
        <v>2173</v>
      </c>
      <c r="AQ7" s="838">
        <f>GAAPNetInc</f>
        <v>5641</v>
      </c>
      <c r="AR7" s="837">
        <f>GAAPNetInc</f>
        <v>1730</v>
      </c>
      <c r="AS7" s="837">
        <f>GAAPNetInc</f>
        <v>1757</v>
      </c>
      <c r="AT7" s="837">
        <f>GAAPNetInc</f>
        <v>1906</v>
      </c>
      <c r="AU7" s="837">
        <f>GAAPNetInc</f>
        <v>2123</v>
      </c>
      <c r="AV7" s="838">
        <f>GAAPNetInc</f>
        <v>7516</v>
      </c>
      <c r="AW7" s="837">
        <f>GAAPNetInc</f>
        <v>2178</v>
      </c>
      <c r="AX7" s="837">
        <f>GAAPNetInc</f>
        <v>2038</v>
      </c>
      <c r="AY7" s="837">
        <f>GAAPNetInc</f>
        <v>1995</v>
      </c>
      <c r="AZ7" s="837">
        <f>GAAPNetInc</f>
        <v>2453</v>
      </c>
      <c r="BA7" s="838">
        <f>GAAPNetInc</f>
        <v>8664</v>
      </c>
      <c r="BB7" s="837">
        <f>GAAPNetInc</f>
        <v>1357</v>
      </c>
      <c r="BC7" s="837">
        <f>GAAPNetInc</f>
        <v>885</v>
      </c>
      <c r="BD7" s="837">
        <f>GAAPNetInc</f>
        <v>1301</v>
      </c>
      <c r="BE7" s="837">
        <f>GAAPNetInc</f>
        <v>1501</v>
      </c>
      <c r="BF7" s="838">
        <f>GAAPNetInc</f>
        <v>5044</v>
      </c>
      <c r="BG7" s="837">
        <f>GAAPNetInc</f>
        <v>1636</v>
      </c>
      <c r="BH7" s="837">
        <f>GAAPNetInc</f>
        <v>1278</v>
      </c>
      <c r="BI7" s="837">
        <f>GAAPNetInc</f>
        <v>1791</v>
      </c>
      <c r="BJ7" s="837">
        <f>GAAPNetInc</f>
        <v>2271</v>
      </c>
      <c r="BK7" s="838">
        <f>GAAPNetInc</f>
        <v>6976</v>
      </c>
      <c r="BL7" s="837">
        <f>GAAPNetInc</f>
        <v>1443</v>
      </c>
      <c r="BM7" s="837">
        <f>GAAPNetInc</f>
        <v>1601</v>
      </c>
      <c r="BN7" s="837">
        <f>GAAPNetInc</f>
        <v>2014</v>
      </c>
      <c r="BO7" s="837">
        <f>GAAPNetInc</f>
        <v>234</v>
      </c>
      <c r="BP7" s="838">
        <f>GAAPNetInc</f>
        <v>5292</v>
      </c>
      <c r="BQ7" s="837">
        <f>GAAPNetInc</f>
        <v>629</v>
      </c>
      <c r="BR7" s="837">
        <f>GAAPNetInc</f>
        <v>-398</v>
      </c>
      <c r="BS7" s="837">
        <f>GAAPNetInc</f>
        <v>1856</v>
      </c>
      <c r="BT7" s="837">
        <f>GAAPNetInc</f>
        <v>2282</v>
      </c>
      <c r="BU7" s="838">
        <f>GAAPNetInc</f>
        <v>4369</v>
      </c>
      <c r="BV7" s="837">
        <f>GAAPNetInc</f>
        <v>2442</v>
      </c>
      <c r="BW7" s="837">
        <f>GAAPNetInc</f>
        <v>2887</v>
      </c>
      <c r="BX7" s="837">
        <f>GAAPNetInc</f>
        <v>2955</v>
      </c>
      <c r="BY7" s="837">
        <f>GAAPNetInc</f>
        <v>3180</v>
      </c>
      <c r="BZ7" s="838">
        <f>GAAPNetInc</f>
        <v>11464</v>
      </c>
      <c r="CA7" s="837">
        <f>GAAPNetInc</f>
        <v>3160</v>
      </c>
      <c r="CB7" s="837">
        <f>GAAPNetInc</f>
        <v>2954</v>
      </c>
      <c r="CC7" s="837">
        <f>GAAPNetInc</f>
        <v>3468</v>
      </c>
      <c r="CD7" s="837">
        <f>GAAPNetInc</f>
        <v>3360</v>
      </c>
      <c r="CE7" s="838">
        <f>GAAPNetInc</f>
        <v>12942</v>
      </c>
      <c r="CF7" s="837">
        <f>GAAPNetInc</f>
        <v>2738</v>
      </c>
      <c r="CG7" s="837">
        <f>GAAPNetInc</f>
        <v>2827</v>
      </c>
      <c r="CH7" s="837">
        <f>GAAPNetInc</f>
        <v>2972</v>
      </c>
      <c r="CI7" s="837">
        <f>GAAPNetInc</f>
        <v>2468</v>
      </c>
      <c r="CJ7" s="838">
        <f>GAAPNetInc</f>
        <v>11005</v>
      </c>
      <c r="CK7" s="837">
        <f>GAAPNetInc</f>
        <v>2045</v>
      </c>
      <c r="CL7" s="837">
        <f>GAAPNetInc</f>
        <v>2000</v>
      </c>
      <c r="CM7" s="837">
        <f>GAAPNetInc</f>
        <v>2950</v>
      </c>
      <c r="CN7" s="837">
        <f>GAAPNetInc</f>
        <v>2625</v>
      </c>
      <c r="CO7" s="838">
        <f>GAAPNetInc</f>
        <v>9620</v>
      </c>
      <c r="CP7" s="837">
        <f>GAAPNetInc</f>
        <v>1953</v>
      </c>
      <c r="CQ7" s="837">
        <f>GAAPNetInc</f>
        <v>2796</v>
      </c>
      <c r="CR7" s="837">
        <f>GAAPNetInc</f>
        <v>3317</v>
      </c>
      <c r="CS7" s="837">
        <f>GAAPNetInc</f>
        <v>3661</v>
      </c>
      <c r="CT7" s="839">
        <f>GAAPNetInc</f>
        <v>11727</v>
      </c>
      <c r="CU7" s="837">
        <f>GAAPNetInc</f>
        <v>1992</v>
      </c>
      <c r="CV7" s="837">
        <f>GAAPNetInc</f>
        <v>2706</v>
      </c>
      <c r="CW7" s="837">
        <f>GAAPNetInc</f>
        <v>3109</v>
      </c>
      <c r="CX7" s="837">
        <f>GAAPNetInc</f>
        <v>3613</v>
      </c>
      <c r="CY7" s="839">
        <f>GAAPNetInc</f>
        <v>11420</v>
      </c>
      <c r="CZ7" s="840">
        <f>GAAPNetInc</f>
        <v>2046</v>
      </c>
      <c r="DA7" s="837">
        <f>GAAPNetInc</f>
        <v>1330</v>
      </c>
      <c r="DB7" s="840">
        <f>GAAPNetInc</f>
        <v>3378</v>
      </c>
      <c r="DC7" s="837">
        <f>GAAPNetInc</f>
        <v>3562</v>
      </c>
      <c r="DD7" s="839">
        <f>GAAPNetInc</f>
        <v>10316</v>
      </c>
      <c r="DE7" s="840">
        <f>GAAPNetInc</f>
        <v>2964</v>
      </c>
      <c r="DF7" s="837">
        <f>GAAPNetInc</f>
        <v>2808</v>
      </c>
      <c r="DG7" s="840">
        <f>GAAPNetInc</f>
        <v>4516</v>
      </c>
      <c r="DH7" s="837">
        <f>GAAPNetInc</f>
        <v>-687</v>
      </c>
      <c r="DI7" s="839">
        <f>GAAPNetInc</f>
        <v>9601</v>
      </c>
      <c r="DJ7" s="840">
        <f>GAAPNetInc</f>
        <v>4454</v>
      </c>
      <c r="DK7" s="840">
        <f>GAAPNetInc</f>
        <v>5006</v>
      </c>
      <c r="DL7" s="840">
        <f>GAAPNetInc</f>
        <v>6398</v>
      </c>
      <c r="DM7" s="840">
        <f>GAAPNetInc</f>
        <v>5195</v>
      </c>
      <c r="DN7" s="839">
        <f>GAAPNetInc</f>
        <v>21053</v>
      </c>
      <c r="DO7" s="840">
        <f>GAAPNetInc</f>
        <v>3974</v>
      </c>
      <c r="DP7" s="840">
        <f>GAAPNetInc</f>
        <v>4179</v>
      </c>
      <c r="DQ7" s="840">
        <f>GAAPNetInc</f>
        <v>5990</v>
      </c>
      <c r="DR7" s="840">
        <f>GAAPNetInc</f>
        <v>6905</v>
      </c>
      <c r="DS7" s="839">
        <f>GAAPNetInc</f>
        <v>21048</v>
      </c>
      <c r="DT7" s="840">
        <f>GAAPNetInc</f>
        <v>5661</v>
      </c>
      <c r="DU7" s="840">
        <f>10766-DT7</f>
        <v>5105</v>
      </c>
      <c r="DV7" s="840">
        <f>15042-SUM(DT7:DU7)</f>
        <v>4276</v>
      </c>
      <c r="DW7" s="840">
        <f>GAAPNetInc</f>
        <v>5857</v>
      </c>
      <c r="DX7" s="839">
        <f>GAAPNetInc</f>
        <v>20899</v>
      </c>
      <c r="DY7" s="840">
        <f>GAAPNetInc</f>
        <v>3361</v>
      </c>
      <c r="DZ7" s="840">
        <f>GAAPNetInc</f>
        <v>5061</v>
      </c>
      <c r="EA7" s="840">
        <f>15245-SUM(DY7:DZ7)</f>
        <v>6823</v>
      </c>
      <c r="EB7" s="840">
        <f>GAAPNetInc</f>
        <v>4623</v>
      </c>
      <c r="EC7" s="839">
        <f>GAAPNetInc</f>
        <v>19868</v>
      </c>
      <c r="ED7" s="840">
        <f>GAAPNetInc</f>
        <v>8113</v>
      </c>
      <c r="EE7" s="840">
        <f>GAAPNetInc</f>
        <v>-454</v>
      </c>
      <c r="EF7" s="840">
        <f>GAAPNetInc</f>
        <v>1019</v>
      </c>
      <c r="EG7" s="840">
        <f>GAAPNetInc</f>
        <v>-661</v>
      </c>
      <c r="EH7" s="839">
        <f>GAAPNetInc</f>
        <v>8017</v>
      </c>
      <c r="EI7" s="841" t="str">
        <f>GAAPNetInc</f>
        <v>#ERROR!</v>
      </c>
      <c r="EJ7" s="837" t="str">
        <f>GAAPNetInc</f>
        <v>#ERROR!</v>
      </c>
      <c r="EK7" s="837" t="str">
        <f>GAAPNetInc</f>
        <v>#ERROR!</v>
      </c>
      <c r="EL7" s="837" t="str">
        <f>GAAPNetInc</f>
        <v>#ERROR!</v>
      </c>
      <c r="EM7" s="839" t="str">
        <f>GAAPNetInc</f>
        <v>#ERROR!</v>
      </c>
      <c r="EN7" s="837" t="str">
        <f>GAAPNetInc</f>
        <v>#ERROR!</v>
      </c>
      <c r="EO7" s="837" t="str">
        <f>GAAPNetInc</f>
        <v>#ERROR!</v>
      </c>
      <c r="EP7" s="837" t="str">
        <f>GAAPNetInc</f>
        <v>#ERROR!</v>
      </c>
      <c r="EQ7" s="837" t="str">
        <f>GAAPNetInc</f>
        <v>#ERROR!</v>
      </c>
      <c r="ER7" s="839" t="str">
        <f>GAAPNetInc</f>
        <v>#ERROR!</v>
      </c>
      <c r="ES7" s="837" t="str">
        <f>GAAPNetInc</f>
        <v>#ERROR!</v>
      </c>
      <c r="ET7" s="837" t="str">
        <f>GAAPNetInc</f>
        <v>#ERROR!</v>
      </c>
      <c r="EU7" s="837" t="str">
        <f>GAAPNetInc</f>
        <v>#ERROR!</v>
      </c>
      <c r="EV7" s="837" t="str">
        <f>GAAPNetInc</f>
        <v>#ERROR!</v>
      </c>
      <c r="EW7" s="839" t="str">
        <f>GAAPNetInc</f>
        <v>#ERROR!</v>
      </c>
      <c r="EX7" s="837" t="str">
        <f>GAAPNetInc</f>
        <v>#ERROR!</v>
      </c>
      <c r="EY7" s="837" t="str">
        <f>GAAPNetInc</f>
        <v>#ERROR!</v>
      </c>
      <c r="EZ7" s="837" t="str">
        <f>GAAPNetInc</f>
        <v>#ERROR!</v>
      </c>
      <c r="FA7" s="837" t="str">
        <f>GAAPNetInc</f>
        <v>#ERROR!</v>
      </c>
      <c r="FB7" s="839" t="str">
        <f>GAAPNetInc</f>
        <v>#ERROR!</v>
      </c>
      <c r="FC7" s="837" t="str">
        <f>GAAPNetInc</f>
        <v>#ERROR!</v>
      </c>
      <c r="FD7" s="837" t="str">
        <f>GAAPNetInc</f>
        <v>#ERROR!</v>
      </c>
      <c r="FE7" s="837" t="str">
        <f>GAAPNetInc</f>
        <v>#ERROR!</v>
      </c>
      <c r="FF7" s="837" t="str">
        <f>GAAPNetInc</f>
        <v>#ERROR!</v>
      </c>
      <c r="FG7" s="839" t="str">
        <f>GAAPNetInc</f>
        <v>#ERROR!</v>
      </c>
    </row>
    <row r="8" ht="12.75" customHeight="1" outlineLevel="1">
      <c r="A8" s="128"/>
      <c r="B8" s="180" t="s">
        <v>576</v>
      </c>
      <c r="C8" s="180"/>
      <c r="D8" s="180"/>
      <c r="E8" s="180"/>
      <c r="F8" s="180"/>
      <c r="G8" s="180"/>
      <c r="H8" s="180"/>
      <c r="I8" s="180"/>
      <c r="J8" s="180"/>
      <c r="K8" s="180"/>
      <c r="L8" s="180"/>
      <c r="M8" s="180"/>
      <c r="N8" s="652"/>
      <c r="O8" s="652">
        <f t="array" ref="O8">IF(ISNUMBER(Dates),4,1)*depreciation/INDEX(grossPPE, COLUMN()-1)</f>
        <v>0.1417977174</v>
      </c>
      <c r="P8" s="652">
        <f t="array" ref="P8">IF(ISNUMBER(Dates),4,1)*depreciation/INDEX(grossPPE, COLUMN()-1)</f>
        <v>0.1446091711</v>
      </c>
      <c r="Q8" s="652">
        <f t="array" ref="Q8">IF(ISNUMBER(Dates),4,1)*depreciation/INDEX(grossPPE, COLUMN()-1)</f>
        <v>0.1482552535</v>
      </c>
      <c r="R8" s="842">
        <f>IF(ISNUMBER(Dates),4,1)*depreciation/grossPPE</f>
        <v>0.1332352383</v>
      </c>
      <c r="S8" s="652">
        <f t="array" ref="S8">IF(ISNUMBER(Dates),4,1)*depreciation/INDEX(grossPPE, COLUMN()-1)</f>
        <v>0.1469527245</v>
      </c>
      <c r="T8" s="652">
        <f t="array" ref="T8">IF(ISNUMBER(Dates),4,1)*depreciation/INDEX(grossPPE, COLUMN()-1)</f>
        <v>0.1412639405</v>
      </c>
      <c r="U8" s="652">
        <f t="array" ref="U8">IF(ISNUMBER(Dates),4,1)*depreciation/INDEX(grossPPE, COLUMN()-1)</f>
        <v>0.1461951086</v>
      </c>
      <c r="V8" s="652">
        <f t="array" ref="V8">IF(ISNUMBER(Dates),4,1)*depreciation/INDEX(grossPPE, COLUMN()-1)</f>
        <v>0.1483944352</v>
      </c>
      <c r="W8" s="842">
        <f>IF(ISNUMBER(Dates),4,1)*depreciation/grossPPE</f>
        <v>0.1352464236</v>
      </c>
      <c r="X8" s="652">
        <f t="array" ref="X8">IF(ISNUMBER(Dates),4,1)*depreciation/INDEX(grossPPE, COLUMN()-1)</f>
        <v>0.1523114149</v>
      </c>
      <c r="Y8" s="652">
        <f t="array" ref="Y8">IF(ISNUMBER(Dates),4,1)*depreciation/INDEX(grossPPE, COLUMN()-1)</f>
        <v>0.1267050873</v>
      </c>
      <c r="Z8" s="652">
        <f t="array" ref="Z8">IF(ISNUMBER(Dates),4,1)*depreciation/INDEX(grossPPE, COLUMN()-1)</f>
        <v>0.128824994</v>
      </c>
      <c r="AA8" s="652">
        <f t="array" ref="AA8">IF(ISNUMBER(Dates),4,1)*depreciation/INDEX(grossPPE, COLUMN()-1)</f>
        <v>0.1207512386</v>
      </c>
      <c r="AB8" s="842">
        <f>IF(ISNUMBER(Dates),4,1)*depreciation/grossPPE</f>
        <v>0.1149966375</v>
      </c>
      <c r="AC8" s="652">
        <f t="array" ref="AC8">IF(ISNUMBER(Dates),4,1)*depreciation/INDEX(netPPE, COLUMN()-1)</f>
        <v>0.2488509958</v>
      </c>
      <c r="AD8" s="652">
        <f t="array" ref="AD8">IF(ISNUMBER(Dates),4,1)*depreciation/INDEX(netPPE, COLUMN()-1)</f>
        <v>0.2503875045</v>
      </c>
      <c r="AE8" s="652">
        <f t="array" ref="AE8">IF(ISNUMBER(Dates),4,1)*depreciation/INDEX(netPPE, COLUMN()-1)</f>
        <v>0.2364819385</v>
      </c>
      <c r="AF8" s="652">
        <f t="array" ref="AF8">IF(ISNUMBER(Dates),4,1)*depreciation/INDEX(netPPE, COLUMN()-1)</f>
        <v>0.2410409086</v>
      </c>
      <c r="AG8" s="842">
        <f>IF(ISNUMBER(Dates),4,1)*depreciation/netPPE</f>
        <v>0.2279675515</v>
      </c>
      <c r="AH8" s="652">
        <f t="array" ref="AH8">IF(ISNUMBER(Dates),4,1)*depreciation/INDEX(netPPE, COLUMN()-1)</f>
        <v>0.2562772474</v>
      </c>
      <c r="AI8" s="652">
        <f t="array" ref="AI8">IF(ISNUMBER(Dates),4,1)*depreciation/INDEX(netPPE, COLUMN()-1)</f>
        <v>0.2478977831</v>
      </c>
      <c r="AJ8" s="652">
        <f t="array" ref="AJ8">IF(ISNUMBER(Dates),4,1)*depreciation/INDEX(netPPE, COLUMN()-1)</f>
        <v>0.25</v>
      </c>
      <c r="AK8" s="652">
        <f t="array" ref="AK8">IF(ISNUMBER(Dates),4,1)*depreciation/INDEX(netPPE, COLUMN()-1)</f>
        <v>0.2769059544</v>
      </c>
      <c r="AL8" s="842">
        <f>IF(ISNUMBER(Dates),4,1)*depreciation/netPPE</f>
        <v>0.2620048187</v>
      </c>
      <c r="AM8" s="652">
        <f t="array" ref="AM8">IF(ISNUMBER(Dates),4,1)*depreciation/INDEX(netPPE, COLUMN()-1)</f>
        <v>0.2566257634</v>
      </c>
      <c r="AN8" s="652">
        <f t="array" ref="AN8">IF(ISNUMBER(Dates),4,1)*depreciation/INDEX(netPPE, COLUMN()-1)</f>
        <v>0.2642560691</v>
      </c>
      <c r="AO8" s="652">
        <f t="array" ref="AO8">IF(ISNUMBER(Dates),4,1)*depreciation/INDEX(netPPE, COLUMN()-1)</f>
        <v>0.2699514226</v>
      </c>
      <c r="AP8" s="652">
        <f t="array" ref="AP8">IF(ISNUMBER(Dates),4,1)*depreciation/INDEX(netPPE, COLUMN()-1)</f>
        <v>0.2734030197</v>
      </c>
      <c r="AQ8" s="842">
        <f>IF(ISNUMBER(Dates),4,1)*depreciation/netPPE</f>
        <v>0.2791549127</v>
      </c>
      <c r="AR8" s="652">
        <f t="array" ref="AR8">IF(ISNUMBER(Dates),4,1)*depreciation/INDEX(netPPE, COLUMN()-1)</f>
        <v>0.2736930556</v>
      </c>
      <c r="AS8" s="652">
        <f t="array" ref="AS8">IF(ISNUMBER(Dates),4,1)*depreciation/INDEX(netPPE, COLUMN()-1)</f>
        <v>0.2843379447</v>
      </c>
      <c r="AT8" s="652">
        <f t="array" ref="AT8">IF(ISNUMBER(Dates),4,1)*depreciation/INDEX(netPPE, COLUMN()-1)</f>
        <v>0.2886237271</v>
      </c>
      <c r="AU8" s="652">
        <f t="array" ref="AU8">IF(ISNUMBER(Dates),4,1)*depreciation/INDEX(netPPE, COLUMN()-1)</f>
        <v>0.2873649837</v>
      </c>
      <c r="AV8" s="842">
        <f>IF(ISNUMBER(Dates),4,1)*depreciation/netPPE</f>
        <v>0.2910958904</v>
      </c>
      <c r="AW8" s="652">
        <f t="array" ref="AW8">IF(ISNUMBER(Dates),4,1)*depreciation/INDEX(netPPE, COLUMN()-1)</f>
        <v>0.3016235413</v>
      </c>
      <c r="AX8" s="652">
        <f t="array" ref="AX8">IF(ISNUMBER(Dates),4,1)*depreciation/INDEX(netPPE, COLUMN()-1)</f>
        <v>0.257582256</v>
      </c>
      <c r="AY8" s="652">
        <f t="array" ref="AY8">IF(ISNUMBER(Dates),4,1)*depreciation/INDEX(netPPE, COLUMN()-1)</f>
        <v>0.2538498556</v>
      </c>
      <c r="AZ8" s="652">
        <f t="array" ref="AZ8">IF(ISNUMBER(Dates),4,1)*depreciation/INDEX(netPPE, COLUMN()-1)</f>
        <v>0.249628529</v>
      </c>
      <c r="BA8" s="842">
        <f>IF(ISNUMBER(Dates),4,1)*depreciation/netPPE</f>
        <v>0.2539302203</v>
      </c>
      <c r="BB8" s="652">
        <f t="array" ref="BB8">IF(ISNUMBER(Dates),4,1)*depreciation/INDEX(netPPE, COLUMN()-1)</f>
        <v>0.2662614692</v>
      </c>
      <c r="BC8" s="652">
        <f t="array" ref="BC8">IF(ISNUMBER(Dates),4,1)*depreciation/INDEX(netPPE, COLUMN()-1)</f>
        <v>0.2624588489</v>
      </c>
      <c r="BD8" s="652">
        <f t="array" ref="BD8">IF(ISNUMBER(Dates),4,1)*depreciation/INDEX(netPPE, COLUMN()-1)</f>
        <v>0.2636755443</v>
      </c>
      <c r="BE8" s="652">
        <f t="array" ref="BE8">IF(ISNUMBER(Dates),4,1)*depreciation/INDEX(netPPE, COLUMN()-1)</f>
        <v>0.2585652511</v>
      </c>
      <c r="BF8" s="842">
        <f>IF(ISNUMBER(Dates),4,1)*depreciation/netPPE</f>
        <v>0.2644017725</v>
      </c>
      <c r="BG8" s="652">
        <f t="array" ref="BG8">IF(ISNUMBER(Dates),4,1)*depreciation/INDEX(netPPE, COLUMN()-1)</f>
        <v>0.2697420748</v>
      </c>
      <c r="BH8" s="652">
        <f t="array" ref="BH8">IF(ISNUMBER(Dates),4,1)*depreciation/INDEX(netPPE, COLUMN()-1)</f>
        <v>0.2617925867</v>
      </c>
      <c r="BI8" s="652">
        <f t="array" ref="BI8">IF(ISNUMBER(Dates),4,1)*depreciation/INDEX(netPPE, COLUMN()-1)</f>
        <v>0.256197865</v>
      </c>
      <c r="BJ8" s="652">
        <f t="array" ref="BJ8">IF(ISNUMBER(Dates),4,1)*depreciation/INDEX(netPPE, COLUMN()-1)</f>
        <v>0.2609361201</v>
      </c>
      <c r="BK8" s="842">
        <f>IF(ISNUMBER(Dates),4,1)*depreciation/netPPE</f>
        <v>0.2687078851</v>
      </c>
      <c r="BL8" s="652">
        <f t="array" ref="BL8">IF(ISNUMBER(Dates),4,1)*depreciation/INDEX(netPPE, COLUMN()-1)</f>
        <v>0.2605508925</v>
      </c>
      <c r="BM8" s="652">
        <f t="array" ref="BM8">IF(ISNUMBER(Dates),4,1)*depreciation/INDEX(netPPE, COLUMN()-1)</f>
        <v>0.2500749985</v>
      </c>
      <c r="BN8" s="652">
        <f t="array" ref="BN8">IF(ISNUMBER(Dates),4,1)*depreciation/INDEX(netPPE, COLUMN()-1)</f>
        <v>0.253303833</v>
      </c>
      <c r="BO8" s="652">
        <f t="array" ref="BO8">IF(ISNUMBER(Dates),4,1)*depreciation/INDEX(netPPE, COLUMN()-1)</f>
        <v>0.2718195701</v>
      </c>
      <c r="BP8" s="842">
        <f>IF(ISNUMBER(Dates),4,1)*depreciation/netPPE</f>
        <v>0.2485180119</v>
      </c>
      <c r="BQ8" s="652">
        <f t="array" ref="BQ8">IF(ISNUMBER(Dates),4,1)*depreciation/INDEX(netPPE, COLUMN()-1)</f>
        <v>0.2754217966</v>
      </c>
      <c r="BR8" s="652">
        <f t="array" ref="BR8">IF(ISNUMBER(Dates),4,1)*depreciation/INDEX(netPPE, COLUMN()-1)</f>
        <v>0.2719056974</v>
      </c>
      <c r="BS8" s="652">
        <f t="array" ref="BS8">IF(ISNUMBER(Dates),4,1)*depreciation/INDEX(netPPE, COLUMN()-1)</f>
        <v>0.2633171567</v>
      </c>
      <c r="BT8" s="652">
        <f t="array" ref="BT8">IF(ISNUMBER(Dates),4,1)*depreciation/INDEX(netPPE, COLUMN()-1)</f>
        <v>0.2701394491</v>
      </c>
      <c r="BU8" s="842">
        <f>IF(ISNUMBER(Dates),4,1)*depreciation/netPPE</f>
        <v>0.275413643</v>
      </c>
      <c r="BV8" s="652">
        <f t="array" ref="BV8">IF(ISNUMBER(Dates),4,1)*depreciation/INDEX(netPPE, COLUMN()-1)</f>
        <v>0.2507982583</v>
      </c>
      <c r="BW8" s="652">
        <f t="array" ref="BW8">IF(ISNUMBER(Dates),4,1)*depreciation/INDEX(netPPE, COLUMN()-1)</f>
        <v>0.2551092319</v>
      </c>
      <c r="BX8" s="652">
        <f t="array" ref="BX8">IF(ISNUMBER(Dates),4,1)*depreciation/INDEX(netPPE, COLUMN()-1)</f>
        <v>0.2563436799</v>
      </c>
      <c r="BY8" s="652">
        <f t="array" ref="BY8">IF(ISNUMBER(Dates),4,1)*depreciation/INDEX(netPPE, COLUMN()-1)</f>
        <v>0.2666821805</v>
      </c>
      <c r="BZ8" s="842">
        <f>IF(ISNUMBER(Dates),4,1)*depreciation/netPPE</f>
        <v>0.245712051</v>
      </c>
      <c r="CA8" s="652">
        <f t="array" ref="CA8">IF(ISNUMBER(Dates),4,1)*depreciation/INDEX(netPPE, COLUMN()-1)</f>
        <v>0.2876138332</v>
      </c>
      <c r="CB8" s="652">
        <f t="array" ref="CB8">IF(ISNUMBER(Dates),4,1)*depreciation/INDEX(netPPE, COLUMN()-1)</f>
        <v>0.2552277724</v>
      </c>
      <c r="CC8" s="652">
        <f t="array" ref="CC8">IF(ISNUMBER(Dates),4,1)*depreciation/INDEX(netPPE, COLUMN()-1)</f>
        <v>0.2450668977</v>
      </c>
      <c r="CD8" s="652">
        <f t="array" ref="CD8">IF(ISNUMBER(Dates),4,1)*depreciation/INDEX(netPPE, COLUMN()-1)</f>
        <v>0.2406462969</v>
      </c>
      <c r="CE8" s="842">
        <f>IF(ISNUMBER(Dates),4,1)*depreciation/netPPE</f>
        <v>0.2175900453</v>
      </c>
      <c r="CF8" s="652">
        <f t="array" ref="CF8">IF(ISNUMBER(Dates),4,1)*depreciation/INDEX(netPPE, COLUMN()-1)</f>
        <v>0.2571634147</v>
      </c>
      <c r="CG8" s="652">
        <f t="array" ref="CG8">IF(ISNUMBER(Dates),4,1)*depreciation/INDEX(netPPE, COLUMN()-1)</f>
        <v>0.2512486515</v>
      </c>
      <c r="CH8" s="652">
        <f t="array" ref="CH8">IF(ISNUMBER(Dates),4,1)*depreciation/INDEX(netPPE, COLUMN()-1)</f>
        <v>0.2502309824</v>
      </c>
      <c r="CI8" s="652">
        <f t="array" ref="CI8">IF(ISNUMBER(Dates),4,1)*depreciation/INDEX(netPPE, COLUMN()-1)</f>
        <v>0.2417056376</v>
      </c>
      <c r="CJ8" s="842">
        <f>IF(ISNUMBER(Dates),4,1)*depreciation/netPPE</f>
        <v>0.2271736411</v>
      </c>
      <c r="CK8" s="652">
        <f t="array" ref="CK8">IF(ISNUMBER(Dates),4,1)*depreciation/INDEX(netPPE, COLUMN()-1)</f>
        <v>0.2404316907</v>
      </c>
      <c r="CL8" s="652">
        <f t="array" ref="CL8">IF(ISNUMBER(Dates),4,1)*depreciation/INDEX(netPPE, COLUMN()-1)</f>
        <v>0.2409740305</v>
      </c>
      <c r="CM8" s="652">
        <f t="array" ref="CM8">IF(ISNUMBER(Dates),4,1)*depreciation/INDEX(netPPE, COLUMN()-1)</f>
        <v>0.2356789913</v>
      </c>
      <c r="CN8" s="652">
        <f t="array" ref="CN8">IF(ISNUMBER(Dates),4,1)*depreciation/INDEX(netPPE, COLUMN()-1)</f>
        <v>0.2197324194</v>
      </c>
      <c r="CO8" s="842">
        <f>IF(ISNUMBER(Dates),4,1)*depreciation/netPPE</f>
        <v>0.2160493827</v>
      </c>
      <c r="CP8" s="652">
        <f t="array" ref="CP8">IF(ISNUMBER(Dates),4,1)*depreciation/INDEX(netPPE, COLUMN()-1)</f>
        <v>0.2189130711</v>
      </c>
      <c r="CQ8" s="652">
        <f t="array" ref="CQ8">IF(ISNUMBER(Dates),4,1)*depreciation/INDEX(netPPE, COLUMN()-1)</f>
        <v>0.2313703772</v>
      </c>
      <c r="CR8" s="652">
        <f t="array" ref="CR8">IF(ISNUMBER(Dates),4,1)*depreciation/INDEX(netPPE, COLUMN()-1)</f>
        <v>0.2284161256</v>
      </c>
      <c r="CS8" s="652">
        <f t="array" ref="CS8">IF(ISNUMBER(Dates),4,1)*depreciation/INDEX(netPPE, COLUMN()-1)</f>
        <v>0.2280368191</v>
      </c>
      <c r="CT8" s="843">
        <f>IF(ISNUMBER(Dates),4,1)*depreciation/netPPE</f>
        <v>0.2220350202</v>
      </c>
      <c r="CU8" s="652">
        <f t="array" ref="CU8">IF(ISNUMBER(Dates),4,1)*depreciation/INDEX(netPPE, COLUMN()-1)</f>
        <v>0.2223960527</v>
      </c>
      <c r="CV8" s="652">
        <f t="array" ref="CV8">IF(ISNUMBER(Dates),4,1)*depreciation/INDEX(netPPE, COLUMN()-1)</f>
        <v>0.2375060067</v>
      </c>
      <c r="CW8" s="652">
        <f t="array" ref="CW8">IF(ISNUMBER(Dates),4,1)*depreciation/INDEX(netPPE, COLUMN()-1)</f>
        <v>0.2521188385</v>
      </c>
      <c r="CX8" s="652">
        <f t="array" ref="CX8">IF(ISNUMBER(Dates),4,1)*depreciation/INDEX(netPPE, COLUMN()-1)</f>
        <v>0.2450865589</v>
      </c>
      <c r="CY8" s="843">
        <f>IF(ISNUMBER(Dates),4,1)*depreciation/netPPE</f>
        <v>0.2454956369</v>
      </c>
      <c r="CZ8" s="653">
        <f t="array" ref="CZ8">IF(ISNUMBER(Dates),4,1)*depreciation/INDEX(netPPE, COLUMN()-1)</f>
        <v>0.2032770419</v>
      </c>
      <c r="DA8" s="652">
        <f t="array" ref="DA8">IF(ISNUMBER(Dates),4,1)*depreciation/INDEX(netPPE, COLUMN()-1)</f>
        <v>0.1864967528</v>
      </c>
      <c r="DB8" s="653">
        <f t="array" ref="DB8">IF(ISNUMBER(Dates),4,1)*depreciation/INDEX(netPPE, COLUMN()-1)</f>
        <v>0.182581943</v>
      </c>
      <c r="DC8" s="652">
        <f t="array" ref="DC8">IF(ISNUMBER(Dates),4,1)*depreciation/INDEX(netPPE, COLUMN()-1)</f>
        <v>0.1823263319</v>
      </c>
      <c r="DD8" s="843">
        <f>IF(ISNUMBER(Dates),4,1)*depreciation/netPPE</f>
        <v>0.1732327002</v>
      </c>
      <c r="DE8" s="653">
        <f t="array" ref="DE8">IF(ISNUMBER(Dates),4,1)*depreciation/INDEX(netPPE, COLUMN()-1)</f>
        <v>0.1797019712</v>
      </c>
      <c r="DF8" s="652">
        <f t="array" ref="DF8">IF(ISNUMBER(Dates),4,1)*depreciation/INDEX(netPPE, COLUMN()-1)</f>
        <v>0.1815177047</v>
      </c>
      <c r="DG8" s="653">
        <f t="array" ref="DG8">IF(ISNUMBER(Dates),4,1)*depreciation/INDEX(netPPE, COLUMN()-1)</f>
        <v>0.1772882245</v>
      </c>
      <c r="DH8" s="652">
        <f t="array" ref="DH8">IF(ISNUMBER(Dates),4,1)*depreciation/INDEX(netPPE, COLUMN()-1)</f>
        <v>0.1785569518</v>
      </c>
      <c r="DI8" s="843">
        <f>IF(ISNUMBER(Dates),4,1)*depreciation/netPPE</f>
        <v>0.1642462721</v>
      </c>
      <c r="DJ8" s="653">
        <f t="array" ref="DJ8">IF(ISNUMBER(Dates),4,1)*depreciation/INDEX(netPPE, COLUMN()-1)</f>
        <v>0.1757279428</v>
      </c>
      <c r="DK8" s="653">
        <f t="array" ref="DK8">IF(ISNUMBER(Dates),4,1)*depreciation/INDEX(netPPE, COLUMN()-1)</f>
        <v>0.1582256774</v>
      </c>
      <c r="DL8" s="653">
        <f t="array" ref="DL8">IF(ISNUMBER(Dates),4,1)*depreciation/INDEX(netPPE, COLUMN()-1)</f>
        <v>0.1641329442</v>
      </c>
      <c r="DM8" s="653">
        <f t="array" ref="DM8">IF(ISNUMBER(Dates),4,1)*depreciation/INDEX(netPPE, COLUMN()-1)</f>
        <v>0.1784538251</v>
      </c>
      <c r="DN8" s="843">
        <f>IF(ISNUMBER(Dates),4,1)*depreciation/netPPE</f>
        <v>0.1535445933</v>
      </c>
      <c r="DO8" s="653">
        <f t="array" ref="DO8">IF(ISNUMBER(Dates),4,1)*depreciation/INDEX(netPPE, COLUMN()-1)</f>
        <v>0.1820483502</v>
      </c>
      <c r="DP8" s="653">
        <f t="array" ref="DP8">IF(ISNUMBER(Dates),4,1)*depreciation/INDEX(netPPE, COLUMN()-1)</f>
        <v>0.17186251</v>
      </c>
      <c r="DQ8" s="653">
        <f t="array" ref="DQ8">IF(ISNUMBER(Dates),4,1)*depreciation/INDEX(netPPE, COLUMN()-1)</f>
        <v>0.1765770676</v>
      </c>
      <c r="DR8" s="653">
        <f t="array" ref="DR8">IF(ISNUMBER(Dates),4,1)*depreciation/INDEX(netPPE, COLUMN()-1)</f>
        <v>0.1909527099</v>
      </c>
      <c r="DS8" s="843">
        <f>IF(ISNUMBER(Dates),4,1)*depreciation/netPPE</f>
        <v>0.1661791789</v>
      </c>
      <c r="DT8" s="653">
        <f t="array" ref="DT8">IF(ISNUMBER(Dates),4,1)*depreciation/INDEX(netPPE, COLUMN()-1)</f>
        <v>0.189434153</v>
      </c>
      <c r="DU8" s="653">
        <f t="array" ref="DU8">IF(ISNUMBER(Dates),4,1)*depreciation/INDEX(netPPE, COLUMN()-1)</f>
        <v>0.1849568434</v>
      </c>
      <c r="DV8" s="653">
        <f t="array" ref="DV8">IF(ISNUMBER(Dates),4,1)*depreciation/INDEX(netPPE, COLUMN()-1)</f>
        <v>0.1845061686</v>
      </c>
      <c r="DW8" s="653">
        <f t="array" ref="DW8">IF(ISNUMBER(Dates),4,1)*depreciation/INDEX(netPPE, COLUMN()-1)</f>
        <v>0.1727556794</v>
      </c>
      <c r="DX8" s="843">
        <f>IF(ISNUMBER(Dates),4,1)*depreciation/netPPE</f>
        <v>0.1852467129</v>
      </c>
      <c r="DY8" s="653">
        <f t="array" ref="DY8">IF(ISNUMBER(Dates),4,1)*depreciation/INDEX(netPPE, COLUMN()-1)</f>
        <v>0.1734766012</v>
      </c>
      <c r="DZ8" s="653">
        <f t="array" ref="DZ8">IF(ISNUMBER(Dates),4,1)*depreciation/INDEX(netPPE, COLUMN()-1)</f>
        <v>0.168009768</v>
      </c>
      <c r="EA8" s="653">
        <f t="array" ref="EA8">IF(ISNUMBER(Dates),4,1)*depreciation/INDEX(netPPE, COLUMN()-1)</f>
        <v>0.1715778977</v>
      </c>
      <c r="EB8" s="653">
        <f t="array" ref="EB8">IF(ISNUMBER(Dates),4,1)*depreciation/INDEX(netPPE, COLUMN()-1)</f>
        <v>0.1738402558</v>
      </c>
      <c r="EC8" s="843">
        <f>IF(ISNUMBER(Dates),4,1)*depreciation/netPPE</f>
        <v>0.1573721243</v>
      </c>
      <c r="ED8" s="653">
        <f t="array" ref="ED8">IF(ISNUMBER(Dates),4,1)*depreciation/INDEX(netPPE, COLUMN()-1)</f>
        <v>0.180061665</v>
      </c>
      <c r="EE8" s="653">
        <f t="array" ref="EE8">IF(ISNUMBER(Dates),4,1)*depreciation/INDEX(netPPE, COLUMN()-1)</f>
        <v>0.1607362331</v>
      </c>
      <c r="EF8" s="653">
        <f t="array" ref="EF8">IF(ISNUMBER(Dates),4,1)*depreciation/INDEX(netPPE, COLUMN()-1)</f>
        <v>0.1552330449</v>
      </c>
      <c r="EG8" s="653">
        <f t="array" ref="EG8">IF(ISNUMBER(Dates),4,1)*depreciation/INDEX(netPPE, COLUMN()-1)</f>
        <v>0.1488325436</v>
      </c>
      <c r="EH8" s="843">
        <f>IF(ISNUMBER(Dates),4,1)*depreciation/netPPE</f>
        <v>0.1376205788</v>
      </c>
      <c r="EI8" s="654">
        <f t="array" ref="EI8">IF(ISNUMBER(Dates),4,1)*depreciation/INDEX(netPPE, COLUMN()-1)</f>
        <v>0.1412804539</v>
      </c>
      <c r="EJ8" s="652">
        <f t="array" ref="EJ8">IF(ISNUMBER(Dates),4,1)*depreciation/INDEX(netPPE, COLUMN()-1)</f>
        <v>0.139318715</v>
      </c>
      <c r="EK8" s="652">
        <f t="array" ref="EK8">IF(ISNUMBER(Dates),4,1)*depreciation/INDEX(netPPE, COLUMN()-1)</f>
        <v>0.1374449024</v>
      </c>
      <c r="EL8" s="652">
        <f t="array" ref="EL8">IF(ISNUMBER(Dates),4,1)*depreciation/INDEX(netPPE, COLUMN()-1)</f>
        <v>0.1356685013</v>
      </c>
      <c r="EM8" s="843">
        <f>IF(ISNUMBER(Dates),4,1)*depreciation/netPPE</f>
        <v>0.1302286564</v>
      </c>
      <c r="EN8" s="652">
        <f t="array" ref="EN8">IF(ISNUMBER(Dates),4,1)*depreciation/INDEX(netPPE, COLUMN()-1)</f>
        <v>0.1333006324</v>
      </c>
      <c r="EO8" s="652">
        <f t="array" ref="EO8">IF(ISNUMBER(Dates),4,1)*depreciation/INDEX(netPPE, COLUMN()-1)</f>
        <v>0.1322392746</v>
      </c>
      <c r="EP8" s="652">
        <f t="array" ref="EP8">IF(ISNUMBER(Dates),4,1)*depreciation/INDEX(netPPE, COLUMN()-1)</f>
        <v>0.1309945185</v>
      </c>
      <c r="EQ8" s="652">
        <f t="array" ref="EQ8">IF(ISNUMBER(Dates),4,1)*depreciation/INDEX(netPPE, COLUMN()-1)</f>
        <v>0.1285100686</v>
      </c>
      <c r="ER8" s="843">
        <f>IF(ISNUMBER(Dates),4,1)*depreciation/netPPE</f>
        <v>0.1198513437</v>
      </c>
      <c r="ES8" s="652">
        <f t="array" ref="ES8">IF(ISNUMBER(Dates),4,1)*depreciation/INDEX(netPPE, COLUMN()-1)</f>
        <v>0.1262178115</v>
      </c>
      <c r="ET8" s="652">
        <f t="array" ref="ET8">IF(ISNUMBER(Dates),4,1)*depreciation/INDEX(netPPE, COLUMN()-1)</f>
        <v>0.124092293</v>
      </c>
      <c r="EU8" s="652">
        <f t="array" ref="EU8">IF(ISNUMBER(Dates),4,1)*depreciation/INDEX(netPPE, COLUMN()-1)</f>
        <v>0.122112165</v>
      </c>
      <c r="EV8" s="652">
        <f t="array" ref="EV8">IF(ISNUMBER(Dates),4,1)*depreciation/INDEX(netPPE, COLUMN()-1)</f>
        <v>0.1202600296</v>
      </c>
      <c r="EW8" s="843">
        <f>IF(ISNUMBER(Dates),4,1)*depreciation/netPPE</f>
        <v>0.113412258</v>
      </c>
      <c r="EX8" s="652">
        <f t="array" ref="EX8">IF(ISNUMBER(Dates),4,1)*depreciation/INDEX(netPPE, COLUMN()-1)</f>
        <v>0.1185209476</v>
      </c>
      <c r="EY8" s="652">
        <f t="array" ref="EY8">IF(ISNUMBER(Dates),4,1)*depreciation/INDEX(netPPE, COLUMN()-1)</f>
        <v>0.1168822666</v>
      </c>
      <c r="EZ8" s="652">
        <f t="array" ref="EZ8">IF(ISNUMBER(Dates),4,1)*depreciation/INDEX(netPPE, COLUMN()-1)</f>
        <v>0.1157738466</v>
      </c>
      <c r="FA8" s="652">
        <f t="array" ref="FA8">IF(ISNUMBER(Dates),4,1)*depreciation/INDEX(netPPE, COLUMN()-1)</f>
        <v>0.1142728377</v>
      </c>
      <c r="FB8" s="843">
        <f>IF(ISNUMBER(Dates),4,1)*depreciation/netPPE</f>
        <v>0.1079655208</v>
      </c>
      <c r="FC8" s="652">
        <f t="array" ref="FC8">IF(ISNUMBER(Dates),4,1)*depreciation/INDEX(netPPE, COLUMN()-1)</f>
        <v>0.1124407119</v>
      </c>
      <c r="FD8" s="652">
        <f t="array" ref="FD8">IF(ISNUMBER(Dates),4,1)*depreciation/INDEX(netPPE, COLUMN()-1)</f>
        <v>0.1111170906</v>
      </c>
      <c r="FE8" s="652">
        <f t="array" ref="FE8">IF(ISNUMBER(Dates),4,1)*depreciation/INDEX(netPPE, COLUMN()-1)</f>
        <v>0.1102464517</v>
      </c>
      <c r="FF8" s="652">
        <f t="array" ref="FF8">IF(ISNUMBER(Dates),4,1)*depreciation/INDEX(netPPE, COLUMN()-1)</f>
        <v>0.1090246411</v>
      </c>
      <c r="FG8" s="843">
        <f>IF(ISNUMBER(Dates),4,1)*depreciation/netPPE</f>
        <v>0.1039190913</v>
      </c>
    </row>
    <row r="9" ht="12.75" customHeight="1" outlineLevel="1">
      <c r="A9" s="128"/>
      <c r="B9" s="180" t="s">
        <v>577</v>
      </c>
      <c r="C9" s="180"/>
      <c r="D9" s="180"/>
      <c r="E9" s="180"/>
      <c r="F9" s="180"/>
      <c r="G9" s="180"/>
      <c r="H9" s="180"/>
      <c r="I9" s="180"/>
      <c r="J9" s="180"/>
      <c r="K9" s="180"/>
      <c r="L9" s="180"/>
      <c r="M9" s="180"/>
      <c r="N9" s="652">
        <f>N10/Sales</f>
        <v>0.1049825029</v>
      </c>
      <c r="O9" s="652">
        <f>O10/Sales</f>
        <v>0.1137168888</v>
      </c>
      <c r="P9" s="652">
        <f>P10/Sales</f>
        <v>0.1090476898</v>
      </c>
      <c r="Q9" s="652">
        <f>Q10/Sales</f>
        <v>0.1009981613</v>
      </c>
      <c r="R9" s="842">
        <f>-R10/Sales</f>
        <v>-0.1068397214</v>
      </c>
      <c r="S9" s="652">
        <f>S10/Sales</f>
        <v>0.1089680417</v>
      </c>
      <c r="T9" s="652">
        <f>T10/Sales</f>
        <v>0.1126593537</v>
      </c>
      <c r="U9" s="652">
        <f>U10/Sales</f>
        <v>0.1097161572</v>
      </c>
      <c r="V9" s="652">
        <f>V10/Sales</f>
        <v>0.1032635168</v>
      </c>
      <c r="W9" s="842">
        <f>-W10/Sales</f>
        <v>-0.1084079077</v>
      </c>
      <c r="X9" s="652">
        <f>X10/Sales</f>
        <v>0.1122231953</v>
      </c>
      <c r="Y9" s="652">
        <f>Y10/Sales</f>
        <v>0.09204819277</v>
      </c>
      <c r="Z9" s="652">
        <f>Z10/Sales</f>
        <v>0.09185660291</v>
      </c>
      <c r="AA9" s="652">
        <f>AA10/Sales</f>
        <v>0.09032406343</v>
      </c>
      <c r="AB9" s="842">
        <f>-AB10/Sales</f>
        <v>-0.09633517168</v>
      </c>
      <c r="AC9" s="652">
        <f>-AC10/Sales</f>
        <v>-0.1398831811</v>
      </c>
      <c r="AD9" s="652">
        <f>-AD10/Sales</f>
        <v>-0.165772024</v>
      </c>
      <c r="AE9" s="652">
        <f>-AE10/Sales</f>
        <v>-0.161038961</v>
      </c>
      <c r="AF9" s="652">
        <f>-AF10/Sales</f>
        <v>-0.1565229844</v>
      </c>
      <c r="AG9" s="842">
        <f>-AG10/Sales</f>
        <v>-0.1556577113</v>
      </c>
      <c r="AH9" s="652">
        <f>-AH10/Sales</f>
        <v>-0.1712136853</v>
      </c>
      <c r="AI9" s="652">
        <f>-AI10/Sales</f>
        <v>-0.179617028</v>
      </c>
      <c r="AJ9" s="652">
        <f>-AJ10/Sales</f>
        <v>-0.1746617466</v>
      </c>
      <c r="AK9" s="652">
        <f>-AK10/Sales</f>
        <v>-0.1737430168</v>
      </c>
      <c r="AL9" s="842">
        <f>-AL10/Sales</f>
        <v>-0.1747123001</v>
      </c>
      <c r="AM9" s="652">
        <f>-AM10/Sales</f>
        <v>-0.169604503</v>
      </c>
      <c r="AN9" s="652">
        <f>-AN10/Sales</f>
        <v>-0.1704812207</v>
      </c>
      <c r="AO9" s="652">
        <f>-AO10/Sales</f>
        <v>-0.1489850632</v>
      </c>
      <c r="AP9" s="652">
        <f>-AP10/Sales</f>
        <v>-0.1346527857</v>
      </c>
      <c r="AQ9" s="842">
        <f>-AQ10/Sales</f>
        <v>-0.1543080853</v>
      </c>
      <c r="AR9" s="652">
        <f>-AR10/Sales</f>
        <v>-0.1408972933</v>
      </c>
      <c r="AS9" s="652">
        <f>-AS10/Sales</f>
        <v>-0.1429991303</v>
      </c>
      <c r="AT9" s="652">
        <f>-AT10/Sales</f>
        <v>-0.1363475387</v>
      </c>
      <c r="AU9" s="652">
        <f>-AU10/Sales</f>
        <v>-0.1191914982</v>
      </c>
      <c r="AV9" s="842">
        <f>-AV10/Sales</f>
        <v>-0.134175217</v>
      </c>
      <c r="AW9" s="652">
        <f>-AW10/Sales</f>
        <v>-0.1260334959</v>
      </c>
      <c r="AX9" s="652">
        <f>-AX10/Sales</f>
        <v>-0.1138554869</v>
      </c>
      <c r="AY9" s="652">
        <f>-AY10/Sales</f>
        <v>-0.1059236948</v>
      </c>
      <c r="AZ9" s="652">
        <f>-AZ10/Sales</f>
        <v>-0.1029310852</v>
      </c>
      <c r="BA9" s="842">
        <f>-BA10/Sales</f>
        <v>-0.1119095452</v>
      </c>
      <c r="BB9" s="652">
        <f>-BB10/Sales</f>
        <v>-0.1274049217</v>
      </c>
      <c r="BC9" s="652">
        <f>-BC10/Sales</f>
        <v>-0.1443376202</v>
      </c>
      <c r="BD9" s="652">
        <f>-BD10/Sales</f>
        <v>-0.1365144753</v>
      </c>
      <c r="BE9" s="652">
        <f>-BE10/Sales</f>
        <v>-0.1202805859</v>
      </c>
      <c r="BF9" s="842">
        <f>-BF10/Sales</f>
        <v>-0.1315358092</v>
      </c>
      <c r="BG9" s="652">
        <f>-BG10/Sales</f>
        <v>-0.1340939901</v>
      </c>
      <c r="BH9" s="652">
        <f>-BH10/Sales</f>
        <v>-0.1328341014</v>
      </c>
      <c r="BI9" s="652">
        <f>-BI10/Sales</f>
        <v>-0.1088206145</v>
      </c>
      <c r="BJ9" s="652">
        <f>-BJ10/Sales</f>
        <v>-0.1034353996</v>
      </c>
      <c r="BK9" s="842">
        <f>-BK10/Sales</f>
        <v>-0.1185892419</v>
      </c>
      <c r="BL9" s="652">
        <f>-BL10/Sales</f>
        <v>-0.1139253592</v>
      </c>
      <c r="BM9" s="652">
        <f>-BM10/Sales</f>
        <v>-0.110031679</v>
      </c>
      <c r="BN9" s="652">
        <f>-BN10/Sales</f>
        <v>-0.1036507781</v>
      </c>
      <c r="BO9" s="652">
        <f>-BO10/Sales</f>
        <v>-0.1406515925</v>
      </c>
      <c r="BP9" s="842">
        <f>-BP10/Sales</f>
        <v>-0.1160006385</v>
      </c>
      <c r="BQ9" s="652">
        <f>-BQ10/Sales</f>
        <v>-0.1690692792</v>
      </c>
      <c r="BR9" s="652">
        <f>-BR10/Sales</f>
        <v>-0.1509222333</v>
      </c>
      <c r="BS9" s="652">
        <f>-BS10/Sales</f>
        <v>-0.1228032804</v>
      </c>
      <c r="BT9" s="652">
        <f>-BT10/Sales</f>
        <v>-0.1108903397</v>
      </c>
      <c r="BU9" s="842">
        <f>-BU10/Sales</f>
        <v>-0.1350528084</v>
      </c>
      <c r="BV9" s="652">
        <f>-BV10/Sales</f>
        <v>-0.10486455</v>
      </c>
      <c r="BW9" s="652">
        <f>-BW10/Sales</f>
        <v>-0.1008824895</v>
      </c>
      <c r="BX9" s="652">
        <f>-BX10/Sales</f>
        <v>-0.09782021257</v>
      </c>
      <c r="BY9" s="652">
        <f>-BY10/Sales</f>
        <v>-0.1000261849</v>
      </c>
      <c r="BZ9" s="842">
        <f>-BZ10/Sales</f>
        <v>-0.1008183756</v>
      </c>
      <c r="CA9" s="652">
        <f>-CA10/Sales</f>
        <v>-0.1001790301</v>
      </c>
      <c r="CB9" s="652">
        <f>-CB10/Sales</f>
        <v>-0.09576427256</v>
      </c>
      <c r="CC9" s="652">
        <f>-CC10/Sales</f>
        <v>-0.08944003372</v>
      </c>
      <c r="CD9" s="652">
        <f>-CD10/Sales</f>
        <v>-0.09598905451</v>
      </c>
      <c r="CE9" s="842">
        <f>-CE10/Sales</f>
        <v>-0.09520546677</v>
      </c>
      <c r="CF9" s="652">
        <f>-CF10/Sales</f>
        <v>-0.1176971951</v>
      </c>
      <c r="CG9" s="652">
        <f>-CG10/Sales</f>
        <v>-0.1164358196</v>
      </c>
      <c r="CH9" s="652">
        <f>-CH10/Sales</f>
        <v>-0.1207549974</v>
      </c>
      <c r="CI9" s="652">
        <f>-CI10/Sales</f>
        <v>-0.1217630036</v>
      </c>
      <c r="CJ9" s="842">
        <f>-CJ10/Sales</f>
        <v>-0.1191766184</v>
      </c>
      <c r="CK9" s="652">
        <f>-CK10/Sales</f>
        <v>-0.1337042925</v>
      </c>
      <c r="CL9" s="652">
        <f>-CL10/Sales</f>
        <v>-0.1336351573</v>
      </c>
      <c r="CM9" s="652">
        <f>-CM10/Sales</f>
        <v>-0.1282355559</v>
      </c>
      <c r="CN9" s="652">
        <f>-CN10/Sales</f>
        <v>-0.1205002169</v>
      </c>
      <c r="CO9" s="842">
        <f>-CO10/Sales</f>
        <v>-0.1288229491</v>
      </c>
      <c r="CP9" s="652">
        <f>-CP10/Sales</f>
        <v>-0.1347539956</v>
      </c>
      <c r="CQ9" s="652">
        <f>-CQ10/Sales</f>
        <v>-0.1359265418</v>
      </c>
      <c r="CR9" s="652">
        <f>-CR10/Sales</f>
        <v>-0.1299299162</v>
      </c>
      <c r="CS9" s="652">
        <f>-CS10/Sales</f>
        <v>-0.128320087</v>
      </c>
      <c r="CT9" s="843">
        <f>-CT10/Sales</f>
        <v>-0.1320923573</v>
      </c>
      <c r="CU9" s="652">
        <f>-CU10/Sales</f>
        <v>-0.1445896252</v>
      </c>
      <c r="CV9" s="652">
        <f>-CV10/Sales</f>
        <v>-0.1498294809</v>
      </c>
      <c r="CW9" s="646">
        <f>-CW10/Sales</f>
        <v>-0.1424127204</v>
      </c>
      <c r="CX9" s="652">
        <f>-CX10/Sales</f>
        <v>-0.1298109159</v>
      </c>
      <c r="CY9" s="843">
        <f>-CY10/Sales</f>
        <v>-0.1412880499</v>
      </c>
      <c r="CZ9" s="653">
        <f>-CZ10/Sales</f>
        <v>-0.1173103398</v>
      </c>
      <c r="DA9" s="652">
        <f>-DA10/Sales</f>
        <v>-0.1124658243</v>
      </c>
      <c r="DB9" s="653">
        <f>-DB10/Sales</f>
        <v>-0.09779439726</v>
      </c>
      <c r="DC9" s="652">
        <f>-DC10/Sales</f>
        <v>-0.09661658727</v>
      </c>
      <c r="DD9" s="843">
        <f>-DD10/Sales</f>
        <v>-0.1053357092</v>
      </c>
      <c r="DE9" s="653">
        <f>-DE10/Sales</f>
        <v>-0.1098269803</v>
      </c>
      <c r="DF9" s="652">
        <f>-DF10/Sales</f>
        <v>-0.113459324</v>
      </c>
      <c r="DG9" s="653">
        <f>-DG10/Sales</f>
        <v>-0.1046504428</v>
      </c>
      <c r="DH9" s="652">
        <f>-DH10/Sales</f>
        <v>-0.1033249282</v>
      </c>
      <c r="DI9" s="843">
        <f>-DI10/Sales</f>
        <v>-0.1075827345</v>
      </c>
      <c r="DJ9" s="653">
        <f>-DJ10/Sales</f>
        <v>-0.1124113034</v>
      </c>
      <c r="DK9" s="653">
        <f>-DK10/Sales</f>
        <v>-0.1019926895</v>
      </c>
      <c r="DL9" s="653">
        <f>-DL10/Sales</f>
        <v>-0.09831446016</v>
      </c>
      <c r="DM9" s="653">
        <f>-DM10/Sales</f>
        <v>-0.1125582891</v>
      </c>
      <c r="DN9" s="843">
        <f>-DN10/Sales</f>
        <v>-0.1061427281</v>
      </c>
      <c r="DO9" s="653">
        <f>-DO10/Sales</f>
        <v>-0.1387833883</v>
      </c>
      <c r="DP9" s="653">
        <f>-DP10/Sales</f>
        <v>-0.1302635565</v>
      </c>
      <c r="DQ9" s="653">
        <f>-DQ10/Sales</f>
        <v>-0.1181865555</v>
      </c>
      <c r="DR9" s="653">
        <f>-DR10/Sales</f>
        <v>-0.1265277847</v>
      </c>
      <c r="DS9" s="843">
        <f>-DS10/Sales</f>
        <v>-0.1278955048</v>
      </c>
      <c r="DT9" s="653">
        <f>-DT10/Sales</f>
        <v>-0.132287674</v>
      </c>
      <c r="DU9" s="653">
        <f>-DU10/Sales</f>
        <v>-0.1330596107</v>
      </c>
      <c r="DV9" s="653">
        <f>-DV10/Sales</f>
        <v>-0.1460208367</v>
      </c>
      <c r="DW9" s="653">
        <f>-DW10/Sales</f>
        <v>-0.1279907899</v>
      </c>
      <c r="DX9" s="843">
        <f>-DX10/Sales</f>
        <v>-0.1346141498</v>
      </c>
      <c r="DY9" s="653">
        <f>-DY10/Sales</f>
        <v>-0.1321770979</v>
      </c>
      <c r="DZ9" s="653">
        <f>-DZ10/Sales</f>
        <v>-0.1299303944</v>
      </c>
      <c r="EA9" s="653">
        <f>-EA10/Sales</f>
        <v>-0.1379443799</v>
      </c>
      <c r="EB9" s="653">
        <f>-EB10/Sales</f>
        <v>-0.1329100963</v>
      </c>
      <c r="EC9" s="843">
        <f>-EC10/Sales</f>
        <v>-0.133207527</v>
      </c>
      <c r="ED9" s="653">
        <f>-ED10/Sales</f>
        <v>-0.1551245028</v>
      </c>
      <c r="EE9" s="653">
        <f>-EE10/Sales</f>
        <v>-0.1749885778</v>
      </c>
      <c r="EF9" s="653">
        <f>-EF10/Sales</f>
        <v>-0.1813143826</v>
      </c>
      <c r="EG9" s="653">
        <f>-EG10/Sales</f>
        <v>-0.2007548782</v>
      </c>
      <c r="EH9" s="843">
        <f>-EH10/Sales</f>
        <v>-0.1764836489</v>
      </c>
      <c r="EI9" s="654" t="str">
        <f>-EI10/Sales</f>
        <v>#ERROR!</v>
      </c>
      <c r="EJ9" s="652" t="str">
        <f>-EJ10/Sales</f>
        <v>#ERROR!</v>
      </c>
      <c r="EK9" s="652" t="str">
        <f>-EK10/Sales</f>
        <v>#ERROR!</v>
      </c>
      <c r="EL9" s="652" t="str">
        <f>-EL10/Sales</f>
        <v>#ERROR!</v>
      </c>
      <c r="EM9" s="843" t="str">
        <f>-EM10/Sales</f>
        <v>#ERROR!</v>
      </c>
      <c r="EN9" s="652" t="str">
        <f>-EN10/Sales</f>
        <v>#ERROR!</v>
      </c>
      <c r="EO9" s="652" t="str">
        <f>-EO10/Sales</f>
        <v>#ERROR!</v>
      </c>
      <c r="EP9" s="652" t="str">
        <f>-EP10/Sales</f>
        <v>#ERROR!</v>
      </c>
      <c r="EQ9" s="652" t="str">
        <f>-EQ10/Sales</f>
        <v>#ERROR!</v>
      </c>
      <c r="ER9" s="843" t="str">
        <f>-ER10/Sales</f>
        <v>#ERROR!</v>
      </c>
      <c r="ES9" s="652" t="str">
        <f>-ES10/Sales</f>
        <v>#ERROR!</v>
      </c>
      <c r="ET9" s="652" t="str">
        <f>-ET10/Sales</f>
        <v>#ERROR!</v>
      </c>
      <c r="EU9" s="652" t="str">
        <f>-EU10/Sales</f>
        <v>#ERROR!</v>
      </c>
      <c r="EV9" s="652" t="str">
        <f>-EV10/Sales</f>
        <v>#ERROR!</v>
      </c>
      <c r="EW9" s="843" t="str">
        <f>-EW10/Sales</f>
        <v>#ERROR!</v>
      </c>
      <c r="EX9" s="652" t="str">
        <f>-EX10/Sales</f>
        <v>#ERROR!</v>
      </c>
      <c r="EY9" s="652" t="str">
        <f>-EY10/Sales</f>
        <v>#ERROR!</v>
      </c>
      <c r="EZ9" s="652" t="str">
        <f>-EZ10/Sales</f>
        <v>#ERROR!</v>
      </c>
      <c r="FA9" s="652" t="str">
        <f>-FA10/Sales</f>
        <v>#ERROR!</v>
      </c>
      <c r="FB9" s="843" t="str">
        <f>-FB10/Sales</f>
        <v>#ERROR!</v>
      </c>
      <c r="FC9" s="652" t="str">
        <f>-FC10/Sales</f>
        <v>#ERROR!</v>
      </c>
      <c r="FD9" s="652" t="str">
        <f>-FD10/Sales</f>
        <v>#ERROR!</v>
      </c>
      <c r="FE9" s="652" t="str">
        <f>-FE10/Sales</f>
        <v>#ERROR!</v>
      </c>
      <c r="FF9" s="652" t="str">
        <f>-FF10/Sales</f>
        <v>#ERROR!</v>
      </c>
      <c r="FG9" s="843" t="str">
        <f>-FG10/Sales</f>
        <v>#ERROR!</v>
      </c>
    </row>
    <row r="10" ht="12.75" customHeight="1" outlineLevel="1">
      <c r="A10" s="128"/>
      <c r="B10" s="180" t="s">
        <v>470</v>
      </c>
      <c r="C10" s="179"/>
      <c r="D10" s="179"/>
      <c r="E10" s="179"/>
      <c r="F10" s="179"/>
      <c r="G10" s="179"/>
      <c r="H10" s="179"/>
      <c r="I10" s="179"/>
      <c r="J10" s="179"/>
      <c r="K10" s="179"/>
      <c r="L10" s="179"/>
      <c r="M10" s="179"/>
      <c r="N10" s="837">
        <v>630.0</v>
      </c>
      <c r="O10" s="837">
        <v>674.0</v>
      </c>
      <c r="P10" s="837">
        <v>734.0</v>
      </c>
      <c r="Q10" s="837">
        <v>769.0</v>
      </c>
      <c r="R10" s="838">
        <v>2807.0</v>
      </c>
      <c r="S10" s="837">
        <v>774.0</v>
      </c>
      <c r="T10" s="837">
        <v>760.0</v>
      </c>
      <c r="U10" s="837">
        <v>804.0</v>
      </c>
      <c r="V10" s="837">
        <f t="shared" ref="V10:V11" si="6">W10-S10-T10-U10</f>
        <v>848</v>
      </c>
      <c r="W10" s="838">
        <v>3186.0</v>
      </c>
      <c r="X10" s="837">
        <v>897.0</v>
      </c>
      <c r="Y10" s="837">
        <v>764.0</v>
      </c>
      <c r="Z10" s="837">
        <v>802.0</v>
      </c>
      <c r="AA10" s="837">
        <f t="shared" ref="AA10:AA11" si="7">AB10-X10-Y10-Z10</f>
        <v>786</v>
      </c>
      <c r="AB10" s="838">
        <v>3249.0</v>
      </c>
      <c r="AC10" s="837">
        <v>934.0</v>
      </c>
      <c r="AD10" s="837">
        <v>1050.0</v>
      </c>
      <c r="AE10" s="837">
        <v>1054.0</v>
      </c>
      <c r="AF10" s="837">
        <v>1093.0</v>
      </c>
      <c r="AG10" s="838">
        <f t="shared" ref="AG10:AG11" si="8">SUM(AC10:AF10)</f>
        <v>4131</v>
      </c>
      <c r="AH10" s="837">
        <v>1161.0</v>
      </c>
      <c r="AI10" s="837">
        <v>1135.0</v>
      </c>
      <c r="AJ10" s="837">
        <v>1136.0</v>
      </c>
      <c r="AK10" s="837">
        <v>1244.0</v>
      </c>
      <c r="AL10" s="838">
        <f>SUM(AH10:AK10)</f>
        <v>4676</v>
      </c>
      <c r="AM10" s="837">
        <v>1145.0</v>
      </c>
      <c r="AN10" s="837">
        <f>2307-AM10</f>
        <v>1162</v>
      </c>
      <c r="AO10" s="837">
        <f>3474-AN10-AM10</f>
        <v>1167</v>
      </c>
      <c r="AP10" s="837">
        <f t="shared" ref="AP10:AP11" si="9">AQ10-SUM(AM10:AO10)</f>
        <v>1177</v>
      </c>
      <c r="AQ10" s="838">
        <v>4651.0</v>
      </c>
      <c r="AR10" s="837">
        <v>1140.0</v>
      </c>
      <c r="AS10" s="837">
        <f>2291-AR10</f>
        <v>1151</v>
      </c>
      <c r="AT10" s="837">
        <f>3446-AR10-AS10</f>
        <v>1155</v>
      </c>
      <c r="AU10" s="837">
        <f t="shared" ref="AU10:AU11" si="10">AV10-SUM(AR10:AT10)</f>
        <v>1144</v>
      </c>
      <c r="AV10" s="838">
        <v>4590.0</v>
      </c>
      <c r="AW10" s="837">
        <v>1189.0</v>
      </c>
      <c r="AX10" s="837">
        <f>2240-AW10</f>
        <v>1051</v>
      </c>
      <c r="AY10" s="837">
        <f>3295-AW10-AX10</f>
        <v>1055</v>
      </c>
      <c r="AZ10" s="837">
        <f t="shared" ref="AZ10:AZ11" si="11">BA10-SUM(AW10:AY10)</f>
        <v>1050</v>
      </c>
      <c r="BA10" s="838">
        <v>4345.0</v>
      </c>
      <c r="BB10" s="837">
        <v>1139.0</v>
      </c>
      <c r="BC10" s="837">
        <v>1156.0</v>
      </c>
      <c r="BD10" s="837">
        <f>3488-BB10-BC10</f>
        <v>1193</v>
      </c>
      <c r="BE10" s="837">
        <f t="shared" ref="BE10:BE11" si="12">BF10-SUM(BB10:BD10)</f>
        <v>1166</v>
      </c>
      <c r="BF10" s="838">
        <v>4654.0</v>
      </c>
      <c r="BG10" s="837">
        <v>1187.0</v>
      </c>
      <c r="BH10" s="837">
        <f>2340-BG10</f>
        <v>1153</v>
      </c>
      <c r="BI10" s="837">
        <f>3438-BG10-BH10</f>
        <v>1098</v>
      </c>
      <c r="BJ10" s="837">
        <f t="shared" ref="BJ10:BJ11" si="13">BK10-SUM(BG10:BI10)</f>
        <v>1108</v>
      </c>
      <c r="BK10" s="838">
        <v>4546.0</v>
      </c>
      <c r="BL10" s="837">
        <v>1102.0</v>
      </c>
      <c r="BM10" s="837">
        <f>2144-BL10</f>
        <v>1042</v>
      </c>
      <c r="BN10" s="837">
        <f>3203-BL10-BM10</f>
        <v>1059</v>
      </c>
      <c r="BO10" s="837">
        <f t="shared" ref="BO10:BO11" si="14">BP10-SUM(BL10:BN10)</f>
        <v>1157</v>
      </c>
      <c r="BP10" s="838">
        <v>4360.0</v>
      </c>
      <c r="BQ10" s="837">
        <v>1208.0</v>
      </c>
      <c r="BR10" s="837">
        <f>2419-BQ10</f>
        <v>1211</v>
      </c>
      <c r="BS10" s="837">
        <f>3572-BQ10-BR10</f>
        <v>1153</v>
      </c>
      <c r="BT10" s="837">
        <f t="shared" ref="BT10:BT11" si="15">BU10-SUM(BQ10:BS10)</f>
        <v>1172</v>
      </c>
      <c r="BU10" s="838">
        <v>4744.0</v>
      </c>
      <c r="BV10" s="837">
        <v>1080.0</v>
      </c>
      <c r="BW10" s="837">
        <f>2166-BV10</f>
        <v>1086</v>
      </c>
      <c r="BX10" s="837">
        <f>3252-BV10-BW10</f>
        <v>1086</v>
      </c>
      <c r="BY10" s="837">
        <f t="shared" ref="BY10:BY11" si="16">BZ10-SUM(BV10:BX10)</f>
        <v>1146</v>
      </c>
      <c r="BZ10" s="838">
        <v>4398.0</v>
      </c>
      <c r="CA10" s="837">
        <v>1287.0</v>
      </c>
      <c r="CB10" s="837">
        <f>2535-CA10</f>
        <v>1248</v>
      </c>
      <c r="CC10" s="837">
        <f>3808-CA10-CB10</f>
        <v>1273</v>
      </c>
      <c r="CD10" s="837">
        <f t="shared" ref="CD10:CD11" si="17">CE10-SUM(CA10:CC10)</f>
        <v>1333</v>
      </c>
      <c r="CE10" s="838">
        <v>5141.0</v>
      </c>
      <c r="CF10" s="837">
        <v>1519.0</v>
      </c>
      <c r="CG10" s="837">
        <f>3091-CF10</f>
        <v>1572</v>
      </c>
      <c r="CH10" s="837">
        <f>4716-CF10-CG10</f>
        <v>1625</v>
      </c>
      <c r="CI10" s="837">
        <f t="shared" ref="CI10:CI11" si="18">CJ10-SUM(CF10:CH10)</f>
        <v>1641</v>
      </c>
      <c r="CJ10" s="838">
        <v>6357.0</v>
      </c>
      <c r="CK10" s="837">
        <v>1682.0</v>
      </c>
      <c r="CL10" s="837">
        <v>1712.0</v>
      </c>
      <c r="CM10" s="837">
        <v>1729.0</v>
      </c>
      <c r="CN10" s="837">
        <v>1667.0</v>
      </c>
      <c r="CO10" s="838">
        <f t="shared" ref="CO10:CO11" si="19">SUM(CK10:CN10)</f>
        <v>6790</v>
      </c>
      <c r="CP10" s="837">
        <v>1720.0</v>
      </c>
      <c r="CQ10" s="268">
        <f>3600-CP10</f>
        <v>1880</v>
      </c>
      <c r="CR10" s="268">
        <f>5491-CQ10-CP10</f>
        <v>1891</v>
      </c>
      <c r="CS10" s="268">
        <f>7380-CR10-CQ10-CP10</f>
        <v>1889</v>
      </c>
      <c r="CT10" s="839">
        <f t="shared" ref="CT10:CT11" si="20">SUM(CP10:CS10)</f>
        <v>7380</v>
      </c>
      <c r="CU10" s="268">
        <v>1848.0</v>
      </c>
      <c r="CV10" s="268">
        <f>3825-CU10</f>
        <v>1977</v>
      </c>
      <c r="CW10" s="268">
        <f>5885-CV10-CU10</f>
        <v>2060</v>
      </c>
      <c r="CX10" s="268">
        <f>7821-CW10-CV10-CU10</f>
        <v>1936</v>
      </c>
      <c r="CY10" s="839">
        <f t="shared" ref="CY10:CY11" si="21">SUM(CU10:CX10)</f>
        <v>7821</v>
      </c>
      <c r="CZ10" s="844">
        <v>1619.0</v>
      </c>
      <c r="DA10" s="837">
        <f>3141-CZ10</f>
        <v>1522</v>
      </c>
      <c r="DB10" s="844">
        <f>4684-DA10-CZ10</f>
        <v>1543</v>
      </c>
      <c r="DC10" s="268">
        <v>1582.0</v>
      </c>
      <c r="DD10" s="839">
        <f t="shared" ref="DD10:DD11" si="22">SUM(CZ10:DC10)</f>
        <v>6266</v>
      </c>
      <c r="DE10" s="844">
        <v>1625.0</v>
      </c>
      <c r="DF10" s="268">
        <v>1675.0</v>
      </c>
      <c r="DG10" s="844">
        <v>1690.0</v>
      </c>
      <c r="DH10" s="268">
        <v>1762.0</v>
      </c>
      <c r="DI10" s="839">
        <f t="shared" ref="DI10:DI11" si="23">SUM(DE10:DH10)</f>
        <v>6752</v>
      </c>
      <c r="DJ10" s="844">
        <v>1806.0</v>
      </c>
      <c r="DK10" s="844">
        <v>1730.0</v>
      </c>
      <c r="DL10" s="844">
        <v>1884.0</v>
      </c>
      <c r="DM10" s="844">
        <v>2100.0</v>
      </c>
      <c r="DN10" s="839">
        <f t="shared" ref="DN10:DN11" si="24">SUM(DJ10:DM10)</f>
        <v>7520</v>
      </c>
      <c r="DO10" s="844">
        <v>2229.0</v>
      </c>
      <c r="DP10" s="844">
        <v>2150.0</v>
      </c>
      <c r="DQ10" s="844">
        <f>6647-SUM(DO10:DP10)</f>
        <v>2268</v>
      </c>
      <c r="DR10" s="844">
        <f>9204-SUM(DO10:DQ10)</f>
        <v>2557</v>
      </c>
      <c r="DS10" s="839">
        <f t="shared" ref="DS10:DS11" si="25">SUM(DO10:DR10)</f>
        <v>9204</v>
      </c>
      <c r="DT10" s="844">
        <v>2623.0</v>
      </c>
      <c r="DU10" s="844">
        <f>5248-DT10</f>
        <v>2625</v>
      </c>
      <c r="DV10" s="844">
        <f>7925-SUM(DT10:DU10)</f>
        <v>2677</v>
      </c>
      <c r="DW10" s="844">
        <f>10482-SUM(DT10:DV10)</f>
        <v>2557</v>
      </c>
      <c r="DX10" s="839">
        <f t="shared" ref="DX10:DX11" si="26">SUM(DT10:DW10)</f>
        <v>10482</v>
      </c>
      <c r="DY10" s="844">
        <v>2454.0</v>
      </c>
      <c r="DZ10" s="844">
        <f>4862-DY10</f>
        <v>2408</v>
      </c>
      <c r="EA10" s="844">
        <f>7357-SUM(DY10:DZ10)</f>
        <v>2495</v>
      </c>
      <c r="EB10" s="844">
        <f>9953-SUM(DY10:EA10)</f>
        <v>2596</v>
      </c>
      <c r="EC10" s="839">
        <f t="shared" ref="EC10:EC11" si="27">SUM(DY10:EB10)</f>
        <v>9953</v>
      </c>
      <c r="ED10" s="844">
        <v>2847.0</v>
      </c>
      <c r="EE10" s="844">
        <f>5528-ED10</f>
        <v>2681</v>
      </c>
      <c r="EF10" s="844">
        <f>8309-EE10-ED10</f>
        <v>2781</v>
      </c>
      <c r="EG10" s="844">
        <f>11128-EF10-EE10-ED10</f>
        <v>2819</v>
      </c>
      <c r="EH10" s="839">
        <f t="shared" ref="EH10:EH11" si="28">SUM(ED10:EG10)</f>
        <v>11128</v>
      </c>
      <c r="EI10" s="845">
        <f>EG10-EG10/32+((-EI33-EI46)/32)</f>
        <v>2855.984375</v>
      </c>
      <c r="EJ10" s="268">
        <f t="shared" ref="EJ10:EL10" si="1">EI10-EI10/32+((-EJ33-EJ46)/32)</f>
        <v>2891.812988</v>
      </c>
      <c r="EK10" s="268">
        <f t="shared" si="1"/>
        <v>2926.365707</v>
      </c>
      <c r="EL10" s="268">
        <f t="shared" si="1"/>
        <v>2959.838654</v>
      </c>
      <c r="EM10" s="839">
        <f t="shared" ref="EM10:EM11" si="29">SUM(EI10:EL10)</f>
        <v>11634.00172</v>
      </c>
      <c r="EN10" s="844">
        <f>EL10-EL10/32+((-EN33-EN46)/32)</f>
        <v>2977.109321</v>
      </c>
      <c r="EO10" s="268">
        <f t="shared" ref="EO10:EQ10" si="2">EN10-EN10/32+((-EO33-EO46)/32)</f>
        <v>3021.18403</v>
      </c>
      <c r="EP10" s="268">
        <f t="shared" si="2"/>
        <v>3091.225154</v>
      </c>
      <c r="EQ10" s="268">
        <f t="shared" si="2"/>
        <v>3159.077493</v>
      </c>
      <c r="ER10" s="839">
        <f t="shared" ref="ER10:ER11" si="30">SUM(EN10:EQ10)</f>
        <v>12248.596</v>
      </c>
      <c r="ES10" s="844">
        <f>EQ10-EQ10/32+((-ES33-ES46)/32)</f>
        <v>3224.809446</v>
      </c>
      <c r="ET10" s="268">
        <f t="shared" ref="ET10:EV10" si="3">ES10-ES10/32+((-ET33-ET46)/32)</f>
        <v>3288.487276</v>
      </c>
      <c r="EU10" s="268">
        <f t="shared" si="3"/>
        <v>3350.175174</v>
      </c>
      <c r="EV10" s="268">
        <f t="shared" si="3"/>
        <v>3409.935324</v>
      </c>
      <c r="EW10" s="846">
        <f t="shared" ref="EW10:EW11" si="31">SUM(ES10:EV10)</f>
        <v>13273.40722</v>
      </c>
      <c r="EX10" s="844">
        <f>EV10-EV10/32+((-EX33-EX46)/32)</f>
        <v>3467.827971</v>
      </c>
      <c r="EY10" s="268">
        <f t="shared" ref="EY10:FA10" si="4">EX10-EX10/32+((-EY33-EY46)/32)</f>
        <v>3523.911471</v>
      </c>
      <c r="EZ10" s="268">
        <f t="shared" si="4"/>
        <v>3591.914238</v>
      </c>
      <c r="FA10" s="268">
        <f t="shared" si="4"/>
        <v>3657.791918</v>
      </c>
      <c r="FB10" s="846">
        <f t="shared" ref="FB10:FB11" si="32">SUM(EX10:FA10)</f>
        <v>14241.4456</v>
      </c>
      <c r="FC10" s="844">
        <f>FA10-FA10/32+((-FC33-FC46)/32)</f>
        <v>3707.939046</v>
      </c>
      <c r="FD10" s="268">
        <f t="shared" ref="FD10:FF10" si="5">FC10-FC10/32+((-FD33-FD46)/32)</f>
        <v>3756.519075</v>
      </c>
      <c r="FE10" s="268">
        <f t="shared" si="5"/>
        <v>3817.252854</v>
      </c>
      <c r="FF10" s="268">
        <f t="shared" si="5"/>
        <v>3876.088703</v>
      </c>
      <c r="FG10" s="846">
        <f t="shared" ref="FG10:FG11" si="33">SUM(FC10:FF10)</f>
        <v>15157.79968</v>
      </c>
    </row>
    <row r="11" ht="12.75" customHeight="1" outlineLevel="1">
      <c r="A11" s="128"/>
      <c r="B11" s="180" t="s">
        <v>578</v>
      </c>
      <c r="C11" s="179"/>
      <c r="D11" s="179"/>
      <c r="E11" s="179"/>
      <c r="F11" s="179"/>
      <c r="G11" s="179"/>
      <c r="H11" s="179"/>
      <c r="I11" s="179"/>
      <c r="J11" s="179"/>
      <c r="K11" s="179"/>
      <c r="L11" s="179"/>
      <c r="M11" s="179"/>
      <c r="N11" s="837">
        <v>0.0</v>
      </c>
      <c r="O11" s="837">
        <v>0.0</v>
      </c>
      <c r="P11" s="837">
        <v>0.0</v>
      </c>
      <c r="Q11" s="837">
        <v>0.0</v>
      </c>
      <c r="R11" s="838">
        <f>282+77+165</f>
        <v>524</v>
      </c>
      <c r="S11" s="837">
        <v>18.0</v>
      </c>
      <c r="T11" s="837">
        <v>31.0</v>
      </c>
      <c r="U11" s="837">
        <v>121.0</v>
      </c>
      <c r="V11" s="837">
        <f t="shared" si="6"/>
        <v>241</v>
      </c>
      <c r="W11" s="838">
        <v>411.0</v>
      </c>
      <c r="X11" s="837">
        <v>313.0</v>
      </c>
      <c r="Y11" s="837">
        <v>394.0</v>
      </c>
      <c r="Z11" s="837">
        <v>420.0</v>
      </c>
      <c r="AA11" s="837">
        <f t="shared" si="7"/>
        <v>459</v>
      </c>
      <c r="AB11" s="838">
        <v>1586.0</v>
      </c>
      <c r="AC11" s="837">
        <v>585.0</v>
      </c>
      <c r="AD11" s="837">
        <v>594.0</v>
      </c>
      <c r="AE11" s="837">
        <v>609.0</v>
      </c>
      <c r="AF11" s="837">
        <v>550.0</v>
      </c>
      <c r="AG11" s="838">
        <f t="shared" si="8"/>
        <v>2338</v>
      </c>
      <c r="AH11" s="837">
        <v>135.0</v>
      </c>
      <c r="AI11" s="837">
        <f>394-AH11</f>
        <v>259</v>
      </c>
      <c r="AJ11" s="837">
        <f>526-AI11-AH11</f>
        <v>132</v>
      </c>
      <c r="AK11" s="837">
        <f>AL11-SUM(AH11:AJ11)</f>
        <v>142</v>
      </c>
      <c r="AL11" s="838">
        <v>668.0</v>
      </c>
      <c r="AM11" s="837">
        <v>119.0</v>
      </c>
      <c r="AN11" s="837">
        <f>232-AM11</f>
        <v>113</v>
      </c>
      <c r="AO11" s="837">
        <f>326-AN11-AM11</f>
        <v>94</v>
      </c>
      <c r="AP11" s="837">
        <f t="shared" si="9"/>
        <v>93</v>
      </c>
      <c r="AQ11" s="838">
        <v>419.0</v>
      </c>
      <c r="AR11" s="837">
        <v>93.0</v>
      </c>
      <c r="AS11" s="837">
        <f>167-AR11</f>
        <v>74</v>
      </c>
      <c r="AT11" s="837">
        <f>232-AR11-AS11</f>
        <v>65</v>
      </c>
      <c r="AU11" s="837">
        <f t="shared" si="10"/>
        <v>67</v>
      </c>
      <c r="AV11" s="838">
        <v>299.0</v>
      </c>
      <c r="AW11" s="837">
        <v>67.0</v>
      </c>
      <c r="AX11" s="837">
        <f>133-AW11</f>
        <v>66</v>
      </c>
      <c r="AY11" s="837">
        <f>192-AW11-AX11</f>
        <v>59</v>
      </c>
      <c r="AZ11" s="837">
        <f t="shared" si="11"/>
        <v>58</v>
      </c>
      <c r="BA11" s="838">
        <v>250.0</v>
      </c>
      <c r="BB11" s="837">
        <v>75.0</v>
      </c>
      <c r="BC11" s="837">
        <v>59.0</v>
      </c>
      <c r="BD11" s="837">
        <f>197-BB11-BC11</f>
        <v>63</v>
      </c>
      <c r="BE11" s="837">
        <f t="shared" si="12"/>
        <v>61</v>
      </c>
      <c r="BF11" s="838">
        <v>258.0</v>
      </c>
      <c r="BG11" s="837">
        <v>64.0</v>
      </c>
      <c r="BH11" s="837">
        <f>124-BG11</f>
        <v>60</v>
      </c>
      <c r="BI11" s="837">
        <f>189-BG11-BH11</f>
        <v>65</v>
      </c>
      <c r="BJ11" s="837">
        <f t="shared" si="13"/>
        <v>63</v>
      </c>
      <c r="BK11" s="838">
        <v>252.0</v>
      </c>
      <c r="BL11" s="837">
        <v>63.0</v>
      </c>
      <c r="BM11" s="837">
        <f>126-BL11</f>
        <v>63</v>
      </c>
      <c r="BN11" s="837">
        <f>194-BL11-BM11</f>
        <v>68</v>
      </c>
      <c r="BO11" s="837">
        <f t="shared" si="14"/>
        <v>62</v>
      </c>
      <c r="BP11" s="838">
        <v>256.0</v>
      </c>
      <c r="BQ11" s="837">
        <v>62.0</v>
      </c>
      <c r="BR11" s="837">
        <f>137-BQ11</f>
        <v>75</v>
      </c>
      <c r="BS11" s="837">
        <f>219-BQ11-BR11</f>
        <v>82</v>
      </c>
      <c r="BT11" s="837">
        <f t="shared" si="15"/>
        <v>89</v>
      </c>
      <c r="BU11" s="838">
        <v>308.0</v>
      </c>
      <c r="BV11" s="837">
        <v>61.0</v>
      </c>
      <c r="BW11" s="837">
        <f>124-BV11</f>
        <v>63</v>
      </c>
      <c r="BX11" s="837">
        <f>180-BV11-BW11</f>
        <v>56</v>
      </c>
      <c r="BY11" s="837">
        <f t="shared" si="16"/>
        <v>60</v>
      </c>
      <c r="BZ11" s="838">
        <f>65+10+8+157</f>
        <v>240</v>
      </c>
      <c r="CA11" s="837">
        <v>155.0</v>
      </c>
      <c r="CB11" s="837">
        <f>411-CA11</f>
        <v>256</v>
      </c>
      <c r="CC11" s="837">
        <f>667-CA11-CB11</f>
        <v>256</v>
      </c>
      <c r="CD11" s="837">
        <f t="shared" si="17"/>
        <v>256</v>
      </c>
      <c r="CE11" s="838">
        <f>482+250+10+181</f>
        <v>923</v>
      </c>
      <c r="CF11" s="837">
        <v>266.0</v>
      </c>
      <c r="CG11" s="837">
        <f>533-CF11</f>
        <v>267</v>
      </c>
      <c r="CH11" s="837">
        <f>801-CF11-CG11</f>
        <v>268</v>
      </c>
      <c r="CI11" s="837">
        <f t="shared" si="18"/>
        <v>364</v>
      </c>
      <c r="CJ11" s="838">
        <v>1165.0</v>
      </c>
      <c r="CK11" s="837">
        <v>382.0</v>
      </c>
      <c r="CL11" s="837">
        <v>279.0</v>
      </c>
      <c r="CM11" s="837">
        <v>292.0</v>
      </c>
      <c r="CN11" s="837">
        <v>289.0</v>
      </c>
      <c r="CO11" s="838">
        <f t="shared" si="19"/>
        <v>1242</v>
      </c>
      <c r="CP11" s="837">
        <v>287.0</v>
      </c>
      <c r="CQ11" s="268">
        <f>577-CP11</f>
        <v>290</v>
      </c>
      <c r="CR11" s="837">
        <f>884-CQ11-CP11</f>
        <v>307</v>
      </c>
      <c r="CS11" s="268">
        <f>1169-CR11-CQ11-CP11</f>
        <v>285</v>
      </c>
      <c r="CT11" s="839">
        <f t="shared" si="20"/>
        <v>1169</v>
      </c>
      <c r="CU11" s="268">
        <v>251.0</v>
      </c>
      <c r="CV11" s="268">
        <f>465-CU11</f>
        <v>214</v>
      </c>
      <c r="CW11" s="268">
        <f>680-CV11-CU11</f>
        <v>215</v>
      </c>
      <c r="CX11" s="268">
        <f>890-CW11-CV11-CU11</f>
        <v>210</v>
      </c>
      <c r="CY11" s="839">
        <f t="shared" si="21"/>
        <v>890</v>
      </c>
      <c r="CZ11" s="844">
        <v>396.0</v>
      </c>
      <c r="DA11" s="837">
        <f>791-CZ11</f>
        <v>395</v>
      </c>
      <c r="DB11" s="844">
        <f>1176-DA11-CZ11</f>
        <v>385</v>
      </c>
      <c r="DC11" s="268">
        <v>348.0</v>
      </c>
      <c r="DD11" s="839">
        <f t="shared" si="22"/>
        <v>1524</v>
      </c>
      <c r="DE11" s="844">
        <v>321.0</v>
      </c>
      <c r="DF11" s="268">
        <v>313.0</v>
      </c>
      <c r="DG11" s="844">
        <v>365.0</v>
      </c>
      <c r="DH11" s="268">
        <f>1377-DG11-DF11-DE11</f>
        <v>378</v>
      </c>
      <c r="DI11" s="839">
        <f t="shared" si="23"/>
        <v>1377</v>
      </c>
      <c r="DJ11" s="844">
        <v>390.0</v>
      </c>
      <c r="DK11" s="844">
        <v>392.0</v>
      </c>
      <c r="DL11" s="844">
        <v>390.0</v>
      </c>
      <c r="DM11" s="844">
        <v>393.0</v>
      </c>
      <c r="DN11" s="839">
        <f t="shared" si="24"/>
        <v>1565</v>
      </c>
      <c r="DO11" s="844">
        <v>396.0</v>
      </c>
      <c r="DP11" s="844">
        <v>404.0</v>
      </c>
      <c r="DQ11" s="844">
        <f>1211-SUM(DO11:DP11)</f>
        <v>411</v>
      </c>
      <c r="DR11" s="844">
        <f>1622-SUM(DO11:DQ11)</f>
        <v>411</v>
      </c>
      <c r="DS11" s="839">
        <f t="shared" si="25"/>
        <v>1622</v>
      </c>
      <c r="DT11" s="844">
        <v>427.0</v>
      </c>
      <c r="DU11" s="844">
        <f>865-DT11</f>
        <v>438</v>
      </c>
      <c r="DV11" s="844">
        <f>1311-SUM(DT11:DU11)</f>
        <v>446</v>
      </c>
      <c r="DW11" s="844">
        <f>1757-SUM(DT11:DV11)</f>
        <v>446</v>
      </c>
      <c r="DX11" s="839">
        <f t="shared" si="26"/>
        <v>1757</v>
      </c>
      <c r="DY11" s="844">
        <v>448.0</v>
      </c>
      <c r="DZ11" s="844">
        <f>897-DY11</f>
        <v>449</v>
      </c>
      <c r="EA11" s="844">
        <f>1361-SUM(DY11:DZ11)</f>
        <v>464</v>
      </c>
      <c r="EB11" s="844">
        <f>1839-SUM(DY11:EA11)</f>
        <v>478</v>
      </c>
      <c r="EC11" s="839">
        <f t="shared" si="27"/>
        <v>1839</v>
      </c>
      <c r="ED11" s="844">
        <v>501.0</v>
      </c>
      <c r="EE11" s="844">
        <f>968-ED11</f>
        <v>467</v>
      </c>
      <c r="EF11" s="844">
        <f>1439-EE11-ED11</f>
        <v>471</v>
      </c>
      <c r="EG11" s="844">
        <f>1907-EF11-EE11-ED11</f>
        <v>468</v>
      </c>
      <c r="EH11" s="839">
        <f t="shared" si="28"/>
        <v>1907</v>
      </c>
      <c r="EI11" s="845">
        <f>AVERAGE(ED11:EG11)</f>
        <v>476.75</v>
      </c>
      <c r="EJ11" s="268">
        <f>AVERAGE(EE11,EF11,EG11,EI11)</f>
        <v>470.6875</v>
      </c>
      <c r="EK11" s="268">
        <f>AVERAGE(EF11,EG11,EI11,EJ11)</f>
        <v>471.609375</v>
      </c>
      <c r="EL11" s="268">
        <f>AVERAGE(EG11,EI11,EJ11,EK11)</f>
        <v>471.7617188</v>
      </c>
      <c r="EM11" s="839">
        <f t="shared" si="29"/>
        <v>1890.808594</v>
      </c>
      <c r="EN11" s="268">
        <f>AVERAGE(EI11:EL11)</f>
        <v>472.7021484</v>
      </c>
      <c r="EO11" s="268">
        <f>AVERAGE(EJ11,EK11,EL11,EN11)</f>
        <v>471.6901855</v>
      </c>
      <c r="EP11" s="268">
        <f>AVERAGE(EK11,EL11,EN11,EO11)</f>
        <v>471.9408569</v>
      </c>
      <c r="EQ11" s="268">
        <f>AVERAGE(EL11,EN11,EO11,EP11)</f>
        <v>472.0237274</v>
      </c>
      <c r="ER11" s="839">
        <f t="shared" si="30"/>
        <v>1888.356918</v>
      </c>
      <c r="ES11" s="268">
        <f>AVERAGE(EN11:EQ11)</f>
        <v>472.0892296</v>
      </c>
      <c r="ET11" s="268">
        <f>AVERAGE(EO11,EP11,EQ11,ES11)</f>
        <v>471.9359999</v>
      </c>
      <c r="EU11" s="268">
        <f>AVERAGE(EP11,EQ11,ES11,ET11)</f>
        <v>471.9974535</v>
      </c>
      <c r="EV11" s="268">
        <f>AVERAGE(EQ11,ES11,ET11,EU11)</f>
        <v>472.0116026</v>
      </c>
      <c r="EW11" s="846">
        <f t="shared" si="31"/>
        <v>1888.034285</v>
      </c>
      <c r="EX11" s="268">
        <f>AVERAGE(ES11:EV11)</f>
        <v>472.0085714</v>
      </c>
      <c r="EY11" s="268">
        <f>AVERAGE(ET11,EU11,EV11,EX11)</f>
        <v>471.9884068</v>
      </c>
      <c r="EZ11" s="268">
        <f>AVERAGE(EU11,EV11,EX11,EY11)</f>
        <v>472.0015086</v>
      </c>
      <c r="FA11" s="268">
        <f>AVERAGE(EV11,EX11,EY11,EZ11)</f>
        <v>472.0025223</v>
      </c>
      <c r="FB11" s="846">
        <f t="shared" si="32"/>
        <v>1888.001009</v>
      </c>
      <c r="FC11" s="268">
        <f>AVERAGE(EX11:FA11)</f>
        <v>472.0002523</v>
      </c>
      <c r="FD11" s="268">
        <f>AVERAGE(EY11,EZ11,FA11,FC11)</f>
        <v>471.9981725</v>
      </c>
      <c r="FE11" s="268">
        <f>AVERAGE(EZ11,FA11,FC11,FD11)</f>
        <v>472.0006139</v>
      </c>
      <c r="FF11" s="268">
        <f>AVERAGE(FA11,FC11,FD11,FE11)</f>
        <v>472.0003903</v>
      </c>
      <c r="FG11" s="846">
        <f t="shared" si="33"/>
        <v>1887.999429</v>
      </c>
    </row>
    <row r="12" ht="12.75" customHeight="1">
      <c r="A12" s="128"/>
      <c r="B12" s="179" t="s">
        <v>579</v>
      </c>
      <c r="C12" s="179"/>
      <c r="D12" s="179"/>
      <c r="E12" s="179"/>
      <c r="F12" s="179"/>
      <c r="G12" s="179"/>
      <c r="H12" s="179"/>
      <c r="I12" s="179"/>
      <c r="J12" s="179"/>
      <c r="K12" s="179"/>
      <c r="L12" s="179"/>
      <c r="M12" s="179"/>
      <c r="N12" s="837">
        <f>depreciation+amortization</f>
        <v>630</v>
      </c>
      <c r="O12" s="837">
        <f>depreciation+amortization</f>
        <v>674</v>
      </c>
      <c r="P12" s="837">
        <f>depreciation+amortization</f>
        <v>734</v>
      </c>
      <c r="Q12" s="837">
        <f>depreciation+amortization</f>
        <v>769</v>
      </c>
      <c r="R12" s="838">
        <f>+SUM(N12:Q12)</f>
        <v>2807</v>
      </c>
      <c r="S12" s="837">
        <f>depreciation+amortization</f>
        <v>792</v>
      </c>
      <c r="T12" s="837">
        <f>depreciation+amortization</f>
        <v>791</v>
      </c>
      <c r="U12" s="837">
        <f>depreciation+amortization</f>
        <v>925</v>
      </c>
      <c r="V12" s="837">
        <f>depreciation+amortization</f>
        <v>1089</v>
      </c>
      <c r="W12" s="838">
        <f>depreciation+amortization</f>
        <v>3597</v>
      </c>
      <c r="X12" s="837">
        <f>depreciation+amortization</f>
        <v>1210</v>
      </c>
      <c r="Y12" s="837">
        <f>depreciation+amortization</f>
        <v>1158</v>
      </c>
      <c r="Z12" s="837">
        <f>depreciation+amortization</f>
        <v>1222</v>
      </c>
      <c r="AA12" s="837">
        <f>depreciation+amortization</f>
        <v>1245</v>
      </c>
      <c r="AB12" s="838">
        <f>depreciation+amortization</f>
        <v>4835</v>
      </c>
      <c r="AC12" s="837">
        <f>depreciation+amortization</f>
        <v>1519</v>
      </c>
      <c r="AD12" s="837">
        <f>depreciation+amortization</f>
        <v>1644</v>
      </c>
      <c r="AE12" s="837">
        <f>depreciation+amortization</f>
        <v>1663</v>
      </c>
      <c r="AF12" s="837">
        <f>depreciation+amortization</f>
        <v>1643</v>
      </c>
      <c r="AG12" s="838">
        <f t="shared" ref="AG12:FG12" si="34">SUM(AG10,AG11)</f>
        <v>6469</v>
      </c>
      <c r="AH12" s="837">
        <f t="shared" si="34"/>
        <v>1296</v>
      </c>
      <c r="AI12" s="837">
        <f t="shared" si="34"/>
        <v>1394</v>
      </c>
      <c r="AJ12" s="837">
        <f t="shared" si="34"/>
        <v>1268</v>
      </c>
      <c r="AK12" s="837">
        <f t="shared" si="34"/>
        <v>1386</v>
      </c>
      <c r="AL12" s="838">
        <f t="shared" si="34"/>
        <v>5344</v>
      </c>
      <c r="AM12" s="837">
        <f t="shared" si="34"/>
        <v>1264</v>
      </c>
      <c r="AN12" s="837">
        <f t="shared" si="34"/>
        <v>1275</v>
      </c>
      <c r="AO12" s="837">
        <f t="shared" si="34"/>
        <v>1261</v>
      </c>
      <c r="AP12" s="837">
        <f t="shared" si="34"/>
        <v>1270</v>
      </c>
      <c r="AQ12" s="838">
        <f t="shared" si="34"/>
        <v>5070</v>
      </c>
      <c r="AR12" s="837">
        <f t="shared" si="34"/>
        <v>1233</v>
      </c>
      <c r="AS12" s="837">
        <f t="shared" si="34"/>
        <v>1225</v>
      </c>
      <c r="AT12" s="837">
        <f t="shared" si="34"/>
        <v>1220</v>
      </c>
      <c r="AU12" s="837">
        <f t="shared" si="34"/>
        <v>1211</v>
      </c>
      <c r="AV12" s="838">
        <f t="shared" si="34"/>
        <v>4889</v>
      </c>
      <c r="AW12" s="837">
        <f t="shared" si="34"/>
        <v>1256</v>
      </c>
      <c r="AX12" s="837">
        <f t="shared" si="34"/>
        <v>1117</v>
      </c>
      <c r="AY12" s="837">
        <f t="shared" si="34"/>
        <v>1114</v>
      </c>
      <c r="AZ12" s="837">
        <f t="shared" si="34"/>
        <v>1108</v>
      </c>
      <c r="BA12" s="838">
        <f t="shared" si="34"/>
        <v>4595</v>
      </c>
      <c r="BB12" s="837">
        <f t="shared" si="34"/>
        <v>1214</v>
      </c>
      <c r="BC12" s="837">
        <f t="shared" si="34"/>
        <v>1215</v>
      </c>
      <c r="BD12" s="837">
        <f t="shared" si="34"/>
        <v>1256</v>
      </c>
      <c r="BE12" s="837">
        <f t="shared" si="34"/>
        <v>1227</v>
      </c>
      <c r="BF12" s="838">
        <f t="shared" si="34"/>
        <v>4912</v>
      </c>
      <c r="BG12" s="837">
        <f t="shared" si="34"/>
        <v>1251</v>
      </c>
      <c r="BH12" s="837">
        <f t="shared" si="34"/>
        <v>1213</v>
      </c>
      <c r="BI12" s="837">
        <f t="shared" si="34"/>
        <v>1163</v>
      </c>
      <c r="BJ12" s="837">
        <f t="shared" si="34"/>
        <v>1171</v>
      </c>
      <c r="BK12" s="838">
        <f t="shared" si="34"/>
        <v>4798</v>
      </c>
      <c r="BL12" s="837">
        <f t="shared" si="34"/>
        <v>1165</v>
      </c>
      <c r="BM12" s="837">
        <f t="shared" si="34"/>
        <v>1105</v>
      </c>
      <c r="BN12" s="837">
        <f t="shared" si="34"/>
        <v>1127</v>
      </c>
      <c r="BO12" s="837">
        <f t="shared" si="34"/>
        <v>1219</v>
      </c>
      <c r="BP12" s="838">
        <f t="shared" si="34"/>
        <v>4616</v>
      </c>
      <c r="BQ12" s="837">
        <f t="shared" si="34"/>
        <v>1270</v>
      </c>
      <c r="BR12" s="837">
        <f t="shared" si="34"/>
        <v>1286</v>
      </c>
      <c r="BS12" s="837">
        <f t="shared" si="34"/>
        <v>1235</v>
      </c>
      <c r="BT12" s="837">
        <f t="shared" si="34"/>
        <v>1261</v>
      </c>
      <c r="BU12" s="838">
        <f t="shared" si="34"/>
        <v>5052</v>
      </c>
      <c r="BV12" s="837">
        <f t="shared" si="34"/>
        <v>1141</v>
      </c>
      <c r="BW12" s="837">
        <f t="shared" si="34"/>
        <v>1149</v>
      </c>
      <c r="BX12" s="837">
        <f t="shared" si="34"/>
        <v>1142</v>
      </c>
      <c r="BY12" s="837">
        <f t="shared" si="34"/>
        <v>1206</v>
      </c>
      <c r="BZ12" s="838">
        <f t="shared" si="34"/>
        <v>4638</v>
      </c>
      <c r="CA12" s="837">
        <f t="shared" si="34"/>
        <v>1442</v>
      </c>
      <c r="CB12" s="837">
        <f t="shared" si="34"/>
        <v>1504</v>
      </c>
      <c r="CC12" s="837">
        <f t="shared" si="34"/>
        <v>1529</v>
      </c>
      <c r="CD12" s="837">
        <f t="shared" si="34"/>
        <v>1589</v>
      </c>
      <c r="CE12" s="838">
        <f t="shared" si="34"/>
        <v>6064</v>
      </c>
      <c r="CF12" s="837">
        <f t="shared" si="34"/>
        <v>1785</v>
      </c>
      <c r="CG12" s="837">
        <f t="shared" si="34"/>
        <v>1839</v>
      </c>
      <c r="CH12" s="837">
        <f t="shared" si="34"/>
        <v>1893</v>
      </c>
      <c r="CI12" s="837">
        <f t="shared" si="34"/>
        <v>2005</v>
      </c>
      <c r="CJ12" s="838">
        <f t="shared" si="34"/>
        <v>7522</v>
      </c>
      <c r="CK12" s="837">
        <f t="shared" si="34"/>
        <v>2064</v>
      </c>
      <c r="CL12" s="837">
        <f t="shared" si="34"/>
        <v>1991</v>
      </c>
      <c r="CM12" s="837">
        <f t="shared" si="34"/>
        <v>2021</v>
      </c>
      <c r="CN12" s="837">
        <f t="shared" si="34"/>
        <v>1956</v>
      </c>
      <c r="CO12" s="838">
        <f t="shared" si="34"/>
        <v>8032</v>
      </c>
      <c r="CP12" s="837">
        <f t="shared" si="34"/>
        <v>2007</v>
      </c>
      <c r="CQ12" s="837">
        <f t="shared" si="34"/>
        <v>2170</v>
      </c>
      <c r="CR12" s="837">
        <f t="shared" si="34"/>
        <v>2198</v>
      </c>
      <c r="CS12" s="837">
        <f t="shared" si="34"/>
        <v>2174</v>
      </c>
      <c r="CT12" s="839">
        <f t="shared" si="34"/>
        <v>8549</v>
      </c>
      <c r="CU12" s="837">
        <f t="shared" si="34"/>
        <v>2099</v>
      </c>
      <c r="CV12" s="268">
        <f t="shared" si="34"/>
        <v>2191</v>
      </c>
      <c r="CW12" s="837">
        <f t="shared" si="34"/>
        <v>2275</v>
      </c>
      <c r="CX12" s="837">
        <f t="shared" si="34"/>
        <v>2146</v>
      </c>
      <c r="CY12" s="839">
        <f t="shared" si="34"/>
        <v>8711</v>
      </c>
      <c r="CZ12" s="840">
        <f t="shared" si="34"/>
        <v>2015</v>
      </c>
      <c r="DA12" s="837">
        <f t="shared" si="34"/>
        <v>1917</v>
      </c>
      <c r="DB12" s="840">
        <f t="shared" si="34"/>
        <v>1928</v>
      </c>
      <c r="DC12" s="837">
        <f t="shared" si="34"/>
        <v>1930</v>
      </c>
      <c r="DD12" s="839">
        <f t="shared" si="34"/>
        <v>7790</v>
      </c>
      <c r="DE12" s="840">
        <f t="shared" si="34"/>
        <v>1946</v>
      </c>
      <c r="DF12" s="837">
        <f t="shared" si="34"/>
        <v>1988</v>
      </c>
      <c r="DG12" s="840">
        <f t="shared" si="34"/>
        <v>2055</v>
      </c>
      <c r="DH12" s="837">
        <f t="shared" si="34"/>
        <v>2140</v>
      </c>
      <c r="DI12" s="839">
        <f t="shared" si="34"/>
        <v>8129</v>
      </c>
      <c r="DJ12" s="840">
        <f t="shared" si="34"/>
        <v>2196</v>
      </c>
      <c r="DK12" s="840">
        <f t="shared" si="34"/>
        <v>2122</v>
      </c>
      <c r="DL12" s="840">
        <f t="shared" si="34"/>
        <v>2274</v>
      </c>
      <c r="DM12" s="840">
        <f t="shared" si="34"/>
        <v>2493</v>
      </c>
      <c r="DN12" s="839">
        <f t="shared" si="34"/>
        <v>9085</v>
      </c>
      <c r="DO12" s="840">
        <f t="shared" si="34"/>
        <v>2625</v>
      </c>
      <c r="DP12" s="840">
        <f t="shared" si="34"/>
        <v>2554</v>
      </c>
      <c r="DQ12" s="840">
        <f t="shared" si="34"/>
        <v>2679</v>
      </c>
      <c r="DR12" s="840">
        <f t="shared" si="34"/>
        <v>2968</v>
      </c>
      <c r="DS12" s="839">
        <f t="shared" si="34"/>
        <v>10826</v>
      </c>
      <c r="DT12" s="840">
        <f t="shared" si="34"/>
        <v>3050</v>
      </c>
      <c r="DU12" s="840">
        <f t="shared" si="34"/>
        <v>3063</v>
      </c>
      <c r="DV12" s="840">
        <f t="shared" si="34"/>
        <v>3123</v>
      </c>
      <c r="DW12" s="840">
        <f t="shared" si="34"/>
        <v>3003</v>
      </c>
      <c r="DX12" s="839">
        <f t="shared" si="34"/>
        <v>12239</v>
      </c>
      <c r="DY12" s="840">
        <f t="shared" si="34"/>
        <v>2902</v>
      </c>
      <c r="DZ12" s="840">
        <f t="shared" si="34"/>
        <v>2857</v>
      </c>
      <c r="EA12" s="840">
        <f t="shared" si="34"/>
        <v>2959</v>
      </c>
      <c r="EB12" s="840">
        <f t="shared" si="34"/>
        <v>3074</v>
      </c>
      <c r="EC12" s="839">
        <f t="shared" si="34"/>
        <v>11792</v>
      </c>
      <c r="ED12" s="840">
        <f t="shared" si="34"/>
        <v>3348</v>
      </c>
      <c r="EE12" s="840">
        <f t="shared" si="34"/>
        <v>3148</v>
      </c>
      <c r="EF12" s="840">
        <f t="shared" si="34"/>
        <v>3252</v>
      </c>
      <c r="EG12" s="840">
        <f t="shared" si="34"/>
        <v>3287</v>
      </c>
      <c r="EH12" s="839">
        <f t="shared" si="34"/>
        <v>13035</v>
      </c>
      <c r="EI12" s="841">
        <f t="shared" si="34"/>
        <v>3332.734375</v>
      </c>
      <c r="EJ12" s="837">
        <f t="shared" si="34"/>
        <v>3362.500488</v>
      </c>
      <c r="EK12" s="837">
        <f t="shared" si="34"/>
        <v>3397.975082</v>
      </c>
      <c r="EL12" s="837">
        <f t="shared" si="34"/>
        <v>3431.600373</v>
      </c>
      <c r="EM12" s="839">
        <f t="shared" si="34"/>
        <v>13524.81032</v>
      </c>
      <c r="EN12" s="837">
        <f t="shared" si="34"/>
        <v>3449.81147</v>
      </c>
      <c r="EO12" s="837">
        <f t="shared" si="34"/>
        <v>3492.874215</v>
      </c>
      <c r="EP12" s="837">
        <f t="shared" si="34"/>
        <v>3563.166011</v>
      </c>
      <c r="EQ12" s="837">
        <f t="shared" si="34"/>
        <v>3631.10122</v>
      </c>
      <c r="ER12" s="839">
        <f t="shared" si="34"/>
        <v>14136.95292</v>
      </c>
      <c r="ES12" s="837">
        <f t="shared" si="34"/>
        <v>3696.898676</v>
      </c>
      <c r="ET12" s="837">
        <f t="shared" si="34"/>
        <v>3760.423276</v>
      </c>
      <c r="EU12" s="837">
        <f t="shared" si="34"/>
        <v>3822.172627</v>
      </c>
      <c r="EV12" s="837">
        <f t="shared" si="34"/>
        <v>3881.946927</v>
      </c>
      <c r="EW12" s="839">
        <f t="shared" si="34"/>
        <v>15161.44151</v>
      </c>
      <c r="EX12" s="837">
        <f t="shared" si="34"/>
        <v>3939.836542</v>
      </c>
      <c r="EY12" s="837">
        <f t="shared" si="34"/>
        <v>3995.899878</v>
      </c>
      <c r="EZ12" s="837">
        <f t="shared" si="34"/>
        <v>4063.915747</v>
      </c>
      <c r="FA12" s="837">
        <f t="shared" si="34"/>
        <v>4129.79444</v>
      </c>
      <c r="FB12" s="839">
        <f t="shared" si="34"/>
        <v>16129.44661</v>
      </c>
      <c r="FC12" s="837">
        <f t="shared" si="34"/>
        <v>4179.939298</v>
      </c>
      <c r="FD12" s="837">
        <f t="shared" si="34"/>
        <v>4228.517248</v>
      </c>
      <c r="FE12" s="837">
        <f t="shared" si="34"/>
        <v>4289.253468</v>
      </c>
      <c r="FF12" s="837">
        <f t="shared" si="34"/>
        <v>4348.089093</v>
      </c>
      <c r="FG12" s="839">
        <f t="shared" si="34"/>
        <v>17045.79911</v>
      </c>
    </row>
    <row r="13" ht="12.75" customHeight="1">
      <c r="A13" s="128"/>
      <c r="B13" s="179" t="s">
        <v>580</v>
      </c>
      <c r="C13" s="179"/>
      <c r="D13" s="179"/>
      <c r="E13" s="179"/>
      <c r="F13" s="179"/>
      <c r="G13" s="179"/>
      <c r="H13" s="179"/>
      <c r="I13" s="179"/>
      <c r="J13" s="179"/>
      <c r="K13" s="179"/>
      <c r="L13" s="179"/>
      <c r="M13" s="179"/>
      <c r="N13" s="837">
        <v>0.0</v>
      </c>
      <c r="O13" s="837">
        <v>0.0</v>
      </c>
      <c r="P13" s="837">
        <v>0.0</v>
      </c>
      <c r="Q13" s="837">
        <f>R13-SUM(N13:P13)</f>
        <v>0</v>
      </c>
      <c r="R13" s="838">
        <v>0.0</v>
      </c>
      <c r="S13" s="837">
        <v>0.0</v>
      </c>
      <c r="T13" s="837">
        <v>0.0</v>
      </c>
      <c r="U13" s="837">
        <v>0.0</v>
      </c>
      <c r="V13" s="837">
        <f>W13-SUM(S13:U13)</f>
        <v>0</v>
      </c>
      <c r="W13" s="838">
        <v>0.0</v>
      </c>
      <c r="X13" s="837">
        <v>0.0</v>
      </c>
      <c r="Y13" s="837">
        <v>0.0</v>
      </c>
      <c r="Z13" s="837">
        <v>0.0</v>
      </c>
      <c r="AA13" s="837">
        <f>AB13-SUM(X13:Z13)</f>
        <v>0</v>
      </c>
      <c r="AB13" s="838">
        <v>0.0</v>
      </c>
      <c r="AC13" s="837">
        <v>0.0</v>
      </c>
      <c r="AD13" s="837">
        <v>0.0</v>
      </c>
      <c r="AE13" s="837">
        <v>0.0</v>
      </c>
      <c r="AF13" s="837">
        <f>AG13-SUM(AC13:AE13)</f>
        <v>0</v>
      </c>
      <c r="AG13" s="838">
        <v>0.0</v>
      </c>
      <c r="AH13" s="837">
        <v>0.0</v>
      </c>
      <c r="AI13" s="837">
        <v>0.0</v>
      </c>
      <c r="AJ13" s="837">
        <v>0.0</v>
      </c>
      <c r="AK13" s="837">
        <f>AL13-SUM(AH13:AJ13)</f>
        <v>0</v>
      </c>
      <c r="AL13" s="838">
        <v>0.0</v>
      </c>
      <c r="AM13" s="837">
        <v>0.0</v>
      </c>
      <c r="AN13" s="837">
        <v>0.0</v>
      </c>
      <c r="AO13" s="837">
        <v>0.0</v>
      </c>
      <c r="AP13" s="837">
        <f>AQ13-SUM(AM13:AO13)</f>
        <v>0</v>
      </c>
      <c r="AQ13" s="838">
        <v>0.0</v>
      </c>
      <c r="AR13" s="837">
        <v>0.0</v>
      </c>
      <c r="AS13" s="837">
        <v>0.0</v>
      </c>
      <c r="AT13" s="837">
        <v>0.0</v>
      </c>
      <c r="AU13" s="837">
        <f>AV13-SUM(AR13:AT13)</f>
        <v>0</v>
      </c>
      <c r="AV13" s="838">
        <v>0.0</v>
      </c>
      <c r="AW13" s="837">
        <v>0.0</v>
      </c>
      <c r="AX13" s="837">
        <v>0.0</v>
      </c>
      <c r="AY13" s="837">
        <v>0.0</v>
      </c>
      <c r="AZ13" s="837">
        <f>BA13-SUM(AW13:AY13)</f>
        <v>0</v>
      </c>
      <c r="BA13" s="838">
        <v>0.0</v>
      </c>
      <c r="BB13" s="837">
        <f>374-61</f>
        <v>313</v>
      </c>
      <c r="BC13" s="837">
        <f>706-106-BB13</f>
        <v>287</v>
      </c>
      <c r="BD13" s="837">
        <f>1041-BB13-BC13</f>
        <v>441</v>
      </c>
      <c r="BE13" s="837">
        <f>BF13-SUM(BB13:BD13)</f>
        <v>334</v>
      </c>
      <c r="BF13" s="838">
        <v>1375.0</v>
      </c>
      <c r="BG13" s="837">
        <v>284.0</v>
      </c>
      <c r="BH13" s="837">
        <f>521-BG13</f>
        <v>237</v>
      </c>
      <c r="BI13" s="837">
        <f>748-BG13-BH13</f>
        <v>227</v>
      </c>
      <c r="BJ13" s="837">
        <f>BK13-SUM(BG13:BI13)</f>
        <v>204</v>
      </c>
      <c r="BK13" s="838">
        <v>952.0</v>
      </c>
      <c r="BL13" s="837">
        <v>219.0</v>
      </c>
      <c r="BM13" s="837">
        <f>462-BL13</f>
        <v>243</v>
      </c>
      <c r="BN13" s="837">
        <f>659-BL13-BM13</f>
        <v>197</v>
      </c>
      <c r="BO13" s="837">
        <f>BP13-SUM(BL13:BN13)</f>
        <v>192</v>
      </c>
      <c r="BP13" s="838">
        <v>851.0</v>
      </c>
      <c r="BQ13" s="837">
        <v>213.0</v>
      </c>
      <c r="BR13" s="837">
        <f>471-BQ13</f>
        <v>258</v>
      </c>
      <c r="BS13" s="837">
        <f>689-BQ13-BR13</f>
        <v>218</v>
      </c>
      <c r="BT13" s="837">
        <f>BU13-SUM(BQ13:BS13)</f>
        <v>200</v>
      </c>
      <c r="BU13" s="838">
        <v>889.0</v>
      </c>
      <c r="BV13" s="837">
        <v>248.0</v>
      </c>
      <c r="BW13" s="837">
        <f>480-BV13</f>
        <v>232</v>
      </c>
      <c r="BX13" s="837">
        <f>704-BV13-BW13</f>
        <v>224</v>
      </c>
      <c r="BY13" s="837">
        <f>BZ13-SUM(BV13:BX13)</f>
        <v>213</v>
      </c>
      <c r="BZ13" s="838">
        <v>917.0</v>
      </c>
      <c r="CA13" s="837">
        <v>300.0</v>
      </c>
      <c r="CB13" s="837">
        <f>562-CA13</f>
        <v>262</v>
      </c>
      <c r="CC13" s="837">
        <f>812-CA13-CB13</f>
        <v>250</v>
      </c>
      <c r="CD13" s="837">
        <f>CE13-SUM(CA13:CC13)</f>
        <v>241</v>
      </c>
      <c r="CE13" s="838">
        <v>1053.0</v>
      </c>
      <c r="CF13" s="837">
        <v>274.0</v>
      </c>
      <c r="CG13" s="837">
        <f>554-CF13</f>
        <v>280</v>
      </c>
      <c r="CH13" s="837">
        <f>830-CF13-CG13</f>
        <v>276</v>
      </c>
      <c r="CI13" s="837">
        <f>CJ13-SUM(CF13:CH13)</f>
        <v>272</v>
      </c>
      <c r="CJ13" s="838">
        <v>1102.0</v>
      </c>
      <c r="CK13" s="837">
        <v>295.0</v>
      </c>
      <c r="CL13" s="837">
        <v>292.0</v>
      </c>
      <c r="CM13" s="837">
        <v>268.0</v>
      </c>
      <c r="CN13" s="837">
        <v>263.0</v>
      </c>
      <c r="CO13" s="838">
        <f>SUM(CK13:CN13)</f>
        <v>1118</v>
      </c>
      <c r="CP13" s="837">
        <v>283.0</v>
      </c>
      <c r="CQ13" s="268">
        <f>586-CP13</f>
        <v>303</v>
      </c>
      <c r="CR13" s="268">
        <f>867-CQ13-CP13</f>
        <v>281</v>
      </c>
      <c r="CS13" s="268">
        <f>1148-CR13-CQ13-CP13</f>
        <v>281</v>
      </c>
      <c r="CT13" s="839">
        <f>SUM(CP13:CS13)</f>
        <v>1148</v>
      </c>
      <c r="CU13" s="837">
        <f>IS!CU56</f>
        <v>368</v>
      </c>
      <c r="CV13" s="837">
        <f>IS!CV56</f>
        <v>332</v>
      </c>
      <c r="CW13" s="837">
        <f>IS!CW56</f>
        <v>309</v>
      </c>
      <c r="CX13" s="837">
        <f>IS!CX56</f>
        <v>296</v>
      </c>
      <c r="CY13" s="839">
        <f>SUM(CU13:CX13)</f>
        <v>1305</v>
      </c>
      <c r="CZ13" s="840">
        <f>IS!CZ56</f>
        <v>448</v>
      </c>
      <c r="DA13" s="837">
        <f>IS!DA56</f>
        <v>364</v>
      </c>
      <c r="DB13" s="840">
        <f>IS!DB56</f>
        <v>324</v>
      </c>
      <c r="DC13" s="837">
        <f>IS!DC56</f>
        <v>308</v>
      </c>
      <c r="DD13" s="839">
        <f>SUM(CZ13:DC13)</f>
        <v>1444</v>
      </c>
      <c r="DE13" s="840">
        <f>IS!DE56</f>
        <v>397</v>
      </c>
      <c r="DF13" s="837">
        <f>IS!DF56</f>
        <v>328</v>
      </c>
      <c r="DG13" s="840">
        <v>326.0</v>
      </c>
      <c r="DH13" s="837">
        <v>307.0</v>
      </c>
      <c r="DI13" s="839">
        <f>SUM(DE13:DH13)</f>
        <v>1358</v>
      </c>
      <c r="DJ13" s="840">
        <v>433.0</v>
      </c>
      <c r="DK13" s="840">
        <f>IS!DK56</f>
        <v>387</v>
      </c>
      <c r="DL13" s="840">
        <f>IS!DL56</f>
        <v>383</v>
      </c>
      <c r="DM13" s="840">
        <f>IS!DM56</f>
        <v>343</v>
      </c>
      <c r="DN13" s="839">
        <f>SUM(DJ13:DM13)</f>
        <v>1546</v>
      </c>
      <c r="DO13" s="840">
        <f>IS!DO56</f>
        <v>389</v>
      </c>
      <c r="DP13" s="840">
        <f>IS!DP56</f>
        <v>470</v>
      </c>
      <c r="DQ13" s="840">
        <f>1290-SUM(DO13:DP13)</f>
        <v>431</v>
      </c>
      <c r="DR13" s="840">
        <f>1705-SUM(DO13:DQ13)</f>
        <v>415</v>
      </c>
      <c r="DS13" s="839">
        <f>SUM(DO13:DR13)</f>
        <v>1705</v>
      </c>
      <c r="DT13" s="840">
        <v>449.0</v>
      </c>
      <c r="DU13" s="840">
        <f>941-DT13</f>
        <v>492</v>
      </c>
      <c r="DV13" s="840">
        <f>1393-SUM(DT13:DU13)</f>
        <v>452</v>
      </c>
      <c r="DW13" s="840">
        <f>1854-SUM(DT13:DV13)</f>
        <v>461</v>
      </c>
      <c r="DX13" s="839">
        <f>SUM(DT13:DW13)</f>
        <v>1854</v>
      </c>
      <c r="DY13" s="840">
        <v>425.0</v>
      </c>
      <c r="DZ13" s="840">
        <f>1044-DY13</f>
        <v>619</v>
      </c>
      <c r="EA13" s="840">
        <f>1587-SUM(DY13:DZ13)</f>
        <v>543</v>
      </c>
      <c r="EB13" s="840">
        <f>2036-SUM(DY13:EA13)</f>
        <v>449</v>
      </c>
      <c r="EC13" s="839">
        <f>SUM(DY13:EB13)</f>
        <v>2036</v>
      </c>
      <c r="ED13" s="840">
        <v>707.0</v>
      </c>
      <c r="EE13" s="840">
        <f>1599-ED13</f>
        <v>892</v>
      </c>
      <c r="EF13" s="840">
        <f>2392-EE13-ED13</f>
        <v>793</v>
      </c>
      <c r="EG13" s="840">
        <f>3128-EF13-EE13-ED13</f>
        <v>736</v>
      </c>
      <c r="EH13" s="839">
        <f>SUM(ED13:EG13)</f>
        <v>3128</v>
      </c>
      <c r="EI13" s="841" t="str">
        <f>IS!EI56</f>
        <v>#ERROR!</v>
      </c>
      <c r="EJ13" s="837" t="str">
        <f>IS!EJ56</f>
        <v>#ERROR!</v>
      </c>
      <c r="EK13" s="837" t="str">
        <f>IS!EK56</f>
        <v>#ERROR!</v>
      </c>
      <c r="EL13" s="837" t="str">
        <f>IS!EL56</f>
        <v>#ERROR!</v>
      </c>
      <c r="EM13" s="839" t="str">
        <f>SUM(EI13:EL13)</f>
        <v>#ERROR!</v>
      </c>
      <c r="EN13" s="837" t="str">
        <f>IS!EN56</f>
        <v>#ERROR!</v>
      </c>
      <c r="EO13" s="837" t="str">
        <f>IS!EO56</f>
        <v>#ERROR!</v>
      </c>
      <c r="EP13" s="837" t="str">
        <f>IS!EP56</f>
        <v>#ERROR!</v>
      </c>
      <c r="EQ13" s="837" t="str">
        <f>IS!EQ56</f>
        <v>#ERROR!</v>
      </c>
      <c r="ER13" s="839" t="str">
        <f>SUM(EN13:EQ13)</f>
        <v>#ERROR!</v>
      </c>
      <c r="ES13" s="837" t="str">
        <f>IS!ES56</f>
        <v>#ERROR!</v>
      </c>
      <c r="ET13" s="837" t="str">
        <f>IS!ET56</f>
        <v>#ERROR!</v>
      </c>
      <c r="EU13" s="837" t="str">
        <f>IS!EU56</f>
        <v>#ERROR!</v>
      </c>
      <c r="EV13" s="837" t="str">
        <f>IS!EV56</f>
        <v>#ERROR!</v>
      </c>
      <c r="EW13" s="839" t="str">
        <f>SUM(ES13:EV13)</f>
        <v>#ERROR!</v>
      </c>
      <c r="EX13" s="837" t="str">
        <f>IS!EX56</f>
        <v>#ERROR!</v>
      </c>
      <c r="EY13" s="837" t="str">
        <f>IS!EY56</f>
        <v>#ERROR!</v>
      </c>
      <c r="EZ13" s="837" t="str">
        <f>IS!EZ56</f>
        <v>#ERROR!</v>
      </c>
      <c r="FA13" s="837" t="str">
        <f>IS!FA56</f>
        <v>#ERROR!</v>
      </c>
      <c r="FB13" s="839" t="str">
        <f>SUM(EX13:FA13)</f>
        <v>#ERROR!</v>
      </c>
      <c r="FC13" s="837" t="str">
        <f>IS!FC56</f>
        <v>#ERROR!</v>
      </c>
      <c r="FD13" s="837" t="str">
        <f>IS!FD56</f>
        <v>#ERROR!</v>
      </c>
      <c r="FE13" s="837" t="str">
        <f>IS!FE56</f>
        <v>#ERROR!</v>
      </c>
      <c r="FF13" s="837" t="str">
        <f>IS!FF56</f>
        <v>#ERROR!</v>
      </c>
      <c r="FG13" s="839" t="str">
        <f>SUM(FC13:FF13)</f>
        <v>#ERROR!</v>
      </c>
    </row>
    <row r="14" ht="12.75" hidden="1" customHeight="1" outlineLevel="1">
      <c r="A14" s="128"/>
      <c r="B14" s="180" t="s">
        <v>577</v>
      </c>
      <c r="C14" s="180"/>
      <c r="D14" s="180"/>
      <c r="E14" s="180"/>
      <c r="F14" s="180"/>
      <c r="G14" s="180"/>
      <c r="H14" s="180"/>
      <c r="I14" s="180"/>
      <c r="J14" s="180"/>
      <c r="K14" s="180"/>
      <c r="L14" s="180"/>
      <c r="M14" s="180"/>
      <c r="N14" s="652">
        <f>N15/Sales</f>
        <v>0.03816030662</v>
      </c>
      <c r="O14" s="652">
        <f>O15/Sales</f>
        <v>0.02193352455</v>
      </c>
      <c r="P14" s="652">
        <f>P15/Sales</f>
        <v>0.008319714753</v>
      </c>
      <c r="Q14" s="652">
        <f>Q15/Sales</f>
        <v>0.01431573417</v>
      </c>
      <c r="R14" s="842">
        <f>R15/Sales</f>
        <v>0.01994442964</v>
      </c>
      <c r="S14" s="652">
        <f>S15/Sales</f>
        <v>-0.03744896523</v>
      </c>
      <c r="T14" s="652">
        <f>T15/Sales</f>
        <v>-0.02164245479</v>
      </c>
      <c r="U14" s="652">
        <f>U15/Sales</f>
        <v>0.0182860262</v>
      </c>
      <c r="V14" s="652">
        <f>V15/Sales</f>
        <v>-0.02910375061</v>
      </c>
      <c r="W14" s="842">
        <f>W15/Sales</f>
        <v>-0.01759161591</v>
      </c>
      <c r="X14" s="652">
        <f>X15/Sales</f>
        <v>-0.06092831227</v>
      </c>
      <c r="Y14" s="652">
        <f>Y15/Sales</f>
        <v>-0.246746988</v>
      </c>
      <c r="Z14" s="652">
        <f>Z15/Sales</f>
        <v>-0.07925781697</v>
      </c>
      <c r="AA14" s="652">
        <f>AA15/Sales</f>
        <v>-0.06102045507</v>
      </c>
      <c r="AB14" s="842">
        <f>AB15/Sales</f>
        <v>-0.1114273854</v>
      </c>
      <c r="AC14" s="652">
        <f>AC15/Sales</f>
        <v>0.01138235735</v>
      </c>
      <c r="AD14" s="652">
        <f>AD15/Sales</f>
        <v>0.009314808967</v>
      </c>
      <c r="AE14" s="652">
        <f>AE15/Sales</f>
        <v>0.03605805959</v>
      </c>
      <c r="AF14" s="652">
        <f>AF15/Sales</f>
        <v>0.07503938135</v>
      </c>
      <c r="AG14" s="842">
        <f>AG15/Sales</f>
        <v>0.03372395343</v>
      </c>
      <c r="AH14" s="652">
        <f>AH15/Sales</f>
        <v>0.02551246129</v>
      </c>
      <c r="AI14" s="652">
        <f>AI15/Sales</f>
        <v>0.08830511157</v>
      </c>
      <c r="AJ14" s="652">
        <f>AJ15/Sales</f>
        <v>0.03028905289</v>
      </c>
      <c r="AK14" s="652">
        <f>AK15/Sales</f>
        <v>0.02025139665</v>
      </c>
      <c r="AL14" s="842">
        <f>AL15/Sales</f>
        <v>0.04009116724</v>
      </c>
      <c r="AM14" s="652">
        <f>AM15/Sales</f>
        <v>0.04132721078</v>
      </c>
      <c r="AN14" s="652">
        <f>AN15/Sales</f>
        <v>0.03389084507</v>
      </c>
      <c r="AO14" s="652">
        <f>AO15/Sales</f>
        <v>0.04340610239</v>
      </c>
      <c r="AP14" s="652">
        <f>AP15/Sales</f>
        <v>0.1005605766</v>
      </c>
      <c r="AQ14" s="842">
        <f>AQ15/Sales</f>
        <v>0.05736372383</v>
      </c>
      <c r="AR14" s="652">
        <f>AR15/Sales</f>
        <v>0.02817945866</v>
      </c>
      <c r="AS14" s="652">
        <f>AS15/Sales</f>
        <v>0.006708907939</v>
      </c>
      <c r="AT14" s="652">
        <f>AT15/Sales</f>
        <v>-0.02549876048</v>
      </c>
      <c r="AU14" s="652">
        <f>AU15/Sales</f>
        <v>0.0170868931</v>
      </c>
      <c r="AV14" s="842">
        <f>AV15/Sales</f>
        <v>0.006723376889</v>
      </c>
      <c r="AW14" s="652">
        <f>AW15/Sales</f>
        <v>0.01293194827</v>
      </c>
      <c r="AX14" s="652">
        <f>AX15/Sales</f>
        <v>0</v>
      </c>
      <c r="AY14" s="652">
        <f>AY15/Sales</f>
        <v>0.006927710843</v>
      </c>
      <c r="AZ14" s="652">
        <f>AZ15/Sales</f>
        <v>-0.01313596706</v>
      </c>
      <c r="BA14" s="842">
        <f>BA15/Sales</f>
        <v>0.001468088394</v>
      </c>
      <c r="BB14" s="652">
        <f>BB15/Sales</f>
        <v>0.004250559284</v>
      </c>
      <c r="BC14" s="652">
        <f>BC15/Sales</f>
        <v>-0.04894493695</v>
      </c>
      <c r="BD14" s="652">
        <f>BD15/Sales</f>
        <v>-0.03226913835</v>
      </c>
      <c r="BE14" s="652">
        <f>BE15/Sales</f>
        <v>-0.0003094697751</v>
      </c>
      <c r="BF14" s="842">
        <f>BF15/Sales</f>
        <v>-0.01806003052</v>
      </c>
      <c r="BG14" s="652">
        <f>BG15/Sales</f>
        <v>-0.01310438319</v>
      </c>
      <c r="BH14" s="652">
        <f>BH15/Sales</f>
        <v>0.0002304147465</v>
      </c>
      <c r="BI14" s="652">
        <f>BI15/Sales</f>
        <v>-0.06798810704</v>
      </c>
      <c r="BJ14" s="652">
        <f>BJ15/Sales</f>
        <v>0.05834578043</v>
      </c>
      <c r="BK14" s="842">
        <f>BK15/Sales</f>
        <v>-0.004565137998</v>
      </c>
      <c r="BL14" s="652">
        <f>BL15/Sales</f>
        <v>0.02264033909</v>
      </c>
      <c r="BM14" s="652">
        <f>BM15/Sales</f>
        <v>0.001795142555</v>
      </c>
      <c r="BN14" s="652">
        <f>BN15/Sales</f>
        <v>0.03327787022</v>
      </c>
      <c r="BO14" s="652">
        <f>BO15/Sales</f>
        <v>0.1332360807</v>
      </c>
      <c r="BP14" s="842">
        <f>BP15/Sales</f>
        <v>0.04448464854</v>
      </c>
      <c r="BQ14" s="652">
        <f>BQ15/Sales</f>
        <v>0.03624912526</v>
      </c>
      <c r="BR14" s="652">
        <f>BR15/Sales</f>
        <v>0.03128115653</v>
      </c>
      <c r="BS14" s="652">
        <f>BS15/Sales</f>
        <v>0.02737245713</v>
      </c>
      <c r="BT14" s="652">
        <f>BT15/Sales</f>
        <v>0.003122338916</v>
      </c>
      <c r="BU14" s="842">
        <f>BU15/Sales</f>
        <v>0.02277450394</v>
      </c>
      <c r="BV14" s="652">
        <f>BV15/Sales</f>
        <v>0.005437421109</v>
      </c>
      <c r="BW14" s="652">
        <f>BW15/Sales</f>
        <v>-0.02433813284</v>
      </c>
      <c r="BX14" s="652">
        <f>BX15/Sales</f>
        <v>-0.00954782922</v>
      </c>
      <c r="BY14" s="652">
        <f>BY15/Sales</f>
        <v>-0.006982630706</v>
      </c>
      <c r="BZ14" s="842">
        <f>BZ15/Sales</f>
        <v>-0.008986085322</v>
      </c>
      <c r="CA14" s="652">
        <f>CA15/Sales</f>
        <v>-0.02070522301</v>
      </c>
      <c r="CB14" s="652">
        <f>CB15/Sales</f>
        <v>0.01227747084</v>
      </c>
      <c r="CC14" s="652">
        <f>CC15/Sales</f>
        <v>0.03414599874</v>
      </c>
      <c r="CD14" s="652">
        <f>CD15/Sales</f>
        <v>0.01389789011</v>
      </c>
      <c r="CE14" s="842">
        <f>CE15/Sales</f>
        <v>0.01061130762</v>
      </c>
      <c r="CF14" s="652">
        <f>CF15/Sales</f>
        <v>-0.003486750349</v>
      </c>
      <c r="CG14" s="652">
        <f>CG15/Sales</f>
        <v>-0.004592252426</v>
      </c>
      <c r="CH14" s="652">
        <f>CH15/Sales</f>
        <v>-0.01151816898</v>
      </c>
      <c r="CI14" s="652">
        <f>CI15/Sales</f>
        <v>-0.0195147288</v>
      </c>
      <c r="CJ14" s="842">
        <f>CJ15/Sales</f>
        <v>-0.009842335164</v>
      </c>
      <c r="CK14" s="652">
        <f>CK15/Sales</f>
        <v>-0.002464228935</v>
      </c>
      <c r="CL14" s="652">
        <f>CL15/Sales</f>
        <v>-0.02326125985</v>
      </c>
      <c r="CM14" s="652">
        <f>CM15/Sales</f>
        <v>-0.03656456278</v>
      </c>
      <c r="CN14" s="652">
        <f>CN15/Sales</f>
        <v>-0.02255312997</v>
      </c>
      <c r="CO14" s="842">
        <f>CO15/Sales</f>
        <v>-0.02151476057</v>
      </c>
      <c r="CP14" s="652">
        <f>CP15/Sales</f>
        <v>0.004465684738</v>
      </c>
      <c r="CQ14" s="652">
        <f>CQ15/Sales</f>
        <v>-0.01446027041</v>
      </c>
      <c r="CR14" s="646">
        <f>CR15/Sales</f>
        <v>-0.01367321699</v>
      </c>
      <c r="CS14" s="652">
        <f>CS15/Sales</f>
        <v>-0.03681815094</v>
      </c>
      <c r="CT14" s="843">
        <f>CT15/Sales</f>
        <v>-0.01582244496</v>
      </c>
      <c r="CU14" s="652">
        <f>CU15/Sales</f>
        <v>-0.009388936703</v>
      </c>
      <c r="CV14" s="652">
        <f>CV15/Sales</f>
        <v>-0.03561955286</v>
      </c>
      <c r="CW14" s="646">
        <f>CW15/Sales</f>
        <v>-0.03594884203</v>
      </c>
      <c r="CX14" s="652">
        <f>CX15/Sales</f>
        <v>-0.01528764919</v>
      </c>
      <c r="CY14" s="843">
        <f>CY15/Sales</f>
        <v>-0.02417125824</v>
      </c>
      <c r="CZ14" s="653">
        <f>CZ15/Sales</f>
        <v>-0.005651764365</v>
      </c>
      <c r="DA14" s="652">
        <f>DA15/Sales</f>
        <v>0.07751422449</v>
      </c>
      <c r="DB14" s="653">
        <f>DB15/Sales</f>
        <v>0.00646469768</v>
      </c>
      <c r="DC14" s="652">
        <f>DC15/Sales</f>
        <v>0.03157444729</v>
      </c>
      <c r="DD14" s="843">
        <f>DD15/Sales</f>
        <v>0.02672897825</v>
      </c>
      <c r="DE14" s="653">
        <f>DE15/Sales</f>
        <v>0.002838605028</v>
      </c>
      <c r="DF14" s="652">
        <f>DF15/Sales</f>
        <v>0.002506265664</v>
      </c>
      <c r="DG14" s="653">
        <f>DG15/Sales</f>
        <v>-0.06681528268</v>
      </c>
      <c r="DH14" s="652">
        <f>DH15/Sales</f>
        <v>0.02568463027</v>
      </c>
      <c r="DI14" s="843">
        <f>DI15/Sales</f>
        <v>-0.008954605567</v>
      </c>
      <c r="DJ14" s="653">
        <f>DJ15/Sales</f>
        <v>-0.03996016432</v>
      </c>
      <c r="DK14" s="653">
        <f>DK15/Sales</f>
        <v>-0.009609715835</v>
      </c>
      <c r="DL14" s="653">
        <f>DL15/Sales</f>
        <v>0.01085425038</v>
      </c>
      <c r="DM14" s="653">
        <f>DM15/Sales</f>
        <v>-0.06614139465</v>
      </c>
      <c r="DN14" s="843">
        <f>DN15/Sales</f>
        <v>-0.02584406052</v>
      </c>
      <c r="DO14" s="653">
        <f>DO15/Sales</f>
        <v>-0.01705995891</v>
      </c>
      <c r="DP14" s="653">
        <f>DP15/Sales</f>
        <v>0.01054225992</v>
      </c>
      <c r="DQ14" s="653">
        <f>DQ15/Sales</f>
        <v>-0.01537258989</v>
      </c>
      <c r="DR14" s="653">
        <f>DR15/Sales</f>
        <v>-0.05873620664</v>
      </c>
      <c r="DS14" s="843">
        <f>DS15/Sales</f>
        <v>-0.02198290836</v>
      </c>
      <c r="DT14" s="653">
        <f>DT15/Sales</f>
        <v>0.006758119831</v>
      </c>
      <c r="DU14" s="653">
        <f>DU15/Sales</f>
        <v>-0.01145579886</v>
      </c>
      <c r="DV14" s="653">
        <f>DV15/Sales</f>
        <v>-0.0007091038019</v>
      </c>
      <c r="DW14" s="653">
        <f>DW15/Sales</f>
        <v>-0.08419261187</v>
      </c>
      <c r="DX14" s="843">
        <f>DX15/Sales</f>
        <v>-0.02294938806</v>
      </c>
      <c r="DY14" s="653">
        <f>DY15/Sales</f>
        <v>0.1028762254</v>
      </c>
      <c r="DZ14" s="653">
        <f>DZ15/Sales</f>
        <v>0.00485620245</v>
      </c>
      <c r="EA14" s="653">
        <f>EA15/Sales</f>
        <v>-0.02852877758</v>
      </c>
      <c r="EB14" s="653">
        <f>EB15/Sales</f>
        <v>-0.01617857874</v>
      </c>
      <c r="EC14" s="843">
        <f>EC15/Sales</f>
        <v>0.01563211007</v>
      </c>
      <c r="ED14" s="653">
        <f>ED15/Sales</f>
        <v>-0.2958099493</v>
      </c>
      <c r="EE14" s="653">
        <f>EE15/Sales</f>
        <v>0.0130539782</v>
      </c>
      <c r="EF14" s="653">
        <f>EF15/Sales</f>
        <v>0.04870256878</v>
      </c>
      <c r="EG14" s="653">
        <f>EG15/Sales</f>
        <v>0.01730522718</v>
      </c>
      <c r="EH14" s="843">
        <f>EH15/Sales</f>
        <v>-0.06722809021</v>
      </c>
      <c r="EI14" s="654" t="str">
        <f>EI15/Sales</f>
        <v>#ERROR!</v>
      </c>
      <c r="EJ14" s="652" t="str">
        <f>EJ15/Sales</f>
        <v>#ERROR!</v>
      </c>
      <c r="EK14" s="652" t="str">
        <f>EK15/Sales</f>
        <v>#ERROR!</v>
      </c>
      <c r="EL14" s="652" t="str">
        <f>EL15/Sales</f>
        <v>#ERROR!</v>
      </c>
      <c r="EM14" s="843" t="str">
        <f>EM15/Sales</f>
        <v>#ERROR!</v>
      </c>
      <c r="EN14" s="652" t="str">
        <f>EN15/Sales</f>
        <v>#ERROR!</v>
      </c>
      <c r="EO14" s="652" t="str">
        <f>EO15/Sales</f>
        <v>#ERROR!</v>
      </c>
      <c r="EP14" s="652" t="str">
        <f>EP15/Sales</f>
        <v>#ERROR!</v>
      </c>
      <c r="EQ14" s="652" t="str">
        <f>EQ15/Sales</f>
        <v>#ERROR!</v>
      </c>
      <c r="ER14" s="843" t="str">
        <f>ER15/Sales</f>
        <v>#ERROR!</v>
      </c>
      <c r="ES14" s="652" t="str">
        <f>ES15/Sales</f>
        <v>#ERROR!</v>
      </c>
      <c r="ET14" s="652" t="str">
        <f>ET15/Sales</f>
        <v>#ERROR!</v>
      </c>
      <c r="EU14" s="652" t="str">
        <f>EU15/Sales</f>
        <v>#ERROR!</v>
      </c>
      <c r="EV14" s="652" t="str">
        <f>EV15/Sales</f>
        <v>#ERROR!</v>
      </c>
      <c r="EW14" s="843" t="str">
        <f>EW15/Sales</f>
        <v>#ERROR!</v>
      </c>
      <c r="EX14" s="652" t="str">
        <f>EX15/Sales</f>
        <v>#ERROR!</v>
      </c>
      <c r="EY14" s="652" t="str">
        <f>EY15/Sales</f>
        <v>#ERROR!</v>
      </c>
      <c r="EZ14" s="652" t="str">
        <f>EZ15/Sales</f>
        <v>#ERROR!</v>
      </c>
      <c r="FA14" s="652" t="str">
        <f>FA15/Sales</f>
        <v>#ERROR!</v>
      </c>
      <c r="FB14" s="843" t="str">
        <f>FB15/Sales</f>
        <v>#ERROR!</v>
      </c>
      <c r="FC14" s="652" t="str">
        <f>FC15/Sales</f>
        <v>#ERROR!</v>
      </c>
      <c r="FD14" s="652" t="str">
        <f>FD15/Sales</f>
        <v>#ERROR!</v>
      </c>
      <c r="FE14" s="652" t="str">
        <f>FE15/Sales</f>
        <v>#ERROR!</v>
      </c>
      <c r="FF14" s="652" t="str">
        <f>FF15/Sales</f>
        <v>#ERROR!</v>
      </c>
      <c r="FG14" s="843" t="str">
        <f>FG15/Sales</f>
        <v>#ERROR!</v>
      </c>
    </row>
    <row r="15" ht="12.75" customHeight="1" collapsed="1">
      <c r="A15" s="128"/>
      <c r="B15" s="179" t="s">
        <v>223</v>
      </c>
      <c r="C15" s="179"/>
      <c r="D15" s="179"/>
      <c r="E15" s="179"/>
      <c r="F15" s="179"/>
      <c r="G15" s="179"/>
      <c r="H15" s="179"/>
      <c r="I15" s="179"/>
      <c r="J15" s="179"/>
      <c r="K15" s="179"/>
      <c r="L15" s="179"/>
      <c r="M15" s="179"/>
      <c r="N15" s="837">
        <f>28+36+165</f>
        <v>229</v>
      </c>
      <c r="O15" s="837">
        <f>89+105+165-N15</f>
        <v>130</v>
      </c>
      <c r="P15" s="837">
        <f>183+67+165-O15-N15</f>
        <v>56</v>
      </c>
      <c r="Q15" s="837">
        <f>282+77+165-P15-O15-N15</f>
        <v>109</v>
      </c>
      <c r="R15" s="838">
        <f>+SUM(N15:Q15)</f>
        <v>524</v>
      </c>
      <c r="S15" s="837">
        <f>-202+17-81</f>
        <v>-266</v>
      </c>
      <c r="T15" s="837">
        <f>87-139-360-S15</f>
        <v>-146</v>
      </c>
      <c r="U15" s="837">
        <f>-556+161-216+333-T15-S15</f>
        <v>134</v>
      </c>
      <c r="V15" s="837">
        <f>W15-S15-T15-U15</f>
        <v>-239</v>
      </c>
      <c r="W15" s="838">
        <f>392-883+193-219</f>
        <v>-517</v>
      </c>
      <c r="X15" s="837">
        <f>62-449+15-115</f>
        <v>-487</v>
      </c>
      <c r="Y15" s="837">
        <f>+-2593+63-88-X15+83</f>
        <v>-2048</v>
      </c>
      <c r="Z15" s="837">
        <f>91+-3309+99-108-Y15-X15</f>
        <v>-692</v>
      </c>
      <c r="AA15" s="837">
        <f>AB15-X15-Y15-Z15</f>
        <v>-531</v>
      </c>
      <c r="AB15" s="838">
        <f>109-3759-117+139-130</f>
        <v>-3758</v>
      </c>
      <c r="AC15" s="837">
        <f>75+21-20</f>
        <v>76</v>
      </c>
      <c r="AD15" s="837">
        <f>198-3+80-140-AC15</f>
        <v>59</v>
      </c>
      <c r="AE15" s="837">
        <v>236.0</v>
      </c>
      <c r="AF15" s="837">
        <f>AG15-AE15-AD15-AC15</f>
        <v>524</v>
      </c>
      <c r="AG15" s="838">
        <f>198+466+196+119-519+435</f>
        <v>895</v>
      </c>
      <c r="AH15" s="837">
        <f>46+76-20+71</f>
        <v>173</v>
      </c>
      <c r="AI15" s="837">
        <f>14+105+195+229+188-AH15</f>
        <v>558</v>
      </c>
      <c r="AJ15" s="837">
        <f>20+201+220+224+263-AI15-AH15</f>
        <v>197</v>
      </c>
      <c r="AK15" s="837">
        <f>AL15-SUM(AH15:AJ15)</f>
        <v>145</v>
      </c>
      <c r="AL15" s="838">
        <f>20+372+301+110+270</f>
        <v>1073</v>
      </c>
      <c r="AM15" s="837">
        <f>127+67+46+39</f>
        <v>279</v>
      </c>
      <c r="AN15" s="837">
        <f>185+124+116+85-AM15</f>
        <v>231</v>
      </c>
      <c r="AO15" s="837">
        <f>5+248+153+297+147-AM15-AN15</f>
        <v>340</v>
      </c>
      <c r="AP15" s="837">
        <f>AQ15-SUM(AM15:AO15)</f>
        <v>879</v>
      </c>
      <c r="AQ15" s="838">
        <f>617+5+283+217+391+216</f>
        <v>1729</v>
      </c>
      <c r="AR15" s="837">
        <f>-19+24+119+104</f>
        <v>228</v>
      </c>
      <c r="AS15" s="837">
        <f>-11+56+41+196-AR15</f>
        <v>54</v>
      </c>
      <c r="AT15" s="837">
        <f>-1+73-283+277-AR15-AS15</f>
        <v>-216</v>
      </c>
      <c r="AU15" s="837">
        <f>AV15-SUM(AR15:AT15)</f>
        <v>164</v>
      </c>
      <c r="AV15" s="838">
        <f>2+91-207+344</f>
        <v>230</v>
      </c>
      <c r="AW15" s="837">
        <f>-4+20+5+101</f>
        <v>122</v>
      </c>
      <c r="AX15" s="837">
        <f>18+36-128+196-AW15</f>
        <v>0</v>
      </c>
      <c r="AY15" s="837">
        <f>20+57-170+284-AW15-AX15</f>
        <v>69</v>
      </c>
      <c r="AZ15" s="837">
        <f>BA15-SUM(AW15:AY15)</f>
        <v>-134</v>
      </c>
      <c r="BA15" s="838">
        <f>45+74-413+351</f>
        <v>57</v>
      </c>
      <c r="BB15" s="837">
        <f>-2+39+1</f>
        <v>38</v>
      </c>
      <c r="BC15" s="837">
        <f>48-39-363-BB15</f>
        <v>-392</v>
      </c>
      <c r="BD15" s="837">
        <f>98-114-207-129+59-343-BB15-BC15</f>
        <v>-282</v>
      </c>
      <c r="BE15" s="837">
        <f>BF15-SUM(BB15:BD15)</f>
        <v>-3</v>
      </c>
      <c r="BF15" s="838">
        <f>635-123-214-612-325</f>
        <v>-639</v>
      </c>
      <c r="BG15" s="837">
        <f>81-18-29-150</f>
        <v>-116</v>
      </c>
      <c r="BH15" s="837">
        <f>183-56-28-213-BG15</f>
        <v>2</v>
      </c>
      <c r="BI15" s="837">
        <f>313-80-176-21-836-BG15-BH15</f>
        <v>-686</v>
      </c>
      <c r="BJ15" s="837">
        <f>BK15-SUM(BG15:BI15)</f>
        <v>625</v>
      </c>
      <c r="BK15" s="838">
        <f>564-118-157-21-443</f>
        <v>-175</v>
      </c>
      <c r="BL15" s="837">
        <f>343-7+59-39-137</f>
        <v>219</v>
      </c>
      <c r="BM15" s="837">
        <f>460-28+168-39-325-BL15</f>
        <v>17</v>
      </c>
      <c r="BN15" s="837">
        <f>516-30+564-59-415-BL15-BM15</f>
        <v>340</v>
      </c>
      <c r="BO15" s="837">
        <f>BP15-SUM(BL15:BN15)</f>
        <v>1096</v>
      </c>
      <c r="BP15" s="838">
        <f>795-30+1380+376-59-790</f>
        <v>1672</v>
      </c>
      <c r="BQ15" s="837">
        <f>96+72+41+50</f>
        <v>259</v>
      </c>
      <c r="BR15" s="837">
        <f>212+116+66+116-BQ15</f>
        <v>251</v>
      </c>
      <c r="BS15" s="837">
        <f>331-6+175+86+181-BQ15-BR15</f>
        <v>257</v>
      </c>
      <c r="BT15" s="837">
        <f>BU15-SUM(BQ15:BS15)</f>
        <v>33</v>
      </c>
      <c r="BU15" s="838">
        <f>368-9+147+23+271</f>
        <v>800</v>
      </c>
      <c r="BV15" s="837">
        <f>33-2+39-8-6</f>
        <v>56</v>
      </c>
      <c r="BW15" s="837">
        <f>16-62-37-125+2-BV15</f>
        <v>-262</v>
      </c>
      <c r="BX15" s="837">
        <f>26-63-163-76-36-BV15-BW15</f>
        <v>-106</v>
      </c>
      <c r="BY15" s="837">
        <f>BZ15-SUM(BV15:BX15)</f>
        <v>-80</v>
      </c>
      <c r="BZ15" s="838">
        <f>67-65-117-231-46</f>
        <v>-392</v>
      </c>
      <c r="CA15" s="837">
        <f>36-1+42-70-164-109</f>
        <v>-266</v>
      </c>
      <c r="CB15" s="837">
        <f>56-26+108-111-164+31-CA15</f>
        <v>160</v>
      </c>
      <c r="CC15" s="837">
        <f>78-28+148-243-164+589-CA15-CB15</f>
        <v>486</v>
      </c>
      <c r="CD15" s="837">
        <f>CE15-SUM(CA15:CC15)</f>
        <v>193</v>
      </c>
      <c r="CE15" s="838">
        <f>96-37-112-164+790</f>
        <v>573</v>
      </c>
      <c r="CF15" s="837">
        <f>-19+19-45</f>
        <v>-45</v>
      </c>
      <c r="CG15" s="837">
        <f>-134-28+55-CF15</f>
        <v>-62</v>
      </c>
      <c r="CH15" s="837">
        <f>-139-81-42-CF15-CG15</f>
        <v>-155</v>
      </c>
      <c r="CI15" s="837">
        <f>CJ15-SUM(CF15:CH15)</f>
        <v>-263</v>
      </c>
      <c r="CJ15" s="838">
        <f>-142-141-242</f>
        <v>-525</v>
      </c>
      <c r="CK15" s="837">
        <f>-1+26-56</f>
        <v>-31</v>
      </c>
      <c r="CL15" s="837">
        <f>60-351-38-CK15</f>
        <v>-298</v>
      </c>
      <c r="CM15" s="837">
        <f>124-42-391-513-CL15-CK15</f>
        <v>-493</v>
      </c>
      <c r="CN15" s="837">
        <f>240-49-425-900-CM15-CL15-CK15</f>
        <v>-312</v>
      </c>
      <c r="CO15" s="838">
        <f>SUM(CK15:CN15)</f>
        <v>-1134</v>
      </c>
      <c r="CP15" s="837">
        <f>137-7-48-25</f>
        <v>57</v>
      </c>
      <c r="CQ15" s="268">
        <f>218-65-90-206-CP15</f>
        <v>-200</v>
      </c>
      <c r="CR15" s="268">
        <f>238-109-124-347-CQ15-CP15</f>
        <v>-199</v>
      </c>
      <c r="CS15" s="837">
        <f>295-122-354-703-CR15-CQ15-CP15</f>
        <v>-542</v>
      </c>
      <c r="CT15" s="839">
        <f>SUM(CP15:CS15)</f>
        <v>-884</v>
      </c>
      <c r="CU15" s="268">
        <f>105-22-32-171</f>
        <v>-120</v>
      </c>
      <c r="CV15" s="268">
        <f>353-133-85-725-CU15</f>
        <v>-470</v>
      </c>
      <c r="CW15" s="268">
        <f>367-139-245-1093-CV15-CU15</f>
        <v>-520</v>
      </c>
      <c r="CX15" s="837">
        <f>354-159-263-1270-CW15-CV15-CU15</f>
        <v>-228</v>
      </c>
      <c r="CY15" s="839">
        <f>SUM(CU15:CX15)</f>
        <v>-1338</v>
      </c>
      <c r="CZ15" s="844">
        <f>-13-22-43</f>
        <v>-78</v>
      </c>
      <c r="DA15" s="837">
        <f>1414-88-426+71-CZ15</f>
        <v>1049</v>
      </c>
      <c r="DB15" s="844">
        <f>1786-111-414-188-DA15-CZ15</f>
        <v>102</v>
      </c>
      <c r="DC15" s="268">
        <f>1886-432+257-121-DB15-DA15-CZ15</f>
        <v>517</v>
      </c>
      <c r="DD15" s="839">
        <f>SUM(CZ15:DC15)</f>
        <v>1590</v>
      </c>
      <c r="DE15" s="840">
        <f>-250+212+80</f>
        <v>42</v>
      </c>
      <c r="DF15" s="840">
        <f>-526-387+807+185-DE15</f>
        <v>37</v>
      </c>
      <c r="DG15" s="840">
        <f>189-1372-387+570-DE15-DF15</f>
        <v>-1079</v>
      </c>
      <c r="DH15" s="268">
        <f>384-2583+476-387+1548-DE15-DF15-DG15</f>
        <v>438</v>
      </c>
      <c r="DI15" s="839">
        <f>SUM(DE15:DH15)</f>
        <v>-562</v>
      </c>
      <c r="DJ15" s="840">
        <f>-643+1</f>
        <v>-642</v>
      </c>
      <c r="DK15" s="840">
        <f>-401-497+93-DJ15</f>
        <v>-163</v>
      </c>
      <c r="DL15" s="840">
        <f>-329-497+211+18-DK15-DJ15</f>
        <v>208</v>
      </c>
      <c r="DM15" s="840">
        <f>155+260-497-1749-SUM(DJ15:DL15)</f>
        <v>-1234</v>
      </c>
      <c r="DN15" s="839">
        <f>SUM(DJ15:DM15)</f>
        <v>-1831</v>
      </c>
      <c r="DO15" s="840">
        <v>-274.0</v>
      </c>
      <c r="DP15" s="840">
        <f>-100-DO15</f>
        <v>174</v>
      </c>
      <c r="DQ15" s="840">
        <f>-395-SUM(DO15:DP15)</f>
        <v>-295</v>
      </c>
      <c r="DR15" s="840">
        <f>-892-690-SUM(DO15:DQ15)</f>
        <v>-1187</v>
      </c>
      <c r="DS15" s="839">
        <f>SUM(DO15:DR15)</f>
        <v>-1582</v>
      </c>
      <c r="DT15" s="840">
        <v>134.0</v>
      </c>
      <c r="DU15" s="840">
        <f>-92-DT15</f>
        <v>-226</v>
      </c>
      <c r="DV15" s="840">
        <f>-105-SUM(DT15:DU15)</f>
        <v>-13</v>
      </c>
      <c r="DW15" s="840">
        <f>-1757-SUM(DT15:DV15)-30</f>
        <v>-1682</v>
      </c>
      <c r="DX15" s="839">
        <f>SUM(DT15:DW15)</f>
        <v>-1787</v>
      </c>
      <c r="DY15" s="840">
        <f>2209-299</f>
        <v>1910</v>
      </c>
      <c r="DZ15" s="840">
        <f>2555-555-DY15</f>
        <v>90</v>
      </c>
      <c r="EA15" s="840">
        <f>2597-1113-SUM(DY15:DZ15)</f>
        <v>-516</v>
      </c>
      <c r="EB15" s="840">
        <f>2626-1458-SUM(DY15:EA15)</f>
        <v>-316</v>
      </c>
      <c r="EC15" s="839">
        <f>SUM(DY15:EB15)</f>
        <v>1168</v>
      </c>
      <c r="ED15" s="840">
        <f>-4325-1121+17</f>
        <v>-5429</v>
      </c>
      <c r="EE15" s="840">
        <f>73-4230-1072-ED15</f>
        <v>200</v>
      </c>
      <c r="EF15" s="840">
        <f>665-4075-1072-EE15-ED15</f>
        <v>747</v>
      </c>
      <c r="EG15" s="840">
        <f>1074-4254-1059-EF15-EE15-ED15</f>
        <v>243</v>
      </c>
      <c r="EH15" s="839">
        <f>SUM(ED15:EG15)</f>
        <v>-4239</v>
      </c>
      <c r="EI15" s="841">
        <f>EM15/4</f>
        <v>-1059.75</v>
      </c>
      <c r="EJ15" s="837">
        <f>EM15/4</f>
        <v>-1059.75</v>
      </c>
      <c r="EK15" s="837">
        <f>EM15/4</f>
        <v>-1059.75</v>
      </c>
      <c r="EL15" s="837">
        <f>EM15-SUM(EI15:EK15)</f>
        <v>-1059.75</v>
      </c>
      <c r="EM15" s="839">
        <f>EH15</f>
        <v>-4239</v>
      </c>
      <c r="EN15" s="837">
        <f>ER15/4</f>
        <v>-1059.75</v>
      </c>
      <c r="EO15" s="837">
        <f>ER15/4</f>
        <v>-1059.75</v>
      </c>
      <c r="EP15" s="837">
        <f>ER15/4</f>
        <v>-1059.75</v>
      </c>
      <c r="EQ15" s="837">
        <f>ER15-SUM(EN15:EP15)</f>
        <v>-1059.75</v>
      </c>
      <c r="ER15" s="839">
        <f>EM15</f>
        <v>-4239</v>
      </c>
      <c r="ES15" s="837">
        <f>EW15/4</f>
        <v>-1059.75</v>
      </c>
      <c r="ET15" s="837">
        <f>EW15/4</f>
        <v>-1059.75</v>
      </c>
      <c r="EU15" s="837">
        <f>EW15/4</f>
        <v>-1059.75</v>
      </c>
      <c r="EV15" s="837">
        <f>EW15-SUM(ES15:EU15)</f>
        <v>-1059.75</v>
      </c>
      <c r="EW15" s="839">
        <f>ER15</f>
        <v>-4239</v>
      </c>
      <c r="EX15" s="837">
        <f>FB15/4</f>
        <v>-1059.75</v>
      </c>
      <c r="EY15" s="837">
        <f>FB15/4</f>
        <v>-1059.75</v>
      </c>
      <c r="EZ15" s="837">
        <f>FB15/4</f>
        <v>-1059.75</v>
      </c>
      <c r="FA15" s="837">
        <f>FB15-SUM(EX15:EZ15)</f>
        <v>-1059.75</v>
      </c>
      <c r="FB15" s="839">
        <f>EW15</f>
        <v>-4239</v>
      </c>
      <c r="FC15" s="837">
        <f>FG15/4</f>
        <v>-1059.75</v>
      </c>
      <c r="FD15" s="837">
        <f>FG15/4</f>
        <v>-1059.75</v>
      </c>
      <c r="FE15" s="837">
        <f>FG15/4</f>
        <v>-1059.75</v>
      </c>
      <c r="FF15" s="837">
        <f>FG15-SUM(FC15:FE15)</f>
        <v>-1059.75</v>
      </c>
      <c r="FG15" s="839">
        <f>FB15</f>
        <v>-4239</v>
      </c>
    </row>
    <row r="16" ht="12.75" customHeight="1">
      <c r="A16" s="128"/>
      <c r="B16" s="179"/>
      <c r="C16" s="179"/>
      <c r="D16" s="179"/>
      <c r="E16" s="179"/>
      <c r="F16" s="179"/>
      <c r="G16" s="179"/>
      <c r="H16" s="179"/>
      <c r="I16" s="179"/>
      <c r="J16" s="179"/>
      <c r="K16" s="179"/>
      <c r="L16" s="179"/>
      <c r="M16" s="179"/>
      <c r="N16" s="837"/>
      <c r="O16" s="837"/>
      <c r="P16" s="837"/>
      <c r="Q16" s="837"/>
      <c r="R16" s="838"/>
      <c r="S16" s="837"/>
      <c r="T16" s="837"/>
      <c r="U16" s="837"/>
      <c r="V16" s="837"/>
      <c r="W16" s="838"/>
      <c r="X16" s="837"/>
      <c r="Y16" s="837"/>
      <c r="Z16" s="837"/>
      <c r="AA16" s="837"/>
      <c r="AB16" s="838"/>
      <c r="AC16" s="837"/>
      <c r="AD16" s="837"/>
      <c r="AE16" s="837"/>
      <c r="AF16" s="837"/>
      <c r="AG16" s="838"/>
      <c r="AH16" s="837"/>
      <c r="AI16" s="837"/>
      <c r="AJ16" s="837"/>
      <c r="AK16" s="837"/>
      <c r="AL16" s="838"/>
      <c r="AM16" s="837"/>
      <c r="AN16" s="837"/>
      <c r="AO16" s="837"/>
      <c r="AP16" s="837"/>
      <c r="AQ16" s="838"/>
      <c r="AR16" s="837"/>
      <c r="AS16" s="837"/>
      <c r="AT16" s="837"/>
      <c r="AU16" s="837"/>
      <c r="AV16" s="838"/>
      <c r="AW16" s="837"/>
      <c r="AX16" s="837"/>
      <c r="AY16" s="837"/>
      <c r="AZ16" s="837"/>
      <c r="BA16" s="838"/>
      <c r="BB16" s="837"/>
      <c r="BC16" s="837"/>
      <c r="BD16" s="837"/>
      <c r="BE16" s="837"/>
      <c r="BF16" s="838"/>
      <c r="BG16" s="837"/>
      <c r="BH16" s="837"/>
      <c r="BI16" s="837"/>
      <c r="BJ16" s="837"/>
      <c r="BK16" s="838"/>
      <c r="BL16" s="837"/>
      <c r="BM16" s="837"/>
      <c r="BN16" s="837"/>
      <c r="BO16" s="837"/>
      <c r="BP16" s="838"/>
      <c r="BQ16" s="837"/>
      <c r="BR16" s="837"/>
      <c r="BS16" s="837"/>
      <c r="BT16" s="837"/>
      <c r="BU16" s="838"/>
      <c r="BV16" s="837"/>
      <c r="BW16" s="837"/>
      <c r="BX16" s="837"/>
      <c r="BY16" s="837"/>
      <c r="BZ16" s="838"/>
      <c r="CA16" s="837"/>
      <c r="CB16" s="837"/>
      <c r="CC16" s="837"/>
      <c r="CD16" s="837"/>
      <c r="CE16" s="838"/>
      <c r="CF16" s="837"/>
      <c r="CG16" s="837"/>
      <c r="CH16" s="837"/>
      <c r="CI16" s="837"/>
      <c r="CJ16" s="838"/>
      <c r="CK16" s="837"/>
      <c r="CL16" s="837"/>
      <c r="CM16" s="837"/>
      <c r="CN16" s="837"/>
      <c r="CO16" s="838"/>
      <c r="CP16" s="837"/>
      <c r="CQ16" s="837"/>
      <c r="CR16" s="837"/>
      <c r="CS16" s="837"/>
      <c r="CT16" s="839"/>
      <c r="CU16" s="837"/>
      <c r="CV16" s="837"/>
      <c r="CW16" s="837"/>
      <c r="CX16" s="837"/>
      <c r="CY16" s="839"/>
      <c r="CZ16" s="840"/>
      <c r="DA16" s="837"/>
      <c r="DB16" s="840"/>
      <c r="DC16" s="837"/>
      <c r="DD16" s="839"/>
      <c r="DE16" s="840"/>
      <c r="DF16" s="837"/>
      <c r="DG16" s="840"/>
      <c r="DH16" s="837"/>
      <c r="DI16" s="839"/>
      <c r="DJ16" s="840"/>
      <c r="DK16" s="840"/>
      <c r="DL16" s="840"/>
      <c r="DM16" s="840"/>
      <c r="DN16" s="839"/>
      <c r="DO16" s="840"/>
      <c r="DP16" s="840"/>
      <c r="DQ16" s="840"/>
      <c r="DR16" s="840"/>
      <c r="DS16" s="839"/>
      <c r="DT16" s="840"/>
      <c r="DU16" s="840"/>
      <c r="DV16" s="840"/>
      <c r="DW16" s="840"/>
      <c r="DX16" s="839"/>
      <c r="DY16" s="840"/>
      <c r="DZ16" s="840"/>
      <c r="EA16" s="840"/>
      <c r="EB16" s="840"/>
      <c r="EC16" s="839"/>
      <c r="ED16" s="840"/>
      <c r="EE16" s="840"/>
      <c r="EF16" s="840"/>
      <c r="EG16" s="840"/>
      <c r="EH16" s="839"/>
      <c r="EI16" s="841"/>
      <c r="EJ16" s="837"/>
      <c r="EK16" s="837"/>
      <c r="EL16" s="837"/>
      <c r="EM16" s="839"/>
      <c r="EN16" s="837"/>
      <c r="EO16" s="837"/>
      <c r="EP16" s="837"/>
      <c r="EQ16" s="837"/>
      <c r="ER16" s="839"/>
      <c r="ES16" s="837"/>
      <c r="ET16" s="837"/>
      <c r="EU16" s="837"/>
      <c r="EV16" s="837"/>
      <c r="EW16" s="839"/>
      <c r="EX16" s="837"/>
      <c r="EY16" s="837"/>
      <c r="EZ16" s="837"/>
      <c r="FA16" s="837"/>
      <c r="FB16" s="839"/>
      <c r="FC16" s="837"/>
      <c r="FD16" s="837"/>
      <c r="FE16" s="837"/>
      <c r="FF16" s="837"/>
      <c r="FG16" s="839"/>
    </row>
    <row r="17" ht="12.75" customHeight="1">
      <c r="A17" s="128"/>
      <c r="B17" s="179" t="s">
        <v>581</v>
      </c>
      <c r="C17" s="179"/>
      <c r="D17" s="179"/>
      <c r="E17" s="179"/>
      <c r="F17" s="179"/>
      <c r="G17" s="179"/>
      <c r="H17" s="179"/>
      <c r="I17" s="179"/>
      <c r="J17" s="179"/>
      <c r="K17" s="179"/>
      <c r="L17" s="179"/>
      <c r="M17" s="179"/>
      <c r="N17" s="837">
        <f t="shared" ref="N17:Q17" si="35">N18+N19+N20+N21+N23+N24+N25+N26</f>
        <v>-63</v>
      </c>
      <c r="O17" s="837">
        <f t="shared" si="35"/>
        <v>-1572</v>
      </c>
      <c r="P17" s="837">
        <f t="shared" si="35"/>
        <v>639</v>
      </c>
      <c r="Q17" s="837">
        <f t="shared" si="35"/>
        <v>788</v>
      </c>
      <c r="R17" s="838">
        <f>SUM(N17:Q17)</f>
        <v>-208</v>
      </c>
      <c r="S17" s="837">
        <f t="shared" ref="S17:V17" si="36">S18+S19+S20+S21+S23+S24+S25+S26</f>
        <v>376</v>
      </c>
      <c r="T17" s="837">
        <f t="shared" si="36"/>
        <v>-785</v>
      </c>
      <c r="U17" s="837">
        <f t="shared" si="36"/>
        <v>1420</v>
      </c>
      <c r="V17" s="837">
        <f t="shared" si="36"/>
        <v>729</v>
      </c>
      <c r="W17" s="838">
        <f>SUM(S17:V17)</f>
        <v>1740</v>
      </c>
      <c r="X17" s="837">
        <f t="shared" ref="X17:AA17" si="37">X18+X19+X20+X21+X23+X24+X25+X26</f>
        <v>-138</v>
      </c>
      <c r="Y17" s="837">
        <f t="shared" si="37"/>
        <v>909</v>
      </c>
      <c r="Z17" s="837">
        <f t="shared" si="37"/>
        <v>-27</v>
      </c>
      <c r="AA17" s="837">
        <f t="shared" si="37"/>
        <v>471</v>
      </c>
      <c r="AB17" s="838">
        <f>SUM(X17:AA17)</f>
        <v>1215</v>
      </c>
      <c r="AC17" s="837">
        <f t="shared" ref="AC17:AF17" si="38">AC18+AC19+AC20+AC21+AC23+AC24+AC25+AC26</f>
        <v>-899</v>
      </c>
      <c r="AD17" s="837">
        <f t="shared" si="38"/>
        <v>220</v>
      </c>
      <c r="AE17" s="837">
        <f t="shared" si="38"/>
        <v>54</v>
      </c>
      <c r="AF17" s="837">
        <f t="shared" si="38"/>
        <v>624</v>
      </c>
      <c r="AG17" s="838">
        <f>SUM(AC17:AF17)</f>
        <v>-1</v>
      </c>
      <c r="AH17" s="837">
        <f t="shared" ref="AH17:AK17" si="39">AH18+AH19+AH20+AH21+AH23+AH24+AH25+AH26</f>
        <v>-877</v>
      </c>
      <c r="AI17" s="837">
        <f t="shared" si="39"/>
        <v>-709</v>
      </c>
      <c r="AJ17" s="837">
        <f t="shared" si="39"/>
        <v>240</v>
      </c>
      <c r="AK17" s="837">
        <f t="shared" si="39"/>
        <v>941</v>
      </c>
      <c r="AL17" s="838">
        <f>SUM(AH17:AK17)</f>
        <v>-405</v>
      </c>
      <c r="AM17" s="837">
        <f t="shared" ref="AM17:AP17" si="40">AM18+AM19+AM20+AM21+AM23+AM24+AM25+AM26</f>
        <v>-748</v>
      </c>
      <c r="AN17" s="837">
        <f t="shared" si="40"/>
        <v>247</v>
      </c>
      <c r="AO17" s="837">
        <f t="shared" si="40"/>
        <v>-70</v>
      </c>
      <c r="AP17" s="837">
        <f t="shared" si="40"/>
        <v>-354</v>
      </c>
      <c r="AQ17" s="838">
        <f>SUM(AM17:AP17)</f>
        <v>-925</v>
      </c>
      <c r="AR17" s="837">
        <f t="shared" ref="AR17:AU17" si="41">AR18+AR19+AR20+AR21+AR23+AR24+AR25+AR26</f>
        <v>-1422</v>
      </c>
      <c r="AS17" s="837">
        <f t="shared" si="41"/>
        <v>1029</v>
      </c>
      <c r="AT17" s="837">
        <f t="shared" si="41"/>
        <v>260</v>
      </c>
      <c r="AU17" s="837">
        <f t="shared" si="41"/>
        <v>617</v>
      </c>
      <c r="AV17" s="838">
        <f>SUM(AR17:AU17)</f>
        <v>484</v>
      </c>
      <c r="AW17" s="837">
        <f t="shared" ref="AW17:AZ17" si="42">AW18+AW19+AW20+AW21+AW23+AW24+AW25+AW26</f>
        <v>200</v>
      </c>
      <c r="AX17" s="837">
        <f t="shared" si="42"/>
        <v>-183</v>
      </c>
      <c r="AY17" s="837">
        <f t="shared" si="42"/>
        <v>1188</v>
      </c>
      <c r="AZ17" s="837">
        <f t="shared" si="42"/>
        <v>302</v>
      </c>
      <c r="BA17" s="838">
        <f>SUM(AW17:AZ17)</f>
        <v>1507</v>
      </c>
      <c r="BB17" s="837">
        <f t="shared" ref="BB17:BE17" si="43">BB18+BB19+BB20+BB21+BB23+BB24+BB25+BB26</f>
        <v>-826</v>
      </c>
      <c r="BC17" s="837">
        <f t="shared" si="43"/>
        <v>-463</v>
      </c>
      <c r="BD17" s="837">
        <f t="shared" si="43"/>
        <v>74</v>
      </c>
      <c r="BE17" s="837">
        <f t="shared" si="43"/>
        <v>1143</v>
      </c>
      <c r="BF17" s="838">
        <f>SUM(BB17:BE17)</f>
        <v>-72</v>
      </c>
      <c r="BG17" s="837">
        <f t="shared" ref="BG17:BJ17" si="44">BG18+BG19+BG20+BG21+BG23+BG24+BG25+BG26</f>
        <v>-1503</v>
      </c>
      <c r="BH17" s="837">
        <f t="shared" si="44"/>
        <v>-313</v>
      </c>
      <c r="BI17" s="837">
        <f t="shared" si="44"/>
        <v>1389</v>
      </c>
      <c r="BJ17" s="837">
        <f t="shared" si="44"/>
        <v>501</v>
      </c>
      <c r="BK17" s="838">
        <f>SUM(BG17:BJ17)</f>
        <v>74</v>
      </c>
      <c r="BL17" s="837">
        <f t="shared" ref="BL17:BO17" si="45">BL18+BL19+BL20+BL21+BL23+BL24+BL25+BL26</f>
        <v>-831</v>
      </c>
      <c r="BM17" s="837">
        <f t="shared" si="45"/>
        <v>-138</v>
      </c>
      <c r="BN17" s="837">
        <f t="shared" si="45"/>
        <v>-391</v>
      </c>
      <c r="BO17" s="837">
        <f t="shared" si="45"/>
        <v>-145</v>
      </c>
      <c r="BP17" s="838">
        <f>SUM(BL17:BO17)</f>
        <v>-1505</v>
      </c>
      <c r="BQ17" s="837">
        <f t="shared" ref="BQ17:BT17" si="46">BQ18+BQ19+BQ20+BQ21+BQ23+BQ24+BQ25+BQ26</f>
        <v>-1993</v>
      </c>
      <c r="BR17" s="837">
        <f t="shared" si="46"/>
        <v>1987</v>
      </c>
      <c r="BS17" s="837">
        <f t="shared" si="46"/>
        <v>437</v>
      </c>
      <c r="BT17" s="837">
        <f t="shared" si="46"/>
        <v>-371</v>
      </c>
      <c r="BU17" s="838">
        <f>SUM(BQ17:BT17)</f>
        <v>60</v>
      </c>
      <c r="BV17" s="837">
        <f t="shared" ref="BV17:BY17" si="47">BV18+BV19+BV20+BV21+BV23+BV24+BV25+BV26</f>
        <v>192</v>
      </c>
      <c r="BW17" s="837">
        <f t="shared" si="47"/>
        <v>-520</v>
      </c>
      <c r="BX17" s="837">
        <f t="shared" si="47"/>
        <v>-638</v>
      </c>
      <c r="BY17" s="837">
        <f t="shared" si="47"/>
        <v>1031</v>
      </c>
      <c r="BZ17" s="838">
        <f>SUM(BV17:BY17)</f>
        <v>65</v>
      </c>
      <c r="CA17" s="837">
        <f t="shared" ref="CA17:CD17" si="48">CA18+CA19+CA20+CA21+CA23+CA24+CA25+CA26</f>
        <v>-623</v>
      </c>
      <c r="CB17" s="837">
        <f t="shared" si="48"/>
        <v>-909</v>
      </c>
      <c r="CC17" s="837">
        <f t="shared" si="48"/>
        <v>616</v>
      </c>
      <c r="CD17" s="837">
        <f t="shared" si="48"/>
        <v>1247</v>
      </c>
      <c r="CE17" s="838">
        <f>SUM(CA17:CD17)</f>
        <v>331</v>
      </c>
      <c r="CF17" s="837">
        <f t="shared" ref="CF17:CI17" si="49">CF18+CF19+CF20+CF21+CF23+CF24+CF25+CF26</f>
        <v>-1780</v>
      </c>
      <c r="CG17" s="837">
        <f t="shared" si="49"/>
        <v>-145</v>
      </c>
      <c r="CH17" s="837">
        <f t="shared" si="49"/>
        <v>161</v>
      </c>
      <c r="CI17" s="837">
        <f t="shared" si="49"/>
        <v>1544</v>
      </c>
      <c r="CJ17" s="838">
        <f>SUM(CF17:CI17)</f>
        <v>-220</v>
      </c>
      <c r="CK17" s="837">
        <f t="shared" ref="CK17:CS17" si="50">CK18+CK19+CK20+CK21+CK23+CK24+CK25+CK26</f>
        <v>-88</v>
      </c>
      <c r="CL17" s="837">
        <f t="shared" si="50"/>
        <v>737</v>
      </c>
      <c r="CM17" s="837">
        <f t="shared" si="50"/>
        <v>985</v>
      </c>
      <c r="CN17" s="837">
        <f t="shared" si="50"/>
        <v>1777</v>
      </c>
      <c r="CO17" s="838">
        <f t="shared" si="50"/>
        <v>3140</v>
      </c>
      <c r="CP17" s="837">
        <f t="shared" si="50"/>
        <v>-776</v>
      </c>
      <c r="CQ17" s="837">
        <f t="shared" si="50"/>
        <v>384</v>
      </c>
      <c r="CR17" s="837">
        <f t="shared" si="50"/>
        <v>96</v>
      </c>
      <c r="CS17" s="837">
        <f t="shared" si="50"/>
        <v>197</v>
      </c>
      <c r="CT17" s="839">
        <f t="shared" ref="CT17:CT20" si="64">SUM(CP17:CS17)</f>
        <v>-99</v>
      </c>
      <c r="CU17" s="837">
        <f t="shared" ref="CU17:CX17" si="51">CU18+CU19+CU20+CU21+CU23+CU24+CU25+CU26</f>
        <v>76</v>
      </c>
      <c r="CV17" s="837">
        <f t="shared" si="51"/>
        <v>-1319</v>
      </c>
      <c r="CW17" s="837">
        <f t="shared" si="51"/>
        <v>562</v>
      </c>
      <c r="CX17" s="837">
        <f t="shared" si="51"/>
        <v>-400</v>
      </c>
      <c r="CY17" s="839">
        <f t="shared" ref="CY17:CY20" si="65">SUM(CU17:CX17)</f>
        <v>-1081</v>
      </c>
      <c r="CZ17" s="840">
        <f t="shared" ref="CZ17:DC17" si="52">CZ18+CZ19+CZ20+CZ21+CZ23+CZ24+CZ25+CZ26</f>
        <v>-376</v>
      </c>
      <c r="DA17" s="837">
        <f t="shared" si="52"/>
        <v>-815</v>
      </c>
      <c r="DB17" s="840">
        <f t="shared" si="52"/>
        <v>26</v>
      </c>
      <c r="DC17" s="268">
        <f t="shared" si="52"/>
        <v>1833</v>
      </c>
      <c r="DD17" s="839">
        <f t="shared" ref="DD17:DD20" si="66">SUM(CZ17:DC17)</f>
        <v>668</v>
      </c>
      <c r="DE17" s="844">
        <f t="shared" ref="DE17:DH17" si="53">DE18+DE19+DE20+DE21+DE23+DE24+DE25+DE26</f>
        <v>-1451</v>
      </c>
      <c r="DF17" s="837">
        <f t="shared" si="53"/>
        <v>-454</v>
      </c>
      <c r="DG17" s="840">
        <f t="shared" si="53"/>
        <v>446</v>
      </c>
      <c r="DH17" s="268">
        <f t="shared" si="53"/>
        <v>5043</v>
      </c>
      <c r="DI17" s="839">
        <f t="shared" ref="DI17:DI20" si="67">SUM(DE17:DH17)</f>
        <v>3584</v>
      </c>
      <c r="DJ17" s="840">
        <f t="shared" ref="DJ17:DM17" si="54">DJ18+DJ19+DJ20+DJ21+DJ23+DJ24+DJ25+DJ26</f>
        <v>-157</v>
      </c>
      <c r="DK17" s="840">
        <f t="shared" si="54"/>
        <v>61</v>
      </c>
      <c r="DL17" s="840">
        <f t="shared" si="54"/>
        <v>-428</v>
      </c>
      <c r="DM17" s="840">
        <f t="shared" si="54"/>
        <v>103</v>
      </c>
      <c r="DN17" s="839">
        <f t="shared" ref="DN17:DN20" si="68">SUM(DJ17:DM17)</f>
        <v>-421</v>
      </c>
      <c r="DO17" s="840">
        <f t="shared" ref="DO17:DR17" si="55">DO18+DO19+DO20+DO21+DO23+DO24+DO25+DO26</f>
        <v>-1755</v>
      </c>
      <c r="DP17" s="840">
        <f t="shared" si="55"/>
        <v>210</v>
      </c>
      <c r="DQ17" s="840">
        <f t="shared" si="55"/>
        <v>1906</v>
      </c>
      <c r="DR17" s="840">
        <f t="shared" si="55"/>
        <v>787</v>
      </c>
      <c r="DS17" s="839">
        <f t="shared" ref="DS17:DS20" si="69">SUM(DO17:DR17)</f>
        <v>1148</v>
      </c>
      <c r="DT17" s="840">
        <f t="shared" ref="DT17:DW17" si="56">DT18+DT19+DT20+DT21+DT23+DT24+DT25+DT26</f>
        <v>-3136</v>
      </c>
      <c r="DU17" s="840">
        <f t="shared" si="56"/>
        <v>2723</v>
      </c>
      <c r="DV17" s="840">
        <f t="shared" si="56"/>
        <v>341</v>
      </c>
      <c r="DW17" s="840">
        <f t="shared" si="56"/>
        <v>2251</v>
      </c>
      <c r="DX17" s="839">
        <f t="shared" ref="DX17:DX20" si="70">SUM(DT17:DW17)</f>
        <v>2179</v>
      </c>
      <c r="DY17" s="840">
        <f t="shared" ref="DY17:EB17" si="57">DY18+DY19+DY20+DY21+DY23+DY24+DY25+DY26</f>
        <v>-3050</v>
      </c>
      <c r="DZ17" s="840">
        <f t="shared" si="57"/>
        <v>119</v>
      </c>
      <c r="EA17" s="840">
        <f t="shared" si="57"/>
        <v>91</v>
      </c>
      <c r="EB17" s="840">
        <f t="shared" si="57"/>
        <v>-2033</v>
      </c>
      <c r="EC17" s="839">
        <f t="shared" ref="EC17:EC20" si="71">SUM(DY17:EB17)</f>
        <v>-4873</v>
      </c>
      <c r="ED17" s="840">
        <f t="shared" ref="ED17:EG17" si="58">ED18+ED19+ED20+ED21+ED23+ED24+ED25+ED26</f>
        <v>-848</v>
      </c>
      <c r="EE17" s="840">
        <f t="shared" si="58"/>
        <v>-2977</v>
      </c>
      <c r="EF17" s="840">
        <f t="shared" si="58"/>
        <v>-4781</v>
      </c>
      <c r="EG17" s="840">
        <f t="shared" si="58"/>
        <v>4098</v>
      </c>
      <c r="EH17" s="839">
        <f t="shared" ref="EH17:EH20" si="72">SUM(ED17:EG17)</f>
        <v>-4508</v>
      </c>
      <c r="EI17" s="841" t="str">
        <f t="shared" ref="EI17:EL17" si="59">EI18+EI19+EI20+EI21+EI23+EI24+EI25+EI26</f>
        <v>#ERROR!</v>
      </c>
      <c r="EJ17" s="837" t="str">
        <f t="shared" si="59"/>
        <v>#ERROR!</v>
      </c>
      <c r="EK17" s="837" t="str">
        <f t="shared" si="59"/>
        <v>#ERROR!</v>
      </c>
      <c r="EL17" s="837" t="str">
        <f t="shared" si="59"/>
        <v>#ERROR!</v>
      </c>
      <c r="EM17" s="839" t="str">
        <f t="shared" ref="EM17:EM20" si="73">SUM(EI17:EL17)</f>
        <v>#ERROR!</v>
      </c>
      <c r="EN17" s="837" t="str">
        <f t="shared" ref="EN17:EQ17" si="60">EN18+EN19+EN20+EN21+EN23+EN24+EN25+EN26</f>
        <v>#ERROR!</v>
      </c>
      <c r="EO17" s="837" t="str">
        <f t="shared" si="60"/>
        <v>#ERROR!</v>
      </c>
      <c r="EP17" s="837" t="str">
        <f t="shared" si="60"/>
        <v>#ERROR!</v>
      </c>
      <c r="EQ17" s="837" t="str">
        <f t="shared" si="60"/>
        <v>#ERROR!</v>
      </c>
      <c r="ER17" s="839" t="str">
        <f t="shared" ref="ER17:ER20" si="74">SUM(EN17:EQ17)</f>
        <v>#ERROR!</v>
      </c>
      <c r="ES17" s="837" t="str">
        <f t="shared" ref="ES17:EV17" si="61">ES18+ES19+ES20+ES21+ES23+ES24+ES25+ES26</f>
        <v>#ERROR!</v>
      </c>
      <c r="ET17" s="837" t="str">
        <f t="shared" si="61"/>
        <v>#ERROR!</v>
      </c>
      <c r="EU17" s="837" t="str">
        <f t="shared" si="61"/>
        <v>#ERROR!</v>
      </c>
      <c r="EV17" s="837" t="str">
        <f t="shared" si="61"/>
        <v>#ERROR!</v>
      </c>
      <c r="EW17" s="839" t="str">
        <f t="shared" ref="EW17:EW20" si="75">SUM(ES17:EV17)</f>
        <v>#ERROR!</v>
      </c>
      <c r="EX17" s="837" t="str">
        <f t="shared" ref="EX17:FA17" si="62">EX18+EX19+EX20+EX21+EX23+EX24+EX25+EX26</f>
        <v>#ERROR!</v>
      </c>
      <c r="EY17" s="837" t="str">
        <f t="shared" si="62"/>
        <v>#ERROR!</v>
      </c>
      <c r="EZ17" s="837" t="str">
        <f t="shared" si="62"/>
        <v>#ERROR!</v>
      </c>
      <c r="FA17" s="837" t="str">
        <f t="shared" si="62"/>
        <v>#ERROR!</v>
      </c>
      <c r="FB17" s="839" t="str">
        <f t="shared" ref="FB17:FB20" si="76">SUM(EX17:FA17)</f>
        <v>#ERROR!</v>
      </c>
      <c r="FC17" s="837" t="str">
        <f t="shared" ref="FC17:FF17" si="63">FC18+FC19+FC20+FC21+FC23+FC24+FC25+FC26</f>
        <v>#ERROR!</v>
      </c>
      <c r="FD17" s="837" t="str">
        <f t="shared" si="63"/>
        <v>#ERROR!</v>
      </c>
      <c r="FE17" s="837" t="str">
        <f t="shared" si="63"/>
        <v>#ERROR!</v>
      </c>
      <c r="FF17" s="837" t="str">
        <f t="shared" si="63"/>
        <v>#ERROR!</v>
      </c>
      <c r="FG17" s="839" t="str">
        <f t="shared" ref="FG17:FG20" si="77">SUM(FC17:FF17)</f>
        <v>#ERROR!</v>
      </c>
    </row>
    <row r="18" ht="12.75" hidden="1" customHeight="1" outlineLevel="1">
      <c r="A18" s="128"/>
      <c r="B18" s="180" t="s">
        <v>514</v>
      </c>
      <c r="C18" s="179"/>
      <c r="D18" s="179"/>
      <c r="E18" s="179"/>
      <c r="F18" s="179"/>
      <c r="G18" s="179"/>
      <c r="H18" s="179"/>
      <c r="I18" s="179"/>
      <c r="J18" s="179"/>
      <c r="K18" s="179"/>
      <c r="L18" s="179"/>
      <c r="M18" s="179"/>
      <c r="N18" s="837">
        <v>0.0</v>
      </c>
      <c r="O18" s="837">
        <v>0.0</v>
      </c>
      <c r="P18" s="837">
        <v>0.0</v>
      </c>
      <c r="Q18" s="837">
        <v>0.0</v>
      </c>
      <c r="R18" s="838">
        <f t="shared" ref="R18:R20" si="78">+SUM(N18:Q18)</f>
        <v>0</v>
      </c>
      <c r="S18" s="837">
        <v>0.0</v>
      </c>
      <c r="T18" s="837">
        <v>0.0</v>
      </c>
      <c r="U18" s="837">
        <v>0.0</v>
      </c>
      <c r="V18" s="837"/>
      <c r="W18" s="838">
        <f>+SUM(S18:V18)</f>
        <v>0</v>
      </c>
      <c r="X18" s="837">
        <v>0.0</v>
      </c>
      <c r="Y18" s="837">
        <v>0.0</v>
      </c>
      <c r="Z18" s="837">
        <v>0.0</v>
      </c>
      <c r="AA18" s="837">
        <v>0.0</v>
      </c>
      <c r="AB18" s="838">
        <f>+SUM(X18:AA18)</f>
        <v>0</v>
      </c>
      <c r="AC18" s="837">
        <v>0.0</v>
      </c>
      <c r="AD18" s="837">
        <v>0.0</v>
      </c>
      <c r="AE18" s="837">
        <v>0.0</v>
      </c>
      <c r="AF18" s="837">
        <f>AG18-AC18-AD18-AE18</f>
        <v>0</v>
      </c>
      <c r="AG18" s="838">
        <v>0.0</v>
      </c>
      <c r="AH18" s="837">
        <v>-206.0</v>
      </c>
      <c r="AI18" s="837">
        <f>-225-AH18</f>
        <v>-19</v>
      </c>
      <c r="AJ18" s="837">
        <f>-335-AI18-AH18</f>
        <v>-110</v>
      </c>
      <c r="AK18" s="837">
        <f t="shared" ref="AK18:AK20" si="79">AL18-SUM(AH18:AJ18)</f>
        <v>-109</v>
      </c>
      <c r="AL18" s="838">
        <v>-444.0</v>
      </c>
      <c r="AM18" s="837">
        <v>-92.0</v>
      </c>
      <c r="AN18" s="837">
        <f>-470-AM18</f>
        <v>-378</v>
      </c>
      <c r="AO18" s="837">
        <f>-426-AM18-AN18</f>
        <v>44</v>
      </c>
      <c r="AP18" s="837">
        <f t="shared" ref="AP18:AP20" si="80">AQ18-SUM(AM18:AO18)</f>
        <v>-85</v>
      </c>
      <c r="AQ18" s="838">
        <v>-511.0</v>
      </c>
      <c r="AR18" s="837">
        <v>21.0</v>
      </c>
      <c r="AS18" s="837">
        <f>-126-AR18</f>
        <v>-147</v>
      </c>
      <c r="AT18" s="837">
        <f>64-AR18-AS18</f>
        <v>190</v>
      </c>
      <c r="AU18" s="837">
        <f t="shared" ref="AU18:AU20" si="81">AV18-SUM(AR18:AT18)</f>
        <v>-532</v>
      </c>
      <c r="AV18" s="838">
        <v>-468.0</v>
      </c>
      <c r="AW18" s="837">
        <v>668.0</v>
      </c>
      <c r="AX18" s="837">
        <f>887-AW18</f>
        <v>219</v>
      </c>
      <c r="AY18" s="837">
        <f>1129-AW18-AX18</f>
        <v>242</v>
      </c>
      <c r="AZ18" s="837">
        <f t="shared" ref="AZ18:AZ20" si="82">BA18-SUM(AW18:AY18)</f>
        <v>477</v>
      </c>
      <c r="BA18" s="838">
        <v>1606.0</v>
      </c>
      <c r="BB18" s="837">
        <v>193.0</v>
      </c>
      <c r="BC18" s="837">
        <f>236-BB18</f>
        <v>43</v>
      </c>
      <c r="BD18" s="837">
        <f>362-BB18-BC18</f>
        <v>126</v>
      </c>
      <c r="BE18" s="837">
        <f t="shared" ref="BE18:BE20" si="83">BF18-SUM(BB18:BD18)</f>
        <v>-38</v>
      </c>
      <c r="BF18" s="838">
        <v>324.0</v>
      </c>
      <c r="BG18" s="837">
        <v>-201.0</v>
      </c>
      <c r="BH18" s="837">
        <f>-601-BG18</f>
        <v>-400</v>
      </c>
      <c r="BI18" s="837">
        <f>-1090-BG18-BH18</f>
        <v>-489</v>
      </c>
      <c r="BJ18" s="837">
        <f t="shared" ref="BJ18:BJ20" si="84">BK18-SUM(BG18:BI18)</f>
        <v>-339</v>
      </c>
      <c r="BK18" s="838">
        <v>-1429.0</v>
      </c>
      <c r="BL18" s="837">
        <v>38.0</v>
      </c>
      <c r="BM18" s="837">
        <f>49-BL18</f>
        <v>11</v>
      </c>
      <c r="BN18" s="837">
        <f>83-BL18-BM18</f>
        <v>34</v>
      </c>
      <c r="BO18" s="837">
        <f t="shared" ref="BO18:BO20" si="85">BP18-SUM(BL18:BN18)</f>
        <v>110</v>
      </c>
      <c r="BP18" s="838">
        <v>193.0</v>
      </c>
      <c r="BQ18" s="837">
        <v>13.0</v>
      </c>
      <c r="BR18" s="837">
        <f>-20-BQ18</f>
        <v>-33</v>
      </c>
      <c r="BS18" s="837">
        <f>299-BQ18-BR18</f>
        <v>319</v>
      </c>
      <c r="BT18" s="837">
        <f t="shared" ref="BT18:BT20" si="86">BU18-SUM(BQ18:BS18)</f>
        <v>0</v>
      </c>
      <c r="BU18" s="838">
        <v>299.0</v>
      </c>
      <c r="BV18" s="837">
        <v>0.0</v>
      </c>
      <c r="BW18" s="837">
        <v>0.0</v>
      </c>
      <c r="BX18" s="837">
        <f>0</f>
        <v>0</v>
      </c>
      <c r="BY18" s="837">
        <f t="shared" ref="BY18:BY20" si="87">BZ18-SUM(BV18:BX18)</f>
        <v>0</v>
      </c>
      <c r="BZ18" s="838">
        <v>0.0</v>
      </c>
      <c r="CA18" s="837">
        <v>0.0</v>
      </c>
      <c r="CB18" s="837">
        <v>0.0</v>
      </c>
      <c r="CC18" s="837">
        <v>0.0</v>
      </c>
      <c r="CD18" s="837">
        <f t="shared" ref="CD18:CD20" si="88">CE18-SUM(CA18:CC18)</f>
        <v>0</v>
      </c>
      <c r="CE18" s="838">
        <v>0.0</v>
      </c>
      <c r="CF18" s="837">
        <v>0.0</v>
      </c>
      <c r="CG18" s="837">
        <v>0.0</v>
      </c>
      <c r="CH18" s="837">
        <v>0.0</v>
      </c>
      <c r="CI18" s="837">
        <f t="shared" ref="CI18:CI20" si="89">CJ18-SUM(CF18:CH18)</f>
        <v>0</v>
      </c>
      <c r="CJ18" s="838">
        <v>0.0</v>
      </c>
      <c r="CK18" s="837">
        <v>0.0</v>
      </c>
      <c r="CL18" s="837">
        <v>0.0</v>
      </c>
      <c r="CM18" s="837">
        <v>0.0</v>
      </c>
      <c r="CN18" s="837">
        <v>0.0</v>
      </c>
      <c r="CO18" s="838">
        <f t="shared" ref="CO18:CO20" si="90">SUM(CK18:CN18)</f>
        <v>0</v>
      </c>
      <c r="CP18" s="837">
        <v>0.0</v>
      </c>
      <c r="CQ18" s="837">
        <v>0.0</v>
      </c>
      <c r="CR18" s="837">
        <v>0.0</v>
      </c>
      <c r="CS18" s="837">
        <v>0.0</v>
      </c>
      <c r="CT18" s="839">
        <f t="shared" si="64"/>
        <v>0</v>
      </c>
      <c r="CU18" s="837">
        <v>0.0</v>
      </c>
      <c r="CV18" s="837">
        <v>0.0</v>
      </c>
      <c r="CW18" s="837">
        <v>0.0</v>
      </c>
      <c r="CX18" s="837">
        <v>0.0</v>
      </c>
      <c r="CY18" s="839">
        <f t="shared" si="65"/>
        <v>0</v>
      </c>
      <c r="CZ18" s="840">
        <v>0.0</v>
      </c>
      <c r="DA18" s="837">
        <v>0.0</v>
      </c>
      <c r="DB18" s="840">
        <v>0.0</v>
      </c>
      <c r="DC18" s="268">
        <v>0.0</v>
      </c>
      <c r="DD18" s="839">
        <f t="shared" si="66"/>
        <v>0</v>
      </c>
      <c r="DE18" s="844">
        <v>0.0</v>
      </c>
      <c r="DF18" s="837">
        <v>0.0</v>
      </c>
      <c r="DG18" s="840">
        <v>0.0</v>
      </c>
      <c r="DH18" s="268">
        <v>0.0</v>
      </c>
      <c r="DI18" s="839">
        <f t="shared" si="67"/>
        <v>0</v>
      </c>
      <c r="DJ18" s="840">
        <v>0.0</v>
      </c>
      <c r="DK18" s="840">
        <v>0.0</v>
      </c>
      <c r="DL18" s="840">
        <v>0.0</v>
      </c>
      <c r="DM18" s="840">
        <v>0.0</v>
      </c>
      <c r="DN18" s="839">
        <f t="shared" si="68"/>
        <v>0</v>
      </c>
      <c r="DO18" s="840">
        <v>0.0</v>
      </c>
      <c r="DP18" s="840">
        <v>0.0</v>
      </c>
      <c r="DQ18" s="840">
        <v>0.0</v>
      </c>
      <c r="DR18" s="840">
        <v>0.0</v>
      </c>
      <c r="DS18" s="839">
        <f t="shared" si="69"/>
        <v>0</v>
      </c>
      <c r="DT18" s="840">
        <v>0.0</v>
      </c>
      <c r="DU18" s="840">
        <v>0.0</v>
      </c>
      <c r="DV18" s="840">
        <v>0.0</v>
      </c>
      <c r="DW18" s="840">
        <v>0.0</v>
      </c>
      <c r="DX18" s="839">
        <f t="shared" si="70"/>
        <v>0</v>
      </c>
      <c r="DY18" s="840">
        <v>0.0</v>
      </c>
      <c r="DZ18" s="840">
        <v>0.0</v>
      </c>
      <c r="EA18" s="840">
        <v>0.0</v>
      </c>
      <c r="EB18" s="840">
        <v>0.0</v>
      </c>
      <c r="EC18" s="839">
        <f t="shared" si="71"/>
        <v>0</v>
      </c>
      <c r="ED18" s="840">
        <v>0.0</v>
      </c>
      <c r="EE18" s="840">
        <v>0.0</v>
      </c>
      <c r="EF18" s="840">
        <v>0.0</v>
      </c>
      <c r="EG18" s="840">
        <v>0.0</v>
      </c>
      <c r="EH18" s="839">
        <f t="shared" si="72"/>
        <v>0</v>
      </c>
      <c r="EI18" s="841">
        <v>0.0</v>
      </c>
      <c r="EJ18" s="837">
        <v>0.0</v>
      </c>
      <c r="EK18" s="837">
        <v>0.0</v>
      </c>
      <c r="EL18" s="837">
        <v>0.0</v>
      </c>
      <c r="EM18" s="839">
        <f t="shared" si="73"/>
        <v>0</v>
      </c>
      <c r="EN18" s="837">
        <v>0.0</v>
      </c>
      <c r="EO18" s="837">
        <v>0.0</v>
      </c>
      <c r="EP18" s="837">
        <v>0.0</v>
      </c>
      <c r="EQ18" s="837">
        <v>0.0</v>
      </c>
      <c r="ER18" s="839">
        <f t="shared" si="74"/>
        <v>0</v>
      </c>
      <c r="ES18" s="837">
        <v>0.0</v>
      </c>
      <c r="ET18" s="837">
        <v>0.0</v>
      </c>
      <c r="EU18" s="837">
        <v>0.0</v>
      </c>
      <c r="EV18" s="837">
        <v>0.0</v>
      </c>
      <c r="EW18" s="839">
        <f t="shared" si="75"/>
        <v>0</v>
      </c>
      <c r="EX18" s="837">
        <v>0.0</v>
      </c>
      <c r="EY18" s="837">
        <v>0.0</v>
      </c>
      <c r="EZ18" s="837">
        <v>0.0</v>
      </c>
      <c r="FA18" s="837">
        <v>0.0</v>
      </c>
      <c r="FB18" s="839">
        <f t="shared" si="76"/>
        <v>0</v>
      </c>
      <c r="FC18" s="837">
        <v>0.0</v>
      </c>
      <c r="FD18" s="837">
        <v>0.0</v>
      </c>
      <c r="FE18" s="837">
        <v>0.0</v>
      </c>
      <c r="FF18" s="837">
        <v>0.0</v>
      </c>
      <c r="FG18" s="839">
        <f t="shared" si="77"/>
        <v>0</v>
      </c>
    </row>
    <row r="19" ht="12.75" customHeight="1" collapsed="1">
      <c r="A19" s="128"/>
      <c r="B19" s="180" t="s">
        <v>515</v>
      </c>
      <c r="C19" s="180"/>
      <c r="D19" s="180"/>
      <c r="E19" s="180"/>
      <c r="F19" s="180"/>
      <c r="G19" s="180"/>
      <c r="H19" s="180"/>
      <c r="I19" s="180"/>
      <c r="J19" s="180"/>
      <c r="K19" s="180"/>
      <c r="L19" s="180"/>
      <c r="M19" s="180"/>
      <c r="N19" s="837">
        <v>364.0</v>
      </c>
      <c r="O19" s="837">
        <f>337-N19</f>
        <v>-27</v>
      </c>
      <c r="P19" s="837">
        <f>-173-O19-N19</f>
        <v>-510</v>
      </c>
      <c r="Q19" s="837">
        <f>+-38-P19-O19-N19</f>
        <v>135</v>
      </c>
      <c r="R19" s="838">
        <f t="shared" si="78"/>
        <v>-38</v>
      </c>
      <c r="S19" s="837">
        <v>247.0</v>
      </c>
      <c r="T19" s="837">
        <f>343-S19</f>
        <v>96</v>
      </c>
      <c r="U19" s="837">
        <f>191-T19-S19</f>
        <v>-152</v>
      </c>
      <c r="V19" s="837">
        <f t="shared" ref="V19:V20" si="91">W19-S19-T19-U19</f>
        <v>-38</v>
      </c>
      <c r="W19" s="838">
        <v>153.0</v>
      </c>
      <c r="X19" s="837">
        <v>40.0</v>
      </c>
      <c r="Y19" s="837">
        <f>-607-X19</f>
        <v>-647</v>
      </c>
      <c r="Z19" s="837">
        <f>-839-Y19-X19</f>
        <v>-232</v>
      </c>
      <c r="AA19" s="837">
        <f t="shared" ref="AA19:AA20" si="92">AB19-X19-Y19-Z19</f>
        <v>455</v>
      </c>
      <c r="AB19" s="838">
        <v>-384.0</v>
      </c>
      <c r="AC19" s="837">
        <f>734</f>
        <v>734</v>
      </c>
      <c r="AD19" s="837">
        <f>1263-AC19</f>
        <v>529</v>
      </c>
      <c r="AE19" s="837">
        <v>-139.0</v>
      </c>
      <c r="AF19" s="837">
        <f t="shared" ref="AF19:AF20" si="93">AG19-AE19-AD19-AC19</f>
        <v>437</v>
      </c>
      <c r="AG19" s="838">
        <v>1561.0</v>
      </c>
      <c r="AH19" s="837">
        <f>+BS!AF14-BS!AH14</f>
        <v>-276</v>
      </c>
      <c r="AI19" s="837">
        <f>-300-AH19</f>
        <v>-24</v>
      </c>
      <c r="AJ19" s="837">
        <f>-482-AI19-AH19</f>
        <v>-182</v>
      </c>
      <c r="AK19" s="837">
        <f t="shared" si="79"/>
        <v>512</v>
      </c>
      <c r="AL19" s="838">
        <v>30.0</v>
      </c>
      <c r="AM19" s="837">
        <v>-391.0</v>
      </c>
      <c r="AN19" s="837">
        <f>-279-AM19</f>
        <v>112</v>
      </c>
      <c r="AO19" s="837">
        <f>-760-AM19-AN19</f>
        <v>-481</v>
      </c>
      <c r="AP19" s="837">
        <f t="shared" si="80"/>
        <v>330</v>
      </c>
      <c r="AQ19" s="838">
        <v>-430.0</v>
      </c>
      <c r="AR19" s="837">
        <v>-414.0</v>
      </c>
      <c r="AS19" s="837">
        <f>-223-AR19</f>
        <v>191</v>
      </c>
      <c r="AT19" s="837">
        <f>-306-AR19-AS19</f>
        <v>-83</v>
      </c>
      <c r="AU19" s="837">
        <f t="shared" si="81"/>
        <v>267</v>
      </c>
      <c r="AV19" s="838">
        <v>-39.0</v>
      </c>
      <c r="AW19" s="837">
        <v>-227.0</v>
      </c>
      <c r="AX19" s="837">
        <f>-448-AW19</f>
        <v>-221</v>
      </c>
      <c r="AY19" s="837">
        <f>-748-AW19-AX19</f>
        <v>-300</v>
      </c>
      <c r="AZ19" s="837">
        <f t="shared" si="82"/>
        <v>-166</v>
      </c>
      <c r="BA19" s="838">
        <v>-914.0</v>
      </c>
      <c r="BB19" s="837">
        <v>2.0</v>
      </c>
      <c r="BC19" s="837">
        <f>736-BB19</f>
        <v>734</v>
      </c>
      <c r="BD19" s="837">
        <f>568-BB19-BC19</f>
        <v>-168</v>
      </c>
      <c r="BE19" s="837">
        <f t="shared" si="83"/>
        <v>649</v>
      </c>
      <c r="BF19" s="838">
        <v>1217.0</v>
      </c>
      <c r="BG19" s="837">
        <v>17.0</v>
      </c>
      <c r="BH19" s="837">
        <f>351-BG19</f>
        <v>334</v>
      </c>
      <c r="BI19" s="837">
        <f>22-BG19-BH19</f>
        <v>-329</v>
      </c>
      <c r="BJ19" s="837">
        <f t="shared" si="84"/>
        <v>294</v>
      </c>
      <c r="BK19" s="838">
        <v>316.0</v>
      </c>
      <c r="BL19" s="837">
        <v>-172.0</v>
      </c>
      <c r="BM19" s="837">
        <f>140-BL19</f>
        <v>312</v>
      </c>
      <c r="BN19" s="837">
        <f>-471-BL19-BM19</f>
        <v>-611</v>
      </c>
      <c r="BO19" s="837">
        <f t="shared" si="85"/>
        <v>731</v>
      </c>
      <c r="BP19" s="838">
        <v>260.0</v>
      </c>
      <c r="BQ19" s="837">
        <v>-374.0</v>
      </c>
      <c r="BR19" s="837">
        <f>-226-BQ19</f>
        <v>148</v>
      </c>
      <c r="BS19" s="837">
        <f>-287-BQ19-BR19</f>
        <v>-61</v>
      </c>
      <c r="BT19" s="837">
        <f t="shared" si="86"/>
        <v>-248</v>
      </c>
      <c r="BU19" s="838">
        <v>-535.0</v>
      </c>
      <c r="BV19" s="837">
        <v>88.0</v>
      </c>
      <c r="BW19" s="837">
        <f>-147-BV19</f>
        <v>-235</v>
      </c>
      <c r="BX19" s="837">
        <f>-628-BV19-BW19</f>
        <v>-481</v>
      </c>
      <c r="BY19" s="837">
        <f t="shared" si="87"/>
        <v>44</v>
      </c>
      <c r="BZ19" s="838">
        <v>-584.0</v>
      </c>
      <c r="CA19" s="837">
        <v>-504.0</v>
      </c>
      <c r="CB19" s="837">
        <f>-388-CA19</f>
        <v>116</v>
      </c>
      <c r="CC19" s="837">
        <f>-856-CA19-CB19</f>
        <v>-468</v>
      </c>
      <c r="CD19" s="837">
        <f t="shared" si="88"/>
        <v>178</v>
      </c>
      <c r="CE19" s="838">
        <v>-678.0</v>
      </c>
      <c r="CF19" s="837">
        <v>-387.0</v>
      </c>
      <c r="CG19" s="837">
        <f>103-CF19</f>
        <v>490</v>
      </c>
      <c r="CH19" s="837">
        <f>-283-CF19-CG19</f>
        <v>-386</v>
      </c>
      <c r="CI19" s="837">
        <f t="shared" si="89"/>
        <v>107</v>
      </c>
      <c r="CJ19" s="838">
        <v>-176.0</v>
      </c>
      <c r="CK19" s="837">
        <v>293.0</v>
      </c>
      <c r="CL19" s="837">
        <f>368-CK19</f>
        <v>75</v>
      </c>
      <c r="CM19" s="837">
        <f>131-CL19-CK19</f>
        <v>-237</v>
      </c>
      <c r="CN19" s="268">
        <f>271-CM19-CL19-CK19</f>
        <v>140</v>
      </c>
      <c r="CO19" s="838">
        <f t="shared" si="90"/>
        <v>271</v>
      </c>
      <c r="CP19" s="837">
        <v>78.0</v>
      </c>
      <c r="CQ19" s="837">
        <f>89-CP19</f>
        <v>11</v>
      </c>
      <c r="CR19" s="837">
        <f>-76-CQ19-CP19</f>
        <v>-165</v>
      </c>
      <c r="CS19" s="837">
        <f>-861-CR19-CQ19-CP19</f>
        <v>-785</v>
      </c>
      <c r="CT19" s="839">
        <f t="shared" si="64"/>
        <v>-861</v>
      </c>
      <c r="CU19" s="268">
        <v>1167.0</v>
      </c>
      <c r="CV19" s="268">
        <f>573-CU19</f>
        <v>-594</v>
      </c>
      <c r="CW19" s="268">
        <f>332-CV19-CU19</f>
        <v>-241</v>
      </c>
      <c r="CX19" s="837">
        <f>-355-CW19-CV19-CU19</f>
        <v>-687</v>
      </c>
      <c r="CY19" s="839">
        <f t="shared" si="65"/>
        <v>-355</v>
      </c>
      <c r="CZ19" s="844">
        <v>942.0</v>
      </c>
      <c r="DA19" s="837">
        <f>734-CZ19</f>
        <v>-208</v>
      </c>
      <c r="DB19" s="840">
        <f>-100-DA19-CZ19</f>
        <v>-834</v>
      </c>
      <c r="DC19" s="268">
        <f>65-DB19-DA19-CZ19</f>
        <v>165</v>
      </c>
      <c r="DD19" s="839">
        <f t="shared" si="66"/>
        <v>65</v>
      </c>
      <c r="DE19" s="844">
        <v>-105.0</v>
      </c>
      <c r="DF19" s="837">
        <f>-618-DE19</f>
        <v>-513</v>
      </c>
      <c r="DG19" s="840">
        <f>-1128-(DE19+DF19)</f>
        <v>-510</v>
      </c>
      <c r="DH19" s="268">
        <f>-781-DG19-DF19-DE19</f>
        <v>347</v>
      </c>
      <c r="DI19" s="839">
        <f t="shared" si="67"/>
        <v>-781</v>
      </c>
      <c r="DJ19" s="840">
        <v>102.0</v>
      </c>
      <c r="DK19" s="840">
        <f>369-DJ19</f>
        <v>267</v>
      </c>
      <c r="DL19" s="840">
        <f>-449-DK19-DJ19</f>
        <v>-818</v>
      </c>
      <c r="DM19" s="840">
        <f>+BS!DL14-BS!DM14</f>
        <v>-1265</v>
      </c>
      <c r="DN19" s="839">
        <f t="shared" si="68"/>
        <v>-1714</v>
      </c>
      <c r="DO19" s="840">
        <f>+BS!DM14-BS!DO14</f>
        <v>-235</v>
      </c>
      <c r="DP19" s="840">
        <f>490-DO19</f>
        <v>725</v>
      </c>
      <c r="DQ19" s="840">
        <f>-156-SUM(DO19:DP19)</f>
        <v>-646</v>
      </c>
      <c r="DR19" s="840">
        <f>-935-SUM(DO19:DQ19)</f>
        <v>-779</v>
      </c>
      <c r="DS19" s="839">
        <f t="shared" si="69"/>
        <v>-935</v>
      </c>
      <c r="DT19" s="840">
        <v>-796.0</v>
      </c>
      <c r="DU19" s="840">
        <f>224-DT19</f>
        <v>1020</v>
      </c>
      <c r="DV19" s="840">
        <f>525-SUM(DT19:DU19)</f>
        <v>301</v>
      </c>
      <c r="DW19" s="840">
        <f>883-SUM(DT19:DV19)</f>
        <v>358</v>
      </c>
      <c r="DX19" s="839">
        <f t="shared" si="70"/>
        <v>883</v>
      </c>
      <c r="DY19" s="840">
        <v>-426.0</v>
      </c>
      <c r="DZ19" s="840">
        <f>-678-DY19</f>
        <v>-252</v>
      </c>
      <c r="EA19" s="840">
        <f>-1618-SUM(DY19:DZ19)</f>
        <v>-940</v>
      </c>
      <c r="EB19" s="840">
        <f>-2674-SUM(DY19:EA19)</f>
        <v>-1056</v>
      </c>
      <c r="EC19" s="839">
        <f t="shared" si="71"/>
        <v>-2674</v>
      </c>
      <c r="ED19" s="840">
        <v>2384.0</v>
      </c>
      <c r="EE19" s="840">
        <f>3397-ED19</f>
        <v>1013</v>
      </c>
      <c r="EF19" s="840">
        <f>1991-EE19-ED19</f>
        <v>-1406</v>
      </c>
      <c r="EG19" s="840">
        <f>5327-EF19-EE19-ED19</f>
        <v>3336</v>
      </c>
      <c r="EH19" s="839">
        <f t="shared" si="72"/>
        <v>5327</v>
      </c>
      <c r="EI19" s="841" t="str">
        <f>+BS!EG14-BS!EI14</f>
        <v>#ERROR!</v>
      </c>
      <c r="EJ19" s="837" t="str">
        <f>+BS!EI14-BS!EJ14</f>
        <v>#ERROR!</v>
      </c>
      <c r="EK19" s="837" t="str">
        <f>+BS!EJ14-BS!EK14</f>
        <v>#ERROR!</v>
      </c>
      <c r="EL19" s="837" t="str">
        <f>+BS!EK14-BS!EL14</f>
        <v>#ERROR!</v>
      </c>
      <c r="EM19" s="839" t="str">
        <f t="shared" si="73"/>
        <v>#ERROR!</v>
      </c>
      <c r="EN19" s="837" t="str">
        <f>+BS!EL14-BS!EN14</f>
        <v>#ERROR!</v>
      </c>
      <c r="EO19" s="837" t="str">
        <f>+BS!EN14-BS!EO14</f>
        <v>#ERROR!</v>
      </c>
      <c r="EP19" s="837" t="str">
        <f>+BS!EO14-BS!EP14</f>
        <v>#ERROR!</v>
      </c>
      <c r="EQ19" s="837" t="str">
        <f>+BS!EP14-BS!EQ14</f>
        <v>#ERROR!</v>
      </c>
      <c r="ER19" s="839" t="str">
        <f t="shared" si="74"/>
        <v>#ERROR!</v>
      </c>
      <c r="ES19" s="837" t="str">
        <f>+BS!EQ14-BS!ES14</f>
        <v>#ERROR!</v>
      </c>
      <c r="ET19" s="837" t="str">
        <f>+BS!ES14-BS!ET14</f>
        <v>#ERROR!</v>
      </c>
      <c r="EU19" s="837" t="str">
        <f>+BS!ET14-BS!EU14</f>
        <v>#ERROR!</v>
      </c>
      <c r="EV19" s="837" t="str">
        <f>+BS!EU14-BS!EV14</f>
        <v>#ERROR!</v>
      </c>
      <c r="EW19" s="839" t="str">
        <f t="shared" si="75"/>
        <v>#ERROR!</v>
      </c>
      <c r="EX19" s="837" t="str">
        <f>+BS!EV14-BS!EX14</f>
        <v>#ERROR!</v>
      </c>
      <c r="EY19" s="837" t="str">
        <f>+BS!EX14-BS!EY14</f>
        <v>#ERROR!</v>
      </c>
      <c r="EZ19" s="837" t="str">
        <f>+BS!EY14-BS!EZ14</f>
        <v>#ERROR!</v>
      </c>
      <c r="FA19" s="837" t="str">
        <f>+BS!EZ14-BS!FA14</f>
        <v>#ERROR!</v>
      </c>
      <c r="FB19" s="839" t="str">
        <f t="shared" si="76"/>
        <v>#ERROR!</v>
      </c>
      <c r="FC19" s="837" t="str">
        <f>+BS!FA14-BS!FC14</f>
        <v>#ERROR!</v>
      </c>
      <c r="FD19" s="837" t="str">
        <f>+BS!FC14-BS!FD14</f>
        <v>#ERROR!</v>
      </c>
      <c r="FE19" s="837" t="str">
        <f>+BS!FD14-BS!FE14</f>
        <v>#ERROR!</v>
      </c>
      <c r="FF19" s="837" t="str">
        <f>+BS!FE14-BS!FF14</f>
        <v>#ERROR!</v>
      </c>
      <c r="FG19" s="839" t="str">
        <f t="shared" si="77"/>
        <v>#ERROR!</v>
      </c>
    </row>
    <row r="20" ht="12.75" customHeight="1">
      <c r="A20" s="128"/>
      <c r="B20" s="180" t="s">
        <v>519</v>
      </c>
      <c r="C20" s="180"/>
      <c r="D20" s="180"/>
      <c r="E20" s="180"/>
      <c r="F20" s="180"/>
      <c r="G20" s="180"/>
      <c r="H20" s="180"/>
      <c r="I20" s="180"/>
      <c r="J20" s="180"/>
      <c r="K20" s="180"/>
      <c r="L20" s="180"/>
      <c r="M20" s="180"/>
      <c r="N20" s="837">
        <v>-111.0</v>
      </c>
      <c r="O20" s="837">
        <f>46-N20</f>
        <v>157</v>
      </c>
      <c r="P20" s="837">
        <f>171-O20-N20</f>
        <v>125</v>
      </c>
      <c r="Q20" s="837">
        <f>167-P20-O20-N20</f>
        <v>-4</v>
      </c>
      <c r="R20" s="838">
        <f t="shared" si="78"/>
        <v>167</v>
      </c>
      <c r="S20" s="837">
        <v>-115.0</v>
      </c>
      <c r="T20" s="837">
        <f>-170-S20</f>
        <v>-55</v>
      </c>
      <c r="U20" s="837">
        <f>17-T20-S20</f>
        <v>187</v>
      </c>
      <c r="V20" s="837">
        <f t="shared" si="91"/>
        <v>152</v>
      </c>
      <c r="W20" s="838">
        <v>169.0</v>
      </c>
      <c r="X20" s="837">
        <v>-44.0</v>
      </c>
      <c r="Y20" s="837">
        <f>-109-X20</f>
        <v>-65</v>
      </c>
      <c r="Z20" s="837">
        <f>-437-Y20-X20</f>
        <v>-328</v>
      </c>
      <c r="AA20" s="837">
        <f t="shared" si="92"/>
        <v>-294</v>
      </c>
      <c r="AB20" s="838">
        <v>-731.0</v>
      </c>
      <c r="AC20" s="837">
        <v>-374.0</v>
      </c>
      <c r="AD20" s="837">
        <f>-543-AC20</f>
        <v>-169</v>
      </c>
      <c r="AE20" s="837">
        <v>475.0</v>
      </c>
      <c r="AF20" s="837">
        <f t="shared" si="93"/>
        <v>92</v>
      </c>
      <c r="AG20" s="838">
        <v>24.0</v>
      </c>
      <c r="AH20" s="837">
        <f>+BS!AF19-BS!AH19</f>
        <v>-227</v>
      </c>
      <c r="AI20" s="837">
        <f>-252-AH20</f>
        <v>-25</v>
      </c>
      <c r="AJ20" s="837">
        <f>-228-AI20-AH20</f>
        <v>24</v>
      </c>
      <c r="AK20" s="837">
        <f t="shared" si="79"/>
        <v>202</v>
      </c>
      <c r="AL20" s="838">
        <v>-26.0</v>
      </c>
      <c r="AM20" s="837">
        <v>112.0</v>
      </c>
      <c r="AN20" s="837">
        <f>123-AM20</f>
        <v>11</v>
      </c>
      <c r="AO20" s="837">
        <f>50-AM20-AN20</f>
        <v>-73</v>
      </c>
      <c r="AP20" s="837">
        <f t="shared" si="80"/>
        <v>-295</v>
      </c>
      <c r="AQ20" s="838">
        <v>-245.0</v>
      </c>
      <c r="AR20" s="837">
        <v>-277.0</v>
      </c>
      <c r="AS20" s="837">
        <f>-703-AR20</f>
        <v>-426</v>
      </c>
      <c r="AT20" s="837">
        <f>-660-AR20-AS20</f>
        <v>43</v>
      </c>
      <c r="AU20" s="837">
        <f t="shared" si="81"/>
        <v>559</v>
      </c>
      <c r="AV20" s="838">
        <v>-101.0</v>
      </c>
      <c r="AW20" s="837">
        <v>-187.0</v>
      </c>
      <c r="AX20" s="837">
        <f>-117-AW20</f>
        <v>70</v>
      </c>
      <c r="AY20" s="837">
        <f>-193-AW20-AX20</f>
        <v>-76</v>
      </c>
      <c r="AZ20" s="837">
        <f t="shared" si="82"/>
        <v>-307</v>
      </c>
      <c r="BA20" s="838">
        <v>-500.0</v>
      </c>
      <c r="BB20" s="837">
        <v>-359.0</v>
      </c>
      <c r="BC20" s="837">
        <f>-1096-BB20</f>
        <v>-737</v>
      </c>
      <c r="BD20" s="837">
        <f>-1263-BB20-BC20</f>
        <v>-167</v>
      </c>
      <c r="BE20" s="837">
        <f t="shared" si="83"/>
        <v>147</v>
      </c>
      <c r="BF20" s="838">
        <v>-1116.0</v>
      </c>
      <c r="BG20" s="837">
        <v>-65.0</v>
      </c>
      <c r="BH20" s="837">
        <f>162-BG20</f>
        <v>227</v>
      </c>
      <c r="BI20" s="837">
        <f>744-BG20-BH20</f>
        <v>582</v>
      </c>
      <c r="BJ20" s="837">
        <f t="shared" si="84"/>
        <v>-44</v>
      </c>
      <c r="BK20" s="838">
        <v>700.0</v>
      </c>
      <c r="BL20" s="837">
        <v>75.0</v>
      </c>
      <c r="BM20" s="837">
        <f>71-BL20</f>
        <v>-4</v>
      </c>
      <c r="BN20" s="837">
        <f>-60-BL20-BM20</f>
        <v>-131</v>
      </c>
      <c r="BO20" s="837">
        <f t="shared" si="85"/>
        <v>-335</v>
      </c>
      <c r="BP20" s="838">
        <v>-395.0</v>
      </c>
      <c r="BQ20" s="837">
        <v>686.0</v>
      </c>
      <c r="BR20" s="837">
        <f>927-BQ20</f>
        <v>241</v>
      </c>
      <c r="BS20" s="837">
        <f>1236-BQ20-BR20</f>
        <v>309</v>
      </c>
      <c r="BT20" s="837">
        <f t="shared" si="86"/>
        <v>-440</v>
      </c>
      <c r="BU20" s="838">
        <v>796.0</v>
      </c>
      <c r="BV20" s="837">
        <v>-51.0</v>
      </c>
      <c r="BW20" s="837">
        <f>-395-BV20</f>
        <v>-344</v>
      </c>
      <c r="BX20" s="837">
        <f>-479-BV20-BW20</f>
        <v>-84</v>
      </c>
      <c r="BY20" s="837">
        <f t="shared" si="87"/>
        <v>-327</v>
      </c>
      <c r="BZ20" s="838">
        <v>-806.0</v>
      </c>
      <c r="CA20" s="837">
        <v>-251.0</v>
      </c>
      <c r="CB20" s="837">
        <f>-184-CA20</f>
        <v>67</v>
      </c>
      <c r="CC20" s="837">
        <f>-110-CA20-CB20</f>
        <v>74</v>
      </c>
      <c r="CD20" s="837">
        <f t="shared" si="88"/>
        <v>-133</v>
      </c>
      <c r="CE20" s="838">
        <v>-243.0</v>
      </c>
      <c r="CF20" s="837">
        <v>-381.0</v>
      </c>
      <c r="CG20" s="837">
        <f>-782-CF20</f>
        <v>-401</v>
      </c>
      <c r="CH20" s="837">
        <f>-1198-CF20-CG20</f>
        <v>-416</v>
      </c>
      <c r="CI20" s="837">
        <f t="shared" si="89"/>
        <v>572</v>
      </c>
      <c r="CJ20" s="838">
        <v>-626.0</v>
      </c>
      <c r="CK20" s="837">
        <v>372.0</v>
      </c>
      <c r="CL20" s="837">
        <f>195-CK20</f>
        <v>-177</v>
      </c>
      <c r="CM20" s="837">
        <f>205-CL20-CK20</f>
        <v>10</v>
      </c>
      <c r="CN20" s="268">
        <f>563-CM20-CL20-CK20</f>
        <v>358</v>
      </c>
      <c r="CO20" s="838">
        <f t="shared" si="90"/>
        <v>563</v>
      </c>
      <c r="CP20" s="837">
        <v>405.0</v>
      </c>
      <c r="CQ20" s="837">
        <f>235-CP20</f>
        <v>-170</v>
      </c>
      <c r="CR20" s="837">
        <f>59-CQ20-CP20</f>
        <v>-176</v>
      </c>
      <c r="CS20" s="837">
        <f>-98-CR20-CQ20-CP20</f>
        <v>-157</v>
      </c>
      <c r="CT20" s="839">
        <f t="shared" si="64"/>
        <v>-98</v>
      </c>
      <c r="CU20" s="268">
        <v>-137.0</v>
      </c>
      <c r="CV20" s="268">
        <f>-489-CU20</f>
        <v>-352</v>
      </c>
      <c r="CW20" s="837">
        <f>-640-CV20-CU20</f>
        <v>-151</v>
      </c>
      <c r="CX20" s="837">
        <f>-764-CW20-CV20-CU20</f>
        <v>-124</v>
      </c>
      <c r="CY20" s="839">
        <f t="shared" si="65"/>
        <v>-764</v>
      </c>
      <c r="CZ20" s="844">
        <v>-57.0</v>
      </c>
      <c r="DA20" s="837">
        <f>-104-CZ20</f>
        <v>-47</v>
      </c>
      <c r="DB20" s="840">
        <f>-118-DA20-CZ20</f>
        <v>-14</v>
      </c>
      <c r="DC20" s="268">
        <f>119-DB20-DA20-CZ20</f>
        <v>237</v>
      </c>
      <c r="DD20" s="839">
        <f t="shared" si="66"/>
        <v>119</v>
      </c>
      <c r="DE20" s="844">
        <v>-232.0</v>
      </c>
      <c r="DF20" s="837">
        <f>-760-DE20</f>
        <v>-528</v>
      </c>
      <c r="DG20" s="840">
        <f>-1245-(DE20+DF20)</f>
        <v>-485</v>
      </c>
      <c r="DH20" s="268">
        <f>-1300-DG20-DF20-DE20</f>
        <v>-55</v>
      </c>
      <c r="DI20" s="839">
        <f t="shared" si="67"/>
        <v>-1300</v>
      </c>
      <c r="DJ20" s="840">
        <v>-96.0</v>
      </c>
      <c r="DK20" s="840">
        <f>-303-DJ20</f>
        <v>-207</v>
      </c>
      <c r="DL20" s="840">
        <f>-362-DK20-DJ20</f>
        <v>-59</v>
      </c>
      <c r="DM20" s="840">
        <f>+BS!DL19-BS!DM19</f>
        <v>148</v>
      </c>
      <c r="DN20" s="839">
        <f t="shared" si="68"/>
        <v>-214</v>
      </c>
      <c r="DO20" s="840">
        <f>+BS!DM19-BS!DO19</f>
        <v>-512</v>
      </c>
      <c r="DP20" s="840">
        <f>-1443-DO20</f>
        <v>-931</v>
      </c>
      <c r="DQ20" s="840">
        <f>-1376-SUM(DO20:DP20)</f>
        <v>67</v>
      </c>
      <c r="DR20" s="840">
        <f>-1481-SUM(DO20:DQ20)</f>
        <v>-105</v>
      </c>
      <c r="DS20" s="839">
        <f t="shared" si="69"/>
        <v>-1481</v>
      </c>
      <c r="DT20" s="840">
        <v>-548.0</v>
      </c>
      <c r="DU20" s="840">
        <f>-271-DT20</f>
        <v>277</v>
      </c>
      <c r="DV20" s="840">
        <f>-570-SUM(DT20:DU20)</f>
        <v>-299</v>
      </c>
      <c r="DW20" s="840">
        <f>-687-SUM(DT20:DV20)</f>
        <v>-117</v>
      </c>
      <c r="DX20" s="839">
        <f t="shared" si="70"/>
        <v>-687</v>
      </c>
      <c r="DY20" s="840">
        <v>180.0</v>
      </c>
      <c r="DZ20" s="840">
        <f>-126-DY20</f>
        <v>-306</v>
      </c>
      <c r="EA20" s="840">
        <f>-1212-SUM(DY20:DZ20)</f>
        <v>-1086</v>
      </c>
      <c r="EB20" s="840">
        <f>-2339-SUM(DY20:EA20)</f>
        <v>-1127</v>
      </c>
      <c r="EC20" s="839">
        <f t="shared" si="71"/>
        <v>-2339</v>
      </c>
      <c r="ED20" s="840">
        <v>-1147.0</v>
      </c>
      <c r="EE20" s="840">
        <f>-1386-ED20</f>
        <v>-239</v>
      </c>
      <c r="EF20" s="840">
        <f>-2043-EE20-ED20</f>
        <v>-657</v>
      </c>
      <c r="EG20" s="840">
        <f>-2436-EF20-EE20-ED20</f>
        <v>-393</v>
      </c>
      <c r="EH20" s="839">
        <f t="shared" si="72"/>
        <v>-2436</v>
      </c>
      <c r="EI20" s="841" t="str">
        <f>+BS!EG19-BS!EI19</f>
        <v>#ERROR!</v>
      </c>
      <c r="EJ20" s="837" t="str">
        <f>+BS!EI19-BS!EJ19</f>
        <v>#ERROR!</v>
      </c>
      <c r="EK20" s="837" t="str">
        <f>+BS!EJ19-BS!EK19</f>
        <v>#ERROR!</v>
      </c>
      <c r="EL20" s="837" t="str">
        <f>+BS!EK19-BS!EL19</f>
        <v>#ERROR!</v>
      </c>
      <c r="EM20" s="839" t="str">
        <f t="shared" si="73"/>
        <v>#ERROR!</v>
      </c>
      <c r="EN20" s="837" t="str">
        <f>+BS!EL19-BS!EN19</f>
        <v>#ERROR!</v>
      </c>
      <c r="EO20" s="837" t="str">
        <f>+BS!EN19-BS!EO19</f>
        <v>#ERROR!</v>
      </c>
      <c r="EP20" s="837" t="str">
        <f>+BS!EO19-BS!EP19</f>
        <v>#ERROR!</v>
      </c>
      <c r="EQ20" s="837" t="str">
        <f>+BS!EP19-BS!EQ19</f>
        <v>#ERROR!</v>
      </c>
      <c r="ER20" s="839" t="str">
        <f t="shared" si="74"/>
        <v>#ERROR!</v>
      </c>
      <c r="ES20" s="837" t="str">
        <f>+BS!EQ19-BS!ES19</f>
        <v>#ERROR!</v>
      </c>
      <c r="ET20" s="837" t="str">
        <f>+BS!ES19-BS!ET19</f>
        <v>#ERROR!</v>
      </c>
      <c r="EU20" s="837" t="str">
        <f>+BS!ET19-BS!EU19</f>
        <v>#ERROR!</v>
      </c>
      <c r="EV20" s="837" t="str">
        <f>+BS!EU19-BS!EV19</f>
        <v>#ERROR!</v>
      </c>
      <c r="EW20" s="839" t="str">
        <f t="shared" si="75"/>
        <v>#ERROR!</v>
      </c>
      <c r="EX20" s="837" t="str">
        <f>+BS!EV19-BS!EX19</f>
        <v>#ERROR!</v>
      </c>
      <c r="EY20" s="837" t="str">
        <f>+BS!EX19-BS!EY19</f>
        <v>#ERROR!</v>
      </c>
      <c r="EZ20" s="837" t="str">
        <f>+BS!EY19-BS!EZ19</f>
        <v>#ERROR!</v>
      </c>
      <c r="FA20" s="837" t="str">
        <f>+BS!EZ19-BS!FA19</f>
        <v>#ERROR!</v>
      </c>
      <c r="FB20" s="839" t="str">
        <f t="shared" si="76"/>
        <v>#ERROR!</v>
      </c>
      <c r="FC20" s="837" t="str">
        <f>+BS!FA19-BS!FC19</f>
        <v>#ERROR!</v>
      </c>
      <c r="FD20" s="837" t="str">
        <f>+BS!FC19-BS!FD19</f>
        <v>#ERROR!</v>
      </c>
      <c r="FE20" s="837" t="str">
        <f>+BS!FD19-BS!FE19</f>
        <v>#ERROR!</v>
      </c>
      <c r="FF20" s="837" t="str">
        <f>+BS!FE19-BS!FF19</f>
        <v>#ERROR!</v>
      </c>
      <c r="FG20" s="839" t="str">
        <f t="shared" si="77"/>
        <v>#ERROR!</v>
      </c>
    </row>
    <row r="21" ht="12.75" customHeight="1">
      <c r="A21" s="128"/>
      <c r="B21" s="180"/>
      <c r="C21" s="180"/>
      <c r="D21" s="180"/>
      <c r="E21" s="180"/>
      <c r="F21" s="180"/>
      <c r="G21" s="180"/>
      <c r="H21" s="180"/>
      <c r="I21" s="180"/>
      <c r="J21" s="180"/>
      <c r="K21" s="180"/>
      <c r="L21" s="180"/>
      <c r="M21" s="180"/>
      <c r="N21" s="837"/>
      <c r="O21" s="837"/>
      <c r="P21" s="837"/>
      <c r="Q21" s="837"/>
      <c r="R21" s="838"/>
      <c r="S21" s="837"/>
      <c r="T21" s="837"/>
      <c r="U21" s="837"/>
      <c r="V21" s="837"/>
      <c r="W21" s="838"/>
      <c r="X21" s="837"/>
      <c r="Y21" s="837"/>
      <c r="Z21" s="837"/>
      <c r="AA21" s="837"/>
      <c r="AB21" s="838"/>
      <c r="AC21" s="837"/>
      <c r="AD21" s="837"/>
      <c r="AE21" s="837"/>
      <c r="AF21" s="837"/>
      <c r="AG21" s="838"/>
      <c r="AH21" s="837"/>
      <c r="AI21" s="837"/>
      <c r="AJ21" s="837"/>
      <c r="AK21" s="837"/>
      <c r="AL21" s="838"/>
      <c r="AM21" s="837"/>
      <c r="AN21" s="837"/>
      <c r="AO21" s="837"/>
      <c r="AP21" s="837"/>
      <c r="AQ21" s="838"/>
      <c r="AR21" s="837"/>
      <c r="AS21" s="837"/>
      <c r="AT21" s="837"/>
      <c r="AU21" s="837"/>
      <c r="AV21" s="838"/>
      <c r="AW21" s="837"/>
      <c r="AX21" s="837"/>
      <c r="AY21" s="837"/>
      <c r="AZ21" s="837"/>
      <c r="BA21" s="838"/>
      <c r="BB21" s="837"/>
      <c r="BC21" s="837"/>
      <c r="BD21" s="837"/>
      <c r="BE21" s="837"/>
      <c r="BF21" s="838"/>
      <c r="BG21" s="837"/>
      <c r="BH21" s="837"/>
      <c r="BI21" s="837"/>
      <c r="BJ21" s="837"/>
      <c r="BK21" s="838"/>
      <c r="BL21" s="837"/>
      <c r="BM21" s="837"/>
      <c r="BN21" s="837"/>
      <c r="BO21" s="837"/>
      <c r="BP21" s="838"/>
      <c r="BQ21" s="837"/>
      <c r="BR21" s="837"/>
      <c r="BS21" s="837"/>
      <c r="BT21" s="837"/>
      <c r="BU21" s="838"/>
      <c r="BV21" s="837"/>
      <c r="BW21" s="837"/>
      <c r="BX21" s="837"/>
      <c r="BY21" s="837"/>
      <c r="BZ21" s="838"/>
      <c r="CA21" s="837"/>
      <c r="CB21" s="837"/>
      <c r="CC21" s="837"/>
      <c r="CD21" s="837"/>
      <c r="CE21" s="838"/>
      <c r="CF21" s="837"/>
      <c r="CG21" s="837"/>
      <c r="CH21" s="837"/>
      <c r="CI21" s="837"/>
      <c r="CJ21" s="838"/>
      <c r="CK21" s="837"/>
      <c r="CL21" s="837"/>
      <c r="CM21" s="837"/>
      <c r="CN21" s="268">
        <f t="shared" ref="CN21:CN22" si="94">271-CM21-CL21-CK21</f>
        <v>271</v>
      </c>
      <c r="CO21" s="838"/>
      <c r="CP21" s="837"/>
      <c r="CQ21" s="837"/>
      <c r="CR21" s="837"/>
      <c r="CS21" s="837"/>
      <c r="CT21" s="839"/>
      <c r="CU21" s="268"/>
      <c r="CV21" s="268"/>
      <c r="CW21" s="837"/>
      <c r="CX21" s="837"/>
      <c r="CY21" s="839"/>
      <c r="CZ21" s="844"/>
      <c r="DA21" s="837"/>
      <c r="DB21" s="840"/>
      <c r="DC21" s="268"/>
      <c r="DD21" s="839"/>
      <c r="DE21" s="844"/>
      <c r="DF21" s="837"/>
      <c r="DG21" s="840"/>
      <c r="DH21" s="268"/>
      <c r="DI21" s="839"/>
      <c r="DJ21" s="840"/>
      <c r="DK21" s="840"/>
      <c r="DL21" s="840"/>
      <c r="DM21" s="840"/>
      <c r="DN21" s="839"/>
      <c r="DO21" s="840"/>
      <c r="DP21" s="840"/>
      <c r="DQ21" s="840"/>
      <c r="DR21" s="840"/>
      <c r="DS21" s="839"/>
      <c r="DT21" s="840"/>
      <c r="DU21" s="840"/>
      <c r="DV21" s="840"/>
      <c r="DW21" s="840"/>
      <c r="DX21" s="839"/>
      <c r="DY21" s="840"/>
      <c r="DZ21" s="840"/>
      <c r="EA21" s="840"/>
      <c r="EB21" s="840"/>
      <c r="EC21" s="839"/>
      <c r="ED21" s="840"/>
      <c r="EE21" s="840"/>
      <c r="EF21" s="840"/>
      <c r="EG21" s="840"/>
      <c r="EH21" s="839"/>
      <c r="EI21" s="841"/>
      <c r="EJ21" s="837"/>
      <c r="EK21" s="837"/>
      <c r="EL21" s="837"/>
      <c r="EM21" s="839"/>
      <c r="EN21" s="837"/>
      <c r="EO21" s="837"/>
      <c r="EP21" s="837"/>
      <c r="EQ21" s="837"/>
      <c r="ER21" s="839"/>
      <c r="ES21" s="837"/>
      <c r="ET21" s="837"/>
      <c r="EU21" s="837"/>
      <c r="EV21" s="837"/>
      <c r="EW21" s="839"/>
      <c r="EX21" s="837"/>
      <c r="EY21" s="837"/>
      <c r="EZ21" s="837"/>
      <c r="FA21" s="837"/>
      <c r="FB21" s="839"/>
      <c r="FC21" s="837"/>
      <c r="FD21" s="837"/>
      <c r="FE21" s="837"/>
      <c r="FF21" s="837"/>
      <c r="FG21" s="839"/>
    </row>
    <row r="22" ht="12.75" customHeight="1">
      <c r="A22" s="128"/>
      <c r="B22" s="180"/>
      <c r="C22" s="180"/>
      <c r="D22" s="180"/>
      <c r="E22" s="180"/>
      <c r="F22" s="180"/>
      <c r="G22" s="180"/>
      <c r="H22" s="180"/>
      <c r="I22" s="180"/>
      <c r="J22" s="180"/>
      <c r="K22" s="180"/>
      <c r="L22" s="180"/>
      <c r="M22" s="180"/>
      <c r="N22" s="837"/>
      <c r="O22" s="837"/>
      <c r="P22" s="837"/>
      <c r="Q22" s="837"/>
      <c r="R22" s="838"/>
      <c r="S22" s="837"/>
      <c r="T22" s="837"/>
      <c r="U22" s="837"/>
      <c r="V22" s="837"/>
      <c r="W22" s="838"/>
      <c r="X22" s="837"/>
      <c r="Y22" s="837"/>
      <c r="Z22" s="837"/>
      <c r="AA22" s="837"/>
      <c r="AB22" s="838"/>
      <c r="AC22" s="837"/>
      <c r="AD22" s="837"/>
      <c r="AE22" s="837"/>
      <c r="AF22" s="837"/>
      <c r="AG22" s="838"/>
      <c r="AH22" s="837"/>
      <c r="AI22" s="837"/>
      <c r="AJ22" s="837"/>
      <c r="AK22" s="837"/>
      <c r="AL22" s="838"/>
      <c r="AM22" s="837"/>
      <c r="AN22" s="837"/>
      <c r="AO22" s="837"/>
      <c r="AP22" s="837"/>
      <c r="AQ22" s="838"/>
      <c r="AR22" s="837"/>
      <c r="AS22" s="837"/>
      <c r="AT22" s="837"/>
      <c r="AU22" s="837"/>
      <c r="AV22" s="838"/>
      <c r="AW22" s="837"/>
      <c r="AX22" s="837"/>
      <c r="AY22" s="837"/>
      <c r="AZ22" s="837"/>
      <c r="BA22" s="838"/>
      <c r="BB22" s="837"/>
      <c r="BC22" s="837"/>
      <c r="BD22" s="837"/>
      <c r="BE22" s="837"/>
      <c r="BF22" s="838"/>
      <c r="BG22" s="837"/>
      <c r="BH22" s="837"/>
      <c r="BI22" s="837"/>
      <c r="BJ22" s="837"/>
      <c r="BK22" s="838"/>
      <c r="BL22" s="837"/>
      <c r="BM22" s="837"/>
      <c r="BN22" s="837"/>
      <c r="BO22" s="837"/>
      <c r="BP22" s="838"/>
      <c r="BQ22" s="837"/>
      <c r="BR22" s="837"/>
      <c r="BS22" s="837"/>
      <c r="BT22" s="837"/>
      <c r="BU22" s="838"/>
      <c r="BV22" s="837"/>
      <c r="BW22" s="837"/>
      <c r="BX22" s="837"/>
      <c r="BY22" s="837"/>
      <c r="BZ22" s="838"/>
      <c r="CA22" s="837"/>
      <c r="CB22" s="837"/>
      <c r="CC22" s="837"/>
      <c r="CD22" s="837"/>
      <c r="CE22" s="838"/>
      <c r="CF22" s="837"/>
      <c r="CG22" s="837"/>
      <c r="CH22" s="837"/>
      <c r="CI22" s="837"/>
      <c r="CJ22" s="838"/>
      <c r="CK22" s="837"/>
      <c r="CL22" s="837"/>
      <c r="CM22" s="837"/>
      <c r="CN22" s="268">
        <f t="shared" si="94"/>
        <v>271</v>
      </c>
      <c r="CO22" s="838"/>
      <c r="CP22" s="837"/>
      <c r="CQ22" s="837"/>
      <c r="CR22" s="837"/>
      <c r="CS22" s="837"/>
      <c r="CT22" s="839"/>
      <c r="CU22" s="268"/>
      <c r="CV22" s="268"/>
      <c r="CW22" s="837"/>
      <c r="CX22" s="837"/>
      <c r="CY22" s="839"/>
      <c r="CZ22" s="844"/>
      <c r="DA22" s="837"/>
      <c r="DB22" s="840"/>
      <c r="DC22" s="268"/>
      <c r="DD22" s="839"/>
      <c r="DE22" s="844"/>
      <c r="DF22" s="837"/>
      <c r="DG22" s="840"/>
      <c r="DH22" s="268"/>
      <c r="DI22" s="839"/>
      <c r="DJ22" s="840"/>
      <c r="DK22" s="840"/>
      <c r="DL22" s="840"/>
      <c r="DM22" s="840"/>
      <c r="DN22" s="839"/>
      <c r="DO22" s="840"/>
      <c r="DP22" s="840"/>
      <c r="DQ22" s="840"/>
      <c r="DR22" s="840"/>
      <c r="DS22" s="839"/>
      <c r="DT22" s="840"/>
      <c r="DU22" s="840"/>
      <c r="DV22" s="840"/>
      <c r="DW22" s="840"/>
      <c r="DX22" s="839"/>
      <c r="DY22" s="840"/>
      <c r="DZ22" s="840"/>
      <c r="EA22" s="840"/>
      <c r="EB22" s="840"/>
      <c r="EC22" s="839"/>
      <c r="ED22" s="840"/>
      <c r="EE22" s="840"/>
      <c r="EF22" s="840"/>
      <c r="EG22" s="840"/>
      <c r="EH22" s="839"/>
      <c r="EI22" s="841"/>
      <c r="EJ22" s="837"/>
      <c r="EK22" s="837"/>
      <c r="EL22" s="837"/>
      <c r="EM22" s="839"/>
      <c r="EN22" s="837"/>
      <c r="EO22" s="837"/>
      <c r="EP22" s="837"/>
      <c r="EQ22" s="837"/>
      <c r="ER22" s="839"/>
      <c r="ES22" s="837"/>
      <c r="ET22" s="837"/>
      <c r="EU22" s="837"/>
      <c r="EV22" s="837"/>
      <c r="EW22" s="839"/>
      <c r="EX22" s="837"/>
      <c r="EY22" s="837"/>
      <c r="EZ22" s="837"/>
      <c r="FA22" s="837"/>
      <c r="FB22" s="839"/>
      <c r="FC22" s="837"/>
      <c r="FD22" s="837"/>
      <c r="FE22" s="837"/>
      <c r="FF22" s="837"/>
      <c r="FG22" s="839"/>
    </row>
    <row r="23" ht="12.75" customHeight="1">
      <c r="A23" s="128"/>
      <c r="B23" s="180" t="s">
        <v>582</v>
      </c>
      <c r="C23" s="180"/>
      <c r="D23" s="180"/>
      <c r="E23" s="180"/>
      <c r="F23" s="180"/>
      <c r="G23" s="180"/>
      <c r="H23" s="180"/>
      <c r="I23" s="180"/>
      <c r="J23" s="180"/>
      <c r="K23" s="180"/>
      <c r="L23" s="180"/>
      <c r="M23" s="180"/>
      <c r="N23" s="837">
        <v>-100.0</v>
      </c>
      <c r="O23" s="837">
        <f>-332-N23</f>
        <v>-232</v>
      </c>
      <c r="P23" s="837">
        <f>-219-O23-N23</f>
        <v>113</v>
      </c>
      <c r="Q23" s="837">
        <f>-180-P23-O23-N23</f>
        <v>39</v>
      </c>
      <c r="R23" s="838">
        <f t="shared" ref="R23:R26" si="95">+SUM(N23:Q23)</f>
        <v>-180</v>
      </c>
      <c r="S23" s="837">
        <v>202.0</v>
      </c>
      <c r="T23" s="837">
        <f>107-S23</f>
        <v>-95</v>
      </c>
      <c r="U23" s="837">
        <f>288-T23-S23</f>
        <v>181</v>
      </c>
      <c r="V23" s="837">
        <f t="shared" ref="V23:V26" si="96">W23-S23-T23-U23</f>
        <v>-209</v>
      </c>
      <c r="W23" s="838">
        <v>79.0</v>
      </c>
      <c r="X23" s="837">
        <v>370.0</v>
      </c>
      <c r="Y23" s="837">
        <f>572-X23</f>
        <v>202</v>
      </c>
      <c r="Z23" s="837">
        <f>958-Y23-X23</f>
        <v>386</v>
      </c>
      <c r="AA23" s="837">
        <f t="shared" ref="AA23:AA26" si="97">AB23-X23-Y23-Z23</f>
        <v>20</v>
      </c>
      <c r="AB23" s="838">
        <v>978.0</v>
      </c>
      <c r="AC23" s="837">
        <v>-68.0</v>
      </c>
      <c r="AD23" s="837">
        <f>-412-AC23</f>
        <v>-344</v>
      </c>
      <c r="AE23" s="837">
        <v>-238.0</v>
      </c>
      <c r="AF23" s="837">
        <f t="shared" ref="AF23:AF26" si="98">AG23-AE23-AD23-AC23</f>
        <v>-23</v>
      </c>
      <c r="AG23" s="838">
        <v>-673.0</v>
      </c>
      <c r="AH23" s="837">
        <f>+BS!AH39-BS!AF39</f>
        <v>156</v>
      </c>
      <c r="AI23" s="837">
        <f>-111-AH23</f>
        <v>-267</v>
      </c>
      <c r="AJ23" s="837">
        <f>-148-AI23-AH23</f>
        <v>-37</v>
      </c>
      <c r="AK23" s="837">
        <f t="shared" ref="AK23:AK26" si="99">AL23-SUM(AH23:AJ23)</f>
        <v>-78</v>
      </c>
      <c r="AL23" s="838">
        <v>-226.0</v>
      </c>
      <c r="AM23" s="837">
        <v>88.0</v>
      </c>
      <c r="AN23" s="837">
        <f>60-AM23</f>
        <v>-28</v>
      </c>
      <c r="AO23" s="837">
        <f>113-AM23-AN23</f>
        <v>53</v>
      </c>
      <c r="AP23" s="837">
        <f t="shared" ref="AP23:AP26" si="100">AQ23-SUM(AM23:AO23)</f>
        <v>3</v>
      </c>
      <c r="AQ23" s="838">
        <v>116.0</v>
      </c>
      <c r="AR23" s="837">
        <v>-43.0</v>
      </c>
      <c r="AS23" s="837">
        <f>240-AR23</f>
        <v>283</v>
      </c>
      <c r="AT23" s="837">
        <f>235-AR23-AS23</f>
        <v>-5</v>
      </c>
      <c r="AU23" s="837">
        <f t="shared" ref="AU23:AU26" si="101">AV23-SUM(AR23:AT23)</f>
        <v>48</v>
      </c>
      <c r="AV23" s="838">
        <v>283.0</v>
      </c>
      <c r="AW23" s="837">
        <v>138.0</v>
      </c>
      <c r="AX23" s="837">
        <f>47-AW23</f>
        <v>-91</v>
      </c>
      <c r="AY23" s="837">
        <f>131-AW23-AX23</f>
        <v>84</v>
      </c>
      <c r="AZ23" s="837">
        <f t="shared" ref="AZ23:AZ26" si="102">BA23-SUM(AW23:AY23)</f>
        <v>172</v>
      </c>
      <c r="BA23" s="838">
        <v>303.0</v>
      </c>
      <c r="BB23" s="837">
        <v>162.0</v>
      </c>
      <c r="BC23" s="837">
        <f>229-BB23</f>
        <v>67</v>
      </c>
      <c r="BD23" s="837">
        <f>152-BB23-BC23</f>
        <v>-77</v>
      </c>
      <c r="BE23" s="837">
        <f t="shared" ref="BE23:BE26" si="103">BF23-SUM(BB23:BD23)</f>
        <v>-145</v>
      </c>
      <c r="BF23" s="838">
        <v>7.0</v>
      </c>
      <c r="BG23" s="837">
        <v>17.0</v>
      </c>
      <c r="BH23" s="837">
        <f>-77-BG23</f>
        <v>-94</v>
      </c>
      <c r="BI23" s="837">
        <f>80-BG23-BH23</f>
        <v>157</v>
      </c>
      <c r="BJ23" s="837">
        <f t="shared" ref="BJ23:BJ26" si="104">BK23-SUM(BG23:BI23)</f>
        <v>22</v>
      </c>
      <c r="BK23" s="838">
        <v>102.0</v>
      </c>
      <c r="BL23" s="837">
        <v>-23.0</v>
      </c>
      <c r="BM23" s="837">
        <f>18-BL23</f>
        <v>41</v>
      </c>
      <c r="BN23" s="837">
        <f>146-BL23-BM23</f>
        <v>128</v>
      </c>
      <c r="BO23" s="837">
        <f t="shared" ref="BO23:BO26" si="105">BP23-SUM(BL23:BN23)</f>
        <v>-117</v>
      </c>
      <c r="BP23" s="838">
        <v>29.0</v>
      </c>
      <c r="BQ23" s="837">
        <v>-721.0</v>
      </c>
      <c r="BR23" s="837">
        <f>-664-BQ23</f>
        <v>57</v>
      </c>
      <c r="BS23" s="837">
        <f>-482-BQ23-BR23</f>
        <v>182</v>
      </c>
      <c r="BT23" s="837">
        <f t="shared" ref="BT23:BT26" si="106">BU23-SUM(BQ23:BS23)</f>
        <v>-24</v>
      </c>
      <c r="BU23" s="838">
        <v>-506.0</v>
      </c>
      <c r="BV23" s="837">
        <v>29.0</v>
      </c>
      <c r="BW23" s="837">
        <f>243-BV23</f>
        <v>214</v>
      </c>
      <c r="BX23" s="837">
        <f>20-BV23-BW23</f>
        <v>-223</v>
      </c>
      <c r="BY23" s="837">
        <f t="shared" ref="BY23:BY26" si="107">BZ23-SUM(BV23:BX23)</f>
        <v>387</v>
      </c>
      <c r="BZ23" s="838">
        <v>407.0</v>
      </c>
      <c r="CA23" s="837">
        <v>404.0</v>
      </c>
      <c r="CB23" s="837">
        <f>388-CA23</f>
        <v>-16</v>
      </c>
      <c r="CC23" s="837">
        <f>645-CA23-CB23</f>
        <v>257</v>
      </c>
      <c r="CD23" s="837">
        <f t="shared" ref="CD23:CD26" si="108">CE23-SUM(CA23:CC23)</f>
        <v>-49</v>
      </c>
      <c r="CE23" s="838">
        <v>596.0</v>
      </c>
      <c r="CF23" s="837">
        <v>37.0</v>
      </c>
      <c r="CG23" s="837">
        <f>312-CF23</f>
        <v>275</v>
      </c>
      <c r="CH23" s="837">
        <f>232-CF23-CG23</f>
        <v>-80</v>
      </c>
      <c r="CI23" s="837">
        <f t="shared" ref="CI23:CI26" si="109">CJ23-SUM(CF23:CH23)</f>
        <v>-165</v>
      </c>
      <c r="CJ23" s="838">
        <v>67.0</v>
      </c>
      <c r="CK23" s="837">
        <v>-17.0</v>
      </c>
      <c r="CL23" s="837">
        <f>184-CK23</f>
        <v>201</v>
      </c>
      <c r="CM23" s="837">
        <f>312-CL23-CK23</f>
        <v>128</v>
      </c>
      <c r="CN23" s="268">
        <f>267-CM23-CL23-CK23</f>
        <v>-45</v>
      </c>
      <c r="CO23" s="838">
        <f t="shared" ref="CO23:CO26" si="110">SUM(CK23:CN23)</f>
        <v>267</v>
      </c>
      <c r="CP23" s="837">
        <v>-95.0</v>
      </c>
      <c r="CQ23" s="837">
        <f>-103-CP23</f>
        <v>-8</v>
      </c>
      <c r="CR23" s="837">
        <f>-292-CQ23-CP23</f>
        <v>-189</v>
      </c>
      <c r="CS23" s="837">
        <f>-249-CR23-CQ23-CP23</f>
        <v>43</v>
      </c>
      <c r="CT23" s="839">
        <f t="shared" ref="CT23:CT26" si="111">SUM(CP23:CS23)</f>
        <v>-249</v>
      </c>
      <c r="CU23" s="268">
        <v>-71.0</v>
      </c>
      <c r="CV23" s="268">
        <f>-304-CU23</f>
        <v>-233</v>
      </c>
      <c r="CW23" s="837">
        <f>-86-CV23-CU23</f>
        <v>218</v>
      </c>
      <c r="CX23" s="837">
        <f>-312-CW23-CV23-CU23</f>
        <v>-226</v>
      </c>
      <c r="CY23" s="839">
        <f t="shared" ref="CY23:CY26" si="112">SUM(CU23:CX23)</f>
        <v>-312</v>
      </c>
      <c r="CZ23" s="844">
        <v>434.0</v>
      </c>
      <c r="DA23" s="837">
        <f>375-CZ23</f>
        <v>-59</v>
      </c>
      <c r="DB23" s="840">
        <f>188-DA23-CZ23</f>
        <v>-187</v>
      </c>
      <c r="DC23" s="268">
        <f>182-DB23-DA23-CZ23</f>
        <v>-6</v>
      </c>
      <c r="DD23" s="839">
        <f t="shared" ref="DD23:DD26" si="113">SUM(CZ23:DC23)</f>
        <v>182</v>
      </c>
      <c r="DE23" s="844">
        <v>188.0</v>
      </c>
      <c r="DF23" s="837">
        <f>425-DE23</f>
        <v>237</v>
      </c>
      <c r="DG23" s="840">
        <f>171-DE23-DF23</f>
        <v>-254</v>
      </c>
      <c r="DH23" s="268">
        <f>191-DG23-DF23-DE23</f>
        <v>20</v>
      </c>
      <c r="DI23" s="839">
        <f t="shared" ref="DI23:DI26" si="114">SUM(DE23:DH23)</f>
        <v>191</v>
      </c>
      <c r="DJ23" s="840">
        <v>73.0</v>
      </c>
      <c r="DK23" s="840">
        <f>274-DJ23</f>
        <v>201</v>
      </c>
      <c r="DL23" s="840">
        <f>430-DK23-DJ23</f>
        <v>156</v>
      </c>
      <c r="DM23" s="840">
        <f>211-SUM(DJ23:DL23)</f>
        <v>-219</v>
      </c>
      <c r="DN23" s="839">
        <f t="shared" ref="DN23:DN26" si="115">SUM(DJ23:DM23)</f>
        <v>211</v>
      </c>
      <c r="DO23" s="840">
        <v>196.0</v>
      </c>
      <c r="DP23" s="840">
        <f>431-DO23</f>
        <v>235</v>
      </c>
      <c r="DQ23" s="840">
        <f>728-SUM(DO23:DP23)</f>
        <v>297</v>
      </c>
      <c r="DR23" s="840">
        <f>696-SUM(DO23:DQ23)</f>
        <v>-32</v>
      </c>
      <c r="DS23" s="839">
        <f t="shared" ref="DS23:DS26" si="116">SUM(DO23:DR23)</f>
        <v>696</v>
      </c>
      <c r="DT23" s="840">
        <v>117.0</v>
      </c>
      <c r="DU23" s="840">
        <f>208-DT23</f>
        <v>91</v>
      </c>
      <c r="DV23" s="840">
        <f>355-SUM(DT23:DU23)</f>
        <v>147</v>
      </c>
      <c r="DW23" s="840">
        <f>412-SUM(DT23:DV23)</f>
        <v>57</v>
      </c>
      <c r="DX23" s="839">
        <f t="shared" ref="DX23:DX26" si="117">SUM(DT23:DW23)</f>
        <v>412</v>
      </c>
      <c r="DY23" s="840">
        <v>303.0</v>
      </c>
      <c r="DZ23" s="840">
        <f>425-DY23</f>
        <v>122</v>
      </c>
      <c r="EA23" s="840">
        <f>1095-SUM(DY23:DZ23)</f>
        <v>670</v>
      </c>
      <c r="EB23" s="840">
        <f>1190-SUM(DY23:EA23)</f>
        <v>95</v>
      </c>
      <c r="EC23" s="839">
        <f t="shared" ref="EC23:EC26" si="118">SUM(DY23:EB23)</f>
        <v>1190</v>
      </c>
      <c r="ED23" s="840">
        <v>-128.0</v>
      </c>
      <c r="EE23" s="840">
        <f>117-ED23</f>
        <v>245</v>
      </c>
      <c r="EF23" s="840">
        <f>-485-EE23-ED23</f>
        <v>-602</v>
      </c>
      <c r="EG23" s="840">
        <f>-29-EF23-EE23-ED23</f>
        <v>456</v>
      </c>
      <c r="EH23" s="839">
        <f t="shared" ref="EH23:EH26" si="119">SUM(ED23:EG23)</f>
        <v>-29</v>
      </c>
      <c r="EI23" s="841" t="str">
        <f>+BS!EI39-BS!EG39</f>
        <v>#ERROR!</v>
      </c>
      <c r="EJ23" s="837" t="str">
        <f>+BS!EJ39-BS!EI39</f>
        <v>#ERROR!</v>
      </c>
      <c r="EK23" s="837" t="str">
        <f>+BS!EK39-BS!EJ39</f>
        <v>#ERROR!</v>
      </c>
      <c r="EL23" s="837" t="str">
        <f>+BS!EL39-BS!EK39</f>
        <v>#ERROR!</v>
      </c>
      <c r="EM23" s="839" t="str">
        <f t="shared" ref="EM23:EM26" si="120">SUM(EI23:EL23)</f>
        <v>#ERROR!</v>
      </c>
      <c r="EN23" s="837" t="str">
        <f>+BS!EN39-BS!EL39</f>
        <v>#ERROR!</v>
      </c>
      <c r="EO23" s="837" t="str">
        <f>+BS!EO39-BS!EN39</f>
        <v>#ERROR!</v>
      </c>
      <c r="EP23" s="837" t="str">
        <f>+BS!EP39-BS!EO39</f>
        <v>#ERROR!</v>
      </c>
      <c r="EQ23" s="837" t="str">
        <f>+BS!EQ39-BS!EP39</f>
        <v>#ERROR!</v>
      </c>
      <c r="ER23" s="839" t="str">
        <f t="shared" ref="ER23:ER26" si="121">SUM(EN23:EQ23)</f>
        <v>#ERROR!</v>
      </c>
      <c r="ES23" s="837" t="str">
        <f>+BS!ES39-BS!EQ39</f>
        <v>#ERROR!</v>
      </c>
      <c r="ET23" s="837" t="str">
        <f>+BS!ET39-BS!ES39</f>
        <v>#ERROR!</v>
      </c>
      <c r="EU23" s="837" t="str">
        <f>+BS!EU39-BS!ET39</f>
        <v>#ERROR!</v>
      </c>
      <c r="EV23" s="837" t="str">
        <f>+BS!EV39-BS!EU39</f>
        <v>#ERROR!</v>
      </c>
      <c r="EW23" s="839" t="str">
        <f t="shared" ref="EW23:EW26" si="122">SUM(ES23:EV23)</f>
        <v>#ERROR!</v>
      </c>
      <c r="EX23" s="837" t="str">
        <f>+BS!EX39-BS!EV39</f>
        <v>#ERROR!</v>
      </c>
      <c r="EY23" s="837" t="str">
        <f>+BS!EY39-BS!EX39</f>
        <v>#ERROR!</v>
      </c>
      <c r="EZ23" s="837" t="str">
        <f>+BS!EZ39-BS!EY39</f>
        <v>#ERROR!</v>
      </c>
      <c r="FA23" s="837" t="str">
        <f>+BS!FA39-BS!EZ39</f>
        <v>#ERROR!</v>
      </c>
      <c r="FB23" s="839" t="str">
        <f t="shared" ref="FB23:FB26" si="123">SUM(EX23:FA23)</f>
        <v>#ERROR!</v>
      </c>
      <c r="FC23" s="837" t="str">
        <f>+BS!FC39-BS!FA39</f>
        <v>#ERROR!</v>
      </c>
      <c r="FD23" s="837" t="str">
        <f>+BS!FD39-BS!FC39</f>
        <v>#ERROR!</v>
      </c>
      <c r="FE23" s="837" t="str">
        <f>+BS!FE39-BS!FD39</f>
        <v>#ERROR!</v>
      </c>
      <c r="FF23" s="837" t="str">
        <f>+BS!FF39-BS!FE39</f>
        <v>#ERROR!</v>
      </c>
      <c r="FG23" s="839" t="str">
        <f t="shared" ref="FG23:FG26" si="124">SUM(FC23:FF23)</f>
        <v>#ERROR!</v>
      </c>
    </row>
    <row r="24" ht="12.75" customHeight="1">
      <c r="A24" s="128"/>
      <c r="B24" s="180" t="s">
        <v>532</v>
      </c>
      <c r="C24" s="180"/>
      <c r="D24" s="180"/>
      <c r="E24" s="180"/>
      <c r="F24" s="180"/>
      <c r="G24" s="180"/>
      <c r="H24" s="180"/>
      <c r="I24" s="180"/>
      <c r="J24" s="180"/>
      <c r="K24" s="180"/>
      <c r="L24" s="180"/>
      <c r="M24" s="180"/>
      <c r="N24" s="837">
        <v>-529.0</v>
      </c>
      <c r="O24" s="837">
        <f>+-385-N24</f>
        <v>144</v>
      </c>
      <c r="P24" s="837">
        <f>-234-O24-N24</f>
        <v>151</v>
      </c>
      <c r="Q24" s="837">
        <f>17-P24-O24-N24</f>
        <v>251</v>
      </c>
      <c r="R24" s="838">
        <f t="shared" si="95"/>
        <v>17</v>
      </c>
      <c r="S24" s="837">
        <v>-498.0</v>
      </c>
      <c r="T24" s="837">
        <f>-333-S24</f>
        <v>165</v>
      </c>
      <c r="U24" s="837">
        <f>-140-T24-S24</f>
        <v>193</v>
      </c>
      <c r="V24" s="837">
        <f t="shared" si="96"/>
        <v>267</v>
      </c>
      <c r="W24" s="838">
        <v>127.0</v>
      </c>
      <c r="X24" s="837">
        <v>-681.0</v>
      </c>
      <c r="Y24" s="837">
        <f>-260-X24</f>
        <v>421</v>
      </c>
      <c r="Z24" s="837">
        <f>-82-Y24-X24</f>
        <v>178</v>
      </c>
      <c r="AA24" s="837">
        <f t="shared" si="97"/>
        <v>313</v>
      </c>
      <c r="AB24" s="838">
        <v>231.0</v>
      </c>
      <c r="AC24" s="837">
        <v>-929.0</v>
      </c>
      <c r="AD24" s="837">
        <f>-769-AC24</f>
        <v>160</v>
      </c>
      <c r="AE24" s="837">
        <v>-34.0</v>
      </c>
      <c r="AF24" s="837">
        <f t="shared" si="98"/>
        <v>279</v>
      </c>
      <c r="AG24" s="838">
        <v>-524.0</v>
      </c>
      <c r="AH24" s="837">
        <v>-493.0</v>
      </c>
      <c r="AI24" s="837">
        <f>-287-AH24</f>
        <v>206</v>
      </c>
      <c r="AJ24" s="837">
        <f>-147-AI24-AH24</f>
        <v>140</v>
      </c>
      <c r="AK24" s="837">
        <f t="shared" si="99"/>
        <v>254</v>
      </c>
      <c r="AL24" s="838">
        <v>107.0</v>
      </c>
      <c r="AM24" s="837">
        <v>-461.0</v>
      </c>
      <c r="AN24" s="837">
        <f>-203-AM24</f>
        <v>258</v>
      </c>
      <c r="AO24" s="837">
        <f>-58-AM24-AN24</f>
        <v>145</v>
      </c>
      <c r="AP24" s="837">
        <f t="shared" si="100"/>
        <v>334</v>
      </c>
      <c r="AQ24" s="838">
        <v>276.0</v>
      </c>
      <c r="AR24" s="837">
        <v>-610.0</v>
      </c>
      <c r="AS24" s="837">
        <f>-275-AR24</f>
        <v>335</v>
      </c>
      <c r="AT24" s="837">
        <f>-163-AR24-AS24</f>
        <v>112</v>
      </c>
      <c r="AU24" s="837">
        <f t="shared" si="101"/>
        <v>458</v>
      </c>
      <c r="AV24" s="838">
        <v>295.0</v>
      </c>
      <c r="AW24" s="837">
        <v>-683.0</v>
      </c>
      <c r="AX24" s="837">
        <f>-370-AW24</f>
        <v>313</v>
      </c>
      <c r="AY24" s="837">
        <f>-105-AW24-AX24</f>
        <v>265</v>
      </c>
      <c r="AZ24" s="837">
        <f t="shared" si="102"/>
        <v>401</v>
      </c>
      <c r="BA24" s="838">
        <v>296.0</v>
      </c>
      <c r="BB24" s="837">
        <v>-927.0</v>
      </c>
      <c r="BC24" s="837">
        <f>-641-BB24</f>
        <v>286</v>
      </c>
      <c r="BD24" s="837">
        <f>0-BB24-BC24</f>
        <v>641</v>
      </c>
      <c r="BE24" s="837">
        <f t="shared" si="103"/>
        <v>0</v>
      </c>
      <c r="BF24" s="838">
        <v>0.0</v>
      </c>
      <c r="BG24" s="837">
        <v>-723.0</v>
      </c>
      <c r="BH24" s="837">
        <f>-367-BG24</f>
        <v>356</v>
      </c>
      <c r="BI24" s="837">
        <f>-197-BG24-BH24</f>
        <v>170</v>
      </c>
      <c r="BJ24" s="837">
        <f t="shared" si="104"/>
        <v>197</v>
      </c>
      <c r="BK24" s="838">
        <v>0.0</v>
      </c>
      <c r="BL24" s="837">
        <v>-1095.0</v>
      </c>
      <c r="BM24" s="837">
        <f>-785-BL24</f>
        <v>310</v>
      </c>
      <c r="BN24" s="837">
        <f>-624-BL24-BM24</f>
        <v>161</v>
      </c>
      <c r="BO24" s="837">
        <f t="shared" si="105"/>
        <v>55</v>
      </c>
      <c r="BP24" s="838">
        <v>-569.0</v>
      </c>
      <c r="BQ24" s="837">
        <f>-921</f>
        <v>-921</v>
      </c>
      <c r="BR24" s="837">
        <f>-695-BQ24</f>
        <v>226</v>
      </c>
      <c r="BS24" s="837">
        <f>-388-BQ24-BR24</f>
        <v>307</v>
      </c>
      <c r="BT24" s="837">
        <f t="shared" si="106"/>
        <v>635</v>
      </c>
      <c r="BU24" s="838">
        <v>247.0</v>
      </c>
      <c r="BV24" s="837">
        <v>-1095.0</v>
      </c>
      <c r="BW24" s="837">
        <f>-513-BV24</f>
        <v>582</v>
      </c>
      <c r="BX24" s="837">
        <f>-205-BV24-BW24</f>
        <v>308</v>
      </c>
      <c r="BY24" s="837">
        <f t="shared" si="107"/>
        <v>366</v>
      </c>
      <c r="BZ24" s="838">
        <v>161.0</v>
      </c>
      <c r="CA24" s="837">
        <v>-1401.0</v>
      </c>
      <c r="CB24" s="837">
        <f>-832-CA24</f>
        <v>569</v>
      </c>
      <c r="CC24" s="837">
        <f>-651-CA24-CB24</f>
        <v>181</v>
      </c>
      <c r="CD24" s="837">
        <f t="shared" si="108"/>
        <v>556</v>
      </c>
      <c r="CE24" s="838">
        <v>-95.0</v>
      </c>
      <c r="CF24" s="837">
        <v>-1450.0</v>
      </c>
      <c r="CG24" s="837">
        <f>-964-CF24</f>
        <v>486</v>
      </c>
      <c r="CH24" s="837">
        <f>-588-CF24-CG24</f>
        <v>376</v>
      </c>
      <c r="CI24" s="837">
        <f t="shared" si="109"/>
        <v>780</v>
      </c>
      <c r="CJ24" s="838">
        <v>192.0</v>
      </c>
      <c r="CK24" s="837">
        <v>-1370.0</v>
      </c>
      <c r="CL24" s="837">
        <f>-787-CK24</f>
        <v>583</v>
      </c>
      <c r="CM24" s="837">
        <f>-222-CL24-CK24</f>
        <v>565</v>
      </c>
      <c r="CN24" s="268">
        <f>155-CM24-CL24-CK24</f>
        <v>377</v>
      </c>
      <c r="CO24" s="838">
        <f t="shared" si="110"/>
        <v>155</v>
      </c>
      <c r="CP24" s="837">
        <v>-1229.0</v>
      </c>
      <c r="CQ24" s="837">
        <f>-813-CP24</f>
        <v>416</v>
      </c>
      <c r="CR24" s="837">
        <f>-408-CQ24-CP24</f>
        <v>405</v>
      </c>
      <c r="CS24" s="837">
        <f>4-CR24-CQ24-CP24</f>
        <v>412</v>
      </c>
      <c r="CT24" s="839">
        <f t="shared" si="111"/>
        <v>4</v>
      </c>
      <c r="CU24" s="268">
        <v>-1659.0</v>
      </c>
      <c r="CV24" s="268">
        <f>-1304-CU24</f>
        <v>355</v>
      </c>
      <c r="CW24" s="837">
        <f>-1217-CV24-CU24</f>
        <v>87</v>
      </c>
      <c r="CX24" s="837">
        <f>-711-CW24-CV24-CU24</f>
        <v>506</v>
      </c>
      <c r="CY24" s="839">
        <f t="shared" si="112"/>
        <v>-711</v>
      </c>
      <c r="CZ24" s="840">
        <v>-1307.0</v>
      </c>
      <c r="DA24" s="837">
        <f>-1659-CZ24</f>
        <v>-352</v>
      </c>
      <c r="DB24" s="840">
        <f>-1874-DA24-CZ24</f>
        <v>-215</v>
      </c>
      <c r="DC24" s="268">
        <f>-1595-DB24-DA24-CZ24</f>
        <v>279</v>
      </c>
      <c r="DD24" s="839">
        <f t="shared" si="113"/>
        <v>-1595</v>
      </c>
      <c r="DE24" s="844">
        <v>-1277.0</v>
      </c>
      <c r="DF24" s="837">
        <f>-1102-DE24</f>
        <v>175</v>
      </c>
      <c r="DG24" s="840">
        <f>-551-(DE24+DF24)</f>
        <v>551</v>
      </c>
      <c r="DH24" s="268">
        <f>-73-DG24-DF24-DE24</f>
        <v>478</v>
      </c>
      <c r="DI24" s="839">
        <f t="shared" si="114"/>
        <v>-73</v>
      </c>
      <c r="DJ24" s="840">
        <v>-1307.0</v>
      </c>
      <c r="DK24" s="840">
        <f>-884-DJ24</f>
        <v>423</v>
      </c>
      <c r="DL24" s="840">
        <f>-801-DK24-DJ24</f>
        <v>83</v>
      </c>
      <c r="DM24" s="840">
        <f>-260-SUM(DJ24:DL24)</f>
        <v>541</v>
      </c>
      <c r="DN24" s="839">
        <f t="shared" si="115"/>
        <v>-260</v>
      </c>
      <c r="DO24" s="840">
        <v>-1620.0</v>
      </c>
      <c r="DP24" s="840">
        <f>-1012-DO24</f>
        <v>608</v>
      </c>
      <c r="DQ24" s="840">
        <f>-365-674-SUM(DO24:DP24)</f>
        <v>-27</v>
      </c>
      <c r="DR24" s="840">
        <f>91-782-SUM(DO24:DQ24)</f>
        <v>348</v>
      </c>
      <c r="DS24" s="839">
        <f t="shared" si="116"/>
        <v>-691</v>
      </c>
      <c r="DT24" s="840">
        <v>-1500.0</v>
      </c>
      <c r="DU24" s="840">
        <f>-919-161-DT24</f>
        <v>420</v>
      </c>
      <c r="DV24" s="840">
        <f>-488-SUM(DT24:DU24)</f>
        <v>592</v>
      </c>
      <c r="DW24" s="840">
        <f>463-181-SUM(DT24:DV24)</f>
        <v>770</v>
      </c>
      <c r="DX24" s="839">
        <f t="shared" si="117"/>
        <v>282</v>
      </c>
      <c r="DY24" s="840">
        <v>-1283.0</v>
      </c>
      <c r="DZ24" s="840">
        <f>-836-1571-DY24</f>
        <v>-1124</v>
      </c>
      <c r="EA24" s="840">
        <f>-16-1577-SUM(DY24:DZ24)</f>
        <v>814</v>
      </c>
      <c r="EB24" s="840">
        <f>515-SUM(DY24:EA24)</f>
        <v>2108</v>
      </c>
      <c r="EC24" s="839">
        <f t="shared" si="118"/>
        <v>515</v>
      </c>
      <c r="ED24" s="840">
        <f>-1884-6</f>
        <v>-1890</v>
      </c>
      <c r="EE24" s="840">
        <f>-1985-ED24</f>
        <v>-95</v>
      </c>
      <c r="EF24" s="840">
        <f>-18-1912-EE24-ED24</f>
        <v>55</v>
      </c>
      <c r="EG24" s="840">
        <f>-1533-EF24-EE24-ED24</f>
        <v>397</v>
      </c>
      <c r="EH24" s="839">
        <f t="shared" si="119"/>
        <v>-1533</v>
      </c>
      <c r="EI24" s="841" t="str">
        <f>BS!EH12-BS!EI12+BS!EI41-BS!EH41</f>
        <v>#ERROR!</v>
      </c>
      <c r="EJ24" s="837" t="str">
        <f>BS!EI12-BS!EJ12+BS!EJ41-BS!EI41</f>
        <v>#ERROR!</v>
      </c>
      <c r="EK24" s="837" t="str">
        <f>BS!EJ12-BS!EK12+BS!EK41-BS!EJ41</f>
        <v>#ERROR!</v>
      </c>
      <c r="EL24" s="837" t="str">
        <f>BS!EK12-BS!EL12+BS!EL41-BS!EK41</f>
        <v>#ERROR!</v>
      </c>
      <c r="EM24" s="839" t="str">
        <f t="shared" si="120"/>
        <v>#ERROR!</v>
      </c>
      <c r="EN24" s="837" t="str">
        <f>BS!EM12-BS!EN12+BS!EN41-BS!EM41</f>
        <v>#ERROR!</v>
      </c>
      <c r="EO24" s="837" t="str">
        <f>BS!EN12-BS!EO12+BS!EO41-BS!EN41</f>
        <v>#ERROR!</v>
      </c>
      <c r="EP24" s="837" t="str">
        <f>BS!EO12-BS!EP12+BS!EP41-BS!EO41</f>
        <v>#ERROR!</v>
      </c>
      <c r="EQ24" s="837" t="str">
        <f>BS!EP12-BS!EQ12+BS!EQ41-BS!EP41</f>
        <v>#ERROR!</v>
      </c>
      <c r="ER24" s="839" t="str">
        <f t="shared" si="121"/>
        <v>#ERROR!</v>
      </c>
      <c r="ES24" s="837" t="str">
        <f>BS!ER12-BS!ES12+BS!ES41-BS!ER41</f>
        <v>#ERROR!</v>
      </c>
      <c r="ET24" s="837" t="str">
        <f>BS!ES12-BS!ET12+BS!ET41-BS!ES41</f>
        <v>#ERROR!</v>
      </c>
      <c r="EU24" s="837" t="str">
        <f>BS!ET12-BS!EU12+BS!EU41-BS!ET41</f>
        <v>#ERROR!</v>
      </c>
      <c r="EV24" s="837" t="str">
        <f>BS!EU12-BS!EV12+BS!EV41-BS!EU41</f>
        <v>#ERROR!</v>
      </c>
      <c r="EW24" s="839" t="str">
        <f t="shared" si="122"/>
        <v>#ERROR!</v>
      </c>
      <c r="EX24" s="837" t="str">
        <f>BS!EW12-BS!EX12+BS!EX41-BS!EW41</f>
        <v>#ERROR!</v>
      </c>
      <c r="EY24" s="837" t="str">
        <f>BS!EX12-BS!EY12+BS!EY41-BS!EX41</f>
        <v>#ERROR!</v>
      </c>
      <c r="EZ24" s="837" t="str">
        <f>BS!EY12-BS!EZ12+BS!EZ41-BS!EY41</f>
        <v>#ERROR!</v>
      </c>
      <c r="FA24" s="837" t="str">
        <f>BS!EZ12-BS!FA12+BS!FA41-BS!EZ41</f>
        <v>#ERROR!</v>
      </c>
      <c r="FB24" s="839" t="str">
        <f t="shared" si="123"/>
        <v>#ERROR!</v>
      </c>
      <c r="FC24" s="837" t="str">
        <f>BS!FB12-BS!FC12+BS!FC41-BS!FB41</f>
        <v>#ERROR!</v>
      </c>
      <c r="FD24" s="837" t="str">
        <f>BS!FC12-BS!FD12+BS!FD41-BS!FC41</f>
        <v>#ERROR!</v>
      </c>
      <c r="FE24" s="837" t="str">
        <f>BS!FD12-BS!FE12+BS!FE41-BS!FD41</f>
        <v>#ERROR!</v>
      </c>
      <c r="FF24" s="837" t="str">
        <f>BS!FE12-BS!FF12+BS!FF41-BS!FE41</f>
        <v>#ERROR!</v>
      </c>
      <c r="FG24" s="839" t="str">
        <f t="shared" si="124"/>
        <v>#ERROR!</v>
      </c>
    </row>
    <row r="25" ht="12.75" customHeight="1">
      <c r="A25" s="128"/>
      <c r="B25" s="180" t="s">
        <v>535</v>
      </c>
      <c r="C25" s="180"/>
      <c r="D25" s="180"/>
      <c r="E25" s="180"/>
      <c r="F25" s="180"/>
      <c r="G25" s="180"/>
      <c r="H25" s="180"/>
      <c r="I25" s="180"/>
      <c r="J25" s="180"/>
      <c r="K25" s="180"/>
      <c r="L25" s="180"/>
      <c r="M25" s="180"/>
      <c r="N25" s="837">
        <v>350.0</v>
      </c>
      <c r="O25" s="837">
        <f>-993-N25</f>
        <v>-1343</v>
      </c>
      <c r="P25" s="837">
        <f>-371-O25-N25</f>
        <v>622</v>
      </c>
      <c r="Q25" s="837">
        <f>+-211-P25-O25-N25</f>
        <v>160</v>
      </c>
      <c r="R25" s="838">
        <f t="shared" si="95"/>
        <v>-211</v>
      </c>
      <c r="S25" s="837">
        <v>464.0</v>
      </c>
      <c r="T25" s="837">
        <f>-316-S25</f>
        <v>-780</v>
      </c>
      <c r="U25" s="837">
        <f>201-T25-S25</f>
        <v>517</v>
      </c>
      <c r="V25" s="837">
        <f t="shared" si="96"/>
        <v>525</v>
      </c>
      <c r="W25" s="838">
        <v>726.0</v>
      </c>
      <c r="X25" s="837">
        <v>-164.0</v>
      </c>
      <c r="Y25" s="837">
        <f>-73-X25</f>
        <v>91</v>
      </c>
      <c r="Z25" s="837">
        <f>-311-Y25-X25</f>
        <v>-238</v>
      </c>
      <c r="AA25" s="837">
        <f t="shared" si="97"/>
        <v>-51</v>
      </c>
      <c r="AB25" s="838">
        <v>-362.0</v>
      </c>
      <c r="AC25" s="837">
        <v>-427.0</v>
      </c>
      <c r="AD25" s="837">
        <f>-420-AC25</f>
        <v>7</v>
      </c>
      <c r="AE25" s="837">
        <v>-111.0</v>
      </c>
      <c r="AF25" s="837">
        <f t="shared" si="98"/>
        <v>261</v>
      </c>
      <c r="AG25" s="838">
        <v>-270.0</v>
      </c>
      <c r="AH25" s="837">
        <f>+BS!AH46-BS!AF46</f>
        <v>29</v>
      </c>
      <c r="AI25" s="837">
        <f>-328-AH25</f>
        <v>-357</v>
      </c>
      <c r="AJ25" s="837">
        <f>-46-AI25-AH25</f>
        <v>282</v>
      </c>
      <c r="AK25" s="837">
        <f t="shared" si="99"/>
        <v>221</v>
      </c>
      <c r="AL25" s="838">
        <v>175.0</v>
      </c>
      <c r="AM25" s="837">
        <v>136.0</v>
      </c>
      <c r="AN25" s="837">
        <f>302-AM25</f>
        <v>166</v>
      </c>
      <c r="AO25" s="837">
        <f>438-AM25-AN25</f>
        <v>136</v>
      </c>
      <c r="AP25" s="837">
        <f t="shared" si="100"/>
        <v>-799</v>
      </c>
      <c r="AQ25" s="838">
        <v>-361.0</v>
      </c>
      <c r="AR25" s="837">
        <v>-294.0</v>
      </c>
      <c r="AS25" s="837">
        <f>644-AR25</f>
        <v>938</v>
      </c>
      <c r="AT25" s="837">
        <f>646-AR25-AS25</f>
        <v>2</v>
      </c>
      <c r="AU25" s="837">
        <f t="shared" si="101"/>
        <v>-268</v>
      </c>
      <c r="AV25" s="838">
        <v>378.0</v>
      </c>
      <c r="AW25" s="837">
        <v>790.0</v>
      </c>
      <c r="AX25" s="837">
        <f>167-AW25</f>
        <v>-623</v>
      </c>
      <c r="AY25" s="837">
        <f>738-AW25-AX25</f>
        <v>571</v>
      </c>
      <c r="AZ25" s="837">
        <f t="shared" si="102"/>
        <v>59</v>
      </c>
      <c r="BA25" s="838">
        <v>797.0</v>
      </c>
      <c r="BB25" s="837">
        <v>-43.0</v>
      </c>
      <c r="BC25" s="837">
        <f>-853-BB25</f>
        <v>-810</v>
      </c>
      <c r="BD25" s="837">
        <f>-463-BB25-BC25</f>
        <v>390</v>
      </c>
      <c r="BE25" s="837">
        <f t="shared" si="103"/>
        <v>403</v>
      </c>
      <c r="BF25" s="838">
        <v>-60.0</v>
      </c>
      <c r="BG25" s="837">
        <v>-432.0</v>
      </c>
      <c r="BH25" s="837">
        <f>-1178-BG25</f>
        <v>-746</v>
      </c>
      <c r="BI25" s="837">
        <f>-48-BG25-BH25</f>
        <v>1130</v>
      </c>
      <c r="BJ25" s="837">
        <f t="shared" si="104"/>
        <v>-200</v>
      </c>
      <c r="BK25" s="838">
        <v>-248.0</v>
      </c>
      <c r="BL25" s="837">
        <v>337.0</v>
      </c>
      <c r="BM25" s="837">
        <f>-549-BL25</f>
        <v>-886</v>
      </c>
      <c r="BN25" s="837">
        <f>-281-BL25-BM25</f>
        <v>268</v>
      </c>
      <c r="BO25" s="837">
        <f t="shared" si="105"/>
        <v>-553</v>
      </c>
      <c r="BP25" s="838">
        <v>-834.0</v>
      </c>
      <c r="BQ25" s="837">
        <v>-230.0</v>
      </c>
      <c r="BR25" s="837">
        <f>-39-BQ25</f>
        <v>191</v>
      </c>
      <c r="BS25" s="837">
        <f>775-BQ25-BR25</f>
        <v>814</v>
      </c>
      <c r="BT25" s="837">
        <f t="shared" si="106"/>
        <v>-665</v>
      </c>
      <c r="BU25" s="838">
        <v>110.0</v>
      </c>
      <c r="BV25" s="837">
        <v>916.0</v>
      </c>
      <c r="BW25" s="837">
        <f>-23-BV25</f>
        <v>-939</v>
      </c>
      <c r="BX25" s="837">
        <f>179-BV25-BW25</f>
        <v>202</v>
      </c>
      <c r="BY25" s="837">
        <f t="shared" si="107"/>
        <v>-126</v>
      </c>
      <c r="BZ25" s="838">
        <v>53.0</v>
      </c>
      <c r="CA25" s="837">
        <v>1032.0</v>
      </c>
      <c r="CB25" s="837">
        <f>-466-CA25</f>
        <v>-1498</v>
      </c>
      <c r="CC25" s="837">
        <f>194-CA25-CB25</f>
        <v>660</v>
      </c>
      <c r="CD25" s="837">
        <f t="shared" si="108"/>
        <v>466</v>
      </c>
      <c r="CE25" s="838">
        <v>660.0</v>
      </c>
      <c r="CF25" s="837">
        <v>760.0</v>
      </c>
      <c r="CG25" s="837">
        <f>-51-CF25</f>
        <v>-811</v>
      </c>
      <c r="CH25" s="837">
        <f>294-CF25-CG25</f>
        <v>345</v>
      </c>
      <c r="CI25" s="837">
        <f t="shared" si="109"/>
        <v>-65</v>
      </c>
      <c r="CJ25" s="838">
        <v>229.0</v>
      </c>
      <c r="CK25" s="837">
        <v>257.0</v>
      </c>
      <c r="CL25" s="837">
        <f>296-CK25</f>
        <v>39</v>
      </c>
      <c r="CM25" s="837">
        <f>873-CL25-CK25</f>
        <v>577</v>
      </c>
      <c r="CN25" s="268">
        <f>1019-CM25-CL25-CK25</f>
        <v>146</v>
      </c>
      <c r="CO25" s="838">
        <f t="shared" si="110"/>
        <v>1019</v>
      </c>
      <c r="CP25" s="837">
        <v>200.0</v>
      </c>
      <c r="CQ25" s="837">
        <f>88-CP25</f>
        <v>-112</v>
      </c>
      <c r="CR25" s="837">
        <f>-190-CQ25-CP25</f>
        <v>-278</v>
      </c>
      <c r="CS25" s="837">
        <f>-286-CR25-CQ25-CP25</f>
        <v>-96</v>
      </c>
      <c r="CT25" s="839">
        <f t="shared" si="111"/>
        <v>-286</v>
      </c>
      <c r="CU25" s="268">
        <v>221.0</v>
      </c>
      <c r="CV25" s="268">
        <f>-59-CU25</f>
        <v>-280</v>
      </c>
      <c r="CW25" s="837">
        <f>774-CV25-CU25</f>
        <v>833</v>
      </c>
      <c r="CX25" s="837">
        <f>386-CW25-CV25-CU25</f>
        <v>-388</v>
      </c>
      <c r="CY25" s="839">
        <f t="shared" si="112"/>
        <v>386</v>
      </c>
      <c r="CZ25" s="840">
        <v>497.0</v>
      </c>
      <c r="DA25" s="837">
        <f>-79-CZ25</f>
        <v>-576</v>
      </c>
      <c r="DB25" s="840">
        <f>961-DA25-CZ25</f>
        <v>1040</v>
      </c>
      <c r="DC25" s="268">
        <f>1382-DB25-DA25-CZ25</f>
        <v>421</v>
      </c>
      <c r="DD25" s="839">
        <f t="shared" si="113"/>
        <v>1382</v>
      </c>
      <c r="DE25" s="844">
        <v>427.0</v>
      </c>
      <c r="DF25" s="837">
        <f>563-DE25</f>
        <v>136</v>
      </c>
      <c r="DG25" s="840">
        <f>979-DE25-DF25</f>
        <v>416</v>
      </c>
      <c r="DH25" s="268">
        <f>5230-DG25-DF25-DE25</f>
        <v>4251</v>
      </c>
      <c r="DI25" s="839">
        <f t="shared" si="114"/>
        <v>5230</v>
      </c>
      <c r="DJ25" s="840">
        <v>294.0</v>
      </c>
      <c r="DK25" s="840">
        <f>-1226-DJ25</f>
        <v>-1520</v>
      </c>
      <c r="DL25" s="840">
        <f>-1075-DK25-DJ25</f>
        <v>151</v>
      </c>
      <c r="DM25" s="840">
        <f>148-SUM(DJ25:DL25)</f>
        <v>1223</v>
      </c>
      <c r="DN25" s="839">
        <f t="shared" si="115"/>
        <v>148</v>
      </c>
      <c r="DO25" s="840">
        <v>440.0</v>
      </c>
      <c r="DP25" s="840">
        <f>-15-DO25</f>
        <v>-455</v>
      </c>
      <c r="DQ25" s="840">
        <f>435-SUM(DO25:DP25)</f>
        <v>450</v>
      </c>
      <c r="DR25" s="840">
        <f>885-SUM(DO25:DQ25)</f>
        <v>450</v>
      </c>
      <c r="DS25" s="839">
        <f t="shared" si="116"/>
        <v>885</v>
      </c>
      <c r="DT25" s="840">
        <v>753.0</v>
      </c>
      <c r="DU25" s="840">
        <f>1203-DT25</f>
        <v>450</v>
      </c>
      <c r="DV25" s="840">
        <f>493-SUM(DT25:DU25)</f>
        <v>-710</v>
      </c>
      <c r="DW25" s="840">
        <f>1620-SUM(DT25:DV25)</f>
        <v>1127</v>
      </c>
      <c r="DX25" s="839">
        <f t="shared" si="117"/>
        <v>1620</v>
      </c>
      <c r="DY25" s="840">
        <f>+BS!DY46-BS!DW46</f>
        <v>0</v>
      </c>
      <c r="DZ25" s="840">
        <f>114-DY25</f>
        <v>114</v>
      </c>
      <c r="EA25" s="840">
        <f>-570-SUM(DY25:DZ25)</f>
        <v>-684</v>
      </c>
      <c r="EB25" s="840">
        <f>-441-SUM(DY25:EA25)</f>
        <v>129</v>
      </c>
      <c r="EC25" s="839">
        <f t="shared" si="118"/>
        <v>-441</v>
      </c>
      <c r="ED25" s="840">
        <v>1219.0</v>
      </c>
      <c r="EE25" s="840">
        <f>-2232-ED25</f>
        <v>-3451</v>
      </c>
      <c r="EF25" s="840">
        <f>-4062-EE25-ED25</f>
        <v>-1830</v>
      </c>
      <c r="EG25" s="840">
        <f>-4535-EF25-EE25-ED25</f>
        <v>-473</v>
      </c>
      <c r="EH25" s="839">
        <f t="shared" si="119"/>
        <v>-4535</v>
      </c>
      <c r="EI25" s="841">
        <f>+BS!EI46-BS!EG46</f>
        <v>-2251</v>
      </c>
      <c r="EJ25" s="837">
        <f>+BS!EJ46-BS!EI46</f>
        <v>0</v>
      </c>
      <c r="EK25" s="837">
        <f>+BS!EK46-BS!EJ46</f>
        <v>0</v>
      </c>
      <c r="EL25" s="837">
        <f>+BS!EL46-BS!EK46</f>
        <v>0</v>
      </c>
      <c r="EM25" s="839">
        <f t="shared" si="120"/>
        <v>-2251</v>
      </c>
      <c r="EN25" s="837">
        <f>+BS!EN46-BS!EL46</f>
        <v>0</v>
      </c>
      <c r="EO25" s="837">
        <f>+BS!EO46-BS!EN46</f>
        <v>0</v>
      </c>
      <c r="EP25" s="837">
        <f>+BS!EP46-BS!EO46</f>
        <v>0</v>
      </c>
      <c r="EQ25" s="837">
        <f>+BS!EQ46-BS!EP46</f>
        <v>0</v>
      </c>
      <c r="ER25" s="839">
        <f t="shared" si="121"/>
        <v>0</v>
      </c>
      <c r="ES25" s="837">
        <f>+BS!ES46-BS!EQ46</f>
        <v>0</v>
      </c>
      <c r="ET25" s="837">
        <f>+BS!ET46-BS!ES46</f>
        <v>0</v>
      </c>
      <c r="EU25" s="837">
        <f>+BS!EU46-BS!ET46</f>
        <v>0</v>
      </c>
      <c r="EV25" s="837">
        <f>+BS!EV46-BS!EU46</f>
        <v>0</v>
      </c>
      <c r="EW25" s="839">
        <f t="shared" si="122"/>
        <v>0</v>
      </c>
      <c r="EX25" s="837">
        <f>+BS!EX46-BS!EV46</f>
        <v>0</v>
      </c>
      <c r="EY25" s="837">
        <f>+BS!EY46-BS!EX46</f>
        <v>0</v>
      </c>
      <c r="EZ25" s="837">
        <f>+BS!EZ46-BS!EY46</f>
        <v>0</v>
      </c>
      <c r="FA25" s="837">
        <f>+BS!FA46-BS!EZ46</f>
        <v>0</v>
      </c>
      <c r="FB25" s="839">
        <f t="shared" si="123"/>
        <v>0</v>
      </c>
      <c r="FC25" s="837">
        <f>+BS!FC46-BS!FA46</f>
        <v>0</v>
      </c>
      <c r="FD25" s="837">
        <f>+BS!FD46-BS!FC46</f>
        <v>0</v>
      </c>
      <c r="FE25" s="837">
        <f>+BS!FE46-BS!FD46</f>
        <v>0</v>
      </c>
      <c r="FF25" s="837">
        <f>+BS!FF46-BS!FE46</f>
        <v>0</v>
      </c>
      <c r="FG25" s="839">
        <f t="shared" si="124"/>
        <v>0</v>
      </c>
    </row>
    <row r="26" ht="12.75" customHeight="1">
      <c r="A26" s="128"/>
      <c r="B26" s="180" t="s">
        <v>583</v>
      </c>
      <c r="C26" s="180"/>
      <c r="D26" s="180"/>
      <c r="E26" s="180"/>
      <c r="F26" s="180"/>
      <c r="G26" s="180"/>
      <c r="H26" s="180"/>
      <c r="I26" s="180"/>
      <c r="J26" s="180"/>
      <c r="K26" s="180"/>
      <c r="L26" s="180"/>
      <c r="M26" s="180"/>
      <c r="N26" s="837">
        <f>88-125</f>
        <v>-37</v>
      </c>
      <c r="O26" s="837">
        <f>181-489-N26</f>
        <v>-271</v>
      </c>
      <c r="P26" s="837">
        <f>258-428-O26-N26</f>
        <v>138</v>
      </c>
      <c r="Q26" s="837">
        <f>415-378-P26-O26-N26</f>
        <v>207</v>
      </c>
      <c r="R26" s="838">
        <f t="shared" si="95"/>
        <v>37</v>
      </c>
      <c r="S26" s="837">
        <f>138-62</f>
        <v>76</v>
      </c>
      <c r="T26" s="837">
        <f>279-319-S26</f>
        <v>-116</v>
      </c>
      <c r="U26" s="837">
        <f>416+38-T26-S26</f>
        <v>494</v>
      </c>
      <c r="V26" s="837">
        <f t="shared" si="96"/>
        <v>32</v>
      </c>
      <c r="W26" s="838">
        <f>506-20</f>
        <v>486</v>
      </c>
      <c r="X26" s="837">
        <f>302+39</f>
        <v>341</v>
      </c>
      <c r="Y26" s="837">
        <f>645+603-X26</f>
        <v>907</v>
      </c>
      <c r="Z26" s="837">
        <f>852+603-Y26-X26</f>
        <v>207</v>
      </c>
      <c r="AA26" s="837">
        <f t="shared" si="97"/>
        <v>28</v>
      </c>
      <c r="AB26" s="838">
        <f>887+596</f>
        <v>1483</v>
      </c>
      <c r="AC26" s="837">
        <f>69+96</f>
        <v>165</v>
      </c>
      <c r="AD26" s="837">
        <f>170+32-AC26</f>
        <v>37</v>
      </c>
      <c r="AE26" s="837">
        <v>101.0</v>
      </c>
      <c r="AF26" s="837">
        <f t="shared" si="98"/>
        <v>-422</v>
      </c>
      <c r="AG26" s="838">
        <f>-1017+898</f>
        <v>-119</v>
      </c>
      <c r="AH26" s="837">
        <v>140.0</v>
      </c>
      <c r="AI26" s="837">
        <f>-83-AH26</f>
        <v>-223</v>
      </c>
      <c r="AJ26" s="837">
        <f>40-AI26-AH26</f>
        <v>123</v>
      </c>
      <c r="AK26" s="837">
        <f t="shared" si="99"/>
        <v>-61</v>
      </c>
      <c r="AL26" s="838">
        <v>-21.0</v>
      </c>
      <c r="AM26" s="837">
        <v>-140.0</v>
      </c>
      <c r="AN26" s="837">
        <f>-34-AM26</f>
        <v>106</v>
      </c>
      <c r="AO26" s="837">
        <f>72-AM26-AN26</f>
        <v>106</v>
      </c>
      <c r="AP26" s="837">
        <f t="shared" si="100"/>
        <v>158</v>
      </c>
      <c r="AQ26" s="838">
        <v>230.0</v>
      </c>
      <c r="AR26" s="837">
        <v>195.0</v>
      </c>
      <c r="AS26" s="837">
        <f>50-AR26</f>
        <v>-145</v>
      </c>
      <c r="AT26" s="837">
        <f>51-AR26-AS26</f>
        <v>1</v>
      </c>
      <c r="AU26" s="837">
        <f t="shared" si="101"/>
        <v>85</v>
      </c>
      <c r="AV26" s="838">
        <v>136.0</v>
      </c>
      <c r="AW26" s="837">
        <v>-299.0</v>
      </c>
      <c r="AX26" s="837">
        <f>-149-AW26</f>
        <v>150</v>
      </c>
      <c r="AY26" s="837">
        <f>253-AW26-AX26</f>
        <v>402</v>
      </c>
      <c r="AZ26" s="837">
        <f t="shared" si="102"/>
        <v>-334</v>
      </c>
      <c r="BA26" s="838">
        <v>-81.0</v>
      </c>
      <c r="BB26" s="837">
        <v>146.0</v>
      </c>
      <c r="BC26" s="837">
        <f>100-BB26</f>
        <v>-46</v>
      </c>
      <c r="BD26" s="837">
        <f>-571-BB26-BC26</f>
        <v>-671</v>
      </c>
      <c r="BE26" s="837">
        <f t="shared" si="103"/>
        <v>127</v>
      </c>
      <c r="BF26" s="838">
        <v>-444.0</v>
      </c>
      <c r="BG26" s="837">
        <v>-116.0</v>
      </c>
      <c r="BH26" s="837">
        <f>-106-BG26</f>
        <v>10</v>
      </c>
      <c r="BI26" s="837">
        <f>62-BG26-BH26</f>
        <v>168</v>
      </c>
      <c r="BJ26" s="837">
        <f t="shared" si="104"/>
        <v>571</v>
      </c>
      <c r="BK26" s="838">
        <v>633.0</v>
      </c>
      <c r="BL26" s="837">
        <v>9.0</v>
      </c>
      <c r="BM26" s="837">
        <f>87-BL26</f>
        <v>78</v>
      </c>
      <c r="BN26" s="837">
        <f>-153-BL26-BM26</f>
        <v>-240</v>
      </c>
      <c r="BO26" s="837">
        <f t="shared" si="105"/>
        <v>-36</v>
      </c>
      <c r="BP26" s="838">
        <v>-189.0</v>
      </c>
      <c r="BQ26" s="837">
        <v>-446.0</v>
      </c>
      <c r="BR26" s="837">
        <f>711-BQ26</f>
        <v>1157</v>
      </c>
      <c r="BS26" s="837">
        <f>-722-BQ26-BR26</f>
        <v>-1433</v>
      </c>
      <c r="BT26" s="837">
        <f t="shared" si="106"/>
        <v>371</v>
      </c>
      <c r="BU26" s="838">
        <v>-351.0</v>
      </c>
      <c r="BV26" s="837">
        <v>305.0</v>
      </c>
      <c r="BW26" s="837">
        <f>507-BV26</f>
        <v>202</v>
      </c>
      <c r="BX26" s="837">
        <f>147-BV26-BW26</f>
        <v>-360</v>
      </c>
      <c r="BY26" s="837">
        <f t="shared" si="107"/>
        <v>687</v>
      </c>
      <c r="BZ26" s="838">
        <v>834.0</v>
      </c>
      <c r="CA26" s="837">
        <v>97.0</v>
      </c>
      <c r="CB26" s="837">
        <f>-50-CA26</f>
        <v>-147</v>
      </c>
      <c r="CC26" s="837">
        <f>-138-CA26-CB26</f>
        <v>-88</v>
      </c>
      <c r="CD26" s="837">
        <f t="shared" si="108"/>
        <v>229</v>
      </c>
      <c r="CE26" s="838">
        <v>91.0</v>
      </c>
      <c r="CF26" s="837">
        <v>-359.0</v>
      </c>
      <c r="CG26" s="837">
        <f>-543-CF26</f>
        <v>-184</v>
      </c>
      <c r="CH26" s="837">
        <f>-221-CF26-CG26</f>
        <v>322</v>
      </c>
      <c r="CI26" s="837">
        <f t="shared" si="109"/>
        <v>315</v>
      </c>
      <c r="CJ26" s="838">
        <v>94.0</v>
      </c>
      <c r="CK26" s="837">
        <v>377.0</v>
      </c>
      <c r="CL26" s="837">
        <f>393-CK26</f>
        <v>16</v>
      </c>
      <c r="CM26" s="837">
        <f>335-CL26-CK26</f>
        <v>-58</v>
      </c>
      <c r="CN26" s="268">
        <f>865-CM26-CL26-CK26</f>
        <v>530</v>
      </c>
      <c r="CO26" s="838">
        <f t="shared" si="110"/>
        <v>865</v>
      </c>
      <c r="CP26" s="837">
        <v>-135.0</v>
      </c>
      <c r="CQ26" s="837">
        <f>112-CP26</f>
        <v>247</v>
      </c>
      <c r="CR26" s="837">
        <f>611-CQ26-CP26</f>
        <v>499</v>
      </c>
      <c r="CS26" s="837">
        <f>1391-CR26-CQ26-CP26</f>
        <v>780</v>
      </c>
      <c r="CT26" s="839">
        <f t="shared" si="111"/>
        <v>1391</v>
      </c>
      <c r="CU26" s="268">
        <v>555.0</v>
      </c>
      <c r="CV26" s="268">
        <f>340-CU26</f>
        <v>-215</v>
      </c>
      <c r="CW26" s="837">
        <f>156-CV26-CU26</f>
        <v>-184</v>
      </c>
      <c r="CX26" s="837">
        <f>675-CW26-CV26-CU26</f>
        <v>519</v>
      </c>
      <c r="CY26" s="839">
        <f t="shared" si="112"/>
        <v>675</v>
      </c>
      <c r="CZ26" s="840">
        <v>-885.0</v>
      </c>
      <c r="DA26" s="837">
        <f>-458-CZ26</f>
        <v>427</v>
      </c>
      <c r="DB26" s="840">
        <f>-222-DA26-CZ26</f>
        <v>236</v>
      </c>
      <c r="DC26" s="268">
        <f>515-DB26-DA26-CZ26</f>
        <v>737</v>
      </c>
      <c r="DD26" s="839">
        <f t="shared" si="113"/>
        <v>515</v>
      </c>
      <c r="DE26" s="844">
        <v>-452.0</v>
      </c>
      <c r="DF26" s="837">
        <f>-413-DE26</f>
        <v>39</v>
      </c>
      <c r="DG26" s="840">
        <f>315-DE26-DF26</f>
        <v>728</v>
      </c>
      <c r="DH26" s="268">
        <f>317-DG26-DF26-DE26</f>
        <v>2</v>
      </c>
      <c r="DI26" s="839">
        <f t="shared" si="114"/>
        <v>317</v>
      </c>
      <c r="DJ26" s="840">
        <f>1599-822</f>
        <v>777</v>
      </c>
      <c r="DK26" s="840">
        <f>1580+94-DJ26</f>
        <v>897</v>
      </c>
      <c r="DL26" s="840">
        <f>261+1472-DK26-DJ26</f>
        <v>59</v>
      </c>
      <c r="DM26" s="840">
        <f>1367+41-SUM(DJ26:DL26)</f>
        <v>-325</v>
      </c>
      <c r="DN26" s="839">
        <f t="shared" si="115"/>
        <v>1408</v>
      </c>
      <c r="DO26" s="840">
        <f>204-228</f>
        <v>-24</v>
      </c>
      <c r="DP26" s="840">
        <f>-444+448-DO26</f>
        <v>28</v>
      </c>
      <c r="DQ26" s="840">
        <f>1769-SUM(DO26:DP26)</f>
        <v>1765</v>
      </c>
      <c r="DR26" s="840">
        <f>2674-SUM(DO26:DQ26)</f>
        <v>905</v>
      </c>
      <c r="DS26" s="839">
        <f t="shared" si="116"/>
        <v>2674</v>
      </c>
      <c r="DT26" s="840">
        <f>-1075-87</f>
        <v>-1162</v>
      </c>
      <c r="DU26" s="840">
        <f>-697-DT26</f>
        <v>465</v>
      </c>
      <c r="DV26" s="840">
        <f>-91-296-SUM(DT26:DU26)</f>
        <v>310</v>
      </c>
      <c r="DW26" s="840">
        <f>-331-SUM(DT26:DV26)</f>
        <v>56</v>
      </c>
      <c r="DX26" s="839">
        <f t="shared" si="117"/>
        <v>-331</v>
      </c>
      <c r="DY26" s="840">
        <f>-1566+383-641</f>
        <v>-1824</v>
      </c>
      <c r="DZ26" s="840">
        <f>-259-DY26</f>
        <v>1565</v>
      </c>
      <c r="EA26" s="840">
        <f>1058-SUM(DY26:DZ26)</f>
        <v>1317</v>
      </c>
      <c r="EB26" s="840">
        <f>459-1583-SUM(DY26:EA26)</f>
        <v>-2182</v>
      </c>
      <c r="EC26" s="839">
        <f t="shared" si="118"/>
        <v>-1124</v>
      </c>
      <c r="ED26" s="840">
        <f>-1286</f>
        <v>-1286</v>
      </c>
      <c r="EE26" s="840">
        <f>-1724-12-ED26</f>
        <v>-450</v>
      </c>
      <c r="EF26" s="840">
        <f>-2077-EE26-ED26</f>
        <v>-341</v>
      </c>
      <c r="EG26" s="840">
        <f>-1278-24-EF26-EE26-ED26</f>
        <v>775</v>
      </c>
      <c r="EH26" s="839">
        <f t="shared" si="119"/>
        <v>-1302</v>
      </c>
      <c r="EI26" s="841" t="str">
        <f>(+BS!EI44-BS!EH44)+(BS!EH21-BS!EI21)</f>
        <v>#ERROR!</v>
      </c>
      <c r="EJ26" s="837" t="str">
        <f>(+BS!EJ44-BS!EI44)+(BS!EI21-BS!EJ21)</f>
        <v>#ERROR!</v>
      </c>
      <c r="EK26" s="837" t="str">
        <f>(+BS!EK44-BS!EJ44)+(BS!EJ21-BS!EK21)</f>
        <v>#ERROR!</v>
      </c>
      <c r="EL26" s="837" t="str">
        <f>(+BS!EL44-BS!EK44)+(BS!EK21-BS!EL21)</f>
        <v>#ERROR!</v>
      </c>
      <c r="EM26" s="839" t="str">
        <f t="shared" si="120"/>
        <v>#ERROR!</v>
      </c>
      <c r="EN26" s="837" t="str">
        <f>(+BS!EN44-BS!EM44)+(BS!EM21-BS!EN21)</f>
        <v>#ERROR!</v>
      </c>
      <c r="EO26" s="837" t="str">
        <f>(+BS!EO44-BS!EN44)+(BS!EN21-BS!EO21)</f>
        <v>#ERROR!</v>
      </c>
      <c r="EP26" s="837" t="str">
        <f>(+BS!EP44-BS!EO44)+(BS!EO21-BS!EP21)</f>
        <v>#ERROR!</v>
      </c>
      <c r="EQ26" s="837" t="str">
        <f>(+BS!EQ44-BS!EP44)+(BS!EP21-BS!EQ21)</f>
        <v>#ERROR!</v>
      </c>
      <c r="ER26" s="839" t="str">
        <f t="shared" si="121"/>
        <v>#ERROR!</v>
      </c>
      <c r="ES26" s="837" t="str">
        <f>(+BS!ES44-BS!ER44)+(BS!ER21-BS!ES21)</f>
        <v>#ERROR!</v>
      </c>
      <c r="ET26" s="837" t="str">
        <f>(+BS!ET44-BS!ES44)+(BS!ES21-BS!ET21)</f>
        <v>#ERROR!</v>
      </c>
      <c r="EU26" s="837" t="str">
        <f>(+BS!EU44-BS!ET44)+(BS!ET21-BS!EU21)</f>
        <v>#ERROR!</v>
      </c>
      <c r="EV26" s="837" t="str">
        <f>(+BS!EV44-BS!EU44)+(BS!EU21-BS!EV21)</f>
        <v>#ERROR!</v>
      </c>
      <c r="EW26" s="839" t="str">
        <f t="shared" si="122"/>
        <v>#ERROR!</v>
      </c>
      <c r="EX26" s="837" t="str">
        <f>(+BS!EX44-BS!EW44)+(BS!EW21-BS!EX21)</f>
        <v>#ERROR!</v>
      </c>
      <c r="EY26" s="837" t="str">
        <f>(+BS!EY44-BS!EX44)+(BS!EX21-BS!EY21)</f>
        <v>#ERROR!</v>
      </c>
      <c r="EZ26" s="837" t="str">
        <f>(+BS!EZ44-BS!EY44)+(BS!EY21-BS!EZ21)</f>
        <v>#ERROR!</v>
      </c>
      <c r="FA26" s="837" t="str">
        <f>(+BS!FA44-BS!EZ44)+(BS!EZ21-BS!FA21)</f>
        <v>#ERROR!</v>
      </c>
      <c r="FB26" s="839" t="str">
        <f t="shared" si="123"/>
        <v>#ERROR!</v>
      </c>
      <c r="FC26" s="837" t="str">
        <f>(+BS!FC44-BS!FB44)+(BS!FB21-BS!FC21)</f>
        <v>#ERROR!</v>
      </c>
      <c r="FD26" s="837" t="str">
        <f>(+BS!FD44-BS!FC44)+(BS!FC21-BS!FD21)</f>
        <v>#ERROR!</v>
      </c>
      <c r="FE26" s="837" t="str">
        <f>(+BS!FE44-BS!FD44)+(BS!FD21-BS!FE21)</f>
        <v>#ERROR!</v>
      </c>
      <c r="FF26" s="837" t="str">
        <f>(+BS!FF44-BS!FE44)+(BS!FE21-BS!FF21)</f>
        <v>#ERROR!</v>
      </c>
      <c r="FG26" s="839" t="str">
        <f t="shared" si="124"/>
        <v>#ERROR!</v>
      </c>
    </row>
    <row r="27" ht="12.75" customHeight="1">
      <c r="A27" s="73"/>
      <c r="B27" s="764" t="s">
        <v>584</v>
      </c>
      <c r="C27" s="8"/>
      <c r="D27" s="764"/>
      <c r="E27" s="764"/>
      <c r="F27" s="764"/>
      <c r="G27" s="764"/>
      <c r="H27" s="764"/>
      <c r="I27" s="764"/>
      <c r="J27" s="764"/>
      <c r="K27" s="764"/>
      <c r="L27" s="764"/>
      <c r="M27" s="764"/>
      <c r="N27" s="847">
        <f t="shared" ref="N27:FG27" si="125">SUM(N7,N12,N13,N15,N17)</f>
        <v>2069</v>
      </c>
      <c r="O27" s="847">
        <f t="shared" si="125"/>
        <v>404</v>
      </c>
      <c r="P27" s="847">
        <f t="shared" si="125"/>
        <v>2988</v>
      </c>
      <c r="Q27" s="847">
        <f t="shared" si="125"/>
        <v>3730</v>
      </c>
      <c r="R27" s="847">
        <f t="shared" si="125"/>
        <v>9191</v>
      </c>
      <c r="S27" s="847">
        <f t="shared" si="125"/>
        <v>2901</v>
      </c>
      <c r="T27" s="847">
        <f t="shared" si="125"/>
        <v>1609</v>
      </c>
      <c r="U27" s="847">
        <f t="shared" si="125"/>
        <v>3937</v>
      </c>
      <c r="V27" s="847">
        <f t="shared" si="125"/>
        <v>3687</v>
      </c>
      <c r="W27" s="847">
        <f t="shared" si="125"/>
        <v>12134</v>
      </c>
      <c r="X27" s="847">
        <f t="shared" si="125"/>
        <v>3281</v>
      </c>
      <c r="Y27" s="847">
        <f t="shared" si="125"/>
        <v>3156</v>
      </c>
      <c r="Z27" s="847">
        <f t="shared" si="125"/>
        <v>3012</v>
      </c>
      <c r="AA27" s="847">
        <f t="shared" si="125"/>
        <v>3378</v>
      </c>
      <c r="AB27" s="847">
        <f t="shared" si="125"/>
        <v>12827</v>
      </c>
      <c r="AC27" s="847">
        <f t="shared" si="125"/>
        <v>1181</v>
      </c>
      <c r="AD27" s="847">
        <f t="shared" si="125"/>
        <v>2119</v>
      </c>
      <c r="AE27" s="847">
        <f t="shared" si="125"/>
        <v>2059</v>
      </c>
      <c r="AF27" s="847">
        <f t="shared" si="125"/>
        <v>3295</v>
      </c>
      <c r="AG27" s="847">
        <f t="shared" si="125"/>
        <v>8654</v>
      </c>
      <c r="AH27" s="847">
        <f t="shared" si="125"/>
        <v>1528</v>
      </c>
      <c r="AI27" s="847">
        <f t="shared" si="125"/>
        <v>1689</v>
      </c>
      <c r="AJ27" s="847">
        <f t="shared" si="125"/>
        <v>2391</v>
      </c>
      <c r="AK27" s="847">
        <f t="shared" si="125"/>
        <v>3521</v>
      </c>
      <c r="AL27" s="847">
        <f t="shared" si="125"/>
        <v>9129</v>
      </c>
      <c r="AM27" s="847">
        <f t="shared" si="125"/>
        <v>1710</v>
      </c>
      <c r="AN27" s="847">
        <f t="shared" si="125"/>
        <v>2649</v>
      </c>
      <c r="AO27" s="847">
        <f t="shared" si="125"/>
        <v>3188</v>
      </c>
      <c r="AP27" s="847">
        <f t="shared" si="125"/>
        <v>3968</v>
      </c>
      <c r="AQ27" s="847">
        <f t="shared" si="125"/>
        <v>11515</v>
      </c>
      <c r="AR27" s="847">
        <f t="shared" si="125"/>
        <v>1769</v>
      </c>
      <c r="AS27" s="847">
        <f t="shared" si="125"/>
        <v>4065</v>
      </c>
      <c r="AT27" s="847">
        <f t="shared" si="125"/>
        <v>3170</v>
      </c>
      <c r="AU27" s="847">
        <f t="shared" si="125"/>
        <v>4115</v>
      </c>
      <c r="AV27" s="847">
        <f t="shared" si="125"/>
        <v>13119</v>
      </c>
      <c r="AW27" s="847">
        <f t="shared" si="125"/>
        <v>3756</v>
      </c>
      <c r="AX27" s="847">
        <f t="shared" si="125"/>
        <v>2972</v>
      </c>
      <c r="AY27" s="847">
        <f t="shared" si="125"/>
        <v>4366</v>
      </c>
      <c r="AZ27" s="847">
        <f t="shared" si="125"/>
        <v>3729</v>
      </c>
      <c r="BA27" s="847">
        <f t="shared" si="125"/>
        <v>14823</v>
      </c>
      <c r="BB27" s="847">
        <f t="shared" si="125"/>
        <v>2096</v>
      </c>
      <c r="BC27" s="847">
        <f t="shared" si="125"/>
        <v>1532</v>
      </c>
      <c r="BD27" s="847">
        <f t="shared" si="125"/>
        <v>2790</v>
      </c>
      <c r="BE27" s="847">
        <f t="shared" si="125"/>
        <v>4202</v>
      </c>
      <c r="BF27" s="847">
        <f t="shared" si="125"/>
        <v>10620</v>
      </c>
      <c r="BG27" s="847">
        <f t="shared" si="125"/>
        <v>1552</v>
      </c>
      <c r="BH27" s="847">
        <f t="shared" si="125"/>
        <v>2417</v>
      </c>
      <c r="BI27" s="847">
        <f t="shared" si="125"/>
        <v>3884</v>
      </c>
      <c r="BJ27" s="847">
        <f t="shared" si="125"/>
        <v>4772</v>
      </c>
      <c r="BK27" s="847">
        <f t="shared" si="125"/>
        <v>12625</v>
      </c>
      <c r="BL27" s="847">
        <f t="shared" si="125"/>
        <v>2215</v>
      </c>
      <c r="BM27" s="847">
        <f t="shared" si="125"/>
        <v>2828</v>
      </c>
      <c r="BN27" s="847">
        <f t="shared" si="125"/>
        <v>3287</v>
      </c>
      <c r="BO27" s="847">
        <f t="shared" si="125"/>
        <v>2596</v>
      </c>
      <c r="BP27" s="847">
        <f t="shared" si="125"/>
        <v>10926</v>
      </c>
      <c r="BQ27" s="847">
        <f t="shared" si="125"/>
        <v>378</v>
      </c>
      <c r="BR27" s="847">
        <f t="shared" si="125"/>
        <v>3384</v>
      </c>
      <c r="BS27" s="847">
        <f t="shared" si="125"/>
        <v>4003</v>
      </c>
      <c r="BT27" s="847">
        <f t="shared" si="125"/>
        <v>3405</v>
      </c>
      <c r="BU27" s="847">
        <f t="shared" si="125"/>
        <v>11170</v>
      </c>
      <c r="BV27" s="847">
        <f t="shared" si="125"/>
        <v>4079</v>
      </c>
      <c r="BW27" s="847">
        <f t="shared" si="125"/>
        <v>3486</v>
      </c>
      <c r="BX27" s="847">
        <f t="shared" si="125"/>
        <v>3577</v>
      </c>
      <c r="BY27" s="847">
        <f t="shared" si="125"/>
        <v>5550</v>
      </c>
      <c r="BZ27" s="847">
        <f t="shared" si="125"/>
        <v>16692</v>
      </c>
      <c r="CA27" s="847">
        <f t="shared" si="125"/>
        <v>4013</v>
      </c>
      <c r="CB27" s="847">
        <f t="shared" si="125"/>
        <v>3971</v>
      </c>
      <c r="CC27" s="847">
        <f t="shared" si="125"/>
        <v>6349</v>
      </c>
      <c r="CD27" s="847">
        <f t="shared" si="125"/>
        <v>6630</v>
      </c>
      <c r="CE27" s="847">
        <f t="shared" si="125"/>
        <v>20963</v>
      </c>
      <c r="CF27" s="847">
        <f t="shared" si="125"/>
        <v>2972</v>
      </c>
      <c r="CG27" s="847">
        <f t="shared" si="125"/>
        <v>4739</v>
      </c>
      <c r="CH27" s="847">
        <f t="shared" si="125"/>
        <v>5147</v>
      </c>
      <c r="CI27" s="847">
        <f t="shared" si="125"/>
        <v>6026</v>
      </c>
      <c r="CJ27" s="847">
        <f t="shared" si="125"/>
        <v>18884</v>
      </c>
      <c r="CK27" s="847">
        <f t="shared" si="125"/>
        <v>4285</v>
      </c>
      <c r="CL27" s="847">
        <f t="shared" si="125"/>
        <v>4722</v>
      </c>
      <c r="CM27" s="847">
        <f t="shared" si="125"/>
        <v>5731</v>
      </c>
      <c r="CN27" s="847">
        <f t="shared" si="125"/>
        <v>6309</v>
      </c>
      <c r="CO27" s="847">
        <f t="shared" si="125"/>
        <v>20776</v>
      </c>
      <c r="CP27" s="847">
        <f t="shared" si="125"/>
        <v>3524</v>
      </c>
      <c r="CQ27" s="847">
        <f t="shared" si="125"/>
        <v>5453</v>
      </c>
      <c r="CR27" s="847">
        <f t="shared" si="125"/>
        <v>5693</v>
      </c>
      <c r="CS27" s="847">
        <f t="shared" si="125"/>
        <v>5771</v>
      </c>
      <c r="CT27" s="848">
        <f t="shared" si="125"/>
        <v>20441</v>
      </c>
      <c r="CU27" s="847">
        <f t="shared" si="125"/>
        <v>4415</v>
      </c>
      <c r="CV27" s="847">
        <f t="shared" si="125"/>
        <v>3440</v>
      </c>
      <c r="CW27" s="847">
        <f t="shared" si="125"/>
        <v>5735</v>
      </c>
      <c r="CX27" s="847">
        <f t="shared" si="125"/>
        <v>5427</v>
      </c>
      <c r="CY27" s="848">
        <f t="shared" si="125"/>
        <v>19017</v>
      </c>
      <c r="CZ27" s="849">
        <f t="shared" si="125"/>
        <v>4055</v>
      </c>
      <c r="DA27" s="847">
        <f t="shared" si="125"/>
        <v>3845</v>
      </c>
      <c r="DB27" s="849">
        <f t="shared" si="125"/>
        <v>5758</v>
      </c>
      <c r="DC27" s="847">
        <f t="shared" si="125"/>
        <v>8150</v>
      </c>
      <c r="DD27" s="848">
        <f t="shared" si="125"/>
        <v>21808</v>
      </c>
      <c r="DE27" s="849">
        <f t="shared" si="125"/>
        <v>3898</v>
      </c>
      <c r="DF27" s="847">
        <f t="shared" si="125"/>
        <v>4707</v>
      </c>
      <c r="DG27" s="849">
        <f t="shared" si="125"/>
        <v>6264</v>
      </c>
      <c r="DH27" s="847">
        <f t="shared" si="125"/>
        <v>7241</v>
      </c>
      <c r="DI27" s="848">
        <f t="shared" si="125"/>
        <v>22110</v>
      </c>
      <c r="DJ27" s="849">
        <f t="shared" si="125"/>
        <v>6284</v>
      </c>
      <c r="DK27" s="849">
        <f t="shared" si="125"/>
        <v>7413</v>
      </c>
      <c r="DL27" s="849">
        <f t="shared" si="125"/>
        <v>8835</v>
      </c>
      <c r="DM27" s="849">
        <f t="shared" si="125"/>
        <v>6900</v>
      </c>
      <c r="DN27" s="848">
        <f t="shared" si="125"/>
        <v>29432</v>
      </c>
      <c r="DO27" s="849">
        <f t="shared" si="125"/>
        <v>4959</v>
      </c>
      <c r="DP27" s="849">
        <f t="shared" si="125"/>
        <v>7587</v>
      </c>
      <c r="DQ27" s="849">
        <f t="shared" si="125"/>
        <v>10711</v>
      </c>
      <c r="DR27" s="849">
        <f t="shared" si="125"/>
        <v>9888</v>
      </c>
      <c r="DS27" s="848">
        <f t="shared" si="125"/>
        <v>33145</v>
      </c>
      <c r="DT27" s="849">
        <f t="shared" si="125"/>
        <v>6158</v>
      </c>
      <c r="DU27" s="849">
        <f t="shared" si="125"/>
        <v>11157</v>
      </c>
      <c r="DV27" s="849">
        <f t="shared" si="125"/>
        <v>8179</v>
      </c>
      <c r="DW27" s="849">
        <f t="shared" si="125"/>
        <v>9890</v>
      </c>
      <c r="DX27" s="848">
        <f t="shared" si="125"/>
        <v>35384</v>
      </c>
      <c r="DY27" s="849">
        <f t="shared" si="125"/>
        <v>5548</v>
      </c>
      <c r="DZ27" s="849">
        <f t="shared" si="125"/>
        <v>8746</v>
      </c>
      <c r="EA27" s="849">
        <f t="shared" si="125"/>
        <v>9900</v>
      </c>
      <c r="EB27" s="849">
        <f t="shared" si="125"/>
        <v>5797</v>
      </c>
      <c r="EC27" s="848">
        <f t="shared" si="125"/>
        <v>29991</v>
      </c>
      <c r="ED27" s="849">
        <f t="shared" si="125"/>
        <v>5891</v>
      </c>
      <c r="EE27" s="849">
        <f t="shared" si="125"/>
        <v>809</v>
      </c>
      <c r="EF27" s="849">
        <f t="shared" si="125"/>
        <v>1030</v>
      </c>
      <c r="EG27" s="849">
        <f t="shared" si="125"/>
        <v>7703</v>
      </c>
      <c r="EH27" s="848">
        <f t="shared" si="125"/>
        <v>15433</v>
      </c>
      <c r="EI27" s="850" t="str">
        <f t="shared" si="125"/>
        <v>#ERROR!</v>
      </c>
      <c r="EJ27" s="847" t="str">
        <f t="shared" si="125"/>
        <v>#ERROR!</v>
      </c>
      <c r="EK27" s="847" t="str">
        <f t="shared" si="125"/>
        <v>#ERROR!</v>
      </c>
      <c r="EL27" s="847" t="str">
        <f t="shared" si="125"/>
        <v>#ERROR!</v>
      </c>
      <c r="EM27" s="848" t="str">
        <f t="shared" si="125"/>
        <v>#ERROR!</v>
      </c>
      <c r="EN27" s="847" t="str">
        <f t="shared" si="125"/>
        <v>#ERROR!</v>
      </c>
      <c r="EO27" s="847" t="str">
        <f t="shared" si="125"/>
        <v>#ERROR!</v>
      </c>
      <c r="EP27" s="847" t="str">
        <f t="shared" si="125"/>
        <v>#ERROR!</v>
      </c>
      <c r="EQ27" s="847" t="str">
        <f t="shared" si="125"/>
        <v>#ERROR!</v>
      </c>
      <c r="ER27" s="848" t="str">
        <f t="shared" si="125"/>
        <v>#ERROR!</v>
      </c>
      <c r="ES27" s="847" t="str">
        <f t="shared" si="125"/>
        <v>#ERROR!</v>
      </c>
      <c r="ET27" s="847" t="str">
        <f t="shared" si="125"/>
        <v>#ERROR!</v>
      </c>
      <c r="EU27" s="847" t="str">
        <f t="shared" si="125"/>
        <v>#ERROR!</v>
      </c>
      <c r="EV27" s="847" t="str">
        <f t="shared" si="125"/>
        <v>#ERROR!</v>
      </c>
      <c r="EW27" s="848" t="str">
        <f t="shared" si="125"/>
        <v>#ERROR!</v>
      </c>
      <c r="EX27" s="847" t="str">
        <f t="shared" si="125"/>
        <v>#ERROR!</v>
      </c>
      <c r="EY27" s="847" t="str">
        <f t="shared" si="125"/>
        <v>#ERROR!</v>
      </c>
      <c r="EZ27" s="847" t="str">
        <f t="shared" si="125"/>
        <v>#ERROR!</v>
      </c>
      <c r="FA27" s="847" t="str">
        <f t="shared" si="125"/>
        <v>#ERROR!</v>
      </c>
      <c r="FB27" s="848" t="str">
        <f t="shared" si="125"/>
        <v>#ERROR!</v>
      </c>
      <c r="FC27" s="847" t="str">
        <f t="shared" si="125"/>
        <v>#ERROR!</v>
      </c>
      <c r="FD27" s="847" t="str">
        <f t="shared" si="125"/>
        <v>#ERROR!</v>
      </c>
      <c r="FE27" s="847" t="str">
        <f t="shared" si="125"/>
        <v>#ERROR!</v>
      </c>
      <c r="FF27" s="847" t="str">
        <f t="shared" si="125"/>
        <v>#ERROR!</v>
      </c>
      <c r="FG27" s="848" t="str">
        <f t="shared" si="125"/>
        <v>#ERROR!</v>
      </c>
    </row>
    <row r="28" ht="12.75" customHeight="1">
      <c r="A28" s="128"/>
      <c r="B28" s="179"/>
      <c r="C28" s="179"/>
      <c r="D28" s="179"/>
      <c r="E28" s="179"/>
      <c r="F28" s="179"/>
      <c r="G28" s="179"/>
      <c r="H28" s="179"/>
      <c r="I28" s="179"/>
      <c r="J28" s="179"/>
      <c r="K28" s="179"/>
      <c r="L28" s="179"/>
      <c r="M28" s="179"/>
      <c r="N28" s="837"/>
      <c r="O28" s="837"/>
      <c r="P28" s="837"/>
      <c r="Q28" s="837"/>
      <c r="R28" s="838"/>
      <c r="S28" s="837"/>
      <c r="T28" s="837"/>
      <c r="U28" s="837"/>
      <c r="V28" s="837"/>
      <c r="W28" s="838"/>
      <c r="X28" s="837"/>
      <c r="Y28" s="837"/>
      <c r="Z28" s="837"/>
      <c r="AA28" s="837"/>
      <c r="AB28" s="838"/>
      <c r="AC28" s="837"/>
      <c r="AD28" s="837"/>
      <c r="AE28" s="837"/>
      <c r="AF28" s="837"/>
      <c r="AG28" s="838"/>
      <c r="AH28" s="837"/>
      <c r="AI28" s="837"/>
      <c r="AJ28" s="837"/>
      <c r="AK28" s="837"/>
      <c r="AL28" s="838"/>
      <c r="AM28" s="837"/>
      <c r="AN28" s="837"/>
      <c r="AO28" s="837"/>
      <c r="AP28" s="837"/>
      <c r="AQ28" s="838"/>
      <c r="AR28" s="837"/>
      <c r="AS28" s="837"/>
      <c r="AT28" s="837"/>
      <c r="AU28" s="837"/>
      <c r="AV28" s="838"/>
      <c r="AW28" s="837"/>
      <c r="AX28" s="837"/>
      <c r="AY28" s="837"/>
      <c r="AZ28" s="837"/>
      <c r="BA28" s="838"/>
      <c r="BB28" s="837"/>
      <c r="BC28" s="837"/>
      <c r="BD28" s="837"/>
      <c r="BE28" s="837"/>
      <c r="BF28" s="838"/>
      <c r="BG28" s="837"/>
      <c r="BH28" s="837"/>
      <c r="BI28" s="837"/>
      <c r="BJ28" s="837"/>
      <c r="BK28" s="838"/>
      <c r="BL28" s="837"/>
      <c r="BM28" s="837"/>
      <c r="BN28" s="837"/>
      <c r="BO28" s="837"/>
      <c r="BP28" s="838"/>
      <c r="BQ28" s="837"/>
      <c r="BR28" s="837"/>
      <c r="BS28" s="837"/>
      <c r="BT28" s="837"/>
      <c r="BU28" s="838"/>
      <c r="BV28" s="837"/>
      <c r="BW28" s="837"/>
      <c r="BX28" s="837"/>
      <c r="BY28" s="837"/>
      <c r="BZ28" s="838"/>
      <c r="CA28" s="837"/>
      <c r="CB28" s="837"/>
      <c r="CC28" s="837"/>
      <c r="CD28" s="837"/>
      <c r="CE28" s="838"/>
      <c r="CF28" s="837"/>
      <c r="CG28" s="837"/>
      <c r="CH28" s="837"/>
      <c r="CI28" s="837"/>
      <c r="CJ28" s="838"/>
      <c r="CK28" s="837"/>
      <c r="CL28" s="837"/>
      <c r="CM28" s="837"/>
      <c r="CN28" s="837"/>
      <c r="CO28" s="838"/>
      <c r="CP28" s="837"/>
      <c r="CQ28" s="837"/>
      <c r="CR28" s="837"/>
      <c r="CS28" s="837"/>
      <c r="CT28" s="839"/>
      <c r="CU28" s="268"/>
      <c r="CV28" s="268"/>
      <c r="CW28" s="837"/>
      <c r="CX28" s="837"/>
      <c r="CY28" s="839"/>
      <c r="CZ28" s="840"/>
      <c r="DA28" s="268"/>
      <c r="DB28" s="840"/>
      <c r="DC28" s="837"/>
      <c r="DD28" s="839"/>
      <c r="DE28" s="840"/>
      <c r="DF28" s="837"/>
      <c r="DG28" s="840"/>
      <c r="DH28" s="837"/>
      <c r="DI28" s="839"/>
      <c r="DJ28" s="840"/>
      <c r="DK28" s="840"/>
      <c r="DL28" s="840"/>
      <c r="DM28" s="840"/>
      <c r="DN28" s="839"/>
      <c r="DO28" s="840"/>
      <c r="DP28" s="840"/>
      <c r="DQ28" s="840"/>
      <c r="DR28" s="840"/>
      <c r="DS28" s="839"/>
      <c r="DT28" s="840"/>
      <c r="DU28" s="840"/>
      <c r="DV28" s="840"/>
      <c r="DW28" s="840"/>
      <c r="DX28" s="839"/>
      <c r="DY28" s="840"/>
      <c r="DZ28" s="840"/>
      <c r="EA28" s="840"/>
      <c r="EB28" s="840"/>
      <c r="EC28" s="839"/>
      <c r="ED28" s="840"/>
      <c r="EE28" s="840"/>
      <c r="EF28" s="840"/>
      <c r="EG28" s="840"/>
      <c r="EH28" s="839"/>
      <c r="EI28" s="841"/>
      <c r="EJ28" s="837"/>
      <c r="EK28" s="837"/>
      <c r="EL28" s="837"/>
      <c r="EM28" s="843"/>
      <c r="EN28" s="837"/>
      <c r="EO28" s="837"/>
      <c r="EP28" s="837"/>
      <c r="EQ28" s="837"/>
      <c r="ER28" s="851">
        <f>58500*0.35</f>
        <v>20475</v>
      </c>
      <c r="ES28" s="837"/>
      <c r="ET28" s="837"/>
      <c r="EU28" s="837"/>
      <c r="EV28" s="837"/>
      <c r="EW28" s="843"/>
      <c r="EX28" s="837"/>
      <c r="EY28" s="837"/>
      <c r="EZ28" s="837"/>
      <c r="FA28" s="837"/>
      <c r="FB28" s="843"/>
      <c r="FC28" s="837"/>
      <c r="FD28" s="837"/>
      <c r="FE28" s="837"/>
      <c r="FF28" s="837"/>
      <c r="FG28" s="843"/>
    </row>
    <row r="29" ht="12.75" hidden="1" customHeight="1" outlineLevel="1">
      <c r="A29" s="128"/>
      <c r="B29" s="180" t="s">
        <v>585</v>
      </c>
      <c r="C29" s="180"/>
      <c r="D29" s="180"/>
      <c r="E29" s="180"/>
      <c r="F29" s="180"/>
      <c r="G29" s="180"/>
      <c r="H29" s="180"/>
      <c r="I29" s="180"/>
      <c r="J29" s="180"/>
      <c r="K29" s="180"/>
      <c r="L29" s="180"/>
      <c r="M29" s="180"/>
      <c r="N29" s="652"/>
      <c r="O29" s="652"/>
      <c r="P29" s="652"/>
      <c r="Q29" s="652"/>
      <c r="R29" s="652"/>
      <c r="S29" s="652"/>
      <c r="T29" s="652"/>
      <c r="U29" s="652"/>
      <c r="V29" s="652"/>
      <c r="W29" s="842">
        <f>W33/COGS</f>
        <v>-0.2875126732</v>
      </c>
      <c r="X29" s="652">
        <f>X33/COGS</f>
        <v>-0.3593174975</v>
      </c>
      <c r="Y29" s="652">
        <f>Y33/COGS</f>
        <v>-0.3813585136</v>
      </c>
      <c r="Z29" s="652">
        <f>Z33/COGS</f>
        <v>-0.6114993647</v>
      </c>
      <c r="AA29" s="652">
        <f>AA33/COGS</f>
        <v>-0.7501547988</v>
      </c>
      <c r="AB29" s="842">
        <f>AB33/COGS</f>
        <v>-0.5275889328</v>
      </c>
      <c r="AC29" s="652">
        <f>AC33/COGS</f>
        <v>-0.8260465116</v>
      </c>
      <c r="AD29" s="652">
        <f>AD33/COGS</f>
        <v>-0.6483217418</v>
      </c>
      <c r="AE29" s="652">
        <f>AE33/COGS</f>
        <v>-0.3841823811</v>
      </c>
      <c r="AF29" s="652">
        <f>AF33/COGS</f>
        <v>-0.3339212228</v>
      </c>
      <c r="AG29" s="842">
        <f>AG33/COGS</f>
        <v>-0.5419292652</v>
      </c>
      <c r="AH29" s="652">
        <f>AH33/COGS</f>
        <v>-0.43320206</v>
      </c>
      <c r="AI29" s="652">
        <f>AI33/COGS</f>
        <v>-0.3328358209</v>
      </c>
      <c r="AJ29" s="652">
        <f>AJ33/COGS</f>
        <v>-0.2867006905</v>
      </c>
      <c r="AK29" s="652">
        <f>AK33/COGS</f>
        <v>-0.3472863741</v>
      </c>
      <c r="AL29" s="842">
        <f>AL33/COGS</f>
        <v>-0.3497694482</v>
      </c>
      <c r="AM29" s="652">
        <f>AM33/COGS</f>
        <v>-0.2945353504</v>
      </c>
      <c r="AN29" s="652">
        <f>AN33/COGS</f>
        <v>-0.2756869773</v>
      </c>
      <c r="AO29" s="652">
        <f>AO33/COGS</f>
        <v>-0.3273282443</v>
      </c>
      <c r="AP29" s="652">
        <f>AP33/COGS</f>
        <v>-0.221978022</v>
      </c>
      <c r="AQ29" s="842">
        <f>AQ33/COGS</f>
        <v>-0.2802176746</v>
      </c>
      <c r="AR29" s="652">
        <f>AR33/COGS</f>
        <v>-0.2111145607</v>
      </c>
      <c r="AS29" s="652">
        <f>AS33/COGS</f>
        <v>-0.3138574488</v>
      </c>
      <c r="AT29" s="652">
        <f>AT33/COGS</f>
        <v>-0.2947761194</v>
      </c>
      <c r="AU29" s="652">
        <f>AU33/COGS</f>
        <v>-0.2442549159</v>
      </c>
      <c r="AV29" s="842">
        <f>AV33/COGS</f>
        <v>-0.2657125078</v>
      </c>
      <c r="AW29" s="652">
        <f>AW33/COGS</f>
        <v>-0.4661105318</v>
      </c>
      <c r="AX29" s="652">
        <f>AX33/COGS</f>
        <v>-0.344836147</v>
      </c>
      <c r="AY29" s="652">
        <f>AY33/COGS</f>
        <v>-0.3310950413</v>
      </c>
      <c r="AZ29" s="652">
        <f>AZ33/COGS</f>
        <v>-0.3483722123</v>
      </c>
      <c r="BA29" s="842">
        <f>BA33/COGS</f>
        <v>-0.3720662531</v>
      </c>
      <c r="BB29" s="652">
        <f>BB33/COGS</f>
        <v>-0.4398298724</v>
      </c>
      <c r="BC29" s="652">
        <f>BC33/COGS</f>
        <v>-0.4528400208</v>
      </c>
      <c r="BD29" s="652">
        <f>BD33/COGS</f>
        <v>-0.2625421822</v>
      </c>
      <c r="BE29" s="652">
        <f>BE33/COGS</f>
        <v>-0.2285012285</v>
      </c>
      <c r="BF29" s="842">
        <f>BF33/COGS</f>
        <v>-0.3366930785</v>
      </c>
      <c r="BG29" s="652">
        <f>BG33/COGS</f>
        <v>-0.307918552</v>
      </c>
      <c r="BH29" s="652">
        <f>BH33/COGS</f>
        <v>-0.27752443</v>
      </c>
      <c r="BI29" s="652">
        <f>BI33/COGS</f>
        <v>-0.2263836871</v>
      </c>
      <c r="BJ29" s="652">
        <f>BJ33/COGS</f>
        <v>-0.2837717343</v>
      </c>
      <c r="BK29" s="842">
        <f>BK33/COGS</f>
        <v>-0.2729704646</v>
      </c>
      <c r="BL29" s="652">
        <f>BL33/COGS</f>
        <v>-0.2030900134</v>
      </c>
      <c r="BM29" s="652">
        <f>BM33/COGS</f>
        <v>-0.2726841981</v>
      </c>
      <c r="BN29" s="652">
        <f>BN33/COGS</f>
        <v>-0.3272987137</v>
      </c>
      <c r="BO29" s="652">
        <f>BO33/COGS</f>
        <v>-0.4576095411</v>
      </c>
      <c r="BP29" s="842">
        <f>BP33/COGS</f>
        <v>-0.3104169155</v>
      </c>
      <c r="BQ29" s="652">
        <f>BQ33/COGS</f>
        <v>-0.3862298439</v>
      </c>
      <c r="BR29" s="652">
        <f>BR33/COGS</f>
        <v>-0.2486692015</v>
      </c>
      <c r="BS29" s="652">
        <f>BS33/COGS</f>
        <v>-0.2368883312</v>
      </c>
      <c r="BT29" s="652">
        <f>BT33/COGS</f>
        <v>-0.289890051</v>
      </c>
      <c r="BU29" s="842">
        <f>BU33/COGS</f>
        <v>-0.2900552486</v>
      </c>
      <c r="BV29" s="652">
        <f>BV33/COGS</f>
        <v>-0.2461538462</v>
      </c>
      <c r="BW29" s="652">
        <f>BW33/COGS</f>
        <v>-0.2968838527</v>
      </c>
      <c r="BX29" s="652">
        <f>BX33/COGS</f>
        <v>-0.3602221634</v>
      </c>
      <c r="BY29" s="652">
        <f>BY33/COGS</f>
        <v>-0.4613675636</v>
      </c>
      <c r="BZ29" s="842">
        <f>BZ33/COGS</f>
        <v>-0.3441052075</v>
      </c>
      <c r="CA29" s="652">
        <f>CA33/COGS</f>
        <v>-0.548770657</v>
      </c>
      <c r="CB29" s="652">
        <f>CB33/COGS</f>
        <v>-0.4842105263</v>
      </c>
      <c r="CC29" s="652">
        <f>CC33/COGS</f>
        <v>-0.5202301055</v>
      </c>
      <c r="CD29" s="652">
        <f>CD33/COGS</f>
        <v>-0.5762917933</v>
      </c>
      <c r="CE29" s="842">
        <f>CE33/COGS</f>
        <v>-0.5317656358</v>
      </c>
      <c r="CF29" s="652">
        <f>CF33/COGS</f>
        <v>-0.6408101702</v>
      </c>
      <c r="CG29" s="652">
        <f>CG33/COGS</f>
        <v>-0.5381039014</v>
      </c>
      <c r="CH29" s="652">
        <f>CH33/COGS</f>
        <v>-0.5841764468</v>
      </c>
      <c r="CI29" s="652">
        <f>CI33/COGS</f>
        <v>-0.4424028269</v>
      </c>
      <c r="CJ29" s="842">
        <f>CJ33/COGS</f>
        <v>-0.5461614661</v>
      </c>
      <c r="CK29" s="652">
        <f>CK33/COGS</f>
        <v>-0.3942691331</v>
      </c>
      <c r="CL29" s="652">
        <f>CL33/COGS</f>
        <v>-0.5098296199</v>
      </c>
      <c r="CM29" s="652">
        <f>CM33/COGS</f>
        <v>-0.5653975143</v>
      </c>
      <c r="CN29" s="652">
        <f>CN33/COGS</f>
        <v>-0.5601368041</v>
      </c>
      <c r="CO29" s="842">
        <f>CO33/COGS</f>
        <v>-0.5055458536</v>
      </c>
      <c r="CP29" s="652">
        <f>CP33/COGS</f>
        <v>-0.5233553912</v>
      </c>
      <c r="CQ29" s="652">
        <f>CQ33/COGS</f>
        <v>-0.5754985755</v>
      </c>
      <c r="CR29" s="652">
        <f>CR33/COGS</f>
        <v>-0.4797880691</v>
      </c>
      <c r="CS29" s="652">
        <f>CS33/COGS</f>
        <v>-0.4201960784</v>
      </c>
      <c r="CT29" s="843">
        <f>CT33/COGS</f>
        <v>-0.4990616357</v>
      </c>
      <c r="CU29" s="646">
        <f>CU33/COGS</f>
        <v>-0.4009107108</v>
      </c>
      <c r="CV29" s="646">
        <f>CV33/COGS</f>
        <v>-0.3571861734</v>
      </c>
      <c r="CW29" s="652">
        <f>CW33/COGS</f>
        <v>-0.2252521479</v>
      </c>
      <c r="CX29" s="652">
        <f>CX33/COGS</f>
        <v>-0.4372652141</v>
      </c>
      <c r="CY29" s="843">
        <f>CY33/COGS</f>
        <v>-0.3543238537</v>
      </c>
      <c r="CZ29" s="653">
        <f>CZ33/COGS</f>
        <v>-0.2415649677</v>
      </c>
      <c r="DA29" s="646">
        <f>DA33/COGS</f>
        <v>-0.4111510791</v>
      </c>
      <c r="DB29" s="653">
        <f>DB33/COGS</f>
        <v>-0.4250215703</v>
      </c>
      <c r="DC29" s="652">
        <f>DC33/COGS</f>
        <v>-0.5630882118</v>
      </c>
      <c r="DD29" s="843">
        <f>DD33/COGS</f>
        <v>-0.4149422314</v>
      </c>
      <c r="DE29" s="653">
        <f>DE33/COGS</f>
        <v>-0.3455478846</v>
      </c>
      <c r="DF29" s="652">
        <f>DF33/COGS</f>
        <v>-0.4903795234</v>
      </c>
      <c r="DG29" s="653">
        <f>DG33/COGS</f>
        <v>-0.4890019698</v>
      </c>
      <c r="DH29" s="652">
        <f>DH33/COGS</f>
        <v>-0.6473114858</v>
      </c>
      <c r="DI29" s="843">
        <f>DI33/COGS</f>
        <v>-0.4971298329</v>
      </c>
      <c r="DJ29" s="653">
        <f>DJ33/COGS</f>
        <v>-0.4593528019</v>
      </c>
      <c r="DK29" s="653">
        <f>DK33/COGS</f>
        <v>-0.6923429619</v>
      </c>
      <c r="DL29" s="653">
        <f>DL33/COGS</f>
        <v>-0.566073791</v>
      </c>
      <c r="DM29" s="653">
        <f>DM33/COGS</f>
        <v>-0.5235531629</v>
      </c>
      <c r="DN29" s="843">
        <f>DN33/COGS</f>
        <v>-0.5599572129</v>
      </c>
      <c r="DO29" s="653">
        <f>DO33/COGS</f>
        <v>-0.4763339071</v>
      </c>
      <c r="DP29" s="653">
        <f>DP33/COGS</f>
        <v>-0.536290931</v>
      </c>
      <c r="DQ29" s="653">
        <f>DQ33/COGS</f>
        <v>-0.5917669411</v>
      </c>
      <c r="DR29" s="653">
        <f>DR33/COGS</f>
        <v>-0.5600768215</v>
      </c>
      <c r="DS29" s="843">
        <f>DS33/COGS</f>
        <v>-0.5436043588</v>
      </c>
      <c r="DT29" s="653">
        <f>DT33/COGS</f>
        <v>-0.4183307732</v>
      </c>
      <c r="DU29" s="653">
        <f>DU33/COGS</f>
        <v>-0.3695911506</v>
      </c>
      <c r="DV29" s="653">
        <f>DV33/COGS</f>
        <v>-0.4324953445</v>
      </c>
      <c r="DW29" s="653">
        <f>DW33/COGS</f>
        <v>-0.4480880649</v>
      </c>
      <c r="DX29" s="843">
        <f>DX33/COGS</f>
        <v>-0.4162603999</v>
      </c>
      <c r="DY29" s="653">
        <f>DY33/COGS</f>
        <v>-0.4503912008</v>
      </c>
      <c r="DZ29" s="653">
        <f>DZ33/COGS</f>
        <v>-0.427537092</v>
      </c>
      <c r="EA29" s="653">
        <f>EA33/COGS</f>
        <v>-0.4741889652</v>
      </c>
      <c r="EB29" s="653">
        <f>EB33/COGS</f>
        <v>-0.7515495325</v>
      </c>
      <c r="EC29" s="843">
        <f>EC33/COGS</f>
        <v>-0.5320514641</v>
      </c>
      <c r="ED29" s="653">
        <f>ED33/COGS</f>
        <v>-0.5266220222</v>
      </c>
      <c r="EE29" s="653">
        <f>EE33/COGS</f>
        <v>-0.7453256626</v>
      </c>
      <c r="EF29" s="653">
        <f>EF33/COGS</f>
        <v>-0.8057480404</v>
      </c>
      <c r="EG29" s="653">
        <f>EG33/COGS</f>
        <v>-0.6671739639</v>
      </c>
      <c r="EH29" s="843">
        <f>EH33/COGS</f>
        <v>-0.6865259202</v>
      </c>
      <c r="EI29" s="654" t="str">
        <f>EI33/COGS</f>
        <v>#ERROR!</v>
      </c>
      <c r="EJ29" s="652" t="str">
        <f>EJ33/COGS</f>
        <v>#ERROR!</v>
      </c>
      <c r="EK29" s="652" t="str">
        <f>EK33/COGS</f>
        <v>#ERROR!</v>
      </c>
      <c r="EL29" s="652" t="str">
        <f>EL33/COGS</f>
        <v>#ERROR!</v>
      </c>
      <c r="EM29" s="843" t="str">
        <f>EM33/COGS</f>
        <v>#ERROR!</v>
      </c>
      <c r="EN29" s="652" t="str">
        <f>EN33/COGS</f>
        <v>#ERROR!</v>
      </c>
      <c r="EO29" s="652" t="str">
        <f>EO33/COGS</f>
        <v>#ERROR!</v>
      </c>
      <c r="EP29" s="652" t="str">
        <f>EP33/COGS</f>
        <v>#ERROR!</v>
      </c>
      <c r="EQ29" s="652" t="str">
        <f>EQ33/COGS</f>
        <v>#ERROR!</v>
      </c>
      <c r="ER29" s="843" t="str">
        <f>ER33/COGS</f>
        <v>#ERROR!</v>
      </c>
      <c r="ES29" s="652" t="str">
        <f>ES33/COGS</f>
        <v>#ERROR!</v>
      </c>
      <c r="ET29" s="652" t="str">
        <f>ET33/COGS</f>
        <v>#ERROR!</v>
      </c>
      <c r="EU29" s="652" t="str">
        <f>EU33/COGS</f>
        <v>#ERROR!</v>
      </c>
      <c r="EV29" s="652" t="str">
        <f>EV33/COGS</f>
        <v>#ERROR!</v>
      </c>
      <c r="EW29" s="843" t="str">
        <f>EW33/COGS</f>
        <v>#ERROR!</v>
      </c>
      <c r="EX29" s="652" t="str">
        <f>EX33/COGS</f>
        <v>#ERROR!</v>
      </c>
      <c r="EY29" s="652" t="str">
        <f>EY33/COGS</f>
        <v>#ERROR!</v>
      </c>
      <c r="EZ29" s="652" t="str">
        <f>EZ33/COGS</f>
        <v>#ERROR!</v>
      </c>
      <c r="FA29" s="652" t="str">
        <f>FA33/COGS</f>
        <v>#ERROR!</v>
      </c>
      <c r="FB29" s="843" t="str">
        <f>FB33/COGS</f>
        <v>#ERROR!</v>
      </c>
      <c r="FC29" s="652" t="str">
        <f>FC33/COGS</f>
        <v>#ERROR!</v>
      </c>
      <c r="FD29" s="652" t="str">
        <f>FD33/COGS</f>
        <v>#ERROR!</v>
      </c>
      <c r="FE29" s="652" t="str">
        <f>FE33/COGS</f>
        <v>#ERROR!</v>
      </c>
      <c r="FF29" s="652" t="str">
        <f>FF33/COGS</f>
        <v>#ERROR!</v>
      </c>
      <c r="FG29" s="843" t="str">
        <f>FG33/COGS</f>
        <v>#ERROR!</v>
      </c>
    </row>
    <row r="30" ht="12.75" hidden="1" customHeight="1" outlineLevel="1">
      <c r="A30" s="128"/>
      <c r="B30" s="180" t="s">
        <v>586</v>
      </c>
      <c r="C30" s="180"/>
      <c r="D30" s="180"/>
      <c r="E30" s="180"/>
      <c r="F30" s="180"/>
      <c r="G30" s="180"/>
      <c r="H30" s="180"/>
      <c r="I30" s="180"/>
      <c r="J30" s="180"/>
      <c r="K30" s="180"/>
      <c r="L30" s="180"/>
      <c r="M30" s="180"/>
      <c r="N30" s="652">
        <f>N33/Sales</f>
        <v>-0.1881353108</v>
      </c>
      <c r="O30" s="652">
        <f>O33/Sales</f>
        <v>-0.1817108149</v>
      </c>
      <c r="P30" s="652">
        <f>P33/Sales</f>
        <v>-0.1072648938</v>
      </c>
      <c r="Q30" s="652">
        <f>Q33/Sales</f>
        <v>-0.08261097977</v>
      </c>
      <c r="R30" s="842">
        <f>-R33/Sales</f>
        <v>0.1353861379</v>
      </c>
      <c r="S30" s="652">
        <f>S33/Sales</f>
        <v>-0.0950302689</v>
      </c>
      <c r="T30" s="652">
        <f>T33/Sales</f>
        <v>-0.1135487696</v>
      </c>
      <c r="U30" s="652">
        <f>U33/Sales</f>
        <v>-0.1340065502</v>
      </c>
      <c r="V30" s="652">
        <f>V33/Sales</f>
        <v>-0.1193375548</v>
      </c>
      <c r="W30" s="842">
        <f>-W33/Sales</f>
        <v>0.1157916227</v>
      </c>
      <c r="X30" s="652">
        <f>X33/Sales</f>
        <v>-0.1343675716</v>
      </c>
      <c r="Y30" s="652">
        <f>Y33/Sales</f>
        <v>-0.1508433735</v>
      </c>
      <c r="Z30" s="652">
        <f>Z33/Sales</f>
        <v>-0.2204787539</v>
      </c>
      <c r="AA30" s="652">
        <f>AA33/Sales</f>
        <v>-0.2784417375</v>
      </c>
      <c r="AB30" s="842">
        <f>-AB33/Sales</f>
        <v>0.1978888691</v>
      </c>
      <c r="AC30" s="652">
        <f>-AC33/Sales</f>
        <v>0.3989815786</v>
      </c>
      <c r="AD30" s="652">
        <f>-AD33/Sales</f>
        <v>0.3384906852</v>
      </c>
      <c r="AE30" s="652">
        <f>-AE33/Sales</f>
        <v>0.2085561497</v>
      </c>
      <c r="AF30" s="652">
        <f>-AF33/Sales</f>
        <v>0.1626807962</v>
      </c>
      <c r="AG30" s="842">
        <f>-AG33/Sales</f>
        <v>0.2754060063</v>
      </c>
      <c r="AH30" s="652">
        <f>-AH33/Sales</f>
        <v>0.2108833505</v>
      </c>
      <c r="AI30" s="652">
        <f>-AI33/Sales</f>
        <v>0.1764519702</v>
      </c>
      <c r="AJ30" s="652">
        <f>-AJ33/Sales</f>
        <v>0.1468327183</v>
      </c>
      <c r="AK30" s="652">
        <f>-AK33/Sales</f>
        <v>0.1680167598</v>
      </c>
      <c r="AL30" s="842">
        <f>-AL33/Sales</f>
        <v>0.1757211179</v>
      </c>
      <c r="AM30" s="652">
        <f>-AM33/Sales</f>
        <v>0.1413123982</v>
      </c>
      <c r="AN30" s="652">
        <f>-AN33/Sales</f>
        <v>0.1354166667</v>
      </c>
      <c r="AO30" s="652">
        <f>-AO33/Sales</f>
        <v>0.1368568875</v>
      </c>
      <c r="AP30" s="652">
        <f>-AP33/Sales</f>
        <v>0.08088319414</v>
      </c>
      <c r="AQ30" s="842"/>
      <c r="AR30" s="652">
        <f>-AR33/Sales</f>
        <v>0.08404399951</v>
      </c>
      <c r="AS30" s="652">
        <f>-AS33/Sales</f>
        <v>0.1274692508</v>
      </c>
      <c r="AT30" s="652">
        <f>-AT33/Sales</f>
        <v>0.1305630976</v>
      </c>
      <c r="AU30" s="652">
        <f>-AU33/Sales</f>
        <v>0.1074182121</v>
      </c>
      <c r="AV30" s="842">
        <f>-AV33/Sales</f>
        <v>0.1123388582</v>
      </c>
      <c r="AW30" s="652">
        <f>-AW33/Sales</f>
        <v>0.1895272419</v>
      </c>
      <c r="AX30" s="652">
        <f>-AX33/Sales</f>
        <v>0.1504712382</v>
      </c>
      <c r="AY30" s="652">
        <f>-AY33/Sales</f>
        <v>0.1287148594</v>
      </c>
      <c r="AZ30" s="652">
        <f>-AZ33/Sales</f>
        <v>0.1332222331</v>
      </c>
      <c r="BA30" s="842">
        <f>-BA33/Sales</f>
        <v>0.14984804</v>
      </c>
      <c r="BB30" s="652">
        <f>-BB33/Sales</f>
        <v>0.1966442953</v>
      </c>
      <c r="BC30" s="652">
        <f>-BC33/Sales</f>
        <v>0.2170058684</v>
      </c>
      <c r="BD30" s="652">
        <f>-BD33/Sales</f>
        <v>0.1335393066</v>
      </c>
      <c r="BE30" s="652">
        <f>-BE33/Sales</f>
        <v>0.1151227563</v>
      </c>
      <c r="BF30" s="842">
        <f>-BF33/Sales</f>
        <v>0.1633316376</v>
      </c>
      <c r="BG30" s="652">
        <f>-BG33/Sales</f>
        <v>0.1537505648</v>
      </c>
      <c r="BH30" s="652">
        <f>-BH33/Sales</f>
        <v>0.147235023</v>
      </c>
      <c r="BI30" s="652">
        <f>-BI33/Sales</f>
        <v>0.1078295342</v>
      </c>
      <c r="BJ30" s="652">
        <f>-BJ33/Sales</f>
        <v>0.1188386856</v>
      </c>
      <c r="BK30" s="842">
        <f>-BK33/Sales</f>
        <v>0.1304325142</v>
      </c>
      <c r="BL30" s="652">
        <f>-BL33/Sales</f>
        <v>0.09376615321</v>
      </c>
      <c r="BM30" s="652">
        <f>-BM33/Sales</f>
        <v>0.1215417107</v>
      </c>
      <c r="BN30" s="652">
        <f>-BN33/Sales</f>
        <v>0.1344817461</v>
      </c>
      <c r="BO30" s="652">
        <f>-BO33/Sales</f>
        <v>0.2145635789</v>
      </c>
      <c r="BP30" s="842">
        <f>-BP33/Sales</f>
        <v>0.1382695685</v>
      </c>
      <c r="BQ30" s="652">
        <f>-BQ33/Sales</f>
        <v>0.211196641</v>
      </c>
      <c r="BR30" s="652">
        <f>-BR33/Sales</f>
        <v>0.1222582253</v>
      </c>
      <c r="BS30" s="652">
        <f>-BS33/Sales</f>
        <v>0.1005431888</v>
      </c>
      <c r="BT30" s="652">
        <f>-BT33/Sales</f>
        <v>0.1022802536</v>
      </c>
      <c r="BU30" s="842">
        <f>-BU33/Sales</f>
        <v>0.1285336066</v>
      </c>
      <c r="BV30" s="652">
        <f>-BV33/Sales</f>
        <v>0.09010583552</v>
      </c>
      <c r="BW30" s="652">
        <f>-BW33/Sales</f>
        <v>0.09735253135</v>
      </c>
      <c r="BX30" s="652">
        <f>-BX33/Sales</f>
        <v>0.1226805981</v>
      </c>
      <c r="BY30" s="652">
        <f>-BY33/Sales</f>
        <v>0.1631317099</v>
      </c>
      <c r="BZ30" s="842">
        <f>-BZ33/Sales</f>
        <v>0.1193636384</v>
      </c>
      <c r="CA30" s="652">
        <f>-CA33/Sales</f>
        <v>0.2119560987</v>
      </c>
      <c r="CB30" s="652">
        <f>-CB33/Sales</f>
        <v>0.1906077348</v>
      </c>
      <c r="CC30" s="652">
        <f>-CC33/Sales</f>
        <v>0.1906133633</v>
      </c>
      <c r="CD30" s="652">
        <f>-CD33/Sales</f>
        <v>0.2047958522</v>
      </c>
      <c r="CE30" s="842">
        <f>-CE33/Sales</f>
        <v>0.1993370248</v>
      </c>
      <c r="CF30" s="652">
        <f>-CF33/Sales</f>
        <v>0.2304354564</v>
      </c>
      <c r="CG30" s="652">
        <f>-CG33/Sales</f>
        <v>0.19717058</v>
      </c>
      <c r="CH30" s="652">
        <f>-CH33/Sales</f>
        <v>0.2145351861</v>
      </c>
      <c r="CI30" s="652">
        <f>-CI33/Sales</f>
        <v>0.1857980263</v>
      </c>
      <c r="CJ30" s="842">
        <f>-CJ33/Sales</f>
        <v>0.2067265331</v>
      </c>
      <c r="CK30" s="652">
        <f>-CK33/Sales</f>
        <v>0.1728139905</v>
      </c>
      <c r="CL30" s="652">
        <f>-CL33/Sales</f>
        <v>0.2125517134</v>
      </c>
      <c r="CM30" s="652">
        <f>-CM33/Sales</f>
        <v>0.2125639694</v>
      </c>
      <c r="CN30" s="652">
        <f>-CN33/Sales</f>
        <v>0.2130981639</v>
      </c>
      <c r="CO30" s="842">
        <f>-CO33/Sales</f>
        <v>0.2032139334</v>
      </c>
      <c r="CP30" s="652">
        <f>-CP33/Sales</f>
        <v>0.2106706362</v>
      </c>
      <c r="CQ30" s="652">
        <f>-CQ33/Sales</f>
        <v>0.2044682236</v>
      </c>
      <c r="CR30" s="652">
        <f>-CR33/Sales</f>
        <v>0.1679950529</v>
      </c>
      <c r="CS30" s="652">
        <f>-CS33/Sales</f>
        <v>0.1455743496</v>
      </c>
      <c r="CT30" s="843">
        <f>-CT33/Sales</f>
        <v>0.1808662968</v>
      </c>
      <c r="CU30" s="646">
        <f>-CU33/Sales</f>
        <v>0.1584383069</v>
      </c>
      <c r="CV30" s="646">
        <f>-CV33/Sales</f>
        <v>0.1339143615</v>
      </c>
      <c r="CW30" s="652">
        <f>-CW33/Sales</f>
        <v>0.08337366056</v>
      </c>
      <c r="CX30" s="652">
        <f>-CX33/Sales</f>
        <v>0.1560949443</v>
      </c>
      <c r="CY30" s="843">
        <f>-CY33/Sales</f>
        <v>0.1323457682</v>
      </c>
      <c r="CZ30" s="653">
        <f>-CZ33/Sales</f>
        <v>0.09752916455</v>
      </c>
      <c r="DA30" s="646">
        <f>-DA33/Sales</f>
        <v>0.1689204168</v>
      </c>
      <c r="DB30" s="653">
        <f>-DB33/Sales</f>
        <v>0.1561034352</v>
      </c>
      <c r="DC30" s="652">
        <f>-DC33/Sales</f>
        <v>0.2155856846</v>
      </c>
      <c r="DD30" s="843">
        <f>-DD33/Sales</f>
        <v>0.1618027771</v>
      </c>
      <c r="DE30" s="653">
        <f>-DE33/Sales</f>
        <v>0.131927548</v>
      </c>
      <c r="DF30" s="653">
        <f>-DF33/Sales</f>
        <v>0.1881731355</v>
      </c>
      <c r="DG30" s="653">
        <f>-DG33/Sales</f>
        <v>0.1844696266</v>
      </c>
      <c r="DH30" s="652">
        <f>-DH33/Sales</f>
        <v>0.2386090424</v>
      </c>
      <c r="DI30" s="843">
        <f>-DI33/Sales</f>
        <v>0.1876643138</v>
      </c>
      <c r="DJ30" s="653">
        <f>-DJ33/Sales</f>
        <v>0.1811278476</v>
      </c>
      <c r="DK30" s="653">
        <f>-DK33/Sales</f>
        <v>0.2670675628</v>
      </c>
      <c r="DL30" s="653">
        <f>-DL33/Sales</f>
        <v>0.2009601837</v>
      </c>
      <c r="DM30" s="653">
        <f>-DM33/Sales</f>
        <v>0.2085008308</v>
      </c>
      <c r="DN30" s="843">
        <f>-DN33/Sales</f>
        <v>0.2142756323</v>
      </c>
      <c r="DO30" s="653">
        <f>-DO33/Sales</f>
        <v>0.2067741735</v>
      </c>
      <c r="DP30" s="653">
        <f>-DP33/Sales</f>
        <v>0.2153286883</v>
      </c>
      <c r="DQ30" s="653">
        <f>-DQ33/Sales</f>
        <v>0.2434601355</v>
      </c>
      <c r="DR30" s="653">
        <f>-DR33/Sales</f>
        <v>0.2308872285</v>
      </c>
      <c r="DS30" s="843">
        <f>-DS33/Sales</f>
        <v>0.2252900716</v>
      </c>
      <c r="DT30" s="653">
        <f>-DT33/Sales</f>
        <v>0.1648174299</v>
      </c>
      <c r="DU30" s="653">
        <f>-DU33/Sales</f>
        <v>0.1727493917</v>
      </c>
      <c r="DV30" s="653">
        <f>-DV33/Sales</f>
        <v>0.2026945944</v>
      </c>
      <c r="DW30" s="653">
        <f>-DW33/Sales</f>
        <v>0.1935629192</v>
      </c>
      <c r="DX30" s="843">
        <f>-DX33/Sales</f>
        <v>0.1831199353</v>
      </c>
      <c r="DY30" s="653">
        <f>-DY33/Sales</f>
        <v>0.2139394592</v>
      </c>
      <c r="DZ30" s="653">
        <f>-DZ33/Sales</f>
        <v>0.1943560136</v>
      </c>
      <c r="EA30" s="653">
        <f>-EA33/Sales</f>
        <v>0.2214297562</v>
      </c>
      <c r="EB30" s="653">
        <f>-EB33/Sales</f>
        <v>0.3662707352</v>
      </c>
      <c r="EC30" s="843">
        <f>-EC33/Sales</f>
        <v>0.2507160256</v>
      </c>
      <c r="ED30" s="653">
        <f>-ED33/Sales</f>
        <v>0.2613741623</v>
      </c>
      <c r="EE30" s="653">
        <f>-EE33/Sales</f>
        <v>0.4735330592</v>
      </c>
      <c r="EF30" s="653">
        <f>-EF33/Sales</f>
        <v>0.462446212</v>
      </c>
      <c r="EG30" s="653">
        <f>-EG33/Sales</f>
        <v>0.405853867</v>
      </c>
      <c r="EH30" s="843">
        <f>-EH33/Sales</f>
        <v>0.3940114822</v>
      </c>
      <c r="EI30" s="654" t="str">
        <f>-EI33/Sales</f>
        <v>#ERROR!</v>
      </c>
      <c r="EJ30" s="653" t="str">
        <f>-EJ33/Sales</f>
        <v>#ERROR!</v>
      </c>
      <c r="EK30" s="653" t="str">
        <f>-EK33/Sales</f>
        <v>#ERROR!</v>
      </c>
      <c r="EL30" s="653" t="str">
        <f>-EL33/Sales</f>
        <v>#ERROR!</v>
      </c>
      <c r="EM30" s="843" t="str">
        <f>-EM33/Sales</f>
        <v>#ERROR!</v>
      </c>
      <c r="EN30" s="653" t="str">
        <f>-EN33/Sales</f>
        <v>#ERROR!</v>
      </c>
      <c r="EO30" s="653" t="str">
        <f>-EO33/Sales</f>
        <v>#ERROR!</v>
      </c>
      <c r="EP30" s="653" t="str">
        <f>-EP33/Sales</f>
        <v>#ERROR!</v>
      </c>
      <c r="EQ30" s="653" t="str">
        <f>-EQ33/Sales</f>
        <v>#ERROR!</v>
      </c>
      <c r="ER30" s="843" t="str">
        <f>-ER33/Sales</f>
        <v>#ERROR!</v>
      </c>
      <c r="ES30" s="653" t="str">
        <f>-ES33/Sales</f>
        <v>#ERROR!</v>
      </c>
      <c r="ET30" s="653" t="str">
        <f>-ET33/Sales</f>
        <v>#ERROR!</v>
      </c>
      <c r="EU30" s="653" t="str">
        <f>-EU33/Sales</f>
        <v>#ERROR!</v>
      </c>
      <c r="EV30" s="653" t="str">
        <f>-EV33/Sales</f>
        <v>#ERROR!</v>
      </c>
      <c r="EW30" s="843" t="str">
        <f>-EW33/Sales</f>
        <v>#ERROR!</v>
      </c>
      <c r="EX30" s="653" t="str">
        <f>-EX33/Sales</f>
        <v>#ERROR!</v>
      </c>
      <c r="EY30" s="653" t="str">
        <f>-EY33/Sales</f>
        <v>#ERROR!</v>
      </c>
      <c r="EZ30" s="653" t="str">
        <f>-EZ33/Sales</f>
        <v>#ERROR!</v>
      </c>
      <c r="FA30" s="653" t="str">
        <f>-FA33/Sales</f>
        <v>#ERROR!</v>
      </c>
      <c r="FB30" s="843" t="str">
        <f>-FB33/Sales</f>
        <v>#ERROR!</v>
      </c>
      <c r="FC30" s="653" t="str">
        <f>-FC33/Sales</f>
        <v>#ERROR!</v>
      </c>
      <c r="FD30" s="653" t="str">
        <f>-FD33/Sales</f>
        <v>#ERROR!</v>
      </c>
      <c r="FE30" s="653" t="str">
        <f>-FE33/Sales</f>
        <v>#ERROR!</v>
      </c>
      <c r="FF30" s="653" t="str">
        <f>-FF33/Sales</f>
        <v>#ERROR!</v>
      </c>
      <c r="FG30" s="843" t="str">
        <f>-FG33/Sales</f>
        <v>#ERROR!</v>
      </c>
    </row>
    <row r="31" ht="12.75" hidden="1" customHeight="1" outlineLevel="1">
      <c r="A31" s="128"/>
      <c r="B31" s="180" t="s">
        <v>587</v>
      </c>
      <c r="C31" s="180"/>
      <c r="D31" s="180"/>
      <c r="E31" s="180"/>
      <c r="F31" s="180"/>
      <c r="G31" s="180"/>
      <c r="H31" s="180"/>
      <c r="I31" s="180"/>
      <c r="J31" s="180"/>
      <c r="K31" s="180"/>
      <c r="L31" s="180"/>
      <c r="M31" s="180"/>
      <c r="N31" s="652"/>
      <c r="O31" s="652"/>
      <c r="P31" s="652"/>
      <c r="Q31" s="652"/>
      <c r="R31" s="842"/>
      <c r="S31" s="652"/>
      <c r="T31" s="652"/>
      <c r="U31" s="652"/>
      <c r="V31" s="652"/>
      <c r="W31" s="842"/>
      <c r="X31" s="652"/>
      <c r="Y31" s="652"/>
      <c r="Z31" s="652"/>
      <c r="AA31" s="652"/>
      <c r="AB31" s="842"/>
      <c r="AC31" s="652"/>
      <c r="AD31" s="652"/>
      <c r="AE31" s="652"/>
      <c r="AF31" s="652"/>
      <c r="AG31" s="842"/>
      <c r="AH31" s="652"/>
      <c r="AI31" s="652"/>
      <c r="AJ31" s="652"/>
      <c r="AK31" s="652"/>
      <c r="AL31" s="842"/>
      <c r="AM31" s="652"/>
      <c r="AN31" s="652"/>
      <c r="AO31" s="652"/>
      <c r="AP31" s="652"/>
      <c r="AQ31" s="842"/>
      <c r="AR31" s="652"/>
      <c r="AS31" s="652"/>
      <c r="AT31" s="652"/>
      <c r="AU31" s="652"/>
      <c r="AV31" s="842"/>
      <c r="AW31" s="652"/>
      <c r="AX31" s="652"/>
      <c r="AY31" s="652"/>
      <c r="AZ31" s="652"/>
      <c r="BA31" s="842"/>
      <c r="BB31" s="652"/>
      <c r="BC31" s="652"/>
      <c r="BD31" s="652"/>
      <c r="BE31" s="652"/>
      <c r="BF31" s="842"/>
      <c r="BG31" s="652"/>
      <c r="BH31" s="652"/>
      <c r="BI31" s="652"/>
      <c r="BJ31" s="652"/>
      <c r="BK31" s="842"/>
      <c r="BL31" s="652"/>
      <c r="BM31" s="652"/>
      <c r="BN31" s="652"/>
      <c r="BO31" s="652"/>
      <c r="BP31" s="842"/>
      <c r="BQ31" s="652"/>
      <c r="BR31" s="652"/>
      <c r="BS31" s="652"/>
      <c r="BT31" s="652"/>
      <c r="BU31" s="842"/>
      <c r="BV31" s="652"/>
      <c r="BW31" s="652"/>
      <c r="BX31" s="652"/>
      <c r="BY31" s="652"/>
      <c r="BZ31" s="842"/>
      <c r="CA31" s="652"/>
      <c r="CB31" s="652"/>
      <c r="CC31" s="652"/>
      <c r="CD31" s="652"/>
      <c r="CE31" s="842"/>
      <c r="CF31" s="652"/>
      <c r="CG31" s="652"/>
      <c r="CH31" s="652"/>
      <c r="CI31" s="652"/>
      <c r="CJ31" s="842"/>
      <c r="CK31" s="652"/>
      <c r="CL31" s="652"/>
      <c r="CM31" s="652"/>
      <c r="CN31" s="652"/>
      <c r="CO31" s="842"/>
      <c r="CP31" s="652"/>
      <c r="CQ31" s="652"/>
      <c r="CR31" s="652"/>
      <c r="CS31" s="652"/>
      <c r="CT31" s="843"/>
      <c r="CU31" s="646"/>
      <c r="CV31" s="646"/>
      <c r="CW31" s="652"/>
      <c r="CX31" s="652"/>
      <c r="CY31" s="843"/>
      <c r="CZ31" s="653"/>
      <c r="DA31" s="646"/>
      <c r="DB31" s="653"/>
      <c r="DC31" s="652"/>
      <c r="DD31" s="843"/>
      <c r="DE31" s="653"/>
      <c r="DF31" s="653"/>
      <c r="DG31" s="653"/>
      <c r="DH31" s="652"/>
      <c r="DI31" s="843"/>
      <c r="DJ31" s="653"/>
      <c r="DK31" s="653"/>
      <c r="DL31" s="653"/>
      <c r="DM31" s="653"/>
      <c r="DN31" s="843"/>
      <c r="DO31" s="653"/>
      <c r="DP31" s="653"/>
      <c r="DQ31" s="653"/>
      <c r="DR31" s="653"/>
      <c r="DS31" s="843"/>
      <c r="DT31" s="653"/>
      <c r="DU31" s="653"/>
      <c r="DV31" s="653"/>
      <c r="DW31" s="653"/>
      <c r="DX31" s="843"/>
      <c r="DY31" s="653"/>
      <c r="DZ31" s="653"/>
      <c r="EA31" s="653"/>
      <c r="EB31" s="653"/>
      <c r="EC31" s="843"/>
      <c r="ED31" s="653">
        <f>-(ED33+ED32)/IS!ED12</f>
        <v>0.2613741623</v>
      </c>
      <c r="EE31" s="653">
        <f>-(EE33+EE32)/IS!EE12</f>
        <v>0.4735330592</v>
      </c>
      <c r="EF31" s="653">
        <f>-(EF33+EF32)/IS!EF12</f>
        <v>0.462446212</v>
      </c>
      <c r="EG31" s="653">
        <f>-(EG33+EG46)/IS!EG12</f>
        <v>0.3436120211</v>
      </c>
      <c r="EH31" s="843">
        <f>-(EH33+EH46)/IS!EH12</f>
        <v>0.3801503473</v>
      </c>
      <c r="EI31" s="654" t="str">
        <f>-(EI33+EI46)/IS!EI12</f>
        <v>#ERROR!</v>
      </c>
      <c r="EJ31" s="653" t="str">
        <f>-(EJ33+EJ46)/IS!EJ12</f>
        <v>#ERROR!</v>
      </c>
      <c r="EK31" s="653" t="str">
        <f>-(EK33+EK46)/IS!EK12</f>
        <v>#ERROR!</v>
      </c>
      <c r="EL31" s="653" t="str">
        <f>-(EL33+EL46)/IS!EL12</f>
        <v>#ERROR!</v>
      </c>
      <c r="EM31" s="843" t="str">
        <f>-(EM33+EM46)/IS!EM12</f>
        <v>#ERROR!</v>
      </c>
      <c r="EN31" s="653" t="str">
        <f>-(EN33+EN46)/IS!EN12</f>
        <v>#ERROR!</v>
      </c>
      <c r="EO31" s="653" t="str">
        <f>-(EO33+EO46)/IS!EO12</f>
        <v>#ERROR!</v>
      </c>
      <c r="EP31" s="653" t="str">
        <f>-(EP33+EP46)/IS!EP12</f>
        <v>#ERROR!</v>
      </c>
      <c r="EQ31" s="653" t="str">
        <f>-(EQ33+EQ46)/IS!EQ12</f>
        <v>#ERROR!</v>
      </c>
      <c r="ER31" s="843" t="str">
        <f>-(ER33+ER46)/IS!ER12</f>
        <v>#ERROR!</v>
      </c>
      <c r="ES31" s="653" t="str">
        <f>-(ES33+ES46)/IS!ES12</f>
        <v>#ERROR!</v>
      </c>
      <c r="ET31" s="653" t="str">
        <f>-(ET33+ET46)/IS!ET12</f>
        <v>#ERROR!</v>
      </c>
      <c r="EU31" s="653" t="str">
        <f>-(EU33+EU46)/IS!EU12</f>
        <v>#ERROR!</v>
      </c>
      <c r="EV31" s="653" t="str">
        <f>-(EV33+EV46)/IS!EV12</f>
        <v>#ERROR!</v>
      </c>
      <c r="EW31" s="843" t="str">
        <f>-(EW33+EW46)/IS!EW12</f>
        <v>#ERROR!</v>
      </c>
      <c r="EX31" s="653" t="str">
        <f>-(EX33+EX46)/IS!EX12</f>
        <v>#ERROR!</v>
      </c>
      <c r="EY31" s="653" t="str">
        <f>-(EY33+EY46)/IS!EY12</f>
        <v>#ERROR!</v>
      </c>
      <c r="EZ31" s="653" t="str">
        <f>-(EZ33+EZ46)/IS!EZ12</f>
        <v>#ERROR!</v>
      </c>
      <c r="FA31" s="653" t="str">
        <f>-(FA33+FA46)/IS!FA12</f>
        <v>#ERROR!</v>
      </c>
      <c r="FB31" s="843" t="str">
        <f>-(FB33+FB46)/IS!FB12</f>
        <v>#ERROR!</v>
      </c>
      <c r="FC31" s="653" t="str">
        <f>-(FC33+FC46)/IS!FC12</f>
        <v>#ERROR!</v>
      </c>
      <c r="FD31" s="653" t="str">
        <f>-(FD33+FD46)/IS!FD12</f>
        <v>#ERROR!</v>
      </c>
      <c r="FE31" s="653" t="str">
        <f>-(FE33+FE46)/IS!FE12</f>
        <v>#ERROR!</v>
      </c>
      <c r="FF31" s="653" t="str">
        <f>-(FF33+FF46)/IS!FF12</f>
        <v>#ERROR!</v>
      </c>
      <c r="FG31" s="843" t="str">
        <f>-(FG33+FG46)/IS!FG12</f>
        <v>#ERROR!</v>
      </c>
    </row>
    <row r="32" ht="12.75" hidden="1" customHeight="1" outlineLevel="1">
      <c r="A32" s="128"/>
      <c r="B32" s="180"/>
      <c r="C32" s="180"/>
      <c r="D32" s="180"/>
      <c r="E32" s="180"/>
      <c r="F32" s="180"/>
      <c r="G32" s="180"/>
      <c r="H32" s="180"/>
      <c r="I32" s="180"/>
      <c r="J32" s="180"/>
      <c r="K32" s="180"/>
      <c r="L32" s="180"/>
      <c r="M32" s="180"/>
      <c r="N32" s="652"/>
      <c r="O32" s="652"/>
      <c r="P32" s="652"/>
      <c r="Q32" s="652"/>
      <c r="R32" s="842"/>
      <c r="S32" s="652"/>
      <c r="T32" s="652"/>
      <c r="U32" s="652"/>
      <c r="V32" s="652"/>
      <c r="W32" s="842"/>
      <c r="X32" s="652"/>
      <c r="Y32" s="652"/>
      <c r="Z32" s="652"/>
      <c r="AA32" s="652"/>
      <c r="AB32" s="842"/>
      <c r="AC32" s="652"/>
      <c r="AD32" s="652"/>
      <c r="AE32" s="652"/>
      <c r="AF32" s="652"/>
      <c r="AG32" s="842"/>
      <c r="AH32" s="652"/>
      <c r="AI32" s="652"/>
      <c r="AJ32" s="652"/>
      <c r="AK32" s="652"/>
      <c r="AL32" s="842"/>
      <c r="AM32" s="652"/>
      <c r="AN32" s="652"/>
      <c r="AO32" s="652"/>
      <c r="AP32" s="652"/>
      <c r="AQ32" s="842"/>
      <c r="AR32" s="652"/>
      <c r="AS32" s="652"/>
      <c r="AT32" s="652"/>
      <c r="AU32" s="652"/>
      <c r="AV32" s="842"/>
      <c r="AW32" s="652"/>
      <c r="AX32" s="652"/>
      <c r="AY32" s="652"/>
      <c r="AZ32" s="652"/>
      <c r="BA32" s="842"/>
      <c r="BB32" s="652"/>
      <c r="BC32" s="652"/>
      <c r="BD32" s="652"/>
      <c r="BE32" s="652"/>
      <c r="BF32" s="842"/>
      <c r="BG32" s="652"/>
      <c r="BH32" s="652"/>
      <c r="BI32" s="652"/>
      <c r="BJ32" s="652"/>
      <c r="BK32" s="842"/>
      <c r="BL32" s="652"/>
      <c r="BM32" s="652"/>
      <c r="BN32" s="652"/>
      <c r="BO32" s="652"/>
      <c r="BP32" s="842"/>
      <c r="BQ32" s="652"/>
      <c r="BR32" s="652"/>
      <c r="BS32" s="652"/>
      <c r="BT32" s="652"/>
      <c r="BU32" s="842"/>
      <c r="BV32" s="652"/>
      <c r="BW32" s="652"/>
      <c r="BX32" s="652"/>
      <c r="BY32" s="652"/>
      <c r="BZ32" s="842"/>
      <c r="CA32" s="652"/>
      <c r="CB32" s="652"/>
      <c r="CC32" s="652"/>
      <c r="CD32" s="652"/>
      <c r="CE32" s="842"/>
      <c r="CF32" s="652"/>
      <c r="CG32" s="652"/>
      <c r="CH32" s="652"/>
      <c r="CI32" s="652"/>
      <c r="CJ32" s="842"/>
      <c r="CK32" s="652"/>
      <c r="CL32" s="652"/>
      <c r="CM32" s="652"/>
      <c r="CN32" s="652"/>
      <c r="CO32" s="842"/>
      <c r="CP32" s="652"/>
      <c r="CQ32" s="652"/>
      <c r="CR32" s="652"/>
      <c r="CS32" s="652"/>
      <c r="CT32" s="843"/>
      <c r="CU32" s="646"/>
      <c r="CV32" s="646"/>
      <c r="CW32" s="652"/>
      <c r="CX32" s="652"/>
      <c r="CY32" s="843"/>
      <c r="CZ32" s="653"/>
      <c r="DA32" s="646"/>
      <c r="DB32" s="653"/>
      <c r="DC32" s="652"/>
      <c r="DD32" s="843"/>
      <c r="DE32" s="653"/>
      <c r="DF32" s="653"/>
      <c r="DG32" s="653"/>
      <c r="DH32" s="652"/>
      <c r="DI32" s="843"/>
      <c r="DJ32" s="852"/>
      <c r="DK32" s="852"/>
      <c r="DL32" s="852"/>
      <c r="DM32" s="852"/>
      <c r="DN32" s="839"/>
      <c r="DO32" s="844"/>
      <c r="DP32" s="844"/>
      <c r="DQ32" s="844"/>
      <c r="DR32" s="844"/>
      <c r="DS32" s="839"/>
      <c r="DT32" s="844"/>
      <c r="DU32" s="844"/>
      <c r="DV32" s="844"/>
      <c r="DW32" s="844"/>
      <c r="DX32" s="843"/>
      <c r="DY32" s="844"/>
      <c r="DZ32" s="844"/>
      <c r="EA32" s="844"/>
      <c r="EB32" s="844"/>
      <c r="EC32" s="843"/>
      <c r="ED32" s="844"/>
      <c r="EE32" s="844"/>
      <c r="EF32" s="844"/>
      <c r="EG32" s="844"/>
      <c r="EH32" s="839"/>
      <c r="EI32" s="853"/>
      <c r="EJ32" s="852"/>
      <c r="EK32" s="852"/>
      <c r="EL32" s="852"/>
      <c r="EM32" s="839"/>
      <c r="EN32" s="852"/>
      <c r="EO32" s="852"/>
      <c r="EP32" s="852"/>
      <c r="EQ32" s="852"/>
      <c r="ER32" s="839"/>
      <c r="ES32" s="852"/>
      <c r="ET32" s="852"/>
      <c r="EU32" s="852"/>
      <c r="EV32" s="852"/>
      <c r="EW32" s="839"/>
      <c r="EX32" s="852"/>
      <c r="EY32" s="852"/>
      <c r="EZ32" s="852"/>
      <c r="FA32" s="852"/>
      <c r="FB32" s="839"/>
      <c r="FC32" s="852"/>
      <c r="FD32" s="852"/>
      <c r="FE32" s="852"/>
      <c r="FF32" s="852"/>
      <c r="FG32" s="839"/>
    </row>
    <row r="33" ht="12.75" customHeight="1" collapsed="1">
      <c r="A33" s="128"/>
      <c r="B33" s="180" t="s">
        <v>588</v>
      </c>
      <c r="C33" s="179"/>
      <c r="D33" s="179"/>
      <c r="E33" s="179"/>
      <c r="F33" s="179"/>
      <c r="G33" s="179"/>
      <c r="H33" s="179"/>
      <c r="I33" s="179"/>
      <c r="J33" s="179"/>
      <c r="K33" s="179"/>
      <c r="L33" s="179"/>
      <c r="M33" s="179"/>
      <c r="N33" s="837">
        <v>-1129.0</v>
      </c>
      <c r="O33" s="837">
        <f>-2206-N33</f>
        <v>-1077</v>
      </c>
      <c r="P33" s="837">
        <f>-2928-O33-N33</f>
        <v>-722</v>
      </c>
      <c r="Q33" s="837">
        <f>-3557-P33-O33-N33</f>
        <v>-629</v>
      </c>
      <c r="R33" s="838">
        <f t="shared" ref="R33:R34" si="126">+SUM(N33:Q33)</f>
        <v>-3557</v>
      </c>
      <c r="S33" s="837">
        <v>-675.0</v>
      </c>
      <c r="T33" s="837">
        <v>-766.0</v>
      </c>
      <c r="U33" s="837">
        <v>-982.0</v>
      </c>
      <c r="V33" s="837">
        <f t="shared" ref="V33:V34" si="127">W33-S33-T33-U33</f>
        <v>-980</v>
      </c>
      <c r="W33" s="838">
        <v>-3403.0</v>
      </c>
      <c r="X33" s="837">
        <v>-1074.0</v>
      </c>
      <c r="Y33" s="837">
        <v>-1252.0</v>
      </c>
      <c r="Z33" s="837">
        <f>-4251-Y33-X33</f>
        <v>-1925</v>
      </c>
      <c r="AA33" s="837">
        <f t="shared" ref="AA33:AA34" si="128">AB33-X33-Y33-Z33</f>
        <v>-2423</v>
      </c>
      <c r="AB33" s="838">
        <v>-6674.0</v>
      </c>
      <c r="AC33" s="837">
        <v>-2664.0</v>
      </c>
      <c r="AD33" s="837">
        <v>-2144.0</v>
      </c>
      <c r="AE33" s="837">
        <v>-1365.0</v>
      </c>
      <c r="AF33" s="837">
        <f t="shared" ref="AF33:AF34" si="129">AG33-AC33-AD33-AE33</f>
        <v>-1136</v>
      </c>
      <c r="AG33" s="838">
        <v>-7309.0</v>
      </c>
      <c r="AH33" s="837">
        <v>-1430.0</v>
      </c>
      <c r="AI33" s="837">
        <f>-2545-AH33</f>
        <v>-1115</v>
      </c>
      <c r="AJ33" s="837">
        <v>-955.0</v>
      </c>
      <c r="AK33" s="837">
        <v>-1203.0</v>
      </c>
      <c r="AL33" s="838">
        <f t="shared" ref="AL33:AL34" si="130">SUM(AH33:AK33)</f>
        <v>-4703</v>
      </c>
      <c r="AM33" s="837">
        <v>-954.0</v>
      </c>
      <c r="AN33" s="837">
        <f>-1877-AM33</f>
        <v>-923</v>
      </c>
      <c r="AO33" s="837">
        <f>-2949-AM33-AN33</f>
        <v>-1072</v>
      </c>
      <c r="AP33" s="837">
        <f t="shared" ref="AP33:AP34" si="131">AQ33-SUM(AM33:AO33)</f>
        <v>-707</v>
      </c>
      <c r="AQ33" s="838">
        <v>-3656.0</v>
      </c>
      <c r="AR33" s="837">
        <v>-680.0</v>
      </c>
      <c r="AS33" s="837">
        <f>-1706-AR33</f>
        <v>-1026</v>
      </c>
      <c r="AT33" s="837">
        <f>-2812-AR33-AS33</f>
        <v>-1106</v>
      </c>
      <c r="AU33" s="837">
        <f t="shared" ref="AU33:AU34" si="132">AV33-SUM(AR33:AT33)</f>
        <v>-1031</v>
      </c>
      <c r="AV33" s="838">
        <v>-3843.0</v>
      </c>
      <c r="AW33" s="837">
        <v>-1788.0</v>
      </c>
      <c r="AX33" s="837">
        <f>-3177-AW33</f>
        <v>-1389</v>
      </c>
      <c r="AY33" s="837">
        <f>-4459-AW33-AX33</f>
        <v>-1282</v>
      </c>
      <c r="AZ33" s="837">
        <f t="shared" ref="AZ33:AZ34" si="133">BA33-SUM(AW33:AY33)</f>
        <v>-1359</v>
      </c>
      <c r="BA33" s="838">
        <v>-5818.0</v>
      </c>
      <c r="BB33" s="837">
        <v>-1758.0</v>
      </c>
      <c r="BC33" s="837">
        <v>-1738.0</v>
      </c>
      <c r="BD33" s="837">
        <f>-4663-BB33-BC33</f>
        <v>-1167</v>
      </c>
      <c r="BE33" s="837">
        <f t="shared" ref="BE33:BE34" si="134">BF33-SUM(BB33:BD33)</f>
        <v>-1116</v>
      </c>
      <c r="BF33" s="838">
        <v>-5779.0</v>
      </c>
      <c r="BG33" s="837">
        <v>-1361.0</v>
      </c>
      <c r="BH33" s="837">
        <f>-2639-BG33</f>
        <v>-1278</v>
      </c>
      <c r="BI33" s="837">
        <f>-3727-BG33-BH33</f>
        <v>-1088</v>
      </c>
      <c r="BJ33" s="837">
        <f t="shared" ref="BJ33:BJ34" si="135">BK33-SUM(BG33:BI33)</f>
        <v>-1273</v>
      </c>
      <c r="BK33" s="838">
        <v>-5000.0</v>
      </c>
      <c r="BL33" s="837">
        <v>-907.0</v>
      </c>
      <c r="BM33" s="837">
        <f>-2058-BL33</f>
        <v>-1151</v>
      </c>
      <c r="BN33" s="837">
        <f>-3432-BL33-BM33</f>
        <v>-1374</v>
      </c>
      <c r="BO33" s="837">
        <f t="shared" ref="BO33:BO34" si="136">BP33-SUM(BL33:BN33)</f>
        <v>-1765</v>
      </c>
      <c r="BP33" s="838">
        <v>-5197.0</v>
      </c>
      <c r="BQ33" s="837">
        <v>-1509.0</v>
      </c>
      <c r="BR33" s="837">
        <f>-2490-BQ33</f>
        <v>-981</v>
      </c>
      <c r="BS33" s="837">
        <f>-3434-BQ33-BR33</f>
        <v>-944</v>
      </c>
      <c r="BT33" s="837">
        <f t="shared" ref="BT33:BT34" si="137">BU33-SUM(BQ33:BS33)</f>
        <v>-1081</v>
      </c>
      <c r="BU33" s="838">
        <v>-4515.0</v>
      </c>
      <c r="BV33" s="837">
        <v>-928.0</v>
      </c>
      <c r="BW33" s="837">
        <f>-1976-BV33</f>
        <v>-1048</v>
      </c>
      <c r="BX33" s="837">
        <f>-3338-BV33-BW33</f>
        <v>-1362</v>
      </c>
      <c r="BY33" s="837">
        <f t="shared" ref="BY33:BY34" si="138">BZ33-SUM(BV33:BX33)</f>
        <v>-1869</v>
      </c>
      <c r="BZ33" s="838">
        <v>-5207.0</v>
      </c>
      <c r="CA33" s="837">
        <v>-2723.0</v>
      </c>
      <c r="CB33" s="837">
        <f>-5207-CA33</f>
        <v>-2484</v>
      </c>
      <c r="CC33" s="837">
        <f>-7920-CA33-CB33</f>
        <v>-2713</v>
      </c>
      <c r="CD33" s="837">
        <f t="shared" ref="CD33:CD34" si="139">CE33-SUM(CA33:CC33)</f>
        <v>-2844</v>
      </c>
      <c r="CE33" s="838">
        <v>-10764.0</v>
      </c>
      <c r="CF33" s="837">
        <v>-2974.0</v>
      </c>
      <c r="CG33" s="837">
        <f>-5636-CF33</f>
        <v>-2662</v>
      </c>
      <c r="CH33" s="837">
        <f>-8523-CF33-CG33</f>
        <v>-2887</v>
      </c>
      <c r="CI33" s="837">
        <f t="shared" ref="CI33:CI34" si="140">CJ33-SUM(CF33:CH33)</f>
        <v>-2504</v>
      </c>
      <c r="CJ33" s="838">
        <v>-11027.0</v>
      </c>
      <c r="CK33" s="837">
        <v>-2174.0</v>
      </c>
      <c r="CL33" s="837">
        <v>-2723.0</v>
      </c>
      <c r="CM33" s="837">
        <v>-2866.0</v>
      </c>
      <c r="CN33" s="837">
        <v>-2948.0</v>
      </c>
      <c r="CO33" s="838">
        <f>CN33+CM33+CL33+CK33</f>
        <v>-10711</v>
      </c>
      <c r="CP33" s="837">
        <v>-2689.0</v>
      </c>
      <c r="CQ33" s="268">
        <f>-5517-CP33</f>
        <v>-2828</v>
      </c>
      <c r="CR33" s="268">
        <f>-7962-CQ33-CP33</f>
        <v>-2445</v>
      </c>
      <c r="CS33" s="268">
        <f>-10105-CR33-CQ33-CP33</f>
        <v>-2143</v>
      </c>
      <c r="CT33" s="839">
        <f>CS33+CR33+CQ33+CP33</f>
        <v>-10105</v>
      </c>
      <c r="CU33" s="268">
        <v>-2025.0</v>
      </c>
      <c r="CV33" s="268">
        <f>-3792-CU33</f>
        <v>-1767</v>
      </c>
      <c r="CW33" s="268">
        <f>-4998-CV33-CU33</f>
        <v>-1206</v>
      </c>
      <c r="CX33" s="837">
        <f>-7326-CW33-CV33-CU33</f>
        <v>-2328</v>
      </c>
      <c r="CY33" s="839">
        <f>CX33+CW33+CV33+CU33</f>
        <v>-7326</v>
      </c>
      <c r="CZ33" s="844">
        <v>-1346.0</v>
      </c>
      <c r="DA33" s="268">
        <f>-3632-CZ33</f>
        <v>-2286</v>
      </c>
      <c r="DB33" s="844">
        <f>-6095-DA33-CZ33</f>
        <v>-2463</v>
      </c>
      <c r="DC33" s="268">
        <f>-9625-DB33-DA33-CZ33</f>
        <v>-3530</v>
      </c>
      <c r="DD33" s="839">
        <f>DC33+DB33+DA33+CZ33</f>
        <v>-9625</v>
      </c>
      <c r="DE33" s="844">
        <v>-1952.0</v>
      </c>
      <c r="DF33" s="854">
        <f>-4730-DE33</f>
        <v>-2778</v>
      </c>
      <c r="DG33" s="844">
        <f>-7709-DE33-DF33</f>
        <v>-2979</v>
      </c>
      <c r="DH33" s="268">
        <f>-11778-DG33-DF33-DE33</f>
        <v>-4069</v>
      </c>
      <c r="DI33" s="839">
        <f>DH33+DG33+DF33+DE33</f>
        <v>-11778</v>
      </c>
      <c r="DJ33" s="844">
        <v>-2910.0</v>
      </c>
      <c r="DK33" s="844">
        <v>-4530.0</v>
      </c>
      <c r="DL33" s="844">
        <f>-11291-DK33-DJ33</f>
        <v>-3851</v>
      </c>
      <c r="DM33" s="844">
        <v>-3890.0</v>
      </c>
      <c r="DN33" s="839">
        <f>DM33+DL33+DK33+DJ33</f>
        <v>-15181</v>
      </c>
      <c r="DO33" s="844">
        <v>-3321.0</v>
      </c>
      <c r="DP33" s="844">
        <v>-3554.0</v>
      </c>
      <c r="DQ33" s="844">
        <f>-11547-SUM(DO33:DP33)</f>
        <v>-4672</v>
      </c>
      <c r="DR33" s="844">
        <f>-16213-SUM(DO33:DQ33)</f>
        <v>-4666</v>
      </c>
      <c r="DS33" s="855">
        <f>DR33+DQ33+DP33+DO33</f>
        <v>-16213</v>
      </c>
      <c r="DT33" s="844">
        <v>-3268.0</v>
      </c>
      <c r="DU33" s="844">
        <f>-6676-DT33</f>
        <v>-3408</v>
      </c>
      <c r="DV33" s="844">
        <f>-10392-SUM(DT33:DU33)</f>
        <v>-3716</v>
      </c>
      <c r="DW33" s="844">
        <f>-14259-SUM(DT33:DV33)</f>
        <v>-3867</v>
      </c>
      <c r="DX33" s="855">
        <f t="shared" ref="DX33:DX34" si="141">SUM(DT33:DW33)</f>
        <v>-14259</v>
      </c>
      <c r="DY33" s="844">
        <f>-3972</f>
        <v>-3972</v>
      </c>
      <c r="DZ33" s="844">
        <f>-7574-DY33</f>
        <v>-3602</v>
      </c>
      <c r="EA33" s="844">
        <f>-11579-SUM(DY33:DZ33)</f>
        <v>-4005</v>
      </c>
      <c r="EB33" s="844">
        <f>-18733-SUM(DY33:EA33)</f>
        <v>-7154</v>
      </c>
      <c r="EC33" s="855">
        <f t="shared" ref="EC33:EC34" si="142">SUM(DY33:EB33)</f>
        <v>-18733</v>
      </c>
      <c r="ED33" s="844">
        <f>-4604-193</f>
        <v>-4797</v>
      </c>
      <c r="EE33" s="844">
        <f>-11846-206-ED33</f>
        <v>-7255</v>
      </c>
      <c r="EF33" s="844">
        <f>-19145-EE33-ED33</f>
        <v>-7093</v>
      </c>
      <c r="EG33" s="844">
        <f>-24844-EF33-EE33-ED33</f>
        <v>-5699</v>
      </c>
      <c r="EH33" s="855">
        <f t="shared" ref="EH33:EH34" si="143">SUM(ED33:EG33)</f>
        <v>-24844</v>
      </c>
      <c r="EI33" s="853">
        <v>-5500.0</v>
      </c>
      <c r="EJ33" s="852">
        <v>-5500.0</v>
      </c>
      <c r="EK33" s="852">
        <v>-5500.0</v>
      </c>
      <c r="EL33" s="852">
        <v>-5500.0</v>
      </c>
      <c r="EM33" s="855">
        <f t="shared" ref="EM33:EM34" si="144">SUM(EI33:EL33)</f>
        <v>-22000</v>
      </c>
      <c r="EN33" s="852">
        <v>-5500.0</v>
      </c>
      <c r="EO33" s="852">
        <v>-6500.0</v>
      </c>
      <c r="EP33" s="852">
        <v>-7500.0</v>
      </c>
      <c r="EQ33" s="852">
        <v>-7500.0</v>
      </c>
      <c r="ER33" s="855">
        <f t="shared" ref="ER33:ER34" si="145">SUM(EN33:EQ33)</f>
        <v>-27000</v>
      </c>
      <c r="ES33" s="852">
        <v>-7500.0</v>
      </c>
      <c r="ET33" s="852">
        <v>-7500.0</v>
      </c>
      <c r="EU33" s="852">
        <v>-7500.0</v>
      </c>
      <c r="EV33" s="852">
        <v>-7500.0</v>
      </c>
      <c r="EW33" s="855">
        <f t="shared" ref="EW33:EW34" si="146">SUM(ES33:EV33)</f>
        <v>-30000</v>
      </c>
      <c r="EX33" s="852">
        <v>-7500.0</v>
      </c>
      <c r="EY33" s="852">
        <v>-7500.0</v>
      </c>
      <c r="EZ33" s="852">
        <v>-8000.0</v>
      </c>
      <c r="FA33" s="852">
        <v>-8000.0</v>
      </c>
      <c r="FB33" s="855">
        <f t="shared" ref="FB33:FB34" si="147">SUM(EX33:FA33)</f>
        <v>-31000</v>
      </c>
      <c r="FC33" s="852">
        <v>-7500.0</v>
      </c>
      <c r="FD33" s="852">
        <v>-7500.0</v>
      </c>
      <c r="FE33" s="852">
        <v>-8000.0</v>
      </c>
      <c r="FF33" s="852">
        <v>-8000.0</v>
      </c>
      <c r="FG33" s="855">
        <f t="shared" ref="FG33:FG34" si="148">SUM(FC33:FF33)</f>
        <v>-31000</v>
      </c>
    </row>
    <row r="34" ht="12.75" customHeight="1">
      <c r="A34" s="128"/>
      <c r="B34" s="180" t="s">
        <v>589</v>
      </c>
      <c r="C34" s="179"/>
      <c r="D34" s="179"/>
      <c r="E34" s="179"/>
      <c r="F34" s="179"/>
      <c r="G34" s="179"/>
      <c r="H34" s="179"/>
      <c r="I34" s="179"/>
      <c r="J34" s="179"/>
      <c r="K34" s="179"/>
      <c r="L34" s="179"/>
      <c r="M34" s="179"/>
      <c r="N34" s="837">
        <v>-321.0</v>
      </c>
      <c r="O34" s="837">
        <f>-321-N34-625</f>
        <v>-625</v>
      </c>
      <c r="P34" s="837">
        <f>-321-625-O34-N34</f>
        <v>0</v>
      </c>
      <c r="Q34" s="837">
        <f>-321-585-P34-O34-N34</f>
        <v>40</v>
      </c>
      <c r="R34" s="838">
        <f t="shared" si="126"/>
        <v>-906</v>
      </c>
      <c r="S34" s="837">
        <v>-132.0</v>
      </c>
      <c r="T34" s="837">
        <f>-132-S34</f>
        <v>0</v>
      </c>
      <c r="U34" s="837">
        <f>-1039-T34-S34</f>
        <v>-907</v>
      </c>
      <c r="V34" s="837">
        <f t="shared" si="127"/>
        <v>-1940</v>
      </c>
      <c r="W34" s="838">
        <v>-2979.0</v>
      </c>
      <c r="X34" s="837">
        <v>-1406.0</v>
      </c>
      <c r="Y34" s="837">
        <f>-1923-X34</f>
        <v>-517</v>
      </c>
      <c r="Z34" s="837">
        <f>-2102-Y34-X34</f>
        <v>-179</v>
      </c>
      <c r="AA34" s="837">
        <f t="shared" si="128"/>
        <v>-215</v>
      </c>
      <c r="AB34" s="838">
        <v>-2317.0</v>
      </c>
      <c r="AC34" s="837">
        <v>-498.0</v>
      </c>
      <c r="AD34" s="837">
        <f>-879-AC34</f>
        <v>-381</v>
      </c>
      <c r="AE34" s="837">
        <v>0.0</v>
      </c>
      <c r="AF34" s="837">
        <f t="shared" si="129"/>
        <v>-4</v>
      </c>
      <c r="AG34" s="838">
        <v>-883.0</v>
      </c>
      <c r="AH34" s="837">
        <v>0.0</v>
      </c>
      <c r="AI34" s="837">
        <f>-50-AH34</f>
        <v>-50</v>
      </c>
      <c r="AJ34" s="837">
        <f>-57-AI34-AH34</f>
        <v>-7</v>
      </c>
      <c r="AK34" s="837">
        <v>0.0</v>
      </c>
      <c r="AL34" s="838">
        <f t="shared" si="130"/>
        <v>-57</v>
      </c>
      <c r="AM34" s="837">
        <v>0.0</v>
      </c>
      <c r="AN34" s="837">
        <v>0.0</v>
      </c>
      <c r="AO34" s="837">
        <f>-21-AM34-AN34</f>
        <v>-21</v>
      </c>
      <c r="AP34" s="837">
        <f t="shared" si="131"/>
        <v>-40</v>
      </c>
      <c r="AQ34" s="838">
        <v>-61.0</v>
      </c>
      <c r="AR34" s="837">
        <v>0.0</v>
      </c>
      <c r="AS34" s="837">
        <f>-33-AR34</f>
        <v>-33</v>
      </c>
      <c r="AT34" s="837">
        <f>-53-AR34-AS34</f>
        <v>-20</v>
      </c>
      <c r="AU34" s="837">
        <f t="shared" si="132"/>
        <v>0</v>
      </c>
      <c r="AV34" s="838">
        <v>-53.0</v>
      </c>
      <c r="AW34" s="837">
        <v>0.0</v>
      </c>
      <c r="AX34" s="837">
        <f>-81-AW34</f>
        <v>-81</v>
      </c>
      <c r="AY34" s="837">
        <f>-103-AW34-AX34</f>
        <v>-22</v>
      </c>
      <c r="AZ34" s="837">
        <f t="shared" si="133"/>
        <v>-88</v>
      </c>
      <c r="BA34" s="838">
        <v>-191.0</v>
      </c>
      <c r="BB34" s="837">
        <v>0.0</v>
      </c>
      <c r="BC34" s="837">
        <f>BB34</f>
        <v>0</v>
      </c>
      <c r="BD34" s="837">
        <f>152-BB34-BC34</f>
        <v>152</v>
      </c>
      <c r="BE34" s="837">
        <f t="shared" si="134"/>
        <v>600</v>
      </c>
      <c r="BF34" s="838">
        <v>752.0</v>
      </c>
      <c r="BG34" s="837">
        <v>0.0</v>
      </c>
      <c r="BH34" s="837">
        <v>0.0</v>
      </c>
      <c r="BI34" s="837">
        <f>-74+32-BG34-BH34</f>
        <v>-42</v>
      </c>
      <c r="BJ34" s="837">
        <f t="shared" si="135"/>
        <v>-34</v>
      </c>
      <c r="BK34" s="838">
        <v>-76.0</v>
      </c>
      <c r="BL34" s="837">
        <v>75.0</v>
      </c>
      <c r="BM34" s="837">
        <f>75-BL34</f>
        <v>0</v>
      </c>
      <c r="BN34" s="837">
        <f>75-9-BL34-BM34</f>
        <v>-9</v>
      </c>
      <c r="BO34" s="837">
        <f t="shared" si="136"/>
        <v>3</v>
      </c>
      <c r="BP34" s="838">
        <f>85-16</f>
        <v>69</v>
      </c>
      <c r="BQ34" s="837">
        <v>0.0</v>
      </c>
      <c r="BR34" s="837">
        <v>0.0</v>
      </c>
      <c r="BS34" s="837">
        <f>-853-BQ34-BR34</f>
        <v>-853</v>
      </c>
      <c r="BT34" s="837">
        <f t="shared" si="137"/>
        <v>0</v>
      </c>
      <c r="BU34" s="838">
        <v>-853.0</v>
      </c>
      <c r="BV34" s="837">
        <v>-37.0</v>
      </c>
      <c r="BW34" s="837">
        <f>-70-BV34</f>
        <v>-33</v>
      </c>
      <c r="BX34" s="837">
        <f>-70-BV34-BW34</f>
        <v>0</v>
      </c>
      <c r="BY34" s="837">
        <f t="shared" si="138"/>
        <v>-148</v>
      </c>
      <c r="BZ34" s="838">
        <v>-218.0</v>
      </c>
      <c r="CA34" s="837">
        <f>-8216+50</f>
        <v>-8166</v>
      </c>
      <c r="CB34" s="837">
        <f>-8291+50-CA34</f>
        <v>-75</v>
      </c>
      <c r="CC34" s="837">
        <f>-8477+50-CA34-CB34</f>
        <v>-186</v>
      </c>
      <c r="CD34" s="837">
        <f t="shared" si="139"/>
        <v>-244</v>
      </c>
      <c r="CE34" s="838">
        <f>-8721+50</f>
        <v>-8671</v>
      </c>
      <c r="CF34" s="837">
        <v>-176.0</v>
      </c>
      <c r="CG34" s="837">
        <f>-458+605-CF34</f>
        <v>323</v>
      </c>
      <c r="CH34" s="837">
        <f>-568+605-565-CF34-CG34</f>
        <v>-675</v>
      </c>
      <c r="CI34" s="837">
        <f t="shared" si="140"/>
        <v>-110</v>
      </c>
      <c r="CJ34" s="838">
        <v>-638.0</v>
      </c>
      <c r="CK34" s="837">
        <v>-98.0</v>
      </c>
      <c r="CL34" s="837">
        <f>-384-CK34</f>
        <v>-286</v>
      </c>
      <c r="CM34" s="837">
        <v>-498.0</v>
      </c>
      <c r="CN34" s="837">
        <f>-925-CM34-CL34-CK34</f>
        <v>-43</v>
      </c>
      <c r="CO34" s="838">
        <f>SUM(CK34:CN34)</f>
        <v>-925</v>
      </c>
      <c r="CP34" s="837">
        <v>-108.0</v>
      </c>
      <c r="CQ34" s="268">
        <f>-137-CP34</f>
        <v>-29</v>
      </c>
      <c r="CR34" s="268">
        <f>-193-CQ34-CP34</f>
        <v>-56</v>
      </c>
      <c r="CS34" s="268">
        <f>-934-CR34-CQ34-CP34</f>
        <v>-741</v>
      </c>
      <c r="CT34" s="839">
        <f>SUM(CP34:CS34)</f>
        <v>-934</v>
      </c>
      <c r="CU34" s="268">
        <v>-57.0</v>
      </c>
      <c r="CV34" s="268">
        <f>-524-CU34</f>
        <v>-467</v>
      </c>
      <c r="CW34" s="268">
        <f>-538-CV34-CU34</f>
        <v>-14</v>
      </c>
      <c r="CX34" s="837">
        <f>-913-CW34-CV34-CU34</f>
        <v>-375</v>
      </c>
      <c r="CY34" s="839">
        <f>SUM(CU34:CX34)</f>
        <v>-913</v>
      </c>
      <c r="CZ34" s="844">
        <v>-14569.0</v>
      </c>
      <c r="DA34" s="268">
        <f>-14619-CZ34</f>
        <v>-50</v>
      </c>
      <c r="DB34" s="844">
        <f>-15151-DA34-CZ34</f>
        <v>-532</v>
      </c>
      <c r="DC34" s="268">
        <f>-15470-DB34-DA34-CZ34</f>
        <v>-319</v>
      </c>
      <c r="DD34" s="839">
        <f>SUM(CZ34:DC34)</f>
        <v>-15470</v>
      </c>
      <c r="DE34" s="844">
        <v>0.0</v>
      </c>
      <c r="DF34" s="268">
        <f>-3-DE34</f>
        <v>-3</v>
      </c>
      <c r="DG34" s="840">
        <f>-14499-DE34-DF34</f>
        <v>-14496</v>
      </c>
      <c r="DH34" s="268">
        <f>-14499-DG34-DF34-DE34</f>
        <v>0</v>
      </c>
      <c r="DI34" s="839">
        <f>SUM(DE34:DH34)</f>
        <v>-14499</v>
      </c>
      <c r="DJ34" s="840">
        <v>0.0</v>
      </c>
      <c r="DK34" s="840">
        <v>548.0</v>
      </c>
      <c r="DL34" s="840">
        <f>-183+548-DK34-DJ34</f>
        <v>-183</v>
      </c>
      <c r="DM34" s="840">
        <f>-190+548-SUM(DJ34:DL34)</f>
        <v>-7</v>
      </c>
      <c r="DN34" s="839">
        <f>SUM(DJ34:DM34)</f>
        <v>358</v>
      </c>
      <c r="DO34" s="840">
        <v>0.0</v>
      </c>
      <c r="DP34" s="840">
        <v>0.0</v>
      </c>
      <c r="DQ34" s="840">
        <v>0.0</v>
      </c>
      <c r="DR34" s="840">
        <v>0.0</v>
      </c>
      <c r="DS34" s="839">
        <f>SUM(DO34:DR34)</f>
        <v>0</v>
      </c>
      <c r="DT34" s="840">
        <v>0.0</v>
      </c>
      <c r="DU34" s="840">
        <v>0.0</v>
      </c>
      <c r="DV34" s="840">
        <v>0.0</v>
      </c>
      <c r="DW34" s="840">
        <f>-194-837</f>
        <v>-1031</v>
      </c>
      <c r="DX34" s="839">
        <f t="shared" si="141"/>
        <v>-1031</v>
      </c>
      <c r="DY34" s="840">
        <v>-416.0</v>
      </c>
      <c r="DZ34" s="840">
        <f>-682-DY34</f>
        <v>-266</v>
      </c>
      <c r="EA34" s="840">
        <f>-1118-SUM(DY34:DZ34)</f>
        <v>-436</v>
      </c>
      <c r="EB34" s="840">
        <f>-1596-209-SUM(DY34:EA34)</f>
        <v>-687</v>
      </c>
      <c r="EC34" s="839">
        <f t="shared" si="142"/>
        <v>-1805</v>
      </c>
      <c r="ED34" s="840">
        <v>0.0</v>
      </c>
      <c r="EE34" s="840">
        <v>0.0</v>
      </c>
      <c r="EF34" s="840">
        <v>0.0</v>
      </c>
      <c r="EG34" s="840">
        <v>0.0</v>
      </c>
      <c r="EH34" s="839">
        <f t="shared" si="143"/>
        <v>0</v>
      </c>
      <c r="EI34" s="841">
        <v>0.0</v>
      </c>
      <c r="EJ34" s="837">
        <v>0.0</v>
      </c>
      <c r="EK34" s="837">
        <v>0.0</v>
      </c>
      <c r="EL34" s="837">
        <v>0.0</v>
      </c>
      <c r="EM34" s="839">
        <f t="shared" si="144"/>
        <v>0</v>
      </c>
      <c r="EN34" s="837">
        <v>0.0</v>
      </c>
      <c r="EO34" s="837">
        <v>0.0</v>
      </c>
      <c r="EP34" s="837">
        <v>0.0</v>
      </c>
      <c r="EQ34" s="837">
        <v>0.0</v>
      </c>
      <c r="ER34" s="839">
        <f t="shared" si="145"/>
        <v>0</v>
      </c>
      <c r="ES34" s="837">
        <v>0.0</v>
      </c>
      <c r="ET34" s="837">
        <v>0.0</v>
      </c>
      <c r="EU34" s="837">
        <v>0.0</v>
      </c>
      <c r="EV34" s="837">
        <v>0.0</v>
      </c>
      <c r="EW34" s="839">
        <f t="shared" si="146"/>
        <v>0</v>
      </c>
      <c r="EX34" s="837">
        <v>0.0</v>
      </c>
      <c r="EY34" s="837">
        <v>0.0</v>
      </c>
      <c r="EZ34" s="837">
        <v>0.0</v>
      </c>
      <c r="FA34" s="837">
        <v>0.0</v>
      </c>
      <c r="FB34" s="839">
        <f t="shared" si="147"/>
        <v>0</v>
      </c>
      <c r="FC34" s="837">
        <v>0.0</v>
      </c>
      <c r="FD34" s="837">
        <v>0.0</v>
      </c>
      <c r="FE34" s="837">
        <v>0.0</v>
      </c>
      <c r="FF34" s="837">
        <v>0.0</v>
      </c>
      <c r="FG34" s="839">
        <f t="shared" si="148"/>
        <v>0</v>
      </c>
    </row>
    <row r="35" ht="12.75" hidden="1" customHeight="1" outlineLevel="1">
      <c r="A35" s="128"/>
      <c r="B35" s="180" t="s">
        <v>577</v>
      </c>
      <c r="C35" s="180"/>
      <c r="D35" s="180"/>
      <c r="E35" s="180"/>
      <c r="F35" s="180"/>
      <c r="G35" s="180"/>
      <c r="H35" s="180"/>
      <c r="I35" s="180"/>
      <c r="J35" s="180"/>
      <c r="K35" s="180"/>
      <c r="L35" s="180"/>
      <c r="M35" s="180"/>
      <c r="N35" s="652">
        <f>N36/Sales</f>
        <v>0.05299116814</v>
      </c>
      <c r="O35" s="652">
        <f>O36/Sales</f>
        <v>-0.01400371183</v>
      </c>
      <c r="P35" s="652">
        <f>P36/Sales</f>
        <v>0.0447184668</v>
      </c>
      <c r="Q35" s="652">
        <f>Q36/Sales</f>
        <v>-0.3387181508</v>
      </c>
      <c r="R35" s="842">
        <f>R36/Sales</f>
        <v>-0.07776043847</v>
      </c>
      <c r="S35" s="652">
        <f>S36/Sales</f>
        <v>-0.04983809658</v>
      </c>
      <c r="T35" s="652">
        <f>T36/Sales</f>
        <v>0.2948413875</v>
      </c>
      <c r="U35" s="652">
        <f>U36/Sales</f>
        <v>-0.1607532751</v>
      </c>
      <c r="V35" s="652">
        <f>V36/Sales</f>
        <v>0.05784218217</v>
      </c>
      <c r="W35" s="842">
        <f>W36/Sales</f>
        <v>0.03171254551</v>
      </c>
      <c r="X35" s="652">
        <f>X36/Sales</f>
        <v>0.3344176154</v>
      </c>
      <c r="Y35" s="652">
        <f>Y36/Sales</f>
        <v>0.08120481928</v>
      </c>
      <c r="Z35" s="652">
        <f>Z36/Sales</f>
        <v>-0.07433283702</v>
      </c>
      <c r="AA35" s="652">
        <f>AA36/Sales</f>
        <v>-0.3173982992</v>
      </c>
      <c r="AB35" s="842">
        <f>AB36/Sales</f>
        <v>-0.001897645733</v>
      </c>
      <c r="AC35" s="652">
        <f>AC36/Sales</f>
        <v>0.4168039539</v>
      </c>
      <c r="AD35" s="652">
        <f>AD36/Sales</f>
        <v>0.2619197979</v>
      </c>
      <c r="AE35" s="652">
        <f>AE36/Sales</f>
        <v>0.3092436975</v>
      </c>
      <c r="AF35" s="652">
        <f>AF36/Sales</f>
        <v>0.2564800229</v>
      </c>
      <c r="AG35" s="842">
        <f>AG36/Sales</f>
        <v>0.3111270206</v>
      </c>
      <c r="AH35" s="652">
        <f>AH36/Sales</f>
        <v>-0.07756967999</v>
      </c>
      <c r="AI35" s="652">
        <f>AI36/Sales</f>
        <v>0.006963127077</v>
      </c>
      <c r="AJ35" s="652">
        <f>AJ36/Sales</f>
        <v>0.03782287823</v>
      </c>
      <c r="AK35" s="652">
        <f>AK36/Sales</f>
        <v>-0.06131284916</v>
      </c>
      <c r="AL35" s="842">
        <f>AL36/Sales</f>
        <v>-0.02522044537</v>
      </c>
      <c r="AM35" s="652">
        <f>AM36/Sales</f>
        <v>0.002962524071</v>
      </c>
      <c r="AN35" s="652">
        <f>AN36/Sales</f>
        <v>-0.004548122066</v>
      </c>
      <c r="AO35" s="652">
        <f>AO36/Sales</f>
        <v>-0.07442869909</v>
      </c>
      <c r="AP35" s="652">
        <f>AP36/Sales</f>
        <v>-0.2951607368</v>
      </c>
      <c r="AQ35" s="842">
        <f>AQ36/Sales</f>
        <v>-0.1053050662</v>
      </c>
      <c r="AR35" s="652">
        <f>AR36/Sales</f>
        <v>-0.02966258806</v>
      </c>
      <c r="AS35" s="652">
        <f>AS36/Sales</f>
        <v>-0.2114548391</v>
      </c>
      <c r="AT35" s="652">
        <f>AT36/Sales</f>
        <v>-0.01546452603</v>
      </c>
      <c r="AU35" s="652">
        <f>AU36/Sales</f>
        <v>0.1133569494</v>
      </c>
      <c r="AV35" s="842">
        <f>AV36/Sales</f>
        <v>-0.02879359233</v>
      </c>
      <c r="AW35" s="652">
        <f>AW36/Sales</f>
        <v>0.1538053848</v>
      </c>
      <c r="AX35" s="652">
        <f>AX36/Sales</f>
        <v>0.08958942693</v>
      </c>
      <c r="AY35" s="652">
        <f>AY36/Sales</f>
        <v>-0.0266064257</v>
      </c>
      <c r="AZ35" s="652">
        <f>AZ36/Sales</f>
        <v>-0.2014508382</v>
      </c>
      <c r="BA35" s="842">
        <f>BA36/Sales</f>
        <v>-0.001081749343</v>
      </c>
      <c r="BB35" s="652">
        <f>BB36/Sales</f>
        <v>0.02583892617</v>
      </c>
      <c r="BC35" s="652">
        <f>BC36/Sales</f>
        <v>0.1691846672</v>
      </c>
      <c r="BD35" s="652">
        <f>BD36/Sales</f>
        <v>-0.03593088454</v>
      </c>
      <c r="BE35" s="652">
        <f>BE36/Sales</f>
        <v>-0.1154322261</v>
      </c>
      <c r="BF35" s="842">
        <f>BF36/Sales</f>
        <v>0.004324232661</v>
      </c>
      <c r="BG35" s="652">
        <f>BG36/Sales</f>
        <v>-0.2123813827</v>
      </c>
      <c r="BH35" s="652">
        <f>BH36/Sales</f>
        <v>-0.1297235023</v>
      </c>
      <c r="BI35" s="652">
        <f>BI36/Sales</f>
        <v>-0.1105054509</v>
      </c>
      <c r="BJ35" s="652">
        <f>BJ36/Sales</f>
        <v>-0.09848767737</v>
      </c>
      <c r="BK35" s="842">
        <f>BK36/Sales</f>
        <v>-0.1350237387</v>
      </c>
      <c r="BL35" s="652">
        <f>BL36/Sales</f>
        <v>-0.004755505014</v>
      </c>
      <c r="BM35" s="652">
        <f>BM36/Sales</f>
        <v>-0.05015839493</v>
      </c>
      <c r="BN35" s="652">
        <f>BN36/Sales</f>
        <v>-0.001370265244</v>
      </c>
      <c r="BO35" s="652">
        <f>BO36/Sales</f>
        <v>-0.02868952103</v>
      </c>
      <c r="BP35" s="842">
        <f>BP36/Sales</f>
        <v>-0.02051295695</v>
      </c>
      <c r="BQ35" s="652">
        <f>BQ36/Sales</f>
        <v>0.2660601819</v>
      </c>
      <c r="BR35" s="652">
        <f>BR36/Sales</f>
        <v>-0.1564057827</v>
      </c>
      <c r="BS35" s="652">
        <f>BS36/Sales</f>
        <v>-0.1728618596</v>
      </c>
      <c r="BT35" s="652">
        <f>BT36/Sales</f>
        <v>-0.1616993093</v>
      </c>
      <c r="BU35" s="842">
        <f>BU36/Sales</f>
        <v>-0.07646539699</v>
      </c>
      <c r="BV35" s="652">
        <f>BV36/Sales</f>
        <v>-0.1661326342</v>
      </c>
      <c r="BW35" s="652">
        <f>BW36/Sales</f>
        <v>-0.08536925221</v>
      </c>
      <c r="BX35" s="652">
        <f>BX36/Sales</f>
        <v>-0.1563682219</v>
      </c>
      <c r="BY35" s="652">
        <f>BY36/Sales</f>
        <v>-0.08431526578</v>
      </c>
      <c r="BZ35" s="842">
        <f>BZ36/Sales</f>
        <v>-0.1222290993</v>
      </c>
      <c r="CA35" s="652">
        <f>CA36/Sales</f>
        <v>0.7852416907</v>
      </c>
      <c r="CB35" s="652">
        <f>CB36/Sales</f>
        <v>0.1517802333</v>
      </c>
      <c r="CC35" s="652">
        <f>CC36/Sales</f>
        <v>-0.0633738495</v>
      </c>
      <c r="CD35" s="652">
        <f>CD36/Sales</f>
        <v>-0.1319219414</v>
      </c>
      <c r="CE35" s="842">
        <f>CE36/Sales</f>
        <v>0.1728180151</v>
      </c>
      <c r="CF35" s="652">
        <f>CF36/Sales</f>
        <v>0.07585619092</v>
      </c>
      <c r="CG35" s="652">
        <f>CG36/Sales</f>
        <v>0.03762684246</v>
      </c>
      <c r="CH35" s="652">
        <f>CH36/Sales</f>
        <v>-0.1131752991</v>
      </c>
      <c r="CI35" s="652">
        <f>CI36/Sales</f>
        <v>-0.202418936</v>
      </c>
      <c r="CJ35" s="842">
        <f>CJ36/Sales</f>
        <v>-0.05181755123</v>
      </c>
      <c r="CK35" s="652">
        <f>CK36/Sales</f>
        <v>-0.2496025437</v>
      </c>
      <c r="CL35" s="652">
        <f>CL36/Sales</f>
        <v>-0.2024041839</v>
      </c>
      <c r="CM35" s="652">
        <f>CM36/Sales</f>
        <v>-0.02247274345</v>
      </c>
      <c r="CN35" s="652">
        <f>CN36/Sales</f>
        <v>-0.02638427064</v>
      </c>
      <c r="CO35" s="842">
        <f>CO36/Sales</f>
        <v>-0.1214426653</v>
      </c>
      <c r="CP35" s="652">
        <f>CP36/Sales</f>
        <v>0.004700720777</v>
      </c>
      <c r="CQ35" s="652">
        <f>CQ36/Sales</f>
        <v>-0.114814547</v>
      </c>
      <c r="CR35" s="652">
        <f>CR36/Sales</f>
        <v>0.1040263845</v>
      </c>
      <c r="CS35" s="646">
        <f>CS36/Sales</f>
        <v>0.08423340806</v>
      </c>
      <c r="CT35" s="843">
        <f>CT36/Sales</f>
        <v>0.0219437981</v>
      </c>
      <c r="CU35" s="646">
        <f>CU36/Sales</f>
        <v>0.1491276113</v>
      </c>
      <c r="CV35" s="646">
        <f>CV36/Sales</f>
        <v>0.07237589996</v>
      </c>
      <c r="CW35" s="652">
        <f>CW36/Sales</f>
        <v>-0.3227099896</v>
      </c>
      <c r="CX35" s="652">
        <f>CX36/Sales</f>
        <v>0.2476196862</v>
      </c>
      <c r="CY35" s="843">
        <f>CY36/Sales</f>
        <v>0.0340709963</v>
      </c>
      <c r="CZ35" s="653">
        <f>CZ36/Sales</f>
        <v>-0.005289471777</v>
      </c>
      <c r="DA35" s="646">
        <f>DA36/Sales</f>
        <v>-0.1059632011</v>
      </c>
      <c r="DB35" s="653">
        <f>DB36/Sales</f>
        <v>0.01140829002</v>
      </c>
      <c r="DC35" s="652">
        <f>DC36/Sales</f>
        <v>-0.04452180286</v>
      </c>
      <c r="DD35" s="843">
        <f>DD36/Sales</f>
        <v>-0.03456275426</v>
      </c>
      <c r="DE35" s="649">
        <f>DE36/Sales</f>
        <v>-0.02547985942</v>
      </c>
      <c r="DF35" s="646">
        <f>DF36/Sales</f>
        <v>0.05940526993</v>
      </c>
      <c r="DG35" s="653">
        <f>DG36/Sales</f>
        <v>0.1883088736</v>
      </c>
      <c r="DH35" s="652">
        <f>DH36/Sales</f>
        <v>-0.1183369495</v>
      </c>
      <c r="DI35" s="843">
        <f>DI36/Sales</f>
        <v>0.02426666242</v>
      </c>
      <c r="DJ35" s="653">
        <f>DJ36/Sales</f>
        <v>-0.09983816756</v>
      </c>
      <c r="DK35" s="653">
        <f>DK36/Sales</f>
        <v>0.1507487325</v>
      </c>
      <c r="DL35" s="653">
        <f>DL36/Sales</f>
        <v>0.03611125607</v>
      </c>
      <c r="DM35" s="653">
        <f>DM36/Sales</f>
        <v>0.1185077987</v>
      </c>
      <c r="DN35" s="843">
        <f>DN36/Sales</f>
        <v>0.0544263776</v>
      </c>
      <c r="DO35" s="653">
        <f>DO36/Sales</f>
        <v>-0.01537886807</v>
      </c>
      <c r="DP35" s="653">
        <f>DP36/Sales</f>
        <v>-0.01581338988</v>
      </c>
      <c r="DQ35" s="653">
        <f>DQ36/Sales</f>
        <v>0.1412193851</v>
      </c>
      <c r="DR35" s="653">
        <f>DR36/Sales</f>
        <v>-0.05487654016</v>
      </c>
      <c r="DS35" s="843">
        <f>DS36/Sales</f>
        <v>0.01518793858</v>
      </c>
      <c r="DT35" s="653">
        <f>DT36/Sales</f>
        <v>-0.005295541658</v>
      </c>
      <c r="DU35" s="653">
        <f>DU36/Sales</f>
        <v>-0.1901865369</v>
      </c>
      <c r="DV35" s="653">
        <f>DV36/Sales</f>
        <v>-0.0331096929</v>
      </c>
      <c r="DW35" s="653">
        <f>DW36/Sales</f>
        <v>-0.1153268595</v>
      </c>
      <c r="DX35" s="843">
        <f>DX36/Sales</f>
        <v>-0.08691743614</v>
      </c>
      <c r="DY35" s="653">
        <f>DY36/Sales</f>
        <v>0.07729182376</v>
      </c>
      <c r="DZ35" s="653">
        <f>DZ36/Sales</f>
        <v>-0.162412993</v>
      </c>
      <c r="EA35" s="653">
        <f>EA36/Sales</f>
        <v>-0.3583236579</v>
      </c>
      <c r="EB35" s="653">
        <f>EB36/Sales</f>
        <v>0.1417673561</v>
      </c>
      <c r="EC35" s="843">
        <f>EC36/Sales</f>
        <v>-0.07075938863</v>
      </c>
      <c r="ED35" s="653">
        <f>ED36/Sales</f>
        <v>0</v>
      </c>
      <c r="EE35" s="653">
        <f>EE36/Sales</f>
        <v>0</v>
      </c>
      <c r="EF35" s="653">
        <f>EF36/Sales</f>
        <v>0</v>
      </c>
      <c r="EG35" s="653">
        <f>EG36/Sales</f>
        <v>0</v>
      </c>
      <c r="EH35" s="843">
        <f>EH36/Sales</f>
        <v>0</v>
      </c>
      <c r="EI35" s="654" t="str">
        <f>EI36/Sales</f>
        <v>#ERROR!</v>
      </c>
      <c r="EJ35" s="652" t="str">
        <f>EJ36/Sales</f>
        <v>#ERROR!</v>
      </c>
      <c r="EK35" s="652" t="str">
        <f>EK36/Sales</f>
        <v>#ERROR!</v>
      </c>
      <c r="EL35" s="652" t="str">
        <f>EL36/Sales</f>
        <v>#ERROR!</v>
      </c>
      <c r="EM35" s="843" t="str">
        <f>EM36/Sales</f>
        <v>#ERROR!</v>
      </c>
      <c r="EN35" s="652" t="str">
        <f>EN36/Sales</f>
        <v>#ERROR!</v>
      </c>
      <c r="EO35" s="652" t="str">
        <f>EO36/Sales</f>
        <v>#ERROR!</v>
      </c>
      <c r="EP35" s="652" t="str">
        <f>EP36/Sales</f>
        <v>#ERROR!</v>
      </c>
      <c r="EQ35" s="652" t="str">
        <f>EQ36/Sales</f>
        <v>#ERROR!</v>
      </c>
      <c r="ER35" s="843" t="str">
        <f>ER36/Sales</f>
        <v>#ERROR!</v>
      </c>
      <c r="ES35" s="652" t="str">
        <f>ES36/Sales</f>
        <v>#ERROR!</v>
      </c>
      <c r="ET35" s="652" t="str">
        <f>ET36/Sales</f>
        <v>#ERROR!</v>
      </c>
      <c r="EU35" s="652" t="str">
        <f>EU36/Sales</f>
        <v>#ERROR!</v>
      </c>
      <c r="EV35" s="652" t="str">
        <f>EV36/Sales</f>
        <v>#ERROR!</v>
      </c>
      <c r="EW35" s="843" t="str">
        <f>EW36/Sales</f>
        <v>#ERROR!</v>
      </c>
      <c r="EX35" s="652" t="str">
        <f>EX36/Sales</f>
        <v>#ERROR!</v>
      </c>
      <c r="EY35" s="652" t="str">
        <f>EY36/Sales</f>
        <v>#ERROR!</v>
      </c>
      <c r="EZ35" s="652" t="str">
        <f>EZ36/Sales</f>
        <v>#ERROR!</v>
      </c>
      <c r="FA35" s="652" t="str">
        <f>FA36/Sales</f>
        <v>#ERROR!</v>
      </c>
      <c r="FB35" s="843" t="str">
        <f>FB36/Sales</f>
        <v>#ERROR!</v>
      </c>
      <c r="FC35" s="652" t="str">
        <f>FC36/Sales</f>
        <v>#ERROR!</v>
      </c>
      <c r="FD35" s="652" t="str">
        <f>FD36/Sales</f>
        <v>#ERROR!</v>
      </c>
      <c r="FE35" s="652" t="str">
        <f>FE36/Sales</f>
        <v>#ERROR!</v>
      </c>
      <c r="FF35" s="652" t="str">
        <f>FF36/Sales</f>
        <v>#ERROR!</v>
      </c>
      <c r="FG35" s="843" t="str">
        <f>FG36/Sales</f>
        <v>#ERROR!</v>
      </c>
    </row>
    <row r="36" ht="12.75" customHeight="1" collapsed="1">
      <c r="A36" s="128"/>
      <c r="B36" s="180" t="s">
        <v>527</v>
      </c>
      <c r="C36" s="179"/>
      <c r="D36" s="179"/>
      <c r="E36" s="179"/>
      <c r="F36" s="179"/>
      <c r="G36" s="179"/>
      <c r="H36" s="179"/>
      <c r="I36" s="179"/>
      <c r="J36" s="179"/>
      <c r="K36" s="179"/>
      <c r="L36" s="179"/>
      <c r="M36" s="179"/>
      <c r="N36" s="837">
        <f>2440-2143+21</f>
        <v>318</v>
      </c>
      <c r="O36" s="837">
        <f>4717-4528-N36+46</f>
        <v>-83</v>
      </c>
      <c r="P36" s="837">
        <f>6774-6347+109-O36-N36</f>
        <v>301</v>
      </c>
      <c r="Q36" s="837">
        <f>8681-10925+201-P36-O36-N36</f>
        <v>-2579</v>
      </c>
      <c r="R36" s="838">
        <f>+SUM(N36:Q36)</f>
        <v>-2043</v>
      </c>
      <c r="S36" s="837">
        <f>1508-2056+194</f>
        <v>-354</v>
      </c>
      <c r="T36" s="837">
        <f>4554-3305+386-S36</f>
        <v>1989</v>
      </c>
      <c r="U36" s="837">
        <f>6028-6199+628-T36-S36</f>
        <v>-1178</v>
      </c>
      <c r="V36" s="837">
        <f>W36-S36-T36-U36</f>
        <v>475</v>
      </c>
      <c r="W36" s="838">
        <f>-7055+7987</f>
        <v>932</v>
      </c>
      <c r="X36" s="837">
        <f>304-2227+4596</f>
        <v>2673</v>
      </c>
      <c r="Y36" s="837">
        <f>+-5808+2768+6387-X36</f>
        <v>674</v>
      </c>
      <c r="Z36" s="837">
        <f>10324+3624-11250-Y36-X36</f>
        <v>-649</v>
      </c>
      <c r="AA36" s="837">
        <f>AB36-X36-Y36-Z36</f>
        <v>-2762</v>
      </c>
      <c r="AB36" s="838">
        <f>-17188+17124</f>
        <v>-64</v>
      </c>
      <c r="AC36" s="837">
        <f>-2438+5221</f>
        <v>2783</v>
      </c>
      <c r="AD36" s="837">
        <f>-5135+9577-AC36</f>
        <v>1659</v>
      </c>
      <c r="AE36" s="837">
        <v>2024.0</v>
      </c>
      <c r="AF36" s="837">
        <f>AG36-AC36-AD36-AE36</f>
        <v>1791</v>
      </c>
      <c r="AG36" s="838">
        <f>-7141+15398</f>
        <v>8257</v>
      </c>
      <c r="AH36" s="837">
        <f>-1929+1403</f>
        <v>-526</v>
      </c>
      <c r="AI36" s="837">
        <f>-2956+2474-AH36</f>
        <v>44</v>
      </c>
      <c r="AJ36" s="837">
        <f>-4619+4383-AI36-AH36</f>
        <v>246</v>
      </c>
      <c r="AK36" s="837">
        <f>AL36-SUM(AH36:AJ36)</f>
        <v>-439</v>
      </c>
      <c r="AL36" s="838">
        <f>-6309+5634</f>
        <v>-675</v>
      </c>
      <c r="AM36" s="837">
        <f>-2253+2273</f>
        <v>20</v>
      </c>
      <c r="AN36" s="837">
        <f>-11-AM36</f>
        <v>-31</v>
      </c>
      <c r="AO36" s="837">
        <f>-6600+6006-AM36-AN36</f>
        <v>-583</v>
      </c>
      <c r="AP36" s="837">
        <f>AQ36-SUM(AM36:AO36)</f>
        <v>-2580</v>
      </c>
      <c r="AQ36" s="838">
        <f>-11662+8488</f>
        <v>-3174</v>
      </c>
      <c r="AR36" s="837">
        <f>-3765+3525</f>
        <v>-240</v>
      </c>
      <c r="AS36" s="837">
        <f>-8793+6851-AR36</f>
        <v>-1702</v>
      </c>
      <c r="AT36" s="837">
        <f>-12706+10633-AR36-AS36</f>
        <v>-131</v>
      </c>
      <c r="AU36" s="837">
        <f>AV36-SUM(AR36:AT36)</f>
        <v>1088</v>
      </c>
      <c r="AV36" s="838">
        <f>-16618+15633</f>
        <v>-985</v>
      </c>
      <c r="AW36" s="837">
        <f>-2168+3619</f>
        <v>1451</v>
      </c>
      <c r="AX36" s="837">
        <f>-3667+5945-AW36</f>
        <v>827</v>
      </c>
      <c r="AY36" s="837">
        <f>-5426+7439-AW36-AX36</f>
        <v>-265</v>
      </c>
      <c r="AZ36" s="837">
        <f>BA36-SUM(AW36:AY36)</f>
        <v>-2055</v>
      </c>
      <c r="BA36" s="838">
        <f>-8475+8433</f>
        <v>-42</v>
      </c>
      <c r="BB36" s="837">
        <f>-2093+2324</f>
        <v>231</v>
      </c>
      <c r="BC36" s="837">
        <f>-2750+4336-BB36</f>
        <v>1355</v>
      </c>
      <c r="BD36" s="837">
        <f>-1377-3443+6092-BB36-BC36</f>
        <v>-314</v>
      </c>
      <c r="BE36" s="837">
        <f>BF36-SUM(BB36:BD36)</f>
        <v>-1119</v>
      </c>
      <c r="BF36" s="838">
        <f>-5272+7147-1722</f>
        <v>153</v>
      </c>
      <c r="BG36" s="837">
        <f>-2924+1533-489</f>
        <v>-1880</v>
      </c>
      <c r="BH36" s="837">
        <f>-5422+3216-800-BG36</f>
        <v>-1126</v>
      </c>
      <c r="BI36" s="837">
        <f>-8513+5671-1279-BG36-BH36</f>
        <v>-1115</v>
      </c>
      <c r="BJ36" s="837">
        <f>BK36-SUM(BG36:BI36)</f>
        <v>-1055</v>
      </c>
      <c r="BK36" s="838">
        <f>-11728+8011-1459</f>
        <v>-5176</v>
      </c>
      <c r="BL36" s="837">
        <f>-2199+2624-213-325+67</f>
        <v>-46</v>
      </c>
      <c r="BM36" s="837">
        <f>-3849+4719-1326+288-444+91-BL36</f>
        <v>-475</v>
      </c>
      <c r="BN36" s="837">
        <f>-5152+6519-2173+642-564+193-BL36-BM36</f>
        <v>-14</v>
      </c>
      <c r="BO36" s="837">
        <f>BP36-SUM(BL36:BN36)</f>
        <v>-236</v>
      </c>
      <c r="BP36" s="838">
        <f>-6479+7993-2676+1766-1691+316</f>
        <v>-771</v>
      </c>
      <c r="BQ36" s="837">
        <f>-601+2078-304+651-41+118</f>
        <v>1901</v>
      </c>
      <c r="BR36" s="837">
        <f>-2953+3063-881+1545-243-124+239-BQ36</f>
        <v>-1255</v>
      </c>
      <c r="BS36" s="837">
        <f>-5375+5084-2505+1879-243-165+348-BQ36-BR36</f>
        <v>-1623</v>
      </c>
      <c r="BT36" s="837">
        <f>BU36-SUM(BQ36:BS36)</f>
        <v>-1709</v>
      </c>
      <c r="BU36" s="838">
        <f>-8655+7756-4186+2543-343-250+449</f>
        <v>-2686</v>
      </c>
      <c r="BV36" s="837">
        <f>-3235+2615-2397+1554-249-69+70</f>
        <v>-1711</v>
      </c>
      <c r="BW36" s="837">
        <f>-6863+5962-4791+3571-439-169+99-BV36</f>
        <v>-919</v>
      </c>
      <c r="BX36" s="837">
        <f>-11835+8793-6761+5949-421-242+151-BV36-BW36</f>
        <v>-1736</v>
      </c>
      <c r="BY36" s="837">
        <f>BZ36-SUM(BV36:BX36)</f>
        <v>-966</v>
      </c>
      <c r="BZ36" s="838">
        <f>-17675+13133-8944+8846-498-393+199</f>
        <v>-5332</v>
      </c>
      <c r="CA36" s="837">
        <f>-3569+7594+5172-1540+2578-147</f>
        <v>10088</v>
      </c>
      <c r="CB36" s="837">
        <f>-5213+8754+7087-3820+5258-CA36</f>
        <v>1978</v>
      </c>
      <c r="CC36" s="837">
        <f>-7426+9052+8645-6795+7688-CA36-CB36</f>
        <v>-902</v>
      </c>
      <c r="CD36" s="837">
        <f>CE36-SUM(CA36:CC36)</f>
        <v>-1832</v>
      </c>
      <c r="CE36" s="838">
        <f>-11230+9076+11029-11314+11771</f>
        <v>9332</v>
      </c>
      <c r="CF36" s="837">
        <f>-1529+333+1827-4303+4567+133-116+67</f>
        <v>979</v>
      </c>
      <c r="CG36" s="837">
        <f>-2072+607+2888-8166+8321+133-166-195+137-CF36</f>
        <v>508</v>
      </c>
      <c r="CH36" s="837">
        <f>-6643+2142+4631-12548+12678+141-216-358+137-CF36-CG36</f>
        <v>-1523</v>
      </c>
      <c r="CI36" s="837">
        <f>CJ36-SUM(CF36:CH36)</f>
        <v>-2728</v>
      </c>
      <c r="CJ36" s="838">
        <f>-8694+2282+5369-16892+15786+149-216-475+605+137-815</f>
        <v>-2764</v>
      </c>
      <c r="CK36" s="837">
        <f>-3475+304+1711-5191+3558+8-35+13-33</f>
        <v>-3140</v>
      </c>
      <c r="CL36" s="837">
        <f>-7322+598+2961-9616+7758+116-100-125+31-34-CK36</f>
        <v>-2593</v>
      </c>
      <c r="CM36" s="837">
        <f>-10107+864+5586-13034+10890+124-100-258+35-36-CL36-CK36</f>
        <v>-303</v>
      </c>
      <c r="CN36" s="837">
        <f>-12493+934+8336-16718+13677-200-440+503-CM36-CL36-CK36</f>
        <v>-365</v>
      </c>
      <c r="CO36" s="838">
        <f>SUM(CK36:CN36)</f>
        <v>-6401</v>
      </c>
      <c r="CP36" s="837">
        <f>-2509+174+2913-3225+2693+8-144+150</f>
        <v>60</v>
      </c>
      <c r="CQ36" s="837">
        <f>-5113+409+5555-6825+5544+17-1115-CP36</f>
        <v>-1588</v>
      </c>
      <c r="CR36" s="837">
        <f>-6077+786+7396-10347+9541+17-1330-CQ36-CP36</f>
        <v>1514</v>
      </c>
      <c r="CS36" s="268">
        <f>-7007+1227+8944-14397+13165-1377+671-CR36-CQ36-CP36</f>
        <v>1240</v>
      </c>
      <c r="CT36" s="839">
        <f>SUM(CP36:CS36)</f>
        <v>1226</v>
      </c>
      <c r="CU36" s="268">
        <f>-139+43+1079-2475+3398</f>
        <v>1906</v>
      </c>
      <c r="CV36" s="268">
        <f>-1255+109+1659-5291+7639-CU36</f>
        <v>955</v>
      </c>
      <c r="CW36" s="268">
        <f>-7522+1040+2153-7943+10465-CV36-CU36</f>
        <v>-4668</v>
      </c>
      <c r="CX36" s="837">
        <f>-8259+2090+6168-11485+13372-CW36-CV36-CU36</f>
        <v>3693</v>
      </c>
      <c r="CY36" s="839">
        <f>SUM(CU36:CX36)</f>
        <v>1886</v>
      </c>
      <c r="CZ36" s="844">
        <f>-2847+2810+1359-4533+3138</f>
        <v>-73</v>
      </c>
      <c r="DA36" s="268">
        <f>-5693+3685+2393-7205+5313-CZ36</f>
        <v>-1434</v>
      </c>
      <c r="DB36" s="840">
        <f>-7962+3793+4928-9953+7867-DA36-CZ36</f>
        <v>180</v>
      </c>
      <c r="DC36" s="268">
        <f>-9269+3852+5654-12237+10907-963-DB36-DA36-CZ36</f>
        <v>-729</v>
      </c>
      <c r="DD36" s="839">
        <f>SUM(CZ36:DC36)</f>
        <v>-2056</v>
      </c>
      <c r="DE36" s="844">
        <f>-422-115+160</f>
        <v>-377</v>
      </c>
      <c r="DF36" s="844">
        <f>0+0+-625+924+201-DE36</f>
        <v>877</v>
      </c>
      <c r="DG36" s="844">
        <f>0+250-726+3124+893-DE36-DF36</f>
        <v>3041</v>
      </c>
      <c r="DH36" s="268">
        <f>-1601+3124-DG36-DF36-DE36</f>
        <v>-2018</v>
      </c>
      <c r="DI36" s="839">
        <f>SUM(DE36:DH36)</f>
        <v>1523</v>
      </c>
      <c r="DJ36" s="840">
        <f>-859+893-5398+3760</f>
        <v>-1604</v>
      </c>
      <c r="DK36" s="840">
        <f>-1578+1720-6501+7691-594+215-DJ36</f>
        <v>2557</v>
      </c>
      <c r="DL36" s="840">
        <f>-3090+135+2232-8316+9705-667+1646-DK36-DJ36</f>
        <v>692</v>
      </c>
      <c r="DM36" s="840">
        <f>-3843+195+2968-9503+12111-874+2802-SUM(DJ36:DL36)</f>
        <v>2211</v>
      </c>
      <c r="DN36" s="839">
        <f>SUM(DJ36:DM36)</f>
        <v>3856</v>
      </c>
      <c r="DO36" s="840">
        <f>-872+940-1869+1554</f>
        <v>-247</v>
      </c>
      <c r="DP36" s="840">
        <f>-1721+1903-4498+3808-DO36</f>
        <v>-261</v>
      </c>
      <c r="DQ36" s="840">
        <f>-2028+1198+1920-5769+5467+1414-SUM(DO36:DP36)</f>
        <v>2710</v>
      </c>
      <c r="DR36" s="840">
        <f>-1958-2268+238+3988-9162+7178-522+2688+911-SUM(DO36:DQ36)</f>
        <v>-1109</v>
      </c>
      <c r="DS36" s="839">
        <f>SUM(DO36:DR36)</f>
        <v>1093</v>
      </c>
      <c r="DT36" s="840">
        <f>-513+625-3897+3660+20</f>
        <v>-105</v>
      </c>
      <c r="DU36" s="840">
        <f>-4558-602+1303-DT36</f>
        <v>-3752</v>
      </c>
      <c r="DV36" s="840">
        <f>-6323+5037-14744+11227+339-SUM(DT36:DU36)</f>
        <v>-607</v>
      </c>
      <c r="DW36" s="840">
        <f>-6862+6781-22377+15377-720+910+123-SUM(DT36:DV36)</f>
        <v>-2304</v>
      </c>
      <c r="DX36" s="839">
        <f>SUM(DT36:DW36)</f>
        <v>-6768</v>
      </c>
      <c r="DY36" s="840">
        <f>-593+1232-5981+6777</f>
        <v>1435</v>
      </c>
      <c r="DZ36" s="840">
        <f>-2000+2126-14637+12936-DY36</f>
        <v>-3010</v>
      </c>
      <c r="EA36" s="840">
        <f>-3983+3457-26343+18813-SUM(DY36:DZ36)</f>
        <v>-6481</v>
      </c>
      <c r="EB36" s="840">
        <f>-5051+6467-35503+28832-613+581-SUM(DY36:EA36)</f>
        <v>2769</v>
      </c>
      <c r="EC36" s="839">
        <f>SUM(DY36:EB36)</f>
        <v>-5287</v>
      </c>
      <c r="ED36" s="840">
        <v>0.0</v>
      </c>
      <c r="EE36" s="840">
        <v>0.0</v>
      </c>
      <c r="EF36" s="840">
        <v>0.0</v>
      </c>
      <c r="EG36" s="840">
        <v>0.0</v>
      </c>
      <c r="EH36" s="839">
        <f>SUM(ED36:EG36)</f>
        <v>0</v>
      </c>
      <c r="EI36" s="841">
        <f>+(BS!EG28+BS!EG33)-(BS!EI28+BS!EI33)</f>
        <v>0</v>
      </c>
      <c r="EJ36" s="837">
        <f>+(BS!EI28+BS!EI33)-(BS!EJ28+BS!EJ33)</f>
        <v>0</v>
      </c>
      <c r="EK36" s="837">
        <f>+(BS!EJ28+BS!EJ33)-(BS!EK28+BS!EK33)</f>
        <v>0</v>
      </c>
      <c r="EL36" s="837">
        <f>+(BS!EK28+BS!EK33)-(BS!EL28+BS!EL33)</f>
        <v>0</v>
      </c>
      <c r="EM36" s="839">
        <f>SUM(EI36:EL36)</f>
        <v>0</v>
      </c>
      <c r="EN36" s="837">
        <f>+(BS!EL28+BS!EL33)-(BS!EN28+BS!EN33)</f>
        <v>0</v>
      </c>
      <c r="EO36" s="837">
        <f>+(BS!EN28+BS!EN33)-(BS!EO28+BS!EO33)</f>
        <v>0</v>
      </c>
      <c r="EP36" s="837">
        <f>+(BS!EO28+BS!EO33)-(BS!EP28+BS!EP33)</f>
        <v>0</v>
      </c>
      <c r="EQ36" s="837">
        <f>+(BS!EP28+BS!EP33)-(BS!EQ28+BS!EQ33)</f>
        <v>0</v>
      </c>
      <c r="ER36" s="839">
        <f>SUM(EN36:EQ36)</f>
        <v>0</v>
      </c>
      <c r="ES36" s="837">
        <f>+(BS!EQ28+BS!EQ33)-(BS!ES28+BS!ES33)</f>
        <v>0</v>
      </c>
      <c r="ET36" s="837">
        <f>+(BS!ES28+BS!ES33)-(BS!ET28+BS!ET33)</f>
        <v>0</v>
      </c>
      <c r="EU36" s="837">
        <f>+(BS!ET28+BS!ET33)-(BS!EU28+BS!EU33)</f>
        <v>0</v>
      </c>
      <c r="EV36" s="837">
        <f>+(BS!EU28+BS!EU33)-(BS!EV28+BS!EV33)</f>
        <v>0</v>
      </c>
      <c r="EW36" s="839">
        <f>SUM(ES36:EV36)</f>
        <v>0</v>
      </c>
      <c r="EX36" s="837">
        <f>+(BS!EV28+BS!EV33)-(BS!EX28+BS!EX33)</f>
        <v>0</v>
      </c>
      <c r="EY36" s="837">
        <f>+(BS!EX28+BS!EX33)-(BS!EY28+BS!EY33)</f>
        <v>0</v>
      </c>
      <c r="EZ36" s="837">
        <f>+(BS!EY28+BS!EY33)-(BS!EZ28+BS!EZ33)</f>
        <v>0</v>
      </c>
      <c r="FA36" s="837">
        <f>+(BS!EZ28+BS!EZ33)-(BS!FA28+BS!FA33)</f>
        <v>0</v>
      </c>
      <c r="FB36" s="839">
        <f>SUM(EX36:FA36)</f>
        <v>0</v>
      </c>
      <c r="FC36" s="837">
        <f>+(BS!FA28+BS!FA33)-(BS!FC28+BS!FC33)</f>
        <v>0</v>
      </c>
      <c r="FD36" s="837">
        <f>+(BS!FC28+BS!FC33)-(BS!FD28+BS!FD33)</f>
        <v>0</v>
      </c>
      <c r="FE36" s="837">
        <f>+(BS!FD28+BS!FD33)-(BS!FE28+BS!FE33)</f>
        <v>0</v>
      </c>
      <c r="FF36" s="837">
        <f>+(BS!FE28+BS!FE33)-(BS!FF28+BS!FF33)</f>
        <v>0</v>
      </c>
      <c r="FG36" s="839">
        <f>SUM(FC36:FF36)</f>
        <v>0</v>
      </c>
    </row>
    <row r="37" ht="16.5" hidden="1" customHeight="1">
      <c r="A37" s="128"/>
      <c r="B37" s="180"/>
      <c r="C37" s="179"/>
      <c r="D37" s="179"/>
      <c r="E37" s="179"/>
      <c r="F37" s="179"/>
      <c r="G37" s="179"/>
      <c r="H37" s="179"/>
      <c r="I37" s="179"/>
      <c r="J37" s="179"/>
      <c r="K37" s="179"/>
      <c r="L37" s="179"/>
      <c r="M37" s="179"/>
      <c r="N37" s="837"/>
      <c r="O37" s="837"/>
      <c r="P37" s="837"/>
      <c r="Q37" s="837"/>
      <c r="R37" s="838"/>
      <c r="S37" s="837"/>
      <c r="T37" s="837"/>
      <c r="U37" s="837"/>
      <c r="V37" s="837"/>
      <c r="W37" s="838"/>
      <c r="X37" s="837"/>
      <c r="Y37" s="837"/>
      <c r="Z37" s="837"/>
      <c r="AA37" s="837"/>
      <c r="AB37" s="838"/>
      <c r="AC37" s="837"/>
      <c r="AD37" s="837"/>
      <c r="AE37" s="837"/>
      <c r="AF37" s="837"/>
      <c r="AG37" s="838"/>
      <c r="AH37" s="837"/>
      <c r="AI37" s="837"/>
      <c r="AJ37" s="837"/>
      <c r="AK37" s="837"/>
      <c r="AL37" s="838"/>
      <c r="AM37" s="837"/>
      <c r="AN37" s="837"/>
      <c r="AO37" s="837"/>
      <c r="AP37" s="837"/>
      <c r="AQ37" s="838"/>
      <c r="AR37" s="837"/>
      <c r="AS37" s="837"/>
      <c r="AT37" s="837"/>
      <c r="AU37" s="837"/>
      <c r="AV37" s="838"/>
      <c r="AW37" s="837"/>
      <c r="AX37" s="837"/>
      <c r="AY37" s="837"/>
      <c r="AZ37" s="837"/>
      <c r="BA37" s="838"/>
      <c r="BB37" s="837"/>
      <c r="BC37" s="837"/>
      <c r="BD37" s="837"/>
      <c r="BE37" s="837"/>
      <c r="BF37" s="838"/>
      <c r="BG37" s="837"/>
      <c r="BH37" s="837"/>
      <c r="BI37" s="837"/>
      <c r="BJ37" s="837"/>
      <c r="BK37" s="838"/>
      <c r="BL37" s="837"/>
      <c r="BM37" s="837"/>
      <c r="BN37" s="837"/>
      <c r="BO37" s="837"/>
      <c r="BP37" s="838"/>
      <c r="BQ37" s="837"/>
      <c r="BR37" s="837"/>
      <c r="BS37" s="837"/>
      <c r="BT37" s="837"/>
      <c r="BU37" s="838"/>
      <c r="BV37" s="837"/>
      <c r="BW37" s="837"/>
      <c r="BX37" s="837"/>
      <c r="BY37" s="837"/>
      <c r="BZ37" s="838"/>
      <c r="CA37" s="837"/>
      <c r="CB37" s="837"/>
      <c r="CC37" s="837"/>
      <c r="CD37" s="837"/>
      <c r="CE37" s="838"/>
      <c r="CF37" s="837"/>
      <c r="CG37" s="837"/>
      <c r="CH37" s="837"/>
      <c r="CI37" s="837"/>
      <c r="CJ37" s="838"/>
      <c r="CK37" s="837"/>
      <c r="CL37" s="837"/>
      <c r="CM37" s="837"/>
      <c r="CN37" s="837"/>
      <c r="CO37" s="838"/>
      <c r="CP37" s="837"/>
      <c r="CQ37" s="837"/>
      <c r="CR37" s="837"/>
      <c r="CS37" s="268"/>
      <c r="CT37" s="839"/>
      <c r="CU37" s="268"/>
      <c r="CV37" s="268"/>
      <c r="CW37" s="837"/>
      <c r="CX37" s="837"/>
      <c r="CY37" s="839"/>
      <c r="CZ37" s="844"/>
      <c r="DA37" s="268"/>
      <c r="DB37" s="840"/>
      <c r="DC37" s="837"/>
      <c r="DD37" s="839"/>
      <c r="DE37" s="844"/>
      <c r="DF37" s="844"/>
      <c r="DG37" s="840"/>
      <c r="DH37" s="837"/>
      <c r="DI37" s="839"/>
      <c r="DJ37" s="840"/>
      <c r="DK37" s="840"/>
      <c r="DL37" s="840"/>
      <c r="DM37" s="840"/>
      <c r="DN37" s="839"/>
      <c r="DO37" s="840"/>
      <c r="DP37" s="840"/>
      <c r="DQ37" s="840"/>
      <c r="DR37" s="840"/>
      <c r="DS37" s="839"/>
      <c r="DT37" s="840"/>
      <c r="DU37" s="840"/>
      <c r="DV37" s="840"/>
      <c r="DW37" s="840"/>
      <c r="DX37" s="839"/>
      <c r="DY37" s="840"/>
      <c r="DZ37" s="840"/>
      <c r="EA37" s="840"/>
      <c r="EB37" s="840"/>
      <c r="EC37" s="839"/>
      <c r="ED37" s="840"/>
      <c r="EE37" s="840"/>
      <c r="EF37" s="840"/>
      <c r="EG37" s="840"/>
      <c r="EH37" s="839"/>
      <c r="EI37" s="841"/>
      <c r="EJ37" s="837"/>
      <c r="EK37" s="837"/>
      <c r="EL37" s="837"/>
      <c r="EM37" s="839"/>
      <c r="EN37" s="837"/>
      <c r="EO37" s="837"/>
      <c r="EP37" s="837"/>
      <c r="EQ37" s="837"/>
      <c r="ER37" s="839"/>
      <c r="ES37" s="837"/>
      <c r="ET37" s="837"/>
      <c r="EU37" s="837"/>
      <c r="EV37" s="837"/>
      <c r="EW37" s="839"/>
      <c r="EX37" s="837"/>
      <c r="EY37" s="837"/>
      <c r="EZ37" s="837"/>
      <c r="FA37" s="837"/>
      <c r="FB37" s="839"/>
      <c r="FC37" s="837"/>
      <c r="FD37" s="837"/>
      <c r="FE37" s="837"/>
      <c r="FF37" s="837"/>
      <c r="FG37" s="839"/>
    </row>
    <row r="38" ht="12.75" customHeight="1">
      <c r="A38" s="128"/>
      <c r="B38" s="180" t="s">
        <v>223</v>
      </c>
      <c r="C38" s="179"/>
      <c r="D38" s="179"/>
      <c r="E38" s="179"/>
      <c r="F38" s="179"/>
      <c r="G38" s="179"/>
      <c r="H38" s="179"/>
      <c r="I38" s="179"/>
      <c r="J38" s="179"/>
      <c r="K38" s="179"/>
      <c r="L38" s="179"/>
      <c r="M38" s="179"/>
      <c r="N38" s="837">
        <v>0.0</v>
      </c>
      <c r="O38" s="837">
        <v>0.0</v>
      </c>
      <c r="P38" s="837">
        <v>0.0</v>
      </c>
      <c r="Q38" s="837">
        <v>0.0</v>
      </c>
      <c r="R38" s="838">
        <f t="shared" ref="R38:R39" si="150">+SUM(N38:Q38)</f>
        <v>0</v>
      </c>
      <c r="S38" s="837">
        <v>-168.0</v>
      </c>
      <c r="T38" s="837">
        <f>-335-S38</f>
        <v>-167</v>
      </c>
      <c r="U38" s="837">
        <f>-537-T38-S38</f>
        <v>-202</v>
      </c>
      <c r="V38" s="837">
        <f>W38-S38-T38-U38</f>
        <v>-262</v>
      </c>
      <c r="W38" s="838">
        <v>-799.0</v>
      </c>
      <c r="X38" s="837">
        <v>-293.0</v>
      </c>
      <c r="Y38" s="837">
        <f>+-333-X38</f>
        <v>-40</v>
      </c>
      <c r="Z38" s="837">
        <f>+-522-Y38-X38</f>
        <v>-189</v>
      </c>
      <c r="AA38" s="837">
        <f>AB38-X38-Y38-Z38</f>
        <v>-458</v>
      </c>
      <c r="AB38" s="838">
        <v>-980.0</v>
      </c>
      <c r="AC38" s="837">
        <v>-167.0</v>
      </c>
      <c r="AD38" s="837">
        <f>-249-AC38</f>
        <v>-82</v>
      </c>
      <c r="AE38" s="837">
        <v>-66.0</v>
      </c>
      <c r="AF38" s="837">
        <f>AG38-AC38-AD38-AE38</f>
        <v>55</v>
      </c>
      <c r="AG38" s="838">
        <v>-260.0</v>
      </c>
      <c r="AH38" s="837">
        <v>-165.0</v>
      </c>
      <c r="AI38" s="837">
        <f>-179-AH38</f>
        <v>-14</v>
      </c>
      <c r="AJ38" s="837">
        <f>-165-AI38-AH38</f>
        <v>14</v>
      </c>
      <c r="AK38" s="837">
        <f>AL38-SUM(AH38:AJ38)</f>
        <v>-165</v>
      </c>
      <c r="AL38" s="838">
        <v>-330.0</v>
      </c>
      <c r="AM38" s="837">
        <v>7.0</v>
      </c>
      <c r="AN38" s="837">
        <f>-3647+4256-AM38</f>
        <v>602</v>
      </c>
      <c r="AO38" s="837">
        <f>-84-AM38-AN38</f>
        <v>-693</v>
      </c>
      <c r="AP38" s="837">
        <f>AQ38-SUM(AM38:AO38)</f>
        <v>-115</v>
      </c>
      <c r="AQ38" s="838">
        <v>-199.0</v>
      </c>
      <c r="AR38" s="837">
        <v>-9.0</v>
      </c>
      <c r="AS38" s="837">
        <f>-15-AR38</f>
        <v>-6</v>
      </c>
      <c r="AT38" s="837">
        <f>-34-AR38-AS38</f>
        <v>-19</v>
      </c>
      <c r="AU38" s="837">
        <f>AV38-SUM(AR38:AT38)</f>
        <v>-117</v>
      </c>
      <c r="AV38" s="838">
        <v>-151.0</v>
      </c>
      <c r="AW38" s="837">
        <v>6.0</v>
      </c>
      <c r="AX38" s="837">
        <f>-21-AW38</f>
        <v>-27</v>
      </c>
      <c r="AY38" s="837">
        <f>-241-AW38-AX38</f>
        <v>-220</v>
      </c>
      <c r="AZ38" s="837">
        <f>BA38-SUM(AW38:AY38)</f>
        <v>-70</v>
      </c>
      <c r="BA38" s="838">
        <v>-311.0</v>
      </c>
      <c r="BB38" s="837">
        <f>-500-270</f>
        <v>-770</v>
      </c>
      <c r="BC38" s="837">
        <f>-790-285-BB38</f>
        <v>-305</v>
      </c>
      <c r="BD38" s="837">
        <f>-35-BB38-BC38</f>
        <v>1040</v>
      </c>
      <c r="BE38" s="837">
        <f>BF38-SUM(BB38:BD38)</f>
        <v>2</v>
      </c>
      <c r="BF38" s="838">
        <v>-33.0</v>
      </c>
      <c r="BG38" s="837">
        <v>25.0</v>
      </c>
      <c r="BH38" s="837">
        <f>49-BG38</f>
        <v>24</v>
      </c>
      <c r="BI38" s="837">
        <f>126-BG38-BH38</f>
        <v>77</v>
      </c>
      <c r="BJ38" s="837">
        <f>BK38-SUM(BG38:BI38)</f>
        <v>200</v>
      </c>
      <c r="BK38" s="838">
        <f>32+294</f>
        <v>326</v>
      </c>
      <c r="BL38" s="837">
        <v>-43.0</v>
      </c>
      <c r="BM38" s="837">
        <f>-40-BL38</f>
        <v>3</v>
      </c>
      <c r="BN38" s="837">
        <f>25-BL38-BM38</f>
        <v>65</v>
      </c>
      <c r="BO38" s="837">
        <f>BP38-SUM(BL38:BN38)</f>
        <v>9</v>
      </c>
      <c r="BP38" s="838">
        <v>34.0</v>
      </c>
      <c r="BQ38" s="837">
        <v>17.0</v>
      </c>
      <c r="BR38" s="837">
        <f>28-BQ38</f>
        <v>11</v>
      </c>
      <c r="BS38" s="837">
        <f>68-BQ38-BR38</f>
        <v>40</v>
      </c>
      <c r="BT38" s="837">
        <f>BU38-SUM(BQ38:BS38)</f>
        <v>21</v>
      </c>
      <c r="BU38" s="838">
        <v>89.0</v>
      </c>
      <c r="BV38" s="837">
        <v>4.0</v>
      </c>
      <c r="BW38" s="837">
        <f>34-BV38</f>
        <v>30</v>
      </c>
      <c r="BX38" s="837">
        <f>207-BV38-BW38</f>
        <v>173</v>
      </c>
      <c r="BY38" s="837">
        <f>BZ38-SUM(BV38:BX38)</f>
        <v>11</v>
      </c>
      <c r="BZ38" s="838">
        <v>218.0</v>
      </c>
      <c r="CA38" s="837">
        <f>24+133</f>
        <v>157</v>
      </c>
      <c r="CB38" s="837">
        <f>-30-295+113+167-CA38</f>
        <v>-202</v>
      </c>
      <c r="CC38" s="837">
        <f>-206-569+172+252-CA38-CB38</f>
        <v>-306</v>
      </c>
      <c r="CD38" s="837">
        <f>CE38-SUM(CA38:CC38)</f>
        <v>153</v>
      </c>
      <c r="CE38" s="838">
        <f>-206+134-693+263+304</f>
        <v>-198</v>
      </c>
      <c r="CF38" s="837">
        <v>60.0</v>
      </c>
      <c r="CG38" s="837">
        <f>126-CF38</f>
        <v>66</v>
      </c>
      <c r="CH38" s="837">
        <f>359-CF38-CG38</f>
        <v>233</v>
      </c>
      <c r="CI38" s="837">
        <f>CJ38-SUM(CF38:CH38)</f>
        <v>10</v>
      </c>
      <c r="CJ38" s="838">
        <v>369.0</v>
      </c>
      <c r="CK38" s="837">
        <v>95.0</v>
      </c>
      <c r="CL38" s="837">
        <f>185-CK38</f>
        <v>90</v>
      </c>
      <c r="CM38" s="837">
        <f>529-CL38-CK38</f>
        <v>344</v>
      </c>
      <c r="CN38" s="837">
        <f>-36-CM38-CL38-CK38</f>
        <v>-565</v>
      </c>
      <c r="CO38" s="838">
        <f>SUM(CK38:CN38)</f>
        <v>-36</v>
      </c>
      <c r="CP38" s="837">
        <v>-12.0</v>
      </c>
      <c r="CQ38" s="837">
        <f>167-CP38</f>
        <v>179</v>
      </c>
      <c r="CR38" s="837">
        <f>168-CQ38-CP38</f>
        <v>1</v>
      </c>
      <c r="CS38" s="268">
        <f>-92-CR38-CQ38-CP38</f>
        <v>-260</v>
      </c>
      <c r="CT38" s="839">
        <f>SUM(CP38:CS38)</f>
        <v>-92</v>
      </c>
      <c r="CU38" s="268">
        <f>-278+5</f>
        <v>-273</v>
      </c>
      <c r="CV38" s="268">
        <f>166-558+103-CU38</f>
        <v>-16</v>
      </c>
      <c r="CW38" s="837">
        <f>-2550+466-1864+380-CV38-CU38</f>
        <v>-3279</v>
      </c>
      <c r="CX38" s="268">
        <f>-2550+2116-2011-120+735-CW38-CV38-CU38</f>
        <v>1738</v>
      </c>
      <c r="CY38" s="839">
        <f>SUM(CU38:CX38)</f>
        <v>-1830</v>
      </c>
      <c r="CZ38" s="844">
        <f>-223+650-182+223</f>
        <v>468</v>
      </c>
      <c r="DA38" s="268">
        <f>-223+650-663+304-CZ38</f>
        <v>-400</v>
      </c>
      <c r="DB38" s="840">
        <f>-223+911-893+405-DA38-CZ38</f>
        <v>132</v>
      </c>
      <c r="DC38" s="837">
        <f>-223+911+646-DB38-DA38-CZ38</f>
        <v>1134</v>
      </c>
      <c r="DD38" s="839">
        <f>SUM(CZ38:DC38)</f>
        <v>1334</v>
      </c>
      <c r="DE38" s="844">
        <f>-1746+431+1508-3075+2433</f>
        <v>-449</v>
      </c>
      <c r="DF38" s="844">
        <f>-1894+1698+2197-7961+5977-DE38</f>
        <v>466</v>
      </c>
      <c r="DG38" s="844">
        <f>-1977+4610+3488-9792+11806-DE38-DF38</f>
        <v>8118</v>
      </c>
      <c r="DH38" s="837">
        <f>-2764+6978+3687-13700+13975+816-DG38-DF38-DE38</f>
        <v>857</v>
      </c>
      <c r="DI38" s="839">
        <f>SUM(DE38:DH38)</f>
        <v>8992</v>
      </c>
      <c r="DJ38" s="840">
        <v>-277.0</v>
      </c>
      <c r="DK38" s="840">
        <f>-45-DJ38</f>
        <v>232</v>
      </c>
      <c r="DL38" s="840">
        <f>-138-DK38-DJ38</f>
        <v>-93</v>
      </c>
      <c r="DM38" s="840">
        <f>-272-SUM(DJ38:DL38)</f>
        <v>-134</v>
      </c>
      <c r="DN38" s="839">
        <f t="shared" ref="DN38:DN39" si="153">SUM(DJ38:DM38)</f>
        <v>-272</v>
      </c>
      <c r="DO38" s="840">
        <f>1077-231</f>
        <v>846</v>
      </c>
      <c r="DP38" s="840">
        <f>1331+42-DO38</f>
        <v>527</v>
      </c>
      <c r="DQ38" s="840">
        <f>-575-SUM(DO38:DP38)</f>
        <v>-1948</v>
      </c>
      <c r="DR38" s="840">
        <f>715-SUM(DO38:DQ38)</f>
        <v>1290</v>
      </c>
      <c r="DS38" s="839">
        <f>SUM(DO38:DR38)</f>
        <v>715</v>
      </c>
      <c r="DT38" s="840">
        <v>-363.0</v>
      </c>
      <c r="DU38" s="840">
        <f>-11429+7430+186-DT38</f>
        <v>-3450</v>
      </c>
      <c r="DV38" s="840">
        <f>-256-SUM(DT38:DU38)</f>
        <v>3557</v>
      </c>
      <c r="DW38" s="840">
        <f>1262-SUM(DT38:DV38)</f>
        <v>1518</v>
      </c>
      <c r="DX38" s="839">
        <f>SUM(DT38:DW38)</f>
        <v>1262</v>
      </c>
      <c r="DY38" s="840">
        <v>406.0</v>
      </c>
      <c r="DZ38" s="840">
        <f>380-DY38</f>
        <v>-26</v>
      </c>
      <c r="EA38" s="840">
        <f>620-SUM(DY38:DZ38)</f>
        <v>240</v>
      </c>
      <c r="EB38" s="840">
        <f>658-SUM(DY38:EA38)</f>
        <v>38</v>
      </c>
      <c r="EC38" s="839">
        <f>SUM(DY38:EB38)</f>
        <v>658</v>
      </c>
      <c r="ED38" s="840">
        <f>-19091+10490+4682+6544-468</f>
        <v>2157</v>
      </c>
      <c r="EE38" s="840">
        <f>-25514+25407+4775+6579-1667-ED38</f>
        <v>7423</v>
      </c>
      <c r="EF38" s="840">
        <f>-206-31669+35129+4880+6579-2614-EE38-ED38</f>
        <v>2519</v>
      </c>
      <c r="EG38" s="840">
        <f>-206-43647+48730-510+6579+4961-1540-EF38-EE38-ED38</f>
        <v>2268</v>
      </c>
      <c r="EH38" s="839">
        <f>SUM(ED38:EG38)</f>
        <v>14367</v>
      </c>
      <c r="EI38" s="841" t="str">
        <f>(BS!EH9-BS!EI9)+(BS!EI50+BS!EI52)-(BS!EH50+BS!EH52)</f>
        <v>#ERROR!</v>
      </c>
      <c r="EJ38" s="837" t="str">
        <f>(BS!EI9-BS!EJ9)+(BS!EJ50+BS!EJ52)-(BS!EI50+BS!EI52)</f>
        <v>#ERROR!</v>
      </c>
      <c r="EK38" s="837" t="str">
        <f>(BS!EJ9-BS!EK9)+(BS!EK50+BS!EK52)-(BS!EJ50+BS!EJ52)</f>
        <v>#ERROR!</v>
      </c>
      <c r="EL38" s="837" t="str">
        <f>(BS!EK9-BS!EL9)+(BS!EL50+BS!EL52)-(BS!EK50+BS!EK52)</f>
        <v>#ERROR!</v>
      </c>
      <c r="EM38" s="839" t="str">
        <f>SUM(EI38:EL38)</f>
        <v>#ERROR!</v>
      </c>
      <c r="EN38" s="837" t="str">
        <f>(BS!EM9-BS!EN9)+(BS!EN50+BS!EN52)-(BS!EM50+BS!EM52)</f>
        <v>#ERROR!</v>
      </c>
      <c r="EO38" s="837" t="str">
        <f>(BS!EN9-BS!EO9)+(BS!EO50+BS!EO52)-(BS!EN50+BS!EN52)</f>
        <v>#ERROR!</v>
      </c>
      <c r="EP38" s="837" t="str">
        <f>(BS!EO9-BS!EP9)+(BS!EP50+BS!EP52)-(BS!EO50+BS!EO52)</f>
        <v>#ERROR!</v>
      </c>
      <c r="EQ38" s="837" t="str">
        <f>(BS!EP9-BS!EQ9)+(BS!EQ50+BS!EQ52)-(BS!EP50+BS!EP52)</f>
        <v>#ERROR!</v>
      </c>
      <c r="ER38" s="839" t="str">
        <f>SUM(EN38:EQ38)</f>
        <v>#ERROR!</v>
      </c>
      <c r="ES38" s="837" t="str">
        <f>(BS!ER9-BS!ES9)+(BS!ES50+BS!ES52)-(BS!ER50+BS!ER52)</f>
        <v>#ERROR!</v>
      </c>
      <c r="ET38" s="837" t="str">
        <f>(BS!ES9-BS!ET9)+(BS!ET50+BS!ET52)-(BS!ES50+BS!ES52)</f>
        <v>#ERROR!</v>
      </c>
      <c r="EU38" s="837" t="str">
        <f>(BS!ET9-BS!EU9)+(BS!EU50+BS!EU52)-(BS!ET50+BS!ET52)</f>
        <v>#ERROR!</v>
      </c>
      <c r="EV38" s="837" t="str">
        <f>(BS!EU9-BS!EV9)+(BS!EV50+BS!EV52)-(BS!EU50+BS!EU52)</f>
        <v>#ERROR!</v>
      </c>
      <c r="EW38" s="839" t="str">
        <f>SUM(ES38:EV38)</f>
        <v>#ERROR!</v>
      </c>
      <c r="EX38" s="837" t="str">
        <f>(BS!EW9-BS!EX9)+(BS!EX50+BS!EX52)-(BS!EW50+BS!EW52)</f>
        <v>#ERROR!</v>
      </c>
      <c r="EY38" s="837" t="str">
        <f>(BS!EX9-BS!EY9)+(BS!EY50+BS!EY52)-(BS!EX50+BS!EX52)</f>
        <v>#ERROR!</v>
      </c>
      <c r="EZ38" s="837" t="str">
        <f>(BS!EY9-BS!EZ9)+(BS!EZ50+BS!EZ52)-(BS!EY50+BS!EY52)</f>
        <v>#ERROR!</v>
      </c>
      <c r="FA38" s="837" t="str">
        <f>(BS!EZ9-BS!FA9)+(BS!FA50+BS!FA52)-(BS!EZ50+BS!EZ52)</f>
        <v>#ERROR!</v>
      </c>
      <c r="FB38" s="839" t="str">
        <f>SUM(EX38:FA38)</f>
        <v>#ERROR!</v>
      </c>
      <c r="FC38" s="837" t="str">
        <f>(BS!FB9-BS!FC9)+(BS!FC50+BS!FC52)-(BS!FB50+BS!FB52)</f>
        <v>#ERROR!</v>
      </c>
      <c r="FD38" s="837" t="str">
        <f>(BS!FC9-BS!FD9)+(BS!FD50+BS!FD52)-(BS!FC50+BS!FC52)</f>
        <v>#ERROR!</v>
      </c>
      <c r="FE38" s="837" t="str">
        <f>(BS!FD9-BS!FE9)+(BS!FE50+BS!FE52)-(BS!FD50+BS!FD52)</f>
        <v>#ERROR!</v>
      </c>
      <c r="FF38" s="837" t="str">
        <f>(BS!FE9-BS!FF9)+(BS!FF50+BS!FF52)-(BS!FE50+BS!FE52)</f>
        <v>#ERROR!</v>
      </c>
      <c r="FG38" s="839" t="str">
        <f>SUM(FC38:FF38)</f>
        <v>#ERROR!</v>
      </c>
    </row>
    <row r="39" ht="12.75" customHeight="1">
      <c r="A39" s="128"/>
      <c r="B39" s="764" t="s">
        <v>590</v>
      </c>
      <c r="C39" s="8"/>
      <c r="D39" s="764"/>
      <c r="E39" s="764"/>
      <c r="F39" s="764"/>
      <c r="G39" s="764"/>
      <c r="H39" s="764"/>
      <c r="I39" s="764"/>
      <c r="J39" s="764"/>
      <c r="K39" s="764"/>
      <c r="L39" s="764"/>
      <c r="M39" s="764"/>
      <c r="N39" s="847">
        <f t="shared" ref="N39:Q39" si="149">N33+N36+N37+N34+N38</f>
        <v>-1132</v>
      </c>
      <c r="O39" s="847">
        <f t="shared" si="149"/>
        <v>-1785</v>
      </c>
      <c r="P39" s="847">
        <f t="shared" si="149"/>
        <v>-421</v>
      </c>
      <c r="Q39" s="847">
        <f t="shared" si="149"/>
        <v>-3168</v>
      </c>
      <c r="R39" s="847">
        <f t="shared" si="150"/>
        <v>-6506</v>
      </c>
      <c r="S39" s="847">
        <f t="shared" ref="S39:AA39" si="151">S33+S36+S37+S34+S38</f>
        <v>-1329</v>
      </c>
      <c r="T39" s="847">
        <f t="shared" si="151"/>
        <v>1056</v>
      </c>
      <c r="U39" s="847">
        <f t="shared" si="151"/>
        <v>-3269</v>
      </c>
      <c r="V39" s="847">
        <f t="shared" si="151"/>
        <v>-2707</v>
      </c>
      <c r="W39" s="847">
        <f t="shared" si="151"/>
        <v>-6249</v>
      </c>
      <c r="X39" s="847">
        <f t="shared" si="151"/>
        <v>-100</v>
      </c>
      <c r="Y39" s="847">
        <f t="shared" si="151"/>
        <v>-1135</v>
      </c>
      <c r="Z39" s="847">
        <f t="shared" si="151"/>
        <v>-2942</v>
      </c>
      <c r="AA39" s="847">
        <f t="shared" si="151"/>
        <v>-5858</v>
      </c>
      <c r="AB39" s="847">
        <f>+SUM(X39:AA39)</f>
        <v>-10035</v>
      </c>
      <c r="AC39" s="847">
        <f t="shared" ref="AC39:DM39" si="152">AC33+AC36+AC37+AC34+AC38</f>
        <v>-546</v>
      </c>
      <c r="AD39" s="847">
        <f t="shared" si="152"/>
        <v>-948</v>
      </c>
      <c r="AE39" s="847">
        <f t="shared" si="152"/>
        <v>593</v>
      </c>
      <c r="AF39" s="847">
        <f t="shared" si="152"/>
        <v>706</v>
      </c>
      <c r="AG39" s="847">
        <f t="shared" si="152"/>
        <v>-195</v>
      </c>
      <c r="AH39" s="847">
        <f t="shared" si="152"/>
        <v>-2121</v>
      </c>
      <c r="AI39" s="847">
        <f t="shared" si="152"/>
        <v>-1135</v>
      </c>
      <c r="AJ39" s="847">
        <f t="shared" si="152"/>
        <v>-702</v>
      </c>
      <c r="AK39" s="847">
        <f t="shared" si="152"/>
        <v>-1807</v>
      </c>
      <c r="AL39" s="847">
        <f t="shared" si="152"/>
        <v>-5765</v>
      </c>
      <c r="AM39" s="847">
        <f t="shared" si="152"/>
        <v>-927</v>
      </c>
      <c r="AN39" s="847">
        <f t="shared" si="152"/>
        <v>-352</v>
      </c>
      <c r="AO39" s="847">
        <f t="shared" si="152"/>
        <v>-2369</v>
      </c>
      <c r="AP39" s="847">
        <f t="shared" si="152"/>
        <v>-3442</v>
      </c>
      <c r="AQ39" s="847">
        <f t="shared" si="152"/>
        <v>-7090</v>
      </c>
      <c r="AR39" s="847">
        <f t="shared" si="152"/>
        <v>-929</v>
      </c>
      <c r="AS39" s="847">
        <f t="shared" si="152"/>
        <v>-2767</v>
      </c>
      <c r="AT39" s="847">
        <f t="shared" si="152"/>
        <v>-1276</v>
      </c>
      <c r="AU39" s="847">
        <f t="shared" si="152"/>
        <v>-60</v>
      </c>
      <c r="AV39" s="847">
        <f t="shared" si="152"/>
        <v>-5032</v>
      </c>
      <c r="AW39" s="847">
        <f t="shared" si="152"/>
        <v>-331</v>
      </c>
      <c r="AX39" s="847">
        <f t="shared" si="152"/>
        <v>-670</v>
      </c>
      <c r="AY39" s="847">
        <f t="shared" si="152"/>
        <v>-1789</v>
      </c>
      <c r="AZ39" s="847">
        <f t="shared" si="152"/>
        <v>-3572</v>
      </c>
      <c r="BA39" s="847">
        <f t="shared" si="152"/>
        <v>-6362</v>
      </c>
      <c r="BB39" s="847">
        <f t="shared" si="152"/>
        <v>-2297</v>
      </c>
      <c r="BC39" s="847">
        <f t="shared" si="152"/>
        <v>-688</v>
      </c>
      <c r="BD39" s="847">
        <f t="shared" si="152"/>
        <v>-289</v>
      </c>
      <c r="BE39" s="847">
        <f t="shared" si="152"/>
        <v>-1633</v>
      </c>
      <c r="BF39" s="847">
        <f t="shared" si="152"/>
        <v>-4907</v>
      </c>
      <c r="BG39" s="847">
        <f t="shared" si="152"/>
        <v>-3216</v>
      </c>
      <c r="BH39" s="847">
        <f t="shared" si="152"/>
        <v>-2380</v>
      </c>
      <c r="BI39" s="847">
        <f t="shared" si="152"/>
        <v>-2168</v>
      </c>
      <c r="BJ39" s="847">
        <f t="shared" si="152"/>
        <v>-2162</v>
      </c>
      <c r="BK39" s="847">
        <f t="shared" si="152"/>
        <v>-9926</v>
      </c>
      <c r="BL39" s="847">
        <f t="shared" si="152"/>
        <v>-921</v>
      </c>
      <c r="BM39" s="847">
        <f t="shared" si="152"/>
        <v>-1623</v>
      </c>
      <c r="BN39" s="847">
        <f t="shared" si="152"/>
        <v>-1332</v>
      </c>
      <c r="BO39" s="847">
        <f t="shared" si="152"/>
        <v>-1989</v>
      </c>
      <c r="BP39" s="847">
        <f t="shared" si="152"/>
        <v>-5865</v>
      </c>
      <c r="BQ39" s="847">
        <f t="shared" si="152"/>
        <v>409</v>
      </c>
      <c r="BR39" s="847">
        <f t="shared" si="152"/>
        <v>-2225</v>
      </c>
      <c r="BS39" s="847">
        <f t="shared" si="152"/>
        <v>-3380</v>
      </c>
      <c r="BT39" s="847">
        <f t="shared" si="152"/>
        <v>-2769</v>
      </c>
      <c r="BU39" s="847">
        <f t="shared" si="152"/>
        <v>-7965</v>
      </c>
      <c r="BV39" s="847">
        <f t="shared" si="152"/>
        <v>-2672</v>
      </c>
      <c r="BW39" s="847">
        <f t="shared" si="152"/>
        <v>-1970</v>
      </c>
      <c r="BX39" s="847">
        <f t="shared" si="152"/>
        <v>-2925</v>
      </c>
      <c r="BY39" s="847">
        <f t="shared" si="152"/>
        <v>-2972</v>
      </c>
      <c r="BZ39" s="847">
        <f t="shared" si="152"/>
        <v>-10539</v>
      </c>
      <c r="CA39" s="847">
        <f t="shared" si="152"/>
        <v>-644</v>
      </c>
      <c r="CB39" s="847">
        <f t="shared" si="152"/>
        <v>-783</v>
      </c>
      <c r="CC39" s="847">
        <f t="shared" si="152"/>
        <v>-4107</v>
      </c>
      <c r="CD39" s="847">
        <f t="shared" si="152"/>
        <v>-4767</v>
      </c>
      <c r="CE39" s="847">
        <f t="shared" si="152"/>
        <v>-10301</v>
      </c>
      <c r="CF39" s="847">
        <f t="shared" si="152"/>
        <v>-2111</v>
      </c>
      <c r="CG39" s="847">
        <f t="shared" si="152"/>
        <v>-1765</v>
      </c>
      <c r="CH39" s="847">
        <f t="shared" si="152"/>
        <v>-4852</v>
      </c>
      <c r="CI39" s="847">
        <f t="shared" si="152"/>
        <v>-5332</v>
      </c>
      <c r="CJ39" s="847">
        <f t="shared" si="152"/>
        <v>-14060</v>
      </c>
      <c r="CK39" s="847">
        <f t="shared" si="152"/>
        <v>-5317</v>
      </c>
      <c r="CL39" s="847">
        <f t="shared" si="152"/>
        <v>-5512</v>
      </c>
      <c r="CM39" s="847">
        <f t="shared" si="152"/>
        <v>-3323</v>
      </c>
      <c r="CN39" s="847">
        <f t="shared" si="152"/>
        <v>-3921</v>
      </c>
      <c r="CO39" s="847">
        <f t="shared" si="152"/>
        <v>-18073</v>
      </c>
      <c r="CP39" s="847">
        <f t="shared" si="152"/>
        <v>-2749</v>
      </c>
      <c r="CQ39" s="847">
        <f t="shared" si="152"/>
        <v>-4266</v>
      </c>
      <c r="CR39" s="847">
        <f t="shared" si="152"/>
        <v>-986</v>
      </c>
      <c r="CS39" s="847">
        <f t="shared" si="152"/>
        <v>-1904</v>
      </c>
      <c r="CT39" s="848">
        <f t="shared" si="152"/>
        <v>-9905</v>
      </c>
      <c r="CU39" s="856">
        <f t="shared" si="152"/>
        <v>-449</v>
      </c>
      <c r="CV39" s="856">
        <f t="shared" si="152"/>
        <v>-1295</v>
      </c>
      <c r="CW39" s="847">
        <f t="shared" si="152"/>
        <v>-9167</v>
      </c>
      <c r="CX39" s="847">
        <f t="shared" si="152"/>
        <v>2728</v>
      </c>
      <c r="CY39" s="848">
        <f t="shared" si="152"/>
        <v>-8183</v>
      </c>
      <c r="CZ39" s="849">
        <f t="shared" si="152"/>
        <v>-15520</v>
      </c>
      <c r="DA39" s="847">
        <f t="shared" si="152"/>
        <v>-4170</v>
      </c>
      <c r="DB39" s="849">
        <f t="shared" si="152"/>
        <v>-2683</v>
      </c>
      <c r="DC39" s="847">
        <f t="shared" si="152"/>
        <v>-3444</v>
      </c>
      <c r="DD39" s="848">
        <f t="shared" si="152"/>
        <v>-25817</v>
      </c>
      <c r="DE39" s="849">
        <f t="shared" si="152"/>
        <v>-2778</v>
      </c>
      <c r="DF39" s="847">
        <f t="shared" si="152"/>
        <v>-1438</v>
      </c>
      <c r="DG39" s="849">
        <f t="shared" si="152"/>
        <v>-6316</v>
      </c>
      <c r="DH39" s="847">
        <f t="shared" si="152"/>
        <v>-5230</v>
      </c>
      <c r="DI39" s="848">
        <f t="shared" si="152"/>
        <v>-15762</v>
      </c>
      <c r="DJ39" s="849">
        <f t="shared" si="152"/>
        <v>-4791</v>
      </c>
      <c r="DK39" s="849">
        <f t="shared" si="152"/>
        <v>-1193</v>
      </c>
      <c r="DL39" s="849">
        <f t="shared" si="152"/>
        <v>-3435</v>
      </c>
      <c r="DM39" s="849">
        <f t="shared" si="152"/>
        <v>-1820</v>
      </c>
      <c r="DN39" s="848">
        <f t="shared" si="153"/>
        <v>-11239</v>
      </c>
      <c r="DO39" s="849">
        <f t="shared" ref="DO39:DP39" si="154">DO33+DO36+DO37+DO34+DO38</f>
        <v>-2722</v>
      </c>
      <c r="DP39" s="849">
        <f t="shared" si="154"/>
        <v>-3288</v>
      </c>
      <c r="DQ39" s="849">
        <f t="shared" ref="DQ39:FG39" si="155">DQ32+DQ33+DQ36+DQ37+DQ34+DQ38</f>
        <v>-3910</v>
      </c>
      <c r="DR39" s="849">
        <f t="shared" si="155"/>
        <v>-4485</v>
      </c>
      <c r="DS39" s="848">
        <f t="shared" si="155"/>
        <v>-14405</v>
      </c>
      <c r="DT39" s="849">
        <f t="shared" si="155"/>
        <v>-3736</v>
      </c>
      <c r="DU39" s="849">
        <f t="shared" si="155"/>
        <v>-10610</v>
      </c>
      <c r="DV39" s="849">
        <f t="shared" si="155"/>
        <v>-766</v>
      </c>
      <c r="DW39" s="849">
        <f t="shared" si="155"/>
        <v>-5684</v>
      </c>
      <c r="DX39" s="848">
        <f t="shared" si="155"/>
        <v>-20796</v>
      </c>
      <c r="DY39" s="849">
        <f t="shared" si="155"/>
        <v>-2547</v>
      </c>
      <c r="DZ39" s="849">
        <f t="shared" si="155"/>
        <v>-6904</v>
      </c>
      <c r="EA39" s="849">
        <f t="shared" si="155"/>
        <v>-10682</v>
      </c>
      <c r="EB39" s="849">
        <f t="shared" si="155"/>
        <v>-5034</v>
      </c>
      <c r="EC39" s="848">
        <f t="shared" si="155"/>
        <v>-25167</v>
      </c>
      <c r="ED39" s="849">
        <f t="shared" si="155"/>
        <v>-2640</v>
      </c>
      <c r="EE39" s="849">
        <f t="shared" si="155"/>
        <v>168</v>
      </c>
      <c r="EF39" s="849">
        <f t="shared" si="155"/>
        <v>-4574</v>
      </c>
      <c r="EG39" s="849">
        <f t="shared" si="155"/>
        <v>-3431</v>
      </c>
      <c r="EH39" s="848">
        <f t="shared" si="155"/>
        <v>-10477</v>
      </c>
      <c r="EI39" s="850" t="str">
        <f t="shared" si="155"/>
        <v>#ERROR!</v>
      </c>
      <c r="EJ39" s="847" t="str">
        <f t="shared" si="155"/>
        <v>#ERROR!</v>
      </c>
      <c r="EK39" s="847" t="str">
        <f t="shared" si="155"/>
        <v>#ERROR!</v>
      </c>
      <c r="EL39" s="847" t="str">
        <f t="shared" si="155"/>
        <v>#ERROR!</v>
      </c>
      <c r="EM39" s="848" t="str">
        <f t="shared" si="155"/>
        <v>#ERROR!</v>
      </c>
      <c r="EN39" s="847" t="str">
        <f t="shared" si="155"/>
        <v>#ERROR!</v>
      </c>
      <c r="EO39" s="847" t="str">
        <f t="shared" si="155"/>
        <v>#ERROR!</v>
      </c>
      <c r="EP39" s="847" t="str">
        <f t="shared" si="155"/>
        <v>#ERROR!</v>
      </c>
      <c r="EQ39" s="847" t="str">
        <f t="shared" si="155"/>
        <v>#ERROR!</v>
      </c>
      <c r="ER39" s="848" t="str">
        <f t="shared" si="155"/>
        <v>#ERROR!</v>
      </c>
      <c r="ES39" s="847" t="str">
        <f t="shared" si="155"/>
        <v>#ERROR!</v>
      </c>
      <c r="ET39" s="847" t="str">
        <f t="shared" si="155"/>
        <v>#ERROR!</v>
      </c>
      <c r="EU39" s="847" t="str">
        <f t="shared" si="155"/>
        <v>#ERROR!</v>
      </c>
      <c r="EV39" s="847" t="str">
        <f t="shared" si="155"/>
        <v>#ERROR!</v>
      </c>
      <c r="EW39" s="848" t="str">
        <f t="shared" si="155"/>
        <v>#ERROR!</v>
      </c>
      <c r="EX39" s="847" t="str">
        <f t="shared" si="155"/>
        <v>#ERROR!</v>
      </c>
      <c r="EY39" s="847" t="str">
        <f t="shared" si="155"/>
        <v>#ERROR!</v>
      </c>
      <c r="EZ39" s="847" t="str">
        <f t="shared" si="155"/>
        <v>#ERROR!</v>
      </c>
      <c r="FA39" s="847" t="str">
        <f t="shared" si="155"/>
        <v>#ERROR!</v>
      </c>
      <c r="FB39" s="848" t="str">
        <f t="shared" si="155"/>
        <v>#ERROR!</v>
      </c>
      <c r="FC39" s="847" t="str">
        <f t="shared" si="155"/>
        <v>#ERROR!</v>
      </c>
      <c r="FD39" s="847" t="str">
        <f t="shared" si="155"/>
        <v>#ERROR!</v>
      </c>
      <c r="FE39" s="847" t="str">
        <f t="shared" si="155"/>
        <v>#ERROR!</v>
      </c>
      <c r="FF39" s="847" t="str">
        <f t="shared" si="155"/>
        <v>#ERROR!</v>
      </c>
      <c r="FG39" s="848" t="str">
        <f t="shared" si="155"/>
        <v>#ERROR!</v>
      </c>
    </row>
    <row r="40" ht="12.75" customHeight="1">
      <c r="A40" s="128"/>
      <c r="B40" s="179"/>
      <c r="C40" s="179"/>
      <c r="D40" s="179"/>
      <c r="E40" s="179"/>
      <c r="F40" s="179"/>
      <c r="G40" s="179"/>
      <c r="H40" s="179"/>
      <c r="I40" s="179"/>
      <c r="J40" s="179"/>
      <c r="K40" s="179"/>
      <c r="L40" s="179"/>
      <c r="M40" s="179"/>
      <c r="N40" s="837"/>
      <c r="O40" s="837"/>
      <c r="P40" s="837"/>
      <c r="Q40" s="837"/>
      <c r="R40" s="838"/>
      <c r="S40" s="837"/>
      <c r="T40" s="837"/>
      <c r="U40" s="837"/>
      <c r="V40" s="837"/>
      <c r="W40" s="838"/>
      <c r="X40" s="837"/>
      <c r="Y40" s="837"/>
      <c r="Z40" s="837"/>
      <c r="AA40" s="837"/>
      <c r="AB40" s="838"/>
      <c r="AC40" s="837"/>
      <c r="AD40" s="837"/>
      <c r="AE40" s="837"/>
      <c r="AF40" s="837"/>
      <c r="AG40" s="838"/>
      <c r="AH40" s="837"/>
      <c r="AI40" s="837"/>
      <c r="AJ40" s="837"/>
      <c r="AK40" s="837"/>
      <c r="AL40" s="838"/>
      <c r="AM40" s="837"/>
      <c r="AN40" s="837"/>
      <c r="AO40" s="837"/>
      <c r="AP40" s="837"/>
      <c r="AQ40" s="838"/>
      <c r="AR40" s="837"/>
      <c r="AS40" s="837"/>
      <c r="AT40" s="837"/>
      <c r="AU40" s="837"/>
      <c r="AV40" s="838"/>
      <c r="AW40" s="837"/>
      <c r="AX40" s="837"/>
      <c r="AY40" s="837"/>
      <c r="AZ40" s="837"/>
      <c r="BA40" s="838"/>
      <c r="BB40" s="837"/>
      <c r="BC40" s="837"/>
      <c r="BD40" s="837"/>
      <c r="BE40" s="837"/>
      <c r="BF40" s="838"/>
      <c r="BG40" s="837"/>
      <c r="BH40" s="837"/>
      <c r="BI40" s="837"/>
      <c r="BJ40" s="837"/>
      <c r="BK40" s="838"/>
      <c r="BL40" s="837"/>
      <c r="BM40" s="837"/>
      <c r="BN40" s="837"/>
      <c r="BO40" s="837"/>
      <c r="BP40" s="838"/>
      <c r="BQ40" s="837"/>
      <c r="BR40" s="837"/>
      <c r="BS40" s="837"/>
      <c r="BT40" s="837"/>
      <c r="BU40" s="838"/>
      <c r="BV40" s="837"/>
      <c r="BW40" s="837"/>
      <c r="BX40" s="837"/>
      <c r="BY40" s="837"/>
      <c r="BZ40" s="838"/>
      <c r="CA40" s="837"/>
      <c r="CB40" s="837"/>
      <c r="CC40" s="837"/>
      <c r="CD40" s="837"/>
      <c r="CE40" s="838"/>
      <c r="CF40" s="837"/>
      <c r="CG40" s="837"/>
      <c r="CH40" s="837"/>
      <c r="CI40" s="837"/>
      <c r="CJ40" s="838"/>
      <c r="CK40" s="837"/>
      <c r="CL40" s="837"/>
      <c r="CM40" s="837"/>
      <c r="CN40" s="837"/>
      <c r="CO40" s="838"/>
      <c r="CP40" s="837"/>
      <c r="CQ40" s="837"/>
      <c r="CR40" s="837"/>
      <c r="CS40" s="837"/>
      <c r="CT40" s="839"/>
      <c r="CU40" s="268"/>
      <c r="CV40" s="268"/>
      <c r="CW40" s="837"/>
      <c r="CX40" s="268"/>
      <c r="CY40" s="839"/>
      <c r="CZ40" s="844"/>
      <c r="DA40" s="268"/>
      <c r="DB40" s="844"/>
      <c r="DC40" s="837"/>
      <c r="DD40" s="839"/>
      <c r="DE40" s="840"/>
      <c r="DF40" s="837"/>
      <c r="DG40" s="840"/>
      <c r="DH40" s="837"/>
      <c r="DI40" s="839"/>
      <c r="DJ40" s="840"/>
      <c r="DK40" s="840"/>
      <c r="DL40" s="840"/>
      <c r="DM40" s="840"/>
      <c r="DN40" s="839"/>
      <c r="DO40" s="840"/>
      <c r="DP40" s="840"/>
      <c r="DQ40" s="840"/>
      <c r="DR40" s="840"/>
      <c r="DS40" s="839"/>
      <c r="DT40" s="840"/>
      <c r="DU40" s="840"/>
      <c r="DV40" s="840"/>
      <c r="DW40" s="840"/>
      <c r="DX40" s="839"/>
      <c r="DY40" s="840"/>
      <c r="DZ40" s="840"/>
      <c r="EA40" s="840"/>
      <c r="EB40" s="840"/>
      <c r="EC40" s="839"/>
      <c r="ED40" s="840"/>
      <c r="EE40" s="840"/>
      <c r="EF40" s="840"/>
      <c r="EG40" s="840"/>
      <c r="EH40" s="857"/>
      <c r="EI40" s="841"/>
      <c r="EJ40" s="837"/>
      <c r="EK40" s="837"/>
      <c r="EL40" s="837"/>
      <c r="EM40" s="857" t="str">
        <f>(EM33+EM32)/IS!EM11</f>
        <v>#ERROR!</v>
      </c>
      <c r="EN40" s="837"/>
      <c r="EO40" s="837"/>
      <c r="EP40" s="837"/>
      <c r="EQ40" s="837"/>
      <c r="ER40" s="857" t="str">
        <f>(ER33+ER32)/IS!ER11</f>
        <v>#ERROR!</v>
      </c>
      <c r="ES40" s="837"/>
      <c r="ET40" s="837"/>
      <c r="EU40" s="837"/>
      <c r="EV40" s="837"/>
      <c r="EW40" s="857" t="str">
        <f>(EW33+EW32)/IS!EW11</f>
        <v>#ERROR!</v>
      </c>
      <c r="EX40" s="837"/>
      <c r="EY40" s="837"/>
      <c r="EZ40" s="837"/>
      <c r="FA40" s="837"/>
      <c r="FB40" s="857" t="str">
        <f>(FB33+FB32)/IS!FB11</f>
        <v>#ERROR!</v>
      </c>
      <c r="FC40" s="837"/>
      <c r="FD40" s="837"/>
      <c r="FE40" s="837"/>
      <c r="FF40" s="837"/>
      <c r="FG40" s="857" t="str">
        <f>(FG33+FG32)/IS!FG11</f>
        <v>#ERROR!</v>
      </c>
    </row>
    <row r="41" ht="12.75" customHeight="1">
      <c r="A41" s="128"/>
      <c r="B41" s="180" t="s">
        <v>591</v>
      </c>
      <c r="C41" s="179"/>
      <c r="D41" s="179"/>
      <c r="E41" s="179"/>
      <c r="F41" s="179"/>
      <c r="G41" s="179"/>
      <c r="H41" s="179"/>
      <c r="I41" s="179"/>
      <c r="J41" s="179"/>
      <c r="K41" s="179"/>
      <c r="L41" s="179"/>
      <c r="M41" s="179"/>
      <c r="N41" s="837">
        <v>-49.0</v>
      </c>
      <c r="O41" s="837">
        <f>-100-N41</f>
        <v>-51</v>
      </c>
      <c r="P41" s="837">
        <f>-150-O41-N41</f>
        <v>-50</v>
      </c>
      <c r="Q41" s="837">
        <f>-217-P41-O41-N41</f>
        <v>-67</v>
      </c>
      <c r="R41" s="838">
        <f t="shared" ref="R41:R45" si="156">+SUM(N41:Q41)</f>
        <v>-217</v>
      </c>
      <c r="S41" s="837">
        <v>-67.0</v>
      </c>
      <c r="T41" s="837">
        <f>-167-S41</f>
        <v>-100</v>
      </c>
      <c r="U41" s="837">
        <f>-266-T41-S41</f>
        <v>-99</v>
      </c>
      <c r="V41" s="837">
        <f t="shared" ref="V41:V45" si="157">W41-S41-T41-U41</f>
        <v>-100</v>
      </c>
      <c r="W41" s="838">
        <v>-366.0</v>
      </c>
      <c r="X41" s="837">
        <v>-100.0</v>
      </c>
      <c r="Y41" s="837">
        <f>-200-X41</f>
        <v>-100</v>
      </c>
      <c r="Z41" s="837">
        <f>+-335-Y41-X41</f>
        <v>-135</v>
      </c>
      <c r="AA41" s="837">
        <f t="shared" ref="AA41:AA45" si="158">AB41-X41-Y41-Z41</f>
        <v>-135</v>
      </c>
      <c r="AB41" s="838">
        <v>-470.0</v>
      </c>
      <c r="AC41" s="837">
        <v>-134.0</v>
      </c>
      <c r="AD41" s="837">
        <f>-269-AC41</f>
        <v>-135</v>
      </c>
      <c r="AE41" s="837">
        <v>-135.0</v>
      </c>
      <c r="AF41" s="837">
        <v>-134.0</v>
      </c>
      <c r="AG41" s="838">
        <f>SUM(AC41:AF41)</f>
        <v>-538</v>
      </c>
      <c r="AH41" s="837">
        <v>-134.0</v>
      </c>
      <c r="AI41" s="837">
        <f>-268-AH41</f>
        <v>-134</v>
      </c>
      <c r="AJ41" s="837">
        <f>-401-AI41-AH41</f>
        <v>-133</v>
      </c>
      <c r="AK41" s="837">
        <f t="shared" ref="AK41:AK45" si="159">AL41-SUM(AH41:AJ41)</f>
        <v>-132</v>
      </c>
      <c r="AL41" s="838">
        <v>-533.0</v>
      </c>
      <c r="AM41" s="837">
        <v>-131.0</v>
      </c>
      <c r="AN41" s="837">
        <f>-262-AM41</f>
        <v>-131</v>
      </c>
      <c r="AO41" s="837">
        <f>-393-AM41-AN41</f>
        <v>-131</v>
      </c>
      <c r="AP41" s="837">
        <f t="shared" ref="AP41:AP45" si="160">AQ41-SUM(AM41:AO41)</f>
        <v>-131</v>
      </c>
      <c r="AQ41" s="838">
        <v>-524.0</v>
      </c>
      <c r="AR41" s="837">
        <v>-259.0</v>
      </c>
      <c r="AS41" s="837">
        <f>-517-AR41</f>
        <v>-258</v>
      </c>
      <c r="AT41" s="837">
        <f>-770-AR41-AS41</f>
        <v>-253</v>
      </c>
      <c r="AU41" s="837">
        <f t="shared" ref="AU41:AU45" si="161">AV41-SUM(AR41:AT41)</f>
        <v>-252</v>
      </c>
      <c r="AV41" s="838">
        <v>-1022.0</v>
      </c>
      <c r="AW41" s="837">
        <v>-497.0</v>
      </c>
      <c r="AX41" s="837">
        <f>-990-AW41</f>
        <v>-493</v>
      </c>
      <c r="AY41" s="837">
        <f>-1476-AW41-AX41</f>
        <v>-486</v>
      </c>
      <c r="AZ41" s="837">
        <f t="shared" ref="AZ41:AZ45" si="162">BA41-SUM(AW41:AY41)</f>
        <v>-482</v>
      </c>
      <c r="BA41" s="838">
        <v>-1958.0</v>
      </c>
      <c r="BB41" s="837">
        <v>-585.0</v>
      </c>
      <c r="BC41" s="837">
        <v>-582.0</v>
      </c>
      <c r="BD41" s="837">
        <f>-1744-BB41-BC41</f>
        <v>-577</v>
      </c>
      <c r="BE41" s="837">
        <f t="shared" ref="BE41:BE45" si="163">BF41-SUM(BB41:BD41)</f>
        <v>-576</v>
      </c>
      <c r="BF41" s="838">
        <v>-2320.0</v>
      </c>
      <c r="BG41" s="837">
        <v>-650.0</v>
      </c>
      <c r="BH41" s="837">
        <f>-1302-BG41</f>
        <v>-652</v>
      </c>
      <c r="BI41" s="837">
        <f>-1959-BG41-BH41</f>
        <v>-657</v>
      </c>
      <c r="BJ41" s="837">
        <f t="shared" ref="BJ41:BJ45" si="164">BK41-SUM(BG41:BI41)</f>
        <v>-659</v>
      </c>
      <c r="BK41" s="838">
        <v>-2618.0</v>
      </c>
      <c r="BL41" s="837">
        <v>-739.0</v>
      </c>
      <c r="BM41" s="837">
        <f>-1539-BL41</f>
        <v>-800</v>
      </c>
      <c r="BN41" s="837">
        <f>-2322-BL41-BM41</f>
        <v>-783</v>
      </c>
      <c r="BO41" s="837">
        <f t="shared" ref="BO41:BO45" si="165">BP41-SUM(BL41:BN41)</f>
        <v>-778</v>
      </c>
      <c r="BP41" s="838">
        <v>-3100.0</v>
      </c>
      <c r="BQ41" s="837">
        <v>-779.0</v>
      </c>
      <c r="BR41" s="837">
        <f>-1563-BQ41</f>
        <v>-784</v>
      </c>
      <c r="BS41" s="837">
        <f>-2334-BQ41-BR41</f>
        <v>-771</v>
      </c>
      <c r="BT41" s="837">
        <f t="shared" ref="BT41:BT45" si="166">BU41-SUM(BQ41:BS41)</f>
        <v>-774</v>
      </c>
      <c r="BU41" s="838">
        <v>-3108.0</v>
      </c>
      <c r="BV41" s="837">
        <v>-870.0</v>
      </c>
      <c r="BW41" s="837">
        <f>-1747-BV41</f>
        <v>-877</v>
      </c>
      <c r="BX41" s="837">
        <f>-2624-BV41-BW41</f>
        <v>-877</v>
      </c>
      <c r="BY41" s="837">
        <f t="shared" ref="BY41:BY45" si="167">BZ41-SUM(BV41:BX41)</f>
        <v>-879</v>
      </c>
      <c r="BZ41" s="838">
        <v>-3503.0</v>
      </c>
      <c r="CA41" s="837">
        <v>-994.0</v>
      </c>
      <c r="CB41" s="837">
        <f>-1955-CA41</f>
        <v>-961</v>
      </c>
      <c r="CC41" s="837">
        <f>-3057-CA41-CB41</f>
        <v>-1102</v>
      </c>
      <c r="CD41" s="837">
        <f t="shared" ref="CD41:CD45" si="168">CE41-SUM(CA41:CC41)</f>
        <v>-1070</v>
      </c>
      <c r="CE41" s="838">
        <v>-4127.0</v>
      </c>
      <c r="CF41" s="837">
        <v>-1049.0</v>
      </c>
      <c r="CG41" s="837">
        <f>-2106-CF41</f>
        <v>-1057</v>
      </c>
      <c r="CH41" s="837">
        <f>-3231-CF41-CG41</f>
        <v>-1125</v>
      </c>
      <c r="CI41" s="837">
        <f t="shared" ref="CI41:CI45" si="169">CJ41-SUM(CF41:CH41)</f>
        <v>-1119</v>
      </c>
      <c r="CJ41" s="838">
        <v>-4350.0</v>
      </c>
      <c r="CK41" s="837">
        <v>-1114.0</v>
      </c>
      <c r="CL41" s="837">
        <v>-1123.0</v>
      </c>
      <c r="CM41" s="837">
        <v>-1121.0</v>
      </c>
      <c r="CN41" s="837">
        <f>-4479-CM41-CL41-CK41</f>
        <v>-1121</v>
      </c>
      <c r="CO41" s="838">
        <f t="shared" ref="CO41:CO45" si="170">SUM(CK41:CN41)</f>
        <v>-4479</v>
      </c>
      <c r="CP41" s="837">
        <v>-1119.0</v>
      </c>
      <c r="CQ41" s="268">
        <f>-2245-CP41</f>
        <v>-1126</v>
      </c>
      <c r="CR41" s="268">
        <f>-3340-CQ41-CP41</f>
        <v>-1095</v>
      </c>
      <c r="CS41" s="268">
        <f>-4409-CR41-CQ41-CP41</f>
        <v>-1069</v>
      </c>
      <c r="CT41" s="839">
        <f t="shared" ref="CT41:CT45" si="171">SUM(CP41:CS41)</f>
        <v>-4409</v>
      </c>
      <c r="CU41" s="268">
        <v>-1137.0</v>
      </c>
      <c r="CV41" s="268">
        <f>-2283-CU41</f>
        <v>-1146</v>
      </c>
      <c r="CW41" s="268">
        <f>-3423-CV41-CU41</f>
        <v>-1140</v>
      </c>
      <c r="CX41" s="268">
        <f>-4556-CW41-CV41-CU41</f>
        <v>-1133</v>
      </c>
      <c r="CY41" s="839">
        <f t="shared" ref="CY41:CY45" si="172">SUM(CU41:CX41)</f>
        <v>-4556</v>
      </c>
      <c r="CZ41" s="844">
        <v>-1228.0</v>
      </c>
      <c r="DA41" s="268">
        <f>-2461-CZ41</f>
        <v>-1233</v>
      </c>
      <c r="DB41" s="844">
        <f>-3692-DA41-CZ41</f>
        <v>-1231</v>
      </c>
      <c r="DC41" s="268">
        <f>-4925-DB41-DA41-CZ41</f>
        <v>-1233</v>
      </c>
      <c r="DD41" s="839">
        <f t="shared" ref="DD41:DD45" si="173">SUM(CZ41:DC41)</f>
        <v>-4925</v>
      </c>
      <c r="DE41" s="844">
        <v>-1229.0</v>
      </c>
      <c r="DF41" s="268">
        <f>-2516-DE41</f>
        <v>-1287</v>
      </c>
      <c r="DG41" s="840">
        <f>-3794-DE41-DF41</f>
        <v>-1278</v>
      </c>
      <c r="DH41" s="268">
        <f>-5072-DG41-DF41-DE41</f>
        <v>-1278</v>
      </c>
      <c r="DI41" s="839">
        <f t="shared" ref="DI41:DI45" si="174">SUM(DE41:DH41)</f>
        <v>-5072</v>
      </c>
      <c r="DJ41" s="840">
        <v>-1400.0</v>
      </c>
      <c r="DK41" s="840">
        <f>-2800-DJ41</f>
        <v>-1400</v>
      </c>
      <c r="DL41" s="840">
        <f>-4173-DK41-DJ41</f>
        <v>-1373</v>
      </c>
      <c r="DM41" s="840">
        <v>-1368.0</v>
      </c>
      <c r="DN41" s="839">
        <f t="shared" ref="DN41:DN47" si="175">SUM(DJ41:DM41)</f>
        <v>-5541</v>
      </c>
      <c r="DO41" s="840">
        <v>-1414.0</v>
      </c>
      <c r="DP41" s="840">
        <v>-1414.0</v>
      </c>
      <c r="DQ41" s="840">
        <f>-4214-SUM(DO41:DP41)</f>
        <v>-1386</v>
      </c>
      <c r="DR41" s="840">
        <f>-5576-SUM(DO41:DQ41)</f>
        <v>-1362</v>
      </c>
      <c r="DS41" s="839">
        <f t="shared" ref="DS41:DS47" si="176">SUM(DO41:DR41)</f>
        <v>-5576</v>
      </c>
      <c r="DT41" s="840">
        <v>-1408.0</v>
      </c>
      <c r="DU41" s="840">
        <f>-2811-DT41</f>
        <v>-1403</v>
      </c>
      <c r="DV41" s="840">
        <f>-4215-SUM(DT41:DU41)</f>
        <v>-1404</v>
      </c>
      <c r="DW41" s="840">
        <f>-5568-SUM(DT41:DV41)</f>
        <v>-1353</v>
      </c>
      <c r="DX41" s="839">
        <f t="shared" ref="DX41:DX45" si="177">SUM(DT41:DW41)</f>
        <v>-5568</v>
      </c>
      <c r="DY41" s="840">
        <v>-1411.0</v>
      </c>
      <c r="DZ41" s="840">
        <f>-2821-DY41</f>
        <v>-1410</v>
      </c>
      <c r="EA41" s="840">
        <f>-4231-SUM(DY41:DZ41)</f>
        <v>-1410</v>
      </c>
      <c r="EB41" s="840">
        <f>-5644-SUM(DY41:EA41)</f>
        <v>-1413</v>
      </c>
      <c r="EC41" s="839">
        <f t="shared" ref="EC41:EC45" si="178">SUM(DY41:EB41)</f>
        <v>-5644</v>
      </c>
      <c r="ED41" s="840">
        <v>-1487.0</v>
      </c>
      <c r="EE41" s="840">
        <f>-2986-ED41</f>
        <v>-1499</v>
      </c>
      <c r="EF41" s="840">
        <f>-4488-EE41-ED41</f>
        <v>-1502</v>
      </c>
      <c r="EG41" s="840">
        <f>-5997-EF41-EE41-ED41</f>
        <v>-1509</v>
      </c>
      <c r="EH41" s="839">
        <f t="shared" ref="EH41:EH47" si="179">SUM(ED41:EG41)</f>
        <v>-5997</v>
      </c>
      <c r="EI41" s="841">
        <f>-EI78*IS!EI78</f>
        <v>-1654.8532</v>
      </c>
      <c r="EJ41" s="840">
        <f>-EJ78*IS!EJ78</f>
        <v>-517.6587666</v>
      </c>
      <c r="EK41" s="840">
        <f>-EK78*IS!EK78</f>
        <v>-518.1764254</v>
      </c>
      <c r="EL41" s="840">
        <f>-EL78*IS!EL78</f>
        <v>-518.6946018</v>
      </c>
      <c r="EM41" s="839">
        <f t="shared" ref="EM41:EM43" si="181">SUM(EI41:EL41)</f>
        <v>-3209.382994</v>
      </c>
      <c r="EN41" s="840">
        <f>-EN78*IS!EN78</f>
        <v>-620.5559557</v>
      </c>
      <c r="EO41" s="840">
        <f>-EO78*IS!EO78</f>
        <v>-824.9020155</v>
      </c>
      <c r="EP41" s="840">
        <f>-EP78*IS!EP78</f>
        <v>-822.3935842</v>
      </c>
      <c r="EQ41" s="840">
        <f>-EQ78*IS!EQ78</f>
        <v>-819.8826445</v>
      </c>
      <c r="ER41" s="839">
        <f t="shared" ref="ER41:ER43" si="183">SUM(EN41:EQ41)</f>
        <v>-3087.7342</v>
      </c>
      <c r="ES41" s="840">
        <f>-ES78*IS!ES78</f>
        <v>-1226.768076</v>
      </c>
      <c r="ET41" s="840">
        <f>-ET78*IS!ET78</f>
        <v>-1223.70913</v>
      </c>
      <c r="EU41" s="840">
        <f>-EU78*IS!EU78</f>
        <v>-1220.647125</v>
      </c>
      <c r="EV41" s="840">
        <f>-EV78*IS!EV78</f>
        <v>-1217.582058</v>
      </c>
      <c r="EW41" s="839">
        <f t="shared" ref="EW41:EW43" si="185">SUM(ES41:EV41)</f>
        <v>-4888.706389</v>
      </c>
      <c r="EX41" s="840">
        <f>-EX78*IS!EX78</f>
        <v>-2025.082733</v>
      </c>
      <c r="EY41" s="840">
        <f>-EY78*IS!EY78</f>
        <v>-2020.857816</v>
      </c>
      <c r="EZ41" s="840">
        <f>-EZ78*IS!EZ78</f>
        <v>-2016.628674</v>
      </c>
      <c r="FA41" s="840">
        <f>-FA78*IS!FA78</f>
        <v>-2012.395302</v>
      </c>
      <c r="FB41" s="839">
        <f t="shared" ref="FB41:FB43" si="187">SUM(EX41:FA41)</f>
        <v>-8074.964525</v>
      </c>
      <c r="FC41" s="840">
        <f>-FC78*IS!FC78</f>
        <v>-2402.289237</v>
      </c>
      <c r="FD41" s="840">
        <f>-FD78*IS!FD78</f>
        <v>-2389.691527</v>
      </c>
      <c r="FE41" s="840">
        <f>-FE78*IS!FE78</f>
        <v>-2377.081218</v>
      </c>
      <c r="FF41" s="840">
        <f>-FF78*IS!FF78</f>
        <v>-2364.458299</v>
      </c>
      <c r="FG41" s="839">
        <f t="shared" ref="FG41:FG43" si="189">SUM(FC41:FF41)</f>
        <v>-9533.520281</v>
      </c>
    </row>
    <row r="42" ht="12.75" customHeight="1">
      <c r="A42" s="128"/>
      <c r="B42" s="180" t="s">
        <v>592</v>
      </c>
      <c r="C42" s="179"/>
      <c r="D42" s="179"/>
      <c r="E42" s="179"/>
      <c r="F42" s="179"/>
      <c r="G42" s="179"/>
      <c r="H42" s="179"/>
      <c r="I42" s="179"/>
      <c r="J42" s="179"/>
      <c r="K42" s="179"/>
      <c r="L42" s="179"/>
      <c r="M42" s="179"/>
      <c r="N42" s="837">
        <v>43.0</v>
      </c>
      <c r="O42" s="837">
        <f>-80-N42</f>
        <v>-123</v>
      </c>
      <c r="P42" s="837">
        <f>-71-O42-N42</f>
        <v>9</v>
      </c>
      <c r="Q42" s="837">
        <f>-83-P42-O42-N42</f>
        <v>-12</v>
      </c>
      <c r="R42" s="838">
        <f t="shared" si="156"/>
        <v>-83</v>
      </c>
      <c r="S42" s="837">
        <v>23.0</v>
      </c>
      <c r="T42" s="837">
        <f>-24-S42</f>
        <v>-47</v>
      </c>
      <c r="U42" s="837">
        <f>3-T42-S42</f>
        <v>27</v>
      </c>
      <c r="V42" s="837">
        <f t="shared" si="157"/>
        <v>66</v>
      </c>
      <c r="W42" s="838">
        <v>69.0</v>
      </c>
      <c r="X42" s="837">
        <v>143.0</v>
      </c>
      <c r="Y42" s="837">
        <f>155-X42</f>
        <v>12</v>
      </c>
      <c r="Z42" s="837">
        <f>106-Y42-X42</f>
        <v>-49</v>
      </c>
      <c r="AA42" s="837">
        <f t="shared" si="158"/>
        <v>32</v>
      </c>
      <c r="AB42" s="838">
        <v>138.0</v>
      </c>
      <c r="AC42" s="837">
        <v>87.0</v>
      </c>
      <c r="AD42" s="837">
        <f>19-AC42</f>
        <v>-68</v>
      </c>
      <c r="AE42" s="837">
        <v>-99.0</v>
      </c>
      <c r="AF42" s="837">
        <f t="shared" ref="AF42:AF45" si="190">AG42-AC42-AD42-AE42</f>
        <v>103</v>
      </c>
      <c r="AG42" s="838">
        <v>23.0</v>
      </c>
      <c r="AH42" s="837">
        <v>-1.0</v>
      </c>
      <c r="AI42" s="837">
        <f>-32-AH42</f>
        <v>-31</v>
      </c>
      <c r="AJ42" s="837">
        <f>-180-AI42-AH42</f>
        <v>-148</v>
      </c>
      <c r="AK42" s="837">
        <f t="shared" si="159"/>
        <v>79</v>
      </c>
      <c r="AL42" s="838">
        <v>-101.0</v>
      </c>
      <c r="AM42" s="837">
        <v>-148.0</v>
      </c>
      <c r="AN42" s="837">
        <f>-180-AM42</f>
        <v>-32</v>
      </c>
      <c r="AO42" s="837">
        <f>-123-AM42-AN42</f>
        <v>57</v>
      </c>
      <c r="AP42" s="837">
        <f t="shared" si="160"/>
        <v>-29</v>
      </c>
      <c r="AQ42" s="838">
        <v>-152.0</v>
      </c>
      <c r="AR42" s="837">
        <v>111.0</v>
      </c>
      <c r="AS42" s="837">
        <f>32-AR42</f>
        <v>-79</v>
      </c>
      <c r="AT42" s="837">
        <f>30-AR42-AS42</f>
        <v>-2</v>
      </c>
      <c r="AU42" s="837">
        <f t="shared" si="161"/>
        <v>-6</v>
      </c>
      <c r="AV42" s="838">
        <v>24.0</v>
      </c>
      <c r="AW42" s="837">
        <v>34.0</v>
      </c>
      <c r="AX42" s="837">
        <f>129-AW42</f>
        <v>95</v>
      </c>
      <c r="AY42" s="837">
        <f>64-AW42-AX42</f>
        <v>-65</v>
      </c>
      <c r="AZ42" s="837">
        <f t="shared" si="162"/>
        <v>62</v>
      </c>
      <c r="BA42" s="838">
        <v>126.0</v>
      </c>
      <c r="BB42" s="837">
        <v>-84.0</v>
      </c>
      <c r="BC42" s="837">
        <f>-21-BB42</f>
        <v>63</v>
      </c>
      <c r="BD42" s="837">
        <f>-112-BB42-BC42</f>
        <v>-91</v>
      </c>
      <c r="BE42" s="837">
        <f t="shared" si="163"/>
        <v>-2</v>
      </c>
      <c r="BF42" s="838">
        <v>-114.0</v>
      </c>
      <c r="BG42" s="837">
        <v>-42.0</v>
      </c>
      <c r="BH42" s="837">
        <f>40-BG42</f>
        <v>82</v>
      </c>
      <c r="BI42" s="837">
        <f>-44-BG42-BH42</f>
        <v>-84</v>
      </c>
      <c r="BJ42" s="837">
        <f t="shared" si="164"/>
        <v>5</v>
      </c>
      <c r="BK42" s="838">
        <v>-39.0</v>
      </c>
      <c r="BL42" s="837">
        <v>47.0</v>
      </c>
      <c r="BM42" s="837">
        <f>33-BL42</f>
        <v>-14</v>
      </c>
      <c r="BN42" s="837">
        <f>325-BL42-BM42</f>
        <v>292</v>
      </c>
      <c r="BO42" s="837">
        <f t="shared" si="165"/>
        <v>-365</v>
      </c>
      <c r="BP42" s="838">
        <v>-40.0</v>
      </c>
      <c r="BQ42" s="837">
        <v>-69.0</v>
      </c>
      <c r="BR42" s="837">
        <f>-76-BQ42</f>
        <v>-7</v>
      </c>
      <c r="BS42" s="837">
        <f>-77-BQ42-BR42</f>
        <v>-1</v>
      </c>
      <c r="BT42" s="837">
        <f t="shared" si="166"/>
        <v>-10</v>
      </c>
      <c r="BU42" s="838">
        <v>-87.0</v>
      </c>
      <c r="BV42" s="837">
        <v>158.0</v>
      </c>
      <c r="BW42" s="837">
        <f>43-BV42</f>
        <v>-115</v>
      </c>
      <c r="BX42" s="837">
        <f>87-BV42-BW42</f>
        <v>44</v>
      </c>
      <c r="BY42" s="837">
        <f t="shared" si="167"/>
        <v>-64</v>
      </c>
      <c r="BZ42" s="838">
        <v>23.0</v>
      </c>
      <c r="CA42" s="837">
        <v>16.0</v>
      </c>
      <c r="CB42" s="837">
        <f>56-CA42</f>
        <v>40</v>
      </c>
      <c r="CC42" s="837">
        <f>28-CA42-CB42</f>
        <v>-28</v>
      </c>
      <c r="CD42" s="837">
        <f t="shared" si="168"/>
        <v>181</v>
      </c>
      <c r="CE42" s="838">
        <v>209.0</v>
      </c>
      <c r="CF42" s="837">
        <f>+BS!CF37-BS!CD37</f>
        <v>115</v>
      </c>
      <c r="CG42" s="837">
        <f>-155-CF42</f>
        <v>-270</v>
      </c>
      <c r="CH42" s="837">
        <f>-191-CF42-CG42</f>
        <v>-36</v>
      </c>
      <c r="CI42" s="837">
        <f t="shared" si="169"/>
        <v>256</v>
      </c>
      <c r="CJ42" s="838">
        <v>65.0</v>
      </c>
      <c r="CK42" s="837">
        <v>-224.0</v>
      </c>
      <c r="CL42" s="837">
        <f>-49-CK42</f>
        <v>175</v>
      </c>
      <c r="CM42" s="837">
        <f>38-CL42-CK42</f>
        <v>87</v>
      </c>
      <c r="CN42" s="837">
        <f>-31-CM42-CL42-CK42</f>
        <v>-69</v>
      </c>
      <c r="CO42" s="838">
        <f t="shared" si="170"/>
        <v>-31</v>
      </c>
      <c r="CP42" s="837">
        <v>-245.0</v>
      </c>
      <c r="CQ42" s="268">
        <f>-267-CP42</f>
        <v>-22</v>
      </c>
      <c r="CR42" s="837">
        <f>-202-CQ42-CP42</f>
        <v>65</v>
      </c>
      <c r="CS42" s="837">
        <f>235-CR42-CQ42-CP42</f>
        <v>437</v>
      </c>
      <c r="CT42" s="839">
        <f t="shared" si="171"/>
        <v>235</v>
      </c>
      <c r="CU42" s="268">
        <v>-486.0</v>
      </c>
      <c r="CV42" s="268">
        <f>-492-CU42</f>
        <v>-6</v>
      </c>
      <c r="CW42" s="268">
        <f>-473-CV42-CU42</f>
        <v>19</v>
      </c>
      <c r="CX42" s="268">
        <f>-474-CW42-CV42-CU42</f>
        <v>-1</v>
      </c>
      <c r="CY42" s="839">
        <f t="shared" si="172"/>
        <v>-474</v>
      </c>
      <c r="CZ42" s="844">
        <v>956.0</v>
      </c>
      <c r="DA42" s="268">
        <f>1416-CZ42</f>
        <v>460</v>
      </c>
      <c r="DB42" s="844">
        <f>426-DA42-CZ42</f>
        <v>-990</v>
      </c>
      <c r="DC42" s="268">
        <f>-15-1500-DB42-DA42-CZ42</f>
        <v>-1941</v>
      </c>
      <c r="DD42" s="839">
        <f t="shared" si="173"/>
        <v>-1515</v>
      </c>
      <c r="DE42" s="844">
        <v>435.0</v>
      </c>
      <c r="DF42" s="268">
        <f>-500-DE42-12</f>
        <v>-947</v>
      </c>
      <c r="DG42" s="840">
        <f>-5-DE42-DF42</f>
        <v>507</v>
      </c>
      <c r="DH42" s="268">
        <f>-8080-DG42-DF42-DE42</f>
        <v>-8075</v>
      </c>
      <c r="DI42" s="839">
        <f t="shared" si="174"/>
        <v>-8080</v>
      </c>
      <c r="DJ42" s="840">
        <v>2142.0</v>
      </c>
      <c r="DK42" s="840">
        <f>1991-DJ42</f>
        <v>-151</v>
      </c>
      <c r="DL42" s="840">
        <f>1707-DK42-DJ42</f>
        <v>-284</v>
      </c>
      <c r="DM42" s="840">
        <f>460-SUM(DJ42:DL42)</f>
        <v>-1247</v>
      </c>
      <c r="DN42" s="839">
        <f t="shared" si="175"/>
        <v>460</v>
      </c>
      <c r="DO42" s="840">
        <v>1682.0</v>
      </c>
      <c r="DP42" s="840">
        <f>996-DO42</f>
        <v>-686</v>
      </c>
      <c r="DQ42" s="840">
        <f>835-SUM(DO42:DP42)</f>
        <v>-161</v>
      </c>
      <c r="DR42" s="840">
        <f>-2627-SUM(DO42:DQ42)</f>
        <v>-3462</v>
      </c>
      <c r="DS42" s="839">
        <f t="shared" si="176"/>
        <v>-2627</v>
      </c>
      <c r="DT42" s="840">
        <v>0.0</v>
      </c>
      <c r="DU42" s="840">
        <v>0.0</v>
      </c>
      <c r="DV42" s="840">
        <v>0.0</v>
      </c>
      <c r="DW42" s="840">
        <f>DW161-DV161</f>
        <v>-162</v>
      </c>
      <c r="DX42" s="839">
        <f t="shared" si="177"/>
        <v>-162</v>
      </c>
      <c r="DY42" s="840">
        <f>DY161-DX161</f>
        <v>-517</v>
      </c>
      <c r="DZ42" s="840">
        <f>-500-DY42</f>
        <v>17</v>
      </c>
      <c r="EA42" s="840">
        <f>-500-SUM(DY42:DZ42)</f>
        <v>0</v>
      </c>
      <c r="EB42" s="840">
        <f>0-SUM(DY42:EA42)</f>
        <v>500</v>
      </c>
      <c r="EC42" s="839">
        <f t="shared" si="178"/>
        <v>0</v>
      </c>
      <c r="ED42" s="840">
        <v>0.0</v>
      </c>
      <c r="EE42" s="840">
        <f>-1688-ED42</f>
        <v>-1688</v>
      </c>
      <c r="EF42" s="840">
        <f>-3088-EE42-ED42</f>
        <v>-1400</v>
      </c>
      <c r="EG42" s="840">
        <f>3945-EF42-EE42</f>
        <v>7033</v>
      </c>
      <c r="EH42" s="839">
        <f t="shared" si="179"/>
        <v>3945</v>
      </c>
      <c r="EI42" s="845">
        <f t="shared" ref="EI42:EL42" si="180">IF(EI161-EH161&gt;0,0,EI161-EH161)</f>
        <v>0</v>
      </c>
      <c r="EJ42" s="844">
        <f t="shared" si="180"/>
        <v>0</v>
      </c>
      <c r="EK42" s="844">
        <f t="shared" si="180"/>
        <v>0</v>
      </c>
      <c r="EL42" s="844">
        <f t="shared" si="180"/>
        <v>-400</v>
      </c>
      <c r="EM42" s="839">
        <f t="shared" si="181"/>
        <v>-400</v>
      </c>
      <c r="EN42" s="844">
        <f t="shared" ref="EN42:EQ42" si="182">IF(EN161-EM161&gt;0,0,EN161-EM161)</f>
        <v>0</v>
      </c>
      <c r="EO42" s="844">
        <f t="shared" si="182"/>
        <v>-1250</v>
      </c>
      <c r="EP42" s="844">
        <f t="shared" si="182"/>
        <v>-600</v>
      </c>
      <c r="EQ42" s="844">
        <f t="shared" si="182"/>
        <v>0</v>
      </c>
      <c r="ER42" s="839">
        <f t="shared" si="183"/>
        <v>-1850</v>
      </c>
      <c r="ES42" s="844">
        <f t="shared" ref="ES42:EV42" si="184">IF(ES161-ER161&gt;0,0,ES161-ER161)</f>
        <v>0</v>
      </c>
      <c r="ET42" s="844">
        <f t="shared" si="184"/>
        <v>-1500</v>
      </c>
      <c r="EU42" s="844">
        <f t="shared" si="184"/>
        <v>-2250</v>
      </c>
      <c r="EV42" s="844">
        <f t="shared" si="184"/>
        <v>0</v>
      </c>
      <c r="EW42" s="839">
        <f t="shared" si="185"/>
        <v>-3750</v>
      </c>
      <c r="EX42" s="844">
        <f t="shared" ref="EX42:FA42" si="186">IF(EX161-EW161&gt;0,0,EX161-EW161)</f>
        <v>0</v>
      </c>
      <c r="EY42" s="844">
        <f t="shared" si="186"/>
        <v>-1000</v>
      </c>
      <c r="EZ42" s="844">
        <f t="shared" si="186"/>
        <v>0</v>
      </c>
      <c r="FA42" s="844">
        <f t="shared" si="186"/>
        <v>0</v>
      </c>
      <c r="FB42" s="839">
        <f t="shared" si="187"/>
        <v>-1000</v>
      </c>
      <c r="FC42" s="844">
        <f t="shared" ref="FC42:FF42" si="188">IF(FC161-FB161&gt;0,0,FC161-FB161)</f>
        <v>-1000</v>
      </c>
      <c r="FD42" s="844">
        <f t="shared" si="188"/>
        <v>-1000</v>
      </c>
      <c r="FE42" s="844">
        <f t="shared" si="188"/>
        <v>-1250</v>
      </c>
      <c r="FF42" s="844">
        <f t="shared" si="188"/>
        <v>0</v>
      </c>
      <c r="FG42" s="839">
        <f t="shared" si="189"/>
        <v>-3250</v>
      </c>
    </row>
    <row r="43" ht="12.75" customHeight="1">
      <c r="A43" s="128"/>
      <c r="B43" s="180" t="s">
        <v>593</v>
      </c>
      <c r="C43" s="179"/>
      <c r="D43" s="179"/>
      <c r="E43" s="179"/>
      <c r="F43" s="179"/>
      <c r="G43" s="179"/>
      <c r="H43" s="179"/>
      <c r="I43" s="179"/>
      <c r="J43" s="179"/>
      <c r="K43" s="179"/>
      <c r="L43" s="179"/>
      <c r="M43" s="179"/>
      <c r="N43" s="837">
        <v>13.0</v>
      </c>
      <c r="O43" s="837">
        <f>34-N43</f>
        <v>21</v>
      </c>
      <c r="P43" s="837">
        <f>63-O43-N43</f>
        <v>29</v>
      </c>
      <c r="Q43" s="837">
        <f>169-P43-O43-N43</f>
        <v>106</v>
      </c>
      <c r="R43" s="838">
        <f t="shared" si="156"/>
        <v>169</v>
      </c>
      <c r="S43" s="837">
        <v>27.0</v>
      </c>
      <c r="T43" s="837">
        <f>27-S43</f>
        <v>0</v>
      </c>
      <c r="U43" s="837">
        <f>28-T43-S43</f>
        <v>1</v>
      </c>
      <c r="V43" s="837">
        <f t="shared" si="157"/>
        <v>90</v>
      </c>
      <c r="W43" s="838">
        <v>118.0</v>
      </c>
      <c r="X43" s="837">
        <v>-46.0</v>
      </c>
      <c r="Y43" s="837">
        <f>11-X43-46</f>
        <v>11</v>
      </c>
      <c r="Z43" s="837">
        <f>11-46-Y43-X43</f>
        <v>0</v>
      </c>
      <c r="AA43" s="837">
        <f t="shared" si="158"/>
        <v>66</v>
      </c>
      <c r="AB43" s="838">
        <f>77-46</f>
        <v>31</v>
      </c>
      <c r="AC43" s="837">
        <v>11.0</v>
      </c>
      <c r="AD43" s="837">
        <f>266-AC43</f>
        <v>255</v>
      </c>
      <c r="AE43" s="837">
        <v>0.0</v>
      </c>
      <c r="AF43" s="837">
        <f t="shared" si="190"/>
        <v>30</v>
      </c>
      <c r="AG43" s="838">
        <f>306-10</f>
        <v>296</v>
      </c>
      <c r="AH43" s="837">
        <v>-2.0</v>
      </c>
      <c r="AI43" s="837">
        <f>35-2-AH43</f>
        <v>35</v>
      </c>
      <c r="AJ43" s="837">
        <f>35-3-AI43-AH43</f>
        <v>-1</v>
      </c>
      <c r="AK43" s="837">
        <f t="shared" si="159"/>
        <v>5</v>
      </c>
      <c r="AL43" s="838">
        <f>55-18</f>
        <v>37</v>
      </c>
      <c r="AM43" s="837">
        <v>-4.0</v>
      </c>
      <c r="AN43" s="837">
        <f>-4-AM43</f>
        <v>0</v>
      </c>
      <c r="AO43" s="837">
        <f>-84-AM43-AN43</f>
        <v>-80</v>
      </c>
      <c r="AP43" s="837">
        <f t="shared" si="160"/>
        <v>-53</v>
      </c>
      <c r="AQ43" s="838">
        <v>-137.0</v>
      </c>
      <c r="AR43" s="837">
        <v>-5.0</v>
      </c>
      <c r="AS43" s="837">
        <f>-7-AR43</f>
        <v>-2</v>
      </c>
      <c r="AT43" s="837">
        <f>-7-AR43-AS43</f>
        <v>0</v>
      </c>
      <c r="AU43" s="837">
        <f t="shared" si="161"/>
        <v>-24</v>
      </c>
      <c r="AV43" s="838">
        <v>-31.0</v>
      </c>
      <c r="AW43" s="837">
        <v>0.0</v>
      </c>
      <c r="AX43" s="837">
        <f>0-AW43</f>
        <v>0</v>
      </c>
      <c r="AY43" s="837">
        <v>0.0</v>
      </c>
      <c r="AZ43" s="837">
        <f t="shared" si="162"/>
        <v>1723</v>
      </c>
      <c r="BA43" s="838">
        <f>1742-19</f>
        <v>1723</v>
      </c>
      <c r="BB43" s="837">
        <v>0.0</v>
      </c>
      <c r="BC43" s="837">
        <v>0.0</v>
      </c>
      <c r="BD43" s="837">
        <f>-581-BB43-BC43</f>
        <v>-581</v>
      </c>
      <c r="BE43" s="837">
        <f t="shared" si="163"/>
        <v>0</v>
      </c>
      <c r="BF43" s="838">
        <v>-581.0</v>
      </c>
      <c r="BG43" s="837">
        <f>+BS!BG53-BS!BE53</f>
        <v>0</v>
      </c>
      <c r="BH43" s="837">
        <f>+BS!BH53-BS!BG53</f>
        <v>0</v>
      </c>
      <c r="BI43" s="837">
        <f>0-BG43-BH43</f>
        <v>0</v>
      </c>
      <c r="BJ43" s="837">
        <f t="shared" si="164"/>
        <v>125</v>
      </c>
      <c r="BK43" s="838">
        <v>125.0</v>
      </c>
      <c r="BL43" s="837">
        <v>0.0</v>
      </c>
      <c r="BM43" s="837">
        <v>0.0</v>
      </c>
      <c r="BN43" s="837">
        <v>0.0</v>
      </c>
      <c r="BO43" s="837">
        <f t="shared" si="165"/>
        <v>0</v>
      </c>
      <c r="BP43" s="838">
        <v>0.0</v>
      </c>
      <c r="BQ43" s="837">
        <v>0.0</v>
      </c>
      <c r="BR43" s="837">
        <v>0.0</v>
      </c>
      <c r="BS43" s="837">
        <f>1980-BQ43-BR43</f>
        <v>1980</v>
      </c>
      <c r="BT43" s="837">
        <f t="shared" si="166"/>
        <v>0</v>
      </c>
      <c r="BU43" s="838">
        <v>1980.0</v>
      </c>
      <c r="BV43" s="837">
        <v>0.0</v>
      </c>
      <c r="BW43" s="837">
        <v>0.0</v>
      </c>
      <c r="BX43" s="837">
        <v>0.0</v>
      </c>
      <c r="BY43" s="837">
        <f t="shared" si="167"/>
        <v>0</v>
      </c>
      <c r="BZ43" s="838">
        <v>0.0</v>
      </c>
      <c r="CA43" s="837">
        <v>0.0</v>
      </c>
      <c r="CB43" s="837">
        <v>0.0</v>
      </c>
      <c r="CC43" s="837">
        <f>4962-CA43-CB43</f>
        <v>4962</v>
      </c>
      <c r="CD43" s="837">
        <f t="shared" si="168"/>
        <v>0</v>
      </c>
      <c r="CE43" s="838">
        <v>4962.0</v>
      </c>
      <c r="CF43" s="837">
        <v>0.0</v>
      </c>
      <c r="CG43" s="837">
        <v>0.0</v>
      </c>
      <c r="CH43" s="837">
        <f>0-CF43-CG43</f>
        <v>0</v>
      </c>
      <c r="CI43" s="837">
        <f t="shared" si="169"/>
        <v>5999</v>
      </c>
      <c r="CJ43" s="838">
        <f>6124-125</f>
        <v>5999</v>
      </c>
      <c r="CK43" s="837">
        <v>0.0</v>
      </c>
      <c r="CL43" s="837">
        <v>0.0</v>
      </c>
      <c r="CM43" s="837">
        <v>0.0</v>
      </c>
      <c r="CN43" s="837">
        <v>0.0</v>
      </c>
      <c r="CO43" s="838">
        <f t="shared" si="170"/>
        <v>0</v>
      </c>
      <c r="CP43" s="837">
        <v>7.0</v>
      </c>
      <c r="CQ43" s="268">
        <f>0-CP43</f>
        <v>-7</v>
      </c>
      <c r="CR43" s="268">
        <f>0-CQ43-CP43</f>
        <v>0</v>
      </c>
      <c r="CS43" s="268">
        <f>0-CR43-CQ43-CP43</f>
        <v>0</v>
      </c>
      <c r="CT43" s="839">
        <f t="shared" si="171"/>
        <v>0</v>
      </c>
      <c r="CU43" s="268">
        <v>0.0</v>
      </c>
      <c r="CV43" s="268">
        <f>0-CU43</f>
        <v>0</v>
      </c>
      <c r="CW43" s="268">
        <f>7986-CV43-CU43</f>
        <v>7986</v>
      </c>
      <c r="CX43" s="268">
        <f>9476-CW43-CV43-CU43</f>
        <v>1490</v>
      </c>
      <c r="CY43" s="839">
        <f t="shared" si="172"/>
        <v>9476</v>
      </c>
      <c r="CZ43" s="844">
        <v>0.0</v>
      </c>
      <c r="DA43" s="268">
        <f>2734-CZ43</f>
        <v>2734</v>
      </c>
      <c r="DB43" s="844">
        <f>2734-DA43-CZ43</f>
        <v>0</v>
      </c>
      <c r="DC43" s="268">
        <f>2734-DB43-DA43-CZ43</f>
        <v>0</v>
      </c>
      <c r="DD43" s="839">
        <f t="shared" si="173"/>
        <v>2734</v>
      </c>
      <c r="DE43" s="844"/>
      <c r="DF43" s="268">
        <f>7078-DE43</f>
        <v>7078</v>
      </c>
      <c r="DG43" s="840">
        <f>7716-1502-DE43-DF43</f>
        <v>-864</v>
      </c>
      <c r="DH43" s="268">
        <f>7716-DG43-DF43-DE43</f>
        <v>1502</v>
      </c>
      <c r="DI43" s="839">
        <f t="shared" si="174"/>
        <v>7716</v>
      </c>
      <c r="DJ43" s="840">
        <v>-327.0</v>
      </c>
      <c r="DK43" s="840">
        <f>-1169-DJ43</f>
        <v>-842</v>
      </c>
      <c r="DL43" s="840">
        <f>423-1928-DK43-DJ43</f>
        <v>-336</v>
      </c>
      <c r="DM43" s="840">
        <f>423-3026-SUM(DJ43:DL43)</f>
        <v>-1098</v>
      </c>
      <c r="DN43" s="839">
        <f t="shared" si="175"/>
        <v>-2603</v>
      </c>
      <c r="DO43" s="840">
        <v>-861.0</v>
      </c>
      <c r="DP43" s="840">
        <f>601-1033-DO43</f>
        <v>429</v>
      </c>
      <c r="DQ43" s="840">
        <f>650-1478-SUM(DO43:DP43)</f>
        <v>-396</v>
      </c>
      <c r="DR43" s="840">
        <f>3392-SUM(DO43:DQ43)</f>
        <v>4220</v>
      </c>
      <c r="DS43" s="839">
        <f t="shared" si="176"/>
        <v>3392</v>
      </c>
      <c r="DT43" s="840">
        <f>10247-1075</f>
        <v>9172</v>
      </c>
      <c r="DU43" s="840">
        <f>10247-DT43-2775</f>
        <v>-1700</v>
      </c>
      <c r="DV43" s="840">
        <f>10247-4525-SUM(DT43:DU43)</f>
        <v>-1750</v>
      </c>
      <c r="DW43" s="840">
        <f>10247-SUM(DT43:DV43)-4525</f>
        <v>0</v>
      </c>
      <c r="DX43" s="839">
        <f t="shared" si="177"/>
        <v>5722</v>
      </c>
      <c r="DY43" s="840">
        <v>0.0</v>
      </c>
      <c r="DZ43" s="840">
        <v>0.0</v>
      </c>
      <c r="EA43" s="840">
        <f>4974-SUM(DY43:DZ43)</f>
        <v>4974</v>
      </c>
      <c r="EB43" s="840">
        <f>4974-2500-SUM(DY43:EA43)</f>
        <v>-2500</v>
      </c>
      <c r="EC43" s="839">
        <f t="shared" si="178"/>
        <v>2474</v>
      </c>
      <c r="ED43" s="840">
        <v>0.0</v>
      </c>
      <c r="EE43" s="840">
        <v>0.0</v>
      </c>
      <c r="EF43" s="840">
        <f>6103-EE43-ED43</f>
        <v>6103</v>
      </c>
      <c r="EG43" s="840">
        <f>-4984+6548-EF43-EE43-ED43</f>
        <v>-4539</v>
      </c>
      <c r="EH43" s="839">
        <f t="shared" si="179"/>
        <v>1564</v>
      </c>
      <c r="EI43" s="841">
        <f t="shared" ref="EI43:EL43" si="191">IF(EI161-EH161&lt;0,0,EI161-EH161)</f>
        <v>0</v>
      </c>
      <c r="EJ43" s="840">
        <f t="shared" si="191"/>
        <v>0</v>
      </c>
      <c r="EK43" s="840">
        <f t="shared" si="191"/>
        <v>0</v>
      </c>
      <c r="EL43" s="840">
        <f t="shared" si="191"/>
        <v>0</v>
      </c>
      <c r="EM43" s="839">
        <f t="shared" si="181"/>
        <v>0</v>
      </c>
      <c r="EN43" s="840">
        <f t="shared" ref="EN43:EQ43" si="192">IF(EN161-EM161&lt;0,0,EN161-EM161)</f>
        <v>0</v>
      </c>
      <c r="EO43" s="840">
        <f t="shared" si="192"/>
        <v>0</v>
      </c>
      <c r="EP43" s="840">
        <f t="shared" si="192"/>
        <v>0</v>
      </c>
      <c r="EQ43" s="840">
        <f t="shared" si="192"/>
        <v>0</v>
      </c>
      <c r="ER43" s="839">
        <f t="shared" si="183"/>
        <v>0</v>
      </c>
      <c r="ES43" s="840">
        <f t="shared" ref="ES43:EV43" si="193">IF(ES161-ER161&lt;0,0,ES161-ER161)</f>
        <v>0</v>
      </c>
      <c r="ET43" s="840">
        <f t="shared" si="193"/>
        <v>0</v>
      </c>
      <c r="EU43" s="840">
        <f t="shared" si="193"/>
        <v>0</v>
      </c>
      <c r="EV43" s="840">
        <f t="shared" si="193"/>
        <v>0</v>
      </c>
      <c r="EW43" s="839">
        <f t="shared" si="185"/>
        <v>0</v>
      </c>
      <c r="EX43" s="840">
        <f t="shared" ref="EX43:FA43" si="194">IF(EX161-EW161&lt;0,0,EX161-EW161)</f>
        <v>0</v>
      </c>
      <c r="EY43" s="840">
        <f t="shared" si="194"/>
        <v>0</v>
      </c>
      <c r="EZ43" s="840">
        <f t="shared" si="194"/>
        <v>0</v>
      </c>
      <c r="FA43" s="840">
        <f t="shared" si="194"/>
        <v>0</v>
      </c>
      <c r="FB43" s="839">
        <f t="shared" si="187"/>
        <v>0</v>
      </c>
      <c r="FC43" s="840">
        <f t="shared" ref="FC43:FF43" si="195">IF(FC161-FB161&lt;0,0,FC161-FB161)</f>
        <v>0</v>
      </c>
      <c r="FD43" s="840">
        <f t="shared" si="195"/>
        <v>0</v>
      </c>
      <c r="FE43" s="840">
        <f t="shared" si="195"/>
        <v>0</v>
      </c>
      <c r="FF43" s="840">
        <f t="shared" si="195"/>
        <v>0</v>
      </c>
      <c r="FG43" s="839">
        <f t="shared" si="189"/>
        <v>0</v>
      </c>
    </row>
    <row r="44" ht="12.75" customHeight="1">
      <c r="A44" s="128"/>
      <c r="B44" s="180" t="s">
        <v>594</v>
      </c>
      <c r="C44" s="179"/>
      <c r="D44" s="179"/>
      <c r="E44" s="179"/>
      <c r="F44" s="179"/>
      <c r="G44" s="179"/>
      <c r="H44" s="179"/>
      <c r="I44" s="179"/>
      <c r="J44" s="179"/>
      <c r="K44" s="179"/>
      <c r="L44" s="179"/>
      <c r="M44" s="179"/>
      <c r="N44" s="837">
        <v>0.0</v>
      </c>
      <c r="O44" s="837">
        <f>259-N44</f>
        <v>259</v>
      </c>
      <c r="P44" s="837">
        <f>421-O44-N44</f>
        <v>162</v>
      </c>
      <c r="Q44" s="837">
        <f>507-P44-O44-N44</f>
        <v>86</v>
      </c>
      <c r="R44" s="838">
        <f t="shared" si="156"/>
        <v>507</v>
      </c>
      <c r="S44" s="837">
        <v>207.0</v>
      </c>
      <c r="T44" s="837">
        <f>286-S44</f>
        <v>79</v>
      </c>
      <c r="U44" s="837">
        <f>493-T44-S44</f>
        <v>207</v>
      </c>
      <c r="V44" s="837">
        <f t="shared" si="157"/>
        <v>50</v>
      </c>
      <c r="W44" s="838">
        <v>543.0</v>
      </c>
      <c r="X44" s="837">
        <v>331.0</v>
      </c>
      <c r="Y44" s="837">
        <f>492-X44</f>
        <v>161</v>
      </c>
      <c r="Z44" s="837">
        <f>737-Y44-X44</f>
        <v>245</v>
      </c>
      <c r="AA44" s="837">
        <f t="shared" si="158"/>
        <v>60</v>
      </c>
      <c r="AB44" s="838">
        <v>797.0</v>
      </c>
      <c r="AC44" s="837">
        <v>287.0</v>
      </c>
      <c r="AD44" s="837">
        <f>410-AC44</f>
        <v>123</v>
      </c>
      <c r="AE44" s="837">
        <v>243.0</v>
      </c>
      <c r="AF44" s="837">
        <f t="shared" si="190"/>
        <v>109</v>
      </c>
      <c r="AG44" s="838">
        <v>762.0</v>
      </c>
      <c r="AH44" s="837">
        <v>289.0</v>
      </c>
      <c r="AI44" s="837">
        <f>411-AH44</f>
        <v>122</v>
      </c>
      <c r="AJ44" s="837">
        <f>615-AI44-AH44</f>
        <v>204</v>
      </c>
      <c r="AK44" s="837">
        <f t="shared" si="159"/>
        <v>66</v>
      </c>
      <c r="AL44" s="838">
        <v>681.0</v>
      </c>
      <c r="AM44" s="837">
        <v>233.0</v>
      </c>
      <c r="AN44" s="837">
        <f>353-AM44</f>
        <v>120</v>
      </c>
      <c r="AO44" s="837">
        <f>712-AM44-AN44</f>
        <v>359</v>
      </c>
      <c r="AP44" s="837">
        <f t="shared" si="160"/>
        <v>255</v>
      </c>
      <c r="AQ44" s="838">
        <v>967.0</v>
      </c>
      <c r="AR44" s="837">
        <v>386.0</v>
      </c>
      <c r="AS44" s="837">
        <f>552-AR44</f>
        <v>166</v>
      </c>
      <c r="AT44" s="837">
        <f>793-AR44-AS44</f>
        <v>241</v>
      </c>
      <c r="AU44" s="837">
        <f t="shared" si="161"/>
        <v>101</v>
      </c>
      <c r="AV44" s="838">
        <v>894.0</v>
      </c>
      <c r="AW44" s="837">
        <v>410.0</v>
      </c>
      <c r="AX44" s="837">
        <f>702-AW44</f>
        <v>292</v>
      </c>
      <c r="AY44" s="837">
        <f>1058-AW44-AX44</f>
        <v>356</v>
      </c>
      <c r="AZ44" s="837">
        <f t="shared" si="162"/>
        <v>144</v>
      </c>
      <c r="BA44" s="838">
        <v>1202.0</v>
      </c>
      <c r="BB44" s="837">
        <v>376.0</v>
      </c>
      <c r="BC44" s="837">
        <f>494-BB44</f>
        <v>118</v>
      </c>
      <c r="BD44" s="837">
        <f>767-BB44-BC44</f>
        <v>273</v>
      </c>
      <c r="BE44" s="837">
        <f t="shared" si="163"/>
        <v>279</v>
      </c>
      <c r="BF44" s="838">
        <v>1046.0</v>
      </c>
      <c r="BG44" s="837">
        <v>586.0</v>
      </c>
      <c r="BH44" s="837">
        <f>1362-BG44</f>
        <v>776</v>
      </c>
      <c r="BI44" s="837">
        <f>2246-BG44-BH44</f>
        <v>884</v>
      </c>
      <c r="BJ44" s="837">
        <f t="shared" si="164"/>
        <v>806</v>
      </c>
      <c r="BK44" s="838">
        <v>3052.0</v>
      </c>
      <c r="BL44" s="837">
        <v>468.0</v>
      </c>
      <c r="BM44" s="837">
        <f>828-BL44</f>
        <v>360</v>
      </c>
      <c r="BN44" s="837">
        <f>1103-BL44-BM44</f>
        <v>275</v>
      </c>
      <c r="BO44" s="837">
        <f t="shared" si="165"/>
        <v>2</v>
      </c>
      <c r="BP44" s="838">
        <v>1105.0</v>
      </c>
      <c r="BQ44" s="837">
        <v>247.0</v>
      </c>
      <c r="BR44" s="837">
        <f>248-BQ44</f>
        <v>1</v>
      </c>
      <c r="BS44" s="837">
        <f>367-BQ44-BR44</f>
        <v>119</v>
      </c>
      <c r="BT44" s="837">
        <f t="shared" si="166"/>
        <v>33</v>
      </c>
      <c r="BU44" s="838">
        <v>400.0</v>
      </c>
      <c r="BV44" s="837">
        <v>228.0</v>
      </c>
      <c r="BW44" s="837">
        <f>386-BV44</f>
        <v>158</v>
      </c>
      <c r="BX44" s="837">
        <f>535-BV44-BW44</f>
        <v>149</v>
      </c>
      <c r="BY44" s="837">
        <f t="shared" si="167"/>
        <v>52</v>
      </c>
      <c r="BZ44" s="838">
        <v>587.0</v>
      </c>
      <c r="CA44" s="837">
        <v>239.0</v>
      </c>
      <c r="CB44" s="837">
        <f>587-CA44</f>
        <v>348</v>
      </c>
      <c r="CC44" s="837">
        <f>925-CA44-CB44</f>
        <v>338</v>
      </c>
      <c r="CD44" s="837">
        <f t="shared" si="168"/>
        <v>1120</v>
      </c>
      <c r="CE44" s="838">
        <v>2045.0</v>
      </c>
      <c r="CF44" s="837">
        <v>1244.0</v>
      </c>
      <c r="CG44" s="837">
        <f>1681-CF44</f>
        <v>437</v>
      </c>
      <c r="CH44" s="837">
        <f>1975-CF44-CG44</f>
        <v>294</v>
      </c>
      <c r="CI44" s="837">
        <f t="shared" si="169"/>
        <v>136</v>
      </c>
      <c r="CJ44" s="838">
        <v>2111.0</v>
      </c>
      <c r="CK44" s="837">
        <v>465.0</v>
      </c>
      <c r="CL44" s="837">
        <f>1040+38-CK44</f>
        <v>613</v>
      </c>
      <c r="CM44" s="837">
        <f>1308+42-CL44-CK44</f>
        <v>272</v>
      </c>
      <c r="CN44" s="837">
        <f>1588-CM44-CL44-CK44</f>
        <v>238</v>
      </c>
      <c r="CO44" s="838">
        <f t="shared" si="170"/>
        <v>1588</v>
      </c>
      <c r="CP44" s="837">
        <v>479.0</v>
      </c>
      <c r="CQ44" s="268">
        <f>1005-CP44</f>
        <v>526</v>
      </c>
      <c r="CR44" s="268">
        <f>1566-CQ44-CP44</f>
        <v>561</v>
      </c>
      <c r="CS44" s="268">
        <f>1660-CR44-CQ44-CP44</f>
        <v>94</v>
      </c>
      <c r="CT44" s="839">
        <f t="shared" si="171"/>
        <v>1660</v>
      </c>
      <c r="CU44" s="268">
        <f>341</f>
        <v>341</v>
      </c>
      <c r="CV44" s="268">
        <f>474-CU44</f>
        <v>133</v>
      </c>
      <c r="CW44" s="268">
        <f>696-CV44-CU44</f>
        <v>222</v>
      </c>
      <c r="CX44" s="268">
        <f>866-CW44-CV44-CU44</f>
        <v>170</v>
      </c>
      <c r="CY44" s="839">
        <f t="shared" si="172"/>
        <v>866</v>
      </c>
      <c r="CZ44" s="844">
        <v>343.0</v>
      </c>
      <c r="DA44" s="268">
        <f>527-CZ44</f>
        <v>184</v>
      </c>
      <c r="DB44" s="844">
        <f>1024-DA44-CZ44</f>
        <v>497</v>
      </c>
      <c r="DC44" s="268">
        <f>1108-DB44-DA44-CZ44</f>
        <v>84</v>
      </c>
      <c r="DD44" s="839">
        <f t="shared" si="173"/>
        <v>1108</v>
      </c>
      <c r="DE44" s="844">
        <v>329.0</v>
      </c>
      <c r="DF44" s="268">
        <f>406-DE44</f>
        <v>77</v>
      </c>
      <c r="DG44" s="840">
        <f>637-DE44-DF44</f>
        <v>231</v>
      </c>
      <c r="DH44" s="268">
        <f>770-DG44-DF44-DE44</f>
        <v>133</v>
      </c>
      <c r="DI44" s="846">
        <f t="shared" si="174"/>
        <v>770</v>
      </c>
      <c r="DJ44" s="844">
        <v>289.0</v>
      </c>
      <c r="DK44" s="840">
        <f>320-DJ44</f>
        <v>31</v>
      </c>
      <c r="DL44" s="840">
        <f>545-DJ44-DK44</f>
        <v>225</v>
      </c>
      <c r="DM44" s="840">
        <f>555-SUM(DJ44:DL44)</f>
        <v>10</v>
      </c>
      <c r="DN44" s="846">
        <f t="shared" si="175"/>
        <v>555</v>
      </c>
      <c r="DO44" s="840">
        <v>290.0</v>
      </c>
      <c r="DP44" s="840">
        <f>305-DO44</f>
        <v>15</v>
      </c>
      <c r="DQ44" s="840">
        <f>797-SUM(DO44:DP44)</f>
        <v>492</v>
      </c>
      <c r="DR44" s="840">
        <f>750-SUM(DO44:DQ44)</f>
        <v>-47</v>
      </c>
      <c r="DS44" s="839">
        <f t="shared" si="176"/>
        <v>750</v>
      </c>
      <c r="DT44" s="840">
        <v>503.0</v>
      </c>
      <c r="DU44" s="840">
        <f>512-DT44</f>
        <v>9</v>
      </c>
      <c r="DV44" s="840">
        <f>897-SUM(DT44:DU44)</f>
        <v>385</v>
      </c>
      <c r="DW44" s="840">
        <f>897-SUM(DT44:DV44)</f>
        <v>0</v>
      </c>
      <c r="DX44" s="839">
        <f t="shared" si="177"/>
        <v>897</v>
      </c>
      <c r="DY44" s="840">
        <v>565.0</v>
      </c>
      <c r="DZ44" s="840">
        <f>589-DY44</f>
        <v>24</v>
      </c>
      <c r="EA44" s="840">
        <f>1016-SUM(DY44:DZ44)</f>
        <v>427</v>
      </c>
      <c r="EB44" s="840">
        <f>1020-SUM(DY44:EA44)</f>
        <v>4</v>
      </c>
      <c r="EC44" s="846">
        <f t="shared" si="178"/>
        <v>1020</v>
      </c>
      <c r="ED44" s="840">
        <v>589.0</v>
      </c>
      <c r="EE44" s="840">
        <f>589-ED44</f>
        <v>0</v>
      </c>
      <c r="EF44" s="840">
        <f>972-EE44-ED44</f>
        <v>383</v>
      </c>
      <c r="EG44" s="840">
        <f>977-EF44-EE44-ED44</f>
        <v>5</v>
      </c>
      <c r="EH44" s="846">
        <f t="shared" si="179"/>
        <v>977</v>
      </c>
      <c r="EI44" s="841">
        <f t="shared" ref="EI44:EI45" si="201">EM44/4</f>
        <v>268.675</v>
      </c>
      <c r="EJ44" s="837">
        <f t="shared" ref="EJ44:EK44" si="196">EI44</f>
        <v>268.675</v>
      </c>
      <c r="EK44" s="837">
        <f t="shared" si="196"/>
        <v>268.675</v>
      </c>
      <c r="EL44" s="837">
        <f t="shared" ref="EL44:EL45" si="203">EM44-SUM(EI44:EK44)</f>
        <v>268.675</v>
      </c>
      <c r="EM44" s="858">
        <f>EH44*1.1</f>
        <v>1074.7</v>
      </c>
      <c r="EN44" s="837">
        <f t="shared" ref="EN44:EN45" si="204">ER44/4</f>
        <v>295.5425</v>
      </c>
      <c r="EO44" s="837">
        <f t="shared" ref="EO44:EP44" si="197">EN44</f>
        <v>295.5425</v>
      </c>
      <c r="EP44" s="837">
        <f t="shared" si="197"/>
        <v>295.5425</v>
      </c>
      <c r="EQ44" s="837">
        <f t="shared" ref="EQ44:EQ45" si="206">ER44-SUM(EN44:EP44)</f>
        <v>295.5425</v>
      </c>
      <c r="ER44" s="858">
        <f>EM44*1.1</f>
        <v>1182.17</v>
      </c>
      <c r="ES44" s="837">
        <f t="shared" ref="ES44:ES45" si="207">EW44/4</f>
        <v>325.09675</v>
      </c>
      <c r="ET44" s="837">
        <f t="shared" ref="ET44:EU44" si="198">ES44</f>
        <v>325.09675</v>
      </c>
      <c r="EU44" s="837">
        <f t="shared" si="198"/>
        <v>325.09675</v>
      </c>
      <c r="EV44" s="837">
        <f t="shared" ref="EV44:EV45" si="209">EW44-SUM(ES44:EU44)</f>
        <v>325.09675</v>
      </c>
      <c r="EW44" s="858">
        <f>ER44*1.1</f>
        <v>1300.387</v>
      </c>
      <c r="EX44" s="837">
        <f t="shared" ref="EX44:EX45" si="210">FB44/4</f>
        <v>357.606425</v>
      </c>
      <c r="EY44" s="837">
        <f t="shared" ref="EY44:EZ44" si="199">EX44</f>
        <v>357.606425</v>
      </c>
      <c r="EZ44" s="837">
        <f t="shared" si="199"/>
        <v>357.606425</v>
      </c>
      <c r="FA44" s="837">
        <f t="shared" ref="FA44:FA45" si="212">FB44-SUM(EX44:EZ44)</f>
        <v>357.606425</v>
      </c>
      <c r="FB44" s="858">
        <f>EW44*1.1</f>
        <v>1430.4257</v>
      </c>
      <c r="FC44" s="837">
        <f t="shared" ref="FC44:FC45" si="213">FG44/4</f>
        <v>393.3670675</v>
      </c>
      <c r="FD44" s="837">
        <f t="shared" ref="FD44:FE44" si="200">FC44</f>
        <v>393.3670675</v>
      </c>
      <c r="FE44" s="837">
        <f t="shared" si="200"/>
        <v>393.3670675</v>
      </c>
      <c r="FF44" s="837">
        <f t="shared" ref="FF44:FF45" si="215">FG44-SUM(FC44:FE44)</f>
        <v>393.3670675</v>
      </c>
      <c r="FG44" s="858">
        <f>FB44*1.1</f>
        <v>1573.46827</v>
      </c>
    </row>
    <row r="45" ht="12.75" customHeight="1">
      <c r="A45" s="128"/>
      <c r="B45" s="180" t="s">
        <v>595</v>
      </c>
      <c r="C45" s="179"/>
      <c r="D45" s="179"/>
      <c r="E45" s="179"/>
      <c r="F45" s="179"/>
      <c r="G45" s="179"/>
      <c r="H45" s="179"/>
      <c r="I45" s="179"/>
      <c r="J45" s="179"/>
      <c r="K45" s="179"/>
      <c r="L45" s="179"/>
      <c r="M45" s="179"/>
      <c r="N45" s="837">
        <v>-1792.0</v>
      </c>
      <c r="O45" s="837">
        <f>-3531-N45</f>
        <v>-1739</v>
      </c>
      <c r="P45" s="837">
        <f>-5248-O45-N45</f>
        <v>-1717</v>
      </c>
      <c r="Q45" s="837">
        <f>+-6785-P45-O45-N45</f>
        <v>-1537</v>
      </c>
      <c r="R45" s="838">
        <f t="shared" si="156"/>
        <v>-6785</v>
      </c>
      <c r="S45" s="837">
        <v>-1297.0</v>
      </c>
      <c r="T45" s="837">
        <f>-2798-S45</f>
        <v>-1501</v>
      </c>
      <c r="U45" s="837">
        <f>-3709+20-T45-S45</f>
        <v>-891</v>
      </c>
      <c r="V45" s="837">
        <f t="shared" si="157"/>
        <v>-903</v>
      </c>
      <c r="W45" s="838">
        <f>-4612+20</f>
        <v>-4592</v>
      </c>
      <c r="X45" s="837">
        <f>+-1000</f>
        <v>-1000</v>
      </c>
      <c r="Y45" s="837">
        <f>-2001-X45</f>
        <v>-1001</v>
      </c>
      <c r="Z45" s="837">
        <f>+-3006-Y45-X45</f>
        <v>-1005</v>
      </c>
      <c r="AA45" s="837">
        <f t="shared" si="158"/>
        <v>-1001</v>
      </c>
      <c r="AB45" s="838">
        <v>-4007.0</v>
      </c>
      <c r="AC45" s="837">
        <v>-1001.0</v>
      </c>
      <c r="AD45" s="837">
        <f>-2003-AC45</f>
        <v>-1002</v>
      </c>
      <c r="AE45" s="837">
        <v>-1002.0</v>
      </c>
      <c r="AF45" s="837">
        <f t="shared" si="190"/>
        <v>-1003</v>
      </c>
      <c r="AG45" s="838">
        <v>-4008.0</v>
      </c>
      <c r="AH45" s="837">
        <v>-1005.0</v>
      </c>
      <c r="AI45" s="837">
        <f>-2007-AH45</f>
        <v>-1002</v>
      </c>
      <c r="AJ45" s="837">
        <f>-3008-AI45-AH45</f>
        <v>-1001</v>
      </c>
      <c r="AK45" s="837">
        <f t="shared" si="159"/>
        <v>-1006</v>
      </c>
      <c r="AL45" s="838">
        <v>-4014.0</v>
      </c>
      <c r="AM45" s="837">
        <v>-1003.0</v>
      </c>
      <c r="AN45" s="837">
        <f>-2009-AM45</f>
        <v>-1006</v>
      </c>
      <c r="AO45" s="837">
        <f>-2009-AM45-AN45</f>
        <v>0</v>
      </c>
      <c r="AP45" s="837">
        <f t="shared" si="160"/>
        <v>-2003</v>
      </c>
      <c r="AQ45" s="838">
        <v>-4012.0</v>
      </c>
      <c r="AR45" s="837">
        <v>-1505.0</v>
      </c>
      <c r="AS45" s="837">
        <f>-3016-AR45</f>
        <v>-1511</v>
      </c>
      <c r="AT45" s="837">
        <f>-5516-AR45-AS45</f>
        <v>-2500</v>
      </c>
      <c r="AU45" s="837">
        <f t="shared" si="161"/>
        <v>-2000</v>
      </c>
      <c r="AV45" s="838">
        <v>-7516.0</v>
      </c>
      <c r="AW45" s="837">
        <v>-2500.0</v>
      </c>
      <c r="AX45" s="837">
        <f>-5000-AW45</f>
        <v>-2500</v>
      </c>
      <c r="AY45" s="837">
        <f>-7500-AW45-AX45</f>
        <v>-2500</v>
      </c>
      <c r="AZ45" s="837">
        <f t="shared" si="162"/>
        <v>-3137</v>
      </c>
      <c r="BA45" s="838">
        <v>-10637.0</v>
      </c>
      <c r="BB45" s="837">
        <v>-2943.0</v>
      </c>
      <c r="BC45" s="837">
        <v>-1000.0</v>
      </c>
      <c r="BD45" s="837">
        <f>-4443-BB45-BC45</f>
        <v>-500</v>
      </c>
      <c r="BE45" s="837">
        <f t="shared" si="163"/>
        <v>-150</v>
      </c>
      <c r="BF45" s="838">
        <v>-4593.0</v>
      </c>
      <c r="BG45" s="837">
        <v>-400.0</v>
      </c>
      <c r="BH45" s="837">
        <f>-500-BG45</f>
        <v>-100</v>
      </c>
      <c r="BI45" s="837">
        <f>-1250-BG45-BH45</f>
        <v>-750</v>
      </c>
      <c r="BJ45" s="837">
        <f t="shared" si="164"/>
        <v>-1538</v>
      </c>
      <c r="BK45" s="838">
        <v>-2788.0</v>
      </c>
      <c r="BL45" s="837">
        <v>-2501.0</v>
      </c>
      <c r="BM45" s="837">
        <f>-5077-BL45</f>
        <v>-2576</v>
      </c>
      <c r="BN45" s="837">
        <f>-7195-BL45-BM45</f>
        <v>-2118</v>
      </c>
      <c r="BO45" s="837">
        <f t="shared" si="165"/>
        <v>0</v>
      </c>
      <c r="BP45" s="838">
        <v>-7195.0</v>
      </c>
      <c r="BQ45" s="837">
        <v>0.0</v>
      </c>
      <c r="BR45" s="837">
        <f>-79-BQ45</f>
        <v>-79</v>
      </c>
      <c r="BS45" s="837">
        <f>-1752-BQ45-BR45</f>
        <v>-1673</v>
      </c>
      <c r="BT45" s="837">
        <f t="shared" si="166"/>
        <v>-10</v>
      </c>
      <c r="BU45" s="838">
        <v>-1762.0</v>
      </c>
      <c r="BV45" s="837">
        <v>-3.0</v>
      </c>
      <c r="BW45" s="837">
        <f>-219-BV45</f>
        <v>-216</v>
      </c>
      <c r="BX45" s="837">
        <f>-222-BV45-BW45</f>
        <v>-3</v>
      </c>
      <c r="BY45" s="837">
        <f t="shared" si="167"/>
        <v>-1514</v>
      </c>
      <c r="BZ45" s="838">
        <v>-1736.0</v>
      </c>
      <c r="CA45" s="837">
        <v>-4006.0</v>
      </c>
      <c r="CB45" s="837">
        <f>-6180-CA45</f>
        <v>-2174</v>
      </c>
      <c r="CC45" s="837">
        <f>-10187-CA45-CB45</f>
        <v>-4007</v>
      </c>
      <c r="CD45" s="837">
        <f t="shared" si="168"/>
        <v>-4153</v>
      </c>
      <c r="CE45" s="838">
        <v>-14340.0</v>
      </c>
      <c r="CF45" s="837">
        <v>-1519.0</v>
      </c>
      <c r="CG45" s="837">
        <f>-2915-CF45</f>
        <v>-1396</v>
      </c>
      <c r="CH45" s="837">
        <f>-4090-CF45-CG45</f>
        <v>-1175</v>
      </c>
      <c r="CI45" s="837">
        <f t="shared" si="169"/>
        <v>-1020</v>
      </c>
      <c r="CJ45" s="838">
        <v>-5110.0</v>
      </c>
      <c r="CK45" s="837">
        <v>-559.0</v>
      </c>
      <c r="CL45" s="837">
        <f>-1355-CK45</f>
        <v>-796</v>
      </c>
      <c r="CM45" s="837">
        <f>-1899-CL45-CK45</f>
        <v>-544</v>
      </c>
      <c r="CN45" s="837">
        <f>-2147-CM45-CL45-CK45</f>
        <v>-248</v>
      </c>
      <c r="CO45" s="838">
        <f t="shared" si="170"/>
        <v>-2147</v>
      </c>
      <c r="CP45" s="837">
        <v>-572.0</v>
      </c>
      <c r="CQ45" s="268">
        <f>-2924-CP45</f>
        <v>-2352</v>
      </c>
      <c r="CR45" s="268">
        <f>-7106-CQ45-CP45</f>
        <v>-4182</v>
      </c>
      <c r="CS45" s="268">
        <f>-10792-CR45-CQ45-CP45</f>
        <v>-3686</v>
      </c>
      <c r="CT45" s="839">
        <f t="shared" si="171"/>
        <v>-10792</v>
      </c>
      <c r="CU45" s="268">
        <v>-750.0</v>
      </c>
      <c r="CV45" s="268">
        <f>-1447-CU45</f>
        <v>-697</v>
      </c>
      <c r="CW45" s="268">
        <f>-2476-CV45-CU45</f>
        <v>-1029</v>
      </c>
      <c r="CX45" s="268">
        <f>-3001-CW45-CV45-CU45</f>
        <v>-525</v>
      </c>
      <c r="CY45" s="839">
        <f t="shared" si="172"/>
        <v>-3001</v>
      </c>
      <c r="CZ45" s="844">
        <v>-793.0</v>
      </c>
      <c r="DA45" s="268">
        <f>-1597-CZ45</f>
        <v>-804</v>
      </c>
      <c r="DB45" s="844">
        <f>-2054-DA45-CZ45</f>
        <v>-457</v>
      </c>
      <c r="DC45" s="268">
        <f>-2587-DB45-DA45-CZ45</f>
        <v>-533</v>
      </c>
      <c r="DD45" s="839">
        <f t="shared" si="173"/>
        <v>-2587</v>
      </c>
      <c r="DE45" s="844">
        <v>-1242.0</v>
      </c>
      <c r="DF45" s="268">
        <f>-2518-DE45</f>
        <v>-1276</v>
      </c>
      <c r="DG45" s="840">
        <f>-3611-DE45-DF45</f>
        <v>-1093</v>
      </c>
      <c r="DH45" s="268">
        <f>-3615-DG45-DF45-DE45</f>
        <v>-4</v>
      </c>
      <c r="DI45" s="846">
        <f t="shared" si="174"/>
        <v>-3615</v>
      </c>
      <c r="DJ45" s="840">
        <v>-1914.0</v>
      </c>
      <c r="DK45" s="840">
        <f>-5807-DJ45</f>
        <v>-3893</v>
      </c>
      <c r="DL45" s="844">
        <f>-8464-DK45-DJ45</f>
        <v>-2657</v>
      </c>
      <c r="DM45" s="844">
        <v>-2266.0</v>
      </c>
      <c r="DN45" s="846">
        <f t="shared" si="175"/>
        <v>-10730</v>
      </c>
      <c r="DO45" s="840">
        <v>-2530.0</v>
      </c>
      <c r="DP45" s="840">
        <f>-5579-DO45</f>
        <v>-3049</v>
      </c>
      <c r="DQ45" s="840">
        <f>-10100-SUM(DO45:DP45)</f>
        <v>-4521</v>
      </c>
      <c r="DR45" s="840">
        <f>-13576-SUM(DO45:DQ45)</f>
        <v>-3476</v>
      </c>
      <c r="DS45" s="839">
        <f t="shared" si="176"/>
        <v>-13576</v>
      </c>
      <c r="DT45" s="840">
        <f>-4229</f>
        <v>-4229</v>
      </c>
      <c r="DU45" s="840">
        <f>-4229-DT45</f>
        <v>0</v>
      </c>
      <c r="DV45" s="840">
        <f>-12229-2000-SUM(DT45:DU45)</f>
        <v>-10000</v>
      </c>
      <c r="DW45" s="840">
        <f>-14229-SUM(DT45:DV45)</f>
        <v>0</v>
      </c>
      <c r="DX45" s="839">
        <f t="shared" si="177"/>
        <v>-14229</v>
      </c>
      <c r="DY45" s="840">
        <v>-2301.0</v>
      </c>
      <c r="DZ45" s="840">
        <f>-2415-DY45</f>
        <v>-114</v>
      </c>
      <c r="EA45" s="840">
        <f>-2415-SUM(DY45:DZ45)</f>
        <v>0</v>
      </c>
      <c r="EB45" s="840">
        <f>-2415-SUM(DY45:EA45)</f>
        <v>0</v>
      </c>
      <c r="EC45" s="846">
        <f t="shared" si="178"/>
        <v>-2415</v>
      </c>
      <c r="ED45" s="840">
        <v>0.0</v>
      </c>
      <c r="EE45" s="840">
        <v>0.0</v>
      </c>
      <c r="EF45" s="840">
        <v>0.0</v>
      </c>
      <c r="EG45" s="840">
        <v>0.0</v>
      </c>
      <c r="EH45" s="846">
        <f t="shared" si="179"/>
        <v>0</v>
      </c>
      <c r="EI45" s="841">
        <f t="shared" si="201"/>
        <v>0</v>
      </c>
      <c r="EJ45" s="837">
        <f t="shared" ref="EJ45:EK45" si="202">EI45</f>
        <v>0</v>
      </c>
      <c r="EK45" s="837">
        <f t="shared" si="202"/>
        <v>0</v>
      </c>
      <c r="EL45" s="837">
        <f t="shared" si="203"/>
        <v>0</v>
      </c>
      <c r="EM45" s="858">
        <v>0.0</v>
      </c>
      <c r="EN45" s="837">
        <f t="shared" si="204"/>
        <v>-500</v>
      </c>
      <c r="EO45" s="837">
        <f t="shared" ref="EO45:EP45" si="205">EN45</f>
        <v>-500</v>
      </c>
      <c r="EP45" s="837">
        <f t="shared" si="205"/>
        <v>-500</v>
      </c>
      <c r="EQ45" s="837">
        <f t="shared" si="206"/>
        <v>-500</v>
      </c>
      <c r="ER45" s="858">
        <v>-2000.0</v>
      </c>
      <c r="ES45" s="837">
        <f t="shared" si="207"/>
        <v>-500</v>
      </c>
      <c r="ET45" s="837">
        <f t="shared" ref="ET45:EU45" si="208">ES45</f>
        <v>-500</v>
      </c>
      <c r="EU45" s="837">
        <f t="shared" si="208"/>
        <v>-500</v>
      </c>
      <c r="EV45" s="837">
        <f t="shared" si="209"/>
        <v>-500</v>
      </c>
      <c r="EW45" s="858">
        <v>-2000.0</v>
      </c>
      <c r="EX45" s="837">
        <f t="shared" si="210"/>
        <v>-500</v>
      </c>
      <c r="EY45" s="837">
        <f t="shared" ref="EY45:EZ45" si="211">EX45</f>
        <v>-500</v>
      </c>
      <c r="EZ45" s="837">
        <f t="shared" si="211"/>
        <v>-500</v>
      </c>
      <c r="FA45" s="837">
        <f t="shared" si="212"/>
        <v>-500</v>
      </c>
      <c r="FB45" s="858">
        <v>-2000.0</v>
      </c>
      <c r="FC45" s="837">
        <f t="shared" si="213"/>
        <v>-1000</v>
      </c>
      <c r="FD45" s="837">
        <f t="shared" ref="FD45:FE45" si="214">FC45</f>
        <v>-1000</v>
      </c>
      <c r="FE45" s="837">
        <f t="shared" si="214"/>
        <v>-1000</v>
      </c>
      <c r="FF45" s="837">
        <f t="shared" si="215"/>
        <v>-1000</v>
      </c>
      <c r="FG45" s="858">
        <v>-4000.0</v>
      </c>
    </row>
    <row r="46" ht="12.75" customHeight="1">
      <c r="A46" s="128"/>
      <c r="B46" s="180" t="s">
        <v>596</v>
      </c>
      <c r="C46" s="179"/>
      <c r="D46" s="179"/>
      <c r="E46" s="179"/>
      <c r="F46" s="179"/>
      <c r="G46" s="179"/>
      <c r="H46" s="179"/>
      <c r="I46" s="179"/>
      <c r="J46" s="179"/>
      <c r="K46" s="179"/>
      <c r="L46" s="179"/>
      <c r="M46" s="179"/>
      <c r="N46" s="837"/>
      <c r="O46" s="837"/>
      <c r="P46" s="837"/>
      <c r="Q46" s="837"/>
      <c r="R46" s="838"/>
      <c r="S46" s="837"/>
      <c r="T46" s="837"/>
      <c r="U46" s="837"/>
      <c r="V46" s="837"/>
      <c r="W46" s="838"/>
      <c r="X46" s="837"/>
      <c r="Y46" s="837"/>
      <c r="Z46" s="837"/>
      <c r="AA46" s="837"/>
      <c r="AB46" s="838"/>
      <c r="AC46" s="837"/>
      <c r="AD46" s="837"/>
      <c r="AE46" s="837"/>
      <c r="AF46" s="837"/>
      <c r="AG46" s="838"/>
      <c r="AH46" s="837"/>
      <c r="AI46" s="837"/>
      <c r="AJ46" s="837"/>
      <c r="AK46" s="837"/>
      <c r="AL46" s="838"/>
      <c r="AM46" s="837"/>
      <c r="AN46" s="837"/>
      <c r="AO46" s="837"/>
      <c r="AP46" s="837"/>
      <c r="AQ46" s="838"/>
      <c r="AR46" s="837"/>
      <c r="AS46" s="837"/>
      <c r="AT46" s="837"/>
      <c r="AU46" s="837"/>
      <c r="AV46" s="838"/>
      <c r="AW46" s="837"/>
      <c r="AX46" s="837"/>
      <c r="AY46" s="837"/>
      <c r="AZ46" s="837"/>
      <c r="BA46" s="838"/>
      <c r="BB46" s="837"/>
      <c r="BC46" s="837"/>
      <c r="BD46" s="837"/>
      <c r="BE46" s="837"/>
      <c r="BF46" s="838"/>
      <c r="BG46" s="837"/>
      <c r="BH46" s="837"/>
      <c r="BI46" s="837"/>
      <c r="BJ46" s="837"/>
      <c r="BK46" s="838"/>
      <c r="BL46" s="837"/>
      <c r="BM46" s="837"/>
      <c r="BN46" s="837"/>
      <c r="BO46" s="837"/>
      <c r="BP46" s="838"/>
      <c r="BQ46" s="837"/>
      <c r="BR46" s="837"/>
      <c r="BS46" s="837"/>
      <c r="BT46" s="837"/>
      <c r="BU46" s="838"/>
      <c r="BV46" s="837"/>
      <c r="BW46" s="837"/>
      <c r="BX46" s="837"/>
      <c r="BY46" s="837"/>
      <c r="BZ46" s="838"/>
      <c r="CA46" s="837"/>
      <c r="CB46" s="837"/>
      <c r="CC46" s="837"/>
      <c r="CD46" s="837"/>
      <c r="CE46" s="838"/>
      <c r="CF46" s="837"/>
      <c r="CG46" s="837"/>
      <c r="CH46" s="837"/>
      <c r="CI46" s="837"/>
      <c r="CJ46" s="838"/>
      <c r="CK46" s="837"/>
      <c r="CL46" s="837"/>
      <c r="CM46" s="837"/>
      <c r="CN46" s="837"/>
      <c r="CO46" s="838"/>
      <c r="CP46" s="837"/>
      <c r="CQ46" s="268"/>
      <c r="CR46" s="268"/>
      <c r="CS46" s="268"/>
      <c r="CT46" s="839"/>
      <c r="CU46" s="268"/>
      <c r="CV46" s="268"/>
      <c r="CW46" s="268"/>
      <c r="CX46" s="268"/>
      <c r="CY46" s="839"/>
      <c r="CZ46" s="844"/>
      <c r="DA46" s="268"/>
      <c r="DB46" s="844"/>
      <c r="DC46" s="268"/>
      <c r="DD46" s="839"/>
      <c r="DE46" s="844"/>
      <c r="DF46" s="268"/>
      <c r="DG46" s="840"/>
      <c r="DH46" s="268"/>
      <c r="DI46" s="846"/>
      <c r="DJ46" s="852">
        <v>500.0</v>
      </c>
      <c r="DK46" s="852">
        <f>1580-DJ46</f>
        <v>1080</v>
      </c>
      <c r="DL46" s="852">
        <v>0.0</v>
      </c>
      <c r="DM46" s="852">
        <v>0.0</v>
      </c>
      <c r="DN46" s="839">
        <f t="shared" si="175"/>
        <v>1580</v>
      </c>
      <c r="DO46" s="844">
        <v>0.0</v>
      </c>
      <c r="DP46" s="844">
        <v>0.0</v>
      </c>
      <c r="DQ46" s="844">
        <v>0.0</v>
      </c>
      <c r="DR46" s="844">
        <v>0.0</v>
      </c>
      <c r="DS46" s="839">
        <f t="shared" si="176"/>
        <v>0</v>
      </c>
      <c r="DT46" s="844">
        <v>0.0</v>
      </c>
      <c r="DU46" s="844">
        <v>0.0</v>
      </c>
      <c r="DV46" s="844">
        <v>0.0</v>
      </c>
      <c r="DW46" s="844">
        <v>0.0</v>
      </c>
      <c r="DX46" s="839"/>
      <c r="DY46" s="840"/>
      <c r="DZ46" s="840"/>
      <c r="EA46" s="840"/>
      <c r="EB46" s="840"/>
      <c r="EC46" s="846"/>
      <c r="ED46" s="840"/>
      <c r="EE46" s="840"/>
      <c r="EF46" s="844"/>
      <c r="EG46" s="844">
        <v>874.0</v>
      </c>
      <c r="EH46" s="855">
        <f t="shared" si="179"/>
        <v>874</v>
      </c>
      <c r="EI46" s="853">
        <f t="shared" ref="EI46:EJ46" si="216">(-0.5*EI33*0.25)+310+500</f>
        <v>1497.5</v>
      </c>
      <c r="EJ46" s="852">
        <f t="shared" si="216"/>
        <v>1497.5</v>
      </c>
      <c r="EK46" s="852">
        <f t="shared" ref="EK46:EL46" si="217">(-0.5*EK33*0.25)+315+500</f>
        <v>1502.5</v>
      </c>
      <c r="EL46" s="852">
        <f t="shared" si="217"/>
        <v>1502.5</v>
      </c>
      <c r="EM46" s="855">
        <f t="shared" ref="EM46:EM47" si="222">SUM(EI46:EL46)</f>
        <v>6000</v>
      </c>
      <c r="EN46" s="852">
        <f t="shared" ref="EN46:EQ46" si="218">(-0.5*EN33*0.25)+550+750</f>
        <v>1987.5</v>
      </c>
      <c r="EO46" s="852">
        <f t="shared" si="218"/>
        <v>2112.5</v>
      </c>
      <c r="EP46" s="852">
        <f t="shared" si="218"/>
        <v>2237.5</v>
      </c>
      <c r="EQ46" s="852">
        <f t="shared" si="218"/>
        <v>2237.5</v>
      </c>
      <c r="ER46" s="855">
        <f t="shared" ref="ER46:ER47" si="223">SUM(EN46:EQ46)</f>
        <v>8575</v>
      </c>
      <c r="ES46" s="852">
        <f t="shared" ref="ES46:EV46" si="219">(-0.5*ES33*0.25)+550+750</f>
        <v>2237.5</v>
      </c>
      <c r="ET46" s="852">
        <f t="shared" si="219"/>
        <v>2237.5</v>
      </c>
      <c r="EU46" s="852">
        <f t="shared" si="219"/>
        <v>2237.5</v>
      </c>
      <c r="EV46" s="852">
        <f t="shared" si="219"/>
        <v>2237.5</v>
      </c>
      <c r="EW46" s="855">
        <f t="shared" ref="EW46:EW47" si="224">SUM(ES46:EV46)</f>
        <v>8950</v>
      </c>
      <c r="EX46" s="852">
        <f t="shared" ref="EX46:FA46" si="220">(-0.5*EX33*0.25)+550+750</f>
        <v>2237.5</v>
      </c>
      <c r="EY46" s="852">
        <f t="shared" si="220"/>
        <v>2237.5</v>
      </c>
      <c r="EZ46" s="852">
        <f t="shared" si="220"/>
        <v>2300</v>
      </c>
      <c r="FA46" s="852">
        <f t="shared" si="220"/>
        <v>2300</v>
      </c>
      <c r="FB46" s="855">
        <f t="shared" ref="FB46:FB47" si="225">SUM(EX46:FA46)</f>
        <v>9075</v>
      </c>
      <c r="FC46" s="852">
        <f t="shared" ref="FC46:FF46" si="221">(-0.5*FC33*0.25)+550+750</f>
        <v>2237.5</v>
      </c>
      <c r="FD46" s="852">
        <f t="shared" si="221"/>
        <v>2237.5</v>
      </c>
      <c r="FE46" s="852">
        <f t="shared" si="221"/>
        <v>2300</v>
      </c>
      <c r="FF46" s="852">
        <f t="shared" si="221"/>
        <v>2300</v>
      </c>
      <c r="FG46" s="855">
        <f t="shared" ref="FG46:FG47" si="226">SUM(FC46:FF46)</f>
        <v>9075</v>
      </c>
    </row>
    <row r="47" ht="12.75" customHeight="1">
      <c r="A47" s="128"/>
      <c r="B47" s="180" t="s">
        <v>223</v>
      </c>
      <c r="C47" s="179"/>
      <c r="D47" s="179"/>
      <c r="E47" s="179"/>
      <c r="F47" s="179"/>
      <c r="G47" s="179"/>
      <c r="H47" s="179"/>
      <c r="I47" s="179"/>
      <c r="J47" s="179"/>
      <c r="K47" s="179"/>
      <c r="L47" s="179"/>
      <c r="M47" s="179"/>
      <c r="N47" s="837">
        <f>199+1620</f>
        <v>1819</v>
      </c>
      <c r="O47" s="837">
        <f>1620+27-N47</f>
        <v>-172</v>
      </c>
      <c r="P47" s="837">
        <f>40+1620-O47-N47</f>
        <v>13</v>
      </c>
      <c r="Q47" s="837">
        <f>40+1620-P47-O47-N47</f>
        <v>0</v>
      </c>
      <c r="R47" s="838">
        <f>+SUM(N47:Q47)</f>
        <v>1660</v>
      </c>
      <c r="S47" s="837">
        <v>0.0</v>
      </c>
      <c r="T47" s="837">
        <v>0.0</v>
      </c>
      <c r="U47" s="837">
        <v>0.0</v>
      </c>
      <c r="V47" s="837">
        <v>0.0</v>
      </c>
      <c r="W47" s="838">
        <f>+SUM(S47:V47)</f>
        <v>0</v>
      </c>
      <c r="X47" s="837">
        <v>0.0</v>
      </c>
      <c r="Y47" s="837">
        <v>0.0</v>
      </c>
      <c r="Z47" s="837">
        <v>0.0</v>
      </c>
      <c r="AA47" s="837">
        <v>0.0</v>
      </c>
      <c r="AB47" s="838">
        <f>+SUM(X47:AA47)</f>
        <v>0</v>
      </c>
      <c r="AC47" s="837">
        <v>0.0</v>
      </c>
      <c r="AD47" s="837">
        <v>0.0</v>
      </c>
      <c r="AE47" s="837">
        <v>0.0</v>
      </c>
      <c r="AF47" s="837">
        <f t="shared" ref="AF47:AF48" si="231">AG47-AC47-AD47-AE47</f>
        <v>0</v>
      </c>
      <c r="AG47" s="838">
        <v>0.0</v>
      </c>
      <c r="AH47" s="837">
        <v>0.0</v>
      </c>
      <c r="AI47" s="837">
        <v>0.0</v>
      </c>
      <c r="AJ47" s="837">
        <v>0.0</v>
      </c>
      <c r="AK47" s="837">
        <f>AL47-SUM(AH47:AJ47)</f>
        <v>0</v>
      </c>
      <c r="AL47" s="838">
        <v>0.0</v>
      </c>
      <c r="AM47" s="837">
        <v>0.0</v>
      </c>
      <c r="AN47" s="837">
        <v>0.0</v>
      </c>
      <c r="AO47" s="837">
        <v>0.0</v>
      </c>
      <c r="AP47" s="837">
        <f>AQ47-SUM(AM47:AO47)</f>
        <v>0</v>
      </c>
      <c r="AQ47" s="838">
        <v>0.0</v>
      </c>
      <c r="AR47" s="837">
        <v>0.0</v>
      </c>
      <c r="AS47" s="837">
        <v>0.0</v>
      </c>
      <c r="AT47" s="837">
        <v>0.0</v>
      </c>
      <c r="AU47" s="837">
        <f>AV47-SUM(AR47:AT47)</f>
        <v>0</v>
      </c>
      <c r="AV47" s="838">
        <v>0.0</v>
      </c>
      <c r="AW47" s="837">
        <v>0.0</v>
      </c>
      <c r="AX47" s="837">
        <v>0.0</v>
      </c>
      <c r="AY47" s="837">
        <v>0.0</v>
      </c>
      <c r="AZ47" s="837">
        <v>0.0</v>
      </c>
      <c r="BA47" s="838">
        <f>SUM(AW47:AZ47)</f>
        <v>0</v>
      </c>
      <c r="BB47" s="837">
        <v>61.0</v>
      </c>
      <c r="BC47" s="837">
        <f>106-BB47</f>
        <v>45</v>
      </c>
      <c r="BD47" s="837">
        <f>114-BB47-BC47</f>
        <v>8</v>
      </c>
      <c r="BE47" s="837">
        <f>BF47-SUM(BB47:BD47)</f>
        <v>9</v>
      </c>
      <c r="BF47" s="838">
        <v>123.0</v>
      </c>
      <c r="BG47" s="837">
        <f>26+18</f>
        <v>44</v>
      </c>
      <c r="BH47" s="837">
        <f>82+56-BG47</f>
        <v>94</v>
      </c>
      <c r="BI47" s="837">
        <f>84+80-BG47-BH47</f>
        <v>26</v>
      </c>
      <c r="BJ47" s="837">
        <f>BK47-SUM(BG47:BI47)</f>
        <v>114</v>
      </c>
      <c r="BK47" s="838">
        <f>160+118</f>
        <v>278</v>
      </c>
      <c r="BL47" s="837">
        <v>7.0</v>
      </c>
      <c r="BM47" s="837">
        <f>28-BL47</f>
        <v>21</v>
      </c>
      <c r="BN47" s="837">
        <f>2+30-BL47-BM47</f>
        <v>4</v>
      </c>
      <c r="BO47" s="837">
        <f>BP47-SUM(BL47:BN47)</f>
        <v>180</v>
      </c>
      <c r="BP47" s="838">
        <f>182+30</f>
        <v>212</v>
      </c>
      <c r="BQ47" s="837">
        <v>0.0</v>
      </c>
      <c r="BR47" s="837">
        <v>0.0</v>
      </c>
      <c r="BS47" s="837">
        <f>6-BQ47-BR47</f>
        <v>6</v>
      </c>
      <c r="BT47" s="837">
        <f>BU47-SUM(BQ47:BS47)</f>
        <v>3</v>
      </c>
      <c r="BU47" s="838">
        <v>9.0</v>
      </c>
      <c r="BV47" s="837">
        <f>2+79</f>
        <v>81</v>
      </c>
      <c r="BW47" s="837">
        <f>79+62-BV47</f>
        <v>60</v>
      </c>
      <c r="BX47" s="837">
        <f>79+63+37-BV47-BW47</f>
        <v>38</v>
      </c>
      <c r="BY47" s="837">
        <f>BZ47-SUM(BV47:BX47)</f>
        <v>-192</v>
      </c>
      <c r="BZ47" s="838">
        <f>79+65-157</f>
        <v>-13</v>
      </c>
      <c r="CA47" s="837">
        <f>56+1</f>
        <v>57</v>
      </c>
      <c r="CB47" s="837">
        <f>33+26-CA47</f>
        <v>2</v>
      </c>
      <c r="CC47" s="837">
        <f>56+28-5-CA47-CB47</f>
        <v>20</v>
      </c>
      <c r="CD47" s="837">
        <f>CE47-SUM(CA47:CC47)</f>
        <v>72</v>
      </c>
      <c r="CE47" s="838">
        <f>124+37-10</f>
        <v>151</v>
      </c>
      <c r="CF47" s="837">
        <f>19-305</f>
        <v>-286</v>
      </c>
      <c r="CG47" s="837">
        <f>134-310-CF47</f>
        <v>110</v>
      </c>
      <c r="CH47" s="837">
        <f>38+139-315-CF47-CG47</f>
        <v>38</v>
      </c>
      <c r="CI47" s="837">
        <f>CJ47-SUM(CF47:CH47)</f>
        <v>15</v>
      </c>
      <c r="CJ47" s="838">
        <f>63+142-328</f>
        <v>-123</v>
      </c>
      <c r="CK47" s="837">
        <f>1-307</f>
        <v>-306</v>
      </c>
      <c r="CL47" s="837">
        <f>-307-CK47</f>
        <v>-1</v>
      </c>
      <c r="CM47" s="837">
        <f>-307-CL47-CK47</f>
        <v>0</v>
      </c>
      <c r="CN47" s="837">
        <f>129+49-293-314-CM47-CL47-CK47</f>
        <v>-122</v>
      </c>
      <c r="CO47" s="838">
        <f>SUM(CK47:CN47)</f>
        <v>-429</v>
      </c>
      <c r="CP47" s="837">
        <v>-200.0</v>
      </c>
      <c r="CQ47" s="837">
        <f>-199+65-CP47</f>
        <v>66</v>
      </c>
      <c r="CR47" s="268">
        <f>-199+109-CQ47-CP47</f>
        <v>44</v>
      </c>
      <c r="CS47" s="268">
        <f>104+122-332-325+325-199-CR47-CQ47-CP47</f>
        <v>-215</v>
      </c>
      <c r="CT47" s="839">
        <f>SUM(CP47:CS47)</f>
        <v>-305</v>
      </c>
      <c r="CU47" s="268">
        <f>22-51+325-325-213</f>
        <v>-242</v>
      </c>
      <c r="CV47" s="268">
        <f>133-399+325-325-205-CU47</f>
        <v>-229</v>
      </c>
      <c r="CW47" s="268">
        <f>139-416+325-325-209-CV47-CU47</f>
        <v>-15</v>
      </c>
      <c r="CX47" s="268">
        <f>-442+105+159+325-325-221-CW47-CV47-CU47</f>
        <v>87</v>
      </c>
      <c r="CY47" s="839">
        <f>SUM(CU47:CX47)</f>
        <v>-399</v>
      </c>
      <c r="CZ47" s="844">
        <f>13-63-10</f>
        <v>-60</v>
      </c>
      <c r="DA47" s="837">
        <f>88-394+54-CZ47</f>
        <v>-192</v>
      </c>
      <c r="DB47" s="844">
        <f>111+44-434-DA47-CZ47</f>
        <v>-27</v>
      </c>
      <c r="DC47" s="268">
        <f>121-464-211-DB47-DA47-CZ47</f>
        <v>-275</v>
      </c>
      <c r="DD47" s="839">
        <f>SUM(CZ47:DC47)</f>
        <v>-554</v>
      </c>
      <c r="DE47" s="844">
        <f>-70+31</f>
        <v>-39</v>
      </c>
      <c r="DF47" s="268">
        <f>-404+204-DE47</f>
        <v>-161</v>
      </c>
      <c r="DG47" s="840">
        <f>-424+161-DE47-DF47</f>
        <v>-63</v>
      </c>
      <c r="DH47" s="268">
        <f>-194-DG47-DF47-DE47</f>
        <v>69</v>
      </c>
      <c r="DI47" s="839">
        <f>SUM(DE47:DH47)</f>
        <v>-194</v>
      </c>
      <c r="DJ47" s="840">
        <v>-162.0</v>
      </c>
      <c r="DK47" s="840">
        <f>-465-602-DJ47</f>
        <v>-905</v>
      </c>
      <c r="DL47" s="840">
        <f>-492-757-DK47-DJ47</f>
        <v>-182</v>
      </c>
      <c r="DM47" s="840">
        <f>-748-SUM(DJ47:DL47)</f>
        <v>501</v>
      </c>
      <c r="DN47" s="839">
        <f t="shared" si="175"/>
        <v>-748</v>
      </c>
      <c r="DO47" s="840">
        <v>731.0</v>
      </c>
      <c r="DP47" s="840">
        <f>850-DO47</f>
        <v>119</v>
      </c>
      <c r="DQ47" s="840">
        <f>1089-SUM(DO47:DP47)</f>
        <v>239</v>
      </c>
      <c r="DR47" s="840">
        <f>72-SUM(DO47:DQ47)</f>
        <v>-1017</v>
      </c>
      <c r="DS47" s="839">
        <f t="shared" si="176"/>
        <v>72</v>
      </c>
      <c r="DT47" s="840">
        <v>726.0</v>
      </c>
      <c r="DU47" s="840">
        <f>629-DT47</f>
        <v>-97</v>
      </c>
      <c r="DV47" s="840">
        <f>605-SUM(DT47:DU47)</f>
        <v>-24</v>
      </c>
      <c r="DW47" s="840">
        <f>261-SUM(DT47:DV47)</f>
        <v>-344</v>
      </c>
      <c r="DX47" s="839">
        <f>SUM(DT47:DW47)</f>
        <v>261</v>
      </c>
      <c r="DY47" s="840">
        <v>-527.0</v>
      </c>
      <c r="DZ47" s="840">
        <f>-815-DY47</f>
        <v>-288</v>
      </c>
      <c r="EA47" s="840">
        <f>-900-SUM(DY47:DZ47)</f>
        <v>-85</v>
      </c>
      <c r="EB47" s="840">
        <f>-1297-SUM(DY47:EA47)</f>
        <v>-397</v>
      </c>
      <c r="EC47" s="839">
        <f>SUM(DY47:EB47)</f>
        <v>-1297</v>
      </c>
      <c r="ED47" s="840">
        <f>-666-299</f>
        <v>-965</v>
      </c>
      <c r="EE47" s="840">
        <f>-281-299-ED47</f>
        <v>385</v>
      </c>
      <c r="EF47" s="840">
        <f>-140-341-EE47-ED47</f>
        <v>99</v>
      </c>
      <c r="EG47" s="840">
        <f>-689-345+1032-EF47-EE47-ED47</f>
        <v>479</v>
      </c>
      <c r="EH47" s="839">
        <f t="shared" si="179"/>
        <v>-2</v>
      </c>
      <c r="EI47" s="841">
        <v>0.0</v>
      </c>
      <c r="EJ47" s="837">
        <v>0.0</v>
      </c>
      <c r="EK47" s="837">
        <v>0.0</v>
      </c>
      <c r="EL47" s="837">
        <v>0.0</v>
      </c>
      <c r="EM47" s="839">
        <f t="shared" si="222"/>
        <v>0</v>
      </c>
      <c r="EN47" s="837">
        <v>0.0</v>
      </c>
      <c r="EO47" s="837">
        <v>0.0</v>
      </c>
      <c r="EP47" s="837">
        <v>0.0</v>
      </c>
      <c r="EQ47" s="837">
        <v>0.0</v>
      </c>
      <c r="ER47" s="839">
        <f t="shared" si="223"/>
        <v>0</v>
      </c>
      <c r="ES47" s="837">
        <v>0.0</v>
      </c>
      <c r="ET47" s="837">
        <v>0.0</v>
      </c>
      <c r="EU47" s="837">
        <v>0.0</v>
      </c>
      <c r="EV47" s="837">
        <v>0.0</v>
      </c>
      <c r="EW47" s="839">
        <f t="shared" si="224"/>
        <v>0</v>
      </c>
      <c r="EX47" s="837">
        <v>0.0</v>
      </c>
      <c r="EY47" s="837">
        <v>0.0</v>
      </c>
      <c r="EZ47" s="837">
        <v>0.0</v>
      </c>
      <c r="FA47" s="837">
        <v>0.0</v>
      </c>
      <c r="FB47" s="839">
        <f t="shared" si="225"/>
        <v>0</v>
      </c>
      <c r="FC47" s="837">
        <v>0.0</v>
      </c>
      <c r="FD47" s="837">
        <v>0.0</v>
      </c>
      <c r="FE47" s="837">
        <v>0.0</v>
      </c>
      <c r="FF47" s="837">
        <v>0.0</v>
      </c>
      <c r="FG47" s="839">
        <f t="shared" si="226"/>
        <v>0</v>
      </c>
    </row>
    <row r="48" ht="12.75" customHeight="1">
      <c r="A48" s="73"/>
      <c r="B48" s="764" t="s">
        <v>597</v>
      </c>
      <c r="C48" s="73"/>
      <c r="D48" s="73"/>
      <c r="E48" s="73"/>
      <c r="F48" s="73"/>
      <c r="G48" s="73"/>
      <c r="H48" s="73"/>
      <c r="I48" s="73"/>
      <c r="J48" s="73"/>
      <c r="K48" s="73"/>
      <c r="L48" s="73"/>
      <c r="M48" s="73"/>
      <c r="N48" s="847">
        <f t="shared" ref="N48:R48" si="227">SUM(N41:N47)</f>
        <v>34</v>
      </c>
      <c r="O48" s="847">
        <f t="shared" si="227"/>
        <v>-1805</v>
      </c>
      <c r="P48" s="847">
        <f t="shared" si="227"/>
        <v>-1554</v>
      </c>
      <c r="Q48" s="847">
        <f t="shared" si="227"/>
        <v>-1424</v>
      </c>
      <c r="R48" s="847">
        <f t="shared" si="227"/>
        <v>-4749</v>
      </c>
      <c r="S48" s="847">
        <f t="shared" ref="S48:V48" si="228">SUM(S41,S42,S43,S44,S45,S47)</f>
        <v>-1107</v>
      </c>
      <c r="T48" s="847">
        <f t="shared" si="228"/>
        <v>-1569</v>
      </c>
      <c r="U48" s="847">
        <f t="shared" si="228"/>
        <v>-755</v>
      </c>
      <c r="V48" s="847">
        <f t="shared" si="228"/>
        <v>-797</v>
      </c>
      <c r="W48" s="847">
        <f>SUM(W41:W47)</f>
        <v>-4228</v>
      </c>
      <c r="X48" s="847">
        <f t="shared" ref="X48:AA48" si="229">SUM(X41,X42,X43,X44,X45,X47)</f>
        <v>-672</v>
      </c>
      <c r="Y48" s="847">
        <f t="shared" si="229"/>
        <v>-917</v>
      </c>
      <c r="Z48" s="847">
        <f t="shared" si="229"/>
        <v>-944</v>
      </c>
      <c r="AA48" s="847">
        <f t="shared" si="229"/>
        <v>-978</v>
      </c>
      <c r="AB48" s="847">
        <f>SUM(AB41:AB47)</f>
        <v>-3511</v>
      </c>
      <c r="AC48" s="847">
        <f t="shared" ref="AC48:AE48" si="230">SUM(AC41,AC42,AC43,AC44,AC45,AC47)</f>
        <v>-750</v>
      </c>
      <c r="AD48" s="847">
        <f t="shared" si="230"/>
        <v>-827</v>
      </c>
      <c r="AE48" s="847">
        <f t="shared" si="230"/>
        <v>-993</v>
      </c>
      <c r="AF48" s="847">
        <f t="shared" si="231"/>
        <v>-895</v>
      </c>
      <c r="AG48" s="847">
        <f t="shared" ref="AG48:EF48" si="232">SUM(AG41,AG42,AG43,AG44,AG45,AG47)</f>
        <v>-3465</v>
      </c>
      <c r="AH48" s="847">
        <f t="shared" si="232"/>
        <v>-853</v>
      </c>
      <c r="AI48" s="847">
        <f t="shared" si="232"/>
        <v>-1010</v>
      </c>
      <c r="AJ48" s="847">
        <f t="shared" si="232"/>
        <v>-1079</v>
      </c>
      <c r="AK48" s="847">
        <f t="shared" si="232"/>
        <v>-988</v>
      </c>
      <c r="AL48" s="847">
        <f t="shared" si="232"/>
        <v>-3930</v>
      </c>
      <c r="AM48" s="847">
        <f t="shared" si="232"/>
        <v>-1053</v>
      </c>
      <c r="AN48" s="847">
        <f t="shared" si="232"/>
        <v>-1049</v>
      </c>
      <c r="AO48" s="847">
        <f t="shared" si="232"/>
        <v>205</v>
      </c>
      <c r="AP48" s="847">
        <f t="shared" si="232"/>
        <v>-1961</v>
      </c>
      <c r="AQ48" s="847">
        <f t="shared" si="232"/>
        <v>-3858</v>
      </c>
      <c r="AR48" s="847">
        <f t="shared" si="232"/>
        <v>-1272</v>
      </c>
      <c r="AS48" s="847">
        <f t="shared" si="232"/>
        <v>-1684</v>
      </c>
      <c r="AT48" s="847">
        <f t="shared" si="232"/>
        <v>-2514</v>
      </c>
      <c r="AU48" s="847">
        <f t="shared" si="232"/>
        <v>-2181</v>
      </c>
      <c r="AV48" s="847">
        <f t="shared" si="232"/>
        <v>-7651</v>
      </c>
      <c r="AW48" s="847">
        <f t="shared" si="232"/>
        <v>-2553</v>
      </c>
      <c r="AX48" s="847">
        <f t="shared" si="232"/>
        <v>-2606</v>
      </c>
      <c r="AY48" s="847">
        <f t="shared" si="232"/>
        <v>-2695</v>
      </c>
      <c r="AZ48" s="847">
        <f t="shared" si="232"/>
        <v>-1690</v>
      </c>
      <c r="BA48" s="847">
        <f t="shared" si="232"/>
        <v>-9544</v>
      </c>
      <c r="BB48" s="847">
        <f t="shared" si="232"/>
        <v>-3175</v>
      </c>
      <c r="BC48" s="847">
        <f t="shared" si="232"/>
        <v>-1356</v>
      </c>
      <c r="BD48" s="847">
        <f t="shared" si="232"/>
        <v>-1468</v>
      </c>
      <c r="BE48" s="847">
        <f t="shared" si="232"/>
        <v>-440</v>
      </c>
      <c r="BF48" s="847">
        <f t="shared" si="232"/>
        <v>-6439</v>
      </c>
      <c r="BG48" s="847">
        <f t="shared" si="232"/>
        <v>-462</v>
      </c>
      <c r="BH48" s="847">
        <f t="shared" si="232"/>
        <v>200</v>
      </c>
      <c r="BI48" s="847">
        <f t="shared" si="232"/>
        <v>-581</v>
      </c>
      <c r="BJ48" s="847">
        <f t="shared" si="232"/>
        <v>-1147</v>
      </c>
      <c r="BK48" s="847">
        <f t="shared" si="232"/>
        <v>-1990</v>
      </c>
      <c r="BL48" s="847">
        <f t="shared" si="232"/>
        <v>-2718</v>
      </c>
      <c r="BM48" s="847">
        <f t="shared" si="232"/>
        <v>-3009</v>
      </c>
      <c r="BN48" s="847">
        <f t="shared" si="232"/>
        <v>-2330</v>
      </c>
      <c r="BO48" s="847">
        <f t="shared" si="232"/>
        <v>-961</v>
      </c>
      <c r="BP48" s="847">
        <f t="shared" si="232"/>
        <v>-9018</v>
      </c>
      <c r="BQ48" s="847">
        <f t="shared" si="232"/>
        <v>-601</v>
      </c>
      <c r="BR48" s="847">
        <f t="shared" si="232"/>
        <v>-869</v>
      </c>
      <c r="BS48" s="847">
        <f t="shared" si="232"/>
        <v>-340</v>
      </c>
      <c r="BT48" s="847">
        <f t="shared" si="232"/>
        <v>-758</v>
      </c>
      <c r="BU48" s="847">
        <f t="shared" si="232"/>
        <v>-2568</v>
      </c>
      <c r="BV48" s="847">
        <f t="shared" si="232"/>
        <v>-406</v>
      </c>
      <c r="BW48" s="847">
        <f t="shared" si="232"/>
        <v>-990</v>
      </c>
      <c r="BX48" s="847">
        <f t="shared" si="232"/>
        <v>-649</v>
      </c>
      <c r="BY48" s="847">
        <f t="shared" si="232"/>
        <v>-2597</v>
      </c>
      <c r="BZ48" s="847">
        <f t="shared" si="232"/>
        <v>-4642</v>
      </c>
      <c r="CA48" s="847">
        <f t="shared" si="232"/>
        <v>-4688</v>
      </c>
      <c r="CB48" s="847">
        <f t="shared" si="232"/>
        <v>-2745</v>
      </c>
      <c r="CC48" s="847">
        <f t="shared" si="232"/>
        <v>183</v>
      </c>
      <c r="CD48" s="847">
        <f t="shared" si="232"/>
        <v>-3850</v>
      </c>
      <c r="CE48" s="847">
        <f t="shared" si="232"/>
        <v>-11100</v>
      </c>
      <c r="CF48" s="847">
        <f t="shared" si="232"/>
        <v>-1495</v>
      </c>
      <c r="CG48" s="847">
        <f t="shared" si="232"/>
        <v>-2176</v>
      </c>
      <c r="CH48" s="847">
        <f t="shared" si="232"/>
        <v>-2004</v>
      </c>
      <c r="CI48" s="847">
        <f t="shared" si="232"/>
        <v>4267</v>
      </c>
      <c r="CJ48" s="847">
        <f t="shared" si="232"/>
        <v>-1408</v>
      </c>
      <c r="CK48" s="847">
        <f t="shared" si="232"/>
        <v>-1738</v>
      </c>
      <c r="CL48" s="847">
        <f t="shared" si="232"/>
        <v>-1132</v>
      </c>
      <c r="CM48" s="847">
        <f t="shared" si="232"/>
        <v>-1306</v>
      </c>
      <c r="CN48" s="847">
        <f t="shared" si="232"/>
        <v>-1322</v>
      </c>
      <c r="CO48" s="847">
        <f t="shared" si="232"/>
        <v>-5498</v>
      </c>
      <c r="CP48" s="847">
        <f t="shared" si="232"/>
        <v>-1650</v>
      </c>
      <c r="CQ48" s="847">
        <f t="shared" si="232"/>
        <v>-2915</v>
      </c>
      <c r="CR48" s="856">
        <f t="shared" si="232"/>
        <v>-4607</v>
      </c>
      <c r="CS48" s="847">
        <f t="shared" si="232"/>
        <v>-4439</v>
      </c>
      <c r="CT48" s="848">
        <f t="shared" si="232"/>
        <v>-13611</v>
      </c>
      <c r="CU48" s="856">
        <f t="shared" si="232"/>
        <v>-2274</v>
      </c>
      <c r="CV48" s="856">
        <f t="shared" si="232"/>
        <v>-1945</v>
      </c>
      <c r="CW48" s="847">
        <f t="shared" si="232"/>
        <v>6043</v>
      </c>
      <c r="CX48" s="856">
        <f t="shared" si="232"/>
        <v>88</v>
      </c>
      <c r="CY48" s="848">
        <f t="shared" si="232"/>
        <v>1912</v>
      </c>
      <c r="CZ48" s="849">
        <f t="shared" si="232"/>
        <v>-782</v>
      </c>
      <c r="DA48" s="847">
        <f t="shared" si="232"/>
        <v>1149</v>
      </c>
      <c r="DB48" s="859">
        <f t="shared" si="232"/>
        <v>-2208</v>
      </c>
      <c r="DC48" s="847">
        <f t="shared" si="232"/>
        <v>-3898</v>
      </c>
      <c r="DD48" s="848">
        <f t="shared" si="232"/>
        <v>-5739</v>
      </c>
      <c r="DE48" s="849">
        <f t="shared" si="232"/>
        <v>-1746</v>
      </c>
      <c r="DF48" s="847">
        <f t="shared" si="232"/>
        <v>3484</v>
      </c>
      <c r="DG48" s="849">
        <f t="shared" si="232"/>
        <v>-2560</v>
      </c>
      <c r="DH48" s="847">
        <f t="shared" si="232"/>
        <v>-7653</v>
      </c>
      <c r="DI48" s="848">
        <f t="shared" si="232"/>
        <v>-8475</v>
      </c>
      <c r="DJ48" s="849">
        <f t="shared" si="232"/>
        <v>-1372</v>
      </c>
      <c r="DK48" s="849">
        <f t="shared" si="232"/>
        <v>-7160</v>
      </c>
      <c r="DL48" s="849">
        <f t="shared" si="232"/>
        <v>-4607</v>
      </c>
      <c r="DM48" s="849">
        <f t="shared" si="232"/>
        <v>-5468</v>
      </c>
      <c r="DN48" s="848">
        <f t="shared" si="232"/>
        <v>-18607</v>
      </c>
      <c r="DO48" s="849">
        <f t="shared" si="232"/>
        <v>-2102</v>
      </c>
      <c r="DP48" s="849">
        <f t="shared" si="232"/>
        <v>-4586</v>
      </c>
      <c r="DQ48" s="849">
        <f t="shared" si="232"/>
        <v>-5733</v>
      </c>
      <c r="DR48" s="849">
        <f t="shared" si="232"/>
        <v>-5144</v>
      </c>
      <c r="DS48" s="848">
        <f t="shared" si="232"/>
        <v>-17565</v>
      </c>
      <c r="DT48" s="849">
        <f t="shared" si="232"/>
        <v>4764</v>
      </c>
      <c r="DU48" s="849">
        <f t="shared" si="232"/>
        <v>-3191</v>
      </c>
      <c r="DV48" s="849">
        <f t="shared" si="232"/>
        <v>-12793</v>
      </c>
      <c r="DW48" s="849">
        <f t="shared" si="232"/>
        <v>-1859</v>
      </c>
      <c r="DX48" s="848">
        <f t="shared" si="232"/>
        <v>-13079</v>
      </c>
      <c r="DY48" s="849">
        <f t="shared" si="232"/>
        <v>-4191</v>
      </c>
      <c r="DZ48" s="849">
        <f t="shared" si="232"/>
        <v>-1771</v>
      </c>
      <c r="EA48" s="849">
        <f t="shared" si="232"/>
        <v>3906</v>
      </c>
      <c r="EB48" s="849">
        <f t="shared" si="232"/>
        <v>-3806</v>
      </c>
      <c r="EC48" s="848">
        <f t="shared" si="232"/>
        <v>-5862</v>
      </c>
      <c r="ED48" s="849">
        <f t="shared" si="232"/>
        <v>-1863</v>
      </c>
      <c r="EE48" s="849">
        <f t="shared" si="232"/>
        <v>-2802</v>
      </c>
      <c r="EF48" s="849">
        <f t="shared" si="232"/>
        <v>3683</v>
      </c>
      <c r="EG48" s="849">
        <f t="shared" ref="EG48:FG48" si="233">SUM(EG41,EG42,EG43,EG44,EG45,EG47,EG46)</f>
        <v>2343</v>
      </c>
      <c r="EH48" s="848">
        <f t="shared" si="233"/>
        <v>1361</v>
      </c>
      <c r="EI48" s="850">
        <f t="shared" si="233"/>
        <v>111.3218</v>
      </c>
      <c r="EJ48" s="847">
        <f t="shared" si="233"/>
        <v>1248.516233</v>
      </c>
      <c r="EK48" s="847">
        <f t="shared" si="233"/>
        <v>1252.998575</v>
      </c>
      <c r="EL48" s="847">
        <f t="shared" si="233"/>
        <v>852.4803982</v>
      </c>
      <c r="EM48" s="848">
        <f t="shared" si="233"/>
        <v>3465.317006</v>
      </c>
      <c r="EN48" s="847">
        <f t="shared" si="233"/>
        <v>1162.486544</v>
      </c>
      <c r="EO48" s="847">
        <f t="shared" si="233"/>
        <v>-166.8595155</v>
      </c>
      <c r="EP48" s="847">
        <f t="shared" si="233"/>
        <v>610.6489158</v>
      </c>
      <c r="EQ48" s="847">
        <f t="shared" si="233"/>
        <v>1213.159856</v>
      </c>
      <c r="ER48" s="848">
        <f t="shared" si="233"/>
        <v>2819.4358</v>
      </c>
      <c r="ES48" s="847">
        <f t="shared" si="233"/>
        <v>835.8286736</v>
      </c>
      <c r="ET48" s="847">
        <f t="shared" si="233"/>
        <v>-661.1123802</v>
      </c>
      <c r="EU48" s="847">
        <f t="shared" si="233"/>
        <v>-1408.050375</v>
      </c>
      <c r="EV48" s="847">
        <f t="shared" si="233"/>
        <v>845.0146921</v>
      </c>
      <c r="EW48" s="848">
        <f t="shared" si="233"/>
        <v>-388.3193895</v>
      </c>
      <c r="EX48" s="847">
        <f t="shared" si="233"/>
        <v>70.02369178</v>
      </c>
      <c r="EY48" s="847">
        <f t="shared" si="233"/>
        <v>-925.7513909</v>
      </c>
      <c r="EZ48" s="847">
        <f t="shared" si="233"/>
        <v>140.9777512</v>
      </c>
      <c r="FA48" s="847">
        <f t="shared" si="233"/>
        <v>145.2111226</v>
      </c>
      <c r="FB48" s="848">
        <f t="shared" si="233"/>
        <v>-569.5388254</v>
      </c>
      <c r="FC48" s="847">
        <f t="shared" si="233"/>
        <v>-1771.42217</v>
      </c>
      <c r="FD48" s="847">
        <f t="shared" si="233"/>
        <v>-1758.824459</v>
      </c>
      <c r="FE48" s="847">
        <f t="shared" si="233"/>
        <v>-1933.714151</v>
      </c>
      <c r="FF48" s="847">
        <f t="shared" si="233"/>
        <v>-671.0912318</v>
      </c>
      <c r="FG48" s="848">
        <f t="shared" si="233"/>
        <v>-6135.052011</v>
      </c>
    </row>
    <row r="49" ht="12.75" customHeight="1">
      <c r="A49" s="128"/>
      <c r="B49" s="128"/>
      <c r="C49" s="128"/>
      <c r="D49" s="128"/>
      <c r="E49" s="128"/>
      <c r="F49" s="128"/>
      <c r="G49" s="128"/>
      <c r="H49" s="128"/>
      <c r="I49" s="128"/>
      <c r="J49" s="128"/>
      <c r="K49" s="128"/>
      <c r="L49" s="128"/>
      <c r="M49" s="128"/>
      <c r="N49" s="837"/>
      <c r="O49" s="837"/>
      <c r="P49" s="837"/>
      <c r="Q49" s="837"/>
      <c r="R49" s="838"/>
      <c r="S49" s="837"/>
      <c r="T49" s="837"/>
      <c r="U49" s="837"/>
      <c r="V49" s="837"/>
      <c r="W49" s="838"/>
      <c r="X49" s="837"/>
      <c r="Y49" s="837"/>
      <c r="Z49" s="837"/>
      <c r="AA49" s="837"/>
      <c r="AB49" s="838"/>
      <c r="AC49" s="837"/>
      <c r="AD49" s="837"/>
      <c r="AE49" s="837"/>
      <c r="AF49" s="837"/>
      <c r="AG49" s="838"/>
      <c r="AH49" s="837"/>
      <c r="AI49" s="837"/>
      <c r="AJ49" s="837"/>
      <c r="AK49" s="837"/>
      <c r="AL49" s="838"/>
      <c r="AM49" s="837"/>
      <c r="AN49" s="837"/>
      <c r="AO49" s="837"/>
      <c r="AP49" s="837"/>
      <c r="AQ49" s="838"/>
      <c r="AR49" s="837"/>
      <c r="AS49" s="837"/>
      <c r="AT49" s="837"/>
      <c r="AU49" s="837"/>
      <c r="AV49" s="838"/>
      <c r="AW49" s="837"/>
      <c r="AX49" s="837"/>
      <c r="AY49" s="837"/>
      <c r="AZ49" s="837"/>
      <c r="BA49" s="838"/>
      <c r="BB49" s="837"/>
      <c r="BC49" s="837"/>
      <c r="BD49" s="837"/>
      <c r="BE49" s="837"/>
      <c r="BF49" s="838"/>
      <c r="BG49" s="837"/>
      <c r="BH49" s="837"/>
      <c r="BI49" s="837"/>
      <c r="BJ49" s="837"/>
      <c r="BK49" s="838"/>
      <c r="BL49" s="837"/>
      <c r="BM49" s="837"/>
      <c r="BN49" s="837"/>
      <c r="BO49" s="837"/>
      <c r="BP49" s="838"/>
      <c r="BQ49" s="837"/>
      <c r="BR49" s="837"/>
      <c r="BS49" s="837"/>
      <c r="BT49" s="837"/>
      <c r="BU49" s="838"/>
      <c r="BV49" s="837"/>
      <c r="BW49" s="837"/>
      <c r="BX49" s="837"/>
      <c r="BY49" s="837"/>
      <c r="BZ49" s="838"/>
      <c r="CA49" s="837"/>
      <c r="CB49" s="837"/>
      <c r="CC49" s="837"/>
      <c r="CD49" s="837"/>
      <c r="CE49" s="838"/>
      <c r="CF49" s="837"/>
      <c r="CG49" s="837"/>
      <c r="CH49" s="837"/>
      <c r="CI49" s="837"/>
      <c r="CJ49" s="838"/>
      <c r="CK49" s="837"/>
      <c r="CL49" s="837"/>
      <c r="CM49" s="837"/>
      <c r="CN49" s="837"/>
      <c r="CO49" s="838"/>
      <c r="CP49" s="837"/>
      <c r="CQ49" s="837"/>
      <c r="CR49" s="837"/>
      <c r="CS49" s="837"/>
      <c r="CT49" s="839"/>
      <c r="CU49" s="837"/>
      <c r="CV49" s="837"/>
      <c r="CW49" s="837"/>
      <c r="CX49" s="268"/>
      <c r="CY49" s="839"/>
      <c r="CZ49" s="840"/>
      <c r="DA49" s="837"/>
      <c r="DB49" s="844"/>
      <c r="DC49" s="837"/>
      <c r="DD49" s="839"/>
      <c r="DE49" s="840"/>
      <c r="DF49" s="837"/>
      <c r="DG49" s="840"/>
      <c r="DH49" s="837"/>
      <c r="DI49" s="839"/>
      <c r="DJ49" s="840"/>
      <c r="DK49" s="840"/>
      <c r="DL49" s="840"/>
      <c r="DM49" s="840"/>
      <c r="DN49" s="839"/>
      <c r="DO49" s="840"/>
      <c r="DP49" s="840"/>
      <c r="DQ49" s="840"/>
      <c r="DR49" s="840"/>
      <c r="DS49" s="839"/>
      <c r="DT49" s="840"/>
      <c r="DU49" s="840"/>
      <c r="DV49" s="840"/>
      <c r="DW49" s="840"/>
      <c r="DX49" s="839"/>
      <c r="DY49" s="840"/>
      <c r="DZ49" s="840"/>
      <c r="EA49" s="840"/>
      <c r="EB49" s="840"/>
      <c r="EC49" s="839"/>
      <c r="ED49" s="840"/>
      <c r="EE49" s="840"/>
      <c r="EF49" s="840"/>
      <c r="EG49" s="840"/>
      <c r="EH49" s="839"/>
      <c r="EI49" s="841"/>
      <c r="EJ49" s="837"/>
      <c r="EK49" s="837"/>
      <c r="EL49" s="837"/>
      <c r="EM49" s="839"/>
      <c r="EN49" s="837"/>
      <c r="EO49" s="837"/>
      <c r="EP49" s="837"/>
      <c r="EQ49" s="837"/>
      <c r="ER49" s="839"/>
      <c r="ES49" s="837"/>
      <c r="ET49" s="837"/>
      <c r="EU49" s="837"/>
      <c r="EV49" s="837"/>
      <c r="EW49" s="839"/>
      <c r="EX49" s="837"/>
      <c r="EY49" s="837"/>
      <c r="EZ49" s="837"/>
      <c r="FA49" s="837"/>
      <c r="FB49" s="839"/>
      <c r="FC49" s="837"/>
      <c r="FD49" s="837"/>
      <c r="FE49" s="837"/>
      <c r="FF49" s="837"/>
      <c r="FG49" s="839"/>
    </row>
    <row r="50" ht="12.75" hidden="1" customHeight="1" outlineLevel="1">
      <c r="A50" s="128"/>
      <c r="B50" s="128" t="s">
        <v>598</v>
      </c>
      <c r="C50" s="128"/>
      <c r="D50" s="128"/>
      <c r="E50" s="128"/>
      <c r="F50" s="128"/>
      <c r="G50" s="128"/>
      <c r="H50" s="128"/>
      <c r="I50" s="128"/>
      <c r="J50" s="128"/>
      <c r="K50" s="128"/>
      <c r="L50" s="128"/>
      <c r="M50" s="128"/>
      <c r="N50" s="837"/>
      <c r="O50" s="837"/>
      <c r="P50" s="837"/>
      <c r="Q50" s="837"/>
      <c r="R50" s="838"/>
      <c r="S50" s="837"/>
      <c r="T50" s="837"/>
      <c r="U50" s="837"/>
      <c r="V50" s="837"/>
      <c r="W50" s="838"/>
      <c r="X50" s="837"/>
      <c r="Y50" s="837"/>
      <c r="Z50" s="837"/>
      <c r="AA50" s="837"/>
      <c r="AB50" s="838"/>
      <c r="AC50" s="837"/>
      <c r="AD50" s="837"/>
      <c r="AE50" s="837"/>
      <c r="AF50" s="837"/>
      <c r="AG50" s="838"/>
      <c r="AH50" s="837"/>
      <c r="AI50" s="837"/>
      <c r="AJ50" s="837"/>
      <c r="AK50" s="837"/>
      <c r="AL50" s="838"/>
      <c r="AM50" s="837"/>
      <c r="AN50" s="837"/>
      <c r="AO50" s="837"/>
      <c r="AP50" s="837"/>
      <c r="AQ50" s="838"/>
      <c r="AR50" s="837"/>
      <c r="AS50" s="837"/>
      <c r="AT50" s="837"/>
      <c r="AU50" s="837"/>
      <c r="AV50" s="838"/>
      <c r="AW50" s="837"/>
      <c r="AX50" s="837"/>
      <c r="AY50" s="837"/>
      <c r="AZ50" s="837"/>
      <c r="BA50" s="838"/>
      <c r="BB50" s="837"/>
      <c r="BC50" s="837"/>
      <c r="BD50" s="837"/>
      <c r="BE50" s="837"/>
      <c r="BF50" s="838"/>
      <c r="BG50" s="837"/>
      <c r="BH50" s="837"/>
      <c r="BI50" s="837"/>
      <c r="BJ50" s="837"/>
      <c r="BK50" s="838"/>
      <c r="BL50" s="837"/>
      <c r="BM50" s="837"/>
      <c r="BN50" s="837"/>
      <c r="BO50" s="837"/>
      <c r="BP50" s="838"/>
      <c r="BQ50" s="837"/>
      <c r="BR50" s="837"/>
      <c r="BS50" s="837"/>
      <c r="BT50" s="837"/>
      <c r="BU50" s="838"/>
      <c r="BV50" s="837"/>
      <c r="BW50" s="837"/>
      <c r="BX50" s="837"/>
      <c r="BY50" s="837"/>
      <c r="BZ50" s="838"/>
      <c r="CA50" s="837">
        <v>9.0</v>
      </c>
      <c r="CB50" s="837">
        <f>13-CA50</f>
        <v>4</v>
      </c>
      <c r="CC50" s="837">
        <f>10-CA50-CB50</f>
        <v>-3</v>
      </c>
      <c r="CD50" s="837">
        <f>CE50-SUM(CA50:CC50)</f>
        <v>-5</v>
      </c>
      <c r="CE50" s="838">
        <v>5.0</v>
      </c>
      <c r="CF50" s="837">
        <v>-2.0</v>
      </c>
      <c r="CG50" s="837">
        <f>-6-CF50</f>
        <v>-4</v>
      </c>
      <c r="CH50" s="837">
        <f>0-CF50-CG50</f>
        <v>6</v>
      </c>
      <c r="CI50" s="837">
        <f>CJ50-SUM(CF50:CH50)</f>
        <v>-3</v>
      </c>
      <c r="CJ50" s="838">
        <v>-3.0</v>
      </c>
      <c r="CK50" s="837">
        <v>-10.0</v>
      </c>
      <c r="CL50" s="837">
        <f>-8-CK50</f>
        <v>2</v>
      </c>
      <c r="CM50" s="837">
        <f>-7-CL50-CK50</f>
        <v>1</v>
      </c>
      <c r="CN50" s="837">
        <f>CO50-SUM(CK50:CM50)</f>
        <v>-2</v>
      </c>
      <c r="CO50" s="860">
        <v>-9.0</v>
      </c>
      <c r="CP50" s="837">
        <v>1.0</v>
      </c>
      <c r="CQ50" s="837">
        <f>1-CP50</f>
        <v>0</v>
      </c>
      <c r="CR50" s="837">
        <f>-5-CQ50-CP50</f>
        <v>-6</v>
      </c>
      <c r="CS50" s="837">
        <f>-15-CR50-CQ50-CP50</f>
        <v>-10</v>
      </c>
      <c r="CT50" s="839">
        <f>SUM(CP50:CS50)</f>
        <v>-15</v>
      </c>
      <c r="CU50" s="837">
        <v>-9.0</v>
      </c>
      <c r="CV50" s="837">
        <f>1-CU50</f>
        <v>10</v>
      </c>
      <c r="CW50" s="837">
        <f>1-CV50-CU50</f>
        <v>0</v>
      </c>
      <c r="CX50" s="268">
        <f>1-CW50-CV50-CU50</f>
        <v>0</v>
      </c>
      <c r="CY50" s="839">
        <f>SUM(CU50:CX50)</f>
        <v>1</v>
      </c>
      <c r="CZ50" s="840">
        <v>0.0</v>
      </c>
      <c r="DA50" s="837">
        <f>0-CZ50</f>
        <v>0</v>
      </c>
      <c r="DB50" s="844">
        <f>0-DA50-CZ50</f>
        <v>0</v>
      </c>
      <c r="DC50" s="837"/>
      <c r="DD50" s="839">
        <f>SUM(CZ50:DC50)</f>
        <v>0</v>
      </c>
      <c r="DE50" s="840"/>
      <c r="DF50" s="837"/>
      <c r="DG50" s="840"/>
      <c r="DH50" s="837"/>
      <c r="DI50" s="839">
        <f>SUM(DE50:DH50)</f>
        <v>0</v>
      </c>
      <c r="DJ50" s="840"/>
      <c r="DK50" s="840"/>
      <c r="DL50" s="840"/>
      <c r="DM50" s="840"/>
      <c r="DN50" s="839">
        <f>SUM(DJ50:DM50)</f>
        <v>0</v>
      </c>
      <c r="DO50" s="840"/>
      <c r="DP50" s="840"/>
      <c r="DQ50" s="840"/>
      <c r="DR50" s="840"/>
      <c r="DS50" s="839">
        <f>SUM(DO50:DR50)</f>
        <v>0</v>
      </c>
      <c r="DT50" s="840"/>
      <c r="DU50" s="840"/>
      <c r="DV50" s="840"/>
      <c r="DW50" s="840"/>
      <c r="DX50" s="839">
        <f>SUM(DT50:DW50)</f>
        <v>0</v>
      </c>
      <c r="DY50" s="840"/>
      <c r="DZ50" s="840"/>
      <c r="EA50" s="840"/>
      <c r="EB50" s="840"/>
      <c r="EC50" s="839">
        <f>SUM(DY50:EB50)</f>
        <v>0</v>
      </c>
      <c r="ED50" s="840"/>
      <c r="EE50" s="840"/>
      <c r="EF50" s="840"/>
      <c r="EG50" s="840"/>
      <c r="EH50" s="839">
        <f>SUM(ED50:EG50)</f>
        <v>0</v>
      </c>
      <c r="EI50" s="841"/>
      <c r="EJ50" s="837"/>
      <c r="EK50" s="837"/>
      <c r="EL50" s="837"/>
      <c r="EM50" s="839">
        <f>SUM(EI50:EL50)</f>
        <v>0</v>
      </c>
      <c r="EN50" s="837"/>
      <c r="EO50" s="837"/>
      <c r="EP50" s="128"/>
      <c r="EQ50" s="837"/>
      <c r="ER50" s="839">
        <f>SUM(EN50:EQ50)</f>
        <v>0</v>
      </c>
      <c r="ES50" s="837"/>
      <c r="ET50" s="837"/>
      <c r="EU50" s="837"/>
      <c r="EV50" s="837"/>
      <c r="EW50" s="839">
        <f>SUM(ES50:EV50)</f>
        <v>0</v>
      </c>
      <c r="EX50" s="837"/>
      <c r="EY50" s="837"/>
      <c r="EZ50" s="837"/>
      <c r="FA50" s="837"/>
      <c r="FB50" s="839">
        <f>SUM(EX50:FA50)</f>
        <v>0</v>
      </c>
      <c r="FC50" s="837"/>
      <c r="FD50" s="837"/>
      <c r="FE50" s="837"/>
      <c r="FF50" s="837"/>
      <c r="FG50" s="839">
        <f>SUM(FC50:FF50)</f>
        <v>0</v>
      </c>
    </row>
    <row r="51" ht="12.75" hidden="1" customHeight="1" outlineLevel="1">
      <c r="A51" s="128"/>
      <c r="B51" s="128"/>
      <c r="C51" s="128"/>
      <c r="D51" s="128"/>
      <c r="E51" s="128"/>
      <c r="F51" s="128"/>
      <c r="G51" s="128"/>
      <c r="H51" s="128"/>
      <c r="I51" s="128"/>
      <c r="J51" s="128"/>
      <c r="K51" s="128"/>
      <c r="L51" s="128"/>
      <c r="M51" s="128"/>
      <c r="N51" s="837"/>
      <c r="O51" s="837"/>
      <c r="P51" s="837"/>
      <c r="Q51" s="837"/>
      <c r="R51" s="838"/>
      <c r="S51" s="837"/>
      <c r="T51" s="837"/>
      <c r="U51" s="837"/>
      <c r="V51" s="837"/>
      <c r="W51" s="838"/>
      <c r="X51" s="837"/>
      <c r="Y51" s="837"/>
      <c r="Z51" s="837"/>
      <c r="AA51" s="837"/>
      <c r="AB51" s="838"/>
      <c r="AC51" s="837"/>
      <c r="AD51" s="837"/>
      <c r="AE51" s="837"/>
      <c r="AF51" s="837"/>
      <c r="AG51" s="838"/>
      <c r="AH51" s="837"/>
      <c r="AI51" s="837"/>
      <c r="AJ51" s="837"/>
      <c r="AK51" s="837"/>
      <c r="AL51" s="838"/>
      <c r="AM51" s="837"/>
      <c r="AN51" s="837"/>
      <c r="AO51" s="837"/>
      <c r="AP51" s="837"/>
      <c r="AQ51" s="838"/>
      <c r="AR51" s="837"/>
      <c r="AS51" s="837"/>
      <c r="AT51" s="837"/>
      <c r="AU51" s="837"/>
      <c r="AV51" s="838"/>
      <c r="AW51" s="837"/>
      <c r="AX51" s="837"/>
      <c r="AY51" s="837"/>
      <c r="AZ51" s="837"/>
      <c r="BA51" s="838"/>
      <c r="BB51" s="837"/>
      <c r="BC51" s="837"/>
      <c r="BD51" s="837"/>
      <c r="BE51" s="837"/>
      <c r="BF51" s="838"/>
      <c r="BG51" s="837"/>
      <c r="BH51" s="837"/>
      <c r="BI51" s="837"/>
      <c r="BJ51" s="837"/>
      <c r="BK51" s="838"/>
      <c r="BL51" s="837"/>
      <c r="BM51" s="837"/>
      <c r="BN51" s="837"/>
      <c r="BO51" s="837"/>
      <c r="BP51" s="838"/>
      <c r="BQ51" s="837"/>
      <c r="BR51" s="837"/>
      <c r="BS51" s="837"/>
      <c r="BT51" s="837"/>
      <c r="BU51" s="838"/>
      <c r="BV51" s="837"/>
      <c r="BW51" s="837"/>
      <c r="BX51" s="837"/>
      <c r="BY51" s="837"/>
      <c r="BZ51" s="838"/>
      <c r="CA51" s="837"/>
      <c r="CB51" s="837"/>
      <c r="CC51" s="837"/>
      <c r="CD51" s="837"/>
      <c r="CE51" s="838"/>
      <c r="CF51" s="837"/>
      <c r="CG51" s="837"/>
      <c r="CH51" s="837"/>
      <c r="CI51" s="837"/>
      <c r="CJ51" s="838"/>
      <c r="CK51" s="837"/>
      <c r="CL51" s="837"/>
      <c r="CM51" s="837"/>
      <c r="CN51" s="837"/>
      <c r="CO51" s="838"/>
      <c r="CP51" s="837"/>
      <c r="CQ51" s="837"/>
      <c r="CR51" s="837"/>
      <c r="CS51" s="837"/>
      <c r="CT51" s="839"/>
      <c r="CU51" s="837"/>
      <c r="CV51" s="837"/>
      <c r="CW51" s="837"/>
      <c r="CX51" s="268"/>
      <c r="CY51" s="839"/>
      <c r="CZ51" s="840"/>
      <c r="DA51" s="837"/>
      <c r="DB51" s="840"/>
      <c r="DC51" s="837"/>
      <c r="DD51" s="839"/>
      <c r="DE51" s="840"/>
      <c r="DF51" s="837"/>
      <c r="DG51" s="840"/>
      <c r="DH51" s="837"/>
      <c r="DI51" s="839"/>
      <c r="DJ51" s="840"/>
      <c r="DK51" s="840"/>
      <c r="DL51" s="840"/>
      <c r="DM51" s="840"/>
      <c r="DN51" s="839"/>
      <c r="DO51" s="840"/>
      <c r="DP51" s="840"/>
      <c r="DQ51" s="840"/>
      <c r="DR51" s="840"/>
      <c r="DS51" s="839"/>
      <c r="DT51" s="840"/>
      <c r="DU51" s="840"/>
      <c r="DV51" s="840"/>
      <c r="DW51" s="840"/>
      <c r="DX51" s="839"/>
      <c r="DY51" s="840"/>
      <c r="DZ51" s="840"/>
      <c r="EA51" s="840"/>
      <c r="EB51" s="840"/>
      <c r="EC51" s="839"/>
      <c r="ED51" s="840"/>
      <c r="EE51" s="840"/>
      <c r="EF51" s="840"/>
      <c r="EG51" s="840"/>
      <c r="EH51" s="839"/>
      <c r="EI51" s="841"/>
      <c r="EJ51" s="837"/>
      <c r="EK51" s="837"/>
      <c r="EL51" s="837"/>
      <c r="EM51" s="839"/>
      <c r="EN51" s="837"/>
      <c r="EO51" s="837"/>
      <c r="EP51" s="837"/>
      <c r="EQ51" s="837"/>
      <c r="ER51" s="839"/>
      <c r="ES51" s="837"/>
      <c r="ET51" s="837"/>
      <c r="EU51" s="837"/>
      <c r="EV51" s="837"/>
      <c r="EW51" s="839"/>
      <c r="EX51" s="837"/>
      <c r="EY51" s="837"/>
      <c r="EZ51" s="837"/>
      <c r="FA51" s="837"/>
      <c r="FB51" s="839"/>
      <c r="FC51" s="837"/>
      <c r="FD51" s="837"/>
      <c r="FE51" s="837"/>
      <c r="FF51" s="837"/>
      <c r="FG51" s="839"/>
    </row>
    <row r="52" ht="12.75" customHeight="1" collapsed="1">
      <c r="A52" s="128"/>
      <c r="B52" s="179" t="s">
        <v>599</v>
      </c>
      <c r="C52" s="179"/>
      <c r="D52" s="179"/>
      <c r="E52" s="179"/>
      <c r="F52" s="179"/>
      <c r="G52" s="179"/>
      <c r="H52" s="179"/>
      <c r="I52" s="179"/>
      <c r="J52" s="179"/>
      <c r="K52" s="179"/>
      <c r="L52" s="179"/>
      <c r="M52" s="179"/>
      <c r="N52" s="128">
        <f>CFO+CFI+CFF</f>
        <v>971</v>
      </c>
      <c r="O52" s="128">
        <f>CFO+CFI+CFF</f>
        <v>-3186</v>
      </c>
      <c r="P52" s="128">
        <f>CFO+CFI+CFF</f>
        <v>1013</v>
      </c>
      <c r="Q52" s="128">
        <f>CFO+CFI+CFF</f>
        <v>-862</v>
      </c>
      <c r="R52" s="73">
        <f>CFO+CFI+CFF</f>
        <v>-2064</v>
      </c>
      <c r="S52" s="128">
        <f>CFO+CFI+CFF</f>
        <v>465</v>
      </c>
      <c r="T52" s="128">
        <f>CFO+CFI+CFF</f>
        <v>1096</v>
      </c>
      <c r="U52" s="128">
        <f>CFO+CFI+CFF</f>
        <v>-87</v>
      </c>
      <c r="V52" s="128">
        <f>CFO+CFI+CFF</f>
        <v>183</v>
      </c>
      <c r="W52" s="73">
        <f>CFO+CFI+CFF</f>
        <v>1657</v>
      </c>
      <c r="X52" s="128">
        <f>CFO+CFI+CFF</f>
        <v>2509</v>
      </c>
      <c r="Y52" s="128">
        <f>CFO+CFI+CFF</f>
        <v>1104</v>
      </c>
      <c r="Z52" s="128">
        <f>CFO+CFI+CFF</f>
        <v>-874</v>
      </c>
      <c r="AA52" s="128">
        <f>CFO+CFI+CFF</f>
        <v>-3458</v>
      </c>
      <c r="AB52" s="73">
        <f>CFO+CFI+CFF</f>
        <v>-719</v>
      </c>
      <c r="AC52" s="128">
        <f>CFO+CFI+CFF</f>
        <v>-115</v>
      </c>
      <c r="AD52" s="128">
        <f>CFO+CFI+CFF</f>
        <v>344</v>
      </c>
      <c r="AE52" s="128">
        <f>CFO+CFI+CFF</f>
        <v>1659</v>
      </c>
      <c r="AF52" s="128">
        <f>CFO+CFI+CFF</f>
        <v>3106</v>
      </c>
      <c r="AG52" s="73">
        <f>CFO+CFI+CFF</f>
        <v>4994</v>
      </c>
      <c r="AH52" s="128">
        <f>CFO+CFI+CFF</f>
        <v>-1446</v>
      </c>
      <c r="AI52" s="128">
        <f>CFO+CFI+CFF</f>
        <v>-456</v>
      </c>
      <c r="AJ52" s="128">
        <f>CFO+CFI+CFF</f>
        <v>610</v>
      </c>
      <c r="AK52" s="128">
        <f>CFO+CFI+CFF</f>
        <v>726</v>
      </c>
      <c r="AL52" s="73">
        <f>CFO+CFI+CFF</f>
        <v>-566</v>
      </c>
      <c r="AM52" s="128">
        <f>CFO+CFI+CFF</f>
        <v>-270</v>
      </c>
      <c r="AN52" s="128">
        <f>CFO+CFI+CFF</f>
        <v>1248</v>
      </c>
      <c r="AO52" s="128">
        <f>CFO+CFI+CFF</f>
        <v>1024</v>
      </c>
      <c r="AP52" s="128">
        <f>CFO+CFI+CFF</f>
        <v>-1435</v>
      </c>
      <c r="AQ52" s="73">
        <f>CFO+CFI+CFF</f>
        <v>567</v>
      </c>
      <c r="AR52" s="128">
        <f>CFO+CFI+CFF</f>
        <v>-432</v>
      </c>
      <c r="AS52" s="128">
        <f>CFO+CFI+CFF</f>
        <v>-386</v>
      </c>
      <c r="AT52" s="128">
        <f>CFO+CFI+CFF</f>
        <v>-620</v>
      </c>
      <c r="AU52" s="128">
        <f>CFO+CFI+CFF</f>
        <v>1874</v>
      </c>
      <c r="AV52" s="73">
        <f>CFO+CFI+CFF</f>
        <v>436</v>
      </c>
      <c r="AW52" s="128">
        <f>CFO+CFI+CFF</f>
        <v>872</v>
      </c>
      <c r="AX52" s="128">
        <f>CFO+CFI+CFF</f>
        <v>-304</v>
      </c>
      <c r="AY52" s="128">
        <f>CFO+CFI+CFF</f>
        <v>-118</v>
      </c>
      <c r="AZ52" s="128">
        <f>CFO+CFI+CFF</f>
        <v>-1533</v>
      </c>
      <c r="BA52" s="73">
        <f>CFO+CFI+CFF</f>
        <v>-1083</v>
      </c>
      <c r="BB52" s="128">
        <f>CFO+CFI+CFF</f>
        <v>-3376</v>
      </c>
      <c r="BC52" s="128">
        <f>CFO+CFI+CFF</f>
        <v>-512</v>
      </c>
      <c r="BD52" s="128">
        <f>CFO+CFI+CFF</f>
        <v>1033</v>
      </c>
      <c r="BE52" s="128">
        <f>CFO+CFI+CFF</f>
        <v>2129</v>
      </c>
      <c r="BF52" s="73">
        <f>CFO+CFI+CFF</f>
        <v>-726</v>
      </c>
      <c r="BG52" s="128">
        <f>CFO+CFI+CFF</f>
        <v>-2126</v>
      </c>
      <c r="BH52" s="128">
        <f>CFO+CFI+CFF</f>
        <v>237</v>
      </c>
      <c r="BI52" s="128">
        <f>CFO+CFI+CFF</f>
        <v>1135</v>
      </c>
      <c r="BJ52" s="128">
        <f>CFO+CFI+CFF</f>
        <v>1463</v>
      </c>
      <c r="BK52" s="73">
        <f>CFO+CFI+CFF</f>
        <v>709</v>
      </c>
      <c r="BL52" s="128">
        <f>CFO+CFI+CFF</f>
        <v>-1424</v>
      </c>
      <c r="BM52" s="128">
        <f>CFO+CFI+CFF</f>
        <v>-1804</v>
      </c>
      <c r="BN52" s="128">
        <f>CFO+CFI+CFF</f>
        <v>-375</v>
      </c>
      <c r="BO52" s="128">
        <f>CFO+CFI+CFF</f>
        <v>-354</v>
      </c>
      <c r="BP52" s="73">
        <f>CFO+CFI+CFF</f>
        <v>-3957</v>
      </c>
      <c r="BQ52" s="128">
        <f>CFO+CFI+CFF</f>
        <v>186</v>
      </c>
      <c r="BR52" s="128">
        <f>CFO+CFI+CFF</f>
        <v>290</v>
      </c>
      <c r="BS52" s="128">
        <f>CFO+CFI+CFF</f>
        <v>283</v>
      </c>
      <c r="BT52" s="128">
        <f>CFO+CFI+CFF</f>
        <v>-122</v>
      </c>
      <c r="BU52" s="73">
        <f>CFO+CFI+CFF</f>
        <v>637</v>
      </c>
      <c r="BV52" s="128">
        <f>CFO+CFI+CFF</f>
        <v>1001</v>
      </c>
      <c r="BW52" s="128">
        <f>CFO+CFI+CFF</f>
        <v>526</v>
      </c>
      <c r="BX52" s="128">
        <f>CFO+CFI+CFF</f>
        <v>3</v>
      </c>
      <c r="BY52" s="128">
        <f>CFO+CFI+CFF</f>
        <v>-19</v>
      </c>
      <c r="BZ52" s="73">
        <f>CFO+CFI+CFF</f>
        <v>1511</v>
      </c>
      <c r="CA52" s="128">
        <f>CFO+CFI+CFF+CFFX</f>
        <v>-1310</v>
      </c>
      <c r="CB52" s="128">
        <f>CFO+CFI+CFF+CFFX</f>
        <v>447</v>
      </c>
      <c r="CC52" s="128">
        <f>CFO+CFI+CFF+CFFX</f>
        <v>2422</v>
      </c>
      <c r="CD52" s="128">
        <f>CFO+CFI+CFF+CFFX</f>
        <v>-1992</v>
      </c>
      <c r="CE52" s="73">
        <f>CFO+CFI+CFF+CFFX</f>
        <v>-433</v>
      </c>
      <c r="CF52" s="128">
        <f>CFO+CFI+CFF+CFFX</f>
        <v>-636</v>
      </c>
      <c r="CG52" s="128">
        <f>CFO+CFI+CFF+CFFX</f>
        <v>794</v>
      </c>
      <c r="CH52" s="128">
        <f>CFO+CFI+CFF+CFFX</f>
        <v>-1703</v>
      </c>
      <c r="CI52" s="128">
        <f>CFO+CFI+CFF+CFFX</f>
        <v>4958</v>
      </c>
      <c r="CJ52" s="73">
        <f>CFO+CFI+CFF+CFFX</f>
        <v>3413</v>
      </c>
      <c r="CK52" s="128">
        <f>CFO+CFI+CFF+CFFX</f>
        <v>-2780</v>
      </c>
      <c r="CL52" s="128">
        <f>CFO+CFI+CFF+CFFX</f>
        <v>-1920</v>
      </c>
      <c r="CM52" s="128">
        <f>CFO+CFI+CFF+CFFX</f>
        <v>1103</v>
      </c>
      <c r="CN52" s="128">
        <f>CFO+CFI+CFF+CFFX</f>
        <v>1064</v>
      </c>
      <c r="CO52" s="73">
        <f>CFO+CFI+CFF+CFFX</f>
        <v>-2804</v>
      </c>
      <c r="CP52" s="128">
        <f>CFO+CFI+CFF+CFFX</f>
        <v>-874</v>
      </c>
      <c r="CQ52" s="128">
        <f>CFO+CFI+CFF+CFFX</f>
        <v>-1728</v>
      </c>
      <c r="CR52" s="128">
        <f>CFO+CFI+CFF+CFFX</f>
        <v>94</v>
      </c>
      <c r="CS52" s="128">
        <f>CFO+CFI+CFF+CFFX</f>
        <v>-582</v>
      </c>
      <c r="CT52" s="18">
        <f>CFO+CFI+CFF+CFFX</f>
        <v>-3090</v>
      </c>
      <c r="CU52" s="128">
        <f>CFO+CFI+CFF+CFFX</f>
        <v>1683</v>
      </c>
      <c r="CV52" s="128">
        <f>CFO+CFI+CFF+CFFX</f>
        <v>210</v>
      </c>
      <c r="CW52" s="128">
        <f>CFO+CFI+CFF+CFFX</f>
        <v>2611</v>
      </c>
      <c r="CX52" s="128">
        <f>CFO+CFI+CFF+CFFX</f>
        <v>8243</v>
      </c>
      <c r="CY52" s="18">
        <f>CFO+CFI+CFF+CFFX</f>
        <v>12747</v>
      </c>
      <c r="CZ52" s="129">
        <f>CFO+CFI+CFF+CFFX</f>
        <v>-12247</v>
      </c>
      <c r="DA52" s="128">
        <f>CFO+CFI+CFF+CFFX</f>
        <v>824</v>
      </c>
      <c r="DB52" s="129">
        <f>CFO+CFI+CFF+CFFX</f>
        <v>867</v>
      </c>
      <c r="DC52" s="128">
        <f>CFO+CFI+CFF+CFFX</f>
        <v>808</v>
      </c>
      <c r="DD52" s="18">
        <f>CFO+CFI+CFF+CFFX</f>
        <v>-9748</v>
      </c>
      <c r="DE52" s="129">
        <f>CFO+CFI+CFF+CFFX</f>
        <v>-626</v>
      </c>
      <c r="DF52" s="128">
        <f>CFO+CFI+CFF+CFFX</f>
        <v>6753</v>
      </c>
      <c r="DG52" s="129">
        <f>CFO+CFI+CFF+CFFX</f>
        <v>-2612</v>
      </c>
      <c r="DH52" s="861">
        <v>-5642.0</v>
      </c>
      <c r="DI52" s="18">
        <f>SUM(DE52:DH52)</f>
        <v>-2127</v>
      </c>
      <c r="DJ52" s="129">
        <f>CFO+CFI+CFF+CFFX</f>
        <v>121</v>
      </c>
      <c r="DK52" s="129">
        <f>CFO+CFI+CFF+CFFX</f>
        <v>-940</v>
      </c>
      <c r="DL52" s="129">
        <f>CFO+CFI+CFF+CFFX</f>
        <v>793</v>
      </c>
      <c r="DM52" s="129">
        <f>CFO+CFI+CFF+CFFX</f>
        <v>-388</v>
      </c>
      <c r="DN52" s="18">
        <f>CFO+CFI+CFF+CFFX</f>
        <v>-414</v>
      </c>
      <c r="DO52" s="129">
        <f>CFO+CFI+CFF+CFFX</f>
        <v>135</v>
      </c>
      <c r="DP52" s="129">
        <f>CFO+CFI+CFF+CFFX</f>
        <v>-287</v>
      </c>
      <c r="DQ52" s="129">
        <f>CFO+CFI+CFF+CFFX</f>
        <v>1068</v>
      </c>
      <c r="DR52" s="129">
        <f>CFO+CFI+CFF+CFFX</f>
        <v>259</v>
      </c>
      <c r="DS52" s="18">
        <f>CFO+CFI+CFF+CFFX</f>
        <v>1175</v>
      </c>
      <c r="DT52" s="129">
        <f>CFO+CFI+CFF+CFFX</f>
        <v>7186</v>
      </c>
      <c r="DU52" s="129">
        <f>CFO+CFI+CFF+CFFX</f>
        <v>-2644</v>
      </c>
      <c r="DV52" s="129">
        <f>CFO+CFI+CFF+CFFX</f>
        <v>-5380</v>
      </c>
      <c r="DW52" s="129">
        <f>CFO+CFI+CFF+CFFX</f>
        <v>2347</v>
      </c>
      <c r="DX52" s="18">
        <f>CFO+CFI+CFF+CFFX</f>
        <v>1509</v>
      </c>
      <c r="DY52" s="129">
        <f>CFO+CFI+CFF+CFFX</f>
        <v>-1190</v>
      </c>
      <c r="DZ52" s="129">
        <f>CFO+CFI+CFF+CFFX</f>
        <v>71</v>
      </c>
      <c r="EA52" s="129">
        <f>CFO+CFI+CFF+CFFX</f>
        <v>3124</v>
      </c>
      <c r="EB52" s="129">
        <f>CFO+CFI+CFF+CFFX</f>
        <v>-3043</v>
      </c>
      <c r="EC52" s="18">
        <f>CFO+CFI+CFF+CFFX</f>
        <v>-1038</v>
      </c>
      <c r="ED52" s="129">
        <f>CFO+CFI+CFF+CFFX</f>
        <v>1388</v>
      </c>
      <c r="EE52" s="129">
        <f>CFO+CFI+CFF+CFFX</f>
        <v>-1825</v>
      </c>
      <c r="EF52" s="129">
        <f>CFO+CFI+CFF+CFFX</f>
        <v>139</v>
      </c>
      <c r="EG52" s="129">
        <f>CFO+CFI+CFF+CFFX</f>
        <v>6615</v>
      </c>
      <c r="EH52" s="18">
        <f>CFO+CFI+CFF+CFFX</f>
        <v>6317</v>
      </c>
      <c r="EI52" s="134" t="str">
        <f>CFO+CFI+CFF+CFFX</f>
        <v>#ERROR!</v>
      </c>
      <c r="EJ52" s="128" t="str">
        <f>CFO+CFI+CFF+CFFX</f>
        <v>#ERROR!</v>
      </c>
      <c r="EK52" s="128" t="str">
        <f>CFO+CFI+CFF+CFFX</f>
        <v>#ERROR!</v>
      </c>
      <c r="EL52" s="128" t="str">
        <f>CFO+CFI+CFF+CFFX</f>
        <v>#ERROR!</v>
      </c>
      <c r="EM52" s="18" t="str">
        <f>CFO+CFI+CFF+CFFX</f>
        <v>#ERROR!</v>
      </c>
      <c r="EN52" s="128" t="str">
        <f>CFO+CFI+CFF+CFFX</f>
        <v>#ERROR!</v>
      </c>
      <c r="EO52" s="128" t="str">
        <f>CFO+CFI+CFF+CFFX</f>
        <v>#ERROR!</v>
      </c>
      <c r="EP52" s="128" t="str">
        <f>CFO+CFI+CFF+CFFX</f>
        <v>#ERROR!</v>
      </c>
      <c r="EQ52" s="128" t="str">
        <f>CFO+CFI+CFF+CFFX</f>
        <v>#ERROR!</v>
      </c>
      <c r="ER52" s="18" t="str">
        <f>CFO+CFI+CFF+CFFX</f>
        <v>#ERROR!</v>
      </c>
      <c r="ES52" s="128" t="str">
        <f>CFO+CFI+CFF+CFFX</f>
        <v>#ERROR!</v>
      </c>
      <c r="ET52" s="128" t="str">
        <f>CFO+CFI+CFF+CFFX</f>
        <v>#ERROR!</v>
      </c>
      <c r="EU52" s="128" t="str">
        <f>CFO+CFI+CFF+CFFX</f>
        <v>#ERROR!</v>
      </c>
      <c r="EV52" s="128" t="str">
        <f>CFO+CFI+CFF+CFFX</f>
        <v>#ERROR!</v>
      </c>
      <c r="EW52" s="18" t="str">
        <f>CFO+CFI+CFF+CFFX</f>
        <v>#ERROR!</v>
      </c>
      <c r="EX52" s="128" t="str">
        <f>CFO+CFI+CFF+CFFX</f>
        <v>#ERROR!</v>
      </c>
      <c r="EY52" s="128" t="str">
        <f>CFO+CFI+CFF+CFFX</f>
        <v>#ERROR!</v>
      </c>
      <c r="EZ52" s="128" t="str">
        <f>CFO+CFI+CFF+CFFX</f>
        <v>#ERROR!</v>
      </c>
      <c r="FA52" s="128" t="str">
        <f>CFO+CFI+CFF+CFFX</f>
        <v>#ERROR!</v>
      </c>
      <c r="FB52" s="18" t="str">
        <f>CFO+CFI+CFF+CFFX</f>
        <v>#ERROR!</v>
      </c>
      <c r="FC52" s="128" t="str">
        <f>CFO+CFI+CFF+CFFX</f>
        <v>#ERROR!</v>
      </c>
      <c r="FD52" s="128" t="str">
        <f>CFO+CFI+CFF+CFFX</f>
        <v>#ERROR!</v>
      </c>
      <c r="FE52" s="128" t="str">
        <f>CFO+CFI+CFF+CFFX</f>
        <v>#ERROR!</v>
      </c>
      <c r="FF52" s="128" t="str">
        <f>CFO+CFI+CFF+CFFX</f>
        <v>#ERROR!</v>
      </c>
      <c r="FG52" s="18" t="str">
        <f>CFO+CFI+CFF+CFFX</f>
        <v>#ERROR!</v>
      </c>
    </row>
    <row r="53" ht="12.75" customHeight="1">
      <c r="A53" s="128"/>
      <c r="B53" s="179" t="s">
        <v>600</v>
      </c>
      <c r="C53" s="179"/>
      <c r="D53" s="179"/>
      <c r="E53" s="179"/>
      <c r="F53" s="179"/>
      <c r="G53" s="179"/>
      <c r="H53" s="179"/>
      <c r="I53" s="179"/>
      <c r="J53" s="179"/>
      <c r="K53" s="179"/>
      <c r="L53" s="179"/>
      <c r="M53" s="179"/>
      <c r="N53" s="128">
        <v>4102.0</v>
      </c>
      <c r="O53" s="128">
        <f t="array" ref="O53">INDEX(cash, MATCH(O5, Dates)-1)</f>
        <v>5073</v>
      </c>
      <c r="P53" s="128">
        <f t="shared" ref="P53:Q53" si="234">+O54</f>
        <v>1887</v>
      </c>
      <c r="Q53" s="128">
        <f t="shared" si="234"/>
        <v>2900</v>
      </c>
      <c r="R53" s="73">
        <v>4102.0</v>
      </c>
      <c r="S53" s="128">
        <f t="array" ref="S53">INDEX(cash, MATCH(S5, Dates)-1)</f>
        <v>2038</v>
      </c>
      <c r="T53" s="128">
        <f t="shared" ref="T53:U53" si="235">+S54</f>
        <v>2503</v>
      </c>
      <c r="U53" s="128">
        <f t="shared" si="235"/>
        <v>3599</v>
      </c>
      <c r="V53" s="128">
        <f>U54</f>
        <v>3512</v>
      </c>
      <c r="W53" s="73">
        <f t="array" ref="W53">INDEX(cash, COLUMN()-5)</f>
        <v>2038</v>
      </c>
      <c r="X53" s="128">
        <f t="array" ref="X53">INDEX(cash, MATCH(X5, Dates)-1)</f>
        <v>3695</v>
      </c>
      <c r="Y53" s="128">
        <f t="shared" ref="Y53:AA53" si="236">X54</f>
        <v>6204</v>
      </c>
      <c r="Z53" s="128">
        <f t="shared" si="236"/>
        <v>7308</v>
      </c>
      <c r="AA53" s="128">
        <f t="shared" si="236"/>
        <v>6434</v>
      </c>
      <c r="AB53" s="73">
        <f t="array" ref="AB53">INDEX(cash, COLUMN()-5)</f>
        <v>3695</v>
      </c>
      <c r="AC53" s="128">
        <f t="array" ref="AC53">INDEX(cash, MATCH(AC5, Dates)-1)</f>
        <v>2976</v>
      </c>
      <c r="AD53" s="128">
        <f t="shared" ref="AD53:AE53" si="237">AC54</f>
        <v>2861</v>
      </c>
      <c r="AE53" s="128">
        <f t="shared" si="237"/>
        <v>3205</v>
      </c>
      <c r="AF53" s="128">
        <f>+BS!AE8</f>
        <v>4864</v>
      </c>
      <c r="AG53" s="73">
        <f t="array" ref="AG53">INDEX(cash, COLUMN()-5)</f>
        <v>2976</v>
      </c>
      <c r="AH53" s="128">
        <f t="array" ref="AH53">INDEX(cash, COLUMN()-1)</f>
        <v>7970</v>
      </c>
      <c r="AI53" s="128">
        <f t="array" ref="AI53">INDEX(cash, COLUMN()-1)</f>
        <v>6524</v>
      </c>
      <c r="AJ53" s="128">
        <f t="array" ref="AJ53">INDEX(cash, COLUMN()-1)</f>
        <v>6068</v>
      </c>
      <c r="AK53" s="128">
        <f t="array" ref="AK53">INDEX(cash, COLUMN()-1)</f>
        <v>6678</v>
      </c>
      <c r="AL53" s="73">
        <f t="array" ref="AL53">INDEX(cash, COLUMN()-5)</f>
        <v>7970</v>
      </c>
      <c r="AM53" s="128">
        <f t="array" ref="AM53">INDEX(cash, COLUMN()-1)</f>
        <v>7404</v>
      </c>
      <c r="AN53" s="128">
        <f t="array" ref="AN53">INDEX(cash, COLUMN()-1)</f>
        <v>7134</v>
      </c>
      <c r="AO53" s="128">
        <f t="array" ref="AO53">INDEX(cash, COLUMN()-1)</f>
        <v>8382</v>
      </c>
      <c r="AP53" s="128">
        <f t="array" ref="AP53">INDEX(cash, COLUMN()-1)</f>
        <v>9406</v>
      </c>
      <c r="AQ53" s="73">
        <f t="array" ref="AQ53">INDEX(cash, COLUMN()-5)</f>
        <v>7404</v>
      </c>
      <c r="AR53" s="128">
        <f t="array" ref="AR53">INDEX(cash, COLUMN()-1)</f>
        <v>7971</v>
      </c>
      <c r="AS53" s="128">
        <f t="array" ref="AS53">INDEX(cash, COLUMN()-1)</f>
        <v>7539</v>
      </c>
      <c r="AT53" s="128">
        <f t="array" ref="AT53">INDEX(cash, COLUMN()-1)</f>
        <v>7153</v>
      </c>
      <c r="AU53" s="128">
        <f t="array" ref="AU53">INDEX(cash, COLUMN()-1)</f>
        <v>6533</v>
      </c>
      <c r="AV53" s="73">
        <f t="array" ref="AV53">INDEX(cash, COLUMN()-5)</f>
        <v>7971</v>
      </c>
      <c r="AW53" s="128">
        <f t="array" ref="AW53">INDEX(cash, COLUMN()-1)</f>
        <v>8407</v>
      </c>
      <c r="AX53" s="128">
        <f t="array" ref="AX53">INDEX(cash, COLUMN()-1)</f>
        <v>9279</v>
      </c>
      <c r="AY53" s="128">
        <f t="array" ref="AY53">INDEX(cash, COLUMN()-1)</f>
        <v>8975</v>
      </c>
      <c r="AZ53" s="128">
        <f t="array" ref="AZ53">INDEX(cash, COLUMN()-1)</f>
        <v>8857</v>
      </c>
      <c r="BA53" s="73">
        <f t="array" ref="BA53">INDEX(cash, COLUMN()-5)</f>
        <v>8407</v>
      </c>
      <c r="BB53" s="128">
        <f t="array" ref="BB53">INDEX(cash, COLUMN()-1)</f>
        <v>7324</v>
      </c>
      <c r="BC53" s="128">
        <f t="array" ref="BC53">INDEX(cash, COLUMN()-1)</f>
        <v>3948</v>
      </c>
      <c r="BD53" s="128">
        <f t="array" ref="BD53">INDEX(cash, COLUMN()-1)</f>
        <v>3436</v>
      </c>
      <c r="BE53" s="128">
        <f t="array" ref="BE53">INDEX(cash, COLUMN()-1)</f>
        <v>4469</v>
      </c>
      <c r="BF53" s="73">
        <f t="array" ref="BF53">INDEX(cash, COLUMN()-5)</f>
        <v>7324</v>
      </c>
      <c r="BG53" s="128">
        <f t="array" ref="BG53">INDEX(cash, COLUMN()-1)</f>
        <v>6598</v>
      </c>
      <c r="BH53" s="128">
        <f t="array" ref="BH53">INDEX(cash, COLUMN()-1)</f>
        <v>4472</v>
      </c>
      <c r="BI53" s="128">
        <f t="array" ref="BI53">INDEX(cash, COLUMN()-1)</f>
        <v>4709</v>
      </c>
      <c r="BJ53" s="128">
        <f t="array" ref="BJ53">INDEX(cash, COLUMN()-1)</f>
        <v>5844</v>
      </c>
      <c r="BK53" s="73">
        <f t="array" ref="BK53">INDEX(cash, COLUMN()-5)</f>
        <v>6598</v>
      </c>
      <c r="BL53" s="128">
        <f t="array" ref="BL53">INDEX(cash, COLUMN()-1)</f>
        <v>7307</v>
      </c>
      <c r="BM53" s="128">
        <f t="array" ref="BM53">INDEX(cash, COLUMN()-1)</f>
        <v>5883</v>
      </c>
      <c r="BN53" s="128">
        <f t="array" ref="BN53">INDEX(cash, COLUMN()-1)</f>
        <v>4079</v>
      </c>
      <c r="BO53" s="128">
        <f t="array" ref="BO53">INDEX(cash, COLUMN()-1)</f>
        <v>3704</v>
      </c>
      <c r="BP53" s="73">
        <f t="array" ref="BP53">INDEX(cash, COLUMN()-5)</f>
        <v>7307</v>
      </c>
      <c r="BQ53" s="128">
        <f t="array" ref="BQ53">INDEX(cash, COLUMN()-1)</f>
        <v>3350</v>
      </c>
      <c r="BR53" s="128">
        <f t="array" ref="BR53">INDEX(cash, COLUMN()-1)</f>
        <v>3536</v>
      </c>
      <c r="BS53" s="128">
        <f t="array" ref="BS53">INDEX(cash, COLUMN()-1)</f>
        <v>3826</v>
      </c>
      <c r="BT53" s="128">
        <f t="array" ref="BT53">INDEX(cash, COLUMN()-1)</f>
        <v>4109</v>
      </c>
      <c r="BU53" s="73">
        <f t="array" ref="BU53">INDEX(cash, COLUMN()-5)</f>
        <v>3350</v>
      </c>
      <c r="BV53" s="128">
        <f t="array" ref="BV53">INDEX(cash, COLUMN()-1)</f>
        <v>3987</v>
      </c>
      <c r="BW53" s="128">
        <f t="array" ref="BW53">INDEX(cash, COLUMN()-1)</f>
        <v>4988</v>
      </c>
      <c r="BX53" s="128">
        <f t="array" ref="BX53">INDEX(cash, COLUMN()-1)</f>
        <v>5514</v>
      </c>
      <c r="BY53" s="128">
        <f t="array" ref="BY53">INDEX(cash, COLUMN()-1)</f>
        <v>5517</v>
      </c>
      <c r="BZ53" s="73">
        <f t="array" ref="BZ53">INDEX(cash, COLUMN()-5)</f>
        <v>3987</v>
      </c>
      <c r="CA53" s="128">
        <f t="array" ref="CA53">INDEX(cash, COLUMN()-1)</f>
        <v>5498</v>
      </c>
      <c r="CB53" s="128">
        <f t="array" ref="CB53">INDEX(cash, COLUMN()-1)</f>
        <v>4188</v>
      </c>
      <c r="CC53" s="128">
        <f t="array" ref="CC53">INDEX(cash, COLUMN()-1)</f>
        <v>4635</v>
      </c>
      <c r="CD53" s="128">
        <f t="array" ref="CD53">INDEX(cash, COLUMN()-1)</f>
        <v>7057</v>
      </c>
      <c r="CE53" s="73">
        <f t="array" ref="CE53">INDEX(cash, COLUMN()-5)</f>
        <v>5498</v>
      </c>
      <c r="CF53" s="128">
        <f t="array" ref="CF53">INDEX(cash, COLUMN()-1)</f>
        <v>5065</v>
      </c>
      <c r="CG53" s="128">
        <f t="array" ref="CG53">INDEX(cash, COLUMN()-1)</f>
        <v>4429</v>
      </c>
      <c r="CH53" s="128">
        <f t="array" ref="CH53">INDEX(cash, COLUMN()-1)</f>
        <v>5223</v>
      </c>
      <c r="CI53" s="128">
        <f t="array" ref="CI53">INDEX(cash, COLUMN()-1)</f>
        <v>3520</v>
      </c>
      <c r="CJ53" s="73">
        <f t="array" ref="CJ53">INDEX(cash, COLUMN()-5)</f>
        <v>5065</v>
      </c>
      <c r="CK53" s="128">
        <f t="array" ref="CK53">INDEX(cash, COLUMN()-1)</f>
        <v>8478</v>
      </c>
      <c r="CL53" s="128">
        <f t="array" ref="CL53">INDEX(cash, COLUMN()-1)</f>
        <v>5698</v>
      </c>
      <c r="CM53" s="128">
        <f t="array" ref="CM53">INDEX(cash, COLUMN()-1)</f>
        <v>3778</v>
      </c>
      <c r="CN53" s="128">
        <f t="array" ref="CN53">INDEX(cash, COLUMN()-1)</f>
        <v>4881</v>
      </c>
      <c r="CO53" s="73">
        <f t="array" ref="CO53">INDEX(cash, COLUMN()-5)</f>
        <v>8478</v>
      </c>
      <c r="CP53" s="128">
        <f t="array" ref="CP53">INDEX(cash, COLUMN()-1)</f>
        <v>5674</v>
      </c>
      <c r="CQ53" s="128">
        <f t="array" ref="CQ53">INDEX(cash, COLUMN()-1)</f>
        <v>4777</v>
      </c>
      <c r="CR53" s="128">
        <f t="array" ref="CR53">INDEX(cash, COLUMN()-1)</f>
        <v>3049</v>
      </c>
      <c r="CS53" s="128">
        <f t="array" ref="CS53">INDEX(cash, COLUMN()-1)</f>
        <v>3143</v>
      </c>
      <c r="CT53" s="18">
        <f t="array" ref="CT53">INDEX(cash, COLUMN()-5)</f>
        <v>5674</v>
      </c>
      <c r="CU53" s="128">
        <f t="array" ref="CU53">INDEX(cash, COLUMN()-1)</f>
        <v>2561</v>
      </c>
      <c r="CV53" s="128">
        <f t="array" ref="CV53">INDEX(cash, COLUMN()-1)</f>
        <v>4244</v>
      </c>
      <c r="CW53" s="128">
        <f t="array" ref="CW53">INDEX(cash, COLUMN()-1)</f>
        <v>4454</v>
      </c>
      <c r="CX53" s="128">
        <f t="array" ref="CX53">INDEX(cash, COLUMN()-1)</f>
        <v>7065</v>
      </c>
      <c r="CY53" s="18">
        <f t="array" ref="CY53">INDEX(cash, COLUMN()-5)</f>
        <v>2561</v>
      </c>
      <c r="CZ53" s="129">
        <f t="array" ref="CZ53">INDEX(cash, COLUMN()-1)</f>
        <v>15308</v>
      </c>
      <c r="DA53" s="128">
        <f t="array" ref="DA53">INDEX(cash, COLUMN()-1)</f>
        <v>3061</v>
      </c>
      <c r="DB53" s="129">
        <f t="array" ref="DB53">INDEX(cash, COLUMN()-1)</f>
        <v>3885</v>
      </c>
      <c r="DC53" s="128">
        <f t="array" ref="DC53">INDEX(cash, COLUMN()-1)</f>
        <v>4752</v>
      </c>
      <c r="DD53" s="18">
        <f t="array" ref="DD53">INDEX(cash, COLUMN()-5)</f>
        <v>15308</v>
      </c>
      <c r="DE53" s="129">
        <f t="array" ref="DE53">INDEX(cash, COLUMN()-1)</f>
        <v>5560</v>
      </c>
      <c r="DF53" s="128">
        <f t="array" ref="DF53">INDEX(cash, COLUMN()-1)</f>
        <v>4934</v>
      </c>
      <c r="DG53" s="129">
        <f t="array" ref="DG53">INDEX(cash, COLUMN()-1)</f>
        <v>11687</v>
      </c>
      <c r="DH53" s="128">
        <f t="array" ref="DH53">INDEX(cash, COLUMN()-1)</f>
        <v>9075</v>
      </c>
      <c r="DI53" s="18">
        <f t="array" ref="DI53">INDEX(cash, COLUMN()-5)</f>
        <v>5560</v>
      </c>
      <c r="DJ53" s="129">
        <f t="array" ref="DJ53">INDEX(cash, COLUMN()-1)</f>
        <v>3433</v>
      </c>
      <c r="DK53" s="129">
        <f t="array" ref="DK53">INDEX(cash, COLUMN()-1)</f>
        <v>3554</v>
      </c>
      <c r="DL53" s="129">
        <f t="array" ref="DL53">INDEX(cash, COLUMN()-1)</f>
        <v>2614</v>
      </c>
      <c r="DM53" s="129">
        <f t="array" ref="DM53">INDEX(cash, COLUMN()-1)</f>
        <v>3407</v>
      </c>
      <c r="DN53" s="18">
        <f t="array" ref="DN53">INDEX(cash, COLUMN()-5)</f>
        <v>3433</v>
      </c>
      <c r="DO53" s="129">
        <f t="array" ref="DO53">INDEX(cash, COLUMN()-1)</f>
        <v>3019</v>
      </c>
      <c r="DP53" s="129">
        <f t="array" ref="DP53">INDEX(cash, COLUMN()-1)</f>
        <v>3154</v>
      </c>
      <c r="DQ53" s="129">
        <f t="array" ref="DQ53">INDEX(cash, COLUMN()-1)</f>
        <v>2867</v>
      </c>
      <c r="DR53" s="129">
        <f t="array" ref="DR53">INDEX(cash, COLUMN()-1)</f>
        <v>3935</v>
      </c>
      <c r="DS53" s="18">
        <f t="array" ref="DS53">INDEX(cash, COLUMN()-5)</f>
        <v>3019</v>
      </c>
      <c r="DT53" s="129">
        <f t="array" ref="DT53">INDEX(cash, COLUMN()-1)</f>
        <v>4194</v>
      </c>
      <c r="DU53" s="129">
        <f t="array" ref="DU53">INDEX(cash, COLUMN()-1)</f>
        <v>11380</v>
      </c>
      <c r="DV53" s="129">
        <f t="array" ref="DV53">INDEX(cash, COLUMN()-1)</f>
        <v>8736</v>
      </c>
      <c r="DW53" s="129">
        <f t="array" ref="DW53">INDEX(cash, COLUMN()-1)</f>
        <v>3356</v>
      </c>
      <c r="DX53" s="18">
        <f t="array" ref="DX53">INDEX(cash, COLUMN()-5)</f>
        <v>4194</v>
      </c>
      <c r="DY53" s="129">
        <f t="array" ref="DY53">INDEX(cash, COLUMN()-1)</f>
        <v>5865</v>
      </c>
      <c r="DZ53" s="129">
        <f t="array" ref="DZ53">INDEX(cash, COLUMN()-1)</f>
        <v>5192</v>
      </c>
      <c r="EA53" s="129">
        <f t="array" ref="EA53">INDEX(cash, COLUMN()-1)</f>
        <v>4746</v>
      </c>
      <c r="EB53" s="129">
        <f t="array" ref="EB53">INDEX(cash, COLUMN()-1)</f>
        <v>7870</v>
      </c>
      <c r="EC53" s="18">
        <f t="array" ref="EC53">INDEX(cash, COLUMN()-5)</f>
        <v>5865</v>
      </c>
      <c r="ED53" s="129">
        <f t="array" ref="ED53">INDEX(cash, COLUMN()-1)</f>
        <v>4827</v>
      </c>
      <c r="EE53" s="129">
        <f t="array" ref="EE53">INDEX(cash, COLUMN()-1)</f>
        <v>6215</v>
      </c>
      <c r="EF53" s="129">
        <f t="array" ref="EF53">INDEX(cash, COLUMN()-1)</f>
        <v>4390</v>
      </c>
      <c r="EG53" s="129">
        <f t="array" ref="EG53">INDEX(cash, COLUMN()-1)</f>
        <v>4529</v>
      </c>
      <c r="EH53" s="18">
        <f t="array" ref="EH53">INDEX(cash, COLUMN()-5)</f>
        <v>4827</v>
      </c>
      <c r="EI53" s="134">
        <f t="array" ref="EI53">INDEX(cash, COLUMN()-1)</f>
        <v>11144</v>
      </c>
      <c r="EJ53" s="128" t="str">
        <f t="array" ref="EJ53">INDEX(cash, COLUMN()-1)</f>
        <v>#ERROR!</v>
      </c>
      <c r="EK53" s="128" t="str">
        <f t="array" ref="EK53">INDEX(cash, COLUMN()-1)</f>
        <v>#ERROR!</v>
      </c>
      <c r="EL53" s="128" t="str">
        <f t="array" ref="EL53">INDEX(cash, COLUMN()-1)</f>
        <v>#ERROR!</v>
      </c>
      <c r="EM53" s="18">
        <f t="array" ref="EM53">INDEX(cash, COLUMN()-5)</f>
        <v>11144</v>
      </c>
      <c r="EN53" s="128" t="str">
        <f t="array" ref="EN53">INDEX(cash, COLUMN()-1)</f>
        <v>#ERROR!</v>
      </c>
      <c r="EO53" s="128" t="str">
        <f t="array" ref="EO53">INDEX(cash, COLUMN()-1)</f>
        <v>#ERROR!</v>
      </c>
      <c r="EP53" s="128" t="str">
        <f t="array" ref="EP53">INDEX(cash, COLUMN()-1)</f>
        <v>#ERROR!</v>
      </c>
      <c r="EQ53" s="128" t="str">
        <f t="array" ref="EQ53">INDEX(cash, COLUMN()-1)</f>
        <v>#ERROR!</v>
      </c>
      <c r="ER53" s="18" t="str">
        <f t="array" ref="ER53">INDEX(cash, COLUMN()-5)</f>
        <v>#ERROR!</v>
      </c>
      <c r="ES53" s="128" t="str">
        <f t="array" ref="ES53">INDEX(cash, COLUMN()-1)</f>
        <v>#ERROR!</v>
      </c>
      <c r="ET53" s="128" t="str">
        <f t="array" ref="ET53">INDEX(cash, COLUMN()-1)</f>
        <v>#ERROR!</v>
      </c>
      <c r="EU53" s="128" t="str">
        <f t="array" ref="EU53">INDEX(cash, COLUMN()-1)</f>
        <v>#ERROR!</v>
      </c>
      <c r="EV53" s="128" t="str">
        <f t="array" ref="EV53">INDEX(cash, COLUMN()-1)</f>
        <v>#ERROR!</v>
      </c>
      <c r="EW53" s="18" t="str">
        <f t="array" ref="EW53">INDEX(cash, COLUMN()-5)</f>
        <v>#ERROR!</v>
      </c>
      <c r="EX53" s="128" t="str">
        <f t="array" ref="EX53">INDEX(cash, COLUMN()-1)</f>
        <v>#ERROR!</v>
      </c>
      <c r="EY53" s="128" t="str">
        <f t="array" ref="EY53">INDEX(cash, COLUMN()-1)</f>
        <v>#ERROR!</v>
      </c>
      <c r="EZ53" s="128" t="str">
        <f t="array" ref="EZ53">INDEX(cash, COLUMN()-1)</f>
        <v>#ERROR!</v>
      </c>
      <c r="FA53" s="128" t="str">
        <f t="array" ref="FA53">INDEX(cash, COLUMN()-1)</f>
        <v>#ERROR!</v>
      </c>
      <c r="FB53" s="18" t="str">
        <f t="array" ref="FB53">INDEX(cash, COLUMN()-5)</f>
        <v>#ERROR!</v>
      </c>
      <c r="FC53" s="128" t="str">
        <f t="array" ref="FC53">INDEX(cash, COLUMN()-1)</f>
        <v>#ERROR!</v>
      </c>
      <c r="FD53" s="128" t="str">
        <f t="array" ref="FD53">INDEX(cash, COLUMN()-1)</f>
        <v>#ERROR!</v>
      </c>
      <c r="FE53" s="128" t="str">
        <f t="array" ref="FE53">INDEX(cash, COLUMN()-1)</f>
        <v>#ERROR!</v>
      </c>
      <c r="FF53" s="128" t="str">
        <f t="array" ref="FF53">INDEX(cash, COLUMN()-1)</f>
        <v>#ERROR!</v>
      </c>
      <c r="FG53" s="18" t="str">
        <f t="array" ref="FG53">INDEX(cash, COLUMN()-5)</f>
        <v>#ERROR!</v>
      </c>
    </row>
    <row r="54" ht="12.75" customHeight="1">
      <c r="A54" s="73"/>
      <c r="B54" s="764" t="s">
        <v>601</v>
      </c>
      <c r="C54" s="764"/>
      <c r="D54" s="764"/>
      <c r="E54" s="764"/>
      <c r="F54" s="764"/>
      <c r="G54" s="764"/>
      <c r="H54" s="764"/>
      <c r="I54" s="764"/>
      <c r="J54" s="764"/>
      <c r="K54" s="764"/>
      <c r="L54" s="764"/>
      <c r="M54" s="764"/>
      <c r="N54" s="166">
        <f t="shared" ref="N54:Q54" si="238">+N52+N53</f>
        <v>5073</v>
      </c>
      <c r="O54" s="166">
        <f t="shared" si="238"/>
        <v>1887</v>
      </c>
      <c r="P54" s="166">
        <f t="shared" si="238"/>
        <v>2900</v>
      </c>
      <c r="Q54" s="166">
        <f t="shared" si="238"/>
        <v>2038</v>
      </c>
      <c r="R54" s="847">
        <f>R53+R52</f>
        <v>2038</v>
      </c>
      <c r="S54" s="166">
        <f t="shared" ref="S54:U54" si="239">+S52+S53</f>
        <v>2503</v>
      </c>
      <c r="T54" s="166">
        <f t="shared" si="239"/>
        <v>3599</v>
      </c>
      <c r="U54" s="166">
        <f t="shared" si="239"/>
        <v>3512</v>
      </c>
      <c r="V54" s="166">
        <f>+V53+V52</f>
        <v>3695</v>
      </c>
      <c r="W54" s="847">
        <f>W53+W52</f>
        <v>3695</v>
      </c>
      <c r="X54" s="166">
        <f t="shared" ref="X54:AA54" si="240">+X53+X52</f>
        <v>6204</v>
      </c>
      <c r="Y54" s="166">
        <f t="shared" si="240"/>
        <v>7308</v>
      </c>
      <c r="Z54" s="166">
        <f t="shared" si="240"/>
        <v>6434</v>
      </c>
      <c r="AA54" s="166">
        <f t="shared" si="240"/>
        <v>2976</v>
      </c>
      <c r="AB54" s="847">
        <f>AB53+AB52</f>
        <v>2976</v>
      </c>
      <c r="AC54" s="166">
        <f t="shared" ref="AC54:AF54" si="241">+AC53+AC52</f>
        <v>2861</v>
      </c>
      <c r="AD54" s="166">
        <f t="shared" si="241"/>
        <v>3205</v>
      </c>
      <c r="AE54" s="166">
        <f t="shared" si="241"/>
        <v>4864</v>
      </c>
      <c r="AF54" s="166">
        <f t="shared" si="241"/>
        <v>7970</v>
      </c>
      <c r="AG54" s="847">
        <f t="shared" ref="AG54:AH54" si="242">AG53+AG52</f>
        <v>7970</v>
      </c>
      <c r="AH54" s="847">
        <f t="shared" si="242"/>
        <v>6524</v>
      </c>
      <c r="AI54" s="166">
        <f>+AI53+AI52</f>
        <v>6068</v>
      </c>
      <c r="AJ54" s="847">
        <f t="shared" ref="AJ54:AM54" si="243">AJ53+AJ52</f>
        <v>6678</v>
      </c>
      <c r="AK54" s="847">
        <f t="shared" si="243"/>
        <v>7404</v>
      </c>
      <c r="AL54" s="847">
        <f t="shared" si="243"/>
        <v>7404</v>
      </c>
      <c r="AM54" s="847">
        <f t="shared" si="243"/>
        <v>7134</v>
      </c>
      <c r="AN54" s="166">
        <f>+AN53+AN52</f>
        <v>8382</v>
      </c>
      <c r="AO54" s="847">
        <f t="shared" ref="AO54:AR54" si="244">AO53+AO52</f>
        <v>9406</v>
      </c>
      <c r="AP54" s="847">
        <f t="shared" si="244"/>
        <v>7971</v>
      </c>
      <c r="AQ54" s="847">
        <f t="shared" si="244"/>
        <v>7971</v>
      </c>
      <c r="AR54" s="847">
        <f t="shared" si="244"/>
        <v>7539</v>
      </c>
      <c r="AS54" s="166">
        <f>+AS53+AS52</f>
        <v>7153</v>
      </c>
      <c r="AT54" s="847">
        <f t="shared" ref="AT54:AW54" si="245">AT53+AT52</f>
        <v>6533</v>
      </c>
      <c r="AU54" s="847">
        <f t="shared" si="245"/>
        <v>8407</v>
      </c>
      <c r="AV54" s="847">
        <f t="shared" si="245"/>
        <v>8407</v>
      </c>
      <c r="AW54" s="847">
        <f t="shared" si="245"/>
        <v>9279</v>
      </c>
      <c r="AX54" s="166">
        <f>+AX53+AX52</f>
        <v>8975</v>
      </c>
      <c r="AY54" s="847">
        <f t="shared" ref="AY54:BB54" si="246">AY53+AY52</f>
        <v>8857</v>
      </c>
      <c r="AZ54" s="847">
        <f t="shared" si="246"/>
        <v>7324</v>
      </c>
      <c r="BA54" s="847">
        <f t="shared" si="246"/>
        <v>7324</v>
      </c>
      <c r="BB54" s="847">
        <f t="shared" si="246"/>
        <v>3948</v>
      </c>
      <c r="BC54" s="166">
        <f>+BC53+BC52</f>
        <v>3436</v>
      </c>
      <c r="BD54" s="847">
        <f t="shared" ref="BD54:BG54" si="247">BD53+BD52</f>
        <v>4469</v>
      </c>
      <c r="BE54" s="847">
        <f t="shared" si="247"/>
        <v>6598</v>
      </c>
      <c r="BF54" s="847">
        <f t="shared" si="247"/>
        <v>6598</v>
      </c>
      <c r="BG54" s="847">
        <f t="shared" si="247"/>
        <v>4472</v>
      </c>
      <c r="BH54" s="166">
        <f>+BH53+BH52</f>
        <v>4709</v>
      </c>
      <c r="BI54" s="847">
        <f t="shared" ref="BI54:BL54" si="248">BI53+BI52</f>
        <v>5844</v>
      </c>
      <c r="BJ54" s="847">
        <f t="shared" si="248"/>
        <v>7307</v>
      </c>
      <c r="BK54" s="847">
        <f t="shared" si="248"/>
        <v>7307</v>
      </c>
      <c r="BL54" s="847">
        <f t="shared" si="248"/>
        <v>5883</v>
      </c>
      <c r="BM54" s="166">
        <f>+BM53+BM52</f>
        <v>4079</v>
      </c>
      <c r="BN54" s="847">
        <f t="shared" ref="BN54:BQ54" si="249">BN53+BN52</f>
        <v>3704</v>
      </c>
      <c r="BO54" s="847">
        <f t="shared" si="249"/>
        <v>3350</v>
      </c>
      <c r="BP54" s="847">
        <f t="shared" si="249"/>
        <v>3350</v>
      </c>
      <c r="BQ54" s="847">
        <f t="shared" si="249"/>
        <v>3536</v>
      </c>
      <c r="BR54" s="166">
        <f>+BR53+BR52</f>
        <v>3826</v>
      </c>
      <c r="BS54" s="847">
        <f t="shared" ref="BS54:BV54" si="250">BS53+BS52</f>
        <v>4109</v>
      </c>
      <c r="BT54" s="847">
        <f t="shared" si="250"/>
        <v>3987</v>
      </c>
      <c r="BU54" s="847">
        <f t="shared" si="250"/>
        <v>3987</v>
      </c>
      <c r="BV54" s="847">
        <f t="shared" si="250"/>
        <v>4988</v>
      </c>
      <c r="BW54" s="166">
        <f>+BW53+BW52</f>
        <v>5514</v>
      </c>
      <c r="BX54" s="847">
        <f t="shared" ref="BX54:CA54" si="251">BX53+BX52</f>
        <v>5517</v>
      </c>
      <c r="BY54" s="847">
        <f t="shared" si="251"/>
        <v>5498</v>
      </c>
      <c r="BZ54" s="847">
        <f t="shared" si="251"/>
        <v>5498</v>
      </c>
      <c r="CA54" s="847">
        <f t="shared" si="251"/>
        <v>4188</v>
      </c>
      <c r="CB54" s="166">
        <f>+CB53+CB52</f>
        <v>4635</v>
      </c>
      <c r="CC54" s="847">
        <f t="shared" ref="CC54:CF54" si="252">CC53+CC52</f>
        <v>7057</v>
      </c>
      <c r="CD54" s="847">
        <f t="shared" si="252"/>
        <v>5065</v>
      </c>
      <c r="CE54" s="847">
        <f t="shared" si="252"/>
        <v>5065</v>
      </c>
      <c r="CF54" s="847">
        <f t="shared" si="252"/>
        <v>4429</v>
      </c>
      <c r="CG54" s="166">
        <f>+CG53+CG52</f>
        <v>5223</v>
      </c>
      <c r="CH54" s="847">
        <f t="shared" ref="CH54:CK54" si="253">CH53+CH52</f>
        <v>3520</v>
      </c>
      <c r="CI54" s="847">
        <f t="shared" si="253"/>
        <v>8478</v>
      </c>
      <c r="CJ54" s="847">
        <f t="shared" si="253"/>
        <v>8478</v>
      </c>
      <c r="CK54" s="847">
        <f t="shared" si="253"/>
        <v>5698</v>
      </c>
      <c r="CL54" s="166">
        <f>+CL53+CL52</f>
        <v>3778</v>
      </c>
      <c r="CM54" s="166">
        <f t="shared" ref="CM54:CP54" si="254">CM53+CM52</f>
        <v>4881</v>
      </c>
      <c r="CN54" s="166">
        <f t="shared" si="254"/>
        <v>5945</v>
      </c>
      <c r="CO54" s="847">
        <f t="shared" si="254"/>
        <v>5674</v>
      </c>
      <c r="CP54" s="166">
        <f t="shared" si="254"/>
        <v>4800</v>
      </c>
      <c r="CQ54" s="166">
        <f>+CQ53+CQ52</f>
        <v>3049</v>
      </c>
      <c r="CR54" s="847">
        <f t="shared" ref="CR54:CU54" si="255">CR53+CR52</f>
        <v>3143</v>
      </c>
      <c r="CS54" s="847">
        <f t="shared" si="255"/>
        <v>2561</v>
      </c>
      <c r="CT54" s="848">
        <f t="shared" si="255"/>
        <v>2584</v>
      </c>
      <c r="CU54" s="847">
        <f t="shared" si="255"/>
        <v>4244</v>
      </c>
      <c r="CV54" s="166">
        <f>+CV53+CV52</f>
        <v>4454</v>
      </c>
      <c r="CW54" s="847">
        <f t="shared" ref="CW54:CZ54" si="256">CW53+CW52</f>
        <v>7065</v>
      </c>
      <c r="CX54" s="847">
        <f t="shared" si="256"/>
        <v>15308</v>
      </c>
      <c r="CY54" s="848">
        <f t="shared" si="256"/>
        <v>15308</v>
      </c>
      <c r="CZ54" s="849">
        <f t="shared" si="256"/>
        <v>3061</v>
      </c>
      <c r="DA54" s="166">
        <f>+DA53+DA52</f>
        <v>3885</v>
      </c>
      <c r="DB54" s="849">
        <f t="shared" ref="DB54:DE54" si="257">DB53+DB52</f>
        <v>4752</v>
      </c>
      <c r="DC54" s="847">
        <f t="shared" si="257"/>
        <v>5560</v>
      </c>
      <c r="DD54" s="848">
        <f t="shared" si="257"/>
        <v>5560</v>
      </c>
      <c r="DE54" s="849">
        <f t="shared" si="257"/>
        <v>4934</v>
      </c>
      <c r="DF54" s="166">
        <f>+DF53+DF52</f>
        <v>11687</v>
      </c>
      <c r="DG54" s="849">
        <f t="shared" ref="DG54:DJ54" si="258">DG53+DG52</f>
        <v>9075</v>
      </c>
      <c r="DH54" s="847">
        <f t="shared" si="258"/>
        <v>3433</v>
      </c>
      <c r="DI54" s="848">
        <f t="shared" si="258"/>
        <v>3433</v>
      </c>
      <c r="DJ54" s="849">
        <f t="shared" si="258"/>
        <v>3554</v>
      </c>
      <c r="DK54" s="167">
        <f>+DK53+DK52</f>
        <v>2614</v>
      </c>
      <c r="DL54" s="849">
        <f t="shared" ref="DL54:DO54" si="259">DL53+DL52</f>
        <v>3407</v>
      </c>
      <c r="DM54" s="849">
        <f t="shared" si="259"/>
        <v>3019</v>
      </c>
      <c r="DN54" s="848">
        <f t="shared" si="259"/>
        <v>3019</v>
      </c>
      <c r="DO54" s="849">
        <f t="shared" si="259"/>
        <v>3154</v>
      </c>
      <c r="DP54" s="167">
        <f>+DP53+DP52</f>
        <v>2867</v>
      </c>
      <c r="DQ54" s="849">
        <f t="shared" ref="DQ54:DT54" si="260">DQ53+DQ52</f>
        <v>3935</v>
      </c>
      <c r="DR54" s="849">
        <f t="shared" si="260"/>
        <v>4194</v>
      </c>
      <c r="DS54" s="848">
        <f t="shared" si="260"/>
        <v>4194</v>
      </c>
      <c r="DT54" s="849">
        <f t="shared" si="260"/>
        <v>11380</v>
      </c>
      <c r="DU54" s="849">
        <f>+DU53+DU52</f>
        <v>8736</v>
      </c>
      <c r="DV54" s="849">
        <f t="shared" ref="DV54:DY54" si="261">DV53+DV52</f>
        <v>3356</v>
      </c>
      <c r="DW54" s="849">
        <f t="shared" si="261"/>
        <v>5703</v>
      </c>
      <c r="DX54" s="848">
        <f t="shared" si="261"/>
        <v>5703</v>
      </c>
      <c r="DY54" s="849">
        <f t="shared" si="261"/>
        <v>4675</v>
      </c>
      <c r="DZ54" s="849">
        <f>+DZ53+DZ52</f>
        <v>5263</v>
      </c>
      <c r="EA54" s="849">
        <f t="shared" ref="EA54:ED54" si="262">EA53+EA52</f>
        <v>7870</v>
      </c>
      <c r="EB54" s="849">
        <f t="shared" si="262"/>
        <v>4827</v>
      </c>
      <c r="EC54" s="848">
        <f t="shared" si="262"/>
        <v>4827</v>
      </c>
      <c r="ED54" s="849">
        <f t="shared" si="262"/>
        <v>6215</v>
      </c>
      <c r="EE54" s="849">
        <f>+EE53+EE52</f>
        <v>4390</v>
      </c>
      <c r="EF54" s="849">
        <f t="shared" ref="EF54:EI54" si="263">EF53+EF52</f>
        <v>4529</v>
      </c>
      <c r="EG54" s="849">
        <f t="shared" si="263"/>
        <v>11144</v>
      </c>
      <c r="EH54" s="848">
        <f t="shared" si="263"/>
        <v>11144</v>
      </c>
      <c r="EI54" s="169" t="str">
        <f t="shared" si="263"/>
        <v>#ERROR!</v>
      </c>
      <c r="EJ54" s="166" t="str">
        <f>+EJ53+EJ52</f>
        <v>#ERROR!</v>
      </c>
      <c r="EK54" s="847" t="str">
        <f t="shared" ref="EK54:EN54" si="264">EK53+EK52</f>
        <v>#ERROR!</v>
      </c>
      <c r="EL54" s="847" t="str">
        <f t="shared" si="264"/>
        <v>#ERROR!</v>
      </c>
      <c r="EM54" s="848" t="str">
        <f t="shared" si="264"/>
        <v>#ERROR!</v>
      </c>
      <c r="EN54" s="847" t="str">
        <f t="shared" si="264"/>
        <v>#ERROR!</v>
      </c>
      <c r="EO54" s="166" t="str">
        <f>+EO53+EO52</f>
        <v>#ERROR!</v>
      </c>
      <c r="EP54" s="847" t="str">
        <f t="shared" ref="EP54:ES54" si="265">EP53+EP52</f>
        <v>#ERROR!</v>
      </c>
      <c r="EQ54" s="847" t="str">
        <f t="shared" si="265"/>
        <v>#ERROR!</v>
      </c>
      <c r="ER54" s="848" t="str">
        <f t="shared" si="265"/>
        <v>#ERROR!</v>
      </c>
      <c r="ES54" s="847" t="str">
        <f t="shared" si="265"/>
        <v>#ERROR!</v>
      </c>
      <c r="ET54" s="166" t="str">
        <f>+ET53+ET52</f>
        <v>#ERROR!</v>
      </c>
      <c r="EU54" s="847" t="str">
        <f t="shared" ref="EU54:EX54" si="266">EU53+EU52</f>
        <v>#ERROR!</v>
      </c>
      <c r="EV54" s="847" t="str">
        <f t="shared" si="266"/>
        <v>#ERROR!</v>
      </c>
      <c r="EW54" s="848" t="str">
        <f t="shared" si="266"/>
        <v>#ERROR!</v>
      </c>
      <c r="EX54" s="847" t="str">
        <f t="shared" si="266"/>
        <v>#ERROR!</v>
      </c>
      <c r="EY54" s="166" t="str">
        <f>+EY53+EY52</f>
        <v>#ERROR!</v>
      </c>
      <c r="EZ54" s="847" t="str">
        <f t="shared" ref="EZ54:FC54" si="267">EZ53+EZ52</f>
        <v>#ERROR!</v>
      </c>
      <c r="FA54" s="847" t="str">
        <f t="shared" si="267"/>
        <v>#ERROR!</v>
      </c>
      <c r="FB54" s="848" t="str">
        <f t="shared" si="267"/>
        <v>#ERROR!</v>
      </c>
      <c r="FC54" s="847" t="str">
        <f t="shared" si="267"/>
        <v>#ERROR!</v>
      </c>
      <c r="FD54" s="166" t="str">
        <f>+FD53+FD52</f>
        <v>#ERROR!</v>
      </c>
      <c r="FE54" s="847" t="str">
        <f t="shared" ref="FE54:FG54" si="268">FE53+FE52</f>
        <v>#ERROR!</v>
      </c>
      <c r="FF54" s="847" t="str">
        <f t="shared" si="268"/>
        <v>#ERROR!</v>
      </c>
      <c r="FG54" s="848" t="str">
        <f t="shared" si="268"/>
        <v>#ERROR!</v>
      </c>
    </row>
    <row r="55" ht="12.75" customHeight="1">
      <c r="A55" s="73"/>
      <c r="B55" s="179"/>
      <c r="C55" s="8"/>
      <c r="D55" s="8"/>
      <c r="E55" s="8"/>
      <c r="F55" s="8"/>
      <c r="G55" s="8"/>
      <c r="H55" s="8"/>
      <c r="I55" s="8"/>
      <c r="J55" s="8"/>
      <c r="K55" s="8"/>
      <c r="L55" s="8"/>
      <c r="M55" s="8"/>
      <c r="N55" s="128"/>
      <c r="O55" s="128"/>
      <c r="P55" s="128"/>
      <c r="Q55" s="128"/>
      <c r="R55" s="838"/>
      <c r="S55" s="128"/>
      <c r="T55" s="128"/>
      <c r="U55" s="128"/>
      <c r="V55" s="128"/>
      <c r="W55" s="838"/>
      <c r="X55" s="128"/>
      <c r="Y55" s="128"/>
      <c r="Z55" s="128"/>
      <c r="AA55" s="128"/>
      <c r="AB55" s="838"/>
      <c r="AC55" s="128"/>
      <c r="AD55" s="128"/>
      <c r="AE55" s="128"/>
      <c r="AF55" s="128"/>
      <c r="AG55" s="838"/>
      <c r="AH55" s="837"/>
      <c r="AI55" s="128"/>
      <c r="AJ55" s="837"/>
      <c r="AK55" s="837"/>
      <c r="AL55" s="838"/>
      <c r="AM55" s="837"/>
      <c r="AN55" s="128"/>
      <c r="AO55" s="837"/>
      <c r="AP55" s="837"/>
      <c r="AQ55" s="838"/>
      <c r="AR55" s="837"/>
      <c r="AS55" s="128"/>
      <c r="AT55" s="837"/>
      <c r="AU55" s="837"/>
      <c r="AV55" s="838"/>
      <c r="AW55" s="837"/>
      <c r="AX55" s="128"/>
      <c r="AY55" s="837"/>
      <c r="AZ55" s="837"/>
      <c r="BA55" s="838"/>
      <c r="BB55" s="837"/>
      <c r="BC55" s="128"/>
      <c r="BD55" s="837"/>
      <c r="BE55" s="837"/>
      <c r="BF55" s="838"/>
      <c r="BG55" s="837"/>
      <c r="BH55" s="128"/>
      <c r="BI55" s="837"/>
      <c r="BJ55" s="837"/>
      <c r="BK55" s="838"/>
      <c r="BL55" s="837"/>
      <c r="BM55" s="128"/>
      <c r="BN55" s="837"/>
      <c r="BO55" s="837"/>
      <c r="BP55" s="838"/>
      <c r="BQ55" s="837"/>
      <c r="BR55" s="128"/>
      <c r="BS55" s="837"/>
      <c r="BT55" s="837"/>
      <c r="BU55" s="838"/>
      <c r="BV55" s="837"/>
      <c r="BW55" s="128"/>
      <c r="BX55" s="837"/>
      <c r="BY55" s="837"/>
      <c r="BZ55" s="838"/>
      <c r="CA55" s="837"/>
      <c r="CB55" s="128"/>
      <c r="CC55" s="837"/>
      <c r="CD55" s="837"/>
      <c r="CE55" s="838"/>
      <c r="CF55" s="837"/>
      <c r="CG55" s="128"/>
      <c r="CH55" s="837"/>
      <c r="CI55" s="837"/>
      <c r="CJ55" s="838"/>
      <c r="CK55" s="837"/>
      <c r="CL55" s="128"/>
      <c r="CM55" s="128"/>
      <c r="CN55" s="128"/>
      <c r="CO55" s="838"/>
      <c r="CP55" s="128"/>
      <c r="CQ55" s="128"/>
      <c r="CR55" s="837"/>
      <c r="CS55" s="837"/>
      <c r="CT55" s="839"/>
      <c r="CU55" s="837"/>
      <c r="CV55" s="128"/>
      <c r="CW55" s="837"/>
      <c r="CX55" s="837"/>
      <c r="CY55" s="839"/>
      <c r="CZ55" s="840"/>
      <c r="DA55" s="128"/>
      <c r="DB55" s="840"/>
      <c r="DC55" s="837"/>
      <c r="DD55" s="839"/>
      <c r="DE55" s="840"/>
      <c r="DF55" s="128"/>
      <c r="DG55" s="840"/>
      <c r="DH55" s="837"/>
      <c r="DI55" s="839"/>
      <c r="DJ55" s="840"/>
      <c r="DK55" s="129"/>
      <c r="DL55" s="840"/>
      <c r="DM55" s="840"/>
      <c r="DN55" s="839"/>
      <c r="DO55" s="840"/>
      <c r="DP55" s="129"/>
      <c r="DQ55" s="840"/>
      <c r="DR55" s="840"/>
      <c r="DS55" s="839"/>
      <c r="DT55" s="840"/>
      <c r="DU55" s="840"/>
      <c r="DV55" s="840"/>
      <c r="DW55" s="840"/>
      <c r="DX55" s="839"/>
      <c r="DY55" s="840"/>
      <c r="DZ55" s="840"/>
      <c r="EA55" s="840"/>
      <c r="EB55" s="840"/>
      <c r="EC55" s="839"/>
      <c r="ED55" s="840"/>
      <c r="EE55" s="840"/>
      <c r="EF55" s="840"/>
      <c r="EG55" s="840"/>
      <c r="EH55" s="839"/>
      <c r="EI55" s="134"/>
      <c r="EJ55" s="128"/>
      <c r="EK55" s="837"/>
      <c r="EL55" s="837"/>
      <c r="EM55" s="839"/>
      <c r="EN55" s="837"/>
      <c r="EO55" s="128"/>
      <c r="EP55" s="837"/>
      <c r="EQ55" s="837"/>
      <c r="ER55" s="839"/>
      <c r="ES55" s="837"/>
      <c r="ET55" s="128"/>
      <c r="EU55" s="837"/>
      <c r="EV55" s="837"/>
      <c r="EW55" s="839"/>
      <c r="EX55" s="837"/>
      <c r="EY55" s="128"/>
      <c r="EZ55" s="837"/>
      <c r="FA55" s="837"/>
      <c r="FB55" s="839"/>
      <c r="FC55" s="837"/>
      <c r="FD55" s="128"/>
      <c r="FE55" s="837"/>
      <c r="FF55" s="837"/>
      <c r="FG55" s="839"/>
    </row>
    <row r="56" ht="12.75" customHeight="1">
      <c r="A56" s="128"/>
      <c r="B56" s="179" t="s">
        <v>512</v>
      </c>
      <c r="C56" s="179"/>
      <c r="D56" s="179"/>
      <c r="E56" s="179"/>
      <c r="F56" s="179"/>
      <c r="G56" s="179"/>
      <c r="H56" s="179"/>
      <c r="I56" s="179"/>
      <c r="J56" s="179"/>
      <c r="K56" s="179"/>
      <c r="L56" s="179"/>
      <c r="M56" s="179"/>
      <c r="N56" s="128"/>
      <c r="O56" s="128"/>
      <c r="P56" s="128"/>
      <c r="Q56" s="128"/>
      <c r="R56" s="73">
        <f>BS!9:9</f>
        <v>5272</v>
      </c>
      <c r="S56" s="128">
        <f>BS!9:9</f>
        <v>7731</v>
      </c>
      <c r="T56" s="128">
        <f>BS!9:9</f>
        <v>6652</v>
      </c>
      <c r="U56" s="128">
        <f>BS!9:9</f>
        <v>8032</v>
      </c>
      <c r="V56" s="128">
        <f>BS!9:9</f>
        <v>7705</v>
      </c>
      <c r="W56" s="73">
        <f>BS!9:9</f>
        <v>7705</v>
      </c>
      <c r="X56" s="128">
        <f>BS!9:9</f>
        <v>4555</v>
      </c>
      <c r="Y56" s="128">
        <f>BS!9:9</f>
        <v>5902</v>
      </c>
      <c r="Z56" s="128">
        <f>BS!9:9</f>
        <v>7170</v>
      </c>
      <c r="AA56" s="128">
        <f>BS!9:9</f>
        <v>10497</v>
      </c>
      <c r="AB56" s="73">
        <f>BS!9:9</f>
        <v>10497</v>
      </c>
      <c r="AC56" s="128">
        <f>BS!9:9</f>
        <v>7197</v>
      </c>
      <c r="AD56" s="128">
        <f>BS!9:9</f>
        <v>6135</v>
      </c>
      <c r="AE56" s="128">
        <f>BS!9:9</f>
        <v>4294</v>
      </c>
      <c r="AF56" s="128">
        <f>BS!9:9</f>
        <v>2356</v>
      </c>
      <c r="AG56" s="73">
        <f>BS!9:9</f>
        <v>2356</v>
      </c>
      <c r="AH56" s="128">
        <f>BS!9:9</f>
        <v>2707</v>
      </c>
      <c r="AI56" s="128">
        <f>BS!9:9</f>
        <v>2889</v>
      </c>
      <c r="AJ56" s="128">
        <f>BS!9:9</f>
        <v>2937</v>
      </c>
      <c r="AK56" s="128">
        <f>BS!9:9</f>
        <v>3382</v>
      </c>
      <c r="AL56" s="73">
        <f>BS!9:9</f>
        <v>3382</v>
      </c>
      <c r="AM56" s="128">
        <f>BS!9:9</f>
        <v>3382</v>
      </c>
      <c r="AN56" s="128">
        <f>BS!9:9</f>
        <v>2820</v>
      </c>
      <c r="AO56" s="128">
        <f>BS!9:9</f>
        <v>3632</v>
      </c>
      <c r="AP56" s="128">
        <f>BS!9:9</f>
        <v>5568</v>
      </c>
      <c r="AQ56" s="73">
        <f>BS!9:9</f>
        <v>5568</v>
      </c>
      <c r="AR56" s="128">
        <f>BS!9:9</f>
        <v>5607</v>
      </c>
      <c r="AS56" s="128">
        <f>BS!9:9</f>
        <v>7111</v>
      </c>
      <c r="AT56" s="128">
        <f>BS!9:9</f>
        <v>7114</v>
      </c>
      <c r="AU56" s="128">
        <f>BS!9:9</f>
        <v>5654</v>
      </c>
      <c r="AV56" s="73">
        <f>BS!9:9</f>
        <v>5654</v>
      </c>
      <c r="AW56" s="128">
        <f>BS!9:9</f>
        <v>4394</v>
      </c>
      <c r="AX56" s="128">
        <f>BS!9:9</f>
        <v>3625</v>
      </c>
      <c r="AY56" s="128">
        <f>BS!9:9</f>
        <v>3094</v>
      </c>
      <c r="AZ56" s="128">
        <f>BS!9:9</f>
        <v>3990</v>
      </c>
      <c r="BA56" s="73">
        <f>BS!9:9</f>
        <v>3990</v>
      </c>
      <c r="BB56" s="128">
        <f>BS!9:9</f>
        <v>3906</v>
      </c>
      <c r="BC56" s="128">
        <f>BS!9:9</f>
        <v>2985</v>
      </c>
      <c r="BD56" s="128">
        <f>BS!9:9</f>
        <v>2654</v>
      </c>
      <c r="BE56" s="128">
        <f>BS!9:9</f>
        <v>2270</v>
      </c>
      <c r="BF56" s="73">
        <f>BS!9:9</f>
        <v>2270</v>
      </c>
      <c r="BG56" s="128">
        <f>BS!9:9</f>
        <v>3217</v>
      </c>
      <c r="BH56" s="128">
        <f>BS!9:9</f>
        <v>4217</v>
      </c>
      <c r="BI56" s="128">
        <f>BS!9:9</f>
        <v>4952</v>
      </c>
      <c r="BJ56" s="128">
        <f>BS!9:9</f>
        <v>5490</v>
      </c>
      <c r="BK56" s="73">
        <f>BS!9:9</f>
        <v>5490</v>
      </c>
      <c r="BL56" s="128">
        <f>BS!9:9</f>
        <v>4993</v>
      </c>
      <c r="BM56" s="128">
        <f>BS!9:9</f>
        <v>4312</v>
      </c>
      <c r="BN56" s="128">
        <f>BS!9:9</f>
        <v>4583</v>
      </c>
      <c r="BO56" s="128">
        <f>BS!9:9</f>
        <v>5331</v>
      </c>
      <c r="BP56" s="73">
        <f>BS!9:9</f>
        <v>5331</v>
      </c>
      <c r="BQ56" s="128">
        <f>BS!9:9</f>
        <v>4256</v>
      </c>
      <c r="BR56" s="128">
        <f>BS!9:9</f>
        <v>5195</v>
      </c>
      <c r="BS56" s="128">
        <f>BS!9:9</f>
        <v>5150</v>
      </c>
      <c r="BT56" s="128">
        <f>BS!9:9</f>
        <v>5285</v>
      </c>
      <c r="BU56" s="73">
        <f>BS!9:9</f>
        <v>5285</v>
      </c>
      <c r="BV56" s="128">
        <f>BS!9:9</f>
        <v>5927</v>
      </c>
      <c r="BW56" s="128">
        <f>BS!9:9</f>
        <v>6715</v>
      </c>
      <c r="BX56" s="128">
        <f>BS!9:9</f>
        <v>9470</v>
      </c>
      <c r="BY56" s="128">
        <f>BS!9:9</f>
        <v>11294</v>
      </c>
      <c r="BZ56" s="73">
        <f>BS!9:9</f>
        <v>11294</v>
      </c>
      <c r="CA56" s="128">
        <f>BS!9:9</f>
        <v>3536</v>
      </c>
      <c r="CB56" s="128">
        <f>BS!9:9</f>
        <v>3106</v>
      </c>
      <c r="CC56" s="128">
        <f>BS!9:9</f>
        <v>3876</v>
      </c>
      <c r="CD56" s="128">
        <f>BS!9:9</f>
        <v>5181</v>
      </c>
      <c r="CE56" s="73">
        <f>BS!9:9</f>
        <v>5181</v>
      </c>
      <c r="CF56" s="128">
        <f>BS!9:9</f>
        <v>5012</v>
      </c>
      <c r="CG56" s="128">
        <f>BS!9:9</f>
        <v>3981</v>
      </c>
      <c r="CH56" s="128">
        <f>BS!9:9</f>
        <v>2483</v>
      </c>
      <c r="CI56" s="128">
        <f>BS!9:9</f>
        <v>3999</v>
      </c>
      <c r="CJ56" s="73">
        <f>BS!9:9</f>
        <v>3999</v>
      </c>
      <c r="CK56" s="128">
        <f>BS!9:9</f>
        <v>4323</v>
      </c>
      <c r="CL56" s="128">
        <f>BS!9:9</f>
        <v>6214</v>
      </c>
      <c r="CM56" s="128">
        <f>BS!9:9</f>
        <v>6492</v>
      </c>
      <c r="CN56" s="128">
        <f>BS!9:9</f>
        <v>5972</v>
      </c>
      <c r="CO56" s="73">
        <f>BS!9:9</f>
        <v>5972</v>
      </c>
      <c r="CP56" s="128">
        <f>BS!9:9</f>
        <v>5234</v>
      </c>
      <c r="CQ56" s="128">
        <f>BS!9:9</f>
        <v>4491</v>
      </c>
      <c r="CR56" s="128">
        <f>BS!9:9</f>
        <v>3451</v>
      </c>
      <c r="CS56" s="128">
        <f>BS!9:9</f>
        <v>2430</v>
      </c>
      <c r="CT56" s="18">
        <f>BS!9:9</f>
        <v>2430</v>
      </c>
      <c r="CU56" s="128">
        <f>BS!9:9</f>
        <v>1864</v>
      </c>
      <c r="CV56" s="128">
        <f>BS!9:9</f>
        <v>2606</v>
      </c>
      <c r="CW56" s="128">
        <f>BS!9:9</f>
        <v>7119</v>
      </c>
      <c r="CX56" s="128">
        <f>BS!9:9</f>
        <v>2682</v>
      </c>
      <c r="CY56" s="18">
        <f>BS!9:9</f>
        <v>2682</v>
      </c>
      <c r="CZ56" s="129">
        <f>BS!9:9</f>
        <v>2927</v>
      </c>
      <c r="DA56" s="128">
        <f>BS!9:9</f>
        <v>4301</v>
      </c>
      <c r="DB56" s="129">
        <f>BS!9:9</f>
        <v>3270</v>
      </c>
      <c r="DC56" s="128">
        <f>BS!9:9</f>
        <v>3225</v>
      </c>
      <c r="DD56" s="18">
        <f>BS!9:9</f>
        <v>3225</v>
      </c>
      <c r="DE56" s="129">
        <f>BS!9:9</f>
        <v>3058</v>
      </c>
      <c r="DF56" s="128">
        <f>BS!9:9</f>
        <v>3158</v>
      </c>
      <c r="DG56" s="129">
        <f>BS!9:9</f>
        <v>1446</v>
      </c>
      <c r="DH56" s="128">
        <f>BS!9:9</f>
        <v>1814</v>
      </c>
      <c r="DI56" s="18">
        <f>BS!9:9</f>
        <v>1814</v>
      </c>
      <c r="DJ56" s="129">
        <f>BS!9:9</f>
        <v>2020</v>
      </c>
      <c r="DK56" s="129">
        <f>BS!9:9</f>
        <v>2263</v>
      </c>
      <c r="DL56" s="129">
        <f>BS!9:9</f>
        <v>2641</v>
      </c>
      <c r="DM56" s="129">
        <f>BS!9:9</f>
        <v>2788</v>
      </c>
      <c r="DN56" s="18">
        <f>BS!9:9</f>
        <v>2788</v>
      </c>
      <c r="DO56" s="129">
        <f>BS!9:9</f>
        <v>2698</v>
      </c>
      <c r="DP56" s="129">
        <f>BS!9:9</f>
        <v>2414</v>
      </c>
      <c r="DQ56" s="129">
        <f>BS!9:9</f>
        <v>1849</v>
      </c>
      <c r="DR56" s="129">
        <f>BS!9:9</f>
        <v>1082</v>
      </c>
      <c r="DS56" s="18">
        <f>BS!9:9</f>
        <v>1082</v>
      </c>
      <c r="DT56" s="129">
        <f>BS!9:9</f>
        <v>1296</v>
      </c>
      <c r="DU56" s="129">
        <f>BS!9:9</f>
        <v>4791</v>
      </c>
      <c r="DV56" s="129">
        <f>BS!9:9</f>
        <v>2987</v>
      </c>
      <c r="DW56" s="129">
        <f>BS!9:9</f>
        <v>2292</v>
      </c>
      <c r="DX56" s="18">
        <f>BS!9:9</f>
        <v>2292</v>
      </c>
      <c r="DY56" s="129">
        <f>BS!9:9</f>
        <v>2417</v>
      </c>
      <c r="DZ56" s="129">
        <f>BS!9:9</f>
        <v>3014</v>
      </c>
      <c r="EA56" s="129">
        <f>BS!9:9</f>
        <v>4004</v>
      </c>
      <c r="EB56" s="129">
        <f>BS!9:9</f>
        <v>2103</v>
      </c>
      <c r="EC56" s="18">
        <f>BS!9:9</f>
        <v>2103</v>
      </c>
      <c r="ED56" s="129">
        <f>BS!9:9</f>
        <v>32481</v>
      </c>
      <c r="EE56" s="129">
        <f>BS!9:9</f>
        <v>22654</v>
      </c>
      <c r="EF56" s="129">
        <f>BS!9:9</f>
        <v>18030</v>
      </c>
      <c r="EG56" s="129">
        <f>BS!9:9</f>
        <v>17194</v>
      </c>
      <c r="EH56" s="18">
        <f>BS!9:9</f>
        <v>17194</v>
      </c>
      <c r="EI56" s="134">
        <f>BS!9:9</f>
        <v>13194</v>
      </c>
      <c r="EJ56" s="128">
        <f>BS!9:9</f>
        <v>12194</v>
      </c>
      <c r="EK56" s="128">
        <f>BS!9:9</f>
        <v>11194</v>
      </c>
      <c r="EL56" s="128">
        <f>BS!9:9</f>
        <v>10194</v>
      </c>
      <c r="EM56" s="18">
        <f>BS!9:9</f>
        <v>10194</v>
      </c>
      <c r="EN56" s="128">
        <f>BS!9:9</f>
        <v>8194</v>
      </c>
      <c r="EO56" s="128">
        <f>BS!9:9</f>
        <v>6194</v>
      </c>
      <c r="EP56" s="128">
        <f>BS!9:9</f>
        <v>4194</v>
      </c>
      <c r="EQ56" s="128">
        <f>BS!9:9</f>
        <v>4194</v>
      </c>
      <c r="ER56" s="18">
        <f>BS!9:9</f>
        <v>4194</v>
      </c>
      <c r="ES56" s="128">
        <f>BS!9:9</f>
        <v>4194</v>
      </c>
      <c r="ET56" s="128">
        <f>BS!9:9</f>
        <v>2194</v>
      </c>
      <c r="EU56" s="128">
        <f>BS!9:9</f>
        <v>2194</v>
      </c>
      <c r="EV56" s="128">
        <f>BS!9:9</f>
        <v>1194</v>
      </c>
      <c r="EW56" s="18">
        <f>BS!9:9</f>
        <v>1194</v>
      </c>
      <c r="EX56" s="128">
        <f>BS!9:9</f>
        <v>1194</v>
      </c>
      <c r="EY56" s="128">
        <f>BS!9:9</f>
        <v>1194</v>
      </c>
      <c r="EZ56" s="128">
        <f>BS!9:9</f>
        <v>1194</v>
      </c>
      <c r="FA56" s="128">
        <f>BS!9:9</f>
        <v>1194</v>
      </c>
      <c r="FB56" s="18">
        <f>BS!9:9</f>
        <v>1194</v>
      </c>
      <c r="FC56" s="128">
        <f>BS!9:9</f>
        <v>1194</v>
      </c>
      <c r="FD56" s="128">
        <f>BS!9:9</f>
        <v>1194</v>
      </c>
      <c r="FE56" s="128">
        <f>BS!9:9</f>
        <v>1194</v>
      </c>
      <c r="FF56" s="128">
        <f>BS!9:9</f>
        <v>1194</v>
      </c>
      <c r="FG56" s="18">
        <f>BS!9:9</f>
        <v>1194</v>
      </c>
    </row>
    <row r="57" ht="12.75" customHeight="1">
      <c r="A57" s="128"/>
      <c r="B57" s="764" t="s">
        <v>602</v>
      </c>
      <c r="C57" s="764"/>
      <c r="D57" s="764"/>
      <c r="E57" s="764"/>
      <c r="F57" s="764"/>
      <c r="G57" s="764"/>
      <c r="H57" s="764"/>
      <c r="I57" s="764"/>
      <c r="J57" s="764"/>
      <c r="K57" s="764"/>
      <c r="L57" s="764"/>
      <c r="M57" s="764"/>
      <c r="N57" s="764"/>
      <c r="O57" s="764"/>
      <c r="P57" s="764"/>
      <c r="Q57" s="764"/>
      <c r="R57" s="847">
        <f t="shared" ref="R57:FG57" si="269">R54+R56</f>
        <v>7310</v>
      </c>
      <c r="S57" s="847">
        <f t="shared" si="269"/>
        <v>10234</v>
      </c>
      <c r="T57" s="847">
        <f t="shared" si="269"/>
        <v>10251</v>
      </c>
      <c r="U57" s="847">
        <f t="shared" si="269"/>
        <v>11544</v>
      </c>
      <c r="V57" s="847">
        <f t="shared" si="269"/>
        <v>11400</v>
      </c>
      <c r="W57" s="847">
        <f t="shared" si="269"/>
        <v>11400</v>
      </c>
      <c r="X57" s="847">
        <f t="shared" si="269"/>
        <v>10759</v>
      </c>
      <c r="Y57" s="847">
        <f t="shared" si="269"/>
        <v>13210</v>
      </c>
      <c r="Z57" s="847">
        <f t="shared" si="269"/>
        <v>13604</v>
      </c>
      <c r="AA57" s="847">
        <f t="shared" si="269"/>
        <v>13473</v>
      </c>
      <c r="AB57" s="847">
        <f t="shared" si="269"/>
        <v>13473</v>
      </c>
      <c r="AC57" s="847">
        <f t="shared" si="269"/>
        <v>10058</v>
      </c>
      <c r="AD57" s="847">
        <f t="shared" si="269"/>
        <v>9340</v>
      </c>
      <c r="AE57" s="847">
        <f t="shared" si="269"/>
        <v>9158</v>
      </c>
      <c r="AF57" s="847">
        <f t="shared" si="269"/>
        <v>10326</v>
      </c>
      <c r="AG57" s="847">
        <f t="shared" si="269"/>
        <v>10326</v>
      </c>
      <c r="AH57" s="847">
        <f t="shared" si="269"/>
        <v>9231</v>
      </c>
      <c r="AI57" s="847">
        <f t="shared" si="269"/>
        <v>8957</v>
      </c>
      <c r="AJ57" s="847">
        <f t="shared" si="269"/>
        <v>9615</v>
      </c>
      <c r="AK57" s="847">
        <f t="shared" si="269"/>
        <v>10786</v>
      </c>
      <c r="AL57" s="847">
        <f t="shared" si="269"/>
        <v>10786</v>
      </c>
      <c r="AM57" s="847">
        <f t="shared" si="269"/>
        <v>10516</v>
      </c>
      <c r="AN57" s="847">
        <f t="shared" si="269"/>
        <v>11202</v>
      </c>
      <c r="AO57" s="847">
        <f t="shared" si="269"/>
        <v>13038</v>
      </c>
      <c r="AP57" s="847">
        <f t="shared" si="269"/>
        <v>13539</v>
      </c>
      <c r="AQ57" s="847">
        <f t="shared" si="269"/>
        <v>13539</v>
      </c>
      <c r="AR57" s="847">
        <f t="shared" si="269"/>
        <v>13146</v>
      </c>
      <c r="AS57" s="847">
        <f t="shared" si="269"/>
        <v>14264</v>
      </c>
      <c r="AT57" s="847">
        <f t="shared" si="269"/>
        <v>13647</v>
      </c>
      <c r="AU57" s="847">
        <f t="shared" si="269"/>
        <v>14061</v>
      </c>
      <c r="AV57" s="847">
        <f t="shared" si="269"/>
        <v>14061</v>
      </c>
      <c r="AW57" s="847">
        <f t="shared" si="269"/>
        <v>13673</v>
      </c>
      <c r="AX57" s="847">
        <f t="shared" si="269"/>
        <v>12600</v>
      </c>
      <c r="AY57" s="847">
        <f t="shared" si="269"/>
        <v>11951</v>
      </c>
      <c r="AZ57" s="847">
        <f t="shared" si="269"/>
        <v>11314</v>
      </c>
      <c r="BA57" s="847">
        <f t="shared" si="269"/>
        <v>11314</v>
      </c>
      <c r="BB57" s="847">
        <f t="shared" si="269"/>
        <v>7854</v>
      </c>
      <c r="BC57" s="847">
        <f t="shared" si="269"/>
        <v>6421</v>
      </c>
      <c r="BD57" s="847">
        <f t="shared" si="269"/>
        <v>7123</v>
      </c>
      <c r="BE57" s="847">
        <f t="shared" si="269"/>
        <v>8868</v>
      </c>
      <c r="BF57" s="847">
        <f t="shared" si="269"/>
        <v>8868</v>
      </c>
      <c r="BG57" s="847">
        <f t="shared" si="269"/>
        <v>7689</v>
      </c>
      <c r="BH57" s="847">
        <f t="shared" si="269"/>
        <v>8926</v>
      </c>
      <c r="BI57" s="847">
        <f t="shared" si="269"/>
        <v>10796</v>
      </c>
      <c r="BJ57" s="847">
        <f t="shared" si="269"/>
        <v>12797</v>
      </c>
      <c r="BK57" s="847">
        <f t="shared" si="269"/>
        <v>12797</v>
      </c>
      <c r="BL57" s="847">
        <f t="shared" si="269"/>
        <v>10876</v>
      </c>
      <c r="BM57" s="847">
        <f t="shared" si="269"/>
        <v>8391</v>
      </c>
      <c r="BN57" s="847">
        <f t="shared" si="269"/>
        <v>8287</v>
      </c>
      <c r="BO57" s="847">
        <f t="shared" si="269"/>
        <v>8681</v>
      </c>
      <c r="BP57" s="847">
        <f t="shared" si="269"/>
        <v>8681</v>
      </c>
      <c r="BQ57" s="847">
        <f t="shared" si="269"/>
        <v>7792</v>
      </c>
      <c r="BR57" s="847">
        <f t="shared" si="269"/>
        <v>9021</v>
      </c>
      <c r="BS57" s="847">
        <f t="shared" si="269"/>
        <v>9259</v>
      </c>
      <c r="BT57" s="847">
        <f t="shared" si="269"/>
        <v>9272</v>
      </c>
      <c r="BU57" s="847">
        <f t="shared" si="269"/>
        <v>9272</v>
      </c>
      <c r="BV57" s="847">
        <f t="shared" si="269"/>
        <v>10915</v>
      </c>
      <c r="BW57" s="847">
        <f t="shared" si="269"/>
        <v>12229</v>
      </c>
      <c r="BX57" s="847">
        <f t="shared" si="269"/>
        <v>14987</v>
      </c>
      <c r="BY57" s="847">
        <f t="shared" si="269"/>
        <v>16792</v>
      </c>
      <c r="BZ57" s="847">
        <f t="shared" si="269"/>
        <v>16792</v>
      </c>
      <c r="CA57" s="847">
        <f t="shared" si="269"/>
        <v>7724</v>
      </c>
      <c r="CB57" s="847">
        <f t="shared" si="269"/>
        <v>7741</v>
      </c>
      <c r="CC57" s="847">
        <f t="shared" si="269"/>
        <v>10933</v>
      </c>
      <c r="CD57" s="847">
        <f t="shared" si="269"/>
        <v>10246</v>
      </c>
      <c r="CE57" s="847">
        <f t="shared" si="269"/>
        <v>10246</v>
      </c>
      <c r="CF57" s="847">
        <f t="shared" si="269"/>
        <v>9441</v>
      </c>
      <c r="CG57" s="847">
        <f t="shared" si="269"/>
        <v>9204</v>
      </c>
      <c r="CH57" s="847">
        <f t="shared" si="269"/>
        <v>6003</v>
      </c>
      <c r="CI57" s="847">
        <f t="shared" si="269"/>
        <v>12477</v>
      </c>
      <c r="CJ57" s="847">
        <f t="shared" si="269"/>
        <v>12477</v>
      </c>
      <c r="CK57" s="847">
        <f t="shared" si="269"/>
        <v>10021</v>
      </c>
      <c r="CL57" s="847">
        <f t="shared" si="269"/>
        <v>9992</v>
      </c>
      <c r="CM57" s="847">
        <f t="shared" si="269"/>
        <v>11373</v>
      </c>
      <c r="CN57" s="847">
        <f t="shared" si="269"/>
        <v>11917</v>
      </c>
      <c r="CO57" s="847">
        <f t="shared" si="269"/>
        <v>11646</v>
      </c>
      <c r="CP57" s="847">
        <f t="shared" si="269"/>
        <v>10034</v>
      </c>
      <c r="CQ57" s="847">
        <f t="shared" si="269"/>
        <v>7540</v>
      </c>
      <c r="CR57" s="847">
        <f t="shared" si="269"/>
        <v>6594</v>
      </c>
      <c r="CS57" s="847">
        <f t="shared" si="269"/>
        <v>4991</v>
      </c>
      <c r="CT57" s="848">
        <f t="shared" si="269"/>
        <v>5014</v>
      </c>
      <c r="CU57" s="847">
        <f t="shared" si="269"/>
        <v>6108</v>
      </c>
      <c r="CV57" s="847">
        <f t="shared" si="269"/>
        <v>7060</v>
      </c>
      <c r="CW57" s="847">
        <f t="shared" si="269"/>
        <v>14184</v>
      </c>
      <c r="CX57" s="847">
        <f t="shared" si="269"/>
        <v>17990</v>
      </c>
      <c r="CY57" s="848">
        <f t="shared" si="269"/>
        <v>17990</v>
      </c>
      <c r="CZ57" s="849">
        <f t="shared" si="269"/>
        <v>5988</v>
      </c>
      <c r="DA57" s="847">
        <f t="shared" si="269"/>
        <v>8186</v>
      </c>
      <c r="DB57" s="849">
        <f t="shared" si="269"/>
        <v>8022</v>
      </c>
      <c r="DC57" s="847">
        <f t="shared" si="269"/>
        <v>8785</v>
      </c>
      <c r="DD57" s="848">
        <f t="shared" si="269"/>
        <v>8785</v>
      </c>
      <c r="DE57" s="849">
        <f t="shared" si="269"/>
        <v>7992</v>
      </c>
      <c r="DF57" s="847">
        <f t="shared" si="269"/>
        <v>14845</v>
      </c>
      <c r="DG57" s="849">
        <f t="shared" si="269"/>
        <v>10521</v>
      </c>
      <c r="DH57" s="847">
        <f t="shared" si="269"/>
        <v>5247</v>
      </c>
      <c r="DI57" s="848">
        <f t="shared" si="269"/>
        <v>5247</v>
      </c>
      <c r="DJ57" s="849">
        <f t="shared" si="269"/>
        <v>5574</v>
      </c>
      <c r="DK57" s="849">
        <f t="shared" si="269"/>
        <v>4877</v>
      </c>
      <c r="DL57" s="849">
        <f t="shared" si="269"/>
        <v>6048</v>
      </c>
      <c r="DM57" s="849">
        <f t="shared" si="269"/>
        <v>5807</v>
      </c>
      <c r="DN57" s="848">
        <f t="shared" si="269"/>
        <v>5807</v>
      </c>
      <c r="DO57" s="849">
        <f t="shared" si="269"/>
        <v>5852</v>
      </c>
      <c r="DP57" s="849">
        <f t="shared" si="269"/>
        <v>5281</v>
      </c>
      <c r="DQ57" s="849">
        <f t="shared" si="269"/>
        <v>5784</v>
      </c>
      <c r="DR57" s="849">
        <f t="shared" si="269"/>
        <v>5276</v>
      </c>
      <c r="DS57" s="848">
        <f t="shared" si="269"/>
        <v>5276</v>
      </c>
      <c r="DT57" s="849">
        <f t="shared" si="269"/>
        <v>12676</v>
      </c>
      <c r="DU57" s="849">
        <f t="shared" si="269"/>
        <v>13527</v>
      </c>
      <c r="DV57" s="849">
        <f t="shared" si="269"/>
        <v>6343</v>
      </c>
      <c r="DW57" s="849">
        <f t="shared" si="269"/>
        <v>7995</v>
      </c>
      <c r="DX57" s="848">
        <f t="shared" si="269"/>
        <v>7995</v>
      </c>
      <c r="DY57" s="849">
        <f t="shared" si="269"/>
        <v>7092</v>
      </c>
      <c r="DZ57" s="849">
        <f t="shared" si="269"/>
        <v>8277</v>
      </c>
      <c r="EA57" s="849">
        <f t="shared" si="269"/>
        <v>11874</v>
      </c>
      <c r="EB57" s="849">
        <f t="shared" si="269"/>
        <v>6930</v>
      </c>
      <c r="EC57" s="848">
        <f t="shared" si="269"/>
        <v>6930</v>
      </c>
      <c r="ED57" s="849">
        <f t="shared" si="269"/>
        <v>38696</v>
      </c>
      <c r="EE57" s="849">
        <f t="shared" si="269"/>
        <v>27044</v>
      </c>
      <c r="EF57" s="849">
        <f t="shared" si="269"/>
        <v>22559</v>
      </c>
      <c r="EG57" s="849">
        <f t="shared" si="269"/>
        <v>28338</v>
      </c>
      <c r="EH57" s="848">
        <f t="shared" si="269"/>
        <v>28338</v>
      </c>
      <c r="EI57" s="850" t="str">
        <f t="shared" si="269"/>
        <v>#ERROR!</v>
      </c>
      <c r="EJ57" s="847" t="str">
        <f t="shared" si="269"/>
        <v>#ERROR!</v>
      </c>
      <c r="EK57" s="847" t="str">
        <f t="shared" si="269"/>
        <v>#ERROR!</v>
      </c>
      <c r="EL57" s="847" t="str">
        <f t="shared" si="269"/>
        <v>#ERROR!</v>
      </c>
      <c r="EM57" s="848" t="str">
        <f t="shared" si="269"/>
        <v>#ERROR!</v>
      </c>
      <c r="EN57" s="847" t="str">
        <f t="shared" si="269"/>
        <v>#ERROR!</v>
      </c>
      <c r="EO57" s="847" t="str">
        <f t="shared" si="269"/>
        <v>#ERROR!</v>
      </c>
      <c r="EP57" s="847" t="str">
        <f t="shared" si="269"/>
        <v>#ERROR!</v>
      </c>
      <c r="EQ57" s="847" t="str">
        <f t="shared" si="269"/>
        <v>#ERROR!</v>
      </c>
      <c r="ER57" s="848" t="str">
        <f t="shared" si="269"/>
        <v>#ERROR!</v>
      </c>
      <c r="ES57" s="847" t="str">
        <f t="shared" si="269"/>
        <v>#ERROR!</v>
      </c>
      <c r="ET57" s="847" t="str">
        <f t="shared" si="269"/>
        <v>#ERROR!</v>
      </c>
      <c r="EU57" s="847" t="str">
        <f t="shared" si="269"/>
        <v>#ERROR!</v>
      </c>
      <c r="EV57" s="847" t="str">
        <f t="shared" si="269"/>
        <v>#ERROR!</v>
      </c>
      <c r="EW57" s="848" t="str">
        <f t="shared" si="269"/>
        <v>#ERROR!</v>
      </c>
      <c r="EX57" s="847" t="str">
        <f t="shared" si="269"/>
        <v>#ERROR!</v>
      </c>
      <c r="EY57" s="847" t="str">
        <f t="shared" si="269"/>
        <v>#ERROR!</v>
      </c>
      <c r="EZ57" s="847" t="str">
        <f t="shared" si="269"/>
        <v>#ERROR!</v>
      </c>
      <c r="FA57" s="847" t="str">
        <f t="shared" si="269"/>
        <v>#ERROR!</v>
      </c>
      <c r="FB57" s="848" t="str">
        <f t="shared" si="269"/>
        <v>#ERROR!</v>
      </c>
      <c r="FC57" s="847" t="str">
        <f t="shared" si="269"/>
        <v>#ERROR!</v>
      </c>
      <c r="FD57" s="847" t="str">
        <f t="shared" si="269"/>
        <v>#ERROR!</v>
      </c>
      <c r="FE57" s="847" t="str">
        <f t="shared" si="269"/>
        <v>#ERROR!</v>
      </c>
      <c r="FF57" s="847" t="str">
        <f t="shared" si="269"/>
        <v>#ERROR!</v>
      </c>
      <c r="FG57" s="848" t="str">
        <f t="shared" si="269"/>
        <v>#ERROR!</v>
      </c>
    </row>
    <row r="58" ht="12.75" customHeight="1">
      <c r="A58" s="128"/>
      <c r="B58" s="179"/>
      <c r="C58" s="179"/>
      <c r="D58" s="179"/>
      <c r="E58" s="179"/>
      <c r="F58" s="179"/>
      <c r="G58" s="179"/>
      <c r="H58" s="179"/>
      <c r="I58" s="179"/>
      <c r="J58" s="179"/>
      <c r="K58" s="179"/>
      <c r="L58" s="179"/>
      <c r="M58" s="179"/>
      <c r="N58" s="179"/>
      <c r="O58" s="179"/>
      <c r="P58" s="179"/>
      <c r="Q58" s="179"/>
      <c r="R58" s="57"/>
      <c r="S58" s="179"/>
      <c r="T58" s="179"/>
      <c r="U58" s="179"/>
      <c r="V58" s="179"/>
      <c r="W58" s="785"/>
      <c r="X58" s="128"/>
      <c r="Y58" s="128"/>
      <c r="Z58" s="128"/>
      <c r="AA58" s="128"/>
      <c r="AB58" s="837"/>
      <c r="AC58" s="128"/>
      <c r="AD58" s="128"/>
      <c r="AE58" s="128"/>
      <c r="AF58" s="128"/>
      <c r="AG58" s="837"/>
      <c r="AH58" s="128"/>
      <c r="AI58" s="128"/>
      <c r="AJ58" s="128"/>
      <c r="AK58" s="128"/>
      <c r="AL58" s="837"/>
      <c r="AM58" s="128"/>
      <c r="AN58" s="128"/>
      <c r="AO58" s="128"/>
      <c r="AP58" s="128"/>
      <c r="AQ58" s="837"/>
      <c r="AR58" s="128"/>
      <c r="AS58" s="128"/>
      <c r="AT58" s="128"/>
      <c r="AU58" s="128"/>
      <c r="AV58" s="837"/>
      <c r="AW58" s="128"/>
      <c r="AX58" s="128"/>
      <c r="AY58" s="128"/>
      <c r="AZ58" s="128"/>
      <c r="BA58" s="837"/>
      <c r="BB58" s="128"/>
      <c r="BC58" s="128"/>
      <c r="BD58" s="128"/>
      <c r="BE58" s="128"/>
      <c r="BF58" s="837"/>
      <c r="BG58" s="128"/>
      <c r="BH58" s="128"/>
      <c r="BI58" s="128"/>
      <c r="BJ58" s="128"/>
      <c r="BK58" s="837"/>
      <c r="BL58" s="128"/>
      <c r="BM58" s="128"/>
      <c r="BN58" s="128"/>
      <c r="BO58" s="128"/>
      <c r="BP58" s="837"/>
      <c r="BQ58" s="128"/>
      <c r="BR58" s="128"/>
      <c r="BS58" s="128"/>
      <c r="BT58" s="128"/>
      <c r="BU58" s="837"/>
      <c r="BV58" s="128"/>
      <c r="BW58" s="128"/>
      <c r="BX58" s="128"/>
      <c r="BY58" s="128"/>
      <c r="BZ58" s="837"/>
      <c r="CA58" s="128"/>
      <c r="CB58" s="128"/>
      <c r="CC58" s="128"/>
      <c r="CD58" s="128"/>
      <c r="CE58" s="837"/>
      <c r="CF58" s="128"/>
      <c r="CG58" s="128"/>
      <c r="CH58" s="128"/>
      <c r="CI58" s="128"/>
      <c r="CJ58" s="837"/>
      <c r="CK58" s="128"/>
      <c r="CL58" s="128"/>
      <c r="CM58" s="128"/>
      <c r="CN58" s="128"/>
      <c r="CO58" s="837"/>
      <c r="CP58" s="128"/>
      <c r="CQ58" s="128"/>
      <c r="CR58" s="128"/>
      <c r="CS58" s="128"/>
      <c r="CT58" s="836"/>
      <c r="CU58" s="128"/>
      <c r="CV58" s="128"/>
      <c r="CW58" s="128"/>
      <c r="CX58" s="128"/>
      <c r="CY58" s="836"/>
      <c r="CZ58" s="129"/>
      <c r="DA58" s="128"/>
      <c r="DB58" s="129"/>
      <c r="DC58" s="128"/>
      <c r="DD58" s="836"/>
      <c r="DE58" s="129"/>
      <c r="DF58" s="128"/>
      <c r="DG58" s="129"/>
      <c r="DH58" s="128"/>
      <c r="DI58" s="862"/>
      <c r="DJ58" s="129"/>
      <c r="DK58" s="129"/>
      <c r="DL58" s="129"/>
      <c r="DM58" s="129"/>
      <c r="DN58" s="836"/>
      <c r="DO58" s="129"/>
      <c r="DP58" s="129"/>
      <c r="DQ58" s="129"/>
      <c r="DR58" s="129"/>
      <c r="DS58" s="836"/>
      <c r="DT58" s="129"/>
      <c r="DU58" s="129"/>
      <c r="DV58" s="129"/>
      <c r="DW58" s="129"/>
      <c r="DX58" s="836"/>
      <c r="DY58" s="129"/>
      <c r="DZ58" s="129"/>
      <c r="EA58" s="129"/>
      <c r="EB58" s="129"/>
      <c r="EC58" s="836"/>
      <c r="ED58" s="129"/>
      <c r="EE58" s="129"/>
      <c r="EF58" s="129"/>
      <c r="EG58" s="129"/>
      <c r="EH58" s="836"/>
      <c r="EI58" s="134"/>
      <c r="EJ58" s="128"/>
      <c r="EK58" s="128"/>
      <c r="EL58" s="128"/>
      <c r="EM58" s="836"/>
      <c r="EN58" s="128"/>
      <c r="EO58" s="128"/>
      <c r="EP58" s="128"/>
      <c r="EQ58" s="128"/>
      <c r="ER58" s="836"/>
      <c r="ES58" s="128"/>
      <c r="ET58" s="128"/>
      <c r="EU58" s="128"/>
      <c r="EV58" s="128"/>
      <c r="EW58" s="836"/>
      <c r="EX58" s="128"/>
      <c r="EY58" s="128"/>
      <c r="EZ58" s="128"/>
      <c r="FA58" s="128"/>
      <c r="FB58" s="836"/>
      <c r="FC58" s="128"/>
      <c r="FD58" s="128"/>
      <c r="FE58" s="128"/>
      <c r="FF58" s="128"/>
      <c r="FG58" s="836"/>
    </row>
    <row r="59" ht="12.75" customHeight="1">
      <c r="A59" s="128"/>
      <c r="B59" s="179" t="s">
        <v>603</v>
      </c>
      <c r="C59" s="179"/>
      <c r="D59" s="179"/>
      <c r="E59" s="179"/>
      <c r="F59" s="179"/>
      <c r="G59" s="179"/>
      <c r="H59" s="179"/>
      <c r="I59" s="179"/>
      <c r="J59" s="179"/>
      <c r="K59" s="179"/>
      <c r="L59" s="179"/>
      <c r="M59" s="179"/>
      <c r="N59" s="179"/>
      <c r="O59" s="179"/>
      <c r="P59" s="179"/>
      <c r="Q59" s="179"/>
      <c r="R59" s="57"/>
      <c r="S59" s="128">
        <f t="shared" ref="S59:ED59" si="270">S27+S33</f>
        <v>2226</v>
      </c>
      <c r="T59" s="128">
        <f t="shared" si="270"/>
        <v>843</v>
      </c>
      <c r="U59" s="128">
        <f t="shared" si="270"/>
        <v>2955</v>
      </c>
      <c r="V59" s="128">
        <f t="shared" si="270"/>
        <v>2707</v>
      </c>
      <c r="W59" s="838">
        <f t="shared" si="270"/>
        <v>8731</v>
      </c>
      <c r="X59" s="128">
        <f t="shared" si="270"/>
        <v>2207</v>
      </c>
      <c r="Y59" s="128">
        <f t="shared" si="270"/>
        <v>1904</v>
      </c>
      <c r="Z59" s="128">
        <f t="shared" si="270"/>
        <v>1087</v>
      </c>
      <c r="AA59" s="128">
        <f t="shared" si="270"/>
        <v>955</v>
      </c>
      <c r="AB59" s="838">
        <f t="shared" si="270"/>
        <v>6153</v>
      </c>
      <c r="AC59" s="128">
        <f t="shared" si="270"/>
        <v>-1483</v>
      </c>
      <c r="AD59" s="128">
        <f t="shared" si="270"/>
        <v>-25</v>
      </c>
      <c r="AE59" s="128">
        <f t="shared" si="270"/>
        <v>694</v>
      </c>
      <c r="AF59" s="128">
        <f t="shared" si="270"/>
        <v>2159</v>
      </c>
      <c r="AG59" s="838">
        <f t="shared" si="270"/>
        <v>1345</v>
      </c>
      <c r="AH59" s="128">
        <f t="shared" si="270"/>
        <v>98</v>
      </c>
      <c r="AI59" s="128">
        <f t="shared" si="270"/>
        <v>574</v>
      </c>
      <c r="AJ59" s="128">
        <f t="shared" si="270"/>
        <v>1436</v>
      </c>
      <c r="AK59" s="128">
        <f t="shared" si="270"/>
        <v>2318</v>
      </c>
      <c r="AL59" s="838">
        <f t="shared" si="270"/>
        <v>4426</v>
      </c>
      <c r="AM59" s="128">
        <f t="shared" si="270"/>
        <v>756</v>
      </c>
      <c r="AN59" s="128">
        <f t="shared" si="270"/>
        <v>1726</v>
      </c>
      <c r="AO59" s="128">
        <f t="shared" si="270"/>
        <v>2116</v>
      </c>
      <c r="AP59" s="128">
        <f t="shared" si="270"/>
        <v>3261</v>
      </c>
      <c r="AQ59" s="838">
        <f t="shared" si="270"/>
        <v>7859</v>
      </c>
      <c r="AR59" s="128">
        <f t="shared" si="270"/>
        <v>1089</v>
      </c>
      <c r="AS59" s="128">
        <f t="shared" si="270"/>
        <v>3039</v>
      </c>
      <c r="AT59" s="128">
        <f t="shared" si="270"/>
        <v>2064</v>
      </c>
      <c r="AU59" s="128">
        <f t="shared" si="270"/>
        <v>3084</v>
      </c>
      <c r="AV59" s="838">
        <f t="shared" si="270"/>
        <v>9276</v>
      </c>
      <c r="AW59" s="128">
        <f t="shared" si="270"/>
        <v>1968</v>
      </c>
      <c r="AX59" s="128">
        <f t="shared" si="270"/>
        <v>1583</v>
      </c>
      <c r="AY59" s="128">
        <f t="shared" si="270"/>
        <v>3084</v>
      </c>
      <c r="AZ59" s="128">
        <f t="shared" si="270"/>
        <v>2370</v>
      </c>
      <c r="BA59" s="838">
        <f t="shared" si="270"/>
        <v>9005</v>
      </c>
      <c r="BB59" s="128">
        <f t="shared" si="270"/>
        <v>338</v>
      </c>
      <c r="BC59" s="128">
        <f t="shared" si="270"/>
        <v>-206</v>
      </c>
      <c r="BD59" s="128">
        <f t="shared" si="270"/>
        <v>1623</v>
      </c>
      <c r="BE59" s="128">
        <f t="shared" si="270"/>
        <v>3086</v>
      </c>
      <c r="BF59" s="838">
        <f t="shared" si="270"/>
        <v>4841</v>
      </c>
      <c r="BG59" s="128">
        <f t="shared" si="270"/>
        <v>191</v>
      </c>
      <c r="BH59" s="128">
        <f t="shared" si="270"/>
        <v>1139</v>
      </c>
      <c r="BI59" s="128">
        <f t="shared" si="270"/>
        <v>2796</v>
      </c>
      <c r="BJ59" s="128">
        <f t="shared" si="270"/>
        <v>3499</v>
      </c>
      <c r="BK59" s="838">
        <f t="shared" si="270"/>
        <v>7625</v>
      </c>
      <c r="BL59" s="128">
        <f t="shared" si="270"/>
        <v>1308</v>
      </c>
      <c r="BM59" s="128">
        <f t="shared" si="270"/>
        <v>1677</v>
      </c>
      <c r="BN59" s="128">
        <f t="shared" si="270"/>
        <v>1913</v>
      </c>
      <c r="BO59" s="128">
        <f t="shared" si="270"/>
        <v>831</v>
      </c>
      <c r="BP59" s="838">
        <f t="shared" si="270"/>
        <v>5729</v>
      </c>
      <c r="BQ59" s="128">
        <f t="shared" si="270"/>
        <v>-1131</v>
      </c>
      <c r="BR59" s="128">
        <f t="shared" si="270"/>
        <v>2403</v>
      </c>
      <c r="BS59" s="128">
        <f t="shared" si="270"/>
        <v>3059</v>
      </c>
      <c r="BT59" s="128">
        <f t="shared" si="270"/>
        <v>2324</v>
      </c>
      <c r="BU59" s="838">
        <f t="shared" si="270"/>
        <v>6655</v>
      </c>
      <c r="BV59" s="128">
        <f t="shared" si="270"/>
        <v>3151</v>
      </c>
      <c r="BW59" s="128">
        <f t="shared" si="270"/>
        <v>2438</v>
      </c>
      <c r="BX59" s="128">
        <f t="shared" si="270"/>
        <v>2215</v>
      </c>
      <c r="BY59" s="128">
        <f t="shared" si="270"/>
        <v>3681</v>
      </c>
      <c r="BZ59" s="838">
        <f t="shared" si="270"/>
        <v>11485</v>
      </c>
      <c r="CA59" s="128">
        <f t="shared" si="270"/>
        <v>1290</v>
      </c>
      <c r="CB59" s="128">
        <f t="shared" si="270"/>
        <v>1487</v>
      </c>
      <c r="CC59" s="128">
        <f t="shared" si="270"/>
        <v>3636</v>
      </c>
      <c r="CD59" s="128">
        <f t="shared" si="270"/>
        <v>3786</v>
      </c>
      <c r="CE59" s="838">
        <f t="shared" si="270"/>
        <v>10199</v>
      </c>
      <c r="CF59" s="128">
        <f t="shared" si="270"/>
        <v>-2</v>
      </c>
      <c r="CG59" s="128">
        <f t="shared" si="270"/>
        <v>2077</v>
      </c>
      <c r="CH59" s="128">
        <f t="shared" si="270"/>
        <v>2260</v>
      </c>
      <c r="CI59" s="128">
        <f t="shared" si="270"/>
        <v>3522</v>
      </c>
      <c r="CJ59" s="838">
        <f t="shared" si="270"/>
        <v>7857</v>
      </c>
      <c r="CK59" s="128">
        <f t="shared" si="270"/>
        <v>2111</v>
      </c>
      <c r="CL59" s="128">
        <f t="shared" si="270"/>
        <v>1999</v>
      </c>
      <c r="CM59" s="128">
        <f t="shared" si="270"/>
        <v>2865</v>
      </c>
      <c r="CN59" s="128">
        <f t="shared" si="270"/>
        <v>3361</v>
      </c>
      <c r="CO59" s="838">
        <f t="shared" si="270"/>
        <v>10065</v>
      </c>
      <c r="CP59" s="128">
        <f t="shared" si="270"/>
        <v>835</v>
      </c>
      <c r="CQ59" s="128">
        <f t="shared" si="270"/>
        <v>2625</v>
      </c>
      <c r="CR59" s="128">
        <f t="shared" si="270"/>
        <v>3248</v>
      </c>
      <c r="CS59" s="128">
        <f t="shared" si="270"/>
        <v>3628</v>
      </c>
      <c r="CT59" s="839">
        <f t="shared" si="270"/>
        <v>10336</v>
      </c>
      <c r="CU59" s="128">
        <f t="shared" si="270"/>
        <v>2390</v>
      </c>
      <c r="CV59" s="128">
        <f t="shared" si="270"/>
        <v>1673</v>
      </c>
      <c r="CW59" s="128">
        <f t="shared" si="270"/>
        <v>4529</v>
      </c>
      <c r="CX59" s="128">
        <f t="shared" si="270"/>
        <v>3099</v>
      </c>
      <c r="CY59" s="839">
        <f t="shared" si="270"/>
        <v>11691</v>
      </c>
      <c r="CZ59" s="129">
        <f t="shared" si="270"/>
        <v>2709</v>
      </c>
      <c r="DA59" s="128">
        <f t="shared" si="270"/>
        <v>1559</v>
      </c>
      <c r="DB59" s="129">
        <f t="shared" si="270"/>
        <v>3295</v>
      </c>
      <c r="DC59" s="128">
        <f t="shared" si="270"/>
        <v>4620</v>
      </c>
      <c r="DD59" s="839">
        <f t="shared" si="270"/>
        <v>12183</v>
      </c>
      <c r="DE59" s="129">
        <f t="shared" si="270"/>
        <v>1946</v>
      </c>
      <c r="DF59" s="128">
        <f t="shared" si="270"/>
        <v>1929</v>
      </c>
      <c r="DG59" s="129">
        <f t="shared" si="270"/>
        <v>3285</v>
      </c>
      <c r="DH59" s="128">
        <f t="shared" si="270"/>
        <v>3172</v>
      </c>
      <c r="DI59" s="839">
        <f t="shared" si="270"/>
        <v>10332</v>
      </c>
      <c r="DJ59" s="129">
        <f t="shared" si="270"/>
        <v>3374</v>
      </c>
      <c r="DK59" s="129">
        <f t="shared" si="270"/>
        <v>2883</v>
      </c>
      <c r="DL59" s="129">
        <f t="shared" si="270"/>
        <v>4984</v>
      </c>
      <c r="DM59" s="129">
        <f t="shared" si="270"/>
        <v>3010</v>
      </c>
      <c r="DN59" s="839">
        <f t="shared" si="270"/>
        <v>14251</v>
      </c>
      <c r="DO59" s="129">
        <f t="shared" si="270"/>
        <v>1638</v>
      </c>
      <c r="DP59" s="129">
        <f t="shared" si="270"/>
        <v>4033</v>
      </c>
      <c r="DQ59" s="129">
        <f t="shared" si="270"/>
        <v>6039</v>
      </c>
      <c r="DR59" s="129">
        <f t="shared" si="270"/>
        <v>5222</v>
      </c>
      <c r="DS59" s="855">
        <f t="shared" si="270"/>
        <v>16932</v>
      </c>
      <c r="DT59" s="129">
        <f t="shared" si="270"/>
        <v>2890</v>
      </c>
      <c r="DU59" s="129">
        <f t="shared" si="270"/>
        <v>7749</v>
      </c>
      <c r="DV59" s="129">
        <f t="shared" si="270"/>
        <v>4463</v>
      </c>
      <c r="DW59" s="129">
        <f t="shared" si="270"/>
        <v>6023</v>
      </c>
      <c r="DX59" s="855">
        <f t="shared" si="270"/>
        <v>21125</v>
      </c>
      <c r="DY59" s="129">
        <f t="shared" si="270"/>
        <v>1576</v>
      </c>
      <c r="DZ59" s="129">
        <f t="shared" si="270"/>
        <v>5144</v>
      </c>
      <c r="EA59" s="129">
        <f t="shared" si="270"/>
        <v>5895</v>
      </c>
      <c r="EB59" s="129">
        <f t="shared" si="270"/>
        <v>-1357</v>
      </c>
      <c r="EC59" s="855">
        <f t="shared" si="270"/>
        <v>11258</v>
      </c>
      <c r="ED59" s="129">
        <f t="shared" si="270"/>
        <v>1094</v>
      </c>
      <c r="EE59" s="129">
        <f t="shared" ref="EE59:EF59" si="271">EE27+EE33+EE32</f>
        <v>-6446</v>
      </c>
      <c r="EF59" s="129">
        <f t="shared" si="271"/>
        <v>-6063</v>
      </c>
      <c r="EG59" s="129">
        <f t="shared" ref="EG59:FG59" si="272">EG27+EG33+EG46</f>
        <v>2878</v>
      </c>
      <c r="EH59" s="855">
        <f t="shared" si="272"/>
        <v>-8537</v>
      </c>
      <c r="EI59" s="134" t="str">
        <f t="shared" si="272"/>
        <v>#ERROR!</v>
      </c>
      <c r="EJ59" s="128" t="str">
        <f t="shared" si="272"/>
        <v>#ERROR!</v>
      </c>
      <c r="EK59" s="128" t="str">
        <f t="shared" si="272"/>
        <v>#ERROR!</v>
      </c>
      <c r="EL59" s="128" t="str">
        <f t="shared" si="272"/>
        <v>#ERROR!</v>
      </c>
      <c r="EM59" s="855" t="str">
        <f t="shared" si="272"/>
        <v>#ERROR!</v>
      </c>
      <c r="EN59" s="128" t="str">
        <f t="shared" si="272"/>
        <v>#ERROR!</v>
      </c>
      <c r="EO59" s="128" t="str">
        <f t="shared" si="272"/>
        <v>#ERROR!</v>
      </c>
      <c r="EP59" s="128" t="str">
        <f t="shared" si="272"/>
        <v>#ERROR!</v>
      </c>
      <c r="EQ59" s="128" t="str">
        <f t="shared" si="272"/>
        <v>#ERROR!</v>
      </c>
      <c r="ER59" s="855" t="str">
        <f t="shared" si="272"/>
        <v>#ERROR!</v>
      </c>
      <c r="ES59" s="128" t="str">
        <f t="shared" si="272"/>
        <v>#ERROR!</v>
      </c>
      <c r="ET59" s="128" t="str">
        <f t="shared" si="272"/>
        <v>#ERROR!</v>
      </c>
      <c r="EU59" s="128" t="str">
        <f t="shared" si="272"/>
        <v>#ERROR!</v>
      </c>
      <c r="EV59" s="128" t="str">
        <f t="shared" si="272"/>
        <v>#ERROR!</v>
      </c>
      <c r="EW59" s="855" t="str">
        <f t="shared" si="272"/>
        <v>#ERROR!</v>
      </c>
      <c r="EX59" s="128" t="str">
        <f t="shared" si="272"/>
        <v>#ERROR!</v>
      </c>
      <c r="EY59" s="128" t="str">
        <f t="shared" si="272"/>
        <v>#ERROR!</v>
      </c>
      <c r="EZ59" s="128" t="str">
        <f t="shared" si="272"/>
        <v>#ERROR!</v>
      </c>
      <c r="FA59" s="128" t="str">
        <f t="shared" si="272"/>
        <v>#ERROR!</v>
      </c>
      <c r="FB59" s="855" t="str">
        <f t="shared" si="272"/>
        <v>#ERROR!</v>
      </c>
      <c r="FC59" s="128" t="str">
        <f t="shared" si="272"/>
        <v>#ERROR!</v>
      </c>
      <c r="FD59" s="128" t="str">
        <f t="shared" si="272"/>
        <v>#ERROR!</v>
      </c>
      <c r="FE59" s="128" t="str">
        <f t="shared" si="272"/>
        <v>#ERROR!</v>
      </c>
      <c r="FF59" s="128" t="str">
        <f t="shared" si="272"/>
        <v>#ERROR!</v>
      </c>
      <c r="FG59" s="855" t="str">
        <f t="shared" si="272"/>
        <v>#ERROR!</v>
      </c>
    </row>
    <row r="60" ht="12.75" customHeight="1">
      <c r="A60" s="128"/>
      <c r="B60" s="179" t="s">
        <v>604</v>
      </c>
      <c r="C60" s="179"/>
      <c r="D60" s="179"/>
      <c r="E60" s="179"/>
      <c r="F60" s="179"/>
      <c r="G60" s="179"/>
      <c r="H60" s="179"/>
      <c r="I60" s="179"/>
      <c r="J60" s="179"/>
      <c r="K60" s="179"/>
      <c r="L60" s="179"/>
      <c r="M60" s="179"/>
      <c r="N60" s="179"/>
      <c r="O60" s="179"/>
      <c r="P60" s="179"/>
      <c r="Q60" s="179"/>
      <c r="R60" s="57"/>
      <c r="S60" s="660">
        <f>S59/Sales</f>
        <v>0.313388709</v>
      </c>
      <c r="T60" s="660">
        <f>T59/Sales</f>
        <v>0.124962941</v>
      </c>
      <c r="U60" s="660">
        <f>U59/Sales</f>
        <v>0.4032478166</v>
      </c>
      <c r="V60" s="660">
        <f>V59/Sales</f>
        <v>0.3296395519</v>
      </c>
      <c r="W60" s="842">
        <f>W59/Sales</f>
        <v>0.297083943</v>
      </c>
      <c r="X60" s="660">
        <f>X59/Sales</f>
        <v>0.276116602</v>
      </c>
      <c r="Y60" s="660">
        <f>Y59/Sales</f>
        <v>0.2293975904</v>
      </c>
      <c r="Z60" s="660">
        <f>Z59/Sales</f>
        <v>0.1244989119</v>
      </c>
      <c r="AA60" s="660">
        <f>AA59/Sales</f>
        <v>0.1097448862</v>
      </c>
      <c r="AB60" s="842">
        <f>AB59/Sales</f>
        <v>0.1824408468</v>
      </c>
      <c r="AC60" s="660">
        <f>AC59/Sales</f>
        <v>-0.2221057361</v>
      </c>
      <c r="AD60" s="660">
        <f>AD59/Sales</f>
        <v>-0.003946952952</v>
      </c>
      <c r="AE60" s="660">
        <f>AE59/Sales</f>
        <v>0.1060351413</v>
      </c>
      <c r="AF60" s="660">
        <f>AF59/Sales</f>
        <v>0.3091794358</v>
      </c>
      <c r="AG60" s="842">
        <f>AG59/Sales</f>
        <v>0.05068013113</v>
      </c>
      <c r="AH60" s="660">
        <f>AH59/Sales</f>
        <v>0.0144521457</v>
      </c>
      <c r="AI60" s="660">
        <f>AI59/Sales</f>
        <v>0.09083715778</v>
      </c>
      <c r="AJ60" s="660">
        <f>AJ59/Sales</f>
        <v>0.2207872079</v>
      </c>
      <c r="AK60" s="660">
        <f>AK59/Sales</f>
        <v>0.3237430168</v>
      </c>
      <c r="AL60" s="842">
        <f>AL59/Sales</f>
        <v>0.1653713944</v>
      </c>
      <c r="AM60" s="660">
        <f>AM59/Sales</f>
        <v>0.1119834099</v>
      </c>
      <c r="AN60" s="660">
        <f>AN59/Sales</f>
        <v>0.2532276995</v>
      </c>
      <c r="AO60" s="660">
        <f>AO59/Sales</f>
        <v>0.2701391549</v>
      </c>
      <c r="AP60" s="660">
        <f>AP59/Sales</f>
        <v>0.3730694429</v>
      </c>
      <c r="AQ60" s="842">
        <f>AQ59/Sales</f>
        <v>0.2607411831</v>
      </c>
      <c r="AR60" s="660">
        <f>AR59/Sales</f>
        <v>0.1345939933</v>
      </c>
      <c r="AS60" s="660">
        <f>AS59/Sales</f>
        <v>0.3775624301</v>
      </c>
      <c r="AT60" s="660">
        <f>AT59/Sales</f>
        <v>0.2436548223</v>
      </c>
      <c r="AU60" s="660">
        <f>AU59/Sales</f>
        <v>0.321316941</v>
      </c>
      <c r="AV60" s="842">
        <f>AV59/Sales</f>
        <v>0.2711567131</v>
      </c>
      <c r="AW60" s="660">
        <f>AW59/Sales</f>
        <v>0.2086071656</v>
      </c>
      <c r="AX60" s="660">
        <f>AX59/Sales</f>
        <v>0.1714873795</v>
      </c>
      <c r="AY60" s="660">
        <f>AY59/Sales</f>
        <v>0.3096385542</v>
      </c>
      <c r="AZ60" s="660">
        <f>AZ59/Sales</f>
        <v>0.2323301637</v>
      </c>
      <c r="BA60" s="842">
        <f>BA59/Sales</f>
        <v>0.2319322104</v>
      </c>
      <c r="BB60" s="660">
        <f>BB59/Sales</f>
        <v>0.03780760626</v>
      </c>
      <c r="BC60" s="660">
        <f>BC59/Sales</f>
        <v>-0.0257210638</v>
      </c>
      <c r="BD60" s="660">
        <f>BD59/Sales</f>
        <v>0.1857191898</v>
      </c>
      <c r="BE60" s="660">
        <f>BE59/Sales</f>
        <v>0.318341242</v>
      </c>
      <c r="BF60" s="842">
        <f>BF59/Sales</f>
        <v>0.1368209824</v>
      </c>
      <c r="BG60" s="660">
        <f>BG59/Sales</f>
        <v>0.02157704474</v>
      </c>
      <c r="BH60" s="660">
        <f>BH59/Sales</f>
        <v>0.1312211982</v>
      </c>
      <c r="BI60" s="660">
        <f>BI59/Sales</f>
        <v>0.2771060456</v>
      </c>
      <c r="BJ60" s="660">
        <f>BJ59/Sales</f>
        <v>0.3266430172</v>
      </c>
      <c r="BK60" s="842">
        <f>BK59/Sales</f>
        <v>0.1989095842</v>
      </c>
      <c r="BL60" s="660">
        <f>BL59/Sales</f>
        <v>0.1352217513</v>
      </c>
      <c r="BM60" s="660">
        <f>BM59/Sales</f>
        <v>0.1770855333</v>
      </c>
      <c r="BN60" s="660">
        <f>BN59/Sales</f>
        <v>0.187236958</v>
      </c>
      <c r="BO60" s="660">
        <f>BO59/Sales</f>
        <v>0.1010211524</v>
      </c>
      <c r="BP60" s="842">
        <f>BP59/Sales</f>
        <v>0.1524237748</v>
      </c>
      <c r="BQ60" s="660">
        <f>BQ59/Sales</f>
        <v>-0.1582925122</v>
      </c>
      <c r="BR60" s="660">
        <f>BR59/Sales</f>
        <v>0.2994765703</v>
      </c>
      <c r="BS60" s="660">
        <f>BS59/Sales</f>
        <v>0.3258067952</v>
      </c>
      <c r="BT60" s="660">
        <f>BT59/Sales</f>
        <v>0.2198883527</v>
      </c>
      <c r="BU60" s="842">
        <f>BU59/Sales</f>
        <v>0.1894554047</v>
      </c>
      <c r="BV60" s="660">
        <f>BV59/Sales</f>
        <v>0.3059520342</v>
      </c>
      <c r="BW60" s="660">
        <f>BW59/Sales</f>
        <v>0.2264746865</v>
      </c>
      <c r="BX60" s="660">
        <f>BX59/Sales</f>
        <v>0.1995136012</v>
      </c>
      <c r="BY60" s="660">
        <f>BY59/Sales</f>
        <v>0.3212882954</v>
      </c>
      <c r="BZ60" s="842">
        <f>BZ59/Sales</f>
        <v>0.2632785457</v>
      </c>
      <c r="CA60" s="660">
        <f>CA59/Sales</f>
        <v>0.1004125477</v>
      </c>
      <c r="CB60" s="660">
        <f>CB59/Sales</f>
        <v>0.1141037446</v>
      </c>
      <c r="CC60" s="660">
        <f>CC59/Sales</f>
        <v>0.2554626572</v>
      </c>
      <c r="CD60" s="660">
        <f>CD59/Sales</f>
        <v>0.2726290776</v>
      </c>
      <c r="CE60" s="842">
        <f>CE59/Sales</f>
        <v>0.188873868</v>
      </c>
      <c r="CF60" s="660">
        <f>CF59/Sales</f>
        <v>-0.0001549666822</v>
      </c>
      <c r="CG60" s="660">
        <f>CG59/Sales</f>
        <v>0.1538404563</v>
      </c>
      <c r="CH60" s="660">
        <f>CH59/Sales</f>
        <v>0.1679423348</v>
      </c>
      <c r="CI60" s="660">
        <f>CI59/Sales</f>
        <v>0.2613341248</v>
      </c>
      <c r="CJ60" s="842">
        <f>CJ59/Sales</f>
        <v>0.147297576</v>
      </c>
      <c r="CK60" s="660">
        <f>CK59/Sales</f>
        <v>0.1678060413</v>
      </c>
      <c r="CL60" s="660">
        <f>CL59/Sales</f>
        <v>0.15603778</v>
      </c>
      <c r="CM60" s="660">
        <f>CM59/Sales</f>
        <v>0.212489802</v>
      </c>
      <c r="CN60" s="660">
        <f>CN59/Sales</f>
        <v>0.2429521469</v>
      </c>
      <c r="CO60" s="842">
        <f>CO59/Sales</f>
        <v>0.1909577294</v>
      </c>
      <c r="CP60" s="660">
        <f>CP59/Sales</f>
        <v>0.06541836415</v>
      </c>
      <c r="CQ60" s="660">
        <f>CQ59/Sales</f>
        <v>0.1897910491</v>
      </c>
      <c r="CR60" s="660">
        <f>CR59/Sales</f>
        <v>0.2231688883</v>
      </c>
      <c r="CS60" s="660">
        <f>CS59/Sales</f>
        <v>0.2464506487</v>
      </c>
      <c r="CT60" s="843">
        <f>CT59/Sales</f>
        <v>0.1850008949</v>
      </c>
      <c r="CU60" s="660">
        <f>CU59/Sales</f>
        <v>0.1869963227</v>
      </c>
      <c r="CV60" s="660">
        <f>CV59/Sales</f>
        <v>0.1267904509</v>
      </c>
      <c r="CW60" s="660">
        <f>CW59/Sales</f>
        <v>0.3131005876</v>
      </c>
      <c r="CX60" s="660">
        <f>CX59/Sales</f>
        <v>0.207791337</v>
      </c>
      <c r="CY60" s="843">
        <f>CY59/Sales</f>
        <v>0.2112004336</v>
      </c>
      <c r="CZ60" s="83">
        <f>CZ59/Sales</f>
        <v>0.1962901239</v>
      </c>
      <c r="DA60" s="660">
        <f>DA59/Sales</f>
        <v>0.1151998818</v>
      </c>
      <c r="DB60" s="83">
        <f>DB59/Sales</f>
        <v>0.2088350868</v>
      </c>
      <c r="DC60" s="660">
        <f>DC59/Sales</f>
        <v>0.2821546354</v>
      </c>
      <c r="DD60" s="843">
        <f>DD59/Sales</f>
        <v>0.2048044918</v>
      </c>
      <c r="DE60" s="83">
        <f>DE59/Sales</f>
        <v>0.131522033</v>
      </c>
      <c r="DF60" s="660">
        <f>DF59/Sales</f>
        <v>0.1306644991</v>
      </c>
      <c r="DG60" s="83">
        <f>DG59/Sales</f>
        <v>0.2034181683</v>
      </c>
      <c r="DH60" s="660">
        <f>DH59/Sales</f>
        <v>0.186008327</v>
      </c>
      <c r="DI60" s="843">
        <f>DI59/Sales</f>
        <v>0.164624528</v>
      </c>
      <c r="DJ60" s="83">
        <f>DJ59/Sales</f>
        <v>0.2100087141</v>
      </c>
      <c r="DK60" s="83">
        <f>DK59/Sales</f>
        <v>0.1699681641</v>
      </c>
      <c r="DL60" s="83">
        <f>DL59/Sales</f>
        <v>0.2600845379</v>
      </c>
      <c r="DM60" s="83">
        <f>DM59/Sales</f>
        <v>0.1613335477</v>
      </c>
      <c r="DN60" s="843">
        <f>DN59/Sales</f>
        <v>0.2011489386</v>
      </c>
      <c r="DO60" s="83">
        <f>DO59/Sales</f>
        <v>0.1019861777</v>
      </c>
      <c r="DP60" s="83">
        <f>DP59/Sales</f>
        <v>0.2443501969</v>
      </c>
      <c r="DQ60" s="83">
        <f>DQ59/Sales</f>
        <v>0.3146951537</v>
      </c>
      <c r="DR60" s="83">
        <f>DR59/Sales</f>
        <v>0.2583997229</v>
      </c>
      <c r="DS60" s="843">
        <f>DS59/Sales</f>
        <v>0.2352810394</v>
      </c>
      <c r="DT60" s="83">
        <f>DT59/Sales</f>
        <v>0.1457534799</v>
      </c>
      <c r="DU60" s="83">
        <f>DU59/Sales</f>
        <v>0.3927919708</v>
      </c>
      <c r="DV60" s="83">
        <f>DV59/Sales</f>
        <v>0.2434407898</v>
      </c>
      <c r="DW60" s="83">
        <f>DW59/Sales</f>
        <v>0.3014816298</v>
      </c>
      <c r="DX60" s="843">
        <f>DX59/Sales</f>
        <v>0.2712959277</v>
      </c>
      <c r="DY60" s="83">
        <f>DY59/Sales</f>
        <v>0.0848863514</v>
      </c>
      <c r="DZ60" s="83">
        <f>DZ59/Sales</f>
        <v>0.2775589489</v>
      </c>
      <c r="EA60" s="83">
        <f>EA59/Sales</f>
        <v>0.3259246973</v>
      </c>
      <c r="EB60" s="83">
        <f>EB59/Sales</f>
        <v>-0.06947573213</v>
      </c>
      <c r="EC60" s="843">
        <f>EC59/Sales</f>
        <v>0.1506731979</v>
      </c>
      <c r="ED60" s="83">
        <f>ED59/Sales</f>
        <v>0.05960878331</v>
      </c>
      <c r="EE60" s="83">
        <f>EE59/Sales</f>
        <v>-0.4207297174</v>
      </c>
      <c r="EF60" s="83">
        <f>EF59/Sales</f>
        <v>-0.395292737</v>
      </c>
      <c r="EG60" s="83">
        <f>EG59/Sales</f>
        <v>0.2049565589</v>
      </c>
      <c r="EH60" s="843">
        <f>EH59/Sales</f>
        <v>-0.1353918863</v>
      </c>
      <c r="EI60" s="661" t="str">
        <f>EI59/Sales</f>
        <v>#ERROR!</v>
      </c>
      <c r="EJ60" s="660" t="str">
        <f>EJ59/Sales</f>
        <v>#ERROR!</v>
      </c>
      <c r="EK60" s="660" t="str">
        <f>EK59/Sales</f>
        <v>#ERROR!</v>
      </c>
      <c r="EL60" s="660" t="str">
        <f>EL59/Sales</f>
        <v>#ERROR!</v>
      </c>
      <c r="EM60" s="843" t="str">
        <f>EM59/Sales</f>
        <v>#ERROR!</v>
      </c>
      <c r="EN60" s="660" t="str">
        <f>EN59/Sales</f>
        <v>#ERROR!</v>
      </c>
      <c r="EO60" s="660" t="str">
        <f>EO59/Sales</f>
        <v>#ERROR!</v>
      </c>
      <c r="EP60" s="660" t="str">
        <f>EP59/Sales</f>
        <v>#ERROR!</v>
      </c>
      <c r="EQ60" s="660" t="str">
        <f>EQ59/Sales</f>
        <v>#ERROR!</v>
      </c>
      <c r="ER60" s="843" t="str">
        <f>ER59/Sales</f>
        <v>#ERROR!</v>
      </c>
      <c r="ES60" s="660" t="str">
        <f>ES59/Sales</f>
        <v>#ERROR!</v>
      </c>
      <c r="ET60" s="660" t="str">
        <f>ET59/Sales</f>
        <v>#ERROR!</v>
      </c>
      <c r="EU60" s="660" t="str">
        <f>EU59/Sales</f>
        <v>#ERROR!</v>
      </c>
      <c r="EV60" s="660" t="str">
        <f>EV59/Sales</f>
        <v>#ERROR!</v>
      </c>
      <c r="EW60" s="843" t="str">
        <f>EW59/Sales</f>
        <v>#ERROR!</v>
      </c>
      <c r="EX60" s="660" t="str">
        <f>EX59/Sales</f>
        <v>#ERROR!</v>
      </c>
      <c r="EY60" s="660" t="str">
        <f>EY59/Sales</f>
        <v>#ERROR!</v>
      </c>
      <c r="EZ60" s="660" t="str">
        <f>EZ59/Sales</f>
        <v>#ERROR!</v>
      </c>
      <c r="FA60" s="660" t="str">
        <f>FA59/Sales</f>
        <v>#ERROR!</v>
      </c>
      <c r="FB60" s="843" t="str">
        <f>FB59/Sales</f>
        <v>#ERROR!</v>
      </c>
      <c r="FC60" s="660" t="str">
        <f>FC59/Sales</f>
        <v>#ERROR!</v>
      </c>
      <c r="FD60" s="660" t="str">
        <f>FD59/Sales</f>
        <v>#ERROR!</v>
      </c>
      <c r="FE60" s="660" t="str">
        <f>FE59/Sales</f>
        <v>#ERROR!</v>
      </c>
      <c r="FF60" s="660" t="str">
        <f>FF59/Sales</f>
        <v>#ERROR!</v>
      </c>
      <c r="FG60" s="843" t="str">
        <f>FG59/Sales</f>
        <v>#ERROR!</v>
      </c>
    </row>
    <row r="61" ht="12.75" customHeight="1">
      <c r="A61" s="128"/>
      <c r="B61" s="179"/>
      <c r="C61" s="179"/>
      <c r="D61" s="179"/>
      <c r="E61" s="179"/>
      <c r="F61" s="179"/>
      <c r="G61" s="179"/>
      <c r="H61" s="179"/>
      <c r="I61" s="179"/>
      <c r="J61" s="179"/>
      <c r="K61" s="179"/>
      <c r="L61" s="179"/>
      <c r="M61" s="179"/>
      <c r="N61" s="179"/>
      <c r="O61" s="179"/>
      <c r="P61" s="179"/>
      <c r="Q61" s="179"/>
      <c r="R61" s="57"/>
      <c r="S61" s="179"/>
      <c r="T61" s="179"/>
      <c r="U61" s="179"/>
      <c r="V61" s="179"/>
      <c r="W61" s="785"/>
      <c r="X61" s="128"/>
      <c r="Y61" s="128"/>
      <c r="Z61" s="128"/>
      <c r="AA61" s="128"/>
      <c r="AB61" s="837"/>
      <c r="AC61" s="128"/>
      <c r="AD61" s="128"/>
      <c r="AE61" s="128"/>
      <c r="AF61" s="128"/>
      <c r="AG61" s="837"/>
      <c r="AH61" s="128"/>
      <c r="AI61" s="128"/>
      <c r="AJ61" s="128"/>
      <c r="AK61" s="128"/>
      <c r="AL61" s="837"/>
      <c r="AM61" s="128"/>
      <c r="AN61" s="128"/>
      <c r="AO61" s="128"/>
      <c r="AP61" s="128"/>
      <c r="AQ61" s="837"/>
      <c r="AR61" s="128"/>
      <c r="AS61" s="128"/>
      <c r="AT61" s="128"/>
      <c r="AU61" s="128"/>
      <c r="AV61" s="837"/>
      <c r="AW61" s="128"/>
      <c r="AX61" s="128"/>
      <c r="AY61" s="128"/>
      <c r="AZ61" s="128"/>
      <c r="BA61" s="837"/>
      <c r="BB61" s="128"/>
      <c r="BC61" s="128"/>
      <c r="BD61" s="128"/>
      <c r="BE61" s="128"/>
      <c r="BF61" s="837"/>
      <c r="BG61" s="128"/>
      <c r="BH61" s="128"/>
      <c r="BI61" s="128"/>
      <c r="BJ61" s="128"/>
      <c r="BK61" s="837"/>
      <c r="BL61" s="128"/>
      <c r="BM61" s="128"/>
      <c r="BN61" s="128"/>
      <c r="BO61" s="128"/>
      <c r="BP61" s="837"/>
      <c r="BQ61" s="128"/>
      <c r="BR61" s="128"/>
      <c r="BS61" s="128"/>
      <c r="BT61" s="128"/>
      <c r="BU61" s="837"/>
      <c r="BV61" s="128"/>
      <c r="BW61" s="128"/>
      <c r="BX61" s="128"/>
      <c r="BY61" s="128"/>
      <c r="BZ61" s="837"/>
      <c r="CA61" s="128"/>
      <c r="CB61" s="128"/>
      <c r="CC61" s="128"/>
      <c r="CD61" s="128"/>
      <c r="CE61" s="837"/>
      <c r="CF61" s="128"/>
      <c r="CG61" s="128"/>
      <c r="CH61" s="128"/>
      <c r="CI61" s="128"/>
      <c r="CJ61" s="837"/>
      <c r="CK61" s="128"/>
      <c r="CL61" s="128"/>
      <c r="CM61" s="128"/>
      <c r="CN61" s="128"/>
      <c r="CO61" s="837"/>
      <c r="CP61" s="128"/>
      <c r="CQ61" s="128"/>
      <c r="CR61" s="128"/>
      <c r="CS61" s="128"/>
      <c r="CT61" s="836"/>
      <c r="CU61" s="128"/>
      <c r="CV61" s="128"/>
      <c r="CW61" s="128"/>
      <c r="CX61" s="128"/>
      <c r="CY61" s="836"/>
      <c r="CZ61" s="129"/>
      <c r="DA61" s="128"/>
      <c r="DB61" s="129"/>
      <c r="DC61" s="128"/>
      <c r="DD61" s="836"/>
      <c r="DE61" s="129"/>
      <c r="DF61" s="128"/>
      <c r="DG61" s="129"/>
      <c r="DH61" s="128"/>
      <c r="DI61" s="836"/>
      <c r="DJ61" s="129"/>
      <c r="DK61" s="129"/>
      <c r="DL61" s="129"/>
      <c r="DM61" s="129"/>
      <c r="DN61" s="836"/>
      <c r="DO61" s="129"/>
      <c r="DP61" s="129"/>
      <c r="DQ61" s="129"/>
      <c r="DR61" s="129"/>
      <c r="DS61" s="863">
        <f>DS59/DS68</f>
        <v>3.785167384</v>
      </c>
      <c r="DT61" s="129"/>
      <c r="DU61" s="129"/>
      <c r="DV61" s="129"/>
      <c r="DW61" s="129"/>
      <c r="DX61" s="863">
        <f>DX59/DX68</f>
        <v>4.992319508</v>
      </c>
      <c r="DY61" s="129"/>
      <c r="DZ61" s="129"/>
      <c r="EA61" s="129"/>
      <c r="EB61" s="129"/>
      <c r="EC61" s="836"/>
      <c r="ED61" s="129"/>
      <c r="EE61" s="129"/>
      <c r="EF61" s="129"/>
      <c r="EG61" s="129"/>
      <c r="EH61" s="836"/>
      <c r="EI61" s="134"/>
      <c r="EJ61" s="128"/>
      <c r="EK61" s="128"/>
      <c r="EL61" s="128"/>
      <c r="EM61" s="836"/>
      <c r="EN61" s="128"/>
      <c r="EO61" s="128"/>
      <c r="EP61" s="128"/>
      <c r="EQ61" s="128"/>
      <c r="ER61" s="836"/>
      <c r="ES61" s="128"/>
      <c r="ET61" s="128"/>
      <c r="EU61" s="128"/>
      <c r="EV61" s="128"/>
      <c r="EW61" s="836"/>
      <c r="EX61" s="128"/>
      <c r="EY61" s="128"/>
      <c r="EZ61" s="128"/>
      <c r="FA61" s="128"/>
      <c r="FB61" s="836"/>
      <c r="FC61" s="128"/>
      <c r="FD61" s="128"/>
      <c r="FE61" s="128"/>
      <c r="FF61" s="128"/>
      <c r="FG61" s="836"/>
    </row>
    <row r="62" ht="12.75" customHeight="1">
      <c r="A62" s="128"/>
      <c r="B62" s="179" t="s">
        <v>605</v>
      </c>
      <c r="C62" s="179"/>
      <c r="D62" s="179"/>
      <c r="E62" s="179"/>
      <c r="F62" s="179"/>
      <c r="G62" s="179"/>
      <c r="H62" s="179"/>
      <c r="I62" s="179"/>
      <c r="J62" s="179"/>
      <c r="K62" s="179"/>
      <c r="L62" s="179"/>
      <c r="M62" s="179"/>
      <c r="N62" s="179"/>
      <c r="O62" s="179"/>
      <c r="P62" s="179"/>
      <c r="Q62" s="128">
        <f t="shared" ref="Q62:Q63" si="285">R62-P62-O62-N62</f>
        <v>40</v>
      </c>
      <c r="R62" s="57">
        <v>40.0</v>
      </c>
      <c r="S62" s="179"/>
      <c r="T62" s="179"/>
      <c r="U62" s="179"/>
      <c r="V62" s="128">
        <f t="shared" ref="V62:V63" si="286">W62-U62-T62-S62</f>
        <v>40</v>
      </c>
      <c r="W62" s="57">
        <v>40.0</v>
      </c>
      <c r="X62" s="128">
        <v>14.0</v>
      </c>
      <c r="Y62" s="128">
        <f>24-X62</f>
        <v>10</v>
      </c>
      <c r="Z62" s="128">
        <f>32-Y62-X62</f>
        <v>8</v>
      </c>
      <c r="AA62" s="128">
        <f t="shared" ref="AA62:AA63" si="287">AB62-Z62-Y62-X62</f>
        <v>11</v>
      </c>
      <c r="AB62" s="838">
        <v>43.0</v>
      </c>
      <c r="AC62" s="128">
        <v>13.0</v>
      </c>
      <c r="AD62" s="128">
        <f>27-AC62</f>
        <v>14</v>
      </c>
      <c r="AE62" s="128">
        <f>39-AD62-AC62</f>
        <v>12</v>
      </c>
      <c r="AF62" s="128">
        <f t="shared" ref="AF62:AF63" si="288">AG62-AE62-AD62-AC62</f>
        <v>11</v>
      </c>
      <c r="AG62" s="838">
        <v>50.0</v>
      </c>
      <c r="AH62" s="128">
        <v>21.0</v>
      </c>
      <c r="AI62" s="128">
        <f>38-AH62</f>
        <v>17</v>
      </c>
      <c r="AJ62" s="128">
        <f>38-AH62-AI62</f>
        <v>0</v>
      </c>
      <c r="AK62" s="128">
        <f t="shared" ref="AK62:AK63" si="289">AL62-SUM(AH62:AJ62)</f>
        <v>28</v>
      </c>
      <c r="AL62" s="838">
        <v>66.0</v>
      </c>
      <c r="AM62" s="128">
        <v>9.0</v>
      </c>
      <c r="AN62" s="128">
        <f>14-AM62</f>
        <v>5</v>
      </c>
      <c r="AO62" s="128">
        <f>17-AM62-AN62</f>
        <v>3</v>
      </c>
      <c r="AP62" s="128">
        <f t="shared" ref="AP62:AP63" si="290">AQ62-SUM(AM62:AO62)</f>
        <v>42</v>
      </c>
      <c r="AQ62" s="838">
        <v>59.0</v>
      </c>
      <c r="AR62" s="128">
        <v>13.0</v>
      </c>
      <c r="AS62" s="128">
        <f>21-AR62</f>
        <v>8</v>
      </c>
      <c r="AT62" s="128">
        <f>23-AR62-AS62</f>
        <v>2</v>
      </c>
      <c r="AU62" s="128">
        <f t="shared" ref="AU62:AU63" si="291">AV62-SUM(AR62:AT62)</f>
        <v>29</v>
      </c>
      <c r="AV62" s="838">
        <v>52.0</v>
      </c>
      <c r="AW62" s="128">
        <v>2.0</v>
      </c>
      <c r="AX62" s="128">
        <f>5-AW62</f>
        <v>3</v>
      </c>
      <c r="AY62" s="128">
        <f>6-AW62-AX62</f>
        <v>1</v>
      </c>
      <c r="AZ62" s="837">
        <f t="shared" ref="AZ62:AZ63" si="292">BA62-SUM(AW62:AY62)</f>
        <v>21</v>
      </c>
      <c r="BA62" s="838">
        <v>27.0</v>
      </c>
      <c r="BB62" s="128">
        <v>5.0</v>
      </c>
      <c r="BC62" s="128">
        <f>6-BB62</f>
        <v>1</v>
      </c>
      <c r="BD62" s="128">
        <f>7-BB62-BC62</f>
        <v>1</v>
      </c>
      <c r="BE62" s="128">
        <f t="shared" ref="BE62:BE63" si="293">BF62-SUM(BB62:BD62)</f>
        <v>18</v>
      </c>
      <c r="BF62" s="838">
        <v>25.0</v>
      </c>
      <c r="BG62" s="128">
        <v>3.0</v>
      </c>
      <c r="BH62" s="128">
        <f>4-BG62</f>
        <v>1</v>
      </c>
      <c r="BI62" s="837">
        <f>7-BG62-BH62</f>
        <v>3</v>
      </c>
      <c r="BJ62" s="128">
        <f t="shared" ref="BJ62:BJ63" si="294">BK62-SUM(BG62:BI62)</f>
        <v>8</v>
      </c>
      <c r="BK62" s="838">
        <v>15.0</v>
      </c>
      <c r="BL62" s="128">
        <v>0.0</v>
      </c>
      <c r="BM62" s="128">
        <f>3-BL62</f>
        <v>3</v>
      </c>
      <c r="BN62" s="128">
        <f>4-BL62-BM62</f>
        <v>1</v>
      </c>
      <c r="BO62" s="128">
        <f t="shared" ref="BO62:BO63" si="295">BP62-SUM(BL62:BN62)</f>
        <v>2</v>
      </c>
      <c r="BP62" s="838">
        <v>6.0</v>
      </c>
      <c r="BQ62" s="128">
        <v>3.0</v>
      </c>
      <c r="BR62" s="128">
        <f>3-BQ62</f>
        <v>0</v>
      </c>
      <c r="BS62" s="128">
        <f>BR62</f>
        <v>0</v>
      </c>
      <c r="BT62" s="128">
        <f t="shared" ref="BT62:BT63" si="296">BU62-SUM(BQ62:BS62)</f>
        <v>1</v>
      </c>
      <c r="BU62" s="838">
        <v>4.0</v>
      </c>
      <c r="BV62" s="128">
        <v>0.0</v>
      </c>
      <c r="BW62" s="128">
        <f>0-BV62</f>
        <v>0</v>
      </c>
      <c r="BX62" s="128">
        <f>BW62</f>
        <v>0</v>
      </c>
      <c r="BY62" s="128">
        <f t="shared" ref="BY62:BY63" si="297">BZ62-SUM(BV62:BX62)</f>
        <v>0</v>
      </c>
      <c r="BZ62" s="838">
        <v>0.0</v>
      </c>
      <c r="CA62" s="128">
        <v>0.0</v>
      </c>
      <c r="CB62" s="128">
        <v>0.0</v>
      </c>
      <c r="CC62" s="128">
        <v>0.0</v>
      </c>
      <c r="CD62" s="128">
        <f t="shared" ref="CD62:CD63" si="298">CE62-SUM(CA62:CC62)</f>
        <v>0</v>
      </c>
      <c r="CE62" s="838">
        <f>BZ62</f>
        <v>0</v>
      </c>
      <c r="CF62" s="128">
        <v>9.0</v>
      </c>
      <c r="CG62" s="128">
        <f>9-CF62</f>
        <v>0</v>
      </c>
      <c r="CH62" s="128">
        <f>33-CF62-CG62</f>
        <v>24</v>
      </c>
      <c r="CI62" s="128">
        <f t="shared" ref="CI62:CI63" si="299">CJ62-SUM(CF62:CH62)</f>
        <v>38</v>
      </c>
      <c r="CJ62" s="838">
        <v>71.0</v>
      </c>
      <c r="CK62" s="128">
        <v>0.0</v>
      </c>
      <c r="CL62" s="128">
        <f t="shared" ref="CL62:CM62" si="273">CK62</f>
        <v>0</v>
      </c>
      <c r="CM62" s="128">
        <f t="shared" si="273"/>
        <v>0</v>
      </c>
      <c r="CN62" s="128">
        <f t="shared" ref="CN62:CN63" si="300">CO62-SUM(CK62:CM62)</f>
        <v>71</v>
      </c>
      <c r="CO62" s="838">
        <f>CJ62</f>
        <v>71</v>
      </c>
      <c r="CP62" s="128">
        <v>0.0</v>
      </c>
      <c r="CQ62" s="128">
        <f>90-CP62</f>
        <v>90</v>
      </c>
      <c r="CR62" s="128">
        <f>CQ62</f>
        <v>90</v>
      </c>
      <c r="CS62" s="128">
        <f t="shared" ref="CS62:CS63" si="301">CT62-SUM(CP62:CR62)</f>
        <v>-109</v>
      </c>
      <c r="CT62" s="839">
        <f>CO62</f>
        <v>71</v>
      </c>
      <c r="CU62" s="128">
        <v>0.0</v>
      </c>
      <c r="CV62" s="128">
        <f>80-CU62</f>
        <v>80</v>
      </c>
      <c r="CW62" s="128">
        <f>CV62</f>
        <v>80</v>
      </c>
      <c r="CX62" s="128">
        <f t="shared" ref="CX62:CX63" si="302">CY62-SUM(CU62:CW62)</f>
        <v>-89</v>
      </c>
      <c r="CY62" s="839">
        <f>CT62</f>
        <v>71</v>
      </c>
      <c r="CZ62" s="129">
        <v>254.0</v>
      </c>
      <c r="DA62" s="128">
        <f>348-CZ62</f>
        <v>94</v>
      </c>
      <c r="DB62" s="129">
        <f>DA62</f>
        <v>94</v>
      </c>
      <c r="DC62" s="128">
        <f t="shared" ref="DC62:DC63" si="303">DD62-SUM(CZ62:DB62)</f>
        <v>-371</v>
      </c>
      <c r="DD62" s="839">
        <f>CY62</f>
        <v>71</v>
      </c>
      <c r="DE62" s="129">
        <f t="shared" ref="DE62:DE63" si="304">DI62/4</f>
        <v>17.75</v>
      </c>
      <c r="DF62" s="128">
        <f t="shared" ref="DF62:DG62" si="274">DE62</f>
        <v>17.75</v>
      </c>
      <c r="DG62" s="129">
        <f t="shared" si="274"/>
        <v>17.75</v>
      </c>
      <c r="DH62" s="128">
        <f t="shared" ref="DH62:DH63" si="305">DI62-SUM(DE62:DG62)</f>
        <v>17.75</v>
      </c>
      <c r="DI62" s="839">
        <f>DD62</f>
        <v>71</v>
      </c>
      <c r="DJ62" s="129">
        <f t="shared" ref="DJ62:DJ63" si="306">DN62/4</f>
        <v>17.75</v>
      </c>
      <c r="DK62" s="129">
        <f t="shared" ref="DK62:DL62" si="275">DJ62</f>
        <v>17.75</v>
      </c>
      <c r="DL62" s="129">
        <f t="shared" si="275"/>
        <v>17.75</v>
      </c>
      <c r="DM62" s="129">
        <f t="shared" ref="DM62:DM63" si="307">DN62-SUM(DJ62:DL62)</f>
        <v>17.75</v>
      </c>
      <c r="DN62" s="839">
        <f>DI62</f>
        <v>71</v>
      </c>
      <c r="DO62" s="864">
        <f t="shared" ref="DO62:DO63" si="308">DS62/4</f>
        <v>17.75</v>
      </c>
      <c r="DP62" s="129">
        <f t="shared" ref="DP62:DQ62" si="276">DO62</f>
        <v>17.75</v>
      </c>
      <c r="DQ62" s="129">
        <f t="shared" si="276"/>
        <v>17.75</v>
      </c>
      <c r="DR62" s="129">
        <f t="shared" ref="DR62:DR63" si="309">DS62-SUM(DO62:DQ62)</f>
        <v>17.75</v>
      </c>
      <c r="DS62" s="839">
        <f>DN62</f>
        <v>71</v>
      </c>
      <c r="DT62" s="129">
        <f t="shared" ref="DT62:DT63" si="310">DX62/4</f>
        <v>17.75</v>
      </c>
      <c r="DU62" s="129">
        <f t="shared" ref="DU62:DV62" si="277">DT62</f>
        <v>17.75</v>
      </c>
      <c r="DV62" s="129">
        <f t="shared" si="277"/>
        <v>17.75</v>
      </c>
      <c r="DW62" s="129">
        <f t="shared" ref="DW62:DW63" si="311">DX62-SUM(DT62:DV62)</f>
        <v>17.75</v>
      </c>
      <c r="DX62" s="839">
        <f>DS62</f>
        <v>71</v>
      </c>
      <c r="DY62" s="129">
        <f t="shared" ref="DY62:DY63" si="312">EC62/4</f>
        <v>17.75</v>
      </c>
      <c r="DZ62" s="129">
        <f t="shared" ref="DZ62:EA62" si="278">DY62</f>
        <v>17.75</v>
      </c>
      <c r="EA62" s="129">
        <f t="shared" si="278"/>
        <v>17.75</v>
      </c>
      <c r="EB62" s="129">
        <f t="shared" ref="EB62:EB63" si="313">EC62-SUM(DY62:EA62)</f>
        <v>17.75</v>
      </c>
      <c r="EC62" s="839">
        <f>DX62</f>
        <v>71</v>
      </c>
      <c r="ED62" s="129">
        <f t="shared" ref="ED62:ED63" si="314">EH62/4</f>
        <v>17.75</v>
      </c>
      <c r="EE62" s="129">
        <f t="shared" ref="EE62:EF62" si="279">ED62</f>
        <v>17.75</v>
      </c>
      <c r="EF62" s="129">
        <f t="shared" si="279"/>
        <v>17.75</v>
      </c>
      <c r="EG62" s="129">
        <f t="shared" ref="EG62:EG63" si="315">EH62-SUM(ED62:EF62)</f>
        <v>17.75</v>
      </c>
      <c r="EH62" s="839">
        <f>EC62</f>
        <v>71</v>
      </c>
      <c r="EI62" s="134">
        <f t="shared" ref="EI62:EI63" si="316">EM62/4</f>
        <v>17.75</v>
      </c>
      <c r="EJ62" s="128">
        <f t="shared" ref="EJ62:EK62" si="280">EI62</f>
        <v>17.75</v>
      </c>
      <c r="EK62" s="128">
        <f t="shared" si="280"/>
        <v>17.75</v>
      </c>
      <c r="EL62" s="128">
        <f t="shared" ref="EL62:EL63" si="317">EM62-SUM(EI62:EK62)</f>
        <v>17.75</v>
      </c>
      <c r="EM62" s="839">
        <f>EH62</f>
        <v>71</v>
      </c>
      <c r="EN62" s="128">
        <f t="shared" ref="EN62:EN63" si="318">ER62/4</f>
        <v>17.75</v>
      </c>
      <c r="EO62" s="128">
        <f t="shared" ref="EO62:EP62" si="281">EN62</f>
        <v>17.75</v>
      </c>
      <c r="EP62" s="128">
        <f t="shared" si="281"/>
        <v>17.75</v>
      </c>
      <c r="EQ62" s="128">
        <f t="shared" ref="EQ62:EQ63" si="319">ER62-SUM(EN62:EP62)</f>
        <v>17.75</v>
      </c>
      <c r="ER62" s="839">
        <f>EM62</f>
        <v>71</v>
      </c>
      <c r="ES62" s="128">
        <f t="shared" ref="ES62:ES63" si="320">EW62/4</f>
        <v>17.75</v>
      </c>
      <c r="ET62" s="128">
        <f t="shared" ref="ET62:EU62" si="282">ES62</f>
        <v>17.75</v>
      </c>
      <c r="EU62" s="128">
        <f t="shared" si="282"/>
        <v>17.75</v>
      </c>
      <c r="EV62" s="128">
        <f t="shared" ref="EV62:EV63" si="321">EW62-SUM(ES62:EU62)</f>
        <v>17.75</v>
      </c>
      <c r="EW62" s="839">
        <f>ER62</f>
        <v>71</v>
      </c>
      <c r="EX62" s="128">
        <f t="shared" ref="EX62:EX63" si="322">FB62/4</f>
        <v>17.75</v>
      </c>
      <c r="EY62" s="128">
        <f t="shared" ref="EY62:EZ62" si="283">EX62</f>
        <v>17.75</v>
      </c>
      <c r="EZ62" s="128">
        <f t="shared" si="283"/>
        <v>17.75</v>
      </c>
      <c r="FA62" s="128">
        <f t="shared" ref="FA62:FA63" si="323">FB62-SUM(EX62:EZ62)</f>
        <v>17.75</v>
      </c>
      <c r="FB62" s="839">
        <f>EW62</f>
        <v>71</v>
      </c>
      <c r="FC62" s="128">
        <f t="shared" ref="FC62:FC63" si="324">FG62/4</f>
        <v>17.75</v>
      </c>
      <c r="FD62" s="128">
        <f t="shared" ref="FD62:FE62" si="284">FC62</f>
        <v>17.75</v>
      </c>
      <c r="FE62" s="128">
        <f t="shared" si="284"/>
        <v>17.75</v>
      </c>
      <c r="FF62" s="128">
        <f t="shared" ref="FF62:FF63" si="325">FG62-SUM(FC62:FE62)</f>
        <v>17.75</v>
      </c>
      <c r="FG62" s="839">
        <f>FB62</f>
        <v>71</v>
      </c>
    </row>
    <row r="63" ht="12.75" customHeight="1">
      <c r="A63" s="128"/>
      <c r="B63" s="179" t="s">
        <v>606</v>
      </c>
      <c r="C63" s="179"/>
      <c r="D63" s="179"/>
      <c r="E63" s="179"/>
      <c r="F63" s="179"/>
      <c r="G63" s="179"/>
      <c r="H63" s="179"/>
      <c r="I63" s="179"/>
      <c r="J63" s="179"/>
      <c r="K63" s="179"/>
      <c r="L63" s="179"/>
      <c r="M63" s="179"/>
      <c r="N63" s="179"/>
      <c r="O63" s="179"/>
      <c r="P63" s="179"/>
      <c r="Q63" s="128">
        <f t="shared" si="285"/>
        <v>2784</v>
      </c>
      <c r="R63" s="57">
        <v>2784.0</v>
      </c>
      <c r="S63" s="179"/>
      <c r="T63" s="179"/>
      <c r="U63" s="179"/>
      <c r="V63" s="128">
        <f t="shared" si="286"/>
        <v>2899</v>
      </c>
      <c r="W63" s="57">
        <v>2899.0</v>
      </c>
      <c r="X63" s="128">
        <v>475.0</v>
      </c>
      <c r="Y63" s="128">
        <f>1627-X63</f>
        <v>1152</v>
      </c>
      <c r="Z63" s="128">
        <f>2987-Y63-X63</f>
        <v>1360</v>
      </c>
      <c r="AA63" s="128">
        <f t="shared" si="287"/>
        <v>1222</v>
      </c>
      <c r="AB63" s="838">
        <v>4209.0</v>
      </c>
      <c r="AC63" s="128">
        <v>803.0</v>
      </c>
      <c r="AD63" s="128">
        <f>937-AC63</f>
        <v>134</v>
      </c>
      <c r="AE63" s="128">
        <f>1112-AD63-AC63</f>
        <v>175</v>
      </c>
      <c r="AF63" s="128">
        <f t="shared" si="288"/>
        <v>388</v>
      </c>
      <c r="AG63" s="838">
        <v>1500.0</v>
      </c>
      <c r="AH63" s="128">
        <v>258.0</v>
      </c>
      <c r="AI63" s="128">
        <f>428-AH63</f>
        <v>170</v>
      </c>
      <c r="AJ63" s="128">
        <f>301-AH63-AI63</f>
        <v>-127</v>
      </c>
      <c r="AK63" s="128">
        <f t="shared" si="289"/>
        <v>174</v>
      </c>
      <c r="AL63" s="838">
        <v>475.0</v>
      </c>
      <c r="AM63" s="128">
        <v>180.0</v>
      </c>
      <c r="AN63" s="128">
        <f>270-AM63</f>
        <v>90</v>
      </c>
      <c r="AO63" s="128">
        <f>634-AM63-AN63</f>
        <v>364</v>
      </c>
      <c r="AP63" s="128">
        <f t="shared" si="290"/>
        <v>933</v>
      </c>
      <c r="AQ63" s="838">
        <v>1567.0</v>
      </c>
      <c r="AR63" s="128">
        <v>885.0</v>
      </c>
      <c r="AS63" s="128">
        <f>601-AR63</f>
        <v>-284</v>
      </c>
      <c r="AT63" s="128">
        <f>1362-AR63-AS63</f>
        <v>761</v>
      </c>
      <c r="AU63" s="128">
        <f t="shared" si="291"/>
        <v>1030</v>
      </c>
      <c r="AV63" s="838">
        <v>2392.0</v>
      </c>
      <c r="AW63" s="128">
        <v>164.0</v>
      </c>
      <c r="AX63" s="128">
        <f>1452-AW63</f>
        <v>1288</v>
      </c>
      <c r="AY63" s="128">
        <f>2084-AW63-AX63</f>
        <v>632</v>
      </c>
      <c r="AZ63" s="837">
        <f t="shared" si="292"/>
        <v>1134</v>
      </c>
      <c r="BA63" s="838">
        <v>3218.0</v>
      </c>
      <c r="BB63" s="128">
        <v>558.0</v>
      </c>
      <c r="BC63" s="128">
        <f>2105-BB63</f>
        <v>1547</v>
      </c>
      <c r="BD63" s="128">
        <f>2213-BB63-BC63</f>
        <v>108</v>
      </c>
      <c r="BE63" s="128">
        <f t="shared" si="293"/>
        <v>219</v>
      </c>
      <c r="BF63" s="838">
        <v>2432.0</v>
      </c>
      <c r="BG63" s="128">
        <v>679.0</v>
      </c>
      <c r="BH63" s="128">
        <f>1734-BG63</f>
        <v>1055</v>
      </c>
      <c r="BI63" s="837">
        <f>1977-BG63-BH63</f>
        <v>243</v>
      </c>
      <c r="BJ63" s="128">
        <f t="shared" si="294"/>
        <v>785</v>
      </c>
      <c r="BK63" s="838">
        <v>2762.0</v>
      </c>
      <c r="BL63" s="128">
        <v>505.0</v>
      </c>
      <c r="BM63" s="128">
        <f>2293-BL63</f>
        <v>1788</v>
      </c>
      <c r="BN63" s="128">
        <f>2941-BL63-BM63</f>
        <v>648</v>
      </c>
      <c r="BO63" s="128">
        <f t="shared" si="295"/>
        <v>1066</v>
      </c>
      <c r="BP63" s="838">
        <v>4007.0</v>
      </c>
      <c r="BQ63" s="128">
        <v>184.0</v>
      </c>
      <c r="BR63" s="128">
        <f>278-BQ63</f>
        <v>94</v>
      </c>
      <c r="BS63" s="128">
        <f>BU63/4</f>
        <v>235.75</v>
      </c>
      <c r="BT63" s="128">
        <f t="shared" si="296"/>
        <v>429.25</v>
      </c>
      <c r="BU63" s="838">
        <v>943.0</v>
      </c>
      <c r="BV63" s="128">
        <v>127.0</v>
      </c>
      <c r="BW63" s="128">
        <f>2359-BV63</f>
        <v>2232</v>
      </c>
      <c r="BX63" s="128">
        <f>3493-BV63-BW63</f>
        <v>1134</v>
      </c>
      <c r="BY63" s="128">
        <f t="shared" si="297"/>
        <v>1134</v>
      </c>
      <c r="BZ63" s="838">
        <v>4627.0</v>
      </c>
      <c r="CA63" s="128">
        <v>269.0</v>
      </c>
      <c r="CB63" s="128">
        <f>2596-CA63</f>
        <v>2327</v>
      </c>
      <c r="CC63" s="128">
        <f>2770-CA63-CB63</f>
        <v>174</v>
      </c>
      <c r="CD63" s="128">
        <f t="shared" si="298"/>
        <v>568</v>
      </c>
      <c r="CE63" s="838">
        <v>3338.0</v>
      </c>
      <c r="CF63" s="128">
        <v>376.0</v>
      </c>
      <c r="CG63" s="128">
        <f>2204-CF63</f>
        <v>1828</v>
      </c>
      <c r="CH63" s="128">
        <f>2906-CF63-CG63</f>
        <v>702</v>
      </c>
      <c r="CI63" s="128">
        <f t="shared" si="299"/>
        <v>1024</v>
      </c>
      <c r="CJ63" s="838">
        <v>3930.0</v>
      </c>
      <c r="CK63" s="128">
        <v>200.0</v>
      </c>
      <c r="CL63" s="128">
        <f>CO63/4</f>
        <v>747.75</v>
      </c>
      <c r="CM63" s="128">
        <f>CO63/4</f>
        <v>747.75</v>
      </c>
      <c r="CN63" s="128">
        <f t="shared" si="300"/>
        <v>1295.5</v>
      </c>
      <c r="CO63" s="838">
        <f>IS!CO48</f>
        <v>2991</v>
      </c>
      <c r="CP63" s="128">
        <v>571.0</v>
      </c>
      <c r="CQ63" s="128">
        <f>1935-CP63</f>
        <v>1364</v>
      </c>
      <c r="CR63" s="128">
        <f>CT63/4</f>
        <v>1024.25</v>
      </c>
      <c r="CS63" s="128">
        <f t="shared" si="301"/>
        <v>1137.75</v>
      </c>
      <c r="CT63" s="839">
        <f>IS!CT48</f>
        <v>4097</v>
      </c>
      <c r="CU63" s="128">
        <v>596.0</v>
      </c>
      <c r="CV63" s="128">
        <f>1699-CU63</f>
        <v>1103</v>
      </c>
      <c r="CW63" s="128">
        <f>CY63/4</f>
        <v>698</v>
      </c>
      <c r="CX63" s="128">
        <f t="shared" si="302"/>
        <v>395</v>
      </c>
      <c r="CY63" s="839">
        <f>IS!CY48</f>
        <v>2792</v>
      </c>
      <c r="CZ63" s="129">
        <v>-72.0</v>
      </c>
      <c r="DA63" s="128">
        <f>689-CZ63</f>
        <v>761</v>
      </c>
      <c r="DB63" s="129">
        <f>DD63/4</f>
        <v>655</v>
      </c>
      <c r="DC63" s="128">
        <f t="shared" si="303"/>
        <v>1276</v>
      </c>
      <c r="DD63" s="839">
        <f>IS!DD48</f>
        <v>2620</v>
      </c>
      <c r="DE63" s="129">
        <f t="shared" si="304"/>
        <v>2687.75</v>
      </c>
      <c r="DF63" s="128">
        <f>DI63/4</f>
        <v>2687.75</v>
      </c>
      <c r="DG63" s="129">
        <f>DI63/4</f>
        <v>2687.75</v>
      </c>
      <c r="DH63" s="128">
        <f t="shared" si="305"/>
        <v>2687.75</v>
      </c>
      <c r="DI63" s="839">
        <f>IS!DI48</f>
        <v>10751</v>
      </c>
      <c r="DJ63" s="129">
        <f t="shared" si="306"/>
        <v>566</v>
      </c>
      <c r="DK63" s="129">
        <f>DN63/4</f>
        <v>566</v>
      </c>
      <c r="DL63" s="129">
        <f>DN63/4</f>
        <v>566</v>
      </c>
      <c r="DM63" s="129">
        <f t="shared" si="307"/>
        <v>566</v>
      </c>
      <c r="DN63" s="839">
        <f>IS!DN48</f>
        <v>2264</v>
      </c>
      <c r="DO63" s="864">
        <f t="shared" si="308"/>
        <v>752.5</v>
      </c>
      <c r="DP63" s="129">
        <f>DS63/4</f>
        <v>752.5</v>
      </c>
      <c r="DQ63" s="129">
        <f>DS63/4</f>
        <v>752.5</v>
      </c>
      <c r="DR63" s="129">
        <f t="shared" si="309"/>
        <v>752.5</v>
      </c>
      <c r="DS63" s="839">
        <f>IS!DS48</f>
        <v>3010</v>
      </c>
      <c r="DT63" s="129">
        <f t="shared" si="310"/>
        <v>1044.75</v>
      </c>
      <c r="DU63" s="129">
        <f>DX63/4</f>
        <v>1044.75</v>
      </c>
      <c r="DV63" s="129">
        <f>DX63/4</f>
        <v>1044.75</v>
      </c>
      <c r="DW63" s="129">
        <f t="shared" si="311"/>
        <v>1044.75</v>
      </c>
      <c r="DX63" s="839">
        <f>IS!DX48</f>
        <v>4179</v>
      </c>
      <c r="DY63" s="129">
        <f t="shared" si="312"/>
        <v>458.75</v>
      </c>
      <c r="DZ63" s="129">
        <f>EC63/4</f>
        <v>458.75</v>
      </c>
      <c r="EA63" s="129">
        <f>EC63/4</f>
        <v>458.75</v>
      </c>
      <c r="EB63" s="129">
        <f t="shared" si="313"/>
        <v>458.75</v>
      </c>
      <c r="EC63" s="839">
        <f>IS!EC48</f>
        <v>1835</v>
      </c>
      <c r="ED63" s="129">
        <f t="shared" si="314"/>
        <v>-62.25</v>
      </c>
      <c r="EE63" s="129">
        <f>EH63/4</f>
        <v>-62.25</v>
      </c>
      <c r="EF63" s="129">
        <f>EH63/4</f>
        <v>-62.25</v>
      </c>
      <c r="EG63" s="129">
        <f t="shared" si="315"/>
        <v>-62.25</v>
      </c>
      <c r="EH63" s="839">
        <f>IS!EH48</f>
        <v>-249</v>
      </c>
      <c r="EI63" s="134" t="str">
        <f t="shared" si="316"/>
        <v>#ERROR!</v>
      </c>
      <c r="EJ63" s="128" t="str">
        <f>EM63/4</f>
        <v>#ERROR!</v>
      </c>
      <c r="EK63" s="128" t="str">
        <f>EM63/4</f>
        <v>#ERROR!</v>
      </c>
      <c r="EL63" s="128" t="str">
        <f t="shared" si="317"/>
        <v>#ERROR!</v>
      </c>
      <c r="EM63" s="839" t="str">
        <f>IS!EM48</f>
        <v>#ERROR!</v>
      </c>
      <c r="EN63" s="128" t="str">
        <f t="shared" si="318"/>
        <v>#ERROR!</v>
      </c>
      <c r="EO63" s="128" t="str">
        <f>ER63/4</f>
        <v>#ERROR!</v>
      </c>
      <c r="EP63" s="128" t="str">
        <f>ER63/4</f>
        <v>#ERROR!</v>
      </c>
      <c r="EQ63" s="128" t="str">
        <f t="shared" si="319"/>
        <v>#ERROR!</v>
      </c>
      <c r="ER63" s="839" t="str">
        <f>IS!ER48</f>
        <v>#ERROR!</v>
      </c>
      <c r="ES63" s="128" t="str">
        <f t="shared" si="320"/>
        <v>#ERROR!</v>
      </c>
      <c r="ET63" s="128" t="str">
        <f>EW63/4</f>
        <v>#ERROR!</v>
      </c>
      <c r="EU63" s="128" t="str">
        <f>EW63/4</f>
        <v>#ERROR!</v>
      </c>
      <c r="EV63" s="128" t="str">
        <f t="shared" si="321"/>
        <v>#ERROR!</v>
      </c>
      <c r="EW63" s="839" t="str">
        <f>IS!EW48</f>
        <v>#ERROR!</v>
      </c>
      <c r="EX63" s="128" t="str">
        <f t="shared" si="322"/>
        <v>#ERROR!</v>
      </c>
      <c r="EY63" s="128" t="str">
        <f>FB63/4</f>
        <v>#ERROR!</v>
      </c>
      <c r="EZ63" s="128" t="str">
        <f>FB63/4</f>
        <v>#ERROR!</v>
      </c>
      <c r="FA63" s="128" t="str">
        <f t="shared" si="323"/>
        <v>#ERROR!</v>
      </c>
      <c r="FB63" s="839" t="str">
        <f>IS!FB48</f>
        <v>#ERROR!</v>
      </c>
      <c r="FC63" s="128" t="str">
        <f t="shared" si="324"/>
        <v>#ERROR!</v>
      </c>
      <c r="FD63" s="128" t="str">
        <f>FG63/4</f>
        <v>#ERROR!</v>
      </c>
      <c r="FE63" s="128" t="str">
        <f>FG63/4</f>
        <v>#ERROR!</v>
      </c>
      <c r="FF63" s="128" t="str">
        <f t="shared" si="325"/>
        <v>#ERROR!</v>
      </c>
      <c r="FG63" s="839" t="str">
        <f>IS!FG48</f>
        <v>#ERROR!</v>
      </c>
    </row>
    <row r="64" ht="12.75" customHeight="1">
      <c r="A64" s="128"/>
      <c r="B64" s="179"/>
      <c r="C64" s="179"/>
      <c r="D64" s="179"/>
      <c r="E64" s="179"/>
      <c r="F64" s="179"/>
      <c r="G64" s="179"/>
      <c r="H64" s="179"/>
      <c r="I64" s="179"/>
      <c r="J64" s="179"/>
      <c r="K64" s="179"/>
      <c r="L64" s="179"/>
      <c r="M64" s="179"/>
      <c r="N64" s="179"/>
      <c r="O64" s="179"/>
      <c r="P64" s="179"/>
      <c r="Q64" s="179"/>
      <c r="R64" s="865"/>
      <c r="S64" s="865"/>
      <c r="T64" s="865"/>
      <c r="U64" s="865"/>
      <c r="V64" s="865"/>
      <c r="W64" s="865"/>
      <c r="X64" s="865"/>
      <c r="Y64" s="865"/>
      <c r="Z64" s="865"/>
      <c r="AA64" s="865"/>
      <c r="AB64" s="865"/>
      <c r="AC64" s="865"/>
      <c r="AD64" s="865"/>
      <c r="AE64" s="865"/>
      <c r="AF64" s="865"/>
      <c r="AG64" s="865"/>
      <c r="AH64" s="128"/>
      <c r="AI64" s="128"/>
      <c r="AJ64" s="128"/>
      <c r="AK64" s="128"/>
      <c r="AL64" s="837"/>
      <c r="AM64" s="128"/>
      <c r="AN64" s="128"/>
      <c r="AO64" s="128"/>
      <c r="AP64" s="128"/>
      <c r="AQ64" s="837"/>
      <c r="AR64" s="128"/>
      <c r="AS64" s="128"/>
      <c r="AT64" s="128"/>
      <c r="AU64" s="128"/>
      <c r="AV64" s="837"/>
      <c r="AW64" s="128"/>
      <c r="AX64" s="128"/>
      <c r="AY64" s="128"/>
      <c r="AZ64" s="128"/>
      <c r="BA64" s="837"/>
      <c r="BB64" s="128"/>
      <c r="BC64" s="128"/>
      <c r="BD64" s="128"/>
      <c r="BE64" s="128"/>
      <c r="BF64" s="837"/>
      <c r="BG64" s="128"/>
      <c r="BH64" s="128"/>
      <c r="BI64" s="128"/>
      <c r="BJ64" s="128"/>
      <c r="BK64" s="837"/>
      <c r="BL64" s="128"/>
      <c r="BM64" s="128"/>
      <c r="BN64" s="128"/>
      <c r="BO64" s="128"/>
      <c r="BP64" s="837"/>
      <c r="BQ64" s="128"/>
      <c r="BR64" s="128"/>
      <c r="BS64" s="128"/>
      <c r="BT64" s="128"/>
      <c r="BU64" s="837"/>
      <c r="BV64" s="128"/>
      <c r="BW64" s="128"/>
      <c r="BX64" s="128"/>
      <c r="BY64" s="128"/>
      <c r="BZ64" s="837"/>
      <c r="CA64" s="128"/>
      <c r="CB64" s="128"/>
      <c r="CC64" s="128"/>
      <c r="CD64" s="128"/>
      <c r="CE64" s="837"/>
      <c r="CF64" s="128"/>
      <c r="CG64" s="128"/>
      <c r="CH64" s="128"/>
      <c r="CI64" s="128"/>
      <c r="CJ64" s="837"/>
      <c r="CK64" s="128"/>
      <c r="CL64" s="128"/>
      <c r="CM64" s="128"/>
      <c r="CN64" s="128"/>
      <c r="CO64" s="837"/>
      <c r="CP64" s="128"/>
      <c r="CQ64" s="128"/>
      <c r="CR64" s="128"/>
      <c r="CS64" s="128"/>
      <c r="CT64" s="836"/>
      <c r="CU64" s="128"/>
      <c r="CV64" s="128"/>
      <c r="CW64" s="128"/>
      <c r="CX64" s="128"/>
      <c r="CY64" s="836"/>
      <c r="CZ64" s="129"/>
      <c r="DA64" s="128"/>
      <c r="DB64" s="129"/>
      <c r="DC64" s="128"/>
      <c r="DD64" s="836"/>
      <c r="DE64" s="129"/>
      <c r="DF64" s="128"/>
      <c r="DG64" s="129"/>
      <c r="DH64" s="128"/>
      <c r="DI64" s="836"/>
      <c r="DJ64" s="129"/>
      <c r="DK64" s="129"/>
      <c r="DL64" s="129"/>
      <c r="DM64" s="129"/>
      <c r="DN64" s="836"/>
      <c r="DO64" s="129"/>
      <c r="DP64" s="129"/>
      <c r="DQ64" s="129"/>
      <c r="DR64" s="129"/>
      <c r="DS64" s="836"/>
      <c r="DT64" s="129"/>
      <c r="DU64" s="129"/>
      <c r="DV64" s="129"/>
      <c r="DW64" s="129"/>
      <c r="DX64" s="836"/>
      <c r="DY64" s="129"/>
      <c r="DZ64" s="129"/>
      <c r="EA64" s="129"/>
      <c r="EB64" s="129"/>
      <c r="EC64" s="836"/>
      <c r="ED64" s="129"/>
      <c r="EE64" s="129"/>
      <c r="EF64" s="129"/>
      <c r="EG64" s="129"/>
      <c r="EH64" s="836"/>
      <c r="EI64" s="134"/>
      <c r="EJ64" s="128"/>
      <c r="EK64" s="128"/>
      <c r="EL64" s="128"/>
      <c r="EM64" s="836"/>
      <c r="EN64" s="128"/>
      <c r="EO64" s="128"/>
      <c r="EP64" s="128"/>
      <c r="EQ64" s="128"/>
      <c r="ER64" s="836"/>
      <c r="ES64" s="128"/>
      <c r="ET64" s="128"/>
      <c r="EU64" s="128"/>
      <c r="EV64" s="128"/>
      <c r="EW64" s="836"/>
      <c r="EX64" s="128"/>
      <c r="EY64" s="128"/>
      <c r="EZ64" s="128"/>
      <c r="FA64" s="128"/>
      <c r="FB64" s="836"/>
      <c r="FC64" s="128"/>
      <c r="FD64" s="128"/>
      <c r="FE64" s="128"/>
      <c r="FF64" s="128"/>
      <c r="FG64" s="836"/>
    </row>
    <row r="65" ht="12.75" customHeight="1">
      <c r="A65" s="128"/>
      <c r="B65" s="179" t="s">
        <v>607</v>
      </c>
      <c r="C65" s="179"/>
      <c r="D65" s="179"/>
      <c r="E65" s="179"/>
      <c r="F65" s="179"/>
      <c r="G65" s="179"/>
      <c r="H65" s="179"/>
      <c r="I65" s="179"/>
      <c r="J65" s="179"/>
      <c r="K65" s="179"/>
      <c r="L65" s="179"/>
      <c r="M65" s="179"/>
      <c r="N65" s="179"/>
      <c r="O65" s="179"/>
      <c r="P65" s="179"/>
      <c r="Q65" s="179"/>
      <c r="R65" s="57"/>
      <c r="S65" s="179"/>
      <c r="T65" s="179"/>
      <c r="U65" s="179"/>
      <c r="V65" s="179"/>
      <c r="W65" s="785"/>
      <c r="X65" s="179">
        <f>-capex/COGS</f>
        <v>0.3593174975</v>
      </c>
      <c r="Y65" s="179">
        <f>-capex/COGS</f>
        <v>0.3813585136</v>
      </c>
      <c r="Z65" s="179">
        <f>-capex/COGS</f>
        <v>0.6114993647</v>
      </c>
      <c r="AA65" s="179">
        <f>-capex/COGS</f>
        <v>0.7501547988</v>
      </c>
      <c r="AB65" s="179">
        <f>-capex/COGS</f>
        <v>0.5275889328</v>
      </c>
      <c r="AC65" s="866">
        <f>-capex/COGS</f>
        <v>0.8260465116</v>
      </c>
      <c r="AD65" s="866">
        <f>-capex/COGS</f>
        <v>0.6483217418</v>
      </c>
      <c r="AE65" s="866">
        <f>-capex/COGS</f>
        <v>0.3841823811</v>
      </c>
      <c r="AF65" s="866">
        <f>-capex/COGS</f>
        <v>0.3339212228</v>
      </c>
      <c r="AG65" s="867">
        <f>-capex/COGS</f>
        <v>0.5419292652</v>
      </c>
      <c r="AH65" s="866">
        <f>-capex/COGS</f>
        <v>0.43320206</v>
      </c>
      <c r="AI65" s="866">
        <f>-capex/COGS</f>
        <v>0.3328358209</v>
      </c>
      <c r="AJ65" s="866">
        <f>-capex/COGS</f>
        <v>0.2867006905</v>
      </c>
      <c r="AK65" s="866">
        <f>-capex/COGS</f>
        <v>0.3472863741</v>
      </c>
      <c r="AL65" s="867">
        <f>-capex/COGS</f>
        <v>0.3497694482</v>
      </c>
      <c r="AM65" s="866">
        <f>-capex/COGS</f>
        <v>0.2945353504</v>
      </c>
      <c r="AN65" s="866">
        <f>-capex/COGS</f>
        <v>0.2756869773</v>
      </c>
      <c r="AO65" s="866">
        <f>-capex/COGS</f>
        <v>0.3273282443</v>
      </c>
      <c r="AP65" s="866">
        <f>-capex/COGS</f>
        <v>0.221978022</v>
      </c>
      <c r="AQ65" s="867">
        <f>-capex/COGS</f>
        <v>0.2802176746</v>
      </c>
      <c r="AR65" s="866">
        <f>-capex/COGS</f>
        <v>0.2111145607</v>
      </c>
      <c r="AS65" s="866">
        <f>-capex/COGS</f>
        <v>0.3138574488</v>
      </c>
      <c r="AT65" s="866">
        <f>-capex/COGS</f>
        <v>0.2947761194</v>
      </c>
      <c r="AU65" s="866">
        <f>-capex/COGS</f>
        <v>0.2442549159</v>
      </c>
      <c r="AV65" s="867">
        <f>-capex/COGS</f>
        <v>0.2657125078</v>
      </c>
      <c r="AW65" s="866">
        <f>-capex/COGS</f>
        <v>0.4661105318</v>
      </c>
      <c r="AX65" s="866">
        <f>-capex/COGS</f>
        <v>0.344836147</v>
      </c>
      <c r="AY65" s="866">
        <f>-capex/COGS</f>
        <v>0.3310950413</v>
      </c>
      <c r="AZ65" s="866">
        <f>-capex/COGS</f>
        <v>0.3483722123</v>
      </c>
      <c r="BA65" s="867">
        <f>-capex/COGS</f>
        <v>0.3720662531</v>
      </c>
      <c r="BB65" s="866">
        <f>-capex/COGS</f>
        <v>0.4398298724</v>
      </c>
      <c r="BC65" s="866">
        <f>-capex/COGS</f>
        <v>0.4528400208</v>
      </c>
      <c r="BD65" s="866">
        <f>-capex/COGS</f>
        <v>0.2625421822</v>
      </c>
      <c r="BE65" s="866">
        <f>-capex/COGS</f>
        <v>0.2285012285</v>
      </c>
      <c r="BF65" s="867">
        <f>-capex/COGS</f>
        <v>0.3366930785</v>
      </c>
      <c r="BG65" s="866">
        <f>-capex/COGS</f>
        <v>0.307918552</v>
      </c>
      <c r="BH65" s="866">
        <f>-capex/COGS</f>
        <v>0.27752443</v>
      </c>
      <c r="BI65" s="866">
        <f>-capex/COGS</f>
        <v>0.2263836871</v>
      </c>
      <c r="BJ65" s="866">
        <f>-capex/COGS</f>
        <v>0.2837717343</v>
      </c>
      <c r="BK65" s="867">
        <f>-capex/COGS</f>
        <v>0.2729704646</v>
      </c>
      <c r="BL65" s="866">
        <f>-capex/COGS</f>
        <v>0.2030900134</v>
      </c>
      <c r="BM65" s="866">
        <f>-capex/COGS</f>
        <v>0.2726841981</v>
      </c>
      <c r="BN65" s="866">
        <f>-capex/COGS</f>
        <v>0.3272987137</v>
      </c>
      <c r="BO65" s="866">
        <f>-capex/COGS</f>
        <v>0.4576095411</v>
      </c>
      <c r="BP65" s="867">
        <f>-capex/COGS</f>
        <v>0.3104169155</v>
      </c>
      <c r="BQ65" s="866">
        <f>-capex/COGS</f>
        <v>0.3862298439</v>
      </c>
      <c r="BR65" s="866">
        <f>-capex/COGS</f>
        <v>0.2486692015</v>
      </c>
      <c r="BS65" s="866">
        <f>-capex/COGS</f>
        <v>0.2368883312</v>
      </c>
      <c r="BT65" s="866">
        <f>-capex/COGS</f>
        <v>0.289890051</v>
      </c>
      <c r="BU65" s="867">
        <f>-capex/COGS</f>
        <v>0.2900552486</v>
      </c>
      <c r="BV65" s="866">
        <f>-capex/COGS</f>
        <v>0.2461538462</v>
      </c>
      <c r="BW65" s="866">
        <f>-capex/COGS</f>
        <v>0.2968838527</v>
      </c>
      <c r="BX65" s="866">
        <f>-capex/COGS</f>
        <v>0.3602221634</v>
      </c>
      <c r="BY65" s="866">
        <f>-capex/COGS</f>
        <v>0.4613675636</v>
      </c>
      <c r="BZ65" s="867">
        <f>-capex/COGS</f>
        <v>0.3441052075</v>
      </c>
      <c r="CA65" s="866">
        <f>-capex/COGS</f>
        <v>0.548770657</v>
      </c>
      <c r="CB65" s="866">
        <f>-capex/COGS</f>
        <v>0.4842105263</v>
      </c>
      <c r="CC65" s="866">
        <f>-capex/COGS</f>
        <v>0.5202301055</v>
      </c>
      <c r="CD65" s="866">
        <f>-capex/COGS</f>
        <v>0.5762917933</v>
      </c>
      <c r="CE65" s="867">
        <f>-capex/COGS</f>
        <v>0.5317656358</v>
      </c>
      <c r="CF65" s="866">
        <f>-capex/COGS</f>
        <v>0.6408101702</v>
      </c>
      <c r="CG65" s="866">
        <f>-capex/COGS</f>
        <v>0.5381039014</v>
      </c>
      <c r="CH65" s="866">
        <f>-capex/COGS</f>
        <v>0.5841764468</v>
      </c>
      <c r="CI65" s="866">
        <f>-capex/COGS</f>
        <v>0.4424028269</v>
      </c>
      <c r="CJ65" s="867">
        <f>-capex/COGS</f>
        <v>0.5461614661</v>
      </c>
      <c r="CK65" s="866">
        <f>-capex/COGS</f>
        <v>0.3942691331</v>
      </c>
      <c r="CL65" s="866">
        <f>-capex/COGS</f>
        <v>0.5098296199</v>
      </c>
      <c r="CM65" s="866">
        <f>-capex/COGS</f>
        <v>0.5653975143</v>
      </c>
      <c r="CN65" s="866">
        <f>-capex/COGS</f>
        <v>0.5601368041</v>
      </c>
      <c r="CO65" s="867">
        <f>-capex/COGS</f>
        <v>0.5055458536</v>
      </c>
      <c r="CP65" s="866">
        <f>-capex/IS!CP21</f>
        <v>0.5220345564</v>
      </c>
      <c r="CQ65" s="866">
        <f>-capex/IS!CQ21</f>
        <v>0.5754985755</v>
      </c>
      <c r="CR65" s="866">
        <f>-capex/IS!CR21</f>
        <v>0.4797880691</v>
      </c>
      <c r="CS65" s="866">
        <f>-capex/IS!CS21</f>
        <v>0.4201960784</v>
      </c>
      <c r="CT65" s="310">
        <f>-capex/IS!CT21</f>
        <v>0.4987414244</v>
      </c>
      <c r="CU65" s="866">
        <f>-capex/IS!CU21</f>
        <v>0.4106672075</v>
      </c>
      <c r="CV65" s="866">
        <f>-capex/IS!CV21</f>
        <v>0.3626847291</v>
      </c>
      <c r="CW65" s="866">
        <f>-capex/IS!CW21</f>
        <v>0.2252521479</v>
      </c>
      <c r="CX65" s="866">
        <f>-capex/IS!CX21</f>
        <v>0.4432597106</v>
      </c>
      <c r="CY65" s="310">
        <f>-capex/IS!CY21</f>
        <v>0.3589592827</v>
      </c>
      <c r="CZ65" s="866">
        <f>-capex/IS!CZ21</f>
        <v>0.2615623785</v>
      </c>
      <c r="DA65" s="866">
        <f>-capex/IS!DA21</f>
        <v>0.442680093</v>
      </c>
      <c r="DB65" s="866">
        <f>-capex/IS!DB21</f>
        <v>0.4429856115</v>
      </c>
      <c r="DC65" s="866">
        <f>-capex/IS!DC21</f>
        <v>0.5847275137</v>
      </c>
      <c r="DD65" s="310">
        <f>-capex/IS!DD21</f>
        <v>0.4393572831</v>
      </c>
      <c r="DE65" s="866">
        <f>-capex/IS!DE21</f>
        <v>0.3588235294</v>
      </c>
      <c r="DF65" s="866">
        <f>-capex/IS!DF21</f>
        <v>0.5081397476</v>
      </c>
      <c r="DG65" s="866">
        <f>-capex/IS!DG21</f>
        <v>0.5116798351</v>
      </c>
      <c r="DH65" s="866">
        <f>-capex/IS!DH21</f>
        <v>0.6786190794</v>
      </c>
      <c r="DI65" s="310">
        <f>-capex/IS!DI21</f>
        <v>0.5182838284</v>
      </c>
      <c r="DJ65" s="866">
        <f>-capex/IS!DJ21</f>
        <v>0.4801980198</v>
      </c>
      <c r="DK65" s="866">
        <f>-capex/IS!DK21</f>
        <v>0.7227185705</v>
      </c>
      <c r="DL65" s="866">
        <f>-capex/IS!DL21</f>
        <v>0.5900107247</v>
      </c>
      <c r="DM65" s="866">
        <f>-capex/IS!DM21</f>
        <v>0.543979863</v>
      </c>
      <c r="DN65" s="310">
        <f>-capex/IS!DN21</f>
        <v>0.5837499039</v>
      </c>
      <c r="DO65" s="866">
        <f>-capex/IS!DO21</f>
        <v>0.496338365</v>
      </c>
      <c r="DP65" s="866">
        <f>-capex/IS!DP21</f>
        <v>0.5605678233</v>
      </c>
      <c r="DQ65" s="866">
        <f>-capex/IS!DQ21</f>
        <v>0.6141711581</v>
      </c>
      <c r="DR65" s="866">
        <f>-capex/IS!DR21</f>
        <v>0.5786927942</v>
      </c>
      <c r="DS65" s="310">
        <f>-capex/IS!DS21</f>
        <v>0.5648932093</v>
      </c>
      <c r="DT65" s="866">
        <f>-capex/IS!DT21</f>
        <v>0.4344011697</v>
      </c>
      <c r="DU65" s="866">
        <f>-capex/IS!DU21</f>
        <v>0.3821056172</v>
      </c>
      <c r="DV65" s="866">
        <f>-capex/IS!DV21</f>
        <v>0.4486838928</v>
      </c>
      <c r="DW65" s="866">
        <f>-capex/IS!DW21</f>
        <v>0.4647836538</v>
      </c>
      <c r="DX65" s="310">
        <f>-capex/IS!DX21</f>
        <v>0.431515555</v>
      </c>
      <c r="DY65" s="866">
        <f>-capex/IS!DY21</f>
        <v>0.514707788</v>
      </c>
      <c r="DZ65" s="866">
        <f>-capex/IS!DZ21</f>
        <v>0.476644171</v>
      </c>
      <c r="EA65" s="866">
        <f>-capex/IS!EA21</f>
        <v>0.5245579568</v>
      </c>
      <c r="EB65" s="868">
        <f>-capex/IS!EB21</f>
        <v>0.8217321388</v>
      </c>
      <c r="EC65" s="310">
        <f>-capex/IS!EC21</f>
        <v>0.592535189</v>
      </c>
      <c r="ED65" s="866">
        <f>-capex/IS!ED21</f>
        <v>0.5572723048</v>
      </c>
      <c r="EE65" s="866">
        <f>-capex/IS!EE21</f>
        <v>0.8581736456</v>
      </c>
      <c r="EF65" s="866">
        <f>-capex/IS!EF21</f>
        <v>0.8544753644</v>
      </c>
      <c r="EG65" s="866">
        <f>-capex/IS!EG21</f>
        <v>0.7216664556</v>
      </c>
      <c r="EH65" s="310">
        <f>-capex/IS!EH21</f>
        <v>0.7469633193</v>
      </c>
      <c r="EI65" s="386" t="str">
        <f>-capex/IS!EI21</f>
        <v>#ERROR!</v>
      </c>
      <c r="EJ65" s="866" t="str">
        <f>-capex/IS!EJ21</f>
        <v>#ERROR!</v>
      </c>
      <c r="EK65" s="866" t="str">
        <f>-capex/IS!EK21</f>
        <v>#ERROR!</v>
      </c>
      <c r="EL65" s="866" t="str">
        <f>-capex/IS!EL21</f>
        <v>#ERROR!</v>
      </c>
      <c r="EM65" s="310" t="str">
        <f>-capex/IS!EM21</f>
        <v>#ERROR!</v>
      </c>
      <c r="EN65" s="866" t="str">
        <f>-capex/IS!EN21</f>
        <v>#ERROR!</v>
      </c>
      <c r="EO65" s="866" t="str">
        <f>-capex/IS!EO21</f>
        <v>#ERROR!</v>
      </c>
      <c r="EP65" s="866" t="str">
        <f>-capex/IS!EP21</f>
        <v>#ERROR!</v>
      </c>
      <c r="EQ65" s="866" t="str">
        <f>-capex/IS!EQ21</f>
        <v>#ERROR!</v>
      </c>
      <c r="ER65" s="310" t="str">
        <f>-capex/IS!ER21</f>
        <v>#ERROR!</v>
      </c>
      <c r="ES65" s="866" t="str">
        <f>-capex/IS!ES21</f>
        <v>#ERROR!</v>
      </c>
      <c r="ET65" s="866" t="str">
        <f>-capex/IS!ET21</f>
        <v>#ERROR!</v>
      </c>
      <c r="EU65" s="866" t="str">
        <f>-capex/IS!EU21</f>
        <v>#ERROR!</v>
      </c>
      <c r="EV65" s="866" t="str">
        <f>-capex/IS!EV21</f>
        <v>#ERROR!</v>
      </c>
      <c r="EW65" s="310" t="str">
        <f>-capex/IS!EW21</f>
        <v>#ERROR!</v>
      </c>
      <c r="EX65" s="866" t="str">
        <f>-capex/IS!EX21</f>
        <v>#ERROR!</v>
      </c>
      <c r="EY65" s="866" t="str">
        <f>-capex/IS!EY21</f>
        <v>#ERROR!</v>
      </c>
      <c r="EZ65" s="866" t="str">
        <f>-capex/IS!EZ21</f>
        <v>#ERROR!</v>
      </c>
      <c r="FA65" s="866" t="str">
        <f>-capex/IS!FA21</f>
        <v>#ERROR!</v>
      </c>
      <c r="FB65" s="310" t="str">
        <f>-capex/IS!FB21</f>
        <v>#ERROR!</v>
      </c>
      <c r="FC65" s="866" t="str">
        <f>-capex/IS!FC21</f>
        <v>#ERROR!</v>
      </c>
      <c r="FD65" s="866" t="str">
        <f>-capex/IS!FD21</f>
        <v>#ERROR!</v>
      </c>
      <c r="FE65" s="866" t="str">
        <f>-capex/IS!FE21</f>
        <v>#ERROR!</v>
      </c>
      <c r="FF65" s="866" t="str">
        <f>-capex/IS!FF21</f>
        <v>#ERROR!</v>
      </c>
      <c r="FG65" s="310" t="str">
        <f>-capex/IS!FG21</f>
        <v>#ERROR!</v>
      </c>
    </row>
    <row r="66" ht="12.75" customHeight="1">
      <c r="A66" s="128"/>
      <c r="B66" s="179" t="s">
        <v>608</v>
      </c>
      <c r="C66" s="179"/>
      <c r="D66" s="179"/>
      <c r="E66" s="179"/>
      <c r="F66" s="179"/>
      <c r="G66" s="179"/>
      <c r="H66" s="179"/>
      <c r="I66" s="179"/>
      <c r="J66" s="179"/>
      <c r="K66" s="179"/>
      <c r="L66" s="179"/>
      <c r="M66" s="179"/>
      <c r="N66" s="179"/>
      <c r="O66" s="179"/>
      <c r="P66" s="179"/>
      <c r="Q66" s="179"/>
      <c r="R66" s="57"/>
      <c r="S66" s="128">
        <f t="shared" ref="S66:AA66" si="326">S27</f>
        <v>2901</v>
      </c>
      <c r="T66" s="128">
        <f t="shared" si="326"/>
        <v>1609</v>
      </c>
      <c r="U66" s="128">
        <f t="shared" si="326"/>
        <v>3937</v>
      </c>
      <c r="V66" s="128">
        <f t="shared" si="326"/>
        <v>3687</v>
      </c>
      <c r="W66" s="128">
        <f t="shared" si="326"/>
        <v>12134</v>
      </c>
      <c r="X66" s="128">
        <f t="shared" si="326"/>
        <v>3281</v>
      </c>
      <c r="Y66" s="128">
        <f t="shared" si="326"/>
        <v>3156</v>
      </c>
      <c r="Z66" s="128">
        <f t="shared" si="326"/>
        <v>3012</v>
      </c>
      <c r="AA66" s="128">
        <f t="shared" si="326"/>
        <v>3378</v>
      </c>
      <c r="AB66" s="179"/>
      <c r="AC66" s="795">
        <f t="shared" ref="AC66:FG66" si="327">AC27</f>
        <v>1181</v>
      </c>
      <c r="AD66" s="795">
        <f t="shared" si="327"/>
        <v>2119</v>
      </c>
      <c r="AE66" s="795">
        <f t="shared" si="327"/>
        <v>2059</v>
      </c>
      <c r="AF66" s="795">
        <f t="shared" si="327"/>
        <v>3295</v>
      </c>
      <c r="AG66" s="795">
        <f t="shared" si="327"/>
        <v>8654</v>
      </c>
      <c r="AH66" s="795">
        <f t="shared" si="327"/>
        <v>1528</v>
      </c>
      <c r="AI66" s="795">
        <f t="shared" si="327"/>
        <v>1689</v>
      </c>
      <c r="AJ66" s="795">
        <f t="shared" si="327"/>
        <v>2391</v>
      </c>
      <c r="AK66" s="795">
        <f t="shared" si="327"/>
        <v>3521</v>
      </c>
      <c r="AL66" s="795">
        <f t="shared" si="327"/>
        <v>9129</v>
      </c>
      <c r="AM66" s="795">
        <f t="shared" si="327"/>
        <v>1710</v>
      </c>
      <c r="AN66" s="795">
        <f t="shared" si="327"/>
        <v>2649</v>
      </c>
      <c r="AO66" s="795">
        <f t="shared" si="327"/>
        <v>3188</v>
      </c>
      <c r="AP66" s="795">
        <f t="shared" si="327"/>
        <v>3968</v>
      </c>
      <c r="AQ66" s="795">
        <f t="shared" si="327"/>
        <v>11515</v>
      </c>
      <c r="AR66" s="795">
        <f t="shared" si="327"/>
        <v>1769</v>
      </c>
      <c r="AS66" s="795">
        <f t="shared" si="327"/>
        <v>4065</v>
      </c>
      <c r="AT66" s="795">
        <f t="shared" si="327"/>
        <v>3170</v>
      </c>
      <c r="AU66" s="795">
        <f t="shared" si="327"/>
        <v>4115</v>
      </c>
      <c r="AV66" s="795">
        <f t="shared" si="327"/>
        <v>13119</v>
      </c>
      <c r="AW66" s="795">
        <f t="shared" si="327"/>
        <v>3756</v>
      </c>
      <c r="AX66" s="795">
        <f t="shared" si="327"/>
        <v>2972</v>
      </c>
      <c r="AY66" s="795">
        <f t="shared" si="327"/>
        <v>4366</v>
      </c>
      <c r="AZ66" s="795">
        <f t="shared" si="327"/>
        <v>3729</v>
      </c>
      <c r="BA66" s="795">
        <f t="shared" si="327"/>
        <v>14823</v>
      </c>
      <c r="BB66" s="795">
        <f t="shared" si="327"/>
        <v>2096</v>
      </c>
      <c r="BC66" s="795">
        <f t="shared" si="327"/>
        <v>1532</v>
      </c>
      <c r="BD66" s="795">
        <f t="shared" si="327"/>
        <v>2790</v>
      </c>
      <c r="BE66" s="795">
        <f t="shared" si="327"/>
        <v>4202</v>
      </c>
      <c r="BF66" s="795">
        <f t="shared" si="327"/>
        <v>10620</v>
      </c>
      <c r="BG66" s="795">
        <f t="shared" si="327"/>
        <v>1552</v>
      </c>
      <c r="BH66" s="795">
        <f t="shared" si="327"/>
        <v>2417</v>
      </c>
      <c r="BI66" s="795">
        <f t="shared" si="327"/>
        <v>3884</v>
      </c>
      <c r="BJ66" s="795">
        <f t="shared" si="327"/>
        <v>4772</v>
      </c>
      <c r="BK66" s="795">
        <f t="shared" si="327"/>
        <v>12625</v>
      </c>
      <c r="BL66" s="795">
        <f t="shared" si="327"/>
        <v>2215</v>
      </c>
      <c r="BM66" s="795">
        <f t="shared" si="327"/>
        <v>2828</v>
      </c>
      <c r="BN66" s="795">
        <f t="shared" si="327"/>
        <v>3287</v>
      </c>
      <c r="BO66" s="795">
        <f t="shared" si="327"/>
        <v>2596</v>
      </c>
      <c r="BP66" s="795">
        <f t="shared" si="327"/>
        <v>10926</v>
      </c>
      <c r="BQ66" s="795">
        <f t="shared" si="327"/>
        <v>378</v>
      </c>
      <c r="BR66" s="795">
        <f t="shared" si="327"/>
        <v>3384</v>
      </c>
      <c r="BS66" s="795">
        <f t="shared" si="327"/>
        <v>4003</v>
      </c>
      <c r="BT66" s="795">
        <f t="shared" si="327"/>
        <v>3405</v>
      </c>
      <c r="BU66" s="795">
        <f t="shared" si="327"/>
        <v>11170</v>
      </c>
      <c r="BV66" s="795">
        <f t="shared" si="327"/>
        <v>4079</v>
      </c>
      <c r="BW66" s="795">
        <f t="shared" si="327"/>
        <v>3486</v>
      </c>
      <c r="BX66" s="795">
        <f t="shared" si="327"/>
        <v>3577</v>
      </c>
      <c r="BY66" s="795">
        <f t="shared" si="327"/>
        <v>5550</v>
      </c>
      <c r="BZ66" s="795">
        <f t="shared" si="327"/>
        <v>16692</v>
      </c>
      <c r="CA66" s="795">
        <f t="shared" si="327"/>
        <v>4013</v>
      </c>
      <c r="CB66" s="795">
        <f t="shared" si="327"/>
        <v>3971</v>
      </c>
      <c r="CC66" s="795">
        <f t="shared" si="327"/>
        <v>6349</v>
      </c>
      <c r="CD66" s="795">
        <f t="shared" si="327"/>
        <v>6630</v>
      </c>
      <c r="CE66" s="795">
        <f t="shared" si="327"/>
        <v>20963</v>
      </c>
      <c r="CF66" s="795">
        <f t="shared" si="327"/>
        <v>2972</v>
      </c>
      <c r="CG66" s="795">
        <f t="shared" si="327"/>
        <v>4739</v>
      </c>
      <c r="CH66" s="795">
        <f t="shared" si="327"/>
        <v>5147</v>
      </c>
      <c r="CI66" s="795">
        <f t="shared" si="327"/>
        <v>6026</v>
      </c>
      <c r="CJ66" s="795">
        <f t="shared" si="327"/>
        <v>18884</v>
      </c>
      <c r="CK66" s="795">
        <f t="shared" si="327"/>
        <v>4285</v>
      </c>
      <c r="CL66" s="795">
        <f t="shared" si="327"/>
        <v>4722</v>
      </c>
      <c r="CM66" s="795">
        <f t="shared" si="327"/>
        <v>5731</v>
      </c>
      <c r="CN66" s="795">
        <f t="shared" si="327"/>
        <v>6309</v>
      </c>
      <c r="CO66" s="795">
        <f t="shared" si="327"/>
        <v>20776</v>
      </c>
      <c r="CP66" s="795">
        <f t="shared" si="327"/>
        <v>3524</v>
      </c>
      <c r="CQ66" s="795">
        <f t="shared" si="327"/>
        <v>5453</v>
      </c>
      <c r="CR66" s="795">
        <f t="shared" si="327"/>
        <v>5693</v>
      </c>
      <c r="CS66" s="795">
        <f t="shared" si="327"/>
        <v>5771</v>
      </c>
      <c r="CT66" s="795">
        <f t="shared" si="327"/>
        <v>20441</v>
      </c>
      <c r="CU66" s="795">
        <f t="shared" si="327"/>
        <v>4415</v>
      </c>
      <c r="CV66" s="795">
        <f t="shared" si="327"/>
        <v>3440</v>
      </c>
      <c r="CW66" s="795">
        <f t="shared" si="327"/>
        <v>5735</v>
      </c>
      <c r="CX66" s="795">
        <f t="shared" si="327"/>
        <v>5427</v>
      </c>
      <c r="CY66" s="795">
        <f t="shared" si="327"/>
        <v>19017</v>
      </c>
      <c r="CZ66" s="795">
        <f t="shared" si="327"/>
        <v>4055</v>
      </c>
      <c r="DA66" s="795">
        <f t="shared" si="327"/>
        <v>3845</v>
      </c>
      <c r="DB66" s="795">
        <f t="shared" si="327"/>
        <v>5758</v>
      </c>
      <c r="DC66" s="795">
        <f t="shared" si="327"/>
        <v>8150</v>
      </c>
      <c r="DD66" s="795">
        <f t="shared" si="327"/>
        <v>21808</v>
      </c>
      <c r="DE66" s="795">
        <f t="shared" si="327"/>
        <v>3898</v>
      </c>
      <c r="DF66" s="795">
        <f t="shared" si="327"/>
        <v>4707</v>
      </c>
      <c r="DG66" s="795">
        <f t="shared" si="327"/>
        <v>6264</v>
      </c>
      <c r="DH66" s="795">
        <f t="shared" si="327"/>
        <v>7241</v>
      </c>
      <c r="DI66" s="869">
        <f t="shared" si="327"/>
        <v>22110</v>
      </c>
      <c r="DJ66" s="810">
        <f t="shared" si="327"/>
        <v>6284</v>
      </c>
      <c r="DK66" s="810">
        <f t="shared" si="327"/>
        <v>7413</v>
      </c>
      <c r="DL66" s="810">
        <f t="shared" si="327"/>
        <v>8835</v>
      </c>
      <c r="DM66" s="810">
        <f t="shared" si="327"/>
        <v>6900</v>
      </c>
      <c r="DN66" s="869">
        <f t="shared" si="327"/>
        <v>29432</v>
      </c>
      <c r="DO66" s="810">
        <f t="shared" si="327"/>
        <v>4959</v>
      </c>
      <c r="DP66" s="810">
        <f t="shared" si="327"/>
        <v>7587</v>
      </c>
      <c r="DQ66" s="810">
        <f t="shared" si="327"/>
        <v>10711</v>
      </c>
      <c r="DR66" s="810">
        <f t="shared" si="327"/>
        <v>9888</v>
      </c>
      <c r="DS66" s="869">
        <f t="shared" si="327"/>
        <v>33145</v>
      </c>
      <c r="DT66" s="810">
        <f t="shared" si="327"/>
        <v>6158</v>
      </c>
      <c r="DU66" s="810">
        <f t="shared" si="327"/>
        <v>11157</v>
      </c>
      <c r="DV66" s="810">
        <f t="shared" si="327"/>
        <v>8179</v>
      </c>
      <c r="DW66" s="810">
        <f t="shared" si="327"/>
        <v>9890</v>
      </c>
      <c r="DX66" s="869">
        <f t="shared" si="327"/>
        <v>35384</v>
      </c>
      <c r="DY66" s="795">
        <f t="shared" si="327"/>
        <v>5548</v>
      </c>
      <c r="DZ66" s="795">
        <f t="shared" si="327"/>
        <v>8746</v>
      </c>
      <c r="EA66" s="795">
        <f t="shared" si="327"/>
        <v>9900</v>
      </c>
      <c r="EB66" s="810">
        <f t="shared" si="327"/>
        <v>5797</v>
      </c>
      <c r="EC66" s="869">
        <f t="shared" si="327"/>
        <v>29991</v>
      </c>
      <c r="ED66" s="795">
        <f t="shared" si="327"/>
        <v>5891</v>
      </c>
      <c r="EE66" s="795">
        <f t="shared" si="327"/>
        <v>809</v>
      </c>
      <c r="EF66" s="795">
        <f t="shared" si="327"/>
        <v>1030</v>
      </c>
      <c r="EG66" s="795">
        <f t="shared" si="327"/>
        <v>7703</v>
      </c>
      <c r="EH66" s="869">
        <f t="shared" si="327"/>
        <v>15433</v>
      </c>
      <c r="EI66" s="811" t="str">
        <f t="shared" si="327"/>
        <v>#ERROR!</v>
      </c>
      <c r="EJ66" s="795" t="str">
        <f t="shared" si="327"/>
        <v>#ERROR!</v>
      </c>
      <c r="EK66" s="795" t="str">
        <f t="shared" si="327"/>
        <v>#ERROR!</v>
      </c>
      <c r="EL66" s="795" t="str">
        <f t="shared" si="327"/>
        <v>#ERROR!</v>
      </c>
      <c r="EM66" s="869" t="str">
        <f t="shared" si="327"/>
        <v>#ERROR!</v>
      </c>
      <c r="EN66" s="795" t="str">
        <f t="shared" si="327"/>
        <v>#ERROR!</v>
      </c>
      <c r="EO66" s="795" t="str">
        <f t="shared" si="327"/>
        <v>#ERROR!</v>
      </c>
      <c r="EP66" s="795" t="str">
        <f t="shared" si="327"/>
        <v>#ERROR!</v>
      </c>
      <c r="EQ66" s="795" t="str">
        <f t="shared" si="327"/>
        <v>#ERROR!</v>
      </c>
      <c r="ER66" s="869" t="str">
        <f t="shared" si="327"/>
        <v>#ERROR!</v>
      </c>
      <c r="ES66" s="795" t="str">
        <f t="shared" si="327"/>
        <v>#ERROR!</v>
      </c>
      <c r="ET66" s="795" t="str">
        <f t="shared" si="327"/>
        <v>#ERROR!</v>
      </c>
      <c r="EU66" s="795" t="str">
        <f t="shared" si="327"/>
        <v>#ERROR!</v>
      </c>
      <c r="EV66" s="795" t="str">
        <f t="shared" si="327"/>
        <v>#ERROR!</v>
      </c>
      <c r="EW66" s="869" t="str">
        <f t="shared" si="327"/>
        <v>#ERROR!</v>
      </c>
      <c r="EX66" s="795" t="str">
        <f t="shared" si="327"/>
        <v>#ERROR!</v>
      </c>
      <c r="EY66" s="795" t="str">
        <f t="shared" si="327"/>
        <v>#ERROR!</v>
      </c>
      <c r="EZ66" s="795" t="str">
        <f t="shared" si="327"/>
        <v>#ERROR!</v>
      </c>
      <c r="FA66" s="795" t="str">
        <f t="shared" si="327"/>
        <v>#ERROR!</v>
      </c>
      <c r="FB66" s="869" t="str">
        <f t="shared" si="327"/>
        <v>#ERROR!</v>
      </c>
      <c r="FC66" s="795" t="str">
        <f t="shared" si="327"/>
        <v>#ERROR!</v>
      </c>
      <c r="FD66" s="795" t="str">
        <f t="shared" si="327"/>
        <v>#ERROR!</v>
      </c>
      <c r="FE66" s="795" t="str">
        <f t="shared" si="327"/>
        <v>#ERROR!</v>
      </c>
      <c r="FF66" s="795" t="str">
        <f t="shared" si="327"/>
        <v>#ERROR!</v>
      </c>
      <c r="FG66" s="869" t="str">
        <f t="shared" si="327"/>
        <v>#ERROR!</v>
      </c>
    </row>
    <row r="67" ht="12.75" customHeight="1">
      <c r="A67" s="128"/>
      <c r="B67" s="179" t="s">
        <v>609</v>
      </c>
      <c r="C67" s="179"/>
      <c r="D67" s="179"/>
      <c r="E67" s="179"/>
      <c r="F67" s="179"/>
      <c r="G67" s="179"/>
      <c r="H67" s="179"/>
      <c r="I67" s="179"/>
      <c r="J67" s="179"/>
      <c r="K67" s="179"/>
      <c r="L67" s="179"/>
      <c r="M67" s="179"/>
      <c r="N67" s="179"/>
      <c r="O67" s="179"/>
      <c r="P67" s="179"/>
      <c r="Q67" s="179"/>
      <c r="R67" s="57"/>
      <c r="S67" s="179"/>
      <c r="T67" s="179"/>
      <c r="U67" s="179"/>
      <c r="V67" s="128">
        <f t="shared" ref="V67:AA67" si="328">SUM(S66:V66)</f>
        <v>12134</v>
      </c>
      <c r="W67" s="128">
        <f t="shared" si="328"/>
        <v>21367</v>
      </c>
      <c r="X67" s="128">
        <f t="shared" si="328"/>
        <v>23039</v>
      </c>
      <c r="Y67" s="128">
        <f t="shared" si="328"/>
        <v>22258</v>
      </c>
      <c r="Z67" s="128">
        <f t="shared" si="328"/>
        <v>21583</v>
      </c>
      <c r="AA67" s="128">
        <f t="shared" si="328"/>
        <v>12827</v>
      </c>
      <c r="AB67" s="837"/>
      <c r="AC67" s="128">
        <f>AC27+AA27+Z27+Y27</f>
        <v>10727</v>
      </c>
      <c r="AD67" s="128">
        <f>AD27+AC27+AA27+Z27</f>
        <v>9690</v>
      </c>
      <c r="AE67" s="128">
        <f>AE27+AD27+AC27+AA27</f>
        <v>8737</v>
      </c>
      <c r="AF67" s="128">
        <f>AF27+AE27+AD27+AC27</f>
        <v>8654</v>
      </c>
      <c r="AG67" s="838">
        <f>AF27+AE27+AD27+AC27</f>
        <v>8654</v>
      </c>
      <c r="AH67" s="128">
        <f>AH27+AF27+AE27+AD27</f>
        <v>9001</v>
      </c>
      <c r="AI67" s="128">
        <f>AI27+AH27+AF27+AE27</f>
        <v>8571</v>
      </c>
      <c r="AJ67" s="128">
        <f>AJ27+AI27+AH27+AF27</f>
        <v>8903</v>
      </c>
      <c r="AK67" s="128">
        <f>AK27+AJ27+AI27+AH27</f>
        <v>9129</v>
      </c>
      <c r="AL67" s="838">
        <f>AK27+AJ27+AI27+AH27</f>
        <v>9129</v>
      </c>
      <c r="AM67" s="128">
        <f>AM27+AK27+AJ27+AI27</f>
        <v>9311</v>
      </c>
      <c r="AN67" s="128">
        <f>AN27+AM27+AK27+AJ27</f>
        <v>10271</v>
      </c>
      <c r="AO67" s="128">
        <f>AO27+AN27+AM27+AK27</f>
        <v>11068</v>
      </c>
      <c r="AP67" s="128">
        <f>AP27+AO27+AN27+AM27</f>
        <v>11515</v>
      </c>
      <c r="AQ67" s="838">
        <f>AP27+AO27+AN27+AM27</f>
        <v>11515</v>
      </c>
      <c r="AR67" s="128">
        <f>AR27+AP27+AO27+AN27</f>
        <v>11574</v>
      </c>
      <c r="AS67" s="128">
        <f>AS27+AR27+AP27+AO27</f>
        <v>12990</v>
      </c>
      <c r="AT67" s="128">
        <f>AT27+AS27+AR27+AP27</f>
        <v>12972</v>
      </c>
      <c r="AU67" s="128">
        <f>AU27+AT27+AS27+AR27</f>
        <v>13119</v>
      </c>
      <c r="AV67" s="838">
        <f>AU27+AT27+AS27+AR27</f>
        <v>13119</v>
      </c>
      <c r="AW67" s="128">
        <f>AW27+AU27+AT27+AS27</f>
        <v>15106</v>
      </c>
      <c r="AX67" s="128">
        <f t="shared" ref="AX67:AY67" si="329">AX27+AW27+AU27+AT27</f>
        <v>14013</v>
      </c>
      <c r="AY67" s="128">
        <f t="shared" si="329"/>
        <v>24572</v>
      </c>
      <c r="AZ67" s="128">
        <f>AZ27+AY27+AX27+AW27</f>
        <v>14823</v>
      </c>
      <c r="BA67" s="838">
        <f>AZ27+AY27+AX27+AW27</f>
        <v>14823</v>
      </c>
      <c r="BB67" s="128">
        <f>BB27+AZ27+AY27+AX27</f>
        <v>13163</v>
      </c>
      <c r="BC67" s="128">
        <f>BC27+BB27+AZ27+AY27</f>
        <v>11723</v>
      </c>
      <c r="BD67" s="128">
        <f>BD27+BC27+BB27+AZ27</f>
        <v>10147</v>
      </c>
      <c r="BE67" s="128">
        <f>BE27+BD27+BC27+BB27</f>
        <v>10620</v>
      </c>
      <c r="BF67" s="838">
        <f>BE27+BD27+BC27+BB27</f>
        <v>10620</v>
      </c>
      <c r="BG67" s="128">
        <f>BG27+BE27+BD27+BC27</f>
        <v>10076</v>
      </c>
      <c r="BH67" s="128">
        <f>BH27+BG27+BE27+BD27</f>
        <v>10961</v>
      </c>
      <c r="BI67" s="128">
        <f>BI27+BH27+BG27+BE27</f>
        <v>12055</v>
      </c>
      <c r="BJ67" s="128">
        <f>BJ27+BI27+BH27+BG27</f>
        <v>12625</v>
      </c>
      <c r="BK67" s="838">
        <f>BJ27+BI27+BH27+BG27</f>
        <v>12625</v>
      </c>
      <c r="BL67" s="128">
        <f>BL27+BJ27+BI27+BH27</f>
        <v>13288</v>
      </c>
      <c r="BM67" s="128">
        <f>BM27+BL27+BJ27+BI27</f>
        <v>13699</v>
      </c>
      <c r="BN67" s="128">
        <f>BN27+BM27+BL27+BJ27</f>
        <v>13102</v>
      </c>
      <c r="BO67" s="128">
        <f>BO27+BN27+BM27+BL27</f>
        <v>10926</v>
      </c>
      <c r="BP67" s="838">
        <f>BO27+BN27+BM27+BL27</f>
        <v>10926</v>
      </c>
      <c r="BQ67" s="128">
        <f>BQ27+BO27+BN27+BM27</f>
        <v>9089</v>
      </c>
      <c r="BR67" s="128">
        <f>BR27+BQ27+BO27+BN27</f>
        <v>9645</v>
      </c>
      <c r="BS67" s="128">
        <f>BS27+BR27+BQ27+BO27</f>
        <v>10361</v>
      </c>
      <c r="BT67" s="128">
        <f>BT27+BS27+BR27+BQ27</f>
        <v>11170</v>
      </c>
      <c r="BU67" s="838">
        <f>BT27+BS27+BR27+BQ27</f>
        <v>11170</v>
      </c>
      <c r="BV67" s="128">
        <f>BV27+BT27+BS27+BR27</f>
        <v>14871</v>
      </c>
      <c r="BW67" s="128">
        <f>BW27+BV27+BT27+BS27</f>
        <v>14973</v>
      </c>
      <c r="BX67" s="128">
        <f>BX27+BW27+BV27+BT27</f>
        <v>14547</v>
      </c>
      <c r="BY67" s="128">
        <f>BY27+BX27+BW27+BV27</f>
        <v>16692</v>
      </c>
      <c r="BZ67" s="838">
        <f>BY27+BX27+BW27+BV27</f>
        <v>16692</v>
      </c>
      <c r="CA67" s="128">
        <f>CA27+BY27+BX27+BW27</f>
        <v>16626</v>
      </c>
      <c r="CB67" s="128">
        <f>CB27+CA27+BY27+BX27</f>
        <v>17111</v>
      </c>
      <c r="CC67" s="128">
        <f>CC27+CB27+CA27+BY27</f>
        <v>19883</v>
      </c>
      <c r="CD67" s="128">
        <f>CD27+CC27+CB27+CA27</f>
        <v>20963</v>
      </c>
      <c r="CE67" s="838">
        <f>CD27+CC27+CB27+CA27</f>
        <v>20963</v>
      </c>
      <c r="CF67" s="128">
        <f>CF27+CD27+CC27+CB27</f>
        <v>19922</v>
      </c>
      <c r="CG67" s="128">
        <f>CG27+CF27+CD27+CC27</f>
        <v>20690</v>
      </c>
      <c r="CH67" s="128">
        <f>CH27+CG27+CF27+CD27</f>
        <v>19488</v>
      </c>
      <c r="CI67" s="128">
        <f>CI27+CH27+CG27+CF27</f>
        <v>18884</v>
      </c>
      <c r="CJ67" s="838">
        <f>CI27+CH27+CG27+CF27</f>
        <v>18884</v>
      </c>
      <c r="CK67" s="128">
        <f>CK27+CI27+CH27+CG27</f>
        <v>20197</v>
      </c>
      <c r="CL67" s="128">
        <f>CL27+CK27+CI27+CH27</f>
        <v>20180</v>
      </c>
      <c r="CM67" s="128">
        <f>CM27+CL27+CK27+CI27</f>
        <v>20764</v>
      </c>
      <c r="CN67" s="128">
        <f>CN27+CM27+CL27+CK27</f>
        <v>21047</v>
      </c>
      <c r="CO67" s="838">
        <f>CN27+CM27+CL27+CK27</f>
        <v>21047</v>
      </c>
      <c r="CP67" s="128">
        <f>CP27+CN27+CM27+CL27</f>
        <v>20286</v>
      </c>
      <c r="CQ67" s="128">
        <f>CQ27+CP27+CN27+CM27</f>
        <v>21017</v>
      </c>
      <c r="CR67" s="128">
        <f>CR27+CQ27+CP27+CN27</f>
        <v>20979</v>
      </c>
      <c r="CS67" s="128">
        <f>CS27+CR27+CQ27+CP27</f>
        <v>20441</v>
      </c>
      <c r="CT67" s="839">
        <f>CS27+CR27+CQ27+CP27</f>
        <v>20441</v>
      </c>
      <c r="CU67" s="128">
        <f>CU27+CS27+CR27+CQ27</f>
        <v>21332</v>
      </c>
      <c r="CV67" s="128">
        <f>CV27+CU27+CS27+CR27</f>
        <v>19319</v>
      </c>
      <c r="CW67" s="128">
        <f>CW27+CV27+CU27+CS27</f>
        <v>19361</v>
      </c>
      <c r="CX67" s="128">
        <f>CX27+CW27+CV27+CU27</f>
        <v>19017</v>
      </c>
      <c r="CY67" s="839">
        <f>CX27+CW27+CV27+CU27</f>
        <v>19017</v>
      </c>
      <c r="CZ67" s="129">
        <f>CZ27+CX27+CW27+CV27</f>
        <v>18657</v>
      </c>
      <c r="DA67" s="128">
        <f>DA27+CZ27+CX27+CW27</f>
        <v>19062</v>
      </c>
      <c r="DB67" s="129">
        <f>DB27+DA27+CZ27+CX27</f>
        <v>19085</v>
      </c>
      <c r="DC67" s="128">
        <f>DC27+DB27+DA27+CZ27</f>
        <v>21808</v>
      </c>
      <c r="DD67" s="839">
        <f>DC27+DB27+DA27+CZ27</f>
        <v>21808</v>
      </c>
      <c r="DE67" s="129">
        <f>DE27+DC27+DB27+DA27</f>
        <v>21651</v>
      </c>
      <c r="DF67" s="128">
        <f>DF27+DE27+DC27+DB27</f>
        <v>22513</v>
      </c>
      <c r="DG67" s="129">
        <f>DG27+DF27+DE27+DC27</f>
        <v>23019</v>
      </c>
      <c r="DH67" s="128">
        <f>DH27+DG27+DF27+DE27</f>
        <v>22110</v>
      </c>
      <c r="DI67" s="839">
        <f>DH27+DG27+DF27+DE27</f>
        <v>22110</v>
      </c>
      <c r="DJ67" s="129">
        <f>DJ27+DH27+DG27+DF27</f>
        <v>24496</v>
      </c>
      <c r="DK67" s="129">
        <f>DK27+DJ27+DH27+DG27</f>
        <v>27202</v>
      </c>
      <c r="DL67" s="129">
        <f>DL27+DK27+DJ27+DH27</f>
        <v>29773</v>
      </c>
      <c r="DM67" s="129">
        <f>DM27+DL27+DK27+DJ27</f>
        <v>29432</v>
      </c>
      <c r="DN67" s="839">
        <f>DM27+DL27+DK27+DJ27</f>
        <v>29432</v>
      </c>
      <c r="DO67" s="129">
        <f>DO27+DM27+DL27+DK27</f>
        <v>28107</v>
      </c>
      <c r="DP67" s="129">
        <f>DP27+DO27+DM27+DL27</f>
        <v>28281</v>
      </c>
      <c r="DQ67" s="129">
        <f>DQ27+DP27+DO27+DM27</f>
        <v>30157</v>
      </c>
      <c r="DR67" s="129">
        <f>DR27+DQ27+DP27+DO27</f>
        <v>33145</v>
      </c>
      <c r="DS67" s="839">
        <f>DR27+DQ27+DP27+DO27</f>
        <v>33145</v>
      </c>
      <c r="DT67" s="129">
        <f>DT27+DR27+DQ27+DP27</f>
        <v>34344</v>
      </c>
      <c r="DU67" s="129">
        <f>DU27+DT27+DR27+DQ27</f>
        <v>37914</v>
      </c>
      <c r="DV67" s="129">
        <f>DV27+DU27+DT27+DR27</f>
        <v>35382</v>
      </c>
      <c r="DW67" s="129">
        <f>DW27+DV27+DU27+DT27</f>
        <v>35384</v>
      </c>
      <c r="DX67" s="839">
        <f>DW27+DV27+DU27+DT27</f>
        <v>35384</v>
      </c>
      <c r="DY67" s="129">
        <f>DY27+DW27+DV27+DU27</f>
        <v>34774</v>
      </c>
      <c r="DZ67" s="129">
        <f>DZ27+DY27+DW27+DV27</f>
        <v>32363</v>
      </c>
      <c r="EA67" s="129">
        <f>EA27+DZ27+DY27+DW27</f>
        <v>34084</v>
      </c>
      <c r="EB67" s="129">
        <f>EB27+EA27+DZ27+DY27</f>
        <v>29991</v>
      </c>
      <c r="EC67" s="839">
        <f>EB27+EA27+DZ27+DY27</f>
        <v>29991</v>
      </c>
      <c r="ED67" s="129">
        <f>ED27+EB27+EA27+DZ27</f>
        <v>30334</v>
      </c>
      <c r="EE67" s="129">
        <f>EE27+ED27+EB27+EA27</f>
        <v>22397</v>
      </c>
      <c r="EF67" s="129">
        <f>EF27+EE27+ED27+EB27</f>
        <v>13527</v>
      </c>
      <c r="EG67" s="129">
        <f>EG27+EF27+EE27+ED27</f>
        <v>15433</v>
      </c>
      <c r="EH67" s="839">
        <f>EG27+EF27+EE27+ED27</f>
        <v>15433</v>
      </c>
      <c r="EI67" s="134" t="str">
        <f>EI27+EG27+EF27+EE27</f>
        <v>#ERROR!</v>
      </c>
      <c r="EJ67" s="128" t="str">
        <f>EJ27+EI27+EG27+EF27</f>
        <v>#ERROR!</v>
      </c>
      <c r="EK67" s="128" t="str">
        <f>EK27+EJ27+EI27+EG27</f>
        <v>#ERROR!</v>
      </c>
      <c r="EL67" s="128" t="str">
        <f>EL27+EK27+EJ27+EI27</f>
        <v>#ERROR!</v>
      </c>
      <c r="EM67" s="839" t="str">
        <f>EL27+EK27+EJ27+EI27</f>
        <v>#ERROR!</v>
      </c>
      <c r="EN67" s="128" t="str">
        <f>EN27+EL27+EK27+EJ27</f>
        <v>#ERROR!</v>
      </c>
      <c r="EO67" s="128" t="str">
        <f>EO27+EN27+EL27+EK27</f>
        <v>#ERROR!</v>
      </c>
      <c r="EP67" s="128" t="str">
        <f>EP27+EO27+EN27+EL27</f>
        <v>#ERROR!</v>
      </c>
      <c r="EQ67" s="128" t="str">
        <f>EQ27+EP27+EO27+EN27</f>
        <v>#ERROR!</v>
      </c>
      <c r="ER67" s="839" t="str">
        <f>EQ27+EP27+EO27+EN27</f>
        <v>#ERROR!</v>
      </c>
      <c r="ES67" s="128" t="str">
        <f>ES27+EQ27+EP27+EO27</f>
        <v>#ERROR!</v>
      </c>
      <c r="ET67" s="128" t="str">
        <f>ET27+ES27+EQ27+EP27</f>
        <v>#ERROR!</v>
      </c>
      <c r="EU67" s="128" t="str">
        <f>EU27+ET27+ES27+EQ27</f>
        <v>#ERROR!</v>
      </c>
      <c r="EV67" s="128" t="str">
        <f>EV27+EU27+ET27+ES27</f>
        <v>#ERROR!</v>
      </c>
      <c r="EW67" s="839" t="str">
        <f>EV27+EU27+ET27+ES27</f>
        <v>#ERROR!</v>
      </c>
      <c r="EX67" s="128" t="str">
        <f>EX27+EV27+EU27+ET27</f>
        <v>#ERROR!</v>
      </c>
      <c r="EY67" s="128" t="str">
        <f>EY27+EX27+EV27+EU27</f>
        <v>#ERROR!</v>
      </c>
      <c r="EZ67" s="128" t="str">
        <f>EZ27+EY27+EX27+EV27</f>
        <v>#ERROR!</v>
      </c>
      <c r="FA67" s="128" t="str">
        <f>FA27+EZ27+EY27+EX27</f>
        <v>#ERROR!</v>
      </c>
      <c r="FB67" s="839" t="str">
        <f>FA27+EZ27+EY27+EX27</f>
        <v>#ERROR!</v>
      </c>
      <c r="FC67" s="128" t="str">
        <f>FC27+FA27+EZ27+EY27</f>
        <v>#ERROR!</v>
      </c>
      <c r="FD67" s="128" t="str">
        <f>FD27+FC27+FA27+EZ27</f>
        <v>#ERROR!</v>
      </c>
      <c r="FE67" s="128" t="str">
        <f>FE27+FD27+FC27+FA27</f>
        <v>#ERROR!</v>
      </c>
      <c r="FF67" s="128" t="str">
        <f>FF27+FE27+FD27+FC27</f>
        <v>#ERROR!</v>
      </c>
      <c r="FG67" s="839" t="str">
        <f>FF27+FE27+FD27+FC27</f>
        <v>#ERROR!</v>
      </c>
    </row>
    <row r="68" ht="12.75" customHeight="1">
      <c r="A68" s="128"/>
      <c r="B68" s="179" t="s">
        <v>610</v>
      </c>
      <c r="C68" s="179"/>
      <c r="D68" s="179"/>
      <c r="E68" s="179"/>
      <c r="F68" s="179"/>
      <c r="G68" s="179"/>
      <c r="H68" s="179"/>
      <c r="I68" s="179"/>
      <c r="J68" s="179"/>
      <c r="K68" s="179"/>
      <c r="L68" s="179"/>
      <c r="M68" s="179"/>
      <c r="N68" s="179"/>
      <c r="O68" s="179"/>
      <c r="P68" s="179"/>
      <c r="Q68" s="179"/>
      <c r="R68" s="57"/>
      <c r="S68" s="128">
        <f>IS!S78</f>
        <v>6956</v>
      </c>
      <c r="T68" s="128">
        <f>IS!T78</f>
        <v>6892</v>
      </c>
      <c r="U68" s="128">
        <f>IS!U78</f>
        <v>6943</v>
      </c>
      <c r="V68" s="128">
        <f>IS!V78</f>
        <v>6969</v>
      </c>
      <c r="W68" s="128">
        <f>IS!W78</f>
        <v>6940</v>
      </c>
      <c r="X68" s="128">
        <f>IS!X78</f>
        <v>6995</v>
      </c>
      <c r="Y68" s="128">
        <f>IS!Y78</f>
        <v>7005</v>
      </c>
      <c r="Z68" s="128">
        <f>IS!Z78</f>
        <v>7007</v>
      </c>
      <c r="AA68" s="128">
        <f>IS!AA78</f>
        <v>6938</v>
      </c>
      <c r="AB68" s="128">
        <f>IS!AB78</f>
        <v>6986</v>
      </c>
      <c r="AC68" s="128">
        <f>IS!AC78</f>
        <v>6899</v>
      </c>
      <c r="AD68" s="128">
        <f>IS!AD78</f>
        <v>6889</v>
      </c>
      <c r="AE68" s="128">
        <f>IS!AE78</f>
        <v>6876</v>
      </c>
      <c r="AF68" s="128">
        <f>IS!AF78</f>
        <v>6851</v>
      </c>
      <c r="AG68" s="128">
        <f>IS!AG78</f>
        <v>6879</v>
      </c>
      <c r="AH68" s="128">
        <f>IS!AH78</f>
        <v>6861</v>
      </c>
      <c r="AI68" s="128">
        <f>IS!AI78</f>
        <v>6803</v>
      </c>
      <c r="AJ68" s="128">
        <f>IS!AJ78</f>
        <v>6712</v>
      </c>
      <c r="AK68" s="128">
        <f>IS!AK78</f>
        <v>6660</v>
      </c>
      <c r="AL68" s="128">
        <f>IS!AL78</f>
        <v>6759</v>
      </c>
      <c r="AM68" s="128">
        <f>IS!AM78</f>
        <v>6610</v>
      </c>
      <c r="AN68" s="128">
        <f>IS!AN78</f>
        <v>6580</v>
      </c>
      <c r="AO68" s="128">
        <f>IS!AO78</f>
        <v>6625</v>
      </c>
      <c r="AP68" s="128">
        <f>IS!AP78</f>
        <v>6671</v>
      </c>
      <c r="AQ68" s="128">
        <f>IS!AQ78</f>
        <v>6621</v>
      </c>
      <c r="AR68" s="128">
        <f>IS!AR78</f>
        <v>6624</v>
      </c>
      <c r="AS68" s="128">
        <f>IS!AS78</f>
        <v>6558</v>
      </c>
      <c r="AT68" s="128">
        <f>IS!AT78</f>
        <v>6442</v>
      </c>
      <c r="AU68" s="128">
        <f>IS!AU78</f>
        <v>6352</v>
      </c>
      <c r="AV68" s="128">
        <f>IS!AV78</f>
        <v>6494</v>
      </c>
      <c r="AW68" s="128">
        <f>IS!AW78</f>
        <v>6273</v>
      </c>
      <c r="AX68" s="128">
        <f>IS!AX78</f>
        <v>6215</v>
      </c>
      <c r="AY68" s="128">
        <f>IS!AY78</f>
        <v>6144</v>
      </c>
      <c r="AZ68" s="128">
        <f>IS!AZ78</f>
        <v>6081</v>
      </c>
      <c r="BA68" s="128">
        <f>IS!BA78</f>
        <v>6178</v>
      </c>
      <c r="BB68" s="128">
        <f>IS!BB78</f>
        <v>5954</v>
      </c>
      <c r="BC68" s="128">
        <f>IS!BC78</f>
        <v>5868</v>
      </c>
      <c r="BD68" s="128">
        <f>IS!BD78</f>
        <v>5832</v>
      </c>
      <c r="BE68" s="128">
        <f>IS!BE78</f>
        <v>5867</v>
      </c>
      <c r="BF68" s="128">
        <f>IS!BF78</f>
        <v>5880</v>
      </c>
      <c r="BG68" s="128">
        <f>IS!BG78</f>
        <v>5874</v>
      </c>
      <c r="BH68" s="128">
        <f>IS!BH78</f>
        <v>5917</v>
      </c>
      <c r="BI68" s="128">
        <f>IS!BI78</f>
        <v>5967</v>
      </c>
      <c r="BJ68" s="128">
        <f>IS!BJ78</f>
        <v>5988</v>
      </c>
      <c r="BK68" s="128">
        <f>IS!BK78</f>
        <v>5936</v>
      </c>
      <c r="BL68" s="128">
        <f>IS!BL78</f>
        <v>5879</v>
      </c>
      <c r="BM68" s="128">
        <f>IS!BM78</f>
        <v>5800</v>
      </c>
      <c r="BN68" s="128">
        <f>IS!BN78</f>
        <v>5692</v>
      </c>
      <c r="BO68" s="128">
        <f>IS!BO78</f>
        <v>5623</v>
      </c>
      <c r="BP68" s="128">
        <f>IS!BP78</f>
        <v>5748</v>
      </c>
      <c r="BQ68" s="128">
        <f>IS!BQ78</f>
        <v>5634</v>
      </c>
      <c r="BR68" s="128">
        <f>IS!BR78</f>
        <v>5678</v>
      </c>
      <c r="BS68" s="128">
        <f>IS!BS78</f>
        <v>5616</v>
      </c>
      <c r="BT68" s="128">
        <f>IS!BT78</f>
        <v>5650</v>
      </c>
      <c r="BU68" s="128">
        <f>IS!BU78</f>
        <v>5645</v>
      </c>
      <c r="BV68" s="128">
        <f>IS!BV78</f>
        <v>5681</v>
      </c>
      <c r="BW68" s="128">
        <f>IS!BW78</f>
        <v>5711</v>
      </c>
      <c r="BX68" s="128">
        <f>IS!BX78</f>
        <v>5694</v>
      </c>
      <c r="BY68" s="128">
        <f>IS!BY78</f>
        <v>5698</v>
      </c>
      <c r="BZ68" s="128">
        <f>IS!BZ78</f>
        <v>5696</v>
      </c>
      <c r="CA68" s="128">
        <f>IS!CA78</f>
        <v>5606</v>
      </c>
      <c r="CB68" s="128">
        <f>IS!CB78</f>
        <v>5441</v>
      </c>
      <c r="CC68" s="128">
        <f>IS!CC78</f>
        <v>5340</v>
      </c>
      <c r="CD68" s="128">
        <f>IS!CD78</f>
        <v>5242</v>
      </c>
      <c r="CE68" s="128">
        <f>IS!CE78</f>
        <v>5411</v>
      </c>
      <c r="CF68" s="128">
        <f>IS!CF78</f>
        <v>5192</v>
      </c>
      <c r="CG68" s="128">
        <f>IS!CG78</f>
        <v>5199</v>
      </c>
      <c r="CH68" s="128">
        <f>IS!CH78</f>
        <v>5153</v>
      </c>
      <c r="CI68" s="128">
        <f>IS!CI78</f>
        <v>5095</v>
      </c>
      <c r="CJ68" s="128">
        <f>IS!CJ78</f>
        <v>5160</v>
      </c>
      <c r="CK68" s="128">
        <f>IS!CK78</f>
        <v>5080</v>
      </c>
      <c r="CL68" s="128">
        <f>IS!CL78</f>
        <v>5106</v>
      </c>
      <c r="CM68" s="128">
        <f>IS!CM78</f>
        <v>5100</v>
      </c>
      <c r="CN68" s="128">
        <f>IS!CN78</f>
        <v>5103</v>
      </c>
      <c r="CO68" s="128">
        <f>IS!CO78</f>
        <v>5097.25</v>
      </c>
      <c r="CP68" s="128">
        <f>IS!CP78</f>
        <v>5117</v>
      </c>
      <c r="CQ68" s="128">
        <f>IS!CQ78</f>
        <v>5123</v>
      </c>
      <c r="CR68" s="128">
        <f>IS!CR78</f>
        <v>5045</v>
      </c>
      <c r="CS68" s="128">
        <f>IS!CS78</f>
        <v>4940</v>
      </c>
      <c r="CT68" s="128">
        <f>IS!CT78</f>
        <v>5056</v>
      </c>
      <c r="CU68" s="128">
        <f>IS!CU78</f>
        <v>4914</v>
      </c>
      <c r="CV68" s="128">
        <f>IS!CV78</f>
        <v>4909</v>
      </c>
      <c r="CW68" s="128">
        <f>IS!CW78</f>
        <v>4876</v>
      </c>
      <c r="CX68" s="128">
        <f>IS!CX78</f>
        <v>4876</v>
      </c>
      <c r="CY68" s="128">
        <f>IS!CY78</f>
        <v>4893.75</v>
      </c>
      <c r="CZ68" s="128">
        <f>IS!CZ78</f>
        <v>4875</v>
      </c>
      <c r="DA68" s="128">
        <f>IS!DA78</f>
        <v>4866</v>
      </c>
      <c r="DB68" s="128">
        <f>IS!DB78</f>
        <v>4877</v>
      </c>
      <c r="DC68" s="128">
        <f>IS!DC78</f>
        <v>4881</v>
      </c>
      <c r="DD68" s="128">
        <f>IS!DD78</f>
        <v>4874.75</v>
      </c>
      <c r="DE68" s="128">
        <f>IS!DE78</f>
        <v>4881</v>
      </c>
      <c r="DF68" s="128">
        <f>IS!DF78</f>
        <v>4845</v>
      </c>
      <c r="DG68" s="128">
        <f>IS!DG78</f>
        <v>4821</v>
      </c>
      <c r="DH68" s="128">
        <f>IS!DH78</f>
        <v>4790</v>
      </c>
      <c r="DI68" s="81">
        <f>IS!DI78</f>
        <v>4834.25</v>
      </c>
      <c r="DJ68" s="129">
        <f>IS!DJ78</f>
        <v>4790</v>
      </c>
      <c r="DK68" s="129">
        <f>IS!DK78</f>
        <v>4747</v>
      </c>
      <c r="DL68" s="129">
        <f>IS!DL78</f>
        <v>4648</v>
      </c>
      <c r="DM68" s="129">
        <f>IS!DM78</f>
        <v>4619</v>
      </c>
      <c r="DN68" s="81">
        <f>IS!DN78</f>
        <v>4701</v>
      </c>
      <c r="DO68" s="129">
        <f>IS!DO78</f>
        <v>4564</v>
      </c>
      <c r="DP68" s="129">
        <f>IS!DP78</f>
        <v>4523</v>
      </c>
      <c r="DQ68" s="129">
        <f>IS!DQ78</f>
        <v>4433</v>
      </c>
      <c r="DR68" s="129">
        <f>IS!DR78</f>
        <v>4373</v>
      </c>
      <c r="DS68" s="81">
        <f>IS!DS78</f>
        <v>4473.25</v>
      </c>
      <c r="DT68" s="129">
        <f>IS!DT78</f>
        <v>4312</v>
      </c>
      <c r="DU68" s="129">
        <f>IS!DU78</f>
        <v>4284</v>
      </c>
      <c r="DV68" s="129">
        <f>IS!DV78</f>
        <v>4211</v>
      </c>
      <c r="DW68" s="129">
        <f>IS!DW78</f>
        <v>4119</v>
      </c>
      <c r="DX68" s="81">
        <f>IS!DX78</f>
        <v>4231.5</v>
      </c>
      <c r="DY68" s="129">
        <f>IS!DY78</f>
        <v>4096</v>
      </c>
      <c r="DZ68" s="129">
        <f>IS!DZ78</f>
        <v>4084</v>
      </c>
      <c r="EA68" s="129">
        <f>IS!EA78</f>
        <v>4086</v>
      </c>
      <c r="EB68" s="129">
        <f>IS!EB78</f>
        <v>4095</v>
      </c>
      <c r="EC68" s="81">
        <f>IS!EC78</f>
        <v>4090.25</v>
      </c>
      <c r="ED68" s="129">
        <f>IS!ED78</f>
        <v>4107</v>
      </c>
      <c r="EE68" s="129">
        <f>IS!EE78</f>
        <v>4100</v>
      </c>
      <c r="EF68" s="129">
        <f>IS!EF78</f>
        <v>4125</v>
      </c>
      <c r="EG68" s="129">
        <f>IS!EG78</f>
        <v>4133</v>
      </c>
      <c r="EH68" s="81">
        <f>IS!EH78</f>
        <v>4116.25</v>
      </c>
      <c r="EI68" s="134">
        <f>IS!EI78</f>
        <v>4137.133</v>
      </c>
      <c r="EJ68" s="128">
        <f>IS!EJ78</f>
        <v>4141.270133</v>
      </c>
      <c r="EK68" s="128">
        <f>IS!EK78</f>
        <v>4145.411403</v>
      </c>
      <c r="EL68" s="128">
        <f>IS!EL78</f>
        <v>4149.556815</v>
      </c>
      <c r="EM68" s="81">
        <f>IS!EM78</f>
        <v>4143.342838</v>
      </c>
      <c r="EN68" s="128">
        <f>IS!EN78</f>
        <v>4137.039705</v>
      </c>
      <c r="EO68" s="128">
        <f>IS!EO78</f>
        <v>4124.510078</v>
      </c>
      <c r="EP68" s="128">
        <f>IS!EP78</f>
        <v>4111.967921</v>
      </c>
      <c r="EQ68" s="128">
        <f>IS!EQ78</f>
        <v>4099.413222</v>
      </c>
      <c r="ER68" s="81">
        <f>IS!ER78</f>
        <v>4118.232731</v>
      </c>
      <c r="ES68" s="128">
        <f>IS!ES78</f>
        <v>4089.226921</v>
      </c>
      <c r="ET68" s="128">
        <f>IS!ET78</f>
        <v>4079.030434</v>
      </c>
      <c r="EU68" s="128">
        <f>IS!EU78</f>
        <v>4068.82375</v>
      </c>
      <c r="EV68" s="128">
        <f>IS!EV78</f>
        <v>4058.60686</v>
      </c>
      <c r="EW68" s="81">
        <f>IS!EW78</f>
        <v>4073.921991</v>
      </c>
      <c r="EX68" s="128">
        <f>IS!EX78</f>
        <v>4050.165466</v>
      </c>
      <c r="EY68" s="128">
        <f>IS!EY78</f>
        <v>4041.715632</v>
      </c>
      <c r="EZ68" s="128">
        <f>IS!EZ78</f>
        <v>4033.257348</v>
      </c>
      <c r="FA68" s="128">
        <f>IS!FA78</f>
        <v>4024.790605</v>
      </c>
      <c r="FB68" s="81">
        <f>IS!FB78</f>
        <v>4037.482263</v>
      </c>
      <c r="FC68" s="128">
        <f>IS!FC78</f>
        <v>4003.815395</v>
      </c>
      <c r="FD68" s="128">
        <f>IS!FD78</f>
        <v>3982.819211</v>
      </c>
      <c r="FE68" s="128">
        <f>IS!FE78</f>
        <v>3961.80203</v>
      </c>
      <c r="FF68" s="128">
        <f>IS!FF78</f>
        <v>3940.763832</v>
      </c>
      <c r="FG68" s="81">
        <f>IS!FG78</f>
        <v>3972.300117</v>
      </c>
    </row>
    <row r="69" ht="12.75" customHeight="1">
      <c r="A69" s="128"/>
      <c r="B69" s="179" t="s">
        <v>611</v>
      </c>
      <c r="C69" s="179"/>
      <c r="D69" s="179"/>
      <c r="E69" s="179"/>
      <c r="F69" s="179"/>
      <c r="G69" s="179"/>
      <c r="H69" s="179"/>
      <c r="I69" s="179"/>
      <c r="J69" s="179"/>
      <c r="K69" s="179"/>
      <c r="L69" s="179"/>
      <c r="M69" s="179"/>
      <c r="N69" s="179"/>
      <c r="O69" s="179"/>
      <c r="P69" s="179"/>
      <c r="Q69" s="179"/>
      <c r="R69" s="57"/>
      <c r="S69" s="243">
        <f t="shared" ref="S69:FG69" si="330">S66/S$68</f>
        <v>0.4170500288</v>
      </c>
      <c r="T69" s="243">
        <f t="shared" si="330"/>
        <v>0.233459083</v>
      </c>
      <c r="U69" s="243">
        <f t="shared" si="330"/>
        <v>0.5670459456</v>
      </c>
      <c r="V69" s="243">
        <f t="shared" si="330"/>
        <v>0.5290572536</v>
      </c>
      <c r="W69" s="243">
        <f t="shared" si="330"/>
        <v>1.748414986</v>
      </c>
      <c r="X69" s="243">
        <f t="shared" si="330"/>
        <v>0.4690493209</v>
      </c>
      <c r="Y69" s="243">
        <f t="shared" si="330"/>
        <v>0.4505353319</v>
      </c>
      <c r="Z69" s="243">
        <f t="shared" si="330"/>
        <v>0.4298558584</v>
      </c>
      <c r="AA69" s="243">
        <f t="shared" si="330"/>
        <v>0.4868838282</v>
      </c>
      <c r="AB69" s="243">
        <f t="shared" si="330"/>
        <v>0</v>
      </c>
      <c r="AC69" s="243">
        <f t="shared" si="330"/>
        <v>0.1711842296</v>
      </c>
      <c r="AD69" s="243">
        <f t="shared" si="330"/>
        <v>0.307591813</v>
      </c>
      <c r="AE69" s="243">
        <f t="shared" si="330"/>
        <v>0.2994473531</v>
      </c>
      <c r="AF69" s="243">
        <f t="shared" si="330"/>
        <v>0.4809516859</v>
      </c>
      <c r="AG69" s="243">
        <f t="shared" si="330"/>
        <v>1.258031691</v>
      </c>
      <c r="AH69" s="243">
        <f t="shared" si="330"/>
        <v>0.22270806</v>
      </c>
      <c r="AI69" s="243">
        <f t="shared" si="330"/>
        <v>0.2482728208</v>
      </c>
      <c r="AJ69" s="243">
        <f t="shared" si="330"/>
        <v>0.356227652</v>
      </c>
      <c r="AK69" s="243">
        <f t="shared" si="330"/>
        <v>0.5286786787</v>
      </c>
      <c r="AL69" s="243">
        <f t="shared" si="330"/>
        <v>1.350643586</v>
      </c>
      <c r="AM69" s="243">
        <f t="shared" si="330"/>
        <v>0.258698941</v>
      </c>
      <c r="AN69" s="243">
        <f t="shared" si="330"/>
        <v>0.4025835866</v>
      </c>
      <c r="AO69" s="243">
        <f t="shared" si="330"/>
        <v>0.4812075472</v>
      </c>
      <c r="AP69" s="243">
        <f t="shared" si="330"/>
        <v>0.5948133713</v>
      </c>
      <c r="AQ69" s="243">
        <f t="shared" si="330"/>
        <v>1.739163268</v>
      </c>
      <c r="AR69" s="243">
        <f t="shared" si="330"/>
        <v>0.2670591787</v>
      </c>
      <c r="AS69" s="243">
        <f t="shared" si="330"/>
        <v>0.6198536139</v>
      </c>
      <c r="AT69" s="243">
        <f t="shared" si="330"/>
        <v>0.492083204</v>
      </c>
      <c r="AU69" s="243">
        <f t="shared" si="330"/>
        <v>0.6478274559</v>
      </c>
      <c r="AV69" s="243">
        <f t="shared" si="330"/>
        <v>2.020172467</v>
      </c>
      <c r="AW69" s="243">
        <f t="shared" si="330"/>
        <v>0.5987565758</v>
      </c>
      <c r="AX69" s="243">
        <f t="shared" si="330"/>
        <v>0.4781979083</v>
      </c>
      <c r="AY69" s="243">
        <f t="shared" si="330"/>
        <v>0.7106119792</v>
      </c>
      <c r="AZ69" s="243">
        <f t="shared" si="330"/>
        <v>0.6132215096</v>
      </c>
      <c r="BA69" s="243">
        <f t="shared" si="330"/>
        <v>2.399320168</v>
      </c>
      <c r="BB69" s="243">
        <f t="shared" si="330"/>
        <v>0.3520322472</v>
      </c>
      <c r="BC69" s="243">
        <f t="shared" si="330"/>
        <v>0.2610770279</v>
      </c>
      <c r="BD69" s="243">
        <f t="shared" si="330"/>
        <v>0.4783950617</v>
      </c>
      <c r="BE69" s="243">
        <f t="shared" si="330"/>
        <v>0.7162093063</v>
      </c>
      <c r="BF69" s="243">
        <f t="shared" si="330"/>
        <v>1.806122449</v>
      </c>
      <c r="BG69" s="243">
        <f t="shared" si="330"/>
        <v>0.2642151856</v>
      </c>
      <c r="BH69" s="243">
        <f t="shared" si="330"/>
        <v>0.4084840291</v>
      </c>
      <c r="BI69" s="243">
        <f t="shared" si="330"/>
        <v>0.6509133568</v>
      </c>
      <c r="BJ69" s="243">
        <f t="shared" si="330"/>
        <v>0.7969271877</v>
      </c>
      <c r="BK69" s="243">
        <f t="shared" si="330"/>
        <v>2.1268531</v>
      </c>
      <c r="BL69" s="243">
        <f t="shared" si="330"/>
        <v>0.3767647559</v>
      </c>
      <c r="BM69" s="243">
        <f t="shared" si="330"/>
        <v>0.4875862069</v>
      </c>
      <c r="BN69" s="243">
        <f t="shared" si="330"/>
        <v>0.5774771609</v>
      </c>
      <c r="BO69" s="243">
        <f t="shared" si="330"/>
        <v>0.4616752623</v>
      </c>
      <c r="BP69" s="243">
        <f t="shared" si="330"/>
        <v>1.900835073</v>
      </c>
      <c r="BQ69" s="243">
        <f t="shared" si="330"/>
        <v>0.06709265176</v>
      </c>
      <c r="BR69" s="243">
        <f t="shared" si="330"/>
        <v>0.5959845016</v>
      </c>
      <c r="BS69" s="243">
        <f t="shared" si="330"/>
        <v>0.7127849003</v>
      </c>
      <c r="BT69" s="243">
        <f t="shared" si="330"/>
        <v>0.6026548673</v>
      </c>
      <c r="BU69" s="243">
        <f t="shared" si="330"/>
        <v>1.97874225</v>
      </c>
      <c r="BV69" s="243">
        <f t="shared" si="330"/>
        <v>0.7180073931</v>
      </c>
      <c r="BW69" s="243">
        <f t="shared" si="330"/>
        <v>0.6104009806</v>
      </c>
      <c r="BX69" s="243">
        <f t="shared" si="330"/>
        <v>0.6282051282</v>
      </c>
      <c r="BY69" s="243">
        <f t="shared" si="330"/>
        <v>0.974025974</v>
      </c>
      <c r="BZ69" s="243">
        <f t="shared" si="330"/>
        <v>2.930477528</v>
      </c>
      <c r="CA69" s="243">
        <f t="shared" si="330"/>
        <v>0.7158401712</v>
      </c>
      <c r="CB69" s="243">
        <f t="shared" si="330"/>
        <v>0.7298290755</v>
      </c>
      <c r="CC69" s="243">
        <f t="shared" si="330"/>
        <v>1.188951311</v>
      </c>
      <c r="CD69" s="243">
        <f t="shared" si="330"/>
        <v>1.264784433</v>
      </c>
      <c r="CE69" s="243">
        <f t="shared" si="330"/>
        <v>3.87414526</v>
      </c>
      <c r="CF69" s="243">
        <f t="shared" si="330"/>
        <v>0.5724191063</v>
      </c>
      <c r="CG69" s="243">
        <f t="shared" si="330"/>
        <v>0.9115214464</v>
      </c>
      <c r="CH69" s="243">
        <f t="shared" si="330"/>
        <v>0.9988356297</v>
      </c>
      <c r="CI69" s="243">
        <f t="shared" si="330"/>
        <v>1.182728165</v>
      </c>
      <c r="CJ69" s="243">
        <f t="shared" si="330"/>
        <v>3.659689922</v>
      </c>
      <c r="CK69" s="243">
        <f t="shared" si="330"/>
        <v>0.843503937</v>
      </c>
      <c r="CL69" s="243">
        <f t="shared" si="330"/>
        <v>0.9247943596</v>
      </c>
      <c r="CM69" s="243">
        <f t="shared" si="330"/>
        <v>1.12372549</v>
      </c>
      <c r="CN69" s="243">
        <f t="shared" si="330"/>
        <v>1.23633157</v>
      </c>
      <c r="CO69" s="243">
        <f t="shared" si="330"/>
        <v>4.075923292</v>
      </c>
      <c r="CP69" s="243">
        <f t="shared" si="330"/>
        <v>0.6886847762</v>
      </c>
      <c r="CQ69" s="243">
        <f t="shared" si="330"/>
        <v>1.064415382</v>
      </c>
      <c r="CR69" s="243">
        <f t="shared" si="330"/>
        <v>1.128444004</v>
      </c>
      <c r="CS69" s="243">
        <f t="shared" si="330"/>
        <v>1.168218623</v>
      </c>
      <c r="CT69" s="243">
        <f t="shared" si="330"/>
        <v>4.042919304</v>
      </c>
      <c r="CU69" s="243">
        <f t="shared" si="330"/>
        <v>0.8984533985</v>
      </c>
      <c r="CV69" s="243">
        <f t="shared" si="330"/>
        <v>0.7007537177</v>
      </c>
      <c r="CW69" s="243">
        <f t="shared" si="330"/>
        <v>1.176168991</v>
      </c>
      <c r="CX69" s="243">
        <f t="shared" si="330"/>
        <v>1.113002461</v>
      </c>
      <c r="CY69" s="243">
        <f t="shared" si="330"/>
        <v>3.885977011</v>
      </c>
      <c r="CZ69" s="243">
        <f t="shared" si="330"/>
        <v>0.8317948718</v>
      </c>
      <c r="DA69" s="243">
        <f t="shared" si="330"/>
        <v>0.7901767365</v>
      </c>
      <c r="DB69" s="243">
        <f t="shared" si="330"/>
        <v>1.180643838</v>
      </c>
      <c r="DC69" s="243">
        <f t="shared" si="330"/>
        <v>1.669739807</v>
      </c>
      <c r="DD69" s="243">
        <f t="shared" si="330"/>
        <v>4.473665316</v>
      </c>
      <c r="DE69" s="243">
        <f t="shared" si="330"/>
        <v>0.7986068429</v>
      </c>
      <c r="DF69" s="243">
        <f t="shared" si="330"/>
        <v>0.9715170279</v>
      </c>
      <c r="DG69" s="243">
        <f t="shared" si="330"/>
        <v>1.299315495</v>
      </c>
      <c r="DH69" s="243">
        <f t="shared" si="330"/>
        <v>1.511691023</v>
      </c>
      <c r="DI69" s="870">
        <f t="shared" si="330"/>
        <v>4.573615349</v>
      </c>
      <c r="DJ69" s="244">
        <f t="shared" si="330"/>
        <v>1.311899791</v>
      </c>
      <c r="DK69" s="244">
        <f t="shared" si="330"/>
        <v>1.561617864</v>
      </c>
      <c r="DL69" s="244">
        <f t="shared" si="330"/>
        <v>1.900817556</v>
      </c>
      <c r="DM69" s="244">
        <f t="shared" si="330"/>
        <v>1.493829833</v>
      </c>
      <c r="DN69" s="870">
        <f t="shared" si="330"/>
        <v>6.260795575</v>
      </c>
      <c r="DO69" s="244">
        <f t="shared" si="330"/>
        <v>1.086546889</v>
      </c>
      <c r="DP69" s="244">
        <f t="shared" si="330"/>
        <v>1.677426487</v>
      </c>
      <c r="DQ69" s="244">
        <f t="shared" si="330"/>
        <v>2.416196707</v>
      </c>
      <c r="DR69" s="244">
        <f t="shared" si="330"/>
        <v>2.261147953</v>
      </c>
      <c r="DS69" s="870">
        <f t="shared" si="330"/>
        <v>7.40960152</v>
      </c>
      <c r="DT69" s="244">
        <f t="shared" si="330"/>
        <v>1.428107607</v>
      </c>
      <c r="DU69" s="244">
        <f t="shared" si="330"/>
        <v>2.604341737</v>
      </c>
      <c r="DV69" s="244">
        <f t="shared" si="330"/>
        <v>1.942293992</v>
      </c>
      <c r="DW69" s="244">
        <f t="shared" si="330"/>
        <v>2.40106822</v>
      </c>
      <c r="DX69" s="870">
        <f t="shared" si="330"/>
        <v>8.362046556</v>
      </c>
      <c r="DY69" s="244">
        <f t="shared" si="330"/>
        <v>1.354492188</v>
      </c>
      <c r="DZ69" s="244">
        <f t="shared" si="330"/>
        <v>2.141527914</v>
      </c>
      <c r="EA69" s="244">
        <f t="shared" si="330"/>
        <v>2.422907489</v>
      </c>
      <c r="EB69" s="244">
        <f t="shared" si="330"/>
        <v>1.415628816</v>
      </c>
      <c r="EC69" s="870">
        <f t="shared" si="330"/>
        <v>7.332314651</v>
      </c>
      <c r="ED69" s="244">
        <f t="shared" si="330"/>
        <v>1.434380326</v>
      </c>
      <c r="EE69" s="244">
        <f t="shared" si="330"/>
        <v>0.1973170732</v>
      </c>
      <c r="EF69" s="244">
        <f t="shared" si="330"/>
        <v>0.2496969697</v>
      </c>
      <c r="EG69" s="244">
        <f t="shared" si="330"/>
        <v>1.863779337</v>
      </c>
      <c r="EH69" s="870">
        <f t="shared" si="330"/>
        <v>3.749286365</v>
      </c>
      <c r="EI69" s="871" t="str">
        <f t="shared" si="330"/>
        <v>#ERROR!</v>
      </c>
      <c r="EJ69" s="243" t="str">
        <f t="shared" si="330"/>
        <v>#ERROR!</v>
      </c>
      <c r="EK69" s="243" t="str">
        <f t="shared" si="330"/>
        <v>#ERROR!</v>
      </c>
      <c r="EL69" s="243" t="str">
        <f t="shared" si="330"/>
        <v>#ERROR!</v>
      </c>
      <c r="EM69" s="870" t="str">
        <f t="shared" si="330"/>
        <v>#ERROR!</v>
      </c>
      <c r="EN69" s="243" t="str">
        <f t="shared" si="330"/>
        <v>#ERROR!</v>
      </c>
      <c r="EO69" s="243" t="str">
        <f t="shared" si="330"/>
        <v>#ERROR!</v>
      </c>
      <c r="EP69" s="243" t="str">
        <f t="shared" si="330"/>
        <v>#ERROR!</v>
      </c>
      <c r="EQ69" s="243" t="str">
        <f t="shared" si="330"/>
        <v>#ERROR!</v>
      </c>
      <c r="ER69" s="870" t="str">
        <f t="shared" si="330"/>
        <v>#ERROR!</v>
      </c>
      <c r="ES69" s="243" t="str">
        <f t="shared" si="330"/>
        <v>#ERROR!</v>
      </c>
      <c r="ET69" s="243" t="str">
        <f t="shared" si="330"/>
        <v>#ERROR!</v>
      </c>
      <c r="EU69" s="243" t="str">
        <f t="shared" si="330"/>
        <v>#ERROR!</v>
      </c>
      <c r="EV69" s="243" t="str">
        <f t="shared" si="330"/>
        <v>#ERROR!</v>
      </c>
      <c r="EW69" s="870" t="str">
        <f t="shared" si="330"/>
        <v>#ERROR!</v>
      </c>
      <c r="EX69" s="243" t="str">
        <f t="shared" si="330"/>
        <v>#ERROR!</v>
      </c>
      <c r="EY69" s="243" t="str">
        <f t="shared" si="330"/>
        <v>#ERROR!</v>
      </c>
      <c r="EZ69" s="243" t="str">
        <f t="shared" si="330"/>
        <v>#ERROR!</v>
      </c>
      <c r="FA69" s="243" t="str">
        <f t="shared" si="330"/>
        <v>#ERROR!</v>
      </c>
      <c r="FB69" s="870" t="str">
        <f t="shared" si="330"/>
        <v>#ERROR!</v>
      </c>
      <c r="FC69" s="243" t="str">
        <f t="shared" si="330"/>
        <v>#ERROR!</v>
      </c>
      <c r="FD69" s="243" t="str">
        <f t="shared" si="330"/>
        <v>#ERROR!</v>
      </c>
      <c r="FE69" s="243" t="str">
        <f t="shared" si="330"/>
        <v>#ERROR!</v>
      </c>
      <c r="FF69" s="243" t="str">
        <f t="shared" si="330"/>
        <v>#ERROR!</v>
      </c>
      <c r="FG69" s="870" t="str">
        <f t="shared" si="330"/>
        <v>#ERROR!</v>
      </c>
    </row>
    <row r="70" ht="12.75" customHeight="1">
      <c r="A70" s="128"/>
      <c r="B70" s="179" t="s">
        <v>612</v>
      </c>
      <c r="C70" s="179"/>
      <c r="D70" s="179"/>
      <c r="E70" s="179"/>
      <c r="F70" s="179"/>
      <c r="G70" s="179"/>
      <c r="H70" s="179"/>
      <c r="I70" s="179"/>
      <c r="J70" s="179"/>
      <c r="K70" s="179"/>
      <c r="L70" s="179"/>
      <c r="M70" s="179"/>
      <c r="N70" s="179"/>
      <c r="O70" s="179"/>
      <c r="P70" s="179"/>
      <c r="Q70" s="179"/>
      <c r="R70" s="57"/>
      <c r="S70" s="243"/>
      <c r="T70" s="179"/>
      <c r="U70" s="179"/>
      <c r="V70" s="243">
        <f t="shared" ref="V70:FG70" si="331">V67/V$68</f>
        <v>1.741139331</v>
      </c>
      <c r="W70" s="243">
        <f t="shared" si="331"/>
        <v>3.078818444</v>
      </c>
      <c r="X70" s="243">
        <f t="shared" si="331"/>
        <v>3.293638313</v>
      </c>
      <c r="Y70" s="243">
        <f t="shared" si="331"/>
        <v>3.177444682</v>
      </c>
      <c r="Z70" s="243">
        <f t="shared" si="331"/>
        <v>3.080205509</v>
      </c>
      <c r="AA70" s="243">
        <f t="shared" si="331"/>
        <v>1.84880369</v>
      </c>
      <c r="AB70" s="243">
        <f t="shared" si="331"/>
        <v>0</v>
      </c>
      <c r="AC70" s="243">
        <f t="shared" si="331"/>
        <v>1.554863024</v>
      </c>
      <c r="AD70" s="243">
        <f t="shared" si="331"/>
        <v>1.406590216</v>
      </c>
      <c r="AE70" s="243">
        <f t="shared" si="331"/>
        <v>1.270651542</v>
      </c>
      <c r="AF70" s="243">
        <f t="shared" si="331"/>
        <v>1.263173259</v>
      </c>
      <c r="AG70" s="243">
        <f t="shared" si="331"/>
        <v>1.258031691</v>
      </c>
      <c r="AH70" s="243">
        <f t="shared" si="331"/>
        <v>1.311907885</v>
      </c>
      <c r="AI70" s="243">
        <f t="shared" si="331"/>
        <v>1.259885345</v>
      </c>
      <c r="AJ70" s="243">
        <f t="shared" si="331"/>
        <v>1.326430274</v>
      </c>
      <c r="AK70" s="243">
        <f t="shared" si="331"/>
        <v>1.370720721</v>
      </c>
      <c r="AL70" s="243">
        <f t="shared" si="331"/>
        <v>1.350643586</v>
      </c>
      <c r="AM70" s="243">
        <f t="shared" si="331"/>
        <v>1.408623298</v>
      </c>
      <c r="AN70" s="243">
        <f t="shared" si="331"/>
        <v>1.560942249</v>
      </c>
      <c r="AO70" s="243">
        <f t="shared" si="331"/>
        <v>1.670641509</v>
      </c>
      <c r="AP70" s="243">
        <f t="shared" si="331"/>
        <v>1.726128017</v>
      </c>
      <c r="AQ70" s="243">
        <f t="shared" si="331"/>
        <v>1.739163268</v>
      </c>
      <c r="AR70" s="243">
        <f t="shared" si="331"/>
        <v>1.747282609</v>
      </c>
      <c r="AS70" s="243">
        <f t="shared" si="331"/>
        <v>1.980786825</v>
      </c>
      <c r="AT70" s="243">
        <f t="shared" si="331"/>
        <v>2.013660354</v>
      </c>
      <c r="AU70" s="243">
        <f t="shared" si="331"/>
        <v>2.065333753</v>
      </c>
      <c r="AV70" s="243">
        <f t="shared" si="331"/>
        <v>2.020172467</v>
      </c>
      <c r="AW70" s="243">
        <f t="shared" si="331"/>
        <v>2.408098199</v>
      </c>
      <c r="AX70" s="243">
        <f t="shared" si="331"/>
        <v>2.254706356</v>
      </c>
      <c r="AY70" s="243">
        <f t="shared" si="331"/>
        <v>3.999348958</v>
      </c>
      <c r="AZ70" s="243">
        <f t="shared" si="331"/>
        <v>2.437592501</v>
      </c>
      <c r="BA70" s="243">
        <f t="shared" si="331"/>
        <v>2.399320168</v>
      </c>
      <c r="BB70" s="243">
        <f t="shared" si="331"/>
        <v>2.210782667</v>
      </c>
      <c r="BC70" s="243">
        <f t="shared" si="331"/>
        <v>1.997784594</v>
      </c>
      <c r="BD70" s="243">
        <f t="shared" si="331"/>
        <v>1.739883402</v>
      </c>
      <c r="BE70" s="243">
        <f t="shared" si="331"/>
        <v>1.810124425</v>
      </c>
      <c r="BF70" s="243">
        <f t="shared" si="331"/>
        <v>1.806122449</v>
      </c>
      <c r="BG70" s="243">
        <f t="shared" si="331"/>
        <v>1.715355805</v>
      </c>
      <c r="BH70" s="243">
        <f t="shared" si="331"/>
        <v>1.852459016</v>
      </c>
      <c r="BI70" s="243">
        <f t="shared" si="331"/>
        <v>2.020278197</v>
      </c>
      <c r="BJ70" s="243">
        <f t="shared" si="331"/>
        <v>2.108383434</v>
      </c>
      <c r="BK70" s="243">
        <f t="shared" si="331"/>
        <v>2.1268531</v>
      </c>
      <c r="BL70" s="243">
        <f t="shared" si="331"/>
        <v>2.260248342</v>
      </c>
      <c r="BM70" s="243">
        <f t="shared" si="331"/>
        <v>2.361896552</v>
      </c>
      <c r="BN70" s="243">
        <f t="shared" si="331"/>
        <v>2.301827126</v>
      </c>
      <c r="BO70" s="243">
        <f t="shared" si="331"/>
        <v>1.943090877</v>
      </c>
      <c r="BP70" s="243">
        <f t="shared" si="331"/>
        <v>1.900835073</v>
      </c>
      <c r="BQ70" s="243">
        <f t="shared" si="331"/>
        <v>1.613241037</v>
      </c>
      <c r="BR70" s="243">
        <f t="shared" si="331"/>
        <v>1.698661501</v>
      </c>
      <c r="BS70" s="243">
        <f t="shared" si="331"/>
        <v>1.844907407</v>
      </c>
      <c r="BT70" s="243">
        <f t="shared" si="331"/>
        <v>1.97699115</v>
      </c>
      <c r="BU70" s="243">
        <f t="shared" si="331"/>
        <v>1.97874225</v>
      </c>
      <c r="BV70" s="243">
        <f t="shared" si="331"/>
        <v>2.617672945</v>
      </c>
      <c r="BW70" s="243">
        <f t="shared" si="331"/>
        <v>2.621782525</v>
      </c>
      <c r="BX70" s="243">
        <f t="shared" si="331"/>
        <v>2.554794521</v>
      </c>
      <c r="BY70" s="243">
        <f t="shared" si="331"/>
        <v>2.929448929</v>
      </c>
      <c r="BZ70" s="243">
        <f t="shared" si="331"/>
        <v>2.930477528</v>
      </c>
      <c r="CA70" s="243">
        <f t="shared" si="331"/>
        <v>2.965750981</v>
      </c>
      <c r="CB70" s="243">
        <f t="shared" si="331"/>
        <v>3.144826319</v>
      </c>
      <c r="CC70" s="243">
        <f t="shared" si="331"/>
        <v>3.72340824</v>
      </c>
      <c r="CD70" s="243">
        <f t="shared" si="331"/>
        <v>3.999046166</v>
      </c>
      <c r="CE70" s="243">
        <f t="shared" si="331"/>
        <v>3.87414526</v>
      </c>
      <c r="CF70" s="243">
        <f t="shared" si="331"/>
        <v>3.837057011</v>
      </c>
      <c r="CG70" s="243">
        <f t="shared" si="331"/>
        <v>3.979611464</v>
      </c>
      <c r="CH70" s="243">
        <f t="shared" si="331"/>
        <v>3.781874636</v>
      </c>
      <c r="CI70" s="243">
        <f t="shared" si="331"/>
        <v>3.706378803</v>
      </c>
      <c r="CJ70" s="243">
        <f t="shared" si="331"/>
        <v>3.659689922</v>
      </c>
      <c r="CK70" s="243">
        <f t="shared" si="331"/>
        <v>3.975787402</v>
      </c>
      <c r="CL70" s="243">
        <f t="shared" si="331"/>
        <v>3.952213083</v>
      </c>
      <c r="CM70" s="243">
        <f t="shared" si="331"/>
        <v>4.071372549</v>
      </c>
      <c r="CN70" s="243">
        <f t="shared" si="331"/>
        <v>4.124436606</v>
      </c>
      <c r="CO70" s="243">
        <f t="shared" si="331"/>
        <v>4.129089215</v>
      </c>
      <c r="CP70" s="243">
        <f t="shared" si="331"/>
        <v>3.964432285</v>
      </c>
      <c r="CQ70" s="243">
        <f t="shared" si="331"/>
        <v>4.102479016</v>
      </c>
      <c r="CR70" s="243">
        <f t="shared" si="331"/>
        <v>4.158374628</v>
      </c>
      <c r="CS70" s="243">
        <f t="shared" si="331"/>
        <v>4.137854251</v>
      </c>
      <c r="CT70" s="243">
        <f t="shared" si="331"/>
        <v>4.042919304</v>
      </c>
      <c r="CU70" s="243">
        <f t="shared" si="331"/>
        <v>4.341066341</v>
      </c>
      <c r="CV70" s="243">
        <f t="shared" si="331"/>
        <v>3.93542473</v>
      </c>
      <c r="CW70" s="243">
        <f t="shared" si="331"/>
        <v>3.970672683</v>
      </c>
      <c r="CX70" s="243">
        <f t="shared" si="331"/>
        <v>3.900123052</v>
      </c>
      <c r="CY70" s="243">
        <f t="shared" si="331"/>
        <v>3.885977011</v>
      </c>
      <c r="CZ70" s="243">
        <f t="shared" si="331"/>
        <v>3.827076923</v>
      </c>
      <c r="DA70" s="243">
        <f t="shared" si="331"/>
        <v>3.917385943</v>
      </c>
      <c r="DB70" s="243">
        <f t="shared" si="331"/>
        <v>3.913266352</v>
      </c>
      <c r="DC70" s="243">
        <f t="shared" si="331"/>
        <v>4.467936898</v>
      </c>
      <c r="DD70" s="243">
        <f t="shared" si="331"/>
        <v>4.473665316</v>
      </c>
      <c r="DE70" s="243">
        <f t="shared" si="331"/>
        <v>4.435771358</v>
      </c>
      <c r="DF70" s="243">
        <f t="shared" si="331"/>
        <v>4.646646027</v>
      </c>
      <c r="DG70" s="243">
        <f t="shared" si="331"/>
        <v>4.774735532</v>
      </c>
      <c r="DH70" s="243">
        <f t="shared" si="331"/>
        <v>4.615866388</v>
      </c>
      <c r="DI70" s="870">
        <f t="shared" si="331"/>
        <v>4.573615349</v>
      </c>
      <c r="DJ70" s="244">
        <f t="shared" si="331"/>
        <v>5.113987474</v>
      </c>
      <c r="DK70" s="244">
        <f t="shared" si="331"/>
        <v>5.730356014</v>
      </c>
      <c r="DL70" s="244">
        <f t="shared" si="331"/>
        <v>6.405550775</v>
      </c>
      <c r="DM70" s="244">
        <f t="shared" si="331"/>
        <v>6.371941979</v>
      </c>
      <c r="DN70" s="870">
        <f t="shared" si="331"/>
        <v>6.260795575</v>
      </c>
      <c r="DO70" s="244">
        <f t="shared" si="331"/>
        <v>6.158413672</v>
      </c>
      <c r="DP70" s="244">
        <f t="shared" si="331"/>
        <v>6.252708379</v>
      </c>
      <c r="DQ70" s="244">
        <f t="shared" si="331"/>
        <v>6.802842319</v>
      </c>
      <c r="DR70" s="244">
        <f t="shared" si="331"/>
        <v>7.579464898</v>
      </c>
      <c r="DS70" s="870">
        <f t="shared" si="331"/>
        <v>7.40960152</v>
      </c>
      <c r="DT70" s="244">
        <f t="shared" si="331"/>
        <v>7.964749536</v>
      </c>
      <c r="DU70" s="244">
        <f t="shared" si="331"/>
        <v>8.850140056</v>
      </c>
      <c r="DV70" s="244">
        <f t="shared" si="331"/>
        <v>8.402279744</v>
      </c>
      <c r="DW70" s="244">
        <f t="shared" si="331"/>
        <v>8.590434571</v>
      </c>
      <c r="DX70" s="870">
        <f t="shared" si="331"/>
        <v>8.362046556</v>
      </c>
      <c r="DY70" s="244">
        <f t="shared" si="331"/>
        <v>8.489746094</v>
      </c>
      <c r="DZ70" s="244">
        <f t="shared" si="331"/>
        <v>7.924338883</v>
      </c>
      <c r="EA70" s="244">
        <f t="shared" si="331"/>
        <v>8.34165443</v>
      </c>
      <c r="EB70" s="244">
        <f t="shared" si="331"/>
        <v>7.323809524</v>
      </c>
      <c r="EC70" s="870">
        <f t="shared" si="331"/>
        <v>7.332314651</v>
      </c>
      <c r="ED70" s="244">
        <f t="shared" si="331"/>
        <v>7.385926467</v>
      </c>
      <c r="EE70" s="244">
        <f t="shared" si="331"/>
        <v>5.462682927</v>
      </c>
      <c r="EF70" s="244">
        <f t="shared" si="331"/>
        <v>3.279272727</v>
      </c>
      <c r="EG70" s="244">
        <f t="shared" si="331"/>
        <v>3.734091459</v>
      </c>
      <c r="EH70" s="870">
        <f t="shared" si="331"/>
        <v>3.749286365</v>
      </c>
      <c r="EI70" s="871" t="str">
        <f t="shared" si="331"/>
        <v>#ERROR!</v>
      </c>
      <c r="EJ70" s="243" t="str">
        <f t="shared" si="331"/>
        <v>#ERROR!</v>
      </c>
      <c r="EK70" s="243" t="str">
        <f t="shared" si="331"/>
        <v>#ERROR!</v>
      </c>
      <c r="EL70" s="243" t="str">
        <f t="shared" si="331"/>
        <v>#ERROR!</v>
      </c>
      <c r="EM70" s="870" t="str">
        <f t="shared" si="331"/>
        <v>#ERROR!</v>
      </c>
      <c r="EN70" s="243" t="str">
        <f t="shared" si="331"/>
        <v>#ERROR!</v>
      </c>
      <c r="EO70" s="243" t="str">
        <f t="shared" si="331"/>
        <v>#ERROR!</v>
      </c>
      <c r="EP70" s="243" t="str">
        <f t="shared" si="331"/>
        <v>#ERROR!</v>
      </c>
      <c r="EQ70" s="243" t="str">
        <f t="shared" si="331"/>
        <v>#ERROR!</v>
      </c>
      <c r="ER70" s="870" t="str">
        <f t="shared" si="331"/>
        <v>#ERROR!</v>
      </c>
      <c r="ES70" s="243" t="str">
        <f t="shared" si="331"/>
        <v>#ERROR!</v>
      </c>
      <c r="ET70" s="243" t="str">
        <f t="shared" si="331"/>
        <v>#ERROR!</v>
      </c>
      <c r="EU70" s="243" t="str">
        <f t="shared" si="331"/>
        <v>#ERROR!</v>
      </c>
      <c r="EV70" s="243" t="str">
        <f t="shared" si="331"/>
        <v>#ERROR!</v>
      </c>
      <c r="EW70" s="870" t="str">
        <f t="shared" si="331"/>
        <v>#ERROR!</v>
      </c>
      <c r="EX70" s="243" t="str">
        <f t="shared" si="331"/>
        <v>#ERROR!</v>
      </c>
      <c r="EY70" s="243" t="str">
        <f t="shared" si="331"/>
        <v>#ERROR!</v>
      </c>
      <c r="EZ70" s="243" t="str">
        <f t="shared" si="331"/>
        <v>#ERROR!</v>
      </c>
      <c r="FA70" s="243" t="str">
        <f t="shared" si="331"/>
        <v>#ERROR!</v>
      </c>
      <c r="FB70" s="870" t="str">
        <f t="shared" si="331"/>
        <v>#ERROR!</v>
      </c>
      <c r="FC70" s="243" t="str">
        <f t="shared" si="331"/>
        <v>#ERROR!</v>
      </c>
      <c r="FD70" s="243" t="str">
        <f t="shared" si="331"/>
        <v>#ERROR!</v>
      </c>
      <c r="FE70" s="243" t="str">
        <f t="shared" si="331"/>
        <v>#ERROR!</v>
      </c>
      <c r="FF70" s="243" t="str">
        <f t="shared" si="331"/>
        <v>#ERROR!</v>
      </c>
      <c r="FG70" s="870" t="str">
        <f t="shared" si="331"/>
        <v>#ERROR!</v>
      </c>
    </row>
    <row r="71" ht="12.75" customHeight="1">
      <c r="A71" s="128"/>
      <c r="B71" s="179" t="s">
        <v>267</v>
      </c>
      <c r="C71" s="179"/>
      <c r="D71" s="179"/>
      <c r="E71" s="179"/>
      <c r="F71" s="179"/>
      <c r="G71" s="179"/>
      <c r="H71" s="179"/>
      <c r="I71" s="179"/>
      <c r="J71" s="179"/>
      <c r="K71" s="179"/>
      <c r="L71" s="179"/>
      <c r="M71" s="179"/>
      <c r="N71" s="179"/>
      <c r="O71" s="179"/>
      <c r="P71" s="179"/>
      <c r="Q71" s="179"/>
      <c r="R71" s="57"/>
      <c r="S71" s="219">
        <f>IS!S72</f>
        <v>0.2736486486</v>
      </c>
      <c r="T71" s="219">
        <f>IS!T72</f>
        <v>0.2418020894</v>
      </c>
      <c r="U71" s="219">
        <f>IS!U72</f>
        <v>0.2578856402</v>
      </c>
      <c r="V71" s="219">
        <f>IS!V72</f>
        <v>0.3292437939</v>
      </c>
      <c r="W71" s="219">
        <f>IS!W72</f>
        <v>1.103025937</v>
      </c>
      <c r="X71" s="219">
        <f>IS!X72</f>
        <v>0.404431737</v>
      </c>
      <c r="Y71" s="219">
        <f>IS!Y72</f>
        <v>0.4723768737</v>
      </c>
      <c r="Z71" s="219">
        <f>IS!Z72</f>
        <v>0.3839018125</v>
      </c>
      <c r="AA71" s="219">
        <f>IS!AA72</f>
        <v>0.3547131738</v>
      </c>
      <c r="AB71" s="219">
        <f>IS!AB72</f>
        <v>1.615946178</v>
      </c>
      <c r="AC71" s="219">
        <f>IS!AC72</f>
        <v>0.1217205392</v>
      </c>
      <c r="AD71" s="219">
        <f>IS!AD72</f>
        <v>0.08633328495</v>
      </c>
      <c r="AE71" s="219">
        <f>IS!AE72</f>
        <v>0.05755526469</v>
      </c>
      <c r="AF71" s="219">
        <f>IS!AF72</f>
        <v>0.1078309736</v>
      </c>
      <c r="AG71" s="219">
        <f>IS!AG72</f>
        <v>0.3734554441</v>
      </c>
      <c r="AH71" s="219">
        <f>IS!AH72</f>
        <v>0.1071272409</v>
      </c>
      <c r="AI71" s="219">
        <f>IS!AI72</f>
        <v>0.04571512568</v>
      </c>
      <c r="AJ71" s="219">
        <f>IS!AJ72</f>
        <v>0.07359952324</v>
      </c>
      <c r="AK71" s="219">
        <f>IS!AK72</f>
        <v>0.1132132132</v>
      </c>
      <c r="AL71" s="219">
        <f>IS!AL72</f>
        <v>0.3393993194</v>
      </c>
      <c r="AM71" s="219">
        <f>IS!AM72</f>
        <v>0.09334341906</v>
      </c>
      <c r="AN71" s="219">
        <f>IS!AN72</f>
        <v>0.09209726444</v>
      </c>
      <c r="AO71" s="219">
        <f>IS!AO72</f>
        <v>0.2051320755</v>
      </c>
      <c r="AP71" s="219">
        <f>IS!AP72</f>
        <v>0.3095487933</v>
      </c>
      <c r="AQ71" s="219">
        <f>IS!AQ72</f>
        <v>0.7018577254</v>
      </c>
      <c r="AR71" s="219">
        <f>IS!AR72</f>
        <v>0.2176932367</v>
      </c>
      <c r="AS71" s="219">
        <f>IS!AS72</f>
        <v>0.2226288503</v>
      </c>
      <c r="AT71" s="219">
        <f>IS!AT72</f>
        <v>0.2500776156</v>
      </c>
      <c r="AU71" s="219">
        <f>IS!AU72</f>
        <v>0.2726700252</v>
      </c>
      <c r="AV71" s="219">
        <f>IS!AV72</f>
        <v>0.9616569141</v>
      </c>
      <c r="AW71" s="219">
        <f>IS!AW72</f>
        <v>0.2941176471</v>
      </c>
      <c r="AX71" s="219">
        <f>IS!AX72</f>
        <v>0.280772325</v>
      </c>
      <c r="AY71" s="219">
        <f>IS!AY72</f>
        <v>0.3336647135</v>
      </c>
      <c r="AZ71" s="219">
        <f>IS!AZ72</f>
        <v>0.3466535109</v>
      </c>
      <c r="BA71" s="219">
        <f>IS!BA72</f>
        <v>1.254133376</v>
      </c>
      <c r="BB71" s="219" t="str">
        <f>IS!BB72</f>
        <v/>
      </c>
      <c r="BC71" s="219">
        <f>IS!BC72</f>
        <v>0.1508179959</v>
      </c>
      <c r="BD71" s="219">
        <f>IS!BD72</f>
        <v>0.223079561</v>
      </c>
      <c r="BE71" s="219">
        <f>IS!BE72</f>
        <v>0.2558377365</v>
      </c>
      <c r="BF71" s="219">
        <f>IS!BF72</f>
        <v>0.8578231293</v>
      </c>
      <c r="BG71" s="219">
        <f>IS!BG72</f>
        <v>0.2230166837</v>
      </c>
      <c r="BH71" s="219">
        <f>IS!BH72</f>
        <v>0.1853980057</v>
      </c>
      <c r="BI71" s="219">
        <f>IS!BI72</f>
        <v>0.3139024635</v>
      </c>
      <c r="BJ71" s="219">
        <f>IS!BJ72</f>
        <v>0.379258517</v>
      </c>
      <c r="BK71" s="219">
        <f>IS!BK72</f>
        <v>1.103614555</v>
      </c>
      <c r="BL71" s="219">
        <f>IS!BL72</f>
        <v>0.2454499064</v>
      </c>
      <c r="BM71" s="219">
        <f>IS!BM72</f>
        <v>0.2760344828</v>
      </c>
      <c r="BN71" s="219">
        <f>IS!BN72</f>
        <v>0.3538299368</v>
      </c>
      <c r="BO71" s="219">
        <f>IS!BO72</f>
        <v>0.1652635604</v>
      </c>
      <c r="BP71" s="219">
        <f>IS!BP72</f>
        <v>1.041627871</v>
      </c>
      <c r="BQ71" s="219">
        <f>IS!BQ72</f>
        <v>0.1116435925</v>
      </c>
      <c r="BR71" s="219">
        <f>IS!BR72</f>
        <v>0.1847481508</v>
      </c>
      <c r="BS71" s="219">
        <f>IS!BS72</f>
        <v>0.3304843305</v>
      </c>
      <c r="BT71" s="219">
        <f>IS!BT72</f>
        <v>0.5476106195</v>
      </c>
      <c r="BU71" s="219">
        <f>IS!BU72</f>
        <v>1.174137112</v>
      </c>
      <c r="BV71" s="219">
        <f>IS!BV72</f>
        <v>0.429853899</v>
      </c>
      <c r="BW71" s="219">
        <f>IS!BW72</f>
        <v>0.5055156715</v>
      </c>
      <c r="BX71" s="219">
        <f>IS!BX72</f>
        <v>0.518967334</v>
      </c>
      <c r="BY71" s="219">
        <f>IS!BY72</f>
        <v>0.5580905581</v>
      </c>
      <c r="BZ71" s="219">
        <f>IS!BZ72</f>
        <v>2.012640449</v>
      </c>
      <c r="CA71" s="219">
        <f>IS!CA72</f>
        <v>0.5636817695</v>
      </c>
      <c r="CB71" s="219">
        <f>IS!CB72</f>
        <v>0.5429149053</v>
      </c>
      <c r="CC71" s="219">
        <f>IS!CC72</f>
        <v>0.6494382022</v>
      </c>
      <c r="CD71" s="219">
        <f>IS!CD72</f>
        <v>0.6409767264</v>
      </c>
      <c r="CE71" s="219">
        <f>IS!CE72</f>
        <v>2.391794493</v>
      </c>
      <c r="CF71" s="219">
        <f>IS!CF72</f>
        <v>0.5273497689</v>
      </c>
      <c r="CG71" s="219">
        <f>IS!CG72</f>
        <v>0.5437584151</v>
      </c>
      <c r="CH71" s="219">
        <f>IS!CH72</f>
        <v>0.5767514069</v>
      </c>
      <c r="CI71" s="219">
        <f>IS!CI72</f>
        <v>0.4843964671</v>
      </c>
      <c r="CJ71" s="219">
        <f>IS!CJ72</f>
        <v>2.132751938</v>
      </c>
      <c r="CK71" s="219">
        <f>IS!CK72</f>
        <v>0.4025590551</v>
      </c>
      <c r="CL71" s="219">
        <f>IS!CL72</f>
        <v>0.3916960439</v>
      </c>
      <c r="CM71" s="219">
        <f>IS!CM72</f>
        <v>0.5784313725</v>
      </c>
      <c r="CN71" s="219">
        <f>IS!CN72</f>
        <v>0.5144032922</v>
      </c>
      <c r="CO71" s="219">
        <f>IS!CO72</f>
        <v>1.887292167</v>
      </c>
      <c r="CP71" s="219">
        <f>IS!CP72</f>
        <v>0.4059018956</v>
      </c>
      <c r="CQ71" s="219">
        <f>IS!CQ72</f>
        <v>0.5674409526</v>
      </c>
      <c r="CR71" s="219">
        <f>IS!CR72</f>
        <v>0.664420218</v>
      </c>
      <c r="CS71" s="219">
        <f>IS!CS72</f>
        <v>0.7631578947</v>
      </c>
      <c r="CT71" s="219">
        <f>IS!CT72</f>
        <v>2.400920961</v>
      </c>
      <c r="CU71" s="219">
        <f>IS!CU72</f>
        <v>0.4489214489</v>
      </c>
      <c r="CV71" s="219">
        <f>IS!CV72</f>
        <v>0.6223263394</v>
      </c>
      <c r="CW71" s="219">
        <f>IS!CW72</f>
        <v>0.6417145201</v>
      </c>
      <c r="CX71" s="219">
        <f>IS!CX72</f>
        <v>0.7627153404</v>
      </c>
      <c r="CY71" s="219">
        <f>IS!CY72</f>
        <v>2.475677649</v>
      </c>
      <c r="CZ71" s="219">
        <f>IS!CZ72</f>
        <v>0.5392820513</v>
      </c>
      <c r="DA71" s="219">
        <f>IS!DA72</f>
        <v>0.5875462392</v>
      </c>
      <c r="DB71" s="219">
        <f>IS!DB72</f>
        <v>0.7968013123</v>
      </c>
      <c r="DC71" s="219">
        <f>IS!DC72</f>
        <v>0.7918459332</v>
      </c>
      <c r="DD71" s="219">
        <f>IS!DD72</f>
        <v>2.715475536</v>
      </c>
      <c r="DE71" s="219">
        <f>IS!DE72</f>
        <v>0.6592911289</v>
      </c>
      <c r="DF71" s="219">
        <f>IS!DF72</f>
        <v>0.7237198142</v>
      </c>
      <c r="DG71" s="219">
        <f>IS!DG72</f>
        <v>1.005600498</v>
      </c>
      <c r="DH71" s="219">
        <f>IS!DH72</f>
        <v>1.081628392</v>
      </c>
      <c r="DI71" s="872">
        <f>IS!DI72</f>
        <v>3.465568082</v>
      </c>
      <c r="DJ71" s="220">
        <f>IS!DJ72</f>
        <v>0.8716075157</v>
      </c>
      <c r="DK71" s="220">
        <f>IS!DK72</f>
        <v>1.040738361</v>
      </c>
      <c r="DL71" s="220">
        <f>IS!DL72</f>
        <v>1.400172117</v>
      </c>
      <c r="DM71" s="220">
        <f>IS!DM72</f>
        <v>1.27776575</v>
      </c>
      <c r="DN71" s="872">
        <f>IS!DN72</f>
        <v>4.578894916</v>
      </c>
      <c r="DO71" s="220">
        <f>IS!DO72</f>
        <v>0.8869412796</v>
      </c>
      <c r="DP71" s="220">
        <f>IS!DP72</f>
        <v>1.057926155</v>
      </c>
      <c r="DQ71" s="220">
        <f>IS!DQ72</f>
        <v>1.418678096</v>
      </c>
      <c r="DR71" s="220">
        <f>IS!DR72</f>
        <v>1.523667962</v>
      </c>
      <c r="DS71" s="872">
        <f>IS!DS72</f>
        <v>4.870060918</v>
      </c>
      <c r="DT71" s="220">
        <f>IS!DT72</f>
        <v>1.445269017</v>
      </c>
      <c r="DU71" s="220">
        <f>IS!DU72</f>
        <v>1.232026144</v>
      </c>
      <c r="DV71" s="220">
        <f>IS!DV72</f>
        <v>1.110187604</v>
      </c>
      <c r="DW71" s="220">
        <f>IS!DW72</f>
        <v>1.516144695</v>
      </c>
      <c r="DX71" s="872">
        <f>IS!DX72</f>
        <v>5.300720785</v>
      </c>
      <c r="DY71" s="220">
        <f>IS!DY72</f>
        <v>1.390380859</v>
      </c>
      <c r="DZ71" s="220">
        <f>IS!DZ72</f>
        <v>1.27668952</v>
      </c>
      <c r="EA71" s="220">
        <f>IS!EA72</f>
        <v>1.712432697</v>
      </c>
      <c r="EB71" s="220">
        <f>IS!EB72</f>
        <v>1.086935287</v>
      </c>
      <c r="EC71" s="872">
        <f>IS!EC72</f>
        <v>5.465925066</v>
      </c>
      <c r="ED71" s="220">
        <f>IS!ED72</f>
        <v>0.8731434137</v>
      </c>
      <c r="EE71" s="220">
        <f>IS!EE72</f>
        <v>0.2880487805</v>
      </c>
      <c r="EF71" s="220">
        <f>IS!EF72</f>
        <v>0.5895757576</v>
      </c>
      <c r="EG71" s="220">
        <f>IS!EG72</f>
        <v>0.09533026857</v>
      </c>
      <c r="EH71" s="872">
        <f>IS!EH72</f>
        <v>1.844640146</v>
      </c>
      <c r="EI71" s="221" t="str">
        <f>IS!EI72</f>
        <v>#ERROR!</v>
      </c>
      <c r="EJ71" s="219" t="str">
        <f>IS!EJ72</f>
        <v>#ERROR!</v>
      </c>
      <c r="EK71" s="219" t="str">
        <f>IS!EK72</f>
        <v>#ERROR!</v>
      </c>
      <c r="EL71" s="219" t="str">
        <f>IS!EL72</f>
        <v>#ERROR!</v>
      </c>
      <c r="EM71" s="872" t="str">
        <f>IS!EM72</f>
        <v>#ERROR!</v>
      </c>
      <c r="EN71" s="219" t="str">
        <f>IS!EN72</f>
        <v>#ERROR!</v>
      </c>
      <c r="EO71" s="219" t="str">
        <f>IS!EO72</f>
        <v>#ERROR!</v>
      </c>
      <c r="EP71" s="219" t="str">
        <f>IS!EP72</f>
        <v>#ERROR!</v>
      </c>
      <c r="EQ71" s="219" t="str">
        <f>IS!EQ72</f>
        <v>#ERROR!</v>
      </c>
      <c r="ER71" s="872" t="str">
        <f>IS!ER72</f>
        <v>#ERROR!</v>
      </c>
      <c r="ES71" s="219" t="str">
        <f>IS!ES72</f>
        <v>#ERROR!</v>
      </c>
      <c r="ET71" s="219" t="str">
        <f>IS!ET72</f>
        <v>#ERROR!</v>
      </c>
      <c r="EU71" s="219" t="str">
        <f>IS!EU72</f>
        <v>#ERROR!</v>
      </c>
      <c r="EV71" s="219" t="str">
        <f>IS!EV72</f>
        <v>#ERROR!</v>
      </c>
      <c r="EW71" s="872" t="str">
        <f>IS!EW72</f>
        <v>#ERROR!</v>
      </c>
      <c r="EX71" s="219" t="str">
        <f>IS!EX72</f>
        <v>#ERROR!</v>
      </c>
      <c r="EY71" s="219" t="str">
        <f>IS!EY72</f>
        <v>#ERROR!</v>
      </c>
      <c r="EZ71" s="219" t="str">
        <f>IS!EZ72</f>
        <v>#ERROR!</v>
      </c>
      <c r="FA71" s="219" t="str">
        <f>IS!FA72</f>
        <v>#ERROR!</v>
      </c>
      <c r="FB71" s="872" t="str">
        <f>IS!FB72</f>
        <v>#ERROR!</v>
      </c>
      <c r="FC71" s="219" t="str">
        <f>IS!FC72</f>
        <v>#ERROR!</v>
      </c>
      <c r="FD71" s="219" t="str">
        <f>IS!FD72</f>
        <v>#ERROR!</v>
      </c>
      <c r="FE71" s="219" t="str">
        <f>IS!FE72</f>
        <v>#ERROR!</v>
      </c>
      <c r="FF71" s="219" t="str">
        <f>IS!FF72</f>
        <v>#ERROR!</v>
      </c>
      <c r="FG71" s="872" t="str">
        <f>IS!FG72</f>
        <v>#ERROR!</v>
      </c>
    </row>
    <row r="72" ht="12.75" customHeight="1">
      <c r="A72" s="128"/>
      <c r="B72" s="179" t="s">
        <v>613</v>
      </c>
      <c r="C72" s="179"/>
      <c r="D72" s="179"/>
      <c r="E72" s="179"/>
      <c r="F72" s="179"/>
      <c r="G72" s="179"/>
      <c r="H72" s="179"/>
      <c r="I72" s="179"/>
      <c r="J72" s="179"/>
      <c r="K72" s="179"/>
      <c r="L72" s="179"/>
      <c r="M72" s="179"/>
      <c r="N72" s="179"/>
      <c r="O72" s="179"/>
      <c r="P72" s="179"/>
      <c r="Q72" s="179"/>
      <c r="R72" s="57"/>
      <c r="S72" s="219"/>
      <c r="T72" s="219"/>
      <c r="U72" s="219"/>
      <c r="V72" s="219"/>
      <c r="W72" s="219"/>
      <c r="X72" s="219"/>
      <c r="Y72" s="219"/>
      <c r="Z72" s="219"/>
      <c r="AA72" s="219"/>
      <c r="AB72" s="219"/>
      <c r="AC72" s="219"/>
      <c r="AD72" s="219"/>
      <c r="AE72" s="219"/>
      <c r="AF72" s="219"/>
      <c r="AG72" s="219"/>
      <c r="AH72" s="219"/>
      <c r="AI72" s="219"/>
      <c r="AJ72" s="219"/>
      <c r="AK72" s="219"/>
      <c r="AL72" s="219"/>
      <c r="AM72" s="219"/>
      <c r="AN72" s="219"/>
      <c r="AO72" s="219"/>
      <c r="AP72" s="219"/>
      <c r="AQ72" s="219"/>
      <c r="AR72" s="219"/>
      <c r="AS72" s="219"/>
      <c r="AT72" s="219"/>
      <c r="AU72" s="219"/>
      <c r="AV72" s="219"/>
      <c r="AW72" s="219"/>
      <c r="AX72" s="219"/>
      <c r="AY72" s="219"/>
      <c r="AZ72" s="219"/>
      <c r="BA72" s="219"/>
      <c r="BB72" s="219"/>
      <c r="BC72" s="219"/>
      <c r="BD72" s="219"/>
      <c r="BE72" s="219"/>
      <c r="BF72" s="219"/>
      <c r="BG72" s="219"/>
      <c r="BH72" s="219"/>
      <c r="BI72" s="219"/>
      <c r="BJ72" s="219"/>
      <c r="BK72" s="219"/>
      <c r="BL72" s="219"/>
      <c r="BM72" s="219"/>
      <c r="BN72" s="219"/>
      <c r="BO72" s="219"/>
      <c r="BP72" s="219"/>
      <c r="BQ72" s="219"/>
      <c r="BR72" s="219"/>
      <c r="BS72" s="219"/>
      <c r="BT72" s="219"/>
      <c r="BU72" s="219"/>
      <c r="BV72" s="219"/>
      <c r="BW72" s="219"/>
      <c r="BX72" s="219"/>
      <c r="BY72" s="219"/>
      <c r="BZ72" s="219"/>
      <c r="CA72" s="219"/>
      <c r="CB72" s="219"/>
      <c r="CC72" s="219"/>
      <c r="CD72" s="219"/>
      <c r="CE72" s="219"/>
      <c r="CF72" s="219"/>
      <c r="CG72" s="219"/>
      <c r="CH72" s="219"/>
      <c r="CI72" s="219"/>
      <c r="CJ72" s="219"/>
      <c r="CK72" s="219"/>
      <c r="CL72" s="219"/>
      <c r="CM72" s="219"/>
      <c r="CN72" s="219"/>
      <c r="CO72" s="219"/>
      <c r="CP72" s="219"/>
      <c r="CQ72" s="219"/>
      <c r="CR72" s="219"/>
      <c r="CS72" s="219"/>
      <c r="CT72" s="219"/>
      <c r="CU72" s="219"/>
      <c r="CV72" s="219"/>
      <c r="CW72" s="219"/>
      <c r="CX72" s="219"/>
      <c r="CY72" s="219"/>
      <c r="CZ72" s="219"/>
      <c r="DA72" s="219"/>
      <c r="DB72" s="219"/>
      <c r="DC72" s="219"/>
      <c r="DD72" s="219"/>
      <c r="DE72" s="219"/>
      <c r="DF72" s="219"/>
      <c r="DG72" s="219"/>
      <c r="DH72" s="219"/>
      <c r="DI72" s="872"/>
      <c r="DJ72" s="220"/>
      <c r="DK72" s="220"/>
      <c r="DL72" s="220"/>
      <c r="DM72" s="220"/>
      <c r="DN72" s="872"/>
      <c r="DO72" s="220">
        <f>DO59/IS!DO78</f>
        <v>0.3588957055</v>
      </c>
      <c r="DP72" s="220">
        <f>DP59/IS!DP78</f>
        <v>0.8916648242</v>
      </c>
      <c r="DQ72" s="220">
        <f>DQ59/IS!DQ78</f>
        <v>1.362282878</v>
      </c>
      <c r="DR72" s="220">
        <f>DR59/IS!DR78</f>
        <v>1.194145895</v>
      </c>
      <c r="DS72" s="872">
        <f>DS59/IS!DS78</f>
        <v>3.785167384</v>
      </c>
      <c r="DT72" s="220">
        <f>DT59/IS!DT78</f>
        <v>0.6702226345</v>
      </c>
      <c r="DU72" s="220">
        <f>DU59/IS!DU78</f>
        <v>1.808823529</v>
      </c>
      <c r="DV72" s="220">
        <f>DV59/IS!DV78</f>
        <v>1.059843268</v>
      </c>
      <c r="DW72" s="220">
        <f>DW59/IS!DW78</f>
        <v>1.462248118</v>
      </c>
      <c r="DX72" s="872">
        <f>DX59/IS!DX78</f>
        <v>4.992319508</v>
      </c>
      <c r="DY72" s="220">
        <f>DY59/IS!DY78</f>
        <v>0.384765625</v>
      </c>
      <c r="DZ72" s="220">
        <f>DZ59/IS!DZ78</f>
        <v>1.259549461</v>
      </c>
      <c r="EA72" s="220">
        <f>EA59/IS!EA78</f>
        <v>1.442731278</v>
      </c>
      <c r="EB72" s="220">
        <f>EB59/IS!EB78</f>
        <v>-0.3313797314</v>
      </c>
      <c r="EC72" s="872">
        <f>EC59/IS!EC78</f>
        <v>2.752398998</v>
      </c>
      <c r="ED72" s="220">
        <f>ED59/IS!ED78</f>
        <v>0.2663744826</v>
      </c>
      <c r="EE72" s="220">
        <f>EE59/IS!EE78</f>
        <v>-1.572195122</v>
      </c>
      <c r="EF72" s="220">
        <f>EF59/IS!EF78</f>
        <v>-1.469818182</v>
      </c>
      <c r="EG72" s="220">
        <f>EG59/IS!EG78</f>
        <v>0.6963464796</v>
      </c>
      <c r="EH72" s="872">
        <f>EH59/IS!EH78</f>
        <v>-2.073975099</v>
      </c>
      <c r="EI72" s="221" t="str">
        <f>EI59/IS!EI78</f>
        <v>#ERROR!</v>
      </c>
      <c r="EJ72" s="220" t="str">
        <f>EJ59/IS!EJ78</f>
        <v>#ERROR!</v>
      </c>
      <c r="EK72" s="220" t="str">
        <f>EK59/IS!EK78</f>
        <v>#ERROR!</v>
      </c>
      <c r="EL72" s="221" t="str">
        <f>EL59/IS!EL78</f>
        <v>#ERROR!</v>
      </c>
      <c r="EM72" s="872" t="str">
        <f>EM59/IS!EM78</f>
        <v>#ERROR!</v>
      </c>
      <c r="EN72" s="220" t="str">
        <f>EN59/IS!EN78</f>
        <v>#ERROR!</v>
      </c>
      <c r="EO72" s="220" t="str">
        <f>EO59/IS!EO78</f>
        <v>#ERROR!</v>
      </c>
      <c r="EP72" s="220" t="str">
        <f>EP59/IS!EP78</f>
        <v>#ERROR!</v>
      </c>
      <c r="EQ72" s="221" t="str">
        <f>EQ59/IS!EQ78</f>
        <v>#ERROR!</v>
      </c>
      <c r="ER72" s="872" t="str">
        <f>ER59/IS!ER78</f>
        <v>#ERROR!</v>
      </c>
      <c r="ES72" s="220" t="str">
        <f>ES59/IS!ES78</f>
        <v>#ERROR!</v>
      </c>
      <c r="ET72" s="220" t="str">
        <f>ET59/IS!ET78</f>
        <v>#ERROR!</v>
      </c>
      <c r="EU72" s="220" t="str">
        <f>EU59/IS!EU78</f>
        <v>#ERROR!</v>
      </c>
      <c r="EV72" s="221" t="str">
        <f>EV59/IS!EV78</f>
        <v>#ERROR!</v>
      </c>
      <c r="EW72" s="872" t="str">
        <f>EW59/IS!EW78</f>
        <v>#ERROR!</v>
      </c>
      <c r="EX72" s="220" t="str">
        <f>EX59/IS!EX78</f>
        <v>#ERROR!</v>
      </c>
      <c r="EY72" s="220" t="str">
        <f>EY59/IS!EY78</f>
        <v>#ERROR!</v>
      </c>
      <c r="EZ72" s="220" t="str">
        <f>EZ59/IS!EZ78</f>
        <v>#ERROR!</v>
      </c>
      <c r="FA72" s="221" t="str">
        <f>FA59/IS!FA78</f>
        <v>#ERROR!</v>
      </c>
      <c r="FB72" s="872" t="str">
        <f>FB59/IS!FB78</f>
        <v>#ERROR!</v>
      </c>
      <c r="FC72" s="220" t="str">
        <f>FC59/IS!FC78</f>
        <v>#ERROR!</v>
      </c>
      <c r="FD72" s="220" t="str">
        <f>FD59/IS!FD78</f>
        <v>#ERROR!</v>
      </c>
      <c r="FE72" s="220" t="str">
        <f>FE59/IS!FE78</f>
        <v>#ERROR!</v>
      </c>
      <c r="FF72" s="221" t="str">
        <f>FF59/IS!FF78</f>
        <v>#ERROR!</v>
      </c>
      <c r="FG72" s="872" t="str">
        <f>FG59/IS!FG78</f>
        <v>#ERROR!</v>
      </c>
    </row>
    <row r="73" ht="12.75" customHeight="1">
      <c r="A73" s="873"/>
      <c r="B73" s="874" t="s">
        <v>614</v>
      </c>
      <c r="C73" s="874"/>
      <c r="D73" s="874"/>
      <c r="E73" s="874"/>
      <c r="F73" s="874"/>
      <c r="G73" s="874"/>
      <c r="H73" s="874"/>
      <c r="I73" s="874"/>
      <c r="J73" s="874"/>
      <c r="K73" s="874"/>
      <c r="L73" s="874"/>
      <c r="M73" s="874"/>
      <c r="N73" s="874"/>
      <c r="O73" s="874"/>
      <c r="P73" s="874"/>
      <c r="Q73" s="874"/>
      <c r="R73" s="875"/>
      <c r="S73" s="876"/>
      <c r="T73" s="876"/>
      <c r="U73" s="876"/>
      <c r="V73" s="876"/>
      <c r="W73" s="876"/>
      <c r="X73" s="876"/>
      <c r="Y73" s="876"/>
      <c r="Z73" s="876"/>
      <c r="AA73" s="876"/>
      <c r="AB73" s="876"/>
      <c r="AC73" s="876"/>
      <c r="AD73" s="876"/>
      <c r="AE73" s="876"/>
      <c r="AF73" s="876"/>
      <c r="AG73" s="876"/>
      <c r="AH73" s="876"/>
      <c r="AI73" s="876"/>
      <c r="AJ73" s="876"/>
      <c r="AK73" s="876"/>
      <c r="AL73" s="876"/>
      <c r="AM73" s="876"/>
      <c r="AN73" s="876"/>
      <c r="AO73" s="876"/>
      <c r="AP73" s="876"/>
      <c r="AQ73" s="876"/>
      <c r="AR73" s="876"/>
      <c r="AS73" s="876"/>
      <c r="AT73" s="876"/>
      <c r="AU73" s="876"/>
      <c r="AV73" s="876"/>
      <c r="AW73" s="876"/>
      <c r="AX73" s="876"/>
      <c r="AY73" s="876"/>
      <c r="AZ73" s="876"/>
      <c r="BA73" s="876"/>
      <c r="BB73" s="876"/>
      <c r="BC73" s="876"/>
      <c r="BD73" s="876"/>
      <c r="BE73" s="876"/>
      <c r="BF73" s="876"/>
      <c r="BG73" s="876"/>
      <c r="BH73" s="876"/>
      <c r="BI73" s="876"/>
      <c r="BJ73" s="876"/>
      <c r="BK73" s="876"/>
      <c r="BL73" s="876"/>
      <c r="BM73" s="876"/>
      <c r="BN73" s="876"/>
      <c r="BO73" s="876"/>
      <c r="BP73" s="876"/>
      <c r="BQ73" s="876"/>
      <c r="BR73" s="876"/>
      <c r="BS73" s="876"/>
      <c r="BT73" s="876"/>
      <c r="BU73" s="876"/>
      <c r="BV73" s="876"/>
      <c r="BW73" s="876"/>
      <c r="BX73" s="876"/>
      <c r="BY73" s="876"/>
      <c r="BZ73" s="876"/>
      <c r="CA73" s="876"/>
      <c r="CB73" s="876"/>
      <c r="CC73" s="876"/>
      <c r="CD73" s="876"/>
      <c r="CE73" s="876"/>
      <c r="CF73" s="876"/>
      <c r="CG73" s="876"/>
      <c r="CH73" s="876"/>
      <c r="CI73" s="876"/>
      <c r="CJ73" s="876"/>
      <c r="CK73" s="876"/>
      <c r="CL73" s="876"/>
      <c r="CM73" s="876"/>
      <c r="CN73" s="876"/>
      <c r="CO73" s="876"/>
      <c r="CP73" s="876"/>
      <c r="CQ73" s="876"/>
      <c r="CR73" s="876"/>
      <c r="CS73" s="876"/>
      <c r="CT73" s="876"/>
      <c r="CU73" s="876"/>
      <c r="CV73" s="876"/>
      <c r="CW73" s="876"/>
      <c r="CX73" s="876"/>
      <c r="CY73" s="876"/>
      <c r="CZ73" s="876"/>
      <c r="DA73" s="876"/>
      <c r="DB73" s="876"/>
      <c r="DC73" s="876"/>
      <c r="DD73" s="876"/>
      <c r="DE73" s="876"/>
      <c r="DF73" s="876"/>
      <c r="DG73" s="876"/>
      <c r="DH73" s="876"/>
      <c r="DI73" s="876"/>
      <c r="DJ73" s="876"/>
      <c r="DK73" s="876"/>
      <c r="DL73" s="876"/>
      <c r="DM73" s="876"/>
      <c r="DN73" s="876"/>
      <c r="DO73" s="877">
        <f t="shared" ref="DO73:FG73" si="332">DO72/DO71</f>
        <v>0.4046442688</v>
      </c>
      <c r="DP73" s="877">
        <f t="shared" si="332"/>
        <v>0.8428422153</v>
      </c>
      <c r="DQ73" s="877">
        <f t="shared" si="332"/>
        <v>0.9602480522</v>
      </c>
      <c r="DR73" s="877">
        <f t="shared" si="332"/>
        <v>0.7837310521</v>
      </c>
      <c r="DS73" s="878">
        <f t="shared" si="332"/>
        <v>0.7772320404</v>
      </c>
      <c r="DT73" s="877">
        <f t="shared" si="332"/>
        <v>0.4637355584</v>
      </c>
      <c r="DU73" s="877">
        <f t="shared" si="332"/>
        <v>1.468169761</v>
      </c>
      <c r="DV73" s="877">
        <f t="shared" si="332"/>
        <v>0.9546524064</v>
      </c>
      <c r="DW73" s="877">
        <f t="shared" si="332"/>
        <v>0.9644515612</v>
      </c>
      <c r="DX73" s="878">
        <f t="shared" si="332"/>
        <v>0.9418189924</v>
      </c>
      <c r="DY73" s="877">
        <f t="shared" si="332"/>
        <v>0.2767339772</v>
      </c>
      <c r="DZ73" s="877">
        <f t="shared" si="332"/>
        <v>0.9865746068</v>
      </c>
      <c r="EA73" s="877">
        <f t="shared" si="332"/>
        <v>0.8425039303</v>
      </c>
      <c r="EB73" s="868">
        <f t="shared" si="332"/>
        <v>-0.3048753089</v>
      </c>
      <c r="EC73" s="878">
        <f t="shared" si="332"/>
        <v>0.5035559333</v>
      </c>
      <c r="ED73" s="877">
        <f t="shared" si="332"/>
        <v>0.3050752928</v>
      </c>
      <c r="EE73" s="877">
        <f t="shared" si="332"/>
        <v>-5.458086367</v>
      </c>
      <c r="EF73" s="877">
        <f t="shared" si="332"/>
        <v>-2.493009868</v>
      </c>
      <c r="EG73" s="877">
        <f t="shared" si="332"/>
        <v>7.304568528</v>
      </c>
      <c r="EH73" s="878">
        <f t="shared" si="332"/>
        <v>-1.124325036</v>
      </c>
      <c r="EI73" s="386" t="str">
        <f t="shared" si="332"/>
        <v>#ERROR!</v>
      </c>
      <c r="EJ73" s="877" t="str">
        <f t="shared" si="332"/>
        <v>#ERROR!</v>
      </c>
      <c r="EK73" s="877" t="str">
        <f t="shared" si="332"/>
        <v>#ERROR!</v>
      </c>
      <c r="EL73" s="877" t="str">
        <f t="shared" si="332"/>
        <v>#ERROR!</v>
      </c>
      <c r="EM73" s="878" t="str">
        <f t="shared" si="332"/>
        <v>#ERROR!</v>
      </c>
      <c r="EN73" s="877" t="str">
        <f t="shared" si="332"/>
        <v>#ERROR!</v>
      </c>
      <c r="EO73" s="877" t="str">
        <f t="shared" si="332"/>
        <v>#ERROR!</v>
      </c>
      <c r="EP73" s="877" t="str">
        <f t="shared" si="332"/>
        <v>#ERROR!</v>
      </c>
      <c r="EQ73" s="877" t="str">
        <f t="shared" si="332"/>
        <v>#ERROR!</v>
      </c>
      <c r="ER73" s="878" t="str">
        <f t="shared" si="332"/>
        <v>#ERROR!</v>
      </c>
      <c r="ES73" s="877" t="str">
        <f t="shared" si="332"/>
        <v>#ERROR!</v>
      </c>
      <c r="ET73" s="877" t="str">
        <f t="shared" si="332"/>
        <v>#ERROR!</v>
      </c>
      <c r="EU73" s="877" t="str">
        <f t="shared" si="332"/>
        <v>#ERROR!</v>
      </c>
      <c r="EV73" s="877" t="str">
        <f t="shared" si="332"/>
        <v>#ERROR!</v>
      </c>
      <c r="EW73" s="878" t="str">
        <f t="shared" si="332"/>
        <v>#ERROR!</v>
      </c>
      <c r="EX73" s="877" t="str">
        <f t="shared" si="332"/>
        <v>#ERROR!</v>
      </c>
      <c r="EY73" s="877" t="str">
        <f t="shared" si="332"/>
        <v>#ERROR!</v>
      </c>
      <c r="EZ73" s="877" t="str">
        <f t="shared" si="332"/>
        <v>#ERROR!</v>
      </c>
      <c r="FA73" s="877" t="str">
        <f t="shared" si="332"/>
        <v>#ERROR!</v>
      </c>
      <c r="FB73" s="878" t="str">
        <f t="shared" si="332"/>
        <v>#ERROR!</v>
      </c>
      <c r="FC73" s="877" t="str">
        <f t="shared" si="332"/>
        <v>#ERROR!</v>
      </c>
      <c r="FD73" s="877" t="str">
        <f t="shared" si="332"/>
        <v>#ERROR!</v>
      </c>
      <c r="FE73" s="877" t="str">
        <f t="shared" si="332"/>
        <v>#ERROR!</v>
      </c>
      <c r="FF73" s="877" t="str">
        <f t="shared" si="332"/>
        <v>#ERROR!</v>
      </c>
      <c r="FG73" s="878" t="str">
        <f t="shared" si="332"/>
        <v>#ERROR!</v>
      </c>
    </row>
    <row r="74" ht="12.75" customHeight="1">
      <c r="A74" s="128"/>
      <c r="B74" s="179"/>
      <c r="C74" s="179"/>
      <c r="D74" s="179"/>
      <c r="E74" s="179"/>
      <c r="F74" s="179"/>
      <c r="G74" s="179"/>
      <c r="H74" s="179"/>
      <c r="I74" s="179"/>
      <c r="J74" s="179"/>
      <c r="K74" s="179"/>
      <c r="L74" s="179"/>
      <c r="M74" s="179"/>
      <c r="N74" s="179"/>
      <c r="O74" s="179"/>
      <c r="P74" s="179"/>
      <c r="Q74" s="179"/>
      <c r="R74" s="57"/>
      <c r="S74" s="128"/>
      <c r="T74" s="179"/>
      <c r="U74" s="179"/>
      <c r="V74" s="179"/>
      <c r="W74" s="785"/>
      <c r="X74" s="128"/>
      <c r="Y74" s="128"/>
      <c r="Z74" s="128"/>
      <c r="AA74" s="128"/>
      <c r="AB74" s="837"/>
      <c r="AC74" s="128"/>
      <c r="AD74" s="128"/>
      <c r="AE74" s="128"/>
      <c r="AF74" s="128"/>
      <c r="AG74" s="837"/>
      <c r="AH74" s="128"/>
      <c r="AI74" s="128"/>
      <c r="AJ74" s="128"/>
      <c r="AK74" s="128"/>
      <c r="AL74" s="837"/>
      <c r="AM74" s="128"/>
      <c r="AN74" s="128"/>
      <c r="AO74" s="128"/>
      <c r="AP74" s="128"/>
      <c r="AQ74" s="837"/>
      <c r="AR74" s="128"/>
      <c r="AS74" s="128"/>
      <c r="AT74" s="128"/>
      <c r="AU74" s="128"/>
      <c r="AV74" s="837"/>
      <c r="AW74" s="128"/>
      <c r="AX74" s="128"/>
      <c r="AY74" s="128"/>
      <c r="AZ74" s="128"/>
      <c r="BA74" s="837"/>
      <c r="BB74" s="128"/>
      <c r="BC74" s="128"/>
      <c r="BD74" s="128"/>
      <c r="BE74" s="128"/>
      <c r="BF74" s="837"/>
      <c r="BG74" s="128"/>
      <c r="BH74" s="128"/>
      <c r="BI74" s="128"/>
      <c r="BJ74" s="128"/>
      <c r="BK74" s="837"/>
      <c r="BL74" s="128"/>
      <c r="BM74" s="128"/>
      <c r="BN74" s="128"/>
      <c r="BO74" s="128"/>
      <c r="BP74" s="837"/>
      <c r="BQ74" s="128"/>
      <c r="BR74" s="128"/>
      <c r="BS74" s="128"/>
      <c r="BT74" s="128"/>
      <c r="BU74" s="57">
        <f>-dividends/GAAPNI</f>
        <v>0.7113756008</v>
      </c>
      <c r="BV74" s="785">
        <f>-dividends/GAAPNI</f>
        <v>0.3562653563</v>
      </c>
      <c r="BW74" s="785">
        <f>-dividends/GAAPNI</f>
        <v>0.3037755455</v>
      </c>
      <c r="BX74" s="785">
        <f>-dividends/GAAPNI</f>
        <v>0.29678511</v>
      </c>
      <c r="BY74" s="785">
        <f>-dividends/GAAPNI</f>
        <v>0.2764150943</v>
      </c>
      <c r="BZ74" s="57">
        <f>-dividends/GAAPNI</f>
        <v>0.3055652477</v>
      </c>
      <c r="CA74" s="785">
        <f>-dividends/GAAPNI</f>
        <v>0.314556962</v>
      </c>
      <c r="CB74" s="785">
        <f>-dividends/GAAPNI</f>
        <v>0.3253215978</v>
      </c>
      <c r="CC74" s="785">
        <f>-dividends/GAAPNI</f>
        <v>0.3177623991</v>
      </c>
      <c r="CD74" s="785">
        <f>-dividends/GAAPNI</f>
        <v>0.318452381</v>
      </c>
      <c r="CE74" s="57">
        <f>-dividends/GAAPNI</f>
        <v>0.3188842528</v>
      </c>
      <c r="CF74" s="785">
        <f>-dividends/GAAPNI</f>
        <v>0.3831263696</v>
      </c>
      <c r="CG74" s="785">
        <f>-dividends/GAAPNI</f>
        <v>0.3738945879</v>
      </c>
      <c r="CH74" s="785">
        <f>-dividends/GAAPNI</f>
        <v>0.3785329744</v>
      </c>
      <c r="CI74" s="785">
        <f>-dividends/GAAPNI</f>
        <v>0.4534035656</v>
      </c>
      <c r="CJ74" s="57">
        <f>-dividends/GAAPNI</f>
        <v>0.3952748751</v>
      </c>
      <c r="CK74" s="785">
        <f>-dividends/GAAPNI</f>
        <v>0.5447432763</v>
      </c>
      <c r="CL74" s="785">
        <f>-dividends/GAAPNI</f>
        <v>0.5615</v>
      </c>
      <c r="CM74" s="785">
        <f>-dividends/GAAPNI</f>
        <v>0.38</v>
      </c>
      <c r="CN74" s="785">
        <f>-dividends/GAAPNI</f>
        <v>0.427047619</v>
      </c>
      <c r="CO74" s="57">
        <f>-dividends/GAAPNI</f>
        <v>0.4655925156</v>
      </c>
      <c r="CP74" s="879">
        <f>-dividends/GAAPNI</f>
        <v>0.5729646697</v>
      </c>
      <c r="CQ74" s="879">
        <f>-dividends/GAAPNI</f>
        <v>0.4027181688</v>
      </c>
      <c r="CR74" s="879">
        <f>-dividends/GAAPNI</f>
        <v>0.3301175761</v>
      </c>
      <c r="CS74" s="879">
        <f>-dividends/GAAPNI</f>
        <v>0.2919967222</v>
      </c>
      <c r="CT74" s="880">
        <f>-dividends/GAAPNI</f>
        <v>0.3759699838</v>
      </c>
      <c r="CU74" s="879">
        <f>-dividends/GAAPNI</f>
        <v>0.5707831325</v>
      </c>
      <c r="CV74" s="879">
        <f>-dividends/GAAPNI</f>
        <v>0.4235033259</v>
      </c>
      <c r="CW74" s="879">
        <f>-dividends/GAAPNI</f>
        <v>0.3666773882</v>
      </c>
      <c r="CX74" s="879">
        <f>-dividends/GAAPNI</f>
        <v>0.3135898146</v>
      </c>
      <c r="CY74" s="880">
        <f>-dividends/GAAPNI</f>
        <v>0.3989492119</v>
      </c>
      <c r="CZ74" s="881">
        <f>-dividends/GAAPNI</f>
        <v>0.6001955034</v>
      </c>
      <c r="DA74" s="879">
        <f>-dividends/GAAPNI</f>
        <v>0.9270676692</v>
      </c>
      <c r="DB74" s="881">
        <f>-dividends/GAAPNI</f>
        <v>0.3644168147</v>
      </c>
      <c r="DC74" s="879">
        <f>-dividends/GAAPNI</f>
        <v>0.3461538462</v>
      </c>
      <c r="DD74" s="880">
        <f>-dividends/GAAPNI</f>
        <v>0.4774137263</v>
      </c>
      <c r="DE74" s="881">
        <f>-dividends/GAAPNI</f>
        <v>0.4146423752</v>
      </c>
      <c r="DF74" s="879">
        <f>-dividends/GAAPNI</f>
        <v>0.4583333333</v>
      </c>
      <c r="DG74" s="881">
        <f>-dividends/GAAPNI</f>
        <v>0.2829937998</v>
      </c>
      <c r="DH74" s="879">
        <f>-dividends/GAAPNI</f>
        <v>-1.860262009</v>
      </c>
      <c r="DI74" s="880">
        <f>-dividends/GAAPNI</f>
        <v>0.5282783043</v>
      </c>
      <c r="DJ74" s="881">
        <f>-dividends/GAAPNI</f>
        <v>0.314324203</v>
      </c>
      <c r="DK74" s="881">
        <f>-dividends/GAAPNI</f>
        <v>0.2796644027</v>
      </c>
      <c r="DL74" s="881">
        <f>-dividends/GAAPNI</f>
        <v>0.214598312</v>
      </c>
      <c r="DM74" s="881">
        <f>-dividends/GAAPNI</f>
        <v>0.2633301251</v>
      </c>
      <c r="DN74" s="880">
        <f>-dividends/GAAPNI</f>
        <v>0.2631928941</v>
      </c>
      <c r="DO74" s="881">
        <f>-dividends/GAAPNI</f>
        <v>0.3558127831</v>
      </c>
      <c r="DP74" s="881">
        <f>-dividends/GAAPNI</f>
        <v>0.338358459</v>
      </c>
      <c r="DQ74" s="881">
        <f>-dividends/GAAPNI</f>
        <v>0.2313856427</v>
      </c>
      <c r="DR74" s="881">
        <f>-dividends/GAAPNI</f>
        <v>0.1972483707</v>
      </c>
      <c r="DS74" s="880">
        <f>-dividends/GAAPNI</f>
        <v>0.264918282</v>
      </c>
      <c r="DT74" s="881">
        <f>-dividends/GAAPNI</f>
        <v>0.2487193075</v>
      </c>
      <c r="DU74" s="881">
        <f>-dividends/GAAPNI</f>
        <v>0.2748285994</v>
      </c>
      <c r="DV74" s="881">
        <f>-dividends/GAAPNI</f>
        <v>0.328344247</v>
      </c>
      <c r="DW74" s="881">
        <f>-dividends/GAAPNI</f>
        <v>0.2310056343</v>
      </c>
      <c r="DX74" s="880">
        <f>-dividends/GAAPNI</f>
        <v>0.2664242308</v>
      </c>
      <c r="DY74" s="881">
        <f>-dividends/GAAPNI</f>
        <v>0.4198155311</v>
      </c>
      <c r="DZ74" s="881">
        <f>-dividends/GAAPNI</f>
        <v>0.278601067</v>
      </c>
      <c r="EA74" s="881">
        <f>-dividends/GAAPNI</f>
        <v>0.2066539645</v>
      </c>
      <c r="EB74" s="881">
        <f>-dividends/GAAPNI</f>
        <v>0.3056456846</v>
      </c>
      <c r="EC74" s="880">
        <f>-dividends/GAAPNI</f>
        <v>0.2840748943</v>
      </c>
      <c r="ED74" s="881">
        <f>-dividends/GAAPNI</f>
        <v>0.1832860841</v>
      </c>
      <c r="EE74" s="881">
        <f>-dividends/GAAPNI</f>
        <v>-3.301762115</v>
      </c>
      <c r="EF74" s="881">
        <f>-dividends/GAAPNI</f>
        <v>1.473994112</v>
      </c>
      <c r="EG74" s="881">
        <f>-dividends/GAAPNI</f>
        <v>-2.28290469</v>
      </c>
      <c r="EH74" s="880">
        <f>-dividends/GAAPNI</f>
        <v>0.7480354247</v>
      </c>
      <c r="EI74" s="882" t="str">
        <f>-dividends/GAAPNI</f>
        <v>#ERROR!</v>
      </c>
      <c r="EJ74" s="879" t="str">
        <f>-dividends/GAAPNI</f>
        <v>#ERROR!</v>
      </c>
      <c r="EK74" s="879" t="str">
        <f>-dividends/GAAPNI</f>
        <v>#ERROR!</v>
      </c>
      <c r="EL74" s="879" t="str">
        <f>-dividends/GAAPNI</f>
        <v>#ERROR!</v>
      </c>
      <c r="EM74" s="880" t="str">
        <f>-dividends/GAAPNI</f>
        <v>#ERROR!</v>
      </c>
      <c r="EN74" s="879" t="str">
        <f>-dividends/GAAPNI</f>
        <v>#ERROR!</v>
      </c>
      <c r="EO74" s="879" t="str">
        <f>-dividends/GAAPNI</f>
        <v>#ERROR!</v>
      </c>
      <c r="EP74" s="879" t="str">
        <f>-dividends/GAAPNI</f>
        <v>#ERROR!</v>
      </c>
      <c r="EQ74" s="879" t="str">
        <f>-dividends/GAAPNI</f>
        <v>#ERROR!</v>
      </c>
      <c r="ER74" s="880" t="str">
        <f>-dividends/GAAPNI</f>
        <v>#ERROR!</v>
      </c>
      <c r="ES74" s="879" t="str">
        <f>-dividends/GAAPNI</f>
        <v>#ERROR!</v>
      </c>
      <c r="ET74" s="879" t="str">
        <f>-dividends/GAAPNI</f>
        <v>#ERROR!</v>
      </c>
      <c r="EU74" s="879" t="str">
        <f>-dividends/GAAPNI</f>
        <v>#ERROR!</v>
      </c>
      <c r="EV74" s="879" t="str">
        <f>-dividends/GAAPNI</f>
        <v>#ERROR!</v>
      </c>
      <c r="EW74" s="880" t="str">
        <f>-dividends/GAAPNI</f>
        <v>#ERROR!</v>
      </c>
      <c r="EX74" s="879" t="str">
        <f>-dividends/GAAPNI</f>
        <v>#ERROR!</v>
      </c>
      <c r="EY74" s="879" t="str">
        <f>-dividends/GAAPNI</f>
        <v>#ERROR!</v>
      </c>
      <c r="EZ74" s="879" t="str">
        <f>-dividends/GAAPNI</f>
        <v>#ERROR!</v>
      </c>
      <c r="FA74" s="879" t="str">
        <f>-dividends/GAAPNI</f>
        <v>#ERROR!</v>
      </c>
      <c r="FB74" s="880" t="str">
        <f>-dividends/GAAPNI</f>
        <v>#ERROR!</v>
      </c>
      <c r="FC74" s="879" t="str">
        <f>-dividends/GAAPNI</f>
        <v>#ERROR!</v>
      </c>
      <c r="FD74" s="879" t="str">
        <f>-dividends/GAAPNI</f>
        <v>#ERROR!</v>
      </c>
      <c r="FE74" s="879" t="str">
        <f>-dividends/GAAPNI</f>
        <v>#ERROR!</v>
      </c>
      <c r="FF74" s="879" t="str">
        <f>-dividends/GAAPNI</f>
        <v>#ERROR!</v>
      </c>
      <c r="FG74" s="880" t="str">
        <f>-dividends/GAAPNI</f>
        <v>#ERROR!</v>
      </c>
    </row>
    <row r="75" ht="12.75" customHeight="1">
      <c r="A75" s="128"/>
      <c r="B75" s="179"/>
      <c r="C75" s="179"/>
      <c r="D75" s="179"/>
      <c r="E75" s="179"/>
      <c r="F75" s="179"/>
      <c r="G75" s="179"/>
      <c r="H75" s="179"/>
      <c r="I75" s="179"/>
      <c r="J75" s="179"/>
      <c r="K75" s="179"/>
      <c r="L75" s="179"/>
      <c r="M75" s="179"/>
      <c r="N75" s="179"/>
      <c r="O75" s="179"/>
      <c r="P75" s="179"/>
      <c r="Q75" s="179"/>
      <c r="R75" s="57"/>
      <c r="S75" s="179"/>
      <c r="T75" s="179"/>
      <c r="U75" s="179"/>
      <c r="V75" s="179"/>
      <c r="W75" s="785"/>
      <c r="X75" s="128"/>
      <c r="Y75" s="128"/>
      <c r="Z75" s="128"/>
      <c r="AA75" s="128"/>
      <c r="AB75" s="837"/>
      <c r="AC75" s="128"/>
      <c r="AD75" s="128"/>
      <c r="AE75" s="128"/>
      <c r="AF75" s="128"/>
      <c r="AG75" s="837"/>
      <c r="AH75" s="128"/>
      <c r="AI75" s="128"/>
      <c r="AJ75" s="128"/>
      <c r="AK75" s="128"/>
      <c r="AL75" s="837"/>
      <c r="AM75" s="128"/>
      <c r="AN75" s="128"/>
      <c r="AO75" s="128"/>
      <c r="AP75" s="128"/>
      <c r="AQ75" s="837"/>
      <c r="AR75" s="128"/>
      <c r="AS75" s="128"/>
      <c r="AT75" s="128"/>
      <c r="AU75" s="128"/>
      <c r="AV75" s="837"/>
      <c r="AW75" s="128"/>
      <c r="AX75" s="128"/>
      <c r="AY75" s="128"/>
      <c r="AZ75" s="128"/>
      <c r="BA75" s="837"/>
      <c r="BB75" s="128"/>
      <c r="BC75" s="128"/>
      <c r="BD75" s="128"/>
      <c r="BE75" s="128"/>
      <c r="BF75" s="837"/>
      <c r="BG75" s="128"/>
      <c r="BH75" s="128"/>
      <c r="BI75" s="128"/>
      <c r="BJ75" s="128"/>
      <c r="BK75" s="837"/>
      <c r="BL75" s="128"/>
      <c r="BM75" s="128"/>
      <c r="BN75" s="128"/>
      <c r="BO75" s="128"/>
      <c r="BP75" s="837"/>
      <c r="BQ75" s="128"/>
      <c r="BR75" s="128"/>
      <c r="BS75" s="128"/>
      <c r="BT75" s="128"/>
      <c r="BU75" s="837"/>
      <c r="BV75" s="128"/>
      <c r="BW75" s="128"/>
      <c r="BX75" s="128"/>
      <c r="BY75" s="128"/>
      <c r="BZ75" s="837"/>
      <c r="CA75" s="128"/>
      <c r="CB75" s="128"/>
      <c r="CC75" s="128"/>
      <c r="CD75" s="128"/>
      <c r="CE75" s="837"/>
      <c r="CF75" s="128"/>
      <c r="CG75" s="128"/>
      <c r="CH75" s="128"/>
      <c r="CI75" s="128"/>
      <c r="CJ75" s="837"/>
      <c r="CK75" s="128"/>
      <c r="CL75" s="128"/>
      <c r="CM75" s="128"/>
      <c r="CN75" s="128"/>
      <c r="CO75" s="837"/>
      <c r="CP75" s="128"/>
      <c r="CQ75" s="128"/>
      <c r="CR75" s="128"/>
      <c r="CS75" s="128"/>
      <c r="CT75" s="836"/>
      <c r="CU75" s="128"/>
      <c r="CV75" s="128"/>
      <c r="CW75" s="128"/>
      <c r="CX75" s="128"/>
      <c r="CY75" s="836"/>
      <c r="CZ75" s="129"/>
      <c r="DA75" s="128"/>
      <c r="DB75" s="129"/>
      <c r="DC75" s="128"/>
      <c r="DD75" s="836"/>
      <c r="DE75" s="129"/>
      <c r="DF75" s="128"/>
      <c r="DG75" s="129"/>
      <c r="DH75" s="128"/>
      <c r="DI75" s="836"/>
      <c r="DJ75" s="129"/>
      <c r="DK75" s="129"/>
      <c r="DL75" s="129"/>
      <c r="DM75" s="129"/>
      <c r="DN75" s="836"/>
      <c r="DO75" s="129"/>
      <c r="DP75" s="129"/>
      <c r="DQ75" s="129"/>
      <c r="DR75" s="129"/>
      <c r="DS75" s="836"/>
      <c r="DT75" s="129"/>
      <c r="DU75" s="129"/>
      <c r="DV75" s="129"/>
      <c r="DW75" s="129"/>
      <c r="DX75" s="836"/>
      <c r="DY75" s="129"/>
      <c r="DZ75" s="129"/>
      <c r="EA75" s="129"/>
      <c r="EB75" s="129"/>
      <c r="EC75" s="836"/>
      <c r="ED75" s="129"/>
      <c r="EE75" s="129"/>
      <c r="EF75" s="129"/>
      <c r="EG75" s="129"/>
      <c r="EH75" s="836"/>
      <c r="EI75" s="134"/>
      <c r="EJ75" s="128"/>
      <c r="EK75" s="128"/>
      <c r="EL75" s="128"/>
      <c r="EM75" s="836"/>
      <c r="EN75" s="128"/>
      <c r="EO75" s="128"/>
      <c r="EP75" s="128"/>
      <c r="EQ75" s="128"/>
      <c r="ER75" s="836"/>
      <c r="ES75" s="128"/>
      <c r="ET75" s="128"/>
      <c r="EU75" s="128"/>
      <c r="EV75" s="128"/>
      <c r="EW75" s="836"/>
      <c r="EX75" s="128"/>
      <c r="EY75" s="128"/>
      <c r="EZ75" s="128"/>
      <c r="FA75" s="128"/>
      <c r="FB75" s="836"/>
      <c r="FC75" s="128"/>
      <c r="FD75" s="128"/>
      <c r="FE75" s="128"/>
      <c r="FF75" s="128"/>
      <c r="FG75" s="836"/>
    </row>
    <row r="76" ht="12.75" customHeight="1">
      <c r="A76" s="128"/>
      <c r="B76" s="179" t="s">
        <v>615</v>
      </c>
      <c r="C76" s="179"/>
      <c r="D76" s="179"/>
      <c r="E76" s="179"/>
      <c r="F76" s="179"/>
      <c r="G76" s="179"/>
      <c r="H76" s="179"/>
      <c r="I76" s="179"/>
      <c r="J76" s="179"/>
      <c r="K76" s="179"/>
      <c r="L76" s="179"/>
      <c r="M76" s="179"/>
      <c r="N76" s="179"/>
      <c r="O76" s="179"/>
      <c r="P76" s="179"/>
      <c r="Q76" s="179"/>
      <c r="R76" s="57"/>
      <c r="S76" s="179"/>
      <c r="T76" s="179"/>
      <c r="U76" s="179"/>
      <c r="V76" s="179"/>
      <c r="W76" s="785"/>
      <c r="X76" s="128"/>
      <c r="Y76" s="128"/>
      <c r="Z76" s="128"/>
      <c r="AA76" s="128"/>
      <c r="AB76" s="837"/>
      <c r="AC76" s="128"/>
      <c r="AD76" s="128"/>
      <c r="AE76" s="128"/>
      <c r="AF76" s="128"/>
      <c r="AG76" s="837"/>
      <c r="AH76" s="128"/>
      <c r="AI76" s="128"/>
      <c r="AJ76" s="128"/>
      <c r="AK76" s="128"/>
      <c r="AL76" s="837"/>
      <c r="AM76" s="128"/>
      <c r="AN76" s="128"/>
      <c r="AO76" s="128"/>
      <c r="AP76" s="128"/>
      <c r="AQ76" s="837"/>
      <c r="AR76" s="128"/>
      <c r="AS76" s="128"/>
      <c r="AT76" s="128"/>
      <c r="AU76" s="128"/>
      <c r="AV76" s="837"/>
      <c r="AW76" s="128"/>
      <c r="AX76" s="128"/>
      <c r="AY76" s="128"/>
      <c r="AZ76" s="128"/>
      <c r="BA76" s="837"/>
      <c r="BB76" s="128"/>
      <c r="BC76" s="128"/>
      <c r="BD76" s="128"/>
      <c r="BE76" s="128"/>
      <c r="BF76" s="837"/>
      <c r="BG76" s="128"/>
      <c r="BH76" s="128"/>
      <c r="BI76" s="128"/>
      <c r="BJ76" s="128"/>
      <c r="BK76" s="837"/>
      <c r="BL76" s="128"/>
      <c r="BM76" s="128"/>
      <c r="BN76" s="128"/>
      <c r="BO76" s="128"/>
      <c r="BP76" s="837"/>
      <c r="BQ76" s="128"/>
      <c r="BR76" s="128"/>
      <c r="BS76" s="128"/>
      <c r="BT76" s="128"/>
      <c r="BU76" s="837"/>
      <c r="BV76" s="128"/>
      <c r="BW76" s="128"/>
      <c r="BX76" s="128"/>
      <c r="BY76" s="128"/>
      <c r="BZ76" s="837"/>
      <c r="CA76" s="128"/>
      <c r="CB76" s="128"/>
      <c r="CC76" s="128"/>
      <c r="CD76" s="128"/>
      <c r="CE76" s="837"/>
      <c r="CF76" s="128"/>
      <c r="CG76" s="128"/>
      <c r="CH76" s="128"/>
      <c r="CI76" s="128"/>
      <c r="CJ76" s="837"/>
      <c r="CK76" s="128"/>
      <c r="CL76" s="128"/>
      <c r="CM76" s="128"/>
      <c r="CN76" s="128"/>
      <c r="CO76" s="837"/>
      <c r="CP76" s="128"/>
      <c r="CQ76" s="128"/>
      <c r="CR76" s="128"/>
      <c r="CS76" s="128"/>
      <c r="CT76" s="836"/>
      <c r="CU76" s="128"/>
      <c r="CV76" s="128"/>
      <c r="CW76" s="128"/>
      <c r="CX76" s="128"/>
      <c r="CY76" s="835"/>
      <c r="CZ76" s="129"/>
      <c r="DA76" s="128"/>
      <c r="DB76" s="129"/>
      <c r="DC76" s="128"/>
      <c r="DD76" s="835"/>
      <c r="DE76" s="129"/>
      <c r="DF76" s="128"/>
      <c r="DG76" s="129"/>
      <c r="DH76" s="128">
        <v>45.0</v>
      </c>
      <c r="DI76" s="835"/>
      <c r="DJ76" s="883">
        <f>DH76</f>
        <v>45</v>
      </c>
      <c r="DK76" s="883">
        <v>52.0</v>
      </c>
      <c r="DL76" s="883">
        <v>55.0</v>
      </c>
      <c r="DM76" s="883">
        <v>55.0</v>
      </c>
      <c r="DN76" s="835"/>
      <c r="DO76" s="883">
        <v>50.0</v>
      </c>
      <c r="DP76" s="883">
        <v>50.0</v>
      </c>
      <c r="DQ76" s="883">
        <v>50.0</v>
      </c>
      <c r="DR76" s="883">
        <v>50.0</v>
      </c>
      <c r="DS76" s="835"/>
      <c r="DT76" s="883">
        <v>60.0</v>
      </c>
      <c r="DU76" s="883">
        <v>60.0</v>
      </c>
      <c r="DV76" s="883">
        <v>50.0</v>
      </c>
      <c r="DW76" s="883">
        <v>55.0</v>
      </c>
      <c r="DX76" s="835"/>
      <c r="DY76" s="883">
        <f>(16.1*59.1+23.4*62.51)/(16.1+23.4)</f>
        <v>61.12010127</v>
      </c>
      <c r="DZ76" s="883">
        <v>60.0</v>
      </c>
      <c r="EA76" s="883">
        <v>60.0</v>
      </c>
      <c r="EB76" s="883">
        <v>60.0</v>
      </c>
      <c r="EC76" s="835"/>
      <c r="ED76" s="883">
        <v>65.0</v>
      </c>
      <c r="EE76" s="883">
        <v>65.0</v>
      </c>
      <c r="EF76" s="883">
        <v>25.0</v>
      </c>
      <c r="EG76" s="883">
        <v>25.0</v>
      </c>
      <c r="EH76" s="835"/>
      <c r="EI76" s="884">
        <v>26.0</v>
      </c>
      <c r="EJ76" s="883">
        <v>27.0</v>
      </c>
      <c r="EK76" s="883">
        <v>28.0</v>
      </c>
      <c r="EL76" s="883">
        <v>29.0</v>
      </c>
      <c r="EM76" s="835"/>
      <c r="EN76" s="883">
        <v>30.0</v>
      </c>
      <c r="EO76" s="883">
        <v>30.0</v>
      </c>
      <c r="EP76" s="883">
        <v>30.0</v>
      </c>
      <c r="EQ76" s="883">
        <v>30.0</v>
      </c>
      <c r="ER76" s="835"/>
      <c r="ES76" s="883">
        <v>35.0</v>
      </c>
      <c r="ET76" s="883">
        <v>35.0</v>
      </c>
      <c r="EU76" s="883">
        <v>35.0</v>
      </c>
      <c r="EV76" s="883">
        <v>35.0</v>
      </c>
      <c r="EW76" s="835"/>
      <c r="EX76" s="883">
        <v>40.0</v>
      </c>
      <c r="EY76" s="883">
        <v>40.0</v>
      </c>
      <c r="EZ76" s="883">
        <v>40.0</v>
      </c>
      <c r="FA76" s="883">
        <v>40.0</v>
      </c>
      <c r="FB76" s="835"/>
      <c r="FC76" s="883">
        <v>40.0</v>
      </c>
      <c r="FD76" s="883">
        <v>40.0</v>
      </c>
      <c r="FE76" s="883">
        <v>40.0</v>
      </c>
      <c r="FF76" s="883">
        <v>40.0</v>
      </c>
      <c r="FG76" s="835"/>
    </row>
    <row r="77" ht="12.75" customHeight="1">
      <c r="A77" s="128"/>
      <c r="B77" s="179" t="s">
        <v>616</v>
      </c>
      <c r="C77" s="179"/>
      <c r="D77" s="179"/>
      <c r="E77" s="179"/>
      <c r="F77" s="179"/>
      <c r="G77" s="179"/>
      <c r="H77" s="179"/>
      <c r="I77" s="179"/>
      <c r="J77" s="179"/>
      <c r="K77" s="179"/>
      <c r="L77" s="179"/>
      <c r="M77" s="179"/>
      <c r="N77" s="179"/>
      <c r="O77" s="179"/>
      <c r="P77" s="179"/>
      <c r="Q77" s="179"/>
      <c r="R77" s="57"/>
      <c r="S77" s="179"/>
      <c r="T77" s="179"/>
      <c r="U77" s="179"/>
      <c r="V77" s="179"/>
      <c r="W77" s="785"/>
      <c r="X77" s="128"/>
      <c r="Y77" s="128"/>
      <c r="Z77" s="128"/>
      <c r="AA77" s="128"/>
      <c r="AB77" s="837"/>
      <c r="AC77" s="128"/>
      <c r="AD77" s="128"/>
      <c r="AE77" s="128"/>
      <c r="AF77" s="128"/>
      <c r="AG77" s="837"/>
      <c r="AH77" s="128"/>
      <c r="AI77" s="128"/>
      <c r="AJ77" s="128"/>
      <c r="AK77" s="128"/>
      <c r="AL77" s="837"/>
      <c r="AM77" s="128"/>
      <c r="AN77" s="128"/>
      <c r="AO77" s="128"/>
      <c r="AP77" s="128"/>
      <c r="AQ77" s="837"/>
      <c r="AR77" s="128"/>
      <c r="AS77" s="128"/>
      <c r="AT77" s="128"/>
      <c r="AU77" s="128"/>
      <c r="AV77" s="837"/>
      <c r="AW77" s="128"/>
      <c r="AX77" s="128"/>
      <c r="AY77" s="128"/>
      <c r="AZ77" s="128"/>
      <c r="BA77" s="837"/>
      <c r="BB77" s="128"/>
      <c r="BC77" s="128"/>
      <c r="BD77" s="128"/>
      <c r="BE77" s="128"/>
      <c r="BF77" s="837"/>
      <c r="BG77" s="128"/>
      <c r="BH77" s="128"/>
      <c r="BI77" s="128"/>
      <c r="BJ77" s="128"/>
      <c r="BK77" s="837"/>
      <c r="BL77" s="128"/>
      <c r="BM77" s="128"/>
      <c r="BN77" s="128"/>
      <c r="BO77" s="128"/>
      <c r="BP77" s="837"/>
      <c r="BQ77" s="128"/>
      <c r="BR77" s="128"/>
      <c r="BS77" s="128"/>
      <c r="BT77" s="128"/>
      <c r="BU77" s="837"/>
      <c r="BV77" s="128"/>
      <c r="BW77" s="128"/>
      <c r="BX77" s="128"/>
      <c r="BY77" s="128"/>
      <c r="BZ77" s="837"/>
      <c r="CA77" s="128"/>
      <c r="CB77" s="128"/>
      <c r="CC77" s="128"/>
      <c r="CD77" s="128"/>
      <c r="CE77" s="837"/>
      <c r="CF77" s="128"/>
      <c r="CG77" s="128"/>
      <c r="CH77" s="128"/>
      <c r="CI77" s="128"/>
      <c r="CJ77" s="837"/>
      <c r="CK77" s="128"/>
      <c r="CL77" s="128"/>
      <c r="CM77" s="128"/>
      <c r="CN77" s="128"/>
      <c r="CO77" s="837"/>
      <c r="CP77" s="128"/>
      <c r="CQ77" s="128"/>
      <c r="CR77" s="128"/>
      <c r="CS77" s="128"/>
      <c r="CT77" s="836"/>
      <c r="CU77" s="128"/>
      <c r="CV77" s="128"/>
      <c r="CW77" s="128"/>
      <c r="CX77" s="128"/>
      <c r="CY77" s="836"/>
      <c r="CZ77" s="129"/>
      <c r="DA77" s="128"/>
      <c r="DB77" s="129"/>
      <c r="DC77" s="128"/>
      <c r="DD77" s="836"/>
      <c r="DE77" s="129"/>
      <c r="DF77" s="128"/>
      <c r="DG77" s="129"/>
      <c r="DH77" s="128">
        <f>DH45/DH76</f>
        <v>-0.08888888889</v>
      </c>
      <c r="DI77" s="836"/>
      <c r="DJ77" s="19">
        <f t="shared" ref="DJ77:DM77" si="333">DJ45/DJ76</f>
        <v>-42.53333333</v>
      </c>
      <c r="DK77" s="19">
        <f t="shared" si="333"/>
        <v>-74.86538462</v>
      </c>
      <c r="DL77" s="19">
        <f t="shared" si="333"/>
        <v>-48.30909091</v>
      </c>
      <c r="DM77" s="19">
        <f t="shared" si="333"/>
        <v>-41.2</v>
      </c>
      <c r="DN77" s="836">
        <f t="shared" ref="DN77:DN78" si="344">SUM(DJ77:DM77)</f>
        <v>-206.9078089</v>
      </c>
      <c r="DO77" s="19">
        <v>-49.0</v>
      </c>
      <c r="DP77" s="19">
        <f t="shared" ref="DP77:DR77" si="334">DP45/DP76</f>
        <v>-60.98</v>
      </c>
      <c r="DQ77" s="19">
        <f t="shared" si="334"/>
        <v>-90.42</v>
      </c>
      <c r="DR77" s="19">
        <f t="shared" si="334"/>
        <v>-69.52</v>
      </c>
      <c r="DS77" s="836">
        <f t="shared" ref="DS77:DS78" si="345">SUM(DO77:DR77)</f>
        <v>-269.92</v>
      </c>
      <c r="DT77" s="19">
        <f t="shared" ref="DT77:DW77" si="335">DT45/DT76</f>
        <v>-70.48333333</v>
      </c>
      <c r="DU77" s="19">
        <f t="shared" si="335"/>
        <v>0</v>
      </c>
      <c r="DV77" s="19">
        <f t="shared" si="335"/>
        <v>-200</v>
      </c>
      <c r="DW77" s="19">
        <f t="shared" si="335"/>
        <v>0</v>
      </c>
      <c r="DX77" s="836">
        <f t="shared" ref="DX77:DX78" si="347">SUM(DT77:DW77)</f>
        <v>-270.4833333</v>
      </c>
      <c r="DY77" s="19">
        <v>-39.5</v>
      </c>
      <c r="DZ77" s="19">
        <v>0.0</v>
      </c>
      <c r="EA77" s="19">
        <f t="shared" ref="EA77:EB77" si="336">EA45/EA76</f>
        <v>0</v>
      </c>
      <c r="EB77" s="19">
        <f t="shared" si="336"/>
        <v>0</v>
      </c>
      <c r="EC77" s="836">
        <f t="shared" ref="EC77:EC78" si="348">SUM(DY77:EB77)</f>
        <v>-39.5</v>
      </c>
      <c r="ED77" s="19">
        <f t="shared" ref="ED77:EG77" si="337">ED45/ED76</f>
        <v>0</v>
      </c>
      <c r="EE77" s="19">
        <f t="shared" si="337"/>
        <v>0</v>
      </c>
      <c r="EF77" s="19">
        <f t="shared" si="337"/>
        <v>0</v>
      </c>
      <c r="EG77" s="19">
        <f t="shared" si="337"/>
        <v>0</v>
      </c>
      <c r="EH77" s="836">
        <f t="shared" ref="EH77:EH78" si="349">SUM(ED77:EG77)</f>
        <v>0</v>
      </c>
      <c r="EI77" s="25">
        <f t="shared" ref="EI77:EL77" si="338">EI45/EI76</f>
        <v>0</v>
      </c>
      <c r="EJ77" s="19">
        <f t="shared" si="338"/>
        <v>0</v>
      </c>
      <c r="EK77" s="19">
        <f t="shared" si="338"/>
        <v>0</v>
      </c>
      <c r="EL77" s="19">
        <f t="shared" si="338"/>
        <v>0</v>
      </c>
      <c r="EM77" s="836">
        <f t="shared" ref="EM77:EM78" si="351">SUM(EI77:EL77)</f>
        <v>0</v>
      </c>
      <c r="EN77" s="19">
        <f t="shared" ref="EN77:EQ77" si="339">EN45/EN76</f>
        <v>-16.66666667</v>
      </c>
      <c r="EO77" s="19">
        <f t="shared" si="339"/>
        <v>-16.66666667</v>
      </c>
      <c r="EP77" s="19">
        <f t="shared" si="339"/>
        <v>-16.66666667</v>
      </c>
      <c r="EQ77" s="19">
        <f t="shared" si="339"/>
        <v>-16.66666667</v>
      </c>
      <c r="ER77" s="836">
        <f t="shared" ref="ER77:ER78" si="353">SUM(EN77:EQ77)</f>
        <v>-66.66666667</v>
      </c>
      <c r="ES77" s="19">
        <f t="shared" ref="ES77:EV77" si="340">ES45/ES76</f>
        <v>-14.28571429</v>
      </c>
      <c r="ET77" s="19">
        <f t="shared" si="340"/>
        <v>-14.28571429</v>
      </c>
      <c r="EU77" s="19">
        <f t="shared" si="340"/>
        <v>-14.28571429</v>
      </c>
      <c r="EV77" s="19">
        <f t="shared" si="340"/>
        <v>-14.28571429</v>
      </c>
      <c r="EW77" s="836">
        <f t="shared" ref="EW77:EW78" si="355">SUM(ES77:EV77)</f>
        <v>-57.14285714</v>
      </c>
      <c r="EX77" s="19">
        <f t="shared" ref="EX77:FA77" si="341">EX45/EX76</f>
        <v>-12.5</v>
      </c>
      <c r="EY77" s="19">
        <f t="shared" si="341"/>
        <v>-12.5</v>
      </c>
      <c r="EZ77" s="19">
        <f t="shared" si="341"/>
        <v>-12.5</v>
      </c>
      <c r="FA77" s="19">
        <f t="shared" si="341"/>
        <v>-12.5</v>
      </c>
      <c r="FB77" s="836">
        <f t="shared" ref="FB77:FB78" si="357">SUM(EX77:FA77)</f>
        <v>-50</v>
      </c>
      <c r="FC77" s="19">
        <f t="shared" ref="FC77:FF77" si="342">FC45/FC76</f>
        <v>-25</v>
      </c>
      <c r="FD77" s="19">
        <f t="shared" si="342"/>
        <v>-25</v>
      </c>
      <c r="FE77" s="19">
        <f t="shared" si="342"/>
        <v>-25</v>
      </c>
      <c r="FF77" s="19">
        <f t="shared" si="342"/>
        <v>-25</v>
      </c>
      <c r="FG77" s="836">
        <f t="shared" ref="FG77:FG78" si="359">SUM(FC77:FF77)</f>
        <v>-100</v>
      </c>
    </row>
    <row r="78" ht="12.75" customHeight="1">
      <c r="A78" s="128"/>
      <c r="B78" s="179" t="s">
        <v>617</v>
      </c>
      <c r="C78" s="179"/>
      <c r="D78" s="179"/>
      <c r="E78" s="179"/>
      <c r="F78" s="179"/>
      <c r="G78" s="179"/>
      <c r="H78" s="179"/>
      <c r="I78" s="179"/>
      <c r="J78" s="179"/>
      <c r="K78" s="179"/>
      <c r="L78" s="179"/>
      <c r="M78" s="179"/>
      <c r="N78" s="179"/>
      <c r="O78" s="179"/>
      <c r="P78" s="179"/>
      <c r="Q78" s="179"/>
      <c r="R78" s="57"/>
      <c r="S78" s="179"/>
      <c r="T78" s="179"/>
      <c r="U78" s="179"/>
      <c r="V78" s="179"/>
      <c r="W78" s="785"/>
      <c r="X78" s="128"/>
      <c r="Y78" s="128"/>
      <c r="Z78" s="128"/>
      <c r="AA78" s="128"/>
      <c r="AB78" s="837"/>
      <c r="AC78" s="128"/>
      <c r="AD78" s="128"/>
      <c r="AE78" s="128"/>
      <c r="AF78" s="128"/>
      <c r="AG78" s="837"/>
      <c r="AH78" s="128"/>
      <c r="AI78" s="128"/>
      <c r="AJ78" s="128"/>
      <c r="AK78" s="128"/>
      <c r="AL78" s="837"/>
      <c r="AM78" s="128"/>
      <c r="AN78" s="128"/>
      <c r="AO78" s="128"/>
      <c r="AP78" s="128"/>
      <c r="AQ78" s="837"/>
      <c r="AR78" s="128"/>
      <c r="AS78" s="128"/>
      <c r="AT78" s="128"/>
      <c r="AU78" s="128"/>
      <c r="AV78" s="837"/>
      <c r="AW78" s="128"/>
      <c r="AX78" s="128"/>
      <c r="AY78" s="128"/>
      <c r="AZ78" s="128"/>
      <c r="BA78" s="837"/>
      <c r="BB78" s="128"/>
      <c r="BC78" s="128"/>
      <c r="BD78" s="128"/>
      <c r="BE78" s="128"/>
      <c r="BF78" s="837"/>
      <c r="BG78" s="128"/>
      <c r="BH78" s="128"/>
      <c r="BI78" s="128"/>
      <c r="BJ78" s="128"/>
      <c r="BK78" s="837"/>
      <c r="BL78" s="128"/>
      <c r="BM78" s="128"/>
      <c r="BN78" s="128"/>
      <c r="BO78" s="128"/>
      <c r="BP78" s="837"/>
      <c r="BQ78" s="128"/>
      <c r="BR78" s="128"/>
      <c r="BS78" s="128"/>
      <c r="BT78" s="128"/>
      <c r="BU78" s="837"/>
      <c r="BV78" s="128"/>
      <c r="BW78" s="128"/>
      <c r="BX78" s="128"/>
      <c r="BY78" s="128"/>
      <c r="BZ78" s="837"/>
      <c r="CA78" s="128"/>
      <c r="CB78" s="128"/>
      <c r="CC78" s="128"/>
      <c r="CD78" s="128"/>
      <c r="CE78" s="837"/>
      <c r="CF78" s="128"/>
      <c r="CG78" s="128"/>
      <c r="CH78" s="128"/>
      <c r="CI78" s="128"/>
      <c r="CJ78" s="837"/>
      <c r="CK78" s="128"/>
      <c r="CL78" s="128"/>
      <c r="CM78" s="128"/>
      <c r="CN78" s="128"/>
      <c r="CO78" s="837"/>
      <c r="CP78" s="4">
        <v>0.22</v>
      </c>
      <c r="CQ78" s="4">
        <v>0.22</v>
      </c>
      <c r="CR78" s="4">
        <v>0.22</v>
      </c>
      <c r="CS78" s="4">
        <v>0.22</v>
      </c>
      <c r="CT78" s="58">
        <f>SUM(CP78:CS78)</f>
        <v>0.88</v>
      </c>
      <c r="CU78" s="4">
        <v>0.23</v>
      </c>
      <c r="CV78" s="4">
        <v>0.24</v>
      </c>
      <c r="CW78" s="4">
        <v>0.24</v>
      </c>
      <c r="CX78" s="4">
        <v>0.24</v>
      </c>
      <c r="CY78" s="58">
        <f>SUM(CU78:CX78)</f>
        <v>0.95</v>
      </c>
      <c r="CZ78" s="4">
        <v>0.26</v>
      </c>
      <c r="DA78" s="4">
        <v>0.26</v>
      </c>
      <c r="DB78" s="4">
        <v>0.26</v>
      </c>
      <c r="DC78" s="4">
        <v>0.26</v>
      </c>
      <c r="DD78" s="58">
        <f>SUM(CZ78:DC78)</f>
        <v>1.04</v>
      </c>
      <c r="DE78" s="4">
        <v>0.26</v>
      </c>
      <c r="DF78" s="4">
        <v>0.26</v>
      </c>
      <c r="DG78" s="4">
        <v>0.26</v>
      </c>
      <c r="DH78" s="4">
        <v>0.26</v>
      </c>
      <c r="DI78" s="58">
        <f>SUM(DE78:DH78)</f>
        <v>1.04</v>
      </c>
      <c r="DJ78" s="885">
        <v>0.3</v>
      </c>
      <c r="DK78" s="885">
        <f t="shared" ref="DK78:DM78" si="343">DJ78</f>
        <v>0.3</v>
      </c>
      <c r="DL78" s="885">
        <f t="shared" si="343"/>
        <v>0.3</v>
      </c>
      <c r="DM78" s="885">
        <f t="shared" si="343"/>
        <v>0.3</v>
      </c>
      <c r="DN78" s="58">
        <f t="shared" si="344"/>
        <v>1.2</v>
      </c>
      <c r="DO78" s="886">
        <v>0.315</v>
      </c>
      <c r="DP78" s="885">
        <v>0.315</v>
      </c>
      <c r="DQ78" s="885">
        <v>0.315</v>
      </c>
      <c r="DR78" s="885">
        <v>0.315</v>
      </c>
      <c r="DS78" s="58">
        <f t="shared" si="345"/>
        <v>1.26</v>
      </c>
      <c r="DT78" s="885">
        <v>0.33</v>
      </c>
      <c r="DU78" s="885">
        <f t="shared" ref="DU78:DW78" si="346">DT78</f>
        <v>0.33</v>
      </c>
      <c r="DV78" s="885">
        <f t="shared" si="346"/>
        <v>0.33</v>
      </c>
      <c r="DW78" s="885">
        <f t="shared" si="346"/>
        <v>0.33</v>
      </c>
      <c r="DX78" s="58">
        <f t="shared" si="347"/>
        <v>1.32</v>
      </c>
      <c r="DY78" s="887">
        <v>0.3475</v>
      </c>
      <c r="DZ78" s="887">
        <f>-DZ41/IS!DZ78</f>
        <v>0.3452497551</v>
      </c>
      <c r="EA78" s="887">
        <f>-EA41/IS!EA78</f>
        <v>0.3450807636</v>
      </c>
      <c r="EB78" s="887">
        <f>EA78</f>
        <v>0.3450807636</v>
      </c>
      <c r="EC78" s="888">
        <f t="shared" si="348"/>
        <v>1.382911282</v>
      </c>
      <c r="ED78" s="887">
        <f>-ED41/IS!ED78</f>
        <v>0.3620647675</v>
      </c>
      <c r="EE78" s="887">
        <f>-EE41/IS!EE78</f>
        <v>0.3656097561</v>
      </c>
      <c r="EF78" s="887">
        <f>-EF41/IS!EF78</f>
        <v>0.3641212121</v>
      </c>
      <c r="EG78" s="887">
        <f>-EG41/IS!EG78</f>
        <v>0.3651100895</v>
      </c>
      <c r="EH78" s="888">
        <f t="shared" si="349"/>
        <v>1.456905825</v>
      </c>
      <c r="EI78" s="889">
        <v>0.4</v>
      </c>
      <c r="EJ78" s="890">
        <v>0.125</v>
      </c>
      <c r="EK78" s="890">
        <f t="shared" ref="EK78:EL78" si="350">EJ78</f>
        <v>0.125</v>
      </c>
      <c r="EL78" s="890">
        <f t="shared" si="350"/>
        <v>0.125</v>
      </c>
      <c r="EM78" s="888">
        <f t="shared" si="351"/>
        <v>0.775</v>
      </c>
      <c r="EN78" s="890">
        <v>0.15</v>
      </c>
      <c r="EO78" s="890">
        <v>0.2</v>
      </c>
      <c r="EP78" s="890">
        <f t="shared" ref="EP78:EQ78" si="352">EO78</f>
        <v>0.2</v>
      </c>
      <c r="EQ78" s="890">
        <f t="shared" si="352"/>
        <v>0.2</v>
      </c>
      <c r="ER78" s="888">
        <f t="shared" si="353"/>
        <v>0.75</v>
      </c>
      <c r="ES78" s="890">
        <v>0.3</v>
      </c>
      <c r="ET78" s="890">
        <f t="shared" ref="ET78:EV78" si="354">ES78</f>
        <v>0.3</v>
      </c>
      <c r="EU78" s="890">
        <f t="shared" si="354"/>
        <v>0.3</v>
      </c>
      <c r="EV78" s="890">
        <f t="shared" si="354"/>
        <v>0.3</v>
      </c>
      <c r="EW78" s="888">
        <f t="shared" si="355"/>
        <v>1.2</v>
      </c>
      <c r="EX78" s="890">
        <v>0.5</v>
      </c>
      <c r="EY78" s="890">
        <f t="shared" ref="EY78:FA78" si="356">EX78</f>
        <v>0.5</v>
      </c>
      <c r="EZ78" s="890">
        <f t="shared" si="356"/>
        <v>0.5</v>
      </c>
      <c r="FA78" s="890">
        <f t="shared" si="356"/>
        <v>0.5</v>
      </c>
      <c r="FB78" s="888">
        <f t="shared" si="357"/>
        <v>2</v>
      </c>
      <c r="FC78" s="890">
        <v>0.6</v>
      </c>
      <c r="FD78" s="890">
        <f t="shared" ref="FD78:FF78" si="358">FC78</f>
        <v>0.6</v>
      </c>
      <c r="FE78" s="890">
        <f t="shared" si="358"/>
        <v>0.6</v>
      </c>
      <c r="FF78" s="890">
        <f t="shared" si="358"/>
        <v>0.6</v>
      </c>
      <c r="FG78" s="888">
        <f t="shared" si="359"/>
        <v>2.4</v>
      </c>
    </row>
    <row r="79" ht="12.75" customHeight="1">
      <c r="A79" s="128"/>
      <c r="B79" s="179" t="s">
        <v>618</v>
      </c>
      <c r="C79" s="179"/>
      <c r="D79" s="179"/>
      <c r="E79" s="179"/>
      <c r="F79" s="179"/>
      <c r="G79" s="179"/>
      <c r="H79" s="179"/>
      <c r="I79" s="179"/>
      <c r="J79" s="179"/>
      <c r="K79" s="179"/>
      <c r="L79" s="179"/>
      <c r="M79" s="179"/>
      <c r="N79" s="179"/>
      <c r="O79" s="179"/>
      <c r="P79" s="179"/>
      <c r="Q79" s="179"/>
      <c r="R79" s="57"/>
      <c r="S79" s="179"/>
      <c r="T79" s="179"/>
      <c r="U79" s="179"/>
      <c r="V79" s="179"/>
      <c r="W79" s="785"/>
      <c r="X79" s="179">
        <v>2000.0</v>
      </c>
      <c r="Y79" s="179">
        <v>2001.0</v>
      </c>
      <c r="Z79" s="179">
        <v>2002.0</v>
      </c>
      <c r="AA79" s="179">
        <v>2003.0</v>
      </c>
      <c r="AB79" s="179">
        <v>2004.0</v>
      </c>
      <c r="AC79" s="179">
        <v>2005.0</v>
      </c>
      <c r="AD79" s="179">
        <v>2006.0</v>
      </c>
      <c r="AE79" s="179">
        <v>2007.0</v>
      </c>
      <c r="AF79" s="179">
        <v>2008.0</v>
      </c>
      <c r="AG79" s="179">
        <v>2009.0</v>
      </c>
      <c r="AH79" s="179">
        <v>2010.0</v>
      </c>
      <c r="AI79" s="179">
        <v>2011.0</v>
      </c>
      <c r="AJ79" s="179">
        <v>2012.0</v>
      </c>
      <c r="AK79" s="179">
        <v>2013.0</v>
      </c>
      <c r="AL79" s="179">
        <v>2014.0</v>
      </c>
      <c r="AM79" s="179">
        <v>2015.0</v>
      </c>
      <c r="AN79" s="179">
        <v>2016.0</v>
      </c>
      <c r="AO79" s="179">
        <v>2017.0</v>
      </c>
      <c r="AP79" s="128"/>
      <c r="AQ79" s="837"/>
      <c r="AR79" s="128"/>
      <c r="AS79" s="128"/>
      <c r="AT79" s="128"/>
      <c r="AU79" s="128"/>
      <c r="AV79" s="837"/>
      <c r="AW79" s="128"/>
      <c r="AX79" s="128"/>
      <c r="AY79" s="128"/>
      <c r="AZ79" s="128"/>
      <c r="BA79" s="837"/>
      <c r="BB79" s="128"/>
      <c r="BC79" s="128"/>
      <c r="BD79" s="128"/>
      <c r="BE79" s="128"/>
      <c r="BF79" s="837"/>
      <c r="BG79" s="128"/>
      <c r="BH79" s="128"/>
      <c r="BI79" s="128"/>
      <c r="BJ79" s="128"/>
      <c r="BK79" s="837"/>
      <c r="BL79" s="128"/>
      <c r="BM79" s="128"/>
      <c r="BN79" s="128"/>
      <c r="BO79" s="128"/>
      <c r="BP79" s="837"/>
      <c r="BQ79" s="128"/>
      <c r="BR79" s="128"/>
      <c r="BS79" s="128"/>
      <c r="BT79" s="128"/>
      <c r="BU79" s="837"/>
      <c r="BV79" s="128"/>
      <c r="BW79" s="128"/>
      <c r="BX79" s="128"/>
      <c r="BY79" s="128"/>
      <c r="BZ79" s="837"/>
      <c r="CA79" s="128"/>
      <c r="CB79" s="128"/>
      <c r="CC79" s="128"/>
      <c r="CD79" s="128"/>
      <c r="CE79" s="837"/>
      <c r="CF79" s="128"/>
      <c r="CG79" s="128"/>
      <c r="CH79" s="128"/>
      <c r="CI79" s="128"/>
      <c r="CJ79" s="837"/>
      <c r="CK79" s="128"/>
      <c r="CL79" s="128"/>
      <c r="CM79" s="128"/>
      <c r="CN79" s="128"/>
      <c r="CO79" s="837"/>
      <c r="CP79" s="128"/>
      <c r="CQ79" s="128"/>
      <c r="CR79" s="128"/>
      <c r="CS79" s="128"/>
      <c r="CT79" s="836"/>
      <c r="CU79" s="128"/>
      <c r="CV79" s="128"/>
      <c r="CW79" s="128"/>
      <c r="CX79" s="128"/>
      <c r="CY79" s="836"/>
      <c r="CZ79" s="129"/>
      <c r="DA79" s="128"/>
      <c r="DB79" s="129"/>
      <c r="DC79" s="128"/>
      <c r="DD79" s="835">
        <f>-DD41/DD59</f>
        <v>0.4042518263</v>
      </c>
      <c r="DE79" s="129"/>
      <c r="DF79" s="128"/>
      <c r="DG79" s="129"/>
      <c r="DH79" s="128"/>
      <c r="DI79" s="835">
        <f>-DI41/DI59</f>
        <v>0.4909020519</v>
      </c>
      <c r="DJ79" s="129"/>
      <c r="DK79" s="129"/>
      <c r="DL79" s="129"/>
      <c r="DM79" s="129"/>
      <c r="DN79" s="835">
        <f>-DN41/DN59</f>
        <v>0.38881482</v>
      </c>
      <c r="DO79" s="129"/>
      <c r="DP79" s="129"/>
      <c r="DQ79" s="129"/>
      <c r="DR79" s="129"/>
      <c r="DS79" s="891">
        <f>-DS41/DS59</f>
        <v>0.3293172691</v>
      </c>
      <c r="DT79" s="129"/>
      <c r="DU79" s="129"/>
      <c r="DV79" s="129"/>
      <c r="DW79" s="129"/>
      <c r="DX79" s="891">
        <f>-DX41/DX59</f>
        <v>0.2635739645</v>
      </c>
      <c r="DY79" s="129"/>
      <c r="DZ79" s="129"/>
      <c r="EA79" s="129"/>
      <c r="EB79" s="129"/>
      <c r="EC79" s="891">
        <f>-EC41/EC59</f>
        <v>0.5013323859</v>
      </c>
      <c r="ED79" s="129"/>
      <c r="EE79" s="129"/>
      <c r="EF79" s="129"/>
      <c r="EG79" s="129"/>
      <c r="EH79" s="891">
        <f>-EH41/EH59</f>
        <v>-0.7024715942</v>
      </c>
      <c r="EI79" s="134"/>
      <c r="EJ79" s="128"/>
      <c r="EK79" s="128"/>
      <c r="EL79" s="128"/>
      <c r="EM79" s="891" t="str">
        <f>-EM41/EM59</f>
        <v>#ERROR!</v>
      </c>
      <c r="EN79" s="660"/>
      <c r="EO79" s="660"/>
      <c r="EP79" s="128"/>
      <c r="EQ79" s="128"/>
      <c r="ER79" s="891" t="str">
        <f>-ER41/ER59</f>
        <v>#ERROR!</v>
      </c>
      <c r="ES79" s="128"/>
      <c r="ET79" s="128"/>
      <c r="EU79" s="128"/>
      <c r="EV79" s="128"/>
      <c r="EW79" s="891" t="str">
        <f>-EW41/EW59</f>
        <v>#ERROR!</v>
      </c>
      <c r="EX79" s="128"/>
      <c r="EY79" s="128"/>
      <c r="EZ79" s="128"/>
      <c r="FA79" s="128"/>
      <c r="FB79" s="891" t="str">
        <f>-FB41/FB59</f>
        <v>#ERROR!</v>
      </c>
      <c r="FC79" s="128"/>
      <c r="FD79" s="128"/>
      <c r="FE79" s="128"/>
      <c r="FF79" s="128"/>
      <c r="FG79" s="891" t="str">
        <f>-FG41/FG59</f>
        <v>#ERROR!</v>
      </c>
    </row>
    <row r="80" ht="12.75" customHeight="1">
      <c r="A80" s="128"/>
      <c r="B80" s="179" t="s">
        <v>619</v>
      </c>
      <c r="C80" s="179"/>
      <c r="D80" s="179"/>
      <c r="E80" s="179"/>
      <c r="F80" s="179"/>
      <c r="G80" s="179"/>
      <c r="H80" s="179"/>
      <c r="I80" s="179"/>
      <c r="J80" s="179"/>
      <c r="K80" s="179"/>
      <c r="L80" s="179"/>
      <c r="M80" s="179"/>
      <c r="N80" s="179"/>
      <c r="O80" s="179"/>
      <c r="P80" s="179"/>
      <c r="Q80" s="179"/>
      <c r="R80" s="57"/>
      <c r="S80" s="179"/>
      <c r="T80" s="179"/>
      <c r="U80" s="179"/>
      <c r="V80" s="179"/>
      <c r="W80" s="785"/>
      <c r="X80" s="128">
        <f t="shared" ref="X80:AJ80" si="360">-SUM(X33:AA33)</f>
        <v>6674</v>
      </c>
      <c r="Y80" s="128">
        <f t="shared" si="360"/>
        <v>12274</v>
      </c>
      <c r="Z80" s="128">
        <f t="shared" si="360"/>
        <v>13686</v>
      </c>
      <c r="AA80" s="128">
        <f t="shared" si="360"/>
        <v>13905</v>
      </c>
      <c r="AB80" s="128">
        <f t="shared" si="360"/>
        <v>12847</v>
      </c>
      <c r="AC80" s="128">
        <f t="shared" si="360"/>
        <v>7309</v>
      </c>
      <c r="AD80" s="128">
        <f t="shared" si="360"/>
        <v>11954</v>
      </c>
      <c r="AE80" s="128">
        <f t="shared" si="360"/>
        <v>11240</v>
      </c>
      <c r="AF80" s="128">
        <f t="shared" si="360"/>
        <v>10990</v>
      </c>
      <c r="AG80" s="128">
        <f t="shared" si="360"/>
        <v>10809</v>
      </c>
      <c r="AH80" s="128">
        <f t="shared" si="360"/>
        <v>4703</v>
      </c>
      <c r="AI80" s="128">
        <f t="shared" si="360"/>
        <v>7976</v>
      </c>
      <c r="AJ80" s="128">
        <f t="shared" si="360"/>
        <v>7815</v>
      </c>
      <c r="AK80" s="128"/>
      <c r="AL80" s="837"/>
      <c r="AM80" s="128"/>
      <c r="AN80" s="128"/>
      <c r="AO80" s="128"/>
      <c r="AP80" s="128"/>
      <c r="AQ80" s="837"/>
      <c r="AR80" s="128"/>
      <c r="AS80" s="128"/>
      <c r="AT80" s="128"/>
      <c r="AU80" s="128"/>
      <c r="AV80" s="837"/>
      <c r="AW80" s="128"/>
      <c r="AX80" s="128"/>
      <c r="AY80" s="128"/>
      <c r="AZ80" s="128"/>
      <c r="BA80" s="837"/>
      <c r="BB80" s="128"/>
      <c r="BC80" s="128"/>
      <c r="BD80" s="128"/>
      <c r="BE80" s="128"/>
      <c r="BF80" s="837"/>
      <c r="BG80" s="128"/>
      <c r="BH80" s="128"/>
      <c r="BI80" s="128"/>
      <c r="BJ80" s="128"/>
      <c r="BK80" s="837"/>
      <c r="BL80" s="128"/>
      <c r="BM80" s="128"/>
      <c r="BN80" s="128"/>
      <c r="BO80" s="128"/>
      <c r="BP80" s="837"/>
      <c r="BQ80" s="128"/>
      <c r="BR80" s="128"/>
      <c r="BS80" s="128"/>
      <c r="BT80" s="128"/>
      <c r="BU80" s="837"/>
      <c r="BV80" s="128"/>
      <c r="BW80" s="128"/>
      <c r="BX80" s="128"/>
      <c r="BY80" s="128"/>
      <c r="BZ80" s="837"/>
      <c r="CA80" s="128"/>
      <c r="CB80" s="128"/>
      <c r="CC80" s="128"/>
      <c r="CD80" s="128"/>
      <c r="CE80" s="837"/>
      <c r="CF80" s="128"/>
      <c r="CG80" s="128"/>
      <c r="CH80" s="128"/>
      <c r="CI80" s="128"/>
      <c r="CJ80" s="837"/>
      <c r="CK80" s="128"/>
      <c r="CL80" s="128"/>
      <c r="CM80" s="128"/>
      <c r="CN80" s="128"/>
      <c r="CO80" s="837"/>
      <c r="CP80" s="128"/>
      <c r="CQ80" s="128"/>
      <c r="CR80" s="128"/>
      <c r="CS80" s="128"/>
      <c r="CT80" s="836"/>
      <c r="CU80" s="128"/>
      <c r="CV80" s="128"/>
      <c r="CW80" s="128"/>
      <c r="CX80" s="128"/>
      <c r="CY80" s="836"/>
      <c r="CZ80" s="129"/>
      <c r="DA80" s="128"/>
      <c r="DB80" s="129"/>
      <c r="DC80" s="128"/>
      <c r="DD80" s="836"/>
      <c r="DE80" s="129"/>
      <c r="DF80" s="128"/>
      <c r="DG80" s="129"/>
      <c r="DH80" s="128"/>
      <c r="DI80" s="836"/>
      <c r="DJ80" s="129"/>
      <c r="DK80" s="129"/>
      <c r="DL80" s="129"/>
      <c r="DM80" s="129"/>
      <c r="DN80" s="836"/>
      <c r="DO80" s="129"/>
      <c r="DP80" s="129"/>
      <c r="DQ80" s="129"/>
      <c r="DR80" s="129"/>
      <c r="DS80" s="836"/>
      <c r="DT80" s="129"/>
      <c r="DU80" s="129"/>
      <c r="DV80" s="129"/>
      <c r="DW80" s="129"/>
      <c r="DX80" s="836"/>
      <c r="DY80" s="129"/>
      <c r="DZ80" s="129"/>
      <c r="EA80" s="129"/>
      <c r="EB80" s="129"/>
      <c r="EC80" s="836"/>
      <c r="ED80" s="129"/>
      <c r="EE80" s="129"/>
      <c r="EF80" s="129"/>
      <c r="EG80" s="129"/>
      <c r="EH80" s="836"/>
      <c r="EI80" s="134"/>
      <c r="EJ80" s="128"/>
      <c r="EK80" s="128"/>
      <c r="EL80" s="128"/>
      <c r="EM80" s="836"/>
      <c r="EN80" s="128"/>
      <c r="EO80" s="128"/>
      <c r="EP80" s="128"/>
      <c r="EQ80" s="128"/>
      <c r="ER80" s="836"/>
      <c r="ES80" s="128"/>
      <c r="ET80" s="128"/>
      <c r="EU80" s="128"/>
      <c r="EV80" s="128"/>
      <c r="EW80" s="836"/>
      <c r="EX80" s="128"/>
      <c r="EY80" s="128"/>
      <c r="EZ80" s="128"/>
      <c r="FA80" s="128"/>
      <c r="FB80" s="836"/>
      <c r="FC80" s="128"/>
      <c r="FD80" s="128"/>
      <c r="FE80" s="128"/>
      <c r="FF80" s="128"/>
      <c r="FG80" s="836"/>
    </row>
    <row r="81" ht="12.75" customHeight="1">
      <c r="A81" s="128"/>
      <c r="B81" s="179" t="s">
        <v>620</v>
      </c>
      <c r="C81" s="179"/>
      <c r="D81" s="179"/>
      <c r="E81" s="179"/>
      <c r="F81" s="179"/>
      <c r="G81" s="179"/>
      <c r="H81" s="179"/>
      <c r="I81" s="179"/>
      <c r="J81" s="179"/>
      <c r="K81" s="179"/>
      <c r="L81" s="179"/>
      <c r="M81" s="179"/>
      <c r="N81" s="179"/>
      <c r="O81" s="179"/>
      <c r="P81" s="179"/>
      <c r="Q81" s="179"/>
      <c r="R81" s="57"/>
      <c r="S81" s="179"/>
      <c r="T81" s="179"/>
      <c r="U81" s="179"/>
      <c r="V81" s="179"/>
      <c r="W81" s="785"/>
      <c r="X81" s="128"/>
      <c r="Y81" s="128"/>
      <c r="Z81" s="128"/>
      <c r="AA81" s="128"/>
      <c r="AB81" s="128"/>
      <c r="AC81" s="128"/>
      <c r="AD81" s="128"/>
      <c r="AE81" s="128"/>
      <c r="AF81" s="128"/>
      <c r="AG81" s="128"/>
      <c r="AH81" s="128"/>
      <c r="AI81" s="128"/>
      <c r="AJ81" s="128"/>
      <c r="AK81" s="128"/>
      <c r="AL81" s="837"/>
      <c r="AM81" s="128"/>
      <c r="AN81" s="128"/>
      <c r="AO81" s="128"/>
      <c r="AP81" s="128"/>
      <c r="AQ81" s="837"/>
      <c r="AR81" s="128"/>
      <c r="AS81" s="128"/>
      <c r="AT81" s="128"/>
      <c r="AU81" s="128"/>
      <c r="AV81" s="837"/>
      <c r="AW81" s="128"/>
      <c r="AX81" s="128"/>
      <c r="AY81" s="128"/>
      <c r="AZ81" s="128"/>
      <c r="BA81" s="837"/>
      <c r="BB81" s="128"/>
      <c r="BC81" s="128"/>
      <c r="BD81" s="128"/>
      <c r="BE81" s="128"/>
      <c r="BF81" s="837"/>
      <c r="BG81" s="128"/>
      <c r="BH81" s="128"/>
      <c r="BI81" s="128"/>
      <c r="BJ81" s="128"/>
      <c r="BK81" s="837"/>
      <c r="BL81" s="128"/>
      <c r="BM81" s="128"/>
      <c r="BN81" s="128"/>
      <c r="BO81" s="128"/>
      <c r="BP81" s="837"/>
      <c r="BQ81" s="128"/>
      <c r="BR81" s="128"/>
      <c r="BS81" s="128"/>
      <c r="BT81" s="128"/>
      <c r="BU81" s="837"/>
      <c r="BV81" s="128"/>
      <c r="BW81" s="128"/>
      <c r="BX81" s="128"/>
      <c r="BY81" s="128"/>
      <c r="BZ81" s="837"/>
      <c r="CA81" s="128"/>
      <c r="CB81" s="128"/>
      <c r="CC81" s="128"/>
      <c r="CD81" s="128"/>
      <c r="CE81" s="837"/>
      <c r="CF81" s="128"/>
      <c r="CG81" s="128"/>
      <c r="CH81" s="128"/>
      <c r="CI81" s="128"/>
      <c r="CJ81" s="837"/>
      <c r="CK81" s="128"/>
      <c r="CL81" s="128"/>
      <c r="CM81" s="128"/>
      <c r="CN81" s="128"/>
      <c r="CO81" s="837"/>
      <c r="CP81" s="128"/>
      <c r="CQ81" s="128"/>
      <c r="CR81" s="128"/>
      <c r="CS81" s="128"/>
      <c r="CT81" s="836"/>
      <c r="CU81" s="128"/>
      <c r="CV81" s="128"/>
      <c r="CW81" s="128"/>
      <c r="CX81" s="128"/>
      <c r="CY81" s="836"/>
      <c r="CZ81" s="129"/>
      <c r="DA81" s="128"/>
      <c r="DB81" s="129"/>
      <c r="DC81" s="128"/>
      <c r="DD81" s="836"/>
      <c r="DE81" s="660">
        <f>-(DE41+DE45+DA41+DA45+DC41+DC45+DB41+DB45)/(DE59+DA59+DC59+DB59)</f>
        <v>0.6971978984</v>
      </c>
      <c r="DF81" s="660">
        <f>-(DF41+DF45+DE41+DE45+DC41+DC45+DB41+DB45)/(DF59+DE59+DC59+DB59)</f>
        <v>0.7199321459</v>
      </c>
      <c r="DG81" s="660">
        <f>-(DG41+DG45+DF41+DF45+DE41+DE45+DC41+DC45)/(DG59+DF59+DE59+DC59)</f>
        <v>0.7785229202</v>
      </c>
      <c r="DH81" s="660">
        <f>-(DH41+DH45+DG41+DG45+DF41+DF45+DE41+DE45)/(DH59+DG59+DF59+DE59)</f>
        <v>0.8407859079</v>
      </c>
      <c r="DI81" s="836"/>
      <c r="DJ81" s="866">
        <f>-(DJ41+DJ45+DF41+DF45+DH41+DH45+DG41+DG45)/(DJ59+DF59+DH59+DG59)</f>
        <v>0.8103741497</v>
      </c>
      <c r="DK81" s="866">
        <f>-(DK41+DK45+DJ41+DJ45+DH41+DH45+DG41+DG45)/(DK59+DJ59+DH59+DG59)</f>
        <v>0.9642913324</v>
      </c>
      <c r="DL81" s="866">
        <f>-(DL41+DL45+DK41+DK45+DJ41+DJ45+DH41+DH45)/(DL59+DK59+DJ59+DH59)</f>
        <v>0.9657253868</v>
      </c>
      <c r="DM81" s="866">
        <f>-(DM41+DM45+DL41+DL45+DK41+DK45+DJ41+DJ45)/(DM59+DL59+DK59+DJ59)</f>
        <v>1.141744439</v>
      </c>
      <c r="DN81" s="836"/>
      <c r="DO81" s="866">
        <f>-(DO41+DO45+DK41+DK45+DM41+DM45+DL41+DL45)/(DO59+DK59+DM59+DL59)</f>
        <v>1.350459449</v>
      </c>
      <c r="DP81" s="866">
        <f>-(DP41+DP45+DO41+DO45+DM41+DM45+DL41+DL45)/(DP59+DO59+DM59+DL59)</f>
        <v>1.176070252</v>
      </c>
      <c r="DQ81" s="866">
        <f>-(DQ41+DQ45+DP41+DP45+DO41+DO45+DM41+DM45)/(DQ59+DP59+DO59+DM59)</f>
        <v>1.219293478</v>
      </c>
      <c r="DR81" s="866">
        <f>-(DR41+DR45+DQ41+DQ45+DP41+DP45+DO41+DO45)/(DR59+DQ59+DP59+DO59)</f>
        <v>1.131112686</v>
      </c>
      <c r="DS81" s="836"/>
      <c r="DT81" s="866">
        <f>-(DT41+DT45+DP41+DP45+DR41+DR45+DQ41+DQ45)/(DT59+DP59+DR59+DQ59)</f>
        <v>1.14633744</v>
      </c>
      <c r="DU81" s="866">
        <f>-(DU41+DU45+DT41+DT45+DR41+DR45+DQ41+DQ45)/(DU59+DT59+DR59+DQ59)</f>
        <v>0.8121004566</v>
      </c>
      <c r="DV81" s="866">
        <f>-(DV41+DV45+DU41+DU45+DT41+DT45+DR41+DR45)/(DV59+DU59+DT59+DR59)</f>
        <v>1.145542216</v>
      </c>
      <c r="DW81" s="866">
        <f>-(DW41+DW45+DV41+DV45+DU41+DU45+DT41+DT45)/(DW59+DV59+DU59+DT59)</f>
        <v>0.9371360947</v>
      </c>
      <c r="DX81" s="836"/>
      <c r="DY81" s="866">
        <f>-(DY41+DY45+DU41+DU45+DW41+DW45+DV41+DV45)/(DY59+DU59+DW59+DV59)</f>
        <v>0.902125082</v>
      </c>
      <c r="DZ81" s="866">
        <f>-(DZ41+DZ45+DY41+DY45+DW41+DW45+DV41+DV45)/(DZ59+DY59+DW59+DV59)</f>
        <v>1.045739858</v>
      </c>
      <c r="EA81" s="866">
        <f>-(EA41+EA45+DZ41+DZ45+DY41+DY45+DW41+DW45)/(EA59+DZ59+DY59+DW59)</f>
        <v>0.4291769503</v>
      </c>
      <c r="EB81" s="868">
        <f>-(EB41+EB45+EA41+EA45+DZ41+DZ45+DY41+DY45)/(EB59+EA59+DZ59+DY59)</f>
        <v>0.7158465091</v>
      </c>
      <c r="EC81" s="836"/>
      <c r="ED81" s="866">
        <f>-(ED41+ED45+DZ41+DZ45+EB41+EB45+EA41+EA45)/(ED59+DZ59+EB59+EA59)</f>
        <v>0.5413882702</v>
      </c>
      <c r="EE81" s="866">
        <f>-(EE41+EE45+ED41+ED45+EB41+EB45+EA41+EA45)/(EE59+ED59+EB59+EA59)</f>
        <v>-7.136363636</v>
      </c>
      <c r="EF81" s="866">
        <f>-(EF41+EF45+EE41+EE45+ED41+ED45+EB41+EB45)/(EF59+EE59+ED59+EB59)</f>
        <v>-0.4620263075</v>
      </c>
      <c r="EG81" s="866">
        <f>-(EG41+EG45+EF41+EF45+EE41+EE45+ED41+ED45)/(EG59+EF59+EE59+ED59)</f>
        <v>-0.7024715942</v>
      </c>
      <c r="EH81" s="836"/>
      <c r="EI81" s="386" t="str">
        <f>-(EI41+EI45+EE41+EE45+EG41+EG45+EF41+EF45)/(EI59+EE59+EG59+EF59)</f>
        <v>#ERROR!</v>
      </c>
      <c r="EJ81" s="866" t="str">
        <f>-(EJ41+EJ45+EI41+EI45+EG41+EG45+EF41+EF45)/(EJ59+EI59+EG59+EF59)</f>
        <v>#ERROR!</v>
      </c>
      <c r="EK81" s="866" t="str">
        <f>-(EK41+EK45+EJ41+EJ45+EI41+EI45+EG41+EG45)/(EK59+EJ59+EI59+EG59)</f>
        <v>#ERROR!</v>
      </c>
      <c r="EL81" s="866" t="str">
        <f>-(EL41+EL45+EK41+EK45+EJ41+EJ45+EI41+EI45)/(EL59+EK59+EJ59+EI59)</f>
        <v>#ERROR!</v>
      </c>
      <c r="EM81" s="836"/>
      <c r="EN81" s="866" t="str">
        <f>-(EN41+EN45+EJ41+EJ45+EL41+EL45+EK41+EK45)/(EN59+EJ59+EL59+EK59)</f>
        <v>#ERROR!</v>
      </c>
      <c r="EO81" s="866" t="str">
        <f>-(EO41+EO45+EN41+EN45+EL41+EL45+EK41+EK45)/(EO59+EN59+EL59+EK59)</f>
        <v>#ERROR!</v>
      </c>
      <c r="EP81" s="866" t="str">
        <f>-(EP41+EP45+EO41+EO45+EN41+EN45+EL41+EL45)/(EP59+EO59+EN59+EL59)</f>
        <v>#ERROR!</v>
      </c>
      <c r="EQ81" s="866" t="str">
        <f>-(EQ41+EQ45+EP41+EP45+EO41+EO45+EN41+EN45)/(EQ59+EP59+EO59+EN59)</f>
        <v>#ERROR!</v>
      </c>
      <c r="ER81" s="836"/>
      <c r="ES81" s="866" t="str">
        <f>-(ES41+ES45+EO41+EO45+EQ41+EQ45+EP41+EP45)/(ES59+EO59+EQ59+EP59)</f>
        <v>#ERROR!</v>
      </c>
      <c r="ET81" s="866" t="str">
        <f>-(ET41+ET45+ES41+ES45+EQ41+EQ45+EP41+EP45)/(ET59+ES59+EQ59+EP59)</f>
        <v>#ERROR!</v>
      </c>
      <c r="EU81" s="866" t="str">
        <f>-(EU41+EU45+ET41+ET45+ES41+ES45+EQ41+EQ45)/(EU59+ET59+ES59+EQ59)</f>
        <v>#ERROR!</v>
      </c>
      <c r="EV81" s="866" t="str">
        <f>-(EV41+EV45+EU41+EU45+ET41+ET45+ES41+ES45)/(EV59+EU59+ET59+ES59)</f>
        <v>#ERROR!</v>
      </c>
      <c r="EW81" s="836"/>
      <c r="EX81" s="866" t="str">
        <f>-(EX41+EX45+ET41+ET45+EV41+EV45+EU41+EU45)/(EX59+ET59+EV59+EU59)</f>
        <v>#ERROR!</v>
      </c>
      <c r="EY81" s="866" t="str">
        <f>-(EY41+EY45+EX41+EX45+EV41+EV45+EU41+EU45)/(EY59+EX59+EV59+EU59)</f>
        <v>#ERROR!</v>
      </c>
      <c r="EZ81" s="866" t="str">
        <f>-(EZ41+EZ45+EY41+EY45+EX41+EX45+EV41+EV45)/(EZ59+EY59+EX59+EV59)</f>
        <v>#ERROR!</v>
      </c>
      <c r="FA81" s="866" t="str">
        <f>-(FA41+FA45+EZ41+EZ45+EY41+EY45+EX41+EX45)/(FA59+EZ59+EY59+EX59)</f>
        <v>#ERROR!</v>
      </c>
      <c r="FB81" s="836"/>
      <c r="FC81" s="866" t="str">
        <f>-(FC41+FC45+EY41+EY45+FA41+FA45+EZ41+EZ45)/(FC59+EY59+FA59+EZ59)</f>
        <v>#ERROR!</v>
      </c>
      <c r="FD81" s="866" t="str">
        <f>-(FD41+FD45+FC41+FC45+FA41+FA45+EZ41+EZ45)/(FD59+FC59+FA59+EZ59)</f>
        <v>#ERROR!</v>
      </c>
      <c r="FE81" s="866" t="str">
        <f>-(FE41+FE45+FD41+FD45+FC41+FC45+FA41+FA45)/(FE59+FD59+FC59+FA59)</f>
        <v>#ERROR!</v>
      </c>
      <c r="FF81" s="866" t="str">
        <f>-(FF41+FF45+FE41+FE45+FD41+FD45+FC41+FC45)/(FF59+FE59+FD59+FC59)</f>
        <v>#ERROR!</v>
      </c>
      <c r="FG81" s="836"/>
    </row>
    <row r="82" ht="12.75" customHeight="1">
      <c r="A82" s="128"/>
      <c r="B82" s="179"/>
      <c r="C82" s="179"/>
      <c r="D82" s="179"/>
      <c r="E82" s="179"/>
      <c r="F82" s="179"/>
      <c r="G82" s="179"/>
      <c r="H82" s="179"/>
      <c r="I82" s="179"/>
      <c r="J82" s="179"/>
      <c r="K82" s="179"/>
      <c r="L82" s="179"/>
      <c r="M82" s="179"/>
      <c r="N82" s="179"/>
      <c r="O82" s="179"/>
      <c r="P82" s="179"/>
      <c r="Q82" s="179"/>
      <c r="R82" s="57"/>
      <c r="S82" s="179"/>
      <c r="T82" s="179"/>
      <c r="U82" s="179"/>
      <c r="V82" s="179"/>
      <c r="W82" s="785"/>
      <c r="X82" s="128"/>
      <c r="Y82" s="128"/>
      <c r="Z82" s="128"/>
      <c r="AA82" s="128"/>
      <c r="AB82" s="837"/>
      <c r="AC82" s="128"/>
      <c r="AD82" s="128"/>
      <c r="AE82" s="128"/>
      <c r="AF82" s="128"/>
      <c r="AG82" s="837"/>
      <c r="AH82" s="128"/>
      <c r="AI82" s="128"/>
      <c r="AJ82" s="128"/>
      <c r="AK82" s="128"/>
      <c r="AL82" s="837"/>
      <c r="AM82" s="128"/>
      <c r="AN82" s="128"/>
      <c r="AO82" s="128"/>
      <c r="AP82" s="128"/>
      <c r="AQ82" s="837"/>
      <c r="AR82" s="128"/>
      <c r="AS82" s="128"/>
      <c r="AT82" s="128"/>
      <c r="AU82" s="128"/>
      <c r="AV82" s="837"/>
      <c r="AW82" s="128"/>
      <c r="AX82" s="128"/>
      <c r="AY82" s="128"/>
      <c r="AZ82" s="128"/>
      <c r="BA82" s="837"/>
      <c r="BB82" s="128"/>
      <c r="BC82" s="128"/>
      <c r="BD82" s="128"/>
      <c r="BE82" s="128"/>
      <c r="BF82" s="837"/>
      <c r="BG82" s="128"/>
      <c r="BH82" s="128"/>
      <c r="BI82" s="128"/>
      <c r="BJ82" s="128"/>
      <c r="BK82" s="837"/>
      <c r="BL82" s="128"/>
      <c r="BM82" s="128"/>
      <c r="BN82" s="128"/>
      <c r="BO82" s="128"/>
      <c r="BP82" s="837"/>
      <c r="BQ82" s="128"/>
      <c r="BR82" s="128"/>
      <c r="BS82" s="128"/>
      <c r="BT82" s="128"/>
      <c r="BU82" s="837"/>
      <c r="BV82" s="128"/>
      <c r="BW82" s="128"/>
      <c r="BX82" s="128"/>
      <c r="BY82" s="128"/>
      <c r="BZ82" s="837"/>
      <c r="CA82" s="128"/>
      <c r="CB82" s="128"/>
      <c r="CC82" s="128"/>
      <c r="CD82" s="128"/>
      <c r="CE82" s="837"/>
      <c r="CF82" s="128"/>
      <c r="CG82" s="128"/>
      <c r="CH82" s="128"/>
      <c r="CI82" s="128"/>
      <c r="CJ82" s="837"/>
      <c r="CK82" s="128"/>
      <c r="CL82" s="128"/>
      <c r="CM82" s="128"/>
      <c r="CN82" s="128"/>
      <c r="CO82" s="837"/>
      <c r="CP82" s="128"/>
      <c r="CQ82" s="128"/>
      <c r="CR82" s="128"/>
      <c r="CS82" s="128"/>
      <c r="CT82" s="836"/>
      <c r="CU82" s="128"/>
      <c r="CV82" s="128"/>
      <c r="CW82" s="128"/>
      <c r="CX82" s="128"/>
      <c r="CY82" s="836"/>
      <c r="CZ82" s="129"/>
      <c r="DA82" s="128"/>
      <c r="DB82" s="129"/>
      <c r="DC82" s="128"/>
      <c r="DD82" s="836"/>
      <c r="DE82" s="129"/>
      <c r="DF82" s="128"/>
      <c r="DG82" s="129"/>
      <c r="DH82" s="128"/>
      <c r="DI82" s="836"/>
      <c r="DJ82" s="129"/>
      <c r="DK82" s="129"/>
      <c r="DL82" s="129"/>
      <c r="DM82" s="129"/>
      <c r="DN82" s="836"/>
      <c r="DO82" s="129"/>
      <c r="DP82" s="129"/>
      <c r="DQ82" s="129"/>
      <c r="DR82" s="129"/>
      <c r="DS82" s="836"/>
      <c r="DT82" s="129"/>
      <c r="DU82" s="129"/>
      <c r="DV82" s="129"/>
      <c r="DW82" s="129"/>
      <c r="DX82" s="836"/>
      <c r="DY82" s="129"/>
      <c r="DZ82" s="129"/>
      <c r="EA82" s="129"/>
      <c r="EB82" s="129"/>
      <c r="EC82" s="836"/>
      <c r="ED82" s="129"/>
      <c r="EE82" s="129"/>
      <c r="EF82" s="129"/>
      <c r="EG82" s="129"/>
      <c r="EH82" s="836"/>
      <c r="EI82" s="134"/>
      <c r="EJ82" s="128"/>
      <c r="EK82" s="128"/>
      <c r="EL82" s="128"/>
      <c r="EM82" s="836"/>
      <c r="EN82" s="128"/>
      <c r="EO82" s="128"/>
      <c r="EP82" s="128"/>
      <c r="EQ82" s="128"/>
      <c r="ER82" s="836"/>
      <c r="ES82" s="128"/>
      <c r="ET82" s="128"/>
      <c r="EU82" s="128"/>
      <c r="EV82" s="128"/>
      <c r="EW82" s="836"/>
      <c r="EX82" s="128"/>
      <c r="EY82" s="128"/>
      <c r="EZ82" s="128"/>
      <c r="FA82" s="128"/>
      <c r="FB82" s="836"/>
      <c r="FC82" s="128"/>
      <c r="FD82" s="128"/>
      <c r="FE82" s="128"/>
      <c r="FF82" s="128"/>
      <c r="FG82" s="836"/>
    </row>
    <row r="83" ht="12.75" customHeight="1">
      <c r="A83" s="128"/>
      <c r="B83" s="179" t="s">
        <v>470</v>
      </c>
      <c r="C83" s="179"/>
      <c r="D83" s="179"/>
      <c r="E83" s="179"/>
      <c r="F83" s="179"/>
      <c r="G83" s="179"/>
      <c r="H83" s="179"/>
      <c r="I83" s="179"/>
      <c r="J83" s="179"/>
      <c r="K83" s="179"/>
      <c r="L83" s="179"/>
      <c r="M83" s="179"/>
      <c r="N83" s="179"/>
      <c r="O83" s="179"/>
      <c r="P83" s="179"/>
      <c r="Q83" s="179"/>
      <c r="R83" s="57"/>
      <c r="S83" s="179"/>
      <c r="T83" s="179"/>
      <c r="U83" s="179"/>
      <c r="V83" s="179"/>
      <c r="W83" s="785"/>
      <c r="X83" s="128"/>
      <c r="Y83" s="128"/>
      <c r="Z83" s="128"/>
      <c r="AA83" s="128"/>
      <c r="AB83" s="837"/>
      <c r="AC83" s="128"/>
      <c r="AD83" s="128"/>
      <c r="AE83" s="128"/>
      <c r="AF83" s="128"/>
      <c r="AG83" s="837"/>
      <c r="AH83" s="128"/>
      <c r="AI83" s="128"/>
      <c r="AJ83" s="128"/>
      <c r="AK83" s="128"/>
      <c r="AL83" s="837"/>
      <c r="AM83" s="128"/>
      <c r="AN83" s="128"/>
      <c r="AO83" s="128"/>
      <c r="AP83" s="128"/>
      <c r="AQ83" s="837"/>
      <c r="AR83" s="128"/>
      <c r="AS83" s="128"/>
      <c r="AT83" s="128"/>
      <c r="AU83" s="128"/>
      <c r="AV83" s="837"/>
      <c r="AW83" s="128"/>
      <c r="AX83" s="128"/>
      <c r="AY83" s="128"/>
      <c r="AZ83" s="128"/>
      <c r="BA83" s="837"/>
      <c r="BB83" s="128"/>
      <c r="BC83" s="128"/>
      <c r="BD83" s="128"/>
      <c r="BE83" s="128"/>
      <c r="BF83" s="837"/>
      <c r="BG83" s="128"/>
      <c r="BH83" s="128"/>
      <c r="BI83" s="128"/>
      <c r="BJ83" s="128"/>
      <c r="BK83" s="837"/>
      <c r="BL83" s="128"/>
      <c r="BM83" s="128"/>
      <c r="BN83" s="128"/>
      <c r="BO83" s="128"/>
      <c r="BP83" s="837"/>
      <c r="BQ83" s="128"/>
      <c r="BR83" s="128"/>
      <c r="BS83" s="128"/>
      <c r="BT83" s="128"/>
      <c r="BU83" s="837"/>
      <c r="BV83" s="128"/>
      <c r="BW83" s="128"/>
      <c r="BX83" s="128"/>
      <c r="BY83" s="128"/>
      <c r="BZ83" s="837"/>
      <c r="CA83" s="128"/>
      <c r="CB83" s="128"/>
      <c r="CC83" s="128"/>
      <c r="CD83" s="128"/>
      <c r="CE83" s="837"/>
      <c r="CF83" s="128"/>
      <c r="CG83" s="128"/>
      <c r="CH83" s="128"/>
      <c r="CI83" s="128"/>
      <c r="CJ83" s="837"/>
      <c r="CK83" s="128"/>
      <c r="CL83" s="128"/>
      <c r="CM83" s="128"/>
      <c r="CN83" s="128"/>
      <c r="CO83" s="837"/>
      <c r="CP83" s="129">
        <f t="shared" ref="CP83:CS83" si="361">CP10</f>
        <v>1720</v>
      </c>
      <c r="CQ83" s="129">
        <f t="shared" si="361"/>
        <v>1880</v>
      </c>
      <c r="CR83" s="129">
        <f t="shared" si="361"/>
        <v>1891</v>
      </c>
      <c r="CS83" s="129">
        <f t="shared" si="361"/>
        <v>1889</v>
      </c>
      <c r="CT83" s="839">
        <f>SUM(CP83:CS83)</f>
        <v>7380</v>
      </c>
      <c r="CU83" s="129">
        <f t="shared" ref="CU83:CX83" si="362">CU10</f>
        <v>1848</v>
      </c>
      <c r="CV83" s="129">
        <f t="shared" si="362"/>
        <v>1977</v>
      </c>
      <c r="CW83" s="129">
        <f t="shared" si="362"/>
        <v>2060</v>
      </c>
      <c r="CX83" s="129">
        <f t="shared" si="362"/>
        <v>1936</v>
      </c>
      <c r="CY83" s="839">
        <f>SUM(CU83:CX83)</f>
        <v>7821</v>
      </c>
      <c r="CZ83" s="129">
        <f t="shared" ref="CZ83:DC83" si="363">CZ10</f>
        <v>1619</v>
      </c>
      <c r="DA83" s="129">
        <f t="shared" si="363"/>
        <v>1522</v>
      </c>
      <c r="DB83" s="129">
        <f t="shared" si="363"/>
        <v>1543</v>
      </c>
      <c r="DC83" s="129">
        <f t="shared" si="363"/>
        <v>1582</v>
      </c>
      <c r="DD83" s="839">
        <f>SUM(CZ83:DC83)</f>
        <v>6266</v>
      </c>
      <c r="DE83" s="129">
        <f t="shared" ref="DE83:DG83" si="364">DE10</f>
        <v>1625</v>
      </c>
      <c r="DF83" s="129">
        <f t="shared" si="364"/>
        <v>1675</v>
      </c>
      <c r="DG83" s="129">
        <f t="shared" si="364"/>
        <v>1690</v>
      </c>
      <c r="DH83" s="129">
        <f>(DD83*(1-3/16)-DI33/6)/4</f>
        <v>1763.53125</v>
      </c>
      <c r="DI83" s="839">
        <f>SUM(DE83:DH83)</f>
        <v>6753.53125</v>
      </c>
      <c r="DJ83" s="129">
        <f t="shared" ref="DJ83:DM83" si="365">($DI$83*(1-3/8)-$DN$33/6)/4</f>
        <v>1687.780924</v>
      </c>
      <c r="DK83" s="129">
        <f t="shared" si="365"/>
        <v>1687.780924</v>
      </c>
      <c r="DL83" s="129">
        <f t="shared" si="365"/>
        <v>1687.780924</v>
      </c>
      <c r="DM83" s="129">
        <f t="shared" si="365"/>
        <v>1687.780924</v>
      </c>
      <c r="DN83" s="839">
        <f>SUM(DJ83:DM83)</f>
        <v>6751.123698</v>
      </c>
      <c r="DO83" s="129">
        <f t="shared" ref="DO83:DR83" si="366">($DN$83*(1-3/8)-$DS$33/6)/4</f>
        <v>1730.404744</v>
      </c>
      <c r="DP83" s="129">
        <f t="shared" si="366"/>
        <v>1730.404744</v>
      </c>
      <c r="DQ83" s="129">
        <f t="shared" si="366"/>
        <v>1730.404744</v>
      </c>
      <c r="DR83" s="129">
        <f t="shared" si="366"/>
        <v>1730.404744</v>
      </c>
      <c r="DS83" s="839">
        <f>SUM(DO83:DR83)</f>
        <v>6921.618978</v>
      </c>
      <c r="DT83" s="129">
        <f t="shared" ref="DT83:DW83" si="367">($DS$83*(1-3/8)-$DX$33/6)/4</f>
        <v>1675.627965</v>
      </c>
      <c r="DU83" s="129">
        <f t="shared" si="367"/>
        <v>1675.627965</v>
      </c>
      <c r="DV83" s="129">
        <f t="shared" si="367"/>
        <v>1675.627965</v>
      </c>
      <c r="DW83" s="129">
        <f t="shared" si="367"/>
        <v>1675.627965</v>
      </c>
      <c r="DX83" s="839">
        <f>SUM(DT83:DW83)</f>
        <v>6702.511861</v>
      </c>
      <c r="DY83" s="129">
        <f t="shared" ref="DY83:EB83" si="368">($DX$83*(1-3/8)-$EC$33/6)/4</f>
        <v>1827.809145</v>
      </c>
      <c r="DZ83" s="129">
        <f t="shared" si="368"/>
        <v>1827.809145</v>
      </c>
      <c r="EA83" s="129">
        <f t="shared" si="368"/>
        <v>1827.809145</v>
      </c>
      <c r="EB83" s="129">
        <f t="shared" si="368"/>
        <v>1827.809145</v>
      </c>
      <c r="EC83" s="839">
        <f>SUM(DY83:EB83)</f>
        <v>7311.23658</v>
      </c>
      <c r="ED83" s="129">
        <f t="shared" ref="ED83:EG83" si="369">($EC$83*(1-3/8)-$EH$33/6)/4</f>
        <v>2177.547382</v>
      </c>
      <c r="EE83" s="129">
        <f t="shared" si="369"/>
        <v>2177.547382</v>
      </c>
      <c r="EF83" s="129">
        <f t="shared" si="369"/>
        <v>2177.547382</v>
      </c>
      <c r="EG83" s="129">
        <f t="shared" si="369"/>
        <v>2177.547382</v>
      </c>
      <c r="EH83" s="839">
        <f>SUM(ED83:EG83)</f>
        <v>8710.189529</v>
      </c>
      <c r="EI83" s="134">
        <f t="shared" ref="EI83:EL83" si="370">($EH$83*(1-3/8)-$EM$33/6)/4</f>
        <v>2277.633781</v>
      </c>
      <c r="EJ83" s="128">
        <f t="shared" si="370"/>
        <v>2277.633781</v>
      </c>
      <c r="EK83" s="128">
        <f t="shared" si="370"/>
        <v>2277.633781</v>
      </c>
      <c r="EL83" s="128">
        <f t="shared" si="370"/>
        <v>2277.633781</v>
      </c>
      <c r="EM83" s="839">
        <f>SUM(EI83:EL83)</f>
        <v>9110.535122</v>
      </c>
      <c r="EN83" s="128">
        <f t="shared" ref="EN83:EQ83" si="371">($EM$83*(1-3/8)-$ER$33/6)/4</f>
        <v>2548.521113</v>
      </c>
      <c r="EO83" s="128">
        <f t="shared" si="371"/>
        <v>2548.521113</v>
      </c>
      <c r="EP83" s="128">
        <f t="shared" si="371"/>
        <v>2548.521113</v>
      </c>
      <c r="EQ83" s="128">
        <f t="shared" si="371"/>
        <v>2548.521113</v>
      </c>
      <c r="ER83" s="839">
        <f>SUM(EN83:EQ83)</f>
        <v>10194.08445</v>
      </c>
      <c r="ES83" s="128">
        <f t="shared" ref="ES83:EV83" si="372">($EM$83*(1-3/8)-$ER$33/6)/4</f>
        <v>2548.521113</v>
      </c>
      <c r="ET83" s="128">
        <f t="shared" si="372"/>
        <v>2548.521113</v>
      </c>
      <c r="EU83" s="128">
        <f t="shared" si="372"/>
        <v>2548.521113</v>
      </c>
      <c r="EV83" s="128">
        <f t="shared" si="372"/>
        <v>2548.521113</v>
      </c>
      <c r="EW83" s="839">
        <f>SUM(ES83:EV83)</f>
        <v>10194.08445</v>
      </c>
      <c r="EX83" s="128">
        <f t="shared" ref="EX83:FA83" si="373">($EM$83*(1-3/8)-$ER$33/6)/4</f>
        <v>2548.521113</v>
      </c>
      <c r="EY83" s="128">
        <f t="shared" si="373"/>
        <v>2548.521113</v>
      </c>
      <c r="EZ83" s="128">
        <f t="shared" si="373"/>
        <v>2548.521113</v>
      </c>
      <c r="FA83" s="128">
        <f t="shared" si="373"/>
        <v>2548.521113</v>
      </c>
      <c r="FB83" s="839">
        <f>SUM(EX83:FA83)</f>
        <v>10194.08445</v>
      </c>
      <c r="FC83" s="128">
        <f t="shared" ref="FC83:FF83" si="374">($EM$83*(1-3/8)-$ER$33/6)/4</f>
        <v>2548.521113</v>
      </c>
      <c r="FD83" s="128">
        <f t="shared" si="374"/>
        <v>2548.521113</v>
      </c>
      <c r="FE83" s="128">
        <f t="shared" si="374"/>
        <v>2548.521113</v>
      </c>
      <c r="FF83" s="128">
        <f t="shared" si="374"/>
        <v>2548.521113</v>
      </c>
      <c r="FG83" s="839">
        <f>SUM(FC83:FF83)</f>
        <v>10194.08445</v>
      </c>
    </row>
    <row r="84" ht="12.75" customHeight="1">
      <c r="A84" s="128"/>
      <c r="B84" s="179" t="s">
        <v>621</v>
      </c>
      <c r="C84" s="179"/>
      <c r="D84" s="179"/>
      <c r="E84" s="179"/>
      <c r="F84" s="179"/>
      <c r="G84" s="179"/>
      <c r="H84" s="179"/>
      <c r="I84" s="179"/>
      <c r="J84" s="179"/>
      <c r="K84" s="179"/>
      <c r="L84" s="179"/>
      <c r="M84" s="179"/>
      <c r="N84" s="179"/>
      <c r="O84" s="179"/>
      <c r="P84" s="179"/>
      <c r="Q84" s="179"/>
      <c r="R84" s="57"/>
      <c r="S84" s="179"/>
      <c r="T84" s="179"/>
      <c r="U84" s="179"/>
      <c r="V84" s="179"/>
      <c r="W84" s="785"/>
      <c r="X84" s="128"/>
      <c r="Y84" s="128"/>
      <c r="Z84" s="128"/>
      <c r="AA84" s="128"/>
      <c r="AB84" s="837"/>
      <c r="AC84" s="128"/>
      <c r="AD84" s="128"/>
      <c r="AE84" s="128"/>
      <c r="AF84" s="128"/>
      <c r="AG84" s="837"/>
      <c r="AH84" s="128"/>
      <c r="AI84" s="128"/>
      <c r="AJ84" s="128"/>
      <c r="AK84" s="128"/>
      <c r="AL84" s="837"/>
      <c r="AM84" s="128"/>
      <c r="AN84" s="128"/>
      <c r="AO84" s="128"/>
      <c r="AP84" s="128"/>
      <c r="AQ84" s="837"/>
      <c r="AR84" s="128"/>
      <c r="AS84" s="128"/>
      <c r="AT84" s="128"/>
      <c r="AU84" s="128"/>
      <c r="AV84" s="837"/>
      <c r="AW84" s="128"/>
      <c r="AX84" s="128"/>
      <c r="AY84" s="128"/>
      <c r="AZ84" s="128"/>
      <c r="BA84" s="837"/>
      <c r="BB84" s="128"/>
      <c r="BC84" s="128"/>
      <c r="BD84" s="128"/>
      <c r="BE84" s="128"/>
      <c r="BF84" s="837"/>
      <c r="BG84" s="128"/>
      <c r="BH84" s="128"/>
      <c r="BI84" s="128"/>
      <c r="BJ84" s="128"/>
      <c r="BK84" s="837"/>
      <c r="BL84" s="128"/>
      <c r="BM84" s="128"/>
      <c r="BN84" s="128"/>
      <c r="BO84" s="128"/>
      <c r="BP84" s="837"/>
      <c r="BQ84" s="128"/>
      <c r="BR84" s="128"/>
      <c r="BS84" s="128"/>
      <c r="BT84" s="128"/>
      <c r="BU84" s="837"/>
      <c r="BV84" s="128"/>
      <c r="BW84" s="128"/>
      <c r="BX84" s="128"/>
      <c r="BY84" s="128"/>
      <c r="BZ84" s="837"/>
      <c r="CA84" s="128"/>
      <c r="CB84" s="128"/>
      <c r="CC84" s="128"/>
      <c r="CD84" s="128"/>
      <c r="CE84" s="837"/>
      <c r="CF84" s="128"/>
      <c r="CG84" s="128"/>
      <c r="CH84" s="128"/>
      <c r="CI84" s="128"/>
      <c r="CJ84" s="837"/>
      <c r="CK84" s="128"/>
      <c r="CL84" s="128"/>
      <c r="CM84" s="128"/>
      <c r="CN84" s="128"/>
      <c r="CO84" s="837"/>
      <c r="CP84" s="128"/>
      <c r="CQ84" s="128"/>
      <c r="CR84" s="128"/>
      <c r="CS84" s="128"/>
      <c r="CT84" s="836"/>
      <c r="CU84" s="128"/>
      <c r="CV84" s="128"/>
      <c r="CW84" s="128"/>
      <c r="CX84" s="128"/>
      <c r="CY84" s="836"/>
      <c r="CZ84" s="129"/>
      <c r="DA84" s="128"/>
      <c r="DB84" s="129"/>
      <c r="DC84" s="128"/>
      <c r="DD84" s="836"/>
      <c r="DE84" s="129"/>
      <c r="DF84" s="128"/>
      <c r="DG84" s="129"/>
      <c r="DH84" s="128"/>
      <c r="DI84" s="836"/>
      <c r="DJ84" s="129"/>
      <c r="DK84" s="129"/>
      <c r="DL84" s="129"/>
      <c r="DM84" s="128"/>
      <c r="DN84" s="836"/>
      <c r="DO84" s="128"/>
      <c r="DP84" s="128"/>
      <c r="DQ84" s="129"/>
      <c r="DR84" s="129"/>
      <c r="DS84" s="836"/>
      <c r="DT84" s="129"/>
      <c r="DU84" s="129"/>
      <c r="DV84" s="129"/>
      <c r="DW84" s="129"/>
      <c r="DX84" s="836"/>
      <c r="DY84" s="129"/>
      <c r="DZ84" s="129"/>
      <c r="EA84" s="129"/>
      <c r="EB84" s="129"/>
      <c r="EC84" s="836"/>
      <c r="ED84" s="129"/>
      <c r="EE84" s="129"/>
      <c r="EF84" s="129"/>
      <c r="EG84" s="129"/>
      <c r="EH84" s="836"/>
      <c r="EI84" s="134"/>
      <c r="EJ84" s="128"/>
      <c r="EK84" s="128"/>
      <c r="EL84" s="128"/>
      <c r="EM84" s="836"/>
      <c r="EN84" s="128"/>
      <c r="EO84" s="128"/>
      <c r="EP84" s="128"/>
      <c r="EQ84" s="128"/>
      <c r="ER84" s="836"/>
      <c r="ES84" s="128"/>
      <c r="ET84" s="128"/>
      <c r="EU84" s="128"/>
      <c r="EV84" s="128"/>
      <c r="EW84" s="836"/>
      <c r="EX84" s="128"/>
      <c r="EY84" s="128"/>
      <c r="EZ84" s="128"/>
      <c r="FA84" s="128"/>
      <c r="FB84" s="836"/>
      <c r="FC84" s="128"/>
      <c r="FD84" s="128"/>
      <c r="FE84" s="128"/>
      <c r="FF84" s="128"/>
      <c r="FG84" s="836"/>
    </row>
    <row r="85" ht="12.75" customHeight="1">
      <c r="A85" s="128"/>
      <c r="B85" s="179"/>
      <c r="C85" s="179"/>
      <c r="D85" s="179"/>
      <c r="E85" s="179"/>
      <c r="F85" s="179"/>
      <c r="G85" s="179"/>
      <c r="H85" s="179"/>
      <c r="I85" s="179"/>
      <c r="J85" s="179"/>
      <c r="K85" s="179"/>
      <c r="L85" s="179"/>
      <c r="M85" s="179"/>
      <c r="N85" s="179"/>
      <c r="O85" s="179"/>
      <c r="P85" s="179"/>
      <c r="Q85" s="179"/>
      <c r="R85" s="57"/>
      <c r="S85" s="179"/>
      <c r="T85" s="179"/>
      <c r="U85" s="179"/>
      <c r="V85" s="179"/>
      <c r="W85" s="785"/>
      <c r="X85" s="128"/>
      <c r="Y85" s="128"/>
      <c r="Z85" s="128"/>
      <c r="AA85" s="128"/>
      <c r="AB85" s="837"/>
      <c r="AC85" s="128"/>
      <c r="AD85" s="128"/>
      <c r="AE85" s="128"/>
      <c r="AF85" s="128"/>
      <c r="AG85" s="837"/>
      <c r="AH85" s="128"/>
      <c r="AI85" s="128"/>
      <c r="AJ85" s="128"/>
      <c r="AK85" s="128"/>
      <c r="AL85" s="837"/>
      <c r="AM85" s="128"/>
      <c r="AN85" s="128"/>
      <c r="AO85" s="128"/>
      <c r="AP85" s="128"/>
      <c r="AQ85" s="837"/>
      <c r="AR85" s="128"/>
      <c r="AS85" s="128"/>
      <c r="AT85" s="128"/>
      <c r="AU85" s="128"/>
      <c r="AV85" s="837"/>
      <c r="AW85" s="128"/>
      <c r="AX85" s="128"/>
      <c r="AY85" s="128"/>
      <c r="AZ85" s="128"/>
      <c r="BA85" s="837"/>
      <c r="BB85" s="128"/>
      <c r="BC85" s="128"/>
      <c r="BD85" s="128"/>
      <c r="BE85" s="128"/>
      <c r="BF85" s="837"/>
      <c r="BG85" s="128"/>
      <c r="BH85" s="128"/>
      <c r="BI85" s="128"/>
      <c r="BJ85" s="128"/>
      <c r="BK85" s="837"/>
      <c r="BL85" s="128"/>
      <c r="BM85" s="128"/>
      <c r="BN85" s="128"/>
      <c r="BO85" s="128"/>
      <c r="BP85" s="837"/>
      <c r="BQ85" s="128"/>
      <c r="BR85" s="128"/>
      <c r="BS85" s="128"/>
      <c r="BT85" s="128"/>
      <c r="BU85" s="837"/>
      <c r="BV85" s="128"/>
      <c r="BW85" s="128"/>
      <c r="BX85" s="128"/>
      <c r="BY85" s="128"/>
      <c r="BZ85" s="837"/>
      <c r="CA85" s="128"/>
      <c r="CB85" s="128"/>
      <c r="CC85" s="128"/>
      <c r="CD85" s="128"/>
      <c r="CE85" s="837"/>
      <c r="CF85" s="128"/>
      <c r="CG85" s="128"/>
      <c r="CH85" s="128"/>
      <c r="CI85" s="128"/>
      <c r="CJ85" s="837"/>
      <c r="CK85" s="128"/>
      <c r="CL85" s="128"/>
      <c r="CM85" s="128"/>
      <c r="CN85" s="128"/>
      <c r="CO85" s="837"/>
      <c r="CP85" s="128"/>
      <c r="CQ85" s="128"/>
      <c r="CR85" s="128"/>
      <c r="CS85" s="128"/>
      <c r="CT85" s="836"/>
      <c r="CU85" s="128"/>
      <c r="CV85" s="128"/>
      <c r="CW85" s="128"/>
      <c r="CX85" s="128"/>
      <c r="CY85" s="836"/>
      <c r="CZ85" s="129"/>
      <c r="DA85" s="128"/>
      <c r="DB85" s="129"/>
      <c r="DC85" s="128"/>
      <c r="DD85" s="836"/>
      <c r="DE85" s="129"/>
      <c r="DF85" s="128"/>
      <c r="DG85" s="129"/>
      <c r="DH85" s="128"/>
      <c r="DI85" s="836"/>
      <c r="DJ85" s="129"/>
      <c r="DK85" s="129"/>
      <c r="DL85" s="129"/>
      <c r="DM85" s="128"/>
      <c r="DN85" s="836"/>
      <c r="DO85" s="128"/>
      <c r="DP85" s="128"/>
      <c r="DQ85" s="129"/>
      <c r="DR85" s="129"/>
      <c r="DS85" s="836"/>
      <c r="DT85" s="129"/>
      <c r="DU85" s="129"/>
      <c r="DV85" s="129"/>
      <c r="DW85" s="129"/>
      <c r="DX85" s="836"/>
      <c r="DY85" s="129"/>
      <c r="DZ85" s="129"/>
      <c r="EA85" s="129"/>
      <c r="EB85" s="129"/>
      <c r="EC85" s="836"/>
      <c r="ED85" s="129"/>
      <c r="EE85" s="129"/>
      <c r="EF85" s="129"/>
      <c r="EG85" s="129"/>
      <c r="EH85" s="836"/>
      <c r="EI85" s="134"/>
      <c r="EJ85" s="128"/>
      <c r="EK85" s="128"/>
      <c r="EL85" s="128"/>
      <c r="EM85" s="836"/>
      <c r="EN85" s="128"/>
      <c r="EO85" s="128"/>
      <c r="EP85" s="128"/>
      <c r="EQ85" s="128"/>
      <c r="ER85" s="836"/>
      <c r="ES85" s="128"/>
      <c r="ET85" s="128"/>
      <c r="EU85" s="128"/>
      <c r="EV85" s="128"/>
      <c r="EW85" s="836"/>
      <c r="EX85" s="128"/>
      <c r="EY85" s="128"/>
      <c r="EZ85" s="128"/>
      <c r="FA85" s="128"/>
      <c r="FB85" s="836"/>
      <c r="FC85" s="128"/>
      <c r="FD85" s="128"/>
      <c r="FE85" s="128"/>
      <c r="FF85" s="128"/>
      <c r="FG85" s="836"/>
    </row>
    <row r="86" ht="12.75" customHeight="1">
      <c r="A86" s="128"/>
      <c r="B86" s="8" t="s">
        <v>622</v>
      </c>
      <c r="C86" s="179"/>
      <c r="D86" s="179"/>
      <c r="E86" s="179"/>
      <c r="F86" s="179"/>
      <c r="G86" s="179"/>
      <c r="H86" s="179"/>
      <c r="I86" s="179"/>
      <c r="J86" s="179"/>
      <c r="K86" s="179"/>
      <c r="L86" s="179"/>
      <c r="M86" s="179"/>
      <c r="N86" s="179"/>
      <c r="O86" s="179"/>
      <c r="P86" s="179"/>
      <c r="Q86" s="179"/>
      <c r="R86" s="57"/>
      <c r="S86" s="179"/>
      <c r="T86" s="179"/>
      <c r="U86" s="179"/>
      <c r="V86" s="179"/>
      <c r="W86" s="785"/>
      <c r="X86" s="128"/>
      <c r="Y86" s="128"/>
      <c r="Z86" s="128"/>
      <c r="AA86" s="128"/>
      <c r="AB86" s="837"/>
      <c r="AC86" s="128"/>
      <c r="AD86" s="128"/>
      <c r="AE86" s="128"/>
      <c r="AF86" s="128"/>
      <c r="AG86" s="837"/>
      <c r="AH86" s="128"/>
      <c r="AI86" s="128"/>
      <c r="AJ86" s="128"/>
      <c r="AK86" s="128"/>
      <c r="AL86" s="837"/>
      <c r="AM86" s="128"/>
      <c r="AN86" s="128"/>
      <c r="AO86" s="128"/>
      <c r="AP86" s="128"/>
      <c r="AQ86" s="837"/>
      <c r="AR86" s="128"/>
      <c r="AS86" s="128"/>
      <c r="AT86" s="128"/>
      <c r="AU86" s="128"/>
      <c r="AV86" s="837"/>
      <c r="AW86" s="128"/>
      <c r="AX86" s="128"/>
      <c r="AY86" s="128"/>
      <c r="AZ86" s="128"/>
      <c r="BA86" s="837"/>
      <c r="BB86" s="128"/>
      <c r="BC86" s="128"/>
      <c r="BD86" s="128"/>
      <c r="BE86" s="128"/>
      <c r="BF86" s="837"/>
      <c r="BG86" s="128"/>
      <c r="BH86" s="128"/>
      <c r="BI86" s="128"/>
      <c r="BJ86" s="128"/>
      <c r="BK86" s="837"/>
      <c r="BL86" s="128"/>
      <c r="BM86" s="128"/>
      <c r="BN86" s="128"/>
      <c r="BO86" s="128"/>
      <c r="BP86" s="837"/>
      <c r="BQ86" s="128"/>
      <c r="BR86" s="128"/>
      <c r="BS86" s="128"/>
      <c r="BT86" s="128"/>
      <c r="BU86" s="837"/>
      <c r="BV86" s="128"/>
      <c r="BW86" s="128"/>
      <c r="BX86" s="128"/>
      <c r="BY86" s="128"/>
      <c r="BZ86" s="837"/>
      <c r="CA86" s="128"/>
      <c r="CB86" s="128"/>
      <c r="CC86" s="128"/>
      <c r="CD86" s="128"/>
      <c r="CE86" s="837"/>
      <c r="CF86" s="128"/>
      <c r="CG86" s="128"/>
      <c r="CH86" s="128"/>
      <c r="CI86" s="128"/>
      <c r="CJ86" s="837"/>
      <c r="CK86" s="128"/>
      <c r="CL86" s="128"/>
      <c r="CM86" s="128"/>
      <c r="CN86" s="128"/>
      <c r="CO86" s="837"/>
      <c r="CP86" s="128"/>
      <c r="CQ86" s="128"/>
      <c r="CR86" s="128"/>
      <c r="CS86" s="128"/>
      <c r="CT86" s="836"/>
      <c r="CU86" s="128"/>
      <c r="CV86" s="128"/>
      <c r="CW86" s="128"/>
      <c r="CX86" s="128"/>
      <c r="CY86" s="836"/>
      <c r="CZ86" s="129"/>
      <c r="DA86" s="128"/>
      <c r="DB86" s="129"/>
      <c r="DC86" s="128"/>
      <c r="DD86" s="836"/>
      <c r="DE86" s="129"/>
      <c r="DF86" s="128"/>
      <c r="DG86" s="129"/>
      <c r="DH86" s="128"/>
      <c r="DI86" s="836"/>
      <c r="DJ86" s="129"/>
      <c r="DK86" s="129"/>
      <c r="DL86" s="129"/>
      <c r="DM86" s="128"/>
      <c r="DN86" s="836"/>
      <c r="DO86" s="128"/>
      <c r="DP86" s="128"/>
      <c r="DQ86" s="129"/>
      <c r="DR86" s="129"/>
      <c r="DS86" s="836"/>
      <c r="DT86" s="129"/>
      <c r="DU86" s="129"/>
      <c r="DV86" s="129"/>
      <c r="DW86" s="129"/>
      <c r="DX86" s="836"/>
      <c r="DY86" s="129"/>
      <c r="DZ86" s="129"/>
      <c r="EA86" s="129"/>
      <c r="EB86" s="129"/>
      <c r="EC86" s="836"/>
      <c r="ED86" s="129"/>
      <c r="EE86" s="129"/>
      <c r="EF86" s="129"/>
      <c r="EG86" s="129"/>
      <c r="EH86" s="836"/>
      <c r="EI86" s="134"/>
      <c r="EJ86" s="128"/>
      <c r="EK86" s="128"/>
      <c r="EL86" s="128"/>
      <c r="EM86" s="836"/>
      <c r="EN86" s="128"/>
      <c r="EO86" s="128"/>
      <c r="EP86" s="128"/>
      <c r="EQ86" s="128"/>
      <c r="ER86" s="836"/>
      <c r="ES86" s="128"/>
      <c r="ET86" s="128"/>
      <c r="EU86" s="128"/>
      <c r="EV86" s="128"/>
      <c r="EW86" s="836"/>
      <c r="EX86" s="128"/>
      <c r="EY86" s="128"/>
      <c r="EZ86" s="128"/>
      <c r="FA86" s="128"/>
      <c r="FB86" s="836"/>
      <c r="FC86" s="128"/>
      <c r="FD86" s="128"/>
      <c r="FE86" s="128"/>
      <c r="FF86" s="128"/>
      <c r="FG86" s="836"/>
    </row>
    <row r="87" ht="12.75" customHeight="1">
      <c r="A87" s="128"/>
      <c r="B87" s="179" t="s">
        <v>623</v>
      </c>
      <c r="C87" s="179"/>
      <c r="D87" s="179"/>
      <c r="E87" s="179"/>
      <c r="F87" s="179"/>
      <c r="G87" s="179"/>
      <c r="H87" s="179"/>
      <c r="I87" s="179"/>
      <c r="J87" s="179"/>
      <c r="K87" s="179"/>
      <c r="L87" s="179"/>
      <c r="M87" s="179"/>
      <c r="N87" s="179"/>
      <c r="O87" s="179"/>
      <c r="P87" s="179"/>
      <c r="Q87" s="179"/>
      <c r="R87" s="57"/>
      <c r="S87" s="179"/>
      <c r="T87" s="179"/>
      <c r="U87" s="179"/>
      <c r="V87" s="179"/>
      <c r="W87" s="785"/>
      <c r="X87" s="128"/>
      <c r="Y87" s="128"/>
      <c r="Z87" s="128"/>
      <c r="AA87" s="128"/>
      <c r="AB87" s="837"/>
      <c r="AC87" s="128"/>
      <c r="AD87" s="128"/>
      <c r="AE87" s="128"/>
      <c r="AF87" s="128"/>
      <c r="AG87" s="837"/>
      <c r="AH87" s="128"/>
      <c r="AI87" s="128"/>
      <c r="AJ87" s="128"/>
      <c r="AK87" s="128"/>
      <c r="AL87" s="837"/>
      <c r="AM87" s="128"/>
      <c r="AN87" s="128"/>
      <c r="AO87" s="128"/>
      <c r="AP87" s="128"/>
      <c r="AQ87" s="837"/>
      <c r="AR87" s="128"/>
      <c r="AS87" s="128"/>
      <c r="AT87" s="128"/>
      <c r="AU87" s="128"/>
      <c r="AV87" s="837"/>
      <c r="AW87" s="128"/>
      <c r="AX87" s="128"/>
      <c r="AY87" s="128"/>
      <c r="AZ87" s="128"/>
      <c r="BA87" s="837"/>
      <c r="BB87" s="128"/>
      <c r="BC87" s="128"/>
      <c r="BD87" s="128"/>
      <c r="BE87" s="128"/>
      <c r="BF87" s="837"/>
      <c r="BG87" s="128"/>
      <c r="BH87" s="128"/>
      <c r="BI87" s="128"/>
      <c r="BJ87" s="128"/>
      <c r="BK87" s="837"/>
      <c r="BL87" s="128"/>
      <c r="BM87" s="128"/>
      <c r="BN87" s="128"/>
      <c r="BO87" s="128"/>
      <c r="BP87" s="837"/>
      <c r="BQ87" s="128"/>
      <c r="BR87" s="128"/>
      <c r="BS87" s="128"/>
      <c r="BT87" s="128"/>
      <c r="BU87" s="837"/>
      <c r="BV87" s="128"/>
      <c r="BW87" s="128"/>
      <c r="BX87" s="128"/>
      <c r="BY87" s="128"/>
      <c r="BZ87" s="837"/>
      <c r="CA87" s="128"/>
      <c r="CB87" s="128"/>
      <c r="CC87" s="128"/>
      <c r="CD87" s="128"/>
      <c r="CE87" s="837"/>
      <c r="CF87" s="128"/>
      <c r="CG87" s="128"/>
      <c r="CH87" s="128"/>
      <c r="CI87" s="128"/>
      <c r="CJ87" s="837"/>
      <c r="CK87" s="128"/>
      <c r="CL87" s="128"/>
      <c r="CM87" s="128"/>
      <c r="CN87" s="128"/>
      <c r="CO87" s="837"/>
      <c r="CP87" s="128"/>
      <c r="CQ87" s="128"/>
      <c r="CR87" s="128"/>
      <c r="CS87" s="128"/>
      <c r="CT87" s="836"/>
      <c r="CU87" s="128"/>
      <c r="CV87" s="128"/>
      <c r="CW87" s="128"/>
      <c r="CX87" s="128"/>
      <c r="CY87" s="836"/>
      <c r="CZ87" s="129"/>
      <c r="DA87" s="128"/>
      <c r="DB87" s="129"/>
      <c r="DC87" s="128"/>
      <c r="DD87" s="836"/>
      <c r="DE87" s="129"/>
      <c r="DF87" s="128"/>
      <c r="DG87" s="129"/>
      <c r="DH87" s="128"/>
      <c r="DI87" s="836"/>
      <c r="DJ87" s="129"/>
      <c r="DK87" s="129"/>
      <c r="DL87" s="129"/>
      <c r="DM87" s="128"/>
      <c r="DN87" s="836"/>
      <c r="DO87" s="128"/>
      <c r="DP87" s="128"/>
      <c r="DQ87" s="129"/>
      <c r="DR87" s="129"/>
      <c r="DS87" s="836"/>
      <c r="DT87" s="129"/>
      <c r="DU87" s="129"/>
      <c r="DV87" s="129"/>
      <c r="DW87" s="129"/>
      <c r="DX87" s="836"/>
      <c r="DY87" s="129">
        <f t="shared" ref="DY87:EB87" si="375">DY27</f>
        <v>5548</v>
      </c>
      <c r="DZ87" s="129">
        <f t="shared" si="375"/>
        <v>8746</v>
      </c>
      <c r="EA87" s="129">
        <f t="shared" si="375"/>
        <v>9900</v>
      </c>
      <c r="EB87" s="129">
        <f t="shared" si="375"/>
        <v>5797</v>
      </c>
      <c r="EC87" s="839">
        <f t="shared" ref="EC87:EC93" si="382">SUM(DY87:EB87)</f>
        <v>29991</v>
      </c>
      <c r="ED87" s="129">
        <f t="shared" ref="ED87:EG87" si="376">ED27</f>
        <v>5891</v>
      </c>
      <c r="EE87" s="129">
        <f t="shared" si="376"/>
        <v>809</v>
      </c>
      <c r="EF87" s="129">
        <f t="shared" si="376"/>
        <v>1030</v>
      </c>
      <c r="EG87" s="129">
        <f t="shared" si="376"/>
        <v>7703</v>
      </c>
      <c r="EH87" s="839">
        <f t="shared" ref="EH87:EH93" si="383">SUM(ED87:EG87)</f>
        <v>15433</v>
      </c>
      <c r="EI87" s="134" t="str">
        <f t="shared" ref="EI87:EL87" si="377">EI27</f>
        <v>#ERROR!</v>
      </c>
      <c r="EJ87" s="128" t="str">
        <f t="shared" si="377"/>
        <v>#ERROR!</v>
      </c>
      <c r="EK87" s="128" t="str">
        <f t="shared" si="377"/>
        <v>#ERROR!</v>
      </c>
      <c r="EL87" s="128" t="str">
        <f t="shared" si="377"/>
        <v>#ERROR!</v>
      </c>
      <c r="EM87" s="839" t="str">
        <f t="shared" ref="EM87:EM93" si="384">SUM(EI87:EL87)</f>
        <v>#ERROR!</v>
      </c>
      <c r="EN87" s="128" t="str">
        <f t="shared" ref="EN87:EQ87" si="378">EN27</f>
        <v>#ERROR!</v>
      </c>
      <c r="EO87" s="128" t="str">
        <f t="shared" si="378"/>
        <v>#ERROR!</v>
      </c>
      <c r="EP87" s="128" t="str">
        <f t="shared" si="378"/>
        <v>#ERROR!</v>
      </c>
      <c r="EQ87" s="128" t="str">
        <f t="shared" si="378"/>
        <v>#ERROR!</v>
      </c>
      <c r="ER87" s="839" t="str">
        <f t="shared" ref="ER87:ER93" si="385">SUM(EN87:EQ87)</f>
        <v>#ERROR!</v>
      </c>
      <c r="ES87" s="128" t="str">
        <f t="shared" ref="ES87:EV87" si="379">ES27</f>
        <v>#ERROR!</v>
      </c>
      <c r="ET87" s="128" t="str">
        <f t="shared" si="379"/>
        <v>#ERROR!</v>
      </c>
      <c r="EU87" s="128" t="str">
        <f t="shared" si="379"/>
        <v>#ERROR!</v>
      </c>
      <c r="EV87" s="128" t="str">
        <f t="shared" si="379"/>
        <v>#ERROR!</v>
      </c>
      <c r="EW87" s="839" t="str">
        <f t="shared" ref="EW87:EW93" si="386">SUM(ES87:EV87)</f>
        <v>#ERROR!</v>
      </c>
      <c r="EX87" s="128" t="str">
        <f t="shared" ref="EX87:FA87" si="380">EX27</f>
        <v>#ERROR!</v>
      </c>
      <c r="EY87" s="128" t="str">
        <f t="shared" si="380"/>
        <v>#ERROR!</v>
      </c>
      <c r="EZ87" s="128" t="str">
        <f t="shared" si="380"/>
        <v>#ERROR!</v>
      </c>
      <c r="FA87" s="128" t="str">
        <f t="shared" si="380"/>
        <v>#ERROR!</v>
      </c>
      <c r="FB87" s="839" t="str">
        <f t="shared" ref="FB87:FB93" si="387">SUM(EX87:FA87)</f>
        <v>#ERROR!</v>
      </c>
      <c r="FC87" s="128" t="str">
        <f t="shared" ref="FC87:FF87" si="381">FC27</f>
        <v>#ERROR!</v>
      </c>
      <c r="FD87" s="128" t="str">
        <f t="shared" si="381"/>
        <v>#ERROR!</v>
      </c>
      <c r="FE87" s="128" t="str">
        <f t="shared" si="381"/>
        <v>#ERROR!</v>
      </c>
      <c r="FF87" s="128" t="str">
        <f t="shared" si="381"/>
        <v>#ERROR!</v>
      </c>
      <c r="FG87" s="839" t="str">
        <f t="shared" ref="FG87:FG93" si="388">SUM(FC87:FF87)</f>
        <v>#ERROR!</v>
      </c>
    </row>
    <row r="88" ht="12.75" customHeight="1">
      <c r="A88" s="128"/>
      <c r="B88" s="191" t="s">
        <v>624</v>
      </c>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c r="CR88" s="128"/>
      <c r="CS88" s="128"/>
      <c r="CT88" s="128"/>
      <c r="CU88" s="128"/>
      <c r="CV88" s="128"/>
      <c r="CW88" s="128"/>
      <c r="CX88" s="128"/>
      <c r="CY88" s="128"/>
      <c r="CZ88" s="128"/>
      <c r="DA88" s="128"/>
      <c r="DB88" s="128"/>
      <c r="DC88" s="128"/>
      <c r="DD88" s="128"/>
      <c r="DE88" s="128"/>
      <c r="DF88" s="128"/>
      <c r="DG88" s="128"/>
      <c r="DH88" s="128"/>
      <c r="DI88" s="128"/>
      <c r="DJ88" s="128"/>
      <c r="DK88" s="128"/>
      <c r="DL88" s="128"/>
      <c r="DM88" s="128"/>
      <c r="DN88" s="128"/>
      <c r="DO88" s="128"/>
      <c r="DP88" s="128"/>
      <c r="DQ88" s="128"/>
      <c r="DR88" s="128"/>
      <c r="DS88" s="128"/>
      <c r="DT88" s="128"/>
      <c r="DU88" s="128"/>
      <c r="DV88" s="128"/>
      <c r="DW88" s="128"/>
      <c r="DX88" s="128"/>
      <c r="DY88" s="128">
        <f>IS!DY64-IS!DY63</f>
        <v>2334</v>
      </c>
      <c r="DZ88" s="128">
        <f>IS!DZ64-IS!DZ63</f>
        <v>153</v>
      </c>
      <c r="EA88" s="128">
        <f>IS!EA64-IS!EA63</f>
        <v>174</v>
      </c>
      <c r="EB88" s="129">
        <f>IS!EB64-IS!EB63</f>
        <v>-172</v>
      </c>
      <c r="EC88" s="839">
        <f t="shared" si="382"/>
        <v>2489</v>
      </c>
      <c r="ED88" s="128">
        <f>IS!ED64-IS!ED63</f>
        <v>-4527</v>
      </c>
      <c r="EE88" s="128">
        <f>IS!EE64-IS!EE63</f>
        <v>1635</v>
      </c>
      <c r="EF88" s="128">
        <f>IS!EF64-IS!EF63</f>
        <v>1413</v>
      </c>
      <c r="EG88" s="128">
        <f>IS!EG64-IS!EG63</f>
        <v>1055</v>
      </c>
      <c r="EH88" s="839">
        <f t="shared" si="383"/>
        <v>-424</v>
      </c>
      <c r="EI88" s="134" t="str">
        <f>IS!EI64-IS!EI63</f>
        <v>#ERROR!</v>
      </c>
      <c r="EJ88" s="128" t="str">
        <f>IS!EJ64-IS!EJ63</f>
        <v>#ERROR!</v>
      </c>
      <c r="EK88" s="128" t="str">
        <f>IS!EK64-IS!EK63</f>
        <v>#ERROR!</v>
      </c>
      <c r="EL88" s="128" t="str">
        <f>IS!EL64-IS!EL63</f>
        <v>#ERROR!</v>
      </c>
      <c r="EM88" s="839" t="str">
        <f t="shared" si="384"/>
        <v>#ERROR!</v>
      </c>
      <c r="EN88" s="128" t="str">
        <f>IS!EN64-IS!EN63</f>
        <v>#ERROR!</v>
      </c>
      <c r="EO88" s="128" t="str">
        <f>IS!EO64-IS!EO63</f>
        <v>#ERROR!</v>
      </c>
      <c r="EP88" s="128" t="str">
        <f>IS!EP64-IS!EP63</f>
        <v>#ERROR!</v>
      </c>
      <c r="EQ88" s="128" t="str">
        <f>IS!EQ64-IS!EQ63</f>
        <v>#ERROR!</v>
      </c>
      <c r="ER88" s="839" t="str">
        <f t="shared" si="385"/>
        <v>#ERROR!</v>
      </c>
      <c r="ES88" s="128" t="str">
        <f>IS!ES64-IS!ES63</f>
        <v>#ERROR!</v>
      </c>
      <c r="ET88" s="128" t="str">
        <f>IS!ET64-IS!ET63</f>
        <v>#ERROR!</v>
      </c>
      <c r="EU88" s="128" t="str">
        <f>IS!EU64-IS!EU63</f>
        <v>#ERROR!</v>
      </c>
      <c r="EV88" s="128" t="str">
        <f>IS!EV64-IS!EV63</f>
        <v>#ERROR!</v>
      </c>
      <c r="EW88" s="839" t="str">
        <f t="shared" si="386"/>
        <v>#ERROR!</v>
      </c>
      <c r="EX88" s="128" t="str">
        <f>IS!EX64-IS!EX63</f>
        <v>#ERROR!</v>
      </c>
      <c r="EY88" s="128" t="str">
        <f>IS!EY64-IS!EY63</f>
        <v>#ERROR!</v>
      </c>
      <c r="EZ88" s="128" t="str">
        <f>IS!EZ64-IS!EZ63</f>
        <v>#ERROR!</v>
      </c>
      <c r="FA88" s="128" t="str">
        <f>IS!FA64-IS!FA63</f>
        <v>#ERROR!</v>
      </c>
      <c r="FB88" s="839" t="str">
        <f t="shared" si="387"/>
        <v>#ERROR!</v>
      </c>
      <c r="FC88" s="128" t="str">
        <f>IS!FC64-IS!FC63</f>
        <v>#ERROR!</v>
      </c>
      <c r="FD88" s="128" t="str">
        <f>IS!FD64-IS!FD63</f>
        <v>#ERROR!</v>
      </c>
      <c r="FE88" s="128" t="str">
        <f>IS!FE64-IS!FE63</f>
        <v>#ERROR!</v>
      </c>
      <c r="FF88" s="128" t="str">
        <f>IS!FF64-IS!FF63</f>
        <v>#ERROR!</v>
      </c>
      <c r="FG88" s="839" t="str">
        <f t="shared" si="388"/>
        <v>#ERROR!</v>
      </c>
    </row>
    <row r="89" ht="12.75" customHeight="1">
      <c r="A89" s="155"/>
      <c r="B89" s="892" t="s">
        <v>625</v>
      </c>
      <c r="C89" s="270"/>
      <c r="D89" s="270"/>
      <c r="E89" s="270"/>
      <c r="F89" s="270"/>
      <c r="G89" s="270"/>
      <c r="H89" s="270"/>
      <c r="I89" s="270"/>
      <c r="J89" s="270"/>
      <c r="K89" s="270"/>
      <c r="L89" s="270"/>
      <c r="M89" s="270"/>
      <c r="N89" s="270"/>
      <c r="O89" s="270"/>
      <c r="P89" s="270"/>
      <c r="Q89" s="270"/>
      <c r="R89" s="893"/>
      <c r="S89" s="270"/>
      <c r="T89" s="270"/>
      <c r="U89" s="270"/>
      <c r="V89" s="270"/>
      <c r="W89" s="894"/>
      <c r="X89" s="155"/>
      <c r="Y89" s="155"/>
      <c r="Z89" s="155"/>
      <c r="AA89" s="155"/>
      <c r="AB89" s="895"/>
      <c r="AC89" s="155"/>
      <c r="AD89" s="155"/>
      <c r="AE89" s="155"/>
      <c r="AF89" s="155"/>
      <c r="AG89" s="895"/>
      <c r="AH89" s="155"/>
      <c r="AI89" s="155"/>
      <c r="AJ89" s="155"/>
      <c r="AK89" s="155"/>
      <c r="AL89" s="895"/>
      <c r="AM89" s="155"/>
      <c r="AN89" s="155"/>
      <c r="AO89" s="155"/>
      <c r="AP89" s="155"/>
      <c r="AQ89" s="895"/>
      <c r="AR89" s="155"/>
      <c r="AS89" s="155"/>
      <c r="AT89" s="155"/>
      <c r="AU89" s="155"/>
      <c r="AV89" s="895"/>
      <c r="AW89" s="155"/>
      <c r="AX89" s="155"/>
      <c r="AY89" s="155"/>
      <c r="AZ89" s="155"/>
      <c r="BA89" s="895"/>
      <c r="BB89" s="155"/>
      <c r="BC89" s="155"/>
      <c r="BD89" s="155"/>
      <c r="BE89" s="155"/>
      <c r="BF89" s="895"/>
      <c r="BG89" s="155"/>
      <c r="BH89" s="155"/>
      <c r="BI89" s="155"/>
      <c r="BJ89" s="155"/>
      <c r="BK89" s="895"/>
      <c r="BL89" s="155"/>
      <c r="BM89" s="155"/>
      <c r="BN89" s="155"/>
      <c r="BO89" s="155"/>
      <c r="BP89" s="895"/>
      <c r="BQ89" s="155"/>
      <c r="BR89" s="155"/>
      <c r="BS89" s="155"/>
      <c r="BT89" s="155"/>
      <c r="BU89" s="895"/>
      <c r="BV89" s="155"/>
      <c r="BW89" s="155"/>
      <c r="BX89" s="155"/>
      <c r="BY89" s="155"/>
      <c r="BZ89" s="895"/>
      <c r="CA89" s="155"/>
      <c r="CB89" s="155"/>
      <c r="CC89" s="155"/>
      <c r="CD89" s="155"/>
      <c r="CE89" s="895"/>
      <c r="CF89" s="155"/>
      <c r="CG89" s="155"/>
      <c r="CH89" s="155"/>
      <c r="CI89" s="155"/>
      <c r="CJ89" s="895"/>
      <c r="CK89" s="155"/>
      <c r="CL89" s="155"/>
      <c r="CM89" s="155"/>
      <c r="CN89" s="155"/>
      <c r="CO89" s="895"/>
      <c r="CP89" s="155"/>
      <c r="CQ89" s="155"/>
      <c r="CR89" s="155"/>
      <c r="CS89" s="155"/>
      <c r="CT89" s="896"/>
      <c r="CU89" s="155"/>
      <c r="CV89" s="155"/>
      <c r="CW89" s="155"/>
      <c r="CX89" s="155"/>
      <c r="CY89" s="896"/>
      <c r="CZ89" s="156"/>
      <c r="DA89" s="155"/>
      <c r="DB89" s="156"/>
      <c r="DC89" s="155"/>
      <c r="DD89" s="896"/>
      <c r="DE89" s="156"/>
      <c r="DF89" s="155"/>
      <c r="DG89" s="156"/>
      <c r="DH89" s="155"/>
      <c r="DI89" s="896"/>
      <c r="DJ89" s="156"/>
      <c r="DK89" s="156"/>
      <c r="DL89" s="156"/>
      <c r="DM89" s="155"/>
      <c r="DN89" s="896"/>
      <c r="DO89" s="155"/>
      <c r="DP89" s="155"/>
      <c r="DQ89" s="156"/>
      <c r="DR89" s="156"/>
      <c r="DS89" s="896"/>
      <c r="DT89" s="156"/>
      <c r="DU89" s="156"/>
      <c r="DV89" s="156"/>
      <c r="DW89" s="156"/>
      <c r="DX89" s="896"/>
      <c r="DY89" s="156">
        <v>-250.0</v>
      </c>
      <c r="DZ89" s="156">
        <v>-250.0</v>
      </c>
      <c r="EA89" s="156">
        <v>-250.0</v>
      </c>
      <c r="EB89" s="156">
        <v>-250.0</v>
      </c>
      <c r="EC89" s="897">
        <f t="shared" si="382"/>
        <v>-1000</v>
      </c>
      <c r="ED89" s="156">
        <v>-250.0</v>
      </c>
      <c r="EE89" s="156">
        <v>-250.0</v>
      </c>
      <c r="EF89" s="156">
        <v>-250.0</v>
      </c>
      <c r="EG89" s="156">
        <v>-250.0</v>
      </c>
      <c r="EH89" s="897">
        <f t="shared" si="383"/>
        <v>-1000</v>
      </c>
      <c r="EI89" s="157">
        <v>-250.0</v>
      </c>
      <c r="EJ89" s="155">
        <v>-250.0</v>
      </c>
      <c r="EK89" s="155">
        <v>-250.0</v>
      </c>
      <c r="EL89" s="155">
        <v>-250.0</v>
      </c>
      <c r="EM89" s="897">
        <f t="shared" si="384"/>
        <v>-1000</v>
      </c>
      <c r="EN89" s="155">
        <v>-250.0</v>
      </c>
      <c r="EO89" s="155">
        <v>-250.0</v>
      </c>
      <c r="EP89" s="155">
        <v>-250.0</v>
      </c>
      <c r="EQ89" s="155">
        <v>-250.0</v>
      </c>
      <c r="ER89" s="897">
        <f t="shared" si="385"/>
        <v>-1000</v>
      </c>
      <c r="ES89" s="155">
        <v>-250.0</v>
      </c>
      <c r="ET89" s="155">
        <v>-250.0</v>
      </c>
      <c r="EU89" s="155">
        <v>-250.0</v>
      </c>
      <c r="EV89" s="155">
        <v>-250.0</v>
      </c>
      <c r="EW89" s="897">
        <f t="shared" si="386"/>
        <v>-1000</v>
      </c>
      <c r="EX89" s="155">
        <v>-250.0</v>
      </c>
      <c r="EY89" s="155">
        <v>-250.0</v>
      </c>
      <c r="EZ89" s="155">
        <v>-250.0</v>
      </c>
      <c r="FA89" s="155">
        <v>-250.0</v>
      </c>
      <c r="FB89" s="897">
        <f t="shared" si="387"/>
        <v>-1000</v>
      </c>
      <c r="FC89" s="155">
        <v>-250.0</v>
      </c>
      <c r="FD89" s="155">
        <v>-250.0</v>
      </c>
      <c r="FE89" s="155">
        <v>-250.0</v>
      </c>
      <c r="FF89" s="155">
        <v>-250.0</v>
      </c>
      <c r="FG89" s="897">
        <f t="shared" si="388"/>
        <v>-1000</v>
      </c>
    </row>
    <row r="90" ht="12.75" customHeight="1">
      <c r="A90" s="128"/>
      <c r="B90" s="179" t="s">
        <v>626</v>
      </c>
      <c r="C90" s="179"/>
      <c r="D90" s="179"/>
      <c r="E90" s="179"/>
      <c r="F90" s="179"/>
      <c r="G90" s="179"/>
      <c r="H90" s="179"/>
      <c r="I90" s="179"/>
      <c r="J90" s="179"/>
      <c r="K90" s="179"/>
      <c r="L90" s="179"/>
      <c r="M90" s="179"/>
      <c r="N90" s="179"/>
      <c r="O90" s="179"/>
      <c r="P90" s="179"/>
      <c r="Q90" s="179"/>
      <c r="R90" s="57"/>
      <c r="S90" s="179"/>
      <c r="T90" s="179"/>
      <c r="U90" s="179"/>
      <c r="V90" s="179"/>
      <c r="W90" s="785"/>
      <c r="X90" s="128"/>
      <c r="Y90" s="128"/>
      <c r="Z90" s="128"/>
      <c r="AA90" s="128"/>
      <c r="AB90" s="837"/>
      <c r="AC90" s="128"/>
      <c r="AD90" s="128"/>
      <c r="AE90" s="128"/>
      <c r="AF90" s="128"/>
      <c r="AG90" s="837"/>
      <c r="AH90" s="128"/>
      <c r="AI90" s="128"/>
      <c r="AJ90" s="128"/>
      <c r="AK90" s="128"/>
      <c r="AL90" s="837"/>
      <c r="AM90" s="128"/>
      <c r="AN90" s="128"/>
      <c r="AO90" s="128"/>
      <c r="AP90" s="128"/>
      <c r="AQ90" s="837"/>
      <c r="AR90" s="128"/>
      <c r="AS90" s="128"/>
      <c r="AT90" s="128"/>
      <c r="AU90" s="128"/>
      <c r="AV90" s="837"/>
      <c r="AW90" s="128"/>
      <c r="AX90" s="128"/>
      <c r="AY90" s="128"/>
      <c r="AZ90" s="128"/>
      <c r="BA90" s="837"/>
      <c r="BB90" s="128"/>
      <c r="BC90" s="128"/>
      <c r="BD90" s="128"/>
      <c r="BE90" s="128"/>
      <c r="BF90" s="837"/>
      <c r="BG90" s="128"/>
      <c r="BH90" s="128"/>
      <c r="BI90" s="128"/>
      <c r="BJ90" s="128"/>
      <c r="BK90" s="837"/>
      <c r="BL90" s="128"/>
      <c r="BM90" s="128"/>
      <c r="BN90" s="128"/>
      <c r="BO90" s="128"/>
      <c r="BP90" s="837"/>
      <c r="BQ90" s="128"/>
      <c r="BR90" s="128"/>
      <c r="BS90" s="128"/>
      <c r="BT90" s="128"/>
      <c r="BU90" s="837"/>
      <c r="BV90" s="128"/>
      <c r="BW90" s="128"/>
      <c r="BX90" s="128"/>
      <c r="BY90" s="128"/>
      <c r="BZ90" s="837"/>
      <c r="CA90" s="128"/>
      <c r="CB90" s="128"/>
      <c r="CC90" s="128"/>
      <c r="CD90" s="128"/>
      <c r="CE90" s="837"/>
      <c r="CF90" s="128"/>
      <c r="CG90" s="128"/>
      <c r="CH90" s="128"/>
      <c r="CI90" s="128"/>
      <c r="CJ90" s="837"/>
      <c r="CK90" s="128"/>
      <c r="CL90" s="128"/>
      <c r="CM90" s="128"/>
      <c r="CN90" s="128"/>
      <c r="CO90" s="837"/>
      <c r="CP90" s="128"/>
      <c r="CQ90" s="128"/>
      <c r="CR90" s="128"/>
      <c r="CS90" s="128"/>
      <c r="CT90" s="836"/>
      <c r="CU90" s="128"/>
      <c r="CV90" s="128"/>
      <c r="CW90" s="128"/>
      <c r="CX90" s="128"/>
      <c r="CY90" s="836"/>
      <c r="CZ90" s="129"/>
      <c r="DA90" s="128"/>
      <c r="DB90" s="129"/>
      <c r="DC90" s="128"/>
      <c r="DD90" s="836"/>
      <c r="DE90" s="129"/>
      <c r="DF90" s="128"/>
      <c r="DG90" s="129"/>
      <c r="DH90" s="128"/>
      <c r="DI90" s="836"/>
      <c r="DJ90" s="129"/>
      <c r="DK90" s="129"/>
      <c r="DL90" s="129"/>
      <c r="DM90" s="128"/>
      <c r="DN90" s="836"/>
      <c r="DO90" s="128"/>
      <c r="DP90" s="128"/>
      <c r="DQ90" s="129"/>
      <c r="DR90" s="129"/>
      <c r="DS90" s="836"/>
      <c r="DT90" s="129"/>
      <c r="DU90" s="129"/>
      <c r="DV90" s="129"/>
      <c r="DW90" s="129"/>
      <c r="DX90" s="836"/>
      <c r="DY90" s="129">
        <f t="shared" ref="DY90:EB90" si="389">DY87+DY88+DY89</f>
        <v>7632</v>
      </c>
      <c r="DZ90" s="129">
        <f t="shared" si="389"/>
        <v>8649</v>
      </c>
      <c r="EA90" s="129">
        <f t="shared" si="389"/>
        <v>9824</v>
      </c>
      <c r="EB90" s="129">
        <f t="shared" si="389"/>
        <v>5375</v>
      </c>
      <c r="EC90" s="839">
        <f t="shared" si="382"/>
        <v>31480</v>
      </c>
      <c r="ED90" s="129">
        <f t="shared" ref="ED90:EG90" si="390">ED87+ED88+ED89</f>
        <v>1114</v>
      </c>
      <c r="EE90" s="129">
        <f t="shared" si="390"/>
        <v>2194</v>
      </c>
      <c r="EF90" s="129">
        <f t="shared" si="390"/>
        <v>2193</v>
      </c>
      <c r="EG90" s="129">
        <f t="shared" si="390"/>
        <v>8508</v>
      </c>
      <c r="EH90" s="839">
        <f t="shared" si="383"/>
        <v>14009</v>
      </c>
      <c r="EI90" s="134" t="str">
        <f t="shared" ref="EI90:EL90" si="391">EI87+EI88+EI89</f>
        <v>#ERROR!</v>
      </c>
      <c r="EJ90" s="128" t="str">
        <f t="shared" si="391"/>
        <v>#ERROR!</v>
      </c>
      <c r="EK90" s="128" t="str">
        <f t="shared" si="391"/>
        <v>#ERROR!</v>
      </c>
      <c r="EL90" s="128" t="str">
        <f t="shared" si="391"/>
        <v>#ERROR!</v>
      </c>
      <c r="EM90" s="839" t="str">
        <f t="shared" si="384"/>
        <v>#ERROR!</v>
      </c>
      <c r="EN90" s="128" t="str">
        <f t="shared" ref="EN90:EQ90" si="392">EN87+EN88+EN89</f>
        <v>#ERROR!</v>
      </c>
      <c r="EO90" s="128" t="str">
        <f t="shared" si="392"/>
        <v>#ERROR!</v>
      </c>
      <c r="EP90" s="128" t="str">
        <f t="shared" si="392"/>
        <v>#ERROR!</v>
      </c>
      <c r="EQ90" s="128" t="str">
        <f t="shared" si="392"/>
        <v>#ERROR!</v>
      </c>
      <c r="ER90" s="839" t="str">
        <f t="shared" si="385"/>
        <v>#ERROR!</v>
      </c>
      <c r="ES90" s="128" t="str">
        <f t="shared" ref="ES90:EV90" si="393">ES87+ES88+ES89</f>
        <v>#ERROR!</v>
      </c>
      <c r="ET90" s="128" t="str">
        <f t="shared" si="393"/>
        <v>#ERROR!</v>
      </c>
      <c r="EU90" s="128" t="str">
        <f t="shared" si="393"/>
        <v>#ERROR!</v>
      </c>
      <c r="EV90" s="128" t="str">
        <f t="shared" si="393"/>
        <v>#ERROR!</v>
      </c>
      <c r="EW90" s="839" t="str">
        <f t="shared" si="386"/>
        <v>#ERROR!</v>
      </c>
      <c r="EX90" s="128" t="str">
        <f t="shared" ref="EX90:FA90" si="394">EX87+EX88+EX89</f>
        <v>#ERROR!</v>
      </c>
      <c r="EY90" s="128" t="str">
        <f t="shared" si="394"/>
        <v>#ERROR!</v>
      </c>
      <c r="EZ90" s="128" t="str">
        <f t="shared" si="394"/>
        <v>#ERROR!</v>
      </c>
      <c r="FA90" s="128" t="str">
        <f t="shared" si="394"/>
        <v>#ERROR!</v>
      </c>
      <c r="FB90" s="839" t="str">
        <f t="shared" si="387"/>
        <v>#ERROR!</v>
      </c>
      <c r="FC90" s="128" t="str">
        <f t="shared" ref="FC90:FF90" si="395">FC87+FC88+FC89</f>
        <v>#ERROR!</v>
      </c>
      <c r="FD90" s="128" t="str">
        <f t="shared" si="395"/>
        <v>#ERROR!</v>
      </c>
      <c r="FE90" s="128" t="str">
        <f t="shared" si="395"/>
        <v>#ERROR!</v>
      </c>
      <c r="FF90" s="128" t="str">
        <f t="shared" si="395"/>
        <v>#ERROR!</v>
      </c>
      <c r="FG90" s="839" t="str">
        <f t="shared" si="388"/>
        <v>#ERROR!</v>
      </c>
    </row>
    <row r="91" ht="12.75" customHeight="1">
      <c r="A91" s="128"/>
      <c r="B91" s="179" t="s">
        <v>619</v>
      </c>
      <c r="C91" s="179"/>
      <c r="D91" s="179"/>
      <c r="E91" s="179"/>
      <c r="F91" s="179"/>
      <c r="G91" s="179"/>
      <c r="H91" s="179"/>
      <c r="I91" s="179"/>
      <c r="J91" s="179"/>
      <c r="K91" s="179"/>
      <c r="L91" s="179"/>
      <c r="M91" s="179"/>
      <c r="N91" s="179"/>
      <c r="O91" s="179"/>
      <c r="P91" s="179"/>
      <c r="Q91" s="179"/>
      <c r="R91" s="57"/>
      <c r="S91" s="179"/>
      <c r="T91" s="179"/>
      <c r="U91" s="179"/>
      <c r="V91" s="179"/>
      <c r="W91" s="785"/>
      <c r="X91" s="128"/>
      <c r="Y91" s="128"/>
      <c r="Z91" s="128"/>
      <c r="AA91" s="128"/>
      <c r="AB91" s="837"/>
      <c r="AC91" s="128"/>
      <c r="AD91" s="128"/>
      <c r="AE91" s="128"/>
      <c r="AF91" s="128"/>
      <c r="AG91" s="837"/>
      <c r="AH91" s="128"/>
      <c r="AI91" s="128"/>
      <c r="AJ91" s="128"/>
      <c r="AK91" s="128"/>
      <c r="AL91" s="837"/>
      <c r="AM91" s="128"/>
      <c r="AN91" s="128"/>
      <c r="AO91" s="128"/>
      <c r="AP91" s="128"/>
      <c r="AQ91" s="837"/>
      <c r="AR91" s="128"/>
      <c r="AS91" s="128"/>
      <c r="AT91" s="128"/>
      <c r="AU91" s="128"/>
      <c r="AV91" s="837"/>
      <c r="AW91" s="128"/>
      <c r="AX91" s="128"/>
      <c r="AY91" s="128"/>
      <c r="AZ91" s="128"/>
      <c r="BA91" s="837"/>
      <c r="BB91" s="128"/>
      <c r="BC91" s="128"/>
      <c r="BD91" s="128"/>
      <c r="BE91" s="128"/>
      <c r="BF91" s="837"/>
      <c r="BG91" s="128"/>
      <c r="BH91" s="128"/>
      <c r="BI91" s="128"/>
      <c r="BJ91" s="128"/>
      <c r="BK91" s="837"/>
      <c r="BL91" s="128"/>
      <c r="BM91" s="128"/>
      <c r="BN91" s="128"/>
      <c r="BO91" s="128"/>
      <c r="BP91" s="837"/>
      <c r="BQ91" s="128"/>
      <c r="BR91" s="128"/>
      <c r="BS91" s="128"/>
      <c r="BT91" s="128"/>
      <c r="BU91" s="837"/>
      <c r="BV91" s="128"/>
      <c r="BW91" s="128"/>
      <c r="BX91" s="128"/>
      <c r="BY91" s="128"/>
      <c r="BZ91" s="837"/>
      <c r="CA91" s="128"/>
      <c r="CB91" s="128"/>
      <c r="CC91" s="128"/>
      <c r="CD91" s="128"/>
      <c r="CE91" s="837"/>
      <c r="CF91" s="128"/>
      <c r="CG91" s="128"/>
      <c r="CH91" s="128"/>
      <c r="CI91" s="128"/>
      <c r="CJ91" s="837"/>
      <c r="CK91" s="128"/>
      <c r="CL91" s="128"/>
      <c r="CM91" s="128"/>
      <c r="CN91" s="128"/>
      <c r="CO91" s="837"/>
      <c r="CP91" s="128"/>
      <c r="CQ91" s="128"/>
      <c r="CR91" s="128"/>
      <c r="CS91" s="128"/>
      <c r="CT91" s="836"/>
      <c r="CU91" s="128"/>
      <c r="CV91" s="128"/>
      <c r="CW91" s="128"/>
      <c r="CX91" s="128"/>
      <c r="CY91" s="836"/>
      <c r="CZ91" s="129"/>
      <c r="DA91" s="128"/>
      <c r="DB91" s="129"/>
      <c r="DC91" s="128"/>
      <c r="DD91" s="836"/>
      <c r="DE91" s="129"/>
      <c r="DF91" s="128"/>
      <c r="DG91" s="129"/>
      <c r="DH91" s="128"/>
      <c r="DI91" s="836"/>
      <c r="DJ91" s="129"/>
      <c r="DK91" s="129"/>
      <c r="DL91" s="129"/>
      <c r="DM91" s="128"/>
      <c r="DN91" s="836"/>
      <c r="DO91" s="128"/>
      <c r="DP91" s="128"/>
      <c r="DQ91" s="129"/>
      <c r="DR91" s="129"/>
      <c r="DS91" s="836"/>
      <c r="DT91" s="129"/>
      <c r="DU91" s="129"/>
      <c r="DV91" s="129"/>
      <c r="DW91" s="129"/>
      <c r="DX91" s="836"/>
      <c r="DY91" s="129">
        <f t="shared" ref="DY91:EB91" si="396">DY33</f>
        <v>-3972</v>
      </c>
      <c r="DZ91" s="129">
        <f t="shared" si="396"/>
        <v>-3602</v>
      </c>
      <c r="EA91" s="129">
        <f t="shared" si="396"/>
        <v>-4005</v>
      </c>
      <c r="EB91" s="129">
        <f t="shared" si="396"/>
        <v>-7154</v>
      </c>
      <c r="EC91" s="839">
        <f t="shared" si="382"/>
        <v>-18733</v>
      </c>
      <c r="ED91" s="129">
        <f t="shared" ref="ED91:EG91" si="397">ED33</f>
        <v>-4797</v>
      </c>
      <c r="EE91" s="129">
        <f t="shared" si="397"/>
        <v>-7255</v>
      </c>
      <c r="EF91" s="129">
        <f t="shared" si="397"/>
        <v>-7093</v>
      </c>
      <c r="EG91" s="129">
        <f t="shared" si="397"/>
        <v>-5699</v>
      </c>
      <c r="EH91" s="839">
        <f t="shared" si="383"/>
        <v>-24844</v>
      </c>
      <c r="EI91" s="134">
        <f t="shared" ref="EI91:EL91" si="398">EI33</f>
        <v>-5500</v>
      </c>
      <c r="EJ91" s="128">
        <f t="shared" si="398"/>
        <v>-5500</v>
      </c>
      <c r="EK91" s="128">
        <f t="shared" si="398"/>
        <v>-5500</v>
      </c>
      <c r="EL91" s="128">
        <f t="shared" si="398"/>
        <v>-5500</v>
      </c>
      <c r="EM91" s="839">
        <f t="shared" si="384"/>
        <v>-22000</v>
      </c>
      <c r="EN91" s="128">
        <f t="shared" ref="EN91:EQ91" si="399">EN33</f>
        <v>-5500</v>
      </c>
      <c r="EO91" s="128">
        <f t="shared" si="399"/>
        <v>-6500</v>
      </c>
      <c r="EP91" s="128">
        <f t="shared" si="399"/>
        <v>-7500</v>
      </c>
      <c r="EQ91" s="128">
        <f t="shared" si="399"/>
        <v>-7500</v>
      </c>
      <c r="ER91" s="839">
        <f t="shared" si="385"/>
        <v>-27000</v>
      </c>
      <c r="ES91" s="128">
        <f t="shared" ref="ES91:EV91" si="400">ES33</f>
        <v>-7500</v>
      </c>
      <c r="ET91" s="128">
        <f t="shared" si="400"/>
        <v>-7500</v>
      </c>
      <c r="EU91" s="128">
        <f t="shared" si="400"/>
        <v>-7500</v>
      </c>
      <c r="EV91" s="128">
        <f t="shared" si="400"/>
        <v>-7500</v>
      </c>
      <c r="EW91" s="839">
        <f t="shared" si="386"/>
        <v>-30000</v>
      </c>
      <c r="EX91" s="128">
        <f t="shared" ref="EX91:FA91" si="401">EX33</f>
        <v>-7500</v>
      </c>
      <c r="EY91" s="128">
        <f t="shared" si="401"/>
        <v>-7500</v>
      </c>
      <c r="EZ91" s="128">
        <f t="shared" si="401"/>
        <v>-8000</v>
      </c>
      <c r="FA91" s="128">
        <f t="shared" si="401"/>
        <v>-8000</v>
      </c>
      <c r="FB91" s="839">
        <f t="shared" si="387"/>
        <v>-31000</v>
      </c>
      <c r="FC91" s="128">
        <f t="shared" ref="FC91:FF91" si="402">FC33</f>
        <v>-7500</v>
      </c>
      <c r="FD91" s="128">
        <f t="shared" si="402"/>
        <v>-7500</v>
      </c>
      <c r="FE91" s="128">
        <f t="shared" si="402"/>
        <v>-8000</v>
      </c>
      <c r="FF91" s="128">
        <f t="shared" si="402"/>
        <v>-8000</v>
      </c>
      <c r="FG91" s="839">
        <f t="shared" si="388"/>
        <v>-31000</v>
      </c>
    </row>
    <row r="92" ht="12.75" customHeight="1">
      <c r="A92" s="155"/>
      <c r="B92" s="270" t="s">
        <v>627</v>
      </c>
      <c r="C92" s="270"/>
      <c r="D92" s="270"/>
      <c r="E92" s="270"/>
      <c r="F92" s="270"/>
      <c r="G92" s="270"/>
      <c r="H92" s="270"/>
      <c r="I92" s="270"/>
      <c r="J92" s="270"/>
      <c r="K92" s="270"/>
      <c r="L92" s="270"/>
      <c r="M92" s="270"/>
      <c r="N92" s="270"/>
      <c r="O92" s="270"/>
      <c r="P92" s="270"/>
      <c r="Q92" s="270"/>
      <c r="R92" s="893"/>
      <c r="S92" s="270"/>
      <c r="T92" s="270"/>
      <c r="U92" s="270"/>
      <c r="V92" s="270"/>
      <c r="W92" s="894"/>
      <c r="X92" s="155"/>
      <c r="Y92" s="155"/>
      <c r="Z92" s="155"/>
      <c r="AA92" s="155"/>
      <c r="AB92" s="895"/>
      <c r="AC92" s="155"/>
      <c r="AD92" s="155"/>
      <c r="AE92" s="155"/>
      <c r="AF92" s="155"/>
      <c r="AG92" s="895"/>
      <c r="AH92" s="155"/>
      <c r="AI92" s="155"/>
      <c r="AJ92" s="155"/>
      <c r="AK92" s="155"/>
      <c r="AL92" s="895"/>
      <c r="AM92" s="155"/>
      <c r="AN92" s="155"/>
      <c r="AO92" s="155"/>
      <c r="AP92" s="155"/>
      <c r="AQ92" s="895"/>
      <c r="AR92" s="155"/>
      <c r="AS92" s="155"/>
      <c r="AT92" s="155"/>
      <c r="AU92" s="155"/>
      <c r="AV92" s="895"/>
      <c r="AW92" s="155"/>
      <c r="AX92" s="155"/>
      <c r="AY92" s="155"/>
      <c r="AZ92" s="155"/>
      <c r="BA92" s="895"/>
      <c r="BB92" s="155"/>
      <c r="BC92" s="155"/>
      <c r="BD92" s="155"/>
      <c r="BE92" s="155"/>
      <c r="BF92" s="895"/>
      <c r="BG92" s="155"/>
      <c r="BH92" s="155"/>
      <c r="BI92" s="155"/>
      <c r="BJ92" s="155"/>
      <c r="BK92" s="895"/>
      <c r="BL92" s="155"/>
      <c r="BM92" s="155"/>
      <c r="BN92" s="155"/>
      <c r="BO92" s="155"/>
      <c r="BP92" s="895"/>
      <c r="BQ92" s="155"/>
      <c r="BR92" s="155"/>
      <c r="BS92" s="155"/>
      <c r="BT92" s="155"/>
      <c r="BU92" s="895"/>
      <c r="BV92" s="155"/>
      <c r="BW92" s="155"/>
      <c r="BX92" s="155"/>
      <c r="BY92" s="155"/>
      <c r="BZ92" s="895"/>
      <c r="CA92" s="155"/>
      <c r="CB92" s="155"/>
      <c r="CC92" s="155"/>
      <c r="CD92" s="155"/>
      <c r="CE92" s="895"/>
      <c r="CF92" s="155"/>
      <c r="CG92" s="155"/>
      <c r="CH92" s="155"/>
      <c r="CI92" s="155"/>
      <c r="CJ92" s="895"/>
      <c r="CK92" s="155"/>
      <c r="CL92" s="155"/>
      <c r="CM92" s="155"/>
      <c r="CN92" s="155"/>
      <c r="CO92" s="895"/>
      <c r="CP92" s="155"/>
      <c r="CQ92" s="155"/>
      <c r="CR92" s="155"/>
      <c r="CS92" s="155"/>
      <c r="CT92" s="896"/>
      <c r="CU92" s="155"/>
      <c r="CV92" s="155"/>
      <c r="CW92" s="155"/>
      <c r="CX92" s="155"/>
      <c r="CY92" s="896"/>
      <c r="CZ92" s="156"/>
      <c r="DA92" s="155"/>
      <c r="DB92" s="156"/>
      <c r="DC92" s="155"/>
      <c r="DD92" s="896"/>
      <c r="DE92" s="156"/>
      <c r="DF92" s="155"/>
      <c r="DG92" s="156"/>
      <c r="DH92" s="155"/>
      <c r="DI92" s="896"/>
      <c r="DJ92" s="156"/>
      <c r="DK92" s="156"/>
      <c r="DL92" s="156"/>
      <c r="DM92" s="155"/>
      <c r="DN92" s="896"/>
      <c r="DO92" s="155"/>
      <c r="DP92" s="155"/>
      <c r="DQ92" s="156"/>
      <c r="DR92" s="156"/>
      <c r="DS92" s="896"/>
      <c r="DT92" s="156"/>
      <c r="DU92" s="156"/>
      <c r="DV92" s="156"/>
      <c r="DW92" s="156"/>
      <c r="DX92" s="896"/>
      <c r="DY92" s="156">
        <v>250.0</v>
      </c>
      <c r="DZ92" s="156">
        <v>250.0</v>
      </c>
      <c r="EA92" s="156">
        <v>250.0</v>
      </c>
      <c r="EB92" s="156">
        <v>250.0</v>
      </c>
      <c r="EC92" s="897">
        <f t="shared" si="382"/>
        <v>1000</v>
      </c>
      <c r="ED92" s="156">
        <v>250.0</v>
      </c>
      <c r="EE92" s="156">
        <v>250.0</v>
      </c>
      <c r="EF92" s="156">
        <v>250.0</v>
      </c>
      <c r="EG92" s="156">
        <v>250.0</v>
      </c>
      <c r="EH92" s="897">
        <f t="shared" si="383"/>
        <v>1000</v>
      </c>
      <c r="EI92" s="157">
        <v>250.0</v>
      </c>
      <c r="EJ92" s="155">
        <v>250.0</v>
      </c>
      <c r="EK92" s="155">
        <v>250.0</v>
      </c>
      <c r="EL92" s="155">
        <v>250.0</v>
      </c>
      <c r="EM92" s="897">
        <f t="shared" si="384"/>
        <v>1000</v>
      </c>
      <c r="EN92" s="155">
        <v>250.0</v>
      </c>
      <c r="EO92" s="155">
        <v>250.0</v>
      </c>
      <c r="EP92" s="155">
        <v>250.0</v>
      </c>
      <c r="EQ92" s="155">
        <v>250.0</v>
      </c>
      <c r="ER92" s="897">
        <f t="shared" si="385"/>
        <v>1000</v>
      </c>
      <c r="ES92" s="155">
        <v>250.0</v>
      </c>
      <c r="ET92" s="155">
        <v>250.0</v>
      </c>
      <c r="EU92" s="155">
        <v>250.0</v>
      </c>
      <c r="EV92" s="155">
        <v>250.0</v>
      </c>
      <c r="EW92" s="897">
        <f t="shared" si="386"/>
        <v>1000</v>
      </c>
      <c r="EX92" s="155">
        <v>250.0</v>
      </c>
      <c r="EY92" s="155">
        <v>250.0</v>
      </c>
      <c r="EZ92" s="155">
        <v>250.0</v>
      </c>
      <c r="FA92" s="155">
        <v>250.0</v>
      </c>
      <c r="FB92" s="897">
        <f t="shared" si="387"/>
        <v>1000</v>
      </c>
      <c r="FC92" s="155">
        <v>250.0</v>
      </c>
      <c r="FD92" s="155">
        <v>250.0</v>
      </c>
      <c r="FE92" s="155">
        <v>250.0</v>
      </c>
      <c r="FF92" s="155">
        <v>250.0</v>
      </c>
      <c r="FG92" s="897">
        <f t="shared" si="388"/>
        <v>1000</v>
      </c>
    </row>
    <row r="93" ht="12.75" customHeight="1">
      <c r="A93" s="128"/>
      <c r="B93" s="179" t="s">
        <v>628</v>
      </c>
      <c r="C93" s="179"/>
      <c r="D93" s="179"/>
      <c r="E93" s="179"/>
      <c r="F93" s="179"/>
      <c r="G93" s="179"/>
      <c r="H93" s="179"/>
      <c r="I93" s="179"/>
      <c r="J93" s="179"/>
      <c r="K93" s="179"/>
      <c r="L93" s="179"/>
      <c r="M93" s="179"/>
      <c r="N93" s="179"/>
      <c r="O93" s="179"/>
      <c r="P93" s="179"/>
      <c r="Q93" s="179"/>
      <c r="R93" s="57"/>
      <c r="S93" s="179"/>
      <c r="T93" s="179"/>
      <c r="U93" s="179"/>
      <c r="V93" s="179"/>
      <c r="W93" s="785"/>
      <c r="X93" s="128"/>
      <c r="Y93" s="128"/>
      <c r="Z93" s="128"/>
      <c r="AA93" s="128"/>
      <c r="AB93" s="837"/>
      <c r="AC93" s="128"/>
      <c r="AD93" s="128"/>
      <c r="AE93" s="128"/>
      <c r="AF93" s="128"/>
      <c r="AG93" s="837"/>
      <c r="AH93" s="128"/>
      <c r="AI93" s="128"/>
      <c r="AJ93" s="128"/>
      <c r="AK93" s="128"/>
      <c r="AL93" s="837"/>
      <c r="AM93" s="128"/>
      <c r="AN93" s="128"/>
      <c r="AO93" s="128"/>
      <c r="AP93" s="128"/>
      <c r="AQ93" s="837"/>
      <c r="AR93" s="128"/>
      <c r="AS93" s="128"/>
      <c r="AT93" s="128"/>
      <c r="AU93" s="128"/>
      <c r="AV93" s="837"/>
      <c r="AW93" s="128"/>
      <c r="AX93" s="128"/>
      <c r="AY93" s="128"/>
      <c r="AZ93" s="128"/>
      <c r="BA93" s="837"/>
      <c r="BB93" s="128"/>
      <c r="BC93" s="128"/>
      <c r="BD93" s="128"/>
      <c r="BE93" s="128"/>
      <c r="BF93" s="837"/>
      <c r="BG93" s="128"/>
      <c r="BH93" s="128"/>
      <c r="BI93" s="128"/>
      <c r="BJ93" s="128"/>
      <c r="BK93" s="837"/>
      <c r="BL93" s="128"/>
      <c r="BM93" s="128"/>
      <c r="BN93" s="128"/>
      <c r="BO93" s="128"/>
      <c r="BP93" s="837"/>
      <c r="BQ93" s="128"/>
      <c r="BR93" s="128"/>
      <c r="BS93" s="128"/>
      <c r="BT93" s="128"/>
      <c r="BU93" s="837"/>
      <c r="BV93" s="128"/>
      <c r="BW93" s="128"/>
      <c r="BX93" s="128"/>
      <c r="BY93" s="128"/>
      <c r="BZ93" s="837"/>
      <c r="CA93" s="128"/>
      <c r="CB93" s="128"/>
      <c r="CC93" s="128"/>
      <c r="CD93" s="128"/>
      <c r="CE93" s="837"/>
      <c r="CF93" s="128"/>
      <c r="CG93" s="128"/>
      <c r="CH93" s="128"/>
      <c r="CI93" s="128"/>
      <c r="CJ93" s="837"/>
      <c r="CK93" s="128"/>
      <c r="CL93" s="128"/>
      <c r="CM93" s="128"/>
      <c r="CN93" s="128"/>
      <c r="CO93" s="837"/>
      <c r="CP93" s="128"/>
      <c r="CQ93" s="128"/>
      <c r="CR93" s="128"/>
      <c r="CS93" s="128"/>
      <c r="CT93" s="836"/>
      <c r="CU93" s="128"/>
      <c r="CV93" s="128"/>
      <c r="CW93" s="128"/>
      <c r="CX93" s="128"/>
      <c r="CY93" s="836"/>
      <c r="CZ93" s="129"/>
      <c r="DA93" s="128"/>
      <c r="DB93" s="129"/>
      <c r="DC93" s="128"/>
      <c r="DD93" s="836"/>
      <c r="DE93" s="129"/>
      <c r="DF93" s="128"/>
      <c r="DG93" s="129"/>
      <c r="DH93" s="128"/>
      <c r="DI93" s="836"/>
      <c r="DJ93" s="129"/>
      <c r="DK93" s="129"/>
      <c r="DL93" s="129"/>
      <c r="DM93" s="128"/>
      <c r="DN93" s="836"/>
      <c r="DO93" s="128"/>
      <c r="DP93" s="128"/>
      <c r="DQ93" s="129"/>
      <c r="DR93" s="129"/>
      <c r="DS93" s="836"/>
      <c r="DT93" s="129"/>
      <c r="DU93" s="129"/>
      <c r="DV93" s="129"/>
      <c r="DW93" s="129"/>
      <c r="DX93" s="836"/>
      <c r="DY93" s="129">
        <f t="shared" ref="DY93:EB93" si="403">DY91+DY92</f>
        <v>-3722</v>
      </c>
      <c r="DZ93" s="129">
        <f t="shared" si="403"/>
        <v>-3352</v>
      </c>
      <c r="EA93" s="129">
        <f t="shared" si="403"/>
        <v>-3755</v>
      </c>
      <c r="EB93" s="129">
        <f t="shared" si="403"/>
        <v>-6904</v>
      </c>
      <c r="EC93" s="839">
        <f t="shared" si="382"/>
        <v>-17733</v>
      </c>
      <c r="ED93" s="129">
        <f t="shared" ref="ED93:EG93" si="404">ED91+ED92</f>
        <v>-4547</v>
      </c>
      <c r="EE93" s="129">
        <f t="shared" si="404"/>
        <v>-7005</v>
      </c>
      <c r="EF93" s="129">
        <f t="shared" si="404"/>
        <v>-6843</v>
      </c>
      <c r="EG93" s="129">
        <f t="shared" si="404"/>
        <v>-5449</v>
      </c>
      <c r="EH93" s="839">
        <f t="shared" si="383"/>
        <v>-23844</v>
      </c>
      <c r="EI93" s="134">
        <f t="shared" ref="EI93:EL93" si="405">EI91+EI92</f>
        <v>-5250</v>
      </c>
      <c r="EJ93" s="128">
        <f t="shared" si="405"/>
        <v>-5250</v>
      </c>
      <c r="EK93" s="128">
        <f t="shared" si="405"/>
        <v>-5250</v>
      </c>
      <c r="EL93" s="128">
        <f t="shared" si="405"/>
        <v>-5250</v>
      </c>
      <c r="EM93" s="839">
        <f t="shared" si="384"/>
        <v>-21000</v>
      </c>
      <c r="EN93" s="128">
        <f t="shared" ref="EN93:EQ93" si="406">EN91+EN92</f>
        <v>-5250</v>
      </c>
      <c r="EO93" s="128">
        <f t="shared" si="406"/>
        <v>-6250</v>
      </c>
      <c r="EP93" s="128">
        <f t="shared" si="406"/>
        <v>-7250</v>
      </c>
      <c r="EQ93" s="128">
        <f t="shared" si="406"/>
        <v>-7250</v>
      </c>
      <c r="ER93" s="839">
        <f t="shared" si="385"/>
        <v>-26000</v>
      </c>
      <c r="ES93" s="128">
        <f t="shared" ref="ES93:EV93" si="407">ES91+ES92</f>
        <v>-7250</v>
      </c>
      <c r="ET93" s="128">
        <f t="shared" si="407"/>
        <v>-7250</v>
      </c>
      <c r="EU93" s="128">
        <f t="shared" si="407"/>
        <v>-7250</v>
      </c>
      <c r="EV93" s="128">
        <f t="shared" si="407"/>
        <v>-7250</v>
      </c>
      <c r="EW93" s="839">
        <f t="shared" si="386"/>
        <v>-29000</v>
      </c>
      <c r="EX93" s="128">
        <f t="shared" ref="EX93:FA93" si="408">EX91+EX92</f>
        <v>-7250</v>
      </c>
      <c r="EY93" s="128">
        <f t="shared" si="408"/>
        <v>-7250</v>
      </c>
      <c r="EZ93" s="128">
        <f t="shared" si="408"/>
        <v>-7750</v>
      </c>
      <c r="FA93" s="128">
        <f t="shared" si="408"/>
        <v>-7750</v>
      </c>
      <c r="FB93" s="839">
        <f t="shared" si="387"/>
        <v>-30000</v>
      </c>
      <c r="FC93" s="128">
        <f t="shared" ref="FC93:FF93" si="409">FC91+FC92</f>
        <v>-7250</v>
      </c>
      <c r="FD93" s="128">
        <f t="shared" si="409"/>
        <v>-7250</v>
      </c>
      <c r="FE93" s="128">
        <f t="shared" si="409"/>
        <v>-7750</v>
      </c>
      <c r="FF93" s="128">
        <f t="shared" si="409"/>
        <v>-7750</v>
      </c>
      <c r="FG93" s="839">
        <f t="shared" si="388"/>
        <v>-30000</v>
      </c>
    </row>
    <row r="94" ht="12.75" customHeight="1">
      <c r="A94" s="128"/>
      <c r="B94" s="179"/>
      <c r="C94" s="179"/>
      <c r="D94" s="179"/>
      <c r="E94" s="179"/>
      <c r="F94" s="179"/>
      <c r="G94" s="179"/>
      <c r="H94" s="179"/>
      <c r="I94" s="179"/>
      <c r="J94" s="179"/>
      <c r="K94" s="179"/>
      <c r="L94" s="179"/>
      <c r="M94" s="179"/>
      <c r="N94" s="179"/>
      <c r="O94" s="179"/>
      <c r="P94" s="179"/>
      <c r="Q94" s="179"/>
      <c r="R94" s="57"/>
      <c r="S94" s="179"/>
      <c r="T94" s="179"/>
      <c r="U94" s="179"/>
      <c r="V94" s="179"/>
      <c r="W94" s="785"/>
      <c r="X94" s="128"/>
      <c r="Y94" s="128"/>
      <c r="Z94" s="128"/>
      <c r="AA94" s="128"/>
      <c r="AB94" s="837"/>
      <c r="AC94" s="128"/>
      <c r="AD94" s="128"/>
      <c r="AE94" s="128"/>
      <c r="AF94" s="128"/>
      <c r="AG94" s="837"/>
      <c r="AH94" s="128"/>
      <c r="AI94" s="128"/>
      <c r="AJ94" s="128"/>
      <c r="AK94" s="128"/>
      <c r="AL94" s="837"/>
      <c r="AM94" s="128"/>
      <c r="AN94" s="128"/>
      <c r="AO94" s="128"/>
      <c r="AP94" s="128"/>
      <c r="AQ94" s="837"/>
      <c r="AR94" s="128"/>
      <c r="AS94" s="128"/>
      <c r="AT94" s="128"/>
      <c r="AU94" s="128"/>
      <c r="AV94" s="837"/>
      <c r="AW94" s="128"/>
      <c r="AX94" s="128"/>
      <c r="AY94" s="128"/>
      <c r="AZ94" s="128"/>
      <c r="BA94" s="837"/>
      <c r="BB94" s="128"/>
      <c r="BC94" s="128"/>
      <c r="BD94" s="128"/>
      <c r="BE94" s="128"/>
      <c r="BF94" s="837"/>
      <c r="BG94" s="128"/>
      <c r="BH94" s="128"/>
      <c r="BI94" s="128"/>
      <c r="BJ94" s="128"/>
      <c r="BK94" s="837"/>
      <c r="BL94" s="128"/>
      <c r="BM94" s="128"/>
      <c r="BN94" s="128"/>
      <c r="BO94" s="128"/>
      <c r="BP94" s="837"/>
      <c r="BQ94" s="128"/>
      <c r="BR94" s="128"/>
      <c r="BS94" s="128"/>
      <c r="BT94" s="128"/>
      <c r="BU94" s="837"/>
      <c r="BV94" s="128"/>
      <c r="BW94" s="128"/>
      <c r="BX94" s="128"/>
      <c r="BY94" s="128"/>
      <c r="BZ94" s="837"/>
      <c r="CA94" s="128"/>
      <c r="CB94" s="128"/>
      <c r="CC94" s="128"/>
      <c r="CD94" s="128"/>
      <c r="CE94" s="837"/>
      <c r="CF94" s="128"/>
      <c r="CG94" s="128"/>
      <c r="CH94" s="128"/>
      <c r="CI94" s="128"/>
      <c r="CJ94" s="837"/>
      <c r="CK94" s="128"/>
      <c r="CL94" s="128"/>
      <c r="CM94" s="128"/>
      <c r="CN94" s="128"/>
      <c r="CO94" s="837"/>
      <c r="CP94" s="128"/>
      <c r="CQ94" s="128"/>
      <c r="CR94" s="128"/>
      <c r="CS94" s="128"/>
      <c r="CT94" s="836"/>
      <c r="CU94" s="128"/>
      <c r="CV94" s="128"/>
      <c r="CW94" s="128"/>
      <c r="CX94" s="128"/>
      <c r="CY94" s="836"/>
      <c r="CZ94" s="129"/>
      <c r="DA94" s="128"/>
      <c r="DB94" s="129"/>
      <c r="DC94" s="128"/>
      <c r="DD94" s="836"/>
      <c r="DE94" s="129"/>
      <c r="DF94" s="128"/>
      <c r="DG94" s="129"/>
      <c r="DH94" s="128"/>
      <c r="DI94" s="836"/>
      <c r="DJ94" s="129"/>
      <c r="DK94" s="129"/>
      <c r="DL94" s="129"/>
      <c r="DM94" s="128"/>
      <c r="DN94" s="836"/>
      <c r="DO94" s="128"/>
      <c r="DP94" s="128"/>
      <c r="DQ94" s="129"/>
      <c r="DR94" s="129"/>
      <c r="DS94" s="836"/>
      <c r="DT94" s="129"/>
      <c r="DU94" s="129"/>
      <c r="DV94" s="129"/>
      <c r="DW94" s="129"/>
      <c r="DX94" s="836"/>
      <c r="DY94" s="129"/>
      <c r="DZ94" s="129"/>
      <c r="EA94" s="129"/>
      <c r="EB94" s="129"/>
      <c r="EC94" s="839"/>
      <c r="ED94" s="129"/>
      <c r="EE94" s="129"/>
      <c r="EF94" s="129"/>
      <c r="EG94" s="129"/>
      <c r="EH94" s="839"/>
      <c r="EI94" s="134"/>
      <c r="EJ94" s="128"/>
      <c r="EK94" s="128"/>
      <c r="EL94" s="128"/>
      <c r="EM94" s="839"/>
      <c r="EN94" s="128"/>
      <c r="EO94" s="128"/>
      <c r="EP94" s="128"/>
      <c r="EQ94" s="128"/>
      <c r="ER94" s="839"/>
      <c r="ES94" s="128"/>
      <c r="ET94" s="128"/>
      <c r="EU94" s="128"/>
      <c r="EV94" s="128"/>
      <c r="EW94" s="839"/>
      <c r="EX94" s="128"/>
      <c r="EY94" s="128"/>
      <c r="EZ94" s="128"/>
      <c r="FA94" s="128"/>
      <c r="FB94" s="839"/>
      <c r="FC94" s="128"/>
      <c r="FD94" s="128"/>
      <c r="FE94" s="128"/>
      <c r="FF94" s="128"/>
      <c r="FG94" s="839"/>
    </row>
    <row r="95" ht="12.75" customHeight="1">
      <c r="A95" s="898"/>
      <c r="B95" s="899" t="s">
        <v>629</v>
      </c>
      <c r="C95" s="899"/>
      <c r="D95" s="899"/>
      <c r="E95" s="899"/>
      <c r="F95" s="899"/>
      <c r="G95" s="899"/>
      <c r="H95" s="899"/>
      <c r="I95" s="899"/>
      <c r="J95" s="899"/>
      <c r="K95" s="899"/>
      <c r="L95" s="899"/>
      <c r="M95" s="899"/>
      <c r="N95" s="899"/>
      <c r="O95" s="899"/>
      <c r="P95" s="899"/>
      <c r="Q95" s="899"/>
      <c r="R95" s="900"/>
      <c r="S95" s="899"/>
      <c r="T95" s="899"/>
      <c r="U95" s="899"/>
      <c r="V95" s="899"/>
      <c r="W95" s="901"/>
      <c r="X95" s="898"/>
      <c r="Y95" s="898"/>
      <c r="Z95" s="898"/>
      <c r="AA95" s="898"/>
      <c r="AB95" s="902"/>
      <c r="AC95" s="898"/>
      <c r="AD95" s="898"/>
      <c r="AE95" s="898"/>
      <c r="AF95" s="898"/>
      <c r="AG95" s="902"/>
      <c r="AH95" s="898"/>
      <c r="AI95" s="898"/>
      <c r="AJ95" s="898"/>
      <c r="AK95" s="898"/>
      <c r="AL95" s="902"/>
      <c r="AM95" s="898"/>
      <c r="AN95" s="898"/>
      <c r="AO95" s="898"/>
      <c r="AP95" s="898"/>
      <c r="AQ95" s="902"/>
      <c r="AR95" s="898"/>
      <c r="AS95" s="898"/>
      <c r="AT95" s="898"/>
      <c r="AU95" s="898"/>
      <c r="AV95" s="902"/>
      <c r="AW95" s="898"/>
      <c r="AX95" s="898"/>
      <c r="AY95" s="898"/>
      <c r="AZ95" s="898"/>
      <c r="BA95" s="902"/>
      <c r="BB95" s="898"/>
      <c r="BC95" s="898"/>
      <c r="BD95" s="898"/>
      <c r="BE95" s="898"/>
      <c r="BF95" s="902"/>
      <c r="BG95" s="898"/>
      <c r="BH95" s="898"/>
      <c r="BI95" s="898"/>
      <c r="BJ95" s="898"/>
      <c r="BK95" s="902"/>
      <c r="BL95" s="898"/>
      <c r="BM95" s="898"/>
      <c r="BN95" s="898"/>
      <c r="BO95" s="898"/>
      <c r="BP95" s="902"/>
      <c r="BQ95" s="898"/>
      <c r="BR95" s="898"/>
      <c r="BS95" s="898"/>
      <c r="BT95" s="898"/>
      <c r="BU95" s="902"/>
      <c r="BV95" s="898"/>
      <c r="BW95" s="898"/>
      <c r="BX95" s="898"/>
      <c r="BY95" s="898"/>
      <c r="BZ95" s="902"/>
      <c r="CA95" s="898"/>
      <c r="CB95" s="898"/>
      <c r="CC95" s="898"/>
      <c r="CD95" s="898"/>
      <c r="CE95" s="902"/>
      <c r="CF95" s="898"/>
      <c r="CG95" s="898"/>
      <c r="CH95" s="898"/>
      <c r="CI95" s="898"/>
      <c r="CJ95" s="902"/>
      <c r="CK95" s="898"/>
      <c r="CL95" s="898"/>
      <c r="CM95" s="898"/>
      <c r="CN95" s="898"/>
      <c r="CO95" s="902"/>
      <c r="CP95" s="898"/>
      <c r="CQ95" s="898"/>
      <c r="CR95" s="898"/>
      <c r="CS95" s="898"/>
      <c r="CT95" s="902"/>
      <c r="CU95" s="898"/>
      <c r="CV95" s="898"/>
      <c r="CW95" s="898"/>
      <c r="CX95" s="898"/>
      <c r="CY95" s="902"/>
      <c r="CZ95" s="898"/>
      <c r="DA95" s="898"/>
      <c r="DB95" s="898"/>
      <c r="DC95" s="898"/>
      <c r="DD95" s="902"/>
      <c r="DE95" s="898"/>
      <c r="DF95" s="898"/>
      <c r="DG95" s="898"/>
      <c r="DH95" s="898"/>
      <c r="DI95" s="902"/>
      <c r="DJ95" s="898"/>
      <c r="DK95" s="898"/>
      <c r="DL95" s="898"/>
      <c r="DM95" s="898"/>
      <c r="DN95" s="902"/>
      <c r="DO95" s="898"/>
      <c r="DP95" s="898"/>
      <c r="DQ95" s="898"/>
      <c r="DR95" s="898"/>
      <c r="DS95" s="902"/>
      <c r="DT95" s="898"/>
      <c r="DU95" s="898"/>
      <c r="DV95" s="898"/>
      <c r="DW95" s="898"/>
      <c r="DX95" s="902"/>
      <c r="DY95" s="898">
        <f t="shared" ref="DY95:EB95" si="410">DY90+DY93</f>
        <v>3910</v>
      </c>
      <c r="DZ95" s="898">
        <f t="shared" si="410"/>
        <v>5297</v>
      </c>
      <c r="EA95" s="898">
        <f t="shared" si="410"/>
        <v>6069</v>
      </c>
      <c r="EB95" s="129">
        <f t="shared" si="410"/>
        <v>-1529</v>
      </c>
      <c r="EC95" s="903">
        <f>SUM(DY95:EB95)</f>
        <v>13747</v>
      </c>
      <c r="ED95" s="898">
        <f t="shared" ref="ED95:EG95" si="411">ED90+ED93</f>
        <v>-3433</v>
      </c>
      <c r="EE95" s="898">
        <f t="shared" si="411"/>
        <v>-4811</v>
      </c>
      <c r="EF95" s="898">
        <f t="shared" si="411"/>
        <v>-4650</v>
      </c>
      <c r="EG95" s="898">
        <f t="shared" si="411"/>
        <v>3059</v>
      </c>
      <c r="EH95" s="903">
        <f>SUM(ED95:EG95)</f>
        <v>-9835</v>
      </c>
      <c r="EI95" s="134" t="str">
        <f t="shared" ref="EI95:EL95" si="412">EI90+EI93</f>
        <v>#ERROR!</v>
      </c>
      <c r="EJ95" s="898" t="str">
        <f t="shared" si="412"/>
        <v>#ERROR!</v>
      </c>
      <c r="EK95" s="898" t="str">
        <f t="shared" si="412"/>
        <v>#ERROR!</v>
      </c>
      <c r="EL95" s="898" t="str">
        <f t="shared" si="412"/>
        <v>#ERROR!</v>
      </c>
      <c r="EM95" s="903" t="str">
        <f>SUM(EI95:EL95)</f>
        <v>#ERROR!</v>
      </c>
      <c r="EN95" s="898" t="str">
        <f t="shared" ref="EN95:EQ95" si="413">EN90+EN93</f>
        <v>#ERROR!</v>
      </c>
      <c r="EO95" s="898" t="str">
        <f t="shared" si="413"/>
        <v>#ERROR!</v>
      </c>
      <c r="EP95" s="898" t="str">
        <f t="shared" si="413"/>
        <v>#ERROR!</v>
      </c>
      <c r="EQ95" s="898" t="str">
        <f t="shared" si="413"/>
        <v>#ERROR!</v>
      </c>
      <c r="ER95" s="903" t="str">
        <f>SUM(EN95:EQ95)</f>
        <v>#ERROR!</v>
      </c>
      <c r="ES95" s="898" t="str">
        <f t="shared" ref="ES95:EV95" si="414">ES90+ES93</f>
        <v>#ERROR!</v>
      </c>
      <c r="ET95" s="898" t="str">
        <f t="shared" si="414"/>
        <v>#ERROR!</v>
      </c>
      <c r="EU95" s="898" t="str">
        <f t="shared" si="414"/>
        <v>#ERROR!</v>
      </c>
      <c r="EV95" s="898" t="str">
        <f t="shared" si="414"/>
        <v>#ERROR!</v>
      </c>
      <c r="EW95" s="903" t="str">
        <f>SUM(ES95:EV95)</f>
        <v>#ERROR!</v>
      </c>
      <c r="EX95" s="898" t="str">
        <f t="shared" ref="EX95:FA95" si="415">EX90+EX93</f>
        <v>#ERROR!</v>
      </c>
      <c r="EY95" s="898" t="str">
        <f t="shared" si="415"/>
        <v>#ERROR!</v>
      </c>
      <c r="EZ95" s="898" t="str">
        <f t="shared" si="415"/>
        <v>#ERROR!</v>
      </c>
      <c r="FA95" s="898" t="str">
        <f t="shared" si="415"/>
        <v>#ERROR!</v>
      </c>
      <c r="FB95" s="903" t="str">
        <f>SUM(EX95:FA95)</f>
        <v>#ERROR!</v>
      </c>
      <c r="FC95" s="898" t="str">
        <f t="shared" ref="FC95:FF95" si="416">FC90+FC93</f>
        <v>#ERROR!</v>
      </c>
      <c r="FD95" s="898" t="str">
        <f t="shared" si="416"/>
        <v>#ERROR!</v>
      </c>
      <c r="FE95" s="898" t="str">
        <f t="shared" si="416"/>
        <v>#ERROR!</v>
      </c>
      <c r="FF95" s="898" t="str">
        <f t="shared" si="416"/>
        <v>#ERROR!</v>
      </c>
      <c r="FG95" s="903" t="str">
        <f>SUM(FC95:FF95)</f>
        <v>#ERROR!</v>
      </c>
    </row>
    <row r="96" ht="12.75" customHeight="1">
      <c r="A96" s="128"/>
      <c r="B96" s="179" t="s">
        <v>630</v>
      </c>
      <c r="C96" s="179"/>
      <c r="D96" s="179"/>
      <c r="E96" s="179"/>
      <c r="F96" s="179"/>
      <c r="G96" s="179"/>
      <c r="H96" s="179"/>
      <c r="I96" s="179"/>
      <c r="J96" s="179"/>
      <c r="K96" s="179"/>
      <c r="L96" s="179"/>
      <c r="M96" s="179"/>
      <c r="N96" s="179"/>
      <c r="O96" s="179"/>
      <c r="P96" s="179"/>
      <c r="Q96" s="179"/>
      <c r="R96" s="57"/>
      <c r="S96" s="179"/>
      <c r="T96" s="179"/>
      <c r="U96" s="179"/>
      <c r="V96" s="179"/>
      <c r="W96" s="785"/>
      <c r="X96" s="128"/>
      <c r="Y96" s="128"/>
      <c r="Z96" s="128"/>
      <c r="AA96" s="128"/>
      <c r="AB96" s="837"/>
      <c r="AC96" s="128"/>
      <c r="AD96" s="128"/>
      <c r="AE96" s="128"/>
      <c r="AF96" s="128"/>
      <c r="AG96" s="837"/>
      <c r="AH96" s="128"/>
      <c r="AI96" s="128"/>
      <c r="AJ96" s="128"/>
      <c r="AK96" s="128"/>
      <c r="AL96" s="837"/>
      <c r="AM96" s="128"/>
      <c r="AN96" s="128"/>
      <c r="AO96" s="128"/>
      <c r="AP96" s="128"/>
      <c r="AQ96" s="837"/>
      <c r="AR96" s="128"/>
      <c r="AS96" s="128"/>
      <c r="AT96" s="128"/>
      <c r="AU96" s="128"/>
      <c r="AV96" s="837"/>
      <c r="AW96" s="128"/>
      <c r="AX96" s="128"/>
      <c r="AY96" s="128"/>
      <c r="AZ96" s="128"/>
      <c r="BA96" s="837"/>
      <c r="BB96" s="128"/>
      <c r="BC96" s="128"/>
      <c r="BD96" s="128"/>
      <c r="BE96" s="128"/>
      <c r="BF96" s="837"/>
      <c r="BG96" s="128"/>
      <c r="BH96" s="128"/>
      <c r="BI96" s="128"/>
      <c r="BJ96" s="128"/>
      <c r="BK96" s="837"/>
      <c r="BL96" s="128"/>
      <c r="BM96" s="128"/>
      <c r="BN96" s="128"/>
      <c r="BO96" s="128"/>
      <c r="BP96" s="837"/>
      <c r="BQ96" s="128"/>
      <c r="BR96" s="128"/>
      <c r="BS96" s="128"/>
      <c r="BT96" s="128"/>
      <c r="BU96" s="837"/>
      <c r="BV96" s="128"/>
      <c r="BW96" s="128"/>
      <c r="BX96" s="128"/>
      <c r="BY96" s="128"/>
      <c r="BZ96" s="837"/>
      <c r="CA96" s="128"/>
      <c r="CB96" s="128"/>
      <c r="CC96" s="128"/>
      <c r="CD96" s="128"/>
      <c r="CE96" s="837"/>
      <c r="CF96" s="128"/>
      <c r="CG96" s="128"/>
      <c r="CH96" s="128"/>
      <c r="CI96" s="128"/>
      <c r="CJ96" s="837"/>
      <c r="CK96" s="128"/>
      <c r="CL96" s="128"/>
      <c r="CM96" s="128"/>
      <c r="CN96" s="128"/>
      <c r="CO96" s="837"/>
      <c r="CP96" s="128"/>
      <c r="CQ96" s="128"/>
      <c r="CR96" s="128"/>
      <c r="CS96" s="128"/>
      <c r="CT96" s="836"/>
      <c r="CU96" s="128"/>
      <c r="CV96" s="128"/>
      <c r="CW96" s="128"/>
      <c r="CX96" s="128"/>
      <c r="CY96" s="836"/>
      <c r="CZ96" s="129"/>
      <c r="DA96" s="128"/>
      <c r="DB96" s="129"/>
      <c r="DC96" s="128"/>
      <c r="DD96" s="836"/>
      <c r="DE96" s="129"/>
      <c r="DF96" s="128"/>
      <c r="DG96" s="129"/>
      <c r="DH96" s="128"/>
      <c r="DI96" s="836"/>
      <c r="DJ96" s="129"/>
      <c r="DK96" s="129"/>
      <c r="DL96" s="129"/>
      <c r="DM96" s="128"/>
      <c r="DN96" s="836"/>
      <c r="DO96" s="128"/>
      <c r="DP96" s="128"/>
      <c r="DQ96" s="129"/>
      <c r="DR96" s="129"/>
      <c r="DS96" s="836"/>
      <c r="DT96" s="129"/>
      <c r="DU96" s="129"/>
      <c r="DV96" s="129"/>
      <c r="DW96" s="129"/>
      <c r="DX96" s="836"/>
      <c r="DY96" s="129"/>
      <c r="DZ96" s="129"/>
      <c r="EA96" s="129"/>
      <c r="EB96" s="129"/>
      <c r="EC96" s="836">
        <f>EC95-EC59</f>
        <v>2489</v>
      </c>
      <c r="ED96" s="129"/>
      <c r="EE96" s="129"/>
      <c r="EF96" s="129"/>
      <c r="EG96" s="129"/>
      <c r="EH96" s="836">
        <f>EH95-EH59</f>
        <v>-1298</v>
      </c>
      <c r="EI96" s="134"/>
      <c r="EJ96" s="128"/>
      <c r="EK96" s="128"/>
      <c r="EL96" s="128"/>
      <c r="EM96" s="836" t="str">
        <f>EM95-EM59</f>
        <v>#ERROR!</v>
      </c>
      <c r="EN96" s="128"/>
      <c r="EO96" s="128"/>
      <c r="EP96" s="128"/>
      <c r="EQ96" s="128"/>
      <c r="ER96" s="836" t="str">
        <f>ER95-ER59</f>
        <v>#ERROR!</v>
      </c>
      <c r="ES96" s="128"/>
      <c r="ET96" s="128"/>
      <c r="EU96" s="128"/>
      <c r="EV96" s="128"/>
      <c r="EW96" s="836" t="str">
        <f>EW95-EW59</f>
        <v>#ERROR!</v>
      </c>
      <c r="EX96" s="128"/>
      <c r="EY96" s="128"/>
      <c r="EZ96" s="128"/>
      <c r="FA96" s="128"/>
      <c r="FB96" s="836" t="str">
        <f>FB95-FB59</f>
        <v>#ERROR!</v>
      </c>
      <c r="FC96" s="128"/>
      <c r="FD96" s="128"/>
      <c r="FE96" s="128"/>
      <c r="FF96" s="128"/>
      <c r="FG96" s="836" t="str">
        <f>FG95-FG59</f>
        <v>#ERROR!</v>
      </c>
    </row>
    <row r="97" ht="12.75" customHeight="1">
      <c r="A97" s="128"/>
      <c r="B97" s="8" t="s">
        <v>631</v>
      </c>
      <c r="C97" s="179"/>
      <c r="D97" s="179"/>
      <c r="E97" s="179"/>
      <c r="F97" s="179"/>
      <c r="G97" s="179"/>
      <c r="H97" s="179"/>
      <c r="I97" s="179"/>
      <c r="J97" s="179"/>
      <c r="K97" s="179"/>
      <c r="L97" s="179"/>
      <c r="M97" s="179"/>
      <c r="N97" s="179"/>
      <c r="O97" s="179"/>
      <c r="P97" s="179"/>
      <c r="Q97" s="179"/>
      <c r="R97" s="57"/>
      <c r="S97" s="179"/>
      <c r="T97" s="179"/>
      <c r="U97" s="179"/>
      <c r="V97" s="179"/>
      <c r="W97" s="785"/>
      <c r="X97" s="128"/>
      <c r="Y97" s="128"/>
      <c r="Z97" s="128"/>
      <c r="AA97" s="128"/>
      <c r="AB97" s="837"/>
      <c r="AC97" s="128"/>
      <c r="AD97" s="128"/>
      <c r="AE97" s="128"/>
      <c r="AF97" s="128"/>
      <c r="AG97" s="837"/>
      <c r="AH97" s="128"/>
      <c r="AI97" s="128"/>
      <c r="AJ97" s="128"/>
      <c r="AK97" s="128"/>
      <c r="AL97" s="837"/>
      <c r="AM97" s="128"/>
      <c r="AN97" s="128"/>
      <c r="AO97" s="128"/>
      <c r="AP97" s="128"/>
      <c r="AQ97" s="837"/>
      <c r="AR97" s="128"/>
      <c r="AS97" s="128"/>
      <c r="AT97" s="128"/>
      <c r="AU97" s="128"/>
      <c r="AV97" s="837"/>
      <c r="AW97" s="128"/>
      <c r="AX97" s="128"/>
      <c r="AY97" s="128"/>
      <c r="AZ97" s="128"/>
      <c r="BA97" s="837"/>
      <c r="BB97" s="128"/>
      <c r="BC97" s="128"/>
      <c r="BD97" s="128"/>
      <c r="BE97" s="128"/>
      <c r="BF97" s="837"/>
      <c r="BG97" s="128"/>
      <c r="BH97" s="128"/>
      <c r="BI97" s="128"/>
      <c r="BJ97" s="128"/>
      <c r="BK97" s="837"/>
      <c r="BL97" s="128"/>
      <c r="BM97" s="128"/>
      <c r="BN97" s="128"/>
      <c r="BO97" s="128"/>
      <c r="BP97" s="837"/>
      <c r="BQ97" s="128"/>
      <c r="BR97" s="128"/>
      <c r="BS97" s="128"/>
      <c r="BT97" s="128"/>
      <c r="BU97" s="837"/>
      <c r="BV97" s="128"/>
      <c r="BW97" s="128"/>
      <c r="BX97" s="128"/>
      <c r="BY97" s="128"/>
      <c r="BZ97" s="837"/>
      <c r="CA97" s="128"/>
      <c r="CB97" s="128"/>
      <c r="CC97" s="128"/>
      <c r="CD97" s="128"/>
      <c r="CE97" s="837"/>
      <c r="CF97" s="128"/>
      <c r="CG97" s="128"/>
      <c r="CH97" s="128"/>
      <c r="CI97" s="128"/>
      <c r="CJ97" s="837"/>
      <c r="CK97" s="128"/>
      <c r="CL97" s="128"/>
      <c r="CM97" s="128"/>
      <c r="CN97" s="128"/>
      <c r="CO97" s="837"/>
      <c r="CP97" s="128"/>
      <c r="CQ97" s="128"/>
      <c r="CR97" s="128"/>
      <c r="CS97" s="128"/>
      <c r="CT97" s="836"/>
      <c r="CU97" s="128"/>
      <c r="CV97" s="128"/>
      <c r="CW97" s="128"/>
      <c r="CX97" s="128"/>
      <c r="CY97" s="836"/>
      <c r="CZ97" s="129"/>
      <c r="DA97" s="128"/>
      <c r="DB97" s="129"/>
      <c r="DC97" s="128"/>
      <c r="DD97" s="836"/>
      <c r="DE97" s="129"/>
      <c r="DF97" s="128"/>
      <c r="DG97" s="129"/>
      <c r="DH97" s="128"/>
      <c r="DI97" s="836"/>
      <c r="DJ97" s="129"/>
      <c r="DK97" s="129"/>
      <c r="DL97" s="129"/>
      <c r="DM97" s="128"/>
      <c r="DN97" s="836"/>
      <c r="DO97" s="128"/>
      <c r="DP97" s="128"/>
      <c r="DQ97" s="129"/>
      <c r="DR97" s="129"/>
      <c r="DS97" s="836"/>
      <c r="DT97" s="129"/>
      <c r="DU97" s="129"/>
      <c r="DV97" s="129"/>
      <c r="DW97" s="129"/>
      <c r="DX97" s="836"/>
      <c r="DY97" s="129"/>
      <c r="DZ97" s="129"/>
      <c r="EA97" s="129"/>
      <c r="EB97" s="129"/>
      <c r="EC97" s="836"/>
      <c r="ED97" s="129"/>
      <c r="EE97" s="129"/>
      <c r="EF97" s="129"/>
      <c r="EG97" s="129"/>
      <c r="EH97" s="836"/>
      <c r="EI97" s="134"/>
      <c r="EJ97" s="128"/>
      <c r="EK97" s="128"/>
      <c r="EL97" s="128"/>
      <c r="EM97" s="836"/>
      <c r="EN97" s="128"/>
      <c r="EO97" s="128"/>
      <c r="EP97" s="128"/>
      <c r="EQ97" s="128"/>
      <c r="ER97" s="836"/>
      <c r="ES97" s="128"/>
      <c r="ET97" s="128"/>
      <c r="EU97" s="128"/>
      <c r="EV97" s="128"/>
      <c r="EW97" s="836"/>
      <c r="EX97" s="128"/>
      <c r="EY97" s="128"/>
      <c r="EZ97" s="128"/>
      <c r="FA97" s="128"/>
      <c r="FB97" s="836"/>
      <c r="FC97" s="128"/>
      <c r="FD97" s="128"/>
      <c r="FE97" s="128"/>
      <c r="FF97" s="128"/>
      <c r="FG97" s="836"/>
    </row>
    <row r="98" ht="12.75" customHeight="1">
      <c r="A98" s="128"/>
      <c r="B98" s="179"/>
      <c r="C98" s="179"/>
      <c r="D98" s="179"/>
      <c r="E98" s="179"/>
      <c r="F98" s="179"/>
      <c r="G98" s="179"/>
      <c r="H98" s="179"/>
      <c r="I98" s="179"/>
      <c r="J98" s="179"/>
      <c r="K98" s="179"/>
      <c r="L98" s="179"/>
      <c r="M98" s="179"/>
      <c r="N98" s="179"/>
      <c r="O98" s="179"/>
      <c r="P98" s="179"/>
      <c r="Q98" s="179"/>
      <c r="R98" s="57"/>
      <c r="S98" s="179"/>
      <c r="T98" s="179"/>
      <c r="U98" s="179"/>
      <c r="V98" s="179"/>
      <c r="W98" s="785"/>
      <c r="X98" s="128"/>
      <c r="Y98" s="128"/>
      <c r="Z98" s="128"/>
      <c r="AA98" s="128"/>
      <c r="AB98" s="837"/>
      <c r="AC98" s="128"/>
      <c r="AD98" s="128"/>
      <c r="AE98" s="128"/>
      <c r="AF98" s="128"/>
      <c r="AG98" s="837"/>
      <c r="AH98" s="128"/>
      <c r="AI98" s="128"/>
      <c r="AJ98" s="128"/>
      <c r="AK98" s="128"/>
      <c r="AL98" s="837"/>
      <c r="AM98" s="128"/>
      <c r="AN98" s="128"/>
      <c r="AO98" s="128"/>
      <c r="AP98" s="128"/>
      <c r="AQ98" s="837"/>
      <c r="AR98" s="128"/>
      <c r="AS98" s="128"/>
      <c r="AT98" s="128"/>
      <c r="AU98" s="128"/>
      <c r="AV98" s="837"/>
      <c r="AW98" s="128"/>
      <c r="AX98" s="128"/>
      <c r="AY98" s="128"/>
      <c r="AZ98" s="128"/>
      <c r="BA98" s="837"/>
      <c r="BB98" s="128"/>
      <c r="BC98" s="128"/>
      <c r="BD98" s="128"/>
      <c r="BE98" s="128"/>
      <c r="BF98" s="837"/>
      <c r="BG98" s="128"/>
      <c r="BH98" s="128"/>
      <c r="BI98" s="128"/>
      <c r="BJ98" s="128"/>
      <c r="BK98" s="837"/>
      <c r="BL98" s="128"/>
      <c r="BM98" s="128"/>
      <c r="BN98" s="128"/>
      <c r="BO98" s="128"/>
      <c r="BP98" s="837"/>
      <c r="BQ98" s="128"/>
      <c r="BR98" s="128"/>
      <c r="BS98" s="128"/>
      <c r="BT98" s="128"/>
      <c r="BU98" s="837"/>
      <c r="BV98" s="128"/>
      <c r="BW98" s="128"/>
      <c r="BX98" s="128"/>
      <c r="BY98" s="128"/>
      <c r="BZ98" s="837"/>
      <c r="CA98" s="128"/>
      <c r="CB98" s="128"/>
      <c r="CC98" s="128"/>
      <c r="CD98" s="128"/>
      <c r="CE98" s="837"/>
      <c r="CF98" s="128"/>
      <c r="CG98" s="128"/>
      <c r="CH98" s="128"/>
      <c r="CI98" s="128"/>
      <c r="CJ98" s="837"/>
      <c r="CK98" s="128"/>
      <c r="CL98" s="128"/>
      <c r="CM98" s="128"/>
      <c r="CN98" s="128"/>
      <c r="CO98" s="837"/>
      <c r="CP98" s="128"/>
      <c r="CQ98" s="128"/>
      <c r="CR98" s="128"/>
      <c r="CS98" s="128"/>
      <c r="CT98" s="836"/>
      <c r="CU98" s="128"/>
      <c r="CV98" s="128"/>
      <c r="CW98" s="128"/>
      <c r="CX98" s="128"/>
      <c r="CY98" s="836"/>
      <c r="CZ98" s="129"/>
      <c r="DA98" s="128"/>
      <c r="DB98" s="129"/>
      <c r="DC98" s="128"/>
      <c r="DD98" s="836"/>
      <c r="DE98" s="129"/>
      <c r="DF98" s="128"/>
      <c r="DG98" s="129"/>
      <c r="DH98" s="128"/>
      <c r="DI98" s="836"/>
      <c r="DJ98" s="129"/>
      <c r="DK98" s="129"/>
      <c r="DL98" s="129"/>
      <c r="DM98" s="128"/>
      <c r="DN98" s="836"/>
      <c r="DO98" s="128"/>
      <c r="DP98" s="128"/>
      <c r="DQ98" s="129"/>
      <c r="DR98" s="129"/>
      <c r="DS98" s="836"/>
      <c r="DT98" s="129"/>
      <c r="DU98" s="129"/>
      <c r="DV98" s="129"/>
      <c r="DW98" s="129"/>
      <c r="DX98" s="836"/>
      <c r="DY98" s="129"/>
      <c r="DZ98" s="129"/>
      <c r="EA98" s="129"/>
      <c r="EB98" s="129"/>
      <c r="EC98" s="836"/>
      <c r="ED98" s="129"/>
      <c r="EE98" s="129"/>
      <c r="EF98" s="129"/>
      <c r="EG98" s="129"/>
      <c r="EH98" s="836"/>
      <c r="EI98" s="134"/>
      <c r="EJ98" s="128"/>
      <c r="EK98" s="128"/>
      <c r="EL98" s="128"/>
      <c r="EM98" s="836"/>
      <c r="EN98" s="128"/>
      <c r="EO98" s="128"/>
      <c r="EP98" s="128"/>
      <c r="EQ98" s="128"/>
      <c r="ER98" s="836"/>
      <c r="ES98" s="128"/>
      <c r="ET98" s="128"/>
      <c r="EU98" s="128"/>
      <c r="EV98" s="128"/>
      <c r="EW98" s="836"/>
      <c r="EX98" s="128"/>
      <c r="EY98" s="128"/>
      <c r="EZ98" s="128"/>
      <c r="FA98" s="128"/>
      <c r="FB98" s="836"/>
      <c r="FC98" s="128"/>
      <c r="FD98" s="128"/>
      <c r="FE98" s="128"/>
      <c r="FF98" s="128"/>
      <c r="FG98" s="836"/>
    </row>
    <row r="99" ht="12.75" customHeight="1">
      <c r="A99" s="128"/>
      <c r="B99" s="179" t="s">
        <v>632</v>
      </c>
      <c r="C99" s="179"/>
      <c r="D99" s="179"/>
      <c r="E99" s="179"/>
      <c r="F99" s="179"/>
      <c r="G99" s="179"/>
      <c r="H99" s="179"/>
      <c r="I99" s="179"/>
      <c r="J99" s="179"/>
      <c r="K99" s="179"/>
      <c r="L99" s="179"/>
      <c r="M99" s="179"/>
      <c r="N99" s="179"/>
      <c r="O99" s="179"/>
      <c r="P99" s="179"/>
      <c r="Q99" s="179"/>
      <c r="R99" s="57"/>
      <c r="S99" s="179"/>
      <c r="T99" s="179"/>
      <c r="U99" s="179"/>
      <c r="V99" s="179"/>
      <c r="W99" s="785"/>
      <c r="X99" s="128"/>
      <c r="Y99" s="128"/>
      <c r="Z99" s="128"/>
      <c r="AA99" s="128"/>
      <c r="AB99" s="837"/>
      <c r="AC99" s="128"/>
      <c r="AD99" s="128"/>
      <c r="AE99" s="128"/>
      <c r="AF99" s="128"/>
      <c r="AG99" s="837"/>
      <c r="AH99" s="128"/>
      <c r="AI99" s="128"/>
      <c r="AJ99" s="128"/>
      <c r="AK99" s="128"/>
      <c r="AL99" s="837"/>
      <c r="AM99" s="128"/>
      <c r="AN99" s="128"/>
      <c r="AO99" s="128"/>
      <c r="AP99" s="128"/>
      <c r="AQ99" s="837"/>
      <c r="AR99" s="128"/>
      <c r="AS99" s="128"/>
      <c r="AT99" s="128"/>
      <c r="AU99" s="128"/>
      <c r="AV99" s="837"/>
      <c r="AW99" s="128"/>
      <c r="AX99" s="128"/>
      <c r="AY99" s="128"/>
      <c r="AZ99" s="128"/>
      <c r="BA99" s="837"/>
      <c r="BB99" s="128"/>
      <c r="BC99" s="128"/>
      <c r="BD99" s="128"/>
      <c r="BE99" s="128"/>
      <c r="BF99" s="837"/>
      <c r="BG99" s="128"/>
      <c r="BH99" s="128"/>
      <c r="BI99" s="128"/>
      <c r="BJ99" s="128"/>
      <c r="BK99" s="837"/>
      <c r="BL99" s="128"/>
      <c r="BM99" s="128"/>
      <c r="BN99" s="128"/>
      <c r="BO99" s="128"/>
      <c r="BP99" s="837"/>
      <c r="BQ99" s="128"/>
      <c r="BR99" s="128"/>
      <c r="BS99" s="128"/>
      <c r="BT99" s="128"/>
      <c r="BU99" s="837"/>
      <c r="BV99" s="128"/>
      <c r="BW99" s="128"/>
      <c r="BX99" s="128"/>
      <c r="BY99" s="128"/>
      <c r="BZ99" s="837"/>
      <c r="CA99" s="128"/>
      <c r="CB99" s="128"/>
      <c r="CC99" s="128"/>
      <c r="CD99" s="128"/>
      <c r="CE99" s="837"/>
      <c r="CF99" s="128"/>
      <c r="CG99" s="128"/>
      <c r="CH99" s="128"/>
      <c r="CI99" s="128"/>
      <c r="CJ99" s="837"/>
      <c r="CK99" s="128"/>
      <c r="CL99" s="128"/>
      <c r="CM99" s="128"/>
      <c r="CN99" s="128"/>
      <c r="CO99" s="837"/>
      <c r="CP99" s="128"/>
      <c r="CQ99" s="128"/>
      <c r="CR99" s="128"/>
      <c r="CS99" s="128"/>
      <c r="CT99" s="836"/>
      <c r="CU99" s="128"/>
      <c r="CV99" s="128"/>
      <c r="CW99" s="128"/>
      <c r="CX99" s="128"/>
      <c r="CY99" s="836"/>
      <c r="CZ99" s="129"/>
      <c r="DA99" s="128"/>
      <c r="DB99" s="129"/>
      <c r="DC99" s="128"/>
      <c r="DD99" s="836"/>
      <c r="DE99" s="129"/>
      <c r="DF99" s="128"/>
      <c r="DG99" s="128">
        <v>700.0</v>
      </c>
      <c r="DH99" s="128">
        <v>700.0</v>
      </c>
      <c r="DI99" s="836"/>
      <c r="DJ99" s="883">
        <v>700.0</v>
      </c>
      <c r="DK99" s="883">
        <v>700.0</v>
      </c>
      <c r="DL99" s="883">
        <v>700.0</v>
      </c>
      <c r="DM99" s="883">
        <v>700.0</v>
      </c>
      <c r="DN99" s="836"/>
      <c r="DO99" s="904">
        <v>700.0</v>
      </c>
      <c r="DP99" s="904">
        <v>700.0</v>
      </c>
      <c r="DQ99" s="883">
        <v>700.0</v>
      </c>
      <c r="DR99" s="883">
        <v>700.0</v>
      </c>
      <c r="DS99" s="836"/>
      <c r="DT99" s="883">
        <v>700.0</v>
      </c>
      <c r="DU99" s="883"/>
      <c r="DV99" s="883"/>
      <c r="DW99" s="883"/>
      <c r="DX99" s="836"/>
      <c r="DY99" s="883"/>
      <c r="DZ99" s="883"/>
      <c r="EA99" s="883"/>
      <c r="EB99" s="883"/>
      <c r="EC99" s="836"/>
      <c r="ED99" s="883"/>
      <c r="EE99" s="883"/>
      <c r="EF99" s="883"/>
      <c r="EG99" s="883"/>
      <c r="EH99" s="836"/>
      <c r="EI99" s="134"/>
      <c r="EJ99" s="864"/>
      <c r="EK99" s="864"/>
      <c r="EL99" s="864"/>
      <c r="EM99" s="836"/>
      <c r="EN99" s="864"/>
      <c r="EO99" s="864"/>
      <c r="EP99" s="864"/>
      <c r="EQ99" s="864"/>
      <c r="ER99" s="836"/>
      <c r="ES99" s="864"/>
      <c r="ET99" s="864"/>
      <c r="EU99" s="864"/>
      <c r="EV99" s="864"/>
      <c r="EW99" s="836"/>
      <c r="EX99" s="864"/>
      <c r="EY99" s="864"/>
      <c r="EZ99" s="864"/>
      <c r="FA99" s="864"/>
      <c r="FB99" s="836"/>
      <c r="FC99" s="864"/>
      <c r="FD99" s="864"/>
      <c r="FE99" s="864"/>
      <c r="FF99" s="864"/>
      <c r="FG99" s="836"/>
    </row>
    <row r="100" ht="12.75" customHeight="1">
      <c r="A100" s="128"/>
      <c r="B100" s="179" t="s">
        <v>633</v>
      </c>
      <c r="C100" s="179"/>
      <c r="D100" s="179"/>
      <c r="E100" s="179"/>
      <c r="F100" s="179"/>
      <c r="G100" s="179"/>
      <c r="H100" s="179"/>
      <c r="I100" s="179"/>
      <c r="J100" s="179"/>
      <c r="K100" s="179"/>
      <c r="L100" s="179"/>
      <c r="M100" s="179"/>
      <c r="N100" s="179"/>
      <c r="O100" s="179"/>
      <c r="P100" s="179"/>
      <c r="Q100" s="179"/>
      <c r="R100" s="57"/>
      <c r="S100" s="179"/>
      <c r="T100" s="179"/>
      <c r="U100" s="179"/>
      <c r="V100" s="179"/>
      <c r="W100" s="785"/>
      <c r="X100" s="128"/>
      <c r="Y100" s="128"/>
      <c r="Z100" s="128"/>
      <c r="AA100" s="128"/>
      <c r="AB100" s="837"/>
      <c r="AC100" s="128"/>
      <c r="AD100" s="128"/>
      <c r="AE100" s="128"/>
      <c r="AF100" s="128"/>
      <c r="AG100" s="837"/>
      <c r="AH100" s="128"/>
      <c r="AI100" s="128"/>
      <c r="AJ100" s="128"/>
      <c r="AK100" s="128"/>
      <c r="AL100" s="837"/>
      <c r="AM100" s="128"/>
      <c r="AN100" s="128"/>
      <c r="AO100" s="128"/>
      <c r="AP100" s="128"/>
      <c r="AQ100" s="837"/>
      <c r="AR100" s="128"/>
      <c r="AS100" s="128"/>
      <c r="AT100" s="128"/>
      <c r="AU100" s="128"/>
      <c r="AV100" s="837"/>
      <c r="AW100" s="128"/>
      <c r="AX100" s="128"/>
      <c r="AY100" s="128"/>
      <c r="AZ100" s="128"/>
      <c r="BA100" s="837"/>
      <c r="BB100" s="128"/>
      <c r="BC100" s="128"/>
      <c r="BD100" s="128"/>
      <c r="BE100" s="128"/>
      <c r="BF100" s="837"/>
      <c r="BG100" s="128"/>
      <c r="BH100" s="128"/>
      <c r="BI100" s="128"/>
      <c r="BJ100" s="128"/>
      <c r="BK100" s="837"/>
      <c r="BL100" s="128"/>
      <c r="BM100" s="128"/>
      <c r="BN100" s="128"/>
      <c r="BO100" s="128"/>
      <c r="BP100" s="837"/>
      <c r="BQ100" s="128"/>
      <c r="BR100" s="128"/>
      <c r="BS100" s="128"/>
      <c r="BT100" s="128"/>
      <c r="BU100" s="837"/>
      <c r="BV100" s="128"/>
      <c r="BW100" s="128"/>
      <c r="BX100" s="128"/>
      <c r="BY100" s="128"/>
      <c r="BZ100" s="837"/>
      <c r="CA100" s="128"/>
      <c r="CB100" s="128"/>
      <c r="CC100" s="128"/>
      <c r="CD100" s="128"/>
      <c r="CE100" s="837"/>
      <c r="CF100" s="128"/>
      <c r="CG100" s="128"/>
      <c r="CH100" s="128"/>
      <c r="CI100" s="128"/>
      <c r="CJ100" s="837"/>
      <c r="CK100" s="128"/>
      <c r="CL100" s="128"/>
      <c r="CM100" s="128"/>
      <c r="CN100" s="128"/>
      <c r="CO100" s="837"/>
      <c r="CP100" s="128"/>
      <c r="CQ100" s="128"/>
      <c r="CR100" s="128"/>
      <c r="CS100" s="128"/>
      <c r="CT100" s="836"/>
      <c r="CU100" s="128"/>
      <c r="CV100" s="128"/>
      <c r="CW100" s="128"/>
      <c r="CX100" s="128"/>
      <c r="CY100" s="836"/>
      <c r="CZ100" s="129"/>
      <c r="DA100" s="128"/>
      <c r="DB100" s="129"/>
      <c r="DC100" s="128"/>
      <c r="DD100" s="836"/>
      <c r="DE100" s="129"/>
      <c r="DF100" s="128"/>
      <c r="DG100" s="128">
        <v>800.0</v>
      </c>
      <c r="DH100" s="128">
        <v>800.0</v>
      </c>
      <c r="DI100" s="836"/>
      <c r="DJ100" s="883">
        <v>800.0</v>
      </c>
      <c r="DK100" s="883">
        <v>800.0</v>
      </c>
      <c r="DL100" s="883">
        <v>800.0</v>
      </c>
      <c r="DM100" s="883">
        <v>800.0</v>
      </c>
      <c r="DN100" s="836"/>
      <c r="DO100" s="904">
        <v>800.0</v>
      </c>
      <c r="DP100" s="904">
        <v>800.0</v>
      </c>
      <c r="DQ100" s="883">
        <v>800.0</v>
      </c>
      <c r="DR100" s="883">
        <v>800.0</v>
      </c>
      <c r="DS100" s="836"/>
      <c r="DT100" s="883">
        <v>800.0</v>
      </c>
      <c r="DU100" s="883">
        <v>800.0</v>
      </c>
      <c r="DV100" s="883">
        <v>800.0</v>
      </c>
      <c r="DW100" s="883">
        <v>800.0</v>
      </c>
      <c r="DX100" s="836"/>
      <c r="DY100" s="883">
        <v>800.0</v>
      </c>
      <c r="DZ100" s="883">
        <f t="shared" ref="DZ100:EA100" si="417">DY100</f>
        <v>800</v>
      </c>
      <c r="EA100" s="883">
        <f t="shared" si="417"/>
        <v>800</v>
      </c>
      <c r="EB100" s="883">
        <v>800.0</v>
      </c>
      <c r="EC100" s="836"/>
      <c r="ED100" s="883">
        <f>EB100</f>
        <v>800</v>
      </c>
      <c r="EE100" s="883">
        <v>0.0</v>
      </c>
      <c r="EF100" s="883"/>
      <c r="EG100" s="883"/>
      <c r="EH100" s="836"/>
      <c r="EI100" s="134"/>
      <c r="EJ100" s="864"/>
      <c r="EK100" s="864"/>
      <c r="EL100" s="864"/>
      <c r="EM100" s="836"/>
      <c r="EN100" s="864"/>
      <c r="EO100" s="864"/>
      <c r="EP100" s="864"/>
      <c r="EQ100" s="864"/>
      <c r="ER100" s="836"/>
      <c r="ES100" s="864"/>
      <c r="ET100" s="864"/>
      <c r="EU100" s="864"/>
      <c r="EV100" s="864"/>
      <c r="EW100" s="836"/>
      <c r="EX100" s="864"/>
      <c r="EY100" s="864"/>
      <c r="EZ100" s="864"/>
      <c r="FA100" s="864"/>
      <c r="FB100" s="836"/>
      <c r="FC100" s="864"/>
      <c r="FD100" s="864"/>
      <c r="FE100" s="864"/>
      <c r="FF100" s="864"/>
      <c r="FG100" s="836"/>
    </row>
    <row r="101" ht="12.75" customHeight="1">
      <c r="A101" s="128"/>
      <c r="B101" s="179" t="s">
        <v>634</v>
      </c>
      <c r="C101" s="179"/>
      <c r="D101" s="179"/>
      <c r="E101" s="179"/>
      <c r="F101" s="179"/>
      <c r="G101" s="179"/>
      <c r="H101" s="179"/>
      <c r="I101" s="179"/>
      <c r="J101" s="179"/>
      <c r="K101" s="179"/>
      <c r="L101" s="179"/>
      <c r="M101" s="179"/>
      <c r="N101" s="179"/>
      <c r="O101" s="179"/>
      <c r="P101" s="179"/>
      <c r="Q101" s="179"/>
      <c r="R101" s="57"/>
      <c r="S101" s="179"/>
      <c r="T101" s="179"/>
      <c r="U101" s="179"/>
      <c r="V101" s="179"/>
      <c r="W101" s="785"/>
      <c r="X101" s="128"/>
      <c r="Y101" s="128"/>
      <c r="Z101" s="128"/>
      <c r="AA101" s="128"/>
      <c r="AB101" s="837"/>
      <c r="AC101" s="128"/>
      <c r="AD101" s="128"/>
      <c r="AE101" s="128"/>
      <c r="AF101" s="128"/>
      <c r="AG101" s="837"/>
      <c r="AH101" s="128"/>
      <c r="AI101" s="128"/>
      <c r="AJ101" s="128"/>
      <c r="AK101" s="128"/>
      <c r="AL101" s="837"/>
      <c r="AM101" s="128"/>
      <c r="AN101" s="128"/>
      <c r="AO101" s="128"/>
      <c r="AP101" s="128"/>
      <c r="AQ101" s="837"/>
      <c r="AR101" s="128"/>
      <c r="AS101" s="128"/>
      <c r="AT101" s="128"/>
      <c r="AU101" s="128"/>
      <c r="AV101" s="837"/>
      <c r="AW101" s="128"/>
      <c r="AX101" s="128"/>
      <c r="AY101" s="128"/>
      <c r="AZ101" s="128"/>
      <c r="BA101" s="837"/>
      <c r="BB101" s="128"/>
      <c r="BC101" s="128"/>
      <c r="BD101" s="128"/>
      <c r="BE101" s="128"/>
      <c r="BF101" s="837"/>
      <c r="BG101" s="128"/>
      <c r="BH101" s="128"/>
      <c r="BI101" s="128"/>
      <c r="BJ101" s="128"/>
      <c r="BK101" s="837"/>
      <c r="BL101" s="128"/>
      <c r="BM101" s="128"/>
      <c r="BN101" s="128"/>
      <c r="BO101" s="128"/>
      <c r="BP101" s="837"/>
      <c r="BQ101" s="128"/>
      <c r="BR101" s="128"/>
      <c r="BS101" s="128"/>
      <c r="BT101" s="128"/>
      <c r="BU101" s="837"/>
      <c r="BV101" s="128"/>
      <c r="BW101" s="128"/>
      <c r="BX101" s="128"/>
      <c r="BY101" s="128"/>
      <c r="BZ101" s="837"/>
      <c r="CA101" s="128"/>
      <c r="CB101" s="128"/>
      <c r="CC101" s="128"/>
      <c r="CD101" s="128"/>
      <c r="CE101" s="837"/>
      <c r="CF101" s="128"/>
      <c r="CG101" s="128"/>
      <c r="CH101" s="128"/>
      <c r="CI101" s="128"/>
      <c r="CJ101" s="837"/>
      <c r="CK101" s="128"/>
      <c r="CL101" s="128"/>
      <c r="CM101" s="128"/>
      <c r="CN101" s="128"/>
      <c r="CO101" s="837"/>
      <c r="CP101" s="128"/>
      <c r="CQ101" s="128"/>
      <c r="CR101" s="128"/>
      <c r="CS101" s="128"/>
      <c r="CT101" s="836"/>
      <c r="CU101" s="128"/>
      <c r="CV101" s="128"/>
      <c r="CW101" s="128"/>
      <c r="CX101" s="128"/>
      <c r="CY101" s="836"/>
      <c r="CZ101" s="129"/>
      <c r="DA101" s="128"/>
      <c r="DB101" s="129"/>
      <c r="DC101" s="128"/>
      <c r="DD101" s="836"/>
      <c r="DE101" s="129"/>
      <c r="DF101" s="128"/>
      <c r="DG101" s="128">
        <v>0.0</v>
      </c>
      <c r="DH101" s="128">
        <v>0.0</v>
      </c>
      <c r="DI101" s="836"/>
      <c r="DJ101" s="129"/>
      <c r="DK101" s="129"/>
      <c r="DL101" s="129"/>
      <c r="DM101" s="129"/>
      <c r="DN101" s="836"/>
      <c r="DO101" s="864"/>
      <c r="DP101" s="864"/>
      <c r="DQ101" s="129"/>
      <c r="DR101" s="129"/>
      <c r="DS101" s="836"/>
      <c r="DT101" s="129"/>
      <c r="DU101" s="129"/>
      <c r="DV101" s="129"/>
      <c r="DW101" s="129"/>
      <c r="DX101" s="836"/>
      <c r="DY101" s="129"/>
      <c r="DZ101" s="129"/>
      <c r="EA101" s="129"/>
      <c r="EB101" s="129"/>
      <c r="EC101" s="836"/>
      <c r="ED101" s="129"/>
      <c r="EE101" s="129"/>
      <c r="EF101" s="129"/>
      <c r="EG101" s="129"/>
      <c r="EH101" s="836"/>
      <c r="EI101" s="134"/>
      <c r="EJ101" s="864"/>
      <c r="EK101" s="864"/>
      <c r="EL101" s="864"/>
      <c r="EM101" s="836"/>
      <c r="EN101" s="864"/>
      <c r="EO101" s="864"/>
      <c r="EP101" s="864"/>
      <c r="EQ101" s="864"/>
      <c r="ER101" s="836"/>
      <c r="ES101" s="864"/>
      <c r="ET101" s="864"/>
      <c r="EU101" s="864"/>
      <c r="EV101" s="864"/>
      <c r="EW101" s="836"/>
      <c r="EX101" s="864"/>
      <c r="EY101" s="864"/>
      <c r="EZ101" s="864"/>
      <c r="FA101" s="864"/>
      <c r="FB101" s="836"/>
      <c r="FC101" s="864"/>
      <c r="FD101" s="864"/>
      <c r="FE101" s="864"/>
      <c r="FF101" s="864"/>
      <c r="FG101" s="836"/>
    </row>
    <row r="102" ht="12.75" customHeight="1">
      <c r="A102" s="128"/>
      <c r="B102" s="179" t="s">
        <v>635</v>
      </c>
      <c r="C102" s="179"/>
      <c r="D102" s="179"/>
      <c r="E102" s="179"/>
      <c r="F102" s="179"/>
      <c r="G102" s="179"/>
      <c r="H102" s="179"/>
      <c r="I102" s="179"/>
      <c r="J102" s="179"/>
      <c r="K102" s="179"/>
      <c r="L102" s="179"/>
      <c r="M102" s="179"/>
      <c r="N102" s="179"/>
      <c r="O102" s="179"/>
      <c r="P102" s="179"/>
      <c r="Q102" s="179"/>
      <c r="R102" s="57"/>
      <c r="S102" s="179"/>
      <c r="T102" s="179"/>
      <c r="U102" s="179"/>
      <c r="V102" s="179"/>
      <c r="W102" s="785"/>
      <c r="X102" s="128"/>
      <c r="Y102" s="128"/>
      <c r="Z102" s="128"/>
      <c r="AA102" s="128"/>
      <c r="AB102" s="837"/>
      <c r="AC102" s="128"/>
      <c r="AD102" s="128"/>
      <c r="AE102" s="128"/>
      <c r="AF102" s="128"/>
      <c r="AG102" s="837"/>
      <c r="AH102" s="128"/>
      <c r="AI102" s="128"/>
      <c r="AJ102" s="128"/>
      <c r="AK102" s="128"/>
      <c r="AL102" s="837"/>
      <c r="AM102" s="128"/>
      <c r="AN102" s="128"/>
      <c r="AO102" s="128"/>
      <c r="AP102" s="128"/>
      <c r="AQ102" s="837"/>
      <c r="AR102" s="128"/>
      <c r="AS102" s="128"/>
      <c r="AT102" s="128"/>
      <c r="AU102" s="128"/>
      <c r="AV102" s="837"/>
      <c r="AW102" s="128"/>
      <c r="AX102" s="128"/>
      <c r="AY102" s="128"/>
      <c r="AZ102" s="128"/>
      <c r="BA102" s="837"/>
      <c r="BB102" s="128"/>
      <c r="BC102" s="128"/>
      <c r="BD102" s="128"/>
      <c r="BE102" s="128"/>
      <c r="BF102" s="837"/>
      <c r="BG102" s="128"/>
      <c r="BH102" s="128"/>
      <c r="BI102" s="128"/>
      <c r="BJ102" s="128"/>
      <c r="BK102" s="837"/>
      <c r="BL102" s="128"/>
      <c r="BM102" s="128"/>
      <c r="BN102" s="128"/>
      <c r="BO102" s="128"/>
      <c r="BP102" s="837"/>
      <c r="BQ102" s="128"/>
      <c r="BR102" s="128"/>
      <c r="BS102" s="128"/>
      <c r="BT102" s="128"/>
      <c r="BU102" s="837"/>
      <c r="BV102" s="128"/>
      <c r="BW102" s="128"/>
      <c r="BX102" s="128"/>
      <c r="BY102" s="128"/>
      <c r="BZ102" s="837"/>
      <c r="CA102" s="128"/>
      <c r="CB102" s="128"/>
      <c r="CC102" s="128"/>
      <c r="CD102" s="128"/>
      <c r="CE102" s="837"/>
      <c r="CF102" s="128"/>
      <c r="CG102" s="128"/>
      <c r="CH102" s="128"/>
      <c r="CI102" s="128"/>
      <c r="CJ102" s="837"/>
      <c r="CK102" s="128"/>
      <c r="CL102" s="128"/>
      <c r="CM102" s="128"/>
      <c r="CN102" s="128"/>
      <c r="CO102" s="837"/>
      <c r="CP102" s="128"/>
      <c r="CQ102" s="128"/>
      <c r="CR102" s="128"/>
      <c r="CS102" s="128"/>
      <c r="CT102" s="836"/>
      <c r="CU102" s="128"/>
      <c r="CV102" s="128"/>
      <c r="CW102" s="128"/>
      <c r="CX102" s="128"/>
      <c r="CY102" s="836"/>
      <c r="CZ102" s="129"/>
      <c r="DA102" s="128"/>
      <c r="DB102" s="129"/>
      <c r="DC102" s="128"/>
      <c r="DD102" s="836"/>
      <c r="DE102" s="129"/>
      <c r="DF102" s="128"/>
      <c r="DG102" s="864">
        <v>3000.0</v>
      </c>
      <c r="DH102" s="128">
        <v>0.0</v>
      </c>
      <c r="DI102" s="836"/>
      <c r="DJ102" s="129"/>
      <c r="DK102" s="129"/>
      <c r="DL102" s="129"/>
      <c r="DM102" s="129"/>
      <c r="DN102" s="836"/>
      <c r="DO102" s="864"/>
      <c r="DP102" s="864"/>
      <c r="DQ102" s="129"/>
      <c r="DR102" s="129"/>
      <c r="DS102" s="836"/>
      <c r="DT102" s="129"/>
      <c r="DU102" s="129"/>
      <c r="DV102" s="129"/>
      <c r="DW102" s="129"/>
      <c r="DX102" s="836"/>
      <c r="DY102" s="129"/>
      <c r="DZ102" s="129"/>
      <c r="EA102" s="129"/>
      <c r="EB102" s="129"/>
      <c r="EC102" s="836"/>
      <c r="ED102" s="129"/>
      <c r="EE102" s="129"/>
      <c r="EF102" s="129"/>
      <c r="EG102" s="129"/>
      <c r="EH102" s="836"/>
      <c r="EI102" s="134"/>
      <c r="EJ102" s="864"/>
      <c r="EK102" s="864"/>
      <c r="EL102" s="864"/>
      <c r="EM102" s="836"/>
      <c r="EN102" s="864"/>
      <c r="EO102" s="864"/>
      <c r="EP102" s="864"/>
      <c r="EQ102" s="864"/>
      <c r="ER102" s="836"/>
      <c r="ES102" s="864"/>
      <c r="ET102" s="864"/>
      <c r="EU102" s="864"/>
      <c r="EV102" s="864"/>
      <c r="EW102" s="836"/>
      <c r="EX102" s="864"/>
      <c r="EY102" s="864"/>
      <c r="EZ102" s="864"/>
      <c r="FA102" s="864"/>
      <c r="FB102" s="836"/>
      <c r="FC102" s="864"/>
      <c r="FD102" s="864"/>
      <c r="FE102" s="864"/>
      <c r="FF102" s="864"/>
      <c r="FG102" s="836"/>
    </row>
    <row r="103" ht="12.75" customHeight="1">
      <c r="A103" s="128"/>
      <c r="B103" s="179" t="s">
        <v>636</v>
      </c>
      <c r="C103" s="179"/>
      <c r="D103" s="179"/>
      <c r="E103" s="179"/>
      <c r="F103" s="179"/>
      <c r="G103" s="179"/>
      <c r="H103" s="179"/>
      <c r="I103" s="179"/>
      <c r="J103" s="179"/>
      <c r="K103" s="179"/>
      <c r="L103" s="179"/>
      <c r="M103" s="179"/>
      <c r="N103" s="179"/>
      <c r="O103" s="179"/>
      <c r="P103" s="179"/>
      <c r="Q103" s="179"/>
      <c r="R103" s="57"/>
      <c r="S103" s="179"/>
      <c r="T103" s="179"/>
      <c r="U103" s="179"/>
      <c r="V103" s="179"/>
      <c r="W103" s="785"/>
      <c r="X103" s="128"/>
      <c r="Y103" s="128"/>
      <c r="Z103" s="128"/>
      <c r="AA103" s="128"/>
      <c r="AB103" s="837"/>
      <c r="AC103" s="128"/>
      <c r="AD103" s="128"/>
      <c r="AE103" s="128"/>
      <c r="AF103" s="128"/>
      <c r="AG103" s="837"/>
      <c r="AH103" s="128"/>
      <c r="AI103" s="128"/>
      <c r="AJ103" s="128"/>
      <c r="AK103" s="128"/>
      <c r="AL103" s="837"/>
      <c r="AM103" s="128"/>
      <c r="AN103" s="128"/>
      <c r="AO103" s="128"/>
      <c r="AP103" s="128"/>
      <c r="AQ103" s="837"/>
      <c r="AR103" s="128"/>
      <c r="AS103" s="128"/>
      <c r="AT103" s="128"/>
      <c r="AU103" s="128"/>
      <c r="AV103" s="837"/>
      <c r="AW103" s="128"/>
      <c r="AX103" s="128"/>
      <c r="AY103" s="128"/>
      <c r="AZ103" s="128"/>
      <c r="BA103" s="837"/>
      <c r="BB103" s="128"/>
      <c r="BC103" s="128"/>
      <c r="BD103" s="128"/>
      <c r="BE103" s="128"/>
      <c r="BF103" s="837"/>
      <c r="BG103" s="128"/>
      <c r="BH103" s="128"/>
      <c r="BI103" s="128"/>
      <c r="BJ103" s="128"/>
      <c r="BK103" s="837"/>
      <c r="BL103" s="128"/>
      <c r="BM103" s="128"/>
      <c r="BN103" s="128"/>
      <c r="BO103" s="128"/>
      <c r="BP103" s="837"/>
      <c r="BQ103" s="128"/>
      <c r="BR103" s="128"/>
      <c r="BS103" s="128"/>
      <c r="BT103" s="128"/>
      <c r="BU103" s="837"/>
      <c r="BV103" s="128"/>
      <c r="BW103" s="128"/>
      <c r="BX103" s="128"/>
      <c r="BY103" s="128"/>
      <c r="BZ103" s="837"/>
      <c r="CA103" s="128"/>
      <c r="CB103" s="128"/>
      <c r="CC103" s="128"/>
      <c r="CD103" s="128"/>
      <c r="CE103" s="837"/>
      <c r="CF103" s="128"/>
      <c r="CG103" s="128"/>
      <c r="CH103" s="128"/>
      <c r="CI103" s="128"/>
      <c r="CJ103" s="837"/>
      <c r="CK103" s="128"/>
      <c r="CL103" s="128"/>
      <c r="CM103" s="128"/>
      <c r="CN103" s="128"/>
      <c r="CO103" s="837"/>
      <c r="CP103" s="128"/>
      <c r="CQ103" s="128"/>
      <c r="CR103" s="128"/>
      <c r="CS103" s="128"/>
      <c r="CT103" s="836"/>
      <c r="CU103" s="128"/>
      <c r="CV103" s="128"/>
      <c r="CW103" s="128"/>
      <c r="CX103" s="128"/>
      <c r="CY103" s="836"/>
      <c r="CZ103" s="129"/>
      <c r="DA103" s="128"/>
      <c r="DB103" s="129"/>
      <c r="DC103" s="128"/>
      <c r="DD103" s="836"/>
      <c r="DE103" s="129"/>
      <c r="DF103" s="128"/>
      <c r="DG103" s="128">
        <v>602.0</v>
      </c>
      <c r="DH103" s="128">
        <v>602.0</v>
      </c>
      <c r="DI103" s="836"/>
      <c r="DJ103" s="883">
        <v>602.0</v>
      </c>
      <c r="DK103" s="883">
        <v>602.0</v>
      </c>
      <c r="DL103" s="883">
        <v>602.0</v>
      </c>
      <c r="DM103" s="904">
        <v>0.0</v>
      </c>
      <c r="DN103" s="836"/>
      <c r="DO103" s="904">
        <v>602.0</v>
      </c>
      <c r="DP103" s="904">
        <v>602.0</v>
      </c>
      <c r="DQ103" s="883">
        <v>602.0</v>
      </c>
      <c r="DR103" s="883"/>
      <c r="DS103" s="836"/>
      <c r="DT103" s="883"/>
      <c r="DU103" s="883"/>
      <c r="DV103" s="883"/>
      <c r="DW103" s="883"/>
      <c r="DX103" s="836"/>
      <c r="DY103" s="883"/>
      <c r="DZ103" s="883"/>
      <c r="EA103" s="883"/>
      <c r="EB103" s="883"/>
      <c r="EC103" s="836"/>
      <c r="ED103" s="883"/>
      <c r="EE103" s="883"/>
      <c r="EF103" s="883"/>
      <c r="EG103" s="883"/>
      <c r="EH103" s="836"/>
      <c r="EI103" s="134"/>
      <c r="EJ103" s="864"/>
      <c r="EK103" s="864"/>
      <c r="EL103" s="864"/>
      <c r="EM103" s="836"/>
      <c r="EN103" s="864"/>
      <c r="EO103" s="864"/>
      <c r="EP103" s="864"/>
      <c r="EQ103" s="864"/>
      <c r="ER103" s="836"/>
      <c r="ES103" s="864"/>
      <c r="ET103" s="864"/>
      <c r="EU103" s="864"/>
      <c r="EV103" s="864"/>
      <c r="EW103" s="836"/>
      <c r="EX103" s="864"/>
      <c r="EY103" s="864"/>
      <c r="EZ103" s="864"/>
      <c r="FA103" s="864"/>
      <c r="FB103" s="836"/>
      <c r="FC103" s="864"/>
      <c r="FD103" s="864"/>
      <c r="FE103" s="864"/>
      <c r="FF103" s="864"/>
      <c r="FG103" s="836"/>
    </row>
    <row r="104" ht="12.75" customHeight="1">
      <c r="A104" s="128"/>
      <c r="B104" s="179" t="s">
        <v>637</v>
      </c>
      <c r="C104" s="179"/>
      <c r="D104" s="179"/>
      <c r="E104" s="179"/>
      <c r="F104" s="179"/>
      <c r="G104" s="179"/>
      <c r="H104" s="179"/>
      <c r="I104" s="179"/>
      <c r="J104" s="179"/>
      <c r="K104" s="179"/>
      <c r="L104" s="179"/>
      <c r="M104" s="179"/>
      <c r="N104" s="179"/>
      <c r="O104" s="179"/>
      <c r="P104" s="179"/>
      <c r="Q104" s="179"/>
      <c r="R104" s="57"/>
      <c r="S104" s="179"/>
      <c r="T104" s="179"/>
      <c r="U104" s="179"/>
      <c r="V104" s="179"/>
      <c r="W104" s="785"/>
      <c r="X104" s="128"/>
      <c r="Y104" s="128"/>
      <c r="Z104" s="128"/>
      <c r="AA104" s="128"/>
      <c r="AB104" s="837"/>
      <c r="AC104" s="128"/>
      <c r="AD104" s="128"/>
      <c r="AE104" s="128"/>
      <c r="AF104" s="128"/>
      <c r="AG104" s="837"/>
      <c r="AH104" s="128"/>
      <c r="AI104" s="128"/>
      <c r="AJ104" s="128"/>
      <c r="AK104" s="128"/>
      <c r="AL104" s="837"/>
      <c r="AM104" s="128"/>
      <c r="AN104" s="128"/>
      <c r="AO104" s="128"/>
      <c r="AP104" s="128"/>
      <c r="AQ104" s="837"/>
      <c r="AR104" s="128"/>
      <c r="AS104" s="128"/>
      <c r="AT104" s="128"/>
      <c r="AU104" s="128"/>
      <c r="AV104" s="837"/>
      <c r="AW104" s="128"/>
      <c r="AX104" s="128"/>
      <c r="AY104" s="128"/>
      <c r="AZ104" s="128"/>
      <c r="BA104" s="837"/>
      <c r="BB104" s="128"/>
      <c r="BC104" s="128"/>
      <c r="BD104" s="128"/>
      <c r="BE104" s="128"/>
      <c r="BF104" s="837"/>
      <c r="BG104" s="128"/>
      <c r="BH104" s="128"/>
      <c r="BI104" s="128"/>
      <c r="BJ104" s="128"/>
      <c r="BK104" s="837"/>
      <c r="BL104" s="128"/>
      <c r="BM104" s="128"/>
      <c r="BN104" s="128"/>
      <c r="BO104" s="128"/>
      <c r="BP104" s="837"/>
      <c r="BQ104" s="128"/>
      <c r="BR104" s="128"/>
      <c r="BS104" s="128"/>
      <c r="BT104" s="128"/>
      <c r="BU104" s="837"/>
      <c r="BV104" s="128"/>
      <c r="BW104" s="128"/>
      <c r="BX104" s="128"/>
      <c r="BY104" s="128"/>
      <c r="BZ104" s="837"/>
      <c r="CA104" s="128"/>
      <c r="CB104" s="128"/>
      <c r="CC104" s="128"/>
      <c r="CD104" s="128"/>
      <c r="CE104" s="837"/>
      <c r="CF104" s="128"/>
      <c r="CG104" s="128"/>
      <c r="CH104" s="128"/>
      <c r="CI104" s="128"/>
      <c r="CJ104" s="837"/>
      <c r="CK104" s="128"/>
      <c r="CL104" s="128"/>
      <c r="CM104" s="128"/>
      <c r="CN104" s="128"/>
      <c r="CO104" s="837"/>
      <c r="CP104" s="128"/>
      <c r="CQ104" s="128"/>
      <c r="CR104" s="128"/>
      <c r="CS104" s="128"/>
      <c r="CT104" s="836"/>
      <c r="CU104" s="128"/>
      <c r="CV104" s="128"/>
      <c r="CW104" s="128"/>
      <c r="CX104" s="128"/>
      <c r="CY104" s="836"/>
      <c r="CZ104" s="129"/>
      <c r="DA104" s="128"/>
      <c r="DB104" s="129"/>
      <c r="DC104" s="128"/>
      <c r="DD104" s="836"/>
      <c r="DE104" s="129"/>
      <c r="DF104" s="128"/>
      <c r="DG104" s="128">
        <v>196.0</v>
      </c>
      <c r="DH104" s="128">
        <v>196.0</v>
      </c>
      <c r="DI104" s="836"/>
      <c r="DJ104" s="883">
        <v>196.0</v>
      </c>
      <c r="DK104" s="883">
        <v>196.0</v>
      </c>
      <c r="DL104" s="883">
        <v>196.0</v>
      </c>
      <c r="DM104" s="883">
        <v>196.0</v>
      </c>
      <c r="DN104" s="836"/>
      <c r="DO104" s="904">
        <v>196.0</v>
      </c>
      <c r="DP104" s="904">
        <v>196.0</v>
      </c>
      <c r="DQ104" s="883">
        <v>196.0</v>
      </c>
      <c r="DR104" s="883"/>
      <c r="DS104" s="836"/>
      <c r="DT104" s="883"/>
      <c r="DU104" s="883"/>
      <c r="DV104" s="883"/>
      <c r="DW104" s="883"/>
      <c r="DX104" s="836"/>
      <c r="DY104" s="883"/>
      <c r="DZ104" s="883"/>
      <c r="EA104" s="883"/>
      <c r="EB104" s="883"/>
      <c r="EC104" s="836"/>
      <c r="ED104" s="883"/>
      <c r="EE104" s="883"/>
      <c r="EF104" s="883"/>
      <c r="EG104" s="883"/>
      <c r="EH104" s="836"/>
      <c r="EI104" s="134"/>
      <c r="EJ104" s="864"/>
      <c r="EK104" s="864"/>
      <c r="EL104" s="864"/>
      <c r="EM104" s="836"/>
      <c r="EN104" s="864"/>
      <c r="EO104" s="864"/>
      <c r="EP104" s="864"/>
      <c r="EQ104" s="864"/>
      <c r="ER104" s="836"/>
      <c r="ES104" s="864"/>
      <c r="ET104" s="864"/>
      <c r="EU104" s="864"/>
      <c r="EV104" s="864"/>
      <c r="EW104" s="836"/>
      <c r="EX104" s="864"/>
      <c r="EY104" s="864"/>
      <c r="EZ104" s="864"/>
      <c r="FA104" s="864"/>
      <c r="FB104" s="836"/>
      <c r="FC104" s="864"/>
      <c r="FD104" s="864"/>
      <c r="FE104" s="864"/>
      <c r="FF104" s="864"/>
      <c r="FG104" s="836"/>
    </row>
    <row r="105" ht="12.75" customHeight="1">
      <c r="A105" s="128"/>
      <c r="B105" s="179" t="s">
        <v>638</v>
      </c>
      <c r="C105" s="179"/>
      <c r="D105" s="179"/>
      <c r="E105" s="179"/>
      <c r="F105" s="179"/>
      <c r="G105" s="179"/>
      <c r="H105" s="179"/>
      <c r="I105" s="179"/>
      <c r="J105" s="179"/>
      <c r="K105" s="179"/>
      <c r="L105" s="179"/>
      <c r="M105" s="179"/>
      <c r="N105" s="179"/>
      <c r="O105" s="179"/>
      <c r="P105" s="179"/>
      <c r="Q105" s="179"/>
      <c r="R105" s="57"/>
      <c r="S105" s="179"/>
      <c r="T105" s="179"/>
      <c r="U105" s="179"/>
      <c r="V105" s="179"/>
      <c r="W105" s="785"/>
      <c r="X105" s="128"/>
      <c r="Y105" s="128"/>
      <c r="Z105" s="128"/>
      <c r="AA105" s="128"/>
      <c r="AB105" s="837"/>
      <c r="AC105" s="128"/>
      <c r="AD105" s="128"/>
      <c r="AE105" s="128"/>
      <c r="AF105" s="128"/>
      <c r="AG105" s="837"/>
      <c r="AH105" s="128"/>
      <c r="AI105" s="128"/>
      <c r="AJ105" s="128"/>
      <c r="AK105" s="128"/>
      <c r="AL105" s="837"/>
      <c r="AM105" s="128"/>
      <c r="AN105" s="128"/>
      <c r="AO105" s="128"/>
      <c r="AP105" s="128"/>
      <c r="AQ105" s="837"/>
      <c r="AR105" s="128"/>
      <c r="AS105" s="128"/>
      <c r="AT105" s="128"/>
      <c r="AU105" s="128"/>
      <c r="AV105" s="837"/>
      <c r="AW105" s="128"/>
      <c r="AX105" s="128"/>
      <c r="AY105" s="128"/>
      <c r="AZ105" s="128"/>
      <c r="BA105" s="837"/>
      <c r="BB105" s="128"/>
      <c r="BC105" s="128"/>
      <c r="BD105" s="128"/>
      <c r="BE105" s="128"/>
      <c r="BF105" s="837"/>
      <c r="BG105" s="128"/>
      <c r="BH105" s="128"/>
      <c r="BI105" s="128"/>
      <c r="BJ105" s="128"/>
      <c r="BK105" s="837"/>
      <c r="BL105" s="128"/>
      <c r="BM105" s="128"/>
      <c r="BN105" s="128"/>
      <c r="BO105" s="128"/>
      <c r="BP105" s="837"/>
      <c r="BQ105" s="128"/>
      <c r="BR105" s="128"/>
      <c r="BS105" s="128"/>
      <c r="BT105" s="128"/>
      <c r="BU105" s="837"/>
      <c r="BV105" s="128"/>
      <c r="BW105" s="128"/>
      <c r="BX105" s="128"/>
      <c r="BY105" s="128"/>
      <c r="BZ105" s="837"/>
      <c r="CA105" s="128"/>
      <c r="CB105" s="128"/>
      <c r="CC105" s="128"/>
      <c r="CD105" s="128"/>
      <c r="CE105" s="837"/>
      <c r="CF105" s="128"/>
      <c r="CG105" s="128"/>
      <c r="CH105" s="128"/>
      <c r="CI105" s="128"/>
      <c r="CJ105" s="837"/>
      <c r="CK105" s="128"/>
      <c r="CL105" s="128"/>
      <c r="CM105" s="128"/>
      <c r="CN105" s="128"/>
      <c r="CO105" s="837"/>
      <c r="CP105" s="128"/>
      <c r="CQ105" s="128"/>
      <c r="CR105" s="128"/>
      <c r="CS105" s="128"/>
      <c r="CT105" s="836"/>
      <c r="CU105" s="128"/>
      <c r="CV105" s="128"/>
      <c r="CW105" s="128"/>
      <c r="CX105" s="128"/>
      <c r="CY105" s="836"/>
      <c r="CZ105" s="129"/>
      <c r="DA105" s="128"/>
      <c r="DB105" s="129"/>
      <c r="DC105" s="128"/>
      <c r="DD105" s="836"/>
      <c r="DE105" s="129"/>
      <c r="DF105" s="128"/>
      <c r="DG105" s="128">
        <v>1000.0</v>
      </c>
      <c r="DH105" s="128">
        <v>1000.0</v>
      </c>
      <c r="DI105" s="836"/>
      <c r="DJ105" s="883">
        <v>1000.0</v>
      </c>
      <c r="DK105" s="883">
        <v>1000.0</v>
      </c>
      <c r="DL105" s="883">
        <v>1000.0</v>
      </c>
      <c r="DM105" s="883">
        <v>1000.0</v>
      </c>
      <c r="DN105" s="836"/>
      <c r="DO105" s="904">
        <v>1000.0</v>
      </c>
      <c r="DP105" s="904">
        <v>1000.0</v>
      </c>
      <c r="DQ105" s="883">
        <v>1000.0</v>
      </c>
      <c r="DR105" s="883">
        <v>1000.0</v>
      </c>
      <c r="DS105" s="836"/>
      <c r="DT105" s="883">
        <v>1000.0</v>
      </c>
      <c r="DU105" s="883"/>
      <c r="DV105" s="883"/>
      <c r="DW105" s="883"/>
      <c r="DX105" s="836"/>
      <c r="DY105" s="883"/>
      <c r="DZ105" s="883"/>
      <c r="EA105" s="883"/>
      <c r="EB105" s="883"/>
      <c r="EC105" s="836"/>
      <c r="ED105" s="883"/>
      <c r="EE105" s="883"/>
      <c r="EF105" s="883"/>
      <c r="EG105" s="883"/>
      <c r="EH105" s="836"/>
      <c r="EI105" s="134"/>
      <c r="EJ105" s="864"/>
      <c r="EK105" s="864"/>
      <c r="EL105" s="864"/>
      <c r="EM105" s="836"/>
      <c r="EN105" s="864"/>
      <c r="EO105" s="864"/>
      <c r="EP105" s="864"/>
      <c r="EQ105" s="864"/>
      <c r="ER105" s="836"/>
      <c r="ES105" s="864"/>
      <c r="ET105" s="864"/>
      <c r="EU105" s="864"/>
      <c r="EV105" s="864"/>
      <c r="EW105" s="836"/>
      <c r="EX105" s="864"/>
      <c r="EY105" s="864"/>
      <c r="EZ105" s="864"/>
      <c r="FA105" s="864"/>
      <c r="FB105" s="836"/>
      <c r="FC105" s="864"/>
      <c r="FD105" s="864"/>
      <c r="FE105" s="864"/>
      <c r="FF105" s="864"/>
      <c r="FG105" s="836"/>
    </row>
    <row r="106" ht="12.75" customHeight="1">
      <c r="A106" s="128"/>
      <c r="B106" s="179" t="s">
        <v>639</v>
      </c>
      <c r="C106" s="179"/>
      <c r="D106" s="179"/>
      <c r="E106" s="179"/>
      <c r="F106" s="179"/>
      <c r="G106" s="179"/>
      <c r="H106" s="179"/>
      <c r="I106" s="179"/>
      <c r="J106" s="179"/>
      <c r="K106" s="179"/>
      <c r="L106" s="179"/>
      <c r="M106" s="179"/>
      <c r="N106" s="179"/>
      <c r="O106" s="179"/>
      <c r="P106" s="179"/>
      <c r="Q106" s="179"/>
      <c r="R106" s="57"/>
      <c r="S106" s="179"/>
      <c r="T106" s="179"/>
      <c r="U106" s="179"/>
      <c r="V106" s="179"/>
      <c r="W106" s="785"/>
      <c r="X106" s="128"/>
      <c r="Y106" s="128"/>
      <c r="Z106" s="128"/>
      <c r="AA106" s="128"/>
      <c r="AB106" s="837"/>
      <c r="AC106" s="128"/>
      <c r="AD106" s="128"/>
      <c r="AE106" s="128"/>
      <c r="AF106" s="128"/>
      <c r="AG106" s="837"/>
      <c r="AH106" s="128"/>
      <c r="AI106" s="128"/>
      <c r="AJ106" s="128"/>
      <c r="AK106" s="128"/>
      <c r="AL106" s="837"/>
      <c r="AM106" s="128"/>
      <c r="AN106" s="128"/>
      <c r="AO106" s="128"/>
      <c r="AP106" s="128"/>
      <c r="AQ106" s="837"/>
      <c r="AR106" s="128"/>
      <c r="AS106" s="128"/>
      <c r="AT106" s="128"/>
      <c r="AU106" s="128"/>
      <c r="AV106" s="837"/>
      <c r="AW106" s="128"/>
      <c r="AX106" s="128"/>
      <c r="AY106" s="128"/>
      <c r="AZ106" s="128"/>
      <c r="BA106" s="837"/>
      <c r="BB106" s="128"/>
      <c r="BC106" s="128"/>
      <c r="BD106" s="128"/>
      <c r="BE106" s="128"/>
      <c r="BF106" s="837"/>
      <c r="BG106" s="128"/>
      <c r="BH106" s="128"/>
      <c r="BI106" s="128"/>
      <c r="BJ106" s="128"/>
      <c r="BK106" s="837"/>
      <c r="BL106" s="128"/>
      <c r="BM106" s="128"/>
      <c r="BN106" s="128"/>
      <c r="BO106" s="128"/>
      <c r="BP106" s="837"/>
      <c r="BQ106" s="128"/>
      <c r="BR106" s="128"/>
      <c r="BS106" s="128"/>
      <c r="BT106" s="128"/>
      <c r="BU106" s="837"/>
      <c r="BV106" s="128"/>
      <c r="BW106" s="128"/>
      <c r="BX106" s="128"/>
      <c r="BY106" s="128"/>
      <c r="BZ106" s="837"/>
      <c r="CA106" s="128"/>
      <c r="CB106" s="128"/>
      <c r="CC106" s="128"/>
      <c r="CD106" s="128"/>
      <c r="CE106" s="837"/>
      <c r="CF106" s="128"/>
      <c r="CG106" s="128"/>
      <c r="CH106" s="128"/>
      <c r="CI106" s="128"/>
      <c r="CJ106" s="837"/>
      <c r="CK106" s="128"/>
      <c r="CL106" s="128"/>
      <c r="CM106" s="128"/>
      <c r="CN106" s="128"/>
      <c r="CO106" s="837"/>
      <c r="CP106" s="128"/>
      <c r="CQ106" s="128"/>
      <c r="CR106" s="128"/>
      <c r="CS106" s="128"/>
      <c r="CT106" s="836"/>
      <c r="CU106" s="128"/>
      <c r="CV106" s="128"/>
      <c r="CW106" s="128"/>
      <c r="CX106" s="128"/>
      <c r="CY106" s="836"/>
      <c r="CZ106" s="129"/>
      <c r="DA106" s="128"/>
      <c r="DB106" s="129"/>
      <c r="DC106" s="128"/>
      <c r="DD106" s="836"/>
      <c r="DE106" s="129"/>
      <c r="DF106" s="128"/>
      <c r="DG106" s="128">
        <v>1749.0</v>
      </c>
      <c r="DH106" s="128">
        <v>1749.0</v>
      </c>
      <c r="DI106" s="836"/>
      <c r="DJ106" s="883">
        <v>1749.0</v>
      </c>
      <c r="DK106" s="883">
        <v>1749.0</v>
      </c>
      <c r="DL106" s="883">
        <v>1749.0</v>
      </c>
      <c r="DM106" s="883">
        <v>1749.0</v>
      </c>
      <c r="DN106" s="836"/>
      <c r="DO106" s="904">
        <v>1749.0</v>
      </c>
      <c r="DP106" s="904">
        <v>1749.0</v>
      </c>
      <c r="DQ106" s="883">
        <v>1749.0</v>
      </c>
      <c r="DR106" s="883">
        <v>1749.0</v>
      </c>
      <c r="DS106" s="836"/>
      <c r="DT106" s="883">
        <v>1750.0</v>
      </c>
      <c r="DU106" s="883">
        <v>1750.0</v>
      </c>
      <c r="DV106" s="883"/>
      <c r="DW106" s="883"/>
      <c r="DX106" s="836"/>
      <c r="DY106" s="883"/>
      <c r="DZ106" s="883"/>
      <c r="EA106" s="883"/>
      <c r="EB106" s="883"/>
      <c r="EC106" s="836"/>
      <c r="ED106" s="883"/>
      <c r="EE106" s="883"/>
      <c r="EF106" s="883"/>
      <c r="EG106" s="883"/>
      <c r="EH106" s="836"/>
      <c r="EI106" s="134"/>
      <c r="EJ106" s="864"/>
      <c r="EK106" s="864"/>
      <c r="EL106" s="864"/>
      <c r="EM106" s="836"/>
      <c r="EN106" s="864"/>
      <c r="EO106" s="864"/>
      <c r="EP106" s="864"/>
      <c r="EQ106" s="864"/>
      <c r="ER106" s="836"/>
      <c r="ES106" s="864"/>
      <c r="ET106" s="864"/>
      <c r="EU106" s="864"/>
      <c r="EV106" s="864"/>
      <c r="EW106" s="836"/>
      <c r="EX106" s="864"/>
      <c r="EY106" s="864"/>
      <c r="EZ106" s="864"/>
      <c r="FA106" s="864"/>
      <c r="FB106" s="836"/>
      <c r="FC106" s="864"/>
      <c r="FD106" s="864"/>
      <c r="FE106" s="864"/>
      <c r="FF106" s="864"/>
      <c r="FG106" s="836"/>
    </row>
    <row r="107" ht="12.75" customHeight="1">
      <c r="A107" s="128"/>
      <c r="B107" s="179" t="s">
        <v>640</v>
      </c>
      <c r="C107" s="179"/>
      <c r="D107" s="179"/>
      <c r="E107" s="179"/>
      <c r="F107" s="179"/>
      <c r="G107" s="179"/>
      <c r="H107" s="179"/>
      <c r="I107" s="179"/>
      <c r="J107" s="179"/>
      <c r="K107" s="179"/>
      <c r="L107" s="179"/>
      <c r="M107" s="179"/>
      <c r="N107" s="179"/>
      <c r="O107" s="179"/>
      <c r="P107" s="179"/>
      <c r="Q107" s="179"/>
      <c r="R107" s="57"/>
      <c r="S107" s="179"/>
      <c r="T107" s="179"/>
      <c r="U107" s="179"/>
      <c r="V107" s="179"/>
      <c r="W107" s="785"/>
      <c r="X107" s="128"/>
      <c r="Y107" s="128"/>
      <c r="Z107" s="128"/>
      <c r="AA107" s="128"/>
      <c r="AB107" s="837"/>
      <c r="AC107" s="128"/>
      <c r="AD107" s="128"/>
      <c r="AE107" s="128"/>
      <c r="AF107" s="128"/>
      <c r="AG107" s="837"/>
      <c r="AH107" s="128"/>
      <c r="AI107" s="128"/>
      <c r="AJ107" s="128"/>
      <c r="AK107" s="128"/>
      <c r="AL107" s="837"/>
      <c r="AM107" s="128"/>
      <c r="AN107" s="128"/>
      <c r="AO107" s="128"/>
      <c r="AP107" s="128"/>
      <c r="AQ107" s="837"/>
      <c r="AR107" s="128"/>
      <c r="AS107" s="128"/>
      <c r="AT107" s="128"/>
      <c r="AU107" s="128"/>
      <c r="AV107" s="837"/>
      <c r="AW107" s="128"/>
      <c r="AX107" s="128"/>
      <c r="AY107" s="128"/>
      <c r="AZ107" s="128"/>
      <c r="BA107" s="837"/>
      <c r="BB107" s="128"/>
      <c r="BC107" s="128"/>
      <c r="BD107" s="128"/>
      <c r="BE107" s="128"/>
      <c r="BF107" s="837"/>
      <c r="BG107" s="128"/>
      <c r="BH107" s="128"/>
      <c r="BI107" s="128"/>
      <c r="BJ107" s="128"/>
      <c r="BK107" s="837"/>
      <c r="BL107" s="128"/>
      <c r="BM107" s="128"/>
      <c r="BN107" s="128"/>
      <c r="BO107" s="128"/>
      <c r="BP107" s="837"/>
      <c r="BQ107" s="128"/>
      <c r="BR107" s="128"/>
      <c r="BS107" s="128"/>
      <c r="BT107" s="128"/>
      <c r="BU107" s="837"/>
      <c r="BV107" s="128"/>
      <c r="BW107" s="128"/>
      <c r="BX107" s="128"/>
      <c r="BY107" s="128"/>
      <c r="BZ107" s="837"/>
      <c r="CA107" s="128"/>
      <c r="CB107" s="128"/>
      <c r="CC107" s="128"/>
      <c r="CD107" s="128"/>
      <c r="CE107" s="837"/>
      <c r="CF107" s="128"/>
      <c r="CG107" s="128"/>
      <c r="CH107" s="128"/>
      <c r="CI107" s="128"/>
      <c r="CJ107" s="837"/>
      <c r="CK107" s="128"/>
      <c r="CL107" s="128"/>
      <c r="CM107" s="128"/>
      <c r="CN107" s="128"/>
      <c r="CO107" s="837"/>
      <c r="CP107" s="128"/>
      <c r="CQ107" s="128"/>
      <c r="CR107" s="128"/>
      <c r="CS107" s="128"/>
      <c r="CT107" s="836"/>
      <c r="CU107" s="128"/>
      <c r="CV107" s="128"/>
      <c r="CW107" s="128"/>
      <c r="CX107" s="128"/>
      <c r="CY107" s="836"/>
      <c r="CZ107" s="129"/>
      <c r="DA107" s="128"/>
      <c r="DB107" s="129"/>
      <c r="DC107" s="128"/>
      <c r="DD107" s="836"/>
      <c r="DE107" s="129"/>
      <c r="DF107" s="128"/>
      <c r="DG107" s="128">
        <v>499.0</v>
      </c>
      <c r="DH107" s="128">
        <v>499.0</v>
      </c>
      <c r="DI107" s="836"/>
      <c r="DJ107" s="883">
        <v>499.0</v>
      </c>
      <c r="DK107" s="883">
        <v>499.0</v>
      </c>
      <c r="DL107" s="883">
        <v>499.0</v>
      </c>
      <c r="DM107" s="883">
        <v>499.0</v>
      </c>
      <c r="DN107" s="836"/>
      <c r="DO107" s="904">
        <v>499.0</v>
      </c>
      <c r="DP107" s="904">
        <v>499.0</v>
      </c>
      <c r="DQ107" s="883">
        <v>499.0</v>
      </c>
      <c r="DR107" s="883">
        <v>499.0</v>
      </c>
      <c r="DS107" s="836"/>
      <c r="DT107" s="883">
        <v>500.0</v>
      </c>
      <c r="DU107" s="883">
        <v>500.0</v>
      </c>
      <c r="DV107" s="883">
        <v>500.0</v>
      </c>
      <c r="DW107" s="883">
        <v>500.0</v>
      </c>
      <c r="DX107" s="836"/>
      <c r="DY107" s="883">
        <v>500.0</v>
      </c>
      <c r="DZ107" s="883"/>
      <c r="EA107" s="883"/>
      <c r="EB107" s="883"/>
      <c r="EC107" s="836"/>
      <c r="ED107" s="883"/>
      <c r="EE107" s="883"/>
      <c r="EF107" s="883"/>
      <c r="EG107" s="883"/>
      <c r="EH107" s="836"/>
      <c r="EI107" s="884"/>
      <c r="EJ107" s="904"/>
      <c r="EK107" s="904"/>
      <c r="EL107" s="904"/>
      <c r="EM107" s="836"/>
      <c r="EN107" s="904"/>
      <c r="EO107" s="904"/>
      <c r="EP107" s="904"/>
      <c r="EQ107" s="904"/>
      <c r="ER107" s="836"/>
      <c r="ES107" s="904"/>
      <c r="ET107" s="904"/>
      <c r="EU107" s="904"/>
      <c r="EV107" s="904"/>
      <c r="EW107" s="836"/>
      <c r="EX107" s="904"/>
      <c r="EY107" s="904"/>
      <c r="EZ107" s="904"/>
      <c r="FA107" s="904"/>
      <c r="FB107" s="836"/>
      <c r="FC107" s="904"/>
      <c r="FD107" s="904"/>
      <c r="FE107" s="904"/>
      <c r="FF107" s="904"/>
      <c r="FG107" s="836"/>
    </row>
    <row r="108" ht="12.75" customHeight="1">
      <c r="A108" s="128"/>
      <c r="B108" s="179" t="s">
        <v>641</v>
      </c>
      <c r="C108" s="179"/>
      <c r="D108" s="179"/>
      <c r="E108" s="179"/>
      <c r="F108" s="179"/>
      <c r="G108" s="179"/>
      <c r="H108" s="179"/>
      <c r="I108" s="179"/>
      <c r="J108" s="179"/>
      <c r="K108" s="179"/>
      <c r="L108" s="179"/>
      <c r="M108" s="179"/>
      <c r="N108" s="179"/>
      <c r="O108" s="179"/>
      <c r="P108" s="179"/>
      <c r="Q108" s="179"/>
      <c r="R108" s="57"/>
      <c r="S108" s="179"/>
      <c r="T108" s="179"/>
      <c r="U108" s="179"/>
      <c r="V108" s="179"/>
      <c r="W108" s="785"/>
      <c r="X108" s="128"/>
      <c r="Y108" s="128"/>
      <c r="Z108" s="128"/>
      <c r="AA108" s="128"/>
      <c r="AB108" s="837"/>
      <c r="AC108" s="128"/>
      <c r="AD108" s="128"/>
      <c r="AE108" s="128"/>
      <c r="AF108" s="128"/>
      <c r="AG108" s="837"/>
      <c r="AH108" s="128"/>
      <c r="AI108" s="128"/>
      <c r="AJ108" s="128"/>
      <c r="AK108" s="128"/>
      <c r="AL108" s="837"/>
      <c r="AM108" s="128"/>
      <c r="AN108" s="128"/>
      <c r="AO108" s="128"/>
      <c r="AP108" s="128"/>
      <c r="AQ108" s="837"/>
      <c r="AR108" s="128"/>
      <c r="AS108" s="128"/>
      <c r="AT108" s="128"/>
      <c r="AU108" s="128"/>
      <c r="AV108" s="837"/>
      <c r="AW108" s="128"/>
      <c r="AX108" s="128"/>
      <c r="AY108" s="128"/>
      <c r="AZ108" s="128"/>
      <c r="BA108" s="837"/>
      <c r="BB108" s="128"/>
      <c r="BC108" s="128"/>
      <c r="BD108" s="128"/>
      <c r="BE108" s="128"/>
      <c r="BF108" s="837"/>
      <c r="BG108" s="128"/>
      <c r="BH108" s="128"/>
      <c r="BI108" s="128"/>
      <c r="BJ108" s="128"/>
      <c r="BK108" s="837"/>
      <c r="BL108" s="128"/>
      <c r="BM108" s="128"/>
      <c r="BN108" s="128"/>
      <c r="BO108" s="128"/>
      <c r="BP108" s="837"/>
      <c r="BQ108" s="128"/>
      <c r="BR108" s="128"/>
      <c r="BS108" s="128"/>
      <c r="BT108" s="128"/>
      <c r="BU108" s="837"/>
      <c r="BV108" s="128"/>
      <c r="BW108" s="128"/>
      <c r="BX108" s="128"/>
      <c r="BY108" s="128"/>
      <c r="BZ108" s="837"/>
      <c r="CA108" s="128"/>
      <c r="CB108" s="128"/>
      <c r="CC108" s="128"/>
      <c r="CD108" s="128"/>
      <c r="CE108" s="837"/>
      <c r="CF108" s="128"/>
      <c r="CG108" s="128"/>
      <c r="CH108" s="128"/>
      <c r="CI108" s="128"/>
      <c r="CJ108" s="837"/>
      <c r="CK108" s="128"/>
      <c r="CL108" s="128"/>
      <c r="CM108" s="128"/>
      <c r="CN108" s="128"/>
      <c r="CO108" s="837"/>
      <c r="CP108" s="128"/>
      <c r="CQ108" s="128"/>
      <c r="CR108" s="128"/>
      <c r="CS108" s="128"/>
      <c r="CT108" s="836"/>
      <c r="CU108" s="128"/>
      <c r="CV108" s="128"/>
      <c r="CW108" s="128"/>
      <c r="CX108" s="128"/>
      <c r="CY108" s="836"/>
      <c r="CZ108" s="129"/>
      <c r="DA108" s="128"/>
      <c r="DB108" s="129"/>
      <c r="DC108" s="128"/>
      <c r="DD108" s="836"/>
      <c r="DE108" s="129"/>
      <c r="DF108" s="128"/>
      <c r="DG108" s="128">
        <v>1995.0</v>
      </c>
      <c r="DH108" s="128">
        <v>1995.0</v>
      </c>
      <c r="DI108" s="836"/>
      <c r="DJ108" s="883">
        <v>1995.0</v>
      </c>
      <c r="DK108" s="883">
        <v>1995.0</v>
      </c>
      <c r="DL108" s="883">
        <v>1995.0</v>
      </c>
      <c r="DM108" s="883">
        <v>1995.0</v>
      </c>
      <c r="DN108" s="836"/>
      <c r="DO108" s="904">
        <v>1995.0</v>
      </c>
      <c r="DP108" s="904">
        <v>1995.0</v>
      </c>
      <c r="DQ108" s="883">
        <v>1995.0</v>
      </c>
      <c r="DR108" s="883">
        <v>1995.0</v>
      </c>
      <c r="DS108" s="836"/>
      <c r="DT108" s="883">
        <v>2000.0</v>
      </c>
      <c r="DU108" s="883">
        <v>2000.0</v>
      </c>
      <c r="DV108" s="883">
        <v>2000.0</v>
      </c>
      <c r="DW108" s="883">
        <v>2000.0</v>
      </c>
      <c r="DX108" s="836"/>
      <c r="DY108" s="883">
        <v>2000.0</v>
      </c>
      <c r="DZ108" s="883">
        <v>2000.0</v>
      </c>
      <c r="EA108" s="883">
        <v>2000.0</v>
      </c>
      <c r="EB108" s="883"/>
      <c r="EC108" s="836"/>
      <c r="ED108" s="883"/>
      <c r="EE108" s="883"/>
      <c r="EF108" s="883"/>
      <c r="EG108" s="883"/>
      <c r="EH108" s="836"/>
      <c r="EI108" s="884"/>
      <c r="EJ108" s="904"/>
      <c r="EK108" s="904"/>
      <c r="EL108" s="904"/>
      <c r="EM108" s="836"/>
      <c r="EN108" s="904"/>
      <c r="EO108" s="904"/>
      <c r="EP108" s="904"/>
      <c r="EQ108" s="904"/>
      <c r="ER108" s="836"/>
      <c r="ES108" s="904"/>
      <c r="ET108" s="904"/>
      <c r="EU108" s="904"/>
      <c r="EV108" s="904"/>
      <c r="EW108" s="836"/>
      <c r="EX108" s="904"/>
      <c r="EY108" s="904"/>
      <c r="EZ108" s="904"/>
      <c r="FA108" s="904"/>
      <c r="FB108" s="836"/>
      <c r="FC108" s="904"/>
      <c r="FD108" s="904"/>
      <c r="FE108" s="904"/>
      <c r="FF108" s="904"/>
      <c r="FG108" s="836"/>
    </row>
    <row r="109" ht="12.75" customHeight="1">
      <c r="A109" s="128"/>
      <c r="B109" s="179" t="s">
        <v>642</v>
      </c>
      <c r="C109" s="179"/>
      <c r="D109" s="179"/>
      <c r="E109" s="179"/>
      <c r="F109" s="179"/>
      <c r="G109" s="179"/>
      <c r="H109" s="179"/>
      <c r="I109" s="179"/>
      <c r="J109" s="179"/>
      <c r="K109" s="179"/>
      <c r="L109" s="179"/>
      <c r="M109" s="179"/>
      <c r="N109" s="179"/>
      <c r="O109" s="179"/>
      <c r="P109" s="179"/>
      <c r="Q109" s="179"/>
      <c r="R109" s="57"/>
      <c r="S109" s="179"/>
      <c r="T109" s="179"/>
      <c r="U109" s="179"/>
      <c r="V109" s="179"/>
      <c r="W109" s="785"/>
      <c r="X109" s="128"/>
      <c r="Y109" s="128"/>
      <c r="Z109" s="128"/>
      <c r="AA109" s="128"/>
      <c r="AB109" s="837"/>
      <c r="AC109" s="128"/>
      <c r="AD109" s="128"/>
      <c r="AE109" s="128"/>
      <c r="AF109" s="128"/>
      <c r="AG109" s="837"/>
      <c r="AH109" s="128"/>
      <c r="AI109" s="128"/>
      <c r="AJ109" s="128"/>
      <c r="AK109" s="128"/>
      <c r="AL109" s="837"/>
      <c r="AM109" s="128"/>
      <c r="AN109" s="128"/>
      <c r="AO109" s="128"/>
      <c r="AP109" s="128"/>
      <c r="AQ109" s="837"/>
      <c r="AR109" s="128"/>
      <c r="AS109" s="128"/>
      <c r="AT109" s="128"/>
      <c r="AU109" s="128"/>
      <c r="AV109" s="837"/>
      <c r="AW109" s="128"/>
      <c r="AX109" s="128"/>
      <c r="AY109" s="128"/>
      <c r="AZ109" s="128"/>
      <c r="BA109" s="837"/>
      <c r="BB109" s="128"/>
      <c r="BC109" s="128"/>
      <c r="BD109" s="128"/>
      <c r="BE109" s="128"/>
      <c r="BF109" s="837"/>
      <c r="BG109" s="128"/>
      <c r="BH109" s="128"/>
      <c r="BI109" s="128"/>
      <c r="BJ109" s="128"/>
      <c r="BK109" s="837"/>
      <c r="BL109" s="128"/>
      <c r="BM109" s="128"/>
      <c r="BN109" s="128"/>
      <c r="BO109" s="128"/>
      <c r="BP109" s="837"/>
      <c r="BQ109" s="128"/>
      <c r="BR109" s="128"/>
      <c r="BS109" s="128"/>
      <c r="BT109" s="128"/>
      <c r="BU109" s="837"/>
      <c r="BV109" s="128"/>
      <c r="BW109" s="128"/>
      <c r="BX109" s="128"/>
      <c r="BY109" s="128"/>
      <c r="BZ109" s="837"/>
      <c r="CA109" s="128"/>
      <c r="CB109" s="128"/>
      <c r="CC109" s="128"/>
      <c r="CD109" s="128"/>
      <c r="CE109" s="837"/>
      <c r="CF109" s="128"/>
      <c r="CG109" s="128"/>
      <c r="CH109" s="128"/>
      <c r="CI109" s="128"/>
      <c r="CJ109" s="837"/>
      <c r="CK109" s="128"/>
      <c r="CL109" s="128"/>
      <c r="CM109" s="128"/>
      <c r="CN109" s="128"/>
      <c r="CO109" s="837"/>
      <c r="CP109" s="128"/>
      <c r="CQ109" s="128"/>
      <c r="CR109" s="128"/>
      <c r="CS109" s="128"/>
      <c r="CT109" s="836"/>
      <c r="CU109" s="128"/>
      <c r="CV109" s="128"/>
      <c r="CW109" s="128"/>
      <c r="CX109" s="128"/>
      <c r="CY109" s="836"/>
      <c r="CZ109" s="129"/>
      <c r="DA109" s="128"/>
      <c r="DB109" s="129"/>
      <c r="DC109" s="128"/>
      <c r="DD109" s="836"/>
      <c r="DE109" s="129"/>
      <c r="DF109" s="128"/>
      <c r="DG109" s="128">
        <v>747.0</v>
      </c>
      <c r="DH109" s="128">
        <v>747.0</v>
      </c>
      <c r="DI109" s="836"/>
      <c r="DJ109" s="883">
        <v>747.0</v>
      </c>
      <c r="DK109" s="883">
        <v>747.0</v>
      </c>
      <c r="DL109" s="883">
        <v>747.0</v>
      </c>
      <c r="DM109" s="883">
        <v>747.0</v>
      </c>
      <c r="DN109" s="836"/>
      <c r="DO109" s="904">
        <v>747.0</v>
      </c>
      <c r="DP109" s="904">
        <v>747.0</v>
      </c>
      <c r="DQ109" s="883">
        <v>747.0</v>
      </c>
      <c r="DR109" s="883">
        <v>747.0</v>
      </c>
      <c r="DS109" s="836"/>
      <c r="DT109" s="883">
        <v>750.0</v>
      </c>
      <c r="DU109" s="883">
        <v>750.0</v>
      </c>
      <c r="DV109" s="883">
        <v>750.0</v>
      </c>
      <c r="DW109" s="883">
        <v>750.0</v>
      </c>
      <c r="DX109" s="836"/>
      <c r="DY109" s="883">
        <v>750.0</v>
      </c>
      <c r="DZ109" s="883">
        <v>750.0</v>
      </c>
      <c r="EA109" s="883">
        <v>750.0</v>
      </c>
      <c r="EB109" s="883">
        <v>750.0</v>
      </c>
      <c r="EC109" s="836"/>
      <c r="ED109" s="883">
        <v>750.0</v>
      </c>
      <c r="EE109" s="883">
        <v>0.0</v>
      </c>
      <c r="EF109" s="883"/>
      <c r="EG109" s="883"/>
      <c r="EH109" s="836"/>
      <c r="EI109" s="884"/>
      <c r="EJ109" s="904"/>
      <c r="EK109" s="904"/>
      <c r="EL109" s="904"/>
      <c r="EM109" s="836"/>
      <c r="EN109" s="904"/>
      <c r="EO109" s="904"/>
      <c r="EP109" s="904"/>
      <c r="EQ109" s="904"/>
      <c r="ER109" s="836"/>
      <c r="ES109" s="904"/>
      <c r="ET109" s="904"/>
      <c r="EU109" s="904"/>
      <c r="EV109" s="904"/>
      <c r="EW109" s="836"/>
      <c r="EX109" s="904"/>
      <c r="EY109" s="904"/>
      <c r="EZ109" s="904"/>
      <c r="FA109" s="904"/>
      <c r="FB109" s="836"/>
      <c r="FC109" s="904"/>
      <c r="FD109" s="904"/>
      <c r="FE109" s="904"/>
      <c r="FF109" s="904"/>
      <c r="FG109" s="836"/>
    </row>
    <row r="110" ht="12.75" customHeight="1">
      <c r="A110" s="128"/>
      <c r="B110" s="179" t="s">
        <v>643</v>
      </c>
      <c r="C110" s="179"/>
      <c r="D110" s="179"/>
      <c r="E110" s="179"/>
      <c r="F110" s="179"/>
      <c r="G110" s="179"/>
      <c r="H110" s="179"/>
      <c r="I110" s="179"/>
      <c r="J110" s="179"/>
      <c r="K110" s="179"/>
      <c r="L110" s="179"/>
      <c r="M110" s="179"/>
      <c r="N110" s="179"/>
      <c r="O110" s="179"/>
      <c r="P110" s="179"/>
      <c r="Q110" s="179"/>
      <c r="R110" s="57"/>
      <c r="S110" s="179"/>
      <c r="T110" s="179"/>
      <c r="U110" s="179"/>
      <c r="V110" s="179"/>
      <c r="W110" s="785"/>
      <c r="X110" s="128"/>
      <c r="Y110" s="128"/>
      <c r="Z110" s="128"/>
      <c r="AA110" s="128"/>
      <c r="AB110" s="837"/>
      <c r="AC110" s="128"/>
      <c r="AD110" s="128"/>
      <c r="AE110" s="128"/>
      <c r="AF110" s="128"/>
      <c r="AG110" s="837"/>
      <c r="AH110" s="128"/>
      <c r="AI110" s="128"/>
      <c r="AJ110" s="128"/>
      <c r="AK110" s="128"/>
      <c r="AL110" s="837"/>
      <c r="AM110" s="128"/>
      <c r="AN110" s="128"/>
      <c r="AO110" s="128"/>
      <c r="AP110" s="128"/>
      <c r="AQ110" s="837"/>
      <c r="AR110" s="128"/>
      <c r="AS110" s="128"/>
      <c r="AT110" s="128"/>
      <c r="AU110" s="128"/>
      <c r="AV110" s="837"/>
      <c r="AW110" s="128"/>
      <c r="AX110" s="128"/>
      <c r="AY110" s="128"/>
      <c r="AZ110" s="128"/>
      <c r="BA110" s="837"/>
      <c r="BB110" s="128"/>
      <c r="BC110" s="128"/>
      <c r="BD110" s="128"/>
      <c r="BE110" s="128"/>
      <c r="BF110" s="837"/>
      <c r="BG110" s="128"/>
      <c r="BH110" s="128"/>
      <c r="BI110" s="128"/>
      <c r="BJ110" s="128"/>
      <c r="BK110" s="837"/>
      <c r="BL110" s="128"/>
      <c r="BM110" s="128"/>
      <c r="BN110" s="128"/>
      <c r="BO110" s="128"/>
      <c r="BP110" s="837"/>
      <c r="BQ110" s="128"/>
      <c r="BR110" s="128"/>
      <c r="BS110" s="128"/>
      <c r="BT110" s="128"/>
      <c r="BU110" s="837"/>
      <c r="BV110" s="128"/>
      <c r="BW110" s="128"/>
      <c r="BX110" s="128"/>
      <c r="BY110" s="128"/>
      <c r="BZ110" s="837"/>
      <c r="CA110" s="128"/>
      <c r="CB110" s="128"/>
      <c r="CC110" s="128"/>
      <c r="CD110" s="128"/>
      <c r="CE110" s="837"/>
      <c r="CF110" s="128"/>
      <c r="CG110" s="128"/>
      <c r="CH110" s="128"/>
      <c r="CI110" s="128"/>
      <c r="CJ110" s="837"/>
      <c r="CK110" s="128"/>
      <c r="CL110" s="128"/>
      <c r="CM110" s="128"/>
      <c r="CN110" s="128"/>
      <c r="CO110" s="837"/>
      <c r="CP110" s="128"/>
      <c r="CQ110" s="128"/>
      <c r="CR110" s="128"/>
      <c r="CS110" s="128"/>
      <c r="CT110" s="836"/>
      <c r="CU110" s="128"/>
      <c r="CV110" s="128"/>
      <c r="CW110" s="128"/>
      <c r="CX110" s="128"/>
      <c r="CY110" s="836"/>
      <c r="CZ110" s="129"/>
      <c r="DA110" s="128"/>
      <c r="DB110" s="129"/>
      <c r="DC110" s="128"/>
      <c r="DD110" s="836"/>
      <c r="DE110" s="129"/>
      <c r="DF110" s="128"/>
      <c r="DG110" s="128">
        <v>994.0</v>
      </c>
      <c r="DH110" s="128">
        <v>994.0</v>
      </c>
      <c r="DI110" s="836"/>
      <c r="DJ110" s="883">
        <v>994.0</v>
      </c>
      <c r="DK110" s="883">
        <v>994.0</v>
      </c>
      <c r="DL110" s="883">
        <v>994.0</v>
      </c>
      <c r="DM110" s="883">
        <v>994.0</v>
      </c>
      <c r="DN110" s="836"/>
      <c r="DO110" s="904">
        <v>994.0</v>
      </c>
      <c r="DP110" s="904">
        <v>994.0</v>
      </c>
      <c r="DQ110" s="883">
        <v>994.0</v>
      </c>
      <c r="DR110" s="883">
        <v>994.0</v>
      </c>
      <c r="DS110" s="836"/>
      <c r="DT110" s="883">
        <v>1000.0</v>
      </c>
      <c r="DU110" s="883">
        <v>1000.0</v>
      </c>
      <c r="DV110" s="883">
        <v>1000.0</v>
      </c>
      <c r="DW110" s="883">
        <v>1000.0</v>
      </c>
      <c r="DX110" s="836"/>
      <c r="DY110" s="883">
        <v>1000.0</v>
      </c>
      <c r="DZ110" s="883">
        <v>1000.0</v>
      </c>
      <c r="EA110" s="883">
        <v>1000.0</v>
      </c>
      <c r="EB110" s="883">
        <v>1000.0</v>
      </c>
      <c r="EC110" s="836"/>
      <c r="ED110" s="883">
        <v>1000.0</v>
      </c>
      <c r="EE110" s="883">
        <v>0.0</v>
      </c>
      <c r="EF110" s="883"/>
      <c r="EG110" s="883"/>
      <c r="EH110" s="836"/>
      <c r="EI110" s="884"/>
      <c r="EJ110" s="904"/>
      <c r="EK110" s="904"/>
      <c r="EL110" s="904"/>
      <c r="EM110" s="836"/>
      <c r="EN110" s="904"/>
      <c r="EO110" s="904"/>
      <c r="EP110" s="904"/>
      <c r="EQ110" s="904"/>
      <c r="ER110" s="836"/>
      <c r="ES110" s="904"/>
      <c r="ET110" s="904"/>
      <c r="EU110" s="904"/>
      <c r="EV110" s="904"/>
      <c r="EW110" s="836"/>
      <c r="EX110" s="904"/>
      <c r="EY110" s="904"/>
      <c r="EZ110" s="904"/>
      <c r="FA110" s="904"/>
      <c r="FB110" s="836"/>
      <c r="FC110" s="904"/>
      <c r="FD110" s="904"/>
      <c r="FE110" s="904"/>
      <c r="FF110" s="904"/>
      <c r="FG110" s="836"/>
    </row>
    <row r="111" ht="12.75" customHeight="1">
      <c r="A111" s="128"/>
      <c r="B111" s="179" t="s">
        <v>644</v>
      </c>
      <c r="C111" s="179"/>
      <c r="D111" s="179"/>
      <c r="E111" s="179"/>
      <c r="F111" s="179"/>
      <c r="G111" s="179"/>
      <c r="H111" s="179"/>
      <c r="I111" s="179"/>
      <c r="J111" s="179"/>
      <c r="K111" s="179"/>
      <c r="L111" s="179"/>
      <c r="M111" s="179"/>
      <c r="N111" s="179"/>
      <c r="O111" s="179"/>
      <c r="P111" s="179"/>
      <c r="Q111" s="179"/>
      <c r="R111" s="57"/>
      <c r="S111" s="179"/>
      <c r="T111" s="179"/>
      <c r="U111" s="179"/>
      <c r="V111" s="179"/>
      <c r="W111" s="785"/>
      <c r="X111" s="128"/>
      <c r="Y111" s="128"/>
      <c r="Z111" s="128"/>
      <c r="AA111" s="128"/>
      <c r="AB111" s="837"/>
      <c r="AC111" s="128"/>
      <c r="AD111" s="128"/>
      <c r="AE111" s="128"/>
      <c r="AF111" s="128"/>
      <c r="AG111" s="837"/>
      <c r="AH111" s="128"/>
      <c r="AI111" s="128"/>
      <c r="AJ111" s="128"/>
      <c r="AK111" s="128"/>
      <c r="AL111" s="837"/>
      <c r="AM111" s="128"/>
      <c r="AN111" s="128"/>
      <c r="AO111" s="128"/>
      <c r="AP111" s="128"/>
      <c r="AQ111" s="837"/>
      <c r="AR111" s="128"/>
      <c r="AS111" s="128"/>
      <c r="AT111" s="128"/>
      <c r="AU111" s="128"/>
      <c r="AV111" s="837"/>
      <c r="AW111" s="128"/>
      <c r="AX111" s="128"/>
      <c r="AY111" s="128"/>
      <c r="AZ111" s="128"/>
      <c r="BA111" s="837"/>
      <c r="BB111" s="128"/>
      <c r="BC111" s="128"/>
      <c r="BD111" s="128"/>
      <c r="BE111" s="128"/>
      <c r="BF111" s="837"/>
      <c r="BG111" s="128"/>
      <c r="BH111" s="128"/>
      <c r="BI111" s="128"/>
      <c r="BJ111" s="128"/>
      <c r="BK111" s="837"/>
      <c r="BL111" s="128"/>
      <c r="BM111" s="128"/>
      <c r="BN111" s="128"/>
      <c r="BO111" s="128"/>
      <c r="BP111" s="837"/>
      <c r="BQ111" s="128"/>
      <c r="BR111" s="128"/>
      <c r="BS111" s="128"/>
      <c r="BT111" s="128"/>
      <c r="BU111" s="837"/>
      <c r="BV111" s="128"/>
      <c r="BW111" s="128"/>
      <c r="BX111" s="128"/>
      <c r="BY111" s="128"/>
      <c r="BZ111" s="837"/>
      <c r="CA111" s="128"/>
      <c r="CB111" s="128"/>
      <c r="CC111" s="128"/>
      <c r="CD111" s="128"/>
      <c r="CE111" s="837"/>
      <c r="CF111" s="128"/>
      <c r="CG111" s="128"/>
      <c r="CH111" s="128"/>
      <c r="CI111" s="128"/>
      <c r="CJ111" s="837"/>
      <c r="CK111" s="128"/>
      <c r="CL111" s="128"/>
      <c r="CM111" s="128"/>
      <c r="CN111" s="128"/>
      <c r="CO111" s="837"/>
      <c r="CP111" s="128"/>
      <c r="CQ111" s="128"/>
      <c r="CR111" s="128"/>
      <c r="CS111" s="128"/>
      <c r="CT111" s="836"/>
      <c r="CU111" s="128"/>
      <c r="CV111" s="128"/>
      <c r="CW111" s="128"/>
      <c r="CX111" s="128"/>
      <c r="CY111" s="836"/>
      <c r="CZ111" s="129"/>
      <c r="DA111" s="128"/>
      <c r="DB111" s="129"/>
      <c r="DC111" s="128"/>
      <c r="DD111" s="836"/>
      <c r="DE111" s="129"/>
      <c r="DF111" s="128"/>
      <c r="DG111" s="128">
        <v>431.0</v>
      </c>
      <c r="DH111" s="128">
        <v>431.0</v>
      </c>
      <c r="DI111" s="836"/>
      <c r="DJ111" s="883">
        <v>431.0</v>
      </c>
      <c r="DK111" s="883">
        <v>431.0</v>
      </c>
      <c r="DL111" s="883">
        <v>431.0</v>
      </c>
      <c r="DM111" s="883">
        <v>431.0</v>
      </c>
      <c r="DN111" s="836"/>
      <c r="DO111" s="904">
        <v>431.0</v>
      </c>
      <c r="DP111" s="904">
        <v>431.0</v>
      </c>
      <c r="DQ111" s="883">
        <v>431.0</v>
      </c>
      <c r="DR111" s="883">
        <v>382.0</v>
      </c>
      <c r="DS111" s="836"/>
      <c r="DT111" s="883">
        <v>325.0</v>
      </c>
      <c r="DU111" s="883">
        <v>379.0</v>
      </c>
      <c r="DV111" s="883">
        <v>388.0</v>
      </c>
      <c r="DW111" s="883">
        <v>417.0</v>
      </c>
      <c r="DX111" s="836"/>
      <c r="DY111" s="883">
        <v>419.5</v>
      </c>
      <c r="DZ111" s="905">
        <v>418.2</v>
      </c>
      <c r="EA111" s="905">
        <v>400.0</v>
      </c>
      <c r="EB111" s="883">
        <v>398.0</v>
      </c>
      <c r="EC111" s="836"/>
      <c r="ED111" s="883">
        <f>EB111</f>
        <v>398</v>
      </c>
      <c r="EE111" s="883">
        <f>ED111</f>
        <v>398</v>
      </c>
      <c r="EF111" s="883">
        <v>0.0</v>
      </c>
      <c r="EG111" s="883">
        <f>EF111</f>
        <v>0</v>
      </c>
      <c r="EH111" s="836"/>
      <c r="EI111" s="884"/>
      <c r="EJ111" s="904"/>
      <c r="EK111" s="904"/>
      <c r="EL111" s="904"/>
      <c r="EM111" s="836"/>
      <c r="EN111" s="904"/>
      <c r="EO111" s="904"/>
      <c r="EP111" s="904"/>
      <c r="EQ111" s="904"/>
      <c r="ER111" s="836"/>
      <c r="ES111" s="904"/>
      <c r="ET111" s="904"/>
      <c r="EU111" s="904"/>
      <c r="EV111" s="904"/>
      <c r="EW111" s="836"/>
      <c r="EX111" s="904"/>
      <c r="EY111" s="904"/>
      <c r="EZ111" s="904"/>
      <c r="FA111" s="904"/>
      <c r="FB111" s="836"/>
      <c r="FC111" s="904"/>
      <c r="FD111" s="904"/>
      <c r="FE111" s="904"/>
      <c r="FF111" s="904"/>
      <c r="FG111" s="836"/>
    </row>
    <row r="112" ht="12.75" customHeight="1">
      <c r="A112" s="128"/>
      <c r="B112" s="179" t="s">
        <v>645</v>
      </c>
      <c r="C112" s="179"/>
      <c r="D112" s="179"/>
      <c r="E112" s="179"/>
      <c r="F112" s="179"/>
      <c r="G112" s="179"/>
      <c r="H112" s="179"/>
      <c r="I112" s="179"/>
      <c r="J112" s="179"/>
      <c r="K112" s="179"/>
      <c r="L112" s="179"/>
      <c r="M112" s="179"/>
      <c r="N112" s="179"/>
      <c r="O112" s="179"/>
      <c r="P112" s="179"/>
      <c r="Q112" s="179"/>
      <c r="R112" s="57"/>
      <c r="S112" s="179"/>
      <c r="T112" s="179"/>
      <c r="U112" s="179"/>
      <c r="V112" s="179"/>
      <c r="W112" s="785"/>
      <c r="X112" s="128"/>
      <c r="Y112" s="128"/>
      <c r="Z112" s="128"/>
      <c r="AA112" s="128"/>
      <c r="AB112" s="837"/>
      <c r="AC112" s="128"/>
      <c r="AD112" s="128"/>
      <c r="AE112" s="128"/>
      <c r="AF112" s="128"/>
      <c r="AG112" s="837"/>
      <c r="AH112" s="128"/>
      <c r="AI112" s="128"/>
      <c r="AJ112" s="128"/>
      <c r="AK112" s="128"/>
      <c r="AL112" s="837"/>
      <c r="AM112" s="128"/>
      <c r="AN112" s="128"/>
      <c r="AO112" s="128"/>
      <c r="AP112" s="128"/>
      <c r="AQ112" s="837"/>
      <c r="AR112" s="128"/>
      <c r="AS112" s="128"/>
      <c r="AT112" s="128"/>
      <c r="AU112" s="128"/>
      <c r="AV112" s="837"/>
      <c r="AW112" s="128"/>
      <c r="AX112" s="128"/>
      <c r="AY112" s="128"/>
      <c r="AZ112" s="128"/>
      <c r="BA112" s="837"/>
      <c r="BB112" s="128"/>
      <c r="BC112" s="128"/>
      <c r="BD112" s="128"/>
      <c r="BE112" s="128"/>
      <c r="BF112" s="837"/>
      <c r="BG112" s="128"/>
      <c r="BH112" s="128"/>
      <c r="BI112" s="128"/>
      <c r="BJ112" s="128"/>
      <c r="BK112" s="837"/>
      <c r="BL112" s="128"/>
      <c r="BM112" s="128"/>
      <c r="BN112" s="128"/>
      <c r="BO112" s="128"/>
      <c r="BP112" s="837"/>
      <c r="BQ112" s="128"/>
      <c r="BR112" s="128"/>
      <c r="BS112" s="128"/>
      <c r="BT112" s="128"/>
      <c r="BU112" s="837"/>
      <c r="BV112" s="128"/>
      <c r="BW112" s="128"/>
      <c r="BX112" s="128"/>
      <c r="BY112" s="128"/>
      <c r="BZ112" s="837"/>
      <c r="CA112" s="128"/>
      <c r="CB112" s="128"/>
      <c r="CC112" s="128"/>
      <c r="CD112" s="128"/>
      <c r="CE112" s="837"/>
      <c r="CF112" s="128"/>
      <c r="CG112" s="128"/>
      <c r="CH112" s="128"/>
      <c r="CI112" s="128"/>
      <c r="CJ112" s="837"/>
      <c r="CK112" s="128"/>
      <c r="CL112" s="128"/>
      <c r="CM112" s="128"/>
      <c r="CN112" s="128"/>
      <c r="CO112" s="837"/>
      <c r="CP112" s="128"/>
      <c r="CQ112" s="128"/>
      <c r="CR112" s="128"/>
      <c r="CS112" s="128"/>
      <c r="CT112" s="836"/>
      <c r="CU112" s="128"/>
      <c r="CV112" s="128"/>
      <c r="CW112" s="128"/>
      <c r="CX112" s="128"/>
      <c r="CY112" s="836"/>
      <c r="CZ112" s="129"/>
      <c r="DA112" s="128"/>
      <c r="DB112" s="129"/>
      <c r="DC112" s="128"/>
      <c r="DD112" s="836"/>
      <c r="DE112" s="129"/>
      <c r="DF112" s="128"/>
      <c r="DG112" s="128">
        <v>1491.0</v>
      </c>
      <c r="DH112" s="128">
        <v>1491.0</v>
      </c>
      <c r="DI112" s="836"/>
      <c r="DJ112" s="883">
        <v>1491.0</v>
      </c>
      <c r="DK112" s="883">
        <v>1491.0</v>
      </c>
      <c r="DL112" s="883">
        <v>1491.0</v>
      </c>
      <c r="DM112" s="883">
        <v>1491.0</v>
      </c>
      <c r="DN112" s="836"/>
      <c r="DO112" s="904">
        <v>1491.0</v>
      </c>
      <c r="DP112" s="904">
        <v>1491.0</v>
      </c>
      <c r="DQ112" s="883">
        <v>1491.0</v>
      </c>
      <c r="DR112" s="883">
        <v>1491.0</v>
      </c>
      <c r="DS112" s="836"/>
      <c r="DT112" s="883">
        <v>1500.0</v>
      </c>
      <c r="DU112" s="883">
        <v>1500.0</v>
      </c>
      <c r="DV112" s="883">
        <v>1500.0</v>
      </c>
      <c r="DW112" s="883">
        <v>1500.0</v>
      </c>
      <c r="DX112" s="836"/>
      <c r="DY112" s="883">
        <v>1500.0</v>
      </c>
      <c r="DZ112" s="883">
        <v>1500.0</v>
      </c>
      <c r="EA112" s="883">
        <v>1500.0</v>
      </c>
      <c r="EB112" s="883">
        <v>1500.0</v>
      </c>
      <c r="EC112" s="836"/>
      <c r="ED112" s="883">
        <v>1500.0</v>
      </c>
      <c r="EE112" s="883">
        <v>1500.0</v>
      </c>
      <c r="EF112" s="883">
        <v>0.0</v>
      </c>
      <c r="EG112" s="883">
        <v>0.0</v>
      </c>
      <c r="EH112" s="836"/>
      <c r="EI112" s="884"/>
      <c r="EJ112" s="904"/>
      <c r="EK112" s="904"/>
      <c r="EL112" s="904"/>
      <c r="EM112" s="836"/>
      <c r="EN112" s="904"/>
      <c r="EO112" s="904"/>
      <c r="EP112" s="904"/>
      <c r="EQ112" s="904"/>
      <c r="ER112" s="836"/>
      <c r="ES112" s="904"/>
      <c r="ET112" s="904"/>
      <c r="EU112" s="904"/>
      <c r="EV112" s="904"/>
      <c r="EW112" s="836"/>
      <c r="EX112" s="904"/>
      <c r="EY112" s="904"/>
      <c r="EZ112" s="904"/>
      <c r="FA112" s="904"/>
      <c r="FB112" s="836"/>
      <c r="FC112" s="904"/>
      <c r="FD112" s="904"/>
      <c r="FE112" s="904"/>
      <c r="FF112" s="904"/>
      <c r="FG112" s="836"/>
    </row>
    <row r="113" ht="12.75" customHeight="1">
      <c r="A113" s="128"/>
      <c r="B113" s="179" t="s">
        <v>646</v>
      </c>
      <c r="C113" s="179"/>
      <c r="D113" s="179"/>
      <c r="E113" s="179"/>
      <c r="F113" s="179"/>
      <c r="G113" s="179"/>
      <c r="H113" s="179"/>
      <c r="I113" s="179"/>
      <c r="J113" s="179"/>
      <c r="K113" s="179"/>
      <c r="L113" s="179"/>
      <c r="M113" s="179"/>
      <c r="N113" s="179"/>
      <c r="O113" s="179"/>
      <c r="P113" s="179"/>
      <c r="Q113" s="179"/>
      <c r="R113" s="57"/>
      <c r="S113" s="179"/>
      <c r="T113" s="179"/>
      <c r="U113" s="179"/>
      <c r="V113" s="179"/>
      <c r="W113" s="785"/>
      <c r="X113" s="128"/>
      <c r="Y113" s="128"/>
      <c r="Z113" s="128"/>
      <c r="AA113" s="128"/>
      <c r="AB113" s="837"/>
      <c r="AC113" s="128"/>
      <c r="AD113" s="128"/>
      <c r="AE113" s="128"/>
      <c r="AF113" s="128"/>
      <c r="AG113" s="837"/>
      <c r="AH113" s="128"/>
      <c r="AI113" s="128"/>
      <c r="AJ113" s="128"/>
      <c r="AK113" s="128"/>
      <c r="AL113" s="837"/>
      <c r="AM113" s="128"/>
      <c r="AN113" s="128"/>
      <c r="AO113" s="128"/>
      <c r="AP113" s="128"/>
      <c r="AQ113" s="837"/>
      <c r="AR113" s="128"/>
      <c r="AS113" s="128"/>
      <c r="AT113" s="128"/>
      <c r="AU113" s="128"/>
      <c r="AV113" s="837"/>
      <c r="AW113" s="128"/>
      <c r="AX113" s="128"/>
      <c r="AY113" s="128"/>
      <c r="AZ113" s="128"/>
      <c r="BA113" s="837"/>
      <c r="BB113" s="128"/>
      <c r="BC113" s="128"/>
      <c r="BD113" s="128"/>
      <c r="BE113" s="128"/>
      <c r="BF113" s="837"/>
      <c r="BG113" s="128"/>
      <c r="BH113" s="128"/>
      <c r="BI113" s="128"/>
      <c r="BJ113" s="128"/>
      <c r="BK113" s="837"/>
      <c r="BL113" s="128"/>
      <c r="BM113" s="128"/>
      <c r="BN113" s="128"/>
      <c r="BO113" s="128"/>
      <c r="BP113" s="837"/>
      <c r="BQ113" s="128"/>
      <c r="BR113" s="128"/>
      <c r="BS113" s="128"/>
      <c r="BT113" s="128"/>
      <c r="BU113" s="837"/>
      <c r="BV113" s="128"/>
      <c r="BW113" s="128"/>
      <c r="BX113" s="128"/>
      <c r="BY113" s="128"/>
      <c r="BZ113" s="837"/>
      <c r="CA113" s="128"/>
      <c r="CB113" s="128"/>
      <c r="CC113" s="128"/>
      <c r="CD113" s="128"/>
      <c r="CE113" s="837"/>
      <c r="CF113" s="128"/>
      <c r="CG113" s="128"/>
      <c r="CH113" s="128"/>
      <c r="CI113" s="128"/>
      <c r="CJ113" s="837"/>
      <c r="CK113" s="128"/>
      <c r="CL113" s="128"/>
      <c r="CM113" s="128"/>
      <c r="CN113" s="128"/>
      <c r="CO113" s="837"/>
      <c r="CP113" s="128"/>
      <c r="CQ113" s="128"/>
      <c r="CR113" s="128"/>
      <c r="CS113" s="128"/>
      <c r="CT113" s="836"/>
      <c r="CU113" s="128"/>
      <c r="CV113" s="128"/>
      <c r="CW113" s="128"/>
      <c r="CX113" s="128"/>
      <c r="CY113" s="836"/>
      <c r="CZ113" s="129"/>
      <c r="DA113" s="128"/>
      <c r="DB113" s="129"/>
      <c r="DC113" s="128"/>
      <c r="DD113" s="836"/>
      <c r="DE113" s="129"/>
      <c r="DF113" s="128"/>
      <c r="DG113" s="128">
        <v>421.0</v>
      </c>
      <c r="DH113" s="128">
        <v>421.0</v>
      </c>
      <c r="DI113" s="836"/>
      <c r="DJ113" s="883">
        <v>421.0</v>
      </c>
      <c r="DK113" s="883">
        <v>421.0</v>
      </c>
      <c r="DL113" s="883">
        <v>421.0</v>
      </c>
      <c r="DM113" s="883">
        <v>421.0</v>
      </c>
      <c r="DN113" s="836"/>
      <c r="DO113" s="904">
        <v>421.0</v>
      </c>
      <c r="DP113" s="904">
        <v>421.0</v>
      </c>
      <c r="DQ113" s="883">
        <v>421.0</v>
      </c>
      <c r="DR113" s="883">
        <v>400.0</v>
      </c>
      <c r="DS113" s="836"/>
      <c r="DT113" s="883">
        <v>400.0</v>
      </c>
      <c r="DU113" s="883">
        <v>400.0</v>
      </c>
      <c r="DV113" s="883">
        <v>400.0</v>
      </c>
      <c r="DW113" s="883">
        <v>400.0</v>
      </c>
      <c r="DX113" s="836"/>
      <c r="DY113" s="883">
        <v>400.0</v>
      </c>
      <c r="DZ113" s="883">
        <v>400.0</v>
      </c>
      <c r="EA113" s="883">
        <v>400.0</v>
      </c>
      <c r="EB113" s="883">
        <v>400.0</v>
      </c>
      <c r="EC113" s="836"/>
      <c r="ED113" s="883">
        <v>400.0</v>
      </c>
      <c r="EE113" s="883">
        <v>400.0</v>
      </c>
      <c r="EF113" s="883">
        <v>400.0</v>
      </c>
      <c r="EG113" s="883">
        <v>400.0</v>
      </c>
      <c r="EH113" s="836"/>
      <c r="EI113" s="884">
        <v>400.0</v>
      </c>
      <c r="EJ113" s="904">
        <v>400.0</v>
      </c>
      <c r="EK113" s="904">
        <v>400.0</v>
      </c>
      <c r="EL113" s="904"/>
      <c r="EM113" s="836"/>
      <c r="EN113" s="904"/>
      <c r="EO113" s="904"/>
      <c r="EP113" s="904"/>
      <c r="EQ113" s="904"/>
      <c r="ER113" s="836"/>
      <c r="ES113" s="904"/>
      <c r="ET113" s="904"/>
      <c r="EU113" s="904"/>
      <c r="EV113" s="904"/>
      <c r="EW113" s="836"/>
      <c r="EX113" s="904"/>
      <c r="EY113" s="904"/>
      <c r="EZ113" s="904"/>
      <c r="FA113" s="904"/>
      <c r="FB113" s="836"/>
      <c r="FC113" s="904"/>
      <c r="FD113" s="904"/>
      <c r="FE113" s="904"/>
      <c r="FF113" s="904"/>
      <c r="FG113" s="836"/>
    </row>
    <row r="114" ht="12.75" customHeight="1">
      <c r="A114" s="128"/>
      <c r="B114" s="179" t="s">
        <v>647</v>
      </c>
      <c r="C114" s="179"/>
      <c r="D114" s="179"/>
      <c r="E114" s="179"/>
      <c r="F114" s="179"/>
      <c r="G114" s="179"/>
      <c r="H114" s="179"/>
      <c r="I114" s="179"/>
      <c r="J114" s="179"/>
      <c r="K114" s="179"/>
      <c r="L114" s="179"/>
      <c r="M114" s="179"/>
      <c r="N114" s="179"/>
      <c r="O114" s="179"/>
      <c r="P114" s="179"/>
      <c r="Q114" s="179"/>
      <c r="R114" s="57"/>
      <c r="S114" s="179"/>
      <c r="T114" s="179"/>
      <c r="U114" s="179"/>
      <c r="V114" s="179"/>
      <c r="W114" s="785"/>
      <c r="X114" s="128"/>
      <c r="Y114" s="128"/>
      <c r="Z114" s="128"/>
      <c r="AA114" s="128"/>
      <c r="AB114" s="837"/>
      <c r="AC114" s="128"/>
      <c r="AD114" s="128"/>
      <c r="AE114" s="128"/>
      <c r="AF114" s="128"/>
      <c r="AG114" s="837"/>
      <c r="AH114" s="128"/>
      <c r="AI114" s="128"/>
      <c r="AJ114" s="128"/>
      <c r="AK114" s="128"/>
      <c r="AL114" s="837"/>
      <c r="AM114" s="128"/>
      <c r="AN114" s="128"/>
      <c r="AO114" s="128"/>
      <c r="AP114" s="128"/>
      <c r="AQ114" s="837"/>
      <c r="AR114" s="128"/>
      <c r="AS114" s="128"/>
      <c r="AT114" s="128"/>
      <c r="AU114" s="128"/>
      <c r="AV114" s="837"/>
      <c r="AW114" s="128"/>
      <c r="AX114" s="128"/>
      <c r="AY114" s="128"/>
      <c r="AZ114" s="128"/>
      <c r="BA114" s="837"/>
      <c r="BB114" s="128"/>
      <c r="BC114" s="128"/>
      <c r="BD114" s="128"/>
      <c r="BE114" s="128"/>
      <c r="BF114" s="837"/>
      <c r="BG114" s="128"/>
      <c r="BH114" s="128"/>
      <c r="BI114" s="128"/>
      <c r="BJ114" s="128"/>
      <c r="BK114" s="837"/>
      <c r="BL114" s="128"/>
      <c r="BM114" s="128"/>
      <c r="BN114" s="128"/>
      <c r="BO114" s="128"/>
      <c r="BP114" s="837"/>
      <c r="BQ114" s="128"/>
      <c r="BR114" s="128"/>
      <c r="BS114" s="128"/>
      <c r="BT114" s="128"/>
      <c r="BU114" s="837"/>
      <c r="BV114" s="128"/>
      <c r="BW114" s="128"/>
      <c r="BX114" s="128"/>
      <c r="BY114" s="128"/>
      <c r="BZ114" s="837"/>
      <c r="CA114" s="128"/>
      <c r="CB114" s="128"/>
      <c r="CC114" s="128"/>
      <c r="CD114" s="128"/>
      <c r="CE114" s="837"/>
      <c r="CF114" s="128"/>
      <c r="CG114" s="128"/>
      <c r="CH114" s="128"/>
      <c r="CI114" s="128"/>
      <c r="CJ114" s="837"/>
      <c r="CK114" s="128"/>
      <c r="CL114" s="128"/>
      <c r="CM114" s="128"/>
      <c r="CN114" s="128"/>
      <c r="CO114" s="837"/>
      <c r="CP114" s="128"/>
      <c r="CQ114" s="128"/>
      <c r="CR114" s="128"/>
      <c r="CS114" s="128"/>
      <c r="CT114" s="836"/>
      <c r="CU114" s="128"/>
      <c r="CV114" s="128"/>
      <c r="CW114" s="128"/>
      <c r="CX114" s="128"/>
      <c r="CY114" s="836"/>
      <c r="CZ114" s="129"/>
      <c r="DA114" s="128"/>
      <c r="DB114" s="129"/>
      <c r="DC114" s="128"/>
      <c r="DD114" s="836"/>
      <c r="DE114" s="129"/>
      <c r="DF114" s="128"/>
      <c r="DG114" s="128">
        <v>1242.0</v>
      </c>
      <c r="DH114" s="128">
        <v>1242.0</v>
      </c>
      <c r="DI114" s="836"/>
      <c r="DJ114" s="883">
        <v>1242.0</v>
      </c>
      <c r="DK114" s="883">
        <v>1242.0</v>
      </c>
      <c r="DL114" s="883">
        <v>1242.0</v>
      </c>
      <c r="DM114" s="883">
        <v>1242.0</v>
      </c>
      <c r="DN114" s="836"/>
      <c r="DO114" s="904">
        <v>1242.0</v>
      </c>
      <c r="DP114" s="904">
        <v>1242.0</v>
      </c>
      <c r="DQ114" s="883">
        <v>1242.0</v>
      </c>
      <c r="DR114" s="883">
        <v>1242.0</v>
      </c>
      <c r="DS114" s="836"/>
      <c r="DT114" s="883">
        <v>1250.0</v>
      </c>
      <c r="DU114" s="883">
        <v>1250.0</v>
      </c>
      <c r="DV114" s="883">
        <v>1250.0</v>
      </c>
      <c r="DW114" s="883">
        <v>1250.0</v>
      </c>
      <c r="DX114" s="836"/>
      <c r="DY114" s="883">
        <v>1250.0</v>
      </c>
      <c r="DZ114" s="883">
        <v>1250.0</v>
      </c>
      <c r="EA114" s="883">
        <v>1250.0</v>
      </c>
      <c r="EB114" s="883">
        <v>1250.0</v>
      </c>
      <c r="EC114" s="836"/>
      <c r="ED114" s="883">
        <v>1250.0</v>
      </c>
      <c r="EE114" s="883">
        <v>1250.0</v>
      </c>
      <c r="EF114" s="883">
        <v>1250.0</v>
      </c>
      <c r="EG114" s="883">
        <v>1250.0</v>
      </c>
      <c r="EH114" s="836"/>
      <c r="EI114" s="884">
        <v>1250.0</v>
      </c>
      <c r="EJ114" s="904">
        <v>1250.0</v>
      </c>
      <c r="EK114" s="904">
        <v>1250.0</v>
      </c>
      <c r="EL114" s="904">
        <v>1250.0</v>
      </c>
      <c r="EM114" s="836"/>
      <c r="EN114" s="904">
        <v>1250.0</v>
      </c>
      <c r="EO114" s="904"/>
      <c r="EP114" s="904"/>
      <c r="EQ114" s="904"/>
      <c r="ER114" s="836"/>
      <c r="ES114" s="904"/>
      <c r="ET114" s="904"/>
      <c r="EU114" s="904"/>
      <c r="EV114" s="904"/>
      <c r="EW114" s="836"/>
      <c r="EX114" s="904"/>
      <c r="EY114" s="904"/>
      <c r="EZ114" s="904"/>
      <c r="FA114" s="904"/>
      <c r="FB114" s="836"/>
      <c r="FC114" s="904"/>
      <c r="FD114" s="904"/>
      <c r="FE114" s="904"/>
      <c r="FF114" s="904"/>
      <c r="FG114" s="836"/>
    </row>
    <row r="115" ht="12.75" customHeight="1">
      <c r="A115" s="128"/>
      <c r="B115" s="179" t="s">
        <v>648</v>
      </c>
      <c r="C115" s="179"/>
      <c r="D115" s="179"/>
      <c r="E115" s="179"/>
      <c r="F115" s="179"/>
      <c r="G115" s="179"/>
      <c r="H115" s="179"/>
      <c r="I115" s="179"/>
      <c r="J115" s="179"/>
      <c r="K115" s="179"/>
      <c r="L115" s="179"/>
      <c r="M115" s="179"/>
      <c r="N115" s="179"/>
      <c r="O115" s="179"/>
      <c r="P115" s="179"/>
      <c r="Q115" s="179"/>
      <c r="R115" s="57"/>
      <c r="S115" s="179"/>
      <c r="T115" s="179"/>
      <c r="U115" s="179"/>
      <c r="V115" s="179"/>
      <c r="W115" s="785"/>
      <c r="X115" s="128"/>
      <c r="Y115" s="128"/>
      <c r="Z115" s="128"/>
      <c r="AA115" s="128"/>
      <c r="AB115" s="837"/>
      <c r="AC115" s="128"/>
      <c r="AD115" s="128"/>
      <c r="AE115" s="128"/>
      <c r="AF115" s="128"/>
      <c r="AG115" s="837"/>
      <c r="AH115" s="128"/>
      <c r="AI115" s="128"/>
      <c r="AJ115" s="128"/>
      <c r="AK115" s="128"/>
      <c r="AL115" s="837"/>
      <c r="AM115" s="128"/>
      <c r="AN115" s="128"/>
      <c r="AO115" s="128"/>
      <c r="AP115" s="128"/>
      <c r="AQ115" s="837"/>
      <c r="AR115" s="128"/>
      <c r="AS115" s="128"/>
      <c r="AT115" s="128"/>
      <c r="AU115" s="128"/>
      <c r="AV115" s="837"/>
      <c r="AW115" s="128"/>
      <c r="AX115" s="128"/>
      <c r="AY115" s="128"/>
      <c r="AZ115" s="128"/>
      <c r="BA115" s="837"/>
      <c r="BB115" s="128"/>
      <c r="BC115" s="128"/>
      <c r="BD115" s="128"/>
      <c r="BE115" s="128"/>
      <c r="BF115" s="837"/>
      <c r="BG115" s="128"/>
      <c r="BH115" s="128"/>
      <c r="BI115" s="128"/>
      <c r="BJ115" s="128"/>
      <c r="BK115" s="837"/>
      <c r="BL115" s="128"/>
      <c r="BM115" s="128"/>
      <c r="BN115" s="128"/>
      <c r="BO115" s="128"/>
      <c r="BP115" s="837"/>
      <c r="BQ115" s="128"/>
      <c r="BR115" s="128"/>
      <c r="BS115" s="128"/>
      <c r="BT115" s="128"/>
      <c r="BU115" s="837"/>
      <c r="BV115" s="128"/>
      <c r="BW115" s="128"/>
      <c r="BX115" s="128"/>
      <c r="BY115" s="128"/>
      <c r="BZ115" s="837"/>
      <c r="CA115" s="128"/>
      <c r="CB115" s="128"/>
      <c r="CC115" s="128"/>
      <c r="CD115" s="128"/>
      <c r="CE115" s="837"/>
      <c r="CF115" s="128"/>
      <c r="CG115" s="128"/>
      <c r="CH115" s="128"/>
      <c r="CI115" s="128"/>
      <c r="CJ115" s="837"/>
      <c r="CK115" s="128"/>
      <c r="CL115" s="128"/>
      <c r="CM115" s="128"/>
      <c r="CN115" s="128"/>
      <c r="CO115" s="837"/>
      <c r="CP115" s="128"/>
      <c r="CQ115" s="128"/>
      <c r="CR115" s="128"/>
      <c r="CS115" s="128"/>
      <c r="CT115" s="836"/>
      <c r="CU115" s="128"/>
      <c r="CV115" s="128"/>
      <c r="CW115" s="128"/>
      <c r="CX115" s="128"/>
      <c r="CY115" s="836"/>
      <c r="CZ115" s="129"/>
      <c r="DA115" s="128"/>
      <c r="DB115" s="129"/>
      <c r="DC115" s="128"/>
      <c r="DD115" s="836"/>
      <c r="DE115" s="129"/>
      <c r="DF115" s="128"/>
      <c r="DG115" s="128">
        <v>596.0</v>
      </c>
      <c r="DH115" s="128">
        <v>596.0</v>
      </c>
      <c r="DI115" s="836"/>
      <c r="DJ115" s="883">
        <v>596.0</v>
      </c>
      <c r="DK115" s="883">
        <v>596.0</v>
      </c>
      <c r="DL115" s="883">
        <v>596.0</v>
      </c>
      <c r="DM115" s="883">
        <v>596.0</v>
      </c>
      <c r="DN115" s="836"/>
      <c r="DO115" s="904">
        <v>596.0</v>
      </c>
      <c r="DP115" s="904">
        <v>596.0</v>
      </c>
      <c r="DQ115" s="883">
        <v>596.0</v>
      </c>
      <c r="DR115" s="883">
        <v>596.0</v>
      </c>
      <c r="DS115" s="836"/>
      <c r="DT115" s="883">
        <v>600.0</v>
      </c>
      <c r="DU115" s="883">
        <v>600.0</v>
      </c>
      <c r="DV115" s="883">
        <v>600.0</v>
      </c>
      <c r="DW115" s="883">
        <v>600.0</v>
      </c>
      <c r="DX115" s="836"/>
      <c r="DY115" s="883">
        <v>600.0</v>
      </c>
      <c r="DZ115" s="883">
        <v>600.0</v>
      </c>
      <c r="EA115" s="883">
        <v>600.0</v>
      </c>
      <c r="EB115" s="883">
        <v>600.0</v>
      </c>
      <c r="EC115" s="836"/>
      <c r="ED115" s="883">
        <v>600.0</v>
      </c>
      <c r="EE115" s="883">
        <v>600.0</v>
      </c>
      <c r="EF115" s="883">
        <v>600.0</v>
      </c>
      <c r="EG115" s="883">
        <v>600.0</v>
      </c>
      <c r="EH115" s="836"/>
      <c r="EI115" s="884">
        <v>600.0</v>
      </c>
      <c r="EJ115" s="904">
        <v>600.0</v>
      </c>
      <c r="EK115" s="904">
        <v>600.0</v>
      </c>
      <c r="EL115" s="904">
        <v>600.0</v>
      </c>
      <c r="EM115" s="836"/>
      <c r="EN115" s="904">
        <v>600.0</v>
      </c>
      <c r="EO115" s="904">
        <v>600.0</v>
      </c>
      <c r="EP115" s="904"/>
      <c r="EQ115" s="904"/>
      <c r="ER115" s="836"/>
      <c r="ES115" s="904"/>
      <c r="ET115" s="904"/>
      <c r="EU115" s="904"/>
      <c r="EV115" s="904"/>
      <c r="EW115" s="836"/>
      <c r="EX115" s="904"/>
      <c r="EY115" s="904"/>
      <c r="EZ115" s="904"/>
      <c r="FA115" s="904"/>
      <c r="FB115" s="836"/>
      <c r="FC115" s="904"/>
      <c r="FD115" s="904"/>
      <c r="FE115" s="904"/>
      <c r="FF115" s="904"/>
      <c r="FG115" s="836"/>
    </row>
    <row r="116" ht="12.75" customHeight="1">
      <c r="A116" s="128"/>
      <c r="B116" s="179" t="s">
        <v>649</v>
      </c>
      <c r="C116" s="179"/>
      <c r="D116" s="179"/>
      <c r="E116" s="179"/>
      <c r="F116" s="179"/>
      <c r="G116" s="179"/>
      <c r="H116" s="179"/>
      <c r="I116" s="179"/>
      <c r="J116" s="179"/>
      <c r="K116" s="179"/>
      <c r="L116" s="179"/>
      <c r="M116" s="179"/>
      <c r="N116" s="179"/>
      <c r="O116" s="179"/>
      <c r="P116" s="179"/>
      <c r="Q116" s="179"/>
      <c r="R116" s="57"/>
      <c r="S116" s="179"/>
      <c r="T116" s="179"/>
      <c r="U116" s="179"/>
      <c r="V116" s="179"/>
      <c r="W116" s="785"/>
      <c r="X116" s="128"/>
      <c r="Y116" s="128"/>
      <c r="Z116" s="128"/>
      <c r="AA116" s="128"/>
      <c r="AB116" s="837"/>
      <c r="AC116" s="128"/>
      <c r="AD116" s="128"/>
      <c r="AE116" s="128"/>
      <c r="AF116" s="128"/>
      <c r="AG116" s="837"/>
      <c r="AH116" s="128"/>
      <c r="AI116" s="128"/>
      <c r="AJ116" s="128"/>
      <c r="AK116" s="128"/>
      <c r="AL116" s="837"/>
      <c r="AM116" s="128"/>
      <c r="AN116" s="128"/>
      <c r="AO116" s="128"/>
      <c r="AP116" s="128"/>
      <c r="AQ116" s="837"/>
      <c r="AR116" s="128"/>
      <c r="AS116" s="128"/>
      <c r="AT116" s="128"/>
      <c r="AU116" s="128"/>
      <c r="AV116" s="837"/>
      <c r="AW116" s="128"/>
      <c r="AX116" s="128"/>
      <c r="AY116" s="128"/>
      <c r="AZ116" s="128"/>
      <c r="BA116" s="837"/>
      <c r="BB116" s="128"/>
      <c r="BC116" s="128"/>
      <c r="BD116" s="128"/>
      <c r="BE116" s="128"/>
      <c r="BF116" s="837"/>
      <c r="BG116" s="128"/>
      <c r="BH116" s="128"/>
      <c r="BI116" s="128"/>
      <c r="BJ116" s="128"/>
      <c r="BK116" s="837"/>
      <c r="BL116" s="128"/>
      <c r="BM116" s="128"/>
      <c r="BN116" s="128"/>
      <c r="BO116" s="128"/>
      <c r="BP116" s="837"/>
      <c r="BQ116" s="128"/>
      <c r="BR116" s="128"/>
      <c r="BS116" s="128"/>
      <c r="BT116" s="128"/>
      <c r="BU116" s="837"/>
      <c r="BV116" s="128"/>
      <c r="BW116" s="128"/>
      <c r="BX116" s="128"/>
      <c r="BY116" s="128"/>
      <c r="BZ116" s="837"/>
      <c r="CA116" s="128"/>
      <c r="CB116" s="128"/>
      <c r="CC116" s="128"/>
      <c r="CD116" s="128"/>
      <c r="CE116" s="837"/>
      <c r="CF116" s="128"/>
      <c r="CG116" s="128"/>
      <c r="CH116" s="128"/>
      <c r="CI116" s="128"/>
      <c r="CJ116" s="837"/>
      <c r="CK116" s="128"/>
      <c r="CL116" s="128"/>
      <c r="CM116" s="128"/>
      <c r="CN116" s="128"/>
      <c r="CO116" s="837"/>
      <c r="CP116" s="128"/>
      <c r="CQ116" s="128"/>
      <c r="CR116" s="128"/>
      <c r="CS116" s="128"/>
      <c r="CT116" s="836"/>
      <c r="CU116" s="128"/>
      <c r="CV116" s="128"/>
      <c r="CW116" s="128"/>
      <c r="CX116" s="128"/>
      <c r="CY116" s="836"/>
      <c r="CZ116" s="129"/>
      <c r="DA116" s="128"/>
      <c r="DB116" s="129"/>
      <c r="DC116" s="128"/>
      <c r="DD116" s="836"/>
      <c r="DE116" s="129"/>
      <c r="DF116" s="128"/>
      <c r="DG116" s="128"/>
      <c r="DH116" s="128"/>
      <c r="DI116" s="836"/>
      <c r="DJ116" s="883"/>
      <c r="DK116" s="883"/>
      <c r="DL116" s="883"/>
      <c r="DM116" s="883"/>
      <c r="DN116" s="836"/>
      <c r="DO116" s="904"/>
      <c r="DP116" s="904"/>
      <c r="DQ116" s="883"/>
      <c r="DR116" s="883"/>
      <c r="DS116" s="836"/>
      <c r="DT116" s="883">
        <v>1500.0</v>
      </c>
      <c r="DU116" s="883">
        <v>1500.0</v>
      </c>
      <c r="DV116" s="883">
        <v>1500.0</v>
      </c>
      <c r="DW116" s="883">
        <v>1500.0</v>
      </c>
      <c r="DX116" s="836"/>
      <c r="DY116" s="883">
        <v>1500.0</v>
      </c>
      <c r="DZ116" s="883">
        <v>1500.0</v>
      </c>
      <c r="EA116" s="883">
        <v>1500.0</v>
      </c>
      <c r="EB116" s="883">
        <v>1500.0</v>
      </c>
      <c r="EC116" s="836"/>
      <c r="ED116" s="883">
        <v>1500.0</v>
      </c>
      <c r="EE116" s="883">
        <v>1500.0</v>
      </c>
      <c r="EF116" s="883">
        <v>1500.0</v>
      </c>
      <c r="EG116" s="883">
        <v>1500.0</v>
      </c>
      <c r="EH116" s="836"/>
      <c r="EI116" s="884">
        <v>1500.0</v>
      </c>
      <c r="EJ116" s="904">
        <v>1500.0</v>
      </c>
      <c r="EK116" s="904">
        <v>1500.0</v>
      </c>
      <c r="EL116" s="904">
        <v>1500.0</v>
      </c>
      <c r="EM116" s="836"/>
      <c r="EN116" s="904">
        <v>1500.0</v>
      </c>
      <c r="EO116" s="904">
        <v>1500.0</v>
      </c>
      <c r="EP116" s="904">
        <v>1500.0</v>
      </c>
      <c r="EQ116" s="904">
        <v>1500.0</v>
      </c>
      <c r="ER116" s="836"/>
      <c r="ES116" s="904">
        <v>1500.0</v>
      </c>
      <c r="ET116" s="904"/>
      <c r="EU116" s="904"/>
      <c r="EV116" s="904"/>
      <c r="EW116" s="836"/>
      <c r="EX116" s="904"/>
      <c r="EY116" s="904"/>
      <c r="EZ116" s="904"/>
      <c r="FA116" s="904"/>
      <c r="FB116" s="836"/>
      <c r="FC116" s="904"/>
      <c r="FD116" s="904"/>
      <c r="FE116" s="904"/>
      <c r="FF116" s="904"/>
      <c r="FG116" s="836"/>
    </row>
    <row r="117" ht="12.75" customHeight="1">
      <c r="A117" s="128"/>
      <c r="B117" s="179" t="s">
        <v>650</v>
      </c>
      <c r="C117" s="179"/>
      <c r="D117" s="179"/>
      <c r="E117" s="179"/>
      <c r="F117" s="179"/>
      <c r="G117" s="179"/>
      <c r="H117" s="179"/>
      <c r="I117" s="179"/>
      <c r="J117" s="179"/>
      <c r="K117" s="179"/>
      <c r="L117" s="179"/>
      <c r="M117" s="179"/>
      <c r="N117" s="179"/>
      <c r="O117" s="179"/>
      <c r="P117" s="179"/>
      <c r="Q117" s="179"/>
      <c r="R117" s="57"/>
      <c r="S117" s="179"/>
      <c r="T117" s="179"/>
      <c r="U117" s="179"/>
      <c r="V117" s="179"/>
      <c r="W117" s="785"/>
      <c r="X117" s="128"/>
      <c r="Y117" s="128"/>
      <c r="Z117" s="128"/>
      <c r="AA117" s="128"/>
      <c r="AB117" s="837"/>
      <c r="AC117" s="128"/>
      <c r="AD117" s="128"/>
      <c r="AE117" s="128"/>
      <c r="AF117" s="128"/>
      <c r="AG117" s="837"/>
      <c r="AH117" s="128"/>
      <c r="AI117" s="128"/>
      <c r="AJ117" s="128"/>
      <c r="AK117" s="128"/>
      <c r="AL117" s="837"/>
      <c r="AM117" s="128"/>
      <c r="AN117" s="128"/>
      <c r="AO117" s="128"/>
      <c r="AP117" s="128"/>
      <c r="AQ117" s="837"/>
      <c r="AR117" s="128"/>
      <c r="AS117" s="128"/>
      <c r="AT117" s="128"/>
      <c r="AU117" s="128"/>
      <c r="AV117" s="837"/>
      <c r="AW117" s="128"/>
      <c r="AX117" s="128"/>
      <c r="AY117" s="128"/>
      <c r="AZ117" s="128"/>
      <c r="BA117" s="837"/>
      <c r="BB117" s="128"/>
      <c r="BC117" s="128"/>
      <c r="BD117" s="128"/>
      <c r="BE117" s="128"/>
      <c r="BF117" s="837"/>
      <c r="BG117" s="128"/>
      <c r="BH117" s="128"/>
      <c r="BI117" s="128"/>
      <c r="BJ117" s="128"/>
      <c r="BK117" s="837"/>
      <c r="BL117" s="128"/>
      <c r="BM117" s="128"/>
      <c r="BN117" s="128"/>
      <c r="BO117" s="128"/>
      <c r="BP117" s="837"/>
      <c r="BQ117" s="128"/>
      <c r="BR117" s="128"/>
      <c r="BS117" s="128"/>
      <c r="BT117" s="128"/>
      <c r="BU117" s="837"/>
      <c r="BV117" s="128"/>
      <c r="BW117" s="128"/>
      <c r="BX117" s="128"/>
      <c r="BY117" s="128"/>
      <c r="BZ117" s="837"/>
      <c r="CA117" s="128"/>
      <c r="CB117" s="128"/>
      <c r="CC117" s="128"/>
      <c r="CD117" s="128"/>
      <c r="CE117" s="837"/>
      <c r="CF117" s="128"/>
      <c r="CG117" s="128"/>
      <c r="CH117" s="128"/>
      <c r="CI117" s="128"/>
      <c r="CJ117" s="837"/>
      <c r="CK117" s="128"/>
      <c r="CL117" s="128"/>
      <c r="CM117" s="128"/>
      <c r="CN117" s="128"/>
      <c r="CO117" s="837"/>
      <c r="CP117" s="128"/>
      <c r="CQ117" s="128"/>
      <c r="CR117" s="128"/>
      <c r="CS117" s="128"/>
      <c r="CT117" s="836"/>
      <c r="CU117" s="128"/>
      <c r="CV117" s="128"/>
      <c r="CW117" s="128"/>
      <c r="CX117" s="128"/>
      <c r="CY117" s="836"/>
      <c r="CZ117" s="129"/>
      <c r="DA117" s="128"/>
      <c r="DB117" s="129"/>
      <c r="DC117" s="128"/>
      <c r="DD117" s="836"/>
      <c r="DE117" s="129"/>
      <c r="DF117" s="128"/>
      <c r="DG117" s="128">
        <v>2177.0</v>
      </c>
      <c r="DH117" s="128">
        <v>2177.0</v>
      </c>
      <c r="DI117" s="836"/>
      <c r="DJ117" s="883">
        <v>2177.0</v>
      </c>
      <c r="DK117" s="883">
        <v>2177.0</v>
      </c>
      <c r="DL117" s="883">
        <v>2177.0</v>
      </c>
      <c r="DM117" s="883">
        <v>2177.0</v>
      </c>
      <c r="DN117" s="836"/>
      <c r="DO117" s="904">
        <v>2177.0</v>
      </c>
      <c r="DP117" s="904">
        <v>2177.0</v>
      </c>
      <c r="DQ117" s="883">
        <v>2177.0</v>
      </c>
      <c r="DR117" s="883">
        <v>2177.0</v>
      </c>
      <c r="DS117" s="836"/>
      <c r="DT117" s="883">
        <v>2250.0</v>
      </c>
      <c r="DU117" s="883">
        <v>2250.0</v>
      </c>
      <c r="DV117" s="883">
        <v>2250.0</v>
      </c>
      <c r="DW117" s="883">
        <v>2250.0</v>
      </c>
      <c r="DX117" s="836"/>
      <c r="DY117" s="883">
        <v>2250.0</v>
      </c>
      <c r="DZ117" s="883">
        <v>2250.0</v>
      </c>
      <c r="EA117" s="883">
        <v>2250.0</v>
      </c>
      <c r="EB117" s="883">
        <v>2250.0</v>
      </c>
      <c r="EC117" s="836"/>
      <c r="ED117" s="883">
        <v>2250.0</v>
      </c>
      <c r="EE117" s="883">
        <v>2250.0</v>
      </c>
      <c r="EF117" s="883">
        <v>2250.0</v>
      </c>
      <c r="EG117" s="883">
        <v>2250.0</v>
      </c>
      <c r="EH117" s="836"/>
      <c r="EI117" s="884">
        <v>2250.0</v>
      </c>
      <c r="EJ117" s="904">
        <v>2250.0</v>
      </c>
      <c r="EK117" s="904">
        <v>2250.0</v>
      </c>
      <c r="EL117" s="904">
        <v>2250.0</v>
      </c>
      <c r="EM117" s="836"/>
      <c r="EN117" s="904">
        <v>2250.0</v>
      </c>
      <c r="EO117" s="904">
        <v>2250.0</v>
      </c>
      <c r="EP117" s="904">
        <v>2250.0</v>
      </c>
      <c r="EQ117" s="904">
        <v>2250.0</v>
      </c>
      <c r="ER117" s="836"/>
      <c r="ES117" s="904">
        <v>2250.0</v>
      </c>
      <c r="ET117" s="904">
        <v>2250.0</v>
      </c>
      <c r="EU117" s="904"/>
      <c r="EV117" s="904"/>
      <c r="EW117" s="836"/>
      <c r="EX117" s="904"/>
      <c r="EY117" s="904"/>
      <c r="EZ117" s="904"/>
      <c r="FA117" s="904"/>
      <c r="FB117" s="836"/>
      <c r="FC117" s="904"/>
      <c r="FD117" s="904"/>
      <c r="FE117" s="904"/>
      <c r="FF117" s="904"/>
      <c r="FG117" s="836"/>
    </row>
    <row r="118" ht="12.75" customHeight="1">
      <c r="A118" s="128"/>
      <c r="B118" s="179" t="s">
        <v>651</v>
      </c>
      <c r="C118" s="179"/>
      <c r="D118" s="179"/>
      <c r="E118" s="179"/>
      <c r="F118" s="179"/>
      <c r="G118" s="179"/>
      <c r="H118" s="179"/>
      <c r="I118" s="179"/>
      <c r="J118" s="179"/>
      <c r="K118" s="179"/>
      <c r="L118" s="179"/>
      <c r="M118" s="179"/>
      <c r="N118" s="179"/>
      <c r="O118" s="179"/>
      <c r="P118" s="179"/>
      <c r="Q118" s="179"/>
      <c r="R118" s="57"/>
      <c r="S118" s="179"/>
      <c r="T118" s="179"/>
      <c r="U118" s="179"/>
      <c r="V118" s="179"/>
      <c r="W118" s="785"/>
      <c r="X118" s="128"/>
      <c r="Y118" s="128"/>
      <c r="Z118" s="128"/>
      <c r="AA118" s="128"/>
      <c r="AB118" s="837"/>
      <c r="AC118" s="128"/>
      <c r="AD118" s="128"/>
      <c r="AE118" s="128"/>
      <c r="AF118" s="128"/>
      <c r="AG118" s="837"/>
      <c r="AH118" s="128"/>
      <c r="AI118" s="128"/>
      <c r="AJ118" s="128"/>
      <c r="AK118" s="128"/>
      <c r="AL118" s="837"/>
      <c r="AM118" s="128"/>
      <c r="AN118" s="128"/>
      <c r="AO118" s="128"/>
      <c r="AP118" s="128"/>
      <c r="AQ118" s="837"/>
      <c r="AR118" s="128"/>
      <c r="AS118" s="128"/>
      <c r="AT118" s="128"/>
      <c r="AU118" s="128"/>
      <c r="AV118" s="837"/>
      <c r="AW118" s="128"/>
      <c r="AX118" s="128"/>
      <c r="AY118" s="128"/>
      <c r="AZ118" s="128"/>
      <c r="BA118" s="837"/>
      <c r="BB118" s="128"/>
      <c r="BC118" s="128"/>
      <c r="BD118" s="128"/>
      <c r="BE118" s="128"/>
      <c r="BF118" s="837"/>
      <c r="BG118" s="128"/>
      <c r="BH118" s="128"/>
      <c r="BI118" s="128"/>
      <c r="BJ118" s="128"/>
      <c r="BK118" s="837"/>
      <c r="BL118" s="128"/>
      <c r="BM118" s="128"/>
      <c r="BN118" s="128"/>
      <c r="BO118" s="128"/>
      <c r="BP118" s="837"/>
      <c r="BQ118" s="128"/>
      <c r="BR118" s="128"/>
      <c r="BS118" s="128"/>
      <c r="BT118" s="128"/>
      <c r="BU118" s="837"/>
      <c r="BV118" s="128"/>
      <c r="BW118" s="128"/>
      <c r="BX118" s="128"/>
      <c r="BY118" s="128"/>
      <c r="BZ118" s="837"/>
      <c r="CA118" s="128"/>
      <c r="CB118" s="128"/>
      <c r="CC118" s="128"/>
      <c r="CD118" s="128"/>
      <c r="CE118" s="837"/>
      <c r="CF118" s="128"/>
      <c r="CG118" s="128"/>
      <c r="CH118" s="128"/>
      <c r="CI118" s="128"/>
      <c r="CJ118" s="837"/>
      <c r="CK118" s="128"/>
      <c r="CL118" s="128"/>
      <c r="CM118" s="128"/>
      <c r="CN118" s="128"/>
      <c r="CO118" s="837"/>
      <c r="CP118" s="128"/>
      <c r="CQ118" s="128"/>
      <c r="CR118" s="128"/>
      <c r="CS118" s="128"/>
      <c r="CT118" s="836"/>
      <c r="CU118" s="128"/>
      <c r="CV118" s="128"/>
      <c r="CW118" s="128"/>
      <c r="CX118" s="128"/>
      <c r="CY118" s="836"/>
      <c r="CZ118" s="129"/>
      <c r="DA118" s="128"/>
      <c r="DB118" s="129"/>
      <c r="DC118" s="128"/>
      <c r="DD118" s="836"/>
      <c r="DE118" s="129"/>
      <c r="DF118" s="128"/>
      <c r="DG118" s="128">
        <v>993.0</v>
      </c>
      <c r="DH118" s="128">
        <v>993.0</v>
      </c>
      <c r="DI118" s="836"/>
      <c r="DJ118" s="883">
        <v>993.0</v>
      </c>
      <c r="DK118" s="883">
        <v>993.0</v>
      </c>
      <c r="DL118" s="883">
        <v>993.0</v>
      </c>
      <c r="DM118" s="883">
        <v>993.0</v>
      </c>
      <c r="DN118" s="836"/>
      <c r="DO118" s="904">
        <v>993.0</v>
      </c>
      <c r="DP118" s="904">
        <v>993.0</v>
      </c>
      <c r="DQ118" s="883">
        <v>993.0</v>
      </c>
      <c r="DR118" s="883">
        <v>993.0</v>
      </c>
      <c r="DS118" s="836"/>
      <c r="DT118" s="883">
        <v>1000.0</v>
      </c>
      <c r="DU118" s="883">
        <v>1000.0</v>
      </c>
      <c r="DV118" s="883">
        <v>1000.0</v>
      </c>
      <c r="DW118" s="883">
        <v>1000.0</v>
      </c>
      <c r="DX118" s="836"/>
      <c r="DY118" s="883">
        <v>1000.0</v>
      </c>
      <c r="DZ118" s="883">
        <v>1000.0</v>
      </c>
      <c r="EA118" s="883">
        <v>1000.0</v>
      </c>
      <c r="EB118" s="883">
        <v>1000.0</v>
      </c>
      <c r="EC118" s="836"/>
      <c r="ED118" s="883">
        <v>1000.0</v>
      </c>
      <c r="EE118" s="883">
        <v>1000.0</v>
      </c>
      <c r="EF118" s="883">
        <v>1000.0</v>
      </c>
      <c r="EG118" s="883">
        <v>1000.0</v>
      </c>
      <c r="EH118" s="836"/>
      <c r="EI118" s="884">
        <v>1000.0</v>
      </c>
      <c r="EJ118" s="904">
        <v>1000.0</v>
      </c>
      <c r="EK118" s="904">
        <v>1000.0</v>
      </c>
      <c r="EL118" s="904">
        <v>1000.0</v>
      </c>
      <c r="EM118" s="836"/>
      <c r="EN118" s="904">
        <v>1000.0</v>
      </c>
      <c r="EO118" s="904">
        <v>1000.0</v>
      </c>
      <c r="EP118" s="904">
        <v>1000.0</v>
      </c>
      <c r="EQ118" s="904">
        <v>1000.0</v>
      </c>
      <c r="ER118" s="836"/>
      <c r="ES118" s="904">
        <v>1000.0</v>
      </c>
      <c r="ET118" s="904">
        <v>1000.0</v>
      </c>
      <c r="EU118" s="904">
        <v>1000.0</v>
      </c>
      <c r="EV118" s="904">
        <v>1000.0</v>
      </c>
      <c r="EW118" s="836"/>
      <c r="EX118" s="904">
        <v>1000.0</v>
      </c>
      <c r="EY118" s="904"/>
      <c r="EZ118" s="904"/>
      <c r="FA118" s="904"/>
      <c r="FB118" s="836"/>
      <c r="FC118" s="904"/>
      <c r="FD118" s="904"/>
      <c r="FE118" s="904"/>
      <c r="FF118" s="904"/>
      <c r="FG118" s="836"/>
    </row>
    <row r="119" ht="12.75" customHeight="1">
      <c r="A119" s="128"/>
      <c r="B119" s="179" t="s">
        <v>652</v>
      </c>
      <c r="C119" s="179"/>
      <c r="D119" s="179"/>
      <c r="E119" s="179"/>
      <c r="F119" s="179"/>
      <c r="G119" s="179"/>
      <c r="H119" s="179"/>
      <c r="I119" s="179"/>
      <c r="J119" s="179"/>
      <c r="K119" s="179"/>
      <c r="L119" s="179"/>
      <c r="M119" s="179"/>
      <c r="N119" s="179"/>
      <c r="O119" s="179"/>
      <c r="P119" s="179"/>
      <c r="Q119" s="179"/>
      <c r="R119" s="57"/>
      <c r="S119" s="179"/>
      <c r="T119" s="179"/>
      <c r="U119" s="179"/>
      <c r="V119" s="179"/>
      <c r="W119" s="785"/>
      <c r="X119" s="128"/>
      <c r="Y119" s="128"/>
      <c r="Z119" s="128"/>
      <c r="AA119" s="128"/>
      <c r="AB119" s="837"/>
      <c r="AC119" s="128"/>
      <c r="AD119" s="128"/>
      <c r="AE119" s="128"/>
      <c r="AF119" s="128"/>
      <c r="AG119" s="837"/>
      <c r="AH119" s="128"/>
      <c r="AI119" s="128"/>
      <c r="AJ119" s="128"/>
      <c r="AK119" s="128"/>
      <c r="AL119" s="837"/>
      <c r="AM119" s="128"/>
      <c r="AN119" s="128"/>
      <c r="AO119" s="128"/>
      <c r="AP119" s="128"/>
      <c r="AQ119" s="837"/>
      <c r="AR119" s="128"/>
      <c r="AS119" s="128"/>
      <c r="AT119" s="128"/>
      <c r="AU119" s="128"/>
      <c r="AV119" s="837"/>
      <c r="AW119" s="128"/>
      <c r="AX119" s="128"/>
      <c r="AY119" s="128"/>
      <c r="AZ119" s="128"/>
      <c r="BA119" s="837"/>
      <c r="BB119" s="128"/>
      <c r="BC119" s="128"/>
      <c r="BD119" s="128"/>
      <c r="BE119" s="128"/>
      <c r="BF119" s="837"/>
      <c r="BG119" s="128"/>
      <c r="BH119" s="128"/>
      <c r="BI119" s="128"/>
      <c r="BJ119" s="128"/>
      <c r="BK119" s="837"/>
      <c r="BL119" s="128"/>
      <c r="BM119" s="128"/>
      <c r="BN119" s="128"/>
      <c r="BO119" s="128"/>
      <c r="BP119" s="837"/>
      <c r="BQ119" s="128"/>
      <c r="BR119" s="128"/>
      <c r="BS119" s="128"/>
      <c r="BT119" s="128"/>
      <c r="BU119" s="837"/>
      <c r="BV119" s="128"/>
      <c r="BW119" s="128"/>
      <c r="BX119" s="128"/>
      <c r="BY119" s="128"/>
      <c r="BZ119" s="837"/>
      <c r="CA119" s="128"/>
      <c r="CB119" s="128"/>
      <c r="CC119" s="128"/>
      <c r="CD119" s="128"/>
      <c r="CE119" s="837"/>
      <c r="CF119" s="128"/>
      <c r="CG119" s="128"/>
      <c r="CH119" s="128"/>
      <c r="CI119" s="128"/>
      <c r="CJ119" s="837"/>
      <c r="CK119" s="128"/>
      <c r="CL119" s="128"/>
      <c r="CM119" s="128"/>
      <c r="CN119" s="128"/>
      <c r="CO119" s="837"/>
      <c r="CP119" s="128"/>
      <c r="CQ119" s="128"/>
      <c r="CR119" s="128"/>
      <c r="CS119" s="128"/>
      <c r="CT119" s="836"/>
      <c r="CU119" s="128"/>
      <c r="CV119" s="128"/>
      <c r="CW119" s="128"/>
      <c r="CX119" s="128"/>
      <c r="CY119" s="836"/>
      <c r="CZ119" s="129"/>
      <c r="DA119" s="128"/>
      <c r="DB119" s="129"/>
      <c r="DC119" s="128"/>
      <c r="DD119" s="836"/>
      <c r="DE119" s="129"/>
      <c r="DF119" s="128"/>
      <c r="DG119" s="128"/>
      <c r="DH119" s="128"/>
      <c r="DI119" s="836"/>
      <c r="DJ119" s="883"/>
      <c r="DK119" s="883"/>
      <c r="DL119" s="883"/>
      <c r="DM119" s="883"/>
      <c r="DN119" s="836"/>
      <c r="DO119" s="904"/>
      <c r="DP119" s="904"/>
      <c r="DQ119" s="883"/>
      <c r="DR119" s="883"/>
      <c r="DS119" s="836"/>
      <c r="DT119" s="883">
        <v>1000.0</v>
      </c>
      <c r="DU119" s="883">
        <v>1000.0</v>
      </c>
      <c r="DV119" s="883">
        <v>1000.0</v>
      </c>
      <c r="DW119" s="883">
        <v>1000.0</v>
      </c>
      <c r="DX119" s="836"/>
      <c r="DY119" s="883">
        <v>1000.0</v>
      </c>
      <c r="DZ119" s="883">
        <v>1000.0</v>
      </c>
      <c r="EA119" s="883">
        <v>1000.0</v>
      </c>
      <c r="EB119" s="883">
        <v>1000.0</v>
      </c>
      <c r="EC119" s="836"/>
      <c r="ED119" s="883">
        <v>1000.0</v>
      </c>
      <c r="EE119" s="883">
        <v>1000.0</v>
      </c>
      <c r="EF119" s="883">
        <v>1000.0</v>
      </c>
      <c r="EG119" s="883">
        <v>1000.0</v>
      </c>
      <c r="EH119" s="836"/>
      <c r="EI119" s="884">
        <v>1000.0</v>
      </c>
      <c r="EJ119" s="904">
        <v>1000.0</v>
      </c>
      <c r="EK119" s="904">
        <v>1000.0</v>
      </c>
      <c r="EL119" s="904">
        <v>1000.0</v>
      </c>
      <c r="EM119" s="836"/>
      <c r="EN119" s="904">
        <v>1000.0</v>
      </c>
      <c r="EO119" s="904">
        <v>1000.0</v>
      </c>
      <c r="EP119" s="904">
        <v>1000.0</v>
      </c>
      <c r="EQ119" s="904">
        <v>1000.0</v>
      </c>
      <c r="ER119" s="836"/>
      <c r="ES119" s="904">
        <v>1000.0</v>
      </c>
      <c r="ET119" s="904">
        <v>1000.0</v>
      </c>
      <c r="EU119" s="904">
        <v>1000.0</v>
      </c>
      <c r="EV119" s="904">
        <v>1000.0</v>
      </c>
      <c r="EW119" s="836"/>
      <c r="EX119" s="904">
        <v>1000.0</v>
      </c>
      <c r="EY119" s="904">
        <v>1000.0</v>
      </c>
      <c r="EZ119" s="904">
        <v>1000.0</v>
      </c>
      <c r="FA119" s="904">
        <v>1000.0</v>
      </c>
      <c r="FB119" s="836"/>
      <c r="FC119" s="904"/>
      <c r="FD119" s="904"/>
      <c r="FE119" s="904"/>
      <c r="FF119" s="904"/>
      <c r="FG119" s="836"/>
    </row>
    <row r="120" ht="12.75" customHeight="1">
      <c r="A120" s="128"/>
      <c r="B120" s="179" t="s">
        <v>653</v>
      </c>
      <c r="C120" s="179"/>
      <c r="D120" s="179"/>
      <c r="E120" s="179"/>
      <c r="F120" s="179"/>
      <c r="G120" s="179"/>
      <c r="H120" s="179"/>
      <c r="I120" s="179"/>
      <c r="J120" s="179"/>
      <c r="K120" s="179"/>
      <c r="L120" s="179"/>
      <c r="M120" s="179"/>
      <c r="N120" s="179"/>
      <c r="O120" s="179"/>
      <c r="P120" s="179"/>
      <c r="Q120" s="179"/>
      <c r="R120" s="57"/>
      <c r="S120" s="179"/>
      <c r="T120" s="179"/>
      <c r="U120" s="179"/>
      <c r="V120" s="179"/>
      <c r="W120" s="785"/>
      <c r="X120" s="128"/>
      <c r="Y120" s="128"/>
      <c r="Z120" s="128"/>
      <c r="AA120" s="128"/>
      <c r="AB120" s="837"/>
      <c r="AC120" s="128"/>
      <c r="AD120" s="128"/>
      <c r="AE120" s="128"/>
      <c r="AF120" s="128"/>
      <c r="AG120" s="837"/>
      <c r="AH120" s="128"/>
      <c r="AI120" s="128"/>
      <c r="AJ120" s="128"/>
      <c r="AK120" s="128"/>
      <c r="AL120" s="837"/>
      <c r="AM120" s="128"/>
      <c r="AN120" s="128"/>
      <c r="AO120" s="128"/>
      <c r="AP120" s="128"/>
      <c r="AQ120" s="837"/>
      <c r="AR120" s="128"/>
      <c r="AS120" s="128"/>
      <c r="AT120" s="128"/>
      <c r="AU120" s="128"/>
      <c r="AV120" s="837"/>
      <c r="AW120" s="128"/>
      <c r="AX120" s="128"/>
      <c r="AY120" s="128"/>
      <c r="AZ120" s="128"/>
      <c r="BA120" s="837"/>
      <c r="BB120" s="128"/>
      <c r="BC120" s="128"/>
      <c r="BD120" s="128"/>
      <c r="BE120" s="128"/>
      <c r="BF120" s="837"/>
      <c r="BG120" s="128"/>
      <c r="BH120" s="128"/>
      <c r="BI120" s="128"/>
      <c r="BJ120" s="128"/>
      <c r="BK120" s="837"/>
      <c r="BL120" s="128"/>
      <c r="BM120" s="128"/>
      <c r="BN120" s="128"/>
      <c r="BO120" s="128"/>
      <c r="BP120" s="837"/>
      <c r="BQ120" s="128"/>
      <c r="BR120" s="128"/>
      <c r="BS120" s="128"/>
      <c r="BT120" s="128"/>
      <c r="BU120" s="837"/>
      <c r="BV120" s="128"/>
      <c r="BW120" s="128"/>
      <c r="BX120" s="128"/>
      <c r="BY120" s="128"/>
      <c r="BZ120" s="837"/>
      <c r="CA120" s="128"/>
      <c r="CB120" s="128"/>
      <c r="CC120" s="128"/>
      <c r="CD120" s="128"/>
      <c r="CE120" s="837"/>
      <c r="CF120" s="128"/>
      <c r="CG120" s="128"/>
      <c r="CH120" s="128"/>
      <c r="CI120" s="128"/>
      <c r="CJ120" s="837"/>
      <c r="CK120" s="128"/>
      <c r="CL120" s="128"/>
      <c r="CM120" s="128"/>
      <c r="CN120" s="128"/>
      <c r="CO120" s="837"/>
      <c r="CP120" s="128"/>
      <c r="CQ120" s="128"/>
      <c r="CR120" s="128"/>
      <c r="CS120" s="128"/>
      <c r="CT120" s="836"/>
      <c r="CU120" s="128"/>
      <c r="CV120" s="128"/>
      <c r="CW120" s="128"/>
      <c r="CX120" s="128"/>
      <c r="CY120" s="836"/>
      <c r="CZ120" s="129"/>
      <c r="DA120" s="128"/>
      <c r="DB120" s="129"/>
      <c r="DC120" s="128"/>
      <c r="DD120" s="836"/>
      <c r="DE120" s="129"/>
      <c r="DF120" s="128"/>
      <c r="DG120" s="128">
        <v>991.0</v>
      </c>
      <c r="DH120" s="128">
        <v>991.0</v>
      </c>
      <c r="DI120" s="836"/>
      <c r="DJ120" s="883">
        <v>991.0</v>
      </c>
      <c r="DK120" s="883">
        <v>991.0</v>
      </c>
      <c r="DL120" s="883">
        <v>991.0</v>
      </c>
      <c r="DM120" s="883">
        <v>991.0</v>
      </c>
      <c r="DN120" s="836"/>
      <c r="DO120" s="904">
        <v>991.0</v>
      </c>
      <c r="DP120" s="904">
        <v>991.0</v>
      </c>
      <c r="DQ120" s="883">
        <v>991.0</v>
      </c>
      <c r="DR120" s="883">
        <v>991.0</v>
      </c>
      <c r="DS120" s="836"/>
      <c r="DT120" s="883">
        <v>1000.0</v>
      </c>
      <c r="DU120" s="883">
        <v>1000.0</v>
      </c>
      <c r="DV120" s="883">
        <v>1000.0</v>
      </c>
      <c r="DW120" s="883">
        <v>1000.0</v>
      </c>
      <c r="DX120" s="836"/>
      <c r="DY120" s="883">
        <v>1000.0</v>
      </c>
      <c r="DZ120" s="883">
        <v>1000.0</v>
      </c>
      <c r="EA120" s="883">
        <v>1000.0</v>
      </c>
      <c r="EB120" s="883">
        <v>1000.0</v>
      </c>
      <c r="EC120" s="836"/>
      <c r="ED120" s="883">
        <v>1000.0</v>
      </c>
      <c r="EE120" s="883">
        <v>1000.0</v>
      </c>
      <c r="EF120" s="883">
        <v>1000.0</v>
      </c>
      <c r="EG120" s="883">
        <v>1000.0</v>
      </c>
      <c r="EH120" s="836"/>
      <c r="EI120" s="884">
        <v>1000.0</v>
      </c>
      <c r="EJ120" s="904">
        <v>1000.0</v>
      </c>
      <c r="EK120" s="904">
        <v>1000.0</v>
      </c>
      <c r="EL120" s="904">
        <v>1000.0</v>
      </c>
      <c r="EM120" s="836"/>
      <c r="EN120" s="904">
        <v>1000.0</v>
      </c>
      <c r="EO120" s="904">
        <v>1000.0</v>
      </c>
      <c r="EP120" s="904">
        <v>1000.0</v>
      </c>
      <c r="EQ120" s="904">
        <v>1000.0</v>
      </c>
      <c r="ER120" s="836"/>
      <c r="ES120" s="904">
        <v>1000.0</v>
      </c>
      <c r="ET120" s="904">
        <v>1000.0</v>
      </c>
      <c r="EU120" s="904">
        <v>1000.0</v>
      </c>
      <c r="EV120" s="904">
        <v>1000.0</v>
      </c>
      <c r="EW120" s="836"/>
      <c r="EX120" s="904">
        <v>1000.0</v>
      </c>
      <c r="EY120" s="904">
        <v>1000.0</v>
      </c>
      <c r="EZ120" s="904">
        <v>1000.0</v>
      </c>
      <c r="FA120" s="904">
        <v>1000.0</v>
      </c>
      <c r="FB120" s="836"/>
      <c r="FC120" s="904">
        <v>1000.0</v>
      </c>
      <c r="FD120" s="904"/>
      <c r="FE120" s="904"/>
      <c r="FF120" s="904"/>
      <c r="FG120" s="836"/>
    </row>
    <row r="121" ht="12.75" customHeight="1">
      <c r="A121" s="128"/>
      <c r="B121" s="179" t="s">
        <v>654</v>
      </c>
      <c r="C121" s="179"/>
      <c r="D121" s="179"/>
      <c r="E121" s="179"/>
      <c r="F121" s="179"/>
      <c r="G121" s="179"/>
      <c r="H121" s="179"/>
      <c r="I121" s="179"/>
      <c r="J121" s="179"/>
      <c r="K121" s="179"/>
      <c r="L121" s="179"/>
      <c r="M121" s="179"/>
      <c r="N121" s="179"/>
      <c r="O121" s="179"/>
      <c r="P121" s="179"/>
      <c r="Q121" s="179"/>
      <c r="R121" s="57"/>
      <c r="S121" s="179"/>
      <c r="T121" s="179"/>
      <c r="U121" s="179"/>
      <c r="V121" s="179"/>
      <c r="W121" s="785"/>
      <c r="X121" s="128"/>
      <c r="Y121" s="128"/>
      <c r="Z121" s="128"/>
      <c r="AA121" s="128"/>
      <c r="AB121" s="837"/>
      <c r="AC121" s="128"/>
      <c r="AD121" s="128"/>
      <c r="AE121" s="128"/>
      <c r="AF121" s="128"/>
      <c r="AG121" s="837"/>
      <c r="AH121" s="128"/>
      <c r="AI121" s="128"/>
      <c r="AJ121" s="128"/>
      <c r="AK121" s="128"/>
      <c r="AL121" s="837"/>
      <c r="AM121" s="128"/>
      <c r="AN121" s="128"/>
      <c r="AO121" s="128"/>
      <c r="AP121" s="128"/>
      <c r="AQ121" s="837"/>
      <c r="AR121" s="128"/>
      <c r="AS121" s="128"/>
      <c r="AT121" s="128"/>
      <c r="AU121" s="128"/>
      <c r="AV121" s="837"/>
      <c r="AW121" s="128"/>
      <c r="AX121" s="128"/>
      <c r="AY121" s="128"/>
      <c r="AZ121" s="128"/>
      <c r="BA121" s="837"/>
      <c r="BB121" s="128"/>
      <c r="BC121" s="128"/>
      <c r="BD121" s="128"/>
      <c r="BE121" s="128"/>
      <c r="BF121" s="837"/>
      <c r="BG121" s="128"/>
      <c r="BH121" s="128"/>
      <c r="BI121" s="128"/>
      <c r="BJ121" s="128"/>
      <c r="BK121" s="837"/>
      <c r="BL121" s="128"/>
      <c r="BM121" s="128"/>
      <c r="BN121" s="128"/>
      <c r="BO121" s="128"/>
      <c r="BP121" s="837"/>
      <c r="BQ121" s="128"/>
      <c r="BR121" s="128"/>
      <c r="BS121" s="128"/>
      <c r="BT121" s="128"/>
      <c r="BU121" s="837"/>
      <c r="BV121" s="128"/>
      <c r="BW121" s="128"/>
      <c r="BX121" s="128"/>
      <c r="BY121" s="128"/>
      <c r="BZ121" s="837"/>
      <c r="CA121" s="128"/>
      <c r="CB121" s="128"/>
      <c r="CC121" s="128"/>
      <c r="CD121" s="128"/>
      <c r="CE121" s="837"/>
      <c r="CF121" s="128"/>
      <c r="CG121" s="128"/>
      <c r="CH121" s="128"/>
      <c r="CI121" s="128"/>
      <c r="CJ121" s="837"/>
      <c r="CK121" s="128"/>
      <c r="CL121" s="128"/>
      <c r="CM121" s="128"/>
      <c r="CN121" s="128"/>
      <c r="CO121" s="837"/>
      <c r="CP121" s="128"/>
      <c r="CQ121" s="128"/>
      <c r="CR121" s="128"/>
      <c r="CS121" s="128"/>
      <c r="CT121" s="836"/>
      <c r="CU121" s="128"/>
      <c r="CV121" s="128"/>
      <c r="CW121" s="128"/>
      <c r="CX121" s="128"/>
      <c r="CY121" s="836"/>
      <c r="CZ121" s="129"/>
      <c r="DA121" s="128"/>
      <c r="DB121" s="129"/>
      <c r="DC121" s="128"/>
      <c r="DD121" s="836"/>
      <c r="DE121" s="129"/>
      <c r="DF121" s="128"/>
      <c r="DG121" s="128"/>
      <c r="DH121" s="128"/>
      <c r="DI121" s="836"/>
      <c r="DJ121" s="883"/>
      <c r="DK121" s="883"/>
      <c r="DL121" s="883"/>
      <c r="DM121" s="883"/>
      <c r="DN121" s="836"/>
      <c r="DO121" s="904"/>
      <c r="DP121" s="904"/>
      <c r="DQ121" s="883"/>
      <c r="DR121" s="883"/>
      <c r="DS121" s="836"/>
      <c r="DT121" s="883"/>
      <c r="DU121" s="883"/>
      <c r="DV121" s="883"/>
      <c r="DW121" s="883"/>
      <c r="DX121" s="836"/>
      <c r="DY121" s="883"/>
      <c r="DZ121" s="883"/>
      <c r="EA121" s="883">
        <v>1000.0</v>
      </c>
      <c r="EB121" s="883">
        <v>1000.0</v>
      </c>
      <c r="EC121" s="836"/>
      <c r="ED121" s="883">
        <f>EB121</f>
        <v>1000</v>
      </c>
      <c r="EE121" s="883">
        <f t="shared" ref="EE121:EG121" si="418">ED121</f>
        <v>1000</v>
      </c>
      <c r="EF121" s="883">
        <f t="shared" si="418"/>
        <v>1000</v>
      </c>
      <c r="EG121" s="883">
        <f t="shared" si="418"/>
        <v>1000</v>
      </c>
      <c r="EH121" s="836"/>
      <c r="EI121" s="884">
        <f>EG121</f>
        <v>1000</v>
      </c>
      <c r="EJ121" s="904">
        <f t="shared" ref="EJ121:EL121" si="419">EI121</f>
        <v>1000</v>
      </c>
      <c r="EK121" s="904">
        <f t="shared" si="419"/>
        <v>1000</v>
      </c>
      <c r="EL121" s="904">
        <f t="shared" si="419"/>
        <v>1000</v>
      </c>
      <c r="EM121" s="836"/>
      <c r="EN121" s="904">
        <f>EL121</f>
        <v>1000</v>
      </c>
      <c r="EO121" s="904">
        <f t="shared" ref="EO121:EQ121" si="420">EN121</f>
        <v>1000</v>
      </c>
      <c r="EP121" s="904">
        <f t="shared" si="420"/>
        <v>1000</v>
      </c>
      <c r="EQ121" s="904">
        <f t="shared" si="420"/>
        <v>1000</v>
      </c>
      <c r="ER121" s="836"/>
      <c r="ES121" s="904">
        <f>EQ121</f>
        <v>1000</v>
      </c>
      <c r="ET121" s="904">
        <f t="shared" ref="ET121:EV121" si="421">ES121</f>
        <v>1000</v>
      </c>
      <c r="EU121" s="904">
        <f t="shared" si="421"/>
        <v>1000</v>
      </c>
      <c r="EV121" s="904">
        <f t="shared" si="421"/>
        <v>1000</v>
      </c>
      <c r="EW121" s="836"/>
      <c r="EX121" s="904">
        <f>EV121</f>
        <v>1000</v>
      </c>
      <c r="EY121" s="904">
        <f t="shared" ref="EY121:FA121" si="422">EX121</f>
        <v>1000</v>
      </c>
      <c r="EZ121" s="904">
        <f t="shared" si="422"/>
        <v>1000</v>
      </c>
      <c r="FA121" s="904">
        <f t="shared" si="422"/>
        <v>1000</v>
      </c>
      <c r="FB121" s="836"/>
      <c r="FC121" s="904">
        <f>FA121</f>
        <v>1000</v>
      </c>
      <c r="FD121" s="904">
        <f t="shared" ref="FD121:FF121" si="423">FC121</f>
        <v>1000</v>
      </c>
      <c r="FE121" s="904">
        <f t="shared" si="423"/>
        <v>1000</v>
      </c>
      <c r="FF121" s="904">
        <f t="shared" si="423"/>
        <v>1000</v>
      </c>
      <c r="FG121" s="836"/>
    </row>
    <row r="122" ht="12.75" customHeight="1">
      <c r="A122" s="128"/>
      <c r="B122" s="179" t="s">
        <v>655</v>
      </c>
      <c r="C122" s="179"/>
      <c r="D122" s="179"/>
      <c r="E122" s="179"/>
      <c r="F122" s="179"/>
      <c r="G122" s="179"/>
      <c r="H122" s="179"/>
      <c r="I122" s="179"/>
      <c r="J122" s="179"/>
      <c r="K122" s="179"/>
      <c r="L122" s="179"/>
      <c r="M122" s="179"/>
      <c r="N122" s="179"/>
      <c r="O122" s="179"/>
      <c r="P122" s="179"/>
      <c r="Q122" s="179"/>
      <c r="R122" s="57"/>
      <c r="S122" s="179"/>
      <c r="T122" s="179"/>
      <c r="U122" s="179"/>
      <c r="V122" s="179"/>
      <c r="W122" s="785"/>
      <c r="X122" s="128"/>
      <c r="Y122" s="128"/>
      <c r="Z122" s="128"/>
      <c r="AA122" s="128"/>
      <c r="AB122" s="837"/>
      <c r="AC122" s="128"/>
      <c r="AD122" s="128"/>
      <c r="AE122" s="128"/>
      <c r="AF122" s="128"/>
      <c r="AG122" s="837"/>
      <c r="AH122" s="128"/>
      <c r="AI122" s="128"/>
      <c r="AJ122" s="128"/>
      <c r="AK122" s="128"/>
      <c r="AL122" s="837"/>
      <c r="AM122" s="128"/>
      <c r="AN122" s="128"/>
      <c r="AO122" s="128"/>
      <c r="AP122" s="128"/>
      <c r="AQ122" s="837"/>
      <c r="AR122" s="128"/>
      <c r="AS122" s="128"/>
      <c r="AT122" s="128"/>
      <c r="AU122" s="128"/>
      <c r="AV122" s="837"/>
      <c r="AW122" s="128"/>
      <c r="AX122" s="128"/>
      <c r="AY122" s="128"/>
      <c r="AZ122" s="128"/>
      <c r="BA122" s="837"/>
      <c r="BB122" s="128"/>
      <c r="BC122" s="128"/>
      <c r="BD122" s="128"/>
      <c r="BE122" s="128"/>
      <c r="BF122" s="837"/>
      <c r="BG122" s="128"/>
      <c r="BH122" s="128"/>
      <c r="BI122" s="128"/>
      <c r="BJ122" s="128"/>
      <c r="BK122" s="837"/>
      <c r="BL122" s="128"/>
      <c r="BM122" s="128"/>
      <c r="BN122" s="128"/>
      <c r="BO122" s="128"/>
      <c r="BP122" s="837"/>
      <c r="BQ122" s="128"/>
      <c r="BR122" s="128"/>
      <c r="BS122" s="128"/>
      <c r="BT122" s="128"/>
      <c r="BU122" s="837"/>
      <c r="BV122" s="128"/>
      <c r="BW122" s="128"/>
      <c r="BX122" s="128"/>
      <c r="BY122" s="128"/>
      <c r="BZ122" s="837"/>
      <c r="CA122" s="128"/>
      <c r="CB122" s="128"/>
      <c r="CC122" s="128"/>
      <c r="CD122" s="128"/>
      <c r="CE122" s="837"/>
      <c r="CF122" s="128"/>
      <c r="CG122" s="128"/>
      <c r="CH122" s="128"/>
      <c r="CI122" s="128"/>
      <c r="CJ122" s="837"/>
      <c r="CK122" s="128"/>
      <c r="CL122" s="128"/>
      <c r="CM122" s="128"/>
      <c r="CN122" s="128"/>
      <c r="CO122" s="837"/>
      <c r="CP122" s="128"/>
      <c r="CQ122" s="128"/>
      <c r="CR122" s="128"/>
      <c r="CS122" s="128"/>
      <c r="CT122" s="836"/>
      <c r="CU122" s="128"/>
      <c r="CV122" s="128"/>
      <c r="CW122" s="128"/>
      <c r="CX122" s="128"/>
      <c r="CY122" s="836"/>
      <c r="CZ122" s="129"/>
      <c r="DA122" s="128"/>
      <c r="DB122" s="129"/>
      <c r="DC122" s="128"/>
      <c r="DD122" s="836"/>
      <c r="DE122" s="129"/>
      <c r="DF122" s="128"/>
      <c r="DG122" s="128"/>
      <c r="DH122" s="128"/>
      <c r="DI122" s="836"/>
      <c r="DJ122" s="883"/>
      <c r="DK122" s="883"/>
      <c r="DL122" s="883"/>
      <c r="DM122" s="883"/>
      <c r="DN122" s="836"/>
      <c r="DO122" s="904"/>
      <c r="DP122" s="904"/>
      <c r="DQ122" s="883"/>
      <c r="DR122" s="883">
        <v>1250.0</v>
      </c>
      <c r="DS122" s="836"/>
      <c r="DT122" s="883">
        <v>2000.0</v>
      </c>
      <c r="DU122" s="883">
        <v>2000.0</v>
      </c>
      <c r="DV122" s="883">
        <v>2000.0</v>
      </c>
      <c r="DW122" s="883">
        <v>2000.0</v>
      </c>
      <c r="DX122" s="836"/>
      <c r="DY122" s="883">
        <v>2000.0</v>
      </c>
      <c r="DZ122" s="883">
        <v>2000.0</v>
      </c>
      <c r="EA122" s="883">
        <v>2000.0</v>
      </c>
      <c r="EB122" s="883">
        <v>2000.0</v>
      </c>
      <c r="EC122" s="836"/>
      <c r="ED122" s="883">
        <v>2000.0</v>
      </c>
      <c r="EE122" s="883">
        <v>2000.0</v>
      </c>
      <c r="EF122" s="883">
        <v>2000.0</v>
      </c>
      <c r="EG122" s="883">
        <v>2000.0</v>
      </c>
      <c r="EH122" s="836"/>
      <c r="EI122" s="884">
        <v>2000.0</v>
      </c>
      <c r="EJ122" s="904">
        <v>2000.0</v>
      </c>
      <c r="EK122" s="904">
        <v>2000.0</v>
      </c>
      <c r="EL122" s="904">
        <v>2000.0</v>
      </c>
      <c r="EM122" s="836"/>
      <c r="EN122" s="904">
        <v>2000.0</v>
      </c>
      <c r="EO122" s="904">
        <v>2000.0</v>
      </c>
      <c r="EP122" s="904">
        <v>2000.0</v>
      </c>
      <c r="EQ122" s="904">
        <v>2000.0</v>
      </c>
      <c r="ER122" s="836"/>
      <c r="ES122" s="904">
        <v>2000.0</v>
      </c>
      <c r="ET122" s="904">
        <v>2000.0</v>
      </c>
      <c r="EU122" s="904">
        <v>2000.0</v>
      </c>
      <c r="EV122" s="904">
        <v>2000.0</v>
      </c>
      <c r="EW122" s="836"/>
      <c r="EX122" s="904">
        <v>2000.0</v>
      </c>
      <c r="EY122" s="904">
        <v>2000.0</v>
      </c>
      <c r="EZ122" s="904">
        <v>2000.0</v>
      </c>
      <c r="FA122" s="904">
        <v>2000.0</v>
      </c>
      <c r="FB122" s="836"/>
      <c r="FC122" s="904">
        <v>2000.0</v>
      </c>
      <c r="FD122" s="904">
        <v>2000.0</v>
      </c>
      <c r="FE122" s="904">
        <v>2000.0</v>
      </c>
      <c r="FF122" s="904">
        <v>2000.0</v>
      </c>
      <c r="FG122" s="836"/>
    </row>
    <row r="123" ht="12.75" customHeight="1">
      <c r="A123" s="128"/>
      <c r="B123" s="179" t="s">
        <v>656</v>
      </c>
      <c r="C123" s="179"/>
      <c r="D123" s="179"/>
      <c r="E123" s="179"/>
      <c r="F123" s="179"/>
      <c r="G123" s="179"/>
      <c r="H123" s="179"/>
      <c r="I123" s="179"/>
      <c r="J123" s="179"/>
      <c r="K123" s="179"/>
      <c r="L123" s="179"/>
      <c r="M123" s="179"/>
      <c r="N123" s="179"/>
      <c r="O123" s="179"/>
      <c r="P123" s="179"/>
      <c r="Q123" s="179"/>
      <c r="R123" s="57"/>
      <c r="S123" s="179"/>
      <c r="T123" s="179"/>
      <c r="U123" s="179"/>
      <c r="V123" s="179"/>
      <c r="W123" s="785"/>
      <c r="X123" s="128"/>
      <c r="Y123" s="128"/>
      <c r="Z123" s="128"/>
      <c r="AA123" s="128"/>
      <c r="AB123" s="837"/>
      <c r="AC123" s="128"/>
      <c r="AD123" s="128"/>
      <c r="AE123" s="128"/>
      <c r="AF123" s="128"/>
      <c r="AG123" s="837"/>
      <c r="AH123" s="128"/>
      <c r="AI123" s="128"/>
      <c r="AJ123" s="128"/>
      <c r="AK123" s="128"/>
      <c r="AL123" s="837"/>
      <c r="AM123" s="128"/>
      <c r="AN123" s="128"/>
      <c r="AO123" s="128"/>
      <c r="AP123" s="128"/>
      <c r="AQ123" s="837"/>
      <c r="AR123" s="128"/>
      <c r="AS123" s="128"/>
      <c r="AT123" s="128"/>
      <c r="AU123" s="128"/>
      <c r="AV123" s="837"/>
      <c r="AW123" s="128"/>
      <c r="AX123" s="128"/>
      <c r="AY123" s="128"/>
      <c r="AZ123" s="128"/>
      <c r="BA123" s="837"/>
      <c r="BB123" s="128"/>
      <c r="BC123" s="128"/>
      <c r="BD123" s="128"/>
      <c r="BE123" s="128"/>
      <c r="BF123" s="837"/>
      <c r="BG123" s="128"/>
      <c r="BH123" s="128"/>
      <c r="BI123" s="128"/>
      <c r="BJ123" s="128"/>
      <c r="BK123" s="837"/>
      <c r="BL123" s="128"/>
      <c r="BM123" s="128"/>
      <c r="BN123" s="128"/>
      <c r="BO123" s="128"/>
      <c r="BP123" s="837"/>
      <c r="BQ123" s="128"/>
      <c r="BR123" s="128"/>
      <c r="BS123" s="128"/>
      <c r="BT123" s="128"/>
      <c r="BU123" s="837"/>
      <c r="BV123" s="128"/>
      <c r="BW123" s="128"/>
      <c r="BX123" s="128"/>
      <c r="BY123" s="128"/>
      <c r="BZ123" s="837"/>
      <c r="CA123" s="128"/>
      <c r="CB123" s="128"/>
      <c r="CC123" s="128"/>
      <c r="CD123" s="128"/>
      <c r="CE123" s="837"/>
      <c r="CF123" s="128"/>
      <c r="CG123" s="128"/>
      <c r="CH123" s="128"/>
      <c r="CI123" s="128"/>
      <c r="CJ123" s="837"/>
      <c r="CK123" s="128"/>
      <c r="CL123" s="128"/>
      <c r="CM123" s="128"/>
      <c r="CN123" s="128"/>
      <c r="CO123" s="837"/>
      <c r="CP123" s="128"/>
      <c r="CQ123" s="128"/>
      <c r="CR123" s="128"/>
      <c r="CS123" s="128"/>
      <c r="CT123" s="836"/>
      <c r="CU123" s="128"/>
      <c r="CV123" s="128"/>
      <c r="CW123" s="128"/>
      <c r="CX123" s="128"/>
      <c r="CY123" s="836"/>
      <c r="CZ123" s="129"/>
      <c r="DA123" s="128"/>
      <c r="DB123" s="129"/>
      <c r="DC123" s="128"/>
      <c r="DD123" s="836"/>
      <c r="DE123" s="129"/>
      <c r="DF123" s="128"/>
      <c r="DG123" s="128"/>
      <c r="DH123" s="128"/>
      <c r="DI123" s="836"/>
      <c r="DJ123" s="883"/>
      <c r="DK123" s="883"/>
      <c r="DL123" s="883"/>
      <c r="DM123" s="883"/>
      <c r="DN123" s="836"/>
      <c r="DO123" s="904"/>
      <c r="DP123" s="904"/>
      <c r="DQ123" s="883"/>
      <c r="DR123" s="883"/>
      <c r="DS123" s="836"/>
      <c r="DT123" s="883">
        <v>1500.0</v>
      </c>
      <c r="DU123" s="883">
        <v>1500.0</v>
      </c>
      <c r="DV123" s="883">
        <v>1500.0</v>
      </c>
      <c r="DW123" s="883">
        <v>1500.0</v>
      </c>
      <c r="DX123" s="836"/>
      <c r="DY123" s="883">
        <v>1500.0</v>
      </c>
      <c r="DZ123" s="883">
        <v>1500.0</v>
      </c>
      <c r="EA123" s="883">
        <v>1500.0</v>
      </c>
      <c r="EB123" s="883">
        <v>1500.0</v>
      </c>
      <c r="EC123" s="836"/>
      <c r="ED123" s="883">
        <v>1500.0</v>
      </c>
      <c r="EE123" s="883">
        <v>1500.0</v>
      </c>
      <c r="EF123" s="883">
        <v>1500.0</v>
      </c>
      <c r="EG123" s="883">
        <v>1500.0</v>
      </c>
      <c r="EH123" s="836"/>
      <c r="EI123" s="884">
        <v>1500.0</v>
      </c>
      <c r="EJ123" s="904">
        <v>1500.0</v>
      </c>
      <c r="EK123" s="904">
        <v>1500.0</v>
      </c>
      <c r="EL123" s="904">
        <v>1500.0</v>
      </c>
      <c r="EM123" s="836"/>
      <c r="EN123" s="904">
        <v>1500.0</v>
      </c>
      <c r="EO123" s="904">
        <v>1500.0</v>
      </c>
      <c r="EP123" s="904">
        <v>1500.0</v>
      </c>
      <c r="EQ123" s="904">
        <v>1500.0</v>
      </c>
      <c r="ER123" s="836"/>
      <c r="ES123" s="904">
        <v>1500.0</v>
      </c>
      <c r="ET123" s="904">
        <v>1500.0</v>
      </c>
      <c r="EU123" s="904">
        <v>1500.0</v>
      </c>
      <c r="EV123" s="904">
        <v>1500.0</v>
      </c>
      <c r="EW123" s="836"/>
      <c r="EX123" s="904">
        <v>1500.0</v>
      </c>
      <c r="EY123" s="904">
        <v>1500.0</v>
      </c>
      <c r="EZ123" s="904">
        <v>1500.0</v>
      </c>
      <c r="FA123" s="904">
        <v>1500.0</v>
      </c>
      <c r="FB123" s="836"/>
      <c r="FC123" s="904">
        <v>1500.0</v>
      </c>
      <c r="FD123" s="904">
        <v>1500.0</v>
      </c>
      <c r="FE123" s="904">
        <v>1500.0</v>
      </c>
      <c r="FF123" s="904">
        <v>1500.0</v>
      </c>
      <c r="FG123" s="836"/>
    </row>
    <row r="124" ht="12.75" customHeight="1">
      <c r="A124" s="128"/>
      <c r="B124" s="179" t="s">
        <v>657</v>
      </c>
      <c r="C124" s="179"/>
      <c r="D124" s="179"/>
      <c r="E124" s="179"/>
      <c r="F124" s="179"/>
      <c r="G124" s="179"/>
      <c r="H124" s="179"/>
      <c r="I124" s="179"/>
      <c r="J124" s="179"/>
      <c r="K124" s="179"/>
      <c r="L124" s="179"/>
      <c r="M124" s="179"/>
      <c r="N124" s="179"/>
      <c r="O124" s="179"/>
      <c r="P124" s="179"/>
      <c r="Q124" s="179"/>
      <c r="R124" s="57"/>
      <c r="S124" s="179"/>
      <c r="T124" s="179"/>
      <c r="U124" s="179"/>
      <c r="V124" s="179"/>
      <c r="W124" s="785"/>
      <c r="X124" s="128"/>
      <c r="Y124" s="128"/>
      <c r="Z124" s="128"/>
      <c r="AA124" s="128"/>
      <c r="AB124" s="837"/>
      <c r="AC124" s="128"/>
      <c r="AD124" s="128"/>
      <c r="AE124" s="128"/>
      <c r="AF124" s="128"/>
      <c r="AG124" s="837"/>
      <c r="AH124" s="128"/>
      <c r="AI124" s="128"/>
      <c r="AJ124" s="128"/>
      <c r="AK124" s="128"/>
      <c r="AL124" s="837"/>
      <c r="AM124" s="128"/>
      <c r="AN124" s="128"/>
      <c r="AO124" s="128"/>
      <c r="AP124" s="128"/>
      <c r="AQ124" s="837"/>
      <c r="AR124" s="128"/>
      <c r="AS124" s="128"/>
      <c r="AT124" s="128"/>
      <c r="AU124" s="128"/>
      <c r="AV124" s="837"/>
      <c r="AW124" s="128"/>
      <c r="AX124" s="128"/>
      <c r="AY124" s="128"/>
      <c r="AZ124" s="128"/>
      <c r="BA124" s="837"/>
      <c r="BB124" s="128"/>
      <c r="BC124" s="128"/>
      <c r="BD124" s="128"/>
      <c r="BE124" s="128"/>
      <c r="BF124" s="837"/>
      <c r="BG124" s="128"/>
      <c r="BH124" s="128"/>
      <c r="BI124" s="128"/>
      <c r="BJ124" s="128"/>
      <c r="BK124" s="837"/>
      <c r="BL124" s="128"/>
      <c r="BM124" s="128"/>
      <c r="BN124" s="128"/>
      <c r="BO124" s="128"/>
      <c r="BP124" s="837"/>
      <c r="BQ124" s="128"/>
      <c r="BR124" s="128"/>
      <c r="BS124" s="128"/>
      <c r="BT124" s="128"/>
      <c r="BU124" s="837"/>
      <c r="BV124" s="128"/>
      <c r="BW124" s="128"/>
      <c r="BX124" s="128"/>
      <c r="BY124" s="128"/>
      <c r="BZ124" s="837"/>
      <c r="CA124" s="128"/>
      <c r="CB124" s="128"/>
      <c r="CC124" s="128"/>
      <c r="CD124" s="128"/>
      <c r="CE124" s="837"/>
      <c r="CF124" s="128"/>
      <c r="CG124" s="128"/>
      <c r="CH124" s="128"/>
      <c r="CI124" s="128"/>
      <c r="CJ124" s="837"/>
      <c r="CK124" s="128"/>
      <c r="CL124" s="128"/>
      <c r="CM124" s="128"/>
      <c r="CN124" s="128"/>
      <c r="CO124" s="837"/>
      <c r="CP124" s="128"/>
      <c r="CQ124" s="128"/>
      <c r="CR124" s="128"/>
      <c r="CS124" s="128"/>
      <c r="CT124" s="836"/>
      <c r="CU124" s="128"/>
      <c r="CV124" s="128"/>
      <c r="CW124" s="128"/>
      <c r="CX124" s="128"/>
      <c r="CY124" s="836"/>
      <c r="CZ124" s="129"/>
      <c r="DA124" s="128"/>
      <c r="DB124" s="129"/>
      <c r="DC124" s="128"/>
      <c r="DD124" s="836"/>
      <c r="DE124" s="129"/>
      <c r="DF124" s="128"/>
      <c r="DG124" s="128"/>
      <c r="DH124" s="128"/>
      <c r="DI124" s="836"/>
      <c r="DJ124" s="883"/>
      <c r="DK124" s="883"/>
      <c r="DL124" s="883"/>
      <c r="DM124" s="883"/>
      <c r="DN124" s="836"/>
      <c r="DO124" s="904"/>
      <c r="DP124" s="904"/>
      <c r="DQ124" s="883"/>
      <c r="DR124" s="883"/>
      <c r="DS124" s="836"/>
      <c r="DT124" s="883"/>
      <c r="DU124" s="883"/>
      <c r="DV124" s="883"/>
      <c r="DW124" s="883"/>
      <c r="DX124" s="836"/>
      <c r="DY124" s="883"/>
      <c r="DZ124" s="883"/>
      <c r="EA124" s="883">
        <v>1250.0</v>
      </c>
      <c r="EB124" s="883">
        <v>1250.0</v>
      </c>
      <c r="EC124" s="836"/>
      <c r="ED124" s="883">
        <f>EB124</f>
        <v>1250</v>
      </c>
      <c r="EE124" s="883">
        <f t="shared" ref="EE124:EG124" si="424">ED124</f>
        <v>1250</v>
      </c>
      <c r="EF124" s="883">
        <f t="shared" si="424"/>
        <v>1250</v>
      </c>
      <c r="EG124" s="883">
        <f t="shared" si="424"/>
        <v>1250</v>
      </c>
      <c r="EH124" s="836"/>
      <c r="EI124" s="884">
        <f>EG124</f>
        <v>1250</v>
      </c>
      <c r="EJ124" s="904">
        <f t="shared" ref="EJ124:EL124" si="425">EI124</f>
        <v>1250</v>
      </c>
      <c r="EK124" s="904">
        <f t="shared" si="425"/>
        <v>1250</v>
      </c>
      <c r="EL124" s="904">
        <f t="shared" si="425"/>
        <v>1250</v>
      </c>
      <c r="EM124" s="836"/>
      <c r="EN124" s="904">
        <f>EL124</f>
        <v>1250</v>
      </c>
      <c r="EO124" s="904">
        <f t="shared" ref="EO124:EQ124" si="426">EN124</f>
        <v>1250</v>
      </c>
      <c r="EP124" s="904">
        <f t="shared" si="426"/>
        <v>1250</v>
      </c>
      <c r="EQ124" s="904">
        <f t="shared" si="426"/>
        <v>1250</v>
      </c>
      <c r="ER124" s="836"/>
      <c r="ES124" s="904">
        <f>EQ124</f>
        <v>1250</v>
      </c>
      <c r="ET124" s="904">
        <f t="shared" ref="ET124:EV124" si="427">ES124</f>
        <v>1250</v>
      </c>
      <c r="EU124" s="904">
        <f t="shared" si="427"/>
        <v>1250</v>
      </c>
      <c r="EV124" s="904">
        <f t="shared" si="427"/>
        <v>1250</v>
      </c>
      <c r="EW124" s="836"/>
      <c r="EX124" s="904">
        <f>EV124</f>
        <v>1250</v>
      </c>
      <c r="EY124" s="904">
        <f t="shared" ref="EY124:FA124" si="428">EX124</f>
        <v>1250</v>
      </c>
      <c r="EZ124" s="904">
        <f t="shared" si="428"/>
        <v>1250</v>
      </c>
      <c r="FA124" s="904">
        <f t="shared" si="428"/>
        <v>1250</v>
      </c>
      <c r="FB124" s="836"/>
      <c r="FC124" s="904">
        <f>FA124</f>
        <v>1250</v>
      </c>
      <c r="FD124" s="904">
        <f t="shared" ref="FD124:FF124" si="429">FC124</f>
        <v>1250</v>
      </c>
      <c r="FE124" s="904">
        <f t="shared" si="429"/>
        <v>1250</v>
      </c>
      <c r="FF124" s="904">
        <f t="shared" si="429"/>
        <v>1250</v>
      </c>
      <c r="FG124" s="836"/>
    </row>
    <row r="125" ht="12.75" customHeight="1">
      <c r="A125" s="128"/>
      <c r="B125" s="179" t="s">
        <v>658</v>
      </c>
      <c r="C125" s="179"/>
      <c r="D125" s="179"/>
      <c r="E125" s="179"/>
      <c r="F125" s="179"/>
      <c r="G125" s="179"/>
      <c r="H125" s="179"/>
      <c r="I125" s="179"/>
      <c r="J125" s="179"/>
      <c r="K125" s="179"/>
      <c r="L125" s="179"/>
      <c r="M125" s="179"/>
      <c r="N125" s="179"/>
      <c r="O125" s="179"/>
      <c r="P125" s="179"/>
      <c r="Q125" s="179"/>
      <c r="R125" s="57"/>
      <c r="S125" s="179"/>
      <c r="T125" s="179"/>
      <c r="U125" s="179"/>
      <c r="V125" s="179"/>
      <c r="W125" s="785"/>
      <c r="X125" s="128"/>
      <c r="Y125" s="128"/>
      <c r="Z125" s="128"/>
      <c r="AA125" s="128"/>
      <c r="AB125" s="837"/>
      <c r="AC125" s="128"/>
      <c r="AD125" s="128"/>
      <c r="AE125" s="128"/>
      <c r="AF125" s="128"/>
      <c r="AG125" s="837"/>
      <c r="AH125" s="128"/>
      <c r="AI125" s="128"/>
      <c r="AJ125" s="128"/>
      <c r="AK125" s="128"/>
      <c r="AL125" s="837"/>
      <c r="AM125" s="128"/>
      <c r="AN125" s="128"/>
      <c r="AO125" s="128"/>
      <c r="AP125" s="128"/>
      <c r="AQ125" s="837"/>
      <c r="AR125" s="128"/>
      <c r="AS125" s="128"/>
      <c r="AT125" s="128"/>
      <c r="AU125" s="128"/>
      <c r="AV125" s="837"/>
      <c r="AW125" s="128"/>
      <c r="AX125" s="128"/>
      <c r="AY125" s="128"/>
      <c r="AZ125" s="128"/>
      <c r="BA125" s="837"/>
      <c r="BB125" s="128"/>
      <c r="BC125" s="128"/>
      <c r="BD125" s="128"/>
      <c r="BE125" s="128"/>
      <c r="BF125" s="837"/>
      <c r="BG125" s="128"/>
      <c r="BH125" s="128"/>
      <c r="BI125" s="128"/>
      <c r="BJ125" s="128"/>
      <c r="BK125" s="837"/>
      <c r="BL125" s="128"/>
      <c r="BM125" s="128"/>
      <c r="BN125" s="128"/>
      <c r="BO125" s="128"/>
      <c r="BP125" s="837"/>
      <c r="BQ125" s="128"/>
      <c r="BR125" s="128"/>
      <c r="BS125" s="128"/>
      <c r="BT125" s="128"/>
      <c r="BU125" s="837"/>
      <c r="BV125" s="128"/>
      <c r="BW125" s="128"/>
      <c r="BX125" s="128"/>
      <c r="BY125" s="128"/>
      <c r="BZ125" s="837"/>
      <c r="CA125" s="128"/>
      <c r="CB125" s="128"/>
      <c r="CC125" s="128"/>
      <c r="CD125" s="128"/>
      <c r="CE125" s="837"/>
      <c r="CF125" s="128"/>
      <c r="CG125" s="128"/>
      <c r="CH125" s="128"/>
      <c r="CI125" s="128"/>
      <c r="CJ125" s="837"/>
      <c r="CK125" s="128"/>
      <c r="CL125" s="128"/>
      <c r="CM125" s="128"/>
      <c r="CN125" s="128"/>
      <c r="CO125" s="837"/>
      <c r="CP125" s="128"/>
      <c r="CQ125" s="128"/>
      <c r="CR125" s="128"/>
      <c r="CS125" s="128"/>
      <c r="CT125" s="836"/>
      <c r="CU125" s="128"/>
      <c r="CV125" s="128"/>
      <c r="CW125" s="128"/>
      <c r="CX125" s="128"/>
      <c r="CY125" s="836"/>
      <c r="CZ125" s="129"/>
      <c r="DA125" s="128"/>
      <c r="DB125" s="129"/>
      <c r="DC125" s="128"/>
      <c r="DD125" s="836"/>
      <c r="DE125" s="129"/>
      <c r="DF125" s="128"/>
      <c r="DG125" s="128">
        <v>745.0</v>
      </c>
      <c r="DH125" s="128">
        <v>745.0</v>
      </c>
      <c r="DI125" s="836"/>
      <c r="DJ125" s="883">
        <v>745.0</v>
      </c>
      <c r="DK125" s="883">
        <v>745.0</v>
      </c>
      <c r="DL125" s="883">
        <v>745.0</v>
      </c>
      <c r="DM125" s="883">
        <v>745.0</v>
      </c>
      <c r="DN125" s="836"/>
      <c r="DO125" s="904">
        <v>745.0</v>
      </c>
      <c r="DP125" s="904">
        <v>745.0</v>
      </c>
      <c r="DQ125" s="883">
        <v>745.0</v>
      </c>
      <c r="DR125" s="883">
        <v>745.0</v>
      </c>
      <c r="DS125" s="836"/>
      <c r="DT125" s="883">
        <v>750.0</v>
      </c>
      <c r="DU125" s="883">
        <v>750.0</v>
      </c>
      <c r="DV125" s="883">
        <v>750.0</v>
      </c>
      <c r="DW125" s="883">
        <v>750.0</v>
      </c>
      <c r="DX125" s="836"/>
      <c r="DY125" s="883">
        <v>750.0</v>
      </c>
      <c r="DZ125" s="883">
        <v>750.0</v>
      </c>
      <c r="EA125" s="883">
        <v>750.0</v>
      </c>
      <c r="EB125" s="883">
        <v>750.0</v>
      </c>
      <c r="EC125" s="836"/>
      <c r="ED125" s="883">
        <v>750.0</v>
      </c>
      <c r="EE125" s="883">
        <v>750.0</v>
      </c>
      <c r="EF125" s="883">
        <v>750.0</v>
      </c>
      <c r="EG125" s="883">
        <v>750.0</v>
      </c>
      <c r="EH125" s="836"/>
      <c r="EI125" s="884">
        <v>750.0</v>
      </c>
      <c r="EJ125" s="904">
        <v>750.0</v>
      </c>
      <c r="EK125" s="904">
        <v>750.0</v>
      </c>
      <c r="EL125" s="904">
        <v>750.0</v>
      </c>
      <c r="EM125" s="836"/>
      <c r="EN125" s="904">
        <v>750.0</v>
      </c>
      <c r="EO125" s="904">
        <v>750.0</v>
      </c>
      <c r="EP125" s="904">
        <v>750.0</v>
      </c>
      <c r="EQ125" s="904">
        <v>750.0</v>
      </c>
      <c r="ER125" s="836"/>
      <c r="ES125" s="904">
        <v>750.0</v>
      </c>
      <c r="ET125" s="904">
        <v>750.0</v>
      </c>
      <c r="EU125" s="904">
        <v>750.0</v>
      </c>
      <c r="EV125" s="904">
        <v>750.0</v>
      </c>
      <c r="EW125" s="836"/>
      <c r="EX125" s="904">
        <v>750.0</v>
      </c>
      <c r="EY125" s="904">
        <v>750.0</v>
      </c>
      <c r="EZ125" s="904">
        <v>750.0</v>
      </c>
      <c r="FA125" s="904">
        <v>750.0</v>
      </c>
      <c r="FB125" s="836"/>
      <c r="FC125" s="904">
        <v>750.0</v>
      </c>
      <c r="FD125" s="904">
        <v>750.0</v>
      </c>
      <c r="FE125" s="904">
        <v>750.0</v>
      </c>
      <c r="FF125" s="904">
        <v>750.0</v>
      </c>
      <c r="FG125" s="836"/>
    </row>
    <row r="126" ht="12.75" customHeight="1">
      <c r="A126" s="128"/>
      <c r="B126" s="179" t="s">
        <v>659</v>
      </c>
      <c r="C126" s="179"/>
      <c r="D126" s="179"/>
      <c r="E126" s="179"/>
      <c r="F126" s="179"/>
      <c r="G126" s="179"/>
      <c r="H126" s="179"/>
      <c r="I126" s="179"/>
      <c r="J126" s="179"/>
      <c r="K126" s="179"/>
      <c r="L126" s="179"/>
      <c r="M126" s="179"/>
      <c r="N126" s="179"/>
      <c r="O126" s="179"/>
      <c r="P126" s="179"/>
      <c r="Q126" s="179"/>
      <c r="R126" s="57"/>
      <c r="S126" s="179"/>
      <c r="T126" s="179"/>
      <c r="U126" s="179"/>
      <c r="V126" s="179"/>
      <c r="W126" s="785"/>
      <c r="X126" s="128"/>
      <c r="Y126" s="128"/>
      <c r="Z126" s="128"/>
      <c r="AA126" s="128"/>
      <c r="AB126" s="837"/>
      <c r="AC126" s="128"/>
      <c r="AD126" s="128"/>
      <c r="AE126" s="128"/>
      <c r="AF126" s="128"/>
      <c r="AG126" s="837"/>
      <c r="AH126" s="128"/>
      <c r="AI126" s="128"/>
      <c r="AJ126" s="128"/>
      <c r="AK126" s="128"/>
      <c r="AL126" s="837"/>
      <c r="AM126" s="128"/>
      <c r="AN126" s="128"/>
      <c r="AO126" s="128"/>
      <c r="AP126" s="128"/>
      <c r="AQ126" s="837"/>
      <c r="AR126" s="128"/>
      <c r="AS126" s="128"/>
      <c r="AT126" s="128"/>
      <c r="AU126" s="128"/>
      <c r="AV126" s="837"/>
      <c r="AW126" s="128"/>
      <c r="AX126" s="128"/>
      <c r="AY126" s="128"/>
      <c r="AZ126" s="128"/>
      <c r="BA126" s="837"/>
      <c r="BB126" s="128"/>
      <c r="BC126" s="128"/>
      <c r="BD126" s="128"/>
      <c r="BE126" s="128"/>
      <c r="BF126" s="837"/>
      <c r="BG126" s="128"/>
      <c r="BH126" s="128"/>
      <c r="BI126" s="128"/>
      <c r="BJ126" s="128"/>
      <c r="BK126" s="837"/>
      <c r="BL126" s="128"/>
      <c r="BM126" s="128"/>
      <c r="BN126" s="128"/>
      <c r="BO126" s="128"/>
      <c r="BP126" s="837"/>
      <c r="BQ126" s="128"/>
      <c r="BR126" s="128"/>
      <c r="BS126" s="128"/>
      <c r="BT126" s="128"/>
      <c r="BU126" s="837"/>
      <c r="BV126" s="128"/>
      <c r="BW126" s="128"/>
      <c r="BX126" s="128"/>
      <c r="BY126" s="128"/>
      <c r="BZ126" s="837"/>
      <c r="CA126" s="128"/>
      <c r="CB126" s="128"/>
      <c r="CC126" s="128"/>
      <c r="CD126" s="128"/>
      <c r="CE126" s="837"/>
      <c r="CF126" s="128"/>
      <c r="CG126" s="128"/>
      <c r="CH126" s="128"/>
      <c r="CI126" s="128"/>
      <c r="CJ126" s="837"/>
      <c r="CK126" s="128"/>
      <c r="CL126" s="128"/>
      <c r="CM126" s="128"/>
      <c r="CN126" s="128"/>
      <c r="CO126" s="837"/>
      <c r="CP126" s="128"/>
      <c r="CQ126" s="128"/>
      <c r="CR126" s="128"/>
      <c r="CS126" s="128"/>
      <c r="CT126" s="836"/>
      <c r="CU126" s="128"/>
      <c r="CV126" s="128"/>
      <c r="CW126" s="128"/>
      <c r="CX126" s="128"/>
      <c r="CY126" s="836"/>
      <c r="CZ126" s="129"/>
      <c r="DA126" s="128"/>
      <c r="DB126" s="129"/>
      <c r="DC126" s="128"/>
      <c r="DD126" s="836"/>
      <c r="DE126" s="129"/>
      <c r="DF126" s="128"/>
      <c r="DG126" s="128"/>
      <c r="DH126" s="128"/>
      <c r="DI126" s="836"/>
      <c r="DJ126" s="883"/>
      <c r="DK126" s="883"/>
      <c r="DL126" s="883"/>
      <c r="DM126" s="883"/>
      <c r="DN126" s="836"/>
      <c r="DO126" s="904"/>
      <c r="DP126" s="904"/>
      <c r="DQ126" s="883"/>
      <c r="DR126" s="883"/>
      <c r="DS126" s="836"/>
      <c r="DT126" s="883">
        <v>750.0</v>
      </c>
      <c r="DU126" s="883">
        <v>750.0</v>
      </c>
      <c r="DV126" s="883">
        <v>750.0</v>
      </c>
      <c r="DW126" s="883">
        <v>750.0</v>
      </c>
      <c r="DX126" s="836"/>
      <c r="DY126" s="883">
        <v>750.0</v>
      </c>
      <c r="DZ126" s="883">
        <v>750.0</v>
      </c>
      <c r="EA126" s="883">
        <v>750.0</v>
      </c>
      <c r="EB126" s="883">
        <v>750.0</v>
      </c>
      <c r="EC126" s="836"/>
      <c r="ED126" s="883">
        <v>750.0</v>
      </c>
      <c r="EE126" s="883">
        <v>750.0</v>
      </c>
      <c r="EF126" s="883">
        <v>750.0</v>
      </c>
      <c r="EG126" s="883">
        <v>750.0</v>
      </c>
      <c r="EH126" s="836"/>
      <c r="EI126" s="884">
        <v>750.0</v>
      </c>
      <c r="EJ126" s="904">
        <v>750.0</v>
      </c>
      <c r="EK126" s="904">
        <v>750.0</v>
      </c>
      <c r="EL126" s="904">
        <v>750.0</v>
      </c>
      <c r="EM126" s="836"/>
      <c r="EN126" s="904">
        <v>750.0</v>
      </c>
      <c r="EO126" s="904">
        <v>750.0</v>
      </c>
      <c r="EP126" s="904">
        <v>750.0</v>
      </c>
      <c r="EQ126" s="904">
        <v>750.0</v>
      </c>
      <c r="ER126" s="836"/>
      <c r="ES126" s="904">
        <v>750.0</v>
      </c>
      <c r="ET126" s="904">
        <v>750.0</v>
      </c>
      <c r="EU126" s="904">
        <v>750.0</v>
      </c>
      <c r="EV126" s="904">
        <v>750.0</v>
      </c>
      <c r="EW126" s="836"/>
      <c r="EX126" s="904">
        <v>750.0</v>
      </c>
      <c r="EY126" s="904">
        <v>750.0</v>
      </c>
      <c r="EZ126" s="904">
        <v>750.0</v>
      </c>
      <c r="FA126" s="904">
        <v>750.0</v>
      </c>
      <c r="FB126" s="836"/>
      <c r="FC126" s="904">
        <v>750.0</v>
      </c>
      <c r="FD126" s="904">
        <v>750.0</v>
      </c>
      <c r="FE126" s="904">
        <v>750.0</v>
      </c>
      <c r="FF126" s="904">
        <v>750.0</v>
      </c>
      <c r="FG126" s="836"/>
    </row>
    <row r="127" ht="12.75" customHeight="1">
      <c r="A127" s="128"/>
      <c r="B127" s="179" t="s">
        <v>660</v>
      </c>
      <c r="C127" s="179"/>
      <c r="D127" s="179"/>
      <c r="E127" s="179"/>
      <c r="F127" s="179"/>
      <c r="G127" s="179"/>
      <c r="H127" s="179"/>
      <c r="I127" s="179"/>
      <c r="J127" s="179"/>
      <c r="K127" s="179"/>
      <c r="L127" s="179"/>
      <c r="M127" s="179"/>
      <c r="N127" s="179"/>
      <c r="O127" s="179"/>
      <c r="P127" s="179"/>
      <c r="Q127" s="179"/>
      <c r="R127" s="57"/>
      <c r="S127" s="179"/>
      <c r="T127" s="179"/>
      <c r="U127" s="179"/>
      <c r="V127" s="179"/>
      <c r="W127" s="785"/>
      <c r="X127" s="128"/>
      <c r="Y127" s="128"/>
      <c r="Z127" s="128"/>
      <c r="AA127" s="128"/>
      <c r="AB127" s="837"/>
      <c r="AC127" s="128"/>
      <c r="AD127" s="128"/>
      <c r="AE127" s="128"/>
      <c r="AF127" s="128"/>
      <c r="AG127" s="837"/>
      <c r="AH127" s="128"/>
      <c r="AI127" s="128"/>
      <c r="AJ127" s="128"/>
      <c r="AK127" s="128"/>
      <c r="AL127" s="837"/>
      <c r="AM127" s="128"/>
      <c r="AN127" s="128"/>
      <c r="AO127" s="128"/>
      <c r="AP127" s="128"/>
      <c r="AQ127" s="837"/>
      <c r="AR127" s="128"/>
      <c r="AS127" s="128"/>
      <c r="AT127" s="128"/>
      <c r="AU127" s="128"/>
      <c r="AV127" s="837"/>
      <c r="AW127" s="128"/>
      <c r="AX127" s="128"/>
      <c r="AY127" s="128"/>
      <c r="AZ127" s="128"/>
      <c r="BA127" s="837"/>
      <c r="BB127" s="128"/>
      <c r="BC127" s="128"/>
      <c r="BD127" s="128"/>
      <c r="BE127" s="128"/>
      <c r="BF127" s="837"/>
      <c r="BG127" s="128"/>
      <c r="BH127" s="128"/>
      <c r="BI127" s="128"/>
      <c r="BJ127" s="128"/>
      <c r="BK127" s="837"/>
      <c r="BL127" s="128"/>
      <c r="BM127" s="128"/>
      <c r="BN127" s="128"/>
      <c r="BO127" s="128"/>
      <c r="BP127" s="837"/>
      <c r="BQ127" s="128"/>
      <c r="BR127" s="128"/>
      <c r="BS127" s="128"/>
      <c r="BT127" s="128"/>
      <c r="BU127" s="837"/>
      <c r="BV127" s="128"/>
      <c r="BW127" s="128"/>
      <c r="BX127" s="128"/>
      <c r="BY127" s="128"/>
      <c r="BZ127" s="837"/>
      <c r="CA127" s="128"/>
      <c r="CB127" s="128"/>
      <c r="CC127" s="128"/>
      <c r="CD127" s="128"/>
      <c r="CE127" s="837"/>
      <c r="CF127" s="128"/>
      <c r="CG127" s="128"/>
      <c r="CH127" s="128"/>
      <c r="CI127" s="128"/>
      <c r="CJ127" s="837"/>
      <c r="CK127" s="128"/>
      <c r="CL127" s="128"/>
      <c r="CM127" s="128"/>
      <c r="CN127" s="128"/>
      <c r="CO127" s="837"/>
      <c r="CP127" s="128"/>
      <c r="CQ127" s="128"/>
      <c r="CR127" s="128"/>
      <c r="CS127" s="128"/>
      <c r="CT127" s="836"/>
      <c r="CU127" s="128"/>
      <c r="CV127" s="128"/>
      <c r="CW127" s="128"/>
      <c r="CX127" s="128"/>
      <c r="CY127" s="836"/>
      <c r="CZ127" s="129"/>
      <c r="DA127" s="128"/>
      <c r="DB127" s="129"/>
      <c r="DC127" s="128"/>
      <c r="DD127" s="836"/>
      <c r="DE127" s="129"/>
      <c r="DF127" s="128"/>
      <c r="DG127" s="128"/>
      <c r="DH127" s="128"/>
      <c r="DI127" s="836"/>
      <c r="DJ127" s="883"/>
      <c r="DK127" s="883"/>
      <c r="DL127" s="883"/>
      <c r="DM127" s="883"/>
      <c r="DN127" s="836"/>
      <c r="DO127" s="904"/>
      <c r="DP127" s="904"/>
      <c r="DQ127" s="883"/>
      <c r="DR127" s="883"/>
      <c r="DS127" s="836"/>
      <c r="DT127" s="883"/>
      <c r="DU127" s="883"/>
      <c r="DV127" s="883"/>
      <c r="DW127" s="883"/>
      <c r="DX127" s="836"/>
      <c r="DY127" s="883"/>
      <c r="DZ127" s="883"/>
      <c r="EA127" s="883">
        <v>750.0</v>
      </c>
      <c r="EB127" s="883">
        <v>750.0</v>
      </c>
      <c r="EC127" s="836"/>
      <c r="ED127" s="883">
        <v>750.0</v>
      </c>
      <c r="EE127" s="883">
        <v>750.0</v>
      </c>
      <c r="EF127" s="883">
        <v>750.0</v>
      </c>
      <c r="EG127" s="883">
        <v>750.0</v>
      </c>
      <c r="EH127" s="836"/>
      <c r="EI127" s="884">
        <v>750.0</v>
      </c>
      <c r="EJ127" s="904">
        <v>750.0</v>
      </c>
      <c r="EK127" s="904">
        <v>750.0</v>
      </c>
      <c r="EL127" s="904">
        <v>750.0</v>
      </c>
      <c r="EM127" s="836"/>
      <c r="EN127" s="904">
        <v>750.0</v>
      </c>
      <c r="EO127" s="904">
        <v>750.0</v>
      </c>
      <c r="EP127" s="904">
        <v>750.0</v>
      </c>
      <c r="EQ127" s="904">
        <v>750.0</v>
      </c>
      <c r="ER127" s="836"/>
      <c r="ES127" s="904">
        <v>750.0</v>
      </c>
      <c r="ET127" s="904">
        <v>750.0</v>
      </c>
      <c r="EU127" s="904">
        <v>750.0</v>
      </c>
      <c r="EV127" s="904">
        <v>750.0</v>
      </c>
      <c r="EW127" s="836"/>
      <c r="EX127" s="904">
        <v>750.0</v>
      </c>
      <c r="EY127" s="904">
        <v>750.0</v>
      </c>
      <c r="EZ127" s="904">
        <v>750.0</v>
      </c>
      <c r="FA127" s="904">
        <v>750.0</v>
      </c>
      <c r="FB127" s="836"/>
      <c r="FC127" s="904">
        <v>750.0</v>
      </c>
      <c r="FD127" s="904">
        <v>750.0</v>
      </c>
      <c r="FE127" s="904">
        <v>750.0</v>
      </c>
      <c r="FF127" s="904">
        <v>750.0</v>
      </c>
      <c r="FG127" s="836"/>
    </row>
    <row r="128" ht="12.75" customHeight="1">
      <c r="A128" s="128"/>
      <c r="B128" s="179" t="s">
        <v>661</v>
      </c>
      <c r="C128" s="179"/>
      <c r="D128" s="179"/>
      <c r="E128" s="179"/>
      <c r="F128" s="179"/>
      <c r="G128" s="179"/>
      <c r="H128" s="179"/>
      <c r="I128" s="179"/>
      <c r="J128" s="179"/>
      <c r="K128" s="179"/>
      <c r="L128" s="179"/>
      <c r="M128" s="179"/>
      <c r="N128" s="179"/>
      <c r="O128" s="179"/>
      <c r="P128" s="179"/>
      <c r="Q128" s="179"/>
      <c r="R128" s="57"/>
      <c r="S128" s="179"/>
      <c r="T128" s="179"/>
      <c r="U128" s="179"/>
      <c r="V128" s="179"/>
      <c r="W128" s="785"/>
      <c r="X128" s="128"/>
      <c r="Y128" s="128"/>
      <c r="Z128" s="128"/>
      <c r="AA128" s="128"/>
      <c r="AB128" s="837"/>
      <c r="AC128" s="128"/>
      <c r="AD128" s="128"/>
      <c r="AE128" s="128"/>
      <c r="AF128" s="128"/>
      <c r="AG128" s="837"/>
      <c r="AH128" s="128"/>
      <c r="AI128" s="128"/>
      <c r="AJ128" s="128"/>
      <c r="AK128" s="128"/>
      <c r="AL128" s="837"/>
      <c r="AM128" s="128"/>
      <c r="AN128" s="128"/>
      <c r="AO128" s="128"/>
      <c r="AP128" s="128"/>
      <c r="AQ128" s="837"/>
      <c r="AR128" s="128"/>
      <c r="AS128" s="128"/>
      <c r="AT128" s="128"/>
      <c r="AU128" s="128"/>
      <c r="AV128" s="837"/>
      <c r="AW128" s="128"/>
      <c r="AX128" s="128"/>
      <c r="AY128" s="128"/>
      <c r="AZ128" s="128"/>
      <c r="BA128" s="837"/>
      <c r="BB128" s="128"/>
      <c r="BC128" s="128"/>
      <c r="BD128" s="128"/>
      <c r="BE128" s="128"/>
      <c r="BF128" s="837"/>
      <c r="BG128" s="128"/>
      <c r="BH128" s="128"/>
      <c r="BI128" s="128"/>
      <c r="BJ128" s="128"/>
      <c r="BK128" s="837"/>
      <c r="BL128" s="128"/>
      <c r="BM128" s="128"/>
      <c r="BN128" s="128"/>
      <c r="BO128" s="128"/>
      <c r="BP128" s="837"/>
      <c r="BQ128" s="128"/>
      <c r="BR128" s="128"/>
      <c r="BS128" s="128"/>
      <c r="BT128" s="128"/>
      <c r="BU128" s="837"/>
      <c r="BV128" s="128"/>
      <c r="BW128" s="128"/>
      <c r="BX128" s="128"/>
      <c r="BY128" s="128"/>
      <c r="BZ128" s="837"/>
      <c r="CA128" s="128"/>
      <c r="CB128" s="128"/>
      <c r="CC128" s="128"/>
      <c r="CD128" s="128"/>
      <c r="CE128" s="837"/>
      <c r="CF128" s="128"/>
      <c r="CG128" s="128"/>
      <c r="CH128" s="128"/>
      <c r="CI128" s="128"/>
      <c r="CJ128" s="837"/>
      <c r="CK128" s="128"/>
      <c r="CL128" s="128"/>
      <c r="CM128" s="128"/>
      <c r="CN128" s="128"/>
      <c r="CO128" s="837"/>
      <c r="CP128" s="128"/>
      <c r="CQ128" s="128"/>
      <c r="CR128" s="128"/>
      <c r="CS128" s="128"/>
      <c r="CT128" s="836"/>
      <c r="CU128" s="128"/>
      <c r="CV128" s="128"/>
      <c r="CW128" s="128"/>
      <c r="CX128" s="128"/>
      <c r="CY128" s="836"/>
      <c r="CZ128" s="129"/>
      <c r="DA128" s="128"/>
      <c r="DB128" s="129"/>
      <c r="DC128" s="128"/>
      <c r="DD128" s="836"/>
      <c r="DE128" s="129"/>
      <c r="DF128" s="128"/>
      <c r="DG128" s="128">
        <v>1491.0</v>
      </c>
      <c r="DH128" s="128">
        <v>1491.0</v>
      </c>
      <c r="DI128" s="836"/>
      <c r="DJ128" s="883">
        <v>1491.0</v>
      </c>
      <c r="DK128" s="883">
        <v>1491.0</v>
      </c>
      <c r="DL128" s="883">
        <v>1491.0</v>
      </c>
      <c r="DM128" s="904">
        <v>802.0</v>
      </c>
      <c r="DN128" s="836"/>
      <c r="DO128" s="904">
        <v>1491.0</v>
      </c>
      <c r="DP128" s="904">
        <v>1491.0</v>
      </c>
      <c r="DQ128" s="883">
        <v>1491.0</v>
      </c>
      <c r="DR128" s="883">
        <v>802.0</v>
      </c>
      <c r="DS128" s="836"/>
      <c r="DT128" s="883">
        <v>802.0</v>
      </c>
      <c r="DU128" s="883">
        <v>802.0</v>
      </c>
      <c r="DV128" s="883">
        <v>802.0</v>
      </c>
      <c r="DW128" s="883">
        <v>802.0</v>
      </c>
      <c r="DX128" s="836"/>
      <c r="DY128" s="883">
        <v>802.0</v>
      </c>
      <c r="DZ128" s="883">
        <v>802.0</v>
      </c>
      <c r="EA128" s="883">
        <v>802.0</v>
      </c>
      <c r="EB128" s="883">
        <v>802.0</v>
      </c>
      <c r="EC128" s="836"/>
      <c r="ED128" s="883">
        <v>802.0</v>
      </c>
      <c r="EE128" s="883">
        <v>802.0</v>
      </c>
      <c r="EF128" s="883">
        <v>802.0</v>
      </c>
      <c r="EG128" s="883">
        <v>802.0</v>
      </c>
      <c r="EH128" s="836"/>
      <c r="EI128" s="884">
        <v>802.0</v>
      </c>
      <c r="EJ128" s="904">
        <v>802.0</v>
      </c>
      <c r="EK128" s="904">
        <v>802.0</v>
      </c>
      <c r="EL128" s="904">
        <v>802.0</v>
      </c>
      <c r="EM128" s="836"/>
      <c r="EN128" s="904">
        <v>802.0</v>
      </c>
      <c r="EO128" s="904">
        <v>802.0</v>
      </c>
      <c r="EP128" s="904">
        <v>802.0</v>
      </c>
      <c r="EQ128" s="904">
        <v>802.0</v>
      </c>
      <c r="ER128" s="836"/>
      <c r="ES128" s="904">
        <v>802.0</v>
      </c>
      <c r="ET128" s="904">
        <v>802.0</v>
      </c>
      <c r="EU128" s="904">
        <v>802.0</v>
      </c>
      <c r="EV128" s="904">
        <v>802.0</v>
      </c>
      <c r="EW128" s="836"/>
      <c r="EX128" s="904">
        <v>802.0</v>
      </c>
      <c r="EY128" s="904">
        <v>802.0</v>
      </c>
      <c r="EZ128" s="904">
        <v>802.0</v>
      </c>
      <c r="FA128" s="904">
        <v>802.0</v>
      </c>
      <c r="FB128" s="836"/>
      <c r="FC128" s="904">
        <v>802.0</v>
      </c>
      <c r="FD128" s="904">
        <v>802.0</v>
      </c>
      <c r="FE128" s="904">
        <v>802.0</v>
      </c>
      <c r="FF128" s="904">
        <v>802.0</v>
      </c>
      <c r="FG128" s="836"/>
    </row>
    <row r="129" ht="12.75" customHeight="1">
      <c r="A129" s="128"/>
      <c r="B129" s="179" t="s">
        <v>662</v>
      </c>
      <c r="C129" s="179"/>
      <c r="D129" s="179"/>
      <c r="E129" s="179"/>
      <c r="F129" s="179"/>
      <c r="G129" s="179"/>
      <c r="H129" s="179"/>
      <c r="I129" s="179"/>
      <c r="J129" s="179"/>
      <c r="K129" s="179"/>
      <c r="L129" s="179"/>
      <c r="M129" s="179"/>
      <c r="N129" s="179"/>
      <c r="O129" s="179"/>
      <c r="P129" s="179"/>
      <c r="Q129" s="179"/>
      <c r="R129" s="57"/>
      <c r="S129" s="179"/>
      <c r="T129" s="179"/>
      <c r="U129" s="179"/>
      <c r="V129" s="179"/>
      <c r="W129" s="785"/>
      <c r="X129" s="128"/>
      <c r="Y129" s="128"/>
      <c r="Z129" s="128"/>
      <c r="AA129" s="128"/>
      <c r="AB129" s="837"/>
      <c r="AC129" s="128"/>
      <c r="AD129" s="128"/>
      <c r="AE129" s="128"/>
      <c r="AF129" s="128"/>
      <c r="AG129" s="837"/>
      <c r="AH129" s="128"/>
      <c r="AI129" s="128"/>
      <c r="AJ129" s="128"/>
      <c r="AK129" s="128"/>
      <c r="AL129" s="837"/>
      <c r="AM129" s="128"/>
      <c r="AN129" s="128"/>
      <c r="AO129" s="128"/>
      <c r="AP129" s="128"/>
      <c r="AQ129" s="837"/>
      <c r="AR129" s="128"/>
      <c r="AS129" s="128"/>
      <c r="AT129" s="128"/>
      <c r="AU129" s="128"/>
      <c r="AV129" s="837"/>
      <c r="AW129" s="128"/>
      <c r="AX129" s="128"/>
      <c r="AY129" s="128"/>
      <c r="AZ129" s="128"/>
      <c r="BA129" s="837"/>
      <c r="BB129" s="128"/>
      <c r="BC129" s="128"/>
      <c r="BD129" s="128"/>
      <c r="BE129" s="128"/>
      <c r="BF129" s="837"/>
      <c r="BG129" s="128"/>
      <c r="BH129" s="128"/>
      <c r="BI129" s="128"/>
      <c r="BJ129" s="128"/>
      <c r="BK129" s="837"/>
      <c r="BL129" s="128"/>
      <c r="BM129" s="128"/>
      <c r="BN129" s="128"/>
      <c r="BO129" s="128"/>
      <c r="BP129" s="837"/>
      <c r="BQ129" s="128"/>
      <c r="BR129" s="128"/>
      <c r="BS129" s="128"/>
      <c r="BT129" s="128"/>
      <c r="BU129" s="837"/>
      <c r="BV129" s="128"/>
      <c r="BW129" s="128"/>
      <c r="BX129" s="128"/>
      <c r="BY129" s="128"/>
      <c r="BZ129" s="837"/>
      <c r="CA129" s="128"/>
      <c r="CB129" s="128"/>
      <c r="CC129" s="128"/>
      <c r="CD129" s="128"/>
      <c r="CE129" s="837"/>
      <c r="CF129" s="128"/>
      <c r="CG129" s="128"/>
      <c r="CH129" s="128"/>
      <c r="CI129" s="128"/>
      <c r="CJ129" s="837"/>
      <c r="CK129" s="128"/>
      <c r="CL129" s="128"/>
      <c r="CM129" s="128"/>
      <c r="CN129" s="128"/>
      <c r="CO129" s="837"/>
      <c r="CP129" s="128"/>
      <c r="CQ129" s="128"/>
      <c r="CR129" s="128"/>
      <c r="CS129" s="128"/>
      <c r="CT129" s="836"/>
      <c r="CU129" s="128"/>
      <c r="CV129" s="128"/>
      <c r="CW129" s="128"/>
      <c r="CX129" s="128"/>
      <c r="CY129" s="836"/>
      <c r="CZ129" s="129"/>
      <c r="DA129" s="128"/>
      <c r="DB129" s="129"/>
      <c r="DC129" s="128"/>
      <c r="DD129" s="836"/>
      <c r="DE129" s="129"/>
      <c r="DF129" s="128"/>
      <c r="DG129" s="128">
        <v>924.0</v>
      </c>
      <c r="DH129" s="128">
        <v>924.0</v>
      </c>
      <c r="DI129" s="836"/>
      <c r="DJ129" s="883">
        <v>924.0</v>
      </c>
      <c r="DK129" s="883">
        <v>924.0</v>
      </c>
      <c r="DL129" s="883">
        <v>924.0</v>
      </c>
      <c r="DM129" s="904">
        <v>567.0</v>
      </c>
      <c r="DN129" s="836"/>
      <c r="DO129" s="904">
        <v>924.0</v>
      </c>
      <c r="DP129" s="904">
        <v>924.0</v>
      </c>
      <c r="DQ129" s="883">
        <v>924.0</v>
      </c>
      <c r="DR129" s="883">
        <v>567.0</v>
      </c>
      <c r="DS129" s="836"/>
      <c r="DT129" s="883">
        <v>567.0</v>
      </c>
      <c r="DU129" s="883">
        <v>567.0</v>
      </c>
      <c r="DV129" s="883">
        <v>567.0</v>
      </c>
      <c r="DW129" s="883">
        <v>567.0</v>
      </c>
      <c r="DX129" s="836"/>
      <c r="DY129" s="883">
        <v>567.0</v>
      </c>
      <c r="DZ129" s="883">
        <v>567.0</v>
      </c>
      <c r="EA129" s="883">
        <v>567.0</v>
      </c>
      <c r="EB129" s="883">
        <v>567.0</v>
      </c>
      <c r="EC129" s="836"/>
      <c r="ED129" s="883">
        <v>567.0</v>
      </c>
      <c r="EE129" s="883">
        <v>567.0</v>
      </c>
      <c r="EF129" s="883">
        <v>567.0</v>
      </c>
      <c r="EG129" s="883">
        <v>567.0</v>
      </c>
      <c r="EH129" s="836"/>
      <c r="EI129" s="884">
        <v>567.0</v>
      </c>
      <c r="EJ129" s="904">
        <v>567.0</v>
      </c>
      <c r="EK129" s="904">
        <v>567.0</v>
      </c>
      <c r="EL129" s="904">
        <v>567.0</v>
      </c>
      <c r="EM129" s="836"/>
      <c r="EN129" s="904">
        <v>567.0</v>
      </c>
      <c r="EO129" s="904">
        <v>567.0</v>
      </c>
      <c r="EP129" s="904">
        <v>567.0</v>
      </c>
      <c r="EQ129" s="904">
        <v>567.0</v>
      </c>
      <c r="ER129" s="836"/>
      <c r="ES129" s="904">
        <v>567.0</v>
      </c>
      <c r="ET129" s="904">
        <v>567.0</v>
      </c>
      <c r="EU129" s="904">
        <v>567.0</v>
      </c>
      <c r="EV129" s="904">
        <v>567.0</v>
      </c>
      <c r="EW129" s="836"/>
      <c r="EX129" s="904">
        <v>567.0</v>
      </c>
      <c r="EY129" s="904">
        <v>567.0</v>
      </c>
      <c r="EZ129" s="904">
        <v>567.0</v>
      </c>
      <c r="FA129" s="904">
        <v>567.0</v>
      </c>
      <c r="FB129" s="836"/>
      <c r="FC129" s="904">
        <v>567.0</v>
      </c>
      <c r="FD129" s="904">
        <v>567.0</v>
      </c>
      <c r="FE129" s="904">
        <v>567.0</v>
      </c>
      <c r="FF129" s="904">
        <v>567.0</v>
      </c>
      <c r="FG129" s="836"/>
    </row>
    <row r="130" ht="12.75" customHeight="1">
      <c r="A130" s="128"/>
      <c r="B130" s="179" t="s">
        <v>663</v>
      </c>
      <c r="C130" s="179"/>
      <c r="D130" s="179"/>
      <c r="E130" s="179"/>
      <c r="F130" s="179"/>
      <c r="G130" s="179"/>
      <c r="H130" s="179"/>
      <c r="I130" s="179"/>
      <c r="J130" s="179"/>
      <c r="K130" s="179"/>
      <c r="L130" s="179"/>
      <c r="M130" s="179"/>
      <c r="N130" s="179"/>
      <c r="O130" s="179"/>
      <c r="P130" s="179"/>
      <c r="Q130" s="179"/>
      <c r="R130" s="57"/>
      <c r="S130" s="179"/>
      <c r="T130" s="179"/>
      <c r="U130" s="179"/>
      <c r="V130" s="179"/>
      <c r="W130" s="785"/>
      <c r="X130" s="128"/>
      <c r="Y130" s="128"/>
      <c r="Z130" s="128"/>
      <c r="AA130" s="128"/>
      <c r="AB130" s="837"/>
      <c r="AC130" s="128"/>
      <c r="AD130" s="128"/>
      <c r="AE130" s="128"/>
      <c r="AF130" s="128"/>
      <c r="AG130" s="837"/>
      <c r="AH130" s="128"/>
      <c r="AI130" s="128"/>
      <c r="AJ130" s="128"/>
      <c r="AK130" s="128"/>
      <c r="AL130" s="837"/>
      <c r="AM130" s="128"/>
      <c r="AN130" s="128"/>
      <c r="AO130" s="128"/>
      <c r="AP130" s="128"/>
      <c r="AQ130" s="837"/>
      <c r="AR130" s="128"/>
      <c r="AS130" s="128"/>
      <c r="AT130" s="128"/>
      <c r="AU130" s="128"/>
      <c r="AV130" s="837"/>
      <c r="AW130" s="128"/>
      <c r="AX130" s="128"/>
      <c r="AY130" s="128"/>
      <c r="AZ130" s="128"/>
      <c r="BA130" s="837"/>
      <c r="BB130" s="128"/>
      <c r="BC130" s="128"/>
      <c r="BD130" s="128"/>
      <c r="BE130" s="128"/>
      <c r="BF130" s="837"/>
      <c r="BG130" s="128"/>
      <c r="BH130" s="128"/>
      <c r="BI130" s="128"/>
      <c r="BJ130" s="128"/>
      <c r="BK130" s="837"/>
      <c r="BL130" s="128"/>
      <c r="BM130" s="128"/>
      <c r="BN130" s="128"/>
      <c r="BO130" s="128"/>
      <c r="BP130" s="837"/>
      <c r="BQ130" s="128"/>
      <c r="BR130" s="128"/>
      <c r="BS130" s="128"/>
      <c r="BT130" s="128"/>
      <c r="BU130" s="837"/>
      <c r="BV130" s="128"/>
      <c r="BW130" s="128"/>
      <c r="BX130" s="128"/>
      <c r="BY130" s="128"/>
      <c r="BZ130" s="837"/>
      <c r="CA130" s="128"/>
      <c r="CB130" s="128"/>
      <c r="CC130" s="128"/>
      <c r="CD130" s="128"/>
      <c r="CE130" s="837"/>
      <c r="CF130" s="128"/>
      <c r="CG130" s="128"/>
      <c r="CH130" s="128"/>
      <c r="CI130" s="128"/>
      <c r="CJ130" s="837"/>
      <c r="CK130" s="128"/>
      <c r="CL130" s="128"/>
      <c r="CM130" s="128"/>
      <c r="CN130" s="128"/>
      <c r="CO130" s="837"/>
      <c r="CP130" s="128"/>
      <c r="CQ130" s="128"/>
      <c r="CR130" s="128"/>
      <c r="CS130" s="128"/>
      <c r="CT130" s="836"/>
      <c r="CU130" s="128"/>
      <c r="CV130" s="128"/>
      <c r="CW130" s="128"/>
      <c r="CX130" s="128"/>
      <c r="CY130" s="836"/>
      <c r="CZ130" s="129"/>
      <c r="DA130" s="128"/>
      <c r="DB130" s="129"/>
      <c r="DC130" s="128"/>
      <c r="DD130" s="836"/>
      <c r="DE130" s="129"/>
      <c r="DF130" s="128"/>
      <c r="DG130" s="128">
        <v>1999.0</v>
      </c>
      <c r="DH130" s="128">
        <v>1999.0</v>
      </c>
      <c r="DI130" s="836"/>
      <c r="DJ130" s="883">
        <v>1999.0</v>
      </c>
      <c r="DK130" s="883">
        <v>1999.0</v>
      </c>
      <c r="DL130" s="883">
        <v>1999.0</v>
      </c>
      <c r="DM130" s="904">
        <v>772.0</v>
      </c>
      <c r="DN130" s="836"/>
      <c r="DO130" s="904">
        <v>1999.0</v>
      </c>
      <c r="DP130" s="904">
        <v>1999.0</v>
      </c>
      <c r="DQ130" s="883">
        <v>1999.0</v>
      </c>
      <c r="DR130" s="883">
        <v>772.0</v>
      </c>
      <c r="DS130" s="836"/>
      <c r="DT130" s="883">
        <v>772.0</v>
      </c>
      <c r="DU130" s="883">
        <v>772.0</v>
      </c>
      <c r="DV130" s="883">
        <v>772.0</v>
      </c>
      <c r="DW130" s="883">
        <v>772.0</v>
      </c>
      <c r="DX130" s="836"/>
      <c r="DY130" s="883">
        <v>772.0</v>
      </c>
      <c r="DZ130" s="883">
        <v>772.0</v>
      </c>
      <c r="EA130" s="883">
        <v>772.0</v>
      </c>
      <c r="EB130" s="883">
        <v>772.0</v>
      </c>
      <c r="EC130" s="836"/>
      <c r="ED130" s="883">
        <v>772.0</v>
      </c>
      <c r="EE130" s="883">
        <v>772.0</v>
      </c>
      <c r="EF130" s="883">
        <v>772.0</v>
      </c>
      <c r="EG130" s="883">
        <v>772.0</v>
      </c>
      <c r="EH130" s="836"/>
      <c r="EI130" s="884">
        <v>772.0</v>
      </c>
      <c r="EJ130" s="904">
        <v>772.0</v>
      </c>
      <c r="EK130" s="904">
        <v>772.0</v>
      </c>
      <c r="EL130" s="904">
        <v>772.0</v>
      </c>
      <c r="EM130" s="836"/>
      <c r="EN130" s="904">
        <v>772.0</v>
      </c>
      <c r="EO130" s="904">
        <v>772.0</v>
      </c>
      <c r="EP130" s="904">
        <v>772.0</v>
      </c>
      <c r="EQ130" s="904">
        <v>772.0</v>
      </c>
      <c r="ER130" s="836"/>
      <c r="ES130" s="904">
        <v>772.0</v>
      </c>
      <c r="ET130" s="904">
        <v>772.0</v>
      </c>
      <c r="EU130" s="904">
        <v>772.0</v>
      </c>
      <c r="EV130" s="904">
        <v>772.0</v>
      </c>
      <c r="EW130" s="836"/>
      <c r="EX130" s="904">
        <v>772.0</v>
      </c>
      <c r="EY130" s="904">
        <v>772.0</v>
      </c>
      <c r="EZ130" s="904">
        <v>772.0</v>
      </c>
      <c r="FA130" s="904">
        <v>772.0</v>
      </c>
      <c r="FB130" s="836"/>
      <c r="FC130" s="904">
        <v>772.0</v>
      </c>
      <c r="FD130" s="904">
        <v>772.0</v>
      </c>
      <c r="FE130" s="904">
        <v>772.0</v>
      </c>
      <c r="FF130" s="904">
        <v>772.0</v>
      </c>
      <c r="FG130" s="836"/>
    </row>
    <row r="131" ht="12.75" customHeight="1">
      <c r="A131" s="128"/>
      <c r="B131" s="179" t="s">
        <v>664</v>
      </c>
      <c r="C131" s="179"/>
      <c r="D131" s="179"/>
      <c r="E131" s="179"/>
      <c r="F131" s="179"/>
      <c r="G131" s="179"/>
      <c r="H131" s="179"/>
      <c r="I131" s="179"/>
      <c r="J131" s="179"/>
      <c r="K131" s="179"/>
      <c r="L131" s="179"/>
      <c r="M131" s="179"/>
      <c r="N131" s="179"/>
      <c r="O131" s="179"/>
      <c r="P131" s="179"/>
      <c r="Q131" s="179"/>
      <c r="R131" s="57"/>
      <c r="S131" s="179"/>
      <c r="T131" s="179"/>
      <c r="U131" s="179"/>
      <c r="V131" s="179"/>
      <c r="W131" s="785"/>
      <c r="X131" s="128"/>
      <c r="Y131" s="128"/>
      <c r="Z131" s="128"/>
      <c r="AA131" s="128"/>
      <c r="AB131" s="837"/>
      <c r="AC131" s="128"/>
      <c r="AD131" s="128"/>
      <c r="AE131" s="128"/>
      <c r="AF131" s="128"/>
      <c r="AG131" s="837"/>
      <c r="AH131" s="128"/>
      <c r="AI131" s="128"/>
      <c r="AJ131" s="128"/>
      <c r="AK131" s="128"/>
      <c r="AL131" s="837"/>
      <c r="AM131" s="128"/>
      <c r="AN131" s="128"/>
      <c r="AO131" s="128"/>
      <c r="AP131" s="128"/>
      <c r="AQ131" s="837"/>
      <c r="AR131" s="128"/>
      <c r="AS131" s="128"/>
      <c r="AT131" s="128"/>
      <c r="AU131" s="128"/>
      <c r="AV131" s="837"/>
      <c r="AW131" s="128"/>
      <c r="AX131" s="128"/>
      <c r="AY131" s="128"/>
      <c r="AZ131" s="128"/>
      <c r="BA131" s="837"/>
      <c r="BB131" s="128"/>
      <c r="BC131" s="128"/>
      <c r="BD131" s="128"/>
      <c r="BE131" s="128"/>
      <c r="BF131" s="837"/>
      <c r="BG131" s="128"/>
      <c r="BH131" s="128"/>
      <c r="BI131" s="128"/>
      <c r="BJ131" s="128"/>
      <c r="BK131" s="837"/>
      <c r="BL131" s="128"/>
      <c r="BM131" s="128"/>
      <c r="BN131" s="128"/>
      <c r="BO131" s="128"/>
      <c r="BP131" s="837"/>
      <c r="BQ131" s="128"/>
      <c r="BR131" s="128"/>
      <c r="BS131" s="128"/>
      <c r="BT131" s="128"/>
      <c r="BU131" s="837"/>
      <c r="BV131" s="128"/>
      <c r="BW131" s="128"/>
      <c r="BX131" s="128"/>
      <c r="BY131" s="128"/>
      <c r="BZ131" s="837"/>
      <c r="CA131" s="128"/>
      <c r="CB131" s="128"/>
      <c r="CC131" s="128"/>
      <c r="CD131" s="128"/>
      <c r="CE131" s="837"/>
      <c r="CF131" s="128"/>
      <c r="CG131" s="128"/>
      <c r="CH131" s="128"/>
      <c r="CI131" s="128"/>
      <c r="CJ131" s="837"/>
      <c r="CK131" s="128"/>
      <c r="CL131" s="128"/>
      <c r="CM131" s="128"/>
      <c r="CN131" s="128"/>
      <c r="CO131" s="837"/>
      <c r="CP131" s="128"/>
      <c r="CQ131" s="128"/>
      <c r="CR131" s="128"/>
      <c r="CS131" s="128"/>
      <c r="CT131" s="836"/>
      <c r="CU131" s="128"/>
      <c r="CV131" s="128"/>
      <c r="CW131" s="128"/>
      <c r="CX131" s="128"/>
      <c r="CY131" s="836"/>
      <c r="CZ131" s="129"/>
      <c r="DA131" s="128"/>
      <c r="DB131" s="129"/>
      <c r="DC131" s="128"/>
      <c r="DD131" s="836"/>
      <c r="DE131" s="129"/>
      <c r="DF131" s="128"/>
      <c r="DG131" s="128">
        <v>0.0</v>
      </c>
      <c r="DH131" s="128">
        <v>0.0</v>
      </c>
      <c r="DI131" s="836"/>
      <c r="DJ131" s="883">
        <v>0.0</v>
      </c>
      <c r="DK131" s="883">
        <v>0.0</v>
      </c>
      <c r="DL131" s="883">
        <v>0.0</v>
      </c>
      <c r="DM131" s="904">
        <v>0.0</v>
      </c>
      <c r="DN131" s="836"/>
      <c r="DO131" s="904">
        <v>0.0</v>
      </c>
      <c r="DP131" s="904">
        <v>0.0</v>
      </c>
      <c r="DQ131" s="883">
        <v>0.0</v>
      </c>
      <c r="DR131" s="883">
        <v>0.0</v>
      </c>
      <c r="DS131" s="836"/>
      <c r="DT131" s="883"/>
      <c r="DU131" s="883"/>
      <c r="DV131" s="883"/>
      <c r="DW131" s="883"/>
      <c r="DX131" s="836"/>
      <c r="DY131" s="883"/>
      <c r="DZ131" s="883"/>
      <c r="EA131" s="883"/>
      <c r="EB131" s="883"/>
      <c r="EC131" s="836"/>
      <c r="ED131" s="883"/>
      <c r="EE131" s="883"/>
      <c r="EF131" s="883"/>
      <c r="EG131" s="883"/>
      <c r="EH131" s="836"/>
      <c r="EI131" s="884"/>
      <c r="EJ131" s="904"/>
      <c r="EK131" s="904"/>
      <c r="EL131" s="904"/>
      <c r="EM131" s="836"/>
      <c r="EN131" s="904"/>
      <c r="EO131" s="904"/>
      <c r="EP131" s="904"/>
      <c r="EQ131" s="904"/>
      <c r="ER131" s="836"/>
      <c r="ES131" s="904"/>
      <c r="ET131" s="904"/>
      <c r="EU131" s="904"/>
      <c r="EV131" s="904"/>
      <c r="EW131" s="836"/>
      <c r="EX131" s="904"/>
      <c r="EY131" s="904"/>
      <c r="EZ131" s="904"/>
      <c r="FA131" s="904"/>
      <c r="FB131" s="836"/>
      <c r="FC131" s="904"/>
      <c r="FD131" s="904"/>
      <c r="FE131" s="904"/>
      <c r="FF131" s="904"/>
      <c r="FG131" s="836"/>
    </row>
    <row r="132" ht="12.75" customHeight="1">
      <c r="A132" s="128"/>
      <c r="B132" s="179" t="s">
        <v>665</v>
      </c>
      <c r="C132" s="179"/>
      <c r="D132" s="179"/>
      <c r="E132" s="179"/>
      <c r="F132" s="179"/>
      <c r="G132" s="179"/>
      <c r="H132" s="179"/>
      <c r="I132" s="179"/>
      <c r="J132" s="179"/>
      <c r="K132" s="179"/>
      <c r="L132" s="179"/>
      <c r="M132" s="179"/>
      <c r="N132" s="179"/>
      <c r="O132" s="179"/>
      <c r="P132" s="179"/>
      <c r="Q132" s="179"/>
      <c r="R132" s="57"/>
      <c r="S132" s="179"/>
      <c r="T132" s="179"/>
      <c r="U132" s="179"/>
      <c r="V132" s="179"/>
      <c r="W132" s="785"/>
      <c r="X132" s="128"/>
      <c r="Y132" s="128"/>
      <c r="Z132" s="128"/>
      <c r="AA132" s="128"/>
      <c r="AB132" s="837"/>
      <c r="AC132" s="128"/>
      <c r="AD132" s="128"/>
      <c r="AE132" s="128"/>
      <c r="AF132" s="128"/>
      <c r="AG132" s="837"/>
      <c r="AH132" s="128"/>
      <c r="AI132" s="128"/>
      <c r="AJ132" s="128"/>
      <c r="AK132" s="128"/>
      <c r="AL132" s="837"/>
      <c r="AM132" s="128"/>
      <c r="AN132" s="128"/>
      <c r="AO132" s="128"/>
      <c r="AP132" s="128"/>
      <c r="AQ132" s="837"/>
      <c r="AR132" s="128"/>
      <c r="AS132" s="128"/>
      <c r="AT132" s="128"/>
      <c r="AU132" s="128"/>
      <c r="AV132" s="837"/>
      <c r="AW132" s="128"/>
      <c r="AX132" s="128"/>
      <c r="AY132" s="128"/>
      <c r="AZ132" s="128"/>
      <c r="BA132" s="837"/>
      <c r="BB132" s="128"/>
      <c r="BC132" s="128"/>
      <c r="BD132" s="128"/>
      <c r="BE132" s="128"/>
      <c r="BF132" s="837"/>
      <c r="BG132" s="128"/>
      <c r="BH132" s="128"/>
      <c r="BI132" s="128"/>
      <c r="BJ132" s="128"/>
      <c r="BK132" s="837"/>
      <c r="BL132" s="128"/>
      <c r="BM132" s="128"/>
      <c r="BN132" s="128"/>
      <c r="BO132" s="128"/>
      <c r="BP132" s="837"/>
      <c r="BQ132" s="128"/>
      <c r="BR132" s="128"/>
      <c r="BS132" s="128"/>
      <c r="BT132" s="128"/>
      <c r="BU132" s="837"/>
      <c r="BV132" s="128"/>
      <c r="BW132" s="128"/>
      <c r="BX132" s="128"/>
      <c r="BY132" s="128"/>
      <c r="BZ132" s="837"/>
      <c r="CA132" s="128"/>
      <c r="CB132" s="128"/>
      <c r="CC132" s="128"/>
      <c r="CD132" s="128"/>
      <c r="CE132" s="837"/>
      <c r="CF132" s="128"/>
      <c r="CG132" s="128"/>
      <c r="CH132" s="128"/>
      <c r="CI132" s="128"/>
      <c r="CJ132" s="837"/>
      <c r="CK132" s="128"/>
      <c r="CL132" s="128"/>
      <c r="CM132" s="128"/>
      <c r="CN132" s="128"/>
      <c r="CO132" s="837"/>
      <c r="CP132" s="128"/>
      <c r="CQ132" s="128"/>
      <c r="CR132" s="128"/>
      <c r="CS132" s="128"/>
      <c r="CT132" s="836"/>
      <c r="CU132" s="128"/>
      <c r="CV132" s="128"/>
      <c r="CW132" s="128"/>
      <c r="CX132" s="128"/>
      <c r="CY132" s="836"/>
      <c r="CZ132" s="129"/>
      <c r="DA132" s="128"/>
      <c r="DB132" s="129"/>
      <c r="DC132" s="128"/>
      <c r="DD132" s="836"/>
      <c r="DE132" s="129"/>
      <c r="DF132" s="128"/>
      <c r="DG132" s="128">
        <v>910.0</v>
      </c>
      <c r="DH132" s="128">
        <v>910.0</v>
      </c>
      <c r="DI132" s="836"/>
      <c r="DJ132" s="883">
        <v>910.0</v>
      </c>
      <c r="DK132" s="883">
        <v>910.0</v>
      </c>
      <c r="DL132" s="883">
        <v>910.0</v>
      </c>
      <c r="DM132" s="883">
        <v>910.0</v>
      </c>
      <c r="DN132" s="836"/>
      <c r="DO132" s="904">
        <v>910.0</v>
      </c>
      <c r="DP132" s="904">
        <v>910.0</v>
      </c>
      <c r="DQ132" s="883">
        <v>910.0</v>
      </c>
      <c r="DR132" s="883">
        <v>0.0</v>
      </c>
      <c r="DS132" s="836"/>
      <c r="DT132" s="883"/>
      <c r="DU132" s="883"/>
      <c r="DV132" s="883"/>
      <c r="DW132" s="883"/>
      <c r="DX132" s="836"/>
      <c r="DY132" s="883"/>
      <c r="DZ132" s="883"/>
      <c r="EA132" s="883"/>
      <c r="EB132" s="883"/>
      <c r="EC132" s="836"/>
      <c r="ED132" s="883"/>
      <c r="EE132" s="883"/>
      <c r="EF132" s="883"/>
      <c r="EG132" s="883"/>
      <c r="EH132" s="836"/>
      <c r="EI132" s="884"/>
      <c r="EJ132" s="904"/>
      <c r="EK132" s="904"/>
      <c r="EL132" s="904"/>
      <c r="EM132" s="836"/>
      <c r="EN132" s="904"/>
      <c r="EO132" s="904"/>
      <c r="EP132" s="904"/>
      <c r="EQ132" s="904"/>
      <c r="ER132" s="836"/>
      <c r="ES132" s="904"/>
      <c r="ET132" s="904"/>
      <c r="EU132" s="904"/>
      <c r="EV132" s="904"/>
      <c r="EW132" s="836"/>
      <c r="EX132" s="904"/>
      <c r="EY132" s="904"/>
      <c r="EZ132" s="904"/>
      <c r="FA132" s="904"/>
      <c r="FB132" s="836"/>
      <c r="FC132" s="904"/>
      <c r="FD132" s="904"/>
      <c r="FE132" s="904"/>
      <c r="FF132" s="904"/>
      <c r="FG132" s="836"/>
    </row>
    <row r="133" ht="12.75" customHeight="1">
      <c r="A133" s="128"/>
      <c r="B133" s="179" t="s">
        <v>666</v>
      </c>
      <c r="C133" s="179"/>
      <c r="D133" s="179"/>
      <c r="E133" s="179"/>
      <c r="F133" s="179"/>
      <c r="G133" s="179"/>
      <c r="H133" s="179"/>
      <c r="I133" s="179"/>
      <c r="J133" s="179"/>
      <c r="K133" s="179"/>
      <c r="L133" s="179"/>
      <c r="M133" s="179"/>
      <c r="N133" s="179"/>
      <c r="O133" s="179"/>
      <c r="P133" s="179"/>
      <c r="Q133" s="179"/>
      <c r="R133" s="57"/>
      <c r="S133" s="179"/>
      <c r="T133" s="179"/>
      <c r="U133" s="179"/>
      <c r="V133" s="179"/>
      <c r="W133" s="785"/>
      <c r="X133" s="128"/>
      <c r="Y133" s="128"/>
      <c r="Z133" s="128"/>
      <c r="AA133" s="128"/>
      <c r="AB133" s="837"/>
      <c r="AC133" s="128"/>
      <c r="AD133" s="128"/>
      <c r="AE133" s="128"/>
      <c r="AF133" s="128"/>
      <c r="AG133" s="837"/>
      <c r="AH133" s="128"/>
      <c r="AI133" s="128"/>
      <c r="AJ133" s="128"/>
      <c r="AK133" s="128"/>
      <c r="AL133" s="837"/>
      <c r="AM133" s="128"/>
      <c r="AN133" s="128"/>
      <c r="AO133" s="128"/>
      <c r="AP133" s="128"/>
      <c r="AQ133" s="837"/>
      <c r="AR133" s="128"/>
      <c r="AS133" s="128"/>
      <c r="AT133" s="128"/>
      <c r="AU133" s="128"/>
      <c r="AV133" s="837"/>
      <c r="AW133" s="128"/>
      <c r="AX133" s="128"/>
      <c r="AY133" s="128"/>
      <c r="AZ133" s="128"/>
      <c r="BA133" s="837"/>
      <c r="BB133" s="128"/>
      <c r="BC133" s="128"/>
      <c r="BD133" s="128"/>
      <c r="BE133" s="128"/>
      <c r="BF133" s="837"/>
      <c r="BG133" s="128"/>
      <c r="BH133" s="128"/>
      <c r="BI133" s="128"/>
      <c r="BJ133" s="128"/>
      <c r="BK133" s="837"/>
      <c r="BL133" s="128"/>
      <c r="BM133" s="128"/>
      <c r="BN133" s="128"/>
      <c r="BO133" s="128"/>
      <c r="BP133" s="837"/>
      <c r="BQ133" s="128"/>
      <c r="BR133" s="128"/>
      <c r="BS133" s="128"/>
      <c r="BT133" s="128"/>
      <c r="BU133" s="837"/>
      <c r="BV133" s="128"/>
      <c r="BW133" s="128"/>
      <c r="BX133" s="128"/>
      <c r="BY133" s="128"/>
      <c r="BZ133" s="837"/>
      <c r="CA133" s="128"/>
      <c r="CB133" s="128"/>
      <c r="CC133" s="128"/>
      <c r="CD133" s="128"/>
      <c r="CE133" s="837"/>
      <c r="CF133" s="128"/>
      <c r="CG133" s="128"/>
      <c r="CH133" s="128"/>
      <c r="CI133" s="128"/>
      <c r="CJ133" s="837"/>
      <c r="CK133" s="128"/>
      <c r="CL133" s="128"/>
      <c r="CM133" s="128"/>
      <c r="CN133" s="128"/>
      <c r="CO133" s="837"/>
      <c r="CP133" s="128"/>
      <c r="CQ133" s="128"/>
      <c r="CR133" s="128"/>
      <c r="CS133" s="128"/>
      <c r="CT133" s="836"/>
      <c r="CU133" s="128"/>
      <c r="CV133" s="128"/>
      <c r="CW133" s="128"/>
      <c r="CX133" s="128"/>
      <c r="CY133" s="836"/>
      <c r="CZ133" s="129"/>
      <c r="DA133" s="128"/>
      <c r="DB133" s="129"/>
      <c r="DC133" s="128"/>
      <c r="DD133" s="836"/>
      <c r="DE133" s="129"/>
      <c r="DF133" s="128"/>
      <c r="DG133" s="128">
        <v>1243.0</v>
      </c>
      <c r="DH133" s="128">
        <v>1243.0</v>
      </c>
      <c r="DI133" s="836"/>
      <c r="DJ133" s="883">
        <v>1243.0</v>
      </c>
      <c r="DK133" s="883">
        <v>1243.0</v>
      </c>
      <c r="DL133" s="883">
        <v>1243.0</v>
      </c>
      <c r="DM133" s="883">
        <v>1243.0</v>
      </c>
      <c r="DN133" s="836"/>
      <c r="DO133" s="904">
        <v>1243.0</v>
      </c>
      <c r="DP133" s="904">
        <v>1243.0</v>
      </c>
      <c r="DQ133" s="883">
        <v>1243.0</v>
      </c>
      <c r="DR133" s="883">
        <v>1243.0</v>
      </c>
      <c r="DS133" s="836"/>
      <c r="DT133" s="883">
        <v>1250.0</v>
      </c>
      <c r="DU133" s="883">
        <v>1250.0</v>
      </c>
      <c r="DV133" s="883">
        <v>1250.0</v>
      </c>
      <c r="DW133" s="883">
        <v>1250.0</v>
      </c>
      <c r="DX133" s="836"/>
      <c r="DY133" s="883">
        <v>1250.0</v>
      </c>
      <c r="DZ133" s="883">
        <v>1250.0</v>
      </c>
      <c r="EA133" s="883">
        <v>1250.0</v>
      </c>
      <c r="EB133" s="883">
        <v>1250.0</v>
      </c>
      <c r="EC133" s="836"/>
      <c r="ED133" s="883">
        <v>1250.0</v>
      </c>
      <c r="EE133" s="883">
        <v>1250.0</v>
      </c>
      <c r="EF133" s="883">
        <v>1250.0</v>
      </c>
      <c r="EG133" s="883">
        <v>1250.0</v>
      </c>
      <c r="EH133" s="836"/>
      <c r="EI133" s="884">
        <v>1250.0</v>
      </c>
      <c r="EJ133" s="904">
        <v>1250.0</v>
      </c>
      <c r="EK133" s="904">
        <v>1250.0</v>
      </c>
      <c r="EL133" s="904">
        <v>1250.0</v>
      </c>
      <c r="EM133" s="836"/>
      <c r="EN133" s="904">
        <v>1250.0</v>
      </c>
      <c r="EO133" s="904">
        <v>1250.0</v>
      </c>
      <c r="EP133" s="904">
        <v>1250.0</v>
      </c>
      <c r="EQ133" s="904">
        <v>1250.0</v>
      </c>
      <c r="ER133" s="836"/>
      <c r="ES133" s="904">
        <v>1250.0</v>
      </c>
      <c r="ET133" s="904">
        <v>1250.0</v>
      </c>
      <c r="EU133" s="904">
        <v>1250.0</v>
      </c>
      <c r="EV133" s="904">
        <v>1250.0</v>
      </c>
      <c r="EW133" s="836"/>
      <c r="EX133" s="904">
        <v>1250.0</v>
      </c>
      <c r="EY133" s="904">
        <v>1250.0</v>
      </c>
      <c r="EZ133" s="904">
        <v>1250.0</v>
      </c>
      <c r="FA133" s="904">
        <v>1250.0</v>
      </c>
      <c r="FB133" s="836"/>
      <c r="FC133" s="904">
        <v>1250.0</v>
      </c>
      <c r="FD133" s="904">
        <v>1250.0</v>
      </c>
      <c r="FE133" s="904">
        <v>1250.0</v>
      </c>
      <c r="FF133" s="904">
        <v>1250.0</v>
      </c>
      <c r="FG133" s="836"/>
    </row>
    <row r="134" ht="12.75" customHeight="1">
      <c r="A134" s="128"/>
      <c r="B134" s="179" t="s">
        <v>667</v>
      </c>
      <c r="C134" s="179"/>
      <c r="D134" s="179"/>
      <c r="E134" s="179"/>
      <c r="F134" s="179"/>
      <c r="G134" s="179"/>
      <c r="H134" s="179"/>
      <c r="I134" s="179"/>
      <c r="J134" s="179"/>
      <c r="K134" s="179"/>
      <c r="L134" s="179"/>
      <c r="M134" s="179"/>
      <c r="N134" s="179"/>
      <c r="O134" s="179"/>
      <c r="P134" s="179"/>
      <c r="Q134" s="179"/>
      <c r="R134" s="57"/>
      <c r="S134" s="179"/>
      <c r="T134" s="179"/>
      <c r="U134" s="179"/>
      <c r="V134" s="179"/>
      <c r="W134" s="785"/>
      <c r="X134" s="128"/>
      <c r="Y134" s="128"/>
      <c r="Z134" s="128"/>
      <c r="AA134" s="128"/>
      <c r="AB134" s="837"/>
      <c r="AC134" s="128"/>
      <c r="AD134" s="128"/>
      <c r="AE134" s="128"/>
      <c r="AF134" s="128"/>
      <c r="AG134" s="837"/>
      <c r="AH134" s="128"/>
      <c r="AI134" s="128"/>
      <c r="AJ134" s="128"/>
      <c r="AK134" s="128"/>
      <c r="AL134" s="837"/>
      <c r="AM134" s="128"/>
      <c r="AN134" s="128"/>
      <c r="AO134" s="128"/>
      <c r="AP134" s="128"/>
      <c r="AQ134" s="837"/>
      <c r="AR134" s="128"/>
      <c r="AS134" s="128"/>
      <c r="AT134" s="128"/>
      <c r="AU134" s="128"/>
      <c r="AV134" s="837"/>
      <c r="AW134" s="128"/>
      <c r="AX134" s="128"/>
      <c r="AY134" s="128"/>
      <c r="AZ134" s="128"/>
      <c r="BA134" s="837"/>
      <c r="BB134" s="128"/>
      <c r="BC134" s="128"/>
      <c r="BD134" s="128"/>
      <c r="BE134" s="128"/>
      <c r="BF134" s="837"/>
      <c r="BG134" s="128"/>
      <c r="BH134" s="128"/>
      <c r="BI134" s="128"/>
      <c r="BJ134" s="128"/>
      <c r="BK134" s="837"/>
      <c r="BL134" s="128"/>
      <c r="BM134" s="128"/>
      <c r="BN134" s="128"/>
      <c r="BO134" s="128"/>
      <c r="BP134" s="837"/>
      <c r="BQ134" s="128"/>
      <c r="BR134" s="128"/>
      <c r="BS134" s="128"/>
      <c r="BT134" s="128"/>
      <c r="BU134" s="837"/>
      <c r="BV134" s="128"/>
      <c r="BW134" s="128"/>
      <c r="BX134" s="128"/>
      <c r="BY134" s="128"/>
      <c r="BZ134" s="837"/>
      <c r="CA134" s="128"/>
      <c r="CB134" s="128"/>
      <c r="CC134" s="128"/>
      <c r="CD134" s="128"/>
      <c r="CE134" s="837"/>
      <c r="CF134" s="128"/>
      <c r="CG134" s="128"/>
      <c r="CH134" s="128"/>
      <c r="CI134" s="128"/>
      <c r="CJ134" s="837"/>
      <c r="CK134" s="128"/>
      <c r="CL134" s="128"/>
      <c r="CM134" s="128"/>
      <c r="CN134" s="128"/>
      <c r="CO134" s="837"/>
      <c r="CP134" s="128"/>
      <c r="CQ134" s="128"/>
      <c r="CR134" s="128"/>
      <c r="CS134" s="128"/>
      <c r="CT134" s="836"/>
      <c r="CU134" s="128"/>
      <c r="CV134" s="128"/>
      <c r="CW134" s="128"/>
      <c r="CX134" s="128"/>
      <c r="CY134" s="836"/>
      <c r="CZ134" s="129"/>
      <c r="DA134" s="128"/>
      <c r="DB134" s="129"/>
      <c r="DC134" s="128"/>
      <c r="DD134" s="836"/>
      <c r="DE134" s="129"/>
      <c r="DF134" s="128"/>
      <c r="DG134" s="128">
        <v>994.0</v>
      </c>
      <c r="DH134" s="128">
        <v>994.0</v>
      </c>
      <c r="DI134" s="836"/>
      <c r="DJ134" s="883">
        <v>994.0</v>
      </c>
      <c r="DK134" s="883">
        <v>994.0</v>
      </c>
      <c r="DL134" s="883">
        <v>994.0</v>
      </c>
      <c r="DM134" s="883">
        <v>994.0</v>
      </c>
      <c r="DN134" s="836"/>
      <c r="DO134" s="904">
        <v>994.0</v>
      </c>
      <c r="DP134" s="904">
        <v>994.0</v>
      </c>
      <c r="DQ134" s="883">
        <v>994.0</v>
      </c>
      <c r="DR134" s="883">
        <v>994.0</v>
      </c>
      <c r="DS134" s="836"/>
      <c r="DT134" s="883">
        <v>1000.0</v>
      </c>
      <c r="DU134" s="883">
        <v>1000.0</v>
      </c>
      <c r="DV134" s="883">
        <v>1000.0</v>
      </c>
      <c r="DW134" s="883">
        <v>1000.0</v>
      </c>
      <c r="DX134" s="836"/>
      <c r="DY134" s="883">
        <v>1000.0</v>
      </c>
      <c r="DZ134" s="883">
        <v>1000.0</v>
      </c>
      <c r="EA134" s="883">
        <v>1000.0</v>
      </c>
      <c r="EB134" s="883">
        <v>1000.0</v>
      </c>
      <c r="EC134" s="836"/>
      <c r="ED134" s="883">
        <v>1000.0</v>
      </c>
      <c r="EE134" s="883">
        <v>1000.0</v>
      </c>
      <c r="EF134" s="883">
        <v>1000.0</v>
      </c>
      <c r="EG134" s="883">
        <v>1000.0</v>
      </c>
      <c r="EH134" s="836"/>
      <c r="EI134" s="884">
        <v>1000.0</v>
      </c>
      <c r="EJ134" s="904">
        <v>1000.0</v>
      </c>
      <c r="EK134" s="904">
        <v>1000.0</v>
      </c>
      <c r="EL134" s="904">
        <v>1000.0</v>
      </c>
      <c r="EM134" s="836"/>
      <c r="EN134" s="904">
        <v>1000.0</v>
      </c>
      <c r="EO134" s="904">
        <v>1000.0</v>
      </c>
      <c r="EP134" s="904">
        <v>1000.0</v>
      </c>
      <c r="EQ134" s="904">
        <v>1000.0</v>
      </c>
      <c r="ER134" s="836"/>
      <c r="ES134" s="904">
        <v>1000.0</v>
      </c>
      <c r="ET134" s="904">
        <v>1000.0</v>
      </c>
      <c r="EU134" s="904">
        <v>1000.0</v>
      </c>
      <c r="EV134" s="904">
        <v>1000.0</v>
      </c>
      <c r="EW134" s="836"/>
      <c r="EX134" s="904">
        <v>1000.0</v>
      </c>
      <c r="EY134" s="904">
        <v>1000.0</v>
      </c>
      <c r="EZ134" s="904">
        <v>1000.0</v>
      </c>
      <c r="FA134" s="904">
        <v>1000.0</v>
      </c>
      <c r="FB134" s="836"/>
      <c r="FC134" s="904">
        <v>1000.0</v>
      </c>
      <c r="FD134" s="904">
        <v>1000.0</v>
      </c>
      <c r="FE134" s="904">
        <v>1000.0</v>
      </c>
      <c r="FF134" s="904">
        <v>1000.0</v>
      </c>
      <c r="FG134" s="836"/>
    </row>
    <row r="135" ht="12.75" customHeight="1">
      <c r="A135" s="128"/>
      <c r="B135" s="179" t="s">
        <v>668</v>
      </c>
      <c r="C135" s="179"/>
      <c r="D135" s="179"/>
      <c r="E135" s="179"/>
      <c r="F135" s="179"/>
      <c r="G135" s="179"/>
      <c r="H135" s="179"/>
      <c r="I135" s="179"/>
      <c r="J135" s="179"/>
      <c r="K135" s="179"/>
      <c r="L135" s="179"/>
      <c r="M135" s="179"/>
      <c r="N135" s="179"/>
      <c r="O135" s="179"/>
      <c r="P135" s="179"/>
      <c r="Q135" s="179"/>
      <c r="R135" s="57"/>
      <c r="S135" s="179"/>
      <c r="T135" s="179"/>
      <c r="U135" s="179"/>
      <c r="V135" s="179"/>
      <c r="W135" s="785"/>
      <c r="X135" s="128"/>
      <c r="Y135" s="128"/>
      <c r="Z135" s="128"/>
      <c r="AA135" s="128"/>
      <c r="AB135" s="837"/>
      <c r="AC135" s="128"/>
      <c r="AD135" s="128"/>
      <c r="AE135" s="128"/>
      <c r="AF135" s="128"/>
      <c r="AG135" s="837"/>
      <c r="AH135" s="128"/>
      <c r="AI135" s="128"/>
      <c r="AJ135" s="128"/>
      <c r="AK135" s="128"/>
      <c r="AL135" s="837"/>
      <c r="AM135" s="128"/>
      <c r="AN135" s="128"/>
      <c r="AO135" s="128"/>
      <c r="AP135" s="128"/>
      <c r="AQ135" s="837"/>
      <c r="AR135" s="128"/>
      <c r="AS135" s="128"/>
      <c r="AT135" s="128"/>
      <c r="AU135" s="128"/>
      <c r="AV135" s="837"/>
      <c r="AW135" s="128"/>
      <c r="AX135" s="128"/>
      <c r="AY135" s="128"/>
      <c r="AZ135" s="128"/>
      <c r="BA135" s="837"/>
      <c r="BB135" s="128"/>
      <c r="BC135" s="128"/>
      <c r="BD135" s="128"/>
      <c r="BE135" s="128"/>
      <c r="BF135" s="837"/>
      <c r="BG135" s="128"/>
      <c r="BH135" s="128"/>
      <c r="BI135" s="128"/>
      <c r="BJ135" s="128"/>
      <c r="BK135" s="837"/>
      <c r="BL135" s="128"/>
      <c r="BM135" s="128"/>
      <c r="BN135" s="128"/>
      <c r="BO135" s="128"/>
      <c r="BP135" s="837"/>
      <c r="BQ135" s="128"/>
      <c r="BR135" s="128"/>
      <c r="BS135" s="128"/>
      <c r="BT135" s="128"/>
      <c r="BU135" s="837"/>
      <c r="BV135" s="128"/>
      <c r="BW135" s="128"/>
      <c r="BX135" s="128"/>
      <c r="BY135" s="128"/>
      <c r="BZ135" s="837"/>
      <c r="CA135" s="128"/>
      <c r="CB135" s="128"/>
      <c r="CC135" s="128"/>
      <c r="CD135" s="128"/>
      <c r="CE135" s="837"/>
      <c r="CF135" s="128"/>
      <c r="CG135" s="128"/>
      <c r="CH135" s="128"/>
      <c r="CI135" s="128"/>
      <c r="CJ135" s="837"/>
      <c r="CK135" s="128"/>
      <c r="CL135" s="128"/>
      <c r="CM135" s="128"/>
      <c r="CN135" s="128"/>
      <c r="CO135" s="837"/>
      <c r="CP135" s="128"/>
      <c r="CQ135" s="128"/>
      <c r="CR135" s="128"/>
      <c r="CS135" s="128"/>
      <c r="CT135" s="836"/>
      <c r="CU135" s="128"/>
      <c r="CV135" s="128"/>
      <c r="CW135" s="128"/>
      <c r="CX135" s="128"/>
      <c r="CY135" s="836"/>
      <c r="CZ135" s="129"/>
      <c r="DA135" s="128"/>
      <c r="DB135" s="129"/>
      <c r="DC135" s="128"/>
      <c r="DD135" s="836"/>
      <c r="DE135" s="129"/>
      <c r="DF135" s="128"/>
      <c r="DG135" s="128">
        <v>638.0</v>
      </c>
      <c r="DH135" s="128">
        <v>638.0</v>
      </c>
      <c r="DI135" s="836"/>
      <c r="DJ135" s="883">
        <v>638.0</v>
      </c>
      <c r="DK135" s="883">
        <v>638.0</v>
      </c>
      <c r="DL135" s="883">
        <v>638.0</v>
      </c>
      <c r="DM135" s="883">
        <v>638.0</v>
      </c>
      <c r="DN135" s="836"/>
      <c r="DO135" s="904">
        <v>638.0</v>
      </c>
      <c r="DP135" s="904">
        <v>638.0</v>
      </c>
      <c r="DQ135" s="883">
        <v>638.0</v>
      </c>
      <c r="DR135" s="883">
        <v>638.0</v>
      </c>
      <c r="DS135" s="836"/>
      <c r="DT135" s="883">
        <v>640.0</v>
      </c>
      <c r="DU135" s="883">
        <v>640.0</v>
      </c>
      <c r="DV135" s="883">
        <v>640.0</v>
      </c>
      <c r="DW135" s="883">
        <v>640.0</v>
      </c>
      <c r="DX135" s="836"/>
      <c r="DY135" s="883">
        <v>640.0</v>
      </c>
      <c r="DZ135" s="883">
        <v>640.0</v>
      </c>
      <c r="EA135" s="883">
        <v>640.0</v>
      </c>
      <c r="EB135" s="883">
        <v>640.0</v>
      </c>
      <c r="EC135" s="836"/>
      <c r="ED135" s="883">
        <v>640.0</v>
      </c>
      <c r="EE135" s="883">
        <v>640.0</v>
      </c>
      <c r="EF135" s="883">
        <v>640.0</v>
      </c>
      <c r="EG135" s="883">
        <v>640.0</v>
      </c>
      <c r="EH135" s="836"/>
      <c r="EI135" s="884">
        <v>640.0</v>
      </c>
      <c r="EJ135" s="904">
        <v>640.0</v>
      </c>
      <c r="EK135" s="904">
        <v>640.0</v>
      </c>
      <c r="EL135" s="904">
        <v>640.0</v>
      </c>
      <c r="EM135" s="836"/>
      <c r="EN135" s="904">
        <v>640.0</v>
      </c>
      <c r="EO135" s="904">
        <v>640.0</v>
      </c>
      <c r="EP135" s="904">
        <v>640.0</v>
      </c>
      <c r="EQ135" s="904">
        <v>640.0</v>
      </c>
      <c r="ER135" s="836"/>
      <c r="ES135" s="904">
        <v>640.0</v>
      </c>
      <c r="ET135" s="904">
        <v>640.0</v>
      </c>
      <c r="EU135" s="904">
        <v>640.0</v>
      </c>
      <c r="EV135" s="904">
        <v>640.0</v>
      </c>
      <c r="EW135" s="836"/>
      <c r="EX135" s="904">
        <v>640.0</v>
      </c>
      <c r="EY135" s="904">
        <v>640.0</v>
      </c>
      <c r="EZ135" s="904">
        <v>640.0</v>
      </c>
      <c r="FA135" s="904">
        <v>640.0</v>
      </c>
      <c r="FB135" s="836"/>
      <c r="FC135" s="904">
        <v>640.0</v>
      </c>
      <c r="FD135" s="904">
        <v>640.0</v>
      </c>
      <c r="FE135" s="904">
        <v>640.0</v>
      </c>
      <c r="FF135" s="904">
        <v>640.0</v>
      </c>
      <c r="FG135" s="836"/>
    </row>
    <row r="136" ht="12.75" customHeight="1">
      <c r="A136" s="128"/>
      <c r="B136" s="179" t="s">
        <v>669</v>
      </c>
      <c r="C136" s="179"/>
      <c r="D136" s="179"/>
      <c r="E136" s="179"/>
      <c r="F136" s="179"/>
      <c r="G136" s="179"/>
      <c r="H136" s="179"/>
      <c r="I136" s="179"/>
      <c r="J136" s="179"/>
      <c r="K136" s="179"/>
      <c r="L136" s="179"/>
      <c r="M136" s="179"/>
      <c r="N136" s="179"/>
      <c r="O136" s="179"/>
      <c r="P136" s="179"/>
      <c r="Q136" s="179"/>
      <c r="R136" s="57"/>
      <c r="S136" s="179"/>
      <c r="T136" s="179"/>
      <c r="U136" s="179"/>
      <c r="V136" s="179"/>
      <c r="W136" s="785"/>
      <c r="X136" s="128"/>
      <c r="Y136" s="128"/>
      <c r="Z136" s="128"/>
      <c r="AA136" s="128"/>
      <c r="AB136" s="837"/>
      <c r="AC136" s="128"/>
      <c r="AD136" s="128"/>
      <c r="AE136" s="128"/>
      <c r="AF136" s="128"/>
      <c r="AG136" s="837"/>
      <c r="AH136" s="128"/>
      <c r="AI136" s="128"/>
      <c r="AJ136" s="128"/>
      <c r="AK136" s="128"/>
      <c r="AL136" s="837"/>
      <c r="AM136" s="128"/>
      <c r="AN136" s="128"/>
      <c r="AO136" s="128"/>
      <c r="AP136" s="128"/>
      <c r="AQ136" s="837"/>
      <c r="AR136" s="128"/>
      <c r="AS136" s="128"/>
      <c r="AT136" s="128"/>
      <c r="AU136" s="128"/>
      <c r="AV136" s="837"/>
      <c r="AW136" s="128"/>
      <c r="AX136" s="128"/>
      <c r="AY136" s="128"/>
      <c r="AZ136" s="128"/>
      <c r="BA136" s="837"/>
      <c r="BB136" s="128"/>
      <c r="BC136" s="128"/>
      <c r="BD136" s="128"/>
      <c r="BE136" s="128"/>
      <c r="BF136" s="837"/>
      <c r="BG136" s="128"/>
      <c r="BH136" s="128"/>
      <c r="BI136" s="128"/>
      <c r="BJ136" s="128"/>
      <c r="BK136" s="837"/>
      <c r="BL136" s="128"/>
      <c r="BM136" s="128"/>
      <c r="BN136" s="128"/>
      <c r="BO136" s="128"/>
      <c r="BP136" s="837"/>
      <c r="BQ136" s="128"/>
      <c r="BR136" s="128"/>
      <c r="BS136" s="128"/>
      <c r="BT136" s="128"/>
      <c r="BU136" s="837"/>
      <c r="BV136" s="128"/>
      <c r="BW136" s="128"/>
      <c r="BX136" s="128"/>
      <c r="BY136" s="128"/>
      <c r="BZ136" s="837"/>
      <c r="CA136" s="128"/>
      <c r="CB136" s="128"/>
      <c r="CC136" s="128"/>
      <c r="CD136" s="128"/>
      <c r="CE136" s="837"/>
      <c r="CF136" s="128"/>
      <c r="CG136" s="128"/>
      <c r="CH136" s="128"/>
      <c r="CI136" s="128"/>
      <c r="CJ136" s="837"/>
      <c r="CK136" s="128"/>
      <c r="CL136" s="128"/>
      <c r="CM136" s="128"/>
      <c r="CN136" s="128"/>
      <c r="CO136" s="837"/>
      <c r="CP136" s="128"/>
      <c r="CQ136" s="128"/>
      <c r="CR136" s="128"/>
      <c r="CS136" s="128"/>
      <c r="CT136" s="836"/>
      <c r="CU136" s="128"/>
      <c r="CV136" s="128"/>
      <c r="CW136" s="128"/>
      <c r="CX136" s="128"/>
      <c r="CY136" s="836"/>
      <c r="CZ136" s="129"/>
      <c r="DA136" s="128"/>
      <c r="DB136" s="129"/>
      <c r="DC136" s="128"/>
      <c r="DD136" s="836"/>
      <c r="DE136" s="129"/>
      <c r="DF136" s="128"/>
      <c r="DG136" s="128"/>
      <c r="DH136" s="128"/>
      <c r="DI136" s="836"/>
      <c r="DJ136" s="883"/>
      <c r="DK136" s="883"/>
      <c r="DL136" s="883"/>
      <c r="DM136" s="904">
        <v>1967.0</v>
      </c>
      <c r="DN136" s="836"/>
      <c r="DO136" s="904"/>
      <c r="DP136" s="904"/>
      <c r="DQ136" s="883"/>
      <c r="DR136" s="883">
        <v>1967.0</v>
      </c>
      <c r="DS136" s="836"/>
      <c r="DT136" s="883">
        <v>1967.0</v>
      </c>
      <c r="DU136" s="883">
        <v>1967.0</v>
      </c>
      <c r="DV136" s="883">
        <v>1967.0</v>
      </c>
      <c r="DW136" s="883">
        <v>1967.0</v>
      </c>
      <c r="DX136" s="836"/>
      <c r="DY136" s="883">
        <v>1967.0</v>
      </c>
      <c r="DZ136" s="883">
        <v>1967.0</v>
      </c>
      <c r="EA136" s="883">
        <v>1967.0</v>
      </c>
      <c r="EB136" s="883">
        <v>1967.0</v>
      </c>
      <c r="EC136" s="836"/>
      <c r="ED136" s="883">
        <v>1967.0</v>
      </c>
      <c r="EE136" s="883">
        <v>1967.0</v>
      </c>
      <c r="EF136" s="883">
        <v>1967.0</v>
      </c>
      <c r="EG136" s="883">
        <v>1967.0</v>
      </c>
      <c r="EH136" s="836"/>
      <c r="EI136" s="884">
        <v>1967.0</v>
      </c>
      <c r="EJ136" s="904">
        <v>1967.0</v>
      </c>
      <c r="EK136" s="904">
        <v>1967.0</v>
      </c>
      <c r="EL136" s="904">
        <v>1967.0</v>
      </c>
      <c r="EM136" s="836"/>
      <c r="EN136" s="904">
        <v>1967.0</v>
      </c>
      <c r="EO136" s="904">
        <v>1967.0</v>
      </c>
      <c r="EP136" s="904">
        <v>1967.0</v>
      </c>
      <c r="EQ136" s="904">
        <v>1967.0</v>
      </c>
      <c r="ER136" s="836"/>
      <c r="ES136" s="904">
        <v>1967.0</v>
      </c>
      <c r="ET136" s="904">
        <v>1967.0</v>
      </c>
      <c r="EU136" s="904">
        <v>1967.0</v>
      </c>
      <c r="EV136" s="904">
        <v>1967.0</v>
      </c>
      <c r="EW136" s="836"/>
      <c r="EX136" s="904">
        <v>1967.0</v>
      </c>
      <c r="EY136" s="904">
        <v>1967.0</v>
      </c>
      <c r="EZ136" s="904">
        <v>1967.0</v>
      </c>
      <c r="FA136" s="904">
        <v>1967.0</v>
      </c>
      <c r="FB136" s="836"/>
      <c r="FC136" s="904">
        <v>1967.0</v>
      </c>
      <c r="FD136" s="904">
        <v>1967.0</v>
      </c>
      <c r="FE136" s="904">
        <v>1967.0</v>
      </c>
      <c r="FF136" s="904">
        <v>1967.0</v>
      </c>
      <c r="FG136" s="836"/>
    </row>
    <row r="137" ht="12.75" customHeight="1">
      <c r="A137" s="128"/>
      <c r="B137" s="179" t="s">
        <v>670</v>
      </c>
      <c r="C137" s="179"/>
      <c r="D137" s="179"/>
      <c r="E137" s="179"/>
      <c r="F137" s="179"/>
      <c r="G137" s="179"/>
      <c r="H137" s="179"/>
      <c r="I137" s="179"/>
      <c r="J137" s="179"/>
      <c r="K137" s="179"/>
      <c r="L137" s="179"/>
      <c r="M137" s="179"/>
      <c r="N137" s="179"/>
      <c r="O137" s="179"/>
      <c r="P137" s="179"/>
      <c r="Q137" s="179"/>
      <c r="R137" s="57"/>
      <c r="S137" s="179"/>
      <c r="T137" s="179"/>
      <c r="U137" s="179"/>
      <c r="V137" s="179"/>
      <c r="W137" s="785"/>
      <c r="X137" s="128"/>
      <c r="Y137" s="128"/>
      <c r="Z137" s="128"/>
      <c r="AA137" s="128"/>
      <c r="AB137" s="837"/>
      <c r="AC137" s="128"/>
      <c r="AD137" s="128"/>
      <c r="AE137" s="128"/>
      <c r="AF137" s="128"/>
      <c r="AG137" s="837"/>
      <c r="AH137" s="128"/>
      <c r="AI137" s="128"/>
      <c r="AJ137" s="128"/>
      <c r="AK137" s="128"/>
      <c r="AL137" s="837"/>
      <c r="AM137" s="128"/>
      <c r="AN137" s="128"/>
      <c r="AO137" s="128"/>
      <c r="AP137" s="128"/>
      <c r="AQ137" s="837"/>
      <c r="AR137" s="128"/>
      <c r="AS137" s="128"/>
      <c r="AT137" s="128"/>
      <c r="AU137" s="128"/>
      <c r="AV137" s="837"/>
      <c r="AW137" s="128"/>
      <c r="AX137" s="128"/>
      <c r="AY137" s="128"/>
      <c r="AZ137" s="128"/>
      <c r="BA137" s="837"/>
      <c r="BB137" s="128"/>
      <c r="BC137" s="128"/>
      <c r="BD137" s="128"/>
      <c r="BE137" s="128"/>
      <c r="BF137" s="837"/>
      <c r="BG137" s="128"/>
      <c r="BH137" s="128"/>
      <c r="BI137" s="128"/>
      <c r="BJ137" s="128"/>
      <c r="BK137" s="837"/>
      <c r="BL137" s="128"/>
      <c r="BM137" s="128"/>
      <c r="BN137" s="128"/>
      <c r="BO137" s="128"/>
      <c r="BP137" s="837"/>
      <c r="BQ137" s="128"/>
      <c r="BR137" s="128"/>
      <c r="BS137" s="128"/>
      <c r="BT137" s="128"/>
      <c r="BU137" s="837"/>
      <c r="BV137" s="128"/>
      <c r="BW137" s="128"/>
      <c r="BX137" s="128"/>
      <c r="BY137" s="128"/>
      <c r="BZ137" s="837"/>
      <c r="CA137" s="128"/>
      <c r="CB137" s="128"/>
      <c r="CC137" s="128"/>
      <c r="CD137" s="128"/>
      <c r="CE137" s="837"/>
      <c r="CF137" s="128"/>
      <c r="CG137" s="128"/>
      <c r="CH137" s="128"/>
      <c r="CI137" s="128"/>
      <c r="CJ137" s="837"/>
      <c r="CK137" s="128"/>
      <c r="CL137" s="128"/>
      <c r="CM137" s="128"/>
      <c r="CN137" s="128"/>
      <c r="CO137" s="837"/>
      <c r="CP137" s="128"/>
      <c r="CQ137" s="128"/>
      <c r="CR137" s="128"/>
      <c r="CS137" s="128"/>
      <c r="CT137" s="836"/>
      <c r="CU137" s="128"/>
      <c r="CV137" s="128"/>
      <c r="CW137" s="128"/>
      <c r="CX137" s="128"/>
      <c r="CY137" s="836"/>
      <c r="CZ137" s="129"/>
      <c r="DA137" s="128"/>
      <c r="DB137" s="129"/>
      <c r="DC137" s="128"/>
      <c r="DD137" s="836"/>
      <c r="DE137" s="129"/>
      <c r="DF137" s="128"/>
      <c r="DG137" s="128"/>
      <c r="DH137" s="128"/>
      <c r="DI137" s="836"/>
      <c r="DJ137" s="883"/>
      <c r="DK137" s="883"/>
      <c r="DL137" s="883"/>
      <c r="DM137" s="904"/>
      <c r="DN137" s="836"/>
      <c r="DO137" s="904"/>
      <c r="DP137" s="904"/>
      <c r="DQ137" s="883"/>
      <c r="DR137" s="883">
        <v>1500.0</v>
      </c>
      <c r="DS137" s="836"/>
      <c r="DT137" s="883">
        <v>2000.0</v>
      </c>
      <c r="DU137" s="883">
        <v>2000.0</v>
      </c>
      <c r="DV137" s="883">
        <v>2000.0</v>
      </c>
      <c r="DW137" s="883">
        <v>2000.0</v>
      </c>
      <c r="DX137" s="836"/>
      <c r="DY137" s="883">
        <v>2000.0</v>
      </c>
      <c r="DZ137" s="883">
        <v>2000.0</v>
      </c>
      <c r="EA137" s="883">
        <v>2000.0</v>
      </c>
      <c r="EB137" s="883">
        <v>2000.0</v>
      </c>
      <c r="EC137" s="836"/>
      <c r="ED137" s="883">
        <v>2000.0</v>
      </c>
      <c r="EE137" s="883">
        <v>2000.0</v>
      </c>
      <c r="EF137" s="883">
        <v>2000.0</v>
      </c>
      <c r="EG137" s="883">
        <v>2000.0</v>
      </c>
      <c r="EH137" s="836"/>
      <c r="EI137" s="884">
        <v>2000.0</v>
      </c>
      <c r="EJ137" s="904">
        <v>2000.0</v>
      </c>
      <c r="EK137" s="904">
        <v>2000.0</v>
      </c>
      <c r="EL137" s="904">
        <v>2000.0</v>
      </c>
      <c r="EM137" s="836"/>
      <c r="EN137" s="904">
        <v>2000.0</v>
      </c>
      <c r="EO137" s="904">
        <v>2000.0</v>
      </c>
      <c r="EP137" s="904">
        <v>2000.0</v>
      </c>
      <c r="EQ137" s="904">
        <v>2000.0</v>
      </c>
      <c r="ER137" s="836"/>
      <c r="ES137" s="904">
        <v>2000.0</v>
      </c>
      <c r="ET137" s="904">
        <v>2000.0</v>
      </c>
      <c r="EU137" s="904">
        <v>2000.0</v>
      </c>
      <c r="EV137" s="904">
        <v>2000.0</v>
      </c>
      <c r="EW137" s="836"/>
      <c r="EX137" s="904">
        <v>2000.0</v>
      </c>
      <c r="EY137" s="904">
        <v>2000.0</v>
      </c>
      <c r="EZ137" s="904">
        <v>2000.0</v>
      </c>
      <c r="FA137" s="904">
        <v>2000.0</v>
      </c>
      <c r="FB137" s="836"/>
      <c r="FC137" s="904">
        <v>2000.0</v>
      </c>
      <c r="FD137" s="904">
        <v>2000.0</v>
      </c>
      <c r="FE137" s="904">
        <v>2000.0</v>
      </c>
      <c r="FF137" s="904">
        <v>2000.0</v>
      </c>
      <c r="FG137" s="836"/>
    </row>
    <row r="138" ht="12.75" customHeight="1">
      <c r="A138" s="128"/>
      <c r="B138" s="179" t="s">
        <v>671</v>
      </c>
      <c r="C138" s="179"/>
      <c r="D138" s="179"/>
      <c r="E138" s="179"/>
      <c r="F138" s="179"/>
      <c r="G138" s="179"/>
      <c r="H138" s="179"/>
      <c r="I138" s="179"/>
      <c r="J138" s="179"/>
      <c r="K138" s="179"/>
      <c r="L138" s="179"/>
      <c r="M138" s="179"/>
      <c r="N138" s="179"/>
      <c r="O138" s="179"/>
      <c r="P138" s="179"/>
      <c r="Q138" s="179"/>
      <c r="R138" s="57"/>
      <c r="S138" s="179"/>
      <c r="T138" s="179"/>
      <c r="U138" s="179"/>
      <c r="V138" s="179"/>
      <c r="W138" s="785"/>
      <c r="X138" s="128"/>
      <c r="Y138" s="128"/>
      <c r="Z138" s="128"/>
      <c r="AA138" s="128"/>
      <c r="AB138" s="837"/>
      <c r="AC138" s="128"/>
      <c r="AD138" s="128"/>
      <c r="AE138" s="128"/>
      <c r="AF138" s="128"/>
      <c r="AG138" s="837"/>
      <c r="AH138" s="128"/>
      <c r="AI138" s="128"/>
      <c r="AJ138" s="128"/>
      <c r="AK138" s="128"/>
      <c r="AL138" s="837"/>
      <c r="AM138" s="128"/>
      <c r="AN138" s="128"/>
      <c r="AO138" s="128"/>
      <c r="AP138" s="128"/>
      <c r="AQ138" s="837"/>
      <c r="AR138" s="128"/>
      <c r="AS138" s="128"/>
      <c r="AT138" s="128"/>
      <c r="AU138" s="128"/>
      <c r="AV138" s="837"/>
      <c r="AW138" s="128"/>
      <c r="AX138" s="128"/>
      <c r="AY138" s="128"/>
      <c r="AZ138" s="128"/>
      <c r="BA138" s="837"/>
      <c r="BB138" s="128"/>
      <c r="BC138" s="128"/>
      <c r="BD138" s="128"/>
      <c r="BE138" s="128"/>
      <c r="BF138" s="837"/>
      <c r="BG138" s="128"/>
      <c r="BH138" s="128"/>
      <c r="BI138" s="128"/>
      <c r="BJ138" s="128"/>
      <c r="BK138" s="837"/>
      <c r="BL138" s="128"/>
      <c r="BM138" s="128"/>
      <c r="BN138" s="128"/>
      <c r="BO138" s="128"/>
      <c r="BP138" s="837"/>
      <c r="BQ138" s="128"/>
      <c r="BR138" s="128"/>
      <c r="BS138" s="128"/>
      <c r="BT138" s="128"/>
      <c r="BU138" s="837"/>
      <c r="BV138" s="128"/>
      <c r="BW138" s="128"/>
      <c r="BX138" s="128"/>
      <c r="BY138" s="128"/>
      <c r="BZ138" s="837"/>
      <c r="CA138" s="128"/>
      <c r="CB138" s="128"/>
      <c r="CC138" s="128"/>
      <c r="CD138" s="128"/>
      <c r="CE138" s="837"/>
      <c r="CF138" s="128"/>
      <c r="CG138" s="128"/>
      <c r="CH138" s="128"/>
      <c r="CI138" s="128"/>
      <c r="CJ138" s="837"/>
      <c r="CK138" s="128"/>
      <c r="CL138" s="128"/>
      <c r="CM138" s="128"/>
      <c r="CN138" s="128"/>
      <c r="CO138" s="837"/>
      <c r="CP138" s="128"/>
      <c r="CQ138" s="128"/>
      <c r="CR138" s="128"/>
      <c r="CS138" s="128"/>
      <c r="CT138" s="836"/>
      <c r="CU138" s="128"/>
      <c r="CV138" s="128"/>
      <c r="CW138" s="128"/>
      <c r="CX138" s="128"/>
      <c r="CY138" s="836"/>
      <c r="CZ138" s="129"/>
      <c r="DA138" s="128"/>
      <c r="DB138" s="129"/>
      <c r="DC138" s="128"/>
      <c r="DD138" s="836"/>
      <c r="DE138" s="129"/>
      <c r="DF138" s="128"/>
      <c r="DG138" s="128"/>
      <c r="DH138" s="128"/>
      <c r="DI138" s="836"/>
      <c r="DJ138" s="883"/>
      <c r="DK138" s="883"/>
      <c r="DL138" s="883"/>
      <c r="DM138" s="904"/>
      <c r="DN138" s="836"/>
      <c r="DO138" s="904"/>
      <c r="DP138" s="904"/>
      <c r="DQ138" s="883"/>
      <c r="DR138" s="883"/>
      <c r="DS138" s="836"/>
      <c r="DT138" s="883">
        <v>2250.0</v>
      </c>
      <c r="DU138" s="883">
        <v>2250.0</v>
      </c>
      <c r="DV138" s="883">
        <v>2250.0</v>
      </c>
      <c r="DW138" s="883">
        <v>2250.0</v>
      </c>
      <c r="DX138" s="836"/>
      <c r="DY138" s="883">
        <v>2250.0</v>
      </c>
      <c r="DZ138" s="883">
        <v>2250.0</v>
      </c>
      <c r="EA138" s="883">
        <v>2250.0</v>
      </c>
      <c r="EB138" s="883">
        <v>2250.0</v>
      </c>
      <c r="EC138" s="836"/>
      <c r="ED138" s="883">
        <v>2250.0</v>
      </c>
      <c r="EE138" s="883">
        <v>2250.0</v>
      </c>
      <c r="EF138" s="883">
        <v>2250.0</v>
      </c>
      <c r="EG138" s="883">
        <v>2250.0</v>
      </c>
      <c r="EH138" s="836"/>
      <c r="EI138" s="884">
        <v>2250.0</v>
      </c>
      <c r="EJ138" s="904">
        <v>2250.0</v>
      </c>
      <c r="EK138" s="904">
        <v>2250.0</v>
      </c>
      <c r="EL138" s="904">
        <v>2250.0</v>
      </c>
      <c r="EM138" s="836"/>
      <c r="EN138" s="904">
        <v>2250.0</v>
      </c>
      <c r="EO138" s="904">
        <v>2250.0</v>
      </c>
      <c r="EP138" s="904">
        <v>2250.0</v>
      </c>
      <c r="EQ138" s="904">
        <v>2250.0</v>
      </c>
      <c r="ER138" s="836"/>
      <c r="ES138" s="904">
        <v>2250.0</v>
      </c>
      <c r="ET138" s="904">
        <v>2250.0</v>
      </c>
      <c r="EU138" s="904">
        <v>2250.0</v>
      </c>
      <c r="EV138" s="904">
        <v>2250.0</v>
      </c>
      <c r="EW138" s="836"/>
      <c r="EX138" s="904">
        <v>2250.0</v>
      </c>
      <c r="EY138" s="904">
        <v>2250.0</v>
      </c>
      <c r="EZ138" s="904">
        <v>2250.0</v>
      </c>
      <c r="FA138" s="904">
        <v>2250.0</v>
      </c>
      <c r="FB138" s="836"/>
      <c r="FC138" s="904">
        <v>2250.0</v>
      </c>
      <c r="FD138" s="904">
        <v>2250.0</v>
      </c>
      <c r="FE138" s="904">
        <v>2250.0</v>
      </c>
      <c r="FF138" s="904">
        <v>2250.0</v>
      </c>
      <c r="FG138" s="836"/>
    </row>
    <row r="139" ht="12.75" customHeight="1">
      <c r="A139" s="128"/>
      <c r="B139" s="179" t="s">
        <v>672</v>
      </c>
      <c r="C139" s="179"/>
      <c r="D139" s="179"/>
      <c r="E139" s="179"/>
      <c r="F139" s="179"/>
      <c r="G139" s="179"/>
      <c r="H139" s="179"/>
      <c r="I139" s="179"/>
      <c r="J139" s="179"/>
      <c r="K139" s="179"/>
      <c r="L139" s="179"/>
      <c r="M139" s="179"/>
      <c r="N139" s="179"/>
      <c r="O139" s="179"/>
      <c r="P139" s="179"/>
      <c r="Q139" s="179"/>
      <c r="R139" s="57"/>
      <c r="S139" s="179"/>
      <c r="T139" s="179"/>
      <c r="U139" s="179"/>
      <c r="V139" s="179"/>
      <c r="W139" s="785"/>
      <c r="X139" s="128"/>
      <c r="Y139" s="128"/>
      <c r="Z139" s="128"/>
      <c r="AA139" s="128"/>
      <c r="AB139" s="837"/>
      <c r="AC139" s="128"/>
      <c r="AD139" s="128"/>
      <c r="AE139" s="128"/>
      <c r="AF139" s="128"/>
      <c r="AG139" s="837"/>
      <c r="AH139" s="128"/>
      <c r="AI139" s="128"/>
      <c r="AJ139" s="128"/>
      <c r="AK139" s="128"/>
      <c r="AL139" s="837"/>
      <c r="AM139" s="128"/>
      <c r="AN139" s="128"/>
      <c r="AO139" s="128"/>
      <c r="AP139" s="128"/>
      <c r="AQ139" s="837"/>
      <c r="AR139" s="128"/>
      <c r="AS139" s="128"/>
      <c r="AT139" s="128"/>
      <c r="AU139" s="128"/>
      <c r="AV139" s="837"/>
      <c r="AW139" s="128"/>
      <c r="AX139" s="128"/>
      <c r="AY139" s="128"/>
      <c r="AZ139" s="128"/>
      <c r="BA139" s="837"/>
      <c r="BB139" s="128"/>
      <c r="BC139" s="128"/>
      <c r="BD139" s="128"/>
      <c r="BE139" s="128"/>
      <c r="BF139" s="837"/>
      <c r="BG139" s="128"/>
      <c r="BH139" s="128"/>
      <c r="BI139" s="128"/>
      <c r="BJ139" s="128"/>
      <c r="BK139" s="837"/>
      <c r="BL139" s="128"/>
      <c r="BM139" s="128"/>
      <c r="BN139" s="128"/>
      <c r="BO139" s="128"/>
      <c r="BP139" s="837"/>
      <c r="BQ139" s="128"/>
      <c r="BR139" s="128"/>
      <c r="BS139" s="128"/>
      <c r="BT139" s="128"/>
      <c r="BU139" s="837"/>
      <c r="BV139" s="128"/>
      <c r="BW139" s="128"/>
      <c r="BX139" s="128"/>
      <c r="BY139" s="128"/>
      <c r="BZ139" s="837"/>
      <c r="CA139" s="128"/>
      <c r="CB139" s="128"/>
      <c r="CC139" s="128"/>
      <c r="CD139" s="128"/>
      <c r="CE139" s="837"/>
      <c r="CF139" s="128"/>
      <c r="CG139" s="128"/>
      <c r="CH139" s="128"/>
      <c r="CI139" s="128"/>
      <c r="CJ139" s="837"/>
      <c r="CK139" s="128"/>
      <c r="CL139" s="128"/>
      <c r="CM139" s="128"/>
      <c r="CN139" s="128"/>
      <c r="CO139" s="837"/>
      <c r="CP139" s="128"/>
      <c r="CQ139" s="128"/>
      <c r="CR139" s="128"/>
      <c r="CS139" s="128"/>
      <c r="CT139" s="836"/>
      <c r="CU139" s="128"/>
      <c r="CV139" s="128"/>
      <c r="CW139" s="128"/>
      <c r="CX139" s="128"/>
      <c r="CY139" s="836"/>
      <c r="CZ139" s="129"/>
      <c r="DA139" s="128"/>
      <c r="DB139" s="129"/>
      <c r="DC139" s="128"/>
      <c r="DD139" s="836"/>
      <c r="DE139" s="129"/>
      <c r="DF139" s="128"/>
      <c r="DG139" s="128"/>
      <c r="DH139" s="128"/>
      <c r="DI139" s="836"/>
      <c r="DJ139" s="883"/>
      <c r="DK139" s="883"/>
      <c r="DL139" s="883"/>
      <c r="DM139" s="904"/>
      <c r="DN139" s="836"/>
      <c r="DO139" s="904"/>
      <c r="DP139" s="904"/>
      <c r="DQ139" s="883"/>
      <c r="DR139" s="883"/>
      <c r="DS139" s="836"/>
      <c r="DT139" s="883"/>
      <c r="DU139" s="883"/>
      <c r="DV139" s="883"/>
      <c r="DW139" s="883"/>
      <c r="DX139" s="836"/>
      <c r="DY139" s="883"/>
      <c r="DZ139" s="883"/>
      <c r="EA139" s="883">
        <v>1250.0</v>
      </c>
      <c r="EB139" s="883">
        <v>1250.0</v>
      </c>
      <c r="EC139" s="836"/>
      <c r="ED139" s="883">
        <f>EB139</f>
        <v>1250</v>
      </c>
      <c r="EE139" s="883">
        <f t="shared" ref="EE139:EG139" si="430">ED139</f>
        <v>1250</v>
      </c>
      <c r="EF139" s="883">
        <f t="shared" si="430"/>
        <v>1250</v>
      </c>
      <c r="EG139" s="883">
        <f t="shared" si="430"/>
        <v>1250</v>
      </c>
      <c r="EH139" s="836"/>
      <c r="EI139" s="884">
        <f>EG139</f>
        <v>1250</v>
      </c>
      <c r="EJ139" s="904">
        <f t="shared" ref="EJ139:EL139" si="431">EI139</f>
        <v>1250</v>
      </c>
      <c r="EK139" s="904">
        <f t="shared" si="431"/>
        <v>1250</v>
      </c>
      <c r="EL139" s="904">
        <f t="shared" si="431"/>
        <v>1250</v>
      </c>
      <c r="EM139" s="836"/>
      <c r="EN139" s="904">
        <f>EL139</f>
        <v>1250</v>
      </c>
      <c r="EO139" s="904">
        <f t="shared" ref="EO139:EQ139" si="432">EN139</f>
        <v>1250</v>
      </c>
      <c r="EP139" s="904">
        <f t="shared" si="432"/>
        <v>1250</v>
      </c>
      <c r="EQ139" s="904">
        <f t="shared" si="432"/>
        <v>1250</v>
      </c>
      <c r="ER139" s="836"/>
      <c r="ES139" s="904">
        <f>EQ139</f>
        <v>1250</v>
      </c>
      <c r="ET139" s="904">
        <f t="shared" ref="ET139:EV139" si="433">ES139</f>
        <v>1250</v>
      </c>
      <c r="EU139" s="904">
        <f t="shared" si="433"/>
        <v>1250</v>
      </c>
      <c r="EV139" s="904">
        <f t="shared" si="433"/>
        <v>1250</v>
      </c>
      <c r="EW139" s="836"/>
      <c r="EX139" s="904">
        <f>EV139</f>
        <v>1250</v>
      </c>
      <c r="EY139" s="904">
        <f t="shared" ref="EY139:FA139" si="434">EX139</f>
        <v>1250</v>
      </c>
      <c r="EZ139" s="904">
        <f t="shared" si="434"/>
        <v>1250</v>
      </c>
      <c r="FA139" s="904">
        <f t="shared" si="434"/>
        <v>1250</v>
      </c>
      <c r="FB139" s="836"/>
      <c r="FC139" s="904">
        <f>FA139</f>
        <v>1250</v>
      </c>
      <c r="FD139" s="904">
        <f t="shared" ref="FD139:FF139" si="435">FC139</f>
        <v>1250</v>
      </c>
      <c r="FE139" s="904">
        <f t="shared" si="435"/>
        <v>1250</v>
      </c>
      <c r="FF139" s="904">
        <f t="shared" si="435"/>
        <v>1250</v>
      </c>
      <c r="FG139" s="836"/>
    </row>
    <row r="140" ht="12.75" customHeight="1">
      <c r="A140" s="128"/>
      <c r="B140" s="179" t="s">
        <v>673</v>
      </c>
      <c r="C140" s="179"/>
      <c r="D140" s="179"/>
      <c r="E140" s="179"/>
      <c r="F140" s="179"/>
      <c r="G140" s="179"/>
      <c r="H140" s="179"/>
      <c r="I140" s="179"/>
      <c r="J140" s="179"/>
      <c r="K140" s="179"/>
      <c r="L140" s="179"/>
      <c r="M140" s="179"/>
      <c r="N140" s="179"/>
      <c r="O140" s="179"/>
      <c r="P140" s="179"/>
      <c r="Q140" s="179"/>
      <c r="R140" s="57"/>
      <c r="S140" s="179"/>
      <c r="T140" s="179"/>
      <c r="U140" s="179"/>
      <c r="V140" s="179"/>
      <c r="W140" s="785"/>
      <c r="X140" s="128"/>
      <c r="Y140" s="128"/>
      <c r="Z140" s="128"/>
      <c r="AA140" s="128"/>
      <c r="AB140" s="837"/>
      <c r="AC140" s="128"/>
      <c r="AD140" s="128"/>
      <c r="AE140" s="128"/>
      <c r="AF140" s="128"/>
      <c r="AG140" s="837"/>
      <c r="AH140" s="128"/>
      <c r="AI140" s="128"/>
      <c r="AJ140" s="128"/>
      <c r="AK140" s="128"/>
      <c r="AL140" s="837"/>
      <c r="AM140" s="128"/>
      <c r="AN140" s="128"/>
      <c r="AO140" s="128"/>
      <c r="AP140" s="128"/>
      <c r="AQ140" s="837"/>
      <c r="AR140" s="128"/>
      <c r="AS140" s="128"/>
      <c r="AT140" s="128"/>
      <c r="AU140" s="128"/>
      <c r="AV140" s="837"/>
      <c r="AW140" s="128"/>
      <c r="AX140" s="128"/>
      <c r="AY140" s="128"/>
      <c r="AZ140" s="128"/>
      <c r="BA140" s="837"/>
      <c r="BB140" s="128"/>
      <c r="BC140" s="128"/>
      <c r="BD140" s="128"/>
      <c r="BE140" s="128"/>
      <c r="BF140" s="837"/>
      <c r="BG140" s="128"/>
      <c r="BH140" s="128"/>
      <c r="BI140" s="128"/>
      <c r="BJ140" s="128"/>
      <c r="BK140" s="837"/>
      <c r="BL140" s="128"/>
      <c r="BM140" s="128"/>
      <c r="BN140" s="128"/>
      <c r="BO140" s="128"/>
      <c r="BP140" s="837"/>
      <c r="BQ140" s="128"/>
      <c r="BR140" s="128"/>
      <c r="BS140" s="128"/>
      <c r="BT140" s="128"/>
      <c r="BU140" s="837"/>
      <c r="BV140" s="128"/>
      <c r="BW140" s="128"/>
      <c r="BX140" s="128"/>
      <c r="BY140" s="128"/>
      <c r="BZ140" s="837"/>
      <c r="CA140" s="128"/>
      <c r="CB140" s="128"/>
      <c r="CC140" s="128"/>
      <c r="CD140" s="128"/>
      <c r="CE140" s="837"/>
      <c r="CF140" s="128"/>
      <c r="CG140" s="128"/>
      <c r="CH140" s="128"/>
      <c r="CI140" s="128"/>
      <c r="CJ140" s="837"/>
      <c r="CK140" s="128"/>
      <c r="CL140" s="128"/>
      <c r="CM140" s="128"/>
      <c r="CN140" s="128"/>
      <c r="CO140" s="837"/>
      <c r="CP140" s="128"/>
      <c r="CQ140" s="128"/>
      <c r="CR140" s="128"/>
      <c r="CS140" s="128"/>
      <c r="CT140" s="836"/>
      <c r="CU140" s="128"/>
      <c r="CV140" s="128"/>
      <c r="CW140" s="128"/>
      <c r="CX140" s="128"/>
      <c r="CY140" s="836"/>
      <c r="CZ140" s="129"/>
      <c r="DA140" s="128"/>
      <c r="DB140" s="129"/>
      <c r="DC140" s="128"/>
      <c r="DD140" s="836"/>
      <c r="DE140" s="129"/>
      <c r="DF140" s="128"/>
      <c r="DG140" s="128"/>
      <c r="DH140" s="128"/>
      <c r="DI140" s="836"/>
      <c r="DJ140" s="883"/>
      <c r="DK140" s="883"/>
      <c r="DL140" s="883"/>
      <c r="DM140" s="904"/>
      <c r="DN140" s="836"/>
      <c r="DO140" s="904"/>
      <c r="DP140" s="904"/>
      <c r="DQ140" s="883"/>
      <c r="DR140" s="883"/>
      <c r="DS140" s="836"/>
      <c r="DT140" s="883">
        <v>1000.0</v>
      </c>
      <c r="DU140" s="883">
        <v>1000.0</v>
      </c>
      <c r="DV140" s="883">
        <v>1000.0</v>
      </c>
      <c r="DW140" s="883">
        <v>1000.0</v>
      </c>
      <c r="DX140" s="836"/>
      <c r="DY140" s="883">
        <v>1000.0</v>
      </c>
      <c r="DZ140" s="883">
        <v>1000.0</v>
      </c>
      <c r="EA140" s="883">
        <v>1000.0</v>
      </c>
      <c r="EB140" s="883">
        <v>1000.0</v>
      </c>
      <c r="EC140" s="836"/>
      <c r="ED140" s="883">
        <v>1000.0</v>
      </c>
      <c r="EE140" s="883">
        <v>1000.0</v>
      </c>
      <c r="EF140" s="883">
        <v>1000.0</v>
      </c>
      <c r="EG140" s="883">
        <v>1000.0</v>
      </c>
      <c r="EH140" s="836"/>
      <c r="EI140" s="884">
        <v>1000.0</v>
      </c>
      <c r="EJ140" s="904">
        <v>1000.0</v>
      </c>
      <c r="EK140" s="904">
        <v>1000.0</v>
      </c>
      <c r="EL140" s="904">
        <v>1000.0</v>
      </c>
      <c r="EM140" s="836"/>
      <c r="EN140" s="904">
        <v>1000.0</v>
      </c>
      <c r="EO140" s="904">
        <v>1000.0</v>
      </c>
      <c r="EP140" s="904">
        <v>1000.0</v>
      </c>
      <c r="EQ140" s="904">
        <v>1000.0</v>
      </c>
      <c r="ER140" s="836"/>
      <c r="ES140" s="904">
        <v>1000.0</v>
      </c>
      <c r="ET140" s="904">
        <v>1000.0</v>
      </c>
      <c r="EU140" s="904">
        <v>1000.0</v>
      </c>
      <c r="EV140" s="904">
        <v>1000.0</v>
      </c>
      <c r="EW140" s="836"/>
      <c r="EX140" s="904">
        <v>1000.0</v>
      </c>
      <c r="EY140" s="904">
        <v>1000.0</v>
      </c>
      <c r="EZ140" s="904">
        <v>1000.0</v>
      </c>
      <c r="FA140" s="904">
        <v>1000.0</v>
      </c>
      <c r="FB140" s="836"/>
      <c r="FC140" s="904">
        <v>1000.0</v>
      </c>
      <c r="FD140" s="904">
        <v>1000.0</v>
      </c>
      <c r="FE140" s="904">
        <v>1000.0</v>
      </c>
      <c r="FF140" s="904">
        <v>1000.0</v>
      </c>
      <c r="FG140" s="836"/>
    </row>
    <row r="141" ht="12.75" customHeight="1">
      <c r="A141" s="128"/>
      <c r="B141" s="179" t="s">
        <v>674</v>
      </c>
      <c r="C141" s="179"/>
      <c r="D141" s="179"/>
      <c r="E141" s="179"/>
      <c r="F141" s="179"/>
      <c r="G141" s="179"/>
      <c r="H141" s="179"/>
      <c r="I141" s="179"/>
      <c r="J141" s="179"/>
      <c r="K141" s="179"/>
      <c r="L141" s="179"/>
      <c r="M141" s="179"/>
      <c r="N141" s="179"/>
      <c r="O141" s="179"/>
      <c r="P141" s="179"/>
      <c r="Q141" s="179"/>
      <c r="R141" s="57"/>
      <c r="S141" s="179"/>
      <c r="T141" s="179"/>
      <c r="U141" s="179"/>
      <c r="V141" s="179"/>
      <c r="W141" s="785"/>
      <c r="X141" s="128"/>
      <c r="Y141" s="128"/>
      <c r="Z141" s="128"/>
      <c r="AA141" s="128"/>
      <c r="AB141" s="837"/>
      <c r="AC141" s="128"/>
      <c r="AD141" s="128"/>
      <c r="AE141" s="128"/>
      <c r="AF141" s="128"/>
      <c r="AG141" s="837"/>
      <c r="AH141" s="128"/>
      <c r="AI141" s="128"/>
      <c r="AJ141" s="128"/>
      <c r="AK141" s="128"/>
      <c r="AL141" s="837"/>
      <c r="AM141" s="128"/>
      <c r="AN141" s="128"/>
      <c r="AO141" s="128"/>
      <c r="AP141" s="128"/>
      <c r="AQ141" s="837"/>
      <c r="AR141" s="128"/>
      <c r="AS141" s="128"/>
      <c r="AT141" s="128"/>
      <c r="AU141" s="128"/>
      <c r="AV141" s="837"/>
      <c r="AW141" s="128"/>
      <c r="AX141" s="128"/>
      <c r="AY141" s="128"/>
      <c r="AZ141" s="128"/>
      <c r="BA141" s="837"/>
      <c r="BB141" s="128"/>
      <c r="BC141" s="128"/>
      <c r="BD141" s="128"/>
      <c r="BE141" s="128"/>
      <c r="BF141" s="837"/>
      <c r="BG141" s="128"/>
      <c r="BH141" s="128"/>
      <c r="BI141" s="128"/>
      <c r="BJ141" s="128"/>
      <c r="BK141" s="837"/>
      <c r="BL141" s="128"/>
      <c r="BM141" s="128"/>
      <c r="BN141" s="128"/>
      <c r="BO141" s="128"/>
      <c r="BP141" s="837"/>
      <c r="BQ141" s="128"/>
      <c r="BR141" s="128"/>
      <c r="BS141" s="128"/>
      <c r="BT141" s="128"/>
      <c r="BU141" s="837"/>
      <c r="BV141" s="128"/>
      <c r="BW141" s="128"/>
      <c r="BX141" s="128"/>
      <c r="BY141" s="128"/>
      <c r="BZ141" s="837"/>
      <c r="CA141" s="128"/>
      <c r="CB141" s="128"/>
      <c r="CC141" s="128"/>
      <c r="CD141" s="128"/>
      <c r="CE141" s="837"/>
      <c r="CF141" s="128"/>
      <c r="CG141" s="128"/>
      <c r="CH141" s="128"/>
      <c r="CI141" s="128"/>
      <c r="CJ141" s="837"/>
      <c r="CK141" s="128"/>
      <c r="CL141" s="128"/>
      <c r="CM141" s="128"/>
      <c r="CN141" s="128"/>
      <c r="CO141" s="837"/>
      <c r="CP141" s="128"/>
      <c r="CQ141" s="128"/>
      <c r="CR141" s="128"/>
      <c r="CS141" s="128"/>
      <c r="CT141" s="836"/>
      <c r="CU141" s="128"/>
      <c r="CV141" s="128"/>
      <c r="CW141" s="128"/>
      <c r="CX141" s="128"/>
      <c r="CY141" s="836"/>
      <c r="CZ141" s="129"/>
      <c r="DA141" s="128"/>
      <c r="DB141" s="129"/>
      <c r="DC141" s="128"/>
      <c r="DD141" s="836"/>
      <c r="DE141" s="129"/>
      <c r="DF141" s="128"/>
      <c r="DG141" s="128"/>
      <c r="DH141" s="128"/>
      <c r="DI141" s="836"/>
      <c r="DJ141" s="883"/>
      <c r="DK141" s="883"/>
      <c r="DL141" s="883"/>
      <c r="DM141" s="904"/>
      <c r="DN141" s="836"/>
      <c r="DO141" s="904"/>
      <c r="DP141" s="904"/>
      <c r="DQ141" s="883"/>
      <c r="DR141" s="883"/>
      <c r="DS141" s="836"/>
      <c r="DT141" s="883">
        <v>1000.0</v>
      </c>
      <c r="DU141" s="883">
        <v>1000.0</v>
      </c>
      <c r="DV141" s="883">
        <v>1000.0</v>
      </c>
      <c r="DW141" s="883">
        <v>1000.0</v>
      </c>
      <c r="DX141" s="836"/>
      <c r="DY141" s="883">
        <v>1000.0</v>
      </c>
      <c r="DZ141" s="883">
        <v>1000.0</v>
      </c>
      <c r="EA141" s="883">
        <v>1000.0</v>
      </c>
      <c r="EB141" s="883">
        <v>1000.0</v>
      </c>
      <c r="EC141" s="836"/>
      <c r="ED141" s="883">
        <v>1000.0</v>
      </c>
      <c r="EE141" s="883">
        <v>1000.0</v>
      </c>
      <c r="EF141" s="883">
        <v>1000.0</v>
      </c>
      <c r="EG141" s="883">
        <v>1000.0</v>
      </c>
      <c r="EH141" s="836"/>
      <c r="EI141" s="884">
        <v>1000.0</v>
      </c>
      <c r="EJ141" s="904">
        <v>1000.0</v>
      </c>
      <c r="EK141" s="904">
        <v>1000.0</v>
      </c>
      <c r="EL141" s="904">
        <v>1000.0</v>
      </c>
      <c r="EM141" s="836"/>
      <c r="EN141" s="904">
        <v>1000.0</v>
      </c>
      <c r="EO141" s="904">
        <v>1000.0</v>
      </c>
      <c r="EP141" s="904">
        <v>1000.0</v>
      </c>
      <c r="EQ141" s="904">
        <v>1000.0</v>
      </c>
      <c r="ER141" s="836"/>
      <c r="ES141" s="904">
        <v>1000.0</v>
      </c>
      <c r="ET141" s="904">
        <v>1000.0</v>
      </c>
      <c r="EU141" s="904">
        <v>1000.0</v>
      </c>
      <c r="EV141" s="904">
        <v>1000.0</v>
      </c>
      <c r="EW141" s="836"/>
      <c r="EX141" s="904">
        <v>1000.0</v>
      </c>
      <c r="EY141" s="904">
        <v>1000.0</v>
      </c>
      <c r="EZ141" s="904">
        <v>1000.0</v>
      </c>
      <c r="FA141" s="904">
        <v>1000.0</v>
      </c>
      <c r="FB141" s="836"/>
      <c r="FC141" s="904">
        <v>1000.0</v>
      </c>
      <c r="FD141" s="904">
        <v>1000.0</v>
      </c>
      <c r="FE141" s="904">
        <v>1000.0</v>
      </c>
      <c r="FF141" s="904">
        <v>1000.0</v>
      </c>
      <c r="FG141" s="836"/>
    </row>
    <row r="142" ht="12.75" customHeight="1">
      <c r="A142" s="128"/>
      <c r="B142" s="128" t="s">
        <v>675</v>
      </c>
      <c r="C142" s="179"/>
      <c r="D142" s="179"/>
      <c r="E142" s="179"/>
      <c r="F142" s="179"/>
      <c r="G142" s="179"/>
      <c r="H142" s="179"/>
      <c r="I142" s="179"/>
      <c r="J142" s="179"/>
      <c r="K142" s="179"/>
      <c r="L142" s="179"/>
      <c r="M142" s="179"/>
      <c r="N142" s="179"/>
      <c r="O142" s="179"/>
      <c r="P142" s="179"/>
      <c r="Q142" s="179"/>
      <c r="R142" s="57"/>
      <c r="S142" s="179"/>
      <c r="T142" s="179"/>
      <c r="U142" s="179"/>
      <c r="V142" s="179"/>
      <c r="W142" s="785"/>
      <c r="X142" s="128"/>
      <c r="Y142" s="128"/>
      <c r="Z142" s="128"/>
      <c r="AA142" s="128"/>
      <c r="AB142" s="837"/>
      <c r="AC142" s="128"/>
      <c r="AD142" s="128"/>
      <c r="AE142" s="128"/>
      <c r="AF142" s="128"/>
      <c r="AG142" s="837"/>
      <c r="AH142" s="128"/>
      <c r="AI142" s="128"/>
      <c r="AJ142" s="128"/>
      <c r="AK142" s="128"/>
      <c r="AL142" s="837"/>
      <c r="AM142" s="128"/>
      <c r="AN142" s="128"/>
      <c r="AO142" s="128"/>
      <c r="AP142" s="128"/>
      <c r="AQ142" s="837"/>
      <c r="AR142" s="128"/>
      <c r="AS142" s="128"/>
      <c r="AT142" s="128"/>
      <c r="AU142" s="128"/>
      <c r="AV142" s="837"/>
      <c r="AW142" s="128"/>
      <c r="AX142" s="128"/>
      <c r="AY142" s="128"/>
      <c r="AZ142" s="128"/>
      <c r="BA142" s="837"/>
      <c r="BB142" s="128"/>
      <c r="BC142" s="128"/>
      <c r="BD142" s="128"/>
      <c r="BE142" s="128"/>
      <c r="BF142" s="837"/>
      <c r="BG142" s="128"/>
      <c r="BH142" s="128"/>
      <c r="BI142" s="128"/>
      <c r="BJ142" s="128"/>
      <c r="BK142" s="837"/>
      <c r="BL142" s="128"/>
      <c r="BM142" s="128"/>
      <c r="BN142" s="128"/>
      <c r="BO142" s="128"/>
      <c r="BP142" s="837"/>
      <c r="BQ142" s="128"/>
      <c r="BR142" s="128"/>
      <c r="BS142" s="128"/>
      <c r="BT142" s="128"/>
      <c r="BU142" s="837"/>
      <c r="BV142" s="128"/>
      <c r="BW142" s="128"/>
      <c r="BX142" s="128"/>
      <c r="BY142" s="128"/>
      <c r="BZ142" s="837"/>
      <c r="CA142" s="128"/>
      <c r="CB142" s="128"/>
      <c r="CC142" s="128"/>
      <c r="CD142" s="128"/>
      <c r="CE142" s="837"/>
      <c r="CF142" s="128"/>
      <c r="CG142" s="128"/>
      <c r="CH142" s="128"/>
      <c r="CI142" s="128"/>
      <c r="CJ142" s="837"/>
      <c r="CK142" s="128"/>
      <c r="CL142" s="128"/>
      <c r="CM142" s="128"/>
      <c r="CN142" s="128"/>
      <c r="CO142" s="837"/>
      <c r="CP142" s="128"/>
      <c r="CQ142" s="128"/>
      <c r="CR142" s="128"/>
      <c r="CS142" s="128"/>
      <c r="CT142" s="836"/>
      <c r="CU142" s="128"/>
      <c r="CV142" s="128"/>
      <c r="CW142" s="128"/>
      <c r="CX142" s="128"/>
      <c r="CY142" s="836"/>
      <c r="CZ142" s="129"/>
      <c r="DA142" s="128"/>
      <c r="DB142" s="129"/>
      <c r="DC142" s="128"/>
      <c r="DD142" s="836"/>
      <c r="DE142" s="129"/>
      <c r="DF142" s="128"/>
      <c r="DG142" s="128"/>
      <c r="DH142" s="128"/>
      <c r="DI142" s="836"/>
      <c r="DJ142" s="883"/>
      <c r="DK142" s="883"/>
      <c r="DL142" s="883"/>
      <c r="DM142" s="904"/>
      <c r="DN142" s="836"/>
      <c r="DO142" s="904"/>
      <c r="DP142" s="904"/>
      <c r="DQ142" s="883"/>
      <c r="DR142" s="883"/>
      <c r="DS142" s="836"/>
      <c r="DT142" s="883"/>
      <c r="DU142" s="883"/>
      <c r="DV142" s="883"/>
      <c r="DW142" s="883"/>
      <c r="DX142" s="836"/>
      <c r="DY142" s="883"/>
      <c r="DZ142" s="883"/>
      <c r="EA142" s="883">
        <v>750.0</v>
      </c>
      <c r="EB142" s="883">
        <v>750.0</v>
      </c>
      <c r="EC142" s="836"/>
      <c r="ED142" s="883">
        <f>EB142</f>
        <v>750</v>
      </c>
      <c r="EE142" s="883">
        <f t="shared" ref="EE142:EG142" si="436">ED142</f>
        <v>750</v>
      </c>
      <c r="EF142" s="883">
        <f t="shared" si="436"/>
        <v>750</v>
      </c>
      <c r="EG142" s="883">
        <f t="shared" si="436"/>
        <v>750</v>
      </c>
      <c r="EH142" s="836"/>
      <c r="EI142" s="884">
        <f t="shared" ref="EI142:EI147" si="442">EG142</f>
        <v>750</v>
      </c>
      <c r="EJ142" s="904">
        <f t="shared" ref="EJ142:EL142" si="437">EI142</f>
        <v>750</v>
      </c>
      <c r="EK142" s="904">
        <f t="shared" si="437"/>
        <v>750</v>
      </c>
      <c r="EL142" s="904">
        <f t="shared" si="437"/>
        <v>750</v>
      </c>
      <c r="EM142" s="836"/>
      <c r="EN142" s="904">
        <f t="shared" ref="EN142:EN147" si="443">EL142</f>
        <v>750</v>
      </c>
      <c r="EO142" s="904">
        <f t="shared" ref="EO142:EQ142" si="438">EN142</f>
        <v>750</v>
      </c>
      <c r="EP142" s="904">
        <f t="shared" si="438"/>
        <v>750</v>
      </c>
      <c r="EQ142" s="904">
        <f t="shared" si="438"/>
        <v>750</v>
      </c>
      <c r="ER142" s="836"/>
      <c r="ES142" s="904">
        <f t="shared" ref="ES142:ES147" si="444">EQ142</f>
        <v>750</v>
      </c>
      <c r="ET142" s="904">
        <f t="shared" ref="ET142:EV142" si="439">ES142</f>
        <v>750</v>
      </c>
      <c r="EU142" s="904">
        <f t="shared" si="439"/>
        <v>750</v>
      </c>
      <c r="EV142" s="904">
        <f t="shared" si="439"/>
        <v>750</v>
      </c>
      <c r="EW142" s="836"/>
      <c r="EX142" s="904">
        <f t="shared" ref="EX142:EX147" si="445">EV142</f>
        <v>750</v>
      </c>
      <c r="EY142" s="904">
        <f t="shared" ref="EY142:FA142" si="440">EX142</f>
        <v>750</v>
      </c>
      <c r="EZ142" s="904">
        <f t="shared" si="440"/>
        <v>750</v>
      </c>
      <c r="FA142" s="904">
        <f t="shared" si="440"/>
        <v>750</v>
      </c>
      <c r="FB142" s="836"/>
      <c r="FC142" s="904">
        <f t="shared" ref="FC142:FC147" si="446">FA142</f>
        <v>750</v>
      </c>
      <c r="FD142" s="904">
        <f t="shared" ref="FD142:FF142" si="441">FC142</f>
        <v>750</v>
      </c>
      <c r="FE142" s="904">
        <f t="shared" si="441"/>
        <v>750</v>
      </c>
      <c r="FF142" s="904">
        <f t="shared" si="441"/>
        <v>750</v>
      </c>
      <c r="FG142" s="836"/>
    </row>
    <row r="143" ht="12.75" customHeight="1">
      <c r="A143" s="128"/>
      <c r="B143" s="906" t="s">
        <v>676</v>
      </c>
      <c r="C143" s="179"/>
      <c r="D143" s="179"/>
      <c r="E143" s="179"/>
      <c r="F143" s="179"/>
      <c r="G143" s="179"/>
      <c r="H143" s="179"/>
      <c r="I143" s="179"/>
      <c r="J143" s="179"/>
      <c r="K143" s="179"/>
      <c r="L143" s="179"/>
      <c r="M143" s="179"/>
      <c r="N143" s="179"/>
      <c r="O143" s="179"/>
      <c r="P143" s="179"/>
      <c r="Q143" s="179"/>
      <c r="R143" s="57"/>
      <c r="S143" s="179"/>
      <c r="T143" s="179"/>
      <c r="U143" s="179"/>
      <c r="V143" s="179"/>
      <c r="W143" s="785"/>
      <c r="X143" s="128"/>
      <c r="Y143" s="128"/>
      <c r="Z143" s="128"/>
      <c r="AA143" s="128"/>
      <c r="AB143" s="837"/>
      <c r="AC143" s="128"/>
      <c r="AD143" s="128"/>
      <c r="AE143" s="128"/>
      <c r="AF143" s="128"/>
      <c r="AG143" s="837"/>
      <c r="AH143" s="128"/>
      <c r="AI143" s="128"/>
      <c r="AJ143" s="128"/>
      <c r="AK143" s="128"/>
      <c r="AL143" s="837"/>
      <c r="AM143" s="128"/>
      <c r="AN143" s="128"/>
      <c r="AO143" s="128"/>
      <c r="AP143" s="128"/>
      <c r="AQ143" s="837"/>
      <c r="AR143" s="128"/>
      <c r="AS143" s="128"/>
      <c r="AT143" s="128"/>
      <c r="AU143" s="128"/>
      <c r="AV143" s="837"/>
      <c r="AW143" s="128"/>
      <c r="AX143" s="128"/>
      <c r="AY143" s="128"/>
      <c r="AZ143" s="128"/>
      <c r="BA143" s="837"/>
      <c r="BB143" s="128"/>
      <c r="BC143" s="128"/>
      <c r="BD143" s="128"/>
      <c r="BE143" s="128"/>
      <c r="BF143" s="837"/>
      <c r="BG143" s="128"/>
      <c r="BH143" s="128"/>
      <c r="BI143" s="128"/>
      <c r="BJ143" s="128"/>
      <c r="BK143" s="837"/>
      <c r="BL143" s="128"/>
      <c r="BM143" s="128"/>
      <c r="BN143" s="128"/>
      <c r="BO143" s="128"/>
      <c r="BP143" s="837"/>
      <c r="BQ143" s="128"/>
      <c r="BR143" s="128"/>
      <c r="BS143" s="128"/>
      <c r="BT143" s="128"/>
      <c r="BU143" s="837"/>
      <c r="BV143" s="128"/>
      <c r="BW143" s="128"/>
      <c r="BX143" s="128"/>
      <c r="BY143" s="128"/>
      <c r="BZ143" s="837"/>
      <c r="CA143" s="128"/>
      <c r="CB143" s="128"/>
      <c r="CC143" s="128"/>
      <c r="CD143" s="128"/>
      <c r="CE143" s="837"/>
      <c r="CF143" s="128"/>
      <c r="CG143" s="128"/>
      <c r="CH143" s="128"/>
      <c r="CI143" s="128"/>
      <c r="CJ143" s="837"/>
      <c r="CK143" s="128"/>
      <c r="CL143" s="128"/>
      <c r="CM143" s="128"/>
      <c r="CN143" s="128"/>
      <c r="CO143" s="837"/>
      <c r="CP143" s="128"/>
      <c r="CQ143" s="128"/>
      <c r="CR143" s="128"/>
      <c r="CS143" s="128"/>
      <c r="CT143" s="836"/>
      <c r="CU143" s="128"/>
      <c r="CV143" s="128"/>
      <c r="CW143" s="128"/>
      <c r="CX143" s="128"/>
      <c r="CY143" s="836"/>
      <c r="CZ143" s="129"/>
      <c r="DA143" s="128"/>
      <c r="DB143" s="129"/>
      <c r="DC143" s="128"/>
      <c r="DD143" s="836"/>
      <c r="DE143" s="129"/>
      <c r="DF143" s="128"/>
      <c r="DG143" s="128"/>
      <c r="DH143" s="128"/>
      <c r="DI143" s="836"/>
      <c r="DJ143" s="883"/>
      <c r="DK143" s="883"/>
      <c r="DL143" s="883"/>
      <c r="DM143" s="904"/>
      <c r="DN143" s="836"/>
      <c r="DO143" s="904"/>
      <c r="DP143" s="904"/>
      <c r="DQ143" s="883"/>
      <c r="DR143" s="883"/>
      <c r="DS143" s="836"/>
      <c r="DT143" s="883"/>
      <c r="DU143" s="883"/>
      <c r="DV143" s="883"/>
      <c r="DW143" s="883"/>
      <c r="DX143" s="836"/>
      <c r="DY143" s="883"/>
      <c r="DZ143" s="883"/>
      <c r="EA143" s="883"/>
      <c r="EB143" s="883"/>
      <c r="EC143" s="836"/>
      <c r="ED143" s="883"/>
      <c r="EE143" s="883"/>
      <c r="EF143" s="883">
        <v>1250.0</v>
      </c>
      <c r="EG143" s="883">
        <f t="shared" ref="EG143:EG147" si="447">EF143</f>
        <v>1250</v>
      </c>
      <c r="EH143" s="836"/>
      <c r="EI143" s="884">
        <f t="shared" si="442"/>
        <v>1250</v>
      </c>
      <c r="EJ143" s="904">
        <f t="shared" ref="EJ143:EJ147" si="448">EI143</f>
        <v>1250</v>
      </c>
      <c r="EK143" s="904">
        <f t="shared" ref="EK143:EK147" si="449">EI143</f>
        <v>1250</v>
      </c>
      <c r="EL143" s="904">
        <f t="shared" ref="EL143:EL147" si="450">EK143</f>
        <v>1250</v>
      </c>
      <c r="EM143" s="836"/>
      <c r="EN143" s="904">
        <f t="shared" si="443"/>
        <v>1250</v>
      </c>
      <c r="EO143" s="904">
        <f t="shared" ref="EO143:EO147" si="451">EN143</f>
        <v>1250</v>
      </c>
      <c r="EP143" s="904">
        <f t="shared" ref="EP143:EP147" si="452">EN143</f>
        <v>1250</v>
      </c>
      <c r="EQ143" s="904">
        <f t="shared" ref="EQ143:EQ147" si="453">EP143</f>
        <v>1250</v>
      </c>
      <c r="ER143" s="836"/>
      <c r="ES143" s="904">
        <f t="shared" si="444"/>
        <v>1250</v>
      </c>
      <c r="ET143" s="904">
        <f t="shared" ref="ET143:ET147" si="454">ES143</f>
        <v>1250</v>
      </c>
      <c r="EU143" s="904">
        <f t="shared" ref="EU143:EU147" si="455">ES143</f>
        <v>1250</v>
      </c>
      <c r="EV143" s="904">
        <f t="shared" ref="EV143:EV147" si="456">EU143</f>
        <v>1250</v>
      </c>
      <c r="EW143" s="836"/>
      <c r="EX143" s="904">
        <f t="shared" si="445"/>
        <v>1250</v>
      </c>
      <c r="EY143" s="904">
        <f t="shared" ref="EY143:EY147" si="457">EX143</f>
        <v>1250</v>
      </c>
      <c r="EZ143" s="904">
        <f t="shared" ref="EZ143:EZ147" si="458">EX143</f>
        <v>1250</v>
      </c>
      <c r="FA143" s="904">
        <f t="shared" ref="FA143:FA147" si="459">EZ143</f>
        <v>1250</v>
      </c>
      <c r="FB143" s="836"/>
      <c r="FC143" s="904">
        <f t="shared" si="446"/>
        <v>1250</v>
      </c>
      <c r="FD143" s="904">
        <f t="shared" ref="FD143:FD147" si="460">FC143</f>
        <v>1250</v>
      </c>
      <c r="FE143" s="904">
        <v>0.0</v>
      </c>
      <c r="FF143" s="904">
        <f t="shared" ref="FF143:FF147" si="461">FE143</f>
        <v>0</v>
      </c>
      <c r="FG143" s="836"/>
    </row>
    <row r="144" ht="12.75" customHeight="1">
      <c r="A144" s="128"/>
      <c r="B144" s="906" t="s">
        <v>677</v>
      </c>
      <c r="C144" s="179"/>
      <c r="D144" s="179"/>
      <c r="E144" s="179"/>
      <c r="F144" s="179"/>
      <c r="G144" s="179"/>
      <c r="H144" s="179"/>
      <c r="I144" s="179"/>
      <c r="J144" s="179"/>
      <c r="K144" s="179"/>
      <c r="L144" s="179"/>
      <c r="M144" s="179"/>
      <c r="N144" s="179"/>
      <c r="O144" s="179"/>
      <c r="P144" s="179"/>
      <c r="Q144" s="179"/>
      <c r="R144" s="57"/>
      <c r="S144" s="179"/>
      <c r="T144" s="179"/>
      <c r="U144" s="179"/>
      <c r="V144" s="179"/>
      <c r="W144" s="785"/>
      <c r="X144" s="128"/>
      <c r="Y144" s="128"/>
      <c r="Z144" s="128"/>
      <c r="AA144" s="128"/>
      <c r="AB144" s="837"/>
      <c r="AC144" s="128"/>
      <c r="AD144" s="128"/>
      <c r="AE144" s="128"/>
      <c r="AF144" s="128"/>
      <c r="AG144" s="837"/>
      <c r="AH144" s="128"/>
      <c r="AI144" s="128"/>
      <c r="AJ144" s="128"/>
      <c r="AK144" s="128"/>
      <c r="AL144" s="837"/>
      <c r="AM144" s="128"/>
      <c r="AN144" s="128"/>
      <c r="AO144" s="128"/>
      <c r="AP144" s="128"/>
      <c r="AQ144" s="837"/>
      <c r="AR144" s="128"/>
      <c r="AS144" s="128"/>
      <c r="AT144" s="128"/>
      <c r="AU144" s="128"/>
      <c r="AV144" s="837"/>
      <c r="AW144" s="128"/>
      <c r="AX144" s="128"/>
      <c r="AY144" s="128"/>
      <c r="AZ144" s="128"/>
      <c r="BA144" s="837"/>
      <c r="BB144" s="128"/>
      <c r="BC144" s="128"/>
      <c r="BD144" s="128"/>
      <c r="BE144" s="128"/>
      <c r="BF144" s="837"/>
      <c r="BG144" s="128"/>
      <c r="BH144" s="128"/>
      <c r="BI144" s="128"/>
      <c r="BJ144" s="128"/>
      <c r="BK144" s="837"/>
      <c r="BL144" s="128"/>
      <c r="BM144" s="128"/>
      <c r="BN144" s="128"/>
      <c r="BO144" s="128"/>
      <c r="BP144" s="837"/>
      <c r="BQ144" s="128"/>
      <c r="BR144" s="128"/>
      <c r="BS144" s="128"/>
      <c r="BT144" s="128"/>
      <c r="BU144" s="837"/>
      <c r="BV144" s="128"/>
      <c r="BW144" s="128"/>
      <c r="BX144" s="128"/>
      <c r="BY144" s="128"/>
      <c r="BZ144" s="837"/>
      <c r="CA144" s="128"/>
      <c r="CB144" s="128"/>
      <c r="CC144" s="128"/>
      <c r="CD144" s="128"/>
      <c r="CE144" s="837"/>
      <c r="CF144" s="128"/>
      <c r="CG144" s="128"/>
      <c r="CH144" s="128"/>
      <c r="CI144" s="128"/>
      <c r="CJ144" s="837"/>
      <c r="CK144" s="128"/>
      <c r="CL144" s="128"/>
      <c r="CM144" s="128"/>
      <c r="CN144" s="128"/>
      <c r="CO144" s="837"/>
      <c r="CP144" s="128"/>
      <c r="CQ144" s="128"/>
      <c r="CR144" s="128"/>
      <c r="CS144" s="128"/>
      <c r="CT144" s="836"/>
      <c r="CU144" s="128"/>
      <c r="CV144" s="128"/>
      <c r="CW144" s="128"/>
      <c r="CX144" s="128"/>
      <c r="CY144" s="836"/>
      <c r="CZ144" s="129"/>
      <c r="DA144" s="128"/>
      <c r="DB144" s="129"/>
      <c r="DC144" s="128"/>
      <c r="DD144" s="836"/>
      <c r="DE144" s="129"/>
      <c r="DF144" s="128"/>
      <c r="DG144" s="128"/>
      <c r="DH144" s="128"/>
      <c r="DI144" s="836"/>
      <c r="DJ144" s="883"/>
      <c r="DK144" s="883"/>
      <c r="DL144" s="883"/>
      <c r="DM144" s="904"/>
      <c r="DN144" s="836"/>
      <c r="DO144" s="904"/>
      <c r="DP144" s="904"/>
      <c r="DQ144" s="883"/>
      <c r="DR144" s="883"/>
      <c r="DS144" s="836"/>
      <c r="DT144" s="883"/>
      <c r="DU144" s="883"/>
      <c r="DV144" s="883"/>
      <c r="DW144" s="883"/>
      <c r="DX144" s="836"/>
      <c r="DY144" s="883"/>
      <c r="DZ144" s="883"/>
      <c r="EA144" s="883"/>
      <c r="EB144" s="883"/>
      <c r="EC144" s="836"/>
      <c r="ED144" s="883"/>
      <c r="EE144" s="883"/>
      <c r="EF144" s="883">
        <v>850.0</v>
      </c>
      <c r="EG144" s="883">
        <f t="shared" si="447"/>
        <v>850</v>
      </c>
      <c r="EH144" s="836"/>
      <c r="EI144" s="884">
        <f t="shared" si="442"/>
        <v>850</v>
      </c>
      <c r="EJ144" s="904">
        <f t="shared" si="448"/>
        <v>850</v>
      </c>
      <c r="EK144" s="904">
        <f t="shared" si="449"/>
        <v>850</v>
      </c>
      <c r="EL144" s="904">
        <f t="shared" si="450"/>
        <v>850</v>
      </c>
      <c r="EM144" s="836"/>
      <c r="EN144" s="904">
        <f t="shared" si="443"/>
        <v>850</v>
      </c>
      <c r="EO144" s="904">
        <f t="shared" si="451"/>
        <v>850</v>
      </c>
      <c r="EP144" s="904">
        <f t="shared" si="452"/>
        <v>850</v>
      </c>
      <c r="EQ144" s="904">
        <f t="shared" si="453"/>
        <v>850</v>
      </c>
      <c r="ER144" s="836"/>
      <c r="ES144" s="904">
        <f t="shared" si="444"/>
        <v>850</v>
      </c>
      <c r="ET144" s="904">
        <f t="shared" si="454"/>
        <v>850</v>
      </c>
      <c r="EU144" s="904">
        <f t="shared" si="455"/>
        <v>850</v>
      </c>
      <c r="EV144" s="904">
        <f t="shared" si="456"/>
        <v>850</v>
      </c>
      <c r="EW144" s="836"/>
      <c r="EX144" s="904">
        <f t="shared" si="445"/>
        <v>850</v>
      </c>
      <c r="EY144" s="904">
        <f t="shared" si="457"/>
        <v>850</v>
      </c>
      <c r="EZ144" s="904">
        <f t="shared" si="458"/>
        <v>850</v>
      </c>
      <c r="FA144" s="904">
        <f t="shared" si="459"/>
        <v>850</v>
      </c>
      <c r="FB144" s="836"/>
      <c r="FC144" s="904">
        <f t="shared" si="446"/>
        <v>850</v>
      </c>
      <c r="FD144" s="904">
        <f t="shared" si="460"/>
        <v>850</v>
      </c>
      <c r="FE144" s="904">
        <f t="shared" ref="FE144:FE147" si="462">FC144</f>
        <v>850</v>
      </c>
      <c r="FF144" s="904">
        <f t="shared" si="461"/>
        <v>850</v>
      </c>
      <c r="FG144" s="836"/>
    </row>
    <row r="145" ht="12.75" customHeight="1">
      <c r="A145" s="128"/>
      <c r="B145" s="906" t="s">
        <v>678</v>
      </c>
      <c r="C145" s="179"/>
      <c r="D145" s="179"/>
      <c r="E145" s="179"/>
      <c r="F145" s="179"/>
      <c r="G145" s="179"/>
      <c r="H145" s="179"/>
      <c r="I145" s="179"/>
      <c r="J145" s="179"/>
      <c r="K145" s="179"/>
      <c r="L145" s="179"/>
      <c r="M145" s="179"/>
      <c r="N145" s="179"/>
      <c r="O145" s="179"/>
      <c r="P145" s="179"/>
      <c r="Q145" s="179"/>
      <c r="R145" s="57"/>
      <c r="S145" s="179"/>
      <c r="T145" s="179"/>
      <c r="U145" s="179"/>
      <c r="V145" s="179"/>
      <c r="W145" s="785"/>
      <c r="X145" s="128"/>
      <c r="Y145" s="128"/>
      <c r="Z145" s="128"/>
      <c r="AA145" s="128"/>
      <c r="AB145" s="837"/>
      <c r="AC145" s="128"/>
      <c r="AD145" s="128"/>
      <c r="AE145" s="128"/>
      <c r="AF145" s="128"/>
      <c r="AG145" s="837"/>
      <c r="AH145" s="128"/>
      <c r="AI145" s="128"/>
      <c r="AJ145" s="128"/>
      <c r="AK145" s="128"/>
      <c r="AL145" s="837"/>
      <c r="AM145" s="128"/>
      <c r="AN145" s="128"/>
      <c r="AO145" s="128"/>
      <c r="AP145" s="128"/>
      <c r="AQ145" s="837"/>
      <c r="AR145" s="128"/>
      <c r="AS145" s="128"/>
      <c r="AT145" s="128"/>
      <c r="AU145" s="128"/>
      <c r="AV145" s="837"/>
      <c r="AW145" s="128"/>
      <c r="AX145" s="128"/>
      <c r="AY145" s="128"/>
      <c r="AZ145" s="128"/>
      <c r="BA145" s="837"/>
      <c r="BB145" s="128"/>
      <c r="BC145" s="128"/>
      <c r="BD145" s="128"/>
      <c r="BE145" s="128"/>
      <c r="BF145" s="837"/>
      <c r="BG145" s="128"/>
      <c r="BH145" s="128"/>
      <c r="BI145" s="128"/>
      <c r="BJ145" s="128"/>
      <c r="BK145" s="837"/>
      <c r="BL145" s="128"/>
      <c r="BM145" s="128"/>
      <c r="BN145" s="128"/>
      <c r="BO145" s="128"/>
      <c r="BP145" s="837"/>
      <c r="BQ145" s="128"/>
      <c r="BR145" s="128"/>
      <c r="BS145" s="128"/>
      <c r="BT145" s="128"/>
      <c r="BU145" s="837"/>
      <c r="BV145" s="128"/>
      <c r="BW145" s="128"/>
      <c r="BX145" s="128"/>
      <c r="BY145" s="128"/>
      <c r="BZ145" s="837"/>
      <c r="CA145" s="128"/>
      <c r="CB145" s="128"/>
      <c r="CC145" s="128"/>
      <c r="CD145" s="128"/>
      <c r="CE145" s="837"/>
      <c r="CF145" s="128"/>
      <c r="CG145" s="128"/>
      <c r="CH145" s="128"/>
      <c r="CI145" s="128"/>
      <c r="CJ145" s="837"/>
      <c r="CK145" s="128"/>
      <c r="CL145" s="128"/>
      <c r="CM145" s="128"/>
      <c r="CN145" s="128"/>
      <c r="CO145" s="837"/>
      <c r="CP145" s="128"/>
      <c r="CQ145" s="128"/>
      <c r="CR145" s="128"/>
      <c r="CS145" s="128"/>
      <c r="CT145" s="836"/>
      <c r="CU145" s="128"/>
      <c r="CV145" s="128"/>
      <c r="CW145" s="128"/>
      <c r="CX145" s="128"/>
      <c r="CY145" s="836"/>
      <c r="CZ145" s="129"/>
      <c r="DA145" s="128"/>
      <c r="DB145" s="129"/>
      <c r="DC145" s="128"/>
      <c r="DD145" s="836"/>
      <c r="DE145" s="129"/>
      <c r="DF145" s="128"/>
      <c r="DG145" s="128"/>
      <c r="DH145" s="128"/>
      <c r="DI145" s="836"/>
      <c r="DJ145" s="883"/>
      <c r="DK145" s="883"/>
      <c r="DL145" s="883"/>
      <c r="DM145" s="904"/>
      <c r="DN145" s="836"/>
      <c r="DO145" s="904"/>
      <c r="DP145" s="904"/>
      <c r="DQ145" s="883"/>
      <c r="DR145" s="883"/>
      <c r="DS145" s="836"/>
      <c r="DT145" s="883"/>
      <c r="DU145" s="883"/>
      <c r="DV145" s="883"/>
      <c r="DW145" s="883"/>
      <c r="DX145" s="836"/>
      <c r="DY145" s="883"/>
      <c r="DZ145" s="883"/>
      <c r="EA145" s="883"/>
      <c r="EB145" s="883"/>
      <c r="EC145" s="836"/>
      <c r="ED145" s="883"/>
      <c r="EE145" s="883"/>
      <c r="EF145" s="883">
        <v>1250.0</v>
      </c>
      <c r="EG145" s="883">
        <f t="shared" si="447"/>
        <v>1250</v>
      </c>
      <c r="EH145" s="836"/>
      <c r="EI145" s="884">
        <f t="shared" si="442"/>
        <v>1250</v>
      </c>
      <c r="EJ145" s="904">
        <f t="shared" si="448"/>
        <v>1250</v>
      </c>
      <c r="EK145" s="904">
        <f t="shared" si="449"/>
        <v>1250</v>
      </c>
      <c r="EL145" s="904">
        <f t="shared" si="450"/>
        <v>1250</v>
      </c>
      <c r="EM145" s="836"/>
      <c r="EN145" s="904">
        <f t="shared" si="443"/>
        <v>1250</v>
      </c>
      <c r="EO145" s="904">
        <f t="shared" si="451"/>
        <v>1250</v>
      </c>
      <c r="EP145" s="904">
        <f t="shared" si="452"/>
        <v>1250</v>
      </c>
      <c r="EQ145" s="904">
        <f t="shared" si="453"/>
        <v>1250</v>
      </c>
      <c r="ER145" s="836"/>
      <c r="ES145" s="904">
        <f t="shared" si="444"/>
        <v>1250</v>
      </c>
      <c r="ET145" s="904">
        <f t="shared" si="454"/>
        <v>1250</v>
      </c>
      <c r="EU145" s="904">
        <f t="shared" si="455"/>
        <v>1250</v>
      </c>
      <c r="EV145" s="904">
        <f t="shared" si="456"/>
        <v>1250</v>
      </c>
      <c r="EW145" s="836"/>
      <c r="EX145" s="904">
        <f t="shared" si="445"/>
        <v>1250</v>
      </c>
      <c r="EY145" s="904">
        <f t="shared" si="457"/>
        <v>1250</v>
      </c>
      <c r="EZ145" s="904">
        <f t="shared" si="458"/>
        <v>1250</v>
      </c>
      <c r="FA145" s="904">
        <f t="shared" si="459"/>
        <v>1250</v>
      </c>
      <c r="FB145" s="836"/>
      <c r="FC145" s="904">
        <f t="shared" si="446"/>
        <v>1250</v>
      </c>
      <c r="FD145" s="904">
        <f t="shared" si="460"/>
        <v>1250</v>
      </c>
      <c r="FE145" s="904">
        <f t="shared" si="462"/>
        <v>1250</v>
      </c>
      <c r="FF145" s="904">
        <f t="shared" si="461"/>
        <v>1250</v>
      </c>
      <c r="FG145" s="836"/>
    </row>
    <row r="146" ht="12.75" customHeight="1">
      <c r="A146" s="128"/>
      <c r="B146" s="906" t="s">
        <v>679</v>
      </c>
      <c r="C146" s="179"/>
      <c r="D146" s="179"/>
      <c r="E146" s="179"/>
      <c r="F146" s="179"/>
      <c r="G146" s="179"/>
      <c r="H146" s="179"/>
      <c r="I146" s="179"/>
      <c r="J146" s="179"/>
      <c r="K146" s="179"/>
      <c r="L146" s="179"/>
      <c r="M146" s="179"/>
      <c r="N146" s="179"/>
      <c r="O146" s="179"/>
      <c r="P146" s="179"/>
      <c r="Q146" s="179"/>
      <c r="R146" s="57"/>
      <c r="S146" s="179"/>
      <c r="T146" s="179"/>
      <c r="U146" s="179"/>
      <c r="V146" s="179"/>
      <c r="W146" s="785"/>
      <c r="X146" s="128"/>
      <c r="Y146" s="128"/>
      <c r="Z146" s="128"/>
      <c r="AA146" s="128"/>
      <c r="AB146" s="837"/>
      <c r="AC146" s="128"/>
      <c r="AD146" s="128"/>
      <c r="AE146" s="128"/>
      <c r="AF146" s="128"/>
      <c r="AG146" s="837"/>
      <c r="AH146" s="128"/>
      <c r="AI146" s="128"/>
      <c r="AJ146" s="128"/>
      <c r="AK146" s="128"/>
      <c r="AL146" s="837"/>
      <c r="AM146" s="128"/>
      <c r="AN146" s="128"/>
      <c r="AO146" s="128"/>
      <c r="AP146" s="128"/>
      <c r="AQ146" s="837"/>
      <c r="AR146" s="128"/>
      <c r="AS146" s="128"/>
      <c r="AT146" s="128"/>
      <c r="AU146" s="128"/>
      <c r="AV146" s="837"/>
      <c r="AW146" s="128"/>
      <c r="AX146" s="128"/>
      <c r="AY146" s="128"/>
      <c r="AZ146" s="128"/>
      <c r="BA146" s="837"/>
      <c r="BB146" s="128"/>
      <c r="BC146" s="128"/>
      <c r="BD146" s="128"/>
      <c r="BE146" s="128"/>
      <c r="BF146" s="837"/>
      <c r="BG146" s="128"/>
      <c r="BH146" s="128"/>
      <c r="BI146" s="128"/>
      <c r="BJ146" s="128"/>
      <c r="BK146" s="837"/>
      <c r="BL146" s="128"/>
      <c r="BM146" s="128"/>
      <c r="BN146" s="128"/>
      <c r="BO146" s="128"/>
      <c r="BP146" s="837"/>
      <c r="BQ146" s="128"/>
      <c r="BR146" s="128"/>
      <c r="BS146" s="128"/>
      <c r="BT146" s="128"/>
      <c r="BU146" s="837"/>
      <c r="BV146" s="128"/>
      <c r="BW146" s="128"/>
      <c r="BX146" s="128"/>
      <c r="BY146" s="128"/>
      <c r="BZ146" s="837"/>
      <c r="CA146" s="128"/>
      <c r="CB146" s="128"/>
      <c r="CC146" s="128"/>
      <c r="CD146" s="128"/>
      <c r="CE146" s="837"/>
      <c r="CF146" s="128"/>
      <c r="CG146" s="128"/>
      <c r="CH146" s="128"/>
      <c r="CI146" s="128"/>
      <c r="CJ146" s="837"/>
      <c r="CK146" s="128"/>
      <c r="CL146" s="128"/>
      <c r="CM146" s="128"/>
      <c r="CN146" s="128"/>
      <c r="CO146" s="837"/>
      <c r="CP146" s="128"/>
      <c r="CQ146" s="128"/>
      <c r="CR146" s="128"/>
      <c r="CS146" s="128"/>
      <c r="CT146" s="836"/>
      <c r="CU146" s="128"/>
      <c r="CV146" s="128"/>
      <c r="CW146" s="128"/>
      <c r="CX146" s="128"/>
      <c r="CY146" s="836"/>
      <c r="CZ146" s="129"/>
      <c r="DA146" s="128"/>
      <c r="DB146" s="129"/>
      <c r="DC146" s="128"/>
      <c r="DD146" s="836"/>
      <c r="DE146" s="129"/>
      <c r="DF146" s="128"/>
      <c r="DG146" s="128"/>
      <c r="DH146" s="128"/>
      <c r="DI146" s="836"/>
      <c r="DJ146" s="883"/>
      <c r="DK146" s="883"/>
      <c r="DL146" s="883"/>
      <c r="DM146" s="904"/>
      <c r="DN146" s="836"/>
      <c r="DO146" s="904"/>
      <c r="DP146" s="904"/>
      <c r="DQ146" s="883"/>
      <c r="DR146" s="883"/>
      <c r="DS146" s="836"/>
      <c r="DT146" s="883"/>
      <c r="DU146" s="883"/>
      <c r="DV146" s="883"/>
      <c r="DW146" s="883"/>
      <c r="DX146" s="836"/>
      <c r="DY146" s="883"/>
      <c r="DZ146" s="883"/>
      <c r="EA146" s="883"/>
      <c r="EB146" s="883"/>
      <c r="EC146" s="836"/>
      <c r="ED146" s="883"/>
      <c r="EE146" s="883"/>
      <c r="EF146" s="883">
        <v>1750.0</v>
      </c>
      <c r="EG146" s="883">
        <f t="shared" si="447"/>
        <v>1750</v>
      </c>
      <c r="EH146" s="836"/>
      <c r="EI146" s="884">
        <f t="shared" si="442"/>
        <v>1750</v>
      </c>
      <c r="EJ146" s="904">
        <f t="shared" si="448"/>
        <v>1750</v>
      </c>
      <c r="EK146" s="904">
        <f t="shared" si="449"/>
        <v>1750</v>
      </c>
      <c r="EL146" s="904">
        <f t="shared" si="450"/>
        <v>1750</v>
      </c>
      <c r="EM146" s="836"/>
      <c r="EN146" s="904">
        <f t="shared" si="443"/>
        <v>1750</v>
      </c>
      <c r="EO146" s="904">
        <f t="shared" si="451"/>
        <v>1750</v>
      </c>
      <c r="EP146" s="904">
        <f t="shared" si="452"/>
        <v>1750</v>
      </c>
      <c r="EQ146" s="904">
        <f t="shared" si="453"/>
        <v>1750</v>
      </c>
      <c r="ER146" s="836"/>
      <c r="ES146" s="904">
        <f t="shared" si="444"/>
        <v>1750</v>
      </c>
      <c r="ET146" s="904">
        <f t="shared" si="454"/>
        <v>1750</v>
      </c>
      <c r="EU146" s="904">
        <f t="shared" si="455"/>
        <v>1750</v>
      </c>
      <c r="EV146" s="904">
        <f t="shared" si="456"/>
        <v>1750</v>
      </c>
      <c r="EW146" s="836"/>
      <c r="EX146" s="904">
        <f t="shared" si="445"/>
        <v>1750</v>
      </c>
      <c r="EY146" s="904">
        <f t="shared" si="457"/>
        <v>1750</v>
      </c>
      <c r="EZ146" s="904">
        <f t="shared" si="458"/>
        <v>1750</v>
      </c>
      <c r="FA146" s="904">
        <f t="shared" si="459"/>
        <v>1750</v>
      </c>
      <c r="FB146" s="836"/>
      <c r="FC146" s="904">
        <f t="shared" si="446"/>
        <v>1750</v>
      </c>
      <c r="FD146" s="904">
        <f t="shared" si="460"/>
        <v>1750</v>
      </c>
      <c r="FE146" s="904">
        <f t="shared" si="462"/>
        <v>1750</v>
      </c>
      <c r="FF146" s="904">
        <f t="shared" si="461"/>
        <v>1750</v>
      </c>
      <c r="FG146" s="836"/>
    </row>
    <row r="147" ht="12.75" customHeight="1">
      <c r="A147" s="128"/>
      <c r="B147" s="906" t="s">
        <v>680</v>
      </c>
      <c r="C147" s="179"/>
      <c r="D147" s="179"/>
      <c r="E147" s="179"/>
      <c r="F147" s="179"/>
      <c r="G147" s="179"/>
      <c r="H147" s="179"/>
      <c r="I147" s="179"/>
      <c r="J147" s="179"/>
      <c r="K147" s="179"/>
      <c r="L147" s="179"/>
      <c r="M147" s="179"/>
      <c r="N147" s="179"/>
      <c r="O147" s="179"/>
      <c r="P147" s="179"/>
      <c r="Q147" s="179"/>
      <c r="R147" s="57"/>
      <c r="S147" s="179"/>
      <c r="T147" s="179"/>
      <c r="U147" s="179"/>
      <c r="V147" s="179"/>
      <c r="W147" s="785"/>
      <c r="X147" s="128"/>
      <c r="Y147" s="128"/>
      <c r="Z147" s="128"/>
      <c r="AA147" s="128"/>
      <c r="AB147" s="837"/>
      <c r="AC147" s="128"/>
      <c r="AD147" s="128"/>
      <c r="AE147" s="128"/>
      <c r="AF147" s="128"/>
      <c r="AG147" s="837"/>
      <c r="AH147" s="128"/>
      <c r="AI147" s="128"/>
      <c r="AJ147" s="128"/>
      <c r="AK147" s="128"/>
      <c r="AL147" s="837"/>
      <c r="AM147" s="128"/>
      <c r="AN147" s="128"/>
      <c r="AO147" s="128"/>
      <c r="AP147" s="128"/>
      <c r="AQ147" s="837"/>
      <c r="AR147" s="128"/>
      <c r="AS147" s="128"/>
      <c r="AT147" s="128"/>
      <c r="AU147" s="128"/>
      <c r="AV147" s="837"/>
      <c r="AW147" s="128"/>
      <c r="AX147" s="128"/>
      <c r="AY147" s="128"/>
      <c r="AZ147" s="128"/>
      <c r="BA147" s="837"/>
      <c r="BB147" s="128"/>
      <c r="BC147" s="128"/>
      <c r="BD147" s="128"/>
      <c r="BE147" s="128"/>
      <c r="BF147" s="837"/>
      <c r="BG147" s="128"/>
      <c r="BH147" s="128"/>
      <c r="BI147" s="128"/>
      <c r="BJ147" s="128"/>
      <c r="BK147" s="837"/>
      <c r="BL147" s="128"/>
      <c r="BM147" s="128"/>
      <c r="BN147" s="128"/>
      <c r="BO147" s="128"/>
      <c r="BP147" s="837"/>
      <c r="BQ147" s="128"/>
      <c r="BR147" s="128"/>
      <c r="BS147" s="128"/>
      <c r="BT147" s="128"/>
      <c r="BU147" s="837"/>
      <c r="BV147" s="128"/>
      <c r="BW147" s="128"/>
      <c r="BX147" s="128"/>
      <c r="BY147" s="128"/>
      <c r="BZ147" s="837"/>
      <c r="CA147" s="128"/>
      <c r="CB147" s="128"/>
      <c r="CC147" s="128"/>
      <c r="CD147" s="128"/>
      <c r="CE147" s="837"/>
      <c r="CF147" s="128"/>
      <c r="CG147" s="128"/>
      <c r="CH147" s="128"/>
      <c r="CI147" s="128"/>
      <c r="CJ147" s="837"/>
      <c r="CK147" s="128"/>
      <c r="CL147" s="128"/>
      <c r="CM147" s="128"/>
      <c r="CN147" s="128"/>
      <c r="CO147" s="837"/>
      <c r="CP147" s="128"/>
      <c r="CQ147" s="128"/>
      <c r="CR147" s="128"/>
      <c r="CS147" s="128"/>
      <c r="CT147" s="836"/>
      <c r="CU147" s="128"/>
      <c r="CV147" s="128"/>
      <c r="CW147" s="128"/>
      <c r="CX147" s="128"/>
      <c r="CY147" s="836"/>
      <c r="CZ147" s="129"/>
      <c r="DA147" s="128"/>
      <c r="DB147" s="129"/>
      <c r="DC147" s="128"/>
      <c r="DD147" s="836"/>
      <c r="DE147" s="129"/>
      <c r="DF147" s="128"/>
      <c r="DG147" s="128"/>
      <c r="DH147" s="128"/>
      <c r="DI147" s="836"/>
      <c r="DJ147" s="883"/>
      <c r="DK147" s="883"/>
      <c r="DL147" s="883"/>
      <c r="DM147" s="904"/>
      <c r="DN147" s="836"/>
      <c r="DO147" s="904"/>
      <c r="DP147" s="904"/>
      <c r="DQ147" s="883"/>
      <c r="DR147" s="883"/>
      <c r="DS147" s="836"/>
      <c r="DT147" s="883"/>
      <c r="DU147" s="883"/>
      <c r="DV147" s="883"/>
      <c r="DW147" s="883"/>
      <c r="DX147" s="836"/>
      <c r="DY147" s="883"/>
      <c r="DZ147" s="883"/>
      <c r="EA147" s="883"/>
      <c r="EB147" s="883"/>
      <c r="EC147" s="836"/>
      <c r="ED147" s="883"/>
      <c r="EE147" s="883"/>
      <c r="EF147" s="883">
        <v>900.0</v>
      </c>
      <c r="EG147" s="883">
        <f t="shared" si="447"/>
        <v>900</v>
      </c>
      <c r="EH147" s="836"/>
      <c r="EI147" s="884">
        <f t="shared" si="442"/>
        <v>900</v>
      </c>
      <c r="EJ147" s="904">
        <f t="shared" si="448"/>
        <v>900</v>
      </c>
      <c r="EK147" s="904">
        <f t="shared" si="449"/>
        <v>900</v>
      </c>
      <c r="EL147" s="904">
        <f t="shared" si="450"/>
        <v>900</v>
      </c>
      <c r="EM147" s="836"/>
      <c r="EN147" s="904">
        <f t="shared" si="443"/>
        <v>900</v>
      </c>
      <c r="EO147" s="904">
        <f t="shared" si="451"/>
        <v>900</v>
      </c>
      <c r="EP147" s="904">
        <f t="shared" si="452"/>
        <v>900</v>
      </c>
      <c r="EQ147" s="904">
        <f t="shared" si="453"/>
        <v>900</v>
      </c>
      <c r="ER147" s="836"/>
      <c r="ES147" s="904">
        <f t="shared" si="444"/>
        <v>900</v>
      </c>
      <c r="ET147" s="904">
        <f t="shared" si="454"/>
        <v>900</v>
      </c>
      <c r="EU147" s="904">
        <f t="shared" si="455"/>
        <v>900</v>
      </c>
      <c r="EV147" s="904">
        <f t="shared" si="456"/>
        <v>900</v>
      </c>
      <c r="EW147" s="836"/>
      <c r="EX147" s="904">
        <f t="shared" si="445"/>
        <v>900</v>
      </c>
      <c r="EY147" s="904">
        <f t="shared" si="457"/>
        <v>900</v>
      </c>
      <c r="EZ147" s="904">
        <f t="shared" si="458"/>
        <v>900</v>
      </c>
      <c r="FA147" s="904">
        <f t="shared" si="459"/>
        <v>900</v>
      </c>
      <c r="FB147" s="836"/>
      <c r="FC147" s="904">
        <f t="shared" si="446"/>
        <v>900</v>
      </c>
      <c r="FD147" s="904">
        <f t="shared" si="460"/>
        <v>900</v>
      </c>
      <c r="FE147" s="904">
        <f t="shared" si="462"/>
        <v>900</v>
      </c>
      <c r="FF147" s="904">
        <f t="shared" si="461"/>
        <v>900</v>
      </c>
      <c r="FG147" s="836"/>
    </row>
    <row r="148" ht="12.75" customHeight="1">
      <c r="A148" s="128"/>
      <c r="B148" s="179"/>
      <c r="C148" s="179"/>
      <c r="D148" s="179"/>
      <c r="E148" s="179"/>
      <c r="F148" s="179"/>
      <c r="G148" s="179"/>
      <c r="H148" s="179"/>
      <c r="I148" s="179"/>
      <c r="J148" s="179"/>
      <c r="K148" s="179"/>
      <c r="L148" s="179"/>
      <c r="M148" s="179"/>
      <c r="N148" s="179"/>
      <c r="O148" s="179"/>
      <c r="P148" s="179"/>
      <c r="Q148" s="179"/>
      <c r="R148" s="57"/>
      <c r="S148" s="179"/>
      <c r="T148" s="179"/>
      <c r="U148" s="179"/>
      <c r="V148" s="179"/>
      <c r="W148" s="785"/>
      <c r="X148" s="128"/>
      <c r="Y148" s="128"/>
      <c r="Z148" s="128"/>
      <c r="AA148" s="128"/>
      <c r="AB148" s="837"/>
      <c r="AC148" s="128"/>
      <c r="AD148" s="128"/>
      <c r="AE148" s="128"/>
      <c r="AF148" s="128"/>
      <c r="AG148" s="837"/>
      <c r="AH148" s="128"/>
      <c r="AI148" s="128"/>
      <c r="AJ148" s="128"/>
      <c r="AK148" s="128"/>
      <c r="AL148" s="837"/>
      <c r="AM148" s="128"/>
      <c r="AN148" s="128"/>
      <c r="AO148" s="128"/>
      <c r="AP148" s="128"/>
      <c r="AQ148" s="837"/>
      <c r="AR148" s="128"/>
      <c r="AS148" s="128"/>
      <c r="AT148" s="128"/>
      <c r="AU148" s="128"/>
      <c r="AV148" s="837"/>
      <c r="AW148" s="128"/>
      <c r="AX148" s="128"/>
      <c r="AY148" s="128"/>
      <c r="AZ148" s="128"/>
      <c r="BA148" s="837"/>
      <c r="BB148" s="128"/>
      <c r="BC148" s="128"/>
      <c r="BD148" s="128"/>
      <c r="BE148" s="128"/>
      <c r="BF148" s="837"/>
      <c r="BG148" s="128"/>
      <c r="BH148" s="128"/>
      <c r="BI148" s="128"/>
      <c r="BJ148" s="128"/>
      <c r="BK148" s="837"/>
      <c r="BL148" s="128"/>
      <c r="BM148" s="128"/>
      <c r="BN148" s="128"/>
      <c r="BO148" s="128"/>
      <c r="BP148" s="837"/>
      <c r="BQ148" s="128"/>
      <c r="BR148" s="128"/>
      <c r="BS148" s="128"/>
      <c r="BT148" s="128"/>
      <c r="BU148" s="837"/>
      <c r="BV148" s="128"/>
      <c r="BW148" s="128"/>
      <c r="BX148" s="128"/>
      <c r="BY148" s="128"/>
      <c r="BZ148" s="837"/>
      <c r="CA148" s="128"/>
      <c r="CB148" s="128"/>
      <c r="CC148" s="128"/>
      <c r="CD148" s="128"/>
      <c r="CE148" s="837"/>
      <c r="CF148" s="128"/>
      <c r="CG148" s="128"/>
      <c r="CH148" s="128"/>
      <c r="CI148" s="128"/>
      <c r="CJ148" s="837"/>
      <c r="CK148" s="128"/>
      <c r="CL148" s="128"/>
      <c r="CM148" s="128"/>
      <c r="CN148" s="128"/>
      <c r="CO148" s="837"/>
      <c r="CP148" s="128"/>
      <c r="CQ148" s="128"/>
      <c r="CR148" s="128"/>
      <c r="CS148" s="128"/>
      <c r="CT148" s="836"/>
      <c r="CU148" s="128"/>
      <c r="CV148" s="128"/>
      <c r="CW148" s="128"/>
      <c r="CX148" s="128"/>
      <c r="CY148" s="836"/>
      <c r="CZ148" s="129"/>
      <c r="DA148" s="128"/>
      <c r="DB148" s="129"/>
      <c r="DC148" s="128"/>
      <c r="DD148" s="836"/>
      <c r="DE148" s="129"/>
      <c r="DF148" s="128"/>
      <c r="DG148" s="128"/>
      <c r="DH148" s="128"/>
      <c r="DI148" s="836"/>
      <c r="DJ148" s="883"/>
      <c r="DK148" s="883"/>
      <c r="DL148" s="883"/>
      <c r="DM148" s="904"/>
      <c r="DN148" s="836"/>
      <c r="DO148" s="904"/>
      <c r="DP148" s="904"/>
      <c r="DQ148" s="883"/>
      <c r="DR148" s="883"/>
      <c r="DS148" s="836"/>
      <c r="DT148" s="883"/>
      <c r="DU148" s="883"/>
      <c r="DV148" s="883"/>
      <c r="DW148" s="883"/>
      <c r="DX148" s="836"/>
      <c r="DY148" s="883"/>
      <c r="DZ148" s="883"/>
      <c r="EA148" s="883"/>
      <c r="EB148" s="883"/>
      <c r="EC148" s="836"/>
      <c r="ED148" s="883"/>
      <c r="EE148" s="883"/>
      <c r="EF148" s="883"/>
      <c r="EG148" s="883"/>
      <c r="EH148" s="836"/>
      <c r="EI148" s="884"/>
      <c r="EJ148" s="904"/>
      <c r="EK148" s="904"/>
      <c r="EL148" s="904"/>
      <c r="EM148" s="836"/>
      <c r="EN148" s="904"/>
      <c r="EO148" s="904"/>
      <c r="EP148" s="904"/>
      <c r="EQ148" s="904"/>
      <c r="ER148" s="836"/>
      <c r="ES148" s="904"/>
      <c r="ET148" s="904"/>
      <c r="EU148" s="904"/>
      <c r="EV148" s="904"/>
      <c r="EW148" s="836"/>
      <c r="EX148" s="904"/>
      <c r="EY148" s="904"/>
      <c r="EZ148" s="904"/>
      <c r="FA148" s="904"/>
      <c r="FB148" s="836"/>
      <c r="FC148" s="904"/>
      <c r="FD148" s="904"/>
      <c r="FE148" s="904"/>
      <c r="FF148" s="904"/>
      <c r="FG148" s="836"/>
    </row>
    <row r="149" ht="12.75" customHeight="1">
      <c r="A149" s="128"/>
      <c r="B149" s="179"/>
      <c r="C149" s="179"/>
      <c r="D149" s="179"/>
      <c r="E149" s="179"/>
      <c r="F149" s="179"/>
      <c r="G149" s="179"/>
      <c r="H149" s="179"/>
      <c r="I149" s="179"/>
      <c r="J149" s="179"/>
      <c r="K149" s="179"/>
      <c r="L149" s="179"/>
      <c r="M149" s="179"/>
      <c r="N149" s="179"/>
      <c r="O149" s="179"/>
      <c r="P149" s="179"/>
      <c r="Q149" s="179"/>
      <c r="R149" s="57"/>
      <c r="S149" s="179"/>
      <c r="T149" s="179"/>
      <c r="U149" s="179"/>
      <c r="V149" s="179"/>
      <c r="W149" s="785"/>
      <c r="X149" s="128"/>
      <c r="Y149" s="128"/>
      <c r="Z149" s="128"/>
      <c r="AA149" s="128"/>
      <c r="AB149" s="837"/>
      <c r="AC149" s="128"/>
      <c r="AD149" s="128"/>
      <c r="AE149" s="128"/>
      <c r="AF149" s="128"/>
      <c r="AG149" s="837"/>
      <c r="AH149" s="128"/>
      <c r="AI149" s="128"/>
      <c r="AJ149" s="128"/>
      <c r="AK149" s="128"/>
      <c r="AL149" s="837"/>
      <c r="AM149" s="128"/>
      <c r="AN149" s="128"/>
      <c r="AO149" s="128"/>
      <c r="AP149" s="128"/>
      <c r="AQ149" s="837"/>
      <c r="AR149" s="128"/>
      <c r="AS149" s="128"/>
      <c r="AT149" s="128"/>
      <c r="AU149" s="128"/>
      <c r="AV149" s="837"/>
      <c r="AW149" s="128"/>
      <c r="AX149" s="128"/>
      <c r="AY149" s="128"/>
      <c r="AZ149" s="128"/>
      <c r="BA149" s="837"/>
      <c r="BB149" s="128"/>
      <c r="BC149" s="128"/>
      <c r="BD149" s="128"/>
      <c r="BE149" s="128"/>
      <c r="BF149" s="837"/>
      <c r="BG149" s="128"/>
      <c r="BH149" s="128"/>
      <c r="BI149" s="128"/>
      <c r="BJ149" s="128"/>
      <c r="BK149" s="837"/>
      <c r="BL149" s="128"/>
      <c r="BM149" s="128"/>
      <c r="BN149" s="128"/>
      <c r="BO149" s="128"/>
      <c r="BP149" s="837"/>
      <c r="BQ149" s="128"/>
      <c r="BR149" s="128"/>
      <c r="BS149" s="128"/>
      <c r="BT149" s="128"/>
      <c r="BU149" s="837"/>
      <c r="BV149" s="128"/>
      <c r="BW149" s="128"/>
      <c r="BX149" s="128"/>
      <c r="BY149" s="128"/>
      <c r="BZ149" s="837"/>
      <c r="CA149" s="128"/>
      <c r="CB149" s="128"/>
      <c r="CC149" s="128"/>
      <c r="CD149" s="128"/>
      <c r="CE149" s="837"/>
      <c r="CF149" s="128"/>
      <c r="CG149" s="128"/>
      <c r="CH149" s="128"/>
      <c r="CI149" s="128"/>
      <c r="CJ149" s="837"/>
      <c r="CK149" s="128"/>
      <c r="CL149" s="128"/>
      <c r="CM149" s="128"/>
      <c r="CN149" s="128"/>
      <c r="CO149" s="837"/>
      <c r="CP149" s="128"/>
      <c r="CQ149" s="128"/>
      <c r="CR149" s="128"/>
      <c r="CS149" s="128"/>
      <c r="CT149" s="836"/>
      <c r="CU149" s="128"/>
      <c r="CV149" s="128"/>
      <c r="CW149" s="128"/>
      <c r="CX149" s="128"/>
      <c r="CY149" s="836"/>
      <c r="CZ149" s="129"/>
      <c r="DA149" s="128"/>
      <c r="DB149" s="129"/>
      <c r="DC149" s="128"/>
      <c r="DD149" s="836"/>
      <c r="DE149" s="129"/>
      <c r="DF149" s="128"/>
      <c r="DG149" s="128"/>
      <c r="DH149" s="128"/>
      <c r="DI149" s="836"/>
      <c r="DJ149" s="883"/>
      <c r="DK149" s="883"/>
      <c r="DL149" s="883"/>
      <c r="DM149" s="904"/>
      <c r="DN149" s="836"/>
      <c r="DO149" s="904"/>
      <c r="DP149" s="904"/>
      <c r="DQ149" s="883"/>
      <c r="DR149" s="883"/>
      <c r="DS149" s="836"/>
      <c r="DT149" s="883"/>
      <c r="DU149" s="883"/>
      <c r="DV149" s="883"/>
      <c r="DW149" s="883"/>
      <c r="DX149" s="836"/>
      <c r="DY149" s="883"/>
      <c r="DZ149" s="883"/>
      <c r="EA149" s="883"/>
      <c r="EB149" s="883"/>
      <c r="EC149" s="836"/>
      <c r="ED149" s="883"/>
      <c r="EE149" s="883"/>
      <c r="EF149" s="883"/>
      <c r="EG149" s="883"/>
      <c r="EH149" s="836"/>
      <c r="EI149" s="884"/>
      <c r="EJ149" s="904"/>
      <c r="EK149" s="904"/>
      <c r="EL149" s="904"/>
      <c r="EM149" s="836"/>
      <c r="EN149" s="904"/>
      <c r="EO149" s="904"/>
      <c r="EP149" s="904"/>
      <c r="EQ149" s="904"/>
      <c r="ER149" s="836"/>
      <c r="ES149" s="904"/>
      <c r="ET149" s="904"/>
      <c r="EU149" s="904"/>
      <c r="EV149" s="904"/>
      <c r="EW149" s="836"/>
      <c r="EX149" s="904"/>
      <c r="EY149" s="904"/>
      <c r="EZ149" s="904"/>
      <c r="FA149" s="904"/>
      <c r="FB149" s="836"/>
      <c r="FC149" s="904"/>
      <c r="FD149" s="904"/>
      <c r="FE149" s="904"/>
      <c r="FF149" s="904"/>
      <c r="FG149" s="836"/>
    </row>
    <row r="150" ht="12.75" customHeight="1">
      <c r="A150" s="907"/>
      <c r="B150" s="906" t="s">
        <v>223</v>
      </c>
      <c r="C150" s="906"/>
      <c r="D150" s="906"/>
      <c r="E150" s="906"/>
      <c r="F150" s="906"/>
      <c r="G150" s="906"/>
      <c r="H150" s="906"/>
      <c r="I150" s="906"/>
      <c r="J150" s="906"/>
      <c r="K150" s="906"/>
      <c r="L150" s="906"/>
      <c r="M150" s="906"/>
      <c r="N150" s="906"/>
      <c r="O150" s="906"/>
      <c r="P150" s="906"/>
      <c r="Q150" s="906"/>
      <c r="R150" s="908"/>
      <c r="S150" s="906"/>
      <c r="T150" s="906"/>
      <c r="U150" s="906"/>
      <c r="V150" s="906"/>
      <c r="W150" s="909"/>
      <c r="X150" s="907"/>
      <c r="Y150" s="907"/>
      <c r="Z150" s="907"/>
      <c r="AA150" s="907"/>
      <c r="AB150" s="910"/>
      <c r="AC150" s="907"/>
      <c r="AD150" s="907"/>
      <c r="AE150" s="907"/>
      <c r="AF150" s="907"/>
      <c r="AG150" s="910"/>
      <c r="AH150" s="907"/>
      <c r="AI150" s="907"/>
      <c r="AJ150" s="907"/>
      <c r="AK150" s="907"/>
      <c r="AL150" s="910"/>
      <c r="AM150" s="907"/>
      <c r="AN150" s="907"/>
      <c r="AO150" s="907"/>
      <c r="AP150" s="907"/>
      <c r="AQ150" s="910"/>
      <c r="AR150" s="907"/>
      <c r="AS150" s="907"/>
      <c r="AT150" s="907"/>
      <c r="AU150" s="907"/>
      <c r="AV150" s="910"/>
      <c r="AW150" s="907"/>
      <c r="AX150" s="907"/>
      <c r="AY150" s="907"/>
      <c r="AZ150" s="907"/>
      <c r="BA150" s="910"/>
      <c r="BB150" s="907"/>
      <c r="BC150" s="907"/>
      <c r="BD150" s="907"/>
      <c r="BE150" s="907"/>
      <c r="BF150" s="910"/>
      <c r="BG150" s="907"/>
      <c r="BH150" s="907"/>
      <c r="BI150" s="907"/>
      <c r="BJ150" s="907"/>
      <c r="BK150" s="910"/>
      <c r="BL150" s="907"/>
      <c r="BM150" s="907"/>
      <c r="BN150" s="907"/>
      <c r="BO150" s="907"/>
      <c r="BP150" s="910"/>
      <c r="BQ150" s="907"/>
      <c r="BR150" s="907"/>
      <c r="BS150" s="907"/>
      <c r="BT150" s="907"/>
      <c r="BU150" s="910"/>
      <c r="BV150" s="907"/>
      <c r="BW150" s="907"/>
      <c r="BX150" s="907"/>
      <c r="BY150" s="907"/>
      <c r="BZ150" s="910"/>
      <c r="CA150" s="907"/>
      <c r="CB150" s="907"/>
      <c r="CC150" s="907"/>
      <c r="CD150" s="907"/>
      <c r="CE150" s="910"/>
      <c r="CF150" s="907"/>
      <c r="CG150" s="907"/>
      <c r="CH150" s="907"/>
      <c r="CI150" s="907"/>
      <c r="CJ150" s="910"/>
      <c r="CK150" s="907"/>
      <c r="CL150" s="907"/>
      <c r="CM150" s="907"/>
      <c r="CN150" s="907"/>
      <c r="CO150" s="910"/>
      <c r="CP150" s="907"/>
      <c r="CQ150" s="907"/>
      <c r="CR150" s="907"/>
      <c r="CS150" s="907"/>
      <c r="CT150" s="910"/>
      <c r="CU150" s="907"/>
      <c r="CV150" s="907"/>
      <c r="CW150" s="907"/>
      <c r="CX150" s="907"/>
      <c r="CY150" s="910"/>
      <c r="CZ150" s="907"/>
      <c r="DA150" s="907"/>
      <c r="DB150" s="907"/>
      <c r="DC150" s="907"/>
      <c r="DD150" s="910"/>
      <c r="DE150" s="907"/>
      <c r="DF150" s="907"/>
      <c r="DG150" s="907"/>
      <c r="DH150" s="907"/>
      <c r="DI150" s="910"/>
      <c r="DJ150" s="911"/>
      <c r="DK150" s="911"/>
      <c r="DL150" s="911"/>
      <c r="DM150" s="911"/>
      <c r="DN150" s="910"/>
      <c r="DO150" s="911"/>
      <c r="DP150" s="911"/>
      <c r="DQ150" s="911"/>
      <c r="DR150" s="911"/>
      <c r="DS150" s="910"/>
      <c r="DT150" s="911"/>
      <c r="DU150" s="911"/>
      <c r="DV150" s="911"/>
      <c r="DW150" s="911"/>
      <c r="DX150" s="910"/>
      <c r="DY150" s="911"/>
      <c r="DZ150" s="911"/>
      <c r="EA150" s="911"/>
      <c r="EB150" s="883"/>
      <c r="EC150" s="910"/>
      <c r="ED150" s="911"/>
      <c r="EE150" s="911"/>
      <c r="EF150" s="911"/>
      <c r="EG150" s="911">
        <v>2528.0</v>
      </c>
      <c r="EH150" s="910"/>
      <c r="EI150" s="884">
        <f>EG150</f>
        <v>2528</v>
      </c>
      <c r="EJ150" s="911">
        <f t="shared" ref="EJ150:EL150" si="463">EI150</f>
        <v>2528</v>
      </c>
      <c r="EK150" s="911">
        <f t="shared" si="463"/>
        <v>2528</v>
      </c>
      <c r="EL150" s="911">
        <f t="shared" si="463"/>
        <v>2528</v>
      </c>
      <c r="EM150" s="910"/>
      <c r="EN150" s="911">
        <f>EL150</f>
        <v>2528</v>
      </c>
      <c r="EO150" s="911">
        <f t="shared" ref="EO150:EQ150" si="464">EN150</f>
        <v>2528</v>
      </c>
      <c r="EP150" s="911">
        <f t="shared" si="464"/>
        <v>2528</v>
      </c>
      <c r="EQ150" s="911">
        <f t="shared" si="464"/>
        <v>2528</v>
      </c>
      <c r="ER150" s="910"/>
      <c r="ES150" s="911">
        <f>EQ150</f>
        <v>2528</v>
      </c>
      <c r="ET150" s="911">
        <f t="shared" ref="ET150:EV150" si="465">ES150</f>
        <v>2528</v>
      </c>
      <c r="EU150" s="911">
        <f t="shared" si="465"/>
        <v>2528</v>
      </c>
      <c r="EV150" s="911">
        <f t="shared" si="465"/>
        <v>2528</v>
      </c>
      <c r="EW150" s="910"/>
      <c r="EX150" s="911">
        <f>EV150</f>
        <v>2528</v>
      </c>
      <c r="EY150" s="911">
        <f t="shared" ref="EY150:FA150" si="466">EX150</f>
        <v>2528</v>
      </c>
      <c r="EZ150" s="911">
        <f t="shared" si="466"/>
        <v>2528</v>
      </c>
      <c r="FA150" s="911">
        <f t="shared" si="466"/>
        <v>2528</v>
      </c>
      <c r="FB150" s="910"/>
      <c r="FC150" s="911">
        <f>FA150</f>
        <v>2528</v>
      </c>
      <c r="FD150" s="911">
        <f t="shared" ref="FD150:FF150" si="467">FC150</f>
        <v>2528</v>
      </c>
      <c r="FE150" s="911">
        <f t="shared" si="467"/>
        <v>2528</v>
      </c>
      <c r="FF150" s="911">
        <f t="shared" si="467"/>
        <v>2528</v>
      </c>
      <c r="FG150" s="910"/>
    </row>
    <row r="151" ht="12.75" customHeight="1">
      <c r="A151" s="128"/>
      <c r="B151" s="179" t="s">
        <v>681</v>
      </c>
      <c r="C151" s="179"/>
      <c r="D151" s="179"/>
      <c r="E151" s="179"/>
      <c r="F151" s="179"/>
      <c r="G151" s="179"/>
      <c r="H151" s="179"/>
      <c r="I151" s="179"/>
      <c r="J151" s="179"/>
      <c r="K151" s="179"/>
      <c r="L151" s="179"/>
      <c r="M151" s="179"/>
      <c r="N151" s="179"/>
      <c r="O151" s="179"/>
      <c r="P151" s="179"/>
      <c r="Q151" s="179"/>
      <c r="R151" s="57"/>
      <c r="S151" s="179"/>
      <c r="T151" s="179"/>
      <c r="U151" s="179"/>
      <c r="V151" s="179"/>
      <c r="W151" s="785"/>
      <c r="X151" s="128"/>
      <c r="Y151" s="128"/>
      <c r="Z151" s="128"/>
      <c r="AA151" s="128"/>
      <c r="AB151" s="837"/>
      <c r="AC151" s="128"/>
      <c r="AD151" s="128"/>
      <c r="AE151" s="128"/>
      <c r="AF151" s="128"/>
      <c r="AG151" s="837"/>
      <c r="AH151" s="128"/>
      <c r="AI151" s="128"/>
      <c r="AJ151" s="128"/>
      <c r="AK151" s="128"/>
      <c r="AL151" s="837"/>
      <c r="AM151" s="128"/>
      <c r="AN151" s="128"/>
      <c r="AO151" s="128"/>
      <c r="AP151" s="128"/>
      <c r="AQ151" s="837"/>
      <c r="AR151" s="128"/>
      <c r="AS151" s="128"/>
      <c r="AT151" s="128"/>
      <c r="AU151" s="128"/>
      <c r="AV151" s="837"/>
      <c r="AW151" s="128"/>
      <c r="AX151" s="128"/>
      <c r="AY151" s="128"/>
      <c r="AZ151" s="128"/>
      <c r="BA151" s="837"/>
      <c r="BB151" s="128"/>
      <c r="BC151" s="128"/>
      <c r="BD151" s="128"/>
      <c r="BE151" s="128"/>
      <c r="BF151" s="837"/>
      <c r="BG151" s="128"/>
      <c r="BH151" s="128"/>
      <c r="BI151" s="128"/>
      <c r="BJ151" s="128"/>
      <c r="BK151" s="837"/>
      <c r="BL151" s="128"/>
      <c r="BM151" s="128"/>
      <c r="BN151" s="128"/>
      <c r="BO151" s="128"/>
      <c r="BP151" s="837"/>
      <c r="BQ151" s="128"/>
      <c r="BR151" s="128"/>
      <c r="BS151" s="128"/>
      <c r="BT151" s="128"/>
      <c r="BU151" s="837"/>
      <c r="BV151" s="128"/>
      <c r="BW151" s="128"/>
      <c r="BX151" s="128"/>
      <c r="BY151" s="128"/>
      <c r="BZ151" s="837"/>
      <c r="CA151" s="128"/>
      <c r="CB151" s="128"/>
      <c r="CC151" s="128"/>
      <c r="CD151" s="128"/>
      <c r="CE151" s="837"/>
      <c r="CF151" s="128"/>
      <c r="CG151" s="128"/>
      <c r="CH151" s="128"/>
      <c r="CI151" s="128"/>
      <c r="CJ151" s="837"/>
      <c r="CK151" s="128"/>
      <c r="CL151" s="128"/>
      <c r="CM151" s="128"/>
      <c r="CN151" s="128"/>
      <c r="CO151" s="837"/>
      <c r="CP151" s="128"/>
      <c r="CQ151" s="128"/>
      <c r="CR151" s="128"/>
      <c r="CS151" s="128"/>
      <c r="CT151" s="836"/>
      <c r="CU151" s="128"/>
      <c r="CV151" s="128"/>
      <c r="CW151" s="128"/>
      <c r="CX151" s="128"/>
      <c r="CY151" s="836"/>
      <c r="CZ151" s="129"/>
      <c r="DA151" s="128"/>
      <c r="DB151" s="129"/>
      <c r="DC151" s="128"/>
      <c r="DD151" s="836"/>
      <c r="DE151" s="129"/>
      <c r="DF151" s="128"/>
      <c r="DG151" s="128"/>
      <c r="DH151" s="128"/>
      <c r="DI151" s="836"/>
      <c r="DJ151" s="883"/>
      <c r="DK151" s="883"/>
      <c r="DL151" s="883"/>
      <c r="DM151" s="904"/>
      <c r="DN151" s="836"/>
      <c r="DO151" s="904"/>
      <c r="DP151" s="904"/>
      <c r="DQ151" s="883"/>
      <c r="DR151" s="883"/>
      <c r="DS151" s="836"/>
      <c r="DT151" s="883"/>
      <c r="DU151" s="883"/>
      <c r="DV151" s="883"/>
      <c r="DW151" s="883"/>
      <c r="DX151" s="836"/>
      <c r="DY151" s="883"/>
      <c r="DZ151" s="883"/>
      <c r="EA151" s="883"/>
      <c r="EB151" s="883"/>
      <c r="EC151" s="836"/>
      <c r="ED151" s="883"/>
      <c r="EE151" s="883"/>
      <c r="EF151" s="883"/>
      <c r="EG151" s="883"/>
      <c r="EH151" s="836"/>
      <c r="EI151" s="884"/>
      <c r="EJ151" s="904"/>
      <c r="EK151" s="904"/>
      <c r="EL151" s="904"/>
      <c r="EM151" s="836"/>
      <c r="EN151" s="904"/>
      <c r="EO151" s="904"/>
      <c r="EP151" s="904"/>
      <c r="EQ151" s="904"/>
      <c r="ER151" s="836"/>
      <c r="ES151" s="904"/>
      <c r="ET151" s="904"/>
      <c r="EU151" s="904"/>
      <c r="EV151" s="904"/>
      <c r="EW151" s="836"/>
      <c r="EX151" s="904"/>
      <c r="EY151" s="904"/>
      <c r="EZ151" s="904"/>
      <c r="FA151" s="904"/>
      <c r="FB151" s="836"/>
      <c r="FC151" s="904"/>
      <c r="FD151" s="904"/>
      <c r="FE151" s="904"/>
      <c r="FF151" s="904"/>
      <c r="FG151" s="836"/>
    </row>
    <row r="152" ht="12.75" customHeight="1">
      <c r="A152" s="128"/>
      <c r="B152" s="179" t="s">
        <v>682</v>
      </c>
      <c r="C152" s="179"/>
      <c r="D152" s="179"/>
      <c r="E152" s="179"/>
      <c r="F152" s="179"/>
      <c r="G152" s="179"/>
      <c r="H152" s="179"/>
      <c r="I152" s="179"/>
      <c r="J152" s="179"/>
      <c r="K152" s="179"/>
      <c r="L152" s="179"/>
      <c r="M152" s="179"/>
      <c r="N152" s="179"/>
      <c r="O152" s="179"/>
      <c r="P152" s="179"/>
      <c r="Q152" s="179"/>
      <c r="R152" s="57"/>
      <c r="S152" s="179"/>
      <c r="T152" s="179"/>
      <c r="U152" s="179"/>
      <c r="V152" s="179"/>
      <c r="W152" s="785"/>
      <c r="X152" s="128"/>
      <c r="Y152" s="128"/>
      <c r="Z152" s="128"/>
      <c r="AA152" s="128"/>
      <c r="AB152" s="837"/>
      <c r="AC152" s="128"/>
      <c r="AD152" s="128"/>
      <c r="AE152" s="128"/>
      <c r="AF152" s="128"/>
      <c r="AG152" s="837"/>
      <c r="AH152" s="128"/>
      <c r="AI152" s="128"/>
      <c r="AJ152" s="128"/>
      <c r="AK152" s="128"/>
      <c r="AL152" s="837"/>
      <c r="AM152" s="128"/>
      <c r="AN152" s="128"/>
      <c r="AO152" s="128"/>
      <c r="AP152" s="128"/>
      <c r="AQ152" s="837"/>
      <c r="AR152" s="128"/>
      <c r="AS152" s="128"/>
      <c r="AT152" s="128"/>
      <c r="AU152" s="128"/>
      <c r="AV152" s="837"/>
      <c r="AW152" s="128"/>
      <c r="AX152" s="128"/>
      <c r="AY152" s="128"/>
      <c r="AZ152" s="128"/>
      <c r="BA152" s="837"/>
      <c r="BB152" s="128"/>
      <c r="BC152" s="128"/>
      <c r="BD152" s="128"/>
      <c r="BE152" s="128"/>
      <c r="BF152" s="837"/>
      <c r="BG152" s="128"/>
      <c r="BH152" s="128"/>
      <c r="BI152" s="128"/>
      <c r="BJ152" s="128"/>
      <c r="BK152" s="837"/>
      <c r="BL152" s="128"/>
      <c r="BM152" s="128"/>
      <c r="BN152" s="128"/>
      <c r="BO152" s="128"/>
      <c r="BP152" s="837"/>
      <c r="BQ152" s="128"/>
      <c r="BR152" s="128"/>
      <c r="BS152" s="128"/>
      <c r="BT152" s="128"/>
      <c r="BU152" s="837"/>
      <c r="BV152" s="128"/>
      <c r="BW152" s="128"/>
      <c r="BX152" s="128"/>
      <c r="BY152" s="128"/>
      <c r="BZ152" s="837"/>
      <c r="CA152" s="128"/>
      <c r="CB152" s="128"/>
      <c r="CC152" s="128"/>
      <c r="CD152" s="128"/>
      <c r="CE152" s="837"/>
      <c r="CF152" s="128"/>
      <c r="CG152" s="128"/>
      <c r="CH152" s="128"/>
      <c r="CI152" s="128"/>
      <c r="CJ152" s="837"/>
      <c r="CK152" s="128"/>
      <c r="CL152" s="128"/>
      <c r="CM152" s="128"/>
      <c r="CN152" s="128"/>
      <c r="CO152" s="837"/>
      <c r="CP152" s="128"/>
      <c r="CQ152" s="128"/>
      <c r="CR152" s="128"/>
      <c r="CS152" s="128"/>
      <c r="CT152" s="836"/>
      <c r="CU152" s="128"/>
      <c r="CV152" s="128"/>
      <c r="CW152" s="128"/>
      <c r="CX152" s="128"/>
      <c r="CY152" s="836"/>
      <c r="CZ152" s="129"/>
      <c r="DA152" s="128"/>
      <c r="DB152" s="129"/>
      <c r="DC152" s="128"/>
      <c r="DD152" s="836"/>
      <c r="DE152" s="129"/>
      <c r="DF152" s="128"/>
      <c r="DG152" s="128"/>
      <c r="DH152" s="128"/>
      <c r="DI152" s="836"/>
      <c r="DJ152" s="883"/>
      <c r="DK152" s="883"/>
      <c r="DL152" s="883"/>
      <c r="DM152" s="904"/>
      <c r="DN152" s="836"/>
      <c r="DO152" s="904"/>
      <c r="DP152" s="904"/>
      <c r="DQ152" s="883"/>
      <c r="DR152" s="883"/>
      <c r="DS152" s="836"/>
      <c r="DT152" s="883">
        <v>423.0</v>
      </c>
      <c r="DU152" s="883">
        <v>423.0</v>
      </c>
      <c r="DV152" s="883">
        <v>423.0</v>
      </c>
      <c r="DW152" s="883">
        <v>423.0</v>
      </c>
      <c r="DX152" s="836"/>
      <c r="DY152" s="883">
        <f t="shared" ref="DY152:DZ152" si="468">156.6+125+141.9</f>
        <v>423.5</v>
      </c>
      <c r="DZ152" s="883">
        <f t="shared" si="468"/>
        <v>423.5</v>
      </c>
      <c r="EA152" s="883">
        <v>423.0</v>
      </c>
      <c r="EB152" s="883">
        <v>423.0</v>
      </c>
      <c r="EC152" s="836"/>
      <c r="ED152" s="883">
        <v>423.0</v>
      </c>
      <c r="EE152" s="883">
        <v>423.0</v>
      </c>
      <c r="EF152" s="883">
        <v>423.0</v>
      </c>
      <c r="EG152" s="883">
        <v>423.0</v>
      </c>
      <c r="EH152" s="836"/>
      <c r="EI152" s="884">
        <v>423.0</v>
      </c>
      <c r="EJ152" s="904">
        <v>423.0</v>
      </c>
      <c r="EK152" s="904">
        <v>423.0</v>
      </c>
      <c r="EL152" s="904">
        <v>423.0</v>
      </c>
      <c r="EM152" s="836"/>
      <c r="EN152" s="904">
        <v>423.0</v>
      </c>
      <c r="EO152" s="904">
        <v>423.0</v>
      </c>
      <c r="EP152" s="904">
        <v>423.0</v>
      </c>
      <c r="EQ152" s="904">
        <v>423.0</v>
      </c>
      <c r="ER152" s="836"/>
      <c r="ES152" s="904">
        <v>423.0</v>
      </c>
      <c r="ET152" s="904">
        <v>423.0</v>
      </c>
      <c r="EU152" s="904">
        <v>423.0</v>
      </c>
      <c r="EV152" s="904">
        <v>423.0</v>
      </c>
      <c r="EW152" s="836"/>
      <c r="EX152" s="904">
        <v>423.0</v>
      </c>
      <c r="EY152" s="904">
        <v>423.0</v>
      </c>
      <c r="EZ152" s="904">
        <v>423.0</v>
      </c>
      <c r="FA152" s="904">
        <v>423.0</v>
      </c>
      <c r="FB152" s="836"/>
      <c r="FC152" s="904">
        <v>423.0</v>
      </c>
      <c r="FD152" s="904">
        <v>423.0</v>
      </c>
      <c r="FE152" s="904">
        <v>423.0</v>
      </c>
      <c r="FF152" s="904">
        <v>423.0</v>
      </c>
      <c r="FG152" s="836"/>
    </row>
    <row r="153" ht="12.75" customHeight="1">
      <c r="A153" s="128"/>
      <c r="B153" s="912" t="s">
        <v>683</v>
      </c>
      <c r="C153" s="179"/>
      <c r="D153" s="179"/>
      <c r="E153" s="179"/>
      <c r="F153" s="179"/>
      <c r="G153" s="179"/>
      <c r="H153" s="179"/>
      <c r="I153" s="179"/>
      <c r="J153" s="179"/>
      <c r="K153" s="179"/>
      <c r="L153" s="179"/>
      <c r="M153" s="179"/>
      <c r="N153" s="179"/>
      <c r="O153" s="179"/>
      <c r="P153" s="179"/>
      <c r="Q153" s="179"/>
      <c r="R153" s="57"/>
      <c r="S153" s="179"/>
      <c r="T153" s="179"/>
      <c r="U153" s="179"/>
      <c r="V153" s="179"/>
      <c r="W153" s="785"/>
      <c r="X153" s="128"/>
      <c r="Y153" s="128"/>
      <c r="Z153" s="128"/>
      <c r="AA153" s="128"/>
      <c r="AB153" s="837"/>
      <c r="AC153" s="128"/>
      <c r="AD153" s="128"/>
      <c r="AE153" s="128"/>
      <c r="AF153" s="128"/>
      <c r="AG153" s="837"/>
      <c r="AH153" s="128"/>
      <c r="AI153" s="128"/>
      <c r="AJ153" s="128"/>
      <c r="AK153" s="128"/>
      <c r="AL153" s="837"/>
      <c r="AM153" s="128"/>
      <c r="AN153" s="128"/>
      <c r="AO153" s="128"/>
      <c r="AP153" s="128"/>
      <c r="AQ153" s="837"/>
      <c r="AR153" s="128"/>
      <c r="AS153" s="128"/>
      <c r="AT153" s="128"/>
      <c r="AU153" s="128"/>
      <c r="AV153" s="837"/>
      <c r="AW153" s="128"/>
      <c r="AX153" s="128"/>
      <c r="AY153" s="128"/>
      <c r="AZ153" s="128"/>
      <c r="BA153" s="837"/>
      <c r="BB153" s="128"/>
      <c r="BC153" s="128"/>
      <c r="BD153" s="128"/>
      <c r="BE153" s="128"/>
      <c r="BF153" s="837"/>
      <c r="BG153" s="128"/>
      <c r="BH153" s="128"/>
      <c r="BI153" s="128"/>
      <c r="BJ153" s="128"/>
      <c r="BK153" s="837"/>
      <c r="BL153" s="128"/>
      <c r="BM153" s="128"/>
      <c r="BN153" s="128"/>
      <c r="BO153" s="128"/>
      <c r="BP153" s="837"/>
      <c r="BQ153" s="128"/>
      <c r="BR153" s="128"/>
      <c r="BS153" s="128"/>
      <c r="BT153" s="128"/>
      <c r="BU153" s="837"/>
      <c r="BV153" s="128"/>
      <c r="BW153" s="128"/>
      <c r="BX153" s="128"/>
      <c r="BY153" s="128"/>
      <c r="BZ153" s="837"/>
      <c r="CA153" s="128"/>
      <c r="CB153" s="128"/>
      <c r="CC153" s="128"/>
      <c r="CD153" s="128"/>
      <c r="CE153" s="837"/>
      <c r="CF153" s="128"/>
      <c r="CG153" s="128"/>
      <c r="CH153" s="128"/>
      <c r="CI153" s="128"/>
      <c r="CJ153" s="837"/>
      <c r="CK153" s="128"/>
      <c r="CL153" s="128"/>
      <c r="CM153" s="128"/>
      <c r="CN153" s="128"/>
      <c r="CO153" s="837"/>
      <c r="CP153" s="128"/>
      <c r="CQ153" s="128"/>
      <c r="CR153" s="128"/>
      <c r="CS153" s="128"/>
      <c r="CT153" s="836"/>
      <c r="CU153" s="128"/>
      <c r="CV153" s="128"/>
      <c r="CW153" s="128"/>
      <c r="CX153" s="128"/>
      <c r="CY153" s="836"/>
      <c r="CZ153" s="129"/>
      <c r="DA153" s="128"/>
      <c r="DB153" s="129"/>
      <c r="DC153" s="128"/>
      <c r="DD153" s="836"/>
      <c r="DE153" s="129"/>
      <c r="DF153" s="128"/>
      <c r="DG153" s="128"/>
      <c r="DH153" s="128"/>
      <c r="DI153" s="836"/>
      <c r="DJ153" s="883"/>
      <c r="DK153" s="883"/>
      <c r="DL153" s="883"/>
      <c r="DM153" s="904"/>
      <c r="DN153" s="836"/>
      <c r="DO153" s="904"/>
      <c r="DP153" s="904"/>
      <c r="DQ153" s="883"/>
      <c r="DR153" s="883"/>
      <c r="DS153" s="836"/>
      <c r="DT153" s="883">
        <v>138.0</v>
      </c>
      <c r="DU153" s="883">
        <v>138.0</v>
      </c>
      <c r="DV153" s="883">
        <v>138.0</v>
      </c>
      <c r="DW153" s="883">
        <v>138.0</v>
      </c>
      <c r="DX153" s="836"/>
      <c r="DY153" s="883">
        <v>138.0</v>
      </c>
      <c r="DZ153" s="883">
        <v>138.0</v>
      </c>
      <c r="EA153" s="883">
        <v>138.0</v>
      </c>
      <c r="EB153" s="883">
        <v>138.0</v>
      </c>
      <c r="EC153" s="836"/>
      <c r="ED153" s="883">
        <v>138.0</v>
      </c>
      <c r="EE153" s="883">
        <v>138.0</v>
      </c>
      <c r="EF153" s="883">
        <v>138.0</v>
      </c>
      <c r="EG153" s="883">
        <v>138.0</v>
      </c>
      <c r="EH153" s="836"/>
      <c r="EI153" s="884">
        <v>138.0</v>
      </c>
      <c r="EJ153" s="904">
        <v>138.0</v>
      </c>
      <c r="EK153" s="904">
        <v>138.0</v>
      </c>
      <c r="EL153" s="904">
        <v>138.0</v>
      </c>
      <c r="EM153" s="836"/>
      <c r="EN153" s="904">
        <v>138.0</v>
      </c>
      <c r="EO153" s="904">
        <v>138.0</v>
      </c>
      <c r="EP153" s="904">
        <v>138.0</v>
      </c>
      <c r="EQ153" s="904">
        <v>138.0</v>
      </c>
      <c r="ER153" s="836"/>
      <c r="ES153" s="904">
        <v>138.0</v>
      </c>
      <c r="ET153" s="904">
        <v>138.0</v>
      </c>
      <c r="EU153" s="904">
        <v>138.0</v>
      </c>
      <c r="EV153" s="904">
        <v>138.0</v>
      </c>
      <c r="EW153" s="836"/>
      <c r="EX153" s="904">
        <v>138.0</v>
      </c>
      <c r="EY153" s="904">
        <v>138.0</v>
      </c>
      <c r="EZ153" s="904">
        <v>138.0</v>
      </c>
      <c r="FA153" s="904">
        <v>138.0</v>
      </c>
      <c r="FB153" s="836"/>
      <c r="FC153" s="904">
        <v>138.0</v>
      </c>
      <c r="FD153" s="904">
        <v>138.0</v>
      </c>
      <c r="FE153" s="904">
        <v>138.0</v>
      </c>
      <c r="FF153" s="904">
        <v>138.0</v>
      </c>
      <c r="FG153" s="836"/>
    </row>
    <row r="154" ht="12.75" customHeight="1">
      <c r="A154" s="128"/>
      <c r="B154" s="179" t="s">
        <v>684</v>
      </c>
      <c r="C154" s="179"/>
      <c r="D154" s="179"/>
      <c r="E154" s="179"/>
      <c r="F154" s="179"/>
      <c r="G154" s="179"/>
      <c r="H154" s="179"/>
      <c r="I154" s="179"/>
      <c r="J154" s="179"/>
      <c r="K154" s="179"/>
      <c r="L154" s="179"/>
      <c r="M154" s="179"/>
      <c r="N154" s="179"/>
      <c r="O154" s="179"/>
      <c r="P154" s="179"/>
      <c r="Q154" s="179"/>
      <c r="R154" s="57"/>
      <c r="S154" s="179"/>
      <c r="T154" s="179"/>
      <c r="U154" s="179"/>
      <c r="V154" s="179"/>
      <c r="W154" s="785"/>
      <c r="X154" s="128"/>
      <c r="Y154" s="128"/>
      <c r="Z154" s="128"/>
      <c r="AA154" s="128"/>
      <c r="AB154" s="837"/>
      <c r="AC154" s="128"/>
      <c r="AD154" s="128"/>
      <c r="AE154" s="128"/>
      <c r="AF154" s="128"/>
      <c r="AG154" s="837"/>
      <c r="AH154" s="128"/>
      <c r="AI154" s="128"/>
      <c r="AJ154" s="128"/>
      <c r="AK154" s="128"/>
      <c r="AL154" s="837"/>
      <c r="AM154" s="128"/>
      <c r="AN154" s="128"/>
      <c r="AO154" s="128"/>
      <c r="AP154" s="128"/>
      <c r="AQ154" s="837"/>
      <c r="AR154" s="128"/>
      <c r="AS154" s="128"/>
      <c r="AT154" s="128"/>
      <c r="AU154" s="128"/>
      <c r="AV154" s="837"/>
      <c r="AW154" s="128"/>
      <c r="AX154" s="128"/>
      <c r="AY154" s="128"/>
      <c r="AZ154" s="128"/>
      <c r="BA154" s="837"/>
      <c r="BB154" s="128"/>
      <c r="BC154" s="128"/>
      <c r="BD154" s="128"/>
      <c r="BE154" s="128"/>
      <c r="BF154" s="837"/>
      <c r="BG154" s="128"/>
      <c r="BH154" s="128"/>
      <c r="BI154" s="128"/>
      <c r="BJ154" s="128"/>
      <c r="BK154" s="837"/>
      <c r="BL154" s="128"/>
      <c r="BM154" s="128"/>
      <c r="BN154" s="128"/>
      <c r="BO154" s="128"/>
      <c r="BP154" s="837"/>
      <c r="BQ154" s="128"/>
      <c r="BR154" s="128"/>
      <c r="BS154" s="128"/>
      <c r="BT154" s="128"/>
      <c r="BU154" s="837"/>
      <c r="BV154" s="128"/>
      <c r="BW154" s="128"/>
      <c r="BX154" s="128"/>
      <c r="BY154" s="128"/>
      <c r="BZ154" s="837"/>
      <c r="CA154" s="128"/>
      <c r="CB154" s="128"/>
      <c r="CC154" s="128"/>
      <c r="CD154" s="128"/>
      <c r="CE154" s="837"/>
      <c r="CF154" s="128"/>
      <c r="CG154" s="128"/>
      <c r="CH154" s="128"/>
      <c r="CI154" s="128"/>
      <c r="CJ154" s="837"/>
      <c r="CK154" s="128"/>
      <c r="CL154" s="128"/>
      <c r="CM154" s="128"/>
      <c r="CN154" s="128"/>
      <c r="CO154" s="837"/>
      <c r="CP154" s="128"/>
      <c r="CQ154" s="128"/>
      <c r="CR154" s="128"/>
      <c r="CS154" s="128"/>
      <c r="CT154" s="836"/>
      <c r="CU154" s="128"/>
      <c r="CV154" s="128"/>
      <c r="CW154" s="128"/>
      <c r="CX154" s="128"/>
      <c r="CY154" s="836"/>
      <c r="CZ154" s="129"/>
      <c r="DA154" s="128"/>
      <c r="DB154" s="129"/>
      <c r="DC154" s="128"/>
      <c r="DD154" s="836"/>
      <c r="DE154" s="129"/>
      <c r="DF154" s="128"/>
      <c r="DG154" s="128"/>
      <c r="DH154" s="128"/>
      <c r="DI154" s="836"/>
      <c r="DJ154" s="883"/>
      <c r="DK154" s="883"/>
      <c r="DL154" s="883"/>
      <c r="DM154" s="904"/>
      <c r="DN154" s="836"/>
      <c r="DO154" s="904"/>
      <c r="DP154" s="904"/>
      <c r="DQ154" s="883"/>
      <c r="DR154" s="883"/>
      <c r="DS154" s="836"/>
      <c r="DT154" s="883">
        <v>438.0</v>
      </c>
      <c r="DU154" s="883">
        <v>438.0</v>
      </c>
      <c r="DV154" s="883">
        <v>438.0</v>
      </c>
      <c r="DW154" s="883">
        <v>438.0</v>
      </c>
      <c r="DX154" s="836"/>
      <c r="DY154" s="883">
        <v>438.0</v>
      </c>
      <c r="DZ154" s="883">
        <v>438.0</v>
      </c>
      <c r="EA154" s="883">
        <v>438.0</v>
      </c>
      <c r="EB154" s="883">
        <v>438.0</v>
      </c>
      <c r="EC154" s="836"/>
      <c r="ED154" s="883">
        <v>438.0</v>
      </c>
      <c r="EE154" s="883">
        <v>438.0</v>
      </c>
      <c r="EF154" s="883">
        <v>438.0</v>
      </c>
      <c r="EG154" s="883">
        <v>438.0</v>
      </c>
      <c r="EH154" s="836"/>
      <c r="EI154" s="884">
        <v>438.0</v>
      </c>
      <c r="EJ154" s="904">
        <v>438.0</v>
      </c>
      <c r="EK154" s="904">
        <v>438.0</v>
      </c>
      <c r="EL154" s="904">
        <v>438.0</v>
      </c>
      <c r="EM154" s="836"/>
      <c r="EN154" s="904">
        <v>438.0</v>
      </c>
      <c r="EO154" s="904">
        <v>438.0</v>
      </c>
      <c r="EP154" s="904">
        <v>438.0</v>
      </c>
      <c r="EQ154" s="904">
        <v>438.0</v>
      </c>
      <c r="ER154" s="836"/>
      <c r="ES154" s="904">
        <v>438.0</v>
      </c>
      <c r="ET154" s="904">
        <v>438.0</v>
      </c>
      <c r="EU154" s="904">
        <v>438.0</v>
      </c>
      <c r="EV154" s="904">
        <v>438.0</v>
      </c>
      <c r="EW154" s="836"/>
      <c r="EX154" s="904">
        <v>438.0</v>
      </c>
      <c r="EY154" s="904">
        <v>438.0</v>
      </c>
      <c r="EZ154" s="904">
        <v>438.0</v>
      </c>
      <c r="FA154" s="904">
        <v>438.0</v>
      </c>
      <c r="FB154" s="836"/>
      <c r="FC154" s="904">
        <v>438.0</v>
      </c>
      <c r="FD154" s="904">
        <v>438.0</v>
      </c>
      <c r="FE154" s="904">
        <v>438.0</v>
      </c>
      <c r="FF154" s="904">
        <v>438.0</v>
      </c>
      <c r="FG154" s="836"/>
    </row>
    <row r="155" ht="12.75" customHeight="1">
      <c r="A155" s="128"/>
      <c r="B155" s="179" t="s">
        <v>685</v>
      </c>
      <c r="C155" s="179"/>
      <c r="D155" s="179"/>
      <c r="E155" s="179"/>
      <c r="F155" s="179"/>
      <c r="G155" s="179"/>
      <c r="H155" s="179"/>
      <c r="I155" s="179"/>
      <c r="J155" s="179"/>
      <c r="K155" s="179"/>
      <c r="L155" s="179"/>
      <c r="M155" s="179"/>
      <c r="N155" s="179"/>
      <c r="O155" s="179"/>
      <c r="P155" s="179"/>
      <c r="Q155" s="179"/>
      <c r="R155" s="57"/>
      <c r="S155" s="179"/>
      <c r="T155" s="179"/>
      <c r="U155" s="179"/>
      <c r="V155" s="179"/>
      <c r="W155" s="785"/>
      <c r="X155" s="128"/>
      <c r="Y155" s="128"/>
      <c r="Z155" s="128"/>
      <c r="AA155" s="128"/>
      <c r="AB155" s="837"/>
      <c r="AC155" s="128"/>
      <c r="AD155" s="128"/>
      <c r="AE155" s="128"/>
      <c r="AF155" s="128"/>
      <c r="AG155" s="837"/>
      <c r="AH155" s="128"/>
      <c r="AI155" s="128"/>
      <c r="AJ155" s="128"/>
      <c r="AK155" s="128"/>
      <c r="AL155" s="837"/>
      <c r="AM155" s="128"/>
      <c r="AN155" s="128"/>
      <c r="AO155" s="128"/>
      <c r="AP155" s="128"/>
      <c r="AQ155" s="837"/>
      <c r="AR155" s="128"/>
      <c r="AS155" s="128"/>
      <c r="AT155" s="128"/>
      <c r="AU155" s="128"/>
      <c r="AV155" s="837"/>
      <c r="AW155" s="128"/>
      <c r="AX155" s="128"/>
      <c r="AY155" s="128"/>
      <c r="AZ155" s="128"/>
      <c r="BA155" s="837"/>
      <c r="BB155" s="128"/>
      <c r="BC155" s="128"/>
      <c r="BD155" s="128"/>
      <c r="BE155" s="128"/>
      <c r="BF155" s="837"/>
      <c r="BG155" s="128"/>
      <c r="BH155" s="128"/>
      <c r="BI155" s="128"/>
      <c r="BJ155" s="128"/>
      <c r="BK155" s="837"/>
      <c r="BL155" s="128"/>
      <c r="BM155" s="128"/>
      <c r="BN155" s="128"/>
      <c r="BO155" s="128"/>
      <c r="BP155" s="837"/>
      <c r="BQ155" s="128"/>
      <c r="BR155" s="128"/>
      <c r="BS155" s="128"/>
      <c r="BT155" s="128"/>
      <c r="BU155" s="837"/>
      <c r="BV155" s="128"/>
      <c r="BW155" s="128"/>
      <c r="BX155" s="128"/>
      <c r="BY155" s="128"/>
      <c r="BZ155" s="837"/>
      <c r="CA155" s="128"/>
      <c r="CB155" s="128"/>
      <c r="CC155" s="128"/>
      <c r="CD155" s="128"/>
      <c r="CE155" s="837"/>
      <c r="CF155" s="128"/>
      <c r="CG155" s="128"/>
      <c r="CH155" s="128"/>
      <c r="CI155" s="128"/>
      <c r="CJ155" s="837"/>
      <c r="CK155" s="128"/>
      <c r="CL155" s="128"/>
      <c r="CM155" s="128"/>
      <c r="CN155" s="128"/>
      <c r="CO155" s="837"/>
      <c r="CP155" s="128"/>
      <c r="CQ155" s="128"/>
      <c r="CR155" s="128"/>
      <c r="CS155" s="128"/>
      <c r="CT155" s="836"/>
      <c r="CU155" s="128"/>
      <c r="CV155" s="128"/>
      <c r="CW155" s="128"/>
      <c r="CX155" s="128"/>
      <c r="CY155" s="836"/>
      <c r="CZ155" s="129"/>
      <c r="DA155" s="128"/>
      <c r="DB155" s="129"/>
      <c r="DC155" s="128"/>
      <c r="DD155" s="836"/>
      <c r="DE155" s="129"/>
      <c r="DF155" s="128"/>
      <c r="DG155" s="128">
        <v>1004.0</v>
      </c>
      <c r="DH155" s="128">
        <v>1004.0</v>
      </c>
      <c r="DI155" s="836"/>
      <c r="DJ155" s="883">
        <v>1004.0</v>
      </c>
      <c r="DK155" s="883">
        <v>1004.0</v>
      </c>
      <c r="DL155" s="883">
        <v>1004.0</v>
      </c>
      <c r="DM155" s="904">
        <v>423.0</v>
      </c>
      <c r="DN155" s="836"/>
      <c r="DO155" s="904">
        <v>1004.0</v>
      </c>
      <c r="DP155" s="904">
        <v>1004.0</v>
      </c>
      <c r="DQ155" s="883">
        <v>1004.0</v>
      </c>
      <c r="DR155" s="883">
        <v>0.0</v>
      </c>
      <c r="DS155" s="836"/>
      <c r="DT155" s="883"/>
      <c r="DU155" s="883"/>
      <c r="DV155" s="883"/>
      <c r="DW155" s="883"/>
      <c r="DX155" s="836"/>
      <c r="DY155" s="883"/>
      <c r="DZ155" s="883"/>
      <c r="EA155" s="883"/>
      <c r="EB155" s="883"/>
      <c r="EC155" s="836"/>
      <c r="ED155" s="883"/>
      <c r="EE155" s="883"/>
      <c r="EF155" s="883"/>
      <c r="EG155" s="883"/>
      <c r="EH155" s="836"/>
      <c r="EI155" s="884"/>
      <c r="EJ155" s="904"/>
      <c r="EK155" s="904"/>
      <c r="EL155" s="904"/>
      <c r="EM155" s="836"/>
      <c r="EN155" s="904"/>
      <c r="EO155" s="904"/>
      <c r="EP155" s="904"/>
      <c r="EQ155" s="904"/>
      <c r="ER155" s="836"/>
      <c r="ES155" s="904"/>
      <c r="ET155" s="904"/>
      <c r="EU155" s="904"/>
      <c r="EV155" s="904"/>
      <c r="EW155" s="836"/>
      <c r="EX155" s="904"/>
      <c r="EY155" s="904"/>
      <c r="EZ155" s="904"/>
      <c r="FA155" s="904"/>
      <c r="FB155" s="836"/>
      <c r="FC155" s="904"/>
      <c r="FD155" s="904"/>
      <c r="FE155" s="904"/>
      <c r="FF155" s="904"/>
      <c r="FG155" s="836"/>
    </row>
    <row r="156" ht="12.75" customHeight="1">
      <c r="A156" s="128"/>
      <c r="B156" s="179" t="s">
        <v>686</v>
      </c>
      <c r="C156" s="179"/>
      <c r="D156" s="179"/>
      <c r="E156" s="179"/>
      <c r="F156" s="179"/>
      <c r="G156" s="179"/>
      <c r="H156" s="179"/>
      <c r="I156" s="179"/>
      <c r="J156" s="179"/>
      <c r="K156" s="179"/>
      <c r="L156" s="179"/>
      <c r="M156" s="179"/>
      <c r="N156" s="179"/>
      <c r="O156" s="179"/>
      <c r="P156" s="179"/>
      <c r="Q156" s="179"/>
      <c r="R156" s="57"/>
      <c r="S156" s="179"/>
      <c r="T156" s="179"/>
      <c r="U156" s="179"/>
      <c r="V156" s="179"/>
      <c r="W156" s="785"/>
      <c r="X156" s="128"/>
      <c r="Y156" s="128"/>
      <c r="Z156" s="128"/>
      <c r="AA156" s="128"/>
      <c r="AB156" s="837"/>
      <c r="AC156" s="128"/>
      <c r="AD156" s="128"/>
      <c r="AE156" s="128"/>
      <c r="AF156" s="128"/>
      <c r="AG156" s="837"/>
      <c r="AH156" s="128"/>
      <c r="AI156" s="128"/>
      <c r="AJ156" s="128"/>
      <c r="AK156" s="128"/>
      <c r="AL156" s="837"/>
      <c r="AM156" s="128"/>
      <c r="AN156" s="128"/>
      <c r="AO156" s="128"/>
      <c r="AP156" s="128"/>
      <c r="AQ156" s="837"/>
      <c r="AR156" s="128"/>
      <c r="AS156" s="128"/>
      <c r="AT156" s="128"/>
      <c r="AU156" s="128"/>
      <c r="AV156" s="837"/>
      <c r="AW156" s="128"/>
      <c r="AX156" s="128"/>
      <c r="AY156" s="128"/>
      <c r="AZ156" s="128"/>
      <c r="BA156" s="837"/>
      <c r="BB156" s="128"/>
      <c r="BC156" s="128"/>
      <c r="BD156" s="128"/>
      <c r="BE156" s="128"/>
      <c r="BF156" s="837"/>
      <c r="BG156" s="128"/>
      <c r="BH156" s="128"/>
      <c r="BI156" s="128"/>
      <c r="BJ156" s="128"/>
      <c r="BK156" s="837"/>
      <c r="BL156" s="128"/>
      <c r="BM156" s="128"/>
      <c r="BN156" s="128"/>
      <c r="BO156" s="128"/>
      <c r="BP156" s="837"/>
      <c r="BQ156" s="128"/>
      <c r="BR156" s="128"/>
      <c r="BS156" s="128"/>
      <c r="BT156" s="128"/>
      <c r="BU156" s="837"/>
      <c r="BV156" s="128"/>
      <c r="BW156" s="128"/>
      <c r="BX156" s="128"/>
      <c r="BY156" s="128"/>
      <c r="BZ156" s="837"/>
      <c r="CA156" s="128"/>
      <c r="CB156" s="128"/>
      <c r="CC156" s="128"/>
      <c r="CD156" s="128"/>
      <c r="CE156" s="837"/>
      <c r="CF156" s="128"/>
      <c r="CG156" s="128"/>
      <c r="CH156" s="128"/>
      <c r="CI156" s="128"/>
      <c r="CJ156" s="837"/>
      <c r="CK156" s="128"/>
      <c r="CL156" s="128"/>
      <c r="CM156" s="128"/>
      <c r="CN156" s="128"/>
      <c r="CO156" s="837"/>
      <c r="CP156" s="128"/>
      <c r="CQ156" s="128"/>
      <c r="CR156" s="128"/>
      <c r="CS156" s="128"/>
      <c r="CT156" s="836"/>
      <c r="CU156" s="128"/>
      <c r="CV156" s="128"/>
      <c r="CW156" s="128"/>
      <c r="CX156" s="128"/>
      <c r="CY156" s="836"/>
      <c r="CZ156" s="129"/>
      <c r="DA156" s="128"/>
      <c r="DB156" s="129"/>
      <c r="DC156" s="128"/>
      <c r="DD156" s="836"/>
      <c r="DE156" s="129"/>
      <c r="DF156" s="128"/>
      <c r="DG156" s="128">
        <v>1130.0</v>
      </c>
      <c r="DH156" s="128">
        <v>1130.0</v>
      </c>
      <c r="DI156" s="836"/>
      <c r="DJ156" s="883">
        <v>1130.0</v>
      </c>
      <c r="DK156" s="883">
        <v>1130.0</v>
      </c>
      <c r="DL156" s="883">
        <v>1130.0</v>
      </c>
      <c r="DM156" s="904">
        <v>988.0</v>
      </c>
      <c r="DN156" s="836"/>
      <c r="DO156" s="904">
        <v>1130.0</v>
      </c>
      <c r="DP156" s="904">
        <v>1130.0</v>
      </c>
      <c r="DQ156" s="883">
        <v>1130.0</v>
      </c>
      <c r="DR156" s="883">
        <v>0.0</v>
      </c>
      <c r="DS156" s="836"/>
      <c r="DT156" s="883"/>
      <c r="DU156" s="883"/>
      <c r="DV156" s="883"/>
      <c r="DW156" s="883"/>
      <c r="DX156" s="836"/>
      <c r="DY156" s="883"/>
      <c r="DZ156" s="883"/>
      <c r="EA156" s="883"/>
      <c r="EB156" s="883"/>
      <c r="EC156" s="836"/>
      <c r="ED156" s="883"/>
      <c r="EE156" s="883"/>
      <c r="EF156" s="883"/>
      <c r="EG156" s="883"/>
      <c r="EH156" s="836"/>
      <c r="EI156" s="884"/>
      <c r="EJ156" s="904"/>
      <c r="EK156" s="904"/>
      <c r="EL156" s="904"/>
      <c r="EM156" s="836"/>
      <c r="EN156" s="904"/>
      <c r="EO156" s="904"/>
      <c r="EP156" s="904"/>
      <c r="EQ156" s="904"/>
      <c r="ER156" s="836"/>
      <c r="ES156" s="904"/>
      <c r="ET156" s="904"/>
      <c r="EU156" s="904"/>
      <c r="EV156" s="904"/>
      <c r="EW156" s="836"/>
      <c r="EX156" s="904"/>
      <c r="EY156" s="904"/>
      <c r="EZ156" s="904"/>
      <c r="FA156" s="904"/>
      <c r="FB156" s="836"/>
      <c r="FC156" s="904"/>
      <c r="FD156" s="904"/>
      <c r="FE156" s="904"/>
      <c r="FF156" s="904"/>
      <c r="FG156" s="836"/>
    </row>
    <row r="157" ht="12.75" customHeight="1">
      <c r="A157" s="913"/>
      <c r="B157" s="914" t="s">
        <v>687</v>
      </c>
      <c r="C157" s="914"/>
      <c r="D157" s="914"/>
      <c r="E157" s="914"/>
      <c r="F157" s="914"/>
      <c r="G157" s="914"/>
      <c r="H157" s="914"/>
      <c r="I157" s="914"/>
      <c r="J157" s="914"/>
      <c r="K157" s="914"/>
      <c r="L157" s="914"/>
      <c r="M157" s="914"/>
      <c r="N157" s="914"/>
      <c r="O157" s="914"/>
      <c r="P157" s="914"/>
      <c r="Q157" s="914"/>
      <c r="R157" s="915"/>
      <c r="S157" s="914"/>
      <c r="T157" s="914"/>
      <c r="U157" s="914"/>
      <c r="V157" s="914"/>
      <c r="W157" s="916"/>
      <c r="X157" s="913"/>
      <c r="Y157" s="913"/>
      <c r="Z157" s="913"/>
      <c r="AA157" s="913"/>
      <c r="AB157" s="917"/>
      <c r="AC157" s="913"/>
      <c r="AD157" s="913"/>
      <c r="AE157" s="913"/>
      <c r="AF157" s="913"/>
      <c r="AG157" s="917"/>
      <c r="AH157" s="913"/>
      <c r="AI157" s="913"/>
      <c r="AJ157" s="913"/>
      <c r="AK157" s="913"/>
      <c r="AL157" s="917"/>
      <c r="AM157" s="913"/>
      <c r="AN157" s="913"/>
      <c r="AO157" s="913"/>
      <c r="AP157" s="913"/>
      <c r="AQ157" s="917"/>
      <c r="AR157" s="913"/>
      <c r="AS157" s="913"/>
      <c r="AT157" s="913"/>
      <c r="AU157" s="913"/>
      <c r="AV157" s="917"/>
      <c r="AW157" s="913"/>
      <c r="AX157" s="913"/>
      <c r="AY157" s="913"/>
      <c r="AZ157" s="913"/>
      <c r="BA157" s="917"/>
      <c r="BB157" s="913"/>
      <c r="BC157" s="913"/>
      <c r="BD157" s="913"/>
      <c r="BE157" s="913"/>
      <c r="BF157" s="917"/>
      <c r="BG157" s="913"/>
      <c r="BH157" s="913"/>
      <c r="BI157" s="913"/>
      <c r="BJ157" s="913"/>
      <c r="BK157" s="917"/>
      <c r="BL157" s="913"/>
      <c r="BM157" s="913"/>
      <c r="BN157" s="913"/>
      <c r="BO157" s="913"/>
      <c r="BP157" s="917"/>
      <c r="BQ157" s="913"/>
      <c r="BR157" s="913"/>
      <c r="BS157" s="913"/>
      <c r="BT157" s="913"/>
      <c r="BU157" s="917"/>
      <c r="BV157" s="913"/>
      <c r="BW157" s="913"/>
      <c r="BX157" s="913"/>
      <c r="BY157" s="913"/>
      <c r="BZ157" s="917"/>
      <c r="CA157" s="913"/>
      <c r="CB157" s="913"/>
      <c r="CC157" s="913"/>
      <c r="CD157" s="913"/>
      <c r="CE157" s="917"/>
      <c r="CF157" s="913"/>
      <c r="CG157" s="913"/>
      <c r="CH157" s="913"/>
      <c r="CI157" s="913"/>
      <c r="CJ157" s="917"/>
      <c r="CK157" s="913"/>
      <c r="CL157" s="913"/>
      <c r="CM157" s="913"/>
      <c r="CN157" s="913"/>
      <c r="CO157" s="917"/>
      <c r="CP157" s="913"/>
      <c r="CQ157" s="913"/>
      <c r="CR157" s="913"/>
      <c r="CS157" s="913"/>
      <c r="CT157" s="918"/>
      <c r="CU157" s="913"/>
      <c r="CV157" s="913"/>
      <c r="CW157" s="913"/>
      <c r="CX157" s="913"/>
      <c r="CY157" s="918"/>
      <c r="CZ157" s="913">
        <f>BS!CZ53+BS!CZ37</f>
        <v>25369</v>
      </c>
      <c r="DA157" s="913">
        <f>BS!DA53+BS!DA37</f>
        <v>28613</v>
      </c>
      <c r="DB157" s="913">
        <f>BS!DB53+BS!DB37</f>
        <v>27616</v>
      </c>
      <c r="DC157" s="913">
        <f>BS!DC53+BS!DC37</f>
        <v>25283</v>
      </c>
      <c r="DD157" s="918"/>
      <c r="DE157" s="913">
        <f>BS!DE53+BS!DE37</f>
        <v>25751</v>
      </c>
      <c r="DF157" s="913">
        <f>BS!DF53+BS!DF37</f>
        <v>31985</v>
      </c>
      <c r="DG157" s="913">
        <f>SUM(DG99:DG156)</f>
        <v>31702</v>
      </c>
      <c r="DH157" s="913">
        <f>BS!DH53+BS!DH37</f>
        <v>26813</v>
      </c>
      <c r="DI157" s="918"/>
      <c r="DJ157" s="919">
        <f>BS!DJ53+BS!DJ37</f>
        <v>28612</v>
      </c>
      <c r="DK157" s="919">
        <f>BS!DK53+BS!DK37</f>
        <v>31533</v>
      </c>
      <c r="DL157" s="919">
        <f>BS!DL53+BS!DL37</f>
        <v>27874</v>
      </c>
      <c r="DM157" s="913">
        <f>BS!DM53+BS!DM37</f>
        <v>26359</v>
      </c>
      <c r="DN157" s="918">
        <f>DM157</f>
        <v>26359</v>
      </c>
      <c r="DO157" s="913">
        <f>BS!DO53+BS!DO37</f>
        <v>28487</v>
      </c>
      <c r="DP157" s="913">
        <f>BS!DP53+BS!DP37</f>
        <v>28815</v>
      </c>
      <c r="DQ157" s="919">
        <f>BS!DQ53+BS!DQ37</f>
        <v>28907</v>
      </c>
      <c r="DR157" s="919">
        <f>BS!DR53+BS!DR37</f>
        <v>29001</v>
      </c>
      <c r="DS157" s="918">
        <f>DR157</f>
        <v>29001</v>
      </c>
      <c r="DT157" s="919">
        <f>BS!DT53+BS!DT37</f>
        <v>39919</v>
      </c>
      <c r="DU157" s="919">
        <f>BS!DU53+BS!DU37</f>
        <v>38347</v>
      </c>
      <c r="DV157" s="919">
        <f>BS!DV53+BS!DV37</f>
        <v>36563</v>
      </c>
      <c r="DW157" s="919">
        <f>BS!DW53+BS!DW37</f>
        <v>36401</v>
      </c>
      <c r="DX157" s="918">
        <f>DW157</f>
        <v>36401</v>
      </c>
      <c r="DY157" s="919">
        <f>BS!DY53+BS!DY37</f>
        <v>35884</v>
      </c>
      <c r="DZ157" s="919">
        <f>BS!DZ53+BS!DZ37</f>
        <v>35409</v>
      </c>
      <c r="EA157" s="919">
        <f>BS!EA53+BS!EA37</f>
        <v>40304</v>
      </c>
      <c r="EB157" s="919">
        <f>BS!EB53+BS!EB37</f>
        <v>38101</v>
      </c>
      <c r="EC157" s="918">
        <f>EB157</f>
        <v>38101</v>
      </c>
      <c r="ED157" s="919">
        <f>BS!ED53+BS!ED37</f>
        <v>37247</v>
      </c>
      <c r="EE157" s="919">
        <f>BS!EE53+BS!EE37</f>
        <v>35430</v>
      </c>
      <c r="EF157" s="919">
        <f>BS!EF53+BS!EF37</f>
        <v>39523</v>
      </c>
      <c r="EG157" s="919">
        <f>BS!EG53+BS!EG37</f>
        <v>42051</v>
      </c>
      <c r="EH157" s="918">
        <f>EG157</f>
        <v>42051</v>
      </c>
      <c r="EI157" s="920">
        <f>BS!EI53+BS!EI37</f>
        <v>42051</v>
      </c>
      <c r="EJ157" s="913">
        <f>BS!EJ53+BS!EJ37</f>
        <v>42051</v>
      </c>
      <c r="EK157" s="913">
        <f>BS!EK53+BS!EK37</f>
        <v>42051</v>
      </c>
      <c r="EL157" s="913">
        <f>BS!EL53+BS!EL37</f>
        <v>41651</v>
      </c>
      <c r="EM157" s="918">
        <f>EL157</f>
        <v>41651</v>
      </c>
      <c r="EN157" s="913">
        <f>BS!EN53+BS!EN37</f>
        <v>41651</v>
      </c>
      <c r="EO157" s="913">
        <f>BS!EO53+BS!EO37</f>
        <v>40401</v>
      </c>
      <c r="EP157" s="913">
        <f>BS!EP53+BS!EP37</f>
        <v>39801</v>
      </c>
      <c r="EQ157" s="913">
        <f>BS!EQ53+BS!EQ37</f>
        <v>39801</v>
      </c>
      <c r="ER157" s="918">
        <f>EQ157</f>
        <v>39801</v>
      </c>
      <c r="ES157" s="913">
        <f>BS!ES53+BS!ES37</f>
        <v>39801</v>
      </c>
      <c r="ET157" s="913">
        <f>BS!ET53+BS!ET37</f>
        <v>38301</v>
      </c>
      <c r="EU157" s="913">
        <f>BS!EU53+BS!EU37</f>
        <v>36051</v>
      </c>
      <c r="EV157" s="913">
        <f>BS!EV53+BS!EV37</f>
        <v>36051</v>
      </c>
      <c r="EW157" s="918">
        <f>EV157</f>
        <v>36051</v>
      </c>
      <c r="EX157" s="913">
        <f>BS!EX53+BS!EX37</f>
        <v>36051</v>
      </c>
      <c r="EY157" s="913">
        <f>BS!EY53+BS!EY37</f>
        <v>35051</v>
      </c>
      <c r="EZ157" s="913">
        <f>BS!EZ53+BS!EZ37</f>
        <v>35051</v>
      </c>
      <c r="FA157" s="913">
        <f>BS!FA53+BS!FA37</f>
        <v>35051</v>
      </c>
      <c r="FB157" s="918">
        <f>FA157</f>
        <v>35051</v>
      </c>
      <c r="FC157" s="913">
        <f>BS!FC53+BS!FC37</f>
        <v>34051</v>
      </c>
      <c r="FD157" s="913">
        <f>BS!FD53+BS!FD37</f>
        <v>33051</v>
      </c>
      <c r="FE157" s="913">
        <f>BS!FE53+BS!FE37</f>
        <v>31801</v>
      </c>
      <c r="FF157" s="913">
        <f>BS!FF53+BS!FF37</f>
        <v>31801</v>
      </c>
      <c r="FG157" s="918">
        <f>FF157</f>
        <v>31801</v>
      </c>
    </row>
    <row r="158" ht="12.75" customHeight="1">
      <c r="A158" s="128"/>
      <c r="B158" s="179" t="s">
        <v>688</v>
      </c>
      <c r="C158" s="179"/>
      <c r="D158" s="179"/>
      <c r="E158" s="179"/>
      <c r="F158" s="179"/>
      <c r="G158" s="179"/>
      <c r="H158" s="179"/>
      <c r="I158" s="179"/>
      <c r="J158" s="179"/>
      <c r="K158" s="179"/>
      <c r="L158" s="179"/>
      <c r="M158" s="179"/>
      <c r="N158" s="179"/>
      <c r="O158" s="179"/>
      <c r="P158" s="179"/>
      <c r="Q158" s="179"/>
      <c r="R158" s="57"/>
      <c r="S158" s="179"/>
      <c r="T158" s="179"/>
      <c r="U158" s="179"/>
      <c r="V158" s="179"/>
      <c r="W158" s="785"/>
      <c r="X158" s="128"/>
      <c r="Y158" s="128"/>
      <c r="Z158" s="128"/>
      <c r="AA158" s="128"/>
      <c r="AB158" s="837"/>
      <c r="AC158" s="128"/>
      <c r="AD158" s="128"/>
      <c r="AE158" s="128"/>
      <c r="AF158" s="128"/>
      <c r="AG158" s="837"/>
      <c r="AH158" s="128"/>
      <c r="AI158" s="128"/>
      <c r="AJ158" s="128"/>
      <c r="AK158" s="128"/>
      <c r="AL158" s="837"/>
      <c r="AM158" s="128"/>
      <c r="AN158" s="128"/>
      <c r="AO158" s="128"/>
      <c r="AP158" s="128"/>
      <c r="AQ158" s="837"/>
      <c r="AR158" s="128"/>
      <c r="AS158" s="128"/>
      <c r="AT158" s="128"/>
      <c r="AU158" s="128"/>
      <c r="AV158" s="837"/>
      <c r="AW158" s="128"/>
      <c r="AX158" s="128"/>
      <c r="AY158" s="128"/>
      <c r="AZ158" s="128"/>
      <c r="BA158" s="837"/>
      <c r="BB158" s="128"/>
      <c r="BC158" s="128"/>
      <c r="BD158" s="128"/>
      <c r="BE158" s="128"/>
      <c r="BF158" s="837"/>
      <c r="BG158" s="128"/>
      <c r="BH158" s="128"/>
      <c r="BI158" s="128"/>
      <c r="BJ158" s="128"/>
      <c r="BK158" s="837"/>
      <c r="BL158" s="128"/>
      <c r="BM158" s="128"/>
      <c r="BN158" s="128"/>
      <c r="BO158" s="128"/>
      <c r="BP158" s="837"/>
      <c r="BQ158" s="128"/>
      <c r="BR158" s="128"/>
      <c r="BS158" s="128"/>
      <c r="BT158" s="128"/>
      <c r="BU158" s="837"/>
      <c r="BV158" s="128"/>
      <c r="BW158" s="128"/>
      <c r="BX158" s="128"/>
      <c r="BY158" s="128"/>
      <c r="BZ158" s="837"/>
      <c r="CA158" s="128"/>
      <c r="CB158" s="128"/>
      <c r="CC158" s="128"/>
      <c r="CD158" s="128"/>
      <c r="CE158" s="837"/>
      <c r="CF158" s="128"/>
      <c r="CG158" s="128"/>
      <c r="CH158" s="128"/>
      <c r="CI158" s="128"/>
      <c r="CJ158" s="837"/>
      <c r="CK158" s="128"/>
      <c r="CL158" s="128"/>
      <c r="CM158" s="128"/>
      <c r="CN158" s="128"/>
      <c r="CO158" s="837"/>
      <c r="CP158" s="128"/>
      <c r="CQ158" s="128"/>
      <c r="CR158" s="128"/>
      <c r="CS158" s="128"/>
      <c r="CT158" s="836"/>
      <c r="CU158" s="128"/>
      <c r="CV158" s="128"/>
      <c r="CW158" s="128"/>
      <c r="CX158" s="128"/>
      <c r="CY158" s="836"/>
      <c r="CZ158" s="129"/>
      <c r="DA158" s="128"/>
      <c r="DB158" s="129"/>
      <c r="DC158" s="128"/>
      <c r="DD158" s="836"/>
      <c r="DE158" s="129"/>
      <c r="DF158" s="128"/>
      <c r="DG158" s="129"/>
      <c r="DH158" s="128">
        <f>SUM(DH99:DH156)</f>
        <v>28702</v>
      </c>
      <c r="DI158" s="836"/>
      <c r="DJ158" s="129">
        <f t="shared" ref="DJ158:DM158" si="469">SUM(DJ99:DJ156)</f>
        <v>28702</v>
      </c>
      <c r="DK158" s="129">
        <f t="shared" si="469"/>
        <v>28702</v>
      </c>
      <c r="DL158" s="129">
        <f t="shared" si="469"/>
        <v>28702</v>
      </c>
      <c r="DM158" s="128">
        <f t="shared" si="469"/>
        <v>27071</v>
      </c>
      <c r="DN158" s="836"/>
      <c r="DO158" s="128">
        <f t="shared" ref="DO158:DR158" si="470">SUM(DO99:DO156)</f>
        <v>28702</v>
      </c>
      <c r="DP158" s="128">
        <f t="shared" si="470"/>
        <v>28702</v>
      </c>
      <c r="DQ158" s="129">
        <f t="shared" si="470"/>
        <v>28702</v>
      </c>
      <c r="DR158" s="129">
        <f t="shared" si="470"/>
        <v>27234</v>
      </c>
      <c r="DS158" s="836"/>
      <c r="DT158" s="129">
        <f t="shared" ref="DT158:DW158" si="471">SUM(DT99:DT156)</f>
        <v>38572</v>
      </c>
      <c r="DU158" s="129">
        <f t="shared" si="471"/>
        <v>36926</v>
      </c>
      <c r="DV158" s="129">
        <f t="shared" si="471"/>
        <v>35185</v>
      </c>
      <c r="DW158" s="129">
        <f t="shared" si="471"/>
        <v>35214</v>
      </c>
      <c r="DX158" s="836"/>
      <c r="DY158" s="129">
        <f t="shared" ref="DY158:EB158" si="472">SUM(DY99:DY156)</f>
        <v>35217</v>
      </c>
      <c r="DZ158" s="129">
        <f t="shared" si="472"/>
        <v>34715.7</v>
      </c>
      <c r="EA158" s="129">
        <f t="shared" si="472"/>
        <v>39697</v>
      </c>
      <c r="EB158" s="129">
        <f t="shared" si="472"/>
        <v>37695</v>
      </c>
      <c r="EC158" s="836"/>
      <c r="ED158" s="129">
        <f t="shared" ref="ED158:EG158" si="473">SUM(ED99:ED156)</f>
        <v>37695</v>
      </c>
      <c r="EE158" s="129">
        <f t="shared" si="473"/>
        <v>35145</v>
      </c>
      <c r="EF158" s="129">
        <f t="shared" si="473"/>
        <v>39247</v>
      </c>
      <c r="EG158" s="129">
        <f t="shared" si="473"/>
        <v>41775</v>
      </c>
      <c r="EH158" s="836"/>
      <c r="EI158" s="134">
        <f t="shared" ref="EI158:EL158" si="474">SUM(EI99:EI156)</f>
        <v>41775</v>
      </c>
      <c r="EJ158" s="128">
        <f t="shared" si="474"/>
        <v>41775</v>
      </c>
      <c r="EK158" s="128">
        <f t="shared" si="474"/>
        <v>41775</v>
      </c>
      <c r="EL158" s="128">
        <f t="shared" si="474"/>
        <v>41375</v>
      </c>
      <c r="EM158" s="836"/>
      <c r="EN158" s="128">
        <f t="shared" ref="EN158:EQ158" si="475">SUM(EN99:EN156)</f>
        <v>41375</v>
      </c>
      <c r="EO158" s="128">
        <f t="shared" si="475"/>
        <v>40125</v>
      </c>
      <c r="EP158" s="128">
        <f t="shared" si="475"/>
        <v>39525</v>
      </c>
      <c r="EQ158" s="128">
        <f t="shared" si="475"/>
        <v>39525</v>
      </c>
      <c r="ER158" s="836"/>
      <c r="ES158" s="128">
        <f t="shared" ref="ES158:EV158" si="476">SUM(ES99:ES156)</f>
        <v>39525</v>
      </c>
      <c r="ET158" s="128">
        <f t="shared" si="476"/>
        <v>38025</v>
      </c>
      <c r="EU158" s="128">
        <f t="shared" si="476"/>
        <v>35775</v>
      </c>
      <c r="EV158" s="128">
        <f t="shared" si="476"/>
        <v>35775</v>
      </c>
      <c r="EW158" s="836"/>
      <c r="EX158" s="128">
        <f t="shared" ref="EX158:FA158" si="477">SUM(EX99:EX156)</f>
        <v>35775</v>
      </c>
      <c r="EY158" s="128">
        <f t="shared" si="477"/>
        <v>34775</v>
      </c>
      <c r="EZ158" s="128">
        <f t="shared" si="477"/>
        <v>34775</v>
      </c>
      <c r="FA158" s="128">
        <f t="shared" si="477"/>
        <v>34775</v>
      </c>
      <c r="FB158" s="836"/>
      <c r="FC158" s="128">
        <f t="shared" ref="FC158:FF158" si="478">SUM(FC99:FC156)</f>
        <v>33775</v>
      </c>
      <c r="FD158" s="128">
        <f t="shared" si="478"/>
        <v>32775</v>
      </c>
      <c r="FE158" s="128">
        <f t="shared" si="478"/>
        <v>31525</v>
      </c>
      <c r="FF158" s="128">
        <f t="shared" si="478"/>
        <v>31525</v>
      </c>
      <c r="FG158" s="836"/>
    </row>
    <row r="159" ht="12.75" customHeight="1">
      <c r="A159" s="128"/>
      <c r="B159" s="921" t="s">
        <v>689</v>
      </c>
      <c r="C159" s="179"/>
      <c r="D159" s="179"/>
      <c r="E159" s="179"/>
      <c r="F159" s="179"/>
      <c r="G159" s="179"/>
      <c r="H159" s="179"/>
      <c r="I159" s="179"/>
      <c r="J159" s="179"/>
      <c r="K159" s="179"/>
      <c r="L159" s="179"/>
      <c r="M159" s="179"/>
      <c r="N159" s="179"/>
      <c r="O159" s="179"/>
      <c r="P159" s="179"/>
      <c r="Q159" s="179"/>
      <c r="R159" s="57"/>
      <c r="S159" s="179"/>
      <c r="T159" s="179"/>
      <c r="U159" s="179"/>
      <c r="V159" s="179"/>
      <c r="W159" s="785"/>
      <c r="X159" s="128"/>
      <c r="Y159" s="128"/>
      <c r="Z159" s="128"/>
      <c r="AA159" s="128"/>
      <c r="AB159" s="837"/>
      <c r="AC159" s="128"/>
      <c r="AD159" s="128"/>
      <c r="AE159" s="128"/>
      <c r="AF159" s="128"/>
      <c r="AG159" s="837"/>
      <c r="AH159" s="128"/>
      <c r="AI159" s="128"/>
      <c r="AJ159" s="128"/>
      <c r="AK159" s="128"/>
      <c r="AL159" s="837"/>
      <c r="AM159" s="128"/>
      <c r="AN159" s="128"/>
      <c r="AO159" s="128"/>
      <c r="AP159" s="128"/>
      <c r="AQ159" s="837"/>
      <c r="AR159" s="128"/>
      <c r="AS159" s="128"/>
      <c r="AT159" s="128"/>
      <c r="AU159" s="128"/>
      <c r="AV159" s="837"/>
      <c r="AW159" s="128"/>
      <c r="AX159" s="128"/>
      <c r="AY159" s="128"/>
      <c r="AZ159" s="128"/>
      <c r="BA159" s="837"/>
      <c r="BB159" s="128"/>
      <c r="BC159" s="128"/>
      <c r="BD159" s="128"/>
      <c r="BE159" s="128"/>
      <c r="BF159" s="837"/>
      <c r="BG159" s="128"/>
      <c r="BH159" s="128"/>
      <c r="BI159" s="128"/>
      <c r="BJ159" s="128"/>
      <c r="BK159" s="837"/>
      <c r="BL159" s="128"/>
      <c r="BM159" s="128"/>
      <c r="BN159" s="128"/>
      <c r="BO159" s="128"/>
      <c r="BP159" s="837"/>
      <c r="BQ159" s="128"/>
      <c r="BR159" s="128"/>
      <c r="BS159" s="128"/>
      <c r="BT159" s="128"/>
      <c r="BU159" s="837"/>
      <c r="BV159" s="128"/>
      <c r="BW159" s="128"/>
      <c r="BX159" s="128"/>
      <c r="BY159" s="128"/>
      <c r="BZ159" s="837"/>
      <c r="CA159" s="128"/>
      <c r="CB159" s="128"/>
      <c r="CC159" s="128"/>
      <c r="CD159" s="128"/>
      <c r="CE159" s="837"/>
      <c r="CF159" s="128"/>
      <c r="CG159" s="128"/>
      <c r="CH159" s="128"/>
      <c r="CI159" s="128"/>
      <c r="CJ159" s="837"/>
      <c r="CK159" s="128"/>
      <c r="CL159" s="128"/>
      <c r="CM159" s="128"/>
      <c r="CN159" s="128"/>
      <c r="CO159" s="837"/>
      <c r="CP159" s="128"/>
      <c r="CQ159" s="128"/>
      <c r="CR159" s="128"/>
      <c r="CS159" s="128"/>
      <c r="CT159" s="836"/>
      <c r="CU159" s="128"/>
      <c r="CV159" s="128"/>
      <c r="CW159" s="128"/>
      <c r="CX159" s="128"/>
      <c r="CY159" s="836"/>
      <c r="CZ159" s="129"/>
      <c r="DA159" s="128"/>
      <c r="DB159" s="129"/>
      <c r="DC159" s="128"/>
      <c r="DD159" s="836"/>
      <c r="DE159" s="129"/>
      <c r="DF159" s="128"/>
      <c r="DG159" s="129"/>
      <c r="DH159" s="128"/>
      <c r="DI159" s="836"/>
      <c r="DJ159" s="129"/>
      <c r="DK159" s="129"/>
      <c r="DL159" s="129"/>
      <c r="DM159" s="128"/>
      <c r="DN159" s="836"/>
      <c r="DO159" s="128"/>
      <c r="DP159" s="128"/>
      <c r="DQ159" s="129"/>
      <c r="DR159" s="129"/>
      <c r="DS159" s="836"/>
      <c r="DT159" s="129">
        <v>-379.0</v>
      </c>
      <c r="DU159" s="129">
        <v>-375.0</v>
      </c>
      <c r="DV159" s="129">
        <v>-374.0</v>
      </c>
      <c r="DW159" s="129">
        <v>-378.0</v>
      </c>
      <c r="DX159" s="836"/>
      <c r="DY159" s="129">
        <f>-378-520</f>
        <v>-898</v>
      </c>
      <c r="DZ159" s="129">
        <f>-493.6-378.1</f>
        <v>-871.7</v>
      </c>
      <c r="EA159" s="129">
        <v>-402.0</v>
      </c>
      <c r="EB159" s="129">
        <v>-405.0</v>
      </c>
      <c r="EC159" s="836"/>
      <c r="ED159" s="129">
        <f t="shared" ref="ED159:ED160" si="485">EB159</f>
        <v>-405</v>
      </c>
      <c r="EE159" s="129">
        <v>-526.0</v>
      </c>
      <c r="EF159" s="129">
        <f t="shared" ref="EF159:EG159" si="479">EE159</f>
        <v>-526</v>
      </c>
      <c r="EG159" s="129">
        <f t="shared" si="479"/>
        <v>-526</v>
      </c>
      <c r="EH159" s="836"/>
      <c r="EI159" s="134">
        <f t="shared" ref="EI159:EI160" si="486">EG159</f>
        <v>-526</v>
      </c>
      <c r="EJ159" s="128">
        <f t="shared" ref="EJ159:EL159" si="480">EI159</f>
        <v>-526</v>
      </c>
      <c r="EK159" s="128">
        <f t="shared" si="480"/>
        <v>-526</v>
      </c>
      <c r="EL159" s="128">
        <f t="shared" si="480"/>
        <v>-526</v>
      </c>
      <c r="EM159" s="836"/>
      <c r="EN159" s="128">
        <f t="shared" ref="EN159:EN160" si="488">EL159</f>
        <v>-526</v>
      </c>
      <c r="EO159" s="128">
        <f t="shared" ref="EO159:EQ159" si="481">EN159</f>
        <v>-526</v>
      </c>
      <c r="EP159" s="128">
        <f t="shared" si="481"/>
        <v>-526</v>
      </c>
      <c r="EQ159" s="128">
        <f t="shared" si="481"/>
        <v>-526</v>
      </c>
      <c r="ER159" s="836"/>
      <c r="ES159" s="128">
        <f t="shared" ref="ES159:ES160" si="490">EQ159</f>
        <v>-526</v>
      </c>
      <c r="ET159" s="128">
        <f t="shared" ref="ET159:EV159" si="482">ES159</f>
        <v>-526</v>
      </c>
      <c r="EU159" s="128">
        <f t="shared" si="482"/>
        <v>-526</v>
      </c>
      <c r="EV159" s="128">
        <f t="shared" si="482"/>
        <v>-526</v>
      </c>
      <c r="EW159" s="836"/>
      <c r="EX159" s="128">
        <f t="shared" ref="EX159:EX160" si="492">EV159</f>
        <v>-526</v>
      </c>
      <c r="EY159" s="128">
        <f t="shared" ref="EY159:FA159" si="483">EX159</f>
        <v>-526</v>
      </c>
      <c r="EZ159" s="128">
        <f t="shared" si="483"/>
        <v>-526</v>
      </c>
      <c r="FA159" s="128">
        <f t="shared" si="483"/>
        <v>-526</v>
      </c>
      <c r="FB159" s="836"/>
      <c r="FC159" s="128">
        <f t="shared" ref="FC159:FC160" si="494">FA159</f>
        <v>-526</v>
      </c>
      <c r="FD159" s="128">
        <f t="shared" ref="FD159:FF159" si="484">FC159</f>
        <v>-526</v>
      </c>
      <c r="FE159" s="128">
        <f t="shared" si="484"/>
        <v>-526</v>
      </c>
      <c r="FF159" s="128">
        <f t="shared" si="484"/>
        <v>-526</v>
      </c>
      <c r="FG159" s="836"/>
    </row>
    <row r="160" ht="12.75" customHeight="1">
      <c r="A160" s="128"/>
      <c r="B160" s="921" t="s">
        <v>690</v>
      </c>
      <c r="C160" s="179"/>
      <c r="D160" s="179"/>
      <c r="E160" s="179"/>
      <c r="F160" s="179"/>
      <c r="G160" s="179"/>
      <c r="H160" s="179"/>
      <c r="I160" s="179"/>
      <c r="J160" s="179"/>
      <c r="K160" s="179"/>
      <c r="L160" s="179"/>
      <c r="M160" s="179"/>
      <c r="N160" s="179"/>
      <c r="O160" s="179"/>
      <c r="P160" s="179"/>
      <c r="Q160" s="179"/>
      <c r="R160" s="57"/>
      <c r="S160" s="179"/>
      <c r="T160" s="179"/>
      <c r="U160" s="179"/>
      <c r="V160" s="179"/>
      <c r="W160" s="785"/>
      <c r="X160" s="128"/>
      <c r="Y160" s="128"/>
      <c r="Z160" s="128"/>
      <c r="AA160" s="128"/>
      <c r="AB160" s="837"/>
      <c r="AC160" s="128"/>
      <c r="AD160" s="128"/>
      <c r="AE160" s="128"/>
      <c r="AF160" s="128"/>
      <c r="AG160" s="837"/>
      <c r="AH160" s="128"/>
      <c r="AI160" s="128"/>
      <c r="AJ160" s="128"/>
      <c r="AK160" s="128"/>
      <c r="AL160" s="837"/>
      <c r="AM160" s="128"/>
      <c r="AN160" s="128"/>
      <c r="AO160" s="128"/>
      <c r="AP160" s="128"/>
      <c r="AQ160" s="837"/>
      <c r="AR160" s="128"/>
      <c r="AS160" s="128"/>
      <c r="AT160" s="128"/>
      <c r="AU160" s="128"/>
      <c r="AV160" s="837"/>
      <c r="AW160" s="128"/>
      <c r="AX160" s="128"/>
      <c r="AY160" s="128"/>
      <c r="AZ160" s="128"/>
      <c r="BA160" s="837"/>
      <c r="BB160" s="128"/>
      <c r="BC160" s="128"/>
      <c r="BD160" s="128"/>
      <c r="BE160" s="128"/>
      <c r="BF160" s="837"/>
      <c r="BG160" s="128"/>
      <c r="BH160" s="128"/>
      <c r="BI160" s="128"/>
      <c r="BJ160" s="128"/>
      <c r="BK160" s="837"/>
      <c r="BL160" s="128"/>
      <c r="BM160" s="128"/>
      <c r="BN160" s="128"/>
      <c r="BO160" s="128"/>
      <c r="BP160" s="837"/>
      <c r="BQ160" s="128"/>
      <c r="BR160" s="128"/>
      <c r="BS160" s="128"/>
      <c r="BT160" s="128"/>
      <c r="BU160" s="837"/>
      <c r="BV160" s="128"/>
      <c r="BW160" s="128"/>
      <c r="BX160" s="128"/>
      <c r="BY160" s="128"/>
      <c r="BZ160" s="837"/>
      <c r="CA160" s="128"/>
      <c r="CB160" s="128"/>
      <c r="CC160" s="128"/>
      <c r="CD160" s="128"/>
      <c r="CE160" s="837"/>
      <c r="CF160" s="128"/>
      <c r="CG160" s="128"/>
      <c r="CH160" s="128"/>
      <c r="CI160" s="128"/>
      <c r="CJ160" s="837"/>
      <c r="CK160" s="128"/>
      <c r="CL160" s="128"/>
      <c r="CM160" s="128"/>
      <c r="CN160" s="128"/>
      <c r="CO160" s="837"/>
      <c r="CP160" s="128"/>
      <c r="CQ160" s="128"/>
      <c r="CR160" s="128"/>
      <c r="CS160" s="128"/>
      <c r="CT160" s="836"/>
      <c r="CU160" s="128"/>
      <c r="CV160" s="128"/>
      <c r="CW160" s="128"/>
      <c r="CX160" s="128"/>
      <c r="CY160" s="836"/>
      <c r="CZ160" s="129"/>
      <c r="DA160" s="128"/>
      <c r="DB160" s="129"/>
      <c r="DC160" s="128"/>
      <c r="DD160" s="836"/>
      <c r="DE160" s="129"/>
      <c r="DF160" s="128"/>
      <c r="DG160" s="129"/>
      <c r="DH160" s="128"/>
      <c r="DI160" s="836"/>
      <c r="DJ160" s="129"/>
      <c r="DK160" s="129"/>
      <c r="DL160" s="129"/>
      <c r="DM160" s="128"/>
      <c r="DN160" s="836"/>
      <c r="DO160" s="128"/>
      <c r="DP160" s="128"/>
      <c r="DQ160" s="129"/>
      <c r="DR160" s="129"/>
      <c r="DS160" s="836"/>
      <c r="DT160" s="129">
        <v>1726.0</v>
      </c>
      <c r="DU160" s="129">
        <v>1796.0</v>
      </c>
      <c r="DV160" s="129">
        <v>1752.0</v>
      </c>
      <c r="DW160" s="129">
        <v>1565.0</v>
      </c>
      <c r="DX160" s="836"/>
      <c r="DY160" s="129">
        <f>DW160</f>
        <v>1565</v>
      </c>
      <c r="DZ160" s="129">
        <f>DY160</f>
        <v>1565</v>
      </c>
      <c r="EA160" s="129">
        <v>1009.0</v>
      </c>
      <c r="EB160" s="129">
        <v>811.0</v>
      </c>
      <c r="EC160" s="836"/>
      <c r="ED160" s="129">
        <f t="shared" si="485"/>
        <v>811</v>
      </c>
      <c r="EE160" s="129">
        <f>ED160</f>
        <v>811</v>
      </c>
      <c r="EF160" s="129">
        <v>802.0</v>
      </c>
      <c r="EG160" s="129">
        <f>EF160</f>
        <v>802</v>
      </c>
      <c r="EH160" s="836"/>
      <c r="EI160" s="134">
        <f t="shared" si="486"/>
        <v>802</v>
      </c>
      <c r="EJ160" s="128">
        <f t="shared" ref="EJ160:EL160" si="487">EI160</f>
        <v>802</v>
      </c>
      <c r="EK160" s="128">
        <f t="shared" si="487"/>
        <v>802</v>
      </c>
      <c r="EL160" s="128">
        <f t="shared" si="487"/>
        <v>802</v>
      </c>
      <c r="EM160" s="836"/>
      <c r="EN160" s="128">
        <f t="shared" si="488"/>
        <v>802</v>
      </c>
      <c r="EO160" s="128">
        <f t="shared" ref="EO160:EQ160" si="489">EN160</f>
        <v>802</v>
      </c>
      <c r="EP160" s="128">
        <f t="shared" si="489"/>
        <v>802</v>
      </c>
      <c r="EQ160" s="128">
        <f t="shared" si="489"/>
        <v>802</v>
      </c>
      <c r="ER160" s="836"/>
      <c r="ES160" s="128">
        <f t="shared" si="490"/>
        <v>802</v>
      </c>
      <c r="ET160" s="128">
        <f t="shared" ref="ET160:EV160" si="491">ES160</f>
        <v>802</v>
      </c>
      <c r="EU160" s="128">
        <f t="shared" si="491"/>
        <v>802</v>
      </c>
      <c r="EV160" s="128">
        <f t="shared" si="491"/>
        <v>802</v>
      </c>
      <c r="EW160" s="836"/>
      <c r="EX160" s="128">
        <f t="shared" si="492"/>
        <v>802</v>
      </c>
      <c r="EY160" s="128">
        <f t="shared" ref="EY160:FA160" si="493">EX160</f>
        <v>802</v>
      </c>
      <c r="EZ160" s="128">
        <f t="shared" si="493"/>
        <v>802</v>
      </c>
      <c r="FA160" s="128">
        <f t="shared" si="493"/>
        <v>802</v>
      </c>
      <c r="FB160" s="836"/>
      <c r="FC160" s="128">
        <f t="shared" si="494"/>
        <v>802</v>
      </c>
      <c r="FD160" s="128">
        <f t="shared" ref="FD160:FF160" si="495">FC160</f>
        <v>802</v>
      </c>
      <c r="FE160" s="128">
        <f t="shared" si="495"/>
        <v>802</v>
      </c>
      <c r="FF160" s="128">
        <f t="shared" si="495"/>
        <v>802</v>
      </c>
      <c r="FG160" s="836"/>
    </row>
    <row r="161" ht="12.75" customHeight="1">
      <c r="A161" s="128"/>
      <c r="B161" s="921" t="s">
        <v>691</v>
      </c>
      <c r="C161" s="179"/>
      <c r="D161" s="179"/>
      <c r="E161" s="179"/>
      <c r="F161" s="179"/>
      <c r="G161" s="179"/>
      <c r="H161" s="179"/>
      <c r="I161" s="179"/>
      <c r="J161" s="179"/>
      <c r="K161" s="179"/>
      <c r="L161" s="179"/>
      <c r="M161" s="179"/>
      <c r="N161" s="179"/>
      <c r="O161" s="179"/>
      <c r="P161" s="179"/>
      <c r="Q161" s="179"/>
      <c r="R161" s="57"/>
      <c r="S161" s="179"/>
      <c r="T161" s="179"/>
      <c r="U161" s="179"/>
      <c r="V161" s="179"/>
      <c r="W161" s="785"/>
      <c r="X161" s="128"/>
      <c r="Y161" s="128"/>
      <c r="Z161" s="128"/>
      <c r="AA161" s="128"/>
      <c r="AB161" s="837"/>
      <c r="AC161" s="128"/>
      <c r="AD161" s="128"/>
      <c r="AE161" s="128"/>
      <c r="AF161" s="128"/>
      <c r="AG161" s="837"/>
      <c r="AH161" s="128"/>
      <c r="AI161" s="128"/>
      <c r="AJ161" s="128"/>
      <c r="AK161" s="128"/>
      <c r="AL161" s="837"/>
      <c r="AM161" s="128"/>
      <c r="AN161" s="128"/>
      <c r="AO161" s="128"/>
      <c r="AP161" s="128"/>
      <c r="AQ161" s="837"/>
      <c r="AR161" s="128"/>
      <c r="AS161" s="128"/>
      <c r="AT161" s="128"/>
      <c r="AU161" s="128"/>
      <c r="AV161" s="837"/>
      <c r="AW161" s="128"/>
      <c r="AX161" s="128"/>
      <c r="AY161" s="128"/>
      <c r="AZ161" s="128"/>
      <c r="BA161" s="837"/>
      <c r="BB161" s="128"/>
      <c r="BC161" s="128"/>
      <c r="BD161" s="128"/>
      <c r="BE161" s="128"/>
      <c r="BF161" s="837"/>
      <c r="BG161" s="128"/>
      <c r="BH161" s="128"/>
      <c r="BI161" s="128"/>
      <c r="BJ161" s="128"/>
      <c r="BK161" s="837"/>
      <c r="BL161" s="128"/>
      <c r="BM161" s="128"/>
      <c r="BN161" s="128"/>
      <c r="BO161" s="128"/>
      <c r="BP161" s="837"/>
      <c r="BQ161" s="128"/>
      <c r="BR161" s="128"/>
      <c r="BS161" s="128"/>
      <c r="BT161" s="128"/>
      <c r="BU161" s="837"/>
      <c r="BV161" s="128"/>
      <c r="BW161" s="128"/>
      <c r="BX161" s="128"/>
      <c r="BY161" s="128"/>
      <c r="BZ161" s="837"/>
      <c r="CA161" s="128"/>
      <c r="CB161" s="128"/>
      <c r="CC161" s="128"/>
      <c r="CD161" s="128"/>
      <c r="CE161" s="837"/>
      <c r="CF161" s="128"/>
      <c r="CG161" s="128"/>
      <c r="CH161" s="128"/>
      <c r="CI161" s="128"/>
      <c r="CJ161" s="837"/>
      <c r="CK161" s="128"/>
      <c r="CL161" s="128"/>
      <c r="CM161" s="128"/>
      <c r="CN161" s="128"/>
      <c r="CO161" s="837"/>
      <c r="CP161" s="128"/>
      <c r="CQ161" s="128"/>
      <c r="CR161" s="128"/>
      <c r="CS161" s="128"/>
      <c r="CT161" s="836"/>
      <c r="CU161" s="128"/>
      <c r="CV161" s="128"/>
      <c r="CW161" s="128"/>
      <c r="CX161" s="128"/>
      <c r="CY161" s="836"/>
      <c r="CZ161" s="129"/>
      <c r="DA161" s="128"/>
      <c r="DB161" s="129"/>
      <c r="DC161" s="128"/>
      <c r="DD161" s="836"/>
      <c r="DE161" s="129"/>
      <c r="DF161" s="128"/>
      <c r="DG161" s="129"/>
      <c r="DH161" s="128"/>
      <c r="DI161" s="836"/>
      <c r="DJ161" s="129"/>
      <c r="DK161" s="129"/>
      <c r="DL161" s="129"/>
      <c r="DM161" s="128"/>
      <c r="DN161" s="836"/>
      <c r="DO161" s="128"/>
      <c r="DP161" s="128"/>
      <c r="DQ161" s="129"/>
      <c r="DR161" s="129"/>
      <c r="DS161" s="836"/>
      <c r="DT161" s="129">
        <f t="shared" ref="DT161:DW161" si="496">DT158+DT159+DT160</f>
        <v>39919</v>
      </c>
      <c r="DU161" s="129">
        <f t="shared" si="496"/>
        <v>38347</v>
      </c>
      <c r="DV161" s="129">
        <f t="shared" si="496"/>
        <v>36563</v>
      </c>
      <c r="DW161" s="129">
        <f t="shared" si="496"/>
        <v>36401</v>
      </c>
      <c r="DX161" s="836">
        <f>DW161</f>
        <v>36401</v>
      </c>
      <c r="DY161" s="129">
        <f t="shared" ref="DY161:EB161" si="497">DY158+DY159+DY160</f>
        <v>35884</v>
      </c>
      <c r="DZ161" s="129">
        <f t="shared" si="497"/>
        <v>35409</v>
      </c>
      <c r="EA161" s="129">
        <f t="shared" si="497"/>
        <v>40304</v>
      </c>
      <c r="EB161" s="129">
        <f t="shared" si="497"/>
        <v>38101</v>
      </c>
      <c r="EC161" s="836">
        <f>EB161</f>
        <v>38101</v>
      </c>
      <c r="ED161" s="129">
        <f>ED158+ED159+ED160-854</f>
        <v>37247</v>
      </c>
      <c r="EE161" s="129">
        <f t="shared" ref="EE161:EG161" si="498">EE158+EE159+EE160</f>
        <v>35430</v>
      </c>
      <c r="EF161" s="129">
        <f t="shared" si="498"/>
        <v>39523</v>
      </c>
      <c r="EG161" s="129">
        <f t="shared" si="498"/>
        <v>42051</v>
      </c>
      <c r="EH161" s="836">
        <f>EG161</f>
        <v>42051</v>
      </c>
      <c r="EI161" s="134">
        <f t="shared" ref="EI161:EL161" si="499">EI158+EI159+EI160</f>
        <v>42051</v>
      </c>
      <c r="EJ161" s="128">
        <f t="shared" si="499"/>
        <v>42051</v>
      </c>
      <c r="EK161" s="128">
        <f t="shared" si="499"/>
        <v>42051</v>
      </c>
      <c r="EL161" s="128">
        <f t="shared" si="499"/>
        <v>41651</v>
      </c>
      <c r="EM161" s="836">
        <f>EL161</f>
        <v>41651</v>
      </c>
      <c r="EN161" s="128">
        <f t="shared" ref="EN161:EQ161" si="500">EN158+EN159+EN160</f>
        <v>41651</v>
      </c>
      <c r="EO161" s="128">
        <f t="shared" si="500"/>
        <v>40401</v>
      </c>
      <c r="EP161" s="128">
        <f t="shared" si="500"/>
        <v>39801</v>
      </c>
      <c r="EQ161" s="128">
        <f t="shared" si="500"/>
        <v>39801</v>
      </c>
      <c r="ER161" s="836">
        <f>EQ161</f>
        <v>39801</v>
      </c>
      <c r="ES161" s="128">
        <f t="shared" ref="ES161:EV161" si="501">ES158+ES159+ES160</f>
        <v>39801</v>
      </c>
      <c r="ET161" s="128">
        <f t="shared" si="501"/>
        <v>38301</v>
      </c>
      <c r="EU161" s="128">
        <f t="shared" si="501"/>
        <v>36051</v>
      </c>
      <c r="EV161" s="128">
        <f t="shared" si="501"/>
        <v>36051</v>
      </c>
      <c r="EW161" s="836">
        <f>EV161</f>
        <v>36051</v>
      </c>
      <c r="EX161" s="128">
        <f t="shared" ref="EX161:FA161" si="502">EX158+EX159+EX160</f>
        <v>36051</v>
      </c>
      <c r="EY161" s="128">
        <f t="shared" si="502"/>
        <v>35051</v>
      </c>
      <c r="EZ161" s="128">
        <f t="shared" si="502"/>
        <v>35051</v>
      </c>
      <c r="FA161" s="128">
        <f t="shared" si="502"/>
        <v>35051</v>
      </c>
      <c r="FB161" s="836">
        <f>FA161</f>
        <v>35051</v>
      </c>
      <c r="FC161" s="128">
        <f t="shared" ref="FC161:FF161" si="503">FC158+FC159+FC160</f>
        <v>34051</v>
      </c>
      <c r="FD161" s="128">
        <f t="shared" si="503"/>
        <v>33051</v>
      </c>
      <c r="FE161" s="128">
        <f t="shared" si="503"/>
        <v>31801</v>
      </c>
      <c r="FF161" s="128">
        <f t="shared" si="503"/>
        <v>31801</v>
      </c>
      <c r="FG161" s="836">
        <f>FF161</f>
        <v>31801</v>
      </c>
    </row>
    <row r="162" ht="12.75" customHeight="1">
      <c r="A162" s="128"/>
      <c r="B162" s="922" t="s">
        <v>191</v>
      </c>
      <c r="C162" s="179"/>
      <c r="D162" s="179"/>
      <c r="E162" s="179"/>
      <c r="F162" s="179"/>
      <c r="G162" s="179"/>
      <c r="H162" s="179"/>
      <c r="I162" s="179"/>
      <c r="J162" s="179"/>
      <c r="K162" s="179"/>
      <c r="L162" s="179"/>
      <c r="M162" s="179"/>
      <c r="N162" s="179"/>
      <c r="O162" s="179"/>
      <c r="P162" s="179"/>
      <c r="Q162" s="179"/>
      <c r="R162" s="57"/>
      <c r="S162" s="179"/>
      <c r="T162" s="179"/>
      <c r="U162" s="179"/>
      <c r="V162" s="179"/>
      <c r="W162" s="785"/>
      <c r="X162" s="128"/>
      <c r="Y162" s="128"/>
      <c r="Z162" s="128"/>
      <c r="AA162" s="128"/>
      <c r="AB162" s="837"/>
      <c r="AC162" s="128"/>
      <c r="AD162" s="128"/>
      <c r="AE162" s="128"/>
      <c r="AF162" s="128"/>
      <c r="AG162" s="837"/>
      <c r="AH162" s="128"/>
      <c r="AI162" s="128"/>
      <c r="AJ162" s="128"/>
      <c r="AK162" s="128"/>
      <c r="AL162" s="837"/>
      <c r="AM162" s="128"/>
      <c r="AN162" s="128"/>
      <c r="AO162" s="128"/>
      <c r="AP162" s="128"/>
      <c r="AQ162" s="837"/>
      <c r="AR162" s="128"/>
      <c r="AS162" s="128"/>
      <c r="AT162" s="128"/>
      <c r="AU162" s="128"/>
      <c r="AV162" s="837"/>
      <c r="AW162" s="128"/>
      <c r="AX162" s="128"/>
      <c r="AY162" s="128"/>
      <c r="AZ162" s="128"/>
      <c r="BA162" s="837"/>
      <c r="BB162" s="128"/>
      <c r="BC162" s="128"/>
      <c r="BD162" s="128"/>
      <c r="BE162" s="128"/>
      <c r="BF162" s="837"/>
      <c r="BG162" s="128"/>
      <c r="BH162" s="128"/>
      <c r="BI162" s="128"/>
      <c r="BJ162" s="128"/>
      <c r="BK162" s="837"/>
      <c r="BL162" s="128"/>
      <c r="BM162" s="128"/>
      <c r="BN162" s="128"/>
      <c r="BO162" s="128"/>
      <c r="BP162" s="837"/>
      <c r="BQ162" s="128"/>
      <c r="BR162" s="128"/>
      <c r="BS162" s="128"/>
      <c r="BT162" s="128"/>
      <c r="BU162" s="837"/>
      <c r="BV162" s="128"/>
      <c r="BW162" s="128"/>
      <c r="BX162" s="128"/>
      <c r="BY162" s="128"/>
      <c r="BZ162" s="837"/>
      <c r="CA162" s="128"/>
      <c r="CB162" s="128"/>
      <c r="CC162" s="128"/>
      <c r="CD162" s="128"/>
      <c r="CE162" s="837"/>
      <c r="CF162" s="128"/>
      <c r="CG162" s="128"/>
      <c r="CH162" s="128"/>
      <c r="CI162" s="128"/>
      <c r="CJ162" s="837"/>
      <c r="CK162" s="128"/>
      <c r="CL162" s="128"/>
      <c r="CM162" s="128"/>
      <c r="CN162" s="128"/>
      <c r="CO162" s="837"/>
      <c r="CP162" s="128"/>
      <c r="CQ162" s="128"/>
      <c r="CR162" s="128"/>
      <c r="CS162" s="128"/>
      <c r="CT162" s="836"/>
      <c r="CU162" s="128"/>
      <c r="CV162" s="128"/>
      <c r="CW162" s="128"/>
      <c r="CX162" s="128"/>
      <c r="CY162" s="836"/>
      <c r="CZ162" s="129"/>
      <c r="DA162" s="128"/>
      <c r="DB162" s="129"/>
      <c r="DC162" s="128"/>
      <c r="DD162" s="836"/>
      <c r="DE162" s="129"/>
      <c r="DF162" s="128"/>
      <c r="DG162" s="129"/>
      <c r="DH162" s="128"/>
      <c r="DI162" s="836"/>
      <c r="DJ162" s="19">
        <f t="shared" ref="DJ162:DM162" si="504">DJ157-DJ158</f>
        <v>-90</v>
      </c>
      <c r="DK162" s="19">
        <f t="shared" si="504"/>
        <v>2831</v>
      </c>
      <c r="DL162" s="19">
        <f t="shared" si="504"/>
        <v>-828</v>
      </c>
      <c r="DM162" s="17">
        <f t="shared" si="504"/>
        <v>-712</v>
      </c>
      <c r="DN162" s="836"/>
      <c r="DO162" s="17">
        <f t="shared" ref="DO162:DR162" si="505">DO157-DO158</f>
        <v>-215</v>
      </c>
      <c r="DP162" s="17">
        <f t="shared" si="505"/>
        <v>113</v>
      </c>
      <c r="DQ162" s="19">
        <f t="shared" si="505"/>
        <v>205</v>
      </c>
      <c r="DR162" s="19">
        <f t="shared" si="505"/>
        <v>1767</v>
      </c>
      <c r="DS162" s="836"/>
      <c r="DT162" s="500">
        <f t="shared" ref="DT162:DW162" si="506">DT157-DT161</f>
        <v>0</v>
      </c>
      <c r="DU162" s="500">
        <f t="shared" si="506"/>
        <v>0</v>
      </c>
      <c r="DV162" s="500">
        <f t="shared" si="506"/>
        <v>0</v>
      </c>
      <c r="DW162" s="500">
        <f t="shared" si="506"/>
        <v>0</v>
      </c>
      <c r="DX162" s="923"/>
      <c r="DY162" s="500">
        <f t="shared" ref="DY162:EB162" si="507">DY157-DY161</f>
        <v>0</v>
      </c>
      <c r="DZ162" s="500">
        <f t="shared" si="507"/>
        <v>0</v>
      </c>
      <c r="EA162" s="500">
        <f t="shared" si="507"/>
        <v>0</v>
      </c>
      <c r="EB162" s="500">
        <f t="shared" si="507"/>
        <v>0</v>
      </c>
      <c r="EC162" s="923"/>
      <c r="ED162" s="500">
        <f t="shared" ref="ED162:EG162" si="508">ED157-ED161</f>
        <v>0</v>
      </c>
      <c r="EE162" s="500">
        <f t="shared" si="508"/>
        <v>0</v>
      </c>
      <c r="EF162" s="500">
        <f t="shared" si="508"/>
        <v>0</v>
      </c>
      <c r="EG162" s="500">
        <f t="shared" si="508"/>
        <v>0</v>
      </c>
      <c r="EH162" s="923"/>
      <c r="EI162" s="501">
        <f t="shared" ref="EI162:EL162" si="509">EI157-EI161</f>
        <v>0</v>
      </c>
      <c r="EJ162" s="498">
        <f t="shared" si="509"/>
        <v>0</v>
      </c>
      <c r="EK162" s="498">
        <f t="shared" si="509"/>
        <v>0</v>
      </c>
      <c r="EL162" s="498">
        <f t="shared" si="509"/>
        <v>0</v>
      </c>
      <c r="EM162" s="923"/>
      <c r="EN162" s="498">
        <f t="shared" ref="EN162:EQ162" si="510">EN157-EN161</f>
        <v>0</v>
      </c>
      <c r="EO162" s="498">
        <f t="shared" si="510"/>
        <v>0</v>
      </c>
      <c r="EP162" s="498">
        <f t="shared" si="510"/>
        <v>0</v>
      </c>
      <c r="EQ162" s="498">
        <f t="shared" si="510"/>
        <v>0</v>
      </c>
      <c r="ER162" s="836"/>
      <c r="ES162" s="498">
        <f t="shared" ref="ES162:EV162" si="511">ES157-ES161</f>
        <v>0</v>
      </c>
      <c r="ET162" s="498">
        <f t="shared" si="511"/>
        <v>0</v>
      </c>
      <c r="EU162" s="498">
        <f t="shared" si="511"/>
        <v>0</v>
      </c>
      <c r="EV162" s="498">
        <f t="shared" si="511"/>
        <v>0</v>
      </c>
      <c r="EW162" s="836"/>
      <c r="EX162" s="498">
        <f t="shared" ref="EX162:FA162" si="512">EX157-EX161</f>
        <v>0</v>
      </c>
      <c r="EY162" s="498">
        <f t="shared" si="512"/>
        <v>0</v>
      </c>
      <c r="EZ162" s="498">
        <f t="shared" si="512"/>
        <v>0</v>
      </c>
      <c r="FA162" s="498">
        <f t="shared" si="512"/>
        <v>0</v>
      </c>
      <c r="FB162" s="836"/>
      <c r="FC162" s="498">
        <f t="shared" ref="FC162:FF162" si="513">FC157-FC161</f>
        <v>0</v>
      </c>
      <c r="FD162" s="498">
        <f t="shared" si="513"/>
        <v>0</v>
      </c>
      <c r="FE162" s="498">
        <f t="shared" si="513"/>
        <v>0</v>
      </c>
      <c r="FF162" s="498">
        <f t="shared" si="513"/>
        <v>0</v>
      </c>
      <c r="FG162" s="836"/>
    </row>
    <row r="163" ht="12.75" customHeight="1">
      <c r="A163" s="128"/>
      <c r="B163" s="179" t="s">
        <v>692</v>
      </c>
      <c r="C163" s="179"/>
      <c r="D163" s="179"/>
      <c r="E163" s="179"/>
      <c r="F163" s="179"/>
      <c r="G163" s="179"/>
      <c r="H163" s="179"/>
      <c r="I163" s="179"/>
      <c r="J163" s="179"/>
      <c r="K163" s="179"/>
      <c r="L163" s="179"/>
      <c r="M163" s="179"/>
      <c r="N163" s="179"/>
      <c r="O163" s="179"/>
      <c r="P163" s="179"/>
      <c r="Q163" s="179"/>
      <c r="R163" s="57"/>
      <c r="S163" s="179"/>
      <c r="T163" s="179"/>
      <c r="U163" s="179"/>
      <c r="V163" s="179"/>
      <c r="W163" s="785"/>
      <c r="X163" s="128"/>
      <c r="Y163" s="128"/>
      <c r="Z163" s="128"/>
      <c r="AA163" s="128"/>
      <c r="AB163" s="837"/>
      <c r="AC163" s="128"/>
      <c r="AD163" s="128"/>
      <c r="AE163" s="128"/>
      <c r="AF163" s="128"/>
      <c r="AG163" s="837"/>
      <c r="AH163" s="128"/>
      <c r="AI163" s="128"/>
      <c r="AJ163" s="128"/>
      <c r="AK163" s="128"/>
      <c r="AL163" s="837"/>
      <c r="AM163" s="128"/>
      <c r="AN163" s="128"/>
      <c r="AO163" s="128"/>
      <c r="AP163" s="128"/>
      <c r="AQ163" s="837"/>
      <c r="AR163" s="128"/>
      <c r="AS163" s="128"/>
      <c r="AT163" s="128"/>
      <c r="AU163" s="128"/>
      <c r="AV163" s="837"/>
      <c r="AW163" s="128"/>
      <c r="AX163" s="128"/>
      <c r="AY163" s="128"/>
      <c r="AZ163" s="128"/>
      <c r="BA163" s="837"/>
      <c r="BB163" s="128"/>
      <c r="BC163" s="128"/>
      <c r="BD163" s="128"/>
      <c r="BE163" s="128"/>
      <c r="BF163" s="837"/>
      <c r="BG163" s="128"/>
      <c r="BH163" s="128"/>
      <c r="BI163" s="128"/>
      <c r="BJ163" s="128"/>
      <c r="BK163" s="837"/>
      <c r="BL163" s="128"/>
      <c r="BM163" s="128"/>
      <c r="BN163" s="128"/>
      <c r="BO163" s="128"/>
      <c r="BP163" s="837"/>
      <c r="BQ163" s="128"/>
      <c r="BR163" s="128"/>
      <c r="BS163" s="128"/>
      <c r="BT163" s="128"/>
      <c r="BU163" s="837"/>
      <c r="BV163" s="128"/>
      <c r="BW163" s="128"/>
      <c r="BX163" s="128"/>
      <c r="BY163" s="128"/>
      <c r="BZ163" s="837"/>
      <c r="CA163" s="128"/>
      <c r="CB163" s="128"/>
      <c r="CC163" s="128"/>
      <c r="CD163" s="128"/>
      <c r="CE163" s="837"/>
      <c r="CF163" s="128"/>
      <c r="CG163" s="128"/>
      <c r="CH163" s="128"/>
      <c r="CI163" s="128"/>
      <c r="CJ163" s="837"/>
      <c r="CK163" s="128"/>
      <c r="CL163" s="128"/>
      <c r="CM163" s="128"/>
      <c r="CN163" s="128"/>
      <c r="CO163" s="837"/>
      <c r="CP163" s="128"/>
      <c r="CQ163" s="128"/>
      <c r="CR163" s="128"/>
      <c r="CS163" s="128"/>
      <c r="CT163" s="836"/>
      <c r="CU163" s="128"/>
      <c r="CV163" s="128"/>
      <c r="CW163" s="128"/>
      <c r="CX163" s="128"/>
      <c r="CY163" s="836"/>
      <c r="CZ163" s="129">
        <v>208.0</v>
      </c>
      <c r="DA163" s="128">
        <v>187.0</v>
      </c>
      <c r="DB163" s="129">
        <v>180.0</v>
      </c>
      <c r="DC163" s="128">
        <f>733-SUM(CZ163:DB163)</f>
        <v>158</v>
      </c>
      <c r="DD163" s="836">
        <f>SUM(CZ163:DC163)</f>
        <v>733</v>
      </c>
      <c r="DE163" s="129">
        <v>146.0</v>
      </c>
      <c r="DF163" s="128">
        <v>156.0</v>
      </c>
      <c r="DG163" s="129">
        <v>191.0</v>
      </c>
      <c r="DH163" s="128">
        <f>DH157*DH164/4</f>
        <v>160.878</v>
      </c>
      <c r="DI163" s="836">
        <f>SUM(DE163:DH163)</f>
        <v>653.878</v>
      </c>
      <c r="DJ163" s="129">
        <f t="shared" ref="DJ163:DM163" si="514">DJ157*DJ164/4</f>
        <v>178.825</v>
      </c>
      <c r="DK163" s="129">
        <f t="shared" si="514"/>
        <v>197.08125</v>
      </c>
      <c r="DL163" s="129">
        <f t="shared" si="514"/>
        <v>174.2125</v>
      </c>
      <c r="DM163" s="128">
        <f t="shared" si="514"/>
        <v>164.74375</v>
      </c>
      <c r="DN163" s="836">
        <f>SUM(DJ163:DM163)</f>
        <v>714.8625</v>
      </c>
      <c r="DO163" s="128">
        <f t="shared" ref="DO163:DR163" si="515">DO157*DO164/4</f>
        <v>178.04375</v>
      </c>
      <c r="DP163" s="128">
        <f t="shared" si="515"/>
        <v>180.09375</v>
      </c>
      <c r="DQ163" s="129">
        <f t="shared" si="515"/>
        <v>180.66875</v>
      </c>
      <c r="DR163" s="129">
        <f t="shared" si="515"/>
        <v>181.25625</v>
      </c>
      <c r="DS163" s="836">
        <v>489.0</v>
      </c>
      <c r="DT163" s="129">
        <v>135.0</v>
      </c>
      <c r="DU163" s="129">
        <v>186.0</v>
      </c>
      <c r="DV163" s="129">
        <v>160.0</v>
      </c>
      <c r="DW163" s="129">
        <f>DX163-SUM(DT163:DV163)</f>
        <v>148</v>
      </c>
      <c r="DX163" s="836">
        <v>629.0</v>
      </c>
      <c r="DY163" s="129">
        <v>190.0</v>
      </c>
      <c r="DZ163" s="129">
        <v>129.0</v>
      </c>
      <c r="EA163" s="129">
        <v>144.0</v>
      </c>
      <c r="EB163" s="129">
        <f>EC163-SUM(DY163:EA163)</f>
        <v>134</v>
      </c>
      <c r="EC163" s="836">
        <v>597.0</v>
      </c>
      <c r="ED163" s="129">
        <v>124.0</v>
      </c>
      <c r="EE163" s="129">
        <v>109.0</v>
      </c>
      <c r="EF163" s="129">
        <v>114.0</v>
      </c>
      <c r="EG163" s="129">
        <f>EG157*EG164/4</f>
        <v>129.3694327</v>
      </c>
      <c r="EH163" s="836">
        <f>SUM(ED163:EG163)</f>
        <v>476.3694327</v>
      </c>
      <c r="EI163" s="134">
        <f t="shared" ref="EI163:EL163" si="516">EI157*EI164/4</f>
        <v>132.0253563</v>
      </c>
      <c r="EJ163" s="128">
        <f t="shared" si="516"/>
        <v>132.0253563</v>
      </c>
      <c r="EK163" s="128">
        <f t="shared" si="516"/>
        <v>132.0253563</v>
      </c>
      <c r="EL163" s="128">
        <f t="shared" si="516"/>
        <v>130.7694969</v>
      </c>
      <c r="EM163" s="836">
        <f>SUM(EI163:EL163)</f>
        <v>526.8455656</v>
      </c>
      <c r="EN163" s="128">
        <f t="shared" ref="EN163:EQ163" si="517">EN157*EN164/4</f>
        <v>130.7694969</v>
      </c>
      <c r="EO163" s="128">
        <f t="shared" si="517"/>
        <v>126.8449363</v>
      </c>
      <c r="EP163" s="128">
        <f t="shared" si="517"/>
        <v>124.9611473</v>
      </c>
      <c r="EQ163" s="128">
        <f t="shared" si="517"/>
        <v>124.9611473</v>
      </c>
      <c r="ER163" s="836">
        <f>SUM(EN163:EQ163)</f>
        <v>507.5367278</v>
      </c>
      <c r="ES163" s="128">
        <f t="shared" ref="ES163:EV163" si="518">ES157*ES164/4</f>
        <v>124.9611473</v>
      </c>
      <c r="ET163" s="128">
        <f t="shared" si="518"/>
        <v>120.2516746</v>
      </c>
      <c r="EU163" s="128">
        <f t="shared" si="518"/>
        <v>113.1874657</v>
      </c>
      <c r="EV163" s="128">
        <f t="shared" si="518"/>
        <v>113.1874657</v>
      </c>
      <c r="EW163" s="836">
        <f>SUM(ES163:EV163)</f>
        <v>471.5877532</v>
      </c>
      <c r="EX163" s="128">
        <f t="shared" ref="EX163:FA163" si="519">EX157*EX164/4</f>
        <v>113.1874657</v>
      </c>
      <c r="EY163" s="128">
        <f t="shared" si="519"/>
        <v>110.0478172</v>
      </c>
      <c r="EZ163" s="128">
        <f t="shared" si="519"/>
        <v>110.0478172</v>
      </c>
      <c r="FA163" s="128">
        <f t="shared" si="519"/>
        <v>110.0478172</v>
      </c>
      <c r="FB163" s="836">
        <f>SUM(EX163:FA163)</f>
        <v>443.3309173</v>
      </c>
      <c r="FC163" s="128">
        <f t="shared" ref="FC163:FF163" si="520">FC157*FC164/4</f>
        <v>106.9081688</v>
      </c>
      <c r="FD163" s="128">
        <f t="shared" si="520"/>
        <v>103.7685204</v>
      </c>
      <c r="FE163" s="128">
        <f t="shared" si="520"/>
        <v>99.84395982</v>
      </c>
      <c r="FF163" s="128">
        <f t="shared" si="520"/>
        <v>99.84395982</v>
      </c>
      <c r="FG163" s="836">
        <f>SUM(FC163:FF163)</f>
        <v>410.3646088</v>
      </c>
    </row>
    <row r="164" ht="12.75" customHeight="1">
      <c r="A164" s="128"/>
      <c r="B164" s="179"/>
      <c r="C164" s="179"/>
      <c r="D164" s="179"/>
      <c r="E164" s="179"/>
      <c r="F164" s="179"/>
      <c r="G164" s="179"/>
      <c r="H164" s="179"/>
      <c r="I164" s="179"/>
      <c r="J164" s="179"/>
      <c r="K164" s="179"/>
      <c r="L164" s="179"/>
      <c r="M164" s="179"/>
      <c r="N164" s="179"/>
      <c r="O164" s="179"/>
      <c r="P164" s="179"/>
      <c r="Q164" s="179"/>
      <c r="R164" s="57"/>
      <c r="S164" s="179"/>
      <c r="T164" s="179"/>
      <c r="U164" s="179"/>
      <c r="V164" s="179"/>
      <c r="W164" s="785"/>
      <c r="X164" s="128"/>
      <c r="Y164" s="128"/>
      <c r="Z164" s="128"/>
      <c r="AA164" s="128"/>
      <c r="AB164" s="837"/>
      <c r="AC164" s="128"/>
      <c r="AD164" s="128"/>
      <c r="AE164" s="128"/>
      <c r="AF164" s="128"/>
      <c r="AG164" s="837"/>
      <c r="AH164" s="128"/>
      <c r="AI164" s="128"/>
      <c r="AJ164" s="128"/>
      <c r="AK164" s="128"/>
      <c r="AL164" s="837"/>
      <c r="AM164" s="128"/>
      <c r="AN164" s="128"/>
      <c r="AO164" s="128"/>
      <c r="AP164" s="128"/>
      <c r="AQ164" s="837"/>
      <c r="AR164" s="128"/>
      <c r="AS164" s="128"/>
      <c r="AT164" s="128"/>
      <c r="AU164" s="128"/>
      <c r="AV164" s="837"/>
      <c r="AW164" s="128"/>
      <c r="AX164" s="128"/>
      <c r="AY164" s="128"/>
      <c r="AZ164" s="128"/>
      <c r="BA164" s="837"/>
      <c r="BB164" s="128"/>
      <c r="BC164" s="128"/>
      <c r="BD164" s="128"/>
      <c r="BE164" s="128"/>
      <c r="BF164" s="837"/>
      <c r="BG164" s="128"/>
      <c r="BH164" s="128"/>
      <c r="BI164" s="128"/>
      <c r="BJ164" s="128"/>
      <c r="BK164" s="837"/>
      <c r="BL164" s="128"/>
      <c r="BM164" s="128"/>
      <c r="BN164" s="128"/>
      <c r="BO164" s="128"/>
      <c r="BP164" s="837"/>
      <c r="BQ164" s="128"/>
      <c r="BR164" s="128"/>
      <c r="BS164" s="128"/>
      <c r="BT164" s="128"/>
      <c r="BU164" s="837"/>
      <c r="BV164" s="128"/>
      <c r="BW164" s="128"/>
      <c r="BX164" s="128"/>
      <c r="BY164" s="128"/>
      <c r="BZ164" s="837"/>
      <c r="CA164" s="128"/>
      <c r="CB164" s="128"/>
      <c r="CC164" s="128"/>
      <c r="CD164" s="128"/>
      <c r="CE164" s="837"/>
      <c r="CF164" s="128"/>
      <c r="CG164" s="128"/>
      <c r="CH164" s="128"/>
      <c r="CI164" s="128"/>
      <c r="CJ164" s="837"/>
      <c r="CK164" s="128"/>
      <c r="CL164" s="128"/>
      <c r="CM164" s="128"/>
      <c r="CN164" s="128"/>
      <c r="CO164" s="837"/>
      <c r="CP164" s="128"/>
      <c r="CQ164" s="128"/>
      <c r="CR164" s="128"/>
      <c r="CS164" s="128"/>
      <c r="CT164" s="836"/>
      <c r="CU164" s="128"/>
      <c r="CV164" s="128"/>
      <c r="CW164" s="128"/>
      <c r="CX164" s="128"/>
      <c r="CY164" s="836"/>
      <c r="CZ164" s="269">
        <f t="shared" ref="CZ164:DC164" si="521">CZ163*4/CZ157</f>
        <v>0.03279593204</v>
      </c>
      <c r="DA164" s="269">
        <f t="shared" si="521"/>
        <v>0.02614196344</v>
      </c>
      <c r="DB164" s="269">
        <f t="shared" si="521"/>
        <v>0.02607184241</v>
      </c>
      <c r="DC164" s="269">
        <f t="shared" si="521"/>
        <v>0.02499703358</v>
      </c>
      <c r="DD164" s="836"/>
      <c r="DE164" s="269">
        <f t="shared" ref="DE164:DG164" si="522">DE163*4/DE157</f>
        <v>0.02267873092</v>
      </c>
      <c r="DF164" s="269">
        <f t="shared" si="522"/>
        <v>0.01950914491</v>
      </c>
      <c r="DG164" s="269">
        <f t="shared" si="522"/>
        <v>0.0240994259</v>
      </c>
      <c r="DH164" s="269">
        <v>0.024</v>
      </c>
      <c r="DI164" s="836"/>
      <c r="DJ164" s="435">
        <v>0.025</v>
      </c>
      <c r="DK164" s="435">
        <v>0.025</v>
      </c>
      <c r="DL164" s="435">
        <v>0.025</v>
      </c>
      <c r="DM164" s="436">
        <v>0.025</v>
      </c>
      <c r="DN164" s="836"/>
      <c r="DO164" s="436">
        <v>0.025</v>
      </c>
      <c r="DP164" s="436">
        <v>0.025</v>
      </c>
      <c r="DQ164" s="435">
        <v>0.025</v>
      </c>
      <c r="DR164" s="435">
        <v>0.025</v>
      </c>
      <c r="DS164" s="836"/>
      <c r="DT164" s="104">
        <f t="shared" ref="DT164:DW164" si="523">DT163*4/DT157</f>
        <v>0.01352739297</v>
      </c>
      <c r="DU164" s="104">
        <f t="shared" si="523"/>
        <v>0.0194017785</v>
      </c>
      <c r="DV164" s="104">
        <f t="shared" si="523"/>
        <v>0.01750403413</v>
      </c>
      <c r="DW164" s="104">
        <f t="shared" si="523"/>
        <v>0.01626328947</v>
      </c>
      <c r="DX164" s="836"/>
      <c r="DY164" s="104">
        <f t="shared" ref="DY164:EB164" si="524">DY163*4/DY157</f>
        <v>0.0211793557</v>
      </c>
      <c r="DZ164" s="104">
        <f t="shared" si="524"/>
        <v>0.0145725663</v>
      </c>
      <c r="EA164" s="104">
        <f t="shared" si="524"/>
        <v>0.01429138547</v>
      </c>
      <c r="EB164" s="104">
        <f t="shared" si="524"/>
        <v>0.01406787223</v>
      </c>
      <c r="EC164" s="836"/>
      <c r="ED164" s="104">
        <f t="shared" ref="ED164:EE164" si="525">ED163*4/ED157</f>
        <v>0.01331650871</v>
      </c>
      <c r="EE164" s="104">
        <f t="shared" si="525"/>
        <v>0.01230595541</v>
      </c>
      <c r="EF164" s="104">
        <f t="shared" ref="EF164:EG164" si="526">EE164</f>
        <v>0.01230595541</v>
      </c>
      <c r="EG164" s="104">
        <f t="shared" si="526"/>
        <v>0.01230595541</v>
      </c>
      <c r="EH164" s="836"/>
      <c r="EI164" s="412">
        <f>AVERAGE(ED164:EG164)</f>
        <v>0.01255859373</v>
      </c>
      <c r="EJ164" s="436">
        <f t="shared" ref="EJ164:EL164" si="527">EI164</f>
        <v>0.01255859373</v>
      </c>
      <c r="EK164" s="436">
        <f t="shared" si="527"/>
        <v>0.01255859373</v>
      </c>
      <c r="EL164" s="436">
        <f t="shared" si="527"/>
        <v>0.01255859373</v>
      </c>
      <c r="EM164" s="836"/>
      <c r="EN164" s="436">
        <f>AVERAGE(EI164:EL164)</f>
        <v>0.01255859373</v>
      </c>
      <c r="EO164" s="436">
        <f t="shared" ref="EO164:EQ164" si="528">EN164</f>
        <v>0.01255859373</v>
      </c>
      <c r="EP164" s="436">
        <f t="shared" si="528"/>
        <v>0.01255859373</v>
      </c>
      <c r="EQ164" s="436">
        <f t="shared" si="528"/>
        <v>0.01255859373</v>
      </c>
      <c r="ER164" s="836"/>
      <c r="ES164" s="436">
        <f>AVERAGE(EN164:EQ164)</f>
        <v>0.01255859373</v>
      </c>
      <c r="ET164" s="436">
        <f t="shared" ref="ET164:EV164" si="529">ES164</f>
        <v>0.01255859373</v>
      </c>
      <c r="EU164" s="436">
        <f t="shared" si="529"/>
        <v>0.01255859373</v>
      </c>
      <c r="EV164" s="436">
        <f t="shared" si="529"/>
        <v>0.01255859373</v>
      </c>
      <c r="EW164" s="836"/>
      <c r="EX164" s="436">
        <f>AVERAGE(ES164:EV164)</f>
        <v>0.01255859373</v>
      </c>
      <c r="EY164" s="436">
        <f t="shared" ref="EY164:FA164" si="530">EX164</f>
        <v>0.01255859373</v>
      </c>
      <c r="EZ164" s="436">
        <f t="shared" si="530"/>
        <v>0.01255859373</v>
      </c>
      <c r="FA164" s="436">
        <f t="shared" si="530"/>
        <v>0.01255859373</v>
      </c>
      <c r="FB164" s="836"/>
      <c r="FC164" s="436">
        <f>AVERAGE(EX164:FA164)</f>
        <v>0.01255859373</v>
      </c>
      <c r="FD164" s="436">
        <f t="shared" ref="FD164:FF164" si="531">FC164</f>
        <v>0.01255859373</v>
      </c>
      <c r="FE164" s="436">
        <f t="shared" si="531"/>
        <v>0.01255859373</v>
      </c>
      <c r="FF164" s="436">
        <f t="shared" si="531"/>
        <v>0.01255859373</v>
      </c>
      <c r="FG164" s="836"/>
    </row>
    <row r="165" ht="12.75" customHeight="1">
      <c r="A165" s="128"/>
      <c r="B165" s="179"/>
      <c r="C165" s="179"/>
      <c r="D165" s="179"/>
      <c r="E165" s="179"/>
      <c r="F165" s="179"/>
      <c r="G165" s="179"/>
      <c r="H165" s="179"/>
      <c r="I165" s="179"/>
      <c r="J165" s="179"/>
      <c r="K165" s="179"/>
      <c r="L165" s="179"/>
      <c r="M165" s="179"/>
      <c r="N165" s="179"/>
      <c r="O165" s="179"/>
      <c r="P165" s="179"/>
      <c r="Q165" s="179"/>
      <c r="R165" s="57"/>
      <c r="S165" s="179"/>
      <c r="T165" s="179"/>
      <c r="U165" s="179"/>
      <c r="V165" s="179"/>
      <c r="W165" s="785"/>
      <c r="X165" s="128"/>
      <c r="Y165" s="128"/>
      <c r="Z165" s="128"/>
      <c r="AA165" s="128"/>
      <c r="AB165" s="837"/>
      <c r="AC165" s="128"/>
      <c r="AD165" s="128"/>
      <c r="AE165" s="128"/>
      <c r="AF165" s="128"/>
      <c r="AG165" s="837"/>
      <c r="AH165" s="128"/>
      <c r="AI165" s="128"/>
      <c r="AJ165" s="128"/>
      <c r="AK165" s="128"/>
      <c r="AL165" s="837"/>
      <c r="AM165" s="128"/>
      <c r="AN165" s="128"/>
      <c r="AO165" s="128"/>
      <c r="AP165" s="128"/>
      <c r="AQ165" s="837"/>
      <c r="AR165" s="128"/>
      <c r="AS165" s="128"/>
      <c r="AT165" s="128"/>
      <c r="AU165" s="128"/>
      <c r="AV165" s="837"/>
      <c r="AW165" s="128"/>
      <c r="AX165" s="128"/>
      <c r="AY165" s="128"/>
      <c r="AZ165" s="128"/>
      <c r="BA165" s="837"/>
      <c r="BB165" s="128"/>
      <c r="BC165" s="128"/>
      <c r="BD165" s="128"/>
      <c r="BE165" s="128"/>
      <c r="BF165" s="837"/>
      <c r="BG165" s="128"/>
      <c r="BH165" s="128"/>
      <c r="BI165" s="128"/>
      <c r="BJ165" s="128"/>
      <c r="BK165" s="837"/>
      <c r="BL165" s="128"/>
      <c r="BM165" s="128"/>
      <c r="BN165" s="128"/>
      <c r="BO165" s="128"/>
      <c r="BP165" s="837"/>
      <c r="BQ165" s="128"/>
      <c r="BR165" s="128"/>
      <c r="BS165" s="128"/>
      <c r="BT165" s="128"/>
      <c r="BU165" s="837"/>
      <c r="BV165" s="128"/>
      <c r="BW165" s="128"/>
      <c r="BX165" s="128"/>
      <c r="BY165" s="128"/>
      <c r="BZ165" s="837"/>
      <c r="CA165" s="128"/>
      <c r="CB165" s="128"/>
      <c r="CC165" s="128"/>
      <c r="CD165" s="128"/>
      <c r="CE165" s="837"/>
      <c r="CF165" s="128"/>
      <c r="CG165" s="128"/>
      <c r="CH165" s="128"/>
      <c r="CI165" s="128"/>
      <c r="CJ165" s="837"/>
      <c r="CK165" s="128"/>
      <c r="CL165" s="128"/>
      <c r="CM165" s="128"/>
      <c r="CN165" s="128"/>
      <c r="CO165" s="837"/>
      <c r="CP165" s="128"/>
      <c r="CQ165" s="128"/>
      <c r="CR165" s="128"/>
      <c r="CS165" s="128"/>
      <c r="CT165" s="836"/>
      <c r="CU165" s="128"/>
      <c r="CV165" s="128"/>
      <c r="CW165" s="128"/>
      <c r="CX165" s="128"/>
      <c r="CY165" s="836"/>
      <c r="CZ165" s="129"/>
      <c r="DA165" s="128"/>
      <c r="DB165" s="129"/>
      <c r="DC165" s="128"/>
      <c r="DD165" s="836"/>
      <c r="DE165" s="129"/>
      <c r="DF165" s="128"/>
      <c r="DG165" s="129"/>
      <c r="DH165" s="128"/>
      <c r="DI165" s="836"/>
      <c r="DJ165" s="129"/>
      <c r="DK165" s="129"/>
      <c r="DL165" s="129"/>
      <c r="DM165" s="128"/>
      <c r="DN165" s="836"/>
      <c r="DO165" s="128"/>
      <c r="DP165" s="128"/>
      <c r="DQ165" s="129"/>
      <c r="DR165" s="129"/>
      <c r="DS165" s="836"/>
      <c r="DT165" s="129"/>
      <c r="DU165" s="129"/>
      <c r="DV165" s="129"/>
      <c r="DW165" s="129"/>
      <c r="DX165" s="836"/>
      <c r="DY165" s="129"/>
      <c r="DZ165" s="129"/>
      <c r="EA165" s="129"/>
      <c r="EB165" s="129"/>
      <c r="EC165" s="836"/>
      <c r="ED165" s="129"/>
      <c r="EE165" s="129"/>
      <c r="EF165" s="129"/>
      <c r="EG165" s="129"/>
      <c r="EH165" s="836"/>
      <c r="EI165" s="134"/>
      <c r="EJ165" s="128"/>
      <c r="EK165" s="128"/>
      <c r="EL165" s="128"/>
      <c r="EM165" s="836"/>
      <c r="EN165" s="128"/>
      <c r="EO165" s="128"/>
      <c r="EP165" s="128"/>
      <c r="EQ165" s="128"/>
      <c r="ER165" s="836"/>
      <c r="ES165" s="128"/>
      <c r="ET165" s="128"/>
      <c r="EU165" s="128"/>
      <c r="EV165" s="128"/>
      <c r="EW165" s="836"/>
      <c r="EX165" s="128"/>
      <c r="EY165" s="128"/>
      <c r="EZ165" s="128"/>
      <c r="FA165" s="128"/>
      <c r="FB165" s="836"/>
      <c r="FC165" s="128"/>
      <c r="FD165" s="128"/>
      <c r="FE165" s="128"/>
      <c r="FF165" s="128"/>
      <c r="FG165" s="836"/>
    </row>
    <row r="166" ht="12.75" customHeight="1">
      <c r="A166" s="128"/>
      <c r="B166" s="179" t="s">
        <v>693</v>
      </c>
      <c r="C166" s="179"/>
      <c r="D166" s="179"/>
      <c r="E166" s="179"/>
      <c r="F166" s="179"/>
      <c r="G166" s="179"/>
      <c r="H166" s="179"/>
      <c r="I166" s="179"/>
      <c r="J166" s="179"/>
      <c r="K166" s="179"/>
      <c r="L166" s="179"/>
      <c r="M166" s="179"/>
      <c r="N166" s="179"/>
      <c r="O166" s="179"/>
      <c r="P166" s="179"/>
      <c r="Q166" s="179"/>
      <c r="R166" s="57"/>
      <c r="S166" s="179"/>
      <c r="T166" s="179"/>
      <c r="U166" s="179"/>
      <c r="V166" s="179"/>
      <c r="W166" s="785"/>
      <c r="X166" s="128"/>
      <c r="Y166" s="128"/>
      <c r="Z166" s="128"/>
      <c r="AA166" s="128"/>
      <c r="AB166" s="837"/>
      <c r="AC166" s="128"/>
      <c r="AD166" s="128"/>
      <c r="AE166" s="128"/>
      <c r="AF166" s="128"/>
      <c r="AG166" s="837"/>
      <c r="AH166" s="128"/>
      <c r="AI166" s="128"/>
      <c r="AJ166" s="128"/>
      <c r="AK166" s="128"/>
      <c r="AL166" s="837"/>
      <c r="AM166" s="128"/>
      <c r="AN166" s="128"/>
      <c r="AO166" s="128"/>
      <c r="AP166" s="128"/>
      <c r="AQ166" s="837"/>
      <c r="AR166" s="128"/>
      <c r="AS166" s="128"/>
      <c r="AT166" s="128"/>
      <c r="AU166" s="128"/>
      <c r="AV166" s="837"/>
      <c r="AW166" s="128"/>
      <c r="AX166" s="128"/>
      <c r="AY166" s="128"/>
      <c r="AZ166" s="128"/>
      <c r="BA166" s="837"/>
      <c r="BB166" s="128"/>
      <c r="BC166" s="128"/>
      <c r="BD166" s="128"/>
      <c r="BE166" s="128"/>
      <c r="BF166" s="837"/>
      <c r="BG166" s="128"/>
      <c r="BH166" s="128"/>
      <c r="BI166" s="128"/>
      <c r="BJ166" s="128"/>
      <c r="BK166" s="837"/>
      <c r="BL166" s="128"/>
      <c r="BM166" s="128"/>
      <c r="BN166" s="128"/>
      <c r="BO166" s="128"/>
      <c r="BP166" s="837"/>
      <c r="BQ166" s="128"/>
      <c r="BR166" s="128"/>
      <c r="BS166" s="128"/>
      <c r="BT166" s="128"/>
      <c r="BU166" s="837"/>
      <c r="BV166" s="128"/>
      <c r="BW166" s="128"/>
      <c r="BX166" s="128"/>
      <c r="BY166" s="128"/>
      <c r="BZ166" s="837"/>
      <c r="CA166" s="128"/>
      <c r="CB166" s="128"/>
      <c r="CC166" s="128"/>
      <c r="CD166" s="128"/>
      <c r="CE166" s="837"/>
      <c r="CF166" s="128"/>
      <c r="CG166" s="128"/>
      <c r="CH166" s="128"/>
      <c r="CI166" s="128"/>
      <c r="CJ166" s="837"/>
      <c r="CK166" s="128"/>
      <c r="CL166" s="128"/>
      <c r="CM166" s="128"/>
      <c r="CN166" s="128"/>
      <c r="CO166" s="837"/>
      <c r="CP166" s="128"/>
      <c r="CQ166" s="128"/>
      <c r="CR166" s="128"/>
      <c r="CS166" s="128"/>
      <c r="CT166" s="836"/>
      <c r="CU166" s="128"/>
      <c r="CV166" s="128"/>
      <c r="CW166" s="128"/>
      <c r="CX166" s="128"/>
      <c r="CY166" s="836"/>
      <c r="CZ166" s="129"/>
      <c r="DA166" s="128"/>
      <c r="DB166" s="129">
        <v>56.0</v>
      </c>
      <c r="DC166" s="128"/>
      <c r="DD166" s="836"/>
      <c r="DE166" s="129"/>
      <c r="DF166" s="128"/>
      <c r="DG166" s="129">
        <v>137.0</v>
      </c>
      <c r="DH166" s="128">
        <f>BS!DG10*CF!DH167/4</f>
        <v>105.21</v>
      </c>
      <c r="DI166" s="836"/>
      <c r="DJ166" s="129">
        <f>BS!DH10*CF!DJ167/4</f>
        <v>52.47</v>
      </c>
      <c r="DK166" s="129">
        <f>BS!DJ10*CF!DK167/4</f>
        <v>55.74</v>
      </c>
      <c r="DL166" s="129">
        <f>BS!DK10*CF!DL167/4</f>
        <v>48.77</v>
      </c>
      <c r="DM166" s="128">
        <f>BS!DL10*CF!DM167/4</f>
        <v>60.48</v>
      </c>
      <c r="DN166" s="836"/>
      <c r="DO166" s="128">
        <f>BS!DM10*CF!DO167/4</f>
        <v>58.07</v>
      </c>
      <c r="DP166" s="128">
        <f>BS!DO10*CF!DP167/4</f>
        <v>58.52</v>
      </c>
      <c r="DQ166" s="129">
        <f>BS!DP10*CF!DQ167/4</f>
        <v>52.81</v>
      </c>
      <c r="DR166" s="129">
        <f>BS!DQ10*CF!DR167/4</f>
        <v>57.84</v>
      </c>
      <c r="DS166" s="836">
        <v>490.0</v>
      </c>
      <c r="DT166" s="129">
        <v>93.0</v>
      </c>
      <c r="DU166" s="129">
        <v>83.0</v>
      </c>
      <c r="DV166" s="129">
        <v>53.0</v>
      </c>
      <c r="DW166" s="129">
        <f>DX166-SUM(DT166:DV166)</f>
        <v>43</v>
      </c>
      <c r="DX166" s="836">
        <v>272.0</v>
      </c>
      <c r="DY166" s="129">
        <v>37.0</v>
      </c>
      <c r="DZ166" s="129">
        <v>37.0</v>
      </c>
      <c r="EA166" s="129">
        <v>37.0</v>
      </c>
      <c r="EB166" s="129">
        <f>EC166-SUM(DY166:EA166)</f>
        <v>33</v>
      </c>
      <c r="EC166" s="836">
        <v>144.0</v>
      </c>
      <c r="ED166" s="129">
        <v>47.0</v>
      </c>
      <c r="EE166" s="129">
        <v>98.0</v>
      </c>
      <c r="EF166" s="129">
        <v>170.0</v>
      </c>
      <c r="EG166" s="129">
        <f>BS!EF10*CF!EG167/4</f>
        <v>170</v>
      </c>
      <c r="EH166" s="836"/>
      <c r="EI166" s="134">
        <f>BS!EG10*CF!EI167/4</f>
        <v>213.5493595</v>
      </c>
      <c r="EJ166" s="128" t="str">
        <f>BS!EI10*CF!EJ167/4</f>
        <v>#ERROR!</v>
      </c>
      <c r="EK166" s="128" t="str">
        <f>BS!EJ10*CF!EK167/4</f>
        <v>#ERROR!</v>
      </c>
      <c r="EL166" s="128" t="str">
        <f>BS!EK10*CF!EL167/4</f>
        <v>#ERROR!</v>
      </c>
      <c r="EM166" s="836"/>
      <c r="EN166" s="128" t="str">
        <f>BS!EL10*CF!EN167/4</f>
        <v>#ERROR!</v>
      </c>
      <c r="EO166" s="128" t="str">
        <f>BS!EN10*CF!EO167/4</f>
        <v>#ERROR!</v>
      </c>
      <c r="EP166" s="128" t="str">
        <f>BS!EO10*CF!EP167/4</f>
        <v>#ERROR!</v>
      </c>
      <c r="EQ166" s="128" t="str">
        <f>BS!EP10*CF!EQ167/4</f>
        <v>#ERROR!</v>
      </c>
      <c r="ER166" s="836"/>
      <c r="ES166" s="128" t="str">
        <f>BS!EQ10*CF!ES167/4</f>
        <v>#ERROR!</v>
      </c>
      <c r="ET166" s="128" t="str">
        <f>BS!ES10*CF!ET167/4</f>
        <v>#ERROR!</v>
      </c>
      <c r="EU166" s="128" t="str">
        <f>BS!ET10*CF!EU167/4</f>
        <v>#ERROR!</v>
      </c>
      <c r="EV166" s="128" t="str">
        <f>BS!EU10*CF!EV167/4</f>
        <v>#ERROR!</v>
      </c>
      <c r="EW166" s="836"/>
      <c r="EX166" s="128" t="str">
        <f>BS!EV10*CF!EX167/4</f>
        <v>#ERROR!</v>
      </c>
      <c r="EY166" s="128" t="str">
        <f>BS!EX10*CF!EY167/4</f>
        <v>#ERROR!</v>
      </c>
      <c r="EZ166" s="128" t="str">
        <f>BS!EY10*CF!EZ167/4</f>
        <v>#ERROR!</v>
      </c>
      <c r="FA166" s="128" t="str">
        <f>BS!EZ10*CF!FA167/4</f>
        <v>#ERROR!</v>
      </c>
      <c r="FB166" s="836"/>
      <c r="FC166" s="128" t="str">
        <f>BS!FA10*CF!FC167/4</f>
        <v>#ERROR!</v>
      </c>
      <c r="FD166" s="128" t="str">
        <f>BS!FC10*CF!FD167/4</f>
        <v>#ERROR!</v>
      </c>
      <c r="FE166" s="128" t="str">
        <f>BS!FD10*CF!FE167/4</f>
        <v>#ERROR!</v>
      </c>
      <c r="FF166" s="128" t="str">
        <f>BS!FE10*CF!FF167/4</f>
        <v>#ERROR!</v>
      </c>
      <c r="FG166" s="836"/>
    </row>
    <row r="167" ht="12.75" customHeight="1">
      <c r="A167" s="128"/>
      <c r="B167" s="179"/>
      <c r="C167" s="179"/>
      <c r="D167" s="179"/>
      <c r="E167" s="179"/>
      <c r="F167" s="179"/>
      <c r="G167" s="179"/>
      <c r="H167" s="179"/>
      <c r="I167" s="179"/>
      <c r="J167" s="179"/>
      <c r="K167" s="179"/>
      <c r="L167" s="179"/>
      <c r="M167" s="179"/>
      <c r="N167" s="179"/>
      <c r="O167" s="179"/>
      <c r="P167" s="179"/>
      <c r="Q167" s="179"/>
      <c r="R167" s="57"/>
      <c r="S167" s="179"/>
      <c r="T167" s="179"/>
      <c r="U167" s="179"/>
      <c r="V167" s="179"/>
      <c r="W167" s="785"/>
      <c r="X167" s="128"/>
      <c r="Y167" s="128"/>
      <c r="Z167" s="128"/>
      <c r="AA167" s="128"/>
      <c r="AB167" s="837"/>
      <c r="AC167" s="128"/>
      <c r="AD167" s="128"/>
      <c r="AE167" s="128"/>
      <c r="AF167" s="128"/>
      <c r="AG167" s="837"/>
      <c r="AH167" s="128"/>
      <c r="AI167" s="128"/>
      <c r="AJ167" s="128"/>
      <c r="AK167" s="128"/>
      <c r="AL167" s="837"/>
      <c r="AM167" s="128"/>
      <c r="AN167" s="128"/>
      <c r="AO167" s="128"/>
      <c r="AP167" s="128"/>
      <c r="AQ167" s="837"/>
      <c r="AR167" s="128"/>
      <c r="AS167" s="128"/>
      <c r="AT167" s="128"/>
      <c r="AU167" s="128"/>
      <c r="AV167" s="837"/>
      <c r="AW167" s="128"/>
      <c r="AX167" s="128"/>
      <c r="AY167" s="128"/>
      <c r="AZ167" s="128"/>
      <c r="BA167" s="837"/>
      <c r="BB167" s="128"/>
      <c r="BC167" s="128"/>
      <c r="BD167" s="128"/>
      <c r="BE167" s="128"/>
      <c r="BF167" s="837"/>
      <c r="BG167" s="128"/>
      <c r="BH167" s="128"/>
      <c r="BI167" s="128"/>
      <c r="BJ167" s="128"/>
      <c r="BK167" s="837"/>
      <c r="BL167" s="128"/>
      <c r="BM167" s="128"/>
      <c r="BN167" s="128"/>
      <c r="BO167" s="128"/>
      <c r="BP167" s="837"/>
      <c r="BQ167" s="128"/>
      <c r="BR167" s="128"/>
      <c r="BS167" s="128"/>
      <c r="BT167" s="128"/>
      <c r="BU167" s="837"/>
      <c r="BV167" s="128"/>
      <c r="BW167" s="128"/>
      <c r="BX167" s="128"/>
      <c r="BY167" s="128"/>
      <c r="BZ167" s="837"/>
      <c r="CA167" s="128"/>
      <c r="CB167" s="128"/>
      <c r="CC167" s="128"/>
      <c r="CD167" s="128"/>
      <c r="CE167" s="837"/>
      <c r="CF167" s="128"/>
      <c r="CG167" s="128"/>
      <c r="CH167" s="128"/>
      <c r="CI167" s="128"/>
      <c r="CJ167" s="837"/>
      <c r="CK167" s="128"/>
      <c r="CL167" s="128"/>
      <c r="CM167" s="128"/>
      <c r="CN167" s="128"/>
      <c r="CO167" s="837"/>
      <c r="CP167" s="128"/>
      <c r="CQ167" s="128"/>
      <c r="CR167" s="128"/>
      <c r="CS167" s="128"/>
      <c r="CT167" s="836"/>
      <c r="CU167" s="128"/>
      <c r="CV167" s="128"/>
      <c r="CW167" s="128"/>
      <c r="CX167" s="128"/>
      <c r="CY167" s="836"/>
      <c r="CZ167" s="129"/>
      <c r="DA167" s="128"/>
      <c r="DB167" s="129"/>
      <c r="DC167" s="128"/>
      <c r="DD167" s="836"/>
      <c r="DE167" s="129"/>
      <c r="DF167" s="128"/>
      <c r="DG167" s="83">
        <f>DG166/BS!DG10*4</f>
        <v>0.05208630358</v>
      </c>
      <c r="DH167" s="128">
        <v>0.04</v>
      </c>
      <c r="DI167" s="836"/>
      <c r="DJ167" s="435">
        <f>DH167</f>
        <v>0.04</v>
      </c>
      <c r="DK167" s="435">
        <f t="shared" ref="DK167:DM167" si="532">DJ167</f>
        <v>0.04</v>
      </c>
      <c r="DL167" s="435">
        <f t="shared" si="532"/>
        <v>0.04</v>
      </c>
      <c r="DM167" s="436">
        <f t="shared" si="532"/>
        <v>0.04</v>
      </c>
      <c r="DN167" s="836"/>
      <c r="DO167" s="436">
        <f>DM167</f>
        <v>0.04</v>
      </c>
      <c r="DP167" s="436">
        <f t="shared" ref="DP167:DR167" si="533">DO167</f>
        <v>0.04</v>
      </c>
      <c r="DQ167" s="435">
        <f t="shared" si="533"/>
        <v>0.04</v>
      </c>
      <c r="DR167" s="435">
        <f t="shared" si="533"/>
        <v>0.04</v>
      </c>
      <c r="DS167" s="836"/>
      <c r="DT167" s="104">
        <f>DT166*4/BS!DT10</f>
        <v>0.0293467971</v>
      </c>
      <c r="DU167" s="104">
        <f>DU166*4/BS!DU10</f>
        <v>0.02454350558</v>
      </c>
      <c r="DV167" s="104">
        <f>DV166*4/BS!DV10</f>
        <v>0.03342267066</v>
      </c>
      <c r="DW167" s="104">
        <f>DW166*4/BS!DW10</f>
        <v>0.02108618365</v>
      </c>
      <c r="DX167" s="836"/>
      <c r="DY167" s="104">
        <f>DY166*4/BS!DY10</f>
        <v>0.01945065055</v>
      </c>
      <c r="DZ167" s="104">
        <f>DZ166*4/BS!DZ10</f>
        <v>0.01907216495</v>
      </c>
      <c r="EA167" s="104">
        <f>EA166*4/BS!EA10</f>
        <v>0.01246420751</v>
      </c>
      <c r="EB167" s="104">
        <f>EB166*4/BS!EB10</f>
        <v>0.01904761905</v>
      </c>
      <c r="EC167" s="836"/>
      <c r="ED167" s="104">
        <f>ED166*4/BS!ED10</f>
        <v>0.004858383295</v>
      </c>
      <c r="EE167" s="104">
        <f>EE166*4/BS!EE10</f>
        <v>0.0144948972</v>
      </c>
      <c r="EF167" s="104">
        <f>EF166*4/BS!EF10</f>
        <v>0.03014318011</v>
      </c>
      <c r="EG167" s="104">
        <f>EF167</f>
        <v>0.03014318011</v>
      </c>
      <c r="EH167" s="836"/>
      <c r="EI167" s="412">
        <f>EG167</f>
        <v>0.03014318011</v>
      </c>
      <c r="EJ167" s="436">
        <f t="shared" ref="EJ167:EL167" si="534">EI167</f>
        <v>0.03014318011</v>
      </c>
      <c r="EK167" s="436">
        <f t="shared" si="534"/>
        <v>0.03014318011</v>
      </c>
      <c r="EL167" s="436">
        <f t="shared" si="534"/>
        <v>0.03014318011</v>
      </c>
      <c r="EM167" s="836"/>
      <c r="EN167" s="436">
        <f>EL167</f>
        <v>0.03014318011</v>
      </c>
      <c r="EO167" s="436">
        <f t="shared" ref="EO167:EQ167" si="535">EN167</f>
        <v>0.03014318011</v>
      </c>
      <c r="EP167" s="436">
        <f t="shared" si="535"/>
        <v>0.03014318011</v>
      </c>
      <c r="EQ167" s="436">
        <f t="shared" si="535"/>
        <v>0.03014318011</v>
      </c>
      <c r="ER167" s="836"/>
      <c r="ES167" s="436">
        <f>EQ167</f>
        <v>0.03014318011</v>
      </c>
      <c r="ET167" s="436">
        <f t="shared" ref="ET167:EV167" si="536">ES167</f>
        <v>0.03014318011</v>
      </c>
      <c r="EU167" s="436">
        <f t="shared" si="536"/>
        <v>0.03014318011</v>
      </c>
      <c r="EV167" s="436">
        <f t="shared" si="536"/>
        <v>0.03014318011</v>
      </c>
      <c r="EW167" s="836"/>
      <c r="EX167" s="436">
        <f>EV167</f>
        <v>0.03014318011</v>
      </c>
      <c r="EY167" s="436">
        <f t="shared" ref="EY167:FA167" si="537">EX167</f>
        <v>0.03014318011</v>
      </c>
      <c r="EZ167" s="436">
        <f t="shared" si="537"/>
        <v>0.03014318011</v>
      </c>
      <c r="FA167" s="436">
        <f t="shared" si="537"/>
        <v>0.03014318011</v>
      </c>
      <c r="FB167" s="836"/>
      <c r="FC167" s="436">
        <f>FA167</f>
        <v>0.03014318011</v>
      </c>
      <c r="FD167" s="436">
        <f t="shared" ref="FD167:FF167" si="538">FC167</f>
        <v>0.03014318011</v>
      </c>
      <c r="FE167" s="436">
        <f t="shared" si="538"/>
        <v>0.03014318011</v>
      </c>
      <c r="FF167" s="436">
        <f t="shared" si="538"/>
        <v>0.03014318011</v>
      </c>
      <c r="FG167" s="836"/>
    </row>
    <row r="168" ht="12.75" customHeight="1">
      <c r="A168" s="128"/>
      <c r="B168" s="179"/>
      <c r="C168" s="179"/>
      <c r="D168" s="179"/>
      <c r="E168" s="179"/>
      <c r="F168" s="179"/>
      <c r="G168" s="179"/>
      <c r="H168" s="179"/>
      <c r="I168" s="179"/>
      <c r="J168" s="179"/>
      <c r="K168" s="179"/>
      <c r="L168" s="179"/>
      <c r="M168" s="179"/>
      <c r="N168" s="179"/>
      <c r="O168" s="179"/>
      <c r="P168" s="179"/>
      <c r="Q168" s="179"/>
      <c r="R168" s="57"/>
      <c r="S168" s="179"/>
      <c r="T168" s="179"/>
      <c r="U168" s="179"/>
      <c r="V168" s="179"/>
      <c r="W168" s="785"/>
      <c r="X168" s="128"/>
      <c r="Y168" s="128"/>
      <c r="Z168" s="128"/>
      <c r="AA168" s="128"/>
      <c r="AB168" s="837"/>
      <c r="AC168" s="128"/>
      <c r="AD168" s="128"/>
      <c r="AE168" s="128"/>
      <c r="AF168" s="128"/>
      <c r="AG168" s="837"/>
      <c r="AH168" s="128"/>
      <c r="AI168" s="128"/>
      <c r="AJ168" s="128"/>
      <c r="AK168" s="128"/>
      <c r="AL168" s="837"/>
      <c r="AM168" s="128"/>
      <c r="AN168" s="128"/>
      <c r="AO168" s="128"/>
      <c r="AP168" s="128"/>
      <c r="AQ168" s="837"/>
      <c r="AR168" s="128"/>
      <c r="AS168" s="128"/>
      <c r="AT168" s="128"/>
      <c r="AU168" s="128"/>
      <c r="AV168" s="837"/>
      <c r="AW168" s="128"/>
      <c r="AX168" s="128"/>
      <c r="AY168" s="128"/>
      <c r="AZ168" s="128"/>
      <c r="BA168" s="837"/>
      <c r="BB168" s="128"/>
      <c r="BC168" s="128"/>
      <c r="BD168" s="128"/>
      <c r="BE168" s="128"/>
      <c r="BF168" s="837"/>
      <c r="BG168" s="128"/>
      <c r="BH168" s="128"/>
      <c r="BI168" s="128"/>
      <c r="BJ168" s="128"/>
      <c r="BK168" s="837"/>
      <c r="BL168" s="128"/>
      <c r="BM168" s="128"/>
      <c r="BN168" s="128"/>
      <c r="BO168" s="128"/>
      <c r="BP168" s="837"/>
      <c r="BQ168" s="128"/>
      <c r="BR168" s="128"/>
      <c r="BS168" s="128"/>
      <c r="BT168" s="128"/>
      <c r="BU168" s="837"/>
      <c r="BV168" s="128"/>
      <c r="BW168" s="128"/>
      <c r="BX168" s="128"/>
      <c r="BY168" s="128"/>
      <c r="BZ168" s="837"/>
      <c r="CA168" s="128"/>
      <c r="CB168" s="128"/>
      <c r="CC168" s="128"/>
      <c r="CD168" s="128"/>
      <c r="CE168" s="837"/>
      <c r="CF168" s="128"/>
      <c r="CG168" s="128"/>
      <c r="CH168" s="128"/>
      <c r="CI168" s="128"/>
      <c r="CJ168" s="837"/>
      <c r="CK168" s="128"/>
      <c r="CL168" s="128"/>
      <c r="CM168" s="128"/>
      <c r="CN168" s="128"/>
      <c r="CO168" s="837"/>
      <c r="CP168" s="128"/>
      <c r="CQ168" s="128"/>
      <c r="CR168" s="128"/>
      <c r="CS168" s="128"/>
      <c r="CT168" s="836"/>
      <c r="CU168" s="128"/>
      <c r="CV168" s="128"/>
      <c r="CW168" s="128"/>
      <c r="CX168" s="128"/>
      <c r="CY168" s="836"/>
      <c r="CZ168" s="129"/>
      <c r="DA168" s="128"/>
      <c r="DB168" s="129"/>
      <c r="DC168" s="128"/>
      <c r="DD168" s="836"/>
      <c r="DE168" s="129"/>
      <c r="DF168" s="128"/>
      <c r="DG168" s="924">
        <f>(DG102*1.35%+DG103*2.59%+DG104*3.25%+DG105*1.85%+DG106*2.45%+DG107*1.7%+DG108*3.3%+DG109*2.35%+DG110*3.1%+DG111*4%+DG112*2.7%+DG113*4.1%+DG114*2.88%+DG115*2.7%+DG117*3.7%+DG118*2.6%+DG120*3.15%+DG125*4%+DG128*4.8%+DG129*4.25%+DG130*4.9%+DG131*4.9%+DG132*4.7%+DG133*4.1%+DG134*4.1%+DG135*4.1%+DG155*2.95%+DG156*3.25%+DG99*1.53%+DG100*1.8%)/4</f>
        <v>250.347225</v>
      </c>
      <c r="DH168" s="128"/>
      <c r="DI168" s="836"/>
      <c r="DJ168" s="129"/>
      <c r="DK168" s="129"/>
      <c r="DL168" s="129"/>
      <c r="DM168" s="128"/>
      <c r="DN168" s="836"/>
      <c r="DO168" s="128"/>
      <c r="DP168" s="128"/>
      <c r="DQ168" s="129"/>
      <c r="DR168" s="129"/>
      <c r="DS168" s="836"/>
      <c r="DT168" s="129"/>
      <c r="DU168" s="129"/>
      <c r="DV168" s="129"/>
      <c r="DW168" s="129"/>
      <c r="DX168" s="836"/>
      <c r="DY168" s="129"/>
      <c r="DZ168" s="129"/>
      <c r="EA168" s="129"/>
      <c r="EB168" s="129"/>
      <c r="EC168" s="836"/>
      <c r="ED168" s="129"/>
      <c r="EE168" s="129"/>
      <c r="EF168" s="129"/>
      <c r="EG168" s="129"/>
      <c r="EH168" s="836"/>
      <c r="EI168" s="134"/>
      <c r="EJ168" s="128"/>
      <c r="EK168" s="128"/>
      <c r="EL168" s="128"/>
      <c r="EM168" s="836"/>
      <c r="EN168" s="128"/>
      <c r="EO168" s="128"/>
      <c r="EP168" s="128"/>
      <c r="EQ168" s="128"/>
      <c r="ER168" s="836"/>
      <c r="ES168" s="128"/>
      <c r="ET168" s="128"/>
      <c r="EU168" s="128"/>
      <c r="EV168" s="128"/>
      <c r="EW168" s="836"/>
      <c r="EX168" s="128"/>
      <c r="EY168" s="128"/>
      <c r="EZ168" s="128"/>
      <c r="FA168" s="128"/>
      <c r="FB168" s="836"/>
      <c r="FC168" s="128"/>
      <c r="FD168" s="128"/>
      <c r="FE168" s="128"/>
      <c r="FF168" s="128"/>
      <c r="FG168" s="836"/>
    </row>
    <row r="169" ht="12.75" customHeight="1">
      <c r="A169" s="128"/>
      <c r="B169" s="179"/>
      <c r="C169" s="179"/>
      <c r="D169" s="179"/>
      <c r="E169" s="179"/>
      <c r="F169" s="179"/>
      <c r="G169" s="179"/>
      <c r="H169" s="179"/>
      <c r="I169" s="179"/>
      <c r="J169" s="179"/>
      <c r="K169" s="179"/>
      <c r="L169" s="179"/>
      <c r="M169" s="179"/>
      <c r="N169" s="179"/>
      <c r="O169" s="179"/>
      <c r="P169" s="179"/>
      <c r="Q169" s="179"/>
      <c r="R169" s="57"/>
      <c r="S169" s="179"/>
      <c r="T169" s="179"/>
      <c r="U169" s="179"/>
      <c r="V169" s="179"/>
      <c r="W169" s="785"/>
      <c r="X169" s="128"/>
      <c r="Y169" s="128"/>
      <c r="Z169" s="128"/>
      <c r="AA169" s="128"/>
      <c r="AB169" s="837"/>
      <c r="AC169" s="128"/>
      <c r="AD169" s="128"/>
      <c r="AE169" s="128"/>
      <c r="AF169" s="128"/>
      <c r="AG169" s="837"/>
      <c r="AH169" s="128"/>
      <c r="AI169" s="128"/>
      <c r="AJ169" s="128"/>
      <c r="AK169" s="128"/>
      <c r="AL169" s="837"/>
      <c r="AM169" s="128"/>
      <c r="AN169" s="128"/>
      <c r="AO169" s="128"/>
      <c r="AP169" s="128"/>
      <c r="AQ169" s="837"/>
      <c r="AR169" s="128"/>
      <c r="AS169" s="128"/>
      <c r="AT169" s="128"/>
      <c r="AU169" s="128"/>
      <c r="AV169" s="837"/>
      <c r="AW169" s="128"/>
      <c r="AX169" s="128"/>
      <c r="AY169" s="128"/>
      <c r="AZ169" s="128"/>
      <c r="BA169" s="837"/>
      <c r="BB169" s="128"/>
      <c r="BC169" s="128"/>
      <c r="BD169" s="128"/>
      <c r="BE169" s="128"/>
      <c r="BF169" s="837"/>
      <c r="BG169" s="128"/>
      <c r="BH169" s="128"/>
      <c r="BI169" s="128"/>
      <c r="BJ169" s="128"/>
      <c r="BK169" s="837"/>
      <c r="BL169" s="128"/>
      <c r="BM169" s="128"/>
      <c r="BN169" s="128"/>
      <c r="BO169" s="128"/>
      <c r="BP169" s="837"/>
      <c r="BQ169" s="128"/>
      <c r="BR169" s="128"/>
      <c r="BS169" s="128"/>
      <c r="BT169" s="128"/>
      <c r="BU169" s="837"/>
      <c r="BV169" s="128"/>
      <c r="BW169" s="128"/>
      <c r="BX169" s="128"/>
      <c r="BY169" s="128"/>
      <c r="BZ169" s="837"/>
      <c r="CA169" s="128"/>
      <c r="CB169" s="128"/>
      <c r="CC169" s="128"/>
      <c r="CD169" s="128"/>
      <c r="CE169" s="837"/>
      <c r="CF169" s="128"/>
      <c r="CG169" s="128"/>
      <c r="CH169" s="128"/>
      <c r="CI169" s="128"/>
      <c r="CJ169" s="837"/>
      <c r="CK169" s="128"/>
      <c r="CL169" s="128"/>
      <c r="CM169" s="128"/>
      <c r="CN169" s="128"/>
      <c r="CO169" s="837"/>
      <c r="CP169" s="128"/>
      <c r="CQ169" s="128"/>
      <c r="CR169" s="128"/>
      <c r="CS169" s="128"/>
      <c r="CT169" s="836"/>
      <c r="CU169" s="128"/>
      <c r="CV169" s="128"/>
      <c r="CW169" s="128"/>
      <c r="CX169" s="128"/>
      <c r="CY169" s="836"/>
      <c r="CZ169" s="129"/>
      <c r="DA169" s="128"/>
      <c r="DB169" s="129"/>
      <c r="DC169" s="128"/>
      <c r="DD169" s="836"/>
      <c r="DE169" s="129"/>
      <c r="DF169" s="128"/>
      <c r="DG169" s="129"/>
      <c r="DH169" s="128"/>
      <c r="DI169" s="836"/>
      <c r="DJ169" s="129"/>
      <c r="DK169" s="129"/>
      <c r="DL169" s="129"/>
      <c r="DM169" s="128"/>
      <c r="DN169" s="836"/>
      <c r="DO169" s="128"/>
      <c r="DP169" s="128"/>
      <c r="DQ169" s="129"/>
      <c r="DR169" s="129"/>
      <c r="DS169" s="836"/>
      <c r="DT169" s="129"/>
      <c r="DU169" s="129"/>
      <c r="DV169" s="129"/>
      <c r="DW169" s="129"/>
      <c r="DX169" s="836"/>
      <c r="DY169" s="129"/>
      <c r="DZ169" s="129"/>
      <c r="EA169" s="129"/>
      <c r="EB169" s="129"/>
      <c r="EC169" s="836"/>
      <c r="ED169" s="129"/>
      <c r="EE169" s="129"/>
      <c r="EF169" s="129"/>
      <c r="EG169" s="129"/>
      <c r="EH169" s="836"/>
      <c r="EI169" s="134"/>
      <c r="EJ169" s="128"/>
      <c r="EK169" s="128"/>
      <c r="EL169" s="128"/>
      <c r="EM169" s="836"/>
      <c r="EN169" s="128"/>
      <c r="EO169" s="128"/>
      <c r="EP169" s="128"/>
      <c r="EQ169" s="128"/>
      <c r="ER169" s="836"/>
      <c r="ES169" s="128"/>
      <c r="ET169" s="128"/>
      <c r="EU169" s="128"/>
      <c r="EV169" s="128"/>
      <c r="EW169" s="836"/>
      <c r="EX169" s="128"/>
      <c r="EY169" s="128"/>
      <c r="EZ169" s="128"/>
      <c r="FA169" s="128"/>
      <c r="FB169" s="836"/>
      <c r="FC169" s="128"/>
      <c r="FD169" s="128"/>
      <c r="FE169" s="128"/>
      <c r="FF169" s="128"/>
      <c r="FG169" s="836"/>
    </row>
    <row r="170" ht="12.75" customHeight="1">
      <c r="A170" s="128"/>
      <c r="B170" s="179"/>
      <c r="C170" s="179"/>
      <c r="D170" s="179"/>
      <c r="E170" s="179"/>
      <c r="F170" s="179"/>
      <c r="G170" s="179"/>
      <c r="H170" s="179"/>
      <c r="I170" s="179"/>
      <c r="J170" s="179"/>
      <c r="K170" s="179"/>
      <c r="L170" s="179"/>
      <c r="M170" s="179"/>
      <c r="N170" s="179"/>
      <c r="O170" s="179"/>
      <c r="P170" s="179"/>
      <c r="Q170" s="179"/>
      <c r="R170" s="57"/>
      <c r="S170" s="179"/>
      <c r="T170" s="179"/>
      <c r="U170" s="179"/>
      <c r="V170" s="179"/>
      <c r="W170" s="785"/>
      <c r="X170" s="128"/>
      <c r="Y170" s="128"/>
      <c r="Z170" s="128"/>
      <c r="AA170" s="128"/>
      <c r="AB170" s="837"/>
      <c r="AC170" s="128"/>
      <c r="AD170" s="128"/>
      <c r="AE170" s="128"/>
      <c r="AF170" s="128"/>
      <c r="AG170" s="837"/>
      <c r="AH170" s="128"/>
      <c r="AI170" s="128"/>
      <c r="AJ170" s="128"/>
      <c r="AK170" s="128"/>
      <c r="AL170" s="837"/>
      <c r="AM170" s="128"/>
      <c r="AN170" s="128"/>
      <c r="AO170" s="128"/>
      <c r="AP170" s="128"/>
      <c r="AQ170" s="837"/>
      <c r="AR170" s="128"/>
      <c r="AS170" s="128"/>
      <c r="AT170" s="128"/>
      <c r="AU170" s="128"/>
      <c r="AV170" s="837"/>
      <c r="AW170" s="128"/>
      <c r="AX170" s="128"/>
      <c r="AY170" s="128"/>
      <c r="AZ170" s="128"/>
      <c r="BA170" s="837"/>
      <c r="BB170" s="128"/>
      <c r="BC170" s="128"/>
      <c r="BD170" s="128"/>
      <c r="BE170" s="128"/>
      <c r="BF170" s="837"/>
      <c r="BG170" s="128"/>
      <c r="BH170" s="128"/>
      <c r="BI170" s="128"/>
      <c r="BJ170" s="128"/>
      <c r="BK170" s="837"/>
      <c r="BL170" s="128"/>
      <c r="BM170" s="128"/>
      <c r="BN170" s="128"/>
      <c r="BO170" s="128"/>
      <c r="BP170" s="837"/>
      <c r="BQ170" s="128"/>
      <c r="BR170" s="128"/>
      <c r="BS170" s="128"/>
      <c r="BT170" s="128"/>
      <c r="BU170" s="837"/>
      <c r="BV170" s="128"/>
      <c r="BW170" s="128"/>
      <c r="BX170" s="128"/>
      <c r="BY170" s="128"/>
      <c r="BZ170" s="837"/>
      <c r="CA170" s="128"/>
      <c r="CB170" s="128"/>
      <c r="CC170" s="128"/>
      <c r="CD170" s="128"/>
      <c r="CE170" s="837"/>
      <c r="CF170" s="128"/>
      <c r="CG170" s="128"/>
      <c r="CH170" s="128"/>
      <c r="CI170" s="128"/>
      <c r="CJ170" s="837"/>
      <c r="CK170" s="128"/>
      <c r="CL170" s="128"/>
      <c r="CM170" s="128"/>
      <c r="CN170" s="128"/>
      <c r="CO170" s="837"/>
      <c r="CP170" s="128"/>
      <c r="CQ170" s="128"/>
      <c r="CR170" s="128"/>
      <c r="CS170" s="128"/>
      <c r="CT170" s="836"/>
      <c r="CU170" s="128"/>
      <c r="CV170" s="128"/>
      <c r="CW170" s="128"/>
      <c r="CX170" s="128"/>
      <c r="CY170" s="836"/>
      <c r="CZ170" s="129"/>
      <c r="DA170" s="128"/>
      <c r="DB170" s="129"/>
      <c r="DC170" s="128"/>
      <c r="DD170" s="836"/>
      <c r="DE170" s="129"/>
      <c r="DF170" s="128"/>
      <c r="DG170" s="129"/>
      <c r="DH170" s="128"/>
      <c r="DI170" s="836"/>
      <c r="DJ170" s="129"/>
      <c r="DK170" s="129"/>
      <c r="DL170" s="129"/>
      <c r="DM170" s="128"/>
      <c r="DN170" s="836"/>
      <c r="DO170" s="128"/>
      <c r="DP170" s="128"/>
      <c r="DQ170" s="129"/>
      <c r="DR170" s="129"/>
      <c r="DS170" s="836"/>
      <c r="DT170" s="129"/>
      <c r="DU170" s="129"/>
      <c r="DV170" s="129"/>
      <c r="DW170" s="129"/>
      <c r="DX170" s="836"/>
      <c r="DY170" s="129"/>
      <c r="DZ170" s="129"/>
      <c r="EA170" s="129"/>
      <c r="EB170" s="129"/>
      <c r="EC170" s="836"/>
      <c r="ED170" s="129"/>
      <c r="EE170" s="129"/>
      <c r="EF170" s="129"/>
      <c r="EG170" s="129"/>
      <c r="EH170" s="836"/>
      <c r="EI170" s="134"/>
      <c r="EJ170" s="128"/>
      <c r="EK170" s="128"/>
      <c r="EL170" s="128"/>
      <c r="EM170" s="836"/>
      <c r="EN170" s="128"/>
      <c r="EO170" s="128"/>
      <c r="EP170" s="128"/>
      <c r="EQ170" s="128"/>
      <c r="ER170" s="836"/>
      <c r="ES170" s="128"/>
      <c r="ET170" s="128"/>
      <c r="EU170" s="128"/>
      <c r="EV170" s="128"/>
      <c r="EW170" s="836"/>
      <c r="EX170" s="128"/>
      <c r="EY170" s="128"/>
      <c r="EZ170" s="128"/>
      <c r="FA170" s="128"/>
      <c r="FB170" s="836"/>
      <c r="FC170" s="128"/>
      <c r="FD170" s="128"/>
      <c r="FE170" s="128"/>
      <c r="FF170" s="128"/>
      <c r="FG170" s="836"/>
    </row>
    <row r="171" ht="12.75" customHeight="1">
      <c r="A171" s="128"/>
      <c r="B171" s="179"/>
      <c r="C171" s="179"/>
      <c r="D171" s="179"/>
      <c r="E171" s="179"/>
      <c r="F171" s="179"/>
      <c r="G171" s="179"/>
      <c r="H171" s="179"/>
      <c r="I171" s="179"/>
      <c r="J171" s="179"/>
      <c r="K171" s="179"/>
      <c r="L171" s="179"/>
      <c r="M171" s="179"/>
      <c r="N171" s="179"/>
      <c r="O171" s="179"/>
      <c r="P171" s="179"/>
      <c r="Q171" s="179"/>
      <c r="R171" s="57"/>
      <c r="S171" s="179"/>
      <c r="T171" s="179"/>
      <c r="U171" s="179"/>
      <c r="V171" s="179"/>
      <c r="W171" s="785"/>
      <c r="X171" s="128"/>
      <c r="Y171" s="128"/>
      <c r="Z171" s="128"/>
      <c r="AA171" s="128"/>
      <c r="AB171" s="837"/>
      <c r="AC171" s="128"/>
      <c r="AD171" s="128"/>
      <c r="AE171" s="128"/>
      <c r="AF171" s="128"/>
      <c r="AG171" s="837"/>
      <c r="AH171" s="128"/>
      <c r="AI171" s="128"/>
      <c r="AJ171" s="128"/>
      <c r="AK171" s="128"/>
      <c r="AL171" s="837"/>
      <c r="AM171" s="128"/>
      <c r="AN171" s="128"/>
      <c r="AO171" s="128"/>
      <c r="AP171" s="128"/>
      <c r="AQ171" s="837"/>
      <c r="AR171" s="128"/>
      <c r="AS171" s="128"/>
      <c r="AT171" s="128"/>
      <c r="AU171" s="128"/>
      <c r="AV171" s="837"/>
      <c r="AW171" s="128"/>
      <c r="AX171" s="128"/>
      <c r="AY171" s="128"/>
      <c r="AZ171" s="128"/>
      <c r="BA171" s="837"/>
      <c r="BB171" s="128"/>
      <c r="BC171" s="128"/>
      <c r="BD171" s="128"/>
      <c r="BE171" s="128"/>
      <c r="BF171" s="837"/>
      <c r="BG171" s="128"/>
      <c r="BH171" s="128"/>
      <c r="BI171" s="128"/>
      <c r="BJ171" s="128"/>
      <c r="BK171" s="837"/>
      <c r="BL171" s="128"/>
      <c r="BM171" s="128"/>
      <c r="BN171" s="128"/>
      <c r="BO171" s="128"/>
      <c r="BP171" s="837"/>
      <c r="BQ171" s="128"/>
      <c r="BR171" s="128"/>
      <c r="BS171" s="128"/>
      <c r="BT171" s="128"/>
      <c r="BU171" s="837"/>
      <c r="BV171" s="128"/>
      <c r="BW171" s="128"/>
      <c r="BX171" s="128"/>
      <c r="BY171" s="128"/>
      <c r="BZ171" s="837"/>
      <c r="CA171" s="128"/>
      <c r="CB171" s="128"/>
      <c r="CC171" s="128"/>
      <c r="CD171" s="128"/>
      <c r="CE171" s="837"/>
      <c r="CF171" s="128"/>
      <c r="CG171" s="128"/>
      <c r="CH171" s="128"/>
      <c r="CI171" s="128"/>
      <c r="CJ171" s="837"/>
      <c r="CK171" s="128"/>
      <c r="CL171" s="128"/>
      <c r="CM171" s="128"/>
      <c r="CN171" s="128"/>
      <c r="CO171" s="837"/>
      <c r="CP171" s="128"/>
      <c r="CQ171" s="128"/>
      <c r="CR171" s="128"/>
      <c r="CS171" s="128"/>
      <c r="CT171" s="836"/>
      <c r="CU171" s="128"/>
      <c r="CV171" s="128"/>
      <c r="CW171" s="128"/>
      <c r="CX171" s="128"/>
      <c r="CY171" s="836"/>
      <c r="CZ171" s="129"/>
      <c r="DA171" s="128"/>
      <c r="DB171" s="129"/>
      <c r="DC171" s="128"/>
      <c r="DD171" s="836"/>
      <c r="DE171" s="129"/>
      <c r="DF171" s="128"/>
      <c r="DG171" s="129"/>
      <c r="DH171" s="128"/>
      <c r="DI171" s="836"/>
      <c r="DJ171" s="129"/>
      <c r="DK171" s="129"/>
      <c r="DL171" s="129"/>
      <c r="DM171" s="128"/>
      <c r="DN171" s="836"/>
      <c r="DO171" s="128"/>
      <c r="DP171" s="128"/>
      <c r="DQ171" s="129"/>
      <c r="DR171" s="129"/>
      <c r="DS171" s="836"/>
      <c r="DT171" s="129"/>
      <c r="DU171" s="129"/>
      <c r="DV171" s="129"/>
      <c r="DW171" s="129"/>
      <c r="DX171" s="836"/>
      <c r="DY171" s="129"/>
      <c r="DZ171" s="129"/>
      <c r="EA171" s="129"/>
      <c r="EB171" s="129"/>
      <c r="EC171" s="836"/>
      <c r="ED171" s="129"/>
      <c r="EE171" s="129"/>
      <c r="EF171" s="129"/>
      <c r="EG171" s="129"/>
      <c r="EH171" s="836"/>
      <c r="EI171" s="134"/>
      <c r="EJ171" s="128"/>
      <c r="EK171" s="128"/>
      <c r="EL171" s="128"/>
      <c r="EM171" s="836"/>
      <c r="EN171" s="128"/>
      <c r="EO171" s="128"/>
      <c r="EP171" s="128"/>
      <c r="EQ171" s="128"/>
      <c r="ER171" s="836"/>
      <c r="ES171" s="128"/>
      <c r="ET171" s="128"/>
      <c r="EU171" s="128"/>
      <c r="EV171" s="128"/>
      <c r="EW171" s="836"/>
      <c r="EX171" s="128"/>
      <c r="EY171" s="128"/>
      <c r="EZ171" s="128"/>
      <c r="FA171" s="128"/>
      <c r="FB171" s="836"/>
      <c r="FC171" s="128"/>
      <c r="FD171" s="128"/>
      <c r="FE171" s="128"/>
      <c r="FF171" s="128"/>
      <c r="FG171" s="836"/>
    </row>
    <row r="172" ht="12.75" customHeight="1">
      <c r="A172" s="128"/>
      <c r="B172" s="179"/>
      <c r="C172" s="179"/>
      <c r="D172" s="179"/>
      <c r="E172" s="179"/>
      <c r="F172" s="179"/>
      <c r="G172" s="179"/>
      <c r="H172" s="179"/>
      <c r="I172" s="179"/>
      <c r="J172" s="179"/>
      <c r="K172" s="179"/>
      <c r="L172" s="179"/>
      <c r="M172" s="179"/>
      <c r="N172" s="179"/>
      <c r="O172" s="179"/>
      <c r="P172" s="179"/>
      <c r="Q172" s="179"/>
      <c r="R172" s="57"/>
      <c r="S172" s="179"/>
      <c r="T172" s="179"/>
      <c r="U172" s="179"/>
      <c r="V172" s="179"/>
      <c r="W172" s="785"/>
      <c r="X172" s="128"/>
      <c r="Y172" s="128"/>
      <c r="Z172" s="128"/>
      <c r="AA172" s="128"/>
      <c r="AB172" s="837"/>
      <c r="AC172" s="128"/>
      <c r="AD172" s="128"/>
      <c r="AE172" s="128"/>
      <c r="AF172" s="128"/>
      <c r="AG172" s="837"/>
      <c r="AH172" s="128"/>
      <c r="AI172" s="128"/>
      <c r="AJ172" s="128"/>
      <c r="AK172" s="128"/>
      <c r="AL172" s="837"/>
      <c r="AM172" s="128"/>
      <c r="AN172" s="128"/>
      <c r="AO172" s="128"/>
      <c r="AP172" s="128"/>
      <c r="AQ172" s="837"/>
      <c r="AR172" s="128"/>
      <c r="AS172" s="128"/>
      <c r="AT172" s="128"/>
      <c r="AU172" s="128"/>
      <c r="AV172" s="837"/>
      <c r="AW172" s="128"/>
      <c r="AX172" s="128"/>
      <c r="AY172" s="128"/>
      <c r="AZ172" s="128"/>
      <c r="BA172" s="837"/>
      <c r="BB172" s="128"/>
      <c r="BC172" s="128"/>
      <c r="BD172" s="128"/>
      <c r="BE172" s="128"/>
      <c r="BF172" s="837"/>
      <c r="BG172" s="128"/>
      <c r="BH172" s="128"/>
      <c r="BI172" s="128"/>
      <c r="BJ172" s="128"/>
      <c r="BK172" s="837"/>
      <c r="BL172" s="128"/>
      <c r="BM172" s="128"/>
      <c r="BN172" s="128"/>
      <c r="BO172" s="128"/>
      <c r="BP172" s="837"/>
      <c r="BQ172" s="128"/>
      <c r="BR172" s="128"/>
      <c r="BS172" s="128"/>
      <c r="BT172" s="128"/>
      <c r="BU172" s="837"/>
      <c r="BV172" s="128"/>
      <c r="BW172" s="128"/>
      <c r="BX172" s="128"/>
      <c r="BY172" s="128"/>
      <c r="BZ172" s="837"/>
      <c r="CA172" s="128"/>
      <c r="CB172" s="128"/>
      <c r="CC172" s="128"/>
      <c r="CD172" s="128"/>
      <c r="CE172" s="837"/>
      <c r="CF172" s="128"/>
      <c r="CG172" s="128"/>
      <c r="CH172" s="128"/>
      <c r="CI172" s="128"/>
      <c r="CJ172" s="837"/>
      <c r="CK172" s="128"/>
      <c r="CL172" s="128"/>
      <c r="CM172" s="128"/>
      <c r="CN172" s="128"/>
      <c r="CO172" s="837"/>
      <c r="CP172" s="128"/>
      <c r="CQ172" s="128"/>
      <c r="CR172" s="128"/>
      <c r="CS172" s="128"/>
      <c r="CT172" s="836"/>
      <c r="CU172" s="128"/>
      <c r="CV172" s="128"/>
      <c r="CW172" s="128"/>
      <c r="CX172" s="128"/>
      <c r="CY172" s="836"/>
      <c r="CZ172" s="129"/>
      <c r="DA172" s="128"/>
      <c r="DB172" s="129"/>
      <c r="DC172" s="128"/>
      <c r="DD172" s="836"/>
      <c r="DE172" s="129"/>
      <c r="DF172" s="128"/>
      <c r="DG172" s="129"/>
      <c r="DH172" s="128"/>
      <c r="DI172" s="836"/>
      <c r="DJ172" s="129"/>
      <c r="DK172" s="129"/>
      <c r="DL172" s="129"/>
      <c r="DM172" s="128"/>
      <c r="DN172" s="836"/>
      <c r="DO172" s="128"/>
      <c r="DP172" s="128"/>
      <c r="DQ172" s="129"/>
      <c r="DR172" s="129"/>
      <c r="DS172" s="836"/>
      <c r="DT172" s="129"/>
      <c r="DU172" s="129"/>
      <c r="DV172" s="129"/>
      <c r="DW172" s="129"/>
      <c r="DX172" s="836"/>
      <c r="DY172" s="129"/>
      <c r="DZ172" s="129"/>
      <c r="EA172" s="129"/>
      <c r="EB172" s="129"/>
      <c r="EC172" s="836"/>
      <c r="ED172" s="129"/>
      <c r="EE172" s="129"/>
      <c r="EF172" s="129"/>
      <c r="EG172" s="129"/>
      <c r="EH172" s="836"/>
      <c r="EI172" s="134"/>
      <c r="EJ172" s="128"/>
      <c r="EK172" s="128"/>
      <c r="EL172" s="128"/>
      <c r="EM172" s="836"/>
      <c r="EN172" s="128"/>
      <c r="EO172" s="128"/>
      <c r="EP172" s="128"/>
      <c r="EQ172" s="128"/>
      <c r="ER172" s="836"/>
      <c r="ES172" s="128"/>
      <c r="ET172" s="128"/>
      <c r="EU172" s="128"/>
      <c r="EV172" s="128"/>
      <c r="EW172" s="836"/>
      <c r="EX172" s="128"/>
      <c r="EY172" s="128"/>
      <c r="EZ172" s="128"/>
      <c r="FA172" s="128"/>
      <c r="FB172" s="836"/>
      <c r="FC172" s="128"/>
      <c r="FD172" s="128"/>
      <c r="FE172" s="128"/>
      <c r="FF172" s="128"/>
      <c r="FG172" s="836"/>
    </row>
    <row r="173" ht="12.75" customHeight="1">
      <c r="A173" s="128"/>
      <c r="B173" s="179"/>
      <c r="C173" s="179"/>
      <c r="D173" s="179"/>
      <c r="E173" s="179"/>
      <c r="F173" s="179"/>
      <c r="G173" s="179"/>
      <c r="H173" s="179"/>
      <c r="I173" s="179"/>
      <c r="J173" s="179"/>
      <c r="K173" s="179"/>
      <c r="L173" s="179"/>
      <c r="M173" s="179"/>
      <c r="N173" s="179"/>
      <c r="O173" s="179"/>
      <c r="P173" s="179"/>
      <c r="Q173" s="179"/>
      <c r="R173" s="57"/>
      <c r="S173" s="179"/>
      <c r="T173" s="179"/>
      <c r="U173" s="179"/>
      <c r="V173" s="179"/>
      <c r="W173" s="785"/>
      <c r="X173" s="128"/>
      <c r="Y173" s="128"/>
      <c r="Z173" s="128"/>
      <c r="AA173" s="128"/>
      <c r="AB173" s="837"/>
      <c r="AC173" s="128"/>
      <c r="AD173" s="128"/>
      <c r="AE173" s="128"/>
      <c r="AF173" s="128"/>
      <c r="AG173" s="837"/>
      <c r="AH173" s="128"/>
      <c r="AI173" s="128"/>
      <c r="AJ173" s="128"/>
      <c r="AK173" s="128"/>
      <c r="AL173" s="837"/>
      <c r="AM173" s="128"/>
      <c r="AN173" s="128"/>
      <c r="AO173" s="128"/>
      <c r="AP173" s="128"/>
      <c r="AQ173" s="837"/>
      <c r="AR173" s="128"/>
      <c r="AS173" s="128"/>
      <c r="AT173" s="128"/>
      <c r="AU173" s="128"/>
      <c r="AV173" s="837"/>
      <c r="AW173" s="128"/>
      <c r="AX173" s="128"/>
      <c r="AY173" s="128"/>
      <c r="AZ173" s="128"/>
      <c r="BA173" s="837"/>
      <c r="BB173" s="128"/>
      <c r="BC173" s="128"/>
      <c r="BD173" s="128"/>
      <c r="BE173" s="128"/>
      <c r="BF173" s="837"/>
      <c r="BG173" s="128"/>
      <c r="BH173" s="128"/>
      <c r="BI173" s="128"/>
      <c r="BJ173" s="128"/>
      <c r="BK173" s="837"/>
      <c r="BL173" s="128"/>
      <c r="BM173" s="128"/>
      <c r="BN173" s="128"/>
      <c r="BO173" s="128"/>
      <c r="BP173" s="837"/>
      <c r="BQ173" s="128"/>
      <c r="BR173" s="128"/>
      <c r="BS173" s="128"/>
      <c r="BT173" s="128"/>
      <c r="BU173" s="837"/>
      <c r="BV173" s="128"/>
      <c r="BW173" s="128"/>
      <c r="BX173" s="128"/>
      <c r="BY173" s="128"/>
      <c r="BZ173" s="837"/>
      <c r="CA173" s="128"/>
      <c r="CB173" s="128"/>
      <c r="CC173" s="128"/>
      <c r="CD173" s="128"/>
      <c r="CE173" s="837"/>
      <c r="CF173" s="128"/>
      <c r="CG173" s="128"/>
      <c r="CH173" s="128"/>
      <c r="CI173" s="128"/>
      <c r="CJ173" s="837"/>
      <c r="CK173" s="128"/>
      <c r="CL173" s="128"/>
      <c r="CM173" s="128"/>
      <c r="CN173" s="128"/>
      <c r="CO173" s="837"/>
      <c r="CP173" s="128"/>
      <c r="CQ173" s="128"/>
      <c r="CR173" s="128"/>
      <c r="CS173" s="128"/>
      <c r="CT173" s="836"/>
      <c r="CU173" s="128"/>
      <c r="CV173" s="128"/>
      <c r="CW173" s="128"/>
      <c r="CX173" s="128"/>
      <c r="CY173" s="836"/>
      <c r="CZ173" s="129"/>
      <c r="DA173" s="128"/>
      <c r="DB173" s="129"/>
      <c r="DC173" s="128"/>
      <c r="DD173" s="836"/>
      <c r="DE173" s="129"/>
      <c r="DF173" s="128"/>
      <c r="DG173" s="129"/>
      <c r="DH173" s="128"/>
      <c r="DI173" s="836"/>
      <c r="DJ173" s="129"/>
      <c r="DK173" s="129"/>
      <c r="DL173" s="129"/>
      <c r="DM173" s="128"/>
      <c r="DN173" s="836"/>
      <c r="DO173" s="128"/>
      <c r="DP173" s="128"/>
      <c r="DQ173" s="129"/>
      <c r="DR173" s="925"/>
      <c r="DS173" s="836"/>
      <c r="DT173" s="129"/>
      <c r="DU173" s="129"/>
      <c r="DV173" s="925"/>
      <c r="DW173" s="925"/>
      <c r="DX173" s="836"/>
      <c r="DY173" s="925"/>
      <c r="DZ173" s="925"/>
      <c r="EA173" s="925"/>
      <c r="EB173" s="925"/>
      <c r="EC173" s="836"/>
      <c r="ED173" s="925"/>
      <c r="EE173" s="925"/>
      <c r="EF173" s="925"/>
      <c r="EG173" s="925"/>
      <c r="EH173" s="836"/>
      <c r="EI173" s="134"/>
      <c r="EJ173" s="128"/>
      <c r="EK173" s="128"/>
      <c r="EL173" s="128"/>
      <c r="EM173" s="836"/>
      <c r="EN173" s="128"/>
      <c r="EO173" s="128"/>
      <c r="EP173" s="128"/>
      <c r="EQ173" s="128"/>
      <c r="ER173" s="836"/>
      <c r="ES173" s="128"/>
      <c r="ET173" s="128"/>
      <c r="EU173" s="128"/>
      <c r="EV173" s="128"/>
      <c r="EW173" s="836"/>
      <c r="EX173" s="128"/>
      <c r="EY173" s="128"/>
      <c r="EZ173" s="128"/>
      <c r="FA173" s="128"/>
      <c r="FB173" s="836"/>
      <c r="FC173" s="128"/>
      <c r="FD173" s="128"/>
      <c r="FE173" s="128"/>
      <c r="FF173" s="128"/>
      <c r="FG173" s="836"/>
    </row>
    <row r="174" ht="12.75" customHeight="1">
      <c r="A174" s="128"/>
      <c r="B174" s="179"/>
      <c r="C174" s="179"/>
      <c r="D174" s="179"/>
      <c r="E174" s="179"/>
      <c r="F174" s="179"/>
      <c r="G174" s="179"/>
      <c r="H174" s="179"/>
      <c r="I174" s="179"/>
      <c r="J174" s="179"/>
      <c r="K174" s="179"/>
      <c r="L174" s="179"/>
      <c r="M174" s="179"/>
      <c r="N174" s="179"/>
      <c r="O174" s="179"/>
      <c r="P174" s="179"/>
      <c r="Q174" s="179"/>
      <c r="R174" s="57"/>
      <c r="S174" s="179"/>
      <c r="T174" s="179"/>
      <c r="U174" s="179"/>
      <c r="V174" s="179"/>
      <c r="W174" s="785"/>
      <c r="X174" s="128"/>
      <c r="Y174" s="128"/>
      <c r="Z174" s="128"/>
      <c r="AA174" s="128"/>
      <c r="AB174" s="837"/>
      <c r="AC174" s="128"/>
      <c r="AD174" s="128"/>
      <c r="AE174" s="128"/>
      <c r="AF174" s="128"/>
      <c r="AG174" s="837"/>
      <c r="AH174" s="128"/>
      <c r="AI174" s="128"/>
      <c r="AJ174" s="128"/>
      <c r="AK174" s="128"/>
      <c r="AL174" s="837"/>
      <c r="AM174" s="128"/>
      <c r="AN174" s="128"/>
      <c r="AO174" s="128"/>
      <c r="AP174" s="128"/>
      <c r="AQ174" s="837"/>
      <c r="AR174" s="128"/>
      <c r="AS174" s="128"/>
      <c r="AT174" s="128"/>
      <c r="AU174" s="128"/>
      <c r="AV174" s="837"/>
      <c r="AW174" s="128"/>
      <c r="AX174" s="128"/>
      <c r="AY174" s="128"/>
      <c r="AZ174" s="128"/>
      <c r="BA174" s="837"/>
      <c r="BB174" s="128"/>
      <c r="BC174" s="128"/>
      <c r="BD174" s="128"/>
      <c r="BE174" s="128"/>
      <c r="BF174" s="837"/>
      <c r="BG174" s="128"/>
      <c r="BH174" s="128"/>
      <c r="BI174" s="128"/>
      <c r="BJ174" s="128"/>
      <c r="BK174" s="837"/>
      <c r="BL174" s="128"/>
      <c r="BM174" s="128"/>
      <c r="BN174" s="128"/>
      <c r="BO174" s="128"/>
      <c r="BP174" s="837"/>
      <c r="BQ174" s="128"/>
      <c r="BR174" s="128"/>
      <c r="BS174" s="128"/>
      <c r="BT174" s="128"/>
      <c r="BU174" s="837"/>
      <c r="BV174" s="128"/>
      <c r="BW174" s="128"/>
      <c r="BX174" s="128"/>
      <c r="BY174" s="128"/>
      <c r="BZ174" s="837"/>
      <c r="CA174" s="128"/>
      <c r="CB174" s="128"/>
      <c r="CC174" s="128"/>
      <c r="CD174" s="128"/>
      <c r="CE174" s="837"/>
      <c r="CF174" s="128"/>
      <c r="CG174" s="128"/>
      <c r="CH174" s="128"/>
      <c r="CI174" s="128"/>
      <c r="CJ174" s="837"/>
      <c r="CK174" s="128"/>
      <c r="CL174" s="128"/>
      <c r="CM174" s="128"/>
      <c r="CN174" s="128"/>
      <c r="CO174" s="837"/>
      <c r="CP174" s="128"/>
      <c r="CQ174" s="128"/>
      <c r="CR174" s="128"/>
      <c r="CS174" s="128"/>
      <c r="CT174" s="836"/>
      <c r="CU174" s="128"/>
      <c r="CV174" s="128"/>
      <c r="CW174" s="128"/>
      <c r="CX174" s="128"/>
      <c r="CY174" s="836"/>
      <c r="CZ174" s="129"/>
      <c r="DA174" s="128"/>
      <c r="DB174" s="129"/>
      <c r="DC174" s="128"/>
      <c r="DD174" s="836"/>
      <c r="DE174" s="129"/>
      <c r="DF174" s="128"/>
      <c r="DG174" s="129"/>
      <c r="DH174" s="128"/>
      <c r="DI174" s="836"/>
      <c r="DJ174" s="129"/>
      <c r="DK174" s="129"/>
      <c r="DL174" s="129"/>
      <c r="DM174" s="128"/>
      <c r="DN174" s="836"/>
      <c r="DO174" s="128"/>
      <c r="DP174" s="128"/>
      <c r="DQ174" s="129"/>
      <c r="DR174" s="925"/>
      <c r="DS174" s="836"/>
      <c r="DT174" s="129"/>
      <c r="DU174" s="129"/>
      <c r="DV174" s="925"/>
      <c r="DW174" s="925"/>
      <c r="DX174" s="836"/>
      <c r="DY174" s="925"/>
      <c r="DZ174" s="925"/>
      <c r="EA174" s="925"/>
      <c r="EB174" s="925"/>
      <c r="EC174" s="836"/>
      <c r="ED174" s="925"/>
      <c r="EE174" s="925"/>
      <c r="EF174" s="925"/>
      <c r="EG174" s="925"/>
      <c r="EH174" s="836"/>
      <c r="EI174" s="134"/>
      <c r="EJ174" s="128"/>
      <c r="EK174" s="128"/>
      <c r="EL174" s="128"/>
      <c r="EM174" s="836"/>
      <c r="EN174" s="128"/>
      <c r="EO174" s="128"/>
      <c r="EP174" s="128"/>
      <c r="EQ174" s="128"/>
      <c r="ER174" s="836"/>
      <c r="ES174" s="128"/>
      <c r="ET174" s="128"/>
      <c r="EU174" s="128"/>
      <c r="EV174" s="128"/>
      <c r="EW174" s="836"/>
      <c r="EX174" s="128"/>
      <c r="EY174" s="128"/>
      <c r="EZ174" s="128"/>
      <c r="FA174" s="128"/>
      <c r="FB174" s="836"/>
      <c r="FC174" s="128"/>
      <c r="FD174" s="128"/>
      <c r="FE174" s="128"/>
      <c r="FF174" s="128"/>
      <c r="FG174" s="836"/>
    </row>
    <row r="175" ht="12.75" customHeight="1">
      <c r="A175" s="128"/>
      <c r="B175" s="179"/>
      <c r="C175" s="179"/>
      <c r="D175" s="179"/>
      <c r="E175" s="179"/>
      <c r="F175" s="179"/>
      <c r="G175" s="179"/>
      <c r="H175" s="179"/>
      <c r="I175" s="179"/>
      <c r="J175" s="179"/>
      <c r="K175" s="179"/>
      <c r="L175" s="179"/>
      <c r="M175" s="179"/>
      <c r="N175" s="179"/>
      <c r="O175" s="179"/>
      <c r="P175" s="179"/>
      <c r="Q175" s="179"/>
      <c r="R175" s="57"/>
      <c r="S175" s="179"/>
      <c r="T175" s="179"/>
      <c r="U175" s="179"/>
      <c r="V175" s="179"/>
      <c r="W175" s="785"/>
      <c r="X175" s="128"/>
      <c r="Y175" s="128"/>
      <c r="Z175" s="128"/>
      <c r="AA175" s="128"/>
      <c r="AB175" s="837"/>
      <c r="AC175" s="128"/>
      <c r="AD175" s="128"/>
      <c r="AE175" s="128"/>
      <c r="AF175" s="128"/>
      <c r="AG175" s="837"/>
      <c r="AH175" s="128"/>
      <c r="AI175" s="128"/>
      <c r="AJ175" s="128"/>
      <c r="AK175" s="128"/>
      <c r="AL175" s="837"/>
      <c r="AM175" s="128"/>
      <c r="AN175" s="128"/>
      <c r="AO175" s="128"/>
      <c r="AP175" s="128"/>
      <c r="AQ175" s="837"/>
      <c r="AR175" s="128"/>
      <c r="AS175" s="128"/>
      <c r="AT175" s="128"/>
      <c r="AU175" s="128"/>
      <c r="AV175" s="837"/>
      <c r="AW175" s="128"/>
      <c r="AX175" s="128"/>
      <c r="AY175" s="128"/>
      <c r="AZ175" s="128"/>
      <c r="BA175" s="837"/>
      <c r="BB175" s="128"/>
      <c r="BC175" s="128"/>
      <c r="BD175" s="128"/>
      <c r="BE175" s="128"/>
      <c r="BF175" s="837"/>
      <c r="BG175" s="128"/>
      <c r="BH175" s="128"/>
      <c r="BI175" s="128"/>
      <c r="BJ175" s="128"/>
      <c r="BK175" s="837"/>
      <c r="BL175" s="128"/>
      <c r="BM175" s="128"/>
      <c r="BN175" s="128"/>
      <c r="BO175" s="128"/>
      <c r="BP175" s="837"/>
      <c r="BQ175" s="128"/>
      <c r="BR175" s="128"/>
      <c r="BS175" s="128"/>
      <c r="BT175" s="128"/>
      <c r="BU175" s="837"/>
      <c r="BV175" s="128"/>
      <c r="BW175" s="128"/>
      <c r="BX175" s="128"/>
      <c r="BY175" s="128"/>
      <c r="BZ175" s="837"/>
      <c r="CA175" s="128"/>
      <c r="CB175" s="128"/>
      <c r="CC175" s="128"/>
      <c r="CD175" s="128"/>
      <c r="CE175" s="837"/>
      <c r="CF175" s="128"/>
      <c r="CG175" s="128"/>
      <c r="CH175" s="128"/>
      <c r="CI175" s="128"/>
      <c r="CJ175" s="837"/>
      <c r="CK175" s="128"/>
      <c r="CL175" s="128"/>
      <c r="CM175" s="128"/>
      <c r="CN175" s="128"/>
      <c r="CO175" s="837"/>
      <c r="CP175" s="128"/>
      <c r="CQ175" s="128"/>
      <c r="CR175" s="128"/>
      <c r="CS175" s="128"/>
      <c r="CT175" s="836"/>
      <c r="CU175" s="128"/>
      <c r="CV175" s="128"/>
      <c r="CW175" s="128"/>
      <c r="CX175" s="128"/>
      <c r="CY175" s="836"/>
      <c r="CZ175" s="129"/>
      <c r="DA175" s="128"/>
      <c r="DB175" s="129"/>
      <c r="DC175" s="128"/>
      <c r="DD175" s="836"/>
      <c r="DE175" s="129"/>
      <c r="DF175" s="128"/>
      <c r="DG175" s="129"/>
      <c r="DH175" s="128"/>
      <c r="DI175" s="836"/>
      <c r="DJ175" s="129"/>
      <c r="DK175" s="129"/>
      <c r="DL175" s="129"/>
      <c r="DM175" s="128"/>
      <c r="DN175" s="836"/>
      <c r="DO175" s="128"/>
      <c r="DP175" s="128"/>
      <c r="DQ175" s="129"/>
      <c r="DR175" s="269"/>
      <c r="DS175" s="836"/>
      <c r="DT175" s="129"/>
      <c r="DU175" s="129"/>
      <c r="DV175" s="269"/>
      <c r="DW175" s="269"/>
      <c r="DX175" s="836"/>
      <c r="DY175" s="269"/>
      <c r="DZ175" s="269"/>
      <c r="EA175" s="269"/>
      <c r="EB175" s="269"/>
      <c r="EC175" s="836"/>
      <c r="ED175" s="269"/>
      <c r="EE175" s="269"/>
      <c r="EF175" s="269"/>
      <c r="EG175" s="269"/>
      <c r="EH175" s="836"/>
      <c r="EI175" s="134"/>
      <c r="EJ175" s="128"/>
      <c r="EK175" s="128"/>
      <c r="EL175" s="128"/>
      <c r="EM175" s="836"/>
      <c r="EN175" s="128"/>
      <c r="EO175" s="128"/>
      <c r="EP175" s="128"/>
      <c r="EQ175" s="128"/>
      <c r="ER175" s="836"/>
      <c r="ES175" s="128"/>
      <c r="ET175" s="128"/>
      <c r="EU175" s="128"/>
      <c r="EV175" s="128"/>
      <c r="EW175" s="836"/>
      <c r="EX175" s="128"/>
      <c r="EY175" s="128"/>
      <c r="EZ175" s="128"/>
      <c r="FA175" s="128"/>
      <c r="FB175" s="836"/>
      <c r="FC175" s="128"/>
      <c r="FD175" s="128"/>
      <c r="FE175" s="128"/>
      <c r="FF175" s="128"/>
      <c r="FG175" s="836"/>
    </row>
    <row r="176" ht="12.75" customHeight="1">
      <c r="A176" s="128"/>
      <c r="B176" s="179"/>
      <c r="C176" s="179"/>
      <c r="D176" s="179"/>
      <c r="E176" s="179"/>
      <c r="F176" s="179"/>
      <c r="G176" s="179"/>
      <c r="H176" s="179"/>
      <c r="I176" s="179"/>
      <c r="J176" s="179"/>
      <c r="K176" s="179"/>
      <c r="L176" s="179"/>
      <c r="M176" s="179"/>
      <c r="N176" s="179"/>
      <c r="O176" s="179"/>
      <c r="P176" s="179"/>
      <c r="Q176" s="179"/>
      <c r="R176" s="57"/>
      <c r="S176" s="179"/>
      <c r="T176" s="179"/>
      <c r="U176" s="179"/>
      <c r="V176" s="179"/>
      <c r="W176" s="785"/>
      <c r="X176" s="128"/>
      <c r="Y176" s="128"/>
      <c r="Z176" s="128"/>
      <c r="AA176" s="128"/>
      <c r="AB176" s="837"/>
      <c r="AC176" s="128"/>
      <c r="AD176" s="128"/>
      <c r="AE176" s="128"/>
      <c r="AF176" s="128"/>
      <c r="AG176" s="837"/>
      <c r="AH176" s="128"/>
      <c r="AI176" s="128"/>
      <c r="AJ176" s="128"/>
      <c r="AK176" s="128"/>
      <c r="AL176" s="837"/>
      <c r="AM176" s="128"/>
      <c r="AN176" s="128"/>
      <c r="AO176" s="128"/>
      <c r="AP176" s="128"/>
      <c r="AQ176" s="837"/>
      <c r="AR176" s="128"/>
      <c r="AS176" s="128"/>
      <c r="AT176" s="128"/>
      <c r="AU176" s="128"/>
      <c r="AV176" s="837"/>
      <c r="AW176" s="128"/>
      <c r="AX176" s="128"/>
      <c r="AY176" s="128"/>
      <c r="AZ176" s="128"/>
      <c r="BA176" s="837"/>
      <c r="BB176" s="128"/>
      <c r="BC176" s="128"/>
      <c r="BD176" s="128"/>
      <c r="BE176" s="128"/>
      <c r="BF176" s="837"/>
      <c r="BG176" s="128"/>
      <c r="BH176" s="128"/>
      <c r="BI176" s="128"/>
      <c r="BJ176" s="128"/>
      <c r="BK176" s="837"/>
      <c r="BL176" s="128"/>
      <c r="BM176" s="128"/>
      <c r="BN176" s="128"/>
      <c r="BO176" s="128"/>
      <c r="BP176" s="837"/>
      <c r="BQ176" s="128"/>
      <c r="BR176" s="128"/>
      <c r="BS176" s="128"/>
      <c r="BT176" s="128"/>
      <c r="BU176" s="837"/>
      <c r="BV176" s="128"/>
      <c r="BW176" s="128"/>
      <c r="BX176" s="128"/>
      <c r="BY176" s="128"/>
      <c r="BZ176" s="837"/>
      <c r="CA176" s="128"/>
      <c r="CB176" s="128"/>
      <c r="CC176" s="128"/>
      <c r="CD176" s="128"/>
      <c r="CE176" s="837"/>
      <c r="CF176" s="128"/>
      <c r="CG176" s="128"/>
      <c r="CH176" s="128"/>
      <c r="CI176" s="128"/>
      <c r="CJ176" s="837"/>
      <c r="CK176" s="128"/>
      <c r="CL176" s="128"/>
      <c r="CM176" s="128"/>
      <c r="CN176" s="128"/>
      <c r="CO176" s="837"/>
      <c r="CP176" s="128"/>
      <c r="CQ176" s="128"/>
      <c r="CR176" s="128"/>
      <c r="CS176" s="128"/>
      <c r="CT176" s="836"/>
      <c r="CU176" s="128"/>
      <c r="CV176" s="128"/>
      <c r="CW176" s="128"/>
      <c r="CX176" s="128"/>
      <c r="CY176" s="836"/>
      <c r="CZ176" s="129"/>
      <c r="DA176" s="128"/>
      <c r="DB176" s="129"/>
      <c r="DC176" s="128"/>
      <c r="DD176" s="836"/>
      <c r="DE176" s="129"/>
      <c r="DF176" s="128"/>
      <c r="DG176" s="129"/>
      <c r="DH176" s="128"/>
      <c r="DI176" s="836"/>
      <c r="DJ176" s="129"/>
      <c r="DK176" s="129"/>
      <c r="DL176" s="129"/>
      <c r="DM176" s="128"/>
      <c r="DN176" s="836"/>
      <c r="DO176" s="128"/>
      <c r="DP176" s="128"/>
      <c r="DQ176" s="129"/>
      <c r="DR176" s="269"/>
      <c r="DS176" s="836"/>
      <c r="DT176" s="129"/>
      <c r="DU176" s="129"/>
      <c r="DV176" s="269"/>
      <c r="DW176" s="269"/>
      <c r="DX176" s="836"/>
      <c r="DY176" s="269"/>
      <c r="DZ176" s="269"/>
      <c r="EA176" s="269"/>
      <c r="EB176" s="269"/>
      <c r="EC176" s="836"/>
      <c r="ED176" s="269"/>
      <c r="EE176" s="269"/>
      <c r="EF176" s="269"/>
      <c r="EG176" s="269"/>
      <c r="EH176" s="836"/>
      <c r="EI176" s="134"/>
      <c r="EJ176" s="128"/>
      <c r="EK176" s="128"/>
      <c r="EL176" s="128"/>
      <c r="EM176" s="836"/>
      <c r="EN176" s="128"/>
      <c r="EO176" s="128"/>
      <c r="EP176" s="128"/>
      <c r="EQ176" s="128"/>
      <c r="ER176" s="836"/>
      <c r="ES176" s="128"/>
      <c r="ET176" s="128"/>
      <c r="EU176" s="128"/>
      <c r="EV176" s="128"/>
      <c r="EW176" s="836"/>
      <c r="EX176" s="128"/>
      <c r="EY176" s="128"/>
      <c r="EZ176" s="128"/>
      <c r="FA176" s="128"/>
      <c r="FB176" s="836"/>
      <c r="FC176" s="128"/>
      <c r="FD176" s="128"/>
      <c r="FE176" s="128"/>
      <c r="FF176" s="128"/>
      <c r="FG176" s="836"/>
    </row>
    <row r="177" ht="12.75" customHeight="1">
      <c r="A177" s="128"/>
      <c r="B177" s="179"/>
      <c r="C177" s="179"/>
      <c r="D177" s="179"/>
      <c r="E177" s="179"/>
      <c r="F177" s="179"/>
      <c r="G177" s="179"/>
      <c r="H177" s="179"/>
      <c r="I177" s="179"/>
      <c r="J177" s="179"/>
      <c r="K177" s="179"/>
      <c r="L177" s="179"/>
      <c r="M177" s="179"/>
      <c r="N177" s="179"/>
      <c r="O177" s="179"/>
      <c r="P177" s="179"/>
      <c r="Q177" s="179"/>
      <c r="R177" s="57"/>
      <c r="S177" s="179"/>
      <c r="T177" s="179"/>
      <c r="U177" s="179"/>
      <c r="V177" s="179"/>
      <c r="W177" s="785"/>
      <c r="X177" s="128"/>
      <c r="Y177" s="128"/>
      <c r="Z177" s="128"/>
      <c r="AA177" s="128"/>
      <c r="AB177" s="837"/>
      <c r="AC177" s="128"/>
      <c r="AD177" s="128"/>
      <c r="AE177" s="128"/>
      <c r="AF177" s="128"/>
      <c r="AG177" s="837"/>
      <c r="AH177" s="128"/>
      <c r="AI177" s="128"/>
      <c r="AJ177" s="128"/>
      <c r="AK177" s="128"/>
      <c r="AL177" s="837"/>
      <c r="AM177" s="128"/>
      <c r="AN177" s="128"/>
      <c r="AO177" s="128"/>
      <c r="AP177" s="128"/>
      <c r="AQ177" s="837"/>
      <c r="AR177" s="128"/>
      <c r="AS177" s="128"/>
      <c r="AT177" s="128"/>
      <c r="AU177" s="128"/>
      <c r="AV177" s="837"/>
      <c r="AW177" s="128"/>
      <c r="AX177" s="128"/>
      <c r="AY177" s="128"/>
      <c r="AZ177" s="128"/>
      <c r="BA177" s="837"/>
      <c r="BB177" s="128"/>
      <c r="BC177" s="128"/>
      <c r="BD177" s="128"/>
      <c r="BE177" s="128"/>
      <c r="BF177" s="837"/>
      <c r="BG177" s="128"/>
      <c r="BH177" s="128"/>
      <c r="BI177" s="128"/>
      <c r="BJ177" s="128"/>
      <c r="BK177" s="837"/>
      <c r="BL177" s="128"/>
      <c r="BM177" s="128"/>
      <c r="BN177" s="128"/>
      <c r="BO177" s="128"/>
      <c r="BP177" s="837"/>
      <c r="BQ177" s="128"/>
      <c r="BR177" s="128"/>
      <c r="BS177" s="128"/>
      <c r="BT177" s="128"/>
      <c r="BU177" s="837"/>
      <c r="BV177" s="128"/>
      <c r="BW177" s="128"/>
      <c r="BX177" s="128"/>
      <c r="BY177" s="128"/>
      <c r="BZ177" s="837"/>
      <c r="CA177" s="128"/>
      <c r="CB177" s="128"/>
      <c r="CC177" s="128"/>
      <c r="CD177" s="128"/>
      <c r="CE177" s="837"/>
      <c r="CF177" s="128"/>
      <c r="CG177" s="128"/>
      <c r="CH177" s="128"/>
      <c r="CI177" s="128"/>
      <c r="CJ177" s="837"/>
      <c r="CK177" s="128"/>
      <c r="CL177" s="128"/>
      <c r="CM177" s="128"/>
      <c r="CN177" s="128"/>
      <c r="CO177" s="837"/>
      <c r="CP177" s="128"/>
      <c r="CQ177" s="128"/>
      <c r="CR177" s="128"/>
      <c r="CS177" s="128"/>
      <c r="CT177" s="836"/>
      <c r="CU177" s="128"/>
      <c r="CV177" s="128"/>
      <c r="CW177" s="128"/>
      <c r="CX177" s="128"/>
      <c r="CY177" s="836"/>
      <c r="CZ177" s="129"/>
      <c r="DA177" s="128"/>
      <c r="DB177" s="129"/>
      <c r="DC177" s="128"/>
      <c r="DD177" s="836"/>
      <c r="DE177" s="129"/>
      <c r="DF177" s="128"/>
      <c r="DG177" s="129"/>
      <c r="DH177" s="128"/>
      <c r="DI177" s="836"/>
      <c r="DJ177" s="129"/>
      <c r="DK177" s="129"/>
      <c r="DL177" s="129"/>
      <c r="DM177" s="128"/>
      <c r="DN177" s="836"/>
      <c r="DO177" s="128"/>
      <c r="DP177" s="128"/>
      <c r="DQ177" s="129"/>
      <c r="DR177" s="925"/>
      <c r="DS177" s="836"/>
      <c r="DT177" s="129"/>
      <c r="DU177" s="129"/>
      <c r="DV177" s="925"/>
      <c r="DW177" s="925"/>
      <c r="DX177" s="836"/>
      <c r="DY177" s="925"/>
      <c r="DZ177" s="925"/>
      <c r="EA177" s="925"/>
      <c r="EB177" s="925"/>
      <c r="EC177" s="836"/>
      <c r="ED177" s="925"/>
      <c r="EE177" s="925"/>
      <c r="EF177" s="925"/>
      <c r="EG177" s="925"/>
      <c r="EH177" s="836"/>
      <c r="EI177" s="134"/>
      <c r="EJ177" s="128"/>
      <c r="EK177" s="128"/>
      <c r="EL177" s="128"/>
      <c r="EM177" s="836"/>
      <c r="EN177" s="128"/>
      <c r="EO177" s="128"/>
      <c r="EP177" s="128"/>
      <c r="EQ177" s="128"/>
      <c r="ER177" s="836"/>
      <c r="ES177" s="128"/>
      <c r="ET177" s="128"/>
      <c r="EU177" s="128"/>
      <c r="EV177" s="128"/>
      <c r="EW177" s="836"/>
      <c r="EX177" s="128"/>
      <c r="EY177" s="128"/>
      <c r="EZ177" s="128"/>
      <c r="FA177" s="128"/>
      <c r="FB177" s="836"/>
      <c r="FC177" s="128"/>
      <c r="FD177" s="128"/>
      <c r="FE177" s="128"/>
      <c r="FF177" s="128"/>
      <c r="FG177" s="836"/>
    </row>
    <row r="178" ht="12.75" customHeight="1">
      <c r="A178" s="128"/>
      <c r="B178" s="179"/>
      <c r="C178" s="179"/>
      <c r="D178" s="179"/>
      <c r="E178" s="179"/>
      <c r="F178" s="179"/>
      <c r="G178" s="179"/>
      <c r="H178" s="179"/>
      <c r="I178" s="179"/>
      <c r="J178" s="179"/>
      <c r="K178" s="179"/>
      <c r="L178" s="179"/>
      <c r="M178" s="179"/>
      <c r="N178" s="179"/>
      <c r="O178" s="179"/>
      <c r="P178" s="179"/>
      <c r="Q178" s="179"/>
      <c r="R178" s="57"/>
      <c r="S178" s="179"/>
      <c r="T178" s="179"/>
      <c r="U178" s="179"/>
      <c r="V178" s="179"/>
      <c r="W178" s="785"/>
      <c r="X178" s="128"/>
      <c r="Y178" s="128"/>
      <c r="Z178" s="128"/>
      <c r="AA178" s="128"/>
      <c r="AB178" s="837"/>
      <c r="AC178" s="128"/>
      <c r="AD178" s="128"/>
      <c r="AE178" s="128"/>
      <c r="AF178" s="128"/>
      <c r="AG178" s="837"/>
      <c r="AH178" s="128"/>
      <c r="AI178" s="128"/>
      <c r="AJ178" s="128"/>
      <c r="AK178" s="128"/>
      <c r="AL178" s="837"/>
      <c r="AM178" s="128"/>
      <c r="AN178" s="128"/>
      <c r="AO178" s="128"/>
      <c r="AP178" s="128"/>
      <c r="AQ178" s="837"/>
      <c r="AR178" s="128"/>
      <c r="AS178" s="128"/>
      <c r="AT178" s="128"/>
      <c r="AU178" s="128"/>
      <c r="AV178" s="837"/>
      <c r="AW178" s="128"/>
      <c r="AX178" s="128"/>
      <c r="AY178" s="128"/>
      <c r="AZ178" s="128"/>
      <c r="BA178" s="837"/>
      <c r="BB178" s="128"/>
      <c r="BC178" s="128"/>
      <c r="BD178" s="128"/>
      <c r="BE178" s="128"/>
      <c r="BF178" s="837"/>
      <c r="BG178" s="128"/>
      <c r="BH178" s="128"/>
      <c r="BI178" s="128"/>
      <c r="BJ178" s="128"/>
      <c r="BK178" s="837"/>
      <c r="BL178" s="128"/>
      <c r="BM178" s="128"/>
      <c r="BN178" s="128"/>
      <c r="BO178" s="128"/>
      <c r="BP178" s="837"/>
      <c r="BQ178" s="128"/>
      <c r="BR178" s="128"/>
      <c r="BS178" s="128"/>
      <c r="BT178" s="128"/>
      <c r="BU178" s="837"/>
      <c r="BV178" s="128"/>
      <c r="BW178" s="128"/>
      <c r="BX178" s="128"/>
      <c r="BY178" s="128"/>
      <c r="BZ178" s="837"/>
      <c r="CA178" s="128"/>
      <c r="CB178" s="128"/>
      <c r="CC178" s="128"/>
      <c r="CD178" s="128"/>
      <c r="CE178" s="837"/>
      <c r="CF178" s="128"/>
      <c r="CG178" s="128"/>
      <c r="CH178" s="128"/>
      <c r="CI178" s="128"/>
      <c r="CJ178" s="837"/>
      <c r="CK178" s="128"/>
      <c r="CL178" s="128"/>
      <c r="CM178" s="128"/>
      <c r="CN178" s="128"/>
      <c r="CO178" s="837"/>
      <c r="CP178" s="128"/>
      <c r="CQ178" s="128"/>
      <c r="CR178" s="128"/>
      <c r="CS178" s="128"/>
      <c r="CT178" s="836"/>
      <c r="CU178" s="128"/>
      <c r="CV178" s="128"/>
      <c r="CW178" s="128"/>
      <c r="CX178" s="128"/>
      <c r="CY178" s="836"/>
      <c r="CZ178" s="129"/>
      <c r="DA178" s="128"/>
      <c r="DB178" s="129"/>
      <c r="DC178" s="128"/>
      <c r="DD178" s="836"/>
      <c r="DE178" s="129"/>
      <c r="DF178" s="128"/>
      <c r="DG178" s="129"/>
      <c r="DH178" s="128"/>
      <c r="DI178" s="836"/>
      <c r="DJ178" s="129"/>
      <c r="DK178" s="129"/>
      <c r="DL178" s="129"/>
      <c r="DM178" s="128"/>
      <c r="DN178" s="836"/>
      <c r="DO178" s="128"/>
      <c r="DP178" s="128"/>
      <c r="DQ178" s="129"/>
      <c r="DR178" s="925"/>
      <c r="DS178" s="836"/>
      <c r="DT178" s="129"/>
      <c r="DU178" s="129"/>
      <c r="DV178" s="925"/>
      <c r="DW178" s="925"/>
      <c r="DX178" s="836"/>
      <c r="DY178" s="925"/>
      <c r="DZ178" s="925"/>
      <c r="EA178" s="925"/>
      <c r="EB178" s="925"/>
      <c r="EC178" s="836"/>
      <c r="ED178" s="925"/>
      <c r="EE178" s="925"/>
      <c r="EF178" s="925"/>
      <c r="EG178" s="925"/>
      <c r="EH178" s="836"/>
      <c r="EI178" s="134"/>
      <c r="EJ178" s="128"/>
      <c r="EK178" s="128"/>
      <c r="EL178" s="128"/>
      <c r="EM178" s="836"/>
      <c r="EN178" s="128"/>
      <c r="EO178" s="128"/>
      <c r="EP178" s="128"/>
      <c r="EQ178" s="128"/>
      <c r="ER178" s="836"/>
      <c r="ES178" s="128"/>
      <c r="ET178" s="128"/>
      <c r="EU178" s="128"/>
      <c r="EV178" s="128"/>
      <c r="EW178" s="836"/>
      <c r="EX178" s="128"/>
      <c r="EY178" s="128"/>
      <c r="EZ178" s="128"/>
      <c r="FA178" s="128"/>
      <c r="FB178" s="836"/>
      <c r="FC178" s="128"/>
      <c r="FD178" s="128"/>
      <c r="FE178" s="128"/>
      <c r="FF178" s="128"/>
      <c r="FG178" s="836"/>
    </row>
    <row r="179" ht="12.75" customHeight="1">
      <c r="A179" s="128"/>
      <c r="B179" s="179"/>
      <c r="C179" s="179"/>
      <c r="D179" s="179"/>
      <c r="E179" s="179"/>
      <c r="F179" s="179"/>
      <c r="G179" s="179"/>
      <c r="H179" s="179"/>
      <c r="I179" s="179"/>
      <c r="J179" s="179"/>
      <c r="K179" s="179"/>
      <c r="L179" s="179"/>
      <c r="M179" s="179"/>
      <c r="N179" s="179"/>
      <c r="O179" s="179"/>
      <c r="P179" s="179"/>
      <c r="Q179" s="179"/>
      <c r="R179" s="57"/>
      <c r="S179" s="179"/>
      <c r="T179" s="179"/>
      <c r="U179" s="179"/>
      <c r="V179" s="179"/>
      <c r="W179" s="785"/>
      <c r="X179" s="128"/>
      <c r="Y179" s="128"/>
      <c r="Z179" s="128"/>
      <c r="AA179" s="128"/>
      <c r="AB179" s="837"/>
      <c r="AC179" s="128"/>
      <c r="AD179" s="128"/>
      <c r="AE179" s="128"/>
      <c r="AF179" s="128"/>
      <c r="AG179" s="837"/>
      <c r="AH179" s="128"/>
      <c r="AI179" s="128"/>
      <c r="AJ179" s="128"/>
      <c r="AK179" s="128"/>
      <c r="AL179" s="837"/>
      <c r="AM179" s="128"/>
      <c r="AN179" s="128"/>
      <c r="AO179" s="128"/>
      <c r="AP179" s="128"/>
      <c r="AQ179" s="837"/>
      <c r="AR179" s="128"/>
      <c r="AS179" s="128"/>
      <c r="AT179" s="128"/>
      <c r="AU179" s="128"/>
      <c r="AV179" s="837"/>
      <c r="AW179" s="128"/>
      <c r="AX179" s="128"/>
      <c r="AY179" s="128"/>
      <c r="AZ179" s="128"/>
      <c r="BA179" s="837"/>
      <c r="BB179" s="128"/>
      <c r="BC179" s="128"/>
      <c r="BD179" s="128"/>
      <c r="BE179" s="128"/>
      <c r="BF179" s="837"/>
      <c r="BG179" s="128"/>
      <c r="BH179" s="128"/>
      <c r="BI179" s="128"/>
      <c r="BJ179" s="128"/>
      <c r="BK179" s="837"/>
      <c r="BL179" s="128"/>
      <c r="BM179" s="128"/>
      <c r="BN179" s="128"/>
      <c r="BO179" s="128"/>
      <c r="BP179" s="837"/>
      <c r="BQ179" s="128"/>
      <c r="BR179" s="128"/>
      <c r="BS179" s="128"/>
      <c r="BT179" s="128"/>
      <c r="BU179" s="837"/>
      <c r="BV179" s="128"/>
      <c r="BW179" s="128"/>
      <c r="BX179" s="128"/>
      <c r="BY179" s="128"/>
      <c r="BZ179" s="837"/>
      <c r="CA179" s="128"/>
      <c r="CB179" s="128"/>
      <c r="CC179" s="128"/>
      <c r="CD179" s="128"/>
      <c r="CE179" s="837"/>
      <c r="CF179" s="128"/>
      <c r="CG179" s="128"/>
      <c r="CH179" s="128"/>
      <c r="CI179" s="128"/>
      <c r="CJ179" s="837"/>
      <c r="CK179" s="128"/>
      <c r="CL179" s="128"/>
      <c r="CM179" s="128"/>
      <c r="CN179" s="128"/>
      <c r="CO179" s="837"/>
      <c r="CP179" s="128"/>
      <c r="CQ179" s="128"/>
      <c r="CR179" s="128"/>
      <c r="CS179" s="128"/>
      <c r="CT179" s="836"/>
      <c r="CU179" s="128"/>
      <c r="CV179" s="128"/>
      <c r="CW179" s="128"/>
      <c r="CX179" s="128"/>
      <c r="CY179" s="836"/>
      <c r="CZ179" s="129"/>
      <c r="DA179" s="128"/>
      <c r="DB179" s="129"/>
      <c r="DC179" s="128"/>
      <c r="DD179" s="836"/>
      <c r="DE179" s="129"/>
      <c r="DF179" s="128"/>
      <c r="DG179" s="129"/>
      <c r="DH179" s="128"/>
      <c r="DI179" s="836"/>
      <c r="DJ179" s="129"/>
      <c r="DK179" s="129"/>
      <c r="DL179" s="129"/>
      <c r="DM179" s="128"/>
      <c r="DN179" s="836"/>
      <c r="DO179" s="128"/>
      <c r="DP179" s="128"/>
      <c r="DQ179" s="129"/>
      <c r="DR179" s="925"/>
      <c r="DS179" s="836"/>
      <c r="DT179" s="129"/>
      <c r="DU179" s="129"/>
      <c r="DV179" s="925"/>
      <c r="DW179" s="925"/>
      <c r="DX179" s="836"/>
      <c r="DY179" s="925"/>
      <c r="DZ179" s="925"/>
      <c r="EA179" s="925"/>
      <c r="EB179" s="925"/>
      <c r="EC179" s="836"/>
      <c r="ED179" s="925"/>
      <c r="EE179" s="925"/>
      <c r="EF179" s="925"/>
      <c r="EG179" s="925"/>
      <c r="EH179" s="836"/>
      <c r="EI179" s="134"/>
      <c r="EJ179" s="128"/>
      <c r="EK179" s="128"/>
      <c r="EL179" s="128"/>
      <c r="EM179" s="836"/>
      <c r="EN179" s="128"/>
      <c r="EO179" s="128"/>
      <c r="EP179" s="128"/>
      <c r="EQ179" s="128"/>
      <c r="ER179" s="836"/>
      <c r="ES179" s="128"/>
      <c r="ET179" s="128"/>
      <c r="EU179" s="128"/>
      <c r="EV179" s="128"/>
      <c r="EW179" s="836"/>
      <c r="EX179" s="128"/>
      <c r="EY179" s="128"/>
      <c r="EZ179" s="128"/>
      <c r="FA179" s="128"/>
      <c r="FB179" s="836"/>
      <c r="FC179" s="128"/>
      <c r="FD179" s="128"/>
      <c r="FE179" s="128"/>
      <c r="FF179" s="128"/>
      <c r="FG179" s="836"/>
    </row>
    <row r="180" ht="12.75" customHeight="1">
      <c r="A180" s="128"/>
      <c r="B180" s="179"/>
      <c r="C180" s="179"/>
      <c r="D180" s="179"/>
      <c r="E180" s="179"/>
      <c r="F180" s="179"/>
      <c r="G180" s="179"/>
      <c r="H180" s="179"/>
      <c r="I180" s="179"/>
      <c r="J180" s="179"/>
      <c r="K180" s="179"/>
      <c r="L180" s="179"/>
      <c r="M180" s="179"/>
      <c r="N180" s="179"/>
      <c r="O180" s="179"/>
      <c r="P180" s="179"/>
      <c r="Q180" s="179"/>
      <c r="R180" s="57"/>
      <c r="S180" s="179"/>
      <c r="T180" s="179"/>
      <c r="U180" s="179"/>
      <c r="V180" s="179"/>
      <c r="W180" s="785"/>
      <c r="X180" s="128"/>
      <c r="Y180" s="128"/>
      <c r="Z180" s="128"/>
      <c r="AA180" s="128"/>
      <c r="AB180" s="837"/>
      <c r="AC180" s="128"/>
      <c r="AD180" s="128"/>
      <c r="AE180" s="128"/>
      <c r="AF180" s="128"/>
      <c r="AG180" s="837"/>
      <c r="AH180" s="128"/>
      <c r="AI180" s="128"/>
      <c r="AJ180" s="128"/>
      <c r="AK180" s="128"/>
      <c r="AL180" s="837"/>
      <c r="AM180" s="128"/>
      <c r="AN180" s="128"/>
      <c r="AO180" s="128"/>
      <c r="AP180" s="128"/>
      <c r="AQ180" s="837"/>
      <c r="AR180" s="128"/>
      <c r="AS180" s="128"/>
      <c r="AT180" s="128"/>
      <c r="AU180" s="128"/>
      <c r="AV180" s="837"/>
      <c r="AW180" s="128"/>
      <c r="AX180" s="128"/>
      <c r="AY180" s="128"/>
      <c r="AZ180" s="128"/>
      <c r="BA180" s="837"/>
      <c r="BB180" s="128"/>
      <c r="BC180" s="128"/>
      <c r="BD180" s="128"/>
      <c r="BE180" s="128"/>
      <c r="BF180" s="837"/>
      <c r="BG180" s="128"/>
      <c r="BH180" s="128"/>
      <c r="BI180" s="128"/>
      <c r="BJ180" s="128"/>
      <c r="BK180" s="837"/>
      <c r="BL180" s="128"/>
      <c r="BM180" s="128"/>
      <c r="BN180" s="128"/>
      <c r="BO180" s="128"/>
      <c r="BP180" s="837"/>
      <c r="BQ180" s="128"/>
      <c r="BR180" s="128"/>
      <c r="BS180" s="128"/>
      <c r="BT180" s="128"/>
      <c r="BU180" s="837"/>
      <c r="BV180" s="128"/>
      <c r="BW180" s="128"/>
      <c r="BX180" s="128"/>
      <c r="BY180" s="128"/>
      <c r="BZ180" s="837"/>
      <c r="CA180" s="128"/>
      <c r="CB180" s="128"/>
      <c r="CC180" s="128"/>
      <c r="CD180" s="128"/>
      <c r="CE180" s="837"/>
      <c r="CF180" s="128"/>
      <c r="CG180" s="128"/>
      <c r="CH180" s="128"/>
      <c r="CI180" s="128"/>
      <c r="CJ180" s="837"/>
      <c r="CK180" s="128"/>
      <c r="CL180" s="128"/>
      <c r="CM180" s="128"/>
      <c r="CN180" s="128"/>
      <c r="CO180" s="837"/>
      <c r="CP180" s="128"/>
      <c r="CQ180" s="128"/>
      <c r="CR180" s="128"/>
      <c r="CS180" s="128"/>
      <c r="CT180" s="836"/>
      <c r="CU180" s="128"/>
      <c r="CV180" s="128"/>
      <c r="CW180" s="128"/>
      <c r="CX180" s="128"/>
      <c r="CY180" s="836"/>
      <c r="CZ180" s="129"/>
      <c r="DA180" s="128"/>
      <c r="DB180" s="129"/>
      <c r="DC180" s="128"/>
      <c r="DD180" s="836"/>
      <c r="DE180" s="129"/>
      <c r="DF180" s="128"/>
      <c r="DG180" s="129"/>
      <c r="DH180" s="128"/>
      <c r="DI180" s="836"/>
      <c r="DJ180" s="129"/>
      <c r="DK180" s="129"/>
      <c r="DL180" s="129"/>
      <c r="DM180" s="128"/>
      <c r="DN180" s="836"/>
      <c r="DO180" s="128"/>
      <c r="DP180" s="128"/>
      <c r="DQ180" s="129"/>
      <c r="DR180" s="925"/>
      <c r="DS180" s="836"/>
      <c r="DT180" s="129"/>
      <c r="DU180" s="129"/>
      <c r="DV180" s="925"/>
      <c r="DW180" s="925"/>
      <c r="DX180" s="836"/>
      <c r="DY180" s="925"/>
      <c r="DZ180" s="925"/>
      <c r="EA180" s="925"/>
      <c r="EB180" s="925"/>
      <c r="EC180" s="836"/>
      <c r="ED180" s="925"/>
      <c r="EE180" s="925"/>
      <c r="EF180" s="925"/>
      <c r="EG180" s="925"/>
      <c r="EH180" s="836"/>
      <c r="EI180" s="134"/>
      <c r="EJ180" s="128"/>
      <c r="EK180" s="128"/>
      <c r="EL180" s="128"/>
      <c r="EM180" s="836"/>
      <c r="EN180" s="128"/>
      <c r="EO180" s="128"/>
      <c r="EP180" s="128"/>
      <c r="EQ180" s="128"/>
      <c r="ER180" s="836"/>
      <c r="ES180" s="128"/>
      <c r="ET180" s="128"/>
      <c r="EU180" s="128"/>
      <c r="EV180" s="128"/>
      <c r="EW180" s="836"/>
      <c r="EX180" s="128"/>
      <c r="EY180" s="128"/>
      <c r="EZ180" s="128"/>
      <c r="FA180" s="128"/>
      <c r="FB180" s="836"/>
      <c r="FC180" s="128"/>
      <c r="FD180" s="128"/>
      <c r="FE180" s="128"/>
      <c r="FF180" s="128"/>
      <c r="FG180" s="836"/>
    </row>
    <row r="181" ht="12.75" customHeight="1">
      <c r="A181" s="128"/>
      <c r="B181" s="179"/>
      <c r="C181" s="179"/>
      <c r="D181" s="179"/>
      <c r="E181" s="179"/>
      <c r="F181" s="179"/>
      <c r="G181" s="179"/>
      <c r="H181" s="179"/>
      <c r="I181" s="179"/>
      <c r="J181" s="179"/>
      <c r="K181" s="179"/>
      <c r="L181" s="179"/>
      <c r="M181" s="179"/>
      <c r="N181" s="179"/>
      <c r="O181" s="179"/>
      <c r="P181" s="179"/>
      <c r="Q181" s="179"/>
      <c r="R181" s="57"/>
      <c r="S181" s="179"/>
      <c r="T181" s="179"/>
      <c r="U181" s="179"/>
      <c r="V181" s="179"/>
      <c r="W181" s="785"/>
      <c r="X181" s="128"/>
      <c r="Y181" s="128"/>
      <c r="Z181" s="128"/>
      <c r="AA181" s="128"/>
      <c r="AB181" s="837"/>
      <c r="AC181" s="128"/>
      <c r="AD181" s="128"/>
      <c r="AE181" s="128"/>
      <c r="AF181" s="128"/>
      <c r="AG181" s="837"/>
      <c r="AH181" s="128"/>
      <c r="AI181" s="128"/>
      <c r="AJ181" s="128"/>
      <c r="AK181" s="128"/>
      <c r="AL181" s="837"/>
      <c r="AM181" s="128"/>
      <c r="AN181" s="128"/>
      <c r="AO181" s="128"/>
      <c r="AP181" s="128"/>
      <c r="AQ181" s="837"/>
      <c r="AR181" s="128"/>
      <c r="AS181" s="128"/>
      <c r="AT181" s="128"/>
      <c r="AU181" s="128"/>
      <c r="AV181" s="837"/>
      <c r="AW181" s="128"/>
      <c r="AX181" s="128"/>
      <c r="AY181" s="128"/>
      <c r="AZ181" s="128"/>
      <c r="BA181" s="837"/>
      <c r="BB181" s="128"/>
      <c r="BC181" s="128"/>
      <c r="BD181" s="128"/>
      <c r="BE181" s="128"/>
      <c r="BF181" s="837"/>
      <c r="BG181" s="128"/>
      <c r="BH181" s="128"/>
      <c r="BI181" s="128"/>
      <c r="BJ181" s="128"/>
      <c r="BK181" s="837"/>
      <c r="BL181" s="128"/>
      <c r="BM181" s="128"/>
      <c r="BN181" s="128"/>
      <c r="BO181" s="128"/>
      <c r="BP181" s="837"/>
      <c r="BQ181" s="128"/>
      <c r="BR181" s="128"/>
      <c r="BS181" s="128"/>
      <c r="BT181" s="128"/>
      <c r="BU181" s="837"/>
      <c r="BV181" s="128"/>
      <c r="BW181" s="128"/>
      <c r="BX181" s="128"/>
      <c r="BY181" s="128"/>
      <c r="BZ181" s="837"/>
      <c r="CA181" s="128"/>
      <c r="CB181" s="128"/>
      <c r="CC181" s="128"/>
      <c r="CD181" s="128"/>
      <c r="CE181" s="837"/>
      <c r="CF181" s="128"/>
      <c r="CG181" s="128"/>
      <c r="CH181" s="128"/>
      <c r="CI181" s="128"/>
      <c r="CJ181" s="837"/>
      <c r="CK181" s="128"/>
      <c r="CL181" s="128"/>
      <c r="CM181" s="128"/>
      <c r="CN181" s="128"/>
      <c r="CO181" s="837"/>
      <c r="CP181" s="128"/>
      <c r="CQ181" s="128"/>
      <c r="CR181" s="128"/>
      <c r="CS181" s="128"/>
      <c r="CT181" s="836"/>
      <c r="CU181" s="128"/>
      <c r="CV181" s="128"/>
      <c r="CW181" s="128"/>
      <c r="CX181" s="128"/>
      <c r="CY181" s="836"/>
      <c r="CZ181" s="129"/>
      <c r="DA181" s="128"/>
      <c r="DB181" s="129"/>
      <c r="DC181" s="128"/>
      <c r="DD181" s="836"/>
      <c r="DE181" s="129"/>
      <c r="DF181" s="128"/>
      <c r="DG181" s="129"/>
      <c r="DH181" s="128"/>
      <c r="DI181" s="836"/>
      <c r="DJ181" s="129"/>
      <c r="DK181" s="129"/>
      <c r="DL181" s="129"/>
      <c r="DM181" s="128"/>
      <c r="DN181" s="836"/>
      <c r="DO181" s="128"/>
      <c r="DP181" s="128"/>
      <c r="DQ181" s="129"/>
      <c r="DR181" s="925"/>
      <c r="DS181" s="836"/>
      <c r="DT181" s="129"/>
      <c r="DU181" s="129"/>
      <c r="DV181" s="925"/>
      <c r="DW181" s="925"/>
      <c r="DX181" s="836"/>
      <c r="DY181" s="925"/>
      <c r="DZ181" s="925"/>
      <c r="EA181" s="925"/>
      <c r="EB181" s="925"/>
      <c r="EC181" s="836"/>
      <c r="ED181" s="925"/>
      <c r="EE181" s="925"/>
      <c r="EF181" s="925"/>
      <c r="EG181" s="925"/>
      <c r="EH181" s="836"/>
      <c r="EI181" s="134"/>
      <c r="EJ181" s="128"/>
      <c r="EK181" s="128"/>
      <c r="EL181" s="128"/>
      <c r="EM181" s="836"/>
      <c r="EN181" s="128"/>
      <c r="EO181" s="128"/>
      <c r="EP181" s="128"/>
      <c r="EQ181" s="128"/>
      <c r="ER181" s="836"/>
      <c r="ES181" s="128"/>
      <c r="ET181" s="128"/>
      <c r="EU181" s="128"/>
      <c r="EV181" s="128"/>
      <c r="EW181" s="836"/>
      <c r="EX181" s="128"/>
      <c r="EY181" s="128"/>
      <c r="EZ181" s="128"/>
      <c r="FA181" s="128"/>
      <c r="FB181" s="836"/>
      <c r="FC181" s="128"/>
      <c r="FD181" s="128"/>
      <c r="FE181" s="128"/>
      <c r="FF181" s="128"/>
      <c r="FG181" s="836"/>
    </row>
    <row r="182" ht="12.75" customHeight="1">
      <c r="A182" s="128"/>
      <c r="B182" s="179"/>
      <c r="C182" s="179"/>
      <c r="D182" s="179"/>
      <c r="E182" s="179"/>
      <c r="F182" s="179"/>
      <c r="G182" s="179"/>
      <c r="H182" s="179"/>
      <c r="I182" s="179"/>
      <c r="J182" s="179"/>
      <c r="K182" s="179"/>
      <c r="L182" s="179"/>
      <c r="M182" s="179"/>
      <c r="N182" s="179"/>
      <c r="O182" s="179"/>
      <c r="P182" s="179"/>
      <c r="Q182" s="179"/>
      <c r="R182" s="57"/>
      <c r="S182" s="179"/>
      <c r="T182" s="179"/>
      <c r="U182" s="179"/>
      <c r="V182" s="179"/>
      <c r="W182" s="785"/>
      <c r="X182" s="128"/>
      <c r="Y182" s="128"/>
      <c r="Z182" s="128"/>
      <c r="AA182" s="128"/>
      <c r="AB182" s="837"/>
      <c r="AC182" s="128"/>
      <c r="AD182" s="128"/>
      <c r="AE182" s="128"/>
      <c r="AF182" s="128"/>
      <c r="AG182" s="837"/>
      <c r="AH182" s="128"/>
      <c r="AI182" s="128"/>
      <c r="AJ182" s="128"/>
      <c r="AK182" s="128"/>
      <c r="AL182" s="837"/>
      <c r="AM182" s="128"/>
      <c r="AN182" s="128"/>
      <c r="AO182" s="128"/>
      <c r="AP182" s="128"/>
      <c r="AQ182" s="837"/>
      <c r="AR182" s="128"/>
      <c r="AS182" s="128"/>
      <c r="AT182" s="128"/>
      <c r="AU182" s="128"/>
      <c r="AV182" s="837"/>
      <c r="AW182" s="128"/>
      <c r="AX182" s="128"/>
      <c r="AY182" s="128"/>
      <c r="AZ182" s="128"/>
      <c r="BA182" s="837"/>
      <c r="BB182" s="128"/>
      <c r="BC182" s="128"/>
      <c r="BD182" s="128"/>
      <c r="BE182" s="128"/>
      <c r="BF182" s="837"/>
      <c r="BG182" s="128"/>
      <c r="BH182" s="128"/>
      <c r="BI182" s="128"/>
      <c r="BJ182" s="128"/>
      <c r="BK182" s="837"/>
      <c r="BL182" s="128"/>
      <c r="BM182" s="128"/>
      <c r="BN182" s="128"/>
      <c r="BO182" s="128"/>
      <c r="BP182" s="837"/>
      <c r="BQ182" s="128"/>
      <c r="BR182" s="128"/>
      <c r="BS182" s="128"/>
      <c r="BT182" s="128"/>
      <c r="BU182" s="837"/>
      <c r="BV182" s="128"/>
      <c r="BW182" s="128"/>
      <c r="BX182" s="128"/>
      <c r="BY182" s="128"/>
      <c r="BZ182" s="837"/>
      <c r="CA182" s="128"/>
      <c r="CB182" s="128"/>
      <c r="CC182" s="128"/>
      <c r="CD182" s="128"/>
      <c r="CE182" s="837"/>
      <c r="CF182" s="128"/>
      <c r="CG182" s="128"/>
      <c r="CH182" s="128"/>
      <c r="CI182" s="128"/>
      <c r="CJ182" s="837"/>
      <c r="CK182" s="128"/>
      <c r="CL182" s="128"/>
      <c r="CM182" s="128"/>
      <c r="CN182" s="128"/>
      <c r="CO182" s="837"/>
      <c r="CP182" s="128"/>
      <c r="CQ182" s="128"/>
      <c r="CR182" s="128"/>
      <c r="CS182" s="128"/>
      <c r="CT182" s="836"/>
      <c r="CU182" s="128"/>
      <c r="CV182" s="128"/>
      <c r="CW182" s="128"/>
      <c r="CX182" s="128"/>
      <c r="CY182" s="836"/>
      <c r="CZ182" s="129"/>
      <c r="DA182" s="128"/>
      <c r="DB182" s="129"/>
      <c r="DC182" s="128"/>
      <c r="DD182" s="836"/>
      <c r="DE182" s="129"/>
      <c r="DF182" s="128"/>
      <c r="DG182" s="129"/>
      <c r="DH182" s="128"/>
      <c r="DI182" s="836"/>
      <c r="DJ182" s="129"/>
      <c r="DK182" s="129"/>
      <c r="DL182" s="129"/>
      <c r="DM182" s="128"/>
      <c r="DN182" s="836"/>
      <c r="DO182" s="128"/>
      <c r="DP182" s="128"/>
      <c r="DQ182" s="129"/>
      <c r="DR182" s="925"/>
      <c r="DS182" s="836"/>
      <c r="DT182" s="129"/>
      <c r="DU182" s="129"/>
      <c r="DV182" s="925"/>
      <c r="DW182" s="925"/>
      <c r="DX182" s="836"/>
      <c r="DY182" s="925"/>
      <c r="DZ182" s="925"/>
      <c r="EA182" s="925"/>
      <c r="EB182" s="925"/>
      <c r="EC182" s="836"/>
      <c r="ED182" s="925"/>
      <c r="EE182" s="925"/>
      <c r="EF182" s="925"/>
      <c r="EG182" s="925"/>
      <c r="EH182" s="836"/>
      <c r="EI182" s="134"/>
      <c r="EJ182" s="128"/>
      <c r="EK182" s="128"/>
      <c r="EL182" s="128"/>
      <c r="EM182" s="836"/>
      <c r="EN182" s="128"/>
      <c r="EO182" s="128"/>
      <c r="EP182" s="128"/>
      <c r="EQ182" s="128"/>
      <c r="ER182" s="836"/>
      <c r="ES182" s="128"/>
      <c r="ET182" s="128"/>
      <c r="EU182" s="128"/>
      <c r="EV182" s="128"/>
      <c r="EW182" s="836"/>
      <c r="EX182" s="128"/>
      <c r="EY182" s="128"/>
      <c r="EZ182" s="128"/>
      <c r="FA182" s="128"/>
      <c r="FB182" s="836"/>
      <c r="FC182" s="128"/>
      <c r="FD182" s="128"/>
      <c r="FE182" s="128"/>
      <c r="FF182" s="128"/>
      <c r="FG182" s="836"/>
    </row>
    <row r="183" ht="12.75" customHeight="1">
      <c r="A183" s="128"/>
      <c r="B183" s="179"/>
      <c r="C183" s="179"/>
      <c r="D183" s="179"/>
      <c r="E183" s="179"/>
      <c r="F183" s="179"/>
      <c r="G183" s="179"/>
      <c r="H183" s="179"/>
      <c r="I183" s="179"/>
      <c r="J183" s="179"/>
      <c r="K183" s="179"/>
      <c r="L183" s="179"/>
      <c r="M183" s="179"/>
      <c r="N183" s="179"/>
      <c r="O183" s="179"/>
      <c r="P183" s="179"/>
      <c r="Q183" s="179"/>
      <c r="R183" s="57"/>
      <c r="S183" s="179"/>
      <c r="T183" s="179"/>
      <c r="U183" s="179"/>
      <c r="V183" s="179"/>
      <c r="W183" s="785"/>
      <c r="X183" s="128"/>
      <c r="Y183" s="128"/>
      <c r="Z183" s="128"/>
      <c r="AA183" s="128"/>
      <c r="AB183" s="837"/>
      <c r="AC183" s="128"/>
      <c r="AD183" s="128"/>
      <c r="AE183" s="128"/>
      <c r="AF183" s="128"/>
      <c r="AG183" s="837"/>
      <c r="AH183" s="128"/>
      <c r="AI183" s="128"/>
      <c r="AJ183" s="128"/>
      <c r="AK183" s="128"/>
      <c r="AL183" s="837"/>
      <c r="AM183" s="128"/>
      <c r="AN183" s="128"/>
      <c r="AO183" s="128"/>
      <c r="AP183" s="128"/>
      <c r="AQ183" s="837"/>
      <c r="AR183" s="128"/>
      <c r="AS183" s="128"/>
      <c r="AT183" s="128"/>
      <c r="AU183" s="128"/>
      <c r="AV183" s="837"/>
      <c r="AW183" s="128"/>
      <c r="AX183" s="128"/>
      <c r="AY183" s="128"/>
      <c r="AZ183" s="128"/>
      <c r="BA183" s="837"/>
      <c r="BB183" s="128"/>
      <c r="BC183" s="128"/>
      <c r="BD183" s="128"/>
      <c r="BE183" s="128"/>
      <c r="BF183" s="837"/>
      <c r="BG183" s="128"/>
      <c r="BH183" s="128"/>
      <c r="BI183" s="128"/>
      <c r="BJ183" s="128"/>
      <c r="BK183" s="837"/>
      <c r="BL183" s="128"/>
      <c r="BM183" s="128"/>
      <c r="BN183" s="128"/>
      <c r="BO183" s="128"/>
      <c r="BP183" s="837"/>
      <c r="BQ183" s="128"/>
      <c r="BR183" s="128"/>
      <c r="BS183" s="128"/>
      <c r="BT183" s="128"/>
      <c r="BU183" s="837"/>
      <c r="BV183" s="128"/>
      <c r="BW183" s="128"/>
      <c r="BX183" s="128"/>
      <c r="BY183" s="128"/>
      <c r="BZ183" s="837"/>
      <c r="CA183" s="128"/>
      <c r="CB183" s="128"/>
      <c r="CC183" s="128"/>
      <c r="CD183" s="128"/>
      <c r="CE183" s="837"/>
      <c r="CF183" s="128"/>
      <c r="CG183" s="128"/>
      <c r="CH183" s="128"/>
      <c r="CI183" s="128"/>
      <c r="CJ183" s="837"/>
      <c r="CK183" s="128"/>
      <c r="CL183" s="128"/>
      <c r="CM183" s="128"/>
      <c r="CN183" s="128"/>
      <c r="CO183" s="837"/>
      <c r="CP183" s="128"/>
      <c r="CQ183" s="128"/>
      <c r="CR183" s="128"/>
      <c r="CS183" s="128"/>
      <c r="CT183" s="836"/>
      <c r="CU183" s="128"/>
      <c r="CV183" s="128"/>
      <c r="CW183" s="128"/>
      <c r="CX183" s="128"/>
      <c r="CY183" s="836"/>
      <c r="CZ183" s="129"/>
      <c r="DA183" s="128"/>
      <c r="DB183" s="129"/>
      <c r="DC183" s="128"/>
      <c r="DD183" s="836"/>
      <c r="DE183" s="129"/>
      <c r="DF183" s="128"/>
      <c r="DG183" s="129"/>
      <c r="DH183" s="128"/>
      <c r="DI183" s="836"/>
      <c r="DJ183" s="129"/>
      <c r="DK183" s="129"/>
      <c r="DL183" s="129"/>
      <c r="DM183" s="128"/>
      <c r="DN183" s="836"/>
      <c r="DO183" s="128"/>
      <c r="DP183" s="128"/>
      <c r="DQ183" s="129"/>
      <c r="DR183" s="925"/>
      <c r="DS183" s="836"/>
      <c r="DT183" s="129"/>
      <c r="DU183" s="129"/>
      <c r="DV183" s="925"/>
      <c r="DW183" s="925"/>
      <c r="DX183" s="836"/>
      <c r="DY183" s="925"/>
      <c r="DZ183" s="925"/>
      <c r="EA183" s="925"/>
      <c r="EB183" s="925"/>
      <c r="EC183" s="836"/>
      <c r="ED183" s="925"/>
      <c r="EE183" s="925"/>
      <c r="EF183" s="925"/>
      <c r="EG183" s="925"/>
      <c r="EH183" s="836"/>
      <c r="EI183" s="134"/>
      <c r="EJ183" s="128"/>
      <c r="EK183" s="128"/>
      <c r="EL183" s="128"/>
      <c r="EM183" s="836"/>
      <c r="EN183" s="128"/>
      <c r="EO183" s="128"/>
      <c r="EP183" s="128"/>
      <c r="EQ183" s="128"/>
      <c r="ER183" s="836"/>
      <c r="ES183" s="128"/>
      <c r="ET183" s="128"/>
      <c r="EU183" s="128"/>
      <c r="EV183" s="128"/>
      <c r="EW183" s="836"/>
      <c r="EX183" s="128"/>
      <c r="EY183" s="128"/>
      <c r="EZ183" s="128"/>
      <c r="FA183" s="128"/>
      <c r="FB183" s="836"/>
      <c r="FC183" s="128"/>
      <c r="FD183" s="128"/>
      <c r="FE183" s="128"/>
      <c r="FF183" s="128"/>
      <c r="FG183" s="836"/>
    </row>
    <row r="184" ht="12.75" customHeight="1">
      <c r="A184" s="128"/>
      <c r="B184" s="179"/>
      <c r="C184" s="179"/>
      <c r="D184" s="179"/>
      <c r="E184" s="179"/>
      <c r="F184" s="179"/>
      <c r="G184" s="179"/>
      <c r="H184" s="179"/>
      <c r="I184" s="179"/>
      <c r="J184" s="179"/>
      <c r="K184" s="179"/>
      <c r="L184" s="179"/>
      <c r="M184" s="179"/>
      <c r="N184" s="179"/>
      <c r="O184" s="179"/>
      <c r="P184" s="179"/>
      <c r="Q184" s="179"/>
      <c r="R184" s="57"/>
      <c r="S184" s="179"/>
      <c r="T184" s="179"/>
      <c r="U184" s="179"/>
      <c r="V184" s="179"/>
      <c r="W184" s="785"/>
      <c r="X184" s="128"/>
      <c r="Y184" s="128"/>
      <c r="Z184" s="128"/>
      <c r="AA184" s="128"/>
      <c r="AB184" s="837"/>
      <c r="AC184" s="128"/>
      <c r="AD184" s="128"/>
      <c r="AE184" s="128"/>
      <c r="AF184" s="128"/>
      <c r="AG184" s="837"/>
      <c r="AH184" s="128"/>
      <c r="AI184" s="128"/>
      <c r="AJ184" s="128"/>
      <c r="AK184" s="128"/>
      <c r="AL184" s="837"/>
      <c r="AM184" s="128"/>
      <c r="AN184" s="128"/>
      <c r="AO184" s="128"/>
      <c r="AP184" s="128"/>
      <c r="AQ184" s="837"/>
      <c r="AR184" s="128"/>
      <c r="AS184" s="128"/>
      <c r="AT184" s="128"/>
      <c r="AU184" s="128"/>
      <c r="AV184" s="837"/>
      <c r="AW184" s="128"/>
      <c r="AX184" s="128"/>
      <c r="AY184" s="128"/>
      <c r="AZ184" s="128"/>
      <c r="BA184" s="837"/>
      <c r="BB184" s="128"/>
      <c r="BC184" s="128"/>
      <c r="BD184" s="128"/>
      <c r="BE184" s="128"/>
      <c r="BF184" s="837"/>
      <c r="BG184" s="128"/>
      <c r="BH184" s="128"/>
      <c r="BI184" s="128"/>
      <c r="BJ184" s="128"/>
      <c r="BK184" s="837"/>
      <c r="BL184" s="128"/>
      <c r="BM184" s="128"/>
      <c r="BN184" s="128"/>
      <c r="BO184" s="128"/>
      <c r="BP184" s="837"/>
      <c r="BQ184" s="128"/>
      <c r="BR184" s="128"/>
      <c r="BS184" s="128"/>
      <c r="BT184" s="128"/>
      <c r="BU184" s="837"/>
      <c r="BV184" s="128"/>
      <c r="BW184" s="128"/>
      <c r="BX184" s="128"/>
      <c r="BY184" s="128"/>
      <c r="BZ184" s="837"/>
      <c r="CA184" s="128"/>
      <c r="CB184" s="128"/>
      <c r="CC184" s="128"/>
      <c r="CD184" s="128"/>
      <c r="CE184" s="837"/>
      <c r="CF184" s="128"/>
      <c r="CG184" s="128"/>
      <c r="CH184" s="128"/>
      <c r="CI184" s="128"/>
      <c r="CJ184" s="837"/>
      <c r="CK184" s="128"/>
      <c r="CL184" s="128"/>
      <c r="CM184" s="128"/>
      <c r="CN184" s="128"/>
      <c r="CO184" s="837"/>
      <c r="CP184" s="128"/>
      <c r="CQ184" s="128"/>
      <c r="CR184" s="128"/>
      <c r="CS184" s="128"/>
      <c r="CT184" s="836"/>
      <c r="CU184" s="128"/>
      <c r="CV184" s="128"/>
      <c r="CW184" s="128"/>
      <c r="CX184" s="128"/>
      <c r="CY184" s="836"/>
      <c r="CZ184" s="129"/>
      <c r="DA184" s="128"/>
      <c r="DB184" s="129"/>
      <c r="DC184" s="128"/>
      <c r="DD184" s="836"/>
      <c r="DE184" s="129"/>
      <c r="DF184" s="128"/>
      <c r="DG184" s="129"/>
      <c r="DH184" s="128"/>
      <c r="DI184" s="836"/>
      <c r="DJ184" s="129"/>
      <c r="DK184" s="129"/>
      <c r="DL184" s="129"/>
      <c r="DM184" s="128"/>
      <c r="DN184" s="836"/>
      <c r="DO184" s="128"/>
      <c r="DP184" s="128"/>
      <c r="DQ184" s="129"/>
      <c r="DR184" s="925"/>
      <c r="DS184" s="836"/>
      <c r="DT184" s="129"/>
      <c r="DU184" s="129"/>
      <c r="DV184" s="925"/>
      <c r="DW184" s="925"/>
      <c r="DX184" s="836"/>
      <c r="DY184" s="925"/>
      <c r="DZ184" s="925"/>
      <c r="EA184" s="925"/>
      <c r="EB184" s="925"/>
      <c r="EC184" s="836"/>
      <c r="ED184" s="925"/>
      <c r="EE184" s="925"/>
      <c r="EF184" s="925"/>
      <c r="EG184" s="925"/>
      <c r="EH184" s="836"/>
      <c r="EI184" s="134"/>
      <c r="EJ184" s="128"/>
      <c r="EK184" s="128"/>
      <c r="EL184" s="128"/>
      <c r="EM184" s="836"/>
      <c r="EN184" s="128"/>
      <c r="EO184" s="128"/>
      <c r="EP184" s="128"/>
      <c r="EQ184" s="128"/>
      <c r="ER184" s="836"/>
      <c r="ES184" s="128"/>
      <c r="ET184" s="128"/>
      <c r="EU184" s="128"/>
      <c r="EV184" s="128"/>
      <c r="EW184" s="836"/>
      <c r="EX184" s="128"/>
      <c r="EY184" s="128"/>
      <c r="EZ184" s="128"/>
      <c r="FA184" s="128"/>
      <c r="FB184" s="836"/>
      <c r="FC184" s="128"/>
      <c r="FD184" s="128"/>
      <c r="FE184" s="128"/>
      <c r="FF184" s="128"/>
      <c r="FG184" s="836"/>
    </row>
    <row r="185" ht="12.75" customHeight="1">
      <c r="A185" s="128"/>
      <c r="B185" s="179"/>
      <c r="C185" s="179"/>
      <c r="D185" s="179"/>
      <c r="E185" s="179"/>
      <c r="F185" s="179"/>
      <c r="G185" s="179"/>
      <c r="H185" s="179"/>
      <c r="I185" s="179"/>
      <c r="J185" s="179"/>
      <c r="K185" s="179"/>
      <c r="L185" s="179"/>
      <c r="M185" s="179"/>
      <c r="N185" s="179"/>
      <c r="O185" s="179"/>
      <c r="P185" s="179"/>
      <c r="Q185" s="179"/>
      <c r="R185" s="57"/>
      <c r="S185" s="179"/>
      <c r="T185" s="179"/>
      <c r="U185" s="179"/>
      <c r="V185" s="179"/>
      <c r="W185" s="785"/>
      <c r="X185" s="128"/>
      <c r="Y185" s="128"/>
      <c r="Z185" s="128"/>
      <c r="AA185" s="128"/>
      <c r="AB185" s="837"/>
      <c r="AC185" s="128"/>
      <c r="AD185" s="128"/>
      <c r="AE185" s="128"/>
      <c r="AF185" s="128"/>
      <c r="AG185" s="837"/>
      <c r="AH185" s="128"/>
      <c r="AI185" s="128"/>
      <c r="AJ185" s="128"/>
      <c r="AK185" s="128"/>
      <c r="AL185" s="837"/>
      <c r="AM185" s="128"/>
      <c r="AN185" s="128"/>
      <c r="AO185" s="128"/>
      <c r="AP185" s="128"/>
      <c r="AQ185" s="837"/>
      <c r="AR185" s="128"/>
      <c r="AS185" s="128"/>
      <c r="AT185" s="128"/>
      <c r="AU185" s="128"/>
      <c r="AV185" s="837"/>
      <c r="AW185" s="128"/>
      <c r="AX185" s="128"/>
      <c r="AY185" s="128"/>
      <c r="AZ185" s="128"/>
      <c r="BA185" s="837"/>
      <c r="BB185" s="128"/>
      <c r="BC185" s="128"/>
      <c r="BD185" s="128"/>
      <c r="BE185" s="128"/>
      <c r="BF185" s="837"/>
      <c r="BG185" s="128"/>
      <c r="BH185" s="128"/>
      <c r="BI185" s="128"/>
      <c r="BJ185" s="128"/>
      <c r="BK185" s="837"/>
      <c r="BL185" s="128"/>
      <c r="BM185" s="128"/>
      <c r="BN185" s="128"/>
      <c r="BO185" s="128"/>
      <c r="BP185" s="837"/>
      <c r="BQ185" s="128"/>
      <c r="BR185" s="128"/>
      <c r="BS185" s="128"/>
      <c r="BT185" s="128"/>
      <c r="BU185" s="837"/>
      <c r="BV185" s="128"/>
      <c r="BW185" s="128"/>
      <c r="BX185" s="128"/>
      <c r="BY185" s="128"/>
      <c r="BZ185" s="837"/>
      <c r="CA185" s="128"/>
      <c r="CB185" s="128"/>
      <c r="CC185" s="128"/>
      <c r="CD185" s="128"/>
      <c r="CE185" s="837"/>
      <c r="CF185" s="128"/>
      <c r="CG185" s="128"/>
      <c r="CH185" s="128"/>
      <c r="CI185" s="128"/>
      <c r="CJ185" s="837"/>
      <c r="CK185" s="128"/>
      <c r="CL185" s="128"/>
      <c r="CM185" s="128"/>
      <c r="CN185" s="128"/>
      <c r="CO185" s="837"/>
      <c r="CP185" s="128"/>
      <c r="CQ185" s="128"/>
      <c r="CR185" s="128"/>
      <c r="CS185" s="128"/>
      <c r="CT185" s="836"/>
      <c r="CU185" s="128"/>
      <c r="CV185" s="128"/>
      <c r="CW185" s="128"/>
      <c r="CX185" s="128"/>
      <c r="CY185" s="836"/>
      <c r="CZ185" s="129"/>
      <c r="DA185" s="128"/>
      <c r="DB185" s="129"/>
      <c r="DC185" s="128"/>
      <c r="DD185" s="836"/>
      <c r="DE185" s="129"/>
      <c r="DF185" s="128"/>
      <c r="DG185" s="129"/>
      <c r="DH185" s="128"/>
      <c r="DI185" s="836"/>
      <c r="DJ185" s="129"/>
      <c r="DK185" s="129"/>
      <c r="DL185" s="129"/>
      <c r="DM185" s="128"/>
      <c r="DN185" s="836"/>
      <c r="DO185" s="128"/>
      <c r="DP185" s="128"/>
      <c r="DQ185" s="129"/>
      <c r="DR185" s="925"/>
      <c r="DS185" s="836"/>
      <c r="DT185" s="129"/>
      <c r="DU185" s="129"/>
      <c r="DV185" s="925"/>
      <c r="DW185" s="925"/>
      <c r="DX185" s="836"/>
      <c r="DY185" s="925"/>
      <c r="DZ185" s="925"/>
      <c r="EA185" s="925"/>
      <c r="EB185" s="925"/>
      <c r="EC185" s="836"/>
      <c r="ED185" s="925"/>
      <c r="EE185" s="925"/>
      <c r="EF185" s="925"/>
      <c r="EG185" s="925"/>
      <c r="EH185" s="836"/>
      <c r="EI185" s="134"/>
      <c r="EJ185" s="128"/>
      <c r="EK185" s="128"/>
      <c r="EL185" s="128"/>
      <c r="EM185" s="836"/>
      <c r="EN185" s="128"/>
      <c r="EO185" s="128"/>
      <c r="EP185" s="128"/>
      <c r="EQ185" s="128"/>
      <c r="ER185" s="836"/>
      <c r="ES185" s="128"/>
      <c r="ET185" s="128"/>
      <c r="EU185" s="128"/>
      <c r="EV185" s="128"/>
      <c r="EW185" s="836"/>
      <c r="EX185" s="128"/>
      <c r="EY185" s="128"/>
      <c r="EZ185" s="128"/>
      <c r="FA185" s="128"/>
      <c r="FB185" s="836"/>
      <c r="FC185" s="128"/>
      <c r="FD185" s="128"/>
      <c r="FE185" s="128"/>
      <c r="FF185" s="128"/>
      <c r="FG185" s="836"/>
    </row>
    <row r="186" ht="12.75" customHeight="1">
      <c r="A186" s="128"/>
      <c r="B186" s="179"/>
      <c r="C186" s="179"/>
      <c r="D186" s="179"/>
      <c r="E186" s="179"/>
      <c r="F186" s="179"/>
      <c r="G186" s="179"/>
      <c r="H186" s="179"/>
      <c r="I186" s="179"/>
      <c r="J186" s="179"/>
      <c r="K186" s="179"/>
      <c r="L186" s="179"/>
      <c r="M186" s="179"/>
      <c r="N186" s="179"/>
      <c r="O186" s="179"/>
      <c r="P186" s="179"/>
      <c r="Q186" s="179"/>
      <c r="R186" s="57"/>
      <c r="S186" s="179"/>
      <c r="T186" s="179"/>
      <c r="U186" s="179"/>
      <c r="V186" s="179"/>
      <c r="W186" s="785"/>
      <c r="X186" s="128"/>
      <c r="Y186" s="128"/>
      <c r="Z186" s="128"/>
      <c r="AA186" s="128"/>
      <c r="AB186" s="837"/>
      <c r="AC186" s="128"/>
      <c r="AD186" s="128"/>
      <c r="AE186" s="128"/>
      <c r="AF186" s="128"/>
      <c r="AG186" s="837"/>
      <c r="AH186" s="128"/>
      <c r="AI186" s="128"/>
      <c r="AJ186" s="128"/>
      <c r="AK186" s="128"/>
      <c r="AL186" s="837"/>
      <c r="AM186" s="128"/>
      <c r="AN186" s="128"/>
      <c r="AO186" s="128"/>
      <c r="AP186" s="128"/>
      <c r="AQ186" s="837"/>
      <c r="AR186" s="128"/>
      <c r="AS186" s="128"/>
      <c r="AT186" s="128"/>
      <c r="AU186" s="128"/>
      <c r="AV186" s="837"/>
      <c r="AW186" s="128"/>
      <c r="AX186" s="128"/>
      <c r="AY186" s="128"/>
      <c r="AZ186" s="128"/>
      <c r="BA186" s="837"/>
      <c r="BB186" s="128"/>
      <c r="BC186" s="128"/>
      <c r="BD186" s="128"/>
      <c r="BE186" s="128"/>
      <c r="BF186" s="837"/>
      <c r="BG186" s="128"/>
      <c r="BH186" s="128"/>
      <c r="BI186" s="128"/>
      <c r="BJ186" s="128"/>
      <c r="BK186" s="837"/>
      <c r="BL186" s="128"/>
      <c r="BM186" s="128"/>
      <c r="BN186" s="128"/>
      <c r="BO186" s="128"/>
      <c r="BP186" s="837"/>
      <c r="BQ186" s="128"/>
      <c r="BR186" s="128"/>
      <c r="BS186" s="128"/>
      <c r="BT186" s="128"/>
      <c r="BU186" s="837"/>
      <c r="BV186" s="128"/>
      <c r="BW186" s="128"/>
      <c r="BX186" s="128"/>
      <c r="BY186" s="128"/>
      <c r="BZ186" s="837"/>
      <c r="CA186" s="128"/>
      <c r="CB186" s="128"/>
      <c r="CC186" s="128"/>
      <c r="CD186" s="128"/>
      <c r="CE186" s="837"/>
      <c r="CF186" s="128"/>
      <c r="CG186" s="128"/>
      <c r="CH186" s="128"/>
      <c r="CI186" s="128"/>
      <c r="CJ186" s="837"/>
      <c r="CK186" s="128"/>
      <c r="CL186" s="128"/>
      <c r="CM186" s="128"/>
      <c r="CN186" s="128"/>
      <c r="CO186" s="837"/>
      <c r="CP186" s="128"/>
      <c r="CQ186" s="128"/>
      <c r="CR186" s="128"/>
      <c r="CS186" s="128"/>
      <c r="CT186" s="836"/>
      <c r="CU186" s="128"/>
      <c r="CV186" s="128"/>
      <c r="CW186" s="128"/>
      <c r="CX186" s="128"/>
      <c r="CY186" s="836"/>
      <c r="CZ186" s="129"/>
      <c r="DA186" s="128"/>
      <c r="DB186" s="129"/>
      <c r="DC186" s="128"/>
      <c r="DD186" s="836"/>
      <c r="DE186" s="129"/>
      <c r="DF186" s="128"/>
      <c r="DG186" s="129"/>
      <c r="DH186" s="128"/>
      <c r="DI186" s="836"/>
      <c r="DJ186" s="129"/>
      <c r="DK186" s="129"/>
      <c r="DL186" s="129"/>
      <c r="DM186" s="128"/>
      <c r="DN186" s="836"/>
      <c r="DO186" s="128"/>
      <c r="DP186" s="128"/>
      <c r="DQ186" s="129"/>
      <c r="DR186" s="925"/>
      <c r="DS186" s="836"/>
      <c r="DT186" s="129"/>
      <c r="DU186" s="129"/>
      <c r="DV186" s="925"/>
      <c r="DW186" s="925"/>
      <c r="DX186" s="836"/>
      <c r="DY186" s="925"/>
      <c r="DZ186" s="925"/>
      <c r="EA186" s="925"/>
      <c r="EB186" s="925"/>
      <c r="EC186" s="836"/>
      <c r="ED186" s="925"/>
      <c r="EE186" s="925"/>
      <c r="EF186" s="925"/>
      <c r="EG186" s="925"/>
      <c r="EH186" s="836"/>
      <c r="EI186" s="134"/>
      <c r="EJ186" s="128"/>
      <c r="EK186" s="128"/>
      <c r="EL186" s="128"/>
      <c r="EM186" s="836"/>
      <c r="EN186" s="128"/>
      <c r="EO186" s="128"/>
      <c r="EP186" s="128"/>
      <c r="EQ186" s="128"/>
      <c r="ER186" s="836"/>
      <c r="ES186" s="128"/>
      <c r="ET186" s="128"/>
      <c r="EU186" s="128"/>
      <c r="EV186" s="128"/>
      <c r="EW186" s="836"/>
      <c r="EX186" s="128"/>
      <c r="EY186" s="128"/>
      <c r="EZ186" s="128"/>
      <c r="FA186" s="128"/>
      <c r="FB186" s="836"/>
      <c r="FC186" s="128"/>
      <c r="FD186" s="128"/>
      <c r="FE186" s="128"/>
      <c r="FF186" s="128"/>
      <c r="FG186" s="836"/>
    </row>
    <row r="187" ht="12.75" customHeight="1">
      <c r="A187" s="128"/>
      <c r="B187" s="179"/>
      <c r="C187" s="179"/>
      <c r="D187" s="179"/>
      <c r="E187" s="179"/>
      <c r="F187" s="179"/>
      <c r="G187" s="179"/>
      <c r="H187" s="179"/>
      <c r="I187" s="179"/>
      <c r="J187" s="179"/>
      <c r="K187" s="179"/>
      <c r="L187" s="179"/>
      <c r="M187" s="179"/>
      <c r="N187" s="179"/>
      <c r="O187" s="179"/>
      <c r="P187" s="179"/>
      <c r="Q187" s="179"/>
      <c r="R187" s="57"/>
      <c r="S187" s="179"/>
      <c r="T187" s="179"/>
      <c r="U187" s="179"/>
      <c r="V187" s="179"/>
      <c r="W187" s="785"/>
      <c r="X187" s="128"/>
      <c r="Y187" s="128"/>
      <c r="Z187" s="128"/>
      <c r="AA187" s="128"/>
      <c r="AB187" s="837"/>
      <c r="AC187" s="128"/>
      <c r="AD187" s="128"/>
      <c r="AE187" s="128"/>
      <c r="AF187" s="128"/>
      <c r="AG187" s="837"/>
      <c r="AH187" s="128"/>
      <c r="AI187" s="128"/>
      <c r="AJ187" s="128"/>
      <c r="AK187" s="128"/>
      <c r="AL187" s="837"/>
      <c r="AM187" s="128"/>
      <c r="AN187" s="128"/>
      <c r="AO187" s="128"/>
      <c r="AP187" s="128"/>
      <c r="AQ187" s="837"/>
      <c r="AR187" s="128"/>
      <c r="AS187" s="128"/>
      <c r="AT187" s="128"/>
      <c r="AU187" s="128"/>
      <c r="AV187" s="837"/>
      <c r="AW187" s="128"/>
      <c r="AX187" s="128"/>
      <c r="AY187" s="128"/>
      <c r="AZ187" s="128"/>
      <c r="BA187" s="837"/>
      <c r="BB187" s="128"/>
      <c r="BC187" s="128"/>
      <c r="BD187" s="128"/>
      <c r="BE187" s="128"/>
      <c r="BF187" s="837"/>
      <c r="BG187" s="128"/>
      <c r="BH187" s="128"/>
      <c r="BI187" s="128"/>
      <c r="BJ187" s="128"/>
      <c r="BK187" s="837"/>
      <c r="BL187" s="128"/>
      <c r="BM187" s="128"/>
      <c r="BN187" s="128"/>
      <c r="BO187" s="128"/>
      <c r="BP187" s="837"/>
      <c r="BQ187" s="128"/>
      <c r="BR187" s="128"/>
      <c r="BS187" s="128"/>
      <c r="BT187" s="128"/>
      <c r="BU187" s="837"/>
      <c r="BV187" s="128"/>
      <c r="BW187" s="128"/>
      <c r="BX187" s="128"/>
      <c r="BY187" s="128"/>
      <c r="BZ187" s="837"/>
      <c r="CA187" s="128"/>
      <c r="CB187" s="128"/>
      <c r="CC187" s="128"/>
      <c r="CD187" s="128"/>
      <c r="CE187" s="837"/>
      <c r="CF187" s="128"/>
      <c r="CG187" s="128"/>
      <c r="CH187" s="128"/>
      <c r="CI187" s="128"/>
      <c r="CJ187" s="837"/>
      <c r="CK187" s="128"/>
      <c r="CL187" s="128"/>
      <c r="CM187" s="128"/>
      <c r="CN187" s="128"/>
      <c r="CO187" s="837"/>
      <c r="CP187" s="128"/>
      <c r="CQ187" s="128"/>
      <c r="CR187" s="128"/>
      <c r="CS187" s="128"/>
      <c r="CT187" s="836"/>
      <c r="CU187" s="128"/>
      <c r="CV187" s="128"/>
      <c r="CW187" s="128"/>
      <c r="CX187" s="128"/>
      <c r="CY187" s="836"/>
      <c r="CZ187" s="129"/>
      <c r="DA187" s="128"/>
      <c r="DB187" s="129"/>
      <c r="DC187" s="128"/>
      <c r="DD187" s="836"/>
      <c r="DE187" s="129"/>
      <c r="DF187" s="128"/>
      <c r="DG187" s="129"/>
      <c r="DH187" s="128"/>
      <c r="DI187" s="836"/>
      <c r="DJ187" s="129"/>
      <c r="DK187" s="129"/>
      <c r="DL187" s="129"/>
      <c r="DM187" s="128"/>
      <c r="DN187" s="836"/>
      <c r="DO187" s="128"/>
      <c r="DP187" s="128"/>
      <c r="DQ187" s="129"/>
      <c r="DR187" s="925"/>
      <c r="DS187" s="836"/>
      <c r="DT187" s="129"/>
      <c r="DU187" s="129"/>
      <c r="DV187" s="925"/>
      <c r="DW187" s="925"/>
      <c r="DX187" s="836"/>
      <c r="DY187" s="925"/>
      <c r="DZ187" s="925"/>
      <c r="EA187" s="925"/>
      <c r="EB187" s="925"/>
      <c r="EC187" s="836"/>
      <c r="ED187" s="925"/>
      <c r="EE187" s="925"/>
      <c r="EF187" s="925"/>
      <c r="EG187" s="925"/>
      <c r="EH187" s="836"/>
      <c r="EI187" s="134"/>
      <c r="EJ187" s="128"/>
      <c r="EK187" s="128"/>
      <c r="EL187" s="128"/>
      <c r="EM187" s="836"/>
      <c r="EN187" s="128"/>
      <c r="EO187" s="128"/>
      <c r="EP187" s="128"/>
      <c r="EQ187" s="128"/>
      <c r="ER187" s="836"/>
      <c r="ES187" s="128"/>
      <c r="ET187" s="128"/>
      <c r="EU187" s="128"/>
      <c r="EV187" s="128"/>
      <c r="EW187" s="836"/>
      <c r="EX187" s="128"/>
      <c r="EY187" s="128"/>
      <c r="EZ187" s="128"/>
      <c r="FA187" s="128"/>
      <c r="FB187" s="836"/>
      <c r="FC187" s="128"/>
      <c r="FD187" s="128"/>
      <c r="FE187" s="128"/>
      <c r="FF187" s="128"/>
      <c r="FG187" s="836"/>
    </row>
    <row r="188" ht="12.75" customHeight="1">
      <c r="A188" s="128"/>
      <c r="B188" s="179"/>
      <c r="C188" s="179"/>
      <c r="D188" s="179"/>
      <c r="E188" s="179"/>
      <c r="F188" s="179"/>
      <c r="G188" s="179"/>
      <c r="H188" s="179"/>
      <c r="I188" s="179"/>
      <c r="J188" s="179"/>
      <c r="K188" s="179"/>
      <c r="L188" s="179"/>
      <c r="M188" s="179"/>
      <c r="N188" s="179"/>
      <c r="O188" s="179"/>
      <c r="P188" s="179"/>
      <c r="Q188" s="179"/>
      <c r="R188" s="57"/>
      <c r="S188" s="179"/>
      <c r="T188" s="179"/>
      <c r="U188" s="179"/>
      <c r="V188" s="179"/>
      <c r="W188" s="785"/>
      <c r="X188" s="128"/>
      <c r="Y188" s="128"/>
      <c r="Z188" s="128"/>
      <c r="AA188" s="128"/>
      <c r="AB188" s="837"/>
      <c r="AC188" s="128"/>
      <c r="AD188" s="128"/>
      <c r="AE188" s="128"/>
      <c r="AF188" s="128"/>
      <c r="AG188" s="837"/>
      <c r="AH188" s="128"/>
      <c r="AI188" s="128"/>
      <c r="AJ188" s="128"/>
      <c r="AK188" s="128"/>
      <c r="AL188" s="837"/>
      <c r="AM188" s="128"/>
      <c r="AN188" s="128"/>
      <c r="AO188" s="128"/>
      <c r="AP188" s="128"/>
      <c r="AQ188" s="837"/>
      <c r="AR188" s="128"/>
      <c r="AS188" s="128"/>
      <c r="AT188" s="128"/>
      <c r="AU188" s="128"/>
      <c r="AV188" s="837"/>
      <c r="AW188" s="128"/>
      <c r="AX188" s="128"/>
      <c r="AY188" s="128"/>
      <c r="AZ188" s="128"/>
      <c r="BA188" s="837"/>
      <c r="BB188" s="128"/>
      <c r="BC188" s="128"/>
      <c r="BD188" s="128"/>
      <c r="BE188" s="128"/>
      <c r="BF188" s="837"/>
      <c r="BG188" s="128"/>
      <c r="BH188" s="128"/>
      <c r="BI188" s="128"/>
      <c r="BJ188" s="128"/>
      <c r="BK188" s="837"/>
      <c r="BL188" s="128"/>
      <c r="BM188" s="128"/>
      <c r="BN188" s="128"/>
      <c r="BO188" s="128"/>
      <c r="BP188" s="837"/>
      <c r="BQ188" s="128"/>
      <c r="BR188" s="128"/>
      <c r="BS188" s="128"/>
      <c r="BT188" s="128"/>
      <c r="BU188" s="837"/>
      <c r="BV188" s="128"/>
      <c r="BW188" s="128"/>
      <c r="BX188" s="128"/>
      <c r="BY188" s="128"/>
      <c r="BZ188" s="837"/>
      <c r="CA188" s="128"/>
      <c r="CB188" s="128"/>
      <c r="CC188" s="128"/>
      <c r="CD188" s="128"/>
      <c r="CE188" s="837"/>
      <c r="CF188" s="128"/>
      <c r="CG188" s="128"/>
      <c r="CH188" s="128"/>
      <c r="CI188" s="128"/>
      <c r="CJ188" s="837"/>
      <c r="CK188" s="128"/>
      <c r="CL188" s="128"/>
      <c r="CM188" s="128"/>
      <c r="CN188" s="128"/>
      <c r="CO188" s="837"/>
      <c r="CP188" s="128"/>
      <c r="CQ188" s="128"/>
      <c r="CR188" s="128"/>
      <c r="CS188" s="128"/>
      <c r="CT188" s="836"/>
      <c r="CU188" s="128"/>
      <c r="CV188" s="128"/>
      <c r="CW188" s="128"/>
      <c r="CX188" s="128"/>
      <c r="CY188" s="836"/>
      <c r="CZ188" s="129"/>
      <c r="DA188" s="128"/>
      <c r="DB188" s="129"/>
      <c r="DC188" s="128"/>
      <c r="DD188" s="836"/>
      <c r="DE188" s="129"/>
      <c r="DF188" s="128"/>
      <c r="DG188" s="129"/>
      <c r="DH188" s="128"/>
      <c r="DI188" s="836"/>
      <c r="DJ188" s="129"/>
      <c r="DK188" s="129"/>
      <c r="DL188" s="129"/>
      <c r="DM188" s="128"/>
      <c r="DN188" s="836"/>
      <c r="DO188" s="128"/>
      <c r="DP188" s="128"/>
      <c r="DQ188" s="129"/>
      <c r="DR188" s="925"/>
      <c r="DS188" s="836"/>
      <c r="DT188" s="129"/>
      <c r="DU188" s="129"/>
      <c r="DV188" s="925"/>
      <c r="DW188" s="925"/>
      <c r="DX188" s="836"/>
      <c r="DY188" s="925"/>
      <c r="DZ188" s="925"/>
      <c r="EA188" s="925"/>
      <c r="EB188" s="925"/>
      <c r="EC188" s="836"/>
      <c r="ED188" s="925"/>
      <c r="EE188" s="925"/>
      <c r="EF188" s="925"/>
      <c r="EG188" s="925"/>
      <c r="EH188" s="836"/>
      <c r="EI188" s="134"/>
      <c r="EJ188" s="128"/>
      <c r="EK188" s="128"/>
      <c r="EL188" s="128"/>
      <c r="EM188" s="836"/>
      <c r="EN188" s="128"/>
      <c r="EO188" s="128"/>
      <c r="EP188" s="128"/>
      <c r="EQ188" s="128"/>
      <c r="ER188" s="836"/>
      <c r="ES188" s="128"/>
      <c r="ET188" s="128"/>
      <c r="EU188" s="128"/>
      <c r="EV188" s="128"/>
      <c r="EW188" s="836"/>
      <c r="EX188" s="128"/>
      <c r="EY188" s="128"/>
      <c r="EZ188" s="128"/>
      <c r="FA188" s="128"/>
      <c r="FB188" s="836"/>
      <c r="FC188" s="128"/>
      <c r="FD188" s="128"/>
      <c r="FE188" s="128"/>
      <c r="FF188" s="128"/>
      <c r="FG188" s="836"/>
    </row>
    <row r="189" ht="12.75" customHeight="1">
      <c r="A189" s="128"/>
      <c r="B189" s="179"/>
      <c r="C189" s="179"/>
      <c r="D189" s="179"/>
      <c r="E189" s="179"/>
      <c r="F189" s="179"/>
      <c r="G189" s="179"/>
      <c r="H189" s="179"/>
      <c r="I189" s="179"/>
      <c r="J189" s="179"/>
      <c r="K189" s="179"/>
      <c r="L189" s="179"/>
      <c r="M189" s="179"/>
      <c r="N189" s="179"/>
      <c r="O189" s="179"/>
      <c r="P189" s="179"/>
      <c r="Q189" s="179"/>
      <c r="R189" s="57"/>
      <c r="S189" s="179"/>
      <c r="T189" s="179"/>
      <c r="U189" s="179"/>
      <c r="V189" s="179"/>
      <c r="W189" s="785"/>
      <c r="X189" s="128"/>
      <c r="Y189" s="128"/>
      <c r="Z189" s="128"/>
      <c r="AA189" s="128"/>
      <c r="AB189" s="837"/>
      <c r="AC189" s="128"/>
      <c r="AD189" s="128"/>
      <c r="AE189" s="128"/>
      <c r="AF189" s="128"/>
      <c r="AG189" s="837"/>
      <c r="AH189" s="128"/>
      <c r="AI189" s="128"/>
      <c r="AJ189" s="128"/>
      <c r="AK189" s="128"/>
      <c r="AL189" s="837"/>
      <c r="AM189" s="128"/>
      <c r="AN189" s="128"/>
      <c r="AO189" s="128"/>
      <c r="AP189" s="128"/>
      <c r="AQ189" s="837"/>
      <c r="AR189" s="128"/>
      <c r="AS189" s="128"/>
      <c r="AT189" s="128"/>
      <c r="AU189" s="128"/>
      <c r="AV189" s="837"/>
      <c r="AW189" s="128"/>
      <c r="AX189" s="128"/>
      <c r="AY189" s="128"/>
      <c r="AZ189" s="128"/>
      <c r="BA189" s="837"/>
      <c r="BB189" s="128"/>
      <c r="BC189" s="128"/>
      <c r="BD189" s="128"/>
      <c r="BE189" s="128"/>
      <c r="BF189" s="837"/>
      <c r="BG189" s="128"/>
      <c r="BH189" s="128"/>
      <c r="BI189" s="128"/>
      <c r="BJ189" s="128"/>
      <c r="BK189" s="837"/>
      <c r="BL189" s="128"/>
      <c r="BM189" s="128"/>
      <c r="BN189" s="128"/>
      <c r="BO189" s="128"/>
      <c r="BP189" s="837"/>
      <c r="BQ189" s="128"/>
      <c r="BR189" s="128"/>
      <c r="BS189" s="128"/>
      <c r="BT189" s="128"/>
      <c r="BU189" s="837"/>
      <c r="BV189" s="128"/>
      <c r="BW189" s="128"/>
      <c r="BX189" s="128"/>
      <c r="BY189" s="128"/>
      <c r="BZ189" s="837"/>
      <c r="CA189" s="128"/>
      <c r="CB189" s="128"/>
      <c r="CC189" s="128"/>
      <c r="CD189" s="128"/>
      <c r="CE189" s="837"/>
      <c r="CF189" s="128"/>
      <c r="CG189" s="128"/>
      <c r="CH189" s="128"/>
      <c r="CI189" s="128"/>
      <c r="CJ189" s="837"/>
      <c r="CK189" s="128"/>
      <c r="CL189" s="128"/>
      <c r="CM189" s="128"/>
      <c r="CN189" s="128"/>
      <c r="CO189" s="837"/>
      <c r="CP189" s="128"/>
      <c r="CQ189" s="128"/>
      <c r="CR189" s="128"/>
      <c r="CS189" s="128"/>
      <c r="CT189" s="836"/>
      <c r="CU189" s="128"/>
      <c r="CV189" s="128"/>
      <c r="CW189" s="128"/>
      <c r="CX189" s="128"/>
      <c r="CY189" s="836"/>
      <c r="CZ189" s="129"/>
      <c r="DA189" s="128"/>
      <c r="DB189" s="129"/>
      <c r="DC189" s="128"/>
      <c r="DD189" s="836"/>
      <c r="DE189" s="129"/>
      <c r="DF189" s="128"/>
      <c r="DG189" s="129"/>
      <c r="DH189" s="128"/>
      <c r="DI189" s="836"/>
      <c r="DJ189" s="129"/>
      <c r="DK189" s="129"/>
      <c r="DL189" s="129"/>
      <c r="DM189" s="128"/>
      <c r="DN189" s="836"/>
      <c r="DO189" s="128"/>
      <c r="DP189" s="128"/>
      <c r="DQ189" s="129"/>
      <c r="DR189" s="925"/>
      <c r="DS189" s="836"/>
      <c r="DT189" s="129"/>
      <c r="DU189" s="129"/>
      <c r="DV189" s="925"/>
      <c r="DW189" s="925"/>
      <c r="DX189" s="836"/>
      <c r="DY189" s="925"/>
      <c r="DZ189" s="925"/>
      <c r="EA189" s="925"/>
      <c r="EB189" s="925"/>
      <c r="EC189" s="836"/>
      <c r="ED189" s="925"/>
      <c r="EE189" s="925"/>
      <c r="EF189" s="925"/>
      <c r="EG189" s="925"/>
      <c r="EH189" s="836"/>
      <c r="EI189" s="134"/>
      <c r="EJ189" s="128"/>
      <c r="EK189" s="128"/>
      <c r="EL189" s="128"/>
      <c r="EM189" s="836"/>
      <c r="EN189" s="128"/>
      <c r="EO189" s="128"/>
      <c r="EP189" s="128"/>
      <c r="EQ189" s="128"/>
      <c r="ER189" s="836"/>
      <c r="ES189" s="128"/>
      <c r="ET189" s="128"/>
      <c r="EU189" s="128"/>
      <c r="EV189" s="128"/>
      <c r="EW189" s="836"/>
      <c r="EX189" s="128"/>
      <c r="EY189" s="128"/>
      <c r="EZ189" s="128"/>
      <c r="FA189" s="128"/>
      <c r="FB189" s="836"/>
      <c r="FC189" s="128"/>
      <c r="FD189" s="128"/>
      <c r="FE189" s="128"/>
      <c r="FF189" s="128"/>
      <c r="FG189" s="836"/>
    </row>
    <row r="190" ht="12.75" customHeight="1">
      <c r="A190" s="128"/>
      <c r="B190" s="179"/>
      <c r="C190" s="179"/>
      <c r="D190" s="179"/>
      <c r="E190" s="179"/>
      <c r="F190" s="179"/>
      <c r="G190" s="179"/>
      <c r="H190" s="179"/>
      <c r="I190" s="179"/>
      <c r="J190" s="179"/>
      <c r="K190" s="179"/>
      <c r="L190" s="179"/>
      <c r="M190" s="179"/>
      <c r="N190" s="179"/>
      <c r="O190" s="179"/>
      <c r="P190" s="179"/>
      <c r="Q190" s="179"/>
      <c r="R190" s="57"/>
      <c r="S190" s="179"/>
      <c r="T190" s="179"/>
      <c r="U190" s="179"/>
      <c r="V190" s="179"/>
      <c r="W190" s="785"/>
      <c r="X190" s="128"/>
      <c r="Y190" s="128"/>
      <c r="Z190" s="128"/>
      <c r="AA190" s="128"/>
      <c r="AB190" s="837"/>
      <c r="AC190" s="128"/>
      <c r="AD190" s="128"/>
      <c r="AE190" s="128"/>
      <c r="AF190" s="128"/>
      <c r="AG190" s="837"/>
      <c r="AH190" s="128"/>
      <c r="AI190" s="128"/>
      <c r="AJ190" s="128"/>
      <c r="AK190" s="128"/>
      <c r="AL190" s="837"/>
      <c r="AM190" s="128"/>
      <c r="AN190" s="128"/>
      <c r="AO190" s="128"/>
      <c r="AP190" s="128"/>
      <c r="AQ190" s="837"/>
      <c r="AR190" s="128"/>
      <c r="AS190" s="128"/>
      <c r="AT190" s="128"/>
      <c r="AU190" s="128"/>
      <c r="AV190" s="837"/>
      <c r="AW190" s="128"/>
      <c r="AX190" s="128"/>
      <c r="AY190" s="128"/>
      <c r="AZ190" s="128"/>
      <c r="BA190" s="837"/>
      <c r="BB190" s="128"/>
      <c r="BC190" s="128"/>
      <c r="BD190" s="128"/>
      <c r="BE190" s="128"/>
      <c r="BF190" s="837"/>
      <c r="BG190" s="128"/>
      <c r="BH190" s="128"/>
      <c r="BI190" s="128"/>
      <c r="BJ190" s="128"/>
      <c r="BK190" s="837"/>
      <c r="BL190" s="128"/>
      <c r="BM190" s="128"/>
      <c r="BN190" s="128"/>
      <c r="BO190" s="128"/>
      <c r="BP190" s="837"/>
      <c r="BQ190" s="128"/>
      <c r="BR190" s="128"/>
      <c r="BS190" s="128"/>
      <c r="BT190" s="128"/>
      <c r="BU190" s="837"/>
      <c r="BV190" s="128"/>
      <c r="BW190" s="128"/>
      <c r="BX190" s="128"/>
      <c r="BY190" s="128"/>
      <c r="BZ190" s="837"/>
      <c r="CA190" s="128"/>
      <c r="CB190" s="128"/>
      <c r="CC190" s="128"/>
      <c r="CD190" s="128"/>
      <c r="CE190" s="837"/>
      <c r="CF190" s="128"/>
      <c r="CG190" s="128"/>
      <c r="CH190" s="128"/>
      <c r="CI190" s="128"/>
      <c r="CJ190" s="837"/>
      <c r="CK190" s="128"/>
      <c r="CL190" s="128"/>
      <c r="CM190" s="128"/>
      <c r="CN190" s="128"/>
      <c r="CO190" s="837"/>
      <c r="CP190" s="128"/>
      <c r="CQ190" s="128"/>
      <c r="CR190" s="128"/>
      <c r="CS190" s="128"/>
      <c r="CT190" s="836"/>
      <c r="CU190" s="128"/>
      <c r="CV190" s="128"/>
      <c r="CW190" s="128"/>
      <c r="CX190" s="128"/>
      <c r="CY190" s="836"/>
      <c r="CZ190" s="129"/>
      <c r="DA190" s="128"/>
      <c r="DB190" s="129"/>
      <c r="DC190" s="128"/>
      <c r="DD190" s="836"/>
      <c r="DE190" s="129"/>
      <c r="DF190" s="128"/>
      <c r="DG190" s="129"/>
      <c r="DH190" s="128"/>
      <c r="DI190" s="836"/>
      <c r="DJ190" s="129"/>
      <c r="DK190" s="129"/>
      <c r="DL190" s="129"/>
      <c r="DM190" s="128"/>
      <c r="DN190" s="836"/>
      <c r="DO190" s="128"/>
      <c r="DP190" s="128"/>
      <c r="DQ190" s="129"/>
      <c r="DR190" s="925"/>
      <c r="DS190" s="836"/>
      <c r="DT190" s="129"/>
      <c r="DU190" s="129"/>
      <c r="DV190" s="925"/>
      <c r="DW190" s="925"/>
      <c r="DX190" s="836"/>
      <c r="DY190" s="925"/>
      <c r="DZ190" s="925"/>
      <c r="EA190" s="925"/>
      <c r="EB190" s="925"/>
      <c r="EC190" s="836"/>
      <c r="ED190" s="925"/>
      <c r="EE190" s="925"/>
      <c r="EF190" s="925"/>
      <c r="EG190" s="925"/>
      <c r="EH190" s="836"/>
      <c r="EI190" s="134"/>
      <c r="EJ190" s="128"/>
      <c r="EK190" s="128"/>
      <c r="EL190" s="128"/>
      <c r="EM190" s="836"/>
      <c r="EN190" s="128"/>
      <c r="EO190" s="128"/>
      <c r="EP190" s="128"/>
      <c r="EQ190" s="128"/>
      <c r="ER190" s="836"/>
      <c r="ES190" s="128"/>
      <c r="ET190" s="128"/>
      <c r="EU190" s="128"/>
      <c r="EV190" s="128"/>
      <c r="EW190" s="836"/>
      <c r="EX190" s="128"/>
      <c r="EY190" s="128"/>
      <c r="EZ190" s="128"/>
      <c r="FA190" s="128"/>
      <c r="FB190" s="836"/>
      <c r="FC190" s="128"/>
      <c r="FD190" s="128"/>
      <c r="FE190" s="128"/>
      <c r="FF190" s="128"/>
      <c r="FG190" s="836"/>
    </row>
    <row r="191" ht="12.75" customHeight="1">
      <c r="A191" s="128"/>
      <c r="B191" s="179"/>
      <c r="C191" s="179"/>
      <c r="D191" s="179"/>
      <c r="E191" s="179"/>
      <c r="F191" s="179"/>
      <c r="G191" s="179"/>
      <c r="H191" s="179"/>
      <c r="I191" s="179"/>
      <c r="J191" s="179"/>
      <c r="K191" s="179"/>
      <c r="L191" s="179"/>
      <c r="M191" s="179"/>
      <c r="N191" s="179"/>
      <c r="O191" s="179"/>
      <c r="P191" s="179"/>
      <c r="Q191" s="179"/>
      <c r="R191" s="57"/>
      <c r="S191" s="179"/>
      <c r="T191" s="179"/>
      <c r="U191" s="179"/>
      <c r="V191" s="179"/>
      <c r="W191" s="785"/>
      <c r="X191" s="128"/>
      <c r="Y191" s="128"/>
      <c r="Z191" s="128"/>
      <c r="AA191" s="128"/>
      <c r="AB191" s="837"/>
      <c r="AC191" s="128"/>
      <c r="AD191" s="128"/>
      <c r="AE191" s="128"/>
      <c r="AF191" s="128"/>
      <c r="AG191" s="837"/>
      <c r="AH191" s="128"/>
      <c r="AI191" s="128"/>
      <c r="AJ191" s="128"/>
      <c r="AK191" s="128"/>
      <c r="AL191" s="837"/>
      <c r="AM191" s="128"/>
      <c r="AN191" s="128"/>
      <c r="AO191" s="128"/>
      <c r="AP191" s="128"/>
      <c r="AQ191" s="837"/>
      <c r="AR191" s="128"/>
      <c r="AS191" s="128"/>
      <c r="AT191" s="128"/>
      <c r="AU191" s="128"/>
      <c r="AV191" s="837"/>
      <c r="AW191" s="128"/>
      <c r="AX191" s="128"/>
      <c r="AY191" s="128"/>
      <c r="AZ191" s="128"/>
      <c r="BA191" s="837"/>
      <c r="BB191" s="128"/>
      <c r="BC191" s="128"/>
      <c r="BD191" s="128"/>
      <c r="BE191" s="128"/>
      <c r="BF191" s="837"/>
      <c r="BG191" s="128"/>
      <c r="BH191" s="128"/>
      <c r="BI191" s="128"/>
      <c r="BJ191" s="128"/>
      <c r="BK191" s="837"/>
      <c r="BL191" s="128"/>
      <c r="BM191" s="128"/>
      <c r="BN191" s="128"/>
      <c r="BO191" s="128"/>
      <c r="BP191" s="837"/>
      <c r="BQ191" s="128"/>
      <c r="BR191" s="128"/>
      <c r="BS191" s="128"/>
      <c r="BT191" s="128"/>
      <c r="BU191" s="837"/>
      <c r="BV191" s="128"/>
      <c r="BW191" s="128"/>
      <c r="BX191" s="128"/>
      <c r="BY191" s="128"/>
      <c r="BZ191" s="837"/>
      <c r="CA191" s="128"/>
      <c r="CB191" s="128"/>
      <c r="CC191" s="128"/>
      <c r="CD191" s="128"/>
      <c r="CE191" s="837"/>
      <c r="CF191" s="128"/>
      <c r="CG191" s="128"/>
      <c r="CH191" s="128"/>
      <c r="CI191" s="128"/>
      <c r="CJ191" s="837"/>
      <c r="CK191" s="128"/>
      <c r="CL191" s="128"/>
      <c r="CM191" s="128"/>
      <c r="CN191" s="128"/>
      <c r="CO191" s="837"/>
      <c r="CP191" s="128"/>
      <c r="CQ191" s="128"/>
      <c r="CR191" s="128"/>
      <c r="CS191" s="128"/>
      <c r="CT191" s="836"/>
      <c r="CU191" s="128"/>
      <c r="CV191" s="128"/>
      <c r="CW191" s="128"/>
      <c r="CX191" s="128"/>
      <c r="CY191" s="836"/>
      <c r="CZ191" s="129"/>
      <c r="DA191" s="128"/>
      <c r="DB191" s="129"/>
      <c r="DC191" s="128"/>
      <c r="DD191" s="836"/>
      <c r="DE191" s="129"/>
      <c r="DF191" s="128"/>
      <c r="DG191" s="129"/>
      <c r="DH191" s="128"/>
      <c r="DI191" s="836"/>
      <c r="DJ191" s="129"/>
      <c r="DK191" s="129"/>
      <c r="DL191" s="129"/>
      <c r="DM191" s="128"/>
      <c r="DN191" s="836"/>
      <c r="DO191" s="128"/>
      <c r="DP191" s="128"/>
      <c r="DQ191" s="129"/>
      <c r="DR191" s="925"/>
      <c r="DS191" s="836"/>
      <c r="DT191" s="129"/>
      <c r="DU191" s="129"/>
      <c r="DV191" s="925"/>
      <c r="DW191" s="925"/>
      <c r="DX191" s="836"/>
      <c r="DY191" s="925"/>
      <c r="DZ191" s="925"/>
      <c r="EA191" s="925"/>
      <c r="EB191" s="925"/>
      <c r="EC191" s="836"/>
      <c r="ED191" s="925"/>
      <c r="EE191" s="925"/>
      <c r="EF191" s="925"/>
      <c r="EG191" s="925"/>
      <c r="EH191" s="836"/>
      <c r="EI191" s="134"/>
      <c r="EJ191" s="128"/>
      <c r="EK191" s="128"/>
      <c r="EL191" s="128"/>
      <c r="EM191" s="836"/>
      <c r="EN191" s="128"/>
      <c r="EO191" s="128"/>
      <c r="EP191" s="128"/>
      <c r="EQ191" s="128"/>
      <c r="ER191" s="836"/>
      <c r="ES191" s="128"/>
      <c r="ET191" s="128"/>
      <c r="EU191" s="128"/>
      <c r="EV191" s="128"/>
      <c r="EW191" s="836"/>
      <c r="EX191" s="128"/>
      <c r="EY191" s="128"/>
      <c r="EZ191" s="128"/>
      <c r="FA191" s="128"/>
      <c r="FB191" s="836"/>
      <c r="FC191" s="128"/>
      <c r="FD191" s="128"/>
      <c r="FE191" s="128"/>
      <c r="FF191" s="128"/>
      <c r="FG191" s="836"/>
    </row>
    <row r="192" ht="12.75" customHeight="1">
      <c r="A192" s="128"/>
      <c r="B192" s="179"/>
      <c r="C192" s="179"/>
      <c r="D192" s="179"/>
      <c r="E192" s="179"/>
      <c r="F192" s="179"/>
      <c r="G192" s="179"/>
      <c r="H192" s="179"/>
      <c r="I192" s="179"/>
      <c r="J192" s="179"/>
      <c r="K192" s="179"/>
      <c r="L192" s="179"/>
      <c r="M192" s="179"/>
      <c r="N192" s="179"/>
      <c r="O192" s="179"/>
      <c r="P192" s="179"/>
      <c r="Q192" s="179"/>
      <c r="R192" s="57"/>
      <c r="S192" s="179"/>
      <c r="T192" s="179"/>
      <c r="U192" s="179"/>
      <c r="V192" s="179"/>
      <c r="W192" s="785"/>
      <c r="X192" s="128"/>
      <c r="Y192" s="128"/>
      <c r="Z192" s="128"/>
      <c r="AA192" s="128"/>
      <c r="AB192" s="837"/>
      <c r="AC192" s="128"/>
      <c r="AD192" s="128"/>
      <c r="AE192" s="128"/>
      <c r="AF192" s="128"/>
      <c r="AG192" s="837"/>
      <c r="AH192" s="128"/>
      <c r="AI192" s="128"/>
      <c r="AJ192" s="128"/>
      <c r="AK192" s="128"/>
      <c r="AL192" s="837"/>
      <c r="AM192" s="128"/>
      <c r="AN192" s="128"/>
      <c r="AO192" s="128"/>
      <c r="AP192" s="128"/>
      <c r="AQ192" s="837"/>
      <c r="AR192" s="128"/>
      <c r="AS192" s="128"/>
      <c r="AT192" s="128"/>
      <c r="AU192" s="128"/>
      <c r="AV192" s="837"/>
      <c r="AW192" s="128"/>
      <c r="AX192" s="128"/>
      <c r="AY192" s="128"/>
      <c r="AZ192" s="128"/>
      <c r="BA192" s="837"/>
      <c r="BB192" s="128"/>
      <c r="BC192" s="128"/>
      <c r="BD192" s="128"/>
      <c r="BE192" s="128"/>
      <c r="BF192" s="837"/>
      <c r="BG192" s="128"/>
      <c r="BH192" s="128"/>
      <c r="BI192" s="128"/>
      <c r="BJ192" s="128"/>
      <c r="BK192" s="837"/>
      <c r="BL192" s="128"/>
      <c r="BM192" s="128"/>
      <c r="BN192" s="128"/>
      <c r="BO192" s="128"/>
      <c r="BP192" s="837"/>
      <c r="BQ192" s="128"/>
      <c r="BR192" s="128"/>
      <c r="BS192" s="128"/>
      <c r="BT192" s="128"/>
      <c r="BU192" s="837"/>
      <c r="BV192" s="128"/>
      <c r="BW192" s="128"/>
      <c r="BX192" s="128"/>
      <c r="BY192" s="128"/>
      <c r="BZ192" s="837"/>
      <c r="CA192" s="128"/>
      <c r="CB192" s="128"/>
      <c r="CC192" s="128"/>
      <c r="CD192" s="128"/>
      <c r="CE192" s="837"/>
      <c r="CF192" s="128"/>
      <c r="CG192" s="128"/>
      <c r="CH192" s="128"/>
      <c r="CI192" s="128"/>
      <c r="CJ192" s="837"/>
      <c r="CK192" s="128"/>
      <c r="CL192" s="128"/>
      <c r="CM192" s="128"/>
      <c r="CN192" s="128"/>
      <c r="CO192" s="837"/>
      <c r="CP192" s="128"/>
      <c r="CQ192" s="128"/>
      <c r="CR192" s="128"/>
      <c r="CS192" s="128"/>
      <c r="CT192" s="836"/>
      <c r="CU192" s="128"/>
      <c r="CV192" s="128"/>
      <c r="CW192" s="128"/>
      <c r="CX192" s="128"/>
      <c r="CY192" s="836"/>
      <c r="CZ192" s="129"/>
      <c r="DA192" s="128"/>
      <c r="DB192" s="129"/>
      <c r="DC192" s="128"/>
      <c r="DD192" s="836"/>
      <c r="DE192" s="129"/>
      <c r="DF192" s="128"/>
      <c r="DG192" s="129"/>
      <c r="DH192" s="128"/>
      <c r="DI192" s="836"/>
      <c r="DJ192" s="129"/>
      <c r="DK192" s="129"/>
      <c r="DL192" s="129"/>
      <c r="DM192" s="128"/>
      <c r="DN192" s="836"/>
      <c r="DO192" s="128"/>
      <c r="DP192" s="128"/>
      <c r="DQ192" s="129"/>
      <c r="DR192" s="925"/>
      <c r="DS192" s="836"/>
      <c r="DT192" s="129"/>
      <c r="DU192" s="129"/>
      <c r="DV192" s="925"/>
      <c r="DW192" s="925"/>
      <c r="DX192" s="836"/>
      <c r="DY192" s="925"/>
      <c r="DZ192" s="925"/>
      <c r="EA192" s="925"/>
      <c r="EB192" s="925"/>
      <c r="EC192" s="836"/>
      <c r="ED192" s="925"/>
      <c r="EE192" s="925"/>
      <c r="EF192" s="925"/>
      <c r="EG192" s="925"/>
      <c r="EH192" s="836"/>
      <c r="EI192" s="134"/>
      <c r="EJ192" s="128"/>
      <c r="EK192" s="128"/>
      <c r="EL192" s="128"/>
      <c r="EM192" s="836"/>
      <c r="EN192" s="128"/>
      <c r="EO192" s="128"/>
      <c r="EP192" s="128"/>
      <c r="EQ192" s="128"/>
      <c r="ER192" s="836"/>
      <c r="ES192" s="128"/>
      <c r="ET192" s="128"/>
      <c r="EU192" s="128"/>
      <c r="EV192" s="128"/>
      <c r="EW192" s="836"/>
      <c r="EX192" s="128"/>
      <c r="EY192" s="128"/>
      <c r="EZ192" s="128"/>
      <c r="FA192" s="128"/>
      <c r="FB192" s="836"/>
      <c r="FC192" s="128"/>
      <c r="FD192" s="128"/>
      <c r="FE192" s="128"/>
      <c r="FF192" s="128"/>
      <c r="FG192" s="836"/>
    </row>
    <row r="193" ht="12.75" customHeight="1">
      <c r="A193" s="128"/>
      <c r="B193" s="179"/>
      <c r="C193" s="179"/>
      <c r="D193" s="179"/>
      <c r="E193" s="179"/>
      <c r="F193" s="179"/>
      <c r="G193" s="179"/>
      <c r="H193" s="179"/>
      <c r="I193" s="179"/>
      <c r="J193" s="179"/>
      <c r="K193" s="179"/>
      <c r="L193" s="179"/>
      <c r="M193" s="179"/>
      <c r="N193" s="179"/>
      <c r="O193" s="179"/>
      <c r="P193" s="179"/>
      <c r="Q193" s="179"/>
      <c r="R193" s="57"/>
      <c r="S193" s="179"/>
      <c r="T193" s="179"/>
      <c r="U193" s="179"/>
      <c r="V193" s="179"/>
      <c r="W193" s="785"/>
      <c r="X193" s="128"/>
      <c r="Y193" s="128"/>
      <c r="Z193" s="128"/>
      <c r="AA193" s="128"/>
      <c r="AB193" s="837"/>
      <c r="AC193" s="128"/>
      <c r="AD193" s="128"/>
      <c r="AE193" s="128"/>
      <c r="AF193" s="128"/>
      <c r="AG193" s="837"/>
      <c r="AH193" s="128"/>
      <c r="AI193" s="128"/>
      <c r="AJ193" s="128"/>
      <c r="AK193" s="128"/>
      <c r="AL193" s="837"/>
      <c r="AM193" s="128"/>
      <c r="AN193" s="128"/>
      <c r="AO193" s="128"/>
      <c r="AP193" s="128"/>
      <c r="AQ193" s="837"/>
      <c r="AR193" s="128"/>
      <c r="AS193" s="128"/>
      <c r="AT193" s="128"/>
      <c r="AU193" s="128"/>
      <c r="AV193" s="837"/>
      <c r="AW193" s="128"/>
      <c r="AX193" s="128"/>
      <c r="AY193" s="128"/>
      <c r="AZ193" s="128"/>
      <c r="BA193" s="837"/>
      <c r="BB193" s="128"/>
      <c r="BC193" s="128"/>
      <c r="BD193" s="128"/>
      <c r="BE193" s="128"/>
      <c r="BF193" s="837"/>
      <c r="BG193" s="128"/>
      <c r="BH193" s="128"/>
      <c r="BI193" s="128"/>
      <c r="BJ193" s="128"/>
      <c r="BK193" s="837"/>
      <c r="BL193" s="128"/>
      <c r="BM193" s="128"/>
      <c r="BN193" s="128"/>
      <c r="BO193" s="128"/>
      <c r="BP193" s="837"/>
      <c r="BQ193" s="128"/>
      <c r="BR193" s="128"/>
      <c r="BS193" s="128"/>
      <c r="BT193" s="128"/>
      <c r="BU193" s="837"/>
      <c r="BV193" s="128"/>
      <c r="BW193" s="128"/>
      <c r="BX193" s="128"/>
      <c r="BY193" s="128"/>
      <c r="BZ193" s="837"/>
      <c r="CA193" s="128"/>
      <c r="CB193" s="128"/>
      <c r="CC193" s="128"/>
      <c r="CD193" s="128"/>
      <c r="CE193" s="837"/>
      <c r="CF193" s="128"/>
      <c r="CG193" s="128"/>
      <c r="CH193" s="128"/>
      <c r="CI193" s="128"/>
      <c r="CJ193" s="837"/>
      <c r="CK193" s="128"/>
      <c r="CL193" s="128"/>
      <c r="CM193" s="128"/>
      <c r="CN193" s="128"/>
      <c r="CO193" s="837"/>
      <c r="CP193" s="128"/>
      <c r="CQ193" s="128"/>
      <c r="CR193" s="128"/>
      <c r="CS193" s="128"/>
      <c r="CT193" s="836"/>
      <c r="CU193" s="128"/>
      <c r="CV193" s="128"/>
      <c r="CW193" s="128"/>
      <c r="CX193" s="128"/>
      <c r="CY193" s="836"/>
      <c r="CZ193" s="129"/>
      <c r="DA193" s="128"/>
      <c r="DB193" s="129"/>
      <c r="DC193" s="128"/>
      <c r="DD193" s="836"/>
      <c r="DE193" s="129"/>
      <c r="DF193" s="128"/>
      <c r="DG193" s="129"/>
      <c r="DH193" s="128"/>
      <c r="DI193" s="836"/>
      <c r="DJ193" s="129"/>
      <c r="DK193" s="129"/>
      <c r="DL193" s="129"/>
      <c r="DM193" s="128"/>
      <c r="DN193" s="836"/>
      <c r="DO193" s="128"/>
      <c r="DP193" s="128"/>
      <c r="DQ193" s="129"/>
      <c r="DR193" s="925"/>
      <c r="DS193" s="836"/>
      <c r="DT193" s="129"/>
      <c r="DU193" s="129"/>
      <c r="DV193" s="925"/>
      <c r="DW193" s="925"/>
      <c r="DX193" s="836"/>
      <c r="DY193" s="925"/>
      <c r="DZ193" s="925"/>
      <c r="EA193" s="925"/>
      <c r="EB193" s="925"/>
      <c r="EC193" s="836"/>
      <c r="ED193" s="925"/>
      <c r="EE193" s="925"/>
      <c r="EF193" s="925"/>
      <c r="EG193" s="925"/>
      <c r="EH193" s="836"/>
      <c r="EI193" s="134"/>
      <c r="EJ193" s="128"/>
      <c r="EK193" s="128"/>
      <c r="EL193" s="128"/>
      <c r="EM193" s="836"/>
      <c r="EN193" s="128"/>
      <c r="EO193" s="128"/>
      <c r="EP193" s="128"/>
      <c r="EQ193" s="128"/>
      <c r="ER193" s="836"/>
      <c r="ES193" s="128"/>
      <c r="ET193" s="128"/>
      <c r="EU193" s="128"/>
      <c r="EV193" s="128"/>
      <c r="EW193" s="836"/>
      <c r="EX193" s="128"/>
      <c r="EY193" s="128"/>
      <c r="EZ193" s="128"/>
      <c r="FA193" s="128"/>
      <c r="FB193" s="836"/>
      <c r="FC193" s="128"/>
      <c r="FD193" s="128"/>
      <c r="FE193" s="128"/>
      <c r="FF193" s="128"/>
      <c r="FG193" s="836"/>
    </row>
    <row r="194" ht="12.75" customHeight="1">
      <c r="A194" s="128"/>
      <c r="B194" s="179"/>
      <c r="C194" s="179"/>
      <c r="D194" s="179"/>
      <c r="E194" s="179"/>
      <c r="F194" s="179"/>
      <c r="G194" s="179"/>
      <c r="H194" s="179"/>
      <c r="I194" s="179"/>
      <c r="J194" s="179"/>
      <c r="K194" s="179"/>
      <c r="L194" s="179"/>
      <c r="M194" s="179"/>
      <c r="N194" s="179"/>
      <c r="O194" s="179"/>
      <c r="P194" s="179"/>
      <c r="Q194" s="179"/>
      <c r="R194" s="57"/>
      <c r="S194" s="179"/>
      <c r="T194" s="179"/>
      <c r="U194" s="179"/>
      <c r="V194" s="179"/>
      <c r="W194" s="785"/>
      <c r="X194" s="128"/>
      <c r="Y194" s="128"/>
      <c r="Z194" s="128"/>
      <c r="AA194" s="128"/>
      <c r="AB194" s="837"/>
      <c r="AC194" s="128"/>
      <c r="AD194" s="128"/>
      <c r="AE194" s="128"/>
      <c r="AF194" s="128"/>
      <c r="AG194" s="837"/>
      <c r="AH194" s="128"/>
      <c r="AI194" s="128"/>
      <c r="AJ194" s="128"/>
      <c r="AK194" s="128"/>
      <c r="AL194" s="837"/>
      <c r="AM194" s="128"/>
      <c r="AN194" s="128"/>
      <c r="AO194" s="128"/>
      <c r="AP194" s="128"/>
      <c r="AQ194" s="837"/>
      <c r="AR194" s="128"/>
      <c r="AS194" s="128"/>
      <c r="AT194" s="128"/>
      <c r="AU194" s="128"/>
      <c r="AV194" s="837"/>
      <c r="AW194" s="128"/>
      <c r="AX194" s="128"/>
      <c r="AY194" s="128"/>
      <c r="AZ194" s="128"/>
      <c r="BA194" s="837"/>
      <c r="BB194" s="128"/>
      <c r="BC194" s="128"/>
      <c r="BD194" s="128"/>
      <c r="BE194" s="128"/>
      <c r="BF194" s="837"/>
      <c r="BG194" s="128"/>
      <c r="BH194" s="128"/>
      <c r="BI194" s="128"/>
      <c r="BJ194" s="128"/>
      <c r="BK194" s="837"/>
      <c r="BL194" s="128"/>
      <c r="BM194" s="128"/>
      <c r="BN194" s="128"/>
      <c r="BO194" s="128"/>
      <c r="BP194" s="837"/>
      <c r="BQ194" s="128"/>
      <c r="BR194" s="128"/>
      <c r="BS194" s="128"/>
      <c r="BT194" s="128"/>
      <c r="BU194" s="837"/>
      <c r="BV194" s="128"/>
      <c r="BW194" s="128"/>
      <c r="BX194" s="128"/>
      <c r="BY194" s="128"/>
      <c r="BZ194" s="837"/>
      <c r="CA194" s="128"/>
      <c r="CB194" s="128"/>
      <c r="CC194" s="128"/>
      <c r="CD194" s="128"/>
      <c r="CE194" s="837"/>
      <c r="CF194" s="128"/>
      <c r="CG194" s="128"/>
      <c r="CH194" s="128"/>
      <c r="CI194" s="128"/>
      <c r="CJ194" s="837"/>
      <c r="CK194" s="128"/>
      <c r="CL194" s="128"/>
      <c r="CM194" s="128"/>
      <c r="CN194" s="128"/>
      <c r="CO194" s="837"/>
      <c r="CP194" s="128"/>
      <c r="CQ194" s="128"/>
      <c r="CR194" s="128"/>
      <c r="CS194" s="128"/>
      <c r="CT194" s="836"/>
      <c r="CU194" s="128"/>
      <c r="CV194" s="128"/>
      <c r="CW194" s="128"/>
      <c r="CX194" s="128"/>
      <c r="CY194" s="836"/>
      <c r="CZ194" s="129"/>
      <c r="DA194" s="128"/>
      <c r="DB194" s="129"/>
      <c r="DC194" s="128"/>
      <c r="DD194" s="836"/>
      <c r="DE194" s="129"/>
      <c r="DF194" s="128"/>
      <c r="DG194" s="129"/>
      <c r="DH194" s="128"/>
      <c r="DI194" s="836"/>
      <c r="DJ194" s="129"/>
      <c r="DK194" s="129"/>
      <c r="DL194" s="129"/>
      <c r="DM194" s="128"/>
      <c r="DN194" s="836"/>
      <c r="DO194" s="128"/>
      <c r="DP194" s="128"/>
      <c r="DQ194" s="129"/>
      <c r="DR194" s="925"/>
      <c r="DS194" s="836"/>
      <c r="DT194" s="129"/>
      <c r="DU194" s="129"/>
      <c r="DV194" s="925"/>
      <c r="DW194" s="925"/>
      <c r="DX194" s="836"/>
      <c r="DY194" s="925"/>
      <c r="DZ194" s="925"/>
      <c r="EA194" s="925"/>
      <c r="EB194" s="925"/>
      <c r="EC194" s="836"/>
      <c r="ED194" s="925"/>
      <c r="EE194" s="925"/>
      <c r="EF194" s="925"/>
      <c r="EG194" s="925"/>
      <c r="EH194" s="836"/>
      <c r="EI194" s="134"/>
      <c r="EJ194" s="128"/>
      <c r="EK194" s="128"/>
      <c r="EL194" s="128"/>
      <c r="EM194" s="836"/>
      <c r="EN194" s="128"/>
      <c r="EO194" s="128"/>
      <c r="EP194" s="128"/>
      <c r="EQ194" s="128"/>
      <c r="ER194" s="836"/>
      <c r="ES194" s="128"/>
      <c r="ET194" s="128"/>
      <c r="EU194" s="128"/>
      <c r="EV194" s="128"/>
      <c r="EW194" s="836"/>
      <c r="EX194" s="128"/>
      <c r="EY194" s="128"/>
      <c r="EZ194" s="128"/>
      <c r="FA194" s="128"/>
      <c r="FB194" s="836"/>
      <c r="FC194" s="128"/>
      <c r="FD194" s="128"/>
      <c r="FE194" s="128"/>
      <c r="FF194" s="128"/>
      <c r="FG194" s="836"/>
    </row>
    <row r="195" ht="12.75" customHeight="1">
      <c r="A195" s="128"/>
      <c r="B195" s="179"/>
      <c r="C195" s="179"/>
      <c r="D195" s="179"/>
      <c r="E195" s="179"/>
      <c r="F195" s="179"/>
      <c r="G195" s="179"/>
      <c r="H195" s="179"/>
      <c r="I195" s="179"/>
      <c r="J195" s="179"/>
      <c r="K195" s="179"/>
      <c r="L195" s="179"/>
      <c r="M195" s="179"/>
      <c r="N195" s="179"/>
      <c r="O195" s="179"/>
      <c r="P195" s="179"/>
      <c r="Q195" s="179"/>
      <c r="R195" s="57"/>
      <c r="S195" s="179"/>
      <c r="T195" s="179"/>
      <c r="U195" s="179"/>
      <c r="V195" s="179"/>
      <c r="W195" s="785"/>
      <c r="X195" s="128"/>
      <c r="Y195" s="128"/>
      <c r="Z195" s="128"/>
      <c r="AA195" s="128"/>
      <c r="AB195" s="837"/>
      <c r="AC195" s="128"/>
      <c r="AD195" s="128"/>
      <c r="AE195" s="128"/>
      <c r="AF195" s="128"/>
      <c r="AG195" s="837"/>
      <c r="AH195" s="128"/>
      <c r="AI195" s="128"/>
      <c r="AJ195" s="128"/>
      <c r="AK195" s="128"/>
      <c r="AL195" s="837"/>
      <c r="AM195" s="128"/>
      <c r="AN195" s="128"/>
      <c r="AO195" s="128"/>
      <c r="AP195" s="128"/>
      <c r="AQ195" s="837"/>
      <c r="AR195" s="128"/>
      <c r="AS195" s="128"/>
      <c r="AT195" s="128"/>
      <c r="AU195" s="128"/>
      <c r="AV195" s="837"/>
      <c r="AW195" s="128"/>
      <c r="AX195" s="128"/>
      <c r="AY195" s="128"/>
      <c r="AZ195" s="128"/>
      <c r="BA195" s="837"/>
      <c r="BB195" s="128"/>
      <c r="BC195" s="128"/>
      <c r="BD195" s="128"/>
      <c r="BE195" s="128"/>
      <c r="BF195" s="837"/>
      <c r="BG195" s="128"/>
      <c r="BH195" s="128"/>
      <c r="BI195" s="128"/>
      <c r="BJ195" s="128"/>
      <c r="BK195" s="837"/>
      <c r="BL195" s="128"/>
      <c r="BM195" s="128"/>
      <c r="BN195" s="128"/>
      <c r="BO195" s="128"/>
      <c r="BP195" s="837"/>
      <c r="BQ195" s="128"/>
      <c r="BR195" s="128"/>
      <c r="BS195" s="128"/>
      <c r="BT195" s="128"/>
      <c r="BU195" s="837"/>
      <c r="BV195" s="128"/>
      <c r="BW195" s="128"/>
      <c r="BX195" s="128"/>
      <c r="BY195" s="128"/>
      <c r="BZ195" s="837"/>
      <c r="CA195" s="128"/>
      <c r="CB195" s="128"/>
      <c r="CC195" s="128"/>
      <c r="CD195" s="128"/>
      <c r="CE195" s="837"/>
      <c r="CF195" s="128"/>
      <c r="CG195" s="128"/>
      <c r="CH195" s="128"/>
      <c r="CI195" s="128"/>
      <c r="CJ195" s="837"/>
      <c r="CK195" s="128"/>
      <c r="CL195" s="128"/>
      <c r="CM195" s="128"/>
      <c r="CN195" s="128"/>
      <c r="CO195" s="837"/>
      <c r="CP195" s="128"/>
      <c r="CQ195" s="128"/>
      <c r="CR195" s="128"/>
      <c r="CS195" s="128"/>
      <c r="CT195" s="836"/>
      <c r="CU195" s="128"/>
      <c r="CV195" s="128"/>
      <c r="CW195" s="128"/>
      <c r="CX195" s="128"/>
      <c r="CY195" s="836"/>
      <c r="CZ195" s="129"/>
      <c r="DA195" s="128"/>
      <c r="DB195" s="129"/>
      <c r="DC195" s="128"/>
      <c r="DD195" s="836"/>
      <c r="DE195" s="129"/>
      <c r="DF195" s="128"/>
      <c r="DG195" s="129"/>
      <c r="DH195" s="128"/>
      <c r="DI195" s="836"/>
      <c r="DJ195" s="129"/>
      <c r="DK195" s="129"/>
      <c r="DL195" s="129"/>
      <c r="DM195" s="128"/>
      <c r="DN195" s="836"/>
      <c r="DO195" s="128"/>
      <c r="DP195" s="128"/>
      <c r="DQ195" s="129"/>
      <c r="DR195" s="925"/>
      <c r="DS195" s="836"/>
      <c r="DT195" s="129"/>
      <c r="DU195" s="129"/>
      <c r="DV195" s="925"/>
      <c r="DW195" s="925"/>
      <c r="DX195" s="836"/>
      <c r="DY195" s="925"/>
      <c r="DZ195" s="925"/>
      <c r="EA195" s="925"/>
      <c r="EB195" s="925"/>
      <c r="EC195" s="836"/>
      <c r="ED195" s="925"/>
      <c r="EE195" s="925"/>
      <c r="EF195" s="925"/>
      <c r="EG195" s="925"/>
      <c r="EH195" s="836"/>
      <c r="EI195" s="134"/>
      <c r="EJ195" s="128"/>
      <c r="EK195" s="128"/>
      <c r="EL195" s="128"/>
      <c r="EM195" s="836"/>
      <c r="EN195" s="128"/>
      <c r="EO195" s="128"/>
      <c r="EP195" s="128"/>
      <c r="EQ195" s="128"/>
      <c r="ER195" s="836"/>
      <c r="ES195" s="128"/>
      <c r="ET195" s="128"/>
      <c r="EU195" s="128"/>
      <c r="EV195" s="128"/>
      <c r="EW195" s="836"/>
      <c r="EX195" s="128"/>
      <c r="EY195" s="128"/>
      <c r="EZ195" s="128"/>
      <c r="FA195" s="128"/>
      <c r="FB195" s="836"/>
      <c r="FC195" s="128"/>
      <c r="FD195" s="128"/>
      <c r="FE195" s="128"/>
      <c r="FF195" s="128"/>
      <c r="FG195" s="836"/>
    </row>
    <row r="196" ht="12.75" customHeight="1">
      <c r="A196" s="128"/>
      <c r="B196" s="179"/>
      <c r="C196" s="179"/>
      <c r="D196" s="179"/>
      <c r="E196" s="179"/>
      <c r="F196" s="179"/>
      <c r="G196" s="179"/>
      <c r="H196" s="179"/>
      <c r="I196" s="179"/>
      <c r="J196" s="179"/>
      <c r="K196" s="179"/>
      <c r="L196" s="179"/>
      <c r="M196" s="179"/>
      <c r="N196" s="179"/>
      <c r="O196" s="179"/>
      <c r="P196" s="179"/>
      <c r="Q196" s="179"/>
      <c r="R196" s="57"/>
      <c r="S196" s="179"/>
      <c r="T196" s="179"/>
      <c r="U196" s="179"/>
      <c r="V196" s="179"/>
      <c r="W196" s="785"/>
      <c r="X196" s="128"/>
      <c r="Y196" s="128"/>
      <c r="Z196" s="128"/>
      <c r="AA196" s="128"/>
      <c r="AB196" s="837"/>
      <c r="AC196" s="128"/>
      <c r="AD196" s="128"/>
      <c r="AE196" s="128"/>
      <c r="AF196" s="128"/>
      <c r="AG196" s="837"/>
      <c r="AH196" s="128"/>
      <c r="AI196" s="128"/>
      <c r="AJ196" s="128"/>
      <c r="AK196" s="128"/>
      <c r="AL196" s="837"/>
      <c r="AM196" s="128"/>
      <c r="AN196" s="128"/>
      <c r="AO196" s="128"/>
      <c r="AP196" s="128"/>
      <c r="AQ196" s="837"/>
      <c r="AR196" s="128"/>
      <c r="AS196" s="128"/>
      <c r="AT196" s="128"/>
      <c r="AU196" s="128"/>
      <c r="AV196" s="837"/>
      <c r="AW196" s="128"/>
      <c r="AX196" s="128"/>
      <c r="AY196" s="128"/>
      <c r="AZ196" s="128"/>
      <c r="BA196" s="837"/>
      <c r="BB196" s="128"/>
      <c r="BC196" s="128"/>
      <c r="BD196" s="128"/>
      <c r="BE196" s="128"/>
      <c r="BF196" s="837"/>
      <c r="BG196" s="128"/>
      <c r="BH196" s="128"/>
      <c r="BI196" s="128"/>
      <c r="BJ196" s="128"/>
      <c r="BK196" s="837"/>
      <c r="BL196" s="128"/>
      <c r="BM196" s="128"/>
      <c r="BN196" s="128"/>
      <c r="BO196" s="128"/>
      <c r="BP196" s="837"/>
      <c r="BQ196" s="128"/>
      <c r="BR196" s="128"/>
      <c r="BS196" s="128"/>
      <c r="BT196" s="128"/>
      <c r="BU196" s="837"/>
      <c r="BV196" s="128"/>
      <c r="BW196" s="128"/>
      <c r="BX196" s="128"/>
      <c r="BY196" s="128"/>
      <c r="BZ196" s="837"/>
      <c r="CA196" s="128"/>
      <c r="CB196" s="128"/>
      <c r="CC196" s="128"/>
      <c r="CD196" s="128"/>
      <c r="CE196" s="837"/>
      <c r="CF196" s="128"/>
      <c r="CG196" s="128"/>
      <c r="CH196" s="128"/>
      <c r="CI196" s="128"/>
      <c r="CJ196" s="837"/>
      <c r="CK196" s="128"/>
      <c r="CL196" s="128"/>
      <c r="CM196" s="128"/>
      <c r="CN196" s="128"/>
      <c r="CO196" s="837"/>
      <c r="CP196" s="128"/>
      <c r="CQ196" s="128"/>
      <c r="CR196" s="128"/>
      <c r="CS196" s="128"/>
      <c r="CT196" s="836"/>
      <c r="CU196" s="128"/>
      <c r="CV196" s="128"/>
      <c r="CW196" s="128"/>
      <c r="CX196" s="128"/>
      <c r="CY196" s="836"/>
      <c r="CZ196" s="129"/>
      <c r="DA196" s="128"/>
      <c r="DB196" s="129"/>
      <c r="DC196" s="128"/>
      <c r="DD196" s="836"/>
      <c r="DE196" s="129"/>
      <c r="DF196" s="128"/>
      <c r="DG196" s="129"/>
      <c r="DH196" s="128"/>
      <c r="DI196" s="836"/>
      <c r="DJ196" s="129"/>
      <c r="DK196" s="129"/>
      <c r="DL196" s="129"/>
      <c r="DM196" s="128"/>
      <c r="DN196" s="836"/>
      <c r="DO196" s="128"/>
      <c r="DP196" s="128"/>
      <c r="DQ196" s="129"/>
      <c r="DR196" s="925"/>
      <c r="DS196" s="836"/>
      <c r="DT196" s="129"/>
      <c r="DU196" s="129"/>
      <c r="DV196" s="925"/>
      <c r="DW196" s="925"/>
      <c r="DX196" s="836"/>
      <c r="DY196" s="925"/>
      <c r="DZ196" s="925"/>
      <c r="EA196" s="925"/>
      <c r="EB196" s="925"/>
      <c r="EC196" s="836"/>
      <c r="ED196" s="925"/>
      <c r="EE196" s="925"/>
      <c r="EF196" s="925"/>
      <c r="EG196" s="925"/>
      <c r="EH196" s="836"/>
      <c r="EI196" s="134"/>
      <c r="EJ196" s="128"/>
      <c r="EK196" s="128"/>
      <c r="EL196" s="128"/>
      <c r="EM196" s="836"/>
      <c r="EN196" s="128"/>
      <c r="EO196" s="128"/>
      <c r="EP196" s="128"/>
      <c r="EQ196" s="128"/>
      <c r="ER196" s="836"/>
      <c r="ES196" s="128"/>
      <c r="ET196" s="128"/>
      <c r="EU196" s="128"/>
      <c r="EV196" s="128"/>
      <c r="EW196" s="836"/>
      <c r="EX196" s="128"/>
      <c r="EY196" s="128"/>
      <c r="EZ196" s="128"/>
      <c r="FA196" s="128"/>
      <c r="FB196" s="836"/>
      <c r="FC196" s="128"/>
      <c r="FD196" s="128"/>
      <c r="FE196" s="128"/>
      <c r="FF196" s="128"/>
      <c r="FG196" s="836"/>
    </row>
    <row r="197" ht="12.75" customHeight="1">
      <c r="A197" s="128"/>
      <c r="B197" s="179"/>
      <c r="C197" s="179"/>
      <c r="D197" s="179"/>
      <c r="E197" s="179"/>
      <c r="F197" s="179"/>
      <c r="G197" s="179"/>
      <c r="H197" s="179"/>
      <c r="I197" s="179"/>
      <c r="J197" s="179"/>
      <c r="K197" s="179"/>
      <c r="L197" s="179"/>
      <c r="M197" s="179"/>
      <c r="N197" s="179"/>
      <c r="O197" s="179"/>
      <c r="P197" s="179"/>
      <c r="Q197" s="179"/>
      <c r="R197" s="57"/>
      <c r="S197" s="179"/>
      <c r="T197" s="179"/>
      <c r="U197" s="179"/>
      <c r="V197" s="179"/>
      <c r="W197" s="785"/>
      <c r="X197" s="128"/>
      <c r="Y197" s="128"/>
      <c r="Z197" s="128"/>
      <c r="AA197" s="128"/>
      <c r="AB197" s="837"/>
      <c r="AC197" s="128"/>
      <c r="AD197" s="128"/>
      <c r="AE197" s="128"/>
      <c r="AF197" s="128"/>
      <c r="AG197" s="837"/>
      <c r="AH197" s="128"/>
      <c r="AI197" s="128"/>
      <c r="AJ197" s="128"/>
      <c r="AK197" s="128"/>
      <c r="AL197" s="837"/>
      <c r="AM197" s="128"/>
      <c r="AN197" s="128"/>
      <c r="AO197" s="128"/>
      <c r="AP197" s="128"/>
      <c r="AQ197" s="837"/>
      <c r="AR197" s="128"/>
      <c r="AS197" s="128"/>
      <c r="AT197" s="128"/>
      <c r="AU197" s="128"/>
      <c r="AV197" s="837"/>
      <c r="AW197" s="128"/>
      <c r="AX197" s="128"/>
      <c r="AY197" s="128"/>
      <c r="AZ197" s="128"/>
      <c r="BA197" s="837"/>
      <c r="BB197" s="128"/>
      <c r="BC197" s="128"/>
      <c r="BD197" s="128"/>
      <c r="BE197" s="128"/>
      <c r="BF197" s="837"/>
      <c r="BG197" s="128"/>
      <c r="BH197" s="128"/>
      <c r="BI197" s="128"/>
      <c r="BJ197" s="128"/>
      <c r="BK197" s="837"/>
      <c r="BL197" s="128"/>
      <c r="BM197" s="128"/>
      <c r="BN197" s="128"/>
      <c r="BO197" s="128"/>
      <c r="BP197" s="837"/>
      <c r="BQ197" s="128"/>
      <c r="BR197" s="128"/>
      <c r="BS197" s="128"/>
      <c r="BT197" s="128"/>
      <c r="BU197" s="837"/>
      <c r="BV197" s="128"/>
      <c r="BW197" s="128"/>
      <c r="BX197" s="128"/>
      <c r="BY197" s="128"/>
      <c r="BZ197" s="837"/>
      <c r="CA197" s="128"/>
      <c r="CB197" s="128"/>
      <c r="CC197" s="128"/>
      <c r="CD197" s="128"/>
      <c r="CE197" s="837"/>
      <c r="CF197" s="128"/>
      <c r="CG197" s="128"/>
      <c r="CH197" s="128"/>
      <c r="CI197" s="128"/>
      <c r="CJ197" s="837"/>
      <c r="CK197" s="128"/>
      <c r="CL197" s="128"/>
      <c r="CM197" s="128"/>
      <c r="CN197" s="128"/>
      <c r="CO197" s="837"/>
      <c r="CP197" s="128"/>
      <c r="CQ197" s="128"/>
      <c r="CR197" s="128"/>
      <c r="CS197" s="128"/>
      <c r="CT197" s="836"/>
      <c r="CU197" s="128"/>
      <c r="CV197" s="128"/>
      <c r="CW197" s="128"/>
      <c r="CX197" s="128"/>
      <c r="CY197" s="836"/>
      <c r="CZ197" s="129"/>
      <c r="DA197" s="128"/>
      <c r="DB197" s="129"/>
      <c r="DC197" s="128"/>
      <c r="DD197" s="836"/>
      <c r="DE197" s="129"/>
      <c r="DF197" s="128"/>
      <c r="DG197" s="129"/>
      <c r="DH197" s="128"/>
      <c r="DI197" s="836"/>
      <c r="DJ197" s="129"/>
      <c r="DK197" s="129"/>
      <c r="DL197" s="129"/>
      <c r="DM197" s="128"/>
      <c r="DN197" s="836"/>
      <c r="DO197" s="128"/>
      <c r="DP197" s="128"/>
      <c r="DQ197" s="129"/>
      <c r="DR197" s="925"/>
      <c r="DS197" s="836"/>
      <c r="DT197" s="129"/>
      <c r="DU197" s="129"/>
      <c r="DV197" s="925"/>
      <c r="DW197" s="925"/>
      <c r="DX197" s="836"/>
      <c r="DY197" s="925"/>
      <c r="DZ197" s="925"/>
      <c r="EA197" s="925"/>
      <c r="EB197" s="925"/>
      <c r="EC197" s="836"/>
      <c r="ED197" s="925"/>
      <c r="EE197" s="925"/>
      <c r="EF197" s="925"/>
      <c r="EG197" s="925"/>
      <c r="EH197" s="836"/>
      <c r="EI197" s="134"/>
      <c r="EJ197" s="128"/>
      <c r="EK197" s="128"/>
      <c r="EL197" s="128"/>
      <c r="EM197" s="836"/>
      <c r="EN197" s="128"/>
      <c r="EO197" s="128"/>
      <c r="EP197" s="128"/>
      <c r="EQ197" s="128"/>
      <c r="ER197" s="836"/>
      <c r="ES197" s="128"/>
      <c r="ET197" s="128"/>
      <c r="EU197" s="128"/>
      <c r="EV197" s="128"/>
      <c r="EW197" s="836"/>
      <c r="EX197" s="128"/>
      <c r="EY197" s="128"/>
      <c r="EZ197" s="128"/>
      <c r="FA197" s="128"/>
      <c r="FB197" s="836"/>
      <c r="FC197" s="128"/>
      <c r="FD197" s="128"/>
      <c r="FE197" s="128"/>
      <c r="FF197" s="128"/>
      <c r="FG197" s="836"/>
    </row>
    <row r="198" ht="12.75" customHeight="1">
      <c r="A198" s="128"/>
      <c r="B198" s="179"/>
      <c r="C198" s="179"/>
      <c r="D198" s="179"/>
      <c r="E198" s="179"/>
      <c r="F198" s="179"/>
      <c r="G198" s="179"/>
      <c r="H198" s="179"/>
      <c r="I198" s="179"/>
      <c r="J198" s="179"/>
      <c r="K198" s="179"/>
      <c r="L198" s="179"/>
      <c r="M198" s="179"/>
      <c r="N198" s="179"/>
      <c r="O198" s="179"/>
      <c r="P198" s="179"/>
      <c r="Q198" s="179"/>
      <c r="R198" s="57"/>
      <c r="S198" s="179"/>
      <c r="T198" s="179"/>
      <c r="U198" s="179"/>
      <c r="V198" s="179"/>
      <c r="W198" s="785"/>
      <c r="X198" s="128"/>
      <c r="Y198" s="128"/>
      <c r="Z198" s="128"/>
      <c r="AA198" s="128"/>
      <c r="AB198" s="837"/>
      <c r="AC198" s="128"/>
      <c r="AD198" s="128"/>
      <c r="AE198" s="128"/>
      <c r="AF198" s="128"/>
      <c r="AG198" s="837"/>
      <c r="AH198" s="128"/>
      <c r="AI198" s="128"/>
      <c r="AJ198" s="128"/>
      <c r="AK198" s="128"/>
      <c r="AL198" s="837"/>
      <c r="AM198" s="128"/>
      <c r="AN198" s="128"/>
      <c r="AO198" s="128"/>
      <c r="AP198" s="128"/>
      <c r="AQ198" s="837"/>
      <c r="AR198" s="128"/>
      <c r="AS198" s="128"/>
      <c r="AT198" s="128"/>
      <c r="AU198" s="128"/>
      <c r="AV198" s="837"/>
      <c r="AW198" s="128"/>
      <c r="AX198" s="128"/>
      <c r="AY198" s="128"/>
      <c r="AZ198" s="128"/>
      <c r="BA198" s="837"/>
      <c r="BB198" s="128"/>
      <c r="BC198" s="128"/>
      <c r="BD198" s="128"/>
      <c r="BE198" s="128"/>
      <c r="BF198" s="837"/>
      <c r="BG198" s="128"/>
      <c r="BH198" s="128"/>
      <c r="BI198" s="128"/>
      <c r="BJ198" s="128"/>
      <c r="BK198" s="837"/>
      <c r="BL198" s="128"/>
      <c r="BM198" s="128"/>
      <c r="BN198" s="128"/>
      <c r="BO198" s="128"/>
      <c r="BP198" s="837"/>
      <c r="BQ198" s="128"/>
      <c r="BR198" s="128"/>
      <c r="BS198" s="128"/>
      <c r="BT198" s="128"/>
      <c r="BU198" s="837"/>
      <c r="BV198" s="128"/>
      <c r="BW198" s="128"/>
      <c r="BX198" s="128"/>
      <c r="BY198" s="128"/>
      <c r="BZ198" s="837"/>
      <c r="CA198" s="128"/>
      <c r="CB198" s="128"/>
      <c r="CC198" s="128"/>
      <c r="CD198" s="128"/>
      <c r="CE198" s="837"/>
      <c r="CF198" s="128"/>
      <c r="CG198" s="128"/>
      <c r="CH198" s="128"/>
      <c r="CI198" s="128"/>
      <c r="CJ198" s="837"/>
      <c r="CK198" s="128"/>
      <c r="CL198" s="128"/>
      <c r="CM198" s="128"/>
      <c r="CN198" s="128"/>
      <c r="CO198" s="837"/>
      <c r="CP198" s="128"/>
      <c r="CQ198" s="128"/>
      <c r="CR198" s="128"/>
      <c r="CS198" s="128"/>
      <c r="CT198" s="836"/>
      <c r="CU198" s="128"/>
      <c r="CV198" s="128"/>
      <c r="CW198" s="128"/>
      <c r="CX198" s="128"/>
      <c r="CY198" s="836"/>
      <c r="CZ198" s="129"/>
      <c r="DA198" s="128"/>
      <c r="DB198" s="129"/>
      <c r="DC198" s="128"/>
      <c r="DD198" s="836"/>
      <c r="DE198" s="129"/>
      <c r="DF198" s="128"/>
      <c r="DG198" s="129"/>
      <c r="DH198" s="128"/>
      <c r="DI198" s="836"/>
      <c r="DJ198" s="129"/>
      <c r="DK198" s="129"/>
      <c r="DL198" s="129"/>
      <c r="DM198" s="128"/>
      <c r="DN198" s="836"/>
      <c r="DO198" s="128"/>
      <c r="DP198" s="128"/>
      <c r="DQ198" s="129"/>
      <c r="DR198" s="925"/>
      <c r="DS198" s="836"/>
      <c r="DT198" s="129"/>
      <c r="DU198" s="129"/>
      <c r="DV198" s="925"/>
      <c r="DW198" s="925"/>
      <c r="DX198" s="836"/>
      <c r="DY198" s="925"/>
      <c r="DZ198" s="925"/>
      <c r="EA198" s="925"/>
      <c r="EB198" s="925"/>
      <c r="EC198" s="836"/>
      <c r="ED198" s="925"/>
      <c r="EE198" s="925"/>
      <c r="EF198" s="925"/>
      <c r="EG198" s="925"/>
      <c r="EH198" s="836"/>
      <c r="EI198" s="134"/>
      <c r="EJ198" s="128"/>
      <c r="EK198" s="128"/>
      <c r="EL198" s="128"/>
      <c r="EM198" s="836"/>
      <c r="EN198" s="128"/>
      <c r="EO198" s="128"/>
      <c r="EP198" s="128"/>
      <c r="EQ198" s="128"/>
      <c r="ER198" s="836"/>
      <c r="ES198" s="128"/>
      <c r="ET198" s="128"/>
      <c r="EU198" s="128"/>
      <c r="EV198" s="128"/>
      <c r="EW198" s="836"/>
      <c r="EX198" s="128"/>
      <c r="EY198" s="128"/>
      <c r="EZ198" s="128"/>
      <c r="FA198" s="128"/>
      <c r="FB198" s="836"/>
      <c r="FC198" s="128"/>
      <c r="FD198" s="128"/>
      <c r="FE198" s="128"/>
      <c r="FF198" s="128"/>
      <c r="FG198" s="836"/>
    </row>
    <row r="199" ht="12.75" customHeight="1">
      <c r="A199" s="128"/>
      <c r="B199" s="179"/>
      <c r="C199" s="179"/>
      <c r="D199" s="179"/>
      <c r="E199" s="179"/>
      <c r="F199" s="179"/>
      <c r="G199" s="179"/>
      <c r="H199" s="179"/>
      <c r="I199" s="179"/>
      <c r="J199" s="179"/>
      <c r="K199" s="179"/>
      <c r="L199" s="179"/>
      <c r="M199" s="179"/>
      <c r="N199" s="179"/>
      <c r="O199" s="179"/>
      <c r="P199" s="179"/>
      <c r="Q199" s="179"/>
      <c r="R199" s="57"/>
      <c r="S199" s="179"/>
      <c r="T199" s="179"/>
      <c r="U199" s="179"/>
      <c r="V199" s="179"/>
      <c r="W199" s="785"/>
      <c r="X199" s="128"/>
      <c r="Y199" s="128"/>
      <c r="Z199" s="128"/>
      <c r="AA199" s="128"/>
      <c r="AB199" s="837"/>
      <c r="AC199" s="128"/>
      <c r="AD199" s="128"/>
      <c r="AE199" s="128"/>
      <c r="AF199" s="128"/>
      <c r="AG199" s="837"/>
      <c r="AH199" s="128"/>
      <c r="AI199" s="128"/>
      <c r="AJ199" s="128"/>
      <c r="AK199" s="128"/>
      <c r="AL199" s="837"/>
      <c r="AM199" s="128"/>
      <c r="AN199" s="128"/>
      <c r="AO199" s="128"/>
      <c r="AP199" s="128"/>
      <c r="AQ199" s="837"/>
      <c r="AR199" s="128"/>
      <c r="AS199" s="128"/>
      <c r="AT199" s="128"/>
      <c r="AU199" s="128"/>
      <c r="AV199" s="837"/>
      <c r="AW199" s="128"/>
      <c r="AX199" s="128"/>
      <c r="AY199" s="128"/>
      <c r="AZ199" s="128"/>
      <c r="BA199" s="837"/>
      <c r="BB199" s="128"/>
      <c r="BC199" s="128"/>
      <c r="BD199" s="128"/>
      <c r="BE199" s="128"/>
      <c r="BF199" s="837"/>
      <c r="BG199" s="128"/>
      <c r="BH199" s="128"/>
      <c r="BI199" s="128"/>
      <c r="BJ199" s="128"/>
      <c r="BK199" s="837"/>
      <c r="BL199" s="128"/>
      <c r="BM199" s="128"/>
      <c r="BN199" s="128"/>
      <c r="BO199" s="128"/>
      <c r="BP199" s="837"/>
      <c r="BQ199" s="128"/>
      <c r="BR199" s="128"/>
      <c r="BS199" s="128"/>
      <c r="BT199" s="128"/>
      <c r="BU199" s="837"/>
      <c r="BV199" s="128"/>
      <c r="BW199" s="128"/>
      <c r="BX199" s="128"/>
      <c r="BY199" s="128"/>
      <c r="BZ199" s="837"/>
      <c r="CA199" s="128"/>
      <c r="CB199" s="128"/>
      <c r="CC199" s="128"/>
      <c r="CD199" s="128"/>
      <c r="CE199" s="837"/>
      <c r="CF199" s="128"/>
      <c r="CG199" s="128"/>
      <c r="CH199" s="128"/>
      <c r="CI199" s="128"/>
      <c r="CJ199" s="837"/>
      <c r="CK199" s="128"/>
      <c r="CL199" s="128"/>
      <c r="CM199" s="128"/>
      <c r="CN199" s="128"/>
      <c r="CO199" s="837"/>
      <c r="CP199" s="128"/>
      <c r="CQ199" s="128"/>
      <c r="CR199" s="128"/>
      <c r="CS199" s="128"/>
      <c r="CT199" s="836"/>
      <c r="CU199" s="128"/>
      <c r="CV199" s="128"/>
      <c r="CW199" s="128"/>
      <c r="CX199" s="128"/>
      <c r="CY199" s="836"/>
      <c r="CZ199" s="129"/>
      <c r="DA199" s="128"/>
      <c r="DB199" s="129"/>
      <c r="DC199" s="128"/>
      <c r="DD199" s="836"/>
      <c r="DE199" s="129"/>
      <c r="DF199" s="128"/>
      <c r="DG199" s="129"/>
      <c r="DH199" s="128"/>
      <c r="DI199" s="836"/>
      <c r="DJ199" s="129"/>
      <c r="DK199" s="129"/>
      <c r="DL199" s="129"/>
      <c r="DM199" s="128"/>
      <c r="DN199" s="836"/>
      <c r="DO199" s="128"/>
      <c r="DP199" s="128"/>
      <c r="DQ199" s="129"/>
      <c r="DR199" s="925"/>
      <c r="DS199" s="836"/>
      <c r="DT199" s="129"/>
      <c r="DU199" s="129"/>
      <c r="DV199" s="925"/>
      <c r="DW199" s="925"/>
      <c r="DX199" s="836"/>
      <c r="DY199" s="925"/>
      <c r="DZ199" s="925"/>
      <c r="EA199" s="925"/>
      <c r="EB199" s="925"/>
      <c r="EC199" s="836"/>
      <c r="ED199" s="925"/>
      <c r="EE199" s="925"/>
      <c r="EF199" s="925"/>
      <c r="EG199" s="925"/>
      <c r="EH199" s="836"/>
      <c r="EI199" s="134"/>
      <c r="EJ199" s="128"/>
      <c r="EK199" s="128"/>
      <c r="EL199" s="128"/>
      <c r="EM199" s="836"/>
      <c r="EN199" s="128"/>
      <c r="EO199" s="128"/>
      <c r="EP199" s="128"/>
      <c r="EQ199" s="128"/>
      <c r="ER199" s="836"/>
      <c r="ES199" s="128"/>
      <c r="ET199" s="128"/>
      <c r="EU199" s="128"/>
      <c r="EV199" s="128"/>
      <c r="EW199" s="836"/>
      <c r="EX199" s="128"/>
      <c r="EY199" s="128"/>
      <c r="EZ199" s="128"/>
      <c r="FA199" s="128"/>
      <c r="FB199" s="836"/>
      <c r="FC199" s="128"/>
      <c r="FD199" s="128"/>
      <c r="FE199" s="128"/>
      <c r="FF199" s="128"/>
      <c r="FG199" s="836"/>
    </row>
    <row r="200" ht="12.75" customHeight="1">
      <c r="A200" s="128"/>
      <c r="B200" s="179"/>
      <c r="C200" s="179"/>
      <c r="D200" s="179"/>
      <c r="E200" s="179"/>
      <c r="F200" s="179"/>
      <c r="G200" s="179"/>
      <c r="H200" s="179"/>
      <c r="I200" s="179"/>
      <c r="J200" s="179"/>
      <c r="K200" s="179"/>
      <c r="L200" s="179"/>
      <c r="M200" s="179"/>
      <c r="N200" s="179"/>
      <c r="O200" s="179"/>
      <c r="P200" s="179"/>
      <c r="Q200" s="179"/>
      <c r="R200" s="57"/>
      <c r="S200" s="179"/>
      <c r="T200" s="179"/>
      <c r="U200" s="179"/>
      <c r="V200" s="179"/>
      <c r="W200" s="785"/>
      <c r="X200" s="128"/>
      <c r="Y200" s="128"/>
      <c r="Z200" s="128"/>
      <c r="AA200" s="128"/>
      <c r="AB200" s="837"/>
      <c r="AC200" s="128"/>
      <c r="AD200" s="128"/>
      <c r="AE200" s="128"/>
      <c r="AF200" s="128"/>
      <c r="AG200" s="837"/>
      <c r="AH200" s="128"/>
      <c r="AI200" s="128"/>
      <c r="AJ200" s="128"/>
      <c r="AK200" s="128"/>
      <c r="AL200" s="837"/>
      <c r="AM200" s="128"/>
      <c r="AN200" s="128"/>
      <c r="AO200" s="128"/>
      <c r="AP200" s="128"/>
      <c r="AQ200" s="837"/>
      <c r="AR200" s="128"/>
      <c r="AS200" s="128"/>
      <c r="AT200" s="128"/>
      <c r="AU200" s="128"/>
      <c r="AV200" s="837"/>
      <c r="AW200" s="128"/>
      <c r="AX200" s="128"/>
      <c r="AY200" s="128"/>
      <c r="AZ200" s="128"/>
      <c r="BA200" s="837"/>
      <c r="BB200" s="128"/>
      <c r="BC200" s="128"/>
      <c r="BD200" s="128"/>
      <c r="BE200" s="128"/>
      <c r="BF200" s="837"/>
      <c r="BG200" s="128"/>
      <c r="BH200" s="128"/>
      <c r="BI200" s="128"/>
      <c r="BJ200" s="128"/>
      <c r="BK200" s="837"/>
      <c r="BL200" s="128"/>
      <c r="BM200" s="128"/>
      <c r="BN200" s="128"/>
      <c r="BO200" s="128"/>
      <c r="BP200" s="837"/>
      <c r="BQ200" s="128"/>
      <c r="BR200" s="128"/>
      <c r="BS200" s="128"/>
      <c r="BT200" s="128"/>
      <c r="BU200" s="837"/>
      <c r="BV200" s="128"/>
      <c r="BW200" s="128"/>
      <c r="BX200" s="128"/>
      <c r="BY200" s="128"/>
      <c r="BZ200" s="837"/>
      <c r="CA200" s="128"/>
      <c r="CB200" s="128"/>
      <c r="CC200" s="128"/>
      <c r="CD200" s="128"/>
      <c r="CE200" s="837"/>
      <c r="CF200" s="128"/>
      <c r="CG200" s="128"/>
      <c r="CH200" s="128"/>
      <c r="CI200" s="128"/>
      <c r="CJ200" s="837"/>
      <c r="CK200" s="128"/>
      <c r="CL200" s="128"/>
      <c r="CM200" s="128"/>
      <c r="CN200" s="128"/>
      <c r="CO200" s="837"/>
      <c r="CP200" s="128"/>
      <c r="CQ200" s="128"/>
      <c r="CR200" s="128"/>
      <c r="CS200" s="128"/>
      <c r="CT200" s="836"/>
      <c r="CU200" s="128"/>
      <c r="CV200" s="128"/>
      <c r="CW200" s="128"/>
      <c r="CX200" s="128"/>
      <c r="CY200" s="836"/>
      <c r="CZ200" s="129"/>
      <c r="DA200" s="128"/>
      <c r="DB200" s="129"/>
      <c r="DC200" s="128"/>
      <c r="DD200" s="836"/>
      <c r="DE200" s="129"/>
      <c r="DF200" s="128"/>
      <c r="DG200" s="129"/>
      <c r="DH200" s="128"/>
      <c r="DI200" s="836"/>
      <c r="DJ200" s="129"/>
      <c r="DK200" s="129"/>
      <c r="DL200" s="129"/>
      <c r="DM200" s="128"/>
      <c r="DN200" s="836"/>
      <c r="DO200" s="128"/>
      <c r="DP200" s="128"/>
      <c r="DQ200" s="129"/>
      <c r="DR200" s="925"/>
      <c r="DS200" s="836"/>
      <c r="DT200" s="129"/>
      <c r="DU200" s="129"/>
      <c r="DV200" s="925"/>
      <c r="DW200" s="925"/>
      <c r="DX200" s="836"/>
      <c r="DY200" s="925"/>
      <c r="DZ200" s="925"/>
      <c r="EA200" s="925"/>
      <c r="EB200" s="925"/>
      <c r="EC200" s="836"/>
      <c r="ED200" s="925"/>
      <c r="EE200" s="925"/>
      <c r="EF200" s="925"/>
      <c r="EG200" s="925"/>
      <c r="EH200" s="836"/>
      <c r="EI200" s="134"/>
      <c r="EJ200" s="128"/>
      <c r="EK200" s="128"/>
      <c r="EL200" s="128"/>
      <c r="EM200" s="836"/>
      <c r="EN200" s="128"/>
      <c r="EO200" s="128"/>
      <c r="EP200" s="128"/>
      <c r="EQ200" s="128"/>
      <c r="ER200" s="836"/>
      <c r="ES200" s="128"/>
      <c r="ET200" s="128"/>
      <c r="EU200" s="128"/>
      <c r="EV200" s="128"/>
      <c r="EW200" s="836"/>
      <c r="EX200" s="128"/>
      <c r="EY200" s="128"/>
      <c r="EZ200" s="128"/>
      <c r="FA200" s="128"/>
      <c r="FB200" s="836"/>
      <c r="FC200" s="128"/>
      <c r="FD200" s="128"/>
      <c r="FE200" s="128"/>
      <c r="FF200" s="128"/>
      <c r="FG200" s="836"/>
    </row>
    <row r="201" ht="12.75" customHeight="1">
      <c r="A201" s="128"/>
      <c r="B201" s="179"/>
      <c r="C201" s="179"/>
      <c r="D201" s="179"/>
      <c r="E201" s="179"/>
      <c r="F201" s="179"/>
      <c r="G201" s="179"/>
      <c r="H201" s="179"/>
      <c r="I201" s="179"/>
      <c r="J201" s="179"/>
      <c r="K201" s="179"/>
      <c r="L201" s="179"/>
      <c r="M201" s="179"/>
      <c r="N201" s="179"/>
      <c r="O201" s="179"/>
      <c r="P201" s="179"/>
      <c r="Q201" s="179"/>
      <c r="R201" s="57"/>
      <c r="S201" s="179"/>
      <c r="T201" s="179"/>
      <c r="U201" s="179"/>
      <c r="V201" s="179"/>
      <c r="W201" s="785"/>
      <c r="X201" s="128"/>
      <c r="Y201" s="128"/>
      <c r="Z201" s="128"/>
      <c r="AA201" s="128"/>
      <c r="AB201" s="837"/>
      <c r="AC201" s="128"/>
      <c r="AD201" s="128"/>
      <c r="AE201" s="128"/>
      <c r="AF201" s="128"/>
      <c r="AG201" s="837"/>
      <c r="AH201" s="128"/>
      <c r="AI201" s="128"/>
      <c r="AJ201" s="128"/>
      <c r="AK201" s="128"/>
      <c r="AL201" s="837"/>
      <c r="AM201" s="128"/>
      <c r="AN201" s="128"/>
      <c r="AO201" s="128"/>
      <c r="AP201" s="128"/>
      <c r="AQ201" s="837"/>
      <c r="AR201" s="128"/>
      <c r="AS201" s="128"/>
      <c r="AT201" s="128"/>
      <c r="AU201" s="128"/>
      <c r="AV201" s="837"/>
      <c r="AW201" s="128"/>
      <c r="AX201" s="128"/>
      <c r="AY201" s="128"/>
      <c r="AZ201" s="128"/>
      <c r="BA201" s="837"/>
      <c r="BB201" s="128"/>
      <c r="BC201" s="128"/>
      <c r="BD201" s="128"/>
      <c r="BE201" s="128"/>
      <c r="BF201" s="837"/>
      <c r="BG201" s="128"/>
      <c r="BH201" s="128"/>
      <c r="BI201" s="128"/>
      <c r="BJ201" s="128"/>
      <c r="BK201" s="837"/>
      <c r="BL201" s="128"/>
      <c r="BM201" s="128"/>
      <c r="BN201" s="128"/>
      <c r="BO201" s="128"/>
      <c r="BP201" s="837"/>
      <c r="BQ201" s="128"/>
      <c r="BR201" s="128"/>
      <c r="BS201" s="128"/>
      <c r="BT201" s="128"/>
      <c r="BU201" s="837"/>
      <c r="BV201" s="128"/>
      <c r="BW201" s="128"/>
      <c r="BX201" s="128"/>
      <c r="BY201" s="128"/>
      <c r="BZ201" s="837"/>
      <c r="CA201" s="128"/>
      <c r="CB201" s="128"/>
      <c r="CC201" s="128"/>
      <c r="CD201" s="128"/>
      <c r="CE201" s="837"/>
      <c r="CF201" s="128"/>
      <c r="CG201" s="128"/>
      <c r="CH201" s="128"/>
      <c r="CI201" s="128"/>
      <c r="CJ201" s="837"/>
      <c r="CK201" s="128"/>
      <c r="CL201" s="128"/>
      <c r="CM201" s="128"/>
      <c r="CN201" s="128"/>
      <c r="CO201" s="837"/>
      <c r="CP201" s="128"/>
      <c r="CQ201" s="128"/>
      <c r="CR201" s="128"/>
      <c r="CS201" s="128"/>
      <c r="CT201" s="836"/>
      <c r="CU201" s="128"/>
      <c r="CV201" s="128"/>
      <c r="CW201" s="128"/>
      <c r="CX201" s="128"/>
      <c r="CY201" s="836"/>
      <c r="CZ201" s="129"/>
      <c r="DA201" s="128"/>
      <c r="DB201" s="129"/>
      <c r="DC201" s="128"/>
      <c r="DD201" s="836"/>
      <c r="DE201" s="129"/>
      <c r="DF201" s="128"/>
      <c r="DG201" s="129"/>
      <c r="DH201" s="128"/>
      <c r="DI201" s="836"/>
      <c r="DJ201" s="129"/>
      <c r="DK201" s="129"/>
      <c r="DL201" s="129"/>
      <c r="DM201" s="128"/>
      <c r="DN201" s="836"/>
      <c r="DO201" s="128"/>
      <c r="DP201" s="128"/>
      <c r="DQ201" s="129"/>
      <c r="DR201" s="925"/>
      <c r="DS201" s="836"/>
      <c r="DT201" s="129"/>
      <c r="DU201" s="129"/>
      <c r="DV201" s="925"/>
      <c r="DW201" s="925"/>
      <c r="DX201" s="836"/>
      <c r="DY201" s="925"/>
      <c r="DZ201" s="925"/>
      <c r="EA201" s="925"/>
      <c r="EB201" s="925"/>
      <c r="EC201" s="836"/>
      <c r="ED201" s="925"/>
      <c r="EE201" s="925"/>
      <c r="EF201" s="925"/>
      <c r="EG201" s="925"/>
      <c r="EH201" s="836"/>
      <c r="EI201" s="134"/>
      <c r="EJ201" s="128"/>
      <c r="EK201" s="128"/>
      <c r="EL201" s="128"/>
      <c r="EM201" s="836"/>
      <c r="EN201" s="128"/>
      <c r="EO201" s="128"/>
      <c r="EP201" s="128"/>
      <c r="EQ201" s="128"/>
      <c r="ER201" s="836"/>
      <c r="ES201" s="128"/>
      <c r="ET201" s="128"/>
      <c r="EU201" s="128"/>
      <c r="EV201" s="128"/>
      <c r="EW201" s="836"/>
      <c r="EX201" s="128"/>
      <c r="EY201" s="128"/>
      <c r="EZ201" s="128"/>
      <c r="FA201" s="128"/>
      <c r="FB201" s="836"/>
      <c r="FC201" s="128"/>
      <c r="FD201" s="128"/>
      <c r="FE201" s="128"/>
      <c r="FF201" s="128"/>
      <c r="FG201" s="836"/>
    </row>
    <row r="202" ht="12.75" customHeight="1">
      <c r="A202" s="128"/>
      <c r="B202" s="179"/>
      <c r="C202" s="179"/>
      <c r="D202" s="179"/>
      <c r="E202" s="179"/>
      <c r="F202" s="179"/>
      <c r="G202" s="179"/>
      <c r="H202" s="179"/>
      <c r="I202" s="179"/>
      <c r="J202" s="179"/>
      <c r="K202" s="179"/>
      <c r="L202" s="179"/>
      <c r="M202" s="179"/>
      <c r="N202" s="179"/>
      <c r="O202" s="179"/>
      <c r="P202" s="179"/>
      <c r="Q202" s="179"/>
      <c r="R202" s="57"/>
      <c r="S202" s="179"/>
      <c r="T202" s="179"/>
      <c r="U202" s="179"/>
      <c r="V202" s="179"/>
      <c r="W202" s="785"/>
      <c r="X202" s="128"/>
      <c r="Y202" s="128"/>
      <c r="Z202" s="128"/>
      <c r="AA202" s="128"/>
      <c r="AB202" s="837"/>
      <c r="AC202" s="128"/>
      <c r="AD202" s="128"/>
      <c r="AE202" s="128"/>
      <c r="AF202" s="128"/>
      <c r="AG202" s="837"/>
      <c r="AH202" s="128"/>
      <c r="AI202" s="128"/>
      <c r="AJ202" s="128"/>
      <c r="AK202" s="128"/>
      <c r="AL202" s="837"/>
      <c r="AM202" s="128"/>
      <c r="AN202" s="128"/>
      <c r="AO202" s="128"/>
      <c r="AP202" s="128"/>
      <c r="AQ202" s="837"/>
      <c r="AR202" s="128"/>
      <c r="AS202" s="128"/>
      <c r="AT202" s="128"/>
      <c r="AU202" s="128"/>
      <c r="AV202" s="837"/>
      <c r="AW202" s="128"/>
      <c r="AX202" s="128"/>
      <c r="AY202" s="128"/>
      <c r="AZ202" s="128"/>
      <c r="BA202" s="837"/>
      <c r="BB202" s="128"/>
      <c r="BC202" s="128"/>
      <c r="BD202" s="128"/>
      <c r="BE202" s="128"/>
      <c r="BF202" s="837"/>
      <c r="BG202" s="128"/>
      <c r="BH202" s="128"/>
      <c r="BI202" s="128"/>
      <c r="BJ202" s="128"/>
      <c r="BK202" s="837"/>
      <c r="BL202" s="128"/>
      <c r="BM202" s="128"/>
      <c r="BN202" s="128"/>
      <c r="BO202" s="128"/>
      <c r="BP202" s="837"/>
      <c r="BQ202" s="128"/>
      <c r="BR202" s="128"/>
      <c r="BS202" s="128"/>
      <c r="BT202" s="128"/>
      <c r="BU202" s="837"/>
      <c r="BV202" s="128"/>
      <c r="BW202" s="128"/>
      <c r="BX202" s="128"/>
      <c r="BY202" s="128"/>
      <c r="BZ202" s="837"/>
      <c r="CA202" s="128"/>
      <c r="CB202" s="128"/>
      <c r="CC202" s="128"/>
      <c r="CD202" s="128"/>
      <c r="CE202" s="837"/>
      <c r="CF202" s="128"/>
      <c r="CG202" s="128"/>
      <c r="CH202" s="128"/>
      <c r="CI202" s="128"/>
      <c r="CJ202" s="837"/>
      <c r="CK202" s="128"/>
      <c r="CL202" s="128"/>
      <c r="CM202" s="128"/>
      <c r="CN202" s="128"/>
      <c r="CO202" s="837"/>
      <c r="CP202" s="128"/>
      <c r="CQ202" s="128"/>
      <c r="CR202" s="128"/>
      <c r="CS202" s="128"/>
      <c r="CT202" s="836"/>
      <c r="CU202" s="128"/>
      <c r="CV202" s="128"/>
      <c r="CW202" s="128"/>
      <c r="CX202" s="128"/>
      <c r="CY202" s="836"/>
      <c r="CZ202" s="129"/>
      <c r="DA202" s="128"/>
      <c r="DB202" s="129"/>
      <c r="DC202" s="128"/>
      <c r="DD202" s="836"/>
      <c r="DE202" s="129"/>
      <c r="DF202" s="128"/>
      <c r="DG202" s="129"/>
      <c r="DH202" s="128"/>
      <c r="DI202" s="836"/>
      <c r="DJ202" s="129"/>
      <c r="DK202" s="129"/>
      <c r="DL202" s="129"/>
      <c r="DM202" s="128"/>
      <c r="DN202" s="836"/>
      <c r="DO202" s="128"/>
      <c r="DP202" s="128"/>
      <c r="DQ202" s="129"/>
      <c r="DR202" s="925"/>
      <c r="DS202" s="836"/>
      <c r="DT202" s="129"/>
      <c r="DU202" s="129"/>
      <c r="DV202" s="925"/>
      <c r="DW202" s="925"/>
      <c r="DX202" s="836"/>
      <c r="DY202" s="925"/>
      <c r="DZ202" s="925"/>
      <c r="EA202" s="925"/>
      <c r="EB202" s="925"/>
      <c r="EC202" s="836"/>
      <c r="ED202" s="925"/>
      <c r="EE202" s="925"/>
      <c r="EF202" s="925"/>
      <c r="EG202" s="925"/>
      <c r="EH202" s="836"/>
      <c r="EI202" s="134"/>
      <c r="EJ202" s="128"/>
      <c r="EK202" s="128"/>
      <c r="EL202" s="128"/>
      <c r="EM202" s="836"/>
      <c r="EN202" s="128"/>
      <c r="EO202" s="128"/>
      <c r="EP202" s="128"/>
      <c r="EQ202" s="128"/>
      <c r="ER202" s="836"/>
      <c r="ES202" s="128"/>
      <c r="ET202" s="128"/>
      <c r="EU202" s="128"/>
      <c r="EV202" s="128"/>
      <c r="EW202" s="836"/>
      <c r="EX202" s="128"/>
      <c r="EY202" s="128"/>
      <c r="EZ202" s="128"/>
      <c r="FA202" s="128"/>
      <c r="FB202" s="836"/>
      <c r="FC202" s="128"/>
      <c r="FD202" s="128"/>
      <c r="FE202" s="128"/>
      <c r="FF202" s="128"/>
      <c r="FG202" s="836"/>
    </row>
    <row r="203" ht="12.75" customHeight="1">
      <c r="A203" s="128"/>
      <c r="B203" s="179"/>
      <c r="C203" s="179"/>
      <c r="D203" s="179"/>
      <c r="E203" s="179"/>
      <c r="F203" s="179"/>
      <c r="G203" s="179"/>
      <c r="H203" s="179"/>
      <c r="I203" s="179"/>
      <c r="J203" s="179"/>
      <c r="K203" s="179"/>
      <c r="L203" s="179"/>
      <c r="M203" s="179"/>
      <c r="N203" s="179"/>
      <c r="O203" s="179"/>
      <c r="P203" s="179"/>
      <c r="Q203" s="179"/>
      <c r="R203" s="57"/>
      <c r="S203" s="179"/>
      <c r="T203" s="179"/>
      <c r="U203" s="179"/>
      <c r="V203" s="179"/>
      <c r="W203" s="785"/>
      <c r="X203" s="128"/>
      <c r="Y203" s="128"/>
      <c r="Z203" s="128"/>
      <c r="AA203" s="128"/>
      <c r="AB203" s="837"/>
      <c r="AC203" s="128"/>
      <c r="AD203" s="128"/>
      <c r="AE203" s="128"/>
      <c r="AF203" s="128"/>
      <c r="AG203" s="837"/>
      <c r="AH203" s="128"/>
      <c r="AI203" s="128"/>
      <c r="AJ203" s="128"/>
      <c r="AK203" s="128"/>
      <c r="AL203" s="837"/>
      <c r="AM203" s="128"/>
      <c r="AN203" s="128"/>
      <c r="AO203" s="128"/>
      <c r="AP203" s="128"/>
      <c r="AQ203" s="837"/>
      <c r="AR203" s="128"/>
      <c r="AS203" s="128"/>
      <c r="AT203" s="128"/>
      <c r="AU203" s="128"/>
      <c r="AV203" s="837"/>
      <c r="AW203" s="128"/>
      <c r="AX203" s="128"/>
      <c r="AY203" s="128"/>
      <c r="AZ203" s="128"/>
      <c r="BA203" s="837"/>
      <c r="BB203" s="128"/>
      <c r="BC203" s="128"/>
      <c r="BD203" s="128"/>
      <c r="BE203" s="128"/>
      <c r="BF203" s="837"/>
      <c r="BG203" s="128"/>
      <c r="BH203" s="128"/>
      <c r="BI203" s="128"/>
      <c r="BJ203" s="128"/>
      <c r="BK203" s="837"/>
      <c r="BL203" s="128"/>
      <c r="BM203" s="128"/>
      <c r="BN203" s="128"/>
      <c r="BO203" s="128"/>
      <c r="BP203" s="837"/>
      <c r="BQ203" s="128"/>
      <c r="BR203" s="128"/>
      <c r="BS203" s="128"/>
      <c r="BT203" s="128"/>
      <c r="BU203" s="837"/>
      <c r="BV203" s="128"/>
      <c r="BW203" s="128"/>
      <c r="BX203" s="128"/>
      <c r="BY203" s="128"/>
      <c r="BZ203" s="837"/>
      <c r="CA203" s="128"/>
      <c r="CB203" s="128"/>
      <c r="CC203" s="128"/>
      <c r="CD203" s="128"/>
      <c r="CE203" s="837"/>
      <c r="CF203" s="128"/>
      <c r="CG203" s="128"/>
      <c r="CH203" s="128"/>
      <c r="CI203" s="128"/>
      <c r="CJ203" s="837"/>
      <c r="CK203" s="128"/>
      <c r="CL203" s="128"/>
      <c r="CM203" s="128"/>
      <c r="CN203" s="128"/>
      <c r="CO203" s="837"/>
      <c r="CP203" s="128"/>
      <c r="CQ203" s="128"/>
      <c r="CR203" s="128"/>
      <c r="CS203" s="128"/>
      <c r="CT203" s="836"/>
      <c r="CU203" s="128"/>
      <c r="CV203" s="128"/>
      <c r="CW203" s="128"/>
      <c r="CX203" s="128"/>
      <c r="CY203" s="836"/>
      <c r="CZ203" s="129"/>
      <c r="DA203" s="128"/>
      <c r="DB203" s="129"/>
      <c r="DC203" s="128"/>
      <c r="DD203" s="836"/>
      <c r="DE203" s="129"/>
      <c r="DF203" s="128"/>
      <c r="DG203" s="129"/>
      <c r="DH203" s="128"/>
      <c r="DI203" s="836"/>
      <c r="DJ203" s="129"/>
      <c r="DK203" s="129"/>
      <c r="DL203" s="129"/>
      <c r="DM203" s="128"/>
      <c r="DN203" s="836"/>
      <c r="DO203" s="128"/>
      <c r="DP203" s="128"/>
      <c r="DQ203" s="129"/>
      <c r="DR203" s="925"/>
      <c r="DS203" s="836"/>
      <c r="DT203" s="129"/>
      <c r="DU203" s="129"/>
      <c r="DV203" s="925"/>
      <c r="DW203" s="925"/>
      <c r="DX203" s="836"/>
      <c r="DY203" s="925"/>
      <c r="DZ203" s="925"/>
      <c r="EA203" s="925"/>
      <c r="EB203" s="925"/>
      <c r="EC203" s="836"/>
      <c r="ED203" s="925"/>
      <c r="EE203" s="925"/>
      <c r="EF203" s="925"/>
      <c r="EG203" s="925"/>
      <c r="EH203" s="836"/>
      <c r="EI203" s="134"/>
      <c r="EJ203" s="128"/>
      <c r="EK203" s="128"/>
      <c r="EL203" s="128"/>
      <c r="EM203" s="836"/>
      <c r="EN203" s="128"/>
      <c r="EO203" s="128"/>
      <c r="EP203" s="128"/>
      <c r="EQ203" s="128"/>
      <c r="ER203" s="836"/>
      <c r="ES203" s="128"/>
      <c r="ET203" s="128"/>
      <c r="EU203" s="128"/>
      <c r="EV203" s="128"/>
      <c r="EW203" s="836"/>
      <c r="EX203" s="128"/>
      <c r="EY203" s="128"/>
      <c r="EZ203" s="128"/>
      <c r="FA203" s="128"/>
      <c r="FB203" s="836"/>
      <c r="FC203" s="128"/>
      <c r="FD203" s="128"/>
      <c r="FE203" s="128"/>
      <c r="FF203" s="128"/>
      <c r="FG203" s="836"/>
    </row>
    <row r="204" ht="12.75" customHeight="1">
      <c r="A204" s="128"/>
      <c r="B204" s="179"/>
      <c r="C204" s="179"/>
      <c r="D204" s="179"/>
      <c r="E204" s="179"/>
      <c r="F204" s="179"/>
      <c r="G204" s="179"/>
      <c r="H204" s="179"/>
      <c r="I204" s="179"/>
      <c r="J204" s="179"/>
      <c r="K204" s="179"/>
      <c r="L204" s="179"/>
      <c r="M204" s="179"/>
      <c r="N204" s="179"/>
      <c r="O204" s="179"/>
      <c r="P204" s="179"/>
      <c r="Q204" s="179"/>
      <c r="R204" s="57"/>
      <c r="S204" s="179"/>
      <c r="T204" s="179"/>
      <c r="U204" s="179"/>
      <c r="V204" s="179"/>
      <c r="W204" s="785"/>
      <c r="X204" s="128"/>
      <c r="Y204" s="128"/>
      <c r="Z204" s="128"/>
      <c r="AA204" s="128"/>
      <c r="AB204" s="837"/>
      <c r="AC204" s="128"/>
      <c r="AD204" s="128"/>
      <c r="AE204" s="128"/>
      <c r="AF204" s="128"/>
      <c r="AG204" s="837"/>
      <c r="AH204" s="128"/>
      <c r="AI204" s="128"/>
      <c r="AJ204" s="128"/>
      <c r="AK204" s="128"/>
      <c r="AL204" s="837"/>
      <c r="AM204" s="128"/>
      <c r="AN204" s="128"/>
      <c r="AO204" s="128"/>
      <c r="AP204" s="128"/>
      <c r="AQ204" s="837"/>
      <c r="AR204" s="128"/>
      <c r="AS204" s="128"/>
      <c r="AT204" s="128"/>
      <c r="AU204" s="128"/>
      <c r="AV204" s="837"/>
      <c r="AW204" s="128"/>
      <c r="AX204" s="128"/>
      <c r="AY204" s="128"/>
      <c r="AZ204" s="128"/>
      <c r="BA204" s="837"/>
      <c r="BB204" s="128"/>
      <c r="BC204" s="128"/>
      <c r="BD204" s="128"/>
      <c r="BE204" s="128"/>
      <c r="BF204" s="837"/>
      <c r="BG204" s="128"/>
      <c r="BH204" s="128"/>
      <c r="BI204" s="128"/>
      <c r="BJ204" s="128"/>
      <c r="BK204" s="837"/>
      <c r="BL204" s="128"/>
      <c r="BM204" s="128"/>
      <c r="BN204" s="128"/>
      <c r="BO204" s="128"/>
      <c r="BP204" s="837"/>
      <c r="BQ204" s="128"/>
      <c r="BR204" s="128"/>
      <c r="BS204" s="128"/>
      <c r="BT204" s="128"/>
      <c r="BU204" s="837"/>
      <c r="BV204" s="128"/>
      <c r="BW204" s="128"/>
      <c r="BX204" s="128"/>
      <c r="BY204" s="128"/>
      <c r="BZ204" s="837"/>
      <c r="CA204" s="128"/>
      <c r="CB204" s="128"/>
      <c r="CC204" s="128"/>
      <c r="CD204" s="128"/>
      <c r="CE204" s="837"/>
      <c r="CF204" s="128"/>
      <c r="CG204" s="128"/>
      <c r="CH204" s="128"/>
      <c r="CI204" s="128"/>
      <c r="CJ204" s="837"/>
      <c r="CK204" s="128"/>
      <c r="CL204" s="128"/>
      <c r="CM204" s="128"/>
      <c r="CN204" s="128"/>
      <c r="CO204" s="837"/>
      <c r="CP204" s="128"/>
      <c r="CQ204" s="128"/>
      <c r="CR204" s="128"/>
      <c r="CS204" s="128"/>
      <c r="CT204" s="836"/>
      <c r="CU204" s="128"/>
      <c r="CV204" s="128"/>
      <c r="CW204" s="128"/>
      <c r="CX204" s="128"/>
      <c r="CY204" s="836"/>
      <c r="CZ204" s="129"/>
      <c r="DA204" s="128"/>
      <c r="DB204" s="129"/>
      <c r="DC204" s="128"/>
      <c r="DD204" s="836"/>
      <c r="DE204" s="129"/>
      <c r="DF204" s="128"/>
      <c r="DG204" s="129"/>
      <c r="DH204" s="128"/>
      <c r="DI204" s="836"/>
      <c r="DJ204" s="129"/>
      <c r="DK204" s="129"/>
      <c r="DL204" s="129"/>
      <c r="DM204" s="128"/>
      <c r="DN204" s="836"/>
      <c r="DO204" s="128"/>
      <c r="DP204" s="128"/>
      <c r="DQ204" s="129"/>
      <c r="DR204" s="925"/>
      <c r="DS204" s="836"/>
      <c r="DT204" s="129"/>
      <c r="DU204" s="129"/>
      <c r="DV204" s="925"/>
      <c r="DW204" s="925"/>
      <c r="DX204" s="836"/>
      <c r="DY204" s="925"/>
      <c r="DZ204" s="925"/>
      <c r="EA204" s="925"/>
      <c r="EB204" s="925"/>
      <c r="EC204" s="836"/>
      <c r="ED204" s="925"/>
      <c r="EE204" s="925"/>
      <c r="EF204" s="925"/>
      <c r="EG204" s="925"/>
      <c r="EH204" s="836"/>
      <c r="EI204" s="134"/>
      <c r="EJ204" s="128"/>
      <c r="EK204" s="128"/>
      <c r="EL204" s="128"/>
      <c r="EM204" s="836"/>
      <c r="EN204" s="128"/>
      <c r="EO204" s="128"/>
      <c r="EP204" s="128"/>
      <c r="EQ204" s="128"/>
      <c r="ER204" s="836"/>
      <c r="ES204" s="128"/>
      <c r="ET204" s="128"/>
      <c r="EU204" s="128"/>
      <c r="EV204" s="128"/>
      <c r="EW204" s="836"/>
      <c r="EX204" s="128"/>
      <c r="EY204" s="128"/>
      <c r="EZ204" s="128"/>
      <c r="FA204" s="128"/>
      <c r="FB204" s="836"/>
      <c r="FC204" s="128"/>
      <c r="FD204" s="128"/>
      <c r="FE204" s="128"/>
      <c r="FF204" s="128"/>
      <c r="FG204" s="836"/>
    </row>
    <row r="205" ht="12.75" customHeight="1">
      <c r="A205" s="128"/>
      <c r="B205" s="179"/>
      <c r="C205" s="179"/>
      <c r="D205" s="179"/>
      <c r="E205" s="179"/>
      <c r="F205" s="179"/>
      <c r="G205" s="179"/>
      <c r="H205" s="179"/>
      <c r="I205" s="179"/>
      <c r="J205" s="179"/>
      <c r="K205" s="179"/>
      <c r="L205" s="179"/>
      <c r="M205" s="179"/>
      <c r="N205" s="179"/>
      <c r="O205" s="179"/>
      <c r="P205" s="179"/>
      <c r="Q205" s="179"/>
      <c r="R205" s="57"/>
      <c r="S205" s="179"/>
      <c r="T205" s="179"/>
      <c r="U205" s="179"/>
      <c r="V205" s="179"/>
      <c r="W205" s="785"/>
      <c r="X205" s="128"/>
      <c r="Y205" s="128"/>
      <c r="Z205" s="128"/>
      <c r="AA205" s="128"/>
      <c r="AB205" s="837"/>
      <c r="AC205" s="128"/>
      <c r="AD205" s="128"/>
      <c r="AE205" s="128"/>
      <c r="AF205" s="128"/>
      <c r="AG205" s="837"/>
      <c r="AH205" s="128"/>
      <c r="AI205" s="128"/>
      <c r="AJ205" s="128"/>
      <c r="AK205" s="128"/>
      <c r="AL205" s="837"/>
      <c r="AM205" s="128"/>
      <c r="AN205" s="128"/>
      <c r="AO205" s="128"/>
      <c r="AP205" s="128"/>
      <c r="AQ205" s="837"/>
      <c r="AR205" s="128"/>
      <c r="AS205" s="128"/>
      <c r="AT205" s="128"/>
      <c r="AU205" s="128"/>
      <c r="AV205" s="837"/>
      <c r="AW205" s="128"/>
      <c r="AX205" s="128"/>
      <c r="AY205" s="128"/>
      <c r="AZ205" s="128"/>
      <c r="BA205" s="837"/>
      <c r="BB205" s="128"/>
      <c r="BC205" s="128"/>
      <c r="BD205" s="128"/>
      <c r="BE205" s="128"/>
      <c r="BF205" s="837"/>
      <c r="BG205" s="128"/>
      <c r="BH205" s="128"/>
      <c r="BI205" s="128"/>
      <c r="BJ205" s="128"/>
      <c r="BK205" s="837"/>
      <c r="BL205" s="128"/>
      <c r="BM205" s="128"/>
      <c r="BN205" s="128"/>
      <c r="BO205" s="128"/>
      <c r="BP205" s="837"/>
      <c r="BQ205" s="128"/>
      <c r="BR205" s="128"/>
      <c r="BS205" s="128"/>
      <c r="BT205" s="128"/>
      <c r="BU205" s="837"/>
      <c r="BV205" s="128"/>
      <c r="BW205" s="128"/>
      <c r="BX205" s="128"/>
      <c r="BY205" s="128"/>
      <c r="BZ205" s="837"/>
      <c r="CA205" s="128"/>
      <c r="CB205" s="128"/>
      <c r="CC205" s="128"/>
      <c r="CD205" s="128"/>
      <c r="CE205" s="837"/>
      <c r="CF205" s="128"/>
      <c r="CG205" s="128"/>
      <c r="CH205" s="128"/>
      <c r="CI205" s="128"/>
      <c r="CJ205" s="837"/>
      <c r="CK205" s="128"/>
      <c r="CL205" s="128"/>
      <c r="CM205" s="128"/>
      <c r="CN205" s="128"/>
      <c r="CO205" s="837"/>
      <c r="CP205" s="128"/>
      <c r="CQ205" s="128"/>
      <c r="CR205" s="128"/>
      <c r="CS205" s="128"/>
      <c r="CT205" s="836"/>
      <c r="CU205" s="128"/>
      <c r="CV205" s="128"/>
      <c r="CW205" s="128"/>
      <c r="CX205" s="128"/>
      <c r="CY205" s="836"/>
      <c r="CZ205" s="129"/>
      <c r="DA205" s="128"/>
      <c r="DB205" s="129"/>
      <c r="DC205" s="128"/>
      <c r="DD205" s="836"/>
      <c r="DE205" s="129"/>
      <c r="DF205" s="128"/>
      <c r="DG205" s="129"/>
      <c r="DH205" s="128"/>
      <c r="DI205" s="836"/>
      <c r="DJ205" s="129"/>
      <c r="DK205" s="129"/>
      <c r="DL205" s="129"/>
      <c r="DM205" s="128"/>
      <c r="DN205" s="836"/>
      <c r="DO205" s="128"/>
      <c r="DP205" s="128"/>
      <c r="DQ205" s="129"/>
      <c r="DR205" s="925"/>
      <c r="DS205" s="836"/>
      <c r="DT205" s="129"/>
      <c r="DU205" s="129"/>
      <c r="DV205" s="925"/>
      <c r="DW205" s="925"/>
      <c r="DX205" s="836"/>
      <c r="DY205" s="925"/>
      <c r="DZ205" s="925"/>
      <c r="EA205" s="925"/>
      <c r="EB205" s="925"/>
      <c r="EC205" s="836"/>
      <c r="ED205" s="925"/>
      <c r="EE205" s="925"/>
      <c r="EF205" s="925"/>
      <c r="EG205" s="925"/>
      <c r="EH205" s="836"/>
      <c r="EI205" s="134"/>
      <c r="EJ205" s="128"/>
      <c r="EK205" s="128"/>
      <c r="EL205" s="128"/>
      <c r="EM205" s="836"/>
      <c r="EN205" s="128"/>
      <c r="EO205" s="128"/>
      <c r="EP205" s="128"/>
      <c r="EQ205" s="128"/>
      <c r="ER205" s="836"/>
      <c r="ES205" s="128"/>
      <c r="ET205" s="128"/>
      <c r="EU205" s="128"/>
      <c r="EV205" s="128"/>
      <c r="EW205" s="836"/>
      <c r="EX205" s="128"/>
      <c r="EY205" s="128"/>
      <c r="EZ205" s="128"/>
      <c r="FA205" s="128"/>
      <c r="FB205" s="836"/>
      <c r="FC205" s="128"/>
      <c r="FD205" s="128"/>
      <c r="FE205" s="128"/>
      <c r="FF205" s="128"/>
      <c r="FG205" s="836"/>
    </row>
    <row r="206" ht="12.75" customHeight="1">
      <c r="A206" s="128"/>
      <c r="B206" s="179"/>
      <c r="C206" s="179"/>
      <c r="D206" s="179"/>
      <c r="E206" s="179"/>
      <c r="F206" s="179"/>
      <c r="G206" s="179"/>
      <c r="H206" s="179"/>
      <c r="I206" s="179"/>
      <c r="J206" s="179"/>
      <c r="K206" s="179"/>
      <c r="L206" s="179"/>
      <c r="M206" s="179"/>
      <c r="N206" s="179"/>
      <c r="O206" s="179"/>
      <c r="P206" s="179"/>
      <c r="Q206" s="179"/>
      <c r="R206" s="57"/>
      <c r="S206" s="179"/>
      <c r="T206" s="179"/>
      <c r="U206" s="179"/>
      <c r="V206" s="179"/>
      <c r="W206" s="785"/>
      <c r="X206" s="128"/>
      <c r="Y206" s="128"/>
      <c r="Z206" s="128"/>
      <c r="AA206" s="128"/>
      <c r="AB206" s="837"/>
      <c r="AC206" s="128"/>
      <c r="AD206" s="128"/>
      <c r="AE206" s="128"/>
      <c r="AF206" s="128"/>
      <c r="AG206" s="837"/>
      <c r="AH206" s="128"/>
      <c r="AI206" s="128"/>
      <c r="AJ206" s="128"/>
      <c r="AK206" s="128"/>
      <c r="AL206" s="837"/>
      <c r="AM206" s="128"/>
      <c r="AN206" s="128"/>
      <c r="AO206" s="128"/>
      <c r="AP206" s="128"/>
      <c r="AQ206" s="837"/>
      <c r="AR206" s="128"/>
      <c r="AS206" s="128"/>
      <c r="AT206" s="128"/>
      <c r="AU206" s="128"/>
      <c r="AV206" s="837"/>
      <c r="AW206" s="128"/>
      <c r="AX206" s="128"/>
      <c r="AY206" s="128"/>
      <c r="AZ206" s="128"/>
      <c r="BA206" s="837"/>
      <c r="BB206" s="128"/>
      <c r="BC206" s="128"/>
      <c r="BD206" s="128"/>
      <c r="BE206" s="128"/>
      <c r="BF206" s="837"/>
      <c r="BG206" s="128"/>
      <c r="BH206" s="128"/>
      <c r="BI206" s="128"/>
      <c r="BJ206" s="128"/>
      <c r="BK206" s="837"/>
      <c r="BL206" s="128"/>
      <c r="BM206" s="128"/>
      <c r="BN206" s="128"/>
      <c r="BO206" s="128"/>
      <c r="BP206" s="837"/>
      <c r="BQ206" s="128"/>
      <c r="BR206" s="128"/>
      <c r="BS206" s="128"/>
      <c r="BT206" s="128"/>
      <c r="BU206" s="837"/>
      <c r="BV206" s="128"/>
      <c r="BW206" s="128"/>
      <c r="BX206" s="128"/>
      <c r="BY206" s="128"/>
      <c r="BZ206" s="837"/>
      <c r="CA206" s="128"/>
      <c r="CB206" s="128"/>
      <c r="CC206" s="128"/>
      <c r="CD206" s="128"/>
      <c r="CE206" s="837"/>
      <c r="CF206" s="128"/>
      <c r="CG206" s="128"/>
      <c r="CH206" s="128"/>
      <c r="CI206" s="128"/>
      <c r="CJ206" s="837"/>
      <c r="CK206" s="128"/>
      <c r="CL206" s="128"/>
      <c r="CM206" s="128"/>
      <c r="CN206" s="128"/>
      <c r="CO206" s="837"/>
      <c r="CP206" s="128"/>
      <c r="CQ206" s="128"/>
      <c r="CR206" s="128"/>
      <c r="CS206" s="128"/>
      <c r="CT206" s="836"/>
      <c r="CU206" s="128"/>
      <c r="CV206" s="128"/>
      <c r="CW206" s="128"/>
      <c r="CX206" s="128"/>
      <c r="CY206" s="836"/>
      <c r="CZ206" s="129"/>
      <c r="DA206" s="128"/>
      <c r="DB206" s="129"/>
      <c r="DC206" s="128"/>
      <c r="DD206" s="836"/>
      <c r="DE206" s="129"/>
      <c r="DF206" s="128"/>
      <c r="DG206" s="129"/>
      <c r="DH206" s="128"/>
      <c r="DI206" s="836"/>
      <c r="DJ206" s="129"/>
      <c r="DK206" s="129"/>
      <c r="DL206" s="129"/>
      <c r="DM206" s="128"/>
      <c r="DN206" s="836"/>
      <c r="DO206" s="128"/>
      <c r="DP206" s="128"/>
      <c r="DQ206" s="129"/>
      <c r="DR206" s="925"/>
      <c r="DS206" s="836"/>
      <c r="DT206" s="129"/>
      <c r="DU206" s="129"/>
      <c r="DV206" s="925"/>
      <c r="DW206" s="925"/>
      <c r="DX206" s="836"/>
      <c r="DY206" s="925"/>
      <c r="DZ206" s="925"/>
      <c r="EA206" s="925"/>
      <c r="EB206" s="925"/>
      <c r="EC206" s="836"/>
      <c r="ED206" s="925"/>
      <c r="EE206" s="925"/>
      <c r="EF206" s="925"/>
      <c r="EG206" s="925"/>
      <c r="EH206" s="836"/>
      <c r="EI206" s="134"/>
      <c r="EJ206" s="128"/>
      <c r="EK206" s="128"/>
      <c r="EL206" s="128"/>
      <c r="EM206" s="836"/>
      <c r="EN206" s="128"/>
      <c r="EO206" s="128"/>
      <c r="EP206" s="128"/>
      <c r="EQ206" s="128"/>
      <c r="ER206" s="836"/>
      <c r="ES206" s="128"/>
      <c r="ET206" s="128"/>
      <c r="EU206" s="128"/>
      <c r="EV206" s="128"/>
      <c r="EW206" s="836"/>
      <c r="EX206" s="128"/>
      <c r="EY206" s="128"/>
      <c r="EZ206" s="128"/>
      <c r="FA206" s="128"/>
      <c r="FB206" s="836"/>
      <c r="FC206" s="128"/>
      <c r="FD206" s="128"/>
      <c r="FE206" s="128"/>
      <c r="FF206" s="128"/>
      <c r="FG206" s="836"/>
    </row>
    <row r="207" ht="12.75" customHeight="1">
      <c r="A207" s="128"/>
      <c r="B207" s="179"/>
      <c r="C207" s="179"/>
      <c r="D207" s="179"/>
      <c r="E207" s="179"/>
      <c r="F207" s="179"/>
      <c r="G207" s="179"/>
      <c r="H207" s="179"/>
      <c r="I207" s="179"/>
      <c r="J207" s="179"/>
      <c r="K207" s="179"/>
      <c r="L207" s="179"/>
      <c r="M207" s="179"/>
      <c r="N207" s="179"/>
      <c r="O207" s="179"/>
      <c r="P207" s="179"/>
      <c r="Q207" s="179"/>
      <c r="R207" s="57"/>
      <c r="S207" s="179"/>
      <c r="T207" s="179"/>
      <c r="U207" s="179"/>
      <c r="V207" s="179"/>
      <c r="W207" s="785"/>
      <c r="X207" s="128"/>
      <c r="Y207" s="128"/>
      <c r="Z207" s="128"/>
      <c r="AA207" s="128"/>
      <c r="AB207" s="837"/>
      <c r="AC207" s="128"/>
      <c r="AD207" s="128"/>
      <c r="AE207" s="128"/>
      <c r="AF207" s="128"/>
      <c r="AG207" s="837"/>
      <c r="AH207" s="128"/>
      <c r="AI207" s="128"/>
      <c r="AJ207" s="128"/>
      <c r="AK207" s="128"/>
      <c r="AL207" s="837"/>
      <c r="AM207" s="128"/>
      <c r="AN207" s="128"/>
      <c r="AO207" s="128"/>
      <c r="AP207" s="128"/>
      <c r="AQ207" s="837"/>
      <c r="AR207" s="128"/>
      <c r="AS207" s="128"/>
      <c r="AT207" s="128"/>
      <c r="AU207" s="128"/>
      <c r="AV207" s="837"/>
      <c r="AW207" s="128"/>
      <c r="AX207" s="128"/>
      <c r="AY207" s="128"/>
      <c r="AZ207" s="128"/>
      <c r="BA207" s="837"/>
      <c r="BB207" s="128"/>
      <c r="BC207" s="128"/>
      <c r="BD207" s="128"/>
      <c r="BE207" s="128"/>
      <c r="BF207" s="837"/>
      <c r="BG207" s="128"/>
      <c r="BH207" s="128"/>
      <c r="BI207" s="128"/>
      <c r="BJ207" s="128"/>
      <c r="BK207" s="837"/>
      <c r="BL207" s="128"/>
      <c r="BM207" s="128"/>
      <c r="BN207" s="128"/>
      <c r="BO207" s="128"/>
      <c r="BP207" s="837"/>
      <c r="BQ207" s="128"/>
      <c r="BR207" s="128"/>
      <c r="BS207" s="128"/>
      <c r="BT207" s="128"/>
      <c r="BU207" s="837"/>
      <c r="BV207" s="128"/>
      <c r="BW207" s="128"/>
      <c r="BX207" s="128"/>
      <c r="BY207" s="128"/>
      <c r="BZ207" s="837"/>
      <c r="CA207" s="128"/>
      <c r="CB207" s="128"/>
      <c r="CC207" s="128"/>
      <c r="CD207" s="128"/>
      <c r="CE207" s="837"/>
      <c r="CF207" s="128"/>
      <c r="CG207" s="128"/>
      <c r="CH207" s="128"/>
      <c r="CI207" s="128"/>
      <c r="CJ207" s="837"/>
      <c r="CK207" s="128"/>
      <c r="CL207" s="128"/>
      <c r="CM207" s="128"/>
      <c r="CN207" s="128"/>
      <c r="CO207" s="837"/>
      <c r="CP207" s="128"/>
      <c r="CQ207" s="128"/>
      <c r="CR207" s="128"/>
      <c r="CS207" s="128"/>
      <c r="CT207" s="836"/>
      <c r="CU207" s="128"/>
      <c r="CV207" s="128"/>
      <c r="CW207" s="128"/>
      <c r="CX207" s="128"/>
      <c r="CY207" s="836"/>
      <c r="CZ207" s="129"/>
      <c r="DA207" s="128"/>
      <c r="DB207" s="129"/>
      <c r="DC207" s="128"/>
      <c r="DD207" s="836"/>
      <c r="DE207" s="129"/>
      <c r="DF207" s="128"/>
      <c r="DG207" s="129"/>
      <c r="DH207" s="128"/>
      <c r="DI207" s="836"/>
      <c r="DJ207" s="129"/>
      <c r="DK207" s="129"/>
      <c r="DL207" s="129"/>
      <c r="DM207" s="128"/>
      <c r="DN207" s="836"/>
      <c r="DO207" s="128"/>
      <c r="DP207" s="128"/>
      <c r="DQ207" s="129"/>
      <c r="DR207" s="925"/>
      <c r="DS207" s="836"/>
      <c r="DT207" s="129"/>
      <c r="DU207" s="129"/>
      <c r="DV207" s="925"/>
      <c r="DW207" s="925"/>
      <c r="DX207" s="836"/>
      <c r="DY207" s="925"/>
      <c r="DZ207" s="925"/>
      <c r="EA207" s="925"/>
      <c r="EB207" s="925"/>
      <c r="EC207" s="836"/>
      <c r="ED207" s="925"/>
      <c r="EE207" s="925"/>
      <c r="EF207" s="925"/>
      <c r="EG207" s="925"/>
      <c r="EH207" s="836"/>
      <c r="EI207" s="134"/>
      <c r="EJ207" s="128"/>
      <c r="EK207" s="128"/>
      <c r="EL207" s="128"/>
      <c r="EM207" s="836"/>
      <c r="EN207" s="128"/>
      <c r="EO207" s="128"/>
      <c r="EP207" s="128"/>
      <c r="EQ207" s="128"/>
      <c r="ER207" s="836"/>
      <c r="ES207" s="128"/>
      <c r="ET207" s="128"/>
      <c r="EU207" s="128"/>
      <c r="EV207" s="128"/>
      <c r="EW207" s="836"/>
      <c r="EX207" s="128"/>
      <c r="EY207" s="128"/>
      <c r="EZ207" s="128"/>
      <c r="FA207" s="128"/>
      <c r="FB207" s="836"/>
      <c r="FC207" s="128"/>
      <c r="FD207" s="128"/>
      <c r="FE207" s="128"/>
      <c r="FF207" s="128"/>
      <c r="FG207" s="836"/>
    </row>
    <row r="208" ht="12.75" customHeight="1">
      <c r="A208" s="128"/>
      <c r="B208" s="179"/>
      <c r="C208" s="179"/>
      <c r="D208" s="179"/>
      <c r="E208" s="179"/>
      <c r="F208" s="179"/>
      <c r="G208" s="179"/>
      <c r="H208" s="179"/>
      <c r="I208" s="179"/>
      <c r="J208" s="179"/>
      <c r="K208" s="179"/>
      <c r="L208" s="179"/>
      <c r="M208" s="179"/>
      <c r="N208" s="179"/>
      <c r="O208" s="179"/>
      <c r="P208" s="179"/>
      <c r="Q208" s="179"/>
      <c r="R208" s="57"/>
      <c r="S208" s="179"/>
      <c r="T208" s="179"/>
      <c r="U208" s="179"/>
      <c r="V208" s="179"/>
      <c r="W208" s="785"/>
      <c r="X208" s="128"/>
      <c r="Y208" s="128"/>
      <c r="Z208" s="128"/>
      <c r="AA208" s="128"/>
      <c r="AB208" s="837"/>
      <c r="AC208" s="128"/>
      <c r="AD208" s="128"/>
      <c r="AE208" s="128"/>
      <c r="AF208" s="128"/>
      <c r="AG208" s="837"/>
      <c r="AH208" s="128"/>
      <c r="AI208" s="128"/>
      <c r="AJ208" s="128"/>
      <c r="AK208" s="128"/>
      <c r="AL208" s="837"/>
      <c r="AM208" s="128"/>
      <c r="AN208" s="128"/>
      <c r="AO208" s="128"/>
      <c r="AP208" s="128"/>
      <c r="AQ208" s="837"/>
      <c r="AR208" s="128"/>
      <c r="AS208" s="128"/>
      <c r="AT208" s="128"/>
      <c r="AU208" s="128"/>
      <c r="AV208" s="837"/>
      <c r="AW208" s="128"/>
      <c r="AX208" s="128"/>
      <c r="AY208" s="128"/>
      <c r="AZ208" s="128"/>
      <c r="BA208" s="837"/>
      <c r="BB208" s="128"/>
      <c r="BC208" s="128"/>
      <c r="BD208" s="128"/>
      <c r="BE208" s="128"/>
      <c r="BF208" s="837"/>
      <c r="BG208" s="128"/>
      <c r="BH208" s="128"/>
      <c r="BI208" s="128"/>
      <c r="BJ208" s="128"/>
      <c r="BK208" s="837"/>
      <c r="BL208" s="128"/>
      <c r="BM208" s="128"/>
      <c r="BN208" s="128"/>
      <c r="BO208" s="128"/>
      <c r="BP208" s="837"/>
      <c r="BQ208" s="128"/>
      <c r="BR208" s="128"/>
      <c r="BS208" s="128"/>
      <c r="BT208" s="128"/>
      <c r="BU208" s="837"/>
      <c r="BV208" s="128"/>
      <c r="BW208" s="128"/>
      <c r="BX208" s="128"/>
      <c r="BY208" s="128"/>
      <c r="BZ208" s="837"/>
      <c r="CA208" s="128"/>
      <c r="CB208" s="128"/>
      <c r="CC208" s="128"/>
      <c r="CD208" s="128"/>
      <c r="CE208" s="837"/>
      <c r="CF208" s="128"/>
      <c r="CG208" s="128"/>
      <c r="CH208" s="128"/>
      <c r="CI208" s="128"/>
      <c r="CJ208" s="837"/>
      <c r="CK208" s="128"/>
      <c r="CL208" s="128"/>
      <c r="CM208" s="128"/>
      <c r="CN208" s="128"/>
      <c r="CO208" s="837"/>
      <c r="CP208" s="128"/>
      <c r="CQ208" s="128"/>
      <c r="CR208" s="128"/>
      <c r="CS208" s="128"/>
      <c r="CT208" s="836"/>
      <c r="CU208" s="128"/>
      <c r="CV208" s="128"/>
      <c r="CW208" s="128"/>
      <c r="CX208" s="128"/>
      <c r="CY208" s="836"/>
      <c r="CZ208" s="129"/>
      <c r="DA208" s="128"/>
      <c r="DB208" s="129"/>
      <c r="DC208" s="128"/>
      <c r="DD208" s="836"/>
      <c r="DE208" s="129"/>
      <c r="DF208" s="128"/>
      <c r="DG208" s="129"/>
      <c r="DH208" s="128"/>
      <c r="DI208" s="836"/>
      <c r="DJ208" s="129"/>
      <c r="DK208" s="129"/>
      <c r="DL208" s="129"/>
      <c r="DM208" s="128"/>
      <c r="DN208" s="836"/>
      <c r="DO208" s="128"/>
      <c r="DP208" s="128"/>
      <c r="DQ208" s="129"/>
      <c r="DR208" s="925"/>
      <c r="DS208" s="836"/>
      <c r="DT208" s="129"/>
      <c r="DU208" s="129"/>
      <c r="DV208" s="925"/>
      <c r="DW208" s="925"/>
      <c r="DX208" s="836"/>
      <c r="DY208" s="925"/>
      <c r="DZ208" s="925"/>
      <c r="EA208" s="925"/>
      <c r="EB208" s="925"/>
      <c r="EC208" s="836"/>
      <c r="ED208" s="925"/>
      <c r="EE208" s="925"/>
      <c r="EF208" s="925"/>
      <c r="EG208" s="925"/>
      <c r="EH208" s="836"/>
      <c r="EI208" s="134"/>
      <c r="EJ208" s="128"/>
      <c r="EK208" s="128"/>
      <c r="EL208" s="128"/>
      <c r="EM208" s="836"/>
      <c r="EN208" s="128"/>
      <c r="EO208" s="128"/>
      <c r="EP208" s="128"/>
      <c r="EQ208" s="128"/>
      <c r="ER208" s="836"/>
      <c r="ES208" s="128"/>
      <c r="ET208" s="128"/>
      <c r="EU208" s="128"/>
      <c r="EV208" s="128"/>
      <c r="EW208" s="836"/>
      <c r="EX208" s="128"/>
      <c r="EY208" s="128"/>
      <c r="EZ208" s="128"/>
      <c r="FA208" s="128"/>
      <c r="FB208" s="836"/>
      <c r="FC208" s="128"/>
      <c r="FD208" s="128"/>
      <c r="FE208" s="128"/>
      <c r="FF208" s="128"/>
      <c r="FG208" s="836"/>
    </row>
    <row r="209" ht="12.75" customHeight="1">
      <c r="A209" s="128"/>
      <c r="B209" s="179"/>
      <c r="C209" s="179"/>
      <c r="D209" s="179"/>
      <c r="E209" s="179"/>
      <c r="F209" s="179"/>
      <c r="G209" s="179"/>
      <c r="H209" s="179"/>
      <c r="I209" s="179"/>
      <c r="J209" s="179"/>
      <c r="K209" s="179"/>
      <c r="L209" s="179"/>
      <c r="M209" s="179"/>
      <c r="N209" s="179"/>
      <c r="O209" s="179"/>
      <c r="P209" s="179"/>
      <c r="Q209" s="179"/>
      <c r="R209" s="57"/>
      <c r="S209" s="179"/>
      <c r="T209" s="179"/>
      <c r="U209" s="179"/>
      <c r="V209" s="179"/>
      <c r="W209" s="785"/>
      <c r="X209" s="128"/>
      <c r="Y209" s="128"/>
      <c r="Z209" s="128"/>
      <c r="AA209" s="128"/>
      <c r="AB209" s="837"/>
      <c r="AC209" s="128"/>
      <c r="AD209" s="128"/>
      <c r="AE209" s="128"/>
      <c r="AF209" s="128"/>
      <c r="AG209" s="837"/>
      <c r="AH209" s="128"/>
      <c r="AI209" s="128"/>
      <c r="AJ209" s="128"/>
      <c r="AK209" s="128"/>
      <c r="AL209" s="837"/>
      <c r="AM209" s="128"/>
      <c r="AN209" s="128"/>
      <c r="AO209" s="128"/>
      <c r="AP209" s="128"/>
      <c r="AQ209" s="837"/>
      <c r="AR209" s="128"/>
      <c r="AS209" s="128"/>
      <c r="AT209" s="128"/>
      <c r="AU209" s="128"/>
      <c r="AV209" s="837"/>
      <c r="AW209" s="128"/>
      <c r="AX209" s="128"/>
      <c r="AY209" s="128"/>
      <c r="AZ209" s="128"/>
      <c r="BA209" s="837"/>
      <c r="BB209" s="128"/>
      <c r="BC209" s="128"/>
      <c r="BD209" s="128"/>
      <c r="BE209" s="128"/>
      <c r="BF209" s="837"/>
      <c r="BG209" s="128"/>
      <c r="BH209" s="128"/>
      <c r="BI209" s="128"/>
      <c r="BJ209" s="128"/>
      <c r="BK209" s="837"/>
      <c r="BL209" s="128"/>
      <c r="BM209" s="128"/>
      <c r="BN209" s="128"/>
      <c r="BO209" s="128"/>
      <c r="BP209" s="837"/>
      <c r="BQ209" s="128"/>
      <c r="BR209" s="128"/>
      <c r="BS209" s="128"/>
      <c r="BT209" s="128"/>
      <c r="BU209" s="837"/>
      <c r="BV209" s="128"/>
      <c r="BW209" s="128"/>
      <c r="BX209" s="128"/>
      <c r="BY209" s="128"/>
      <c r="BZ209" s="837"/>
      <c r="CA209" s="128"/>
      <c r="CB209" s="128"/>
      <c r="CC209" s="128"/>
      <c r="CD209" s="128"/>
      <c r="CE209" s="837"/>
      <c r="CF209" s="128"/>
      <c r="CG209" s="128"/>
      <c r="CH209" s="128"/>
      <c r="CI209" s="128"/>
      <c r="CJ209" s="837"/>
      <c r="CK209" s="128"/>
      <c r="CL209" s="128"/>
      <c r="CM209" s="128"/>
      <c r="CN209" s="128"/>
      <c r="CO209" s="837"/>
      <c r="CP209" s="128"/>
      <c r="CQ209" s="128"/>
      <c r="CR209" s="128"/>
      <c r="CS209" s="128"/>
      <c r="CT209" s="836"/>
      <c r="CU209" s="128"/>
      <c r="CV209" s="128"/>
      <c r="CW209" s="128"/>
      <c r="CX209" s="128"/>
      <c r="CY209" s="836"/>
      <c r="CZ209" s="129"/>
      <c r="DA209" s="128"/>
      <c r="DB209" s="129"/>
      <c r="DC209" s="128"/>
      <c r="DD209" s="836"/>
      <c r="DE209" s="129"/>
      <c r="DF209" s="128"/>
      <c r="DG209" s="129"/>
      <c r="DH209" s="128"/>
      <c r="DI209" s="836"/>
      <c r="DJ209" s="129"/>
      <c r="DK209" s="129"/>
      <c r="DL209" s="129"/>
      <c r="DM209" s="128"/>
      <c r="DN209" s="836"/>
      <c r="DO209" s="128"/>
      <c r="DP209" s="128"/>
      <c r="DQ209" s="129"/>
      <c r="DR209" s="925"/>
      <c r="DS209" s="836"/>
      <c r="DT209" s="129"/>
      <c r="DU209" s="129"/>
      <c r="DV209" s="925"/>
      <c r="DW209" s="925"/>
      <c r="DX209" s="836"/>
      <c r="DY209" s="925"/>
      <c r="DZ209" s="925"/>
      <c r="EA209" s="925"/>
      <c r="EB209" s="925"/>
      <c r="EC209" s="836"/>
      <c r="ED209" s="925"/>
      <c r="EE209" s="925"/>
      <c r="EF209" s="925"/>
      <c r="EG209" s="925"/>
      <c r="EH209" s="836"/>
      <c r="EI209" s="134"/>
      <c r="EJ209" s="128"/>
      <c r="EK209" s="128"/>
      <c r="EL209" s="128"/>
      <c r="EM209" s="836"/>
      <c r="EN209" s="128"/>
      <c r="EO209" s="128"/>
      <c r="EP209" s="128"/>
      <c r="EQ209" s="128"/>
      <c r="ER209" s="836"/>
      <c r="ES209" s="128"/>
      <c r="ET209" s="128"/>
      <c r="EU209" s="128"/>
      <c r="EV209" s="128"/>
      <c r="EW209" s="836"/>
      <c r="EX209" s="128"/>
      <c r="EY209" s="128"/>
      <c r="EZ209" s="128"/>
      <c r="FA209" s="128"/>
      <c r="FB209" s="836"/>
      <c r="FC209" s="128"/>
      <c r="FD209" s="128"/>
      <c r="FE209" s="128"/>
      <c r="FF209" s="128"/>
      <c r="FG209" s="836"/>
    </row>
    <row r="210" ht="12.75" customHeight="1">
      <c r="A210" s="128"/>
      <c r="B210" s="179"/>
      <c r="C210" s="179"/>
      <c r="D210" s="179"/>
      <c r="E210" s="179"/>
      <c r="F210" s="179"/>
      <c r="G210" s="179"/>
      <c r="H210" s="179"/>
      <c r="I210" s="179"/>
      <c r="J210" s="179"/>
      <c r="K210" s="179"/>
      <c r="L210" s="179"/>
      <c r="M210" s="179"/>
      <c r="N210" s="179"/>
      <c r="O210" s="179"/>
      <c r="P210" s="179"/>
      <c r="Q210" s="179"/>
      <c r="R210" s="57"/>
      <c r="S210" s="179"/>
      <c r="T210" s="179"/>
      <c r="U210" s="179"/>
      <c r="V210" s="179"/>
      <c r="W210" s="785"/>
      <c r="X210" s="128"/>
      <c r="Y210" s="128"/>
      <c r="Z210" s="128"/>
      <c r="AA210" s="128"/>
      <c r="AB210" s="837"/>
      <c r="AC210" s="128"/>
      <c r="AD210" s="128"/>
      <c r="AE210" s="128"/>
      <c r="AF210" s="128"/>
      <c r="AG210" s="837"/>
      <c r="AH210" s="128"/>
      <c r="AI210" s="128"/>
      <c r="AJ210" s="128"/>
      <c r="AK210" s="128"/>
      <c r="AL210" s="837"/>
      <c r="AM210" s="128"/>
      <c r="AN210" s="128"/>
      <c r="AO210" s="128"/>
      <c r="AP210" s="128"/>
      <c r="AQ210" s="837"/>
      <c r="AR210" s="128"/>
      <c r="AS210" s="128"/>
      <c r="AT210" s="128"/>
      <c r="AU210" s="128"/>
      <c r="AV210" s="837"/>
      <c r="AW210" s="128"/>
      <c r="AX210" s="128"/>
      <c r="AY210" s="128"/>
      <c r="AZ210" s="128"/>
      <c r="BA210" s="837"/>
      <c r="BB210" s="128"/>
      <c r="BC210" s="128"/>
      <c r="BD210" s="128"/>
      <c r="BE210" s="128"/>
      <c r="BF210" s="837"/>
      <c r="BG210" s="128"/>
      <c r="BH210" s="128"/>
      <c r="BI210" s="128"/>
      <c r="BJ210" s="128"/>
      <c r="BK210" s="837"/>
      <c r="BL210" s="128"/>
      <c r="BM210" s="128"/>
      <c r="BN210" s="128"/>
      <c r="BO210" s="128"/>
      <c r="BP210" s="837"/>
      <c r="BQ210" s="128"/>
      <c r="BR210" s="128"/>
      <c r="BS210" s="128"/>
      <c r="BT210" s="128"/>
      <c r="BU210" s="837"/>
      <c r="BV210" s="128"/>
      <c r="BW210" s="128"/>
      <c r="BX210" s="128"/>
      <c r="BY210" s="128"/>
      <c r="BZ210" s="837"/>
      <c r="CA210" s="128"/>
      <c r="CB210" s="128"/>
      <c r="CC210" s="128"/>
      <c r="CD210" s="128"/>
      <c r="CE210" s="837"/>
      <c r="CF210" s="128"/>
      <c r="CG210" s="128"/>
      <c r="CH210" s="128"/>
      <c r="CI210" s="128"/>
      <c r="CJ210" s="837"/>
      <c r="CK210" s="128"/>
      <c r="CL210" s="128"/>
      <c r="CM210" s="128"/>
      <c r="CN210" s="128"/>
      <c r="CO210" s="837"/>
      <c r="CP210" s="128"/>
      <c r="CQ210" s="128"/>
      <c r="CR210" s="128"/>
      <c r="CS210" s="128"/>
      <c r="CT210" s="836"/>
      <c r="CU210" s="128"/>
      <c r="CV210" s="128"/>
      <c r="CW210" s="128"/>
      <c r="CX210" s="128"/>
      <c r="CY210" s="836"/>
      <c r="CZ210" s="129"/>
      <c r="DA210" s="128"/>
      <c r="DB210" s="129"/>
      <c r="DC210" s="128"/>
      <c r="DD210" s="836"/>
      <c r="DE210" s="129"/>
      <c r="DF210" s="128"/>
      <c r="DG210" s="129"/>
      <c r="DH210" s="128"/>
      <c r="DI210" s="836"/>
      <c r="DJ210" s="129"/>
      <c r="DK210" s="129"/>
      <c r="DL210" s="129"/>
      <c r="DM210" s="128"/>
      <c r="DN210" s="836"/>
      <c r="DO210" s="128"/>
      <c r="DP210" s="128"/>
      <c r="DQ210" s="129"/>
      <c r="DR210" s="925"/>
      <c r="DS210" s="836"/>
      <c r="DT210" s="129"/>
      <c r="DU210" s="129"/>
      <c r="DV210" s="925"/>
      <c r="DW210" s="925"/>
      <c r="DX210" s="836"/>
      <c r="DY210" s="925"/>
      <c r="DZ210" s="925"/>
      <c r="EA210" s="925"/>
      <c r="EB210" s="925"/>
      <c r="EC210" s="836"/>
      <c r="ED210" s="925"/>
      <c r="EE210" s="925"/>
      <c r="EF210" s="925"/>
      <c r="EG210" s="925"/>
      <c r="EH210" s="836"/>
      <c r="EI210" s="134"/>
      <c r="EJ210" s="128"/>
      <c r="EK210" s="128"/>
      <c r="EL210" s="128"/>
      <c r="EM210" s="836"/>
      <c r="EN210" s="128"/>
      <c r="EO210" s="128"/>
      <c r="EP210" s="128"/>
      <c r="EQ210" s="128"/>
      <c r="ER210" s="836"/>
      <c r="ES210" s="128"/>
      <c r="ET210" s="128"/>
      <c r="EU210" s="128"/>
      <c r="EV210" s="128"/>
      <c r="EW210" s="836"/>
      <c r="EX210" s="128"/>
      <c r="EY210" s="128"/>
      <c r="EZ210" s="128"/>
      <c r="FA210" s="128"/>
      <c r="FB210" s="836"/>
      <c r="FC210" s="128"/>
      <c r="FD210" s="128"/>
      <c r="FE210" s="128"/>
      <c r="FF210" s="128"/>
      <c r="FG210" s="836"/>
    </row>
    <row r="211" ht="12.75" customHeight="1">
      <c r="A211" s="128"/>
      <c r="B211" s="179"/>
      <c r="C211" s="179"/>
      <c r="D211" s="179"/>
      <c r="E211" s="179"/>
      <c r="F211" s="179"/>
      <c r="G211" s="179"/>
      <c r="H211" s="179"/>
      <c r="I211" s="179"/>
      <c r="J211" s="179"/>
      <c r="K211" s="179"/>
      <c r="L211" s="179"/>
      <c r="M211" s="179"/>
      <c r="N211" s="179"/>
      <c r="O211" s="179"/>
      <c r="P211" s="179"/>
      <c r="Q211" s="179"/>
      <c r="R211" s="57"/>
      <c r="S211" s="179"/>
      <c r="T211" s="179"/>
      <c r="U211" s="179"/>
      <c r="V211" s="179"/>
      <c r="W211" s="785"/>
      <c r="X211" s="128"/>
      <c r="Y211" s="128"/>
      <c r="Z211" s="128"/>
      <c r="AA211" s="128"/>
      <c r="AB211" s="837"/>
      <c r="AC211" s="128"/>
      <c r="AD211" s="128"/>
      <c r="AE211" s="128"/>
      <c r="AF211" s="128"/>
      <c r="AG211" s="837"/>
      <c r="AH211" s="128"/>
      <c r="AI211" s="128"/>
      <c r="AJ211" s="128"/>
      <c r="AK211" s="128"/>
      <c r="AL211" s="837"/>
      <c r="AM211" s="128"/>
      <c r="AN211" s="128"/>
      <c r="AO211" s="128"/>
      <c r="AP211" s="128"/>
      <c r="AQ211" s="837"/>
      <c r="AR211" s="128"/>
      <c r="AS211" s="128"/>
      <c r="AT211" s="128"/>
      <c r="AU211" s="128"/>
      <c r="AV211" s="837"/>
      <c r="AW211" s="128"/>
      <c r="AX211" s="128"/>
      <c r="AY211" s="128"/>
      <c r="AZ211" s="128"/>
      <c r="BA211" s="837"/>
      <c r="BB211" s="128"/>
      <c r="BC211" s="128"/>
      <c r="BD211" s="128"/>
      <c r="BE211" s="128"/>
      <c r="BF211" s="837"/>
      <c r="BG211" s="128"/>
      <c r="BH211" s="128"/>
      <c r="BI211" s="128"/>
      <c r="BJ211" s="128"/>
      <c r="BK211" s="837"/>
      <c r="BL211" s="128"/>
      <c r="BM211" s="128"/>
      <c r="BN211" s="128"/>
      <c r="BO211" s="128"/>
      <c r="BP211" s="837"/>
      <c r="BQ211" s="128"/>
      <c r="BR211" s="128"/>
      <c r="BS211" s="128"/>
      <c r="BT211" s="128"/>
      <c r="BU211" s="837"/>
      <c r="BV211" s="128"/>
      <c r="BW211" s="128"/>
      <c r="BX211" s="128"/>
      <c r="BY211" s="128"/>
      <c r="BZ211" s="837"/>
      <c r="CA211" s="128"/>
      <c r="CB211" s="128"/>
      <c r="CC211" s="128"/>
      <c r="CD211" s="128"/>
      <c r="CE211" s="837"/>
      <c r="CF211" s="128"/>
      <c r="CG211" s="128"/>
      <c r="CH211" s="128"/>
      <c r="CI211" s="128"/>
      <c r="CJ211" s="837"/>
      <c r="CK211" s="128"/>
      <c r="CL211" s="128"/>
      <c r="CM211" s="128"/>
      <c r="CN211" s="128"/>
      <c r="CO211" s="837"/>
      <c r="CP211" s="128"/>
      <c r="CQ211" s="128"/>
      <c r="CR211" s="128"/>
      <c r="CS211" s="128"/>
      <c r="CT211" s="836"/>
      <c r="CU211" s="128"/>
      <c r="CV211" s="128"/>
      <c r="CW211" s="128"/>
      <c r="CX211" s="128"/>
      <c r="CY211" s="836"/>
      <c r="CZ211" s="129"/>
      <c r="DA211" s="128"/>
      <c r="DB211" s="129"/>
      <c r="DC211" s="128"/>
      <c r="DD211" s="836"/>
      <c r="DE211" s="129"/>
      <c r="DF211" s="128"/>
      <c r="DG211" s="129"/>
      <c r="DH211" s="128"/>
      <c r="DI211" s="836"/>
      <c r="DJ211" s="129"/>
      <c r="DK211" s="129"/>
      <c r="DL211" s="129"/>
      <c r="DM211" s="128"/>
      <c r="DN211" s="836"/>
      <c r="DO211" s="128"/>
      <c r="DP211" s="128"/>
      <c r="DQ211" s="129"/>
      <c r="DR211" s="925"/>
      <c r="DS211" s="836"/>
      <c r="DT211" s="129"/>
      <c r="DU211" s="129"/>
      <c r="DV211" s="925"/>
      <c r="DW211" s="925"/>
      <c r="DX211" s="836"/>
      <c r="DY211" s="925"/>
      <c r="DZ211" s="925"/>
      <c r="EA211" s="925"/>
      <c r="EB211" s="925"/>
      <c r="EC211" s="836"/>
      <c r="ED211" s="925"/>
      <c r="EE211" s="925"/>
      <c r="EF211" s="925"/>
      <c r="EG211" s="925"/>
      <c r="EH211" s="836"/>
      <c r="EI211" s="134"/>
      <c r="EJ211" s="128"/>
      <c r="EK211" s="128"/>
      <c r="EL211" s="128"/>
      <c r="EM211" s="836"/>
      <c r="EN211" s="128"/>
      <c r="EO211" s="128"/>
      <c r="EP211" s="128"/>
      <c r="EQ211" s="128"/>
      <c r="ER211" s="836"/>
      <c r="ES211" s="128"/>
      <c r="ET211" s="128"/>
      <c r="EU211" s="128"/>
      <c r="EV211" s="128"/>
      <c r="EW211" s="836"/>
      <c r="EX211" s="128"/>
      <c r="EY211" s="128"/>
      <c r="EZ211" s="128"/>
      <c r="FA211" s="128"/>
      <c r="FB211" s="836"/>
      <c r="FC211" s="128"/>
      <c r="FD211" s="128"/>
      <c r="FE211" s="128"/>
      <c r="FF211" s="128"/>
      <c r="FG211" s="836"/>
    </row>
    <row r="212" ht="12.75" customHeight="1">
      <c r="A212" s="128"/>
      <c r="B212" s="774"/>
      <c r="C212" s="179"/>
      <c r="D212" s="179"/>
      <c r="E212" s="179"/>
      <c r="F212" s="179"/>
      <c r="G212" s="179"/>
      <c r="H212" s="179"/>
      <c r="I212" s="179"/>
      <c r="J212" s="179"/>
      <c r="K212" s="179"/>
      <c r="L212" s="179"/>
      <c r="M212" s="179"/>
      <c r="N212" s="179"/>
      <c r="O212" s="179"/>
      <c r="P212" s="179"/>
      <c r="Q212" s="179"/>
      <c r="R212" s="57"/>
      <c r="S212" s="179"/>
      <c r="T212" s="179"/>
      <c r="U212" s="179"/>
      <c r="V212" s="179"/>
      <c r="W212" s="785"/>
      <c r="X212" s="128"/>
      <c r="Y212" s="128"/>
      <c r="Z212" s="128"/>
      <c r="AA212" s="128"/>
      <c r="AB212" s="837"/>
      <c r="AC212" s="128"/>
      <c r="AD212" s="128"/>
      <c r="AE212" s="128"/>
      <c r="AF212" s="128"/>
      <c r="AG212" s="837"/>
      <c r="AH212" s="128"/>
      <c r="AI212" s="128"/>
      <c r="AJ212" s="128"/>
      <c r="AK212" s="128"/>
      <c r="AL212" s="837"/>
      <c r="AM212" s="128"/>
      <c r="AN212" s="128"/>
      <c r="AO212" s="128"/>
      <c r="AP212" s="128"/>
      <c r="AQ212" s="837"/>
      <c r="AR212" s="128"/>
      <c r="AS212" s="128"/>
      <c r="AT212" s="128"/>
      <c r="AU212" s="128"/>
      <c r="AV212" s="837"/>
      <c r="AW212" s="128"/>
      <c r="AX212" s="128"/>
      <c r="AY212" s="128"/>
      <c r="AZ212" s="128"/>
      <c r="BA212" s="837"/>
      <c r="BB212" s="128"/>
      <c r="BC212" s="128"/>
      <c r="BD212" s="128"/>
      <c r="BE212" s="128"/>
      <c r="BF212" s="837"/>
      <c r="BG212" s="128"/>
      <c r="BH212" s="128"/>
      <c r="BI212" s="128"/>
      <c r="BJ212" s="128"/>
      <c r="BK212" s="837"/>
      <c r="BL212" s="128"/>
      <c r="BM212" s="128"/>
      <c r="BN212" s="128"/>
      <c r="BO212" s="128"/>
      <c r="BP212" s="837"/>
      <c r="BQ212" s="128"/>
      <c r="BR212" s="128"/>
      <c r="BS212" s="128"/>
      <c r="BT212" s="128"/>
      <c r="BU212" s="837"/>
      <c r="BV212" s="128"/>
      <c r="BW212" s="128"/>
      <c r="BX212" s="128"/>
      <c r="BY212" s="128"/>
      <c r="BZ212" s="837"/>
      <c r="CA212" s="128"/>
      <c r="CB212" s="128"/>
      <c r="CC212" s="128"/>
      <c r="CD212" s="128"/>
      <c r="CE212" s="837"/>
      <c r="CF212" s="128"/>
      <c r="CG212" s="128"/>
      <c r="CH212" s="128"/>
      <c r="CI212" s="128"/>
      <c r="CJ212" s="837"/>
      <c r="CK212" s="128"/>
      <c r="CL212" s="128"/>
      <c r="CM212" s="128"/>
      <c r="CN212" s="128"/>
      <c r="CO212" s="837"/>
      <c r="CP212" s="128"/>
      <c r="CQ212" s="128"/>
      <c r="CR212" s="128"/>
      <c r="CS212" s="128"/>
      <c r="CT212" s="836"/>
      <c r="CU212" s="128"/>
      <c r="CV212" s="128"/>
      <c r="CW212" s="128"/>
      <c r="CX212" s="128"/>
      <c r="CY212" s="836"/>
      <c r="CZ212" s="129"/>
      <c r="DA212" s="128"/>
      <c r="DB212" s="129"/>
      <c r="DC212" s="128"/>
      <c r="DD212" s="836"/>
      <c r="DE212" s="129"/>
      <c r="DF212" s="128"/>
      <c r="DG212" s="129"/>
      <c r="DH212" s="128"/>
      <c r="DI212" s="836"/>
      <c r="DJ212" s="129"/>
      <c r="DK212" s="129"/>
      <c r="DL212" s="129"/>
      <c r="DM212" s="128"/>
      <c r="DN212" s="836"/>
      <c r="DO212" s="128"/>
      <c r="DP212" s="128"/>
      <c r="DQ212" s="129"/>
      <c r="DR212" s="925"/>
      <c r="DS212" s="836"/>
      <c r="DT212" s="129"/>
      <c r="DU212" s="129"/>
      <c r="DV212" s="925"/>
      <c r="DW212" s="925"/>
      <c r="DX212" s="836"/>
      <c r="DY212" s="925"/>
      <c r="DZ212" s="925"/>
      <c r="EA212" s="925"/>
      <c r="EB212" s="925"/>
      <c r="EC212" s="836"/>
      <c r="ED212" s="925"/>
      <c r="EE212" s="925"/>
      <c r="EF212" s="925"/>
      <c r="EG212" s="925"/>
      <c r="EH212" s="836"/>
      <c r="EI212" s="134"/>
      <c r="EJ212" s="128"/>
      <c r="EK212" s="128"/>
      <c r="EL212" s="128"/>
      <c r="EM212" s="836"/>
      <c r="EN212" s="128"/>
      <c r="EO212" s="128"/>
      <c r="EP212" s="128"/>
      <c r="EQ212" s="128"/>
      <c r="ER212" s="836"/>
      <c r="ES212" s="128"/>
      <c r="ET212" s="128"/>
      <c r="EU212" s="128"/>
      <c r="EV212" s="128"/>
      <c r="EW212" s="836"/>
      <c r="EX212" s="128"/>
      <c r="EY212" s="128"/>
      <c r="EZ212" s="128"/>
      <c r="FA212" s="128"/>
      <c r="FB212" s="836"/>
      <c r="FC212" s="128"/>
      <c r="FD212" s="128"/>
      <c r="FE212" s="128"/>
      <c r="FF212" s="128"/>
      <c r="FG212" s="836"/>
    </row>
    <row r="213" ht="12.75" customHeight="1">
      <c r="A213" s="128"/>
      <c r="B213" s="179"/>
      <c r="C213" s="179"/>
      <c r="D213" s="179"/>
      <c r="E213" s="179"/>
      <c r="F213" s="179"/>
      <c r="G213" s="179"/>
      <c r="H213" s="179"/>
      <c r="I213" s="179"/>
      <c r="J213" s="179"/>
      <c r="K213" s="179"/>
      <c r="L213" s="179"/>
      <c r="M213" s="179"/>
      <c r="N213" s="179"/>
      <c r="O213" s="179"/>
      <c r="P213" s="179"/>
      <c r="Q213" s="179"/>
      <c r="R213" s="57"/>
      <c r="S213" s="179"/>
      <c r="T213" s="179"/>
      <c r="U213" s="179"/>
      <c r="V213" s="179"/>
      <c r="W213" s="785"/>
      <c r="X213" s="128"/>
      <c r="Y213" s="128"/>
      <c r="Z213" s="128"/>
      <c r="AA213" s="128"/>
      <c r="AB213" s="837"/>
      <c r="AC213" s="128"/>
      <c r="AD213" s="128"/>
      <c r="AE213" s="128"/>
      <c r="AF213" s="128"/>
      <c r="AG213" s="837"/>
      <c r="AH213" s="128"/>
      <c r="AI213" s="128"/>
      <c r="AJ213" s="128"/>
      <c r="AK213" s="128"/>
      <c r="AL213" s="837"/>
      <c r="AM213" s="128"/>
      <c r="AN213" s="128"/>
      <c r="AO213" s="128"/>
      <c r="AP213" s="128"/>
      <c r="AQ213" s="837"/>
      <c r="AR213" s="128"/>
      <c r="AS213" s="128"/>
      <c r="AT213" s="128"/>
      <c r="AU213" s="128"/>
      <c r="AV213" s="837"/>
      <c r="AW213" s="128"/>
      <c r="AX213" s="128"/>
      <c r="AY213" s="128"/>
      <c r="AZ213" s="128"/>
      <c r="BA213" s="837"/>
      <c r="BB213" s="128"/>
      <c r="BC213" s="128"/>
      <c r="BD213" s="128"/>
      <c r="BE213" s="128"/>
      <c r="BF213" s="837"/>
      <c r="BG213" s="128"/>
      <c r="BH213" s="128"/>
      <c r="BI213" s="128"/>
      <c r="BJ213" s="128"/>
      <c r="BK213" s="837"/>
      <c r="BL213" s="128"/>
      <c r="BM213" s="128"/>
      <c r="BN213" s="128"/>
      <c r="BO213" s="128"/>
      <c r="BP213" s="837"/>
      <c r="BQ213" s="128"/>
      <c r="BR213" s="128"/>
      <c r="BS213" s="128"/>
      <c r="BT213" s="128"/>
      <c r="BU213" s="837"/>
      <c r="BV213" s="128"/>
      <c r="BW213" s="128"/>
      <c r="BX213" s="128"/>
      <c r="BY213" s="128"/>
      <c r="BZ213" s="837"/>
      <c r="CA213" s="128"/>
      <c r="CB213" s="128"/>
      <c r="CC213" s="128"/>
      <c r="CD213" s="128"/>
      <c r="CE213" s="837"/>
      <c r="CF213" s="128"/>
      <c r="CG213" s="128"/>
      <c r="CH213" s="128"/>
      <c r="CI213" s="128"/>
      <c r="CJ213" s="837"/>
      <c r="CK213" s="128"/>
      <c r="CL213" s="128"/>
      <c r="CM213" s="128"/>
      <c r="CN213" s="128"/>
      <c r="CO213" s="837"/>
      <c r="CP213" s="128"/>
      <c r="CQ213" s="128"/>
      <c r="CR213" s="128"/>
      <c r="CS213" s="128"/>
      <c r="CT213" s="836"/>
      <c r="CU213" s="128"/>
      <c r="CV213" s="128"/>
      <c r="CW213" s="128"/>
      <c r="CX213" s="128"/>
      <c r="CY213" s="836"/>
      <c r="CZ213" s="129"/>
      <c r="DA213" s="128"/>
      <c r="DB213" s="129"/>
      <c r="DC213" s="128"/>
      <c r="DD213" s="836"/>
      <c r="DE213" s="129"/>
      <c r="DF213" s="128"/>
      <c r="DG213" s="129"/>
      <c r="DH213" s="128"/>
      <c r="DI213" s="836"/>
      <c r="DJ213" s="129"/>
      <c r="DK213" s="129"/>
      <c r="DL213" s="129"/>
      <c r="DM213" s="128"/>
      <c r="DN213" s="836"/>
      <c r="DO213" s="128"/>
      <c r="DP213" s="128"/>
      <c r="DQ213" s="129"/>
      <c r="DR213" s="925"/>
      <c r="DS213" s="836"/>
      <c r="DT213" s="129"/>
      <c r="DU213" s="129"/>
      <c r="DV213" s="925"/>
      <c r="DW213" s="925"/>
      <c r="DX213" s="836"/>
      <c r="DY213" s="925"/>
      <c r="DZ213" s="925"/>
      <c r="EA213" s="925"/>
      <c r="EB213" s="925"/>
      <c r="EC213" s="836"/>
      <c r="ED213" s="925"/>
      <c r="EE213" s="925"/>
      <c r="EF213" s="925"/>
      <c r="EG213" s="925"/>
      <c r="EH213" s="836"/>
      <c r="EI213" s="134"/>
      <c r="EJ213" s="128"/>
      <c r="EK213" s="128"/>
      <c r="EL213" s="128"/>
      <c r="EM213" s="836"/>
      <c r="EN213" s="128"/>
      <c r="EO213" s="128"/>
      <c r="EP213" s="128"/>
      <c r="EQ213" s="128"/>
      <c r="ER213" s="836"/>
      <c r="ES213" s="128"/>
      <c r="ET213" s="128"/>
      <c r="EU213" s="128"/>
      <c r="EV213" s="128"/>
      <c r="EW213" s="836"/>
      <c r="EX213" s="128"/>
      <c r="EY213" s="128"/>
      <c r="EZ213" s="128"/>
      <c r="FA213" s="128"/>
      <c r="FB213" s="836"/>
      <c r="FC213" s="128"/>
      <c r="FD213" s="128"/>
      <c r="FE213" s="128"/>
      <c r="FF213" s="128"/>
      <c r="FG213" s="836"/>
    </row>
    <row r="214" ht="12.75" customHeight="1">
      <c r="A214" s="128"/>
      <c r="B214" s="179"/>
      <c r="C214" s="179"/>
      <c r="D214" s="179"/>
      <c r="E214" s="179"/>
      <c r="F214" s="179"/>
      <c r="G214" s="179"/>
      <c r="H214" s="179"/>
      <c r="I214" s="179"/>
      <c r="J214" s="179"/>
      <c r="K214" s="179"/>
      <c r="L214" s="179"/>
      <c r="M214" s="179"/>
      <c r="N214" s="179"/>
      <c r="O214" s="179"/>
      <c r="P214" s="179"/>
      <c r="Q214" s="179"/>
      <c r="R214" s="57"/>
      <c r="S214" s="179"/>
      <c r="T214" s="179"/>
      <c r="U214" s="179"/>
      <c r="V214" s="179"/>
      <c r="W214" s="785"/>
      <c r="X214" s="128"/>
      <c r="Y214" s="128"/>
      <c r="Z214" s="128"/>
      <c r="AA214" s="128"/>
      <c r="AB214" s="837"/>
      <c r="AC214" s="128"/>
      <c r="AD214" s="128"/>
      <c r="AE214" s="128"/>
      <c r="AF214" s="128"/>
      <c r="AG214" s="837"/>
      <c r="AH214" s="128"/>
      <c r="AI214" s="128"/>
      <c r="AJ214" s="128"/>
      <c r="AK214" s="128"/>
      <c r="AL214" s="837"/>
      <c r="AM214" s="128"/>
      <c r="AN214" s="128"/>
      <c r="AO214" s="128"/>
      <c r="AP214" s="128"/>
      <c r="AQ214" s="837"/>
      <c r="AR214" s="128"/>
      <c r="AS214" s="128"/>
      <c r="AT214" s="128"/>
      <c r="AU214" s="128"/>
      <c r="AV214" s="837"/>
      <c r="AW214" s="128"/>
      <c r="AX214" s="128"/>
      <c r="AY214" s="128"/>
      <c r="AZ214" s="128"/>
      <c r="BA214" s="837"/>
      <c r="BB214" s="128"/>
      <c r="BC214" s="128"/>
      <c r="BD214" s="128"/>
      <c r="BE214" s="128"/>
      <c r="BF214" s="837"/>
      <c r="BG214" s="128"/>
      <c r="BH214" s="128"/>
      <c r="BI214" s="128"/>
      <c r="BJ214" s="128"/>
      <c r="BK214" s="837"/>
      <c r="BL214" s="128"/>
      <c r="BM214" s="128"/>
      <c r="BN214" s="128"/>
      <c r="BO214" s="128"/>
      <c r="BP214" s="837"/>
      <c r="BQ214" s="128"/>
      <c r="BR214" s="128"/>
      <c r="BS214" s="128"/>
      <c r="BT214" s="128"/>
      <c r="BU214" s="837"/>
      <c r="BV214" s="128"/>
      <c r="BW214" s="128"/>
      <c r="BX214" s="128"/>
      <c r="BY214" s="128"/>
      <c r="BZ214" s="837"/>
      <c r="CA214" s="128"/>
      <c r="CB214" s="128"/>
      <c r="CC214" s="128"/>
      <c r="CD214" s="128"/>
      <c r="CE214" s="837"/>
      <c r="CF214" s="128"/>
      <c r="CG214" s="128"/>
      <c r="CH214" s="128"/>
      <c r="CI214" s="128"/>
      <c r="CJ214" s="837"/>
      <c r="CK214" s="128"/>
      <c r="CL214" s="128"/>
      <c r="CM214" s="128"/>
      <c r="CN214" s="128"/>
      <c r="CO214" s="837"/>
      <c r="CP214" s="128"/>
      <c r="CQ214" s="128"/>
      <c r="CR214" s="128"/>
      <c r="CS214" s="128"/>
      <c r="CT214" s="836"/>
      <c r="CU214" s="128"/>
      <c r="CV214" s="128"/>
      <c r="CW214" s="128"/>
      <c r="CX214" s="128"/>
      <c r="CY214" s="836"/>
      <c r="CZ214" s="129"/>
      <c r="DA214" s="128"/>
      <c r="DB214" s="129"/>
      <c r="DC214" s="128"/>
      <c r="DD214" s="836"/>
      <c r="DE214" s="129"/>
      <c r="DF214" s="128"/>
      <c r="DG214" s="129"/>
      <c r="DH214" s="128"/>
      <c r="DI214" s="836"/>
      <c r="DJ214" s="129"/>
      <c r="DK214" s="129"/>
      <c r="DL214" s="129"/>
      <c r="DM214" s="128"/>
      <c r="DN214" s="836"/>
      <c r="DO214" s="128"/>
      <c r="DP214" s="128"/>
      <c r="DQ214" s="129"/>
      <c r="DR214" s="925"/>
      <c r="DS214" s="836"/>
      <c r="DT214" s="129"/>
      <c r="DU214" s="129"/>
      <c r="DV214" s="925"/>
      <c r="DW214" s="925"/>
      <c r="DX214" s="836"/>
      <c r="DY214" s="925"/>
      <c r="DZ214" s="925"/>
      <c r="EA214" s="925"/>
      <c r="EB214" s="925"/>
      <c r="EC214" s="836"/>
      <c r="ED214" s="925"/>
      <c r="EE214" s="925"/>
      <c r="EF214" s="925"/>
      <c r="EG214" s="925"/>
      <c r="EH214" s="836"/>
      <c r="EI214" s="134"/>
      <c r="EJ214" s="128"/>
      <c r="EK214" s="128"/>
      <c r="EL214" s="128"/>
      <c r="EM214" s="836"/>
      <c r="EN214" s="128"/>
      <c r="EO214" s="128"/>
      <c r="EP214" s="128"/>
      <c r="EQ214" s="128"/>
      <c r="ER214" s="836"/>
      <c r="ES214" s="128"/>
      <c r="ET214" s="128"/>
      <c r="EU214" s="128"/>
      <c r="EV214" s="128"/>
      <c r="EW214" s="836"/>
      <c r="EX214" s="128"/>
      <c r="EY214" s="128"/>
      <c r="EZ214" s="128"/>
      <c r="FA214" s="128"/>
      <c r="FB214" s="836"/>
      <c r="FC214" s="128"/>
      <c r="FD214" s="128"/>
      <c r="FE214" s="128"/>
      <c r="FF214" s="128"/>
      <c r="FG214" s="836"/>
    </row>
    <row r="215" ht="12.75" customHeight="1">
      <c r="A215" s="128"/>
      <c r="B215" s="912"/>
      <c r="C215" s="179"/>
      <c r="D215" s="179"/>
      <c r="E215" s="179"/>
      <c r="F215" s="179"/>
      <c r="G215" s="179"/>
      <c r="H215" s="179"/>
      <c r="I215" s="179"/>
      <c r="J215" s="179"/>
      <c r="K215" s="179"/>
      <c r="L215" s="179"/>
      <c r="M215" s="179"/>
      <c r="N215" s="179"/>
      <c r="O215" s="179"/>
      <c r="P215" s="179"/>
      <c r="Q215" s="179"/>
      <c r="R215" s="57"/>
      <c r="S215" s="179"/>
      <c r="T215" s="179"/>
      <c r="U215" s="179"/>
      <c r="V215" s="179"/>
      <c r="W215" s="785"/>
      <c r="X215" s="128"/>
      <c r="Y215" s="128"/>
      <c r="Z215" s="128"/>
      <c r="AA215" s="128"/>
      <c r="AB215" s="837"/>
      <c r="AC215" s="128"/>
      <c r="AD215" s="128"/>
      <c r="AE215" s="128"/>
      <c r="AF215" s="128"/>
      <c r="AG215" s="837"/>
      <c r="AH215" s="128"/>
      <c r="AI215" s="128"/>
      <c r="AJ215" s="128"/>
      <c r="AK215" s="128"/>
      <c r="AL215" s="837"/>
      <c r="AM215" s="128"/>
      <c r="AN215" s="128"/>
      <c r="AO215" s="128"/>
      <c r="AP215" s="128"/>
      <c r="AQ215" s="837"/>
      <c r="AR215" s="128"/>
      <c r="AS215" s="128"/>
      <c r="AT215" s="128"/>
      <c r="AU215" s="128"/>
      <c r="AV215" s="837"/>
      <c r="AW215" s="128"/>
      <c r="AX215" s="128"/>
      <c r="AY215" s="128"/>
      <c r="AZ215" s="128"/>
      <c r="BA215" s="837"/>
      <c r="BB215" s="128"/>
      <c r="BC215" s="128"/>
      <c r="BD215" s="128"/>
      <c r="BE215" s="128"/>
      <c r="BF215" s="837"/>
      <c r="BG215" s="128"/>
      <c r="BH215" s="128"/>
      <c r="BI215" s="128"/>
      <c r="BJ215" s="128"/>
      <c r="BK215" s="837"/>
      <c r="BL215" s="128"/>
      <c r="BM215" s="128"/>
      <c r="BN215" s="128"/>
      <c r="BO215" s="128"/>
      <c r="BP215" s="837"/>
      <c r="BQ215" s="128"/>
      <c r="BR215" s="128"/>
      <c r="BS215" s="128"/>
      <c r="BT215" s="128"/>
      <c r="BU215" s="837"/>
      <c r="BV215" s="128"/>
      <c r="BW215" s="128"/>
      <c r="BX215" s="128"/>
      <c r="BY215" s="128"/>
      <c r="BZ215" s="837"/>
      <c r="CA215" s="128"/>
      <c r="CB215" s="128"/>
      <c r="CC215" s="128"/>
      <c r="CD215" s="128"/>
      <c r="CE215" s="837"/>
      <c r="CF215" s="128"/>
      <c r="CG215" s="128"/>
      <c r="CH215" s="128"/>
      <c r="CI215" s="128"/>
      <c r="CJ215" s="837"/>
      <c r="CK215" s="128"/>
      <c r="CL215" s="128"/>
      <c r="CM215" s="128"/>
      <c r="CN215" s="128"/>
      <c r="CO215" s="837"/>
      <c r="CP215" s="128"/>
      <c r="CQ215" s="128"/>
      <c r="CR215" s="128"/>
      <c r="CS215" s="128"/>
      <c r="CT215" s="836"/>
      <c r="CU215" s="128"/>
      <c r="CV215" s="128"/>
      <c r="CW215" s="128"/>
      <c r="CX215" s="128"/>
      <c r="CY215" s="836"/>
      <c r="CZ215" s="129"/>
      <c r="DA215" s="128"/>
      <c r="DB215" s="129"/>
      <c r="DC215" s="128"/>
      <c r="DD215" s="836"/>
      <c r="DE215" s="129"/>
      <c r="DF215" s="128"/>
      <c r="DG215" s="129"/>
      <c r="DH215" s="128"/>
      <c r="DI215" s="836"/>
      <c r="DJ215" s="129"/>
      <c r="DK215" s="129"/>
      <c r="DL215" s="129"/>
      <c r="DM215" s="128"/>
      <c r="DN215" s="836"/>
      <c r="DO215" s="128"/>
      <c r="DP215" s="128"/>
      <c r="DQ215" s="129"/>
      <c r="DR215" s="925"/>
      <c r="DS215" s="836"/>
      <c r="DT215" s="129"/>
      <c r="DU215" s="129"/>
      <c r="DV215" s="925"/>
      <c r="DW215" s="925"/>
      <c r="DX215" s="836"/>
      <c r="DY215" s="925"/>
      <c r="DZ215" s="925"/>
      <c r="EA215" s="925"/>
      <c r="EB215" s="925"/>
      <c r="EC215" s="836"/>
      <c r="ED215" s="925"/>
      <c r="EE215" s="925"/>
      <c r="EF215" s="925"/>
      <c r="EG215" s="925"/>
      <c r="EH215" s="836"/>
      <c r="EI215" s="134"/>
      <c r="EJ215" s="128"/>
      <c r="EK215" s="128"/>
      <c r="EL215" s="128"/>
      <c r="EM215" s="836"/>
      <c r="EN215" s="128"/>
      <c r="EO215" s="128"/>
      <c r="EP215" s="128"/>
      <c r="EQ215" s="128"/>
      <c r="ER215" s="836"/>
      <c r="ES215" s="128"/>
      <c r="ET215" s="128"/>
      <c r="EU215" s="128"/>
      <c r="EV215" s="128"/>
      <c r="EW215" s="836"/>
      <c r="EX215" s="128"/>
      <c r="EY215" s="128"/>
      <c r="EZ215" s="128"/>
      <c r="FA215" s="128"/>
      <c r="FB215" s="836"/>
      <c r="FC215" s="128"/>
      <c r="FD215" s="128"/>
      <c r="FE215" s="128"/>
      <c r="FF215" s="128"/>
      <c r="FG215" s="836"/>
    </row>
    <row r="216" ht="12.75" customHeight="1">
      <c r="A216" s="128"/>
      <c r="B216" s="179"/>
      <c r="C216" s="179"/>
      <c r="D216" s="179"/>
      <c r="E216" s="179"/>
      <c r="F216" s="179"/>
      <c r="G216" s="179"/>
      <c r="H216" s="179"/>
      <c r="I216" s="179"/>
      <c r="J216" s="179"/>
      <c r="K216" s="179"/>
      <c r="L216" s="179"/>
      <c r="M216" s="179"/>
      <c r="N216" s="179"/>
      <c r="O216" s="179"/>
      <c r="P216" s="179"/>
      <c r="Q216" s="179"/>
      <c r="R216" s="57"/>
      <c r="S216" s="179"/>
      <c r="T216" s="179"/>
      <c r="U216" s="179"/>
      <c r="V216" s="179"/>
      <c r="W216" s="785"/>
      <c r="X216" s="128"/>
      <c r="Y216" s="128"/>
      <c r="Z216" s="128"/>
      <c r="AA216" s="128"/>
      <c r="AB216" s="837"/>
      <c r="AC216" s="128"/>
      <c r="AD216" s="128"/>
      <c r="AE216" s="128"/>
      <c r="AF216" s="128"/>
      <c r="AG216" s="837"/>
      <c r="AH216" s="128"/>
      <c r="AI216" s="128"/>
      <c r="AJ216" s="128"/>
      <c r="AK216" s="128"/>
      <c r="AL216" s="837"/>
      <c r="AM216" s="128"/>
      <c r="AN216" s="128"/>
      <c r="AO216" s="128"/>
      <c r="AP216" s="128"/>
      <c r="AQ216" s="837"/>
      <c r="AR216" s="128"/>
      <c r="AS216" s="128"/>
      <c r="AT216" s="128"/>
      <c r="AU216" s="128"/>
      <c r="AV216" s="837"/>
      <c r="AW216" s="128"/>
      <c r="AX216" s="128"/>
      <c r="AY216" s="128"/>
      <c r="AZ216" s="128"/>
      <c r="BA216" s="837"/>
      <c r="BB216" s="128"/>
      <c r="BC216" s="128"/>
      <c r="BD216" s="128"/>
      <c r="BE216" s="128"/>
      <c r="BF216" s="837"/>
      <c r="BG216" s="128"/>
      <c r="BH216" s="128"/>
      <c r="BI216" s="128"/>
      <c r="BJ216" s="128"/>
      <c r="BK216" s="837"/>
      <c r="BL216" s="128"/>
      <c r="BM216" s="128"/>
      <c r="BN216" s="128"/>
      <c r="BO216" s="128"/>
      <c r="BP216" s="837"/>
      <c r="BQ216" s="128"/>
      <c r="BR216" s="128"/>
      <c r="BS216" s="128"/>
      <c r="BT216" s="128"/>
      <c r="BU216" s="837"/>
      <c r="BV216" s="128"/>
      <c r="BW216" s="128"/>
      <c r="BX216" s="128"/>
      <c r="BY216" s="128"/>
      <c r="BZ216" s="837"/>
      <c r="CA216" s="128"/>
      <c r="CB216" s="128"/>
      <c r="CC216" s="128"/>
      <c r="CD216" s="128"/>
      <c r="CE216" s="837"/>
      <c r="CF216" s="128"/>
      <c r="CG216" s="128"/>
      <c r="CH216" s="128"/>
      <c r="CI216" s="128"/>
      <c r="CJ216" s="837"/>
      <c r="CK216" s="128"/>
      <c r="CL216" s="128"/>
      <c r="CM216" s="128"/>
      <c r="CN216" s="128"/>
      <c r="CO216" s="837"/>
      <c r="CP216" s="128"/>
      <c r="CQ216" s="128"/>
      <c r="CR216" s="128"/>
      <c r="CS216" s="128"/>
      <c r="CT216" s="836"/>
      <c r="CU216" s="128"/>
      <c r="CV216" s="128"/>
      <c r="CW216" s="128"/>
      <c r="CX216" s="128"/>
      <c r="CY216" s="836"/>
      <c r="CZ216" s="129"/>
      <c r="DA216" s="128"/>
      <c r="DB216" s="129"/>
      <c r="DC216" s="128"/>
      <c r="DD216" s="836"/>
      <c r="DE216" s="129"/>
      <c r="DF216" s="128"/>
      <c r="DG216" s="129"/>
      <c r="DH216" s="128"/>
      <c r="DI216" s="836"/>
      <c r="DJ216" s="129"/>
      <c r="DK216" s="129"/>
      <c r="DL216" s="129"/>
      <c r="DM216" s="128"/>
      <c r="DN216" s="836"/>
      <c r="DO216" s="128"/>
      <c r="DP216" s="128"/>
      <c r="DQ216" s="129"/>
      <c r="DR216" s="925"/>
      <c r="DS216" s="836"/>
      <c r="DT216" s="129"/>
      <c r="DU216" s="129"/>
      <c r="DV216" s="925"/>
      <c r="DW216" s="925"/>
      <c r="DX216" s="836"/>
      <c r="DY216" s="925"/>
      <c r="DZ216" s="925"/>
      <c r="EA216" s="925"/>
      <c r="EB216" s="925"/>
      <c r="EC216" s="836"/>
      <c r="ED216" s="925"/>
      <c r="EE216" s="925"/>
      <c r="EF216" s="925"/>
      <c r="EG216" s="925"/>
      <c r="EH216" s="836"/>
      <c r="EI216" s="134"/>
      <c r="EJ216" s="128"/>
      <c r="EK216" s="128"/>
      <c r="EL216" s="128"/>
      <c r="EM216" s="836"/>
      <c r="EN216" s="128"/>
      <c r="EO216" s="128"/>
      <c r="EP216" s="128"/>
      <c r="EQ216" s="128"/>
      <c r="ER216" s="836"/>
      <c r="ES216" s="128"/>
      <c r="ET216" s="128"/>
      <c r="EU216" s="128"/>
      <c r="EV216" s="128"/>
      <c r="EW216" s="836"/>
      <c r="EX216" s="128"/>
      <c r="EY216" s="128"/>
      <c r="EZ216" s="128"/>
      <c r="FA216" s="128"/>
      <c r="FB216" s="836"/>
      <c r="FC216" s="128"/>
      <c r="FD216" s="128"/>
      <c r="FE216" s="128"/>
      <c r="FF216" s="128"/>
      <c r="FG216" s="836"/>
    </row>
    <row r="217" ht="12.75" customHeight="1">
      <c r="A217" s="128"/>
      <c r="B217" s="179"/>
      <c r="C217" s="179"/>
      <c r="D217" s="179"/>
      <c r="E217" s="179"/>
      <c r="F217" s="179"/>
      <c r="G217" s="179"/>
      <c r="H217" s="179"/>
      <c r="I217" s="179"/>
      <c r="J217" s="179"/>
      <c r="K217" s="179"/>
      <c r="L217" s="179"/>
      <c r="M217" s="179"/>
      <c r="N217" s="179"/>
      <c r="O217" s="179"/>
      <c r="P217" s="179"/>
      <c r="Q217" s="179"/>
      <c r="R217" s="57"/>
      <c r="S217" s="179"/>
      <c r="T217" s="179"/>
      <c r="U217" s="179"/>
      <c r="V217" s="179"/>
      <c r="W217" s="785"/>
      <c r="X217" s="128"/>
      <c r="Y217" s="128"/>
      <c r="Z217" s="128"/>
      <c r="AA217" s="128"/>
      <c r="AB217" s="837"/>
      <c r="AC217" s="128"/>
      <c r="AD217" s="128"/>
      <c r="AE217" s="128"/>
      <c r="AF217" s="128"/>
      <c r="AG217" s="837"/>
      <c r="AH217" s="128"/>
      <c r="AI217" s="128"/>
      <c r="AJ217" s="128"/>
      <c r="AK217" s="128"/>
      <c r="AL217" s="837"/>
      <c r="AM217" s="128"/>
      <c r="AN217" s="128"/>
      <c r="AO217" s="128"/>
      <c r="AP217" s="128"/>
      <c r="AQ217" s="837"/>
      <c r="AR217" s="128"/>
      <c r="AS217" s="128"/>
      <c r="AT217" s="128"/>
      <c r="AU217" s="128"/>
      <c r="AV217" s="837"/>
      <c r="AW217" s="128"/>
      <c r="AX217" s="128"/>
      <c r="AY217" s="128"/>
      <c r="AZ217" s="128"/>
      <c r="BA217" s="837"/>
      <c r="BB217" s="128"/>
      <c r="BC217" s="128"/>
      <c r="BD217" s="128"/>
      <c r="BE217" s="128"/>
      <c r="BF217" s="837"/>
      <c r="BG217" s="128"/>
      <c r="BH217" s="128"/>
      <c r="BI217" s="128"/>
      <c r="BJ217" s="128"/>
      <c r="BK217" s="837"/>
      <c r="BL217" s="128"/>
      <c r="BM217" s="128"/>
      <c r="BN217" s="128"/>
      <c r="BO217" s="128"/>
      <c r="BP217" s="837"/>
      <c r="BQ217" s="128"/>
      <c r="BR217" s="128"/>
      <c r="BS217" s="128"/>
      <c r="BT217" s="128"/>
      <c r="BU217" s="837"/>
      <c r="BV217" s="128"/>
      <c r="BW217" s="128"/>
      <c r="BX217" s="128"/>
      <c r="BY217" s="128"/>
      <c r="BZ217" s="837"/>
      <c r="CA217" s="128"/>
      <c r="CB217" s="128"/>
      <c r="CC217" s="128"/>
      <c r="CD217" s="128"/>
      <c r="CE217" s="837"/>
      <c r="CF217" s="128"/>
      <c r="CG217" s="128"/>
      <c r="CH217" s="128"/>
      <c r="CI217" s="128"/>
      <c r="CJ217" s="837"/>
      <c r="CK217" s="128"/>
      <c r="CL217" s="128"/>
      <c r="CM217" s="128"/>
      <c r="CN217" s="128"/>
      <c r="CO217" s="837"/>
      <c r="CP217" s="128"/>
      <c r="CQ217" s="128"/>
      <c r="CR217" s="128"/>
      <c r="CS217" s="128"/>
      <c r="CT217" s="836"/>
      <c r="CU217" s="128"/>
      <c r="CV217" s="128"/>
      <c r="CW217" s="128"/>
      <c r="CX217" s="128"/>
      <c r="CY217" s="836"/>
      <c r="CZ217" s="129"/>
      <c r="DA217" s="128"/>
      <c r="DB217" s="129"/>
      <c r="DC217" s="128"/>
      <c r="DD217" s="836"/>
      <c r="DE217" s="129"/>
      <c r="DF217" s="128"/>
      <c r="DG217" s="129"/>
      <c r="DH217" s="128"/>
      <c r="DI217" s="836"/>
      <c r="DJ217" s="129"/>
      <c r="DK217" s="129"/>
      <c r="DL217" s="129"/>
      <c r="DM217" s="128"/>
      <c r="DN217" s="836"/>
      <c r="DO217" s="128"/>
      <c r="DP217" s="128"/>
      <c r="DQ217" s="129"/>
      <c r="DR217" s="883"/>
      <c r="DS217" s="836"/>
      <c r="DT217" s="129"/>
      <c r="DU217" s="129"/>
      <c r="DV217" s="129"/>
      <c r="DW217" s="129"/>
      <c r="DX217" s="836"/>
      <c r="DY217" s="129"/>
      <c r="DZ217" s="129"/>
      <c r="EA217" s="129"/>
      <c r="EB217" s="129"/>
      <c r="EC217" s="836"/>
      <c r="ED217" s="129"/>
      <c r="EE217" s="129"/>
      <c r="EF217" s="129"/>
      <c r="EG217" s="129"/>
      <c r="EH217" s="836"/>
      <c r="EI217" s="134"/>
      <c r="EJ217" s="128"/>
      <c r="EK217" s="128"/>
      <c r="EL217" s="128"/>
      <c r="EM217" s="836"/>
      <c r="EN217" s="128"/>
      <c r="EO217" s="128"/>
      <c r="EP217" s="128"/>
      <c r="EQ217" s="128"/>
      <c r="ER217" s="836"/>
      <c r="ES217" s="128"/>
      <c r="ET217" s="128"/>
      <c r="EU217" s="128"/>
      <c r="EV217" s="128"/>
      <c r="EW217" s="836"/>
      <c r="EX217" s="128"/>
      <c r="EY217" s="128"/>
      <c r="EZ217" s="128"/>
      <c r="FA217" s="128"/>
      <c r="FB217" s="836"/>
      <c r="FC217" s="128"/>
      <c r="FD217" s="128"/>
      <c r="FE217" s="128"/>
      <c r="FF217" s="128"/>
      <c r="FG217" s="836"/>
    </row>
    <row r="218" ht="12.75" customHeight="1">
      <c r="A218" s="128"/>
      <c r="B218" s="179"/>
      <c r="C218" s="179"/>
      <c r="D218" s="179"/>
      <c r="E218" s="179"/>
      <c r="F218" s="179"/>
      <c r="G218" s="179"/>
      <c r="H218" s="179"/>
      <c r="I218" s="179"/>
      <c r="J218" s="179"/>
      <c r="K218" s="179"/>
      <c r="L218" s="179"/>
      <c r="M218" s="179"/>
      <c r="N218" s="179"/>
      <c r="O218" s="179"/>
      <c r="P218" s="179"/>
      <c r="Q218" s="179"/>
      <c r="R218" s="57"/>
      <c r="S218" s="179"/>
      <c r="T218" s="179"/>
      <c r="U218" s="179"/>
      <c r="V218" s="179"/>
      <c r="W218" s="785"/>
      <c r="X218" s="128"/>
      <c r="Y218" s="128"/>
      <c r="Z218" s="128"/>
      <c r="AA218" s="128"/>
      <c r="AB218" s="837"/>
      <c r="AC218" s="128"/>
      <c r="AD218" s="128"/>
      <c r="AE218" s="128"/>
      <c r="AF218" s="128"/>
      <c r="AG218" s="837"/>
      <c r="AH218" s="128"/>
      <c r="AI218" s="128"/>
      <c r="AJ218" s="128"/>
      <c r="AK218" s="128"/>
      <c r="AL218" s="837"/>
      <c r="AM218" s="128"/>
      <c r="AN218" s="128"/>
      <c r="AO218" s="128"/>
      <c r="AP218" s="128"/>
      <c r="AQ218" s="837"/>
      <c r="AR218" s="128"/>
      <c r="AS218" s="128"/>
      <c r="AT218" s="128"/>
      <c r="AU218" s="128"/>
      <c r="AV218" s="837"/>
      <c r="AW218" s="128"/>
      <c r="AX218" s="128"/>
      <c r="AY218" s="128"/>
      <c r="AZ218" s="128"/>
      <c r="BA218" s="837"/>
      <c r="BB218" s="128"/>
      <c r="BC218" s="128"/>
      <c r="BD218" s="128"/>
      <c r="BE218" s="128"/>
      <c r="BF218" s="837"/>
      <c r="BG218" s="128"/>
      <c r="BH218" s="128"/>
      <c r="BI218" s="128"/>
      <c r="BJ218" s="128"/>
      <c r="BK218" s="837"/>
      <c r="BL218" s="128"/>
      <c r="BM218" s="128"/>
      <c r="BN218" s="128"/>
      <c r="BO218" s="128"/>
      <c r="BP218" s="837"/>
      <c r="BQ218" s="128"/>
      <c r="BR218" s="128"/>
      <c r="BS218" s="128"/>
      <c r="BT218" s="128"/>
      <c r="BU218" s="837"/>
      <c r="BV218" s="128"/>
      <c r="BW218" s="128"/>
      <c r="BX218" s="128"/>
      <c r="BY218" s="128"/>
      <c r="BZ218" s="837"/>
      <c r="CA218" s="128"/>
      <c r="CB218" s="128"/>
      <c r="CC218" s="128"/>
      <c r="CD218" s="128"/>
      <c r="CE218" s="837"/>
      <c r="CF218" s="128"/>
      <c r="CG218" s="128"/>
      <c r="CH218" s="128"/>
      <c r="CI218" s="128"/>
      <c r="CJ218" s="837"/>
      <c r="CK218" s="128"/>
      <c r="CL218" s="128"/>
      <c r="CM218" s="128"/>
      <c r="CN218" s="128"/>
      <c r="CO218" s="837"/>
      <c r="CP218" s="128"/>
      <c r="CQ218" s="128"/>
      <c r="CR218" s="128"/>
      <c r="CS218" s="128"/>
      <c r="CT218" s="836"/>
      <c r="CU218" s="128"/>
      <c r="CV218" s="128"/>
      <c r="CW218" s="128"/>
      <c r="CX218" s="128"/>
      <c r="CY218" s="836"/>
      <c r="CZ218" s="129"/>
      <c r="DA218" s="128"/>
      <c r="DB218" s="129"/>
      <c r="DC218" s="128"/>
      <c r="DD218" s="836"/>
      <c r="DE218" s="129"/>
      <c r="DF218" s="128"/>
      <c r="DG218" s="129"/>
      <c r="DH218" s="128"/>
      <c r="DI218" s="836"/>
      <c r="DJ218" s="129"/>
      <c r="DK218" s="129"/>
      <c r="DL218" s="129"/>
      <c r="DM218" s="128"/>
      <c r="DN218" s="836"/>
      <c r="DO218" s="128"/>
      <c r="DP218" s="128"/>
      <c r="DQ218" s="129"/>
      <c r="DR218" s="925"/>
      <c r="DS218" s="836"/>
      <c r="DT218" s="129"/>
      <c r="DU218" s="129"/>
      <c r="DV218" s="129"/>
      <c r="DW218" s="129"/>
      <c r="DX218" s="836"/>
      <c r="DY218" s="129"/>
      <c r="DZ218" s="129"/>
      <c r="EA218" s="129"/>
      <c r="EB218" s="129"/>
      <c r="EC218" s="836"/>
      <c r="ED218" s="129"/>
      <c r="EE218" s="129"/>
      <c r="EF218" s="129"/>
      <c r="EG218" s="129"/>
      <c r="EH218" s="836"/>
      <c r="EI218" s="134"/>
      <c r="EJ218" s="128"/>
      <c r="EK218" s="128"/>
      <c r="EL218" s="128"/>
      <c r="EM218" s="836"/>
      <c r="EN218" s="128"/>
      <c r="EO218" s="128"/>
      <c r="EP218" s="128"/>
      <c r="EQ218" s="128"/>
      <c r="ER218" s="836"/>
      <c r="ES218" s="128"/>
      <c r="ET218" s="128"/>
      <c r="EU218" s="128"/>
      <c r="EV218" s="128"/>
      <c r="EW218" s="836"/>
      <c r="EX218" s="128"/>
      <c r="EY218" s="128"/>
      <c r="EZ218" s="128"/>
      <c r="FA218" s="128"/>
      <c r="FB218" s="836"/>
      <c r="FC218" s="128"/>
      <c r="FD218" s="128"/>
      <c r="FE218" s="128"/>
      <c r="FF218" s="128"/>
      <c r="FG218" s="836"/>
    </row>
    <row r="219" ht="12.75" customHeight="1">
      <c r="A219" s="128"/>
      <c r="B219" s="179"/>
      <c r="C219" s="179"/>
      <c r="D219" s="179"/>
      <c r="E219" s="179"/>
      <c r="F219" s="179"/>
      <c r="G219" s="179"/>
      <c r="H219" s="179"/>
      <c r="I219" s="179"/>
      <c r="J219" s="179"/>
      <c r="K219" s="179"/>
      <c r="L219" s="179"/>
      <c r="M219" s="179"/>
      <c r="N219" s="179"/>
      <c r="O219" s="179"/>
      <c r="P219" s="179"/>
      <c r="Q219" s="179"/>
      <c r="R219" s="57"/>
      <c r="S219" s="179"/>
      <c r="T219" s="179"/>
      <c r="U219" s="179"/>
      <c r="V219" s="179"/>
      <c r="W219" s="785"/>
      <c r="X219" s="128"/>
      <c r="Y219" s="128"/>
      <c r="Z219" s="128"/>
      <c r="AA219" s="128"/>
      <c r="AB219" s="837"/>
      <c r="AC219" s="128"/>
      <c r="AD219" s="128"/>
      <c r="AE219" s="128"/>
      <c r="AF219" s="128"/>
      <c r="AG219" s="837"/>
      <c r="AH219" s="128"/>
      <c r="AI219" s="128"/>
      <c r="AJ219" s="128"/>
      <c r="AK219" s="128"/>
      <c r="AL219" s="837"/>
      <c r="AM219" s="128"/>
      <c r="AN219" s="128"/>
      <c r="AO219" s="128"/>
      <c r="AP219" s="128"/>
      <c r="AQ219" s="837"/>
      <c r="AR219" s="128"/>
      <c r="AS219" s="128"/>
      <c r="AT219" s="128"/>
      <c r="AU219" s="128"/>
      <c r="AV219" s="837"/>
      <c r="AW219" s="128"/>
      <c r="AX219" s="128"/>
      <c r="AY219" s="128"/>
      <c r="AZ219" s="128"/>
      <c r="BA219" s="837"/>
      <c r="BB219" s="128"/>
      <c r="BC219" s="128"/>
      <c r="BD219" s="128"/>
      <c r="BE219" s="128"/>
      <c r="BF219" s="837"/>
      <c r="BG219" s="128"/>
      <c r="BH219" s="128"/>
      <c r="BI219" s="128"/>
      <c r="BJ219" s="128"/>
      <c r="BK219" s="837"/>
      <c r="BL219" s="128"/>
      <c r="BM219" s="128"/>
      <c r="BN219" s="128"/>
      <c r="BO219" s="128"/>
      <c r="BP219" s="837"/>
      <c r="BQ219" s="128"/>
      <c r="BR219" s="128"/>
      <c r="BS219" s="128"/>
      <c r="BT219" s="128"/>
      <c r="BU219" s="837"/>
      <c r="BV219" s="128"/>
      <c r="BW219" s="128"/>
      <c r="BX219" s="128"/>
      <c r="BY219" s="128"/>
      <c r="BZ219" s="837"/>
      <c r="CA219" s="128"/>
      <c r="CB219" s="128"/>
      <c r="CC219" s="128"/>
      <c r="CD219" s="128"/>
      <c r="CE219" s="837"/>
      <c r="CF219" s="128"/>
      <c r="CG219" s="128"/>
      <c r="CH219" s="128"/>
      <c r="CI219" s="128"/>
      <c r="CJ219" s="837"/>
      <c r="CK219" s="128"/>
      <c r="CL219" s="128"/>
      <c r="CM219" s="128"/>
      <c r="CN219" s="128"/>
      <c r="CO219" s="837"/>
      <c r="CP219" s="128"/>
      <c r="CQ219" s="128"/>
      <c r="CR219" s="128"/>
      <c r="CS219" s="128"/>
      <c r="CT219" s="836"/>
      <c r="CU219" s="128"/>
      <c r="CV219" s="128"/>
      <c r="CW219" s="128"/>
      <c r="CX219" s="128"/>
      <c r="CY219" s="836"/>
      <c r="CZ219" s="129"/>
      <c r="DA219" s="128"/>
      <c r="DB219" s="129"/>
      <c r="DC219" s="128"/>
      <c r="DD219" s="836"/>
      <c r="DE219" s="129"/>
      <c r="DF219" s="128"/>
      <c r="DG219" s="129"/>
      <c r="DH219" s="128"/>
      <c r="DI219" s="836"/>
      <c r="DJ219" s="129"/>
      <c r="DK219" s="129"/>
      <c r="DL219" s="129"/>
      <c r="DM219" s="128"/>
      <c r="DN219" s="836"/>
      <c r="DO219" s="128"/>
      <c r="DP219" s="128"/>
      <c r="DQ219" s="129"/>
      <c r="DR219" s="129"/>
      <c r="DS219" s="836"/>
      <c r="DT219" s="129"/>
      <c r="DU219" s="129"/>
      <c r="DV219" s="129"/>
      <c r="DW219" s="129"/>
      <c r="DX219" s="836"/>
      <c r="DY219" s="129"/>
      <c r="DZ219" s="129"/>
      <c r="EA219" s="129"/>
      <c r="EB219" s="129"/>
      <c r="EC219" s="836"/>
      <c r="ED219" s="129"/>
      <c r="EE219" s="129"/>
      <c r="EF219" s="129"/>
      <c r="EG219" s="129"/>
      <c r="EH219" s="836"/>
      <c r="EI219" s="134"/>
      <c r="EJ219" s="128"/>
      <c r="EK219" s="128"/>
      <c r="EL219" s="128"/>
      <c r="EM219" s="836"/>
      <c r="EN219" s="128"/>
      <c r="EO219" s="128"/>
      <c r="EP219" s="128"/>
      <c r="EQ219" s="128"/>
      <c r="ER219" s="836"/>
      <c r="ES219" s="128"/>
      <c r="ET219" s="128"/>
      <c r="EU219" s="128"/>
      <c r="EV219" s="128"/>
      <c r="EW219" s="836"/>
      <c r="EX219" s="128"/>
      <c r="EY219" s="128"/>
      <c r="EZ219" s="128"/>
      <c r="FA219" s="128"/>
      <c r="FB219" s="836"/>
      <c r="FC219" s="128"/>
      <c r="FD219" s="128"/>
      <c r="FE219" s="128"/>
      <c r="FF219" s="128"/>
      <c r="FG219" s="836"/>
    </row>
    <row r="220" ht="12.75" customHeight="1">
      <c r="A220" s="128"/>
      <c r="B220" s="179"/>
      <c r="C220" s="179"/>
      <c r="D220" s="179"/>
      <c r="E220" s="179"/>
      <c r="F220" s="179"/>
      <c r="G220" s="179"/>
      <c r="H220" s="179"/>
      <c r="I220" s="179"/>
      <c r="J220" s="179"/>
      <c r="K220" s="179"/>
      <c r="L220" s="179"/>
      <c r="M220" s="179"/>
      <c r="N220" s="179"/>
      <c r="O220" s="179"/>
      <c r="P220" s="179"/>
      <c r="Q220" s="179"/>
      <c r="R220" s="57"/>
      <c r="S220" s="179"/>
      <c r="T220" s="179"/>
      <c r="U220" s="179"/>
      <c r="V220" s="179"/>
      <c r="W220" s="785"/>
      <c r="X220" s="128"/>
      <c r="Y220" s="128"/>
      <c r="Z220" s="128"/>
      <c r="AA220" s="128"/>
      <c r="AB220" s="837"/>
      <c r="AC220" s="128"/>
      <c r="AD220" s="128"/>
      <c r="AE220" s="128"/>
      <c r="AF220" s="128"/>
      <c r="AG220" s="837"/>
      <c r="AH220" s="128"/>
      <c r="AI220" s="128"/>
      <c r="AJ220" s="128"/>
      <c r="AK220" s="128"/>
      <c r="AL220" s="837"/>
      <c r="AM220" s="128"/>
      <c r="AN220" s="128"/>
      <c r="AO220" s="128"/>
      <c r="AP220" s="128"/>
      <c r="AQ220" s="837"/>
      <c r="AR220" s="128"/>
      <c r="AS220" s="128"/>
      <c r="AT220" s="128"/>
      <c r="AU220" s="128"/>
      <c r="AV220" s="837"/>
      <c r="AW220" s="128"/>
      <c r="AX220" s="128"/>
      <c r="AY220" s="128"/>
      <c r="AZ220" s="128"/>
      <c r="BA220" s="837"/>
      <c r="BB220" s="128"/>
      <c r="BC220" s="128"/>
      <c r="BD220" s="128"/>
      <c r="BE220" s="128"/>
      <c r="BF220" s="837"/>
      <c r="BG220" s="128"/>
      <c r="BH220" s="128"/>
      <c r="BI220" s="128"/>
      <c r="BJ220" s="128"/>
      <c r="BK220" s="837"/>
      <c r="BL220" s="128"/>
      <c r="BM220" s="128"/>
      <c r="BN220" s="128"/>
      <c r="BO220" s="128"/>
      <c r="BP220" s="837"/>
      <c r="BQ220" s="128"/>
      <c r="BR220" s="128"/>
      <c r="BS220" s="128"/>
      <c r="BT220" s="128"/>
      <c r="BU220" s="837"/>
      <c r="BV220" s="128"/>
      <c r="BW220" s="128"/>
      <c r="BX220" s="128"/>
      <c r="BY220" s="128"/>
      <c r="BZ220" s="837"/>
      <c r="CA220" s="128"/>
      <c r="CB220" s="128"/>
      <c r="CC220" s="128"/>
      <c r="CD220" s="128"/>
      <c r="CE220" s="837"/>
      <c r="CF220" s="128"/>
      <c r="CG220" s="128"/>
      <c r="CH220" s="128"/>
      <c r="CI220" s="128"/>
      <c r="CJ220" s="837"/>
      <c r="CK220" s="128"/>
      <c r="CL220" s="128"/>
      <c r="CM220" s="128"/>
      <c r="CN220" s="128"/>
      <c r="CO220" s="837"/>
      <c r="CP220" s="128"/>
      <c r="CQ220" s="128"/>
      <c r="CR220" s="128"/>
      <c r="CS220" s="128"/>
      <c r="CT220" s="836"/>
      <c r="CU220" s="128"/>
      <c r="CV220" s="128"/>
      <c r="CW220" s="128"/>
      <c r="CX220" s="128"/>
      <c r="CY220" s="836"/>
      <c r="CZ220" s="129"/>
      <c r="DA220" s="128"/>
      <c r="DB220" s="129"/>
      <c r="DC220" s="128"/>
      <c r="DD220" s="836"/>
      <c r="DE220" s="129"/>
      <c r="DF220" s="128"/>
      <c r="DG220" s="129"/>
      <c r="DH220" s="128"/>
      <c r="DI220" s="836"/>
      <c r="DJ220" s="129"/>
      <c r="DK220" s="129"/>
      <c r="DL220" s="129"/>
      <c r="DM220" s="128"/>
      <c r="DN220" s="836"/>
      <c r="DO220" s="128"/>
      <c r="DP220" s="128"/>
      <c r="DQ220" s="129"/>
      <c r="DR220" s="129"/>
      <c r="DS220" s="836"/>
      <c r="DT220" s="129"/>
      <c r="DU220" s="129"/>
      <c r="DV220" s="129"/>
      <c r="DW220" s="129"/>
      <c r="DX220" s="836"/>
      <c r="DY220" s="129"/>
      <c r="DZ220" s="129"/>
      <c r="EA220" s="129"/>
      <c r="EB220" s="129"/>
      <c r="EC220" s="836"/>
      <c r="ED220" s="129"/>
      <c r="EE220" s="129"/>
      <c r="EF220" s="129"/>
      <c r="EG220" s="129"/>
      <c r="EH220" s="836"/>
      <c r="EI220" s="134"/>
      <c r="EJ220" s="128"/>
      <c r="EK220" s="128"/>
      <c r="EL220" s="128"/>
      <c r="EM220" s="836"/>
      <c r="EN220" s="128"/>
      <c r="EO220" s="128"/>
      <c r="EP220" s="128"/>
      <c r="EQ220" s="128"/>
      <c r="ER220" s="836"/>
      <c r="ES220" s="128"/>
      <c r="ET220" s="128"/>
      <c r="EU220" s="128"/>
      <c r="EV220" s="128"/>
      <c r="EW220" s="836"/>
      <c r="EX220" s="128"/>
      <c r="EY220" s="128"/>
      <c r="EZ220" s="128"/>
      <c r="FA220" s="128"/>
      <c r="FB220" s="836"/>
      <c r="FC220" s="128"/>
      <c r="FD220" s="128"/>
      <c r="FE220" s="128"/>
      <c r="FF220" s="128"/>
      <c r="FG220" s="836"/>
    </row>
    <row r="221" ht="12.75" customHeight="1">
      <c r="A221" s="128"/>
      <c r="B221" s="179"/>
      <c r="C221" s="179"/>
      <c r="D221" s="179"/>
      <c r="E221" s="179"/>
      <c r="F221" s="179"/>
      <c r="G221" s="179"/>
      <c r="H221" s="179"/>
      <c r="I221" s="179"/>
      <c r="J221" s="179"/>
      <c r="K221" s="179"/>
      <c r="L221" s="179"/>
      <c r="M221" s="179"/>
      <c r="N221" s="179"/>
      <c r="O221" s="179"/>
      <c r="P221" s="179"/>
      <c r="Q221" s="179"/>
      <c r="R221" s="57"/>
      <c r="S221" s="179"/>
      <c r="T221" s="179"/>
      <c r="U221" s="179"/>
      <c r="V221" s="179"/>
      <c r="W221" s="785"/>
      <c r="X221" s="128"/>
      <c r="Y221" s="128"/>
      <c r="Z221" s="128"/>
      <c r="AA221" s="128"/>
      <c r="AB221" s="837"/>
      <c r="AC221" s="128"/>
      <c r="AD221" s="128"/>
      <c r="AE221" s="128"/>
      <c r="AF221" s="128"/>
      <c r="AG221" s="837"/>
      <c r="AH221" s="128"/>
      <c r="AI221" s="128"/>
      <c r="AJ221" s="128"/>
      <c r="AK221" s="128"/>
      <c r="AL221" s="837"/>
      <c r="AM221" s="128"/>
      <c r="AN221" s="128"/>
      <c r="AO221" s="128"/>
      <c r="AP221" s="128"/>
      <c r="AQ221" s="837"/>
      <c r="AR221" s="128"/>
      <c r="AS221" s="128"/>
      <c r="AT221" s="128"/>
      <c r="AU221" s="128"/>
      <c r="AV221" s="837"/>
      <c r="AW221" s="128"/>
      <c r="AX221" s="128"/>
      <c r="AY221" s="128"/>
      <c r="AZ221" s="128"/>
      <c r="BA221" s="837"/>
      <c r="BB221" s="128"/>
      <c r="BC221" s="128"/>
      <c r="BD221" s="128"/>
      <c r="BE221" s="128"/>
      <c r="BF221" s="837"/>
      <c r="BG221" s="128"/>
      <c r="BH221" s="128"/>
      <c r="BI221" s="128"/>
      <c r="BJ221" s="128"/>
      <c r="BK221" s="837"/>
      <c r="BL221" s="128"/>
      <c r="BM221" s="128"/>
      <c r="BN221" s="128"/>
      <c r="BO221" s="128"/>
      <c r="BP221" s="837"/>
      <c r="BQ221" s="128"/>
      <c r="BR221" s="128"/>
      <c r="BS221" s="128"/>
      <c r="BT221" s="128"/>
      <c r="BU221" s="837"/>
      <c r="BV221" s="128"/>
      <c r="BW221" s="128"/>
      <c r="BX221" s="128"/>
      <c r="BY221" s="128"/>
      <c r="BZ221" s="837"/>
      <c r="CA221" s="128"/>
      <c r="CB221" s="128"/>
      <c r="CC221" s="128"/>
      <c r="CD221" s="128"/>
      <c r="CE221" s="837"/>
      <c r="CF221" s="128"/>
      <c r="CG221" s="128"/>
      <c r="CH221" s="128"/>
      <c r="CI221" s="128"/>
      <c r="CJ221" s="837"/>
      <c r="CK221" s="128"/>
      <c r="CL221" s="128"/>
      <c r="CM221" s="128"/>
      <c r="CN221" s="128"/>
      <c r="CO221" s="837"/>
      <c r="CP221" s="128"/>
      <c r="CQ221" s="128"/>
      <c r="CR221" s="128"/>
      <c r="CS221" s="128"/>
      <c r="CT221" s="836"/>
      <c r="CU221" s="128"/>
      <c r="CV221" s="128"/>
      <c r="CW221" s="128"/>
      <c r="CX221" s="128"/>
      <c r="CY221" s="836"/>
      <c r="CZ221" s="129"/>
      <c r="DA221" s="128"/>
      <c r="DB221" s="129"/>
      <c r="DC221" s="128"/>
      <c r="DD221" s="836"/>
      <c r="DE221" s="129"/>
      <c r="DF221" s="128"/>
      <c r="DG221" s="129"/>
      <c r="DH221" s="128"/>
      <c r="DI221" s="836"/>
      <c r="DJ221" s="129"/>
      <c r="DK221" s="129"/>
      <c r="DL221" s="129"/>
      <c r="DM221" s="128"/>
      <c r="DN221" s="836"/>
      <c r="DO221" s="128"/>
      <c r="DP221" s="128"/>
      <c r="DQ221" s="129"/>
      <c r="DR221" s="269"/>
      <c r="DS221" s="836"/>
      <c r="DT221" s="129"/>
      <c r="DU221" s="129"/>
      <c r="DV221" s="269"/>
      <c r="DW221" s="269"/>
      <c r="DX221" s="836"/>
      <c r="DY221" s="269"/>
      <c r="DZ221" s="269"/>
      <c r="EA221" s="269"/>
      <c r="EB221" s="269"/>
      <c r="EC221" s="836"/>
      <c r="ED221" s="269"/>
      <c r="EE221" s="269"/>
      <c r="EF221" s="269"/>
      <c r="EG221" s="269"/>
      <c r="EH221" s="836"/>
      <c r="EI221" s="134"/>
      <c r="EJ221" s="128"/>
      <c r="EK221" s="128"/>
      <c r="EL221" s="128"/>
      <c r="EM221" s="836"/>
      <c r="EN221" s="128"/>
      <c r="EO221" s="128"/>
      <c r="EP221" s="128"/>
      <c r="EQ221" s="128"/>
      <c r="ER221" s="836"/>
      <c r="ES221" s="128"/>
      <c r="ET221" s="128"/>
      <c r="EU221" s="128"/>
      <c r="EV221" s="128"/>
      <c r="EW221" s="836"/>
      <c r="EX221" s="128"/>
      <c r="EY221" s="128"/>
      <c r="EZ221" s="128"/>
      <c r="FA221" s="128"/>
      <c r="FB221" s="836"/>
      <c r="FC221" s="128"/>
      <c r="FD221" s="128"/>
      <c r="FE221" s="128"/>
      <c r="FF221" s="128"/>
      <c r="FG221" s="836"/>
    </row>
    <row r="222" ht="12.75" customHeight="1">
      <c r="A222" s="128"/>
      <c r="B222" s="179"/>
      <c r="C222" s="179"/>
      <c r="D222" s="179"/>
      <c r="E222" s="179"/>
      <c r="F222" s="179"/>
      <c r="G222" s="179"/>
      <c r="H222" s="179"/>
      <c r="I222" s="179"/>
      <c r="J222" s="179"/>
      <c r="K222" s="179"/>
      <c r="L222" s="179"/>
      <c r="M222" s="179"/>
      <c r="N222" s="179"/>
      <c r="O222" s="179"/>
      <c r="P222" s="179"/>
      <c r="Q222" s="179"/>
      <c r="R222" s="57"/>
      <c r="S222" s="179"/>
      <c r="T222" s="179"/>
      <c r="U222" s="179"/>
      <c r="V222" s="179"/>
      <c r="W222" s="785"/>
      <c r="X222" s="128"/>
      <c r="Y222" s="128"/>
      <c r="Z222" s="128"/>
      <c r="AA222" s="128"/>
      <c r="AB222" s="837"/>
      <c r="AC222" s="128"/>
      <c r="AD222" s="128"/>
      <c r="AE222" s="128"/>
      <c r="AF222" s="128"/>
      <c r="AG222" s="837"/>
      <c r="AH222" s="128"/>
      <c r="AI222" s="128"/>
      <c r="AJ222" s="128"/>
      <c r="AK222" s="128"/>
      <c r="AL222" s="837"/>
      <c r="AM222" s="128"/>
      <c r="AN222" s="128"/>
      <c r="AO222" s="128"/>
      <c r="AP222" s="128"/>
      <c r="AQ222" s="837"/>
      <c r="AR222" s="128"/>
      <c r="AS222" s="128"/>
      <c r="AT222" s="128"/>
      <c r="AU222" s="128"/>
      <c r="AV222" s="837"/>
      <c r="AW222" s="128"/>
      <c r="AX222" s="128"/>
      <c r="AY222" s="128"/>
      <c r="AZ222" s="128"/>
      <c r="BA222" s="837"/>
      <c r="BB222" s="128"/>
      <c r="BC222" s="128"/>
      <c r="BD222" s="128"/>
      <c r="BE222" s="128"/>
      <c r="BF222" s="837"/>
      <c r="BG222" s="128"/>
      <c r="BH222" s="128"/>
      <c r="BI222" s="128"/>
      <c r="BJ222" s="128"/>
      <c r="BK222" s="837"/>
      <c r="BL222" s="128"/>
      <c r="BM222" s="128"/>
      <c r="BN222" s="128"/>
      <c r="BO222" s="128"/>
      <c r="BP222" s="837"/>
      <c r="BQ222" s="128"/>
      <c r="BR222" s="128"/>
      <c r="BS222" s="128"/>
      <c r="BT222" s="128"/>
      <c r="BU222" s="837"/>
      <c r="BV222" s="128"/>
      <c r="BW222" s="128"/>
      <c r="BX222" s="128"/>
      <c r="BY222" s="128"/>
      <c r="BZ222" s="837"/>
      <c r="CA222" s="128"/>
      <c r="CB222" s="128"/>
      <c r="CC222" s="128"/>
      <c r="CD222" s="128"/>
      <c r="CE222" s="837"/>
      <c r="CF222" s="128"/>
      <c r="CG222" s="128"/>
      <c r="CH222" s="128"/>
      <c r="CI222" s="128"/>
      <c r="CJ222" s="837"/>
      <c r="CK222" s="128"/>
      <c r="CL222" s="128"/>
      <c r="CM222" s="128"/>
      <c r="CN222" s="128"/>
      <c r="CO222" s="837"/>
      <c r="CP222" s="128"/>
      <c r="CQ222" s="128"/>
      <c r="CR222" s="128"/>
      <c r="CS222" s="128"/>
      <c r="CT222" s="836"/>
      <c r="CU222" s="128"/>
      <c r="CV222" s="128"/>
      <c r="CW222" s="128"/>
      <c r="CX222" s="128"/>
      <c r="CY222" s="836"/>
      <c r="CZ222" s="129"/>
      <c r="DA222" s="128"/>
      <c r="DB222" s="129"/>
      <c r="DC222" s="128"/>
      <c r="DD222" s="836"/>
      <c r="DE222" s="129"/>
      <c r="DF222" s="128"/>
      <c r="DG222" s="129"/>
      <c r="DH222" s="128"/>
      <c r="DI222" s="836"/>
      <c r="DJ222" s="129"/>
      <c r="DK222" s="129"/>
      <c r="DL222" s="129"/>
      <c r="DM222" s="128"/>
      <c r="DN222" s="836"/>
      <c r="DO222" s="128"/>
      <c r="DP222" s="128"/>
      <c r="DQ222" s="129"/>
      <c r="DR222" s="129"/>
      <c r="DS222" s="836"/>
      <c r="DT222" s="129"/>
      <c r="DU222" s="129"/>
      <c r="DV222" s="129"/>
      <c r="DW222" s="129"/>
      <c r="DX222" s="836"/>
      <c r="DY222" s="129"/>
      <c r="DZ222" s="129"/>
      <c r="EA222" s="129"/>
      <c r="EB222" s="129"/>
      <c r="EC222" s="836"/>
      <c r="ED222" s="129"/>
      <c r="EE222" s="129"/>
      <c r="EF222" s="129"/>
      <c r="EG222" s="129"/>
      <c r="EH222" s="836"/>
      <c r="EI222" s="134"/>
      <c r="EJ222" s="128"/>
      <c r="EK222" s="128"/>
      <c r="EL222" s="128"/>
      <c r="EM222" s="836"/>
      <c r="EN222" s="128"/>
      <c r="EO222" s="128"/>
      <c r="EP222" s="128"/>
      <c r="EQ222" s="128"/>
      <c r="ER222" s="836"/>
      <c r="ES222" s="128"/>
      <c r="ET222" s="128"/>
      <c r="EU222" s="128"/>
      <c r="EV222" s="128"/>
      <c r="EW222" s="836"/>
      <c r="EX222" s="128"/>
      <c r="EY222" s="128"/>
      <c r="EZ222" s="128"/>
      <c r="FA222" s="128"/>
      <c r="FB222" s="836"/>
      <c r="FC222" s="128"/>
      <c r="FD222" s="128"/>
      <c r="FE222" s="128"/>
      <c r="FF222" s="128"/>
      <c r="FG222" s="836"/>
    </row>
    <row r="223" ht="12.75" customHeight="1">
      <c r="A223" s="128"/>
      <c r="B223" s="179"/>
      <c r="C223" s="179"/>
      <c r="D223" s="179"/>
      <c r="E223" s="179"/>
      <c r="F223" s="179"/>
      <c r="G223" s="179"/>
      <c r="H223" s="179"/>
      <c r="I223" s="179"/>
      <c r="J223" s="179"/>
      <c r="K223" s="179"/>
      <c r="L223" s="179"/>
      <c r="M223" s="179"/>
      <c r="N223" s="179"/>
      <c r="O223" s="179"/>
      <c r="P223" s="179"/>
      <c r="Q223" s="179"/>
      <c r="R223" s="57"/>
      <c r="S223" s="179"/>
      <c r="T223" s="179"/>
      <c r="U223" s="179"/>
      <c r="V223" s="179"/>
      <c r="W223" s="785"/>
      <c r="X223" s="128"/>
      <c r="Y223" s="128"/>
      <c r="Z223" s="128"/>
      <c r="AA223" s="128"/>
      <c r="AB223" s="837"/>
      <c r="AC223" s="128"/>
      <c r="AD223" s="128"/>
      <c r="AE223" s="128"/>
      <c r="AF223" s="128"/>
      <c r="AG223" s="837"/>
      <c r="AH223" s="128"/>
      <c r="AI223" s="128"/>
      <c r="AJ223" s="128"/>
      <c r="AK223" s="128"/>
      <c r="AL223" s="837"/>
      <c r="AM223" s="128"/>
      <c r="AN223" s="128"/>
      <c r="AO223" s="128"/>
      <c r="AP223" s="128"/>
      <c r="AQ223" s="837"/>
      <c r="AR223" s="128"/>
      <c r="AS223" s="128"/>
      <c r="AT223" s="128"/>
      <c r="AU223" s="128"/>
      <c r="AV223" s="837"/>
      <c r="AW223" s="128"/>
      <c r="AX223" s="128"/>
      <c r="AY223" s="128"/>
      <c r="AZ223" s="128"/>
      <c r="BA223" s="837"/>
      <c r="BB223" s="128"/>
      <c r="BC223" s="128"/>
      <c r="BD223" s="128"/>
      <c r="BE223" s="128"/>
      <c r="BF223" s="837"/>
      <c r="BG223" s="128"/>
      <c r="BH223" s="128"/>
      <c r="BI223" s="128"/>
      <c r="BJ223" s="128"/>
      <c r="BK223" s="837"/>
      <c r="BL223" s="128"/>
      <c r="BM223" s="128"/>
      <c r="BN223" s="128"/>
      <c r="BO223" s="128"/>
      <c r="BP223" s="837"/>
      <c r="BQ223" s="128"/>
      <c r="BR223" s="128"/>
      <c r="BS223" s="128"/>
      <c r="BT223" s="128"/>
      <c r="BU223" s="837"/>
      <c r="BV223" s="128"/>
      <c r="BW223" s="128"/>
      <c r="BX223" s="128"/>
      <c r="BY223" s="128"/>
      <c r="BZ223" s="837"/>
      <c r="CA223" s="128"/>
      <c r="CB223" s="128"/>
      <c r="CC223" s="128"/>
      <c r="CD223" s="128"/>
      <c r="CE223" s="837"/>
      <c r="CF223" s="128"/>
      <c r="CG223" s="128"/>
      <c r="CH223" s="128"/>
      <c r="CI223" s="128"/>
      <c r="CJ223" s="837"/>
      <c r="CK223" s="128"/>
      <c r="CL223" s="128"/>
      <c r="CM223" s="128"/>
      <c r="CN223" s="128"/>
      <c r="CO223" s="837"/>
      <c r="CP223" s="128"/>
      <c r="CQ223" s="128"/>
      <c r="CR223" s="128"/>
      <c r="CS223" s="128"/>
      <c r="CT223" s="836"/>
      <c r="CU223" s="128"/>
      <c r="CV223" s="128"/>
      <c r="CW223" s="128"/>
      <c r="CX223" s="128"/>
      <c r="CY223" s="836"/>
      <c r="CZ223" s="129"/>
      <c r="DA223" s="128"/>
      <c r="DB223" s="129"/>
      <c r="DC223" s="128"/>
      <c r="DD223" s="836"/>
      <c r="DE223" s="129"/>
      <c r="DF223" s="128"/>
      <c r="DG223" s="129"/>
      <c r="DH223" s="128"/>
      <c r="DI223" s="836"/>
      <c r="DJ223" s="129"/>
      <c r="DK223" s="129"/>
      <c r="DL223" s="129"/>
      <c r="DM223" s="128"/>
      <c r="DN223" s="836"/>
      <c r="DO223" s="128"/>
      <c r="DP223" s="128"/>
      <c r="DQ223" s="129"/>
      <c r="DR223" s="129"/>
      <c r="DS223" s="836"/>
      <c r="DT223" s="129"/>
      <c r="DU223" s="129"/>
      <c r="DV223" s="129"/>
      <c r="DW223" s="129"/>
      <c r="DX223" s="836"/>
      <c r="DY223" s="129"/>
      <c r="DZ223" s="129"/>
      <c r="EA223" s="129"/>
      <c r="EB223" s="129"/>
      <c r="EC223" s="836"/>
      <c r="ED223" s="129"/>
      <c r="EE223" s="129"/>
      <c r="EF223" s="129"/>
      <c r="EG223" s="129"/>
      <c r="EH223" s="836"/>
      <c r="EI223" s="134"/>
      <c r="EJ223" s="128"/>
      <c r="EK223" s="128"/>
      <c r="EL223" s="128"/>
      <c r="EM223" s="836"/>
      <c r="EN223" s="128"/>
      <c r="EO223" s="128"/>
      <c r="EP223" s="128"/>
      <c r="EQ223" s="128"/>
      <c r="ER223" s="836"/>
      <c r="ES223" s="128"/>
      <c r="ET223" s="128"/>
      <c r="EU223" s="128"/>
      <c r="EV223" s="128"/>
      <c r="EW223" s="836"/>
      <c r="EX223" s="128"/>
      <c r="EY223" s="128"/>
      <c r="EZ223" s="128"/>
      <c r="FA223" s="128"/>
      <c r="FB223" s="836"/>
      <c r="FC223" s="128"/>
      <c r="FD223" s="128"/>
      <c r="FE223" s="128"/>
      <c r="FF223" s="128"/>
      <c r="FG223" s="836"/>
    </row>
    <row r="224" ht="12.75" customHeight="1">
      <c r="A224" s="128"/>
      <c r="B224" s="179"/>
      <c r="C224" s="179"/>
      <c r="D224" s="179"/>
      <c r="E224" s="179"/>
      <c r="F224" s="179"/>
      <c r="G224" s="179"/>
      <c r="H224" s="179"/>
      <c r="I224" s="179"/>
      <c r="J224" s="179"/>
      <c r="K224" s="179"/>
      <c r="L224" s="179"/>
      <c r="M224" s="179"/>
      <c r="N224" s="179"/>
      <c r="O224" s="179"/>
      <c r="P224" s="179"/>
      <c r="Q224" s="179"/>
      <c r="R224" s="57"/>
      <c r="S224" s="179"/>
      <c r="T224" s="179"/>
      <c r="U224" s="179"/>
      <c r="V224" s="179"/>
      <c r="W224" s="785"/>
      <c r="X224" s="128"/>
      <c r="Y224" s="128"/>
      <c r="Z224" s="128"/>
      <c r="AA224" s="128"/>
      <c r="AB224" s="837"/>
      <c r="AC224" s="128"/>
      <c r="AD224" s="128"/>
      <c r="AE224" s="128"/>
      <c r="AF224" s="128"/>
      <c r="AG224" s="837"/>
      <c r="AH224" s="128"/>
      <c r="AI224" s="128"/>
      <c r="AJ224" s="128"/>
      <c r="AK224" s="128"/>
      <c r="AL224" s="837"/>
      <c r="AM224" s="128"/>
      <c r="AN224" s="128"/>
      <c r="AO224" s="128"/>
      <c r="AP224" s="128"/>
      <c r="AQ224" s="837"/>
      <c r="AR224" s="128"/>
      <c r="AS224" s="128"/>
      <c r="AT224" s="128"/>
      <c r="AU224" s="128"/>
      <c r="AV224" s="837"/>
      <c r="AW224" s="128"/>
      <c r="AX224" s="128"/>
      <c r="AY224" s="128"/>
      <c r="AZ224" s="128"/>
      <c r="BA224" s="837"/>
      <c r="BB224" s="128"/>
      <c r="BC224" s="128"/>
      <c r="BD224" s="128"/>
      <c r="BE224" s="128"/>
      <c r="BF224" s="837"/>
      <c r="BG224" s="128"/>
      <c r="BH224" s="128"/>
      <c r="BI224" s="128"/>
      <c r="BJ224" s="128"/>
      <c r="BK224" s="837"/>
      <c r="BL224" s="128"/>
      <c r="BM224" s="128"/>
      <c r="BN224" s="128"/>
      <c r="BO224" s="128"/>
      <c r="BP224" s="837"/>
      <c r="BQ224" s="128"/>
      <c r="BR224" s="128"/>
      <c r="BS224" s="128"/>
      <c r="BT224" s="128"/>
      <c r="BU224" s="837"/>
      <c r="BV224" s="128"/>
      <c r="BW224" s="128"/>
      <c r="BX224" s="128"/>
      <c r="BY224" s="128"/>
      <c r="BZ224" s="837"/>
      <c r="CA224" s="128"/>
      <c r="CB224" s="128"/>
      <c r="CC224" s="128"/>
      <c r="CD224" s="128"/>
      <c r="CE224" s="837"/>
      <c r="CF224" s="128"/>
      <c r="CG224" s="128"/>
      <c r="CH224" s="128"/>
      <c r="CI224" s="128"/>
      <c r="CJ224" s="837"/>
      <c r="CK224" s="128"/>
      <c r="CL224" s="128"/>
      <c r="CM224" s="128"/>
      <c r="CN224" s="128"/>
      <c r="CO224" s="837"/>
      <c r="CP224" s="128"/>
      <c r="CQ224" s="128"/>
      <c r="CR224" s="128"/>
      <c r="CS224" s="128"/>
      <c r="CT224" s="836"/>
      <c r="CU224" s="128"/>
      <c r="CV224" s="128"/>
      <c r="CW224" s="128"/>
      <c r="CX224" s="128"/>
      <c r="CY224" s="836"/>
      <c r="CZ224" s="129"/>
      <c r="DA224" s="128"/>
      <c r="DB224" s="129"/>
      <c r="DC224" s="128"/>
      <c r="DD224" s="836"/>
      <c r="DE224" s="129"/>
      <c r="DF224" s="128"/>
      <c r="DG224" s="129"/>
      <c r="DH224" s="128"/>
      <c r="DI224" s="836"/>
      <c r="DJ224" s="129"/>
      <c r="DK224" s="129"/>
      <c r="DL224" s="129"/>
      <c r="DM224" s="128"/>
      <c r="DN224" s="836"/>
      <c r="DO224" s="128"/>
      <c r="DP224" s="128"/>
      <c r="DQ224" s="129"/>
      <c r="DR224" s="129"/>
      <c r="DS224" s="836"/>
      <c r="DT224" s="129"/>
      <c r="DU224" s="129"/>
      <c r="DV224" s="129"/>
      <c r="DW224" s="129"/>
      <c r="DX224" s="836"/>
      <c r="DY224" s="129"/>
      <c r="DZ224" s="129"/>
      <c r="EA224" s="129"/>
      <c r="EB224" s="129"/>
      <c r="EC224" s="836"/>
      <c r="ED224" s="129"/>
      <c r="EE224" s="129"/>
      <c r="EF224" s="129"/>
      <c r="EG224" s="129"/>
      <c r="EH224" s="836"/>
      <c r="EI224" s="134"/>
      <c r="EJ224" s="128"/>
      <c r="EK224" s="128"/>
      <c r="EL224" s="128"/>
      <c r="EM224" s="836"/>
      <c r="EN224" s="128"/>
      <c r="EO224" s="128"/>
      <c r="EP224" s="128"/>
      <c r="EQ224" s="128"/>
      <c r="ER224" s="836"/>
      <c r="ES224" s="128"/>
      <c r="ET224" s="128"/>
      <c r="EU224" s="128"/>
      <c r="EV224" s="128"/>
      <c r="EW224" s="836"/>
      <c r="EX224" s="128"/>
      <c r="EY224" s="128"/>
      <c r="EZ224" s="128"/>
      <c r="FA224" s="128"/>
      <c r="FB224" s="836"/>
      <c r="FC224" s="128"/>
      <c r="FD224" s="128"/>
      <c r="FE224" s="128"/>
      <c r="FF224" s="128"/>
      <c r="FG224" s="836"/>
    </row>
    <row r="225" ht="12.75" customHeight="1">
      <c r="A225" s="128"/>
      <c r="B225" s="179"/>
      <c r="C225" s="179"/>
      <c r="D225" s="179"/>
      <c r="E225" s="179"/>
      <c r="F225" s="179"/>
      <c r="G225" s="179"/>
      <c r="H225" s="179"/>
      <c r="I225" s="179"/>
      <c r="J225" s="179"/>
      <c r="K225" s="179"/>
      <c r="L225" s="179"/>
      <c r="M225" s="179"/>
      <c r="N225" s="179"/>
      <c r="O225" s="179"/>
      <c r="P225" s="179"/>
      <c r="Q225" s="179"/>
      <c r="R225" s="57"/>
      <c r="S225" s="179"/>
      <c r="T225" s="179"/>
      <c r="U225" s="179"/>
      <c r="V225" s="179"/>
      <c r="W225" s="785"/>
      <c r="X225" s="128"/>
      <c r="Y225" s="128"/>
      <c r="Z225" s="128"/>
      <c r="AA225" s="128"/>
      <c r="AB225" s="837"/>
      <c r="AC225" s="128"/>
      <c r="AD225" s="128"/>
      <c r="AE225" s="128"/>
      <c r="AF225" s="128"/>
      <c r="AG225" s="837"/>
      <c r="AH225" s="128"/>
      <c r="AI225" s="128"/>
      <c r="AJ225" s="128"/>
      <c r="AK225" s="128"/>
      <c r="AL225" s="837"/>
      <c r="AM225" s="128"/>
      <c r="AN225" s="128"/>
      <c r="AO225" s="128"/>
      <c r="AP225" s="128"/>
      <c r="AQ225" s="837"/>
      <c r="AR225" s="128"/>
      <c r="AS225" s="128"/>
      <c r="AT225" s="128"/>
      <c r="AU225" s="128"/>
      <c r="AV225" s="837"/>
      <c r="AW225" s="128"/>
      <c r="AX225" s="128"/>
      <c r="AY225" s="128"/>
      <c r="AZ225" s="128"/>
      <c r="BA225" s="837"/>
      <c r="BB225" s="128"/>
      <c r="BC225" s="128"/>
      <c r="BD225" s="128"/>
      <c r="BE225" s="128"/>
      <c r="BF225" s="837"/>
      <c r="BG225" s="128"/>
      <c r="BH225" s="128"/>
      <c r="BI225" s="128"/>
      <c r="BJ225" s="128"/>
      <c r="BK225" s="837"/>
      <c r="BL225" s="128"/>
      <c r="BM225" s="128"/>
      <c r="BN225" s="128"/>
      <c r="BO225" s="128"/>
      <c r="BP225" s="837"/>
      <c r="BQ225" s="128"/>
      <c r="BR225" s="128"/>
      <c r="BS225" s="128"/>
      <c r="BT225" s="128"/>
      <c r="BU225" s="837"/>
      <c r="BV225" s="128"/>
      <c r="BW225" s="128"/>
      <c r="BX225" s="128"/>
      <c r="BY225" s="128"/>
      <c r="BZ225" s="837"/>
      <c r="CA225" s="128"/>
      <c r="CB225" s="128"/>
      <c r="CC225" s="128"/>
      <c r="CD225" s="128"/>
      <c r="CE225" s="837"/>
      <c r="CF225" s="128"/>
      <c r="CG225" s="128"/>
      <c r="CH225" s="128"/>
      <c r="CI225" s="128"/>
      <c r="CJ225" s="837"/>
      <c r="CK225" s="128"/>
      <c r="CL225" s="128"/>
      <c r="CM225" s="128"/>
      <c r="CN225" s="128"/>
      <c r="CO225" s="837"/>
      <c r="CP225" s="128"/>
      <c r="CQ225" s="128"/>
      <c r="CR225" s="128"/>
      <c r="CS225" s="128"/>
      <c r="CT225" s="836"/>
      <c r="CU225" s="128"/>
      <c r="CV225" s="128"/>
      <c r="CW225" s="128"/>
      <c r="CX225" s="128"/>
      <c r="CY225" s="836"/>
      <c r="CZ225" s="129"/>
      <c r="DA225" s="128"/>
      <c r="DB225" s="129"/>
      <c r="DC225" s="128"/>
      <c r="DD225" s="836"/>
      <c r="DE225" s="129"/>
      <c r="DF225" s="128"/>
      <c r="DG225" s="129"/>
      <c r="DH225" s="128"/>
      <c r="DI225" s="836"/>
      <c r="DJ225" s="129"/>
      <c r="DK225" s="129"/>
      <c r="DL225" s="129"/>
      <c r="DM225" s="128"/>
      <c r="DN225" s="836"/>
      <c r="DO225" s="128"/>
      <c r="DP225" s="128"/>
      <c r="DQ225" s="129"/>
      <c r="DR225" s="129"/>
      <c r="DS225" s="836"/>
      <c r="DT225" s="129"/>
      <c r="DU225" s="129"/>
      <c r="DV225" s="129"/>
      <c r="DW225" s="129"/>
      <c r="DX225" s="836"/>
      <c r="DY225" s="129"/>
      <c r="DZ225" s="129"/>
      <c r="EA225" s="129"/>
      <c r="EB225" s="129"/>
      <c r="EC225" s="836"/>
      <c r="ED225" s="129"/>
      <c r="EE225" s="129"/>
      <c r="EF225" s="129"/>
      <c r="EG225" s="129"/>
      <c r="EH225" s="836"/>
      <c r="EI225" s="134"/>
      <c r="EJ225" s="128"/>
      <c r="EK225" s="128"/>
      <c r="EL225" s="128"/>
      <c r="EM225" s="836"/>
      <c r="EN225" s="128"/>
      <c r="EO225" s="128"/>
      <c r="EP225" s="128"/>
      <c r="EQ225" s="128"/>
      <c r="ER225" s="836"/>
      <c r="ES225" s="128"/>
      <c r="ET225" s="128"/>
      <c r="EU225" s="128"/>
      <c r="EV225" s="128"/>
      <c r="EW225" s="836"/>
      <c r="EX225" s="128"/>
      <c r="EY225" s="128"/>
      <c r="EZ225" s="128"/>
      <c r="FA225" s="128"/>
      <c r="FB225" s="836"/>
      <c r="FC225" s="128"/>
      <c r="FD225" s="128"/>
      <c r="FE225" s="128"/>
      <c r="FF225" s="128"/>
      <c r="FG225" s="836"/>
    </row>
    <row r="226" ht="12.75" customHeight="1">
      <c r="A226" s="128"/>
      <c r="B226" s="179"/>
      <c r="C226" s="179"/>
      <c r="D226" s="179"/>
      <c r="E226" s="179"/>
      <c r="F226" s="179"/>
      <c r="G226" s="179"/>
      <c r="H226" s="179"/>
      <c r="I226" s="179"/>
      <c r="J226" s="179"/>
      <c r="K226" s="179"/>
      <c r="L226" s="179"/>
      <c r="M226" s="179"/>
      <c r="N226" s="179"/>
      <c r="O226" s="179"/>
      <c r="P226" s="179"/>
      <c r="Q226" s="179"/>
      <c r="R226" s="57"/>
      <c r="S226" s="179"/>
      <c r="T226" s="179"/>
      <c r="U226" s="179"/>
      <c r="V226" s="179"/>
      <c r="W226" s="785"/>
      <c r="X226" s="128"/>
      <c r="Y226" s="128"/>
      <c r="Z226" s="128"/>
      <c r="AA226" s="128"/>
      <c r="AB226" s="837"/>
      <c r="AC226" s="128"/>
      <c r="AD226" s="128"/>
      <c r="AE226" s="128"/>
      <c r="AF226" s="128"/>
      <c r="AG226" s="837"/>
      <c r="AH226" s="128"/>
      <c r="AI226" s="128"/>
      <c r="AJ226" s="128"/>
      <c r="AK226" s="128"/>
      <c r="AL226" s="837"/>
      <c r="AM226" s="128"/>
      <c r="AN226" s="128"/>
      <c r="AO226" s="128"/>
      <c r="AP226" s="128"/>
      <c r="AQ226" s="837"/>
      <c r="AR226" s="128"/>
      <c r="AS226" s="128"/>
      <c r="AT226" s="128"/>
      <c r="AU226" s="128"/>
      <c r="AV226" s="837"/>
      <c r="AW226" s="128"/>
      <c r="AX226" s="128"/>
      <c r="AY226" s="128"/>
      <c r="AZ226" s="128"/>
      <c r="BA226" s="837"/>
      <c r="BB226" s="128"/>
      <c r="BC226" s="128"/>
      <c r="BD226" s="128"/>
      <c r="BE226" s="128"/>
      <c r="BF226" s="837"/>
      <c r="BG226" s="128"/>
      <c r="BH226" s="128"/>
      <c r="BI226" s="128"/>
      <c r="BJ226" s="128"/>
      <c r="BK226" s="837"/>
      <c r="BL226" s="128"/>
      <c r="BM226" s="128"/>
      <c r="BN226" s="128"/>
      <c r="BO226" s="128"/>
      <c r="BP226" s="837"/>
      <c r="BQ226" s="128"/>
      <c r="BR226" s="128"/>
      <c r="BS226" s="128"/>
      <c r="BT226" s="128"/>
      <c r="BU226" s="837"/>
      <c r="BV226" s="128"/>
      <c r="BW226" s="128"/>
      <c r="BX226" s="128"/>
      <c r="BY226" s="128"/>
      <c r="BZ226" s="837"/>
      <c r="CA226" s="128"/>
      <c r="CB226" s="128"/>
      <c r="CC226" s="128"/>
      <c r="CD226" s="128"/>
      <c r="CE226" s="837"/>
      <c r="CF226" s="128"/>
      <c r="CG226" s="128"/>
      <c r="CH226" s="128"/>
      <c r="CI226" s="128"/>
      <c r="CJ226" s="837"/>
      <c r="CK226" s="128"/>
      <c r="CL226" s="128"/>
      <c r="CM226" s="128"/>
      <c r="CN226" s="128"/>
      <c r="CO226" s="837"/>
      <c r="CP226" s="128"/>
      <c r="CQ226" s="128"/>
      <c r="CR226" s="128"/>
      <c r="CS226" s="128"/>
      <c r="CT226" s="836"/>
      <c r="CU226" s="128"/>
      <c r="CV226" s="128"/>
      <c r="CW226" s="128"/>
      <c r="CX226" s="128"/>
      <c r="CY226" s="836"/>
      <c r="CZ226" s="129"/>
      <c r="DA226" s="128"/>
      <c r="DB226" s="129"/>
      <c r="DC226" s="128"/>
      <c r="DD226" s="836"/>
      <c r="DE226" s="129"/>
      <c r="DF226" s="128"/>
      <c r="DG226" s="129"/>
      <c r="DH226" s="128"/>
      <c r="DI226" s="836"/>
      <c r="DJ226" s="129"/>
      <c r="DK226" s="129"/>
      <c r="DL226" s="129"/>
      <c r="DM226" s="128"/>
      <c r="DN226" s="836"/>
      <c r="DO226" s="128"/>
      <c r="DP226" s="128"/>
      <c r="DQ226" s="129"/>
      <c r="DR226" s="129"/>
      <c r="DS226" s="836"/>
      <c r="DT226" s="129"/>
      <c r="DU226" s="129"/>
      <c r="DV226" s="129"/>
      <c r="DW226" s="129"/>
      <c r="DX226" s="836"/>
      <c r="DY226" s="129"/>
      <c r="DZ226" s="129"/>
      <c r="EA226" s="129"/>
      <c r="EB226" s="129"/>
      <c r="EC226" s="836"/>
      <c r="ED226" s="129"/>
      <c r="EE226" s="129"/>
      <c r="EF226" s="129"/>
      <c r="EG226" s="129"/>
      <c r="EH226" s="836"/>
      <c r="EI226" s="134"/>
      <c r="EJ226" s="128"/>
      <c r="EK226" s="128"/>
      <c r="EL226" s="128"/>
      <c r="EM226" s="836"/>
      <c r="EN226" s="128"/>
      <c r="EO226" s="128"/>
      <c r="EP226" s="128"/>
      <c r="EQ226" s="128"/>
      <c r="ER226" s="836"/>
      <c r="ES226" s="128"/>
      <c r="ET226" s="128"/>
      <c r="EU226" s="128"/>
      <c r="EV226" s="128"/>
      <c r="EW226" s="836"/>
      <c r="EX226" s="128"/>
      <c r="EY226" s="128"/>
      <c r="EZ226" s="128"/>
      <c r="FA226" s="128"/>
      <c r="FB226" s="836"/>
      <c r="FC226" s="128"/>
      <c r="FD226" s="128"/>
      <c r="FE226" s="128"/>
      <c r="FF226" s="128"/>
      <c r="FG226" s="836"/>
    </row>
    <row r="227" ht="12.75" customHeight="1">
      <c r="A227" s="128"/>
      <c r="B227" s="179"/>
      <c r="C227" s="179"/>
      <c r="D227" s="179"/>
      <c r="E227" s="179"/>
      <c r="F227" s="179"/>
      <c r="G227" s="179"/>
      <c r="H227" s="179"/>
      <c r="I227" s="179"/>
      <c r="J227" s="179"/>
      <c r="K227" s="179"/>
      <c r="L227" s="179"/>
      <c r="M227" s="179"/>
      <c r="N227" s="179"/>
      <c r="O227" s="179"/>
      <c r="P227" s="179"/>
      <c r="Q227" s="179"/>
      <c r="R227" s="57"/>
      <c r="S227" s="179"/>
      <c r="T227" s="179"/>
      <c r="U227" s="179"/>
      <c r="V227" s="179"/>
      <c r="W227" s="785"/>
      <c r="X227" s="128"/>
      <c r="Y227" s="128"/>
      <c r="Z227" s="128"/>
      <c r="AA227" s="128"/>
      <c r="AB227" s="837"/>
      <c r="AC227" s="128"/>
      <c r="AD227" s="128"/>
      <c r="AE227" s="128"/>
      <c r="AF227" s="128"/>
      <c r="AG227" s="837"/>
      <c r="AH227" s="128"/>
      <c r="AI227" s="128"/>
      <c r="AJ227" s="128"/>
      <c r="AK227" s="128"/>
      <c r="AL227" s="837"/>
      <c r="AM227" s="128"/>
      <c r="AN227" s="128"/>
      <c r="AO227" s="128"/>
      <c r="AP227" s="128"/>
      <c r="AQ227" s="837"/>
      <c r="AR227" s="128"/>
      <c r="AS227" s="128"/>
      <c r="AT227" s="128"/>
      <c r="AU227" s="128"/>
      <c r="AV227" s="837"/>
      <c r="AW227" s="128"/>
      <c r="AX227" s="128"/>
      <c r="AY227" s="128"/>
      <c r="AZ227" s="128"/>
      <c r="BA227" s="837"/>
      <c r="BB227" s="128"/>
      <c r="BC227" s="128"/>
      <c r="BD227" s="128"/>
      <c r="BE227" s="128"/>
      <c r="BF227" s="837"/>
      <c r="BG227" s="128"/>
      <c r="BH227" s="128"/>
      <c r="BI227" s="128"/>
      <c r="BJ227" s="128"/>
      <c r="BK227" s="837"/>
      <c r="BL227" s="128"/>
      <c r="BM227" s="128"/>
      <c r="BN227" s="128"/>
      <c r="BO227" s="128"/>
      <c r="BP227" s="837"/>
      <c r="BQ227" s="128"/>
      <c r="BR227" s="128"/>
      <c r="BS227" s="128"/>
      <c r="BT227" s="128"/>
      <c r="BU227" s="837"/>
      <c r="BV227" s="128"/>
      <c r="BW227" s="128"/>
      <c r="BX227" s="128"/>
      <c r="BY227" s="128"/>
      <c r="BZ227" s="837"/>
      <c r="CA227" s="128"/>
      <c r="CB227" s="128"/>
      <c r="CC227" s="128"/>
      <c r="CD227" s="128"/>
      <c r="CE227" s="837"/>
      <c r="CF227" s="128"/>
      <c r="CG227" s="128"/>
      <c r="CH227" s="128"/>
      <c r="CI227" s="128"/>
      <c r="CJ227" s="837"/>
      <c r="CK227" s="128"/>
      <c r="CL227" s="128"/>
      <c r="CM227" s="128"/>
      <c r="CN227" s="128"/>
      <c r="CO227" s="837"/>
      <c r="CP227" s="128"/>
      <c r="CQ227" s="128"/>
      <c r="CR227" s="128"/>
      <c r="CS227" s="128"/>
      <c r="CT227" s="836"/>
      <c r="CU227" s="128"/>
      <c r="CV227" s="128"/>
      <c r="CW227" s="128"/>
      <c r="CX227" s="128"/>
      <c r="CY227" s="836"/>
      <c r="CZ227" s="129"/>
      <c r="DA227" s="128"/>
      <c r="DB227" s="129"/>
      <c r="DC227" s="128"/>
      <c r="DD227" s="836"/>
      <c r="DE227" s="129"/>
      <c r="DF227" s="128"/>
      <c r="DG227" s="129"/>
      <c r="DH227" s="128"/>
      <c r="DI227" s="836"/>
      <c r="DJ227" s="129"/>
      <c r="DK227" s="129"/>
      <c r="DL227" s="129"/>
      <c r="DM227" s="128"/>
      <c r="DN227" s="836"/>
      <c r="DO227" s="128"/>
      <c r="DP227" s="128"/>
      <c r="DQ227" s="129"/>
      <c r="DR227" s="129"/>
      <c r="DS227" s="836"/>
      <c r="DT227" s="129"/>
      <c r="DU227" s="129"/>
      <c r="DV227" s="129"/>
      <c r="DW227" s="129"/>
      <c r="DX227" s="836"/>
      <c r="DY227" s="129"/>
      <c r="DZ227" s="129"/>
      <c r="EA227" s="129"/>
      <c r="EB227" s="129"/>
      <c r="EC227" s="836"/>
      <c r="ED227" s="129"/>
      <c r="EE227" s="129"/>
      <c r="EF227" s="129"/>
      <c r="EG227" s="129"/>
      <c r="EH227" s="836"/>
      <c r="EI227" s="134"/>
      <c r="EJ227" s="128"/>
      <c r="EK227" s="128"/>
      <c r="EL227" s="128"/>
      <c r="EM227" s="836"/>
      <c r="EN227" s="128"/>
      <c r="EO227" s="128"/>
      <c r="EP227" s="128"/>
      <c r="EQ227" s="128"/>
      <c r="ER227" s="836"/>
      <c r="ES227" s="128"/>
      <c r="ET227" s="128"/>
      <c r="EU227" s="128"/>
      <c r="EV227" s="128"/>
      <c r="EW227" s="836"/>
      <c r="EX227" s="128"/>
      <c r="EY227" s="128"/>
      <c r="EZ227" s="128"/>
      <c r="FA227" s="128"/>
      <c r="FB227" s="836"/>
      <c r="FC227" s="128"/>
      <c r="FD227" s="128"/>
      <c r="FE227" s="128"/>
      <c r="FF227" s="128"/>
      <c r="FG227" s="836"/>
    </row>
    <row r="228" ht="12.75" customHeight="1">
      <c r="A228" s="128"/>
      <c r="B228" s="179"/>
      <c r="C228" s="179"/>
      <c r="D228" s="179"/>
      <c r="E228" s="179"/>
      <c r="F228" s="179"/>
      <c r="G228" s="179"/>
      <c r="H228" s="179"/>
      <c r="I228" s="179"/>
      <c r="J228" s="179"/>
      <c r="K228" s="179"/>
      <c r="L228" s="179"/>
      <c r="M228" s="179"/>
      <c r="N228" s="179"/>
      <c r="O228" s="179"/>
      <c r="P228" s="179"/>
      <c r="Q228" s="179"/>
      <c r="R228" s="57"/>
      <c r="S228" s="179"/>
      <c r="T228" s="179"/>
      <c r="U228" s="179"/>
      <c r="V228" s="179"/>
      <c r="W228" s="785"/>
      <c r="X228" s="128"/>
      <c r="Y228" s="128"/>
      <c r="Z228" s="128"/>
      <c r="AA228" s="128"/>
      <c r="AB228" s="837"/>
      <c r="AC228" s="128"/>
      <c r="AD228" s="128"/>
      <c r="AE228" s="128"/>
      <c r="AF228" s="128"/>
      <c r="AG228" s="837"/>
      <c r="AH228" s="128"/>
      <c r="AI228" s="128"/>
      <c r="AJ228" s="128"/>
      <c r="AK228" s="128"/>
      <c r="AL228" s="837"/>
      <c r="AM228" s="128"/>
      <c r="AN228" s="128"/>
      <c r="AO228" s="128"/>
      <c r="AP228" s="128"/>
      <c r="AQ228" s="837"/>
      <c r="AR228" s="128"/>
      <c r="AS228" s="128"/>
      <c r="AT228" s="128"/>
      <c r="AU228" s="128"/>
      <c r="AV228" s="837"/>
      <c r="AW228" s="128"/>
      <c r="AX228" s="128"/>
      <c r="AY228" s="128"/>
      <c r="AZ228" s="128"/>
      <c r="BA228" s="837"/>
      <c r="BB228" s="128"/>
      <c r="BC228" s="128"/>
      <c r="BD228" s="128"/>
      <c r="BE228" s="128"/>
      <c r="BF228" s="837"/>
      <c r="BG228" s="128"/>
      <c r="BH228" s="128"/>
      <c r="BI228" s="128"/>
      <c r="BJ228" s="128"/>
      <c r="BK228" s="837"/>
      <c r="BL228" s="128"/>
      <c r="BM228" s="128"/>
      <c r="BN228" s="128"/>
      <c r="BO228" s="128"/>
      <c r="BP228" s="837"/>
      <c r="BQ228" s="128"/>
      <c r="BR228" s="128"/>
      <c r="BS228" s="128"/>
      <c r="BT228" s="128"/>
      <c r="BU228" s="837"/>
      <c r="BV228" s="128"/>
      <c r="BW228" s="128"/>
      <c r="BX228" s="128"/>
      <c r="BY228" s="128"/>
      <c r="BZ228" s="837"/>
      <c r="CA228" s="128"/>
      <c r="CB228" s="128"/>
      <c r="CC228" s="128"/>
      <c r="CD228" s="128"/>
      <c r="CE228" s="837"/>
      <c r="CF228" s="128"/>
      <c r="CG228" s="128"/>
      <c r="CH228" s="128"/>
      <c r="CI228" s="128"/>
      <c r="CJ228" s="837"/>
      <c r="CK228" s="128"/>
      <c r="CL228" s="128"/>
      <c r="CM228" s="128"/>
      <c r="CN228" s="128"/>
      <c r="CO228" s="837"/>
      <c r="CP228" s="128"/>
      <c r="CQ228" s="128"/>
      <c r="CR228" s="128"/>
      <c r="CS228" s="128"/>
      <c r="CT228" s="836"/>
      <c r="CU228" s="128"/>
      <c r="CV228" s="128"/>
      <c r="CW228" s="128"/>
      <c r="CX228" s="128"/>
      <c r="CY228" s="836"/>
      <c r="CZ228" s="129"/>
      <c r="DA228" s="128"/>
      <c r="DB228" s="129"/>
      <c r="DC228" s="128"/>
      <c r="DD228" s="836"/>
      <c r="DE228" s="129"/>
      <c r="DF228" s="128"/>
      <c r="DG228" s="129"/>
      <c r="DH228" s="128"/>
      <c r="DI228" s="836"/>
      <c r="DJ228" s="129"/>
      <c r="DK228" s="129"/>
      <c r="DL228" s="129"/>
      <c r="DM228" s="128"/>
      <c r="DN228" s="836"/>
      <c r="DO228" s="128"/>
      <c r="DP228" s="128"/>
      <c r="DQ228" s="129"/>
      <c r="DR228" s="129"/>
      <c r="DS228" s="836"/>
      <c r="DT228" s="129"/>
      <c r="DU228" s="129"/>
      <c r="DV228" s="129"/>
      <c r="DW228" s="129"/>
      <c r="DX228" s="836"/>
      <c r="DY228" s="129"/>
      <c r="DZ228" s="129"/>
      <c r="EA228" s="129"/>
      <c r="EB228" s="129"/>
      <c r="EC228" s="836"/>
      <c r="ED228" s="129"/>
      <c r="EE228" s="129"/>
      <c r="EF228" s="129"/>
      <c r="EG228" s="129"/>
      <c r="EH228" s="836"/>
      <c r="EI228" s="134"/>
      <c r="EJ228" s="128"/>
      <c r="EK228" s="128"/>
      <c r="EL228" s="128"/>
      <c r="EM228" s="836"/>
      <c r="EN228" s="128"/>
      <c r="EO228" s="128"/>
      <c r="EP228" s="128"/>
      <c r="EQ228" s="128"/>
      <c r="ER228" s="836"/>
      <c r="ES228" s="128"/>
      <c r="ET228" s="128"/>
      <c r="EU228" s="128"/>
      <c r="EV228" s="128"/>
      <c r="EW228" s="836"/>
      <c r="EX228" s="128"/>
      <c r="EY228" s="128"/>
      <c r="EZ228" s="128"/>
      <c r="FA228" s="128"/>
      <c r="FB228" s="836"/>
      <c r="FC228" s="128"/>
      <c r="FD228" s="128"/>
      <c r="FE228" s="128"/>
      <c r="FF228" s="128"/>
      <c r="FG228" s="836"/>
    </row>
    <row r="229" ht="12.75" customHeight="1">
      <c r="A229" s="128"/>
      <c r="B229" s="179"/>
      <c r="C229" s="179"/>
      <c r="D229" s="179"/>
      <c r="E229" s="179"/>
      <c r="F229" s="179"/>
      <c r="G229" s="179"/>
      <c r="H229" s="179"/>
      <c r="I229" s="179"/>
      <c r="J229" s="179"/>
      <c r="K229" s="179"/>
      <c r="L229" s="179"/>
      <c r="M229" s="179"/>
      <c r="N229" s="179"/>
      <c r="O229" s="179"/>
      <c r="P229" s="179"/>
      <c r="Q229" s="179"/>
      <c r="R229" s="57"/>
      <c r="S229" s="179"/>
      <c r="T229" s="179"/>
      <c r="U229" s="179"/>
      <c r="V229" s="179"/>
      <c r="W229" s="785"/>
      <c r="X229" s="128"/>
      <c r="Y229" s="128"/>
      <c r="Z229" s="128"/>
      <c r="AA229" s="128"/>
      <c r="AB229" s="837"/>
      <c r="AC229" s="128"/>
      <c r="AD229" s="128"/>
      <c r="AE229" s="128"/>
      <c r="AF229" s="128"/>
      <c r="AG229" s="837"/>
      <c r="AH229" s="128"/>
      <c r="AI229" s="128"/>
      <c r="AJ229" s="128"/>
      <c r="AK229" s="128"/>
      <c r="AL229" s="837"/>
      <c r="AM229" s="128"/>
      <c r="AN229" s="128"/>
      <c r="AO229" s="128"/>
      <c r="AP229" s="128"/>
      <c r="AQ229" s="837"/>
      <c r="AR229" s="128"/>
      <c r="AS229" s="128"/>
      <c r="AT229" s="128"/>
      <c r="AU229" s="128"/>
      <c r="AV229" s="837"/>
      <c r="AW229" s="128"/>
      <c r="AX229" s="128"/>
      <c r="AY229" s="128"/>
      <c r="AZ229" s="128"/>
      <c r="BA229" s="837"/>
      <c r="BB229" s="128"/>
      <c r="BC229" s="128"/>
      <c r="BD229" s="128"/>
      <c r="BE229" s="128"/>
      <c r="BF229" s="837"/>
      <c r="BG229" s="128"/>
      <c r="BH229" s="128"/>
      <c r="BI229" s="128"/>
      <c r="BJ229" s="128"/>
      <c r="BK229" s="837"/>
      <c r="BL229" s="128"/>
      <c r="BM229" s="128"/>
      <c r="BN229" s="128"/>
      <c r="BO229" s="128"/>
      <c r="BP229" s="837"/>
      <c r="BQ229" s="128"/>
      <c r="BR229" s="128"/>
      <c r="BS229" s="128"/>
      <c r="BT229" s="128"/>
      <c r="BU229" s="837"/>
      <c r="BV229" s="128"/>
      <c r="BW229" s="128"/>
      <c r="BX229" s="128"/>
      <c r="BY229" s="128"/>
      <c r="BZ229" s="837"/>
      <c r="CA229" s="128"/>
      <c r="CB229" s="128"/>
      <c r="CC229" s="128"/>
      <c r="CD229" s="128"/>
      <c r="CE229" s="837"/>
      <c r="CF229" s="128"/>
      <c r="CG229" s="128"/>
      <c r="CH229" s="128"/>
      <c r="CI229" s="128"/>
      <c r="CJ229" s="837"/>
      <c r="CK229" s="128"/>
      <c r="CL229" s="128"/>
      <c r="CM229" s="128"/>
      <c r="CN229" s="128"/>
      <c r="CO229" s="837"/>
      <c r="CP229" s="128"/>
      <c r="CQ229" s="128"/>
      <c r="CR229" s="128"/>
      <c r="CS229" s="128"/>
      <c r="CT229" s="836"/>
      <c r="CU229" s="128"/>
      <c r="CV229" s="128"/>
      <c r="CW229" s="128"/>
      <c r="CX229" s="128"/>
      <c r="CY229" s="836"/>
      <c r="CZ229" s="129"/>
      <c r="DA229" s="128"/>
      <c r="DB229" s="129"/>
      <c r="DC229" s="128"/>
      <c r="DD229" s="836"/>
      <c r="DE229" s="129"/>
      <c r="DF229" s="128"/>
      <c r="DG229" s="129"/>
      <c r="DH229" s="128"/>
      <c r="DI229" s="836"/>
      <c r="DJ229" s="129"/>
      <c r="DK229" s="129"/>
      <c r="DL229" s="129"/>
      <c r="DM229" s="128"/>
      <c r="DN229" s="836"/>
      <c r="DO229" s="128"/>
      <c r="DP229" s="128"/>
      <c r="DQ229" s="129"/>
      <c r="DR229" s="129"/>
      <c r="DS229" s="836"/>
      <c r="DT229" s="129"/>
      <c r="DU229" s="129"/>
      <c r="DV229" s="129"/>
      <c r="DW229" s="129"/>
      <c r="DX229" s="836"/>
      <c r="DY229" s="129"/>
      <c r="DZ229" s="129"/>
      <c r="EA229" s="129"/>
      <c r="EB229" s="129"/>
      <c r="EC229" s="836"/>
      <c r="ED229" s="129"/>
      <c r="EE229" s="129"/>
      <c r="EF229" s="129"/>
      <c r="EG229" s="129"/>
      <c r="EH229" s="836"/>
      <c r="EI229" s="134"/>
      <c r="EJ229" s="128"/>
      <c r="EK229" s="128"/>
      <c r="EL229" s="128"/>
      <c r="EM229" s="836"/>
      <c r="EN229" s="128"/>
      <c r="EO229" s="128"/>
      <c r="EP229" s="128"/>
      <c r="EQ229" s="128"/>
      <c r="ER229" s="836"/>
      <c r="ES229" s="128"/>
      <c r="ET229" s="128"/>
      <c r="EU229" s="128"/>
      <c r="EV229" s="128"/>
      <c r="EW229" s="836"/>
      <c r="EX229" s="128"/>
      <c r="EY229" s="128"/>
      <c r="EZ229" s="128"/>
      <c r="FA229" s="128"/>
      <c r="FB229" s="836"/>
      <c r="FC229" s="128"/>
      <c r="FD229" s="128"/>
      <c r="FE229" s="128"/>
      <c r="FF229" s="128"/>
      <c r="FG229" s="836"/>
    </row>
    <row r="230" ht="12.75" customHeight="1">
      <c r="A230" s="128"/>
      <c r="B230" s="179"/>
      <c r="C230" s="179"/>
      <c r="D230" s="179"/>
      <c r="E230" s="179"/>
      <c r="F230" s="179"/>
      <c r="G230" s="179"/>
      <c r="H230" s="179"/>
      <c r="I230" s="179"/>
      <c r="J230" s="179"/>
      <c r="K230" s="179"/>
      <c r="L230" s="179"/>
      <c r="M230" s="179"/>
      <c r="N230" s="179"/>
      <c r="O230" s="179"/>
      <c r="P230" s="179"/>
      <c r="Q230" s="179"/>
      <c r="R230" s="57"/>
      <c r="S230" s="179"/>
      <c r="T230" s="179"/>
      <c r="U230" s="179"/>
      <c r="V230" s="179"/>
      <c r="W230" s="785"/>
      <c r="X230" s="128"/>
      <c r="Y230" s="128"/>
      <c r="Z230" s="128"/>
      <c r="AA230" s="128"/>
      <c r="AB230" s="837"/>
      <c r="AC230" s="128"/>
      <c r="AD230" s="128"/>
      <c r="AE230" s="128"/>
      <c r="AF230" s="128"/>
      <c r="AG230" s="837"/>
      <c r="AH230" s="128"/>
      <c r="AI230" s="128"/>
      <c r="AJ230" s="128"/>
      <c r="AK230" s="128"/>
      <c r="AL230" s="837"/>
      <c r="AM230" s="128"/>
      <c r="AN230" s="128"/>
      <c r="AO230" s="128"/>
      <c r="AP230" s="128"/>
      <c r="AQ230" s="837"/>
      <c r="AR230" s="128"/>
      <c r="AS230" s="128"/>
      <c r="AT230" s="128"/>
      <c r="AU230" s="128"/>
      <c r="AV230" s="837"/>
      <c r="AW230" s="128"/>
      <c r="AX230" s="128"/>
      <c r="AY230" s="128"/>
      <c r="AZ230" s="128"/>
      <c r="BA230" s="837"/>
      <c r="BB230" s="128"/>
      <c r="BC230" s="128"/>
      <c r="BD230" s="128"/>
      <c r="BE230" s="128"/>
      <c r="BF230" s="837"/>
      <c r="BG230" s="128"/>
      <c r="BH230" s="128"/>
      <c r="BI230" s="128"/>
      <c r="BJ230" s="128"/>
      <c r="BK230" s="837"/>
      <c r="BL230" s="128"/>
      <c r="BM230" s="128"/>
      <c r="BN230" s="128"/>
      <c r="BO230" s="128"/>
      <c r="BP230" s="837"/>
      <c r="BQ230" s="128"/>
      <c r="BR230" s="128"/>
      <c r="BS230" s="128"/>
      <c r="BT230" s="128"/>
      <c r="BU230" s="837"/>
      <c r="BV230" s="128"/>
      <c r="BW230" s="128"/>
      <c r="BX230" s="128"/>
      <c r="BY230" s="128"/>
      <c r="BZ230" s="837"/>
      <c r="CA230" s="128"/>
      <c r="CB230" s="128"/>
      <c r="CC230" s="128"/>
      <c r="CD230" s="128"/>
      <c r="CE230" s="837"/>
      <c r="CF230" s="128"/>
      <c r="CG230" s="128"/>
      <c r="CH230" s="128"/>
      <c r="CI230" s="128"/>
      <c r="CJ230" s="837"/>
      <c r="CK230" s="128"/>
      <c r="CL230" s="128"/>
      <c r="CM230" s="128"/>
      <c r="CN230" s="128"/>
      <c r="CO230" s="837"/>
      <c r="CP230" s="128"/>
      <c r="CQ230" s="128"/>
      <c r="CR230" s="128"/>
      <c r="CS230" s="128"/>
      <c r="CT230" s="836"/>
      <c r="CU230" s="128"/>
      <c r="CV230" s="128"/>
      <c r="CW230" s="128"/>
      <c r="CX230" s="128"/>
      <c r="CY230" s="836"/>
      <c r="CZ230" s="129"/>
      <c r="DA230" s="128"/>
      <c r="DB230" s="129"/>
      <c r="DC230" s="128"/>
      <c r="DD230" s="836"/>
      <c r="DE230" s="129"/>
      <c r="DF230" s="128"/>
      <c r="DG230" s="129"/>
      <c r="DH230" s="128"/>
      <c r="DI230" s="836"/>
      <c r="DJ230" s="129"/>
      <c r="DK230" s="129"/>
      <c r="DL230" s="129"/>
      <c r="DM230" s="128"/>
      <c r="DN230" s="836"/>
      <c r="DO230" s="128"/>
      <c r="DP230" s="128"/>
      <c r="DQ230" s="129"/>
      <c r="DR230" s="129"/>
      <c r="DS230" s="836"/>
      <c r="DT230" s="129"/>
      <c r="DU230" s="129"/>
      <c r="DV230" s="129"/>
      <c r="DW230" s="129"/>
      <c r="DX230" s="836"/>
      <c r="DY230" s="129"/>
      <c r="DZ230" s="129"/>
      <c r="EA230" s="129"/>
      <c r="EB230" s="129"/>
      <c r="EC230" s="836"/>
      <c r="ED230" s="129"/>
      <c r="EE230" s="129"/>
      <c r="EF230" s="129"/>
      <c r="EG230" s="129"/>
      <c r="EH230" s="836"/>
      <c r="EI230" s="134"/>
      <c r="EJ230" s="128"/>
      <c r="EK230" s="128"/>
      <c r="EL230" s="128"/>
      <c r="EM230" s="836"/>
      <c r="EN230" s="128"/>
      <c r="EO230" s="128"/>
      <c r="EP230" s="128"/>
      <c r="EQ230" s="128"/>
      <c r="ER230" s="836"/>
      <c r="ES230" s="128"/>
      <c r="ET230" s="128"/>
      <c r="EU230" s="128"/>
      <c r="EV230" s="128"/>
      <c r="EW230" s="836"/>
      <c r="EX230" s="128"/>
      <c r="EY230" s="128"/>
      <c r="EZ230" s="128"/>
      <c r="FA230" s="128"/>
      <c r="FB230" s="836"/>
      <c r="FC230" s="128"/>
      <c r="FD230" s="128"/>
      <c r="FE230" s="128"/>
      <c r="FF230" s="128"/>
      <c r="FG230" s="836"/>
    </row>
    <row r="231" ht="12.75" customHeight="1">
      <c r="A231" s="128"/>
      <c r="B231" s="179"/>
      <c r="C231" s="179"/>
      <c r="D231" s="179"/>
      <c r="E231" s="179"/>
      <c r="F231" s="179"/>
      <c r="G231" s="179"/>
      <c r="H231" s="179"/>
      <c r="I231" s="179"/>
      <c r="J231" s="179"/>
      <c r="K231" s="179"/>
      <c r="L231" s="179"/>
      <c r="M231" s="179"/>
      <c r="N231" s="179"/>
      <c r="O231" s="179"/>
      <c r="P231" s="179"/>
      <c r="Q231" s="179"/>
      <c r="R231" s="57"/>
      <c r="S231" s="179"/>
      <c r="T231" s="179"/>
      <c r="U231" s="179"/>
      <c r="V231" s="179"/>
      <c r="W231" s="785"/>
      <c r="X231" s="128"/>
      <c r="Y231" s="128"/>
      <c r="Z231" s="128"/>
      <c r="AA231" s="128"/>
      <c r="AB231" s="837"/>
      <c r="AC231" s="128"/>
      <c r="AD231" s="128"/>
      <c r="AE231" s="128"/>
      <c r="AF231" s="128"/>
      <c r="AG231" s="837"/>
      <c r="AH231" s="128"/>
      <c r="AI231" s="128"/>
      <c r="AJ231" s="128"/>
      <c r="AK231" s="128"/>
      <c r="AL231" s="837"/>
      <c r="AM231" s="128"/>
      <c r="AN231" s="128"/>
      <c r="AO231" s="128"/>
      <c r="AP231" s="128"/>
      <c r="AQ231" s="837"/>
      <c r="AR231" s="128"/>
      <c r="AS231" s="128"/>
      <c r="AT231" s="128"/>
      <c r="AU231" s="128"/>
      <c r="AV231" s="837"/>
      <c r="AW231" s="128"/>
      <c r="AX231" s="128"/>
      <c r="AY231" s="128"/>
      <c r="AZ231" s="128"/>
      <c r="BA231" s="837"/>
      <c r="BB231" s="128"/>
      <c r="BC231" s="128"/>
      <c r="BD231" s="128"/>
      <c r="BE231" s="128"/>
      <c r="BF231" s="837"/>
      <c r="BG231" s="128"/>
      <c r="BH231" s="128"/>
      <c r="BI231" s="128"/>
      <c r="BJ231" s="128"/>
      <c r="BK231" s="837"/>
      <c r="BL231" s="128"/>
      <c r="BM231" s="128"/>
      <c r="BN231" s="128"/>
      <c r="BO231" s="128"/>
      <c r="BP231" s="837"/>
      <c r="BQ231" s="128"/>
      <c r="BR231" s="128"/>
      <c r="BS231" s="128"/>
      <c r="BT231" s="128"/>
      <c r="BU231" s="837"/>
      <c r="BV231" s="128"/>
      <c r="BW231" s="128"/>
      <c r="BX231" s="128"/>
      <c r="BY231" s="128"/>
      <c r="BZ231" s="837"/>
      <c r="CA231" s="128"/>
      <c r="CB231" s="128"/>
      <c r="CC231" s="128"/>
      <c r="CD231" s="128"/>
      <c r="CE231" s="837"/>
      <c r="CF231" s="128"/>
      <c r="CG231" s="128"/>
      <c r="CH231" s="128"/>
      <c r="CI231" s="128"/>
      <c r="CJ231" s="837"/>
      <c r="CK231" s="128"/>
      <c r="CL231" s="128"/>
      <c r="CM231" s="128"/>
      <c r="CN231" s="128"/>
      <c r="CO231" s="837"/>
      <c r="CP231" s="128"/>
      <c r="CQ231" s="128"/>
      <c r="CR231" s="128"/>
      <c r="CS231" s="128"/>
      <c r="CT231" s="836"/>
      <c r="CU231" s="128"/>
      <c r="CV231" s="128"/>
      <c r="CW231" s="128"/>
      <c r="CX231" s="128"/>
      <c r="CY231" s="836"/>
      <c r="CZ231" s="129"/>
      <c r="DA231" s="128"/>
      <c r="DB231" s="129"/>
      <c r="DC231" s="128"/>
      <c r="DD231" s="836"/>
      <c r="DE231" s="129"/>
      <c r="DF231" s="128"/>
      <c r="DG231" s="129"/>
      <c r="DH231" s="128"/>
      <c r="DI231" s="836"/>
      <c r="DJ231" s="129"/>
      <c r="DK231" s="129"/>
      <c r="DL231" s="129"/>
      <c r="DM231" s="128"/>
      <c r="DN231" s="836"/>
      <c r="DO231" s="128"/>
      <c r="DP231" s="128"/>
      <c r="DQ231" s="129"/>
      <c r="DR231" s="129"/>
      <c r="DS231" s="836"/>
      <c r="DT231" s="129"/>
      <c r="DU231" s="129"/>
      <c r="DV231" s="129"/>
      <c r="DW231" s="129"/>
      <c r="DX231" s="836"/>
      <c r="DY231" s="129"/>
      <c r="DZ231" s="129"/>
      <c r="EA231" s="129"/>
      <c r="EB231" s="129"/>
      <c r="EC231" s="836"/>
      <c r="ED231" s="129"/>
      <c r="EE231" s="129"/>
      <c r="EF231" s="129"/>
      <c r="EG231" s="129"/>
      <c r="EH231" s="836"/>
      <c r="EI231" s="134"/>
      <c r="EJ231" s="128"/>
      <c r="EK231" s="128"/>
      <c r="EL231" s="128"/>
      <c r="EM231" s="836"/>
      <c r="EN231" s="128"/>
      <c r="EO231" s="128"/>
      <c r="EP231" s="128"/>
      <c r="EQ231" s="128"/>
      <c r="ER231" s="836"/>
      <c r="ES231" s="128"/>
      <c r="ET231" s="128"/>
      <c r="EU231" s="128"/>
      <c r="EV231" s="128"/>
      <c r="EW231" s="836"/>
      <c r="EX231" s="128"/>
      <c r="EY231" s="128"/>
      <c r="EZ231" s="128"/>
      <c r="FA231" s="128"/>
      <c r="FB231" s="836"/>
      <c r="FC231" s="128"/>
      <c r="FD231" s="128"/>
      <c r="FE231" s="128"/>
      <c r="FF231" s="128"/>
      <c r="FG231" s="836"/>
    </row>
    <row r="232" ht="12.75" customHeight="1">
      <c r="A232" s="128"/>
      <c r="B232" s="179"/>
      <c r="C232" s="179"/>
      <c r="D232" s="179"/>
      <c r="E232" s="179"/>
      <c r="F232" s="179"/>
      <c r="G232" s="179"/>
      <c r="H232" s="179"/>
      <c r="I232" s="179"/>
      <c r="J232" s="179"/>
      <c r="K232" s="179"/>
      <c r="L232" s="179"/>
      <c r="M232" s="179"/>
      <c r="N232" s="179"/>
      <c r="O232" s="179"/>
      <c r="P232" s="179"/>
      <c r="Q232" s="179"/>
      <c r="R232" s="57"/>
      <c r="S232" s="179"/>
      <c r="T232" s="179"/>
      <c r="U232" s="179"/>
      <c r="V232" s="179"/>
      <c r="W232" s="785"/>
      <c r="X232" s="128"/>
      <c r="Y232" s="128"/>
      <c r="Z232" s="128"/>
      <c r="AA232" s="128"/>
      <c r="AB232" s="837"/>
      <c r="AC232" s="128"/>
      <c r="AD232" s="128"/>
      <c r="AE232" s="128"/>
      <c r="AF232" s="128"/>
      <c r="AG232" s="837"/>
      <c r="AH232" s="128"/>
      <c r="AI232" s="128"/>
      <c r="AJ232" s="128"/>
      <c r="AK232" s="128"/>
      <c r="AL232" s="837"/>
      <c r="AM232" s="128"/>
      <c r="AN232" s="128"/>
      <c r="AO232" s="128"/>
      <c r="AP232" s="128"/>
      <c r="AQ232" s="837"/>
      <c r="AR232" s="128"/>
      <c r="AS232" s="128"/>
      <c r="AT232" s="128"/>
      <c r="AU232" s="128"/>
      <c r="AV232" s="837"/>
      <c r="AW232" s="128"/>
      <c r="AX232" s="128"/>
      <c r="AY232" s="128"/>
      <c r="AZ232" s="128"/>
      <c r="BA232" s="837"/>
      <c r="BB232" s="128"/>
      <c r="BC232" s="128"/>
      <c r="BD232" s="128"/>
      <c r="BE232" s="128"/>
      <c r="BF232" s="837"/>
      <c r="BG232" s="128"/>
      <c r="BH232" s="128"/>
      <c r="BI232" s="128"/>
      <c r="BJ232" s="128"/>
      <c r="BK232" s="837"/>
      <c r="BL232" s="128"/>
      <c r="BM232" s="128"/>
      <c r="BN232" s="128"/>
      <c r="BO232" s="128"/>
      <c r="BP232" s="837"/>
      <c r="BQ232" s="128"/>
      <c r="BR232" s="128"/>
      <c r="BS232" s="128"/>
      <c r="BT232" s="128"/>
      <c r="BU232" s="837"/>
      <c r="BV232" s="128"/>
      <c r="BW232" s="128"/>
      <c r="BX232" s="128"/>
      <c r="BY232" s="128"/>
      <c r="BZ232" s="837"/>
      <c r="CA232" s="128"/>
      <c r="CB232" s="128"/>
      <c r="CC232" s="128"/>
      <c r="CD232" s="128"/>
      <c r="CE232" s="837"/>
      <c r="CF232" s="128"/>
      <c r="CG232" s="128"/>
      <c r="CH232" s="128"/>
      <c r="CI232" s="128"/>
      <c r="CJ232" s="837"/>
      <c r="CK232" s="128"/>
      <c r="CL232" s="128"/>
      <c r="CM232" s="128"/>
      <c r="CN232" s="128"/>
      <c r="CO232" s="837"/>
      <c r="CP232" s="128"/>
      <c r="CQ232" s="128"/>
      <c r="CR232" s="128"/>
      <c r="CS232" s="128"/>
      <c r="CT232" s="836"/>
      <c r="CU232" s="128"/>
      <c r="CV232" s="128"/>
      <c r="CW232" s="128"/>
      <c r="CX232" s="128"/>
      <c r="CY232" s="836"/>
      <c r="CZ232" s="129"/>
      <c r="DA232" s="128"/>
      <c r="DB232" s="129"/>
      <c r="DC232" s="128"/>
      <c r="DD232" s="836"/>
      <c r="DE232" s="129"/>
      <c r="DF232" s="128"/>
      <c r="DG232" s="129"/>
      <c r="DH232" s="128"/>
      <c r="DI232" s="836"/>
      <c r="DJ232" s="129"/>
      <c r="DK232" s="129"/>
      <c r="DL232" s="129"/>
      <c r="DM232" s="128"/>
      <c r="DN232" s="836"/>
      <c r="DO232" s="128"/>
      <c r="DP232" s="128"/>
      <c r="DQ232" s="129"/>
      <c r="DR232" s="129"/>
      <c r="DS232" s="836"/>
      <c r="DT232" s="129"/>
      <c r="DU232" s="129"/>
      <c r="DV232" s="129"/>
      <c r="DW232" s="129"/>
      <c r="DX232" s="836"/>
      <c r="DY232" s="129"/>
      <c r="DZ232" s="129"/>
      <c r="EA232" s="129"/>
      <c r="EB232" s="129"/>
      <c r="EC232" s="836"/>
      <c r="ED232" s="129"/>
      <c r="EE232" s="129"/>
      <c r="EF232" s="129"/>
      <c r="EG232" s="129"/>
      <c r="EH232" s="836"/>
      <c r="EI232" s="134"/>
      <c r="EJ232" s="128"/>
      <c r="EK232" s="128"/>
      <c r="EL232" s="128"/>
      <c r="EM232" s="836"/>
      <c r="EN232" s="128"/>
      <c r="EO232" s="128"/>
      <c r="EP232" s="128"/>
      <c r="EQ232" s="128"/>
      <c r="ER232" s="836"/>
      <c r="ES232" s="128"/>
      <c r="ET232" s="128"/>
      <c r="EU232" s="128"/>
      <c r="EV232" s="128"/>
      <c r="EW232" s="836"/>
      <c r="EX232" s="128"/>
      <c r="EY232" s="128"/>
      <c r="EZ232" s="128"/>
      <c r="FA232" s="128"/>
      <c r="FB232" s="836"/>
      <c r="FC232" s="128"/>
      <c r="FD232" s="128"/>
      <c r="FE232" s="128"/>
      <c r="FF232" s="128"/>
      <c r="FG232" s="836"/>
    </row>
    <row r="233" ht="12.75" customHeight="1">
      <c r="A233" s="128"/>
      <c r="B233" s="179"/>
      <c r="C233" s="179"/>
      <c r="D233" s="179"/>
      <c r="E233" s="179"/>
      <c r="F233" s="179"/>
      <c r="G233" s="179"/>
      <c r="H233" s="179"/>
      <c r="I233" s="179"/>
      <c r="J233" s="179"/>
      <c r="K233" s="179"/>
      <c r="L233" s="179"/>
      <c r="M233" s="179"/>
      <c r="N233" s="179"/>
      <c r="O233" s="179"/>
      <c r="P233" s="179"/>
      <c r="Q233" s="179"/>
      <c r="R233" s="57"/>
      <c r="S233" s="179"/>
      <c r="T233" s="179"/>
      <c r="U233" s="179"/>
      <c r="V233" s="179"/>
      <c r="W233" s="785"/>
      <c r="X233" s="128"/>
      <c r="Y233" s="128"/>
      <c r="Z233" s="128"/>
      <c r="AA233" s="128"/>
      <c r="AB233" s="837"/>
      <c r="AC233" s="128"/>
      <c r="AD233" s="128"/>
      <c r="AE233" s="128"/>
      <c r="AF233" s="128"/>
      <c r="AG233" s="837"/>
      <c r="AH233" s="128"/>
      <c r="AI233" s="128"/>
      <c r="AJ233" s="128"/>
      <c r="AK233" s="128"/>
      <c r="AL233" s="837"/>
      <c r="AM233" s="128"/>
      <c r="AN233" s="128"/>
      <c r="AO233" s="128"/>
      <c r="AP233" s="128"/>
      <c r="AQ233" s="837"/>
      <c r="AR233" s="128"/>
      <c r="AS233" s="128"/>
      <c r="AT233" s="128"/>
      <c r="AU233" s="128"/>
      <c r="AV233" s="837"/>
      <c r="AW233" s="128"/>
      <c r="AX233" s="128"/>
      <c r="AY233" s="128"/>
      <c r="AZ233" s="128"/>
      <c r="BA233" s="837"/>
      <c r="BB233" s="128"/>
      <c r="BC233" s="128"/>
      <c r="BD233" s="128"/>
      <c r="BE233" s="128"/>
      <c r="BF233" s="837"/>
      <c r="BG233" s="128"/>
      <c r="BH233" s="128"/>
      <c r="BI233" s="128"/>
      <c r="BJ233" s="128"/>
      <c r="BK233" s="837"/>
      <c r="BL233" s="128"/>
      <c r="BM233" s="128"/>
      <c r="BN233" s="128"/>
      <c r="BO233" s="128"/>
      <c r="BP233" s="837"/>
      <c r="BQ233" s="128"/>
      <c r="BR233" s="128"/>
      <c r="BS233" s="128"/>
      <c r="BT233" s="128"/>
      <c r="BU233" s="837"/>
      <c r="BV233" s="128"/>
      <c r="BW233" s="128"/>
      <c r="BX233" s="128"/>
      <c r="BY233" s="128"/>
      <c r="BZ233" s="837"/>
      <c r="CA233" s="128"/>
      <c r="CB233" s="128"/>
      <c r="CC233" s="128"/>
      <c r="CD233" s="128"/>
      <c r="CE233" s="837"/>
      <c r="CF233" s="128"/>
      <c r="CG233" s="128"/>
      <c r="CH233" s="128"/>
      <c r="CI233" s="128"/>
      <c r="CJ233" s="837"/>
      <c r="CK233" s="128"/>
      <c r="CL233" s="128"/>
      <c r="CM233" s="128"/>
      <c r="CN233" s="128"/>
      <c r="CO233" s="837"/>
      <c r="CP233" s="128"/>
      <c r="CQ233" s="128"/>
      <c r="CR233" s="128"/>
      <c r="CS233" s="128"/>
      <c r="CT233" s="836"/>
      <c r="CU233" s="128"/>
      <c r="CV233" s="128"/>
      <c r="CW233" s="128"/>
      <c r="CX233" s="128"/>
      <c r="CY233" s="836"/>
      <c r="CZ233" s="129"/>
      <c r="DA233" s="128"/>
      <c r="DB233" s="129"/>
      <c r="DC233" s="128"/>
      <c r="DD233" s="836"/>
      <c r="DE233" s="129"/>
      <c r="DF233" s="128"/>
      <c r="DG233" s="129"/>
      <c r="DH233" s="128"/>
      <c r="DI233" s="836"/>
      <c r="DJ233" s="129"/>
      <c r="DK233" s="129"/>
      <c r="DL233" s="129"/>
      <c r="DM233" s="128"/>
      <c r="DN233" s="836"/>
      <c r="DO233" s="128"/>
      <c r="DP233" s="128"/>
      <c r="DQ233" s="129"/>
      <c r="DR233" s="129"/>
      <c r="DS233" s="836"/>
      <c r="DT233" s="129"/>
      <c r="DU233" s="129"/>
      <c r="DV233" s="129"/>
      <c r="DW233" s="129"/>
      <c r="DX233" s="836"/>
      <c r="DY233" s="129"/>
      <c r="DZ233" s="129"/>
      <c r="EA233" s="129"/>
      <c r="EB233" s="129"/>
      <c r="EC233" s="836"/>
      <c r="ED233" s="129"/>
      <c r="EE233" s="129"/>
      <c r="EF233" s="129"/>
      <c r="EG233" s="129"/>
      <c r="EH233" s="836"/>
      <c r="EI233" s="134"/>
      <c r="EJ233" s="128"/>
      <c r="EK233" s="128"/>
      <c r="EL233" s="128"/>
      <c r="EM233" s="836"/>
      <c r="EN233" s="128"/>
      <c r="EO233" s="128"/>
      <c r="EP233" s="128"/>
      <c r="EQ233" s="128"/>
      <c r="ER233" s="836"/>
      <c r="ES233" s="128"/>
      <c r="ET233" s="128"/>
      <c r="EU233" s="128"/>
      <c r="EV233" s="128"/>
      <c r="EW233" s="836"/>
      <c r="EX233" s="128"/>
      <c r="EY233" s="128"/>
      <c r="EZ233" s="128"/>
      <c r="FA233" s="128"/>
      <c r="FB233" s="836"/>
      <c r="FC233" s="128"/>
      <c r="FD233" s="128"/>
      <c r="FE233" s="128"/>
      <c r="FF233" s="128"/>
      <c r="FG233" s="836"/>
    </row>
    <row r="234" ht="12.75" customHeight="1">
      <c r="A234" s="128"/>
      <c r="B234" s="179"/>
      <c r="C234" s="179"/>
      <c r="D234" s="179"/>
      <c r="E234" s="179"/>
      <c r="F234" s="179"/>
      <c r="G234" s="179"/>
      <c r="H234" s="179"/>
      <c r="I234" s="179"/>
      <c r="J234" s="179"/>
      <c r="K234" s="179"/>
      <c r="L234" s="179"/>
      <c r="M234" s="179"/>
      <c r="N234" s="179"/>
      <c r="O234" s="179"/>
      <c r="P234" s="179"/>
      <c r="Q234" s="179"/>
      <c r="R234" s="57"/>
      <c r="S234" s="179"/>
      <c r="T234" s="179"/>
      <c r="U234" s="179"/>
      <c r="V234" s="179"/>
      <c r="W234" s="785"/>
      <c r="X234" s="128"/>
      <c r="Y234" s="128"/>
      <c r="Z234" s="128"/>
      <c r="AA234" s="128"/>
      <c r="AB234" s="837"/>
      <c r="AC234" s="128"/>
      <c r="AD234" s="128"/>
      <c r="AE234" s="128"/>
      <c r="AF234" s="128"/>
      <c r="AG234" s="837"/>
      <c r="AH234" s="128"/>
      <c r="AI234" s="128"/>
      <c r="AJ234" s="128"/>
      <c r="AK234" s="128"/>
      <c r="AL234" s="837"/>
      <c r="AM234" s="128"/>
      <c r="AN234" s="128"/>
      <c r="AO234" s="128"/>
      <c r="AP234" s="128"/>
      <c r="AQ234" s="837"/>
      <c r="AR234" s="128"/>
      <c r="AS234" s="128"/>
      <c r="AT234" s="128"/>
      <c r="AU234" s="128"/>
      <c r="AV234" s="837"/>
      <c r="AW234" s="128"/>
      <c r="AX234" s="128"/>
      <c r="AY234" s="128"/>
      <c r="AZ234" s="128"/>
      <c r="BA234" s="837"/>
      <c r="BB234" s="128"/>
      <c r="BC234" s="128"/>
      <c r="BD234" s="128"/>
      <c r="BE234" s="128"/>
      <c r="BF234" s="837"/>
      <c r="BG234" s="128"/>
      <c r="BH234" s="128"/>
      <c r="BI234" s="128"/>
      <c r="BJ234" s="128"/>
      <c r="BK234" s="837"/>
      <c r="BL234" s="128"/>
      <c r="BM234" s="128"/>
      <c r="BN234" s="128"/>
      <c r="BO234" s="128"/>
      <c r="BP234" s="837"/>
      <c r="BQ234" s="128"/>
      <c r="BR234" s="128"/>
      <c r="BS234" s="128"/>
      <c r="BT234" s="128"/>
      <c r="BU234" s="837"/>
      <c r="BV234" s="128"/>
      <c r="BW234" s="128"/>
      <c r="BX234" s="128"/>
      <c r="BY234" s="128"/>
      <c r="BZ234" s="837"/>
      <c r="CA234" s="128"/>
      <c r="CB234" s="128"/>
      <c r="CC234" s="128"/>
      <c r="CD234" s="128"/>
      <c r="CE234" s="837"/>
      <c r="CF234" s="128"/>
      <c r="CG234" s="128"/>
      <c r="CH234" s="128"/>
      <c r="CI234" s="128"/>
      <c r="CJ234" s="837"/>
      <c r="CK234" s="128"/>
      <c r="CL234" s="128"/>
      <c r="CM234" s="128"/>
      <c r="CN234" s="128"/>
      <c r="CO234" s="837"/>
      <c r="CP234" s="128"/>
      <c r="CQ234" s="128"/>
      <c r="CR234" s="128"/>
      <c r="CS234" s="128"/>
      <c r="CT234" s="836"/>
      <c r="CU234" s="128"/>
      <c r="CV234" s="128"/>
      <c r="CW234" s="128"/>
      <c r="CX234" s="128"/>
      <c r="CY234" s="836"/>
      <c r="CZ234" s="129"/>
      <c r="DA234" s="128"/>
      <c r="DB234" s="129"/>
      <c r="DC234" s="128"/>
      <c r="DD234" s="836"/>
      <c r="DE234" s="129"/>
      <c r="DF234" s="128"/>
      <c r="DG234" s="129"/>
      <c r="DH234" s="128"/>
      <c r="DI234" s="836"/>
      <c r="DJ234" s="129"/>
      <c r="DK234" s="129"/>
      <c r="DL234" s="129"/>
      <c r="DM234" s="128"/>
      <c r="DN234" s="836"/>
      <c r="DO234" s="128"/>
      <c r="DP234" s="128"/>
      <c r="DQ234" s="129"/>
      <c r="DR234" s="129"/>
      <c r="DS234" s="836"/>
      <c r="DT234" s="129"/>
      <c r="DU234" s="129"/>
      <c r="DV234" s="129"/>
      <c r="DW234" s="129"/>
      <c r="DX234" s="836"/>
      <c r="DY234" s="129"/>
      <c r="DZ234" s="129"/>
      <c r="EA234" s="129"/>
      <c r="EB234" s="129"/>
      <c r="EC234" s="836"/>
      <c r="ED234" s="129"/>
      <c r="EE234" s="129"/>
      <c r="EF234" s="129"/>
      <c r="EG234" s="129"/>
      <c r="EH234" s="836"/>
      <c r="EI234" s="134"/>
      <c r="EJ234" s="128"/>
      <c r="EK234" s="128"/>
      <c r="EL234" s="128"/>
      <c r="EM234" s="836"/>
      <c r="EN234" s="128"/>
      <c r="EO234" s="128"/>
      <c r="EP234" s="128"/>
      <c r="EQ234" s="128"/>
      <c r="ER234" s="836"/>
      <c r="ES234" s="128"/>
      <c r="ET234" s="128"/>
      <c r="EU234" s="128"/>
      <c r="EV234" s="128"/>
      <c r="EW234" s="836"/>
      <c r="EX234" s="128"/>
      <c r="EY234" s="128"/>
      <c r="EZ234" s="128"/>
      <c r="FA234" s="128"/>
      <c r="FB234" s="836"/>
      <c r="FC234" s="128"/>
      <c r="FD234" s="128"/>
      <c r="FE234" s="128"/>
      <c r="FF234" s="128"/>
      <c r="FG234" s="836"/>
    </row>
    <row r="235" ht="12.75" customHeight="1">
      <c r="A235" s="128"/>
      <c r="B235" s="179"/>
      <c r="C235" s="179"/>
      <c r="D235" s="179"/>
      <c r="E235" s="179"/>
      <c r="F235" s="179"/>
      <c r="G235" s="179"/>
      <c r="H235" s="179"/>
      <c r="I235" s="179"/>
      <c r="J235" s="179"/>
      <c r="K235" s="179"/>
      <c r="L235" s="179"/>
      <c r="M235" s="179"/>
      <c r="N235" s="179"/>
      <c r="O235" s="179"/>
      <c r="P235" s="179"/>
      <c r="Q235" s="179"/>
      <c r="R235" s="57"/>
      <c r="S235" s="179"/>
      <c r="T235" s="179"/>
      <c r="U235" s="179"/>
      <c r="V235" s="179"/>
      <c r="W235" s="785"/>
      <c r="X235" s="128"/>
      <c r="Y235" s="128"/>
      <c r="Z235" s="128"/>
      <c r="AA235" s="128"/>
      <c r="AB235" s="837"/>
      <c r="AC235" s="128"/>
      <c r="AD235" s="128"/>
      <c r="AE235" s="128"/>
      <c r="AF235" s="128"/>
      <c r="AG235" s="837"/>
      <c r="AH235" s="128"/>
      <c r="AI235" s="128"/>
      <c r="AJ235" s="128"/>
      <c r="AK235" s="128"/>
      <c r="AL235" s="837"/>
      <c r="AM235" s="128"/>
      <c r="AN235" s="128"/>
      <c r="AO235" s="128"/>
      <c r="AP235" s="128"/>
      <c r="AQ235" s="837"/>
      <c r="AR235" s="128"/>
      <c r="AS235" s="128"/>
      <c r="AT235" s="128"/>
      <c r="AU235" s="128"/>
      <c r="AV235" s="837"/>
      <c r="AW235" s="128"/>
      <c r="AX235" s="128"/>
      <c r="AY235" s="128"/>
      <c r="AZ235" s="128"/>
      <c r="BA235" s="837"/>
      <c r="BB235" s="128"/>
      <c r="BC235" s="128"/>
      <c r="BD235" s="128"/>
      <c r="BE235" s="128"/>
      <c r="BF235" s="837"/>
      <c r="BG235" s="128"/>
      <c r="BH235" s="128"/>
      <c r="BI235" s="128"/>
      <c r="BJ235" s="128"/>
      <c r="BK235" s="837"/>
      <c r="BL235" s="128"/>
      <c r="BM235" s="128"/>
      <c r="BN235" s="128"/>
      <c r="BO235" s="128"/>
      <c r="BP235" s="837"/>
      <c r="BQ235" s="128"/>
      <c r="BR235" s="128"/>
      <c r="BS235" s="128"/>
      <c r="BT235" s="128"/>
      <c r="BU235" s="837"/>
      <c r="BV235" s="128"/>
      <c r="BW235" s="128"/>
      <c r="BX235" s="128"/>
      <c r="BY235" s="128"/>
      <c r="BZ235" s="837"/>
      <c r="CA235" s="128"/>
      <c r="CB235" s="128"/>
      <c r="CC235" s="128"/>
      <c r="CD235" s="128"/>
      <c r="CE235" s="837"/>
      <c r="CF235" s="128"/>
      <c r="CG235" s="128"/>
      <c r="CH235" s="128"/>
      <c r="CI235" s="128"/>
      <c r="CJ235" s="837"/>
      <c r="CK235" s="128"/>
      <c r="CL235" s="128"/>
      <c r="CM235" s="128"/>
      <c r="CN235" s="128"/>
      <c r="CO235" s="837"/>
      <c r="CP235" s="128"/>
      <c r="CQ235" s="128"/>
      <c r="CR235" s="128"/>
      <c r="CS235" s="128"/>
      <c r="CT235" s="836"/>
      <c r="CU235" s="128"/>
      <c r="CV235" s="128"/>
      <c r="CW235" s="128"/>
      <c r="CX235" s="128"/>
      <c r="CY235" s="836"/>
      <c r="CZ235" s="129"/>
      <c r="DA235" s="128"/>
      <c r="DB235" s="129"/>
      <c r="DC235" s="128"/>
      <c r="DD235" s="836"/>
      <c r="DE235" s="129"/>
      <c r="DF235" s="128"/>
      <c r="DG235" s="129"/>
      <c r="DH235" s="128"/>
      <c r="DI235" s="836"/>
      <c r="DJ235" s="129"/>
      <c r="DK235" s="129"/>
      <c r="DL235" s="129"/>
      <c r="DM235" s="128"/>
      <c r="DN235" s="836"/>
      <c r="DO235" s="128"/>
      <c r="DP235" s="128"/>
      <c r="DQ235" s="129"/>
      <c r="DR235" s="129"/>
      <c r="DS235" s="836"/>
      <c r="DT235" s="129"/>
      <c r="DU235" s="129"/>
      <c r="DV235" s="129"/>
      <c r="DW235" s="129"/>
      <c r="DX235" s="836"/>
      <c r="DY235" s="129"/>
      <c r="DZ235" s="129"/>
      <c r="EA235" s="129"/>
      <c r="EB235" s="129"/>
      <c r="EC235" s="836"/>
      <c r="ED235" s="129"/>
      <c r="EE235" s="129"/>
      <c r="EF235" s="129"/>
      <c r="EG235" s="129"/>
      <c r="EH235" s="836"/>
      <c r="EI235" s="134"/>
      <c r="EJ235" s="128"/>
      <c r="EK235" s="128"/>
      <c r="EL235" s="128"/>
      <c r="EM235" s="836"/>
      <c r="EN235" s="128"/>
      <c r="EO235" s="128"/>
      <c r="EP235" s="128"/>
      <c r="EQ235" s="128"/>
      <c r="ER235" s="836"/>
      <c r="ES235" s="128"/>
      <c r="ET235" s="128"/>
      <c r="EU235" s="128"/>
      <c r="EV235" s="128"/>
      <c r="EW235" s="836"/>
      <c r="EX235" s="128"/>
      <c r="EY235" s="128"/>
      <c r="EZ235" s="128"/>
      <c r="FA235" s="128"/>
      <c r="FB235" s="836"/>
      <c r="FC235" s="128"/>
      <c r="FD235" s="128"/>
      <c r="FE235" s="128"/>
      <c r="FF235" s="128"/>
      <c r="FG235" s="836"/>
    </row>
    <row r="236" ht="12.75" customHeight="1">
      <c r="A236" s="128"/>
      <c r="B236" s="179"/>
      <c r="C236" s="179"/>
      <c r="D236" s="179"/>
      <c r="E236" s="179"/>
      <c r="F236" s="179"/>
      <c r="G236" s="179"/>
      <c r="H236" s="179"/>
      <c r="I236" s="179"/>
      <c r="J236" s="179"/>
      <c r="K236" s="179"/>
      <c r="L236" s="179"/>
      <c r="M236" s="179"/>
      <c r="N236" s="179"/>
      <c r="O236" s="179"/>
      <c r="P236" s="179"/>
      <c r="Q236" s="179"/>
      <c r="R236" s="57"/>
      <c r="S236" s="179"/>
      <c r="T236" s="179"/>
      <c r="U236" s="179"/>
      <c r="V236" s="179"/>
      <c r="W236" s="785"/>
      <c r="X236" s="128"/>
      <c r="Y236" s="128"/>
      <c r="Z236" s="128"/>
      <c r="AA236" s="128"/>
      <c r="AB236" s="837"/>
      <c r="AC236" s="128"/>
      <c r="AD236" s="128"/>
      <c r="AE236" s="128"/>
      <c r="AF236" s="128"/>
      <c r="AG236" s="837"/>
      <c r="AH236" s="128"/>
      <c r="AI236" s="128"/>
      <c r="AJ236" s="128"/>
      <c r="AK236" s="128"/>
      <c r="AL236" s="837"/>
      <c r="AM236" s="128"/>
      <c r="AN236" s="128"/>
      <c r="AO236" s="128"/>
      <c r="AP236" s="128"/>
      <c r="AQ236" s="837"/>
      <c r="AR236" s="128"/>
      <c r="AS236" s="128"/>
      <c r="AT236" s="128"/>
      <c r="AU236" s="128"/>
      <c r="AV236" s="837"/>
      <c r="AW236" s="128"/>
      <c r="AX236" s="128"/>
      <c r="AY236" s="128"/>
      <c r="AZ236" s="128"/>
      <c r="BA236" s="837"/>
      <c r="BB236" s="128"/>
      <c r="BC236" s="128"/>
      <c r="BD236" s="128"/>
      <c r="BE236" s="128"/>
      <c r="BF236" s="837"/>
      <c r="BG236" s="128"/>
      <c r="BH236" s="128"/>
      <c r="BI236" s="128"/>
      <c r="BJ236" s="128"/>
      <c r="BK236" s="837"/>
      <c r="BL236" s="128"/>
      <c r="BM236" s="128"/>
      <c r="BN236" s="128"/>
      <c r="BO236" s="128"/>
      <c r="BP236" s="837"/>
      <c r="BQ236" s="128"/>
      <c r="BR236" s="128"/>
      <c r="BS236" s="128"/>
      <c r="BT236" s="128"/>
      <c r="BU236" s="837"/>
      <c r="BV236" s="128"/>
      <c r="BW236" s="128"/>
      <c r="BX236" s="128"/>
      <c r="BY236" s="128"/>
      <c r="BZ236" s="837"/>
      <c r="CA236" s="128"/>
      <c r="CB236" s="128"/>
      <c r="CC236" s="128"/>
      <c r="CD236" s="128"/>
      <c r="CE236" s="837"/>
      <c r="CF236" s="128"/>
      <c r="CG236" s="128"/>
      <c r="CH236" s="128"/>
      <c r="CI236" s="128"/>
      <c r="CJ236" s="837"/>
      <c r="CK236" s="128"/>
      <c r="CL236" s="128"/>
      <c r="CM236" s="128"/>
      <c r="CN236" s="128"/>
      <c r="CO236" s="837"/>
      <c r="CP236" s="128"/>
      <c r="CQ236" s="128"/>
      <c r="CR236" s="128"/>
      <c r="CS236" s="128"/>
      <c r="CT236" s="836"/>
      <c r="CU236" s="128"/>
      <c r="CV236" s="128"/>
      <c r="CW236" s="128"/>
      <c r="CX236" s="128"/>
      <c r="CY236" s="836"/>
      <c r="CZ236" s="129"/>
      <c r="DA236" s="128"/>
      <c r="DB236" s="129"/>
      <c r="DC236" s="128"/>
      <c r="DD236" s="836"/>
      <c r="DE236" s="129"/>
      <c r="DF236" s="128"/>
      <c r="DG236" s="129"/>
      <c r="DH236" s="128"/>
      <c r="DI236" s="836"/>
      <c r="DJ236" s="129"/>
      <c r="DK236" s="129"/>
      <c r="DL236" s="129"/>
      <c r="DM236" s="128"/>
      <c r="DN236" s="836"/>
      <c r="DO236" s="128"/>
      <c r="DP236" s="128"/>
      <c r="DQ236" s="129"/>
      <c r="DR236" s="129"/>
      <c r="DS236" s="836"/>
      <c r="DT236" s="129"/>
      <c r="DU236" s="129"/>
      <c r="DV236" s="129"/>
      <c r="DW236" s="129"/>
      <c r="DX236" s="836"/>
      <c r="DY236" s="129"/>
      <c r="DZ236" s="129"/>
      <c r="EA236" s="129"/>
      <c r="EB236" s="129"/>
      <c r="EC236" s="836"/>
      <c r="ED236" s="129"/>
      <c r="EE236" s="129"/>
      <c r="EF236" s="129"/>
      <c r="EG236" s="129"/>
      <c r="EH236" s="836"/>
      <c r="EI236" s="134"/>
      <c r="EJ236" s="128"/>
      <c r="EK236" s="128"/>
      <c r="EL236" s="128"/>
      <c r="EM236" s="836"/>
      <c r="EN236" s="128"/>
      <c r="EO236" s="128"/>
      <c r="EP236" s="128"/>
      <c r="EQ236" s="128"/>
      <c r="ER236" s="836"/>
      <c r="ES236" s="128"/>
      <c r="ET236" s="128"/>
      <c r="EU236" s="128"/>
      <c r="EV236" s="128"/>
      <c r="EW236" s="836"/>
      <c r="EX236" s="128"/>
      <c r="EY236" s="128"/>
      <c r="EZ236" s="128"/>
      <c r="FA236" s="128"/>
      <c r="FB236" s="836"/>
      <c r="FC236" s="128"/>
      <c r="FD236" s="128"/>
      <c r="FE236" s="128"/>
      <c r="FF236" s="128"/>
      <c r="FG236" s="836"/>
    </row>
    <row r="237" ht="12.75" customHeight="1">
      <c r="A237" s="128"/>
      <c r="B237" s="179"/>
      <c r="C237" s="179"/>
      <c r="D237" s="179"/>
      <c r="E237" s="179"/>
      <c r="F237" s="179"/>
      <c r="G237" s="179"/>
      <c r="H237" s="179"/>
      <c r="I237" s="179"/>
      <c r="J237" s="179"/>
      <c r="K237" s="179"/>
      <c r="L237" s="179"/>
      <c r="M237" s="179"/>
      <c r="N237" s="179"/>
      <c r="O237" s="179"/>
      <c r="P237" s="179"/>
      <c r="Q237" s="179"/>
      <c r="R237" s="57"/>
      <c r="S237" s="179"/>
      <c r="T237" s="179"/>
      <c r="U237" s="179"/>
      <c r="V237" s="179"/>
      <c r="W237" s="785"/>
      <c r="X237" s="128"/>
      <c r="Y237" s="128"/>
      <c r="Z237" s="128"/>
      <c r="AA237" s="128"/>
      <c r="AB237" s="837"/>
      <c r="AC237" s="128"/>
      <c r="AD237" s="128"/>
      <c r="AE237" s="128"/>
      <c r="AF237" s="128"/>
      <c r="AG237" s="837"/>
      <c r="AH237" s="128"/>
      <c r="AI237" s="128"/>
      <c r="AJ237" s="128"/>
      <c r="AK237" s="128"/>
      <c r="AL237" s="837"/>
      <c r="AM237" s="128"/>
      <c r="AN237" s="128"/>
      <c r="AO237" s="128"/>
      <c r="AP237" s="128"/>
      <c r="AQ237" s="837"/>
      <c r="AR237" s="128"/>
      <c r="AS237" s="128"/>
      <c r="AT237" s="128"/>
      <c r="AU237" s="128"/>
      <c r="AV237" s="837"/>
      <c r="AW237" s="128"/>
      <c r="AX237" s="128"/>
      <c r="AY237" s="128"/>
      <c r="AZ237" s="128"/>
      <c r="BA237" s="837"/>
      <c r="BB237" s="128"/>
      <c r="BC237" s="128"/>
      <c r="BD237" s="128"/>
      <c r="BE237" s="128"/>
      <c r="BF237" s="837"/>
      <c r="BG237" s="128"/>
      <c r="BH237" s="128"/>
      <c r="BI237" s="128"/>
      <c r="BJ237" s="128"/>
      <c r="BK237" s="837"/>
      <c r="BL237" s="128"/>
      <c r="BM237" s="128"/>
      <c r="BN237" s="128"/>
      <c r="BO237" s="128"/>
      <c r="BP237" s="837"/>
      <c r="BQ237" s="128"/>
      <c r="BR237" s="128"/>
      <c r="BS237" s="128"/>
      <c r="BT237" s="128"/>
      <c r="BU237" s="837"/>
      <c r="BV237" s="128"/>
      <c r="BW237" s="128"/>
      <c r="BX237" s="128"/>
      <c r="BY237" s="128"/>
      <c r="BZ237" s="837"/>
      <c r="CA237" s="128"/>
      <c r="CB237" s="128"/>
      <c r="CC237" s="128"/>
      <c r="CD237" s="128"/>
      <c r="CE237" s="837"/>
      <c r="CF237" s="128"/>
      <c r="CG237" s="128"/>
      <c r="CH237" s="128"/>
      <c r="CI237" s="128"/>
      <c r="CJ237" s="837"/>
      <c r="CK237" s="128"/>
      <c r="CL237" s="128"/>
      <c r="CM237" s="128"/>
      <c r="CN237" s="128"/>
      <c r="CO237" s="837"/>
      <c r="CP237" s="128"/>
      <c r="CQ237" s="128"/>
      <c r="CR237" s="128"/>
      <c r="CS237" s="128"/>
      <c r="CT237" s="836"/>
      <c r="CU237" s="128"/>
      <c r="CV237" s="128"/>
      <c r="CW237" s="128"/>
      <c r="CX237" s="128"/>
      <c r="CY237" s="836"/>
      <c r="CZ237" s="129"/>
      <c r="DA237" s="128"/>
      <c r="DB237" s="129"/>
      <c r="DC237" s="128"/>
      <c r="DD237" s="836"/>
      <c r="DE237" s="129"/>
      <c r="DF237" s="128"/>
      <c r="DG237" s="129"/>
      <c r="DH237" s="128"/>
      <c r="DI237" s="836"/>
      <c r="DJ237" s="129"/>
      <c r="DK237" s="129"/>
      <c r="DL237" s="129"/>
      <c r="DM237" s="128"/>
      <c r="DN237" s="836"/>
      <c r="DO237" s="128"/>
      <c r="DP237" s="128"/>
      <c r="DQ237" s="129"/>
      <c r="DR237" s="129"/>
      <c r="DS237" s="836"/>
      <c r="DT237" s="129"/>
      <c r="DU237" s="129"/>
      <c r="DV237" s="129"/>
      <c r="DW237" s="129"/>
      <c r="DX237" s="836"/>
      <c r="DY237" s="129"/>
      <c r="DZ237" s="129"/>
      <c r="EA237" s="129"/>
      <c r="EB237" s="129"/>
      <c r="EC237" s="836"/>
      <c r="ED237" s="129"/>
      <c r="EE237" s="129"/>
      <c r="EF237" s="129"/>
      <c r="EG237" s="129"/>
      <c r="EH237" s="836"/>
      <c r="EI237" s="134"/>
      <c r="EJ237" s="128"/>
      <c r="EK237" s="128"/>
      <c r="EL237" s="128"/>
      <c r="EM237" s="836"/>
      <c r="EN237" s="128"/>
      <c r="EO237" s="128"/>
      <c r="EP237" s="128"/>
      <c r="EQ237" s="128"/>
      <c r="ER237" s="836"/>
      <c r="ES237" s="128"/>
      <c r="ET237" s="128"/>
      <c r="EU237" s="128"/>
      <c r="EV237" s="128"/>
      <c r="EW237" s="836"/>
      <c r="EX237" s="128"/>
      <c r="EY237" s="128"/>
      <c r="EZ237" s="128"/>
      <c r="FA237" s="128"/>
      <c r="FB237" s="836"/>
      <c r="FC237" s="128"/>
      <c r="FD237" s="128"/>
      <c r="FE237" s="128"/>
      <c r="FF237" s="128"/>
      <c r="FG237" s="836"/>
    </row>
    <row r="238" ht="12.75" customHeight="1">
      <c r="A238" s="128"/>
      <c r="B238" s="179"/>
      <c r="C238" s="179"/>
      <c r="D238" s="179"/>
      <c r="E238" s="179"/>
      <c r="F238" s="179"/>
      <c r="G238" s="179"/>
      <c r="H238" s="179"/>
      <c r="I238" s="179"/>
      <c r="J238" s="179"/>
      <c r="K238" s="179"/>
      <c r="L238" s="179"/>
      <c r="M238" s="179"/>
      <c r="N238" s="179"/>
      <c r="O238" s="179"/>
      <c r="P238" s="179"/>
      <c r="Q238" s="179"/>
      <c r="R238" s="57"/>
      <c r="S238" s="179"/>
      <c r="T238" s="179"/>
      <c r="U238" s="179"/>
      <c r="V238" s="179"/>
      <c r="W238" s="785"/>
      <c r="X238" s="128"/>
      <c r="Y238" s="128"/>
      <c r="Z238" s="128"/>
      <c r="AA238" s="128"/>
      <c r="AB238" s="837"/>
      <c r="AC238" s="128"/>
      <c r="AD238" s="128"/>
      <c r="AE238" s="128"/>
      <c r="AF238" s="128"/>
      <c r="AG238" s="837"/>
      <c r="AH238" s="128"/>
      <c r="AI238" s="128"/>
      <c r="AJ238" s="128"/>
      <c r="AK238" s="128"/>
      <c r="AL238" s="837"/>
      <c r="AM238" s="128"/>
      <c r="AN238" s="128"/>
      <c r="AO238" s="128"/>
      <c r="AP238" s="128"/>
      <c r="AQ238" s="837"/>
      <c r="AR238" s="128"/>
      <c r="AS238" s="128"/>
      <c r="AT238" s="128"/>
      <c r="AU238" s="128"/>
      <c r="AV238" s="837"/>
      <c r="AW238" s="128"/>
      <c r="AX238" s="128"/>
      <c r="AY238" s="128"/>
      <c r="AZ238" s="128"/>
      <c r="BA238" s="837"/>
      <c r="BB238" s="128"/>
      <c r="BC238" s="128"/>
      <c r="BD238" s="128"/>
      <c r="BE238" s="128"/>
      <c r="BF238" s="837"/>
      <c r="BG238" s="128"/>
      <c r="BH238" s="128"/>
      <c r="BI238" s="128"/>
      <c r="BJ238" s="128"/>
      <c r="BK238" s="837"/>
      <c r="BL238" s="128"/>
      <c r="BM238" s="128"/>
      <c r="BN238" s="128"/>
      <c r="BO238" s="128"/>
      <c r="BP238" s="837"/>
      <c r="BQ238" s="128"/>
      <c r="BR238" s="128"/>
      <c r="BS238" s="128"/>
      <c r="BT238" s="128"/>
      <c r="BU238" s="837"/>
      <c r="BV238" s="128"/>
      <c r="BW238" s="128"/>
      <c r="BX238" s="128"/>
      <c r="BY238" s="128"/>
      <c r="BZ238" s="837"/>
      <c r="CA238" s="128"/>
      <c r="CB238" s="128"/>
      <c r="CC238" s="128"/>
      <c r="CD238" s="128"/>
      <c r="CE238" s="837"/>
      <c r="CF238" s="128"/>
      <c r="CG238" s="128"/>
      <c r="CH238" s="128"/>
      <c r="CI238" s="128"/>
      <c r="CJ238" s="837"/>
      <c r="CK238" s="128"/>
      <c r="CL238" s="128"/>
      <c r="CM238" s="128"/>
      <c r="CN238" s="128"/>
      <c r="CO238" s="837"/>
      <c r="CP238" s="128"/>
      <c r="CQ238" s="128"/>
      <c r="CR238" s="128"/>
      <c r="CS238" s="128"/>
      <c r="CT238" s="836"/>
      <c r="CU238" s="128"/>
      <c r="CV238" s="128"/>
      <c r="CW238" s="128"/>
      <c r="CX238" s="128"/>
      <c r="CY238" s="836"/>
      <c r="CZ238" s="129"/>
      <c r="DA238" s="128"/>
      <c r="DB238" s="129"/>
      <c r="DC238" s="128"/>
      <c r="DD238" s="836"/>
      <c r="DE238" s="129"/>
      <c r="DF238" s="128"/>
      <c r="DG238" s="129"/>
      <c r="DH238" s="128"/>
      <c r="DI238" s="836"/>
      <c r="DJ238" s="129"/>
      <c r="DK238" s="129"/>
      <c r="DL238" s="129"/>
      <c r="DM238" s="128"/>
      <c r="DN238" s="836"/>
      <c r="DO238" s="128"/>
      <c r="DP238" s="128"/>
      <c r="DQ238" s="129"/>
      <c r="DR238" s="129"/>
      <c r="DS238" s="836"/>
      <c r="DT238" s="129"/>
      <c r="DU238" s="129"/>
      <c r="DV238" s="129"/>
      <c r="DW238" s="129"/>
      <c r="DX238" s="836"/>
      <c r="DY238" s="129"/>
      <c r="DZ238" s="129"/>
      <c r="EA238" s="129"/>
      <c r="EB238" s="129"/>
      <c r="EC238" s="836"/>
      <c r="ED238" s="129"/>
      <c r="EE238" s="129"/>
      <c r="EF238" s="129"/>
      <c r="EG238" s="129"/>
      <c r="EH238" s="836"/>
      <c r="EI238" s="134"/>
      <c r="EJ238" s="128"/>
      <c r="EK238" s="128"/>
      <c r="EL238" s="128"/>
      <c r="EM238" s="836"/>
      <c r="EN238" s="128"/>
      <c r="EO238" s="128"/>
      <c r="EP238" s="128"/>
      <c r="EQ238" s="128"/>
      <c r="ER238" s="836"/>
      <c r="ES238" s="128"/>
      <c r="ET238" s="128"/>
      <c r="EU238" s="128"/>
      <c r="EV238" s="128"/>
      <c r="EW238" s="836"/>
      <c r="EX238" s="128"/>
      <c r="EY238" s="128"/>
      <c r="EZ238" s="128"/>
      <c r="FA238" s="128"/>
      <c r="FB238" s="836"/>
      <c r="FC238" s="128"/>
      <c r="FD238" s="128"/>
      <c r="FE238" s="128"/>
      <c r="FF238" s="128"/>
      <c r="FG238" s="836"/>
    </row>
    <row r="239" ht="12.75" customHeight="1">
      <c r="A239" s="128"/>
      <c r="B239" s="179"/>
      <c r="C239" s="179"/>
      <c r="D239" s="179"/>
      <c r="E239" s="179"/>
      <c r="F239" s="179"/>
      <c r="G239" s="179"/>
      <c r="H239" s="179"/>
      <c r="I239" s="179"/>
      <c r="J239" s="179"/>
      <c r="K239" s="179"/>
      <c r="L239" s="179"/>
      <c r="M239" s="179"/>
      <c r="N239" s="179"/>
      <c r="O239" s="179"/>
      <c r="P239" s="179"/>
      <c r="Q239" s="179"/>
      <c r="R239" s="57"/>
      <c r="S239" s="179"/>
      <c r="T239" s="179"/>
      <c r="U239" s="179"/>
      <c r="V239" s="179"/>
      <c r="W239" s="785"/>
      <c r="X239" s="128"/>
      <c r="Y239" s="128"/>
      <c r="Z239" s="128"/>
      <c r="AA239" s="128"/>
      <c r="AB239" s="837"/>
      <c r="AC239" s="128"/>
      <c r="AD239" s="128"/>
      <c r="AE239" s="128"/>
      <c r="AF239" s="128"/>
      <c r="AG239" s="837"/>
      <c r="AH239" s="128"/>
      <c r="AI239" s="128"/>
      <c r="AJ239" s="128"/>
      <c r="AK239" s="128"/>
      <c r="AL239" s="837"/>
      <c r="AM239" s="128"/>
      <c r="AN239" s="128"/>
      <c r="AO239" s="128"/>
      <c r="AP239" s="128"/>
      <c r="AQ239" s="837"/>
      <c r="AR239" s="128"/>
      <c r="AS239" s="128"/>
      <c r="AT239" s="128"/>
      <c r="AU239" s="128"/>
      <c r="AV239" s="837"/>
      <c r="AW239" s="128">
        <f>AU239*0.93</f>
        <v>0</v>
      </c>
      <c r="AX239" s="128">
        <f>AW239*1.1</f>
        <v>0</v>
      </c>
      <c r="AY239" s="128"/>
      <c r="AZ239" s="128"/>
      <c r="BA239" s="837"/>
      <c r="BB239" s="128">
        <f>AZ239*1.18</f>
        <v>0</v>
      </c>
      <c r="BC239" s="128">
        <f>BB239*1.08</f>
        <v>0</v>
      </c>
      <c r="BD239" s="128"/>
      <c r="BE239" s="128"/>
      <c r="BF239" s="837"/>
      <c r="BG239" s="128"/>
      <c r="BH239" s="128"/>
      <c r="BI239" s="128"/>
      <c r="BJ239" s="128"/>
      <c r="BK239" s="837"/>
      <c r="BL239" s="128"/>
      <c r="BM239" s="128"/>
      <c r="BN239" s="128"/>
      <c r="BO239" s="128"/>
      <c r="BP239" s="837"/>
      <c r="BQ239" s="128"/>
      <c r="BR239" s="128"/>
      <c r="BS239" s="128"/>
      <c r="BT239" s="128"/>
      <c r="BU239" s="837"/>
      <c r="BV239" s="128"/>
      <c r="BW239" s="128"/>
      <c r="BX239" s="128"/>
      <c r="BY239" s="128"/>
      <c r="BZ239" s="837"/>
      <c r="CA239" s="128"/>
      <c r="CB239" s="128"/>
      <c r="CC239" s="128"/>
      <c r="CD239" s="128"/>
      <c r="CE239" s="837"/>
      <c r="CF239" s="128"/>
      <c r="CG239" s="128"/>
      <c r="CH239" s="128"/>
      <c r="CI239" s="128"/>
      <c r="CJ239" s="837"/>
      <c r="CK239" s="128"/>
      <c r="CL239" s="128"/>
      <c r="CM239" s="128"/>
      <c r="CN239" s="128"/>
      <c r="CO239" s="837"/>
      <c r="CP239" s="128"/>
      <c r="CQ239" s="128"/>
      <c r="CR239" s="128"/>
      <c r="CS239" s="128"/>
      <c r="CT239" s="836"/>
      <c r="CU239" s="128"/>
      <c r="CV239" s="128"/>
      <c r="CW239" s="128"/>
      <c r="CX239" s="128"/>
      <c r="CY239" s="836"/>
      <c r="CZ239" s="129"/>
      <c r="DA239" s="128"/>
      <c r="DB239" s="129"/>
      <c r="DC239" s="128"/>
      <c r="DD239" s="836"/>
      <c r="DE239" s="129"/>
      <c r="DF239" s="128"/>
      <c r="DG239" s="129"/>
      <c r="DH239" s="128"/>
      <c r="DI239" s="836"/>
      <c r="DJ239" s="129"/>
      <c r="DK239" s="129"/>
      <c r="DL239" s="129"/>
      <c r="DM239" s="128"/>
      <c r="DN239" s="836"/>
      <c r="DO239" s="128"/>
      <c r="DP239" s="128"/>
      <c r="DQ239" s="129"/>
      <c r="DR239" s="129"/>
      <c r="DS239" s="836"/>
      <c r="DT239" s="129"/>
      <c r="DU239" s="129"/>
      <c r="DV239" s="129"/>
      <c r="DW239" s="129"/>
      <c r="DX239" s="836"/>
      <c r="DY239" s="129"/>
      <c r="DZ239" s="129"/>
      <c r="EA239" s="129"/>
      <c r="EB239" s="129"/>
      <c r="EC239" s="836"/>
      <c r="ED239" s="129"/>
      <c r="EE239" s="129"/>
      <c r="EF239" s="129"/>
      <c r="EG239" s="129"/>
      <c r="EH239" s="836"/>
      <c r="EI239" s="134"/>
      <c r="EJ239" s="128"/>
      <c r="EK239" s="128"/>
      <c r="EL239" s="128"/>
      <c r="EM239" s="836"/>
      <c r="EN239" s="128"/>
      <c r="EO239" s="128"/>
      <c r="EP239" s="128"/>
      <c r="EQ239" s="128"/>
      <c r="ER239" s="836"/>
      <c r="ES239" s="128"/>
      <c r="ET239" s="128"/>
      <c r="EU239" s="128"/>
      <c r="EV239" s="128"/>
      <c r="EW239" s="836"/>
      <c r="EX239" s="128"/>
      <c r="EY239" s="128"/>
      <c r="EZ239" s="128"/>
      <c r="FA239" s="128"/>
      <c r="FB239" s="836"/>
      <c r="FC239" s="128"/>
      <c r="FD239" s="128"/>
      <c r="FE239" s="128"/>
      <c r="FF239" s="128"/>
      <c r="FG239" s="836"/>
    </row>
    <row r="240" ht="12.75" customHeight="1">
      <c r="A240" s="128"/>
      <c r="B240" s="179"/>
      <c r="C240" s="179"/>
      <c r="D240" s="179"/>
      <c r="E240" s="179"/>
      <c r="F240" s="179"/>
      <c r="G240" s="179"/>
      <c r="H240" s="179"/>
      <c r="I240" s="179"/>
      <c r="J240" s="179"/>
      <c r="K240" s="179"/>
      <c r="L240" s="179"/>
      <c r="M240" s="179"/>
      <c r="N240" s="179"/>
      <c r="O240" s="179"/>
      <c r="P240" s="179"/>
      <c r="Q240" s="179"/>
      <c r="R240" s="57"/>
      <c r="S240" s="179"/>
      <c r="T240" s="179"/>
      <c r="U240" s="179"/>
      <c r="V240" s="179"/>
      <c r="W240" s="785"/>
      <c r="X240" s="128"/>
      <c r="Y240" s="128"/>
      <c r="Z240" s="128"/>
      <c r="AA240" s="128"/>
      <c r="AB240" s="837"/>
      <c r="AC240" s="128"/>
      <c r="AD240" s="128"/>
      <c r="AE240" s="128"/>
      <c r="AF240" s="128"/>
      <c r="AG240" s="837"/>
      <c r="AH240" s="128"/>
      <c r="AI240" s="128"/>
      <c r="AJ240" s="128"/>
      <c r="AK240" s="128"/>
      <c r="AL240" s="837"/>
      <c r="AM240" s="128"/>
      <c r="AN240" s="128"/>
      <c r="AO240" s="128"/>
      <c r="AP240" s="128"/>
      <c r="AQ240" s="837"/>
      <c r="AR240" s="128"/>
      <c r="AS240" s="128"/>
      <c r="AT240" s="128"/>
      <c r="AU240" s="128"/>
      <c r="AV240" s="837"/>
      <c r="AW240" s="128"/>
      <c r="AX240" s="128"/>
      <c r="AY240" s="128"/>
      <c r="AZ240" s="128"/>
      <c r="BA240" s="837"/>
      <c r="BB240" s="128"/>
      <c r="BC240" s="128"/>
      <c r="BD240" s="128"/>
      <c r="BE240" s="128"/>
      <c r="BF240" s="837"/>
      <c r="BG240" s="128"/>
      <c r="BH240" s="128"/>
      <c r="BI240" s="128"/>
      <c r="BJ240" s="128"/>
      <c r="BK240" s="837"/>
      <c r="BL240" s="128"/>
      <c r="BM240" s="128"/>
      <c r="BN240" s="128"/>
      <c r="BO240" s="128"/>
      <c r="BP240" s="837"/>
      <c r="BQ240" s="128"/>
      <c r="BR240" s="128"/>
      <c r="BS240" s="128"/>
      <c r="BT240" s="128"/>
      <c r="BU240" s="837"/>
      <c r="BV240" s="128"/>
      <c r="BW240" s="128"/>
      <c r="BX240" s="128"/>
      <c r="BY240" s="128"/>
      <c r="BZ240" s="837"/>
      <c r="CA240" s="128"/>
      <c r="CB240" s="128"/>
      <c r="CC240" s="128"/>
      <c r="CD240" s="128"/>
      <c r="CE240" s="837"/>
      <c r="CF240" s="128"/>
      <c r="CG240" s="128"/>
      <c r="CH240" s="128"/>
      <c r="CI240" s="128"/>
      <c r="CJ240" s="837"/>
      <c r="CK240" s="128"/>
      <c r="CL240" s="128"/>
      <c r="CM240" s="128"/>
      <c r="CN240" s="128"/>
      <c r="CO240" s="837"/>
      <c r="CP240" s="128"/>
      <c r="CQ240" s="128"/>
      <c r="CR240" s="128"/>
      <c r="CS240" s="128"/>
      <c r="CT240" s="836"/>
      <c r="CU240" s="128"/>
      <c r="CV240" s="128"/>
      <c r="CW240" s="128"/>
      <c r="CX240" s="128"/>
      <c r="CY240" s="836"/>
      <c r="CZ240" s="129"/>
      <c r="DA240" s="128"/>
      <c r="DB240" s="129"/>
      <c r="DC240" s="128"/>
      <c r="DD240" s="836"/>
      <c r="DE240" s="129"/>
      <c r="DF240" s="128"/>
      <c r="DG240" s="129"/>
      <c r="DH240" s="128"/>
      <c r="DI240" s="836"/>
      <c r="DJ240" s="129"/>
      <c r="DK240" s="129"/>
      <c r="DL240" s="129"/>
      <c r="DM240" s="128"/>
      <c r="DN240" s="836"/>
      <c r="DO240" s="128"/>
      <c r="DP240" s="128"/>
      <c r="DQ240" s="129"/>
      <c r="DR240" s="129"/>
      <c r="DS240" s="836"/>
      <c r="DT240" s="129"/>
      <c r="DU240" s="129"/>
      <c r="DV240" s="129"/>
      <c r="DW240" s="129"/>
      <c r="DX240" s="836"/>
      <c r="DY240" s="129"/>
      <c r="DZ240" s="129"/>
      <c r="EA240" s="129"/>
      <c r="EB240" s="129"/>
      <c r="EC240" s="836"/>
      <c r="ED240" s="129"/>
      <c r="EE240" s="129"/>
      <c r="EF240" s="129"/>
      <c r="EG240" s="129"/>
      <c r="EH240" s="836"/>
      <c r="EI240" s="134"/>
      <c r="EJ240" s="128"/>
      <c r="EK240" s="128"/>
      <c r="EL240" s="128"/>
      <c r="EM240" s="836"/>
      <c r="EN240" s="128"/>
      <c r="EO240" s="128"/>
      <c r="EP240" s="128"/>
      <c r="EQ240" s="128"/>
      <c r="ER240" s="836"/>
      <c r="ES240" s="128"/>
      <c r="ET240" s="128"/>
      <c r="EU240" s="128"/>
      <c r="EV240" s="128"/>
      <c r="EW240" s="836"/>
      <c r="EX240" s="128"/>
      <c r="EY240" s="128"/>
      <c r="EZ240" s="128"/>
      <c r="FA240" s="128"/>
      <c r="FB240" s="836"/>
      <c r="FC240" s="128"/>
      <c r="FD240" s="128"/>
      <c r="FE240" s="128"/>
      <c r="FF240" s="128"/>
      <c r="FG240" s="836"/>
    </row>
    <row r="241" ht="12.75" customHeight="1">
      <c r="A241" s="128"/>
      <c r="B241" s="179"/>
      <c r="C241" s="179"/>
      <c r="D241" s="179"/>
      <c r="E241" s="179"/>
      <c r="F241" s="179"/>
      <c r="G241" s="179"/>
      <c r="H241" s="179"/>
      <c r="I241" s="179"/>
      <c r="J241" s="179"/>
      <c r="K241" s="179"/>
      <c r="L241" s="179"/>
      <c r="M241" s="179"/>
      <c r="N241" s="179"/>
      <c r="O241" s="179"/>
      <c r="P241" s="179"/>
      <c r="Q241" s="179"/>
      <c r="R241" s="57"/>
      <c r="S241" s="179"/>
      <c r="T241" s="179"/>
      <c r="U241" s="179"/>
      <c r="V241" s="179"/>
      <c r="W241" s="785"/>
      <c r="X241" s="128"/>
      <c r="Y241" s="128"/>
      <c r="Z241" s="128"/>
      <c r="AA241" s="128"/>
      <c r="AB241" s="837"/>
      <c r="AC241" s="128"/>
      <c r="AD241" s="128"/>
      <c r="AE241" s="128"/>
      <c r="AF241" s="128"/>
      <c r="AG241" s="837"/>
      <c r="AH241" s="128"/>
      <c r="AI241" s="128"/>
      <c r="AJ241" s="128"/>
      <c r="AK241" s="128"/>
      <c r="AL241" s="837"/>
      <c r="AM241" s="128"/>
      <c r="AN241" s="128"/>
      <c r="AO241" s="128"/>
      <c r="AP241" s="128"/>
      <c r="AQ241" s="837"/>
      <c r="AR241" s="128"/>
      <c r="AS241" s="128"/>
      <c r="AT241" s="128"/>
      <c r="AU241" s="128"/>
      <c r="AV241" s="837"/>
      <c r="AW241" s="128"/>
      <c r="AX241" s="128"/>
      <c r="AY241" s="128"/>
      <c r="AZ241" s="128"/>
      <c r="BA241" s="837"/>
      <c r="BB241" s="128"/>
      <c r="BC241" s="128"/>
      <c r="BD241" s="128"/>
      <c r="BE241" s="128"/>
      <c r="BF241" s="837"/>
      <c r="BG241" s="128"/>
      <c r="BH241" s="128"/>
      <c r="BI241" s="128"/>
      <c r="BJ241" s="128"/>
      <c r="BK241" s="837"/>
      <c r="BL241" s="128"/>
      <c r="BM241" s="128"/>
      <c r="BN241" s="128"/>
      <c r="BO241" s="128"/>
      <c r="BP241" s="837"/>
      <c r="BQ241" s="128"/>
      <c r="BR241" s="128"/>
      <c r="BS241" s="128"/>
      <c r="BT241" s="128"/>
      <c r="BU241" s="837"/>
      <c r="BV241" s="128"/>
      <c r="BW241" s="128"/>
      <c r="BX241" s="128"/>
      <c r="BY241" s="128"/>
      <c r="BZ241" s="837"/>
      <c r="CA241" s="128"/>
      <c r="CB241" s="128"/>
      <c r="CC241" s="128"/>
      <c r="CD241" s="128"/>
      <c r="CE241" s="837"/>
      <c r="CF241" s="128"/>
      <c r="CG241" s="128"/>
      <c r="CH241" s="128"/>
      <c r="CI241" s="128"/>
      <c r="CJ241" s="837"/>
      <c r="CK241" s="128"/>
      <c r="CL241" s="128"/>
      <c r="CM241" s="128"/>
      <c r="CN241" s="128"/>
      <c r="CO241" s="837"/>
      <c r="CP241" s="128"/>
      <c r="CQ241" s="128"/>
      <c r="CR241" s="128"/>
      <c r="CS241" s="128"/>
      <c r="CT241" s="836"/>
      <c r="CU241" s="128"/>
      <c r="CV241" s="128"/>
      <c r="CW241" s="128"/>
      <c r="CX241" s="128"/>
      <c r="CY241" s="836"/>
      <c r="CZ241" s="129"/>
      <c r="DA241" s="128"/>
      <c r="DB241" s="129"/>
      <c r="DC241" s="128"/>
      <c r="DD241" s="836"/>
      <c r="DE241" s="129"/>
      <c r="DF241" s="128"/>
      <c r="DG241" s="129"/>
      <c r="DH241" s="128"/>
      <c r="DI241" s="836"/>
      <c r="DJ241" s="129"/>
      <c r="DK241" s="129"/>
      <c r="DL241" s="129"/>
      <c r="DM241" s="128"/>
      <c r="DN241" s="836"/>
      <c r="DO241" s="128"/>
      <c r="DP241" s="128"/>
      <c r="DQ241" s="129"/>
      <c r="DR241" s="129"/>
      <c r="DS241" s="836"/>
      <c r="DT241" s="129"/>
      <c r="DU241" s="129"/>
      <c r="DV241" s="129"/>
      <c r="DW241" s="129"/>
      <c r="DX241" s="836"/>
      <c r="DY241" s="129"/>
      <c r="DZ241" s="129"/>
      <c r="EA241" s="129"/>
      <c r="EB241" s="129"/>
      <c r="EC241" s="836"/>
      <c r="ED241" s="129"/>
      <c r="EE241" s="129"/>
      <c r="EF241" s="129"/>
      <c r="EG241" s="129"/>
      <c r="EH241" s="836"/>
      <c r="EI241" s="134"/>
      <c r="EJ241" s="128"/>
      <c r="EK241" s="128"/>
      <c r="EL241" s="128"/>
      <c r="EM241" s="836"/>
      <c r="EN241" s="128"/>
      <c r="EO241" s="128"/>
      <c r="EP241" s="128"/>
      <c r="EQ241" s="128"/>
      <c r="ER241" s="836"/>
      <c r="ES241" s="128"/>
      <c r="ET241" s="128"/>
      <c r="EU241" s="128"/>
      <c r="EV241" s="128"/>
      <c r="EW241" s="836"/>
      <c r="EX241" s="128"/>
      <c r="EY241" s="128"/>
      <c r="EZ241" s="128"/>
      <c r="FA241" s="128"/>
      <c r="FB241" s="836"/>
      <c r="FC241" s="128"/>
      <c r="FD241" s="128"/>
      <c r="FE241" s="128"/>
      <c r="FF241" s="128"/>
      <c r="FG241" s="836"/>
    </row>
    <row r="242" ht="12.75" customHeight="1">
      <c r="A242" s="128"/>
      <c r="B242" s="179"/>
      <c r="C242" s="179"/>
      <c r="D242" s="179"/>
      <c r="E242" s="179"/>
      <c r="F242" s="179"/>
      <c r="G242" s="179"/>
      <c r="H242" s="179"/>
      <c r="I242" s="179"/>
      <c r="J242" s="179"/>
      <c r="K242" s="179"/>
      <c r="L242" s="179"/>
      <c r="M242" s="179"/>
      <c r="N242" s="179"/>
      <c r="O242" s="179"/>
      <c r="P242" s="179"/>
      <c r="Q242" s="179"/>
      <c r="R242" s="57"/>
      <c r="S242" s="179"/>
      <c r="T242" s="179"/>
      <c r="U242" s="179"/>
      <c r="V242" s="179"/>
      <c r="W242" s="785"/>
      <c r="X242" s="128"/>
      <c r="Y242" s="128"/>
      <c r="Z242" s="128"/>
      <c r="AA242" s="128"/>
      <c r="AB242" s="837"/>
      <c r="AC242" s="128"/>
      <c r="AD242" s="128"/>
      <c r="AE242" s="128"/>
      <c r="AF242" s="128"/>
      <c r="AG242" s="837"/>
      <c r="AH242" s="128"/>
      <c r="AI242" s="128"/>
      <c r="AJ242" s="128"/>
      <c r="AK242" s="128"/>
      <c r="AL242" s="837"/>
      <c r="AM242" s="128"/>
      <c r="AN242" s="128"/>
      <c r="AO242" s="128"/>
      <c r="AP242" s="128"/>
      <c r="AQ242" s="837"/>
      <c r="AR242" s="128"/>
      <c r="AS242" s="128"/>
      <c r="AT242" s="128"/>
      <c r="AU242" s="128"/>
      <c r="AV242" s="837"/>
      <c r="AW242" s="128"/>
      <c r="AX242" s="128"/>
      <c r="AY242" s="128"/>
      <c r="AZ242" s="128"/>
      <c r="BA242" s="837"/>
      <c r="BB242" s="128"/>
      <c r="BC242" s="128"/>
      <c r="BD242" s="128"/>
      <c r="BE242" s="128"/>
      <c r="BF242" s="837"/>
      <c r="BG242" s="128"/>
      <c r="BH242" s="128"/>
      <c r="BI242" s="128"/>
      <c r="BJ242" s="128"/>
      <c r="BK242" s="837"/>
      <c r="BL242" s="128"/>
      <c r="BM242" s="128"/>
      <c r="BN242" s="128"/>
      <c r="BO242" s="128"/>
      <c r="BP242" s="837"/>
      <c r="BQ242" s="128"/>
      <c r="BR242" s="128"/>
      <c r="BS242" s="128"/>
      <c r="BT242" s="128"/>
      <c r="BU242" s="837"/>
      <c r="BV242" s="128"/>
      <c r="BW242" s="128"/>
      <c r="BX242" s="128"/>
      <c r="BY242" s="128"/>
      <c r="BZ242" s="837"/>
      <c r="CA242" s="128"/>
      <c r="CB242" s="128"/>
      <c r="CC242" s="128"/>
      <c r="CD242" s="128"/>
      <c r="CE242" s="837"/>
      <c r="CF242" s="128"/>
      <c r="CG242" s="128"/>
      <c r="CH242" s="128"/>
      <c r="CI242" s="128"/>
      <c r="CJ242" s="837"/>
      <c r="CK242" s="128"/>
      <c r="CL242" s="128"/>
      <c r="CM242" s="128"/>
      <c r="CN242" s="128"/>
      <c r="CO242" s="837"/>
      <c r="CP242" s="128"/>
      <c r="CQ242" s="128"/>
      <c r="CR242" s="128"/>
      <c r="CS242" s="128"/>
      <c r="CT242" s="836"/>
      <c r="CU242" s="128"/>
      <c r="CV242" s="128"/>
      <c r="CW242" s="128"/>
      <c r="CX242" s="128"/>
      <c r="CY242" s="836"/>
      <c r="CZ242" s="129"/>
      <c r="DA242" s="128"/>
      <c r="DB242" s="129"/>
      <c r="DC242" s="128"/>
      <c r="DD242" s="836"/>
      <c r="DE242" s="129"/>
      <c r="DF242" s="128"/>
      <c r="DG242" s="129"/>
      <c r="DH242" s="128"/>
      <c r="DI242" s="836"/>
      <c r="DJ242" s="129"/>
      <c r="DK242" s="129"/>
      <c r="DL242" s="129"/>
      <c r="DM242" s="128"/>
      <c r="DN242" s="836"/>
      <c r="DO242" s="128"/>
      <c r="DP242" s="128"/>
      <c r="DQ242" s="129"/>
      <c r="DR242" s="129"/>
      <c r="DS242" s="836"/>
      <c r="DT242" s="129"/>
      <c r="DU242" s="129"/>
      <c r="DV242" s="129"/>
      <c r="DW242" s="129"/>
      <c r="DX242" s="836"/>
      <c r="DY242" s="129"/>
      <c r="DZ242" s="129"/>
      <c r="EA242" s="129"/>
      <c r="EB242" s="129"/>
      <c r="EC242" s="836"/>
      <c r="ED242" s="129"/>
      <c r="EE242" s="129"/>
      <c r="EF242" s="129"/>
      <c r="EG242" s="129"/>
      <c r="EH242" s="836"/>
      <c r="EI242" s="134"/>
      <c r="EJ242" s="128"/>
      <c r="EK242" s="128"/>
      <c r="EL242" s="128"/>
      <c r="EM242" s="836"/>
      <c r="EN242" s="128"/>
      <c r="EO242" s="128"/>
      <c r="EP242" s="128"/>
      <c r="EQ242" s="128"/>
      <c r="ER242" s="836"/>
      <c r="ES242" s="128"/>
      <c r="ET242" s="128"/>
      <c r="EU242" s="128"/>
      <c r="EV242" s="128"/>
      <c r="EW242" s="836"/>
      <c r="EX242" s="128"/>
      <c r="EY242" s="128"/>
      <c r="EZ242" s="128"/>
      <c r="FA242" s="128"/>
      <c r="FB242" s="836"/>
      <c r="FC242" s="128"/>
      <c r="FD242" s="128"/>
      <c r="FE242" s="128"/>
      <c r="FF242" s="128"/>
      <c r="FG242" s="836"/>
    </row>
    <row r="243" ht="12.75" customHeight="1">
      <c r="A243" s="128"/>
      <c r="B243" s="179"/>
      <c r="C243" s="179"/>
      <c r="D243" s="179"/>
      <c r="E243" s="179"/>
      <c r="F243" s="179"/>
      <c r="G243" s="179"/>
      <c r="H243" s="179"/>
      <c r="I243" s="179"/>
      <c r="J243" s="179"/>
      <c r="K243" s="179"/>
      <c r="L243" s="179"/>
      <c r="M243" s="179"/>
      <c r="N243" s="179"/>
      <c r="O243" s="179"/>
      <c r="P243" s="179"/>
      <c r="Q243" s="179"/>
      <c r="R243" s="57"/>
      <c r="S243" s="179"/>
      <c r="T243" s="179"/>
      <c r="U243" s="179"/>
      <c r="V243" s="179"/>
      <c r="W243" s="785"/>
      <c r="X243" s="128"/>
      <c r="Y243" s="128"/>
      <c r="Z243" s="128"/>
      <c r="AA243" s="128"/>
      <c r="AB243" s="837"/>
      <c r="AC243" s="128"/>
      <c r="AD243" s="128"/>
      <c r="AE243" s="128"/>
      <c r="AF243" s="128"/>
      <c r="AG243" s="837"/>
      <c r="AH243" s="128"/>
      <c r="AI243" s="128"/>
      <c r="AJ243" s="128"/>
      <c r="AK243" s="128"/>
      <c r="AL243" s="837"/>
      <c r="AM243" s="128"/>
      <c r="AN243" s="128"/>
      <c r="AO243" s="128"/>
      <c r="AP243" s="128"/>
      <c r="AQ243" s="837"/>
      <c r="AR243" s="128"/>
      <c r="AS243" s="128"/>
      <c r="AT243" s="128"/>
      <c r="AU243" s="128"/>
      <c r="AV243" s="837"/>
      <c r="AW243" s="128"/>
      <c r="AX243" s="128"/>
      <c r="AY243" s="128"/>
      <c r="AZ243" s="128"/>
      <c r="BA243" s="837"/>
      <c r="BB243" s="128"/>
      <c r="BC243" s="128"/>
      <c r="BD243" s="128"/>
      <c r="BE243" s="128"/>
      <c r="BF243" s="837"/>
      <c r="BG243" s="128"/>
      <c r="BH243" s="128"/>
      <c r="BI243" s="128"/>
      <c r="BJ243" s="128"/>
      <c r="BK243" s="837"/>
      <c r="BL243" s="128"/>
      <c r="BM243" s="128"/>
      <c r="BN243" s="128"/>
      <c r="BO243" s="128"/>
      <c r="BP243" s="837"/>
      <c r="BQ243" s="128"/>
      <c r="BR243" s="128"/>
      <c r="BS243" s="128"/>
      <c r="BT243" s="128"/>
      <c r="BU243" s="837"/>
      <c r="BV243" s="128"/>
      <c r="BW243" s="128"/>
      <c r="BX243" s="128"/>
      <c r="BY243" s="128"/>
      <c r="BZ243" s="837"/>
      <c r="CA243" s="128"/>
      <c r="CB243" s="128"/>
      <c r="CC243" s="128"/>
      <c r="CD243" s="128"/>
      <c r="CE243" s="837"/>
      <c r="CF243" s="128"/>
      <c r="CG243" s="128"/>
      <c r="CH243" s="128"/>
      <c r="CI243" s="128"/>
      <c r="CJ243" s="837"/>
      <c r="CK243" s="128"/>
      <c r="CL243" s="128"/>
      <c r="CM243" s="128"/>
      <c r="CN243" s="128"/>
      <c r="CO243" s="837"/>
      <c r="CP243" s="128"/>
      <c r="CQ243" s="128"/>
      <c r="CR243" s="128"/>
      <c r="CS243" s="128"/>
      <c r="CT243" s="836"/>
      <c r="CU243" s="128"/>
      <c r="CV243" s="128"/>
      <c r="CW243" s="128"/>
      <c r="CX243" s="128"/>
      <c r="CY243" s="836"/>
      <c r="CZ243" s="129"/>
      <c r="DA243" s="128"/>
      <c r="DB243" s="129"/>
      <c r="DC243" s="128"/>
      <c r="DD243" s="836"/>
      <c r="DE243" s="129"/>
      <c r="DF243" s="128"/>
      <c r="DG243" s="129"/>
      <c r="DH243" s="128"/>
      <c r="DI243" s="836"/>
      <c r="DJ243" s="129"/>
      <c r="DK243" s="129"/>
      <c r="DL243" s="129"/>
      <c r="DM243" s="128"/>
      <c r="DN243" s="836"/>
      <c r="DO243" s="128"/>
      <c r="DP243" s="128"/>
      <c r="DQ243" s="129"/>
      <c r="DR243" s="129"/>
      <c r="DS243" s="836"/>
      <c r="DT243" s="129"/>
      <c r="DU243" s="129"/>
      <c r="DV243" s="129"/>
      <c r="DW243" s="129"/>
      <c r="DX243" s="836"/>
      <c r="DY243" s="129"/>
      <c r="DZ243" s="129"/>
      <c r="EA243" s="129"/>
      <c r="EB243" s="129"/>
      <c r="EC243" s="836"/>
      <c r="ED243" s="129"/>
      <c r="EE243" s="129"/>
      <c r="EF243" s="129"/>
      <c r="EG243" s="129"/>
      <c r="EH243" s="836"/>
      <c r="EI243" s="134"/>
      <c r="EJ243" s="128"/>
      <c r="EK243" s="128"/>
      <c r="EL243" s="128"/>
      <c r="EM243" s="836"/>
      <c r="EN243" s="128"/>
      <c r="EO243" s="128"/>
      <c r="EP243" s="128"/>
      <c r="EQ243" s="128"/>
      <c r="ER243" s="836"/>
      <c r="ES243" s="128"/>
      <c r="ET243" s="128"/>
      <c r="EU243" s="128"/>
      <c r="EV243" s="128"/>
      <c r="EW243" s="836"/>
      <c r="EX243" s="128"/>
      <c r="EY243" s="128"/>
      <c r="EZ243" s="128"/>
      <c r="FA243" s="128"/>
      <c r="FB243" s="836"/>
      <c r="FC243" s="128"/>
      <c r="FD243" s="128"/>
      <c r="FE243" s="128"/>
      <c r="FF243" s="128"/>
      <c r="FG243" s="836"/>
    </row>
    <row r="244" ht="12.75" customHeight="1">
      <c r="A244" s="128"/>
      <c r="B244" s="179"/>
      <c r="C244" s="179"/>
      <c r="D244" s="179"/>
      <c r="E244" s="179"/>
      <c r="F244" s="179"/>
      <c r="G244" s="179"/>
      <c r="H244" s="179"/>
      <c r="I244" s="179"/>
      <c r="J244" s="179"/>
      <c r="K244" s="179"/>
      <c r="L244" s="179"/>
      <c r="M244" s="179"/>
      <c r="N244" s="179"/>
      <c r="O244" s="179"/>
      <c r="P244" s="179"/>
      <c r="Q244" s="179"/>
      <c r="R244" s="57"/>
      <c r="S244" s="179"/>
      <c r="T244" s="179"/>
      <c r="U244" s="179"/>
      <c r="V244" s="179"/>
      <c r="W244" s="785"/>
      <c r="X244" s="128"/>
      <c r="Y244" s="128"/>
      <c r="Z244" s="128"/>
      <c r="AA244" s="128"/>
      <c r="AB244" s="837"/>
      <c r="AC244" s="128"/>
      <c r="AD244" s="128"/>
      <c r="AE244" s="128"/>
      <c r="AF244" s="128"/>
      <c r="AG244" s="837"/>
      <c r="AH244" s="128"/>
      <c r="AI244" s="128"/>
      <c r="AJ244" s="128"/>
      <c r="AK244" s="128"/>
      <c r="AL244" s="837"/>
      <c r="AM244" s="128"/>
      <c r="AN244" s="128"/>
      <c r="AO244" s="128"/>
      <c r="AP244" s="128"/>
      <c r="AQ244" s="837"/>
      <c r="AR244" s="128"/>
      <c r="AS244" s="128"/>
      <c r="AT244" s="128"/>
      <c r="AU244" s="128"/>
      <c r="AV244" s="837"/>
      <c r="AW244" s="128"/>
      <c r="AX244" s="128"/>
      <c r="AY244" s="128"/>
      <c r="AZ244" s="128"/>
      <c r="BA244" s="837"/>
      <c r="BB244" s="128"/>
      <c r="BC244" s="128"/>
      <c r="BD244" s="128"/>
      <c r="BE244" s="128"/>
      <c r="BF244" s="837"/>
      <c r="BG244" s="128"/>
      <c r="BH244" s="128"/>
      <c r="BI244" s="128"/>
      <c r="BJ244" s="128"/>
      <c r="BK244" s="837"/>
      <c r="BL244" s="128"/>
      <c r="BM244" s="128"/>
      <c r="BN244" s="128"/>
      <c r="BO244" s="128"/>
      <c r="BP244" s="837"/>
      <c r="BQ244" s="128"/>
      <c r="BR244" s="128"/>
      <c r="BS244" s="128"/>
      <c r="BT244" s="128"/>
      <c r="BU244" s="837"/>
      <c r="BV244" s="128"/>
      <c r="BW244" s="128"/>
      <c r="BX244" s="128"/>
      <c r="BY244" s="128"/>
      <c r="BZ244" s="837"/>
      <c r="CA244" s="128"/>
      <c r="CB244" s="128"/>
      <c r="CC244" s="128"/>
      <c r="CD244" s="128"/>
      <c r="CE244" s="837"/>
      <c r="CF244" s="128"/>
      <c r="CG244" s="128"/>
      <c r="CH244" s="128"/>
      <c r="CI244" s="128"/>
      <c r="CJ244" s="837"/>
      <c r="CK244" s="128"/>
      <c r="CL244" s="128"/>
      <c r="CM244" s="128"/>
      <c r="CN244" s="128"/>
      <c r="CO244" s="837"/>
      <c r="CP244" s="128"/>
      <c r="CQ244" s="128"/>
      <c r="CR244" s="128"/>
      <c r="CS244" s="128"/>
      <c r="CT244" s="836"/>
      <c r="CU244" s="128"/>
      <c r="CV244" s="128"/>
      <c r="CW244" s="128"/>
      <c r="CX244" s="128"/>
      <c r="CY244" s="836"/>
      <c r="CZ244" s="129"/>
      <c r="DA244" s="128"/>
      <c r="DB244" s="129"/>
      <c r="DC244" s="128"/>
      <c r="DD244" s="836"/>
      <c r="DE244" s="129"/>
      <c r="DF244" s="128"/>
      <c r="DG244" s="129"/>
      <c r="DH244" s="128"/>
      <c r="DI244" s="836"/>
      <c r="DJ244" s="129"/>
      <c r="DK244" s="129"/>
      <c r="DL244" s="129"/>
      <c r="DM244" s="128"/>
      <c r="DN244" s="836"/>
      <c r="DO244" s="128"/>
      <c r="DP244" s="128"/>
      <c r="DQ244" s="129"/>
      <c r="DR244" s="129"/>
      <c r="DS244" s="836"/>
      <c r="DT244" s="129"/>
      <c r="DU244" s="129"/>
      <c r="DV244" s="129"/>
      <c r="DW244" s="129"/>
      <c r="DX244" s="836"/>
      <c r="DY244" s="129"/>
      <c r="DZ244" s="129"/>
      <c r="EA244" s="129"/>
      <c r="EB244" s="129"/>
      <c r="EC244" s="836"/>
      <c r="ED244" s="129"/>
      <c r="EE244" s="129"/>
      <c r="EF244" s="129"/>
      <c r="EG244" s="129"/>
      <c r="EH244" s="836"/>
      <c r="EI244" s="134"/>
      <c r="EJ244" s="128"/>
      <c r="EK244" s="128"/>
      <c r="EL244" s="128"/>
      <c r="EM244" s="836"/>
      <c r="EN244" s="128"/>
      <c r="EO244" s="128"/>
      <c r="EP244" s="128"/>
      <c r="EQ244" s="128"/>
      <c r="ER244" s="836"/>
      <c r="ES244" s="128"/>
      <c r="ET244" s="128"/>
      <c r="EU244" s="128"/>
      <c r="EV244" s="128"/>
      <c r="EW244" s="836"/>
      <c r="EX244" s="128"/>
      <c r="EY244" s="128"/>
      <c r="EZ244" s="128"/>
      <c r="FA244" s="128"/>
      <c r="FB244" s="836"/>
      <c r="FC244" s="128"/>
      <c r="FD244" s="128"/>
      <c r="FE244" s="128"/>
      <c r="FF244" s="128"/>
      <c r="FG244" s="836"/>
    </row>
    <row r="245" ht="12.75" customHeight="1">
      <c r="A245" s="128"/>
      <c r="B245" s="179"/>
      <c r="C245" s="179"/>
      <c r="D245" s="179"/>
      <c r="E245" s="179"/>
      <c r="F245" s="179"/>
      <c r="G245" s="179"/>
      <c r="H245" s="179"/>
      <c r="I245" s="179"/>
      <c r="J245" s="179"/>
      <c r="K245" s="179"/>
      <c r="L245" s="179"/>
      <c r="M245" s="179"/>
      <c r="N245" s="179"/>
      <c r="O245" s="179"/>
      <c r="P245" s="179"/>
      <c r="Q245" s="179"/>
      <c r="R245" s="57"/>
      <c r="S245" s="179"/>
      <c r="T245" s="179"/>
      <c r="U245" s="179"/>
      <c r="V245" s="179"/>
      <c r="W245" s="785"/>
      <c r="X245" s="128"/>
      <c r="Y245" s="128"/>
      <c r="Z245" s="128"/>
      <c r="AA245" s="128"/>
      <c r="AB245" s="837"/>
      <c r="AC245" s="128"/>
      <c r="AD245" s="128"/>
      <c r="AE245" s="128"/>
      <c r="AF245" s="128"/>
      <c r="AG245" s="837"/>
      <c r="AH245" s="128"/>
      <c r="AI245" s="128"/>
      <c r="AJ245" s="128"/>
      <c r="AK245" s="128"/>
      <c r="AL245" s="837"/>
      <c r="AM245" s="128"/>
      <c r="AN245" s="128"/>
      <c r="AO245" s="128"/>
      <c r="AP245" s="128"/>
      <c r="AQ245" s="837"/>
      <c r="AR245" s="128"/>
      <c r="AS245" s="128"/>
      <c r="AT245" s="128"/>
      <c r="AU245" s="128"/>
      <c r="AV245" s="837"/>
      <c r="AW245" s="128"/>
      <c r="AX245" s="128"/>
      <c r="AY245" s="128"/>
      <c r="AZ245" s="128"/>
      <c r="BA245" s="837"/>
      <c r="BB245" s="128"/>
      <c r="BC245" s="128"/>
      <c r="BD245" s="128"/>
      <c r="BE245" s="128"/>
      <c r="BF245" s="837"/>
      <c r="BG245" s="128"/>
      <c r="BH245" s="128"/>
      <c r="BI245" s="128"/>
      <c r="BJ245" s="128"/>
      <c r="BK245" s="837"/>
      <c r="BL245" s="128"/>
      <c r="BM245" s="128"/>
      <c r="BN245" s="128"/>
      <c r="BO245" s="128"/>
      <c r="BP245" s="837"/>
      <c r="BQ245" s="128"/>
      <c r="BR245" s="128"/>
      <c r="BS245" s="128"/>
      <c r="BT245" s="128"/>
      <c r="BU245" s="837"/>
      <c r="BV245" s="128"/>
      <c r="BW245" s="128"/>
      <c r="BX245" s="128"/>
      <c r="BY245" s="128"/>
      <c r="BZ245" s="837"/>
      <c r="CA245" s="128"/>
      <c r="CB245" s="128"/>
      <c r="CC245" s="128"/>
      <c r="CD245" s="128"/>
      <c r="CE245" s="837"/>
      <c r="CF245" s="128"/>
      <c r="CG245" s="128"/>
      <c r="CH245" s="128"/>
      <c r="CI245" s="128"/>
      <c r="CJ245" s="837"/>
      <c r="CK245" s="128"/>
      <c r="CL245" s="128"/>
      <c r="CM245" s="128"/>
      <c r="CN245" s="128"/>
      <c r="CO245" s="837"/>
      <c r="CP245" s="128"/>
      <c r="CQ245" s="128"/>
      <c r="CR245" s="128"/>
      <c r="CS245" s="128"/>
      <c r="CT245" s="836"/>
      <c r="CU245" s="128"/>
      <c r="CV245" s="128"/>
      <c r="CW245" s="128"/>
      <c r="CX245" s="128"/>
      <c r="CY245" s="836"/>
      <c r="CZ245" s="129"/>
      <c r="DA245" s="128"/>
      <c r="DB245" s="129"/>
      <c r="DC245" s="128"/>
      <c r="DD245" s="836"/>
      <c r="DE245" s="129"/>
      <c r="DF245" s="128"/>
      <c r="DG245" s="129"/>
      <c r="DH245" s="128"/>
      <c r="DI245" s="836"/>
      <c r="DJ245" s="129"/>
      <c r="DK245" s="129"/>
      <c r="DL245" s="129"/>
      <c r="DM245" s="128"/>
      <c r="DN245" s="836"/>
      <c r="DO245" s="128"/>
      <c r="DP245" s="128"/>
      <c r="DQ245" s="129"/>
      <c r="DR245" s="129"/>
      <c r="DS245" s="836"/>
      <c r="DT245" s="129"/>
      <c r="DU245" s="129"/>
      <c r="DV245" s="129"/>
      <c r="DW245" s="129"/>
      <c r="DX245" s="836"/>
      <c r="DY245" s="129"/>
      <c r="DZ245" s="129"/>
      <c r="EA245" s="129"/>
      <c r="EB245" s="129"/>
      <c r="EC245" s="836"/>
      <c r="ED245" s="129"/>
      <c r="EE245" s="129"/>
      <c r="EF245" s="129"/>
      <c r="EG245" s="129"/>
      <c r="EH245" s="836"/>
      <c r="EI245" s="134"/>
      <c r="EJ245" s="128"/>
      <c r="EK245" s="128"/>
      <c r="EL245" s="128"/>
      <c r="EM245" s="836"/>
      <c r="EN245" s="128"/>
      <c r="EO245" s="128"/>
      <c r="EP245" s="128"/>
      <c r="EQ245" s="128"/>
      <c r="ER245" s="836"/>
      <c r="ES245" s="128"/>
      <c r="ET245" s="128"/>
      <c r="EU245" s="128"/>
      <c r="EV245" s="128"/>
      <c r="EW245" s="836"/>
      <c r="EX245" s="128"/>
      <c r="EY245" s="128"/>
      <c r="EZ245" s="128"/>
      <c r="FA245" s="128"/>
      <c r="FB245" s="836"/>
      <c r="FC245" s="128"/>
      <c r="FD245" s="128"/>
      <c r="FE245" s="128"/>
      <c r="FF245" s="128"/>
      <c r="FG245" s="836"/>
    </row>
    <row r="246" ht="12.75" customHeight="1">
      <c r="A246" s="128"/>
      <c r="B246" s="179"/>
      <c r="C246" s="179"/>
      <c r="D246" s="179"/>
      <c r="E246" s="179"/>
      <c r="F246" s="179"/>
      <c r="G246" s="179"/>
      <c r="H246" s="179"/>
      <c r="I246" s="179"/>
      <c r="J246" s="179"/>
      <c r="K246" s="179"/>
      <c r="L246" s="179"/>
      <c r="M246" s="179"/>
      <c r="N246" s="179"/>
      <c r="O246" s="179"/>
      <c r="P246" s="179"/>
      <c r="Q246" s="179"/>
      <c r="R246" s="57"/>
      <c r="S246" s="179"/>
      <c r="T246" s="179"/>
      <c r="U246" s="179"/>
      <c r="V246" s="179"/>
      <c r="W246" s="785"/>
      <c r="X246" s="128"/>
      <c r="Y246" s="128"/>
      <c r="Z246" s="128"/>
      <c r="AA246" s="128"/>
      <c r="AB246" s="837"/>
      <c r="AC246" s="128"/>
      <c r="AD246" s="128"/>
      <c r="AE246" s="128"/>
      <c r="AF246" s="128"/>
      <c r="AG246" s="837"/>
      <c r="AH246" s="128"/>
      <c r="AI246" s="128"/>
      <c r="AJ246" s="128"/>
      <c r="AK246" s="128"/>
      <c r="AL246" s="837"/>
      <c r="AM246" s="128"/>
      <c r="AN246" s="128"/>
      <c r="AO246" s="128"/>
      <c r="AP246" s="128"/>
      <c r="AQ246" s="837"/>
      <c r="AR246" s="128"/>
      <c r="AS246" s="128"/>
      <c r="AT246" s="128"/>
      <c r="AU246" s="128"/>
      <c r="AV246" s="837"/>
      <c r="AW246" s="128"/>
      <c r="AX246" s="128"/>
      <c r="AY246" s="128"/>
      <c r="AZ246" s="128"/>
      <c r="BA246" s="837"/>
      <c r="BB246" s="128"/>
      <c r="BC246" s="128"/>
      <c r="BD246" s="128"/>
      <c r="BE246" s="128"/>
      <c r="BF246" s="837"/>
      <c r="BG246" s="128"/>
      <c r="BH246" s="128"/>
      <c r="BI246" s="128"/>
      <c r="BJ246" s="128"/>
      <c r="BK246" s="837"/>
      <c r="BL246" s="128"/>
      <c r="BM246" s="128"/>
      <c r="BN246" s="128"/>
      <c r="BO246" s="128"/>
      <c r="BP246" s="837"/>
      <c r="BQ246" s="128"/>
      <c r="BR246" s="128"/>
      <c r="BS246" s="128"/>
      <c r="BT246" s="128"/>
      <c r="BU246" s="837"/>
      <c r="BV246" s="128"/>
      <c r="BW246" s="128"/>
      <c r="BX246" s="128"/>
      <c r="BY246" s="128"/>
      <c r="BZ246" s="837"/>
      <c r="CA246" s="128"/>
      <c r="CB246" s="128"/>
      <c r="CC246" s="128"/>
      <c r="CD246" s="128"/>
      <c r="CE246" s="837"/>
      <c r="CF246" s="128"/>
      <c r="CG246" s="128"/>
      <c r="CH246" s="128"/>
      <c r="CI246" s="128"/>
      <c r="CJ246" s="837"/>
      <c r="CK246" s="128"/>
      <c r="CL246" s="128"/>
      <c r="CM246" s="128"/>
      <c r="CN246" s="128"/>
      <c r="CO246" s="837"/>
      <c r="CP246" s="128"/>
      <c r="CQ246" s="128"/>
      <c r="CR246" s="128"/>
      <c r="CS246" s="128"/>
      <c r="CT246" s="836"/>
      <c r="CU246" s="128"/>
      <c r="CV246" s="128"/>
      <c r="CW246" s="128"/>
      <c r="CX246" s="128"/>
      <c r="CY246" s="836"/>
      <c r="CZ246" s="129"/>
      <c r="DA246" s="128"/>
      <c r="DB246" s="129"/>
      <c r="DC246" s="128"/>
      <c r="DD246" s="836"/>
      <c r="DE246" s="129"/>
      <c r="DF246" s="128"/>
      <c r="DG246" s="129"/>
      <c r="DH246" s="128"/>
      <c r="DI246" s="836"/>
      <c r="DJ246" s="129"/>
      <c r="DK246" s="129"/>
      <c r="DL246" s="129"/>
      <c r="DM246" s="128"/>
      <c r="DN246" s="836"/>
      <c r="DO246" s="128"/>
      <c r="DP246" s="128"/>
      <c r="DQ246" s="129"/>
      <c r="DR246" s="129"/>
      <c r="DS246" s="836"/>
      <c r="DT246" s="129"/>
      <c r="DU246" s="129"/>
      <c r="DV246" s="129"/>
      <c r="DW246" s="129"/>
      <c r="DX246" s="836"/>
      <c r="DY246" s="129"/>
      <c r="DZ246" s="129"/>
      <c r="EA246" s="129"/>
      <c r="EB246" s="129"/>
      <c r="EC246" s="836"/>
      <c r="ED246" s="129"/>
      <c r="EE246" s="129"/>
      <c r="EF246" s="129"/>
      <c r="EG246" s="129"/>
      <c r="EH246" s="836"/>
      <c r="EI246" s="134"/>
      <c r="EJ246" s="128"/>
      <c r="EK246" s="128"/>
      <c r="EL246" s="128"/>
      <c r="EM246" s="836"/>
      <c r="EN246" s="128"/>
      <c r="EO246" s="128"/>
      <c r="EP246" s="128"/>
      <c r="EQ246" s="128"/>
      <c r="ER246" s="836"/>
      <c r="ES246" s="128"/>
      <c r="ET246" s="128"/>
      <c r="EU246" s="128"/>
      <c r="EV246" s="128"/>
      <c r="EW246" s="836"/>
      <c r="EX246" s="128"/>
      <c r="EY246" s="128"/>
      <c r="EZ246" s="128"/>
      <c r="FA246" s="128"/>
      <c r="FB246" s="836"/>
      <c r="FC246" s="128"/>
      <c r="FD246" s="128"/>
      <c r="FE246" s="128"/>
      <c r="FF246" s="128"/>
      <c r="FG246" s="836"/>
    </row>
    <row r="247" ht="12.75" customHeight="1">
      <c r="A247" s="128"/>
      <c r="B247" s="179"/>
      <c r="C247" s="179"/>
      <c r="D247" s="179"/>
      <c r="E247" s="179"/>
      <c r="F247" s="179"/>
      <c r="G247" s="179"/>
      <c r="H247" s="179"/>
      <c r="I247" s="179"/>
      <c r="J247" s="179"/>
      <c r="K247" s="179"/>
      <c r="L247" s="179"/>
      <c r="M247" s="179"/>
      <c r="N247" s="179"/>
      <c r="O247" s="179"/>
      <c r="P247" s="179"/>
      <c r="Q247" s="179"/>
      <c r="R247" s="57"/>
      <c r="S247" s="179"/>
      <c r="T247" s="179"/>
      <c r="U247" s="179"/>
      <c r="V247" s="179"/>
      <c r="W247" s="785"/>
      <c r="X247" s="128"/>
      <c r="Y247" s="128"/>
      <c r="Z247" s="128"/>
      <c r="AA247" s="128"/>
      <c r="AB247" s="837"/>
      <c r="AC247" s="128"/>
      <c r="AD247" s="128"/>
      <c r="AE247" s="128"/>
      <c r="AF247" s="128"/>
      <c r="AG247" s="837"/>
      <c r="AH247" s="128"/>
      <c r="AI247" s="128"/>
      <c r="AJ247" s="128"/>
      <c r="AK247" s="128"/>
      <c r="AL247" s="837"/>
      <c r="AM247" s="128"/>
      <c r="AN247" s="128"/>
      <c r="AO247" s="128"/>
      <c r="AP247" s="128"/>
      <c r="AQ247" s="837"/>
      <c r="AR247" s="128"/>
      <c r="AS247" s="128"/>
      <c r="AT247" s="128"/>
      <c r="AU247" s="128"/>
      <c r="AV247" s="837"/>
      <c r="AW247" s="128"/>
      <c r="AX247" s="128"/>
      <c r="AY247" s="128"/>
      <c r="AZ247" s="128"/>
      <c r="BA247" s="837"/>
      <c r="BB247" s="128"/>
      <c r="BC247" s="128"/>
      <c r="BD247" s="128"/>
      <c r="BE247" s="128"/>
      <c r="BF247" s="837"/>
      <c r="BG247" s="128"/>
      <c r="BH247" s="128"/>
      <c r="BI247" s="128"/>
      <c r="BJ247" s="128"/>
      <c r="BK247" s="837"/>
      <c r="BL247" s="128"/>
      <c r="BM247" s="128"/>
      <c r="BN247" s="128"/>
      <c r="BO247" s="128"/>
      <c r="BP247" s="837"/>
      <c r="BQ247" s="128"/>
      <c r="BR247" s="128"/>
      <c r="BS247" s="128"/>
      <c r="BT247" s="128"/>
      <c r="BU247" s="837"/>
      <c r="BV247" s="128"/>
      <c r="BW247" s="128"/>
      <c r="BX247" s="128"/>
      <c r="BY247" s="128"/>
      <c r="BZ247" s="837"/>
      <c r="CA247" s="128"/>
      <c r="CB247" s="128"/>
      <c r="CC247" s="128"/>
      <c r="CD247" s="128"/>
      <c r="CE247" s="837"/>
      <c r="CF247" s="128"/>
      <c r="CG247" s="128"/>
      <c r="CH247" s="128"/>
      <c r="CI247" s="128"/>
      <c r="CJ247" s="837"/>
      <c r="CK247" s="128"/>
      <c r="CL247" s="128"/>
      <c r="CM247" s="128"/>
      <c r="CN247" s="128"/>
      <c r="CO247" s="837"/>
      <c r="CP247" s="128"/>
      <c r="CQ247" s="128"/>
      <c r="CR247" s="128"/>
      <c r="CS247" s="128"/>
      <c r="CT247" s="836"/>
      <c r="CU247" s="128"/>
      <c r="CV247" s="128"/>
      <c r="CW247" s="128"/>
      <c r="CX247" s="128"/>
      <c r="CY247" s="836"/>
      <c r="CZ247" s="129"/>
      <c r="DA247" s="128"/>
      <c r="DB247" s="129"/>
      <c r="DC247" s="128"/>
      <c r="DD247" s="836"/>
      <c r="DE247" s="129"/>
      <c r="DF247" s="128"/>
      <c r="DG247" s="129"/>
      <c r="DH247" s="128"/>
      <c r="DI247" s="836"/>
      <c r="DJ247" s="129"/>
      <c r="DK247" s="129"/>
      <c r="DL247" s="129"/>
      <c r="DM247" s="128"/>
      <c r="DN247" s="836"/>
      <c r="DO247" s="128"/>
      <c r="DP247" s="128"/>
      <c r="DQ247" s="129"/>
      <c r="DR247" s="129"/>
      <c r="DS247" s="836"/>
      <c r="DT247" s="129"/>
      <c r="DU247" s="129"/>
      <c r="DV247" s="129"/>
      <c r="DW247" s="129"/>
      <c r="DX247" s="836"/>
      <c r="DY247" s="129"/>
      <c r="DZ247" s="129"/>
      <c r="EA247" s="129"/>
      <c r="EB247" s="129"/>
      <c r="EC247" s="836"/>
      <c r="ED247" s="129"/>
      <c r="EE247" s="129"/>
      <c r="EF247" s="129"/>
      <c r="EG247" s="129"/>
      <c r="EH247" s="836"/>
      <c r="EI247" s="134"/>
      <c r="EJ247" s="128"/>
      <c r="EK247" s="128"/>
      <c r="EL247" s="128"/>
      <c r="EM247" s="836"/>
      <c r="EN247" s="128"/>
      <c r="EO247" s="128"/>
      <c r="EP247" s="128"/>
      <c r="EQ247" s="128"/>
      <c r="ER247" s="836"/>
      <c r="ES247" s="128"/>
      <c r="ET247" s="128"/>
      <c r="EU247" s="128"/>
      <c r="EV247" s="128"/>
      <c r="EW247" s="836"/>
      <c r="EX247" s="128"/>
      <c r="EY247" s="128"/>
      <c r="EZ247" s="128"/>
      <c r="FA247" s="128"/>
      <c r="FB247" s="836"/>
      <c r="FC247" s="128"/>
      <c r="FD247" s="128"/>
      <c r="FE247" s="128"/>
      <c r="FF247" s="128"/>
      <c r="FG247" s="836"/>
    </row>
    <row r="248" ht="12.75" customHeight="1">
      <c r="A248" s="128"/>
      <c r="B248" s="179"/>
      <c r="C248" s="179"/>
      <c r="D248" s="179"/>
      <c r="E248" s="179"/>
      <c r="F248" s="179"/>
      <c r="G248" s="179"/>
      <c r="H248" s="179"/>
      <c r="I248" s="179"/>
      <c r="J248" s="179"/>
      <c r="K248" s="179"/>
      <c r="L248" s="179"/>
      <c r="M248" s="179"/>
      <c r="N248" s="179"/>
      <c r="O248" s="179"/>
      <c r="P248" s="179"/>
      <c r="Q248" s="179"/>
      <c r="R248" s="57"/>
      <c r="S248" s="179"/>
      <c r="T248" s="179"/>
      <c r="U248" s="179"/>
      <c r="V248" s="179"/>
      <c r="W248" s="785"/>
      <c r="X248" s="128"/>
      <c r="Y248" s="128"/>
      <c r="Z248" s="128"/>
      <c r="AA248" s="128"/>
      <c r="AB248" s="837"/>
      <c r="AC248" s="128"/>
      <c r="AD248" s="128"/>
      <c r="AE248" s="128"/>
      <c r="AF248" s="128"/>
      <c r="AG248" s="837"/>
      <c r="AH248" s="128"/>
      <c r="AI248" s="128"/>
      <c r="AJ248" s="128"/>
      <c r="AK248" s="128"/>
      <c r="AL248" s="837"/>
      <c r="AM248" s="128"/>
      <c r="AN248" s="128"/>
      <c r="AO248" s="128"/>
      <c r="AP248" s="128"/>
      <c r="AQ248" s="837"/>
      <c r="AR248" s="128"/>
      <c r="AS248" s="128"/>
      <c r="AT248" s="128"/>
      <c r="AU248" s="128"/>
      <c r="AV248" s="837"/>
      <c r="AW248" s="128"/>
      <c r="AX248" s="128"/>
      <c r="AY248" s="128"/>
      <c r="AZ248" s="128"/>
      <c r="BA248" s="837"/>
      <c r="BB248" s="128"/>
      <c r="BC248" s="128"/>
      <c r="BD248" s="128"/>
      <c r="BE248" s="128"/>
      <c r="BF248" s="837"/>
      <c r="BG248" s="128"/>
      <c r="BH248" s="128"/>
      <c r="BI248" s="128"/>
      <c r="BJ248" s="128"/>
      <c r="BK248" s="837"/>
      <c r="BL248" s="128"/>
      <c r="BM248" s="128"/>
      <c r="BN248" s="128"/>
      <c r="BO248" s="128"/>
      <c r="BP248" s="837"/>
      <c r="BQ248" s="128"/>
      <c r="BR248" s="128"/>
      <c r="BS248" s="128"/>
      <c r="BT248" s="128"/>
      <c r="BU248" s="837"/>
      <c r="BV248" s="128"/>
      <c r="BW248" s="128"/>
      <c r="BX248" s="128"/>
      <c r="BY248" s="128"/>
      <c r="BZ248" s="837"/>
      <c r="CA248" s="128"/>
      <c r="CB248" s="128"/>
      <c r="CC248" s="128"/>
      <c r="CD248" s="128"/>
      <c r="CE248" s="837"/>
      <c r="CF248" s="128"/>
      <c r="CG248" s="128"/>
      <c r="CH248" s="128"/>
      <c r="CI248" s="128"/>
      <c r="CJ248" s="837"/>
      <c r="CK248" s="128"/>
      <c r="CL248" s="128"/>
      <c r="CM248" s="128"/>
      <c r="CN248" s="128"/>
      <c r="CO248" s="837"/>
      <c r="CP248" s="128"/>
      <c r="CQ248" s="128"/>
      <c r="CR248" s="128"/>
      <c r="CS248" s="128"/>
      <c r="CT248" s="836"/>
      <c r="CU248" s="128"/>
      <c r="CV248" s="128"/>
      <c r="CW248" s="128"/>
      <c r="CX248" s="128"/>
      <c r="CY248" s="836"/>
      <c r="CZ248" s="129"/>
      <c r="DA248" s="128"/>
      <c r="DB248" s="129"/>
      <c r="DC248" s="128"/>
      <c r="DD248" s="836"/>
      <c r="DE248" s="129"/>
      <c r="DF248" s="128"/>
      <c r="DG248" s="129"/>
      <c r="DH248" s="128"/>
      <c r="DI248" s="836"/>
      <c r="DJ248" s="129"/>
      <c r="DK248" s="129"/>
      <c r="DL248" s="129"/>
      <c r="DM248" s="128"/>
      <c r="DN248" s="836"/>
      <c r="DO248" s="128"/>
      <c r="DP248" s="128"/>
      <c r="DQ248" s="129"/>
      <c r="DR248" s="129"/>
      <c r="DS248" s="836"/>
      <c r="DT248" s="129"/>
      <c r="DU248" s="129"/>
      <c r="DV248" s="129"/>
      <c r="DW248" s="129"/>
      <c r="DX248" s="836"/>
      <c r="DY248" s="129"/>
      <c r="DZ248" s="129"/>
      <c r="EA248" s="129"/>
      <c r="EB248" s="129"/>
      <c r="EC248" s="836"/>
      <c r="ED248" s="129"/>
      <c r="EE248" s="129"/>
      <c r="EF248" s="129"/>
      <c r="EG248" s="129"/>
      <c r="EH248" s="836"/>
      <c r="EI248" s="134"/>
      <c r="EJ248" s="128"/>
      <c r="EK248" s="128"/>
      <c r="EL248" s="128"/>
      <c r="EM248" s="836"/>
      <c r="EN248" s="128"/>
      <c r="EO248" s="128"/>
      <c r="EP248" s="128"/>
      <c r="EQ248" s="128"/>
      <c r="ER248" s="836"/>
      <c r="ES248" s="128"/>
      <c r="ET248" s="128"/>
      <c r="EU248" s="128"/>
      <c r="EV248" s="128"/>
      <c r="EW248" s="836"/>
      <c r="EX248" s="128"/>
      <c r="EY248" s="128"/>
      <c r="EZ248" s="128"/>
      <c r="FA248" s="128"/>
      <c r="FB248" s="836"/>
      <c r="FC248" s="128"/>
      <c r="FD248" s="128"/>
      <c r="FE248" s="128"/>
      <c r="FF248" s="128"/>
      <c r="FG248" s="836"/>
    </row>
    <row r="249" ht="12.75" customHeight="1">
      <c r="A249" s="128"/>
      <c r="B249" s="179"/>
      <c r="C249" s="179"/>
      <c r="D249" s="179"/>
      <c r="E249" s="179"/>
      <c r="F249" s="179"/>
      <c r="G249" s="179"/>
      <c r="H249" s="179"/>
      <c r="I249" s="179"/>
      <c r="J249" s="179"/>
      <c r="K249" s="179"/>
      <c r="L249" s="179"/>
      <c r="M249" s="179"/>
      <c r="N249" s="179"/>
      <c r="O249" s="179"/>
      <c r="P249" s="179"/>
      <c r="Q249" s="179"/>
      <c r="R249" s="57"/>
      <c r="S249" s="179"/>
      <c r="T249" s="179"/>
      <c r="U249" s="179"/>
      <c r="V249" s="179"/>
      <c r="W249" s="785"/>
      <c r="X249" s="128"/>
      <c r="Y249" s="128"/>
      <c r="Z249" s="128"/>
      <c r="AA249" s="128"/>
      <c r="AB249" s="837"/>
      <c r="AC249" s="128"/>
      <c r="AD249" s="128"/>
      <c r="AE249" s="128"/>
      <c r="AF249" s="128"/>
      <c r="AG249" s="837"/>
      <c r="AH249" s="128"/>
      <c r="AI249" s="128"/>
      <c r="AJ249" s="128"/>
      <c r="AK249" s="128"/>
      <c r="AL249" s="837"/>
      <c r="AM249" s="128"/>
      <c r="AN249" s="128"/>
      <c r="AO249" s="128"/>
      <c r="AP249" s="128"/>
      <c r="AQ249" s="837"/>
      <c r="AR249" s="128"/>
      <c r="AS249" s="128"/>
      <c r="AT249" s="128"/>
      <c r="AU249" s="128"/>
      <c r="AV249" s="837"/>
      <c r="AW249" s="128">
        <f>AU249*0.9</f>
        <v>0</v>
      </c>
      <c r="AX249" s="128">
        <f>AW249*1.1</f>
        <v>0</v>
      </c>
      <c r="AY249" s="128"/>
      <c r="AZ249" s="128"/>
      <c r="BA249" s="837"/>
      <c r="BB249" s="128">
        <f>AZ249*1.18</f>
        <v>0</v>
      </c>
      <c r="BC249" s="128">
        <f>BB249*1.08</f>
        <v>0</v>
      </c>
      <c r="BD249" s="128"/>
      <c r="BE249" s="128"/>
      <c r="BF249" s="837"/>
      <c r="BG249" s="128"/>
      <c r="BH249" s="128"/>
      <c r="BI249" s="128"/>
      <c r="BJ249" s="128"/>
      <c r="BK249" s="837"/>
      <c r="BL249" s="128"/>
      <c r="BM249" s="128"/>
      <c r="BN249" s="128"/>
      <c r="BO249" s="128"/>
      <c r="BP249" s="837"/>
      <c r="BQ249" s="128"/>
      <c r="BR249" s="128"/>
      <c r="BS249" s="128"/>
      <c r="BT249" s="128"/>
      <c r="BU249" s="837"/>
      <c r="BV249" s="128"/>
      <c r="BW249" s="128"/>
      <c r="BX249" s="128"/>
      <c r="BY249" s="128"/>
      <c r="BZ249" s="837"/>
      <c r="CA249" s="128"/>
      <c r="CB249" s="128"/>
      <c r="CC249" s="128"/>
      <c r="CD249" s="128"/>
      <c r="CE249" s="837"/>
      <c r="CF249" s="128"/>
      <c r="CG249" s="128"/>
      <c r="CH249" s="128"/>
      <c r="CI249" s="128"/>
      <c r="CJ249" s="837"/>
      <c r="CK249" s="128"/>
      <c r="CL249" s="128"/>
      <c r="CM249" s="128"/>
      <c r="CN249" s="128"/>
      <c r="CO249" s="837"/>
      <c r="CP249" s="128"/>
      <c r="CQ249" s="128"/>
      <c r="CR249" s="128"/>
      <c r="CS249" s="128"/>
      <c r="CT249" s="836"/>
      <c r="CU249" s="128"/>
      <c r="CV249" s="128"/>
      <c r="CW249" s="128"/>
      <c r="CX249" s="128"/>
      <c r="CY249" s="836"/>
      <c r="CZ249" s="129"/>
      <c r="DA249" s="128"/>
      <c r="DB249" s="129"/>
      <c r="DC249" s="128"/>
      <c r="DD249" s="836"/>
      <c r="DE249" s="129"/>
      <c r="DF249" s="128"/>
      <c r="DG249" s="129"/>
      <c r="DH249" s="128"/>
      <c r="DI249" s="836"/>
      <c r="DJ249" s="129"/>
      <c r="DK249" s="129"/>
      <c r="DL249" s="129"/>
      <c r="DM249" s="128"/>
      <c r="DN249" s="836"/>
      <c r="DO249" s="128"/>
      <c r="DP249" s="128"/>
      <c r="DQ249" s="129"/>
      <c r="DR249" s="129"/>
      <c r="DS249" s="836"/>
      <c r="DT249" s="129"/>
      <c r="DU249" s="129"/>
      <c r="DV249" s="129"/>
      <c r="DW249" s="129"/>
      <c r="DX249" s="836"/>
      <c r="DY249" s="129"/>
      <c r="DZ249" s="129"/>
      <c r="EA249" s="129"/>
      <c r="EB249" s="129"/>
      <c r="EC249" s="836"/>
      <c r="ED249" s="129"/>
      <c r="EE249" s="129"/>
      <c r="EF249" s="129"/>
      <c r="EG249" s="129"/>
      <c r="EH249" s="836"/>
      <c r="EI249" s="134"/>
      <c r="EJ249" s="128"/>
      <c r="EK249" s="128"/>
      <c r="EL249" s="128"/>
      <c r="EM249" s="836"/>
      <c r="EN249" s="128"/>
      <c r="EO249" s="128"/>
      <c r="EP249" s="128"/>
      <c r="EQ249" s="128"/>
      <c r="ER249" s="836"/>
      <c r="ES249" s="128"/>
      <c r="ET249" s="128"/>
      <c r="EU249" s="128"/>
      <c r="EV249" s="128"/>
      <c r="EW249" s="836"/>
      <c r="EX249" s="128"/>
      <c r="EY249" s="128"/>
      <c r="EZ249" s="128"/>
      <c r="FA249" s="128"/>
      <c r="FB249" s="836"/>
      <c r="FC249" s="128"/>
      <c r="FD249" s="128"/>
      <c r="FE249" s="128"/>
      <c r="FF249" s="128"/>
      <c r="FG249" s="836"/>
    </row>
    <row r="250" ht="12.75" customHeight="1">
      <c r="A250" s="128"/>
      <c r="B250" s="179"/>
      <c r="C250" s="179"/>
      <c r="D250" s="179"/>
      <c r="E250" s="179"/>
      <c r="F250" s="179"/>
      <c r="G250" s="179"/>
      <c r="H250" s="179"/>
      <c r="I250" s="179"/>
      <c r="J250" s="179"/>
      <c r="K250" s="179"/>
      <c r="L250" s="179"/>
      <c r="M250" s="179"/>
      <c r="N250" s="179"/>
      <c r="O250" s="179"/>
      <c r="P250" s="179"/>
      <c r="Q250" s="179"/>
      <c r="R250" s="57"/>
      <c r="S250" s="179"/>
      <c r="T250" s="179"/>
      <c r="U250" s="179"/>
      <c r="V250" s="179"/>
      <c r="W250" s="785"/>
      <c r="X250" s="128"/>
      <c r="Y250" s="128"/>
      <c r="Z250" s="128"/>
      <c r="AA250" s="128"/>
      <c r="AB250" s="837"/>
      <c r="AC250" s="128"/>
      <c r="AD250" s="128"/>
      <c r="AE250" s="128"/>
      <c r="AF250" s="128"/>
      <c r="AG250" s="837"/>
      <c r="AH250" s="128"/>
      <c r="AI250" s="128"/>
      <c r="AJ250" s="128"/>
      <c r="AK250" s="128"/>
      <c r="AL250" s="837"/>
      <c r="AM250" s="128"/>
      <c r="AN250" s="128"/>
      <c r="AO250" s="128"/>
      <c r="AP250" s="128"/>
      <c r="AQ250" s="837"/>
      <c r="AR250" s="128"/>
      <c r="AS250" s="128"/>
      <c r="AT250" s="128"/>
      <c r="AU250" s="128"/>
      <c r="AV250" s="837"/>
      <c r="AW250" s="128"/>
      <c r="AX250" s="128"/>
      <c r="AY250" s="128"/>
      <c r="AZ250" s="128"/>
      <c r="BA250" s="837"/>
      <c r="BB250" s="128"/>
      <c r="BC250" s="128"/>
      <c r="BD250" s="128"/>
      <c r="BE250" s="128"/>
      <c r="BF250" s="837"/>
      <c r="BG250" s="128"/>
      <c r="BH250" s="128"/>
      <c r="BI250" s="128"/>
      <c r="BJ250" s="128"/>
      <c r="BK250" s="837"/>
      <c r="BL250" s="128"/>
      <c r="BM250" s="128"/>
      <c r="BN250" s="128"/>
      <c r="BO250" s="128"/>
      <c r="BP250" s="837"/>
      <c r="BQ250" s="128"/>
      <c r="BR250" s="128"/>
      <c r="BS250" s="128"/>
      <c r="BT250" s="128"/>
      <c r="BU250" s="837"/>
      <c r="BV250" s="128"/>
      <c r="BW250" s="128"/>
      <c r="BX250" s="128"/>
      <c r="BY250" s="128"/>
      <c r="BZ250" s="837"/>
      <c r="CA250" s="128"/>
      <c r="CB250" s="128"/>
      <c r="CC250" s="128"/>
      <c r="CD250" s="128"/>
      <c r="CE250" s="837"/>
      <c r="CF250" s="128"/>
      <c r="CG250" s="128"/>
      <c r="CH250" s="128"/>
      <c r="CI250" s="128"/>
      <c r="CJ250" s="837"/>
      <c r="CK250" s="128"/>
      <c r="CL250" s="128"/>
      <c r="CM250" s="128"/>
      <c r="CN250" s="128"/>
      <c r="CO250" s="837"/>
      <c r="CP250" s="128"/>
      <c r="CQ250" s="128"/>
      <c r="CR250" s="128"/>
      <c r="CS250" s="128"/>
      <c r="CT250" s="836"/>
      <c r="CU250" s="128"/>
      <c r="CV250" s="128"/>
      <c r="CW250" s="128"/>
      <c r="CX250" s="128"/>
      <c r="CY250" s="836"/>
      <c r="CZ250" s="129"/>
      <c r="DA250" s="128"/>
      <c r="DB250" s="129"/>
      <c r="DC250" s="128"/>
      <c r="DD250" s="836"/>
      <c r="DE250" s="129"/>
      <c r="DF250" s="128"/>
      <c r="DG250" s="129"/>
      <c r="DH250" s="128"/>
      <c r="DI250" s="836"/>
      <c r="DJ250" s="129"/>
      <c r="DK250" s="129"/>
      <c r="DL250" s="129"/>
      <c r="DM250" s="128"/>
      <c r="DN250" s="836"/>
      <c r="DO250" s="128"/>
      <c r="DP250" s="128"/>
      <c r="DQ250" s="129"/>
      <c r="DR250" s="129"/>
      <c r="DS250" s="836"/>
      <c r="DT250" s="129"/>
      <c r="DU250" s="129"/>
      <c r="DV250" s="129"/>
      <c r="DW250" s="129"/>
      <c r="DX250" s="836"/>
      <c r="DY250" s="129"/>
      <c r="DZ250" s="129"/>
      <c r="EA250" s="129"/>
      <c r="EB250" s="129"/>
      <c r="EC250" s="836"/>
      <c r="ED250" s="129"/>
      <c r="EE250" s="129"/>
      <c r="EF250" s="129"/>
      <c r="EG250" s="129"/>
      <c r="EH250" s="836"/>
      <c r="EI250" s="134"/>
      <c r="EJ250" s="128"/>
      <c r="EK250" s="128"/>
      <c r="EL250" s="128"/>
      <c r="EM250" s="836"/>
      <c r="EN250" s="128"/>
      <c r="EO250" s="128"/>
      <c r="EP250" s="128"/>
      <c r="EQ250" s="128"/>
      <c r="ER250" s="836"/>
      <c r="ES250" s="128"/>
      <c r="ET250" s="128"/>
      <c r="EU250" s="128"/>
      <c r="EV250" s="128"/>
      <c r="EW250" s="836"/>
      <c r="EX250" s="128"/>
      <c r="EY250" s="128"/>
      <c r="EZ250" s="128"/>
      <c r="FA250" s="128"/>
      <c r="FB250" s="836"/>
      <c r="FC250" s="128"/>
      <c r="FD250" s="128"/>
      <c r="FE250" s="128"/>
      <c r="FF250" s="128"/>
      <c r="FG250" s="836"/>
    </row>
    <row r="251" ht="12.75" customHeight="1">
      <c r="A251" s="128"/>
      <c r="B251" s="179"/>
      <c r="C251" s="179"/>
      <c r="D251" s="179"/>
      <c r="E251" s="179"/>
      <c r="F251" s="179"/>
      <c r="G251" s="179"/>
      <c r="H251" s="179"/>
      <c r="I251" s="179"/>
      <c r="J251" s="179"/>
      <c r="K251" s="179"/>
      <c r="L251" s="179"/>
      <c r="M251" s="179"/>
      <c r="N251" s="179"/>
      <c r="O251" s="179"/>
      <c r="P251" s="179"/>
      <c r="Q251" s="179"/>
      <c r="R251" s="57"/>
      <c r="S251" s="179"/>
      <c r="T251" s="179"/>
      <c r="U251" s="179"/>
      <c r="V251" s="179"/>
      <c r="W251" s="785"/>
      <c r="X251" s="128"/>
      <c r="Y251" s="128"/>
      <c r="Z251" s="128"/>
      <c r="AA251" s="128"/>
      <c r="AB251" s="837"/>
      <c r="AC251" s="128"/>
      <c r="AD251" s="128"/>
      <c r="AE251" s="128"/>
      <c r="AF251" s="128"/>
      <c r="AG251" s="837"/>
      <c r="AH251" s="128"/>
      <c r="AI251" s="128"/>
      <c r="AJ251" s="128"/>
      <c r="AK251" s="128"/>
      <c r="AL251" s="837"/>
      <c r="AM251" s="128"/>
      <c r="AN251" s="128"/>
      <c r="AO251" s="128"/>
      <c r="AP251" s="128"/>
      <c r="AQ251" s="837"/>
      <c r="AR251" s="128"/>
      <c r="AS251" s="128"/>
      <c r="AT251" s="128"/>
      <c r="AU251" s="128"/>
      <c r="AV251" s="837"/>
      <c r="AW251" s="128"/>
      <c r="AX251" s="128"/>
      <c r="AY251" s="128"/>
      <c r="AZ251" s="128"/>
      <c r="BA251" s="837"/>
      <c r="BB251" s="128"/>
      <c r="BC251" s="128"/>
      <c r="BD251" s="128"/>
      <c r="BE251" s="128"/>
      <c r="BF251" s="837"/>
      <c r="BG251" s="128"/>
      <c r="BH251" s="128"/>
      <c r="BI251" s="128"/>
      <c r="BJ251" s="128"/>
      <c r="BK251" s="837"/>
      <c r="BL251" s="128"/>
      <c r="BM251" s="128"/>
      <c r="BN251" s="128"/>
      <c r="BO251" s="128"/>
      <c r="BP251" s="837"/>
      <c r="BQ251" s="128"/>
      <c r="BR251" s="128"/>
      <c r="BS251" s="128"/>
      <c r="BT251" s="128"/>
      <c r="BU251" s="837"/>
      <c r="BV251" s="128"/>
      <c r="BW251" s="128"/>
      <c r="BX251" s="128"/>
      <c r="BY251" s="128"/>
      <c r="BZ251" s="837"/>
      <c r="CA251" s="128"/>
      <c r="CB251" s="128"/>
      <c r="CC251" s="128"/>
      <c r="CD251" s="128"/>
      <c r="CE251" s="837"/>
      <c r="CF251" s="128"/>
      <c r="CG251" s="128"/>
      <c r="CH251" s="128"/>
      <c r="CI251" s="128"/>
      <c r="CJ251" s="837"/>
      <c r="CK251" s="128"/>
      <c r="CL251" s="128"/>
      <c r="CM251" s="128"/>
      <c r="CN251" s="128"/>
      <c r="CO251" s="837"/>
      <c r="CP251" s="128"/>
      <c r="CQ251" s="128"/>
      <c r="CR251" s="128"/>
      <c r="CS251" s="128"/>
      <c r="CT251" s="836"/>
      <c r="CU251" s="128"/>
      <c r="CV251" s="128"/>
      <c r="CW251" s="128"/>
      <c r="CX251" s="128"/>
      <c r="CY251" s="836"/>
      <c r="CZ251" s="129"/>
      <c r="DA251" s="128"/>
      <c r="DB251" s="129"/>
      <c r="DC251" s="128"/>
      <c r="DD251" s="836"/>
      <c r="DE251" s="129"/>
      <c r="DF251" s="128"/>
      <c r="DG251" s="129"/>
      <c r="DH251" s="128"/>
      <c r="DI251" s="836"/>
      <c r="DJ251" s="129"/>
      <c r="DK251" s="129"/>
      <c r="DL251" s="129"/>
      <c r="DM251" s="128"/>
      <c r="DN251" s="836"/>
      <c r="DO251" s="128"/>
      <c r="DP251" s="128"/>
      <c r="DQ251" s="129"/>
      <c r="DR251" s="129"/>
      <c r="DS251" s="836"/>
      <c r="DT251" s="129"/>
      <c r="DU251" s="129"/>
      <c r="DV251" s="129"/>
      <c r="DW251" s="129"/>
      <c r="DX251" s="836"/>
      <c r="DY251" s="129"/>
      <c r="DZ251" s="129"/>
      <c r="EA251" s="129"/>
      <c r="EB251" s="129"/>
      <c r="EC251" s="836"/>
      <c r="ED251" s="129"/>
      <c r="EE251" s="129"/>
      <c r="EF251" s="129"/>
      <c r="EG251" s="129"/>
      <c r="EH251" s="836"/>
      <c r="EI251" s="134"/>
      <c r="EJ251" s="128"/>
      <c r="EK251" s="128"/>
      <c r="EL251" s="128"/>
      <c r="EM251" s="836"/>
      <c r="EN251" s="128"/>
      <c r="EO251" s="128"/>
      <c r="EP251" s="128"/>
      <c r="EQ251" s="128"/>
      <c r="ER251" s="836"/>
      <c r="ES251" s="128"/>
      <c r="ET251" s="128"/>
      <c r="EU251" s="128"/>
      <c r="EV251" s="128"/>
      <c r="EW251" s="836"/>
      <c r="EX251" s="128"/>
      <c r="EY251" s="128"/>
      <c r="EZ251" s="128"/>
      <c r="FA251" s="128"/>
      <c r="FB251" s="836"/>
      <c r="FC251" s="128"/>
      <c r="FD251" s="128"/>
      <c r="FE251" s="128"/>
      <c r="FF251" s="128"/>
      <c r="FG251" s="836"/>
    </row>
    <row r="252" ht="12.75" customHeight="1">
      <c r="A252" s="128"/>
      <c r="B252" s="179"/>
      <c r="C252" s="179"/>
      <c r="D252" s="179"/>
      <c r="E252" s="179"/>
      <c r="F252" s="179"/>
      <c r="G252" s="179"/>
      <c r="H252" s="179"/>
      <c r="I252" s="179"/>
      <c r="J252" s="179"/>
      <c r="K252" s="179"/>
      <c r="L252" s="179"/>
      <c r="M252" s="179"/>
      <c r="N252" s="179"/>
      <c r="O252" s="179"/>
      <c r="P252" s="179"/>
      <c r="Q252" s="179"/>
      <c r="R252" s="57"/>
      <c r="S252" s="179"/>
      <c r="T252" s="179"/>
      <c r="U252" s="179"/>
      <c r="V252" s="179"/>
      <c r="W252" s="785"/>
      <c r="X252" s="128"/>
      <c r="Y252" s="128"/>
      <c r="Z252" s="128"/>
      <c r="AA252" s="128"/>
      <c r="AB252" s="837"/>
      <c r="AC252" s="128"/>
      <c r="AD252" s="128"/>
      <c r="AE252" s="128"/>
      <c r="AF252" s="128"/>
      <c r="AG252" s="837"/>
      <c r="AH252" s="128"/>
      <c r="AI252" s="128"/>
      <c r="AJ252" s="128"/>
      <c r="AK252" s="128"/>
      <c r="AL252" s="837"/>
      <c r="AM252" s="128"/>
      <c r="AN252" s="128"/>
      <c r="AO252" s="128"/>
      <c r="AP252" s="128"/>
      <c r="AQ252" s="837"/>
      <c r="AR252" s="128"/>
      <c r="AS252" s="128"/>
      <c r="AT252" s="128"/>
      <c r="AU252" s="128"/>
      <c r="AV252" s="837"/>
      <c r="AW252" s="128"/>
      <c r="AX252" s="128"/>
      <c r="AY252" s="128"/>
      <c r="AZ252" s="128"/>
      <c r="BA252" s="837"/>
      <c r="BB252" s="128"/>
      <c r="BC252" s="128"/>
      <c r="BD252" s="128"/>
      <c r="BE252" s="128"/>
      <c r="BF252" s="837"/>
      <c r="BG252" s="128"/>
      <c r="BH252" s="128"/>
      <c r="BI252" s="128"/>
      <c r="BJ252" s="128"/>
      <c r="BK252" s="837"/>
      <c r="BL252" s="128"/>
      <c r="BM252" s="128"/>
      <c r="BN252" s="128"/>
      <c r="BO252" s="128"/>
      <c r="BP252" s="837"/>
      <c r="BQ252" s="128"/>
      <c r="BR252" s="128"/>
      <c r="BS252" s="128"/>
      <c r="BT252" s="128"/>
      <c r="BU252" s="837"/>
      <c r="BV252" s="128"/>
      <c r="BW252" s="128"/>
      <c r="BX252" s="128"/>
      <c r="BY252" s="128"/>
      <c r="BZ252" s="837"/>
      <c r="CA252" s="128"/>
      <c r="CB252" s="128"/>
      <c r="CC252" s="128"/>
      <c r="CD252" s="128"/>
      <c r="CE252" s="837"/>
      <c r="CF252" s="128"/>
      <c r="CG252" s="128"/>
      <c r="CH252" s="128"/>
      <c r="CI252" s="128"/>
      <c r="CJ252" s="837"/>
      <c r="CK252" s="128"/>
      <c r="CL252" s="128"/>
      <c r="CM252" s="128"/>
      <c r="CN252" s="128"/>
      <c r="CO252" s="837"/>
      <c r="CP252" s="128"/>
      <c r="CQ252" s="128"/>
      <c r="CR252" s="128"/>
      <c r="CS252" s="128"/>
      <c r="CT252" s="836"/>
      <c r="CU252" s="128"/>
      <c r="CV252" s="128"/>
      <c r="CW252" s="128"/>
      <c r="CX252" s="128"/>
      <c r="CY252" s="836"/>
      <c r="CZ252" s="129"/>
      <c r="DA252" s="128"/>
      <c r="DB252" s="129"/>
      <c r="DC252" s="128"/>
      <c r="DD252" s="836"/>
      <c r="DE252" s="129"/>
      <c r="DF252" s="128"/>
      <c r="DG252" s="129"/>
      <c r="DH252" s="128"/>
      <c r="DI252" s="836"/>
      <c r="DJ252" s="129"/>
      <c r="DK252" s="129"/>
      <c r="DL252" s="129"/>
      <c r="DM252" s="128"/>
      <c r="DN252" s="836"/>
      <c r="DO252" s="128"/>
      <c r="DP252" s="128"/>
      <c r="DQ252" s="129"/>
      <c r="DR252" s="129"/>
      <c r="DS252" s="836"/>
      <c r="DT252" s="129"/>
      <c r="DU252" s="129"/>
      <c r="DV252" s="129"/>
      <c r="DW252" s="129"/>
      <c r="DX252" s="836"/>
      <c r="DY252" s="129"/>
      <c r="DZ252" s="129"/>
      <c r="EA252" s="129"/>
      <c r="EB252" s="129"/>
      <c r="EC252" s="836"/>
      <c r="ED252" s="129"/>
      <c r="EE252" s="129"/>
      <c r="EF252" s="129"/>
      <c r="EG252" s="129"/>
      <c r="EH252" s="836"/>
      <c r="EI252" s="134"/>
      <c r="EJ252" s="128"/>
      <c r="EK252" s="128"/>
      <c r="EL252" s="128"/>
      <c r="EM252" s="836"/>
      <c r="EN252" s="128"/>
      <c r="EO252" s="128"/>
      <c r="EP252" s="128"/>
      <c r="EQ252" s="128"/>
      <c r="ER252" s="836"/>
      <c r="ES252" s="128"/>
      <c r="ET252" s="128"/>
      <c r="EU252" s="128"/>
      <c r="EV252" s="128"/>
      <c r="EW252" s="836"/>
      <c r="EX252" s="128"/>
      <c r="EY252" s="128"/>
      <c r="EZ252" s="128"/>
      <c r="FA252" s="128"/>
      <c r="FB252" s="836"/>
      <c r="FC252" s="128"/>
      <c r="FD252" s="128"/>
      <c r="FE252" s="128"/>
      <c r="FF252" s="128"/>
      <c r="FG252" s="836"/>
    </row>
    <row r="253" ht="12.75" customHeight="1">
      <c r="A253" s="128"/>
      <c r="B253" s="179"/>
      <c r="C253" s="179"/>
      <c r="D253" s="179"/>
      <c r="E253" s="179"/>
      <c r="F253" s="179"/>
      <c r="G253" s="179"/>
      <c r="H253" s="179"/>
      <c r="I253" s="179"/>
      <c r="J253" s="179"/>
      <c r="K253" s="179"/>
      <c r="L253" s="179"/>
      <c r="M253" s="179"/>
      <c r="N253" s="179"/>
      <c r="O253" s="179"/>
      <c r="P253" s="179"/>
      <c r="Q253" s="179"/>
      <c r="R253" s="57"/>
      <c r="S253" s="179"/>
      <c r="T253" s="179"/>
      <c r="U253" s="179"/>
      <c r="V253" s="179"/>
      <c r="W253" s="785"/>
      <c r="X253" s="128"/>
      <c r="Y253" s="128"/>
      <c r="Z253" s="128"/>
      <c r="AA253" s="128"/>
      <c r="AB253" s="837"/>
      <c r="AC253" s="128"/>
      <c r="AD253" s="128"/>
      <c r="AE253" s="128"/>
      <c r="AF253" s="128"/>
      <c r="AG253" s="837"/>
      <c r="AH253" s="128"/>
      <c r="AI253" s="128"/>
      <c r="AJ253" s="128"/>
      <c r="AK253" s="128"/>
      <c r="AL253" s="837"/>
      <c r="AM253" s="128"/>
      <c r="AN253" s="128"/>
      <c r="AO253" s="128"/>
      <c r="AP253" s="128"/>
      <c r="AQ253" s="837"/>
      <c r="AR253" s="128"/>
      <c r="AS253" s="128"/>
      <c r="AT253" s="128"/>
      <c r="AU253" s="128"/>
      <c r="AV253" s="837"/>
      <c r="AW253" s="128">
        <f>AU253*0.9</f>
        <v>0</v>
      </c>
      <c r="AX253" s="128"/>
      <c r="AY253" s="128"/>
      <c r="AZ253" s="128"/>
      <c r="BA253" s="837"/>
      <c r="BB253" s="128"/>
      <c r="BC253" s="128"/>
      <c r="BD253" s="128"/>
      <c r="BE253" s="128"/>
      <c r="BF253" s="837"/>
      <c r="BG253" s="128"/>
      <c r="BH253" s="128"/>
      <c r="BI253" s="128"/>
      <c r="BJ253" s="128"/>
      <c r="BK253" s="837"/>
      <c r="BL253" s="128"/>
      <c r="BM253" s="128"/>
      <c r="BN253" s="128"/>
      <c r="BO253" s="128"/>
      <c r="BP253" s="837"/>
      <c r="BQ253" s="128"/>
      <c r="BR253" s="128"/>
      <c r="BS253" s="128"/>
      <c r="BT253" s="128"/>
      <c r="BU253" s="837"/>
      <c r="BV253" s="128"/>
      <c r="BW253" s="128"/>
      <c r="BX253" s="128"/>
      <c r="BY253" s="128"/>
      <c r="BZ253" s="837"/>
      <c r="CA253" s="128"/>
      <c r="CB253" s="128"/>
      <c r="CC253" s="128"/>
      <c r="CD253" s="128"/>
      <c r="CE253" s="837"/>
      <c r="CF253" s="128"/>
      <c r="CG253" s="128"/>
      <c r="CH253" s="128"/>
      <c r="CI253" s="128"/>
      <c r="CJ253" s="837"/>
      <c r="CK253" s="128"/>
      <c r="CL253" s="128"/>
      <c r="CM253" s="128"/>
      <c r="CN253" s="128"/>
      <c r="CO253" s="837"/>
      <c r="CP253" s="128"/>
      <c r="CQ253" s="128"/>
      <c r="CR253" s="128"/>
      <c r="CS253" s="128"/>
      <c r="CT253" s="836"/>
      <c r="CU253" s="128"/>
      <c r="CV253" s="128"/>
      <c r="CW253" s="128"/>
      <c r="CX253" s="128"/>
      <c r="CY253" s="836"/>
      <c r="CZ253" s="129"/>
      <c r="DA253" s="128"/>
      <c r="DB253" s="129"/>
      <c r="DC253" s="128"/>
      <c r="DD253" s="836"/>
      <c r="DE253" s="129"/>
      <c r="DF253" s="128"/>
      <c r="DG253" s="129"/>
      <c r="DH253" s="128"/>
      <c r="DI253" s="836"/>
      <c r="DJ253" s="129"/>
      <c r="DK253" s="129"/>
      <c r="DL253" s="129"/>
      <c r="DM253" s="128"/>
      <c r="DN253" s="836"/>
      <c r="DO253" s="128"/>
      <c r="DP253" s="128"/>
      <c r="DQ253" s="129"/>
      <c r="DR253" s="129"/>
      <c r="DS253" s="836"/>
      <c r="DT253" s="129"/>
      <c r="DU253" s="129"/>
      <c r="DV253" s="129"/>
      <c r="DW253" s="129"/>
      <c r="DX253" s="836"/>
      <c r="DY253" s="129"/>
      <c r="DZ253" s="129"/>
      <c r="EA253" s="129"/>
      <c r="EB253" s="129"/>
      <c r="EC253" s="836"/>
      <c r="ED253" s="129"/>
      <c r="EE253" s="129"/>
      <c r="EF253" s="129"/>
      <c r="EG253" s="129"/>
      <c r="EH253" s="836"/>
      <c r="EI253" s="134"/>
      <c r="EJ253" s="128"/>
      <c r="EK253" s="128"/>
      <c r="EL253" s="128"/>
      <c r="EM253" s="836"/>
      <c r="EN253" s="128"/>
      <c r="EO253" s="128"/>
      <c r="EP253" s="128"/>
      <c r="EQ253" s="128"/>
      <c r="ER253" s="836"/>
      <c r="ES253" s="128"/>
      <c r="ET253" s="128"/>
      <c r="EU253" s="128"/>
      <c r="EV253" s="128"/>
      <c r="EW253" s="836"/>
      <c r="EX253" s="128"/>
      <c r="EY253" s="128"/>
      <c r="EZ253" s="128"/>
      <c r="FA253" s="128"/>
      <c r="FB253" s="836"/>
      <c r="FC253" s="128"/>
      <c r="FD253" s="128"/>
      <c r="FE253" s="128"/>
      <c r="FF253" s="128"/>
      <c r="FG253" s="836"/>
    </row>
  </sheetData>
  <mergeCells count="29">
    <mergeCell ref="N4:Q4"/>
    <mergeCell ref="S4:V4"/>
    <mergeCell ref="X4:AA4"/>
    <mergeCell ref="AC4:AF4"/>
    <mergeCell ref="AH4:AK4"/>
    <mergeCell ref="AM4:AP4"/>
    <mergeCell ref="AR4:AU4"/>
    <mergeCell ref="AW4:AZ4"/>
    <mergeCell ref="BB4:BE4"/>
    <mergeCell ref="BG4:BJ4"/>
    <mergeCell ref="BL4:BO4"/>
    <mergeCell ref="BQ4:BT4"/>
    <mergeCell ref="BV4:BY4"/>
    <mergeCell ref="CA4:CD4"/>
    <mergeCell ref="DO4:DR4"/>
    <mergeCell ref="DY4:EB4"/>
    <mergeCell ref="ED4:EG4"/>
    <mergeCell ref="EI4:EL4"/>
    <mergeCell ref="EN4:EQ4"/>
    <mergeCell ref="ES4:EV4"/>
    <mergeCell ref="EX4:FA4"/>
    <mergeCell ref="FC4:FF4"/>
    <mergeCell ref="CF4:CI4"/>
    <mergeCell ref="CK4:CN4"/>
    <mergeCell ref="CP4:CS4"/>
    <mergeCell ref="CU4:CX4"/>
    <mergeCell ref="CZ4:DC4"/>
    <mergeCell ref="DE4:DH4"/>
    <mergeCell ref="DJ4:DM4"/>
  </mergeCells>
  <printOptions gridLines="1" horizontalCentered="1"/>
  <pageMargins bottom="0.5" footer="0.0" header="0.0" left="0.2" right="0.2" top="0.75"/>
  <pageSetup fitToHeight="0" orientation="landscape"/>
  <headerFooter>
    <oddFooter>&amp;LIntel Corporation (INTC)&amp;C&amp;D&amp;RUBS Investment Research, Uche Orji 212-713-4015, uche.orji@ubs.com</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256" width="8.63"/>
  </cols>
  <sheetData>
    <row r="1" ht="13.5" customHeight="1">
      <c r="A1" s="926">
        <v>1805.0</v>
      </c>
      <c r="B1" s="926" t="s">
        <v>694</v>
      </c>
      <c r="C1" s="926" t="s">
        <v>695</v>
      </c>
      <c r="D1" s="926" t="s">
        <v>696</v>
      </c>
      <c r="E1" s="926" t="s">
        <v>697</v>
      </c>
      <c r="F1" s="926" t="s">
        <v>698</v>
      </c>
      <c r="G1" s="926" t="s">
        <v>699</v>
      </c>
      <c r="H1" s="926" t="s">
        <v>700</v>
      </c>
      <c r="I1" s="926" t="s">
        <v>701</v>
      </c>
      <c r="J1" s="926" t="s">
        <v>702</v>
      </c>
      <c r="K1" s="926" t="s">
        <v>703</v>
      </c>
      <c r="L1" s="926" t="s">
        <v>704</v>
      </c>
      <c r="M1" s="926" t="s">
        <v>705</v>
      </c>
      <c r="N1" s="926" t="s">
        <v>706</v>
      </c>
      <c r="O1" s="926" t="s">
        <v>707</v>
      </c>
      <c r="P1" s="926" t="s">
        <v>708</v>
      </c>
      <c r="Q1" s="926" t="s">
        <v>709</v>
      </c>
      <c r="R1" s="926" t="s">
        <v>710</v>
      </c>
      <c r="S1" s="926" t="s">
        <v>711</v>
      </c>
      <c r="T1" s="926" t="s">
        <v>712</v>
      </c>
      <c r="U1" s="926" t="s">
        <v>713</v>
      </c>
      <c r="V1" s="926" t="s">
        <v>714</v>
      </c>
      <c r="W1" s="926" t="s">
        <v>715</v>
      </c>
      <c r="X1" s="926" t="s">
        <v>716</v>
      </c>
      <c r="Y1" s="926" t="s">
        <v>717</v>
      </c>
      <c r="Z1" s="926" t="s">
        <v>718</v>
      </c>
      <c r="AA1" s="926" t="s">
        <v>719</v>
      </c>
      <c r="AB1" s="926" t="s">
        <v>720</v>
      </c>
      <c r="AC1" s="926" t="s">
        <v>721</v>
      </c>
      <c r="AD1" s="926" t="s">
        <v>722</v>
      </c>
      <c r="AE1" s="926" t="s">
        <v>723</v>
      </c>
      <c r="AF1" s="926" t="s">
        <v>724</v>
      </c>
      <c r="AG1" s="926" t="s">
        <v>725</v>
      </c>
      <c r="AH1" s="926" t="s">
        <v>726</v>
      </c>
      <c r="AI1" s="926" t="s">
        <v>727</v>
      </c>
      <c r="AJ1" s="926" t="s">
        <v>728</v>
      </c>
      <c r="AK1" s="926" t="s">
        <v>729</v>
      </c>
      <c r="AL1" s="926" t="s">
        <v>730</v>
      </c>
      <c r="AM1" s="926" t="s">
        <v>731</v>
      </c>
      <c r="AN1" s="926" t="s">
        <v>732</v>
      </c>
      <c r="AO1" s="926" t="s">
        <v>733</v>
      </c>
      <c r="AP1" s="926" t="s">
        <v>734</v>
      </c>
      <c r="AQ1" s="926" t="s">
        <v>735</v>
      </c>
      <c r="AR1" s="926" t="s">
        <v>736</v>
      </c>
      <c r="AS1" s="926" t="s">
        <v>737</v>
      </c>
      <c r="AT1" s="926" t="s">
        <v>738</v>
      </c>
      <c r="AU1" s="926" t="s">
        <v>739</v>
      </c>
      <c r="AV1" s="926" t="s">
        <v>740</v>
      </c>
      <c r="AW1" s="926" t="s">
        <v>741</v>
      </c>
      <c r="AX1" s="926" t="s">
        <v>742</v>
      </c>
      <c r="AY1" s="926" t="s">
        <v>743</v>
      </c>
      <c r="AZ1" s="926" t="s">
        <v>744</v>
      </c>
      <c r="BA1" s="926" t="s">
        <v>745</v>
      </c>
      <c r="BB1" s="926" t="s">
        <v>746</v>
      </c>
      <c r="BC1" s="926" t="s">
        <v>747</v>
      </c>
      <c r="BD1" s="926" t="s">
        <v>748</v>
      </c>
      <c r="BE1" s="926" t="s">
        <v>749</v>
      </c>
      <c r="BF1" s="926" t="s">
        <v>750</v>
      </c>
      <c r="BG1" s="926" t="s">
        <v>751</v>
      </c>
      <c r="BH1" s="926" t="s">
        <v>752</v>
      </c>
      <c r="BI1" s="926" t="s">
        <v>753</v>
      </c>
      <c r="BJ1" s="926" t="s">
        <v>754</v>
      </c>
      <c r="BK1" s="926" t="s">
        <v>755</v>
      </c>
      <c r="BL1" s="926" t="s">
        <v>756</v>
      </c>
      <c r="BM1" s="926" t="s">
        <v>757</v>
      </c>
      <c r="BN1" s="926" t="s">
        <v>758</v>
      </c>
      <c r="BO1" s="926" t="s">
        <v>759</v>
      </c>
      <c r="BP1" s="926" t="s">
        <v>760</v>
      </c>
      <c r="BQ1" s="926" t="s">
        <v>761</v>
      </c>
      <c r="BR1" s="926" t="s">
        <v>762</v>
      </c>
      <c r="BS1" s="926" t="s">
        <v>763</v>
      </c>
      <c r="BT1" s="926" t="s">
        <v>764</v>
      </c>
      <c r="BU1" s="926" t="s">
        <v>765</v>
      </c>
      <c r="BV1" s="926" t="s">
        <v>766</v>
      </c>
      <c r="BW1" s="926" t="s">
        <v>767</v>
      </c>
      <c r="BX1" s="926" t="s">
        <v>768</v>
      </c>
      <c r="BY1" s="926" t="s">
        <v>769</v>
      </c>
      <c r="BZ1" s="926" t="s">
        <v>770</v>
      </c>
      <c r="CA1" s="926" t="s">
        <v>771</v>
      </c>
      <c r="CB1" s="926" t="s">
        <v>772</v>
      </c>
      <c r="CC1" s="926" t="s">
        <v>773</v>
      </c>
      <c r="CD1" s="926" t="s">
        <v>774</v>
      </c>
      <c r="CE1" s="926" t="s">
        <v>775</v>
      </c>
      <c r="CF1" s="926" t="s">
        <v>776</v>
      </c>
      <c r="CG1" s="926" t="s">
        <v>777</v>
      </c>
      <c r="CH1" s="926" t="s">
        <v>778</v>
      </c>
      <c r="CI1" s="926" t="s">
        <v>779</v>
      </c>
      <c r="CJ1" s="926" t="s">
        <v>780</v>
      </c>
      <c r="CK1" s="926" t="s">
        <v>781</v>
      </c>
      <c r="CL1" s="926" t="s">
        <v>782</v>
      </c>
      <c r="CM1" s="926" t="s">
        <v>783</v>
      </c>
      <c r="CN1" s="926" t="s">
        <v>784</v>
      </c>
      <c r="CO1" s="926" t="s">
        <v>785</v>
      </c>
      <c r="CP1" s="926" t="s">
        <v>786</v>
      </c>
      <c r="CQ1" s="926" t="s">
        <v>787</v>
      </c>
      <c r="CR1" s="926" t="s">
        <v>788</v>
      </c>
      <c r="CS1" s="926" t="s">
        <v>789</v>
      </c>
      <c r="CT1" s="926" t="s">
        <v>790</v>
      </c>
      <c r="CU1" s="926" t="s">
        <v>791</v>
      </c>
      <c r="CV1" s="926" t="s">
        <v>792</v>
      </c>
      <c r="CW1" s="926" t="s">
        <v>793</v>
      </c>
      <c r="CX1" s="926" t="s">
        <v>794</v>
      </c>
      <c r="CY1" s="926" t="s">
        <v>795</v>
      </c>
      <c r="CZ1" s="926" t="s">
        <v>796</v>
      </c>
      <c r="DA1" s="926" t="s">
        <v>797</v>
      </c>
      <c r="DB1" s="926" t="s">
        <v>798</v>
      </c>
      <c r="DC1" s="926" t="s">
        <v>799</v>
      </c>
      <c r="DD1" s="926" t="s">
        <v>800</v>
      </c>
      <c r="DE1" s="926" t="s">
        <v>801</v>
      </c>
      <c r="DF1" s="926" t="s">
        <v>802</v>
      </c>
      <c r="DG1" s="926" t="s">
        <v>803</v>
      </c>
      <c r="DH1" s="926" t="s">
        <v>804</v>
      </c>
      <c r="DI1" s="926" t="s">
        <v>805</v>
      </c>
      <c r="DJ1" s="926" t="s">
        <v>806</v>
      </c>
      <c r="DK1" s="926" t="s">
        <v>807</v>
      </c>
      <c r="DL1" s="926" t="s">
        <v>808</v>
      </c>
      <c r="DM1" s="926" t="s">
        <v>809</v>
      </c>
      <c r="DN1" s="926" t="s">
        <v>810</v>
      </c>
      <c r="DO1" s="926" t="s">
        <v>811</v>
      </c>
      <c r="DP1" s="926" t="s">
        <v>812</v>
      </c>
      <c r="DQ1" s="926" t="s">
        <v>813</v>
      </c>
      <c r="DR1" s="926" t="s">
        <v>814</v>
      </c>
      <c r="DS1" s="926" t="s">
        <v>815</v>
      </c>
      <c r="DT1" s="926" t="s">
        <v>816</v>
      </c>
      <c r="DU1" s="926" t="s">
        <v>817</v>
      </c>
      <c r="DV1" s="926" t="s">
        <v>818</v>
      </c>
      <c r="DW1" s="926" t="s">
        <v>819</v>
      </c>
      <c r="DX1" s="926" t="s">
        <v>820</v>
      </c>
      <c r="DY1" s="926" t="s">
        <v>821</v>
      </c>
      <c r="DZ1" s="926" t="s">
        <v>822</v>
      </c>
      <c r="EA1" s="926" t="s">
        <v>823</v>
      </c>
      <c r="EB1" s="926" t="s">
        <v>824</v>
      </c>
      <c r="EC1" s="926" t="s">
        <v>825</v>
      </c>
      <c r="ED1" s="926" t="s">
        <v>826</v>
      </c>
      <c r="EE1" s="926" t="s">
        <v>827</v>
      </c>
      <c r="EF1" s="926" t="s">
        <v>828</v>
      </c>
      <c r="EG1" s="926" t="s">
        <v>829</v>
      </c>
      <c r="EH1" s="926" t="s">
        <v>830</v>
      </c>
      <c r="EI1" s="926" t="s">
        <v>831</v>
      </c>
      <c r="EJ1" s="926" t="s">
        <v>832</v>
      </c>
      <c r="EK1" s="926" t="s">
        <v>833</v>
      </c>
      <c r="EL1" s="926" t="s">
        <v>834</v>
      </c>
      <c r="EM1" s="926" t="s">
        <v>835</v>
      </c>
      <c r="EN1" s="926" t="s">
        <v>836</v>
      </c>
      <c r="EO1" s="926" t="s">
        <v>837</v>
      </c>
      <c r="EP1" s="926" t="s">
        <v>838</v>
      </c>
      <c r="EQ1" s="926" t="s">
        <v>839</v>
      </c>
      <c r="ER1" s="926" t="s">
        <v>840</v>
      </c>
      <c r="ES1" s="926" t="s">
        <v>841</v>
      </c>
      <c r="ET1" s="926" t="s">
        <v>842</v>
      </c>
      <c r="EU1" s="926" t="s">
        <v>843</v>
      </c>
      <c r="EV1" s="926" t="s">
        <v>844</v>
      </c>
      <c r="EW1" s="926" t="s">
        <v>845</v>
      </c>
      <c r="EX1" s="926" t="s">
        <v>846</v>
      </c>
      <c r="EY1" s="926" t="s">
        <v>847</v>
      </c>
      <c r="EZ1" s="926" t="s">
        <v>848</v>
      </c>
      <c r="FA1" s="926" t="s">
        <v>849</v>
      </c>
      <c r="FB1" s="926" t="s">
        <v>850</v>
      </c>
      <c r="FC1" s="926" t="s">
        <v>851</v>
      </c>
      <c r="FD1" s="926" t="s">
        <v>852</v>
      </c>
      <c r="FE1" s="926" t="s">
        <v>853</v>
      </c>
      <c r="FF1" s="926" t="s">
        <v>854</v>
      </c>
      <c r="FG1" s="926" t="s">
        <v>855</v>
      </c>
      <c r="FH1" s="926" t="s">
        <v>856</v>
      </c>
      <c r="FI1" s="926" t="s">
        <v>857</v>
      </c>
      <c r="FJ1" s="926" t="s">
        <v>858</v>
      </c>
      <c r="FK1" s="926" t="s">
        <v>859</v>
      </c>
      <c r="FL1" s="926" t="s">
        <v>860</v>
      </c>
      <c r="FM1" s="926" t="s">
        <v>861</v>
      </c>
      <c r="FN1" s="926" t="s">
        <v>862</v>
      </c>
      <c r="FO1" s="926" t="s">
        <v>863</v>
      </c>
      <c r="FP1" s="926" t="s">
        <v>864</v>
      </c>
      <c r="FQ1" s="926" t="s">
        <v>865</v>
      </c>
      <c r="FR1" s="926" t="s">
        <v>866</v>
      </c>
      <c r="FS1" s="926" t="s">
        <v>867</v>
      </c>
      <c r="FT1" s="926" t="s">
        <v>868</v>
      </c>
      <c r="FU1" s="926" t="s">
        <v>869</v>
      </c>
      <c r="FV1" s="926" t="s">
        <v>870</v>
      </c>
      <c r="FW1" s="926" t="s">
        <v>871</v>
      </c>
      <c r="FX1" s="926" t="s">
        <v>872</v>
      </c>
      <c r="FY1" s="926" t="s">
        <v>873</v>
      </c>
      <c r="FZ1" s="926" t="s">
        <v>874</v>
      </c>
      <c r="GA1" s="926" t="s">
        <v>875</v>
      </c>
      <c r="GB1" s="926" t="s">
        <v>876</v>
      </c>
      <c r="GC1" s="926" t="s">
        <v>877</v>
      </c>
      <c r="GD1" s="926" t="s">
        <v>878</v>
      </c>
      <c r="GE1" s="926" t="s">
        <v>879</v>
      </c>
      <c r="GF1" s="926" t="s">
        <v>880</v>
      </c>
      <c r="GG1" s="926" t="s">
        <v>881</v>
      </c>
      <c r="GH1" s="926" t="s">
        <v>882</v>
      </c>
      <c r="GI1" s="926" t="s">
        <v>883</v>
      </c>
      <c r="GJ1" s="926" t="s">
        <v>884</v>
      </c>
      <c r="GK1" s="926" t="s">
        <v>885</v>
      </c>
      <c r="GL1" s="926" t="s">
        <v>886</v>
      </c>
      <c r="GM1" s="926" t="s">
        <v>887</v>
      </c>
      <c r="GN1" s="926" t="s">
        <v>888</v>
      </c>
      <c r="GO1" s="926" t="s">
        <v>889</v>
      </c>
      <c r="GP1" s="926" t="s">
        <v>890</v>
      </c>
      <c r="GQ1" s="926" t="s">
        <v>891</v>
      </c>
      <c r="GR1" s="926" t="s">
        <v>892</v>
      </c>
      <c r="GS1" s="926" t="s">
        <v>893</v>
      </c>
      <c r="GT1" s="926" t="s">
        <v>894</v>
      </c>
      <c r="GU1" s="926" t="s">
        <v>895</v>
      </c>
      <c r="GV1" s="926" t="s">
        <v>896</v>
      </c>
      <c r="GW1" s="926" t="s">
        <v>897</v>
      </c>
      <c r="GX1" s="926" t="s">
        <v>898</v>
      </c>
      <c r="GY1" s="926" t="s">
        <v>899</v>
      </c>
      <c r="GZ1" s="926" t="s">
        <v>900</v>
      </c>
      <c r="HA1" s="926" t="s">
        <v>901</v>
      </c>
      <c r="HB1" s="926" t="s">
        <v>902</v>
      </c>
      <c r="HC1" s="926" t="s">
        <v>903</v>
      </c>
      <c r="HD1" s="926" t="s">
        <v>904</v>
      </c>
      <c r="HE1" s="926" t="s">
        <v>905</v>
      </c>
      <c r="HF1" s="926" t="s">
        <v>906</v>
      </c>
      <c r="HG1" s="926" t="s">
        <v>907</v>
      </c>
      <c r="HH1" s="926" t="s">
        <v>908</v>
      </c>
      <c r="HI1" s="926" t="s">
        <v>909</v>
      </c>
      <c r="HJ1" s="926" t="s">
        <v>910</v>
      </c>
      <c r="HK1" s="926" t="s">
        <v>911</v>
      </c>
      <c r="HL1" s="926" t="s">
        <v>912</v>
      </c>
      <c r="HM1" s="926" t="s">
        <v>913</v>
      </c>
      <c r="HN1" s="926" t="s">
        <v>914</v>
      </c>
      <c r="HO1" s="926" t="s">
        <v>915</v>
      </c>
      <c r="HP1" s="926" t="s">
        <v>916</v>
      </c>
      <c r="HQ1" s="926" t="s">
        <v>917</v>
      </c>
      <c r="HR1" s="926" t="s">
        <v>918</v>
      </c>
      <c r="HS1" s="926" t="s">
        <v>919</v>
      </c>
      <c r="HT1" s="926" t="s">
        <v>920</v>
      </c>
      <c r="HU1" s="926" t="s">
        <v>921</v>
      </c>
      <c r="HV1" s="926" t="s">
        <v>922</v>
      </c>
      <c r="HW1" s="926" t="s">
        <v>923</v>
      </c>
      <c r="HX1" s="926" t="s">
        <v>924</v>
      </c>
      <c r="HY1" s="926" t="s">
        <v>925</v>
      </c>
      <c r="HZ1" s="926" t="s">
        <v>926</v>
      </c>
      <c r="IA1" s="926" t="s">
        <v>927</v>
      </c>
      <c r="IB1" s="926" t="s">
        <v>928</v>
      </c>
      <c r="IC1" s="926" t="s">
        <v>929</v>
      </c>
      <c r="ID1" s="926" t="s">
        <v>930</v>
      </c>
      <c r="IE1" s="926" t="s">
        <v>931</v>
      </c>
      <c r="IF1" s="926" t="s">
        <v>932</v>
      </c>
      <c r="IG1" s="926" t="s">
        <v>933</v>
      </c>
      <c r="IH1" s="926" t="s">
        <v>934</v>
      </c>
      <c r="II1" s="926" t="s">
        <v>935</v>
      </c>
      <c r="IJ1" s="926" t="s">
        <v>936</v>
      </c>
      <c r="IK1" s="926" t="s">
        <v>937</v>
      </c>
      <c r="IL1" s="926" t="s">
        <v>938</v>
      </c>
      <c r="IM1" s="926" t="s">
        <v>939</v>
      </c>
      <c r="IN1" s="926" t="s">
        <v>940</v>
      </c>
      <c r="IO1" s="926" t="s">
        <v>941</v>
      </c>
      <c r="IP1" s="926" t="s">
        <v>942</v>
      </c>
      <c r="IQ1" s="926" t="s">
        <v>943</v>
      </c>
      <c r="IR1" s="926" t="s">
        <v>944</v>
      </c>
      <c r="IS1" s="926" t="s">
        <v>945</v>
      </c>
      <c r="IT1" s="926" t="s">
        <v>946</v>
      </c>
      <c r="IU1" s="926" t="s">
        <v>947</v>
      </c>
      <c r="IV1" s="926" t="s">
        <v>948</v>
      </c>
    </row>
    <row r="2" ht="13.5" customHeight="1">
      <c r="A2" s="926" t="s">
        <v>949</v>
      </c>
      <c r="B2" s="926" t="s">
        <v>950</v>
      </c>
      <c r="C2" s="926" t="s">
        <v>951</v>
      </c>
      <c r="D2" s="926" t="s">
        <v>952</v>
      </c>
      <c r="E2" s="926" t="s">
        <v>953</v>
      </c>
      <c r="F2" s="926" t="s">
        <v>954</v>
      </c>
      <c r="G2" s="926" t="s">
        <v>955</v>
      </c>
      <c r="H2" s="926" t="s">
        <v>956</v>
      </c>
      <c r="I2" s="926" t="s">
        <v>957</v>
      </c>
      <c r="J2" s="926" t="s">
        <v>958</v>
      </c>
      <c r="K2" s="926" t="s">
        <v>959</v>
      </c>
      <c r="L2" s="926" t="s">
        <v>960</v>
      </c>
      <c r="M2" s="926" t="s">
        <v>961</v>
      </c>
      <c r="N2" s="926" t="s">
        <v>962</v>
      </c>
      <c r="O2" s="926" t="s">
        <v>963</v>
      </c>
      <c r="P2" s="926" t="s">
        <v>964</v>
      </c>
      <c r="Q2" s="926" t="s">
        <v>965</v>
      </c>
      <c r="R2" s="926" t="s">
        <v>966</v>
      </c>
      <c r="S2" s="926" t="s">
        <v>967</v>
      </c>
      <c r="T2" s="926" t="s">
        <v>968</v>
      </c>
      <c r="U2" s="926" t="s">
        <v>969</v>
      </c>
      <c r="V2" s="926" t="s">
        <v>970</v>
      </c>
      <c r="W2" s="926" t="s">
        <v>971</v>
      </c>
      <c r="X2" s="926" t="s">
        <v>972</v>
      </c>
      <c r="Y2" s="926" t="s">
        <v>973</v>
      </c>
      <c r="Z2" s="926" t="s">
        <v>974</v>
      </c>
      <c r="AA2" s="926" t="s">
        <v>975</v>
      </c>
      <c r="AB2" s="926" t="s">
        <v>976</v>
      </c>
      <c r="AC2" s="926" t="s">
        <v>977</v>
      </c>
      <c r="AD2" s="926" t="s">
        <v>978</v>
      </c>
      <c r="AE2" s="926" t="s">
        <v>979</v>
      </c>
      <c r="AF2" s="926" t="s">
        <v>980</v>
      </c>
      <c r="AG2" s="926" t="s">
        <v>981</v>
      </c>
      <c r="AH2" s="926" t="s">
        <v>982</v>
      </c>
      <c r="AI2" s="926" t="s">
        <v>983</v>
      </c>
      <c r="AJ2" s="926" t="s">
        <v>984</v>
      </c>
      <c r="AK2" s="926" t="s">
        <v>985</v>
      </c>
      <c r="AL2" s="926" t="s">
        <v>986</v>
      </c>
      <c r="AM2" s="926" t="s">
        <v>987</v>
      </c>
      <c r="AN2" s="926" t="s">
        <v>988</v>
      </c>
      <c r="AO2" s="926" t="s">
        <v>989</v>
      </c>
      <c r="AP2" s="926" t="s">
        <v>990</v>
      </c>
      <c r="AQ2" s="926" t="s">
        <v>991</v>
      </c>
      <c r="AR2" s="926" t="s">
        <v>992</v>
      </c>
      <c r="AS2" s="926" t="s">
        <v>993</v>
      </c>
      <c r="AT2" s="926" t="s">
        <v>994</v>
      </c>
      <c r="AU2" s="926" t="s">
        <v>995</v>
      </c>
      <c r="AV2" s="926" t="s">
        <v>996</v>
      </c>
      <c r="AW2" s="926" t="s">
        <v>997</v>
      </c>
      <c r="AX2" s="926" t="s">
        <v>998</v>
      </c>
      <c r="AY2" s="926" t="s">
        <v>999</v>
      </c>
      <c r="AZ2" s="926" t="s">
        <v>1000</v>
      </c>
      <c r="BA2" s="926" t="s">
        <v>1001</v>
      </c>
      <c r="BB2" s="926" t="s">
        <v>1002</v>
      </c>
      <c r="BC2" s="926" t="s">
        <v>1003</v>
      </c>
      <c r="BD2" s="926" t="s">
        <v>1004</v>
      </c>
      <c r="BE2" s="926" t="s">
        <v>1005</v>
      </c>
      <c r="BF2" s="926" t="s">
        <v>1006</v>
      </c>
      <c r="BG2" s="926" t="s">
        <v>1007</v>
      </c>
      <c r="BH2" s="926" t="s">
        <v>1008</v>
      </c>
      <c r="BI2" s="926" t="s">
        <v>1009</v>
      </c>
      <c r="BJ2" s="926" t="s">
        <v>1010</v>
      </c>
      <c r="BK2" s="926" t="s">
        <v>1011</v>
      </c>
      <c r="BL2" s="926" t="s">
        <v>1012</v>
      </c>
      <c r="BM2" s="926" t="s">
        <v>1013</v>
      </c>
      <c r="BN2" s="926" t="s">
        <v>1014</v>
      </c>
      <c r="BO2" s="926" t="s">
        <v>1015</v>
      </c>
      <c r="BP2" s="926" t="s">
        <v>1016</v>
      </c>
      <c r="BQ2" s="926" t="s">
        <v>1017</v>
      </c>
      <c r="BR2" s="926" t="s">
        <v>1018</v>
      </c>
      <c r="BS2" s="926" t="s">
        <v>1019</v>
      </c>
      <c r="BT2" s="926" t="s">
        <v>1020</v>
      </c>
      <c r="BU2" s="926" t="s">
        <v>1021</v>
      </c>
      <c r="BV2" s="926" t="s">
        <v>1022</v>
      </c>
      <c r="BW2" s="926" t="s">
        <v>1023</v>
      </c>
      <c r="BX2" s="926" t="s">
        <v>1024</v>
      </c>
      <c r="BY2" s="926" t="s">
        <v>1025</v>
      </c>
      <c r="BZ2" s="926" t="s">
        <v>1026</v>
      </c>
      <c r="CA2" s="926" t="s">
        <v>1027</v>
      </c>
      <c r="CB2" s="926" t="s">
        <v>1028</v>
      </c>
      <c r="CC2" s="926" t="s">
        <v>1029</v>
      </c>
      <c r="CD2" s="926" t="s">
        <v>1030</v>
      </c>
      <c r="CE2" s="926" t="s">
        <v>1031</v>
      </c>
      <c r="CF2" s="926" t="s">
        <v>1032</v>
      </c>
      <c r="CG2" s="926" t="s">
        <v>1033</v>
      </c>
      <c r="CH2" s="926" t="s">
        <v>1034</v>
      </c>
      <c r="CI2" s="926" t="s">
        <v>1035</v>
      </c>
      <c r="CJ2" s="926" t="s">
        <v>1036</v>
      </c>
      <c r="CK2" s="926" t="s">
        <v>1037</v>
      </c>
      <c r="CL2" s="926" t="s">
        <v>1038</v>
      </c>
      <c r="CM2" s="926" t="s">
        <v>1039</v>
      </c>
      <c r="CN2" s="926" t="s">
        <v>1040</v>
      </c>
      <c r="CO2" s="926" t="s">
        <v>1041</v>
      </c>
      <c r="CP2" s="926" t="s">
        <v>1042</v>
      </c>
      <c r="CQ2" s="926" t="s">
        <v>1043</v>
      </c>
      <c r="CR2" s="926" t="s">
        <v>1044</v>
      </c>
      <c r="CS2" s="926" t="s">
        <v>1045</v>
      </c>
      <c r="CT2" s="926" t="s">
        <v>1046</v>
      </c>
      <c r="CU2" s="926" t="s">
        <v>1047</v>
      </c>
      <c r="CV2" s="926" t="s">
        <v>1048</v>
      </c>
      <c r="CW2" s="926" t="s">
        <v>1049</v>
      </c>
      <c r="CX2" s="926" t="s">
        <v>1050</v>
      </c>
      <c r="CY2" s="926" t="s">
        <v>1051</v>
      </c>
      <c r="CZ2" s="926" t="s">
        <v>1052</v>
      </c>
      <c r="DA2" s="926" t="s">
        <v>1053</v>
      </c>
      <c r="DB2" s="926" t="s">
        <v>1054</v>
      </c>
      <c r="DC2" s="926" t="s">
        <v>1055</v>
      </c>
      <c r="DD2" s="926" t="s">
        <v>1056</v>
      </c>
      <c r="DE2" s="926" t="s">
        <v>1057</v>
      </c>
      <c r="DF2" s="926" t="s">
        <v>1058</v>
      </c>
      <c r="DG2" s="926" t="s">
        <v>1059</v>
      </c>
      <c r="DH2" s="926" t="s">
        <v>1060</v>
      </c>
      <c r="DI2" s="926" t="s">
        <v>1061</v>
      </c>
      <c r="DJ2" s="926" t="s">
        <v>1062</v>
      </c>
      <c r="DK2" s="926" t="s">
        <v>1063</v>
      </c>
      <c r="DL2" s="926" t="s">
        <v>1064</v>
      </c>
      <c r="DM2" s="926" t="s">
        <v>1065</v>
      </c>
      <c r="DN2" s="926" t="s">
        <v>1066</v>
      </c>
      <c r="DO2" s="926" t="s">
        <v>1067</v>
      </c>
      <c r="DP2" s="926" t="s">
        <v>1068</v>
      </c>
      <c r="DQ2" s="926" t="s">
        <v>1069</v>
      </c>
      <c r="DR2" s="926" t="s">
        <v>1070</v>
      </c>
      <c r="DS2" s="926" t="s">
        <v>1071</v>
      </c>
      <c r="DT2" s="926" t="s">
        <v>1072</v>
      </c>
      <c r="DU2" s="926" t="s">
        <v>1073</v>
      </c>
      <c r="DV2" s="926" t="s">
        <v>1074</v>
      </c>
      <c r="DW2" s="926" t="s">
        <v>1075</v>
      </c>
      <c r="DX2" s="926" t="s">
        <v>1076</v>
      </c>
      <c r="DY2" s="926" t="s">
        <v>1077</v>
      </c>
      <c r="DZ2" s="926" t="s">
        <v>1078</v>
      </c>
      <c r="EA2" s="926" t="s">
        <v>1079</v>
      </c>
      <c r="EB2" s="926" t="s">
        <v>1080</v>
      </c>
      <c r="EC2" s="926" t="s">
        <v>1081</v>
      </c>
      <c r="ED2" s="926" t="s">
        <v>1082</v>
      </c>
      <c r="EE2" s="926" t="s">
        <v>1083</v>
      </c>
      <c r="EF2" s="926" t="s">
        <v>1084</v>
      </c>
      <c r="EG2" s="926" t="s">
        <v>1085</v>
      </c>
      <c r="EH2" s="926" t="s">
        <v>1086</v>
      </c>
      <c r="EI2" s="926" t="s">
        <v>1087</v>
      </c>
      <c r="EJ2" s="926" t="s">
        <v>1088</v>
      </c>
      <c r="EK2" s="926" t="s">
        <v>1089</v>
      </c>
      <c r="EL2" s="926" t="s">
        <v>1090</v>
      </c>
      <c r="EM2" s="926" t="s">
        <v>1091</v>
      </c>
      <c r="EN2" s="926" t="s">
        <v>1092</v>
      </c>
      <c r="EO2" s="926" t="s">
        <v>1093</v>
      </c>
      <c r="EP2" s="926" t="s">
        <v>1094</v>
      </c>
      <c r="EQ2" s="926" t="s">
        <v>1095</v>
      </c>
      <c r="ER2" s="926" t="s">
        <v>1096</v>
      </c>
      <c r="ES2" s="926" t="s">
        <v>1097</v>
      </c>
      <c r="ET2" s="926" t="s">
        <v>1098</v>
      </c>
      <c r="EU2" s="926" t="s">
        <v>1099</v>
      </c>
      <c r="EV2" s="926" t="s">
        <v>1100</v>
      </c>
      <c r="EW2" s="926" t="s">
        <v>1101</v>
      </c>
      <c r="EX2" s="926" t="s">
        <v>1102</v>
      </c>
      <c r="EY2" s="926" t="s">
        <v>1103</v>
      </c>
      <c r="EZ2" s="926" t="s">
        <v>1104</v>
      </c>
      <c r="FA2" s="926" t="s">
        <v>1105</v>
      </c>
      <c r="FB2" s="926" t="s">
        <v>1106</v>
      </c>
      <c r="FC2" s="926" t="s">
        <v>1107</v>
      </c>
      <c r="FD2" s="926" t="s">
        <v>1108</v>
      </c>
      <c r="FE2" s="926" t="s">
        <v>1109</v>
      </c>
      <c r="FF2" s="926" t="s">
        <v>1110</v>
      </c>
      <c r="FG2" s="926" t="s">
        <v>1111</v>
      </c>
      <c r="FH2" s="926" t="s">
        <v>1112</v>
      </c>
      <c r="FI2" s="926" t="s">
        <v>1113</v>
      </c>
      <c r="FJ2" s="926" t="s">
        <v>1114</v>
      </c>
      <c r="FK2" s="926" t="s">
        <v>1115</v>
      </c>
      <c r="FL2" s="926" t="s">
        <v>1116</v>
      </c>
      <c r="FM2" s="926" t="s">
        <v>1117</v>
      </c>
      <c r="FN2" s="926" t="s">
        <v>1118</v>
      </c>
      <c r="FO2" s="926" t="s">
        <v>1119</v>
      </c>
      <c r="FP2" s="926" t="s">
        <v>1120</v>
      </c>
      <c r="FQ2" s="926" t="s">
        <v>1121</v>
      </c>
      <c r="FR2" s="926" t="s">
        <v>1122</v>
      </c>
      <c r="FS2" s="926" t="s">
        <v>1123</v>
      </c>
      <c r="FT2" s="926" t="s">
        <v>1124</v>
      </c>
      <c r="FU2" s="926" t="s">
        <v>1125</v>
      </c>
      <c r="FV2" s="926" t="s">
        <v>1126</v>
      </c>
      <c r="FW2" s="926" t="s">
        <v>1127</v>
      </c>
      <c r="FX2" s="926" t="s">
        <v>1128</v>
      </c>
      <c r="FY2" s="926" t="s">
        <v>1129</v>
      </c>
      <c r="FZ2" s="926" t="s">
        <v>1130</v>
      </c>
      <c r="GA2" s="926" t="s">
        <v>1131</v>
      </c>
      <c r="GB2" s="926" t="s">
        <v>1132</v>
      </c>
      <c r="GC2" s="926" t="s">
        <v>1133</v>
      </c>
      <c r="GD2" s="926" t="s">
        <v>1134</v>
      </c>
      <c r="GE2" s="926" t="s">
        <v>1135</v>
      </c>
      <c r="GF2" s="926" t="s">
        <v>1136</v>
      </c>
      <c r="GG2" s="926" t="s">
        <v>1137</v>
      </c>
      <c r="GH2" s="926" t="s">
        <v>1138</v>
      </c>
      <c r="GI2" s="926" t="s">
        <v>1139</v>
      </c>
      <c r="GJ2" s="926" t="s">
        <v>1140</v>
      </c>
      <c r="GK2" s="926" t="s">
        <v>1141</v>
      </c>
      <c r="GL2" s="926" t="s">
        <v>1142</v>
      </c>
      <c r="GM2" s="926" t="s">
        <v>1143</v>
      </c>
      <c r="GN2" s="926" t="s">
        <v>1144</v>
      </c>
      <c r="GO2" s="926" t="s">
        <v>1145</v>
      </c>
      <c r="GP2" s="926" t="s">
        <v>1146</v>
      </c>
      <c r="GQ2" s="926" t="s">
        <v>1147</v>
      </c>
      <c r="GR2" s="926" t="s">
        <v>1148</v>
      </c>
      <c r="GS2" s="926" t="s">
        <v>1149</v>
      </c>
      <c r="GT2" s="926" t="s">
        <v>1150</v>
      </c>
      <c r="GU2" s="926" t="s">
        <v>1151</v>
      </c>
      <c r="GV2" s="926" t="s">
        <v>1152</v>
      </c>
      <c r="GW2" s="926" t="s">
        <v>1153</v>
      </c>
      <c r="GX2" s="926" t="s">
        <v>1154</v>
      </c>
      <c r="GY2" s="926" t="s">
        <v>1155</v>
      </c>
      <c r="GZ2" s="926" t="s">
        <v>1156</v>
      </c>
      <c r="HA2" s="926" t="s">
        <v>1157</v>
      </c>
      <c r="HB2" s="926" t="s">
        <v>1158</v>
      </c>
      <c r="HC2" s="926" t="s">
        <v>1159</v>
      </c>
      <c r="HD2" s="926" t="s">
        <v>1160</v>
      </c>
      <c r="HE2" s="926" t="s">
        <v>1161</v>
      </c>
      <c r="HF2" s="926" t="s">
        <v>1162</v>
      </c>
      <c r="HG2" s="926" t="s">
        <v>1163</v>
      </c>
      <c r="HH2" s="926" t="s">
        <v>1164</v>
      </c>
      <c r="HI2" s="926" t="s">
        <v>1165</v>
      </c>
      <c r="HJ2" s="926" t="s">
        <v>1166</v>
      </c>
      <c r="HK2" s="926" t="s">
        <v>1167</v>
      </c>
      <c r="HL2" s="926" t="s">
        <v>1168</v>
      </c>
      <c r="HM2" s="926" t="s">
        <v>1169</v>
      </c>
      <c r="HN2" s="926" t="s">
        <v>1170</v>
      </c>
      <c r="HO2" s="926" t="s">
        <v>1171</v>
      </c>
      <c r="HP2" s="926" t="s">
        <v>1172</v>
      </c>
      <c r="HQ2" s="926" t="s">
        <v>1173</v>
      </c>
      <c r="HR2" s="926" t="s">
        <v>1174</v>
      </c>
      <c r="HS2" s="926" t="s">
        <v>1175</v>
      </c>
      <c r="HT2" s="926" t="s">
        <v>1176</v>
      </c>
      <c r="HU2" s="926" t="s">
        <v>1177</v>
      </c>
      <c r="HV2" s="926" t="s">
        <v>1178</v>
      </c>
      <c r="HW2" s="926" t="s">
        <v>1179</v>
      </c>
      <c r="HX2" s="926" t="s">
        <v>1180</v>
      </c>
      <c r="HY2" s="926" t="s">
        <v>1181</v>
      </c>
      <c r="HZ2" s="926" t="s">
        <v>1182</v>
      </c>
      <c r="IA2" s="926" t="s">
        <v>1183</v>
      </c>
      <c r="IB2" s="926" t="s">
        <v>1184</v>
      </c>
      <c r="IC2" s="926" t="s">
        <v>1185</v>
      </c>
      <c r="ID2" s="926" t="s">
        <v>1186</v>
      </c>
      <c r="IE2" s="926" t="s">
        <v>1187</v>
      </c>
      <c r="IF2" s="926" t="s">
        <v>1188</v>
      </c>
      <c r="IG2" s="926" t="s">
        <v>1189</v>
      </c>
      <c r="IH2" s="926" t="s">
        <v>1190</v>
      </c>
      <c r="II2" s="926" t="s">
        <v>1191</v>
      </c>
      <c r="IJ2" s="926" t="s">
        <v>1192</v>
      </c>
      <c r="IK2" s="926" t="s">
        <v>1193</v>
      </c>
      <c r="IL2" s="926" t="s">
        <v>1194</v>
      </c>
      <c r="IM2" s="926" t="s">
        <v>1195</v>
      </c>
      <c r="IN2" s="926" t="s">
        <v>1196</v>
      </c>
      <c r="IO2" s="926" t="s">
        <v>1197</v>
      </c>
      <c r="IP2" s="926" t="s">
        <v>1198</v>
      </c>
      <c r="IQ2" s="926" t="s">
        <v>1199</v>
      </c>
      <c r="IR2" s="926" t="s">
        <v>1200</v>
      </c>
      <c r="IS2" s="926" t="s">
        <v>1201</v>
      </c>
      <c r="IT2" s="926" t="s">
        <v>1202</v>
      </c>
      <c r="IU2" s="926" t="s">
        <v>1203</v>
      </c>
      <c r="IV2" s="926" t="s">
        <v>1204</v>
      </c>
    </row>
    <row r="3" ht="13.5" customHeight="1">
      <c r="A3" s="926" t="s">
        <v>1205</v>
      </c>
      <c r="B3" s="926" t="s">
        <v>1206</v>
      </c>
      <c r="C3" s="926" t="s">
        <v>1207</v>
      </c>
      <c r="D3" s="926" t="s">
        <v>1208</v>
      </c>
      <c r="E3" s="926" t="s">
        <v>1209</v>
      </c>
      <c r="F3" s="926" t="s">
        <v>1210</v>
      </c>
      <c r="G3" s="926" t="s">
        <v>1211</v>
      </c>
      <c r="H3" s="926" t="s">
        <v>1212</v>
      </c>
      <c r="I3" s="926" t="s">
        <v>1213</v>
      </c>
      <c r="J3" s="926" t="s">
        <v>1214</v>
      </c>
      <c r="K3" s="926" t="s">
        <v>1215</v>
      </c>
      <c r="L3" s="926" t="s">
        <v>1216</v>
      </c>
      <c r="M3" s="926" t="s">
        <v>1217</v>
      </c>
      <c r="N3" s="926" t="s">
        <v>1218</v>
      </c>
      <c r="O3" s="926" t="s">
        <v>1219</v>
      </c>
      <c r="P3" s="926" t="s">
        <v>1220</v>
      </c>
      <c r="Q3" s="926" t="s">
        <v>1221</v>
      </c>
      <c r="R3" s="926" t="s">
        <v>1222</v>
      </c>
      <c r="S3" s="926" t="s">
        <v>1223</v>
      </c>
      <c r="T3" s="926" t="s">
        <v>1224</v>
      </c>
      <c r="U3" s="926" t="s">
        <v>1225</v>
      </c>
      <c r="V3" s="926" t="s">
        <v>1226</v>
      </c>
      <c r="W3" s="926" t="s">
        <v>1227</v>
      </c>
      <c r="X3" s="926" t="s">
        <v>1228</v>
      </c>
      <c r="Y3" s="926" t="s">
        <v>1229</v>
      </c>
      <c r="Z3" s="926" t="s">
        <v>1230</v>
      </c>
      <c r="AA3" s="926" t="s">
        <v>1231</v>
      </c>
      <c r="AB3" s="926" t="s">
        <v>1232</v>
      </c>
      <c r="AC3" s="926" t="s">
        <v>1233</v>
      </c>
      <c r="AD3" s="926" t="s">
        <v>1234</v>
      </c>
      <c r="AE3" s="926" t="s">
        <v>1235</v>
      </c>
      <c r="AF3" s="926" t="s">
        <v>1236</v>
      </c>
      <c r="AG3" s="926" t="s">
        <v>1237</v>
      </c>
      <c r="AH3" s="926" t="s">
        <v>1238</v>
      </c>
      <c r="AI3" s="926" t="s">
        <v>1239</v>
      </c>
      <c r="AJ3" s="926" t="s">
        <v>1240</v>
      </c>
      <c r="AK3" s="926" t="s">
        <v>1241</v>
      </c>
      <c r="AL3" s="926" t="s">
        <v>1242</v>
      </c>
      <c r="AM3" s="926" t="s">
        <v>1243</v>
      </c>
      <c r="AN3" s="926" t="s">
        <v>1244</v>
      </c>
      <c r="AO3" s="926" t="s">
        <v>1245</v>
      </c>
      <c r="AP3" s="926" t="s">
        <v>1246</v>
      </c>
      <c r="AQ3" s="926" t="s">
        <v>1247</v>
      </c>
      <c r="AR3" s="926" t="s">
        <v>1248</v>
      </c>
      <c r="AS3" s="926" t="s">
        <v>1249</v>
      </c>
      <c r="AT3" s="926" t="s">
        <v>1250</v>
      </c>
      <c r="AU3" s="926" t="s">
        <v>1251</v>
      </c>
      <c r="AV3" s="926" t="s">
        <v>1252</v>
      </c>
      <c r="AW3" s="926" t="s">
        <v>1253</v>
      </c>
      <c r="AX3" s="926" t="s">
        <v>1254</v>
      </c>
      <c r="AY3" s="926" t="s">
        <v>1255</v>
      </c>
      <c r="AZ3" s="926" t="s">
        <v>1256</v>
      </c>
      <c r="BA3" s="926" t="s">
        <v>1257</v>
      </c>
      <c r="BB3" s="926" t="s">
        <v>1258</v>
      </c>
      <c r="BC3" s="926" t="s">
        <v>1259</v>
      </c>
      <c r="BD3" s="926" t="s">
        <v>1260</v>
      </c>
      <c r="BE3" s="926" t="s">
        <v>1261</v>
      </c>
      <c r="BF3" s="926" t="s">
        <v>1262</v>
      </c>
      <c r="BG3" s="926" t="s">
        <v>1263</v>
      </c>
      <c r="BH3" s="926" t="s">
        <v>1264</v>
      </c>
      <c r="BI3" s="926" t="s">
        <v>1265</v>
      </c>
      <c r="BJ3" s="926" t="s">
        <v>1266</v>
      </c>
      <c r="BK3" s="926" t="s">
        <v>1267</v>
      </c>
      <c r="BL3" s="926" t="s">
        <v>1268</v>
      </c>
      <c r="BM3" s="926" t="s">
        <v>1269</v>
      </c>
      <c r="BN3" s="926" t="s">
        <v>1270</v>
      </c>
      <c r="BO3" s="926" t="s">
        <v>1271</v>
      </c>
      <c r="BP3" s="926" t="s">
        <v>1272</v>
      </c>
      <c r="BQ3" s="926" t="s">
        <v>1273</v>
      </c>
      <c r="BR3" s="926" t="s">
        <v>1274</v>
      </c>
      <c r="BS3" s="926" t="s">
        <v>1275</v>
      </c>
      <c r="BT3" s="926" t="s">
        <v>1276</v>
      </c>
      <c r="BU3" s="926" t="s">
        <v>1277</v>
      </c>
      <c r="BV3" s="926" t="s">
        <v>1278</v>
      </c>
      <c r="BW3" s="926" t="s">
        <v>1279</v>
      </c>
      <c r="BX3" s="926" t="s">
        <v>1280</v>
      </c>
      <c r="BY3" s="926" t="s">
        <v>1281</v>
      </c>
      <c r="BZ3" s="926" t="s">
        <v>1282</v>
      </c>
      <c r="CA3" s="926" t="s">
        <v>1283</v>
      </c>
      <c r="CB3" s="926" t="s">
        <v>1284</v>
      </c>
      <c r="CC3" s="926" t="s">
        <v>1285</v>
      </c>
      <c r="CD3" s="926" t="s">
        <v>1286</v>
      </c>
      <c r="CE3" s="926" t="s">
        <v>1287</v>
      </c>
      <c r="CF3" s="926" t="s">
        <v>1288</v>
      </c>
      <c r="CG3" s="926" t="s">
        <v>1289</v>
      </c>
      <c r="CH3" s="926" t="s">
        <v>1290</v>
      </c>
      <c r="CI3" s="926" t="s">
        <v>1291</v>
      </c>
      <c r="CJ3" s="926" t="s">
        <v>1292</v>
      </c>
      <c r="CK3" s="926" t="s">
        <v>1293</v>
      </c>
      <c r="CL3" s="926" t="s">
        <v>1294</v>
      </c>
      <c r="CM3" s="926" t="s">
        <v>1295</v>
      </c>
      <c r="CN3" s="926" t="s">
        <v>1296</v>
      </c>
      <c r="CO3" s="926" t="s">
        <v>1297</v>
      </c>
      <c r="CP3" s="926" t="s">
        <v>1298</v>
      </c>
      <c r="CQ3" s="926" t="s">
        <v>1299</v>
      </c>
      <c r="CR3" s="926" t="s">
        <v>1300</v>
      </c>
      <c r="CS3" s="926" t="s">
        <v>1301</v>
      </c>
      <c r="CT3" s="926" t="s">
        <v>1302</v>
      </c>
      <c r="CU3" s="926" t="s">
        <v>1303</v>
      </c>
      <c r="CV3" s="926" t="s">
        <v>1304</v>
      </c>
      <c r="CW3" s="926" t="s">
        <v>1305</v>
      </c>
      <c r="CX3" s="926" t="s">
        <v>1306</v>
      </c>
      <c r="CY3" s="926" t="s">
        <v>1307</v>
      </c>
      <c r="CZ3" s="926" t="s">
        <v>1308</v>
      </c>
      <c r="DA3" s="926" t="s">
        <v>1309</v>
      </c>
      <c r="DB3" s="926" t="s">
        <v>1310</v>
      </c>
      <c r="DC3" s="926" t="s">
        <v>1311</v>
      </c>
      <c r="DD3" s="926" t="s">
        <v>1312</v>
      </c>
      <c r="DE3" s="926" t="s">
        <v>1313</v>
      </c>
      <c r="DF3" s="926" t="s">
        <v>1314</v>
      </c>
      <c r="DG3" s="926" t="s">
        <v>1315</v>
      </c>
      <c r="DH3" s="926" t="s">
        <v>1316</v>
      </c>
      <c r="DI3" s="926" t="s">
        <v>1317</v>
      </c>
      <c r="DJ3" s="926" t="s">
        <v>1318</v>
      </c>
      <c r="DK3" s="926" t="s">
        <v>1319</v>
      </c>
      <c r="DL3" s="926" t="s">
        <v>1320</v>
      </c>
      <c r="DM3" s="926" t="s">
        <v>1321</v>
      </c>
      <c r="DN3" s="926" t="s">
        <v>1322</v>
      </c>
      <c r="DO3" s="926" t="s">
        <v>1323</v>
      </c>
      <c r="DP3" s="926" t="s">
        <v>1324</v>
      </c>
      <c r="DQ3" s="926" t="s">
        <v>1325</v>
      </c>
      <c r="DR3" s="926" t="s">
        <v>1326</v>
      </c>
      <c r="DS3" s="926" t="s">
        <v>1327</v>
      </c>
      <c r="DT3" s="926" t="s">
        <v>1328</v>
      </c>
      <c r="DU3" s="926" t="s">
        <v>1329</v>
      </c>
      <c r="DV3" s="926" t="s">
        <v>1330</v>
      </c>
      <c r="DW3" s="926" t="s">
        <v>1331</v>
      </c>
      <c r="DX3" s="926" t="s">
        <v>1332</v>
      </c>
      <c r="DY3" s="926" t="s">
        <v>1333</v>
      </c>
      <c r="DZ3" s="926" t="s">
        <v>1334</v>
      </c>
      <c r="EA3" s="926" t="s">
        <v>1335</v>
      </c>
      <c r="EB3" s="926" t="s">
        <v>1336</v>
      </c>
      <c r="EC3" s="926" t="s">
        <v>1337</v>
      </c>
      <c r="ED3" s="926" t="s">
        <v>1338</v>
      </c>
      <c r="EE3" s="926" t="s">
        <v>1339</v>
      </c>
      <c r="EF3" s="926" t="s">
        <v>1340</v>
      </c>
      <c r="EG3" s="926" t="s">
        <v>1341</v>
      </c>
      <c r="EH3" s="926" t="s">
        <v>1342</v>
      </c>
      <c r="EI3" s="926" t="s">
        <v>1343</v>
      </c>
      <c r="EJ3" s="926" t="s">
        <v>1344</v>
      </c>
      <c r="EK3" s="926" t="s">
        <v>1345</v>
      </c>
      <c r="EL3" s="926" t="s">
        <v>1346</v>
      </c>
      <c r="EM3" s="926" t="s">
        <v>1347</v>
      </c>
      <c r="EN3" s="926" t="s">
        <v>1348</v>
      </c>
      <c r="EO3" s="926" t="s">
        <v>1349</v>
      </c>
      <c r="EP3" s="926" t="s">
        <v>1350</v>
      </c>
      <c r="EQ3" s="926" t="s">
        <v>1351</v>
      </c>
      <c r="ER3" s="926" t="s">
        <v>1352</v>
      </c>
      <c r="ES3" s="926" t="s">
        <v>1353</v>
      </c>
      <c r="ET3" s="926" t="s">
        <v>1354</v>
      </c>
      <c r="EU3" s="926" t="s">
        <v>1355</v>
      </c>
      <c r="EV3" s="926" t="s">
        <v>1356</v>
      </c>
      <c r="EW3" s="926" t="s">
        <v>1357</v>
      </c>
      <c r="EX3" s="926" t="s">
        <v>1358</v>
      </c>
      <c r="EY3" s="926" t="s">
        <v>1359</v>
      </c>
      <c r="EZ3" s="926" t="s">
        <v>1360</v>
      </c>
      <c r="FA3" s="926" t="s">
        <v>1361</v>
      </c>
      <c r="FB3" s="926" t="s">
        <v>1362</v>
      </c>
      <c r="FC3" s="926" t="s">
        <v>1363</v>
      </c>
      <c r="FD3" s="926" t="s">
        <v>1364</v>
      </c>
      <c r="FE3" s="926" t="s">
        <v>1365</v>
      </c>
      <c r="FF3" s="926" t="s">
        <v>1366</v>
      </c>
      <c r="FG3" s="926" t="s">
        <v>1367</v>
      </c>
      <c r="FH3" s="926" t="s">
        <v>1368</v>
      </c>
      <c r="FI3" s="926" t="s">
        <v>1369</v>
      </c>
      <c r="FJ3" s="926" t="s">
        <v>1370</v>
      </c>
      <c r="FK3" s="926" t="s">
        <v>1371</v>
      </c>
      <c r="FL3" s="926" t="s">
        <v>1372</v>
      </c>
      <c r="FM3" s="926" t="s">
        <v>1373</v>
      </c>
      <c r="FN3" s="926" t="s">
        <v>1374</v>
      </c>
      <c r="FO3" s="926" t="s">
        <v>1375</v>
      </c>
      <c r="FP3" s="926" t="s">
        <v>1376</v>
      </c>
      <c r="FQ3" s="926" t="s">
        <v>1377</v>
      </c>
      <c r="FR3" s="926" t="s">
        <v>1378</v>
      </c>
      <c r="FS3" s="926" t="s">
        <v>1379</v>
      </c>
      <c r="FT3" s="926" t="s">
        <v>1380</v>
      </c>
      <c r="FU3" s="926" t="s">
        <v>1381</v>
      </c>
      <c r="FV3" s="926" t="s">
        <v>1382</v>
      </c>
      <c r="FW3" s="926" t="s">
        <v>1383</v>
      </c>
      <c r="FX3" s="926" t="s">
        <v>1384</v>
      </c>
      <c r="FY3" s="926" t="s">
        <v>1385</v>
      </c>
      <c r="FZ3" s="926" t="s">
        <v>1386</v>
      </c>
      <c r="GA3" s="926" t="s">
        <v>1387</v>
      </c>
      <c r="GB3" s="926" t="s">
        <v>1388</v>
      </c>
      <c r="GC3" s="926" t="s">
        <v>1389</v>
      </c>
      <c r="GD3" s="926" t="s">
        <v>1390</v>
      </c>
      <c r="GE3" s="926" t="s">
        <v>1391</v>
      </c>
      <c r="GF3" s="926" t="s">
        <v>1392</v>
      </c>
      <c r="GG3" s="926" t="s">
        <v>1393</v>
      </c>
      <c r="GH3" s="926" t="s">
        <v>1394</v>
      </c>
      <c r="GI3" s="926" t="s">
        <v>1395</v>
      </c>
      <c r="GJ3" s="926" t="s">
        <v>1396</v>
      </c>
      <c r="GK3" s="926" t="s">
        <v>1397</v>
      </c>
      <c r="GL3" s="926" t="s">
        <v>1398</v>
      </c>
      <c r="GM3" s="926" t="s">
        <v>1399</v>
      </c>
      <c r="GN3" s="926" t="s">
        <v>1400</v>
      </c>
      <c r="GO3" s="926" t="s">
        <v>1401</v>
      </c>
      <c r="GP3" s="926" t="s">
        <v>1402</v>
      </c>
      <c r="GQ3" s="926" t="s">
        <v>1403</v>
      </c>
      <c r="GR3" s="926" t="s">
        <v>1404</v>
      </c>
      <c r="GS3" s="926" t="s">
        <v>1405</v>
      </c>
      <c r="GT3" s="926" t="s">
        <v>1406</v>
      </c>
      <c r="GU3" s="926" t="s">
        <v>1407</v>
      </c>
      <c r="GV3" s="926" t="s">
        <v>1408</v>
      </c>
      <c r="GW3" s="926" t="s">
        <v>1409</v>
      </c>
      <c r="GX3" s="926" t="s">
        <v>1410</v>
      </c>
      <c r="GY3" s="926" t="s">
        <v>1411</v>
      </c>
      <c r="GZ3" s="926" t="s">
        <v>1412</v>
      </c>
      <c r="HA3" s="926" t="s">
        <v>1413</v>
      </c>
      <c r="HB3" s="926" t="s">
        <v>1414</v>
      </c>
      <c r="HC3" s="926" t="s">
        <v>1415</v>
      </c>
      <c r="HD3" s="926" t="s">
        <v>1416</v>
      </c>
      <c r="HE3" s="926" t="s">
        <v>1417</v>
      </c>
      <c r="HF3" s="926" t="s">
        <v>1418</v>
      </c>
      <c r="HG3" s="926" t="s">
        <v>1419</v>
      </c>
      <c r="HH3" s="926" t="s">
        <v>1420</v>
      </c>
      <c r="HI3" s="926" t="s">
        <v>1421</v>
      </c>
      <c r="HJ3" s="926" t="s">
        <v>1422</v>
      </c>
      <c r="HK3" s="926" t="s">
        <v>1423</v>
      </c>
      <c r="HL3" s="926" t="s">
        <v>1424</v>
      </c>
      <c r="HM3" s="926" t="s">
        <v>1425</v>
      </c>
      <c r="HN3" s="926" t="s">
        <v>1426</v>
      </c>
      <c r="HO3" s="926" t="s">
        <v>1427</v>
      </c>
      <c r="HP3" s="926" t="s">
        <v>1428</v>
      </c>
      <c r="HQ3" s="926" t="s">
        <v>1429</v>
      </c>
      <c r="HR3" s="926" t="s">
        <v>1430</v>
      </c>
      <c r="HS3" s="926" t="s">
        <v>1431</v>
      </c>
      <c r="HT3" s="926" t="s">
        <v>1432</v>
      </c>
      <c r="HU3" s="926" t="s">
        <v>1433</v>
      </c>
      <c r="HV3" s="926" t="s">
        <v>1434</v>
      </c>
      <c r="HW3" s="926" t="s">
        <v>1435</v>
      </c>
      <c r="HX3" s="926" t="s">
        <v>1436</v>
      </c>
      <c r="HY3" s="926" t="s">
        <v>1437</v>
      </c>
      <c r="HZ3" s="926" t="s">
        <v>1438</v>
      </c>
      <c r="IA3" s="926" t="s">
        <v>1439</v>
      </c>
      <c r="IB3" s="926" t="s">
        <v>1440</v>
      </c>
      <c r="IC3" s="926" t="s">
        <v>1441</v>
      </c>
      <c r="ID3" s="926" t="s">
        <v>1442</v>
      </c>
      <c r="IE3" s="926" t="s">
        <v>1443</v>
      </c>
      <c r="IF3" s="926" t="s">
        <v>1444</v>
      </c>
      <c r="IG3" s="926" t="s">
        <v>1445</v>
      </c>
      <c r="IH3" s="926" t="s">
        <v>1446</v>
      </c>
      <c r="II3" s="926" t="s">
        <v>1447</v>
      </c>
      <c r="IJ3" s="926" t="s">
        <v>1448</v>
      </c>
      <c r="IK3" s="926" t="s">
        <v>1449</v>
      </c>
      <c r="IL3" s="926" t="s">
        <v>1450</v>
      </c>
      <c r="IM3" s="926" t="s">
        <v>1451</v>
      </c>
      <c r="IN3" s="926" t="s">
        <v>1452</v>
      </c>
      <c r="IO3" s="926" t="s">
        <v>1453</v>
      </c>
      <c r="IP3" s="926" t="s">
        <v>1454</v>
      </c>
      <c r="IQ3" s="926" t="s">
        <v>1455</v>
      </c>
      <c r="IR3" s="926" t="s">
        <v>1456</v>
      </c>
      <c r="IS3" s="926" t="s">
        <v>1457</v>
      </c>
      <c r="IT3" s="926" t="s">
        <v>1458</v>
      </c>
      <c r="IU3" s="926" t="s">
        <v>1459</v>
      </c>
      <c r="IV3" s="926" t="s">
        <v>1460</v>
      </c>
    </row>
    <row r="4" ht="13.5" customHeight="1">
      <c r="A4" s="926" t="s">
        <v>1461</v>
      </c>
      <c r="B4" s="926" t="s">
        <v>1462</v>
      </c>
      <c r="C4" s="926" t="s">
        <v>1463</v>
      </c>
      <c r="D4" s="926" t="s">
        <v>1464</v>
      </c>
      <c r="E4" s="926" t="s">
        <v>1465</v>
      </c>
      <c r="F4" s="926" t="s">
        <v>1466</v>
      </c>
      <c r="G4" s="926" t="s">
        <v>1467</v>
      </c>
      <c r="H4" s="926" t="s">
        <v>1468</v>
      </c>
      <c r="I4" s="926" t="s">
        <v>1469</v>
      </c>
      <c r="J4" s="926" t="s">
        <v>1470</v>
      </c>
      <c r="K4" s="926" t="s">
        <v>1471</v>
      </c>
      <c r="L4" s="926" t="s">
        <v>1472</v>
      </c>
      <c r="M4" s="926" t="s">
        <v>1473</v>
      </c>
      <c r="N4" s="926" t="s">
        <v>1474</v>
      </c>
      <c r="O4" s="926" t="s">
        <v>1475</v>
      </c>
      <c r="P4" s="926" t="s">
        <v>1476</v>
      </c>
      <c r="Q4" s="926" t="s">
        <v>1477</v>
      </c>
      <c r="R4" s="926" t="s">
        <v>1478</v>
      </c>
      <c r="S4" s="926" t="s">
        <v>1479</v>
      </c>
      <c r="T4" s="926" t="s">
        <v>1480</v>
      </c>
      <c r="U4" s="926" t="s">
        <v>1481</v>
      </c>
      <c r="V4" s="926" t="s">
        <v>1482</v>
      </c>
      <c r="W4" s="926" t="s">
        <v>1483</v>
      </c>
      <c r="X4" s="926" t="s">
        <v>1484</v>
      </c>
      <c r="Y4" s="926" t="s">
        <v>1485</v>
      </c>
      <c r="Z4" s="926" t="s">
        <v>1486</v>
      </c>
      <c r="AA4" s="926" t="s">
        <v>1487</v>
      </c>
      <c r="AB4" s="926" t="s">
        <v>1488</v>
      </c>
      <c r="AC4" s="926" t="s">
        <v>1489</v>
      </c>
      <c r="AD4" s="926" t="s">
        <v>1490</v>
      </c>
      <c r="AE4" s="926" t="s">
        <v>1491</v>
      </c>
      <c r="AF4" s="926" t="s">
        <v>1492</v>
      </c>
      <c r="AG4" s="926" t="s">
        <v>1493</v>
      </c>
      <c r="AH4" s="926" t="s">
        <v>1494</v>
      </c>
      <c r="AI4" s="926" t="s">
        <v>1495</v>
      </c>
      <c r="AJ4" s="926" t="s">
        <v>1496</v>
      </c>
      <c r="AK4" s="926" t="s">
        <v>1497</v>
      </c>
      <c r="AL4" s="926" t="s">
        <v>1498</v>
      </c>
      <c r="AM4" s="926" t="s">
        <v>1499</v>
      </c>
      <c r="AN4" s="926" t="s">
        <v>1500</v>
      </c>
      <c r="AO4" s="926" t="s">
        <v>1501</v>
      </c>
      <c r="AP4" s="926" t="s">
        <v>1502</v>
      </c>
      <c r="AQ4" s="926" t="s">
        <v>1503</v>
      </c>
      <c r="AR4" s="926" t="s">
        <v>1504</v>
      </c>
      <c r="AS4" s="926" t="s">
        <v>1505</v>
      </c>
      <c r="AT4" s="926" t="s">
        <v>1506</v>
      </c>
      <c r="AU4" s="926" t="s">
        <v>1507</v>
      </c>
      <c r="AV4" s="926" t="s">
        <v>1508</v>
      </c>
      <c r="AW4" s="926" t="s">
        <v>1509</v>
      </c>
      <c r="AX4" s="926" t="s">
        <v>1510</v>
      </c>
      <c r="AY4" s="926" t="s">
        <v>1511</v>
      </c>
      <c r="AZ4" s="926" t="s">
        <v>1512</v>
      </c>
      <c r="BA4" s="926" t="s">
        <v>1513</v>
      </c>
      <c r="BB4" s="926" t="s">
        <v>1514</v>
      </c>
      <c r="BC4" s="926" t="s">
        <v>1515</v>
      </c>
      <c r="BD4" s="926" t="s">
        <v>1516</v>
      </c>
      <c r="BE4" s="926" t="s">
        <v>1517</v>
      </c>
      <c r="BF4" s="926" t="s">
        <v>1518</v>
      </c>
      <c r="BG4" s="926" t="s">
        <v>1519</v>
      </c>
      <c r="BH4" s="926" t="s">
        <v>1520</v>
      </c>
      <c r="BI4" s="926" t="s">
        <v>1521</v>
      </c>
      <c r="BJ4" s="926" t="s">
        <v>1522</v>
      </c>
      <c r="BK4" s="926" t="s">
        <v>1523</v>
      </c>
      <c r="BL4" s="926" t="s">
        <v>1524</v>
      </c>
      <c r="BM4" s="926" t="s">
        <v>1525</v>
      </c>
      <c r="BN4" s="926" t="s">
        <v>1526</v>
      </c>
      <c r="BO4" s="926" t="s">
        <v>1527</v>
      </c>
      <c r="BP4" s="926" t="s">
        <v>1528</v>
      </c>
      <c r="BQ4" s="926" t="s">
        <v>1529</v>
      </c>
      <c r="BR4" s="926" t="s">
        <v>1530</v>
      </c>
      <c r="BS4" s="926" t="s">
        <v>1531</v>
      </c>
      <c r="BT4" s="926" t="s">
        <v>1532</v>
      </c>
      <c r="BU4" s="926" t="s">
        <v>1533</v>
      </c>
      <c r="BV4" s="926" t="s">
        <v>1534</v>
      </c>
      <c r="BW4" s="926" t="s">
        <v>1535</v>
      </c>
      <c r="BX4" s="926" t="s">
        <v>1536</v>
      </c>
      <c r="BY4" s="926" t="s">
        <v>1537</v>
      </c>
      <c r="BZ4" s="926" t="s">
        <v>1538</v>
      </c>
      <c r="CA4" s="926" t="s">
        <v>1539</v>
      </c>
      <c r="CB4" s="926" t="s">
        <v>1540</v>
      </c>
      <c r="CC4" s="926" t="s">
        <v>1541</v>
      </c>
      <c r="CD4" s="926" t="s">
        <v>1542</v>
      </c>
      <c r="CE4" s="926" t="s">
        <v>1543</v>
      </c>
      <c r="CF4" s="926" t="s">
        <v>1544</v>
      </c>
      <c r="CG4" s="926" t="s">
        <v>1545</v>
      </c>
      <c r="CH4" s="926" t="s">
        <v>1546</v>
      </c>
      <c r="CI4" s="926" t="s">
        <v>1547</v>
      </c>
      <c r="CJ4" s="926" t="s">
        <v>1548</v>
      </c>
      <c r="CK4" s="926" t="s">
        <v>1549</v>
      </c>
      <c r="CL4" s="926" t="s">
        <v>1550</v>
      </c>
      <c r="CM4" s="926" t="s">
        <v>1551</v>
      </c>
      <c r="CN4" s="926" t="s">
        <v>1552</v>
      </c>
      <c r="CO4" s="926" t="s">
        <v>1553</v>
      </c>
      <c r="CP4" s="926" t="s">
        <v>1554</v>
      </c>
      <c r="CQ4" s="926" t="s">
        <v>1555</v>
      </c>
      <c r="CR4" s="926" t="s">
        <v>1556</v>
      </c>
      <c r="CS4" s="926" t="s">
        <v>1557</v>
      </c>
      <c r="CT4" s="926" t="s">
        <v>1558</v>
      </c>
      <c r="CU4" s="926" t="s">
        <v>1559</v>
      </c>
      <c r="CV4" s="926" t="s">
        <v>1560</v>
      </c>
      <c r="CW4" s="926" t="s">
        <v>1561</v>
      </c>
      <c r="CX4" s="926" t="s">
        <v>1562</v>
      </c>
      <c r="CY4" s="926" t="s">
        <v>1563</v>
      </c>
      <c r="CZ4" s="926" t="s">
        <v>1564</v>
      </c>
      <c r="DA4" s="926" t="s">
        <v>1565</v>
      </c>
      <c r="DB4" s="926" t="s">
        <v>1566</v>
      </c>
      <c r="DC4" s="926" t="s">
        <v>1567</v>
      </c>
      <c r="DD4" s="926" t="s">
        <v>1568</v>
      </c>
      <c r="DE4" s="926" t="s">
        <v>1569</v>
      </c>
      <c r="DF4" s="926" t="s">
        <v>1570</v>
      </c>
      <c r="DG4" s="926" t="s">
        <v>1571</v>
      </c>
      <c r="DH4" s="926" t="s">
        <v>1572</v>
      </c>
      <c r="DI4" s="926" t="s">
        <v>1573</v>
      </c>
      <c r="DJ4" s="926" t="s">
        <v>1574</v>
      </c>
      <c r="DK4" s="926" t="s">
        <v>1575</v>
      </c>
      <c r="DL4" s="926" t="s">
        <v>1576</v>
      </c>
      <c r="DM4" s="926" t="s">
        <v>1577</v>
      </c>
      <c r="DN4" s="926" t="s">
        <v>1578</v>
      </c>
      <c r="DO4" s="926" t="s">
        <v>1579</v>
      </c>
      <c r="DP4" s="926" t="s">
        <v>1580</v>
      </c>
      <c r="DQ4" s="926" t="s">
        <v>1581</v>
      </c>
      <c r="DR4" s="926" t="s">
        <v>1582</v>
      </c>
      <c r="DS4" s="926" t="s">
        <v>1583</v>
      </c>
      <c r="DT4" s="926" t="s">
        <v>1584</v>
      </c>
      <c r="DU4" s="926" t="s">
        <v>1585</v>
      </c>
      <c r="DV4" s="926" t="s">
        <v>1586</v>
      </c>
      <c r="DW4" s="926" t="s">
        <v>1587</v>
      </c>
      <c r="DX4" s="926" t="s">
        <v>1588</v>
      </c>
      <c r="DY4" s="926" t="s">
        <v>1589</v>
      </c>
      <c r="DZ4" s="926" t="s">
        <v>1590</v>
      </c>
      <c r="EA4" s="926" t="s">
        <v>1591</v>
      </c>
      <c r="EB4" s="926" t="s">
        <v>1592</v>
      </c>
      <c r="EC4" s="926" t="s">
        <v>1593</v>
      </c>
      <c r="ED4" s="926" t="s">
        <v>1594</v>
      </c>
      <c r="EE4" s="926" t="s">
        <v>1595</v>
      </c>
      <c r="EF4" s="926" t="s">
        <v>1596</v>
      </c>
      <c r="EG4" s="926" t="s">
        <v>1597</v>
      </c>
      <c r="EH4" s="926" t="s">
        <v>1598</v>
      </c>
      <c r="EI4" s="926" t="s">
        <v>1599</v>
      </c>
      <c r="EJ4" s="926" t="s">
        <v>1600</v>
      </c>
      <c r="EK4" s="926" t="s">
        <v>1601</v>
      </c>
      <c r="EL4" s="926" t="s">
        <v>1602</v>
      </c>
      <c r="EM4" s="926" t="s">
        <v>1603</v>
      </c>
      <c r="EN4" s="926" t="s">
        <v>1604</v>
      </c>
      <c r="EO4" s="926" t="s">
        <v>1605</v>
      </c>
      <c r="EP4" s="926" t="s">
        <v>1606</v>
      </c>
      <c r="EQ4" s="926" t="s">
        <v>1607</v>
      </c>
      <c r="ER4" s="926" t="s">
        <v>1608</v>
      </c>
      <c r="ES4" s="926" t="s">
        <v>1609</v>
      </c>
      <c r="ET4" s="926" t="s">
        <v>1610</v>
      </c>
      <c r="EU4" s="926" t="s">
        <v>1611</v>
      </c>
      <c r="EV4" s="926" t="s">
        <v>1612</v>
      </c>
      <c r="EW4" s="926" t="s">
        <v>1613</v>
      </c>
      <c r="EX4" s="926" t="s">
        <v>1614</v>
      </c>
      <c r="EY4" s="926" t="s">
        <v>1615</v>
      </c>
      <c r="EZ4" s="926" t="s">
        <v>1616</v>
      </c>
      <c r="FA4" s="926" t="s">
        <v>1617</v>
      </c>
      <c r="FB4" s="926" t="s">
        <v>1618</v>
      </c>
      <c r="FC4" s="926" t="s">
        <v>1619</v>
      </c>
      <c r="FD4" s="926" t="s">
        <v>1620</v>
      </c>
      <c r="FE4" s="926" t="s">
        <v>1621</v>
      </c>
      <c r="FF4" s="926" t="s">
        <v>1622</v>
      </c>
      <c r="FG4" s="926" t="s">
        <v>1623</v>
      </c>
      <c r="FH4" s="926" t="s">
        <v>1624</v>
      </c>
      <c r="FI4" s="926" t="s">
        <v>1625</v>
      </c>
      <c r="FJ4" s="926" t="s">
        <v>1626</v>
      </c>
      <c r="FK4" s="926" t="s">
        <v>1627</v>
      </c>
      <c r="FL4" s="926" t="s">
        <v>1628</v>
      </c>
      <c r="FM4" s="926" t="s">
        <v>1629</v>
      </c>
      <c r="FN4" s="926" t="s">
        <v>1630</v>
      </c>
      <c r="FO4" s="926" t="s">
        <v>1631</v>
      </c>
      <c r="FP4" s="926" t="s">
        <v>1632</v>
      </c>
      <c r="FQ4" s="926" t="s">
        <v>1633</v>
      </c>
      <c r="FR4" s="926" t="s">
        <v>1634</v>
      </c>
      <c r="FS4" s="926" t="s">
        <v>1635</v>
      </c>
      <c r="FT4" s="926" t="s">
        <v>1636</v>
      </c>
      <c r="FU4" s="926" t="s">
        <v>1637</v>
      </c>
      <c r="FV4" s="926" t="s">
        <v>1638</v>
      </c>
      <c r="FW4" s="926" t="s">
        <v>1639</v>
      </c>
      <c r="FX4" s="926" t="s">
        <v>1640</v>
      </c>
      <c r="FY4" s="926" t="s">
        <v>1641</v>
      </c>
      <c r="FZ4" s="926" t="s">
        <v>1642</v>
      </c>
      <c r="GA4" s="926" t="s">
        <v>1643</v>
      </c>
      <c r="GB4" s="926" t="s">
        <v>1644</v>
      </c>
      <c r="GC4" s="926" t="s">
        <v>1645</v>
      </c>
      <c r="GD4" s="926" t="s">
        <v>1646</v>
      </c>
      <c r="GE4" s="926" t="s">
        <v>1647</v>
      </c>
      <c r="GF4" s="926" t="s">
        <v>1648</v>
      </c>
      <c r="GG4" s="926" t="s">
        <v>1649</v>
      </c>
      <c r="GH4" s="926" t="s">
        <v>1650</v>
      </c>
      <c r="GI4" s="926" t="s">
        <v>1651</v>
      </c>
      <c r="GJ4" s="926" t="s">
        <v>1652</v>
      </c>
      <c r="GK4" s="926" t="s">
        <v>1653</v>
      </c>
      <c r="GL4" s="926" t="s">
        <v>1654</v>
      </c>
      <c r="GM4" s="926" t="s">
        <v>1655</v>
      </c>
      <c r="GN4" s="926" t="s">
        <v>1656</v>
      </c>
      <c r="GO4" s="926" t="s">
        <v>1657</v>
      </c>
      <c r="GP4" s="926" t="s">
        <v>1658</v>
      </c>
      <c r="GQ4" s="926" t="s">
        <v>1659</v>
      </c>
      <c r="GR4" s="926" t="s">
        <v>1660</v>
      </c>
      <c r="GS4" s="926" t="s">
        <v>1661</v>
      </c>
      <c r="GT4" s="926" t="s">
        <v>1662</v>
      </c>
      <c r="GU4" s="926" t="s">
        <v>1663</v>
      </c>
      <c r="GV4" s="926" t="s">
        <v>1664</v>
      </c>
      <c r="GW4" s="926" t="s">
        <v>1665</v>
      </c>
      <c r="GX4" s="926" t="s">
        <v>1666</v>
      </c>
      <c r="GY4" s="926" t="s">
        <v>1667</v>
      </c>
      <c r="GZ4" s="926" t="s">
        <v>1668</v>
      </c>
      <c r="HA4" s="926" t="s">
        <v>1669</v>
      </c>
      <c r="HB4" s="926" t="s">
        <v>1670</v>
      </c>
      <c r="HC4" s="926" t="s">
        <v>1671</v>
      </c>
      <c r="HD4" s="926" t="s">
        <v>1672</v>
      </c>
      <c r="HE4" s="926" t="s">
        <v>1673</v>
      </c>
      <c r="HF4" s="926" t="s">
        <v>1674</v>
      </c>
      <c r="HG4" s="926" t="s">
        <v>1675</v>
      </c>
      <c r="HH4" s="926" t="s">
        <v>1676</v>
      </c>
      <c r="HI4" s="926" t="s">
        <v>1677</v>
      </c>
      <c r="HJ4" s="926" t="s">
        <v>1678</v>
      </c>
      <c r="HK4" s="926" t="s">
        <v>1679</v>
      </c>
      <c r="HL4" s="926" t="s">
        <v>1680</v>
      </c>
      <c r="HM4" s="926" t="s">
        <v>1681</v>
      </c>
      <c r="HN4" s="926" t="s">
        <v>1682</v>
      </c>
      <c r="HO4" s="926" t="s">
        <v>1683</v>
      </c>
      <c r="HP4" s="926" t="s">
        <v>1684</v>
      </c>
      <c r="HQ4" s="926" t="s">
        <v>1685</v>
      </c>
      <c r="HR4" s="926" t="s">
        <v>1686</v>
      </c>
      <c r="HS4" s="926" t="s">
        <v>1687</v>
      </c>
      <c r="HT4" s="926" t="s">
        <v>1688</v>
      </c>
      <c r="HU4" s="926" t="s">
        <v>1689</v>
      </c>
      <c r="HV4" s="926" t="s">
        <v>1690</v>
      </c>
      <c r="HW4" s="926" t="s">
        <v>1691</v>
      </c>
      <c r="HX4" s="926" t="s">
        <v>1692</v>
      </c>
      <c r="HY4" s="926" t="s">
        <v>1693</v>
      </c>
      <c r="HZ4" s="926" t="s">
        <v>1694</v>
      </c>
      <c r="IA4" s="926" t="s">
        <v>1695</v>
      </c>
      <c r="IB4" s="926" t="s">
        <v>1696</v>
      </c>
      <c r="IC4" s="926" t="s">
        <v>1697</v>
      </c>
      <c r="ID4" s="926" t="s">
        <v>1698</v>
      </c>
      <c r="IE4" s="926" t="s">
        <v>1699</v>
      </c>
      <c r="IF4" s="926" t="s">
        <v>1700</v>
      </c>
      <c r="IG4" s="926" t="s">
        <v>1701</v>
      </c>
      <c r="IH4" s="926" t="s">
        <v>1702</v>
      </c>
      <c r="II4" s="926" t="s">
        <v>1703</v>
      </c>
      <c r="IJ4" s="926" t="s">
        <v>1704</v>
      </c>
      <c r="IK4" s="926" t="s">
        <v>1705</v>
      </c>
      <c r="IL4" s="926" t="s">
        <v>1706</v>
      </c>
      <c r="IM4" s="926" t="s">
        <v>1707</v>
      </c>
      <c r="IN4" s="926" t="s">
        <v>1708</v>
      </c>
      <c r="IO4" s="926" t="s">
        <v>1709</v>
      </c>
      <c r="IP4" s="926" t="s">
        <v>1710</v>
      </c>
      <c r="IQ4" s="926" t="s">
        <v>1711</v>
      </c>
      <c r="IR4" s="926" t="s">
        <v>1712</v>
      </c>
      <c r="IS4" s="926" t="s">
        <v>1713</v>
      </c>
      <c r="IT4" s="926" t="s">
        <v>1714</v>
      </c>
      <c r="IU4" s="926" t="s">
        <v>1715</v>
      </c>
      <c r="IV4" s="926" t="s">
        <v>1716</v>
      </c>
    </row>
    <row r="5" ht="13.5" customHeight="1">
      <c r="A5" s="926" t="s">
        <v>1717</v>
      </c>
      <c r="B5" s="926" t="s">
        <v>1718</v>
      </c>
      <c r="C5" s="926" t="s">
        <v>1719</v>
      </c>
      <c r="D5" s="926" t="s">
        <v>1720</v>
      </c>
      <c r="E5" s="926" t="s">
        <v>1721</v>
      </c>
      <c r="F5" s="926" t="s">
        <v>1722</v>
      </c>
      <c r="G5" s="926" t="s">
        <v>1723</v>
      </c>
      <c r="H5" s="926" t="s">
        <v>1724</v>
      </c>
      <c r="I5" s="926" t="s">
        <v>1725</v>
      </c>
      <c r="J5" s="926" t="s">
        <v>1726</v>
      </c>
      <c r="K5" s="926" t="s">
        <v>1727</v>
      </c>
      <c r="L5" s="926" t="s">
        <v>1728</v>
      </c>
      <c r="M5" s="926" t="s">
        <v>1729</v>
      </c>
      <c r="N5" s="926" t="s">
        <v>1730</v>
      </c>
      <c r="O5" s="926" t="s">
        <v>1731</v>
      </c>
      <c r="P5" s="926" t="s">
        <v>1732</v>
      </c>
      <c r="Q5" s="926" t="s">
        <v>1733</v>
      </c>
      <c r="R5" s="926" t="s">
        <v>1734</v>
      </c>
      <c r="S5" s="926" t="s">
        <v>1735</v>
      </c>
      <c r="T5" s="926" t="s">
        <v>1736</v>
      </c>
      <c r="U5" s="926" t="s">
        <v>1737</v>
      </c>
      <c r="V5" s="926" t="s">
        <v>1738</v>
      </c>
      <c r="W5" s="926" t="s">
        <v>1739</v>
      </c>
      <c r="X5" s="926" t="s">
        <v>1740</v>
      </c>
      <c r="Y5" s="926" t="s">
        <v>1741</v>
      </c>
      <c r="Z5" s="926" t="s">
        <v>1742</v>
      </c>
      <c r="AA5" s="926" t="s">
        <v>1743</v>
      </c>
      <c r="AB5" s="926" t="s">
        <v>1744</v>
      </c>
      <c r="AC5" s="926" t="s">
        <v>1745</v>
      </c>
      <c r="AD5" s="926" t="s">
        <v>1746</v>
      </c>
      <c r="AE5" s="926" t="s">
        <v>1747</v>
      </c>
      <c r="AF5" s="926" t="s">
        <v>1748</v>
      </c>
      <c r="AG5" s="926" t="s">
        <v>1749</v>
      </c>
      <c r="AH5" s="926" t="s">
        <v>1750</v>
      </c>
      <c r="AI5" s="926" t="s">
        <v>1751</v>
      </c>
      <c r="AJ5" s="926" t="s">
        <v>1752</v>
      </c>
      <c r="AK5" s="926" t="s">
        <v>1753</v>
      </c>
      <c r="AL5" s="926" t="s">
        <v>1754</v>
      </c>
      <c r="AM5" s="926" t="s">
        <v>1755</v>
      </c>
      <c r="AN5" s="926" t="s">
        <v>1756</v>
      </c>
      <c r="AO5" s="926" t="s">
        <v>1757</v>
      </c>
      <c r="AP5" s="926" t="s">
        <v>1758</v>
      </c>
      <c r="AQ5" s="926" t="s">
        <v>1759</v>
      </c>
      <c r="AR5" s="926" t="s">
        <v>1760</v>
      </c>
      <c r="AS5" s="926" t="s">
        <v>1761</v>
      </c>
      <c r="AT5" s="926" t="s">
        <v>1762</v>
      </c>
      <c r="AU5" s="926" t="s">
        <v>1763</v>
      </c>
      <c r="AV5" s="926" t="s">
        <v>1764</v>
      </c>
      <c r="AW5" s="926" t="s">
        <v>1765</v>
      </c>
      <c r="AX5" s="926" t="s">
        <v>1766</v>
      </c>
      <c r="AY5" s="926" t="s">
        <v>1767</v>
      </c>
      <c r="AZ5" s="926" t="s">
        <v>1768</v>
      </c>
      <c r="BA5" s="926" t="s">
        <v>1769</v>
      </c>
      <c r="BB5" s="926" t="s">
        <v>1770</v>
      </c>
      <c r="BC5" s="926" t="s">
        <v>1771</v>
      </c>
      <c r="BD5" s="926" t="s">
        <v>1772</v>
      </c>
      <c r="BE5" s="926" t="s">
        <v>1773</v>
      </c>
      <c r="BF5" s="926" t="s">
        <v>1774</v>
      </c>
      <c r="BG5" s="926" t="s">
        <v>1775</v>
      </c>
      <c r="BH5" s="926" t="s">
        <v>1776</v>
      </c>
      <c r="BI5" s="926" t="s">
        <v>1777</v>
      </c>
      <c r="BJ5" s="926" t="s">
        <v>1778</v>
      </c>
      <c r="BK5" s="926" t="s">
        <v>1779</v>
      </c>
      <c r="BL5" s="926" t="s">
        <v>1780</v>
      </c>
      <c r="BM5" s="926" t="s">
        <v>1781</v>
      </c>
      <c r="BN5" s="926" t="s">
        <v>1782</v>
      </c>
      <c r="BO5" s="926" t="s">
        <v>1783</v>
      </c>
      <c r="BP5" s="926" t="s">
        <v>1784</v>
      </c>
      <c r="BQ5" s="926" t="s">
        <v>1785</v>
      </c>
      <c r="BR5" s="926" t="s">
        <v>1786</v>
      </c>
      <c r="BS5" s="926" t="s">
        <v>1787</v>
      </c>
      <c r="BT5" s="926" t="s">
        <v>1788</v>
      </c>
      <c r="BU5" s="926" t="s">
        <v>1789</v>
      </c>
      <c r="BV5" s="926" t="s">
        <v>1790</v>
      </c>
      <c r="BW5" s="926" t="s">
        <v>1791</v>
      </c>
      <c r="BX5" s="926" t="s">
        <v>1792</v>
      </c>
      <c r="BY5" s="926" t="s">
        <v>1793</v>
      </c>
      <c r="BZ5" s="926" t="s">
        <v>1794</v>
      </c>
      <c r="CA5" s="926" t="s">
        <v>1795</v>
      </c>
      <c r="CB5" s="926" t="s">
        <v>1796</v>
      </c>
      <c r="CC5" s="926" t="s">
        <v>1797</v>
      </c>
      <c r="CD5" s="926" t="s">
        <v>1798</v>
      </c>
      <c r="CE5" s="926" t="s">
        <v>1799</v>
      </c>
      <c r="CF5" s="926" t="s">
        <v>1800</v>
      </c>
      <c r="CG5" s="926" t="s">
        <v>1801</v>
      </c>
      <c r="CH5" s="926" t="s">
        <v>1802</v>
      </c>
      <c r="CI5" s="926" t="s">
        <v>1803</v>
      </c>
      <c r="CJ5" s="926" t="s">
        <v>1804</v>
      </c>
      <c r="CK5" s="926" t="s">
        <v>1805</v>
      </c>
      <c r="CL5" s="926" t="s">
        <v>1806</v>
      </c>
      <c r="CM5" s="926" t="s">
        <v>1807</v>
      </c>
      <c r="CN5" s="926" t="s">
        <v>1808</v>
      </c>
      <c r="CO5" s="926" t="s">
        <v>1809</v>
      </c>
      <c r="CP5" s="926" t="s">
        <v>1810</v>
      </c>
      <c r="CQ5" s="926" t="s">
        <v>1811</v>
      </c>
      <c r="CR5" s="926" t="s">
        <v>1812</v>
      </c>
      <c r="CS5" s="926" t="s">
        <v>1813</v>
      </c>
      <c r="CT5" s="926" t="s">
        <v>1814</v>
      </c>
      <c r="CU5" s="926" t="s">
        <v>1815</v>
      </c>
      <c r="CV5" s="926" t="s">
        <v>1816</v>
      </c>
      <c r="CW5" s="926" t="s">
        <v>1817</v>
      </c>
      <c r="CX5" s="926" t="s">
        <v>1818</v>
      </c>
      <c r="CY5" s="926" t="s">
        <v>1819</v>
      </c>
      <c r="CZ5" s="926" t="s">
        <v>1820</v>
      </c>
      <c r="DA5" s="926" t="s">
        <v>1821</v>
      </c>
      <c r="DB5" s="926" t="s">
        <v>1822</v>
      </c>
      <c r="DC5" s="926" t="s">
        <v>1823</v>
      </c>
      <c r="DD5" s="926" t="s">
        <v>1824</v>
      </c>
      <c r="DE5" s="926" t="s">
        <v>1825</v>
      </c>
      <c r="DF5" s="926" t="s">
        <v>1826</v>
      </c>
      <c r="DG5" s="926" t="s">
        <v>1827</v>
      </c>
      <c r="DH5" s="926" t="s">
        <v>1828</v>
      </c>
      <c r="DI5" s="926" t="s">
        <v>1829</v>
      </c>
      <c r="DJ5" s="926" t="s">
        <v>1830</v>
      </c>
      <c r="DK5" s="926" t="s">
        <v>1831</v>
      </c>
      <c r="DL5" s="926" t="s">
        <v>1832</v>
      </c>
      <c r="DM5" s="926" t="s">
        <v>1833</v>
      </c>
      <c r="DN5" s="926" t="s">
        <v>1834</v>
      </c>
      <c r="DO5" s="926" t="s">
        <v>1835</v>
      </c>
      <c r="DP5" s="926" t="s">
        <v>1836</v>
      </c>
      <c r="DQ5" s="926" t="s">
        <v>1837</v>
      </c>
      <c r="DR5" s="926" t="s">
        <v>1838</v>
      </c>
      <c r="DS5" s="926" t="s">
        <v>1839</v>
      </c>
      <c r="DT5" s="926" t="s">
        <v>1840</v>
      </c>
      <c r="DU5" s="926" t="s">
        <v>1841</v>
      </c>
      <c r="DV5" s="926" t="s">
        <v>1842</v>
      </c>
      <c r="DW5" s="926" t="s">
        <v>1843</v>
      </c>
      <c r="DX5" s="926" t="s">
        <v>1844</v>
      </c>
      <c r="DY5" s="926" t="s">
        <v>1845</v>
      </c>
      <c r="DZ5" s="926" t="s">
        <v>1846</v>
      </c>
      <c r="EA5" s="926" t="s">
        <v>1847</v>
      </c>
      <c r="EB5" s="926" t="s">
        <v>1848</v>
      </c>
      <c r="EC5" s="926" t="s">
        <v>1849</v>
      </c>
      <c r="ED5" s="926" t="s">
        <v>1850</v>
      </c>
      <c r="EE5" s="926" t="s">
        <v>1851</v>
      </c>
      <c r="EF5" s="926" t="s">
        <v>1852</v>
      </c>
      <c r="EG5" s="926" t="s">
        <v>1853</v>
      </c>
      <c r="EH5" s="926" t="s">
        <v>1854</v>
      </c>
      <c r="EI5" s="926" t="s">
        <v>1855</v>
      </c>
      <c r="EJ5" s="926" t="s">
        <v>1856</v>
      </c>
      <c r="EK5" s="926" t="s">
        <v>1857</v>
      </c>
      <c r="EL5" s="926" t="s">
        <v>1858</v>
      </c>
      <c r="EM5" s="926" t="s">
        <v>1859</v>
      </c>
      <c r="EN5" s="926" t="s">
        <v>1860</v>
      </c>
      <c r="EO5" s="926" t="s">
        <v>1861</v>
      </c>
      <c r="EP5" s="926" t="s">
        <v>1862</v>
      </c>
      <c r="EQ5" s="926" t="s">
        <v>1863</v>
      </c>
      <c r="ER5" s="926" t="s">
        <v>1864</v>
      </c>
      <c r="ES5" s="926" t="s">
        <v>1865</v>
      </c>
      <c r="ET5" s="926" t="s">
        <v>1866</v>
      </c>
      <c r="EU5" s="926" t="s">
        <v>1867</v>
      </c>
      <c r="EV5" s="926" t="s">
        <v>1868</v>
      </c>
      <c r="EW5" s="926" t="s">
        <v>1869</v>
      </c>
      <c r="EX5" s="926" t="s">
        <v>1870</v>
      </c>
      <c r="EY5" s="926" t="s">
        <v>1871</v>
      </c>
      <c r="EZ5" s="926" t="s">
        <v>1872</v>
      </c>
      <c r="FA5" s="926" t="s">
        <v>1873</v>
      </c>
      <c r="FB5" s="926" t="s">
        <v>1874</v>
      </c>
      <c r="FC5" s="926" t="s">
        <v>1875</v>
      </c>
      <c r="FD5" s="926" t="s">
        <v>1876</v>
      </c>
      <c r="FE5" s="926" t="s">
        <v>1877</v>
      </c>
      <c r="FF5" s="926" t="s">
        <v>1878</v>
      </c>
      <c r="FG5" s="926" t="s">
        <v>1879</v>
      </c>
      <c r="FH5" s="926" t="s">
        <v>1880</v>
      </c>
      <c r="FI5" s="926" t="s">
        <v>1881</v>
      </c>
      <c r="FJ5" s="926" t="s">
        <v>1882</v>
      </c>
      <c r="FK5" s="926" t="s">
        <v>1883</v>
      </c>
      <c r="FL5" s="926" t="s">
        <v>1884</v>
      </c>
      <c r="FM5" s="926" t="s">
        <v>1885</v>
      </c>
      <c r="FN5" s="926" t="s">
        <v>1886</v>
      </c>
      <c r="FO5" s="926" t="s">
        <v>1887</v>
      </c>
      <c r="FP5" s="926" t="s">
        <v>1888</v>
      </c>
      <c r="FQ5" s="926" t="s">
        <v>1889</v>
      </c>
      <c r="FR5" s="926" t="s">
        <v>1890</v>
      </c>
      <c r="FS5" s="926" t="s">
        <v>1891</v>
      </c>
      <c r="FT5" s="926" t="s">
        <v>1892</v>
      </c>
      <c r="FU5" s="926" t="s">
        <v>1893</v>
      </c>
      <c r="FV5" s="926" t="s">
        <v>1894</v>
      </c>
      <c r="FW5" s="926" t="s">
        <v>1895</v>
      </c>
      <c r="FX5" s="926" t="s">
        <v>1896</v>
      </c>
      <c r="FY5" s="926" t="s">
        <v>1897</v>
      </c>
      <c r="FZ5" s="926" t="s">
        <v>1898</v>
      </c>
      <c r="GA5" s="926" t="s">
        <v>1899</v>
      </c>
      <c r="GB5" s="926" t="s">
        <v>1900</v>
      </c>
      <c r="GC5" s="926" t="s">
        <v>1901</v>
      </c>
      <c r="GD5" s="926" t="s">
        <v>1902</v>
      </c>
      <c r="GE5" s="926" t="s">
        <v>1903</v>
      </c>
      <c r="GF5" s="926" t="s">
        <v>1904</v>
      </c>
      <c r="GG5" s="926" t="s">
        <v>1905</v>
      </c>
      <c r="GH5" s="926" t="s">
        <v>1906</v>
      </c>
      <c r="GI5" s="926" t="s">
        <v>1907</v>
      </c>
      <c r="GJ5" s="926" t="s">
        <v>1908</v>
      </c>
      <c r="GK5" s="926" t="s">
        <v>1909</v>
      </c>
      <c r="GL5" s="926" t="s">
        <v>1910</v>
      </c>
      <c r="GM5" s="926" t="s">
        <v>1911</v>
      </c>
      <c r="GN5" s="926" t="s">
        <v>1912</v>
      </c>
      <c r="GO5" s="926" t="s">
        <v>1913</v>
      </c>
      <c r="GP5" s="926" t="s">
        <v>1914</v>
      </c>
      <c r="GQ5" s="926" t="s">
        <v>1915</v>
      </c>
      <c r="GR5" s="926" t="s">
        <v>1916</v>
      </c>
      <c r="GS5" s="926" t="s">
        <v>1917</v>
      </c>
      <c r="GT5" s="926" t="s">
        <v>1918</v>
      </c>
      <c r="GU5" s="926" t="s">
        <v>1919</v>
      </c>
      <c r="GV5" s="926" t="s">
        <v>1920</v>
      </c>
      <c r="GW5" s="926" t="s">
        <v>1921</v>
      </c>
      <c r="GX5" s="926" t="s">
        <v>1922</v>
      </c>
      <c r="GY5" s="926" t="s">
        <v>1923</v>
      </c>
      <c r="GZ5" s="926" t="s">
        <v>1924</v>
      </c>
      <c r="HA5" s="926" t="s">
        <v>1925</v>
      </c>
      <c r="HB5" s="926" t="s">
        <v>1926</v>
      </c>
      <c r="HC5" s="926" t="s">
        <v>1927</v>
      </c>
      <c r="HD5" s="926" t="s">
        <v>1928</v>
      </c>
      <c r="HE5" s="926" t="s">
        <v>1929</v>
      </c>
      <c r="HF5" s="926" t="s">
        <v>1930</v>
      </c>
      <c r="HG5" s="926" t="s">
        <v>1931</v>
      </c>
      <c r="HH5" s="926" t="s">
        <v>1932</v>
      </c>
      <c r="HI5" s="926" t="s">
        <v>1933</v>
      </c>
      <c r="HJ5" s="926" t="s">
        <v>1934</v>
      </c>
      <c r="HK5" s="926" t="s">
        <v>1935</v>
      </c>
      <c r="HL5" s="926" t="s">
        <v>1936</v>
      </c>
      <c r="HM5" s="926" t="s">
        <v>1937</v>
      </c>
      <c r="HN5" s="926" t="s">
        <v>1938</v>
      </c>
      <c r="HO5" s="926" t="s">
        <v>1939</v>
      </c>
      <c r="HP5" s="926" t="s">
        <v>1940</v>
      </c>
      <c r="HQ5" s="926" t="s">
        <v>1941</v>
      </c>
      <c r="HR5" s="926" t="s">
        <v>1942</v>
      </c>
      <c r="HS5" s="926" t="s">
        <v>1943</v>
      </c>
      <c r="HT5" s="926" t="s">
        <v>1944</v>
      </c>
      <c r="HU5" s="926" t="s">
        <v>1945</v>
      </c>
      <c r="HV5" s="926" t="s">
        <v>1946</v>
      </c>
      <c r="HW5" s="926" t="s">
        <v>1947</v>
      </c>
      <c r="HX5" s="926" t="s">
        <v>1948</v>
      </c>
      <c r="HY5" s="926" t="s">
        <v>1949</v>
      </c>
      <c r="HZ5" s="926" t="s">
        <v>1950</v>
      </c>
      <c r="IA5" s="926" t="s">
        <v>1951</v>
      </c>
      <c r="IB5" s="926" t="s">
        <v>1952</v>
      </c>
      <c r="IC5" s="926" t="s">
        <v>1953</v>
      </c>
      <c r="ID5" s="926" t="s">
        <v>1954</v>
      </c>
      <c r="IE5" s="926" t="s">
        <v>1955</v>
      </c>
      <c r="IF5" s="926" t="s">
        <v>1956</v>
      </c>
      <c r="IG5" s="926" t="s">
        <v>1957</v>
      </c>
      <c r="IH5" s="926" t="s">
        <v>1958</v>
      </c>
      <c r="II5" s="926" t="s">
        <v>1959</v>
      </c>
      <c r="IJ5" s="926" t="s">
        <v>1960</v>
      </c>
      <c r="IK5" s="926" t="s">
        <v>1961</v>
      </c>
      <c r="IL5" s="926" t="s">
        <v>1962</v>
      </c>
      <c r="IM5" s="926" t="s">
        <v>1963</v>
      </c>
      <c r="IN5" s="926" t="s">
        <v>1964</v>
      </c>
      <c r="IO5" s="926" t="s">
        <v>1965</v>
      </c>
      <c r="IP5" s="926" t="s">
        <v>1966</v>
      </c>
      <c r="IQ5" s="926" t="s">
        <v>1967</v>
      </c>
      <c r="IR5" s="926" t="s">
        <v>1968</v>
      </c>
      <c r="IS5" s="926" t="s">
        <v>1969</v>
      </c>
      <c r="IT5" s="926" t="s">
        <v>1970</v>
      </c>
      <c r="IU5" s="926" t="s">
        <v>1971</v>
      </c>
      <c r="IV5" s="926" t="s">
        <v>1972</v>
      </c>
    </row>
    <row r="6" ht="13.5" customHeight="1">
      <c r="A6" s="926" t="s">
        <v>1973</v>
      </c>
      <c r="B6" s="926" t="s">
        <v>1974</v>
      </c>
      <c r="C6" s="926" t="s">
        <v>1975</v>
      </c>
      <c r="D6" s="926" t="s">
        <v>1976</v>
      </c>
      <c r="E6" s="926" t="s">
        <v>1977</v>
      </c>
      <c r="F6" s="926" t="s">
        <v>1978</v>
      </c>
      <c r="G6" s="926" t="s">
        <v>1979</v>
      </c>
      <c r="H6" s="926" t="s">
        <v>1980</v>
      </c>
      <c r="I6" s="926" t="s">
        <v>1981</v>
      </c>
      <c r="J6" s="926" t="s">
        <v>1982</v>
      </c>
      <c r="K6" s="926" t="s">
        <v>1983</v>
      </c>
      <c r="L6" s="926" t="s">
        <v>1984</v>
      </c>
      <c r="M6" s="926" t="s">
        <v>1985</v>
      </c>
      <c r="N6" s="926" t="s">
        <v>1986</v>
      </c>
      <c r="O6" s="926" t="s">
        <v>1987</v>
      </c>
      <c r="P6" s="926" t="s">
        <v>1988</v>
      </c>
      <c r="Q6" s="926" t="s">
        <v>1989</v>
      </c>
      <c r="R6" s="926" t="s">
        <v>1990</v>
      </c>
      <c r="S6" s="926" t="s">
        <v>1991</v>
      </c>
      <c r="T6" s="926" t="s">
        <v>1992</v>
      </c>
      <c r="U6" s="926" t="s">
        <v>1993</v>
      </c>
      <c r="V6" s="926" t="s">
        <v>1994</v>
      </c>
      <c r="W6" s="926" t="s">
        <v>1995</v>
      </c>
      <c r="X6" s="926" t="s">
        <v>1996</v>
      </c>
      <c r="Y6" s="926" t="s">
        <v>1997</v>
      </c>
      <c r="Z6" s="926" t="s">
        <v>1998</v>
      </c>
      <c r="AA6" s="926" t="s">
        <v>1999</v>
      </c>
      <c r="AB6" s="926" t="s">
        <v>2000</v>
      </c>
      <c r="AC6" s="926" t="s">
        <v>2001</v>
      </c>
      <c r="AD6" s="926" t="s">
        <v>2002</v>
      </c>
      <c r="AE6" s="926" t="s">
        <v>2003</v>
      </c>
      <c r="AF6" s="926" t="s">
        <v>2004</v>
      </c>
      <c r="AG6" s="926" t="s">
        <v>2005</v>
      </c>
      <c r="AH6" s="926" t="s">
        <v>2006</v>
      </c>
      <c r="AI6" s="926" t="s">
        <v>2007</v>
      </c>
      <c r="AJ6" s="926" t="s">
        <v>2008</v>
      </c>
      <c r="AK6" s="926" t="s">
        <v>2009</v>
      </c>
      <c r="AL6" s="926" t="s">
        <v>2010</v>
      </c>
      <c r="AM6" s="926" t="s">
        <v>2011</v>
      </c>
      <c r="AN6" s="926" t="s">
        <v>2012</v>
      </c>
      <c r="AO6" s="926" t="s">
        <v>2013</v>
      </c>
      <c r="AP6" s="926" t="s">
        <v>2014</v>
      </c>
      <c r="AQ6" s="926" t="s">
        <v>2015</v>
      </c>
      <c r="AR6" s="926" t="s">
        <v>2016</v>
      </c>
      <c r="AS6" s="926" t="s">
        <v>2017</v>
      </c>
      <c r="AT6" s="926" t="s">
        <v>2018</v>
      </c>
      <c r="AU6" s="926" t="s">
        <v>2019</v>
      </c>
      <c r="AV6" s="926" t="s">
        <v>2020</v>
      </c>
      <c r="AW6" s="926" t="s">
        <v>2021</v>
      </c>
      <c r="AX6" s="926" t="s">
        <v>2022</v>
      </c>
      <c r="AY6" s="926" t="s">
        <v>2023</v>
      </c>
      <c r="AZ6" s="926" t="s">
        <v>2024</v>
      </c>
      <c r="BA6" s="926" t="s">
        <v>2025</v>
      </c>
      <c r="BB6" s="926" t="s">
        <v>2026</v>
      </c>
      <c r="BC6" s="926" t="s">
        <v>2027</v>
      </c>
      <c r="BD6" s="926" t="s">
        <v>2028</v>
      </c>
      <c r="BE6" s="926" t="s">
        <v>2029</v>
      </c>
      <c r="BF6" s="926" t="s">
        <v>2030</v>
      </c>
      <c r="BG6" s="926" t="s">
        <v>2031</v>
      </c>
      <c r="BH6" s="926" t="s">
        <v>2032</v>
      </c>
      <c r="BI6" s="926" t="s">
        <v>2033</v>
      </c>
      <c r="BJ6" s="926" t="s">
        <v>2034</v>
      </c>
      <c r="BK6" s="926" t="s">
        <v>2035</v>
      </c>
      <c r="BL6" s="926" t="s">
        <v>2036</v>
      </c>
      <c r="BM6" s="926" t="s">
        <v>2037</v>
      </c>
      <c r="BN6" s="926" t="s">
        <v>2038</v>
      </c>
      <c r="BO6" s="926" t="s">
        <v>2039</v>
      </c>
      <c r="BP6" s="926" t="s">
        <v>2040</v>
      </c>
      <c r="BQ6" s="926" t="s">
        <v>2041</v>
      </c>
      <c r="BR6" s="926" t="s">
        <v>2042</v>
      </c>
      <c r="BS6" s="926" t="s">
        <v>2043</v>
      </c>
      <c r="BT6" s="926" t="s">
        <v>2044</v>
      </c>
      <c r="BU6" s="926" t="s">
        <v>2045</v>
      </c>
      <c r="BV6" s="926" t="s">
        <v>2046</v>
      </c>
      <c r="BW6" s="926" t="s">
        <v>2047</v>
      </c>
      <c r="BX6" s="926" t="s">
        <v>2048</v>
      </c>
      <c r="BY6" s="926" t="s">
        <v>2049</v>
      </c>
      <c r="BZ6" s="926" t="s">
        <v>2050</v>
      </c>
      <c r="CA6" s="926" t="s">
        <v>2051</v>
      </c>
      <c r="CB6" s="926" t="s">
        <v>2052</v>
      </c>
      <c r="CC6" s="926" t="s">
        <v>2053</v>
      </c>
      <c r="CD6" s="926" t="s">
        <v>2054</v>
      </c>
      <c r="CE6" s="926" t="s">
        <v>2055</v>
      </c>
      <c r="CF6" s="926" t="s">
        <v>2056</v>
      </c>
      <c r="CG6" s="926" t="s">
        <v>2057</v>
      </c>
      <c r="CH6" s="926" t="s">
        <v>2058</v>
      </c>
      <c r="CI6" s="926" t="s">
        <v>2059</v>
      </c>
      <c r="CJ6" s="926" t="s">
        <v>2060</v>
      </c>
      <c r="CK6" s="926" t="s">
        <v>2061</v>
      </c>
      <c r="CL6" s="926" t="s">
        <v>2062</v>
      </c>
      <c r="CM6" s="926" t="s">
        <v>2063</v>
      </c>
      <c r="CN6" s="926" t="s">
        <v>2064</v>
      </c>
      <c r="CO6" s="926" t="s">
        <v>2065</v>
      </c>
      <c r="CP6" s="926" t="s">
        <v>2066</v>
      </c>
      <c r="CQ6" s="926" t="s">
        <v>2067</v>
      </c>
      <c r="CR6" s="926" t="s">
        <v>2068</v>
      </c>
      <c r="CS6" s="926" t="s">
        <v>2069</v>
      </c>
      <c r="CT6" s="926" t="s">
        <v>2070</v>
      </c>
      <c r="CU6" s="926" t="s">
        <v>2071</v>
      </c>
      <c r="CV6" s="926" t="s">
        <v>2072</v>
      </c>
      <c r="CW6" s="926" t="s">
        <v>2073</v>
      </c>
      <c r="CX6" s="926" t="s">
        <v>2074</v>
      </c>
      <c r="CY6" s="926" t="s">
        <v>2075</v>
      </c>
      <c r="CZ6" s="926" t="s">
        <v>2076</v>
      </c>
      <c r="DA6" s="926" t="s">
        <v>2077</v>
      </c>
      <c r="DB6" s="926" t="s">
        <v>2078</v>
      </c>
      <c r="DC6" s="926" t="s">
        <v>2079</v>
      </c>
      <c r="DD6" s="926" t="s">
        <v>2080</v>
      </c>
      <c r="DE6" s="926" t="s">
        <v>2081</v>
      </c>
      <c r="DF6" s="926" t="s">
        <v>2082</v>
      </c>
      <c r="DG6" s="926" t="s">
        <v>2083</v>
      </c>
      <c r="DH6" s="926" t="s">
        <v>2084</v>
      </c>
      <c r="DI6" s="926" t="s">
        <v>2085</v>
      </c>
      <c r="DJ6" s="926" t="s">
        <v>2086</v>
      </c>
      <c r="DK6" s="926" t="s">
        <v>2087</v>
      </c>
      <c r="DL6" s="926" t="s">
        <v>2088</v>
      </c>
      <c r="DM6" s="926" t="s">
        <v>2089</v>
      </c>
      <c r="DN6" s="926" t="s">
        <v>2090</v>
      </c>
      <c r="DO6" s="926" t="s">
        <v>2091</v>
      </c>
      <c r="DP6" s="926" t="s">
        <v>2092</v>
      </c>
      <c r="DQ6" s="926" t="s">
        <v>2093</v>
      </c>
      <c r="DR6" s="926" t="s">
        <v>2094</v>
      </c>
      <c r="DS6" s="926" t="s">
        <v>2095</v>
      </c>
      <c r="DT6" s="926" t="s">
        <v>2096</v>
      </c>
      <c r="DU6" s="926" t="s">
        <v>2097</v>
      </c>
      <c r="DV6" s="926" t="s">
        <v>2098</v>
      </c>
      <c r="DW6" s="926" t="s">
        <v>2099</v>
      </c>
      <c r="DX6" s="926" t="s">
        <v>2100</v>
      </c>
      <c r="DY6" s="926" t="s">
        <v>2101</v>
      </c>
      <c r="DZ6" s="926" t="s">
        <v>2102</v>
      </c>
      <c r="EA6" s="926" t="s">
        <v>2103</v>
      </c>
      <c r="EB6" s="926" t="s">
        <v>2104</v>
      </c>
      <c r="EC6" s="926" t="s">
        <v>2105</v>
      </c>
      <c r="ED6" s="926" t="s">
        <v>2106</v>
      </c>
      <c r="EE6" s="926" t="s">
        <v>2107</v>
      </c>
      <c r="EF6" s="926" t="s">
        <v>2108</v>
      </c>
      <c r="EG6" s="926" t="s">
        <v>2109</v>
      </c>
      <c r="EH6" s="926" t="s">
        <v>2110</v>
      </c>
      <c r="EI6" s="926" t="s">
        <v>2111</v>
      </c>
      <c r="EJ6" s="926" t="s">
        <v>2112</v>
      </c>
      <c r="EK6" s="926" t="s">
        <v>2113</v>
      </c>
      <c r="EL6" s="926" t="s">
        <v>2114</v>
      </c>
      <c r="EM6" s="926" t="s">
        <v>2115</v>
      </c>
      <c r="EN6" s="926" t="s">
        <v>2116</v>
      </c>
      <c r="EO6" s="926" t="s">
        <v>2117</v>
      </c>
      <c r="EP6" s="926" t="s">
        <v>2118</v>
      </c>
      <c r="EQ6" s="926" t="s">
        <v>2119</v>
      </c>
      <c r="ER6" s="926" t="s">
        <v>2120</v>
      </c>
      <c r="ES6" s="926" t="s">
        <v>2121</v>
      </c>
      <c r="ET6" s="926" t="s">
        <v>2122</v>
      </c>
      <c r="EU6" s="926" t="s">
        <v>2123</v>
      </c>
      <c r="EV6" s="926" t="s">
        <v>2124</v>
      </c>
      <c r="EW6" s="926" t="s">
        <v>2125</v>
      </c>
      <c r="EX6" s="926" t="s">
        <v>2126</v>
      </c>
      <c r="EY6" s="926" t="s">
        <v>2127</v>
      </c>
      <c r="EZ6" s="926" t="s">
        <v>2128</v>
      </c>
      <c r="FA6" s="926" t="s">
        <v>2129</v>
      </c>
      <c r="FB6" s="926" t="s">
        <v>2130</v>
      </c>
      <c r="FC6" s="926" t="s">
        <v>2131</v>
      </c>
      <c r="FD6" s="926" t="s">
        <v>2132</v>
      </c>
      <c r="FE6" s="926" t="s">
        <v>2133</v>
      </c>
      <c r="FF6" s="926" t="s">
        <v>2134</v>
      </c>
      <c r="FG6" s="926" t="s">
        <v>2135</v>
      </c>
      <c r="FH6" s="926" t="s">
        <v>2136</v>
      </c>
      <c r="FI6" s="926" t="s">
        <v>2137</v>
      </c>
      <c r="FJ6" s="926" t="s">
        <v>2138</v>
      </c>
      <c r="FK6" s="926" t="s">
        <v>2139</v>
      </c>
      <c r="FL6" s="926" t="s">
        <v>2140</v>
      </c>
      <c r="FM6" s="926" t="s">
        <v>2141</v>
      </c>
      <c r="FN6" s="926" t="s">
        <v>2142</v>
      </c>
      <c r="FO6" s="926" t="s">
        <v>2143</v>
      </c>
      <c r="FP6" s="926" t="s">
        <v>2144</v>
      </c>
      <c r="FQ6" s="926" t="s">
        <v>2145</v>
      </c>
      <c r="FR6" s="926" t="s">
        <v>2146</v>
      </c>
      <c r="FS6" s="926" t="s">
        <v>2147</v>
      </c>
      <c r="FT6" s="926" t="s">
        <v>2148</v>
      </c>
      <c r="FU6" s="926" t="s">
        <v>2149</v>
      </c>
      <c r="FV6" s="926" t="s">
        <v>2150</v>
      </c>
      <c r="FW6" s="926" t="s">
        <v>2151</v>
      </c>
      <c r="FX6" s="926" t="s">
        <v>2152</v>
      </c>
      <c r="FY6" s="926" t="s">
        <v>2153</v>
      </c>
      <c r="FZ6" s="926" t="s">
        <v>2154</v>
      </c>
      <c r="GA6" s="926" t="s">
        <v>2155</v>
      </c>
      <c r="GB6" s="926" t="s">
        <v>2156</v>
      </c>
      <c r="GC6" s="926" t="s">
        <v>2157</v>
      </c>
      <c r="GD6" s="926" t="s">
        <v>2158</v>
      </c>
      <c r="GE6" s="926" t="s">
        <v>2159</v>
      </c>
      <c r="GF6" s="926" t="s">
        <v>2160</v>
      </c>
      <c r="GG6" s="926" t="s">
        <v>2161</v>
      </c>
      <c r="GH6" s="926" t="s">
        <v>2162</v>
      </c>
      <c r="GI6" s="926" t="s">
        <v>2163</v>
      </c>
      <c r="GJ6" s="926" t="s">
        <v>2164</v>
      </c>
      <c r="GK6" s="926" t="s">
        <v>2165</v>
      </c>
      <c r="GL6" s="926" t="s">
        <v>2166</v>
      </c>
      <c r="GM6" s="926" t="s">
        <v>2167</v>
      </c>
      <c r="GN6" s="926" t="s">
        <v>2168</v>
      </c>
      <c r="GO6" s="926" t="s">
        <v>2169</v>
      </c>
      <c r="GP6" s="926" t="s">
        <v>2170</v>
      </c>
      <c r="GQ6" s="926" t="s">
        <v>2171</v>
      </c>
      <c r="GR6" s="926" t="s">
        <v>2172</v>
      </c>
      <c r="GS6" s="926" t="s">
        <v>2173</v>
      </c>
      <c r="GT6" s="926" t="s">
        <v>2174</v>
      </c>
      <c r="GU6" s="926" t="s">
        <v>2175</v>
      </c>
      <c r="GV6" s="926" t="s">
        <v>2176</v>
      </c>
      <c r="GW6" s="926" t="s">
        <v>2177</v>
      </c>
      <c r="GX6" s="926" t="s">
        <v>2178</v>
      </c>
      <c r="GY6" s="926" t="s">
        <v>2179</v>
      </c>
      <c r="GZ6" s="926" t="s">
        <v>2180</v>
      </c>
      <c r="HA6" s="926" t="s">
        <v>2181</v>
      </c>
      <c r="HB6" s="926" t="s">
        <v>2182</v>
      </c>
      <c r="HC6" s="926" t="s">
        <v>2183</v>
      </c>
      <c r="HD6" s="926" t="s">
        <v>2184</v>
      </c>
      <c r="HE6" s="926" t="s">
        <v>2185</v>
      </c>
      <c r="HF6" s="926" t="s">
        <v>2186</v>
      </c>
      <c r="HG6" s="926" t="s">
        <v>2187</v>
      </c>
      <c r="HH6" s="926" t="s">
        <v>2188</v>
      </c>
      <c r="HI6" s="926" t="s">
        <v>2189</v>
      </c>
      <c r="HJ6" s="926" t="s">
        <v>2190</v>
      </c>
      <c r="HK6" s="926" t="s">
        <v>2191</v>
      </c>
      <c r="HL6" s="926" t="s">
        <v>2192</v>
      </c>
      <c r="HM6" s="926" t="s">
        <v>2193</v>
      </c>
      <c r="HN6" s="926" t="s">
        <v>2194</v>
      </c>
      <c r="HO6" s="926" t="s">
        <v>2195</v>
      </c>
      <c r="HP6" s="926" t="s">
        <v>2196</v>
      </c>
      <c r="HQ6" s="926" t="s">
        <v>2197</v>
      </c>
      <c r="HR6" s="926" t="s">
        <v>2198</v>
      </c>
      <c r="HS6" s="926" t="s">
        <v>2199</v>
      </c>
      <c r="HT6" s="926" t="s">
        <v>2200</v>
      </c>
      <c r="HU6" s="926" t="s">
        <v>2201</v>
      </c>
      <c r="HV6" s="926" t="s">
        <v>2202</v>
      </c>
      <c r="HW6" s="926" t="s">
        <v>2203</v>
      </c>
      <c r="HX6" s="926" t="s">
        <v>2204</v>
      </c>
      <c r="HY6" s="926" t="s">
        <v>2205</v>
      </c>
      <c r="HZ6" s="926" t="s">
        <v>2206</v>
      </c>
      <c r="IA6" s="926" t="s">
        <v>2207</v>
      </c>
      <c r="IB6" s="926" t="s">
        <v>2208</v>
      </c>
      <c r="IC6" s="926" t="s">
        <v>2209</v>
      </c>
      <c r="ID6" s="926" t="s">
        <v>2210</v>
      </c>
      <c r="IE6" s="926" t="s">
        <v>2211</v>
      </c>
      <c r="IF6" s="926" t="s">
        <v>2212</v>
      </c>
      <c r="IG6" s="926" t="s">
        <v>2213</v>
      </c>
      <c r="IH6" s="926" t="s">
        <v>2214</v>
      </c>
      <c r="II6" s="926" t="s">
        <v>2215</v>
      </c>
      <c r="IJ6" s="926" t="s">
        <v>2216</v>
      </c>
      <c r="IK6" s="926" t="s">
        <v>2217</v>
      </c>
      <c r="IL6" s="926" t="s">
        <v>2218</v>
      </c>
      <c r="IM6" s="926" t="s">
        <v>2219</v>
      </c>
      <c r="IN6" s="926" t="s">
        <v>2220</v>
      </c>
      <c r="IO6" s="926" t="s">
        <v>2221</v>
      </c>
      <c r="IP6" s="926" t="s">
        <v>2222</v>
      </c>
      <c r="IQ6" s="926" t="s">
        <v>2223</v>
      </c>
      <c r="IR6" s="926" t="s">
        <v>2224</v>
      </c>
      <c r="IS6" s="926" t="s">
        <v>2225</v>
      </c>
      <c r="IT6" s="926" t="s">
        <v>2226</v>
      </c>
      <c r="IU6" s="926" t="s">
        <v>2227</v>
      </c>
      <c r="IV6" s="926" t="s">
        <v>2228</v>
      </c>
    </row>
    <row r="7" ht="13.5" customHeight="1">
      <c r="A7" s="926" t="s">
        <v>2229</v>
      </c>
      <c r="B7" s="926" t="s">
        <v>2230</v>
      </c>
      <c r="C7" s="926" t="s">
        <v>2231</v>
      </c>
      <c r="D7" s="926" t="s">
        <v>2232</v>
      </c>
      <c r="E7" s="926" t="s">
        <v>2233</v>
      </c>
      <c r="F7" s="926" t="s">
        <v>2234</v>
      </c>
      <c r="G7" s="926" t="s">
        <v>2235</v>
      </c>
      <c r="H7" s="926" t="s">
        <v>2236</v>
      </c>
      <c r="I7" s="926" t="s">
        <v>2237</v>
      </c>
      <c r="J7" s="926" t="s">
        <v>2238</v>
      </c>
      <c r="K7" s="926" t="s">
        <v>2239</v>
      </c>
      <c r="L7" s="926" t="s">
        <v>2240</v>
      </c>
      <c r="M7" s="926" t="s">
        <v>2241</v>
      </c>
      <c r="N7" s="926" t="s">
        <v>2242</v>
      </c>
      <c r="O7" s="926" t="s">
        <v>2243</v>
      </c>
      <c r="P7" s="926" t="s">
        <v>2244</v>
      </c>
      <c r="Q7" s="926" t="s">
        <v>2245</v>
      </c>
      <c r="R7" s="926" t="s">
        <v>2246</v>
      </c>
      <c r="S7" s="926" t="s">
        <v>2247</v>
      </c>
      <c r="T7" s="926" t="s">
        <v>2248</v>
      </c>
      <c r="U7" s="926" t="s">
        <v>2249</v>
      </c>
      <c r="V7" s="926" t="s">
        <v>2250</v>
      </c>
      <c r="W7" s="926" t="s">
        <v>2251</v>
      </c>
      <c r="X7" s="926" t="s">
        <v>2252</v>
      </c>
      <c r="Y7" s="926" t="s">
        <v>2253</v>
      </c>
      <c r="Z7" s="926" t="s">
        <v>2254</v>
      </c>
      <c r="AA7" s="926" t="s">
        <v>2255</v>
      </c>
      <c r="AB7" s="926" t="s">
        <v>2256</v>
      </c>
      <c r="AC7" s="926" t="s">
        <v>2257</v>
      </c>
      <c r="AD7" s="926" t="s">
        <v>2258</v>
      </c>
      <c r="AE7" s="926" t="s">
        <v>2259</v>
      </c>
      <c r="AF7" s="926" t="s">
        <v>2260</v>
      </c>
      <c r="AG7" s="926" t="s">
        <v>2261</v>
      </c>
      <c r="AH7" s="926" t="s">
        <v>2262</v>
      </c>
      <c r="AI7" s="926" t="s">
        <v>2263</v>
      </c>
      <c r="AJ7" s="926" t="s">
        <v>2264</v>
      </c>
      <c r="AK7" s="926" t="s">
        <v>2265</v>
      </c>
      <c r="AL7" s="926" t="s">
        <v>2266</v>
      </c>
      <c r="AM7" s="926" t="s">
        <v>2267</v>
      </c>
      <c r="AN7" s="926" t="s">
        <v>2268</v>
      </c>
      <c r="AO7" s="926" t="s">
        <v>2269</v>
      </c>
      <c r="AP7" s="926" t="s">
        <v>2270</v>
      </c>
      <c r="AQ7" s="926" t="s">
        <v>2271</v>
      </c>
      <c r="AR7" s="926" t="s">
        <v>2272</v>
      </c>
      <c r="AS7" s="926" t="s">
        <v>2273</v>
      </c>
      <c r="AT7" s="926" t="s">
        <v>2274</v>
      </c>
      <c r="AU7" s="926" t="s">
        <v>2275</v>
      </c>
      <c r="AV7" s="926" t="s">
        <v>2276</v>
      </c>
      <c r="AW7" s="926" t="s">
        <v>2277</v>
      </c>
      <c r="AX7" s="926" t="s">
        <v>2278</v>
      </c>
      <c r="AY7" s="926" t="s">
        <v>2279</v>
      </c>
      <c r="AZ7" s="926" t="s">
        <v>2280</v>
      </c>
      <c r="BA7" s="926" t="s">
        <v>2281</v>
      </c>
      <c r="BB7" s="926" t="s">
        <v>2282</v>
      </c>
      <c r="BC7" s="926" t="s">
        <v>2283</v>
      </c>
      <c r="BD7" s="926" t="s">
        <v>2284</v>
      </c>
      <c r="BE7" s="926" t="s">
        <v>2285</v>
      </c>
      <c r="BF7" s="926" t="s">
        <v>2286</v>
      </c>
      <c r="BG7" s="926" t="s">
        <v>2287</v>
      </c>
      <c r="BH7" s="926" t="s">
        <v>2288</v>
      </c>
      <c r="BI7" s="926" t="s">
        <v>2289</v>
      </c>
      <c r="BJ7" s="926" t="s">
        <v>2290</v>
      </c>
      <c r="BK7" s="926" t="s">
        <v>2291</v>
      </c>
      <c r="BL7" s="926" t="s">
        <v>2292</v>
      </c>
      <c r="BM7" s="926" t="s">
        <v>2293</v>
      </c>
      <c r="BN7" s="926" t="s">
        <v>2294</v>
      </c>
      <c r="BO7" s="926" t="s">
        <v>2295</v>
      </c>
      <c r="BP7" s="926" t="s">
        <v>2296</v>
      </c>
      <c r="BQ7" s="926" t="s">
        <v>2297</v>
      </c>
      <c r="BR7" s="926" t="s">
        <v>2298</v>
      </c>
      <c r="BS7" s="926" t="s">
        <v>2299</v>
      </c>
      <c r="BT7" s="926" t="s">
        <v>2300</v>
      </c>
      <c r="BU7" s="926" t="s">
        <v>2301</v>
      </c>
      <c r="BV7" s="926" t="s">
        <v>2302</v>
      </c>
      <c r="BW7" s="926" t="s">
        <v>2303</v>
      </c>
      <c r="BX7" s="926" t="s">
        <v>2304</v>
      </c>
      <c r="BY7" s="926" t="s">
        <v>2305</v>
      </c>
      <c r="BZ7" s="926" t="s">
        <v>2306</v>
      </c>
      <c r="CA7" s="926" t="s">
        <v>2307</v>
      </c>
      <c r="CB7" s="926" t="s">
        <v>2308</v>
      </c>
      <c r="CC7" s="926" t="s">
        <v>2309</v>
      </c>
      <c r="CD7" s="926" t="s">
        <v>2310</v>
      </c>
      <c r="CE7" s="926" t="s">
        <v>2311</v>
      </c>
      <c r="CF7" s="926" t="s">
        <v>2312</v>
      </c>
      <c r="CG7" s="926" t="s">
        <v>2313</v>
      </c>
      <c r="CH7" s="926" t="s">
        <v>2314</v>
      </c>
      <c r="CI7" s="926" t="s">
        <v>2315</v>
      </c>
      <c r="CJ7" s="926" t="s">
        <v>2316</v>
      </c>
      <c r="CK7" s="926" t="s">
        <v>2317</v>
      </c>
      <c r="CL7" s="926" t="s">
        <v>2318</v>
      </c>
      <c r="CM7" s="926" t="s">
        <v>2319</v>
      </c>
      <c r="CN7" s="926" t="s">
        <v>2320</v>
      </c>
      <c r="CO7" s="926" t="s">
        <v>2321</v>
      </c>
      <c r="CP7" s="926" t="s">
        <v>2322</v>
      </c>
      <c r="CQ7" s="926" t="s">
        <v>2323</v>
      </c>
      <c r="CR7" s="926" t="s">
        <v>2324</v>
      </c>
      <c r="CS7" s="926" t="s">
        <v>2325</v>
      </c>
      <c r="CT7" s="926" t="s">
        <v>2326</v>
      </c>
      <c r="CU7" s="926" t="s">
        <v>2327</v>
      </c>
      <c r="CV7" s="926" t="s">
        <v>2328</v>
      </c>
      <c r="CW7" s="926" t="s">
        <v>2329</v>
      </c>
      <c r="CX7" s="926" t="s">
        <v>2330</v>
      </c>
      <c r="CY7" s="926" t="s">
        <v>2331</v>
      </c>
      <c r="CZ7" s="926" t="s">
        <v>2332</v>
      </c>
      <c r="DA7" s="926" t="s">
        <v>2333</v>
      </c>
      <c r="DB7" s="926" t="s">
        <v>2334</v>
      </c>
      <c r="DC7" s="926" t="s">
        <v>2335</v>
      </c>
      <c r="DD7" s="926" t="s">
        <v>2336</v>
      </c>
      <c r="DE7" s="926" t="s">
        <v>2337</v>
      </c>
      <c r="DF7" s="926" t="s">
        <v>2338</v>
      </c>
      <c r="DG7" s="926" t="s">
        <v>2339</v>
      </c>
      <c r="DH7" s="926" t="s">
        <v>2340</v>
      </c>
      <c r="DI7" s="926" t="s">
        <v>2341</v>
      </c>
      <c r="DJ7" s="926" t="s">
        <v>2342</v>
      </c>
      <c r="DK7" s="926" t="s">
        <v>2343</v>
      </c>
      <c r="DL7" s="926" t="s">
        <v>2344</v>
      </c>
      <c r="DM7" s="926" t="s">
        <v>2345</v>
      </c>
      <c r="DN7" s="926" t="s">
        <v>2346</v>
      </c>
      <c r="DO7" s="926" t="s">
        <v>2347</v>
      </c>
      <c r="DP7" s="926" t="s">
        <v>2348</v>
      </c>
      <c r="DQ7" s="926" t="s">
        <v>2349</v>
      </c>
      <c r="DR7" s="926" t="s">
        <v>2350</v>
      </c>
      <c r="DS7" s="926" t="s">
        <v>2351</v>
      </c>
      <c r="DT7" s="926" t="s">
        <v>2352</v>
      </c>
      <c r="DU7" s="926" t="s">
        <v>2353</v>
      </c>
      <c r="DV7" s="926" t="s">
        <v>2354</v>
      </c>
      <c r="DW7" s="926" t="s">
        <v>2355</v>
      </c>
      <c r="DX7" s="926" t="s">
        <v>2356</v>
      </c>
      <c r="DY7" s="926" t="s">
        <v>2357</v>
      </c>
      <c r="DZ7" s="926" t="s">
        <v>2358</v>
      </c>
      <c r="EA7" s="926" t="s">
        <v>2359</v>
      </c>
      <c r="EB7" s="926" t="s">
        <v>2360</v>
      </c>
      <c r="EC7" s="926" t="s">
        <v>2361</v>
      </c>
      <c r="ED7" s="926" t="s">
        <v>2362</v>
      </c>
      <c r="EE7" s="926" t="s">
        <v>2363</v>
      </c>
      <c r="EF7" s="926" t="s">
        <v>2364</v>
      </c>
      <c r="EG7" s="926" t="s">
        <v>2365</v>
      </c>
      <c r="EH7" s="926" t="s">
        <v>2366</v>
      </c>
      <c r="EI7" s="926" t="s">
        <v>2367</v>
      </c>
      <c r="EJ7" s="926" t="s">
        <v>2368</v>
      </c>
      <c r="EK7" s="926" t="s">
        <v>2369</v>
      </c>
      <c r="EL7" s="926" t="s">
        <v>2370</v>
      </c>
      <c r="EM7" s="926" t="s">
        <v>2371</v>
      </c>
      <c r="EN7" s="926" t="s">
        <v>2372</v>
      </c>
      <c r="EO7" s="926" t="s">
        <v>2373</v>
      </c>
      <c r="EP7" s="926" t="s">
        <v>2374</v>
      </c>
      <c r="EQ7" s="926" t="s">
        <v>2375</v>
      </c>
      <c r="ER7" s="926" t="s">
        <v>2376</v>
      </c>
      <c r="ES7" s="926" t="s">
        <v>2377</v>
      </c>
      <c r="ET7" s="926" t="s">
        <v>2378</v>
      </c>
      <c r="EU7" s="926" t="s">
        <v>2379</v>
      </c>
      <c r="EV7" s="926" t="s">
        <v>2380</v>
      </c>
      <c r="EW7" s="926" t="s">
        <v>2381</v>
      </c>
      <c r="EX7" s="926" t="s">
        <v>2382</v>
      </c>
      <c r="EY7" s="926" t="s">
        <v>2383</v>
      </c>
      <c r="EZ7" s="926" t="s">
        <v>2384</v>
      </c>
      <c r="FA7" s="926" t="s">
        <v>2385</v>
      </c>
      <c r="FB7" s="926" t="s">
        <v>2386</v>
      </c>
      <c r="FC7" s="926" t="s">
        <v>2387</v>
      </c>
      <c r="FD7" s="926" t="s">
        <v>2388</v>
      </c>
      <c r="FE7" s="926" t="s">
        <v>2389</v>
      </c>
      <c r="FF7" s="926" t="s">
        <v>2390</v>
      </c>
      <c r="FG7" s="926" t="s">
        <v>2391</v>
      </c>
      <c r="FH7" s="926" t="s">
        <v>2392</v>
      </c>
      <c r="FI7" s="926" t="s">
        <v>2393</v>
      </c>
      <c r="FJ7" s="926" t="s">
        <v>2394</v>
      </c>
      <c r="FK7" s="926" t="s">
        <v>2395</v>
      </c>
      <c r="FL7" s="926" t="s">
        <v>2396</v>
      </c>
      <c r="FM7" s="926" t="s">
        <v>2397</v>
      </c>
      <c r="FN7" s="926" t="s">
        <v>2398</v>
      </c>
      <c r="FO7" s="926" t="s">
        <v>2399</v>
      </c>
      <c r="FP7" s="926" t="s">
        <v>2400</v>
      </c>
      <c r="FQ7" s="926" t="s">
        <v>2401</v>
      </c>
      <c r="FR7" s="926" t="s">
        <v>2402</v>
      </c>
      <c r="FS7" s="926" t="s">
        <v>2403</v>
      </c>
      <c r="FT7" s="926" t="s">
        <v>2404</v>
      </c>
      <c r="FU7" s="926" t="s">
        <v>2405</v>
      </c>
      <c r="FV7" s="926" t="s">
        <v>2406</v>
      </c>
      <c r="FW7" s="926" t="s">
        <v>2407</v>
      </c>
      <c r="FX7" s="926" t="s">
        <v>2408</v>
      </c>
      <c r="FY7" s="926" t="s">
        <v>2409</v>
      </c>
      <c r="FZ7" s="926" t="s">
        <v>2410</v>
      </c>
      <c r="GA7" s="926" t="s">
        <v>2411</v>
      </c>
      <c r="GB7" s="926" t="s">
        <v>2412</v>
      </c>
      <c r="GC7" s="926" t="s">
        <v>2413</v>
      </c>
      <c r="GD7" s="926" t="s">
        <v>2414</v>
      </c>
      <c r="GE7" s="926" t="s">
        <v>2415</v>
      </c>
      <c r="GF7" s="926" t="s">
        <v>2416</v>
      </c>
      <c r="GG7" s="926" t="s">
        <v>2417</v>
      </c>
      <c r="GH7" s="926" t="s">
        <v>2418</v>
      </c>
      <c r="GI7" s="926" t="s">
        <v>2419</v>
      </c>
      <c r="GJ7" s="926" t="s">
        <v>2420</v>
      </c>
      <c r="GK7" s="926" t="s">
        <v>2421</v>
      </c>
      <c r="GL7" s="926" t="s">
        <v>2422</v>
      </c>
      <c r="GM7" s="926" t="s">
        <v>2423</v>
      </c>
      <c r="GN7" s="926" t="s">
        <v>2424</v>
      </c>
      <c r="GO7" s="926" t="s">
        <v>2425</v>
      </c>
      <c r="GP7" s="926" t="s">
        <v>2426</v>
      </c>
      <c r="GQ7" s="926" t="s">
        <v>2427</v>
      </c>
      <c r="GR7" s="926" t="s">
        <v>2428</v>
      </c>
      <c r="GS7" s="926" t="s">
        <v>2429</v>
      </c>
      <c r="GT7" s="926" t="s">
        <v>2430</v>
      </c>
      <c r="GU7" s="926" t="s">
        <v>2431</v>
      </c>
      <c r="GV7" s="926" t="s">
        <v>2432</v>
      </c>
      <c r="GW7" s="926" t="s">
        <v>2433</v>
      </c>
      <c r="GX7" s="926" t="s">
        <v>2434</v>
      </c>
      <c r="GY7" s="926" t="s">
        <v>2435</v>
      </c>
      <c r="GZ7" s="926" t="s">
        <v>2436</v>
      </c>
      <c r="HA7" s="926" t="s">
        <v>2437</v>
      </c>
      <c r="HB7" s="926" t="s">
        <v>2438</v>
      </c>
      <c r="HC7" s="926" t="s">
        <v>2439</v>
      </c>
      <c r="HD7" s="926" t="s">
        <v>2440</v>
      </c>
      <c r="HE7" s="926" t="s">
        <v>2441</v>
      </c>
      <c r="HF7" s="926" t="s">
        <v>2442</v>
      </c>
      <c r="HG7" s="926" t="s">
        <v>2443</v>
      </c>
      <c r="HH7" s="926" t="s">
        <v>2444</v>
      </c>
      <c r="HI7" s="926" t="s">
        <v>2445</v>
      </c>
      <c r="HJ7" s="926" t="s">
        <v>2446</v>
      </c>
      <c r="HK7" s="926" t="s">
        <v>2447</v>
      </c>
      <c r="HL7" s="926" t="s">
        <v>2448</v>
      </c>
      <c r="HM7" s="926" t="s">
        <v>2449</v>
      </c>
      <c r="HN7" s="926" t="s">
        <v>2450</v>
      </c>
      <c r="HO7" s="926" t="s">
        <v>2451</v>
      </c>
      <c r="HP7" s="926" t="s">
        <v>2452</v>
      </c>
      <c r="HQ7" s="926" t="s">
        <v>2453</v>
      </c>
      <c r="HR7" s="926" t="s">
        <v>2454</v>
      </c>
      <c r="HS7" s="926" t="s">
        <v>2455</v>
      </c>
      <c r="HT7" s="926" t="s">
        <v>2456</v>
      </c>
      <c r="HU7" s="926" t="s">
        <v>2457</v>
      </c>
      <c r="HV7" s="926" t="s">
        <v>2458</v>
      </c>
      <c r="HW7" s="926" t="s">
        <v>2459</v>
      </c>
      <c r="HX7" s="926" t="s">
        <v>2460</v>
      </c>
      <c r="HY7" s="926" t="s">
        <v>2461</v>
      </c>
      <c r="HZ7" s="926" t="s">
        <v>2462</v>
      </c>
      <c r="IA7" s="926" t="s">
        <v>2463</v>
      </c>
      <c r="IB7" s="926" t="s">
        <v>2464</v>
      </c>
      <c r="IC7" s="926" t="s">
        <v>2465</v>
      </c>
      <c r="ID7" s="926" t="s">
        <v>2466</v>
      </c>
      <c r="IE7" s="926" t="s">
        <v>2467</v>
      </c>
      <c r="IF7" s="926" t="s">
        <v>2468</v>
      </c>
      <c r="IG7" s="926" t="s">
        <v>2469</v>
      </c>
      <c r="IH7" s="926" t="s">
        <v>2470</v>
      </c>
      <c r="II7" s="926" t="s">
        <v>2471</v>
      </c>
      <c r="IJ7" s="926" t="s">
        <v>2472</v>
      </c>
      <c r="IK7" s="926" t="s">
        <v>2473</v>
      </c>
      <c r="IL7" s="926" t="s">
        <v>2474</v>
      </c>
      <c r="IM7" s="926" t="s">
        <v>2475</v>
      </c>
      <c r="IN7" s="926" t="s">
        <v>2476</v>
      </c>
      <c r="IO7" s="926" t="s">
        <v>2477</v>
      </c>
      <c r="IP7" s="926" t="s">
        <v>2478</v>
      </c>
      <c r="IQ7" s="926" t="s">
        <v>2479</v>
      </c>
      <c r="IR7" s="926" t="s">
        <v>2480</v>
      </c>
      <c r="IS7" s="926" t="s">
        <v>2481</v>
      </c>
      <c r="IT7" s="926" t="s">
        <v>2482</v>
      </c>
      <c r="IU7" s="926" t="s">
        <v>2483</v>
      </c>
      <c r="IV7" s="926" t="s">
        <v>2484</v>
      </c>
    </row>
    <row r="8" ht="13.5" customHeight="1">
      <c r="A8" s="926" t="s">
        <v>2485</v>
      </c>
      <c r="B8" s="926" t="s">
        <v>2486</v>
      </c>
      <c r="C8" s="926" t="s">
        <v>2487</v>
      </c>
      <c r="D8" s="926" t="s">
        <v>2488</v>
      </c>
      <c r="E8" s="926" t="s">
        <v>2489</v>
      </c>
      <c r="F8" s="926" t="s">
        <v>2490</v>
      </c>
      <c r="G8" s="926" t="s">
        <v>2491</v>
      </c>
      <c r="H8" s="926" t="s">
        <v>2492</v>
      </c>
      <c r="I8" s="926" t="s">
        <v>2493</v>
      </c>
      <c r="J8" s="926" t="s">
        <v>2494</v>
      </c>
      <c r="K8" s="926" t="s">
        <v>2495</v>
      </c>
      <c r="L8" s="926" t="s">
        <v>2496</v>
      </c>
      <c r="M8" s="926" t="s">
        <v>2497</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2018-02-07T02:40:04Z</dcterms:created>
  <dc:creator>Ahn, J</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1033</vt:lpwstr>
  </property>
  <property fmtid="{D5CDD505-2E9C-101B-9397-08002B2CF9AE}" pid="3" name="Create_Backup">
    <vt:lpwstr>3</vt:lpwstr>
  </property>
  <property fmtid="{D5CDD505-2E9C-101B-9397-08002B2CF9AE}" pid="4" name="Workbook_Font">
    <vt:lpwstr>Frutiger 45 Light</vt:lpwstr>
  </property>
  <property fmtid="{D5CDD505-2E9C-101B-9397-08002B2CF9AE}" pid="5" name="Workbook_FontSize">
    <vt:lpwstr>10</vt:lpwstr>
  </property>
  <property fmtid="{D5CDD505-2E9C-101B-9397-08002B2CF9AE}" pid="6" name="Average_Translated">
    <vt:lpwstr>Average</vt:lpwstr>
  </property>
  <property fmtid="{D5CDD505-2E9C-101B-9397-08002B2CF9AE}" pid="7" name="Thick_Lines">
    <vt:lpwstr>0</vt:lpwstr>
  </property>
  <property fmtid="{D5CDD505-2E9C-101B-9397-08002B2CF9AE}" pid="8" name="Num_Categories_On_XAxis">
    <vt:lpwstr>6</vt:lpwstr>
  </property>
  <property fmtid="{D5CDD505-2E9C-101B-9397-08002B2CF9AE}" pid="9" name="Share_PX_Label">
    <vt:lpwstr>Stock price</vt:lpwstr>
  </property>
  <property fmtid="{D5CDD505-2E9C-101B-9397-08002B2CF9AE}" pid="10" name="Volume_Label">
    <vt:lpwstr>Volume (000s)</vt:lpwstr>
  </property>
  <property fmtid="{D5CDD505-2E9C-101B-9397-08002B2CF9AE}" pid="11" name="Stock_Volume_XAxis_Label">
    <vt:lpwstr>Closing date</vt:lpwstr>
  </property>
  <property fmtid="{D5CDD505-2E9C-101B-9397-08002B2CF9AE}" pid="12" name="Pie_Chart_Labels">
    <vt:lpwstr>-1</vt:lpwstr>
  </property>
  <property fmtid="{D5CDD505-2E9C-101B-9397-08002B2CF9AE}" pid="13" name="Pie_Chart_Legend">
    <vt:lpwstr>0</vt:lpwstr>
  </property>
  <property fmtid="{D5CDD505-2E9C-101B-9397-08002B2CF9AE}" pid="14" name="Annotation_Add_Date">
    <vt:lpwstr>-1</vt:lpwstr>
  </property>
  <property fmtid="{D5CDD505-2E9C-101B-9397-08002B2CF9AE}" pid="15" name="Annotation_Date_Bold">
    <vt:lpwstr>-1</vt:lpwstr>
  </property>
  <property fmtid="{D5CDD505-2E9C-101B-9397-08002B2CF9AE}" pid="16" name="Annotation_Date_Format">
    <vt:lpwstr>F1</vt:lpwstr>
  </property>
  <property fmtid="{D5CDD505-2E9C-101B-9397-08002B2CF9AE}" pid="17" name="ShowGridlines">
    <vt:lpwstr>-1</vt:lpwstr>
  </property>
  <property fmtid="{D5CDD505-2E9C-101B-9397-08002B2CF9AE}" pid="18" name="ShowYAxis">
    <vt:lpwstr>0</vt:lpwstr>
  </property>
  <property fmtid="{D5CDD505-2E9C-101B-9397-08002B2CF9AE}" pid="19" name="UseStackWhiteBorder">
    <vt:lpwstr>-1</vt:lpwstr>
  </property>
  <property fmtid="{D5CDD505-2E9C-101B-9397-08002B2CF9AE}" pid="20" name="UseDashStyle">
    <vt:lpwstr>0</vt:lpwstr>
  </property>
  <property fmtid="{D5CDD505-2E9C-101B-9397-08002B2CF9AE}" pid="21" name="Signature">
    <vt:lpwstr>wfy9LV5j+oUZk4MFN+G8kd6FqOMfWuG3XPmjfnw04h6rlMcb5iGGXjZ94K5RtykkGQ7GeIubbEk2OQA0gXHwug==</vt:lpwstr>
  </property>
  <property fmtid="{D5CDD505-2E9C-101B-9397-08002B2CF9AE}" pid="22" name="{A44787D4-0540-4523-9961-78E4036D8C6D}">
    <vt:lpwstr>{D539CD7E-F291-4009-8FC7-175C263718D0}</vt:lpwstr>
  </property>
</Properties>
</file>